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EstaPasta_de_trabalho" defaultThemeVersion="124226"/>
  <mc:AlternateContent xmlns:mc="http://schemas.openxmlformats.org/markup-compatibility/2006">
    <mc:Choice Requires="x15">
      <x15ac:absPath xmlns:x15ac="http://schemas.microsoft.com/office/spreadsheetml/2010/11/ac" url="C:\Users\PC BRASIL\Desktop\APLIC\APLIC-2024\LICITAÇAO\LICITAÇOES 2024\CONCORRENCIA\001 - REFORMA ESCOLA DOMINGOS AZZOLINI\DOCUMENTOS\PROJETO BASICO DE ENGENHARIA -  COMPLETO\10_Planilha de Custos e Serviços\PLANILHA\"/>
    </mc:Choice>
  </mc:AlternateContent>
  <xr:revisionPtr revIDLastSave="0" documentId="8_{87234987-9A8C-47ED-A66A-0B0A461377EE}" xr6:coauthVersionLast="47" xr6:coauthVersionMax="47" xr10:uidLastSave="{00000000-0000-0000-0000-000000000000}"/>
  <bookViews>
    <workbookView xWindow="-120" yWindow="-120" windowWidth="29040" windowHeight="15720" tabRatio="741" firstSheet="2" activeTab="2" xr2:uid="{00000000-000D-0000-FFFF-FFFF00000000}"/>
  </bookViews>
  <sheets>
    <sheet name="QCI" sheetId="33" state="hidden" r:id="rId1"/>
    <sheet name="DECL. DE RESP." sheetId="19" state="hidden" r:id="rId2"/>
    <sheet name="CAPA" sheetId="47" r:id="rId3"/>
    <sheet name="RESUMO" sheetId="15" r:id="rId4"/>
    <sheet name="ASS" sheetId="43" state="hidden" r:id="rId5"/>
    <sheet name="M.C PISO" sheetId="40" state="hidden" r:id="rId6"/>
    <sheet name="M.C. PINTURA INT" sheetId="42" state="hidden" r:id="rId7"/>
    <sheet name="ORÇAMENTO " sheetId="7" r:id="rId8"/>
    <sheet name="CURVA ABC  " sheetId="45" state="hidden" r:id="rId9"/>
    <sheet name="COMPOSIÇÃO CIVIL" sheetId="9" r:id="rId10"/>
    <sheet name="COMPOSIÇÃO ESTRUTURAL" sheetId="29" r:id="rId11"/>
    <sheet name="BANCO DE DADOS JANEIRO-24 SERV" sheetId="8" state="hidden" r:id="rId12"/>
    <sheet name="BANCO DE DADOS JANEIRO-24 INS" sheetId="20" state="hidden" r:id="rId13"/>
    <sheet name="COMPOSIÇÕES" sheetId="36" state="hidden" r:id="rId14"/>
    <sheet name="Mobilização_Desmobilização" sheetId="39" state="hidden" r:id="rId15"/>
    <sheet name="COMP. HIDRO " sheetId="46" r:id="rId16"/>
    <sheet name="ACADEMIA DA 3 IDADE " sheetId="30" state="hidden" r:id="rId17"/>
    <sheet name="COMP. ELETRICO " sheetId="23" r:id="rId18"/>
    <sheet name="COMP. SPDA " sheetId="24" r:id="rId19"/>
    <sheet name="COMP. LOG" sheetId="25" state="hidden" r:id="rId20"/>
    <sheet name="COMP. INC" sheetId="13" r:id="rId21"/>
    <sheet name="COMP. IP" sheetId="32" state="hidden" r:id="rId22"/>
    <sheet name="COMP. PAISAGISMO" sheetId="26" state="hidden" r:id="rId23"/>
    <sheet name="COMP. ACAD CEF" sheetId="41" state="hidden" r:id="rId24"/>
    <sheet name="PLAYGROUND " sheetId="31" r:id="rId25"/>
    <sheet name="MEMCALRAS" sheetId="48" r:id="rId26"/>
    <sheet name="MEMCALPINT" sheetId="49" r:id="rId27"/>
    <sheet name="MEMCALALV" sheetId="50" r:id="rId28"/>
    <sheet name="MEMCALESQ" sheetId="51" r:id="rId29"/>
    <sheet name="MEMCALPIS" sheetId="52" r:id="rId30"/>
    <sheet name="MEMCALCOBERT" sheetId="53" r:id="rId31"/>
    <sheet name="MEMCALESTMET" sheetId="54" r:id="rId32"/>
    <sheet name="MEMCALPLACAS" sheetId="55" r:id="rId33"/>
    <sheet name="MEMCALTRASP" sheetId="56" r:id="rId34"/>
    <sheet name="M.C. FUNDAÇÃO" sheetId="44" r:id="rId35"/>
    <sheet name="MEM. DE CALCULO" sheetId="16" r:id="rId36"/>
    <sheet name="CRONOGRAMA PLE" sheetId="34" state="hidden" r:id="rId37"/>
    <sheet name="CRONOGRAMA" sheetId="38" r:id="rId38"/>
    <sheet name="BDI " sheetId="18" r:id="rId39"/>
    <sheet name="BDI DIF" sheetId="37" state="hidden" r:id="rId40"/>
    <sheet name="ENCARGOS SOCIAIS" sheetId="22" r:id="rId41"/>
  </sheets>
  <definedNames>
    <definedName name="______________cab1" localSheetId="8">#REF!</definedName>
    <definedName name="______________cab1" localSheetId="6">#REF!</definedName>
    <definedName name="_____________cab1" localSheetId="8">#REF!</definedName>
    <definedName name="_____________cab1" localSheetId="6">#REF!</definedName>
    <definedName name="____________cab1" localSheetId="8">#REF!</definedName>
    <definedName name="____________cab1" localSheetId="6">#REF!</definedName>
    <definedName name="___________cab1" localSheetId="8">#REF!</definedName>
    <definedName name="___________cab1" localSheetId="6">#REF!</definedName>
    <definedName name="___________RET1" localSheetId="8">#REF!</definedName>
    <definedName name="___________RET1" localSheetId="6">#REF!</definedName>
    <definedName name="__________R" localSheetId="8">#REF!</definedName>
    <definedName name="__________R" localSheetId="6">#REF!</definedName>
    <definedName name="__________RET1" localSheetId="8">#REF!</definedName>
    <definedName name="__________RET1" localSheetId="6">#REF!</definedName>
    <definedName name="__________TT21" localSheetId="8">#REF!</definedName>
    <definedName name="__________TT21" localSheetId="6">#REF!</definedName>
    <definedName name="__________TT22" localSheetId="8">#REF!</definedName>
    <definedName name="__________TT22" localSheetId="6">#REF!</definedName>
    <definedName name="_________cab1" localSheetId="8">#REF!</definedName>
    <definedName name="_________cab1" localSheetId="6">#REF!</definedName>
    <definedName name="_________JAZ1" localSheetId="8">#REF!</definedName>
    <definedName name="_________JAZ1" localSheetId="6">#REF!</definedName>
    <definedName name="_________JAZ11" localSheetId="8">#REF!</definedName>
    <definedName name="_________JAZ11" localSheetId="6">#REF!</definedName>
    <definedName name="_________JAZ2" localSheetId="8">#REF!</definedName>
    <definedName name="_________JAZ2" localSheetId="6">#REF!</definedName>
    <definedName name="_________JAZ22" localSheetId="8">#REF!</definedName>
    <definedName name="_________JAZ22" localSheetId="6">#REF!</definedName>
    <definedName name="_________JAZ3" localSheetId="8">#REF!</definedName>
    <definedName name="_________JAZ3" localSheetId="6">#REF!</definedName>
    <definedName name="_________JAZ33" localSheetId="8">#REF!</definedName>
    <definedName name="_________JAZ33" localSheetId="6">#REF!</definedName>
    <definedName name="_________RET1" localSheetId="8">#REF!</definedName>
    <definedName name="_________RET1" localSheetId="6">#REF!</definedName>
    <definedName name="_________TT21" localSheetId="8">#REF!</definedName>
    <definedName name="_________TT21" localSheetId="6">#REF!</definedName>
    <definedName name="_________TT22" localSheetId="8">#REF!</definedName>
    <definedName name="_________TT22" localSheetId="6">#REF!</definedName>
    <definedName name="________cab1" localSheetId="8">#REF!</definedName>
    <definedName name="________cab1" localSheetId="6">#REF!</definedName>
    <definedName name="________JAZ1" localSheetId="8">#REF!</definedName>
    <definedName name="________JAZ1" localSheetId="6">#REF!</definedName>
    <definedName name="________JAZ11" localSheetId="8">#REF!</definedName>
    <definedName name="________JAZ11" localSheetId="6">#REF!</definedName>
    <definedName name="________JAZ2" localSheetId="8">#REF!</definedName>
    <definedName name="________JAZ2" localSheetId="6">#REF!</definedName>
    <definedName name="________JAZ22" localSheetId="8">#REF!</definedName>
    <definedName name="________JAZ22" localSheetId="6">#REF!</definedName>
    <definedName name="________JAZ3" localSheetId="8">#REF!</definedName>
    <definedName name="________JAZ3" localSheetId="6">#REF!</definedName>
    <definedName name="________JAZ33" localSheetId="8">#REF!</definedName>
    <definedName name="________JAZ33" localSheetId="6">#REF!</definedName>
    <definedName name="________RET1" localSheetId="8">#REF!</definedName>
    <definedName name="________RET1" localSheetId="6">#REF!</definedName>
    <definedName name="________TT21" localSheetId="8">#REF!</definedName>
    <definedName name="________TT21" localSheetId="6">#REF!</definedName>
    <definedName name="________TT22" localSheetId="8">#REF!</definedName>
    <definedName name="________TT22" localSheetId="6">#REF!</definedName>
    <definedName name="_______ind100" localSheetId="8">#REF!</definedName>
    <definedName name="_______ind100" localSheetId="6">#REF!</definedName>
    <definedName name="_______JAZ1" localSheetId="8">#REF!</definedName>
    <definedName name="_______JAZ1" localSheetId="6">#REF!</definedName>
    <definedName name="_______JAZ11" localSheetId="8">#REF!</definedName>
    <definedName name="_______JAZ11" localSheetId="6">#REF!</definedName>
    <definedName name="_______JAZ2" localSheetId="8">#REF!</definedName>
    <definedName name="_______JAZ2" localSheetId="6">#REF!</definedName>
    <definedName name="_______JAZ22" localSheetId="8">#REF!</definedName>
    <definedName name="_______JAZ22" localSheetId="6">#REF!</definedName>
    <definedName name="_______JAZ3" localSheetId="8">#REF!</definedName>
    <definedName name="_______JAZ3" localSheetId="6">#REF!</definedName>
    <definedName name="_______JAZ33" localSheetId="8">#REF!</definedName>
    <definedName name="_______JAZ33" localSheetId="6">#REF!</definedName>
    <definedName name="_______RET1" localSheetId="8">#REF!</definedName>
    <definedName name="_______RET1" localSheetId="6">#REF!</definedName>
    <definedName name="_______TT21" localSheetId="8">#REF!</definedName>
    <definedName name="_______TT21" localSheetId="6">#REF!</definedName>
    <definedName name="_______TT22" localSheetId="8">#REF!</definedName>
    <definedName name="_______TT22" localSheetId="6">#REF!</definedName>
    <definedName name="______EXT1" localSheetId="8">#REF!</definedName>
    <definedName name="______EXT1" localSheetId="6">#REF!</definedName>
    <definedName name="______ind100" localSheetId="8">#REF!</definedName>
    <definedName name="______ind100" localSheetId="6">#REF!</definedName>
    <definedName name="______JAZ1" localSheetId="8">#REF!</definedName>
    <definedName name="______JAZ1" localSheetId="6">#REF!</definedName>
    <definedName name="______JAZ11" localSheetId="8">#REF!</definedName>
    <definedName name="______JAZ11" localSheetId="6">#REF!</definedName>
    <definedName name="______JAZ2" localSheetId="8">#REF!</definedName>
    <definedName name="______JAZ2" localSheetId="6">#REF!</definedName>
    <definedName name="______JAZ22" localSheetId="8">#REF!</definedName>
    <definedName name="______JAZ22" localSheetId="6">#REF!</definedName>
    <definedName name="______JAZ3" localSheetId="8">#REF!</definedName>
    <definedName name="______JAZ3" localSheetId="6">#REF!</definedName>
    <definedName name="______JAZ33" localSheetId="8">#REF!</definedName>
    <definedName name="______JAZ33" localSheetId="6">#REF!</definedName>
    <definedName name="______oac2" localSheetId="8">#REF!</definedName>
    <definedName name="______oac2" localSheetId="6">#REF!</definedName>
    <definedName name="______RET1" localSheetId="8">#REF!</definedName>
    <definedName name="______RET1" localSheetId="6">#REF!</definedName>
    <definedName name="______TT21" localSheetId="8">#REF!</definedName>
    <definedName name="______TT21" localSheetId="6">#REF!</definedName>
    <definedName name="______TT22" localSheetId="8">#REF!</definedName>
    <definedName name="______TT22" localSheetId="6">#REF!</definedName>
    <definedName name="_____cab1" localSheetId="8">#REF!</definedName>
    <definedName name="_____cab1" localSheetId="6">#REF!</definedName>
    <definedName name="_____EXT1" localSheetId="8">#REF!</definedName>
    <definedName name="_____EXT1" localSheetId="6">#REF!</definedName>
    <definedName name="_____ind100" localSheetId="8">#REF!</definedName>
    <definedName name="_____ind100" localSheetId="6">#REF!</definedName>
    <definedName name="_____JAZ1" localSheetId="8">#REF!</definedName>
    <definedName name="_____JAZ1" localSheetId="6">#REF!</definedName>
    <definedName name="_____JAZ11" localSheetId="8">#REF!</definedName>
    <definedName name="_____JAZ11" localSheetId="6">#REF!</definedName>
    <definedName name="_____JAZ2" localSheetId="8">#REF!</definedName>
    <definedName name="_____JAZ2" localSheetId="6">#REF!</definedName>
    <definedName name="_____JAZ22" localSheetId="8">#REF!</definedName>
    <definedName name="_____JAZ22" localSheetId="6">#REF!</definedName>
    <definedName name="_____JAZ3" localSheetId="8">#REF!</definedName>
    <definedName name="_____JAZ3" localSheetId="6">#REF!</definedName>
    <definedName name="_____JAZ33" localSheetId="8">#REF!</definedName>
    <definedName name="_____JAZ33" localSheetId="6">#REF!</definedName>
    <definedName name="_____oac2" localSheetId="8">#REF!</definedName>
    <definedName name="_____oac2" localSheetId="6">#REF!</definedName>
    <definedName name="_____RET1" localSheetId="8">#REF!</definedName>
    <definedName name="_____RET1" localSheetId="6">#REF!</definedName>
    <definedName name="_____tsd4" localSheetId="8">#REF!</definedName>
    <definedName name="_____tsd4" localSheetId="6">#REF!</definedName>
    <definedName name="_____TT102" localSheetId="8">#REF!</definedName>
    <definedName name="_____TT102" localSheetId="6">#REF!</definedName>
    <definedName name="_____TT107" localSheetId="8">#REF!</definedName>
    <definedName name="_____TT107" localSheetId="6">#REF!</definedName>
    <definedName name="_____TT121" localSheetId="8">#REF!</definedName>
    <definedName name="_____TT121" localSheetId="6">#REF!</definedName>
    <definedName name="_____TT123" localSheetId="8">#REF!</definedName>
    <definedName name="_____TT123" localSheetId="6">#REF!</definedName>
    <definedName name="_____TT19" localSheetId="8">#REF!</definedName>
    <definedName name="_____TT19" localSheetId="6">#REF!</definedName>
    <definedName name="_____TT20" localSheetId="8">#REF!</definedName>
    <definedName name="_____TT20" localSheetId="6">#REF!</definedName>
    <definedName name="_____TT21" localSheetId="8">#REF!</definedName>
    <definedName name="_____TT21" localSheetId="6">#REF!</definedName>
    <definedName name="_____TT22" localSheetId="8">#REF!</definedName>
    <definedName name="_____TT22" localSheetId="6">#REF!</definedName>
    <definedName name="_____TT26" localSheetId="8">#REF!</definedName>
    <definedName name="_____TT26" localSheetId="6">#REF!</definedName>
    <definedName name="_____TT27" localSheetId="8">#REF!</definedName>
    <definedName name="_____TT27" localSheetId="6">#REF!</definedName>
    <definedName name="_____TT28" localSheetId="8">#REF!</definedName>
    <definedName name="_____TT28" localSheetId="6">#REF!</definedName>
    <definedName name="_____TT30" localSheetId="8">#REF!</definedName>
    <definedName name="_____TT30" localSheetId="6">#REF!</definedName>
    <definedName name="_____TT31" localSheetId="8">#REF!</definedName>
    <definedName name="_____TT31" localSheetId="6">#REF!</definedName>
    <definedName name="_____TT32" localSheetId="8">#REF!</definedName>
    <definedName name="_____TT32" localSheetId="6">#REF!</definedName>
    <definedName name="_____TT33" localSheetId="8">#REF!</definedName>
    <definedName name="_____TT33" localSheetId="6">#REF!</definedName>
    <definedName name="_____TT34" localSheetId="8">#REF!</definedName>
    <definedName name="_____TT34" localSheetId="6">#REF!</definedName>
    <definedName name="_____TT36" localSheetId="8">#REF!</definedName>
    <definedName name="_____TT36" localSheetId="6">#REF!</definedName>
    <definedName name="_____TT37" localSheetId="8">#REF!</definedName>
    <definedName name="_____TT37" localSheetId="6">#REF!</definedName>
    <definedName name="_____TT38" localSheetId="8">#REF!</definedName>
    <definedName name="_____TT38" localSheetId="6">#REF!</definedName>
    <definedName name="_____TT39" localSheetId="8">#REF!</definedName>
    <definedName name="_____TT39" localSheetId="6">#REF!</definedName>
    <definedName name="_____TT40" localSheetId="8">#REF!</definedName>
    <definedName name="_____TT40" localSheetId="6">#REF!</definedName>
    <definedName name="_____TT5" localSheetId="8">#REF!</definedName>
    <definedName name="_____TT5" localSheetId="6">#REF!</definedName>
    <definedName name="_____TT52" localSheetId="8">#REF!</definedName>
    <definedName name="_____TT52" localSheetId="6">#REF!</definedName>
    <definedName name="_____TT53" localSheetId="8">#REF!</definedName>
    <definedName name="_____TT53" localSheetId="6">#REF!</definedName>
    <definedName name="_____TT54" localSheetId="8">#REF!</definedName>
    <definedName name="_____TT54" localSheetId="6">#REF!</definedName>
    <definedName name="_____TT55" localSheetId="8">#REF!</definedName>
    <definedName name="_____TT55" localSheetId="6">#REF!</definedName>
    <definedName name="_____TT6" localSheetId="8">#REF!</definedName>
    <definedName name="_____TT6" localSheetId="6">#REF!</definedName>
    <definedName name="_____TT60" localSheetId="8">#REF!</definedName>
    <definedName name="_____TT60" localSheetId="6">#REF!</definedName>
    <definedName name="_____TT61" localSheetId="8">#REF!</definedName>
    <definedName name="_____TT61" localSheetId="6">#REF!</definedName>
    <definedName name="_____TT69" localSheetId="8">#REF!</definedName>
    <definedName name="_____TT69" localSheetId="6">#REF!</definedName>
    <definedName name="_____TT7" localSheetId="8">#REF!</definedName>
    <definedName name="_____TT7" localSheetId="6">#REF!</definedName>
    <definedName name="_____TT70" localSheetId="8">#REF!</definedName>
    <definedName name="_____TT70" localSheetId="6">#REF!</definedName>
    <definedName name="_____TT71" localSheetId="8">#REF!</definedName>
    <definedName name="_____TT71" localSheetId="6">#REF!</definedName>
    <definedName name="_____TT74" localSheetId="8">#REF!</definedName>
    <definedName name="_____TT74" localSheetId="6">#REF!</definedName>
    <definedName name="_____TT75" localSheetId="8">#REF!</definedName>
    <definedName name="_____TT75" localSheetId="6">#REF!</definedName>
    <definedName name="_____TT76" localSheetId="8">#REF!</definedName>
    <definedName name="_____TT76" localSheetId="6">#REF!</definedName>
    <definedName name="_____TT77" localSheetId="8">#REF!</definedName>
    <definedName name="_____TT77" localSheetId="6">#REF!</definedName>
    <definedName name="_____TT78" localSheetId="8">#REF!</definedName>
    <definedName name="_____TT78" localSheetId="6">#REF!</definedName>
    <definedName name="_____TT79" localSheetId="8">#REF!</definedName>
    <definedName name="_____TT79" localSheetId="6">#REF!</definedName>
    <definedName name="_____TT94" localSheetId="8">#REF!</definedName>
    <definedName name="_____TT94" localSheetId="6">#REF!</definedName>
    <definedName name="_____TT95" localSheetId="8">#REF!</definedName>
    <definedName name="_____TT95" localSheetId="6">#REF!</definedName>
    <definedName name="_____TT97" localSheetId="8">#REF!</definedName>
    <definedName name="_____TT97" localSheetId="6">#REF!</definedName>
    <definedName name="____cab1" localSheetId="8">#REF!</definedName>
    <definedName name="____cab1" localSheetId="6">#REF!</definedName>
    <definedName name="____EXT1" localSheetId="8">#REF!</definedName>
    <definedName name="____EXT1" localSheetId="6">#REF!</definedName>
    <definedName name="____ind100" localSheetId="8">#REF!</definedName>
    <definedName name="____ind100" localSheetId="6">#REF!</definedName>
    <definedName name="____JAZ1" localSheetId="8">#REF!</definedName>
    <definedName name="____JAZ1" localSheetId="6">#REF!</definedName>
    <definedName name="____JAZ11" localSheetId="8">#REF!</definedName>
    <definedName name="____JAZ11" localSheetId="6">#REF!</definedName>
    <definedName name="____JAZ2" localSheetId="8">#REF!</definedName>
    <definedName name="____JAZ2" localSheetId="6">#REF!</definedName>
    <definedName name="____JAZ22" localSheetId="8">#REF!</definedName>
    <definedName name="____JAZ22" localSheetId="6">#REF!</definedName>
    <definedName name="____JAZ3" localSheetId="8">#REF!</definedName>
    <definedName name="____JAZ3" localSheetId="6">#REF!</definedName>
    <definedName name="____JAZ33" localSheetId="8">#REF!</definedName>
    <definedName name="____JAZ33" localSheetId="6">#REF!</definedName>
    <definedName name="____oac2" localSheetId="8">#REF!</definedName>
    <definedName name="____oac2" localSheetId="6">#REF!</definedName>
    <definedName name="____RET1" localSheetId="8">#REF!</definedName>
    <definedName name="____RET1" localSheetId="6">#REF!</definedName>
    <definedName name="____tsd4" localSheetId="8">#REF!</definedName>
    <definedName name="____tsd4" localSheetId="6">#REF!</definedName>
    <definedName name="____TT102" localSheetId="8">#REF!</definedName>
    <definedName name="____TT102" localSheetId="6">#REF!</definedName>
    <definedName name="____TT107" localSheetId="8">#REF!</definedName>
    <definedName name="____TT107" localSheetId="6">#REF!</definedName>
    <definedName name="____TT121" localSheetId="8">#REF!</definedName>
    <definedName name="____TT121" localSheetId="6">#REF!</definedName>
    <definedName name="____TT123" localSheetId="8">#REF!</definedName>
    <definedName name="____TT123" localSheetId="6">#REF!</definedName>
    <definedName name="____TT19" localSheetId="8">#REF!</definedName>
    <definedName name="____TT19" localSheetId="6">#REF!</definedName>
    <definedName name="____TT20" localSheetId="8">#REF!</definedName>
    <definedName name="____TT20" localSheetId="6">#REF!</definedName>
    <definedName name="____TT21" localSheetId="8">#REF!</definedName>
    <definedName name="____TT21" localSheetId="6">#REF!</definedName>
    <definedName name="____TT22" localSheetId="8">#REF!</definedName>
    <definedName name="____TT22" localSheetId="6">#REF!</definedName>
    <definedName name="____TT236" localSheetId="8">#REF!</definedName>
    <definedName name="____TT236" localSheetId="6">#REF!</definedName>
    <definedName name="____TT26" localSheetId="8">#REF!</definedName>
    <definedName name="____TT26" localSheetId="6">#REF!</definedName>
    <definedName name="____TT27" localSheetId="8">#REF!</definedName>
    <definedName name="____TT27" localSheetId="6">#REF!</definedName>
    <definedName name="____TT28" localSheetId="8">#REF!</definedName>
    <definedName name="____TT28" localSheetId="6">#REF!</definedName>
    <definedName name="____TT30" localSheetId="8">#REF!</definedName>
    <definedName name="____TT30" localSheetId="6">#REF!</definedName>
    <definedName name="____TT31" localSheetId="8">#REF!</definedName>
    <definedName name="____TT31" localSheetId="6">#REF!</definedName>
    <definedName name="____TT32" localSheetId="8">#REF!</definedName>
    <definedName name="____TT32" localSheetId="6">#REF!</definedName>
    <definedName name="____TT33" localSheetId="8">#REF!</definedName>
    <definedName name="____TT33" localSheetId="6">#REF!</definedName>
    <definedName name="____TT34" localSheetId="8">#REF!</definedName>
    <definedName name="____TT34" localSheetId="6">#REF!</definedName>
    <definedName name="____TT36" localSheetId="8">#REF!</definedName>
    <definedName name="____TT36" localSheetId="6">#REF!</definedName>
    <definedName name="____TT37" localSheetId="8">#REF!</definedName>
    <definedName name="____TT37" localSheetId="6">#REF!</definedName>
    <definedName name="____TT38" localSheetId="8">#REF!</definedName>
    <definedName name="____TT38" localSheetId="6">#REF!</definedName>
    <definedName name="____TT39" localSheetId="8">#REF!</definedName>
    <definedName name="____TT39" localSheetId="6">#REF!</definedName>
    <definedName name="____TT40" localSheetId="8">#REF!</definedName>
    <definedName name="____TT40" localSheetId="6">#REF!</definedName>
    <definedName name="____TT5" localSheetId="8">#REF!</definedName>
    <definedName name="____TT5" localSheetId="6">#REF!</definedName>
    <definedName name="____TT52" localSheetId="8">#REF!</definedName>
    <definedName name="____TT52" localSheetId="6">#REF!</definedName>
    <definedName name="____TT53" localSheetId="8">#REF!</definedName>
    <definedName name="____TT53" localSheetId="6">#REF!</definedName>
    <definedName name="____TT54" localSheetId="8">#REF!</definedName>
    <definedName name="____TT54" localSheetId="6">#REF!</definedName>
    <definedName name="____TT55" localSheetId="8">#REF!</definedName>
    <definedName name="____TT55" localSheetId="6">#REF!</definedName>
    <definedName name="____TT6" localSheetId="8">#REF!</definedName>
    <definedName name="____TT6" localSheetId="6">#REF!</definedName>
    <definedName name="____TT60" localSheetId="8">#REF!</definedName>
    <definedName name="____TT60" localSheetId="6">#REF!</definedName>
    <definedName name="____TT61" localSheetId="8">#REF!</definedName>
    <definedName name="____TT61" localSheetId="6">#REF!</definedName>
    <definedName name="____TT69" localSheetId="8">#REF!</definedName>
    <definedName name="____TT69" localSheetId="6">#REF!</definedName>
    <definedName name="____TT7" localSheetId="8">#REF!</definedName>
    <definedName name="____TT7" localSheetId="6">#REF!</definedName>
    <definedName name="____TT70" localSheetId="8">#REF!</definedName>
    <definedName name="____TT70" localSheetId="6">#REF!</definedName>
    <definedName name="____TT71" localSheetId="8">#REF!</definedName>
    <definedName name="____TT71" localSheetId="6">#REF!</definedName>
    <definedName name="____TT74" localSheetId="8">#REF!</definedName>
    <definedName name="____TT74" localSheetId="6">#REF!</definedName>
    <definedName name="____TT75" localSheetId="8">#REF!</definedName>
    <definedName name="____TT75" localSheetId="6">#REF!</definedName>
    <definedName name="____TT76" localSheetId="8">#REF!</definedName>
    <definedName name="____TT76" localSheetId="6">#REF!</definedName>
    <definedName name="____TT77" localSheetId="8">#REF!</definedName>
    <definedName name="____TT77" localSheetId="6">#REF!</definedName>
    <definedName name="____TT78" localSheetId="8">#REF!</definedName>
    <definedName name="____TT78" localSheetId="6">#REF!</definedName>
    <definedName name="____TT78954" localSheetId="8">#REF!</definedName>
    <definedName name="____TT78954" localSheetId="6">#REF!</definedName>
    <definedName name="____TT79" localSheetId="8">#REF!</definedName>
    <definedName name="____TT79" localSheetId="6">#REF!</definedName>
    <definedName name="____TT94" localSheetId="8">#REF!</definedName>
    <definedName name="____TT94" localSheetId="6">#REF!</definedName>
    <definedName name="____TT95" localSheetId="8">#REF!</definedName>
    <definedName name="____TT95" localSheetId="6">#REF!</definedName>
    <definedName name="____TT97" localSheetId="8">#REF!</definedName>
    <definedName name="____TT97" localSheetId="6">#REF!</definedName>
    <definedName name="___cab1" localSheetId="8">#REF!</definedName>
    <definedName name="___cab1" localSheetId="6">#REF!</definedName>
    <definedName name="___EXT1" localSheetId="8">#REF!</definedName>
    <definedName name="___EXT1" localSheetId="6">#REF!</definedName>
    <definedName name="___ind100" localSheetId="8">#REF!</definedName>
    <definedName name="___ind100" localSheetId="6">#REF!</definedName>
    <definedName name="___JAZ1" localSheetId="8">#REF!</definedName>
    <definedName name="___JAZ1" localSheetId="6">#REF!</definedName>
    <definedName name="___JAZ11" localSheetId="8">#REF!</definedName>
    <definedName name="___JAZ11" localSheetId="6">#REF!</definedName>
    <definedName name="___JAZ2" localSheetId="8">#REF!</definedName>
    <definedName name="___JAZ2" localSheetId="6">#REF!</definedName>
    <definedName name="___JAZ22" localSheetId="8">#REF!</definedName>
    <definedName name="___JAZ22" localSheetId="6">#REF!</definedName>
    <definedName name="___JAZ3" localSheetId="8">#REF!</definedName>
    <definedName name="___JAZ3" localSheetId="6">#REF!</definedName>
    <definedName name="___JAZ33" localSheetId="8">#REF!</definedName>
    <definedName name="___JAZ33" localSheetId="6">#REF!</definedName>
    <definedName name="___oac2" localSheetId="8">#REF!</definedName>
    <definedName name="___oac2" localSheetId="6">#REF!</definedName>
    <definedName name="___RET1" localSheetId="8">#REF!</definedName>
    <definedName name="___RET1" localSheetId="6">#REF!</definedName>
    <definedName name="___tsd4" localSheetId="8">#REF!</definedName>
    <definedName name="___tsd4" localSheetId="6">#REF!</definedName>
    <definedName name="___TT102" localSheetId="8">#REF!</definedName>
    <definedName name="___TT102" localSheetId="6">#REF!</definedName>
    <definedName name="___TT107" localSheetId="8">#REF!</definedName>
    <definedName name="___TT107" localSheetId="6">#REF!</definedName>
    <definedName name="___TT121" localSheetId="8">#REF!</definedName>
    <definedName name="___TT121" localSheetId="6">#REF!</definedName>
    <definedName name="___TT123" localSheetId="8">#REF!</definedName>
    <definedName name="___TT123" localSheetId="6">#REF!</definedName>
    <definedName name="___TT19" localSheetId="8">#REF!</definedName>
    <definedName name="___TT19" localSheetId="6">#REF!</definedName>
    <definedName name="___TT20" localSheetId="8">#REF!</definedName>
    <definedName name="___TT20" localSheetId="6">#REF!</definedName>
    <definedName name="___TT21" localSheetId="8">#REF!</definedName>
    <definedName name="___TT21" localSheetId="6">#REF!</definedName>
    <definedName name="___TT22" localSheetId="8">#REF!</definedName>
    <definedName name="___TT22" localSheetId="6">#REF!</definedName>
    <definedName name="___TT26" localSheetId="8">#REF!</definedName>
    <definedName name="___TT26" localSheetId="6">#REF!</definedName>
    <definedName name="___TT27" localSheetId="8">#REF!</definedName>
    <definedName name="___TT27" localSheetId="6">#REF!</definedName>
    <definedName name="___TT28" localSheetId="8">#REF!</definedName>
    <definedName name="___TT28" localSheetId="6">#REF!</definedName>
    <definedName name="___TT30" localSheetId="8">#REF!</definedName>
    <definedName name="___TT30" localSheetId="6">#REF!</definedName>
    <definedName name="___TT31" localSheetId="8">#REF!</definedName>
    <definedName name="___TT31" localSheetId="6">#REF!</definedName>
    <definedName name="___TT32" localSheetId="8">#REF!</definedName>
    <definedName name="___TT32" localSheetId="6">#REF!</definedName>
    <definedName name="___TT33" localSheetId="8">#REF!</definedName>
    <definedName name="___TT33" localSheetId="6">#REF!</definedName>
    <definedName name="___TT34" localSheetId="8">#REF!</definedName>
    <definedName name="___TT34" localSheetId="6">#REF!</definedName>
    <definedName name="___TT36" localSheetId="8">#REF!</definedName>
    <definedName name="___TT36" localSheetId="6">#REF!</definedName>
    <definedName name="___TT37" localSheetId="8">#REF!</definedName>
    <definedName name="___TT37" localSheetId="6">#REF!</definedName>
    <definedName name="___TT38" localSheetId="8">#REF!</definedName>
    <definedName name="___TT38" localSheetId="6">#REF!</definedName>
    <definedName name="___TT39" localSheetId="8">#REF!</definedName>
    <definedName name="___TT39" localSheetId="6">#REF!</definedName>
    <definedName name="___TT40" localSheetId="8">#REF!</definedName>
    <definedName name="___TT40" localSheetId="6">#REF!</definedName>
    <definedName name="___TT5" localSheetId="8">#REF!</definedName>
    <definedName name="___TT5" localSheetId="6">#REF!</definedName>
    <definedName name="___TT52" localSheetId="8">#REF!</definedName>
    <definedName name="___TT52" localSheetId="6">#REF!</definedName>
    <definedName name="___TT53" localSheetId="8">#REF!</definedName>
    <definedName name="___TT53" localSheetId="6">#REF!</definedName>
    <definedName name="___TT54" localSheetId="8">#REF!</definedName>
    <definedName name="___TT54" localSheetId="6">#REF!</definedName>
    <definedName name="___TT55" localSheetId="8">#REF!</definedName>
    <definedName name="___TT55" localSheetId="6">#REF!</definedName>
    <definedName name="___TT6" localSheetId="8">#REF!</definedName>
    <definedName name="___TT6" localSheetId="6">#REF!</definedName>
    <definedName name="___TT60" localSheetId="8">#REF!</definedName>
    <definedName name="___TT60" localSheetId="6">#REF!</definedName>
    <definedName name="___TT61" localSheetId="8">#REF!</definedName>
    <definedName name="___TT61" localSheetId="6">#REF!</definedName>
    <definedName name="___TT69" localSheetId="8">#REF!</definedName>
    <definedName name="___TT69" localSheetId="6">#REF!</definedName>
    <definedName name="___TT7" localSheetId="8">#REF!</definedName>
    <definedName name="___TT7" localSheetId="6">#REF!</definedName>
    <definedName name="___TT70" localSheetId="8">#REF!</definedName>
    <definedName name="___TT70" localSheetId="6">#REF!</definedName>
    <definedName name="___TT71" localSheetId="8">#REF!</definedName>
    <definedName name="___TT71" localSheetId="6">#REF!</definedName>
    <definedName name="___TT74" localSheetId="8">#REF!</definedName>
    <definedName name="___TT74" localSheetId="6">#REF!</definedName>
    <definedName name="___TT75" localSheetId="8">#REF!</definedName>
    <definedName name="___TT75" localSheetId="6">#REF!</definedName>
    <definedName name="___TT76" localSheetId="8">#REF!</definedName>
    <definedName name="___TT76" localSheetId="6">#REF!</definedName>
    <definedName name="___TT77" localSheetId="8">#REF!</definedName>
    <definedName name="___TT77" localSheetId="6">#REF!</definedName>
    <definedName name="___TT78" localSheetId="8">#REF!</definedName>
    <definedName name="___TT78" localSheetId="6">#REF!</definedName>
    <definedName name="___TT79" localSheetId="8">#REF!</definedName>
    <definedName name="___TT79" localSheetId="6">#REF!</definedName>
    <definedName name="___TT94" localSheetId="8">#REF!</definedName>
    <definedName name="___TT94" localSheetId="6">#REF!</definedName>
    <definedName name="___TT95" localSheetId="8">#REF!</definedName>
    <definedName name="___TT95" localSheetId="6">#REF!</definedName>
    <definedName name="___TT97" localSheetId="8">#REF!</definedName>
    <definedName name="___TT97" localSheetId="6">#REF!</definedName>
    <definedName name="__123Graph_A" hidden="1">#REF!</definedName>
    <definedName name="__123Graph_AGraph1" hidden="1">#REF!</definedName>
    <definedName name="__123Graph_AGraph10" hidden="1">#REF!</definedName>
    <definedName name="__123Graph_AGraph11" hidden="1">#REF!</definedName>
    <definedName name="__123Graph_AGraph12"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AGraph7" hidden="1">#REF!</definedName>
    <definedName name="__123Graph_AGraph8" hidden="1">#REF!</definedName>
    <definedName name="__123Graph_AGraph9" hidden="1">#REF!</definedName>
    <definedName name="__123Graph_B" hidden="1">#REF!</definedName>
    <definedName name="__123Graph_BGraph1" hidden="1">#REF!</definedName>
    <definedName name="__123Graph_BGraph10" hidden="1">#REF!</definedName>
    <definedName name="__123Graph_BGraph11" hidden="1">#REF!</definedName>
    <definedName name="__123Graph_BGraph12" hidden="1">#REF!</definedName>
    <definedName name="__123Graph_BGraph2" hidden="1">#REF!</definedName>
    <definedName name="__123Graph_BGraph3" hidden="1">#REF!</definedName>
    <definedName name="__123Graph_BGraph4" hidden="1">#REF!</definedName>
    <definedName name="__123Graph_BGraph5" hidden="1">#REF!</definedName>
    <definedName name="__123Graph_BGraph6" hidden="1">#REF!</definedName>
    <definedName name="__123Graph_BGraph7" hidden="1">#REF!</definedName>
    <definedName name="__123Graph_BGraph8" hidden="1">#REF!</definedName>
    <definedName name="__123Graph_BGraph9" hidden="1">#REF!</definedName>
    <definedName name="__123Graph_X" hidden="1">#REF!</definedName>
    <definedName name="__123Graph_XGraph1" hidden="1">#REF!</definedName>
    <definedName name="__123Graph_XGraph10" hidden="1">#REF!</definedName>
    <definedName name="__123Graph_XGraph11" hidden="1">#REF!</definedName>
    <definedName name="__123Graph_XGraph12"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Graph8" hidden="1">#REF!</definedName>
    <definedName name="__123Graph_XGraph9" hidden="1">#REF!</definedName>
    <definedName name="__cab1" localSheetId="8">#REF!</definedName>
    <definedName name="__cab1" localSheetId="6">#REF!</definedName>
    <definedName name="__EXT1" localSheetId="8">#REF!</definedName>
    <definedName name="__EXT1" localSheetId="6">#REF!</definedName>
    <definedName name="__ind100" localSheetId="8">#REF!</definedName>
    <definedName name="__ind100" localSheetId="6">#REF!</definedName>
    <definedName name="__JAZ1" localSheetId="8">#REF!</definedName>
    <definedName name="__JAZ1" localSheetId="6">#REF!</definedName>
    <definedName name="__JAZ11" localSheetId="8">#REF!</definedName>
    <definedName name="__JAZ11" localSheetId="6">#REF!</definedName>
    <definedName name="__JAZ2" localSheetId="8">#REF!</definedName>
    <definedName name="__JAZ2" localSheetId="6">#REF!</definedName>
    <definedName name="__JAZ22" localSheetId="8">#REF!</definedName>
    <definedName name="__JAZ22" localSheetId="6">#REF!</definedName>
    <definedName name="__JAZ3" localSheetId="8">#REF!</definedName>
    <definedName name="__JAZ3" localSheetId="6">#REF!</definedName>
    <definedName name="__JAZ33" localSheetId="8">#REF!</definedName>
    <definedName name="__JAZ33" localSheetId="6">#REF!</definedName>
    <definedName name="__oac2" localSheetId="8">#REF!</definedName>
    <definedName name="__oac2" localSheetId="6">#REF!</definedName>
    <definedName name="__RET1" localSheetId="8">#REF!</definedName>
    <definedName name="__RET1" localSheetId="6">#REF!</definedName>
    <definedName name="__tsd4" localSheetId="8">#REF!</definedName>
    <definedName name="__tsd4" localSheetId="6">#REF!</definedName>
    <definedName name="__TT102" localSheetId="8">#REF!</definedName>
    <definedName name="__TT102" localSheetId="6">#REF!</definedName>
    <definedName name="__TT107" localSheetId="8">#REF!</definedName>
    <definedName name="__TT107" localSheetId="6">#REF!</definedName>
    <definedName name="__TT121" localSheetId="8">#REF!</definedName>
    <definedName name="__TT121" localSheetId="6">#REF!</definedName>
    <definedName name="__TT123" localSheetId="8">#REF!</definedName>
    <definedName name="__TT123" localSheetId="6">#REF!</definedName>
    <definedName name="__TT19" localSheetId="8">#REF!</definedName>
    <definedName name="__TT19" localSheetId="6">#REF!</definedName>
    <definedName name="__TT20" localSheetId="8">#REF!</definedName>
    <definedName name="__TT20" localSheetId="6">#REF!</definedName>
    <definedName name="__TT21" localSheetId="8">#REF!</definedName>
    <definedName name="__TT21" localSheetId="6">#REF!</definedName>
    <definedName name="__TT22" localSheetId="8">#REF!</definedName>
    <definedName name="__TT22" localSheetId="6">#REF!</definedName>
    <definedName name="__TT26" localSheetId="8">#REF!</definedName>
    <definedName name="__TT26" localSheetId="6">#REF!</definedName>
    <definedName name="__TT27" localSheetId="8">#REF!</definedName>
    <definedName name="__TT27" localSheetId="6">#REF!</definedName>
    <definedName name="__TT28" localSheetId="8">#REF!</definedName>
    <definedName name="__TT28" localSheetId="6">#REF!</definedName>
    <definedName name="__TT30" localSheetId="8">#REF!</definedName>
    <definedName name="__TT30" localSheetId="6">#REF!</definedName>
    <definedName name="__TT31" localSheetId="8">#REF!</definedName>
    <definedName name="__TT31" localSheetId="6">#REF!</definedName>
    <definedName name="__TT32" localSheetId="8">#REF!</definedName>
    <definedName name="__TT32" localSheetId="6">#REF!</definedName>
    <definedName name="__TT33" localSheetId="8">#REF!</definedName>
    <definedName name="__TT33" localSheetId="6">#REF!</definedName>
    <definedName name="__TT34" localSheetId="8">#REF!</definedName>
    <definedName name="__TT34" localSheetId="6">#REF!</definedName>
    <definedName name="__TT36" localSheetId="8">#REF!</definedName>
    <definedName name="__TT36" localSheetId="6">#REF!</definedName>
    <definedName name="__TT37" localSheetId="8">#REF!</definedName>
    <definedName name="__TT37" localSheetId="6">#REF!</definedName>
    <definedName name="__TT38" localSheetId="8">#REF!</definedName>
    <definedName name="__TT38" localSheetId="6">#REF!</definedName>
    <definedName name="__TT39" localSheetId="8">#REF!</definedName>
    <definedName name="__TT39" localSheetId="6">#REF!</definedName>
    <definedName name="__TT40" localSheetId="8">#REF!</definedName>
    <definedName name="__TT40" localSheetId="6">#REF!</definedName>
    <definedName name="__TT5" localSheetId="8">#REF!</definedName>
    <definedName name="__TT5" localSheetId="6">#REF!</definedName>
    <definedName name="__TT52" localSheetId="8">#REF!</definedName>
    <definedName name="__TT52" localSheetId="6">#REF!</definedName>
    <definedName name="__TT53" localSheetId="8">#REF!</definedName>
    <definedName name="__TT53" localSheetId="6">#REF!</definedName>
    <definedName name="__TT54" localSheetId="8">#REF!</definedName>
    <definedName name="__TT54" localSheetId="6">#REF!</definedName>
    <definedName name="__TT55" localSheetId="8">#REF!</definedName>
    <definedName name="__TT55" localSheetId="6">#REF!</definedName>
    <definedName name="__TT6" localSheetId="8">#REF!</definedName>
    <definedName name="__TT6" localSheetId="6">#REF!</definedName>
    <definedName name="__TT60" localSheetId="8">#REF!</definedName>
    <definedName name="__TT60" localSheetId="6">#REF!</definedName>
    <definedName name="__TT61" localSheetId="8">#REF!</definedName>
    <definedName name="__TT61" localSheetId="6">#REF!</definedName>
    <definedName name="__TT69" localSheetId="8">#REF!</definedName>
    <definedName name="__TT69" localSheetId="6">#REF!</definedName>
    <definedName name="__TT7" localSheetId="8">#REF!</definedName>
    <definedName name="__TT7" localSheetId="6">#REF!</definedName>
    <definedName name="__TT70" localSheetId="8">#REF!</definedName>
    <definedName name="__TT70" localSheetId="6">#REF!</definedName>
    <definedName name="__TT71" localSheetId="8">#REF!</definedName>
    <definedName name="__TT71" localSheetId="6">#REF!</definedName>
    <definedName name="__TT74" localSheetId="8">#REF!</definedName>
    <definedName name="__TT74" localSheetId="6">#REF!</definedName>
    <definedName name="__TT75" localSheetId="8">#REF!</definedName>
    <definedName name="__TT75" localSheetId="6">#REF!</definedName>
    <definedName name="__TT76" localSheetId="8">#REF!</definedName>
    <definedName name="__TT76" localSheetId="6">#REF!</definedName>
    <definedName name="__TT77" localSheetId="8">#REF!</definedName>
    <definedName name="__TT77" localSheetId="6">#REF!</definedName>
    <definedName name="__TT78" localSheetId="8">#REF!</definedName>
    <definedName name="__TT78" localSheetId="6">#REF!</definedName>
    <definedName name="__TT79" localSheetId="8">#REF!</definedName>
    <definedName name="__TT79" localSheetId="6">#REF!</definedName>
    <definedName name="__TT94" localSheetId="8">#REF!</definedName>
    <definedName name="__TT94" localSheetId="6">#REF!</definedName>
    <definedName name="__TT95" localSheetId="8">#REF!</definedName>
    <definedName name="__TT95" localSheetId="6">#REF!</definedName>
    <definedName name="__TT97" localSheetId="8">#REF!</definedName>
    <definedName name="__TT97" localSheetId="6">#REF!</definedName>
    <definedName name="_cab1" localSheetId="8">#REF!</definedName>
    <definedName name="_cab1" localSheetId="6">#REF!</definedName>
    <definedName name="_dre2" localSheetId="8">#REF!</definedName>
    <definedName name="_dre2" localSheetId="6">#REF!</definedName>
    <definedName name="_ELE1" localSheetId="8">#REF!</definedName>
    <definedName name="_ELE1" localSheetId="6">#REF!</definedName>
    <definedName name="_ELE2" localSheetId="8">#REF!</definedName>
    <definedName name="_ELE2" localSheetId="6">#REF!</definedName>
    <definedName name="_ELE3" localSheetId="8">#REF!</definedName>
    <definedName name="_ELE3" localSheetId="6">#REF!</definedName>
    <definedName name="_EXT1" localSheetId="8">#REF!</definedName>
    <definedName name="_EXT1" localSheetId="6">#REF!</definedName>
    <definedName name="_xlnm._FilterDatabase" localSheetId="12" hidden="1">'BANCO DE DADOS JANEIRO-24 INS'!$A$1:$J$4915</definedName>
    <definedName name="_xlnm._FilterDatabase" localSheetId="11" hidden="1">'BANCO DE DADOS JANEIRO-24 SERV'!$A$1:$M$7518</definedName>
    <definedName name="_xlnm._FilterDatabase" localSheetId="23" hidden="1">'COMP. ACAD CEF'!$G$1:$G$230</definedName>
    <definedName name="_xlnm._FilterDatabase" localSheetId="17" hidden="1">'COMP. ELETRICO '!$G$1:$G$50</definedName>
    <definedName name="_xlnm._FilterDatabase" localSheetId="15" hidden="1">'COMP. HIDRO '!$G$2:$G$24</definedName>
    <definedName name="_xlnm._FilterDatabase" localSheetId="20" hidden="1">'COMP. INC'!$G$3:$G$33</definedName>
    <definedName name="_xlnm._FilterDatabase" localSheetId="21" hidden="1">'COMP. IP'!$G$3:$G$740</definedName>
    <definedName name="_xlnm._FilterDatabase" localSheetId="19" hidden="1">'COMP. LOG'!$G$3:$G$901</definedName>
    <definedName name="_xlnm._FilterDatabase" localSheetId="22" hidden="1">'COMP. PAISAGISMO'!$G$1:$G$266</definedName>
    <definedName name="_xlnm._FilterDatabase" localSheetId="18" hidden="1">'COMP. SPDA '!$G$3:$G$16</definedName>
    <definedName name="_xlnm._FilterDatabase" localSheetId="9" hidden="1">'COMPOSIÇÃO CIVIL'!$G$1:$G$53</definedName>
    <definedName name="_xlnm._FilterDatabase" localSheetId="10" hidden="1">'COMPOSIÇÃO ESTRUTURAL'!$G$1:$G$48</definedName>
    <definedName name="_xlnm._FilterDatabase" localSheetId="8" hidden="1">'CURVA ABC  '!$F$15:$P$15</definedName>
    <definedName name="_xlnm._FilterDatabase" localSheetId="7" hidden="1">'ORÇAMENTO '!$N$1:$N$471</definedName>
    <definedName name="_xlnm._FilterDatabase" localSheetId="24" hidden="1">'PLAYGROUND '!$G$1:$G$13</definedName>
    <definedName name="_xlnm._FilterDatabase" hidden="1">#REF!</definedName>
    <definedName name="_ind100" localSheetId="8">#REF!</definedName>
    <definedName name="_ind100" localSheetId="6">#REF!</definedName>
    <definedName name="_JAZ1" localSheetId="8">#REF!</definedName>
    <definedName name="_JAZ1" localSheetId="6">#REF!</definedName>
    <definedName name="_JAZ11" localSheetId="8">#REF!</definedName>
    <definedName name="_JAZ11" localSheetId="6">#REF!</definedName>
    <definedName name="_JAZ2" localSheetId="8">#REF!</definedName>
    <definedName name="_JAZ2" localSheetId="6">#REF!</definedName>
    <definedName name="_JAZ22" localSheetId="8">#REF!</definedName>
    <definedName name="_JAZ22" localSheetId="6">#REF!</definedName>
    <definedName name="_JAZ3" localSheetId="8">#REF!</definedName>
    <definedName name="_JAZ3" localSheetId="6">#REF!</definedName>
    <definedName name="_JAZ33" localSheetId="8">#REF!</definedName>
    <definedName name="_JAZ33" localSheetId="6">#REF!</definedName>
    <definedName name="_oac2" localSheetId="8">#REF!</definedName>
    <definedName name="_oac2" localSheetId="6">#REF!</definedName>
    <definedName name="_oae2" localSheetId="8">#REF!</definedName>
    <definedName name="_oae2" localSheetId="6">#REF!</definedName>
    <definedName name="_oco2" localSheetId="8">#REF!</definedName>
    <definedName name="_oco2" localSheetId="6">#REF!</definedName>
    <definedName name="_Order1" hidden="1">255</definedName>
    <definedName name="_Order2" hidden="1">255</definedName>
    <definedName name="_pav2" localSheetId="8">#REF!</definedName>
    <definedName name="_pav2" localSheetId="6">#REF!</definedName>
    <definedName name="_RET1" localSheetId="8">#REF!</definedName>
    <definedName name="_RET1" localSheetId="6">#REF!</definedName>
    <definedName name="_sub1" localSheetId="8">#REF!</definedName>
    <definedName name="_sub1" localSheetId="6">#REF!</definedName>
    <definedName name="_sub2" localSheetId="8">#REF!</definedName>
    <definedName name="_sub2" localSheetId="6">#REF!</definedName>
    <definedName name="_sub3" localSheetId="8">#REF!</definedName>
    <definedName name="_sub3" localSheetId="6">#REF!</definedName>
    <definedName name="_sub4" localSheetId="8">#REF!</definedName>
    <definedName name="_sub4" localSheetId="6">#REF!</definedName>
    <definedName name="_ter2" localSheetId="8">#REF!</definedName>
    <definedName name="_ter2" localSheetId="6">#REF!</definedName>
    <definedName name="_tot1" localSheetId="8">#REF!</definedName>
    <definedName name="_tot1" localSheetId="6">#REF!</definedName>
    <definedName name="_tot2" localSheetId="8">#REF!</definedName>
    <definedName name="_tot2" localSheetId="6">#REF!</definedName>
    <definedName name="_tot3" localSheetId="8">#REF!</definedName>
    <definedName name="_tot3" localSheetId="6">#REF!</definedName>
    <definedName name="_tot4" localSheetId="8">#REF!</definedName>
    <definedName name="_tot4" localSheetId="6">#REF!</definedName>
    <definedName name="_tot5" localSheetId="8">#REF!</definedName>
    <definedName name="_tot5" localSheetId="6">#REF!</definedName>
    <definedName name="_tot6" localSheetId="8">#REF!</definedName>
    <definedName name="_tot6" localSheetId="6">#REF!</definedName>
    <definedName name="_tot7" localSheetId="8">#REF!</definedName>
    <definedName name="_tot7" localSheetId="6">#REF!</definedName>
    <definedName name="_tot8" localSheetId="8">#REF!</definedName>
    <definedName name="_tot8" localSheetId="6">#REF!</definedName>
    <definedName name="_tsd4" localSheetId="8">#REF!</definedName>
    <definedName name="_tsd4" localSheetId="6">#REF!</definedName>
    <definedName name="_TT102" localSheetId="8">#REF!</definedName>
    <definedName name="_TT102" localSheetId="6">#REF!</definedName>
    <definedName name="_TT107" localSheetId="8">#REF!</definedName>
    <definedName name="_TT107" localSheetId="6">#REF!</definedName>
    <definedName name="_TT121" localSheetId="8">#REF!</definedName>
    <definedName name="_TT121" localSheetId="6">#REF!</definedName>
    <definedName name="_TT123" localSheetId="8">#REF!</definedName>
    <definedName name="_TT123" localSheetId="6">#REF!</definedName>
    <definedName name="_TT18" localSheetId="8">#REF!</definedName>
    <definedName name="_TT18" localSheetId="6">#REF!</definedName>
    <definedName name="_TT19" localSheetId="8">#REF!</definedName>
    <definedName name="_TT19" localSheetId="6">#REF!</definedName>
    <definedName name="_TT20" localSheetId="8">#REF!</definedName>
    <definedName name="_TT20" localSheetId="6">#REF!</definedName>
    <definedName name="_TT21" localSheetId="8">#REF!</definedName>
    <definedName name="_TT21" localSheetId="6">#REF!</definedName>
    <definedName name="_TT22" localSheetId="8">#REF!</definedName>
    <definedName name="_TT22" localSheetId="6">#REF!</definedName>
    <definedName name="_TT26" localSheetId="8">#REF!</definedName>
    <definedName name="_TT26" localSheetId="6">#REF!</definedName>
    <definedName name="_TT27" localSheetId="8">#REF!</definedName>
    <definedName name="_TT27" localSheetId="6">#REF!</definedName>
    <definedName name="_TT28" localSheetId="8">#REF!</definedName>
    <definedName name="_TT28" localSheetId="6">#REF!</definedName>
    <definedName name="_TT30" localSheetId="8">#REF!</definedName>
    <definedName name="_TT30" localSheetId="6">#REF!</definedName>
    <definedName name="_TT31" localSheetId="8">#REF!</definedName>
    <definedName name="_TT31" localSheetId="6">#REF!</definedName>
    <definedName name="_TT32" localSheetId="8">#REF!</definedName>
    <definedName name="_TT32" localSheetId="6">#REF!</definedName>
    <definedName name="_TT33" localSheetId="8">#REF!</definedName>
    <definedName name="_TT33" localSheetId="6">#REF!</definedName>
    <definedName name="_TT34" localSheetId="8">#REF!</definedName>
    <definedName name="_TT34" localSheetId="6">#REF!</definedName>
    <definedName name="_TT36" localSheetId="8">#REF!</definedName>
    <definedName name="_TT36" localSheetId="6">#REF!</definedName>
    <definedName name="_TT37" localSheetId="8">#REF!</definedName>
    <definedName name="_TT37" localSheetId="6">#REF!</definedName>
    <definedName name="_TT38" localSheetId="8">#REF!</definedName>
    <definedName name="_TT38" localSheetId="6">#REF!</definedName>
    <definedName name="_TT39" localSheetId="8">#REF!</definedName>
    <definedName name="_TT39" localSheetId="6">#REF!</definedName>
    <definedName name="_TT40" localSheetId="8">#REF!</definedName>
    <definedName name="_TT40" localSheetId="6">#REF!</definedName>
    <definedName name="_TT5" localSheetId="8">#REF!</definedName>
    <definedName name="_TT5" localSheetId="6">#REF!</definedName>
    <definedName name="_TT52" localSheetId="8">#REF!</definedName>
    <definedName name="_TT52" localSheetId="6">#REF!</definedName>
    <definedName name="_TT53" localSheetId="8">#REF!</definedName>
    <definedName name="_TT53" localSheetId="6">#REF!</definedName>
    <definedName name="_TT54" localSheetId="8">#REF!</definedName>
    <definedName name="_TT54" localSheetId="6">#REF!</definedName>
    <definedName name="_TT55" localSheetId="8">#REF!</definedName>
    <definedName name="_TT55" localSheetId="6">#REF!</definedName>
    <definedName name="_TT6" localSheetId="8">#REF!</definedName>
    <definedName name="_TT6" localSheetId="6">#REF!</definedName>
    <definedName name="_TT60" localSheetId="8">#REF!</definedName>
    <definedName name="_TT60" localSheetId="6">#REF!</definedName>
    <definedName name="_TT61" localSheetId="8">#REF!</definedName>
    <definedName name="_TT61" localSheetId="6">#REF!</definedName>
    <definedName name="_TT69" localSheetId="8">#REF!</definedName>
    <definedName name="_TT69" localSheetId="6">#REF!</definedName>
    <definedName name="_TT7" localSheetId="8">#REF!</definedName>
    <definedName name="_TT7" localSheetId="6">#REF!</definedName>
    <definedName name="_TT70" localSheetId="8">#REF!</definedName>
    <definedName name="_TT70" localSheetId="6">#REF!</definedName>
    <definedName name="_TT71" localSheetId="8">#REF!</definedName>
    <definedName name="_TT71" localSheetId="6">#REF!</definedName>
    <definedName name="_TT74" localSheetId="8">#REF!</definedName>
    <definedName name="_TT74" localSheetId="6">#REF!</definedName>
    <definedName name="_TT75" localSheetId="8">#REF!</definedName>
    <definedName name="_TT75" localSheetId="6">#REF!</definedName>
    <definedName name="_TT76" localSheetId="8">#REF!</definedName>
    <definedName name="_TT76" localSheetId="6">#REF!</definedName>
    <definedName name="_TT77" localSheetId="8">#REF!</definedName>
    <definedName name="_TT77" localSheetId="6">#REF!</definedName>
    <definedName name="_TT78" localSheetId="8">#REF!</definedName>
    <definedName name="_TT78" localSheetId="6">#REF!</definedName>
    <definedName name="_TT79" localSheetId="8">#REF!</definedName>
    <definedName name="_TT79" localSheetId="6">#REF!</definedName>
    <definedName name="_TT94" localSheetId="8">#REF!</definedName>
    <definedName name="_TT94" localSheetId="6">#REF!</definedName>
    <definedName name="_TT95" localSheetId="8">#REF!</definedName>
    <definedName name="_TT95" localSheetId="6">#REF!</definedName>
    <definedName name="_TT97" localSheetId="8">#REF!</definedName>
    <definedName name="_TT97" localSheetId="6">#REF!</definedName>
    <definedName name="a" localSheetId="15" hidden="1">{#N/A,#N/A,FALSE,"MO (2)"}</definedName>
    <definedName name="a" localSheetId="8" hidden="1">{#N/A,#N/A,FALSE,"MO (2)"}</definedName>
    <definedName name="a" localSheetId="5" hidden="1">{#N/A,#N/A,FALSE,"MO (2)"}</definedName>
    <definedName name="a" localSheetId="34" hidden="1">{#N/A,#N/A,FALSE,"MO (2)"}</definedName>
    <definedName name="a" localSheetId="6" hidden="1">{#N/A,#N/A,FALSE,"MO (2)"}</definedName>
    <definedName name="a" hidden="1">{#N/A,#N/A,FALSE,"MO (2)"}</definedName>
    <definedName name="AA" localSheetId="8">#REF!</definedName>
    <definedName name="AA" localSheetId="6">#REF!</definedName>
    <definedName name="AAAA" localSheetId="8">#REF!</definedName>
    <definedName name="AAAA" localSheetId="6">#REF!</definedName>
    <definedName name="AAAAA" localSheetId="8">#REF!</definedName>
    <definedName name="AAAAA" localSheetId="6">#REF!</definedName>
    <definedName name="ABCD23" localSheetId="8">#REF!</definedName>
    <definedName name="ABCD23" localSheetId="6">#REF!</definedName>
    <definedName name="ACADGDDJSDJSBDJSJFSF" localSheetId="8">#REF!</definedName>
    <definedName name="ACADGDDJSDJSBDJSJFSF" localSheetId="6">#REF!</definedName>
    <definedName name="AÇO_CA_50" localSheetId="8">#REF!</definedName>
    <definedName name="AÇO_CA_50" localSheetId="6">#REF!</definedName>
    <definedName name="aditivo" localSheetId="8">#REF!</definedName>
    <definedName name="aditivo" localSheetId="6">#REF!</definedName>
    <definedName name="AGREGADO" localSheetId="8">#REF!</definedName>
    <definedName name="AGREGADO" localSheetId="6">#REF!</definedName>
    <definedName name="AJ" localSheetId="8">#REF!</definedName>
    <definedName name="AJ" localSheetId="6">#REF!</definedName>
    <definedName name="AJA" localSheetId="8">#REF!</definedName>
    <definedName name="AJA" localSheetId="6">#REF!</definedName>
    <definedName name="Alvenaria_vedação" localSheetId="8">#REF!</definedName>
    <definedName name="Alvenaria_vedação" localSheetId="6">#REF!</definedName>
    <definedName name="AND" localSheetId="8">#REF!</definedName>
    <definedName name="AND" localSheetId="6">#REF!</definedName>
    <definedName name="ant" localSheetId="15" hidden="1">{#N/A,#N/A,FALSE,"MO (2)"}</definedName>
    <definedName name="ant" localSheetId="8" hidden="1">{#N/A,#N/A,FALSE,"MO (2)"}</definedName>
    <definedName name="ant" localSheetId="5" hidden="1">{#N/A,#N/A,FALSE,"MO (2)"}</definedName>
    <definedName name="ant" localSheetId="34" hidden="1">{#N/A,#N/A,FALSE,"MO (2)"}</definedName>
    <definedName name="ant" localSheetId="6" hidden="1">{#N/A,#N/A,FALSE,"MO (2)"}</definedName>
    <definedName name="ant" localSheetId="14" hidden="1">{#N/A,#N/A,FALSE,"MO (2)"}</definedName>
    <definedName name="ant" hidden="1">{#N/A,#N/A,FALSE,"MO (2)"}</definedName>
    <definedName name="ant_1" localSheetId="15" hidden="1">{#N/A,#N/A,FALSE,"MO (2)"}</definedName>
    <definedName name="ant_1" localSheetId="8" hidden="1">{#N/A,#N/A,FALSE,"MO (2)"}</definedName>
    <definedName name="ant_1" localSheetId="5" hidden="1">{#N/A,#N/A,FALSE,"MO (2)"}</definedName>
    <definedName name="ant_1" localSheetId="34" hidden="1">{#N/A,#N/A,FALSE,"MO (2)"}</definedName>
    <definedName name="ant_1" localSheetId="6" hidden="1">{#N/A,#N/A,FALSE,"MO (2)"}</definedName>
    <definedName name="ant_1" localSheetId="14" hidden="1">{#N/A,#N/A,FALSE,"MO (2)"}</definedName>
    <definedName name="ant_1" hidden="1">{#N/A,#N/A,FALSE,"MO (2)"}</definedName>
    <definedName name="area_base" localSheetId="8">#REF!</definedName>
    <definedName name="area_base" localSheetId="6">#REF!</definedName>
    <definedName name="_xlnm.Extract" localSheetId="8">#REF!</definedName>
    <definedName name="_xlnm.Extract" localSheetId="6">#REF!</definedName>
    <definedName name="_xlnm.Print_Area" localSheetId="16">'ACADEMIA DA 3 IDADE '!$B$2:$G$241</definedName>
    <definedName name="_xlnm.Print_Area" localSheetId="11">'BANCO DE DADOS JANEIRO-24 SERV'!$B$1:$E$7195</definedName>
    <definedName name="_xlnm.Print_Area" localSheetId="38">'BDI '!$C$4:$H$45</definedName>
    <definedName name="_xlnm.Print_Area" localSheetId="39">'BDI DIF'!$E$4:$J$41</definedName>
    <definedName name="_xlnm.Print_Area" localSheetId="2">CAPA!$A$1:$K$41</definedName>
    <definedName name="_xlnm.Print_Area" localSheetId="23">'COMP. ACAD CEF'!$B$2:$G$230</definedName>
    <definedName name="_xlnm.Print_Area" localSheetId="17">'COMP. ELETRICO '!$B$2:$G$147</definedName>
    <definedName name="_xlnm.Print_Area" localSheetId="15">'COMP. HIDRO '!$B$4:$G$82</definedName>
    <definedName name="_xlnm.Print_Area" localSheetId="20">'COMP. INC'!$B$5:$G$33</definedName>
    <definedName name="_xlnm.Print_Area" localSheetId="21">'COMP. IP'!$B$5:$G$741</definedName>
    <definedName name="_xlnm.Print_Area" localSheetId="19">'COMP. LOG'!$B$5:$G$902</definedName>
    <definedName name="_xlnm.Print_Area" localSheetId="22">'COMP. PAISAGISMO'!$B$2:$G$267</definedName>
    <definedName name="_xlnm.Print_Area" localSheetId="18">'COMP. SPDA '!$B$5:$G$58</definedName>
    <definedName name="_xlnm.Print_Area" localSheetId="9">'COMPOSIÇÃO CIVIL'!$B$2:$G$245</definedName>
    <definedName name="_xlnm.Print_Area" localSheetId="10">'COMPOSIÇÃO ESTRUTURAL'!$B$2:$G$48</definedName>
    <definedName name="_xlnm.Print_Area" localSheetId="37">CRONOGRAMA!$C$3:$AD$54</definedName>
    <definedName name="_xlnm.Print_Area" localSheetId="36">'CRONOGRAMA PLE'!$C$2:$AD$58</definedName>
    <definedName name="_xlnm.Print_Area" localSheetId="8">'CURVA ABC  '!$F$4:$P$86</definedName>
    <definedName name="_xlnm.Print_Area" localSheetId="1">'DECL. DE RESP.'!$B$2:$I$47</definedName>
    <definedName name="_xlnm.Print_Area" localSheetId="40">'ENCARGOS SOCIAIS'!$C$2:$H$48</definedName>
    <definedName name="_xlnm.Print_Area" localSheetId="5">'M.C PISO'!$C$2:$J$50</definedName>
    <definedName name="_xlnm.Print_Area" localSheetId="34">'M.C. FUNDAÇÃO'!$C$3:$K$82</definedName>
    <definedName name="_xlnm.Print_Area" localSheetId="6">'M.C. PINTURA INT'!$C$1:$K$53</definedName>
    <definedName name="_xlnm.Print_Area" localSheetId="35">'MEM. DE CALCULO'!$B$2:$F$72</definedName>
    <definedName name="_xlnm.Print_Area" localSheetId="27">MEMCALALV!$C$3:$J$34</definedName>
    <definedName name="_xlnm.Print_Area" localSheetId="30">MEMCALCOBERT!$C$3:$G$89</definedName>
    <definedName name="_xlnm.Print_Area" localSheetId="28">MEMCALESQ!$C$3:$J$48</definedName>
    <definedName name="_xlnm.Print_Area" localSheetId="31">MEMCALESTMET!$C$3:$H$125</definedName>
    <definedName name="_xlnm.Print_Area" localSheetId="26">MEMCALPINT!$C$3:$X$70</definedName>
    <definedName name="_xlnm.Print_Area" localSheetId="29">MEMCALPIS!$C$3:$G$78</definedName>
    <definedName name="_xlnm.Print_Area" localSheetId="32">MEMCALPLACAS!$C$3:$G$21</definedName>
    <definedName name="_xlnm.Print_Area" localSheetId="25">MEMCALRAS!$C$3:$J$48</definedName>
    <definedName name="_xlnm.Print_Area" localSheetId="33">MEMCALTRASP!$C$3:$H$50</definedName>
    <definedName name="_xlnm.Print_Area" localSheetId="14">Mobilização_Desmobilização!$B$1:$O$35</definedName>
    <definedName name="_xlnm.Print_Area" localSheetId="7">'ORÇAMENTO '!$F$4:$N$343</definedName>
    <definedName name="_xlnm.Print_Area" localSheetId="24">'PLAYGROUND '!$B$2:$G$114</definedName>
    <definedName name="_xlnm.Print_Area" localSheetId="0">QCI!$B$2:$F$15</definedName>
    <definedName name="_xlnm.Print_Area" localSheetId="3">RESUMO!$B$2:$I$55</definedName>
    <definedName name="AREA_IMPRI" localSheetId="8">#REF!</definedName>
    <definedName name="AREA_IMPRI" localSheetId="6">#REF!</definedName>
    <definedName name="area_sub_base" localSheetId="8">#REF!</definedName>
    <definedName name="area_sub_base" localSheetId="6">#REF!</definedName>
    <definedName name="as" localSheetId="15" hidden="1">{#N/A,#N/A,FALSE,"MO (2)"}</definedName>
    <definedName name="as" localSheetId="8" hidden="1">{#N/A,#N/A,FALSE,"MO (2)"}</definedName>
    <definedName name="as" localSheetId="34" hidden="1">{#N/A,#N/A,FALSE,"MO (2)"}</definedName>
    <definedName name="as" localSheetId="6" hidden="1">{#N/A,#N/A,FALSE,"MO (2)"}</definedName>
    <definedName name="as" hidden="1">{#N/A,#N/A,FALSE,"MO (2)"}</definedName>
    <definedName name="ASSEN_TUBO_EMISS" localSheetId="8">#REF!</definedName>
    <definedName name="ASSEN_TUBO_EMISS" localSheetId="6">#REF!</definedName>
    <definedName name="ASSEN_TUBO_EMISS2" localSheetId="8">#REF!</definedName>
    <definedName name="ASSEN_TUBO_EMISS2" localSheetId="6">#REF!</definedName>
    <definedName name="ASSENT_EMISS3_S" localSheetId="8">#REF!</definedName>
    <definedName name="ASSENT_EMISS3_S" localSheetId="6">#REF!</definedName>
    <definedName name="ASSENT_TUBO" localSheetId="8">#REF!</definedName>
    <definedName name="ASSENT_TUBO" localSheetId="6">#REF!</definedName>
    <definedName name="bacia16" localSheetId="8">#REF!</definedName>
    <definedName name="bacia16" localSheetId="6">#REF!</definedName>
    <definedName name="_xlnm.Database" localSheetId="8">#REF!</definedName>
    <definedName name="_xlnm.Database" localSheetId="6">#REF!</definedName>
    <definedName name="BDI" localSheetId="8">#REF!</definedName>
    <definedName name="BDI" localSheetId="6">#REF!</definedName>
    <definedName name="BL_ANC_EMISS3_S" localSheetId="8">#REF!</definedName>
    <definedName name="BL_ANC_EMISS3_S" localSheetId="6">#REF!</definedName>
    <definedName name="BL_ANCO_EMISS2" localSheetId="8">#REF!</definedName>
    <definedName name="BL_ANCO_EMISS2" localSheetId="6">#REF!</definedName>
    <definedName name="BLOCO_ANCOR_EMISS" localSheetId="8">#REF!</definedName>
    <definedName name="BLOCO_ANCOR_EMISS" localSheetId="6">#REF!</definedName>
    <definedName name="BONI" localSheetId="8">#REF!</definedName>
    <definedName name="BONI" localSheetId="6">#REF!</definedName>
    <definedName name="bueiro" localSheetId="15" hidden="1">{#N/A,#N/A,FALSE,"MO (2)"}</definedName>
    <definedName name="bueiro" localSheetId="8" hidden="1">{#N/A,#N/A,FALSE,"MO (2)"}</definedName>
    <definedName name="bueiro" localSheetId="34" hidden="1">{#N/A,#N/A,FALSE,"MO (2)"}</definedName>
    <definedName name="bueiro" localSheetId="6" hidden="1">{#N/A,#N/A,FALSE,"MO (2)"}</definedName>
    <definedName name="bueiro" hidden="1">{#N/A,#N/A,FALSE,"MO (2)"}</definedName>
    <definedName name="c.drena" localSheetId="8">#REF!</definedName>
    <definedName name="c.drena" localSheetId="6">#REF!</definedName>
    <definedName name="cab" localSheetId="8">#REF!</definedName>
    <definedName name="cab" localSheetId="6">#REF!</definedName>
    <definedName name="CAB_ATERRO" localSheetId="8">#REF!</definedName>
    <definedName name="CAB_ATERRO" localSheetId="6">#REF!</definedName>
    <definedName name="cab_cortes" localSheetId="8">#REF!</definedName>
    <definedName name="cab_cortes" localSheetId="6">#REF!</definedName>
    <definedName name="cab_dmt" localSheetId="8">#REF!</definedName>
    <definedName name="cab_dmt" localSheetId="6">#REF!</definedName>
    <definedName name="cab_limpeza" localSheetId="8">#REF!</definedName>
    <definedName name="cab_limpeza" localSheetId="6">#REF!</definedName>
    <definedName name="CAB_PLANO" localSheetId="8">#REF!</definedName>
    <definedName name="CAB_PLANO" localSheetId="6">#REF!</definedName>
    <definedName name="cab_pmf" localSheetId="8">#REF!</definedName>
    <definedName name="cab_pmf" localSheetId="6">#REF!</definedName>
    <definedName name="cabeca" localSheetId="8">#REF!</definedName>
    <definedName name="cabeca" localSheetId="6">#REF!</definedName>
    <definedName name="CABEÇA" localSheetId="8">#REF!</definedName>
    <definedName name="CABEÇA" localSheetId="6">#REF!</definedName>
    <definedName name="cabeca1" localSheetId="8">#REF!</definedName>
    <definedName name="cabeca1" localSheetId="6">#REF!</definedName>
    <definedName name="cabeçalho" localSheetId="8">#REF!</definedName>
    <definedName name="cabeçalho" localSheetId="6">#REF!</definedName>
    <definedName name="cabeçalho1" localSheetId="8">#REF!</definedName>
    <definedName name="cabeçalho1" localSheetId="6">#REF!</definedName>
    <definedName name="cabmeio" localSheetId="8">#REF!</definedName>
    <definedName name="cabmeio" localSheetId="6">#REF!</definedName>
    <definedName name="CAD_EMISS3_S" localSheetId="8">#REF!</definedName>
    <definedName name="CAD_EMISS3_S" localSheetId="6">#REF!</definedName>
    <definedName name="CADASTRO" localSheetId="8">#REF!</definedName>
    <definedName name="CADASTRO" localSheetId="6">#REF!</definedName>
    <definedName name="CADASTRO_EMISS" localSheetId="8">#REF!</definedName>
    <definedName name="CADASTRO_EMISS" localSheetId="6">#REF!</definedName>
    <definedName name="CADASTRO_EMISS2" localSheetId="8">#REF!</definedName>
    <definedName name="CADASTRO_EMISS2" localSheetId="6">#REF!</definedName>
    <definedName name="CADASTRO_REDE_COL" localSheetId="8">#REF!</definedName>
    <definedName name="CADASTRO_REDE_COL" localSheetId="6">#REF!</definedName>
    <definedName name="CAIXAS" localSheetId="8">#REF!</definedName>
    <definedName name="CAIXAS" localSheetId="6">#REF!</definedName>
    <definedName name="CAIXAS_EMISS3_S" localSheetId="8">#REF!</definedName>
    <definedName name="CAIXAS_EMISS3_S" localSheetId="6">#REF!</definedName>
    <definedName name="Camada_brita" localSheetId="8">#REF!</definedName>
    <definedName name="Camada_brita" localSheetId="6">#REF!</definedName>
    <definedName name="Camada_impermeabilizadora" localSheetId="8">#REF!</definedName>
    <definedName name="Camada_impermeabilizadora" localSheetId="6">#REF!</definedName>
    <definedName name="CAMPANARIO" localSheetId="8">#REF!</definedName>
    <definedName name="CAMPANARIO" localSheetId="6">#REF!</definedName>
    <definedName name="CANTEIRO_OBRAS" localSheetId="8">#REF!</definedName>
    <definedName name="CANTEIRO_OBRAS" localSheetId="6">#REF!</definedName>
    <definedName name="cap_20" localSheetId="8">#REF!</definedName>
    <definedName name="cap_20" localSheetId="6">#REF!</definedName>
    <definedName name="cbuq" localSheetId="8">#REF!</definedName>
    <definedName name="cbuq" localSheetId="6">#REF!</definedName>
    <definedName name="cesar" localSheetId="8">#REF!</definedName>
    <definedName name="cesar" localSheetId="6">#REF!</definedName>
    <definedName name="Chapisco" localSheetId="8">#REF!</definedName>
    <definedName name="Chapisco" localSheetId="6">#REF!</definedName>
    <definedName name="CM_30" localSheetId="8">#REF!</definedName>
    <definedName name="CM_30" localSheetId="6">#REF!</definedName>
    <definedName name="Cobertura" localSheetId="8">#REF!</definedName>
    <definedName name="Cobertura" localSheetId="6">#REF!</definedName>
    <definedName name="Cobertura_canal" localSheetId="8">#REF!</definedName>
    <definedName name="Cobertura_canal" localSheetId="6">#REF!</definedName>
    <definedName name="Colchão" localSheetId="8">#REF!</definedName>
    <definedName name="Colchão" localSheetId="6">#REF!</definedName>
    <definedName name="Conser" localSheetId="8">#REF!</definedName>
    <definedName name="Conser" localSheetId="6">#REF!</definedName>
    <definedName name="conserva" localSheetId="8">#REF!</definedName>
    <definedName name="conserva" localSheetId="6">#REF!</definedName>
    <definedName name="cont" localSheetId="8">#REF!</definedName>
    <definedName name="cont" localSheetId="6">#REF!</definedName>
    <definedName name="CONT_CANTEIRO" localSheetId="8">#REF!</definedName>
    <definedName name="CONT_CANTEIRO" localSheetId="6">#REF!</definedName>
    <definedName name="contrapartida" localSheetId="8">#REF!</definedName>
    <definedName name="contrapartida" localSheetId="6">#REF!</definedName>
    <definedName name="CONTRATO" localSheetId="8">#REF!</definedName>
    <definedName name="cp.100" localSheetId="8">#REF!</definedName>
    <definedName name="cp.100" localSheetId="6">#REF!</definedName>
    <definedName name="cp.95" localSheetId="8">#REF!</definedName>
    <definedName name="cp.95" localSheetId="6">#REF!</definedName>
    <definedName name="_xlnm.Criteria" localSheetId="8">#REF!</definedName>
    <definedName name="_xlnm.Criteria" localSheetId="6">#REF!</definedName>
    <definedName name="Cron" localSheetId="15" hidden="1">{#N/A,#N/A,FALSE,"MO (2)"}</definedName>
    <definedName name="Cron" localSheetId="8" hidden="1">{#N/A,#N/A,FALSE,"MO (2)"}</definedName>
    <definedName name="Cron" localSheetId="5" hidden="1">{#N/A,#N/A,FALSE,"MO (2)"}</definedName>
    <definedName name="Cron" localSheetId="34" hidden="1">{#N/A,#N/A,FALSE,"MO (2)"}</definedName>
    <definedName name="Cron" localSheetId="6" hidden="1">{#N/A,#N/A,FALSE,"MO (2)"}</definedName>
    <definedName name="Cron" localSheetId="14" hidden="1">{#N/A,#N/A,FALSE,"MO (2)"}</definedName>
    <definedName name="Cron" hidden="1">{#N/A,#N/A,FALSE,"MO (2)"}</definedName>
    <definedName name="Cron_1" localSheetId="15" hidden="1">{#N/A,#N/A,FALSE,"MO (2)"}</definedName>
    <definedName name="Cron_1" localSheetId="8" hidden="1">{#N/A,#N/A,FALSE,"MO (2)"}</definedName>
    <definedName name="Cron_1" localSheetId="5" hidden="1">{#N/A,#N/A,FALSE,"MO (2)"}</definedName>
    <definedName name="Cron_1" localSheetId="34" hidden="1">{#N/A,#N/A,FALSE,"MO (2)"}</definedName>
    <definedName name="Cron_1" localSheetId="6" hidden="1">{#N/A,#N/A,FALSE,"MO (2)"}</definedName>
    <definedName name="Cron_1" localSheetId="14" hidden="1">{#N/A,#N/A,FALSE,"MO (2)"}</definedName>
    <definedName name="Cron_1" hidden="1">{#N/A,#N/A,FALSE,"MO (2)"}</definedName>
    <definedName name="crona" localSheetId="8">#REF!</definedName>
    <definedName name="crona" localSheetId="6">#REF!</definedName>
    <definedName name="CUBAÇÃO" localSheetId="8">#REF!</definedName>
    <definedName name="CUBAÇÃO" localSheetId="6">#REF!</definedName>
    <definedName name="cx.01" localSheetId="8">#REF!</definedName>
    <definedName name="cx.01" localSheetId="6">#REF!</definedName>
    <definedName name="cx_coletora" localSheetId="8">#REF!</definedName>
    <definedName name="cx_coletora" localSheetId="6">#REF!</definedName>
    <definedName name="DAS" localSheetId="15" hidden="1">{#N/A,#N/A,FALSE,"MO (2)"}</definedName>
    <definedName name="DAS" localSheetId="8" hidden="1">{#N/A,#N/A,FALSE,"MO (2)"}</definedName>
    <definedName name="DAS" localSheetId="5" hidden="1">{#N/A,#N/A,FALSE,"MO (2)"}</definedName>
    <definedName name="DAS" localSheetId="34" hidden="1">{#N/A,#N/A,FALSE,"MO (2)"}</definedName>
    <definedName name="DAS" localSheetId="6" hidden="1">{#N/A,#N/A,FALSE,"MO (2)"}</definedName>
    <definedName name="DAS" localSheetId="14" hidden="1">{#N/A,#N/A,FALSE,"MO (2)"}</definedName>
    <definedName name="DAS" hidden="1">{#N/A,#N/A,FALSE,"MO (2)"}</definedName>
    <definedName name="DAS_1" localSheetId="15" hidden="1">{#N/A,#N/A,FALSE,"MO (2)"}</definedName>
    <definedName name="DAS_1" localSheetId="8" hidden="1">{#N/A,#N/A,FALSE,"MO (2)"}</definedName>
    <definedName name="DAS_1" localSheetId="5" hidden="1">{#N/A,#N/A,FALSE,"MO (2)"}</definedName>
    <definedName name="DAS_1" localSheetId="34" hidden="1">{#N/A,#N/A,FALSE,"MO (2)"}</definedName>
    <definedName name="DAS_1" localSheetId="6" hidden="1">{#N/A,#N/A,FALSE,"MO (2)"}</definedName>
    <definedName name="DAS_1" localSheetId="14" hidden="1">{#N/A,#N/A,FALSE,"MO (2)"}</definedName>
    <definedName name="DAS_1" hidden="1">{#N/A,#N/A,FALSE,"MO (2)"}</definedName>
    <definedName name="DATA" localSheetId="8">#REF!</definedName>
    <definedName name="DATA" localSheetId="6">#REF!</definedName>
    <definedName name="data1" localSheetId="8">#REF!</definedName>
    <definedName name="data1" localSheetId="6">#REF!</definedName>
    <definedName name="DATA2" localSheetId="8">#REF!</definedName>
    <definedName name="DATA2" localSheetId="6">#REF!</definedName>
    <definedName name="DATA3" localSheetId="8">#REF!</definedName>
    <definedName name="DATA3" localSheetId="6">#REF!</definedName>
    <definedName name="DDDDE" localSheetId="15" hidden="1">{#N/A,#N/A,FALSE,"MO (2)"}</definedName>
    <definedName name="DDDDE" localSheetId="8" hidden="1">{#N/A,#N/A,FALSE,"MO (2)"}</definedName>
    <definedName name="DDDDE" localSheetId="5" hidden="1">{#N/A,#N/A,FALSE,"MO (2)"}</definedName>
    <definedName name="DDDDE" localSheetId="34" hidden="1">{#N/A,#N/A,FALSE,"MO (2)"}</definedName>
    <definedName name="DDDDE" localSheetId="6" hidden="1">{#N/A,#N/A,FALSE,"MO (2)"}</definedName>
    <definedName name="DDDDE" localSheetId="14" hidden="1">{#N/A,#N/A,FALSE,"MO (2)"}</definedName>
    <definedName name="DDDDE" hidden="1">{#N/A,#N/A,FALSE,"MO (2)"}</definedName>
    <definedName name="DDDDE_1" localSheetId="15" hidden="1">{#N/A,#N/A,FALSE,"MO (2)"}</definedName>
    <definedName name="DDDDE_1" localSheetId="8" hidden="1">{#N/A,#N/A,FALSE,"MO (2)"}</definedName>
    <definedName name="DDDDE_1" localSheetId="5" hidden="1">{#N/A,#N/A,FALSE,"MO (2)"}</definedName>
    <definedName name="DDDDE_1" localSheetId="34" hidden="1">{#N/A,#N/A,FALSE,"MO (2)"}</definedName>
    <definedName name="DDDDE_1" localSheetId="6" hidden="1">{#N/A,#N/A,FALSE,"MO (2)"}</definedName>
    <definedName name="DDDDE_1" localSheetId="14" hidden="1">{#N/A,#N/A,FALSE,"MO (2)"}</definedName>
    <definedName name="DDDDE_1" hidden="1">{#N/A,#N/A,FALSE,"MO (2)"}</definedName>
    <definedName name="ddlc" localSheetId="8">#REF!</definedName>
    <definedName name="ddlc" localSheetId="6">#REF!</definedName>
    <definedName name="defensas" localSheetId="8">#REF!</definedName>
    <definedName name="defensas" localSheetId="6">#REF!</definedName>
    <definedName name="densidade_cap" localSheetId="8">#REF!</definedName>
    <definedName name="densidade_cap" localSheetId="6">#REF!</definedName>
    <definedName name="DESAP" localSheetId="8">#REF!</definedName>
    <definedName name="DESAP" localSheetId="6">#REF!</definedName>
    <definedName name="descida1" localSheetId="8">#REF!</definedName>
    <definedName name="descida1" localSheetId="6">#REF!</definedName>
    <definedName name="descida2" localSheetId="8">#REF!</definedName>
    <definedName name="descida2" localSheetId="6">#REF!</definedName>
    <definedName name="DIESEL" localSheetId="8">#REF!</definedName>
    <definedName name="DIESEL" localSheetId="6">#REF!</definedName>
    <definedName name="DMT_0_50" localSheetId="8">#REF!</definedName>
    <definedName name="DMT_0_50" localSheetId="6">#REF!</definedName>
    <definedName name="dmt_1000" localSheetId="8">#REF!</definedName>
    <definedName name="dmt_1000" localSheetId="6">#REF!</definedName>
    <definedName name="dmt_1200" localSheetId="8">#REF!</definedName>
    <definedName name="dmt_1200" localSheetId="6">#REF!</definedName>
    <definedName name="dmt_1400" localSheetId="8">#REF!</definedName>
    <definedName name="dmt_1400" localSheetId="6">#REF!</definedName>
    <definedName name="dmt_200" localSheetId="8">#REF!</definedName>
    <definedName name="dmt_200" localSheetId="6">#REF!</definedName>
    <definedName name="DMT_200_400" localSheetId="8">#REF!</definedName>
    <definedName name="DMT_200_400" localSheetId="6">#REF!</definedName>
    <definedName name="dmt_400" localSheetId="8">#REF!</definedName>
    <definedName name="dmt_400" localSheetId="6">#REF!</definedName>
    <definedName name="DMT_400_600" localSheetId="8">#REF!</definedName>
    <definedName name="DMT_400_600" localSheetId="6">#REF!</definedName>
    <definedName name="dmt_50" localSheetId="8">#REF!</definedName>
    <definedName name="dmt_50" localSheetId="6">#REF!</definedName>
    <definedName name="DMT_50_200" localSheetId="8">#REF!</definedName>
    <definedName name="DMT_50_200" localSheetId="6">#REF!</definedName>
    <definedName name="dmt_600" localSheetId="8">#REF!</definedName>
    <definedName name="dmt_600" localSheetId="6">#REF!</definedName>
    <definedName name="dmt_800" localSheetId="8">#REF!</definedName>
    <definedName name="dmt_800" localSheetId="6">#REF!</definedName>
    <definedName name="dren" localSheetId="8">#REF!</definedName>
    <definedName name="dren" localSheetId="6">#REF!</definedName>
    <definedName name="drena" localSheetId="8">#REF!</definedName>
    <definedName name="drena" localSheetId="6">#REF!</definedName>
    <definedName name="Drena2" localSheetId="8">#REF!</definedName>
    <definedName name="Drena2" localSheetId="6">#REF!</definedName>
    <definedName name="DRF" localSheetId="8">#REF!</definedName>
    <definedName name="DRF" localSheetId="6">#REF!</definedName>
    <definedName name="edefegeh" localSheetId="15" hidden="1">{#N/A,#N/A,FALSE,"MO (2)"}</definedName>
    <definedName name="edefegeh" localSheetId="8" hidden="1">{#N/A,#N/A,FALSE,"MO (2)"}</definedName>
    <definedName name="edefegeh" localSheetId="5" hidden="1">{#N/A,#N/A,FALSE,"MO (2)"}</definedName>
    <definedName name="edefegeh" localSheetId="34" hidden="1">{#N/A,#N/A,FALSE,"MO (2)"}</definedName>
    <definedName name="edefegeh" localSheetId="6" hidden="1">{#N/A,#N/A,FALSE,"MO (2)"}</definedName>
    <definedName name="edefegeh" localSheetId="14" hidden="1">{#N/A,#N/A,FALSE,"MO (2)"}</definedName>
    <definedName name="edefegeh" hidden="1">{#N/A,#N/A,FALSE,"MO (2)"}</definedName>
    <definedName name="edefegeh_1" localSheetId="15" hidden="1">{#N/A,#N/A,FALSE,"MO (2)"}</definedName>
    <definedName name="edefegeh_1" localSheetId="8" hidden="1">{#N/A,#N/A,FALSE,"MO (2)"}</definedName>
    <definedName name="edefegeh_1" localSheetId="5" hidden="1">{#N/A,#N/A,FALSE,"MO (2)"}</definedName>
    <definedName name="edefegeh_1" localSheetId="34" hidden="1">{#N/A,#N/A,FALSE,"MO (2)"}</definedName>
    <definedName name="edefegeh_1" localSheetId="6" hidden="1">{#N/A,#N/A,FALSE,"MO (2)"}</definedName>
    <definedName name="edefegeh_1" localSheetId="14" hidden="1">{#N/A,#N/A,FALSE,"MO (2)"}</definedName>
    <definedName name="edefegeh_1" hidden="1">{#N/A,#N/A,FALSE,"MO (2)"}</definedName>
    <definedName name="edit" localSheetId="8">#REF!</definedName>
    <definedName name="edit" localSheetId="6">#REF!</definedName>
    <definedName name="edita" localSheetId="8">#REF!</definedName>
    <definedName name="edita" localSheetId="6">#REF!</definedName>
    <definedName name="EDITA1" localSheetId="8">#REF!</definedName>
    <definedName name="EDITA1" localSheetId="6">#REF!</definedName>
    <definedName name="EDITA2" localSheetId="8">#REF!</definedName>
    <definedName name="EDITA2" localSheetId="6">#REF!</definedName>
    <definedName name="EDITAL" localSheetId="8">#REF!</definedName>
    <definedName name="EDITAL" localSheetId="6">#REF!</definedName>
    <definedName name="EDITAL2" localSheetId="8">#REF!</definedName>
    <definedName name="EDITAL2" localSheetId="6">#REF!</definedName>
    <definedName name="EDITALA" localSheetId="8">#REF!</definedName>
    <definedName name="EDITALA" localSheetId="6">#REF!</definedName>
    <definedName name="EE1_MAT" localSheetId="8">#REF!</definedName>
    <definedName name="EE1_MAT" localSheetId="6">#REF!</definedName>
    <definedName name="EE1_SERV" localSheetId="8">#REF!</definedName>
    <definedName name="EE1_SERV" localSheetId="6">#REF!</definedName>
    <definedName name="EE2_MAT" localSheetId="8">#REF!</definedName>
    <definedName name="EE2_MAT" localSheetId="6">#REF!</definedName>
    <definedName name="EE2_SERV" localSheetId="8">#REF!</definedName>
    <definedName name="EE2_SERV" localSheetId="6">#REF!</definedName>
    <definedName name="EE3_MAT" localSheetId="8">#REF!</definedName>
    <definedName name="EE3_MAT" localSheetId="6">#REF!</definedName>
    <definedName name="EE3_SERV" localSheetId="8">#REF!</definedName>
    <definedName name="EE3_SERV" localSheetId="6">#REF!</definedName>
    <definedName name="Elemento_vazado" localSheetId="8">#REF!</definedName>
    <definedName name="Elemento_vazado" localSheetId="6">#REF!</definedName>
    <definedName name="ELIAS" localSheetId="8">#REF!</definedName>
    <definedName name="ELIAS" localSheetId="6">#REF!</definedName>
    <definedName name="EMISS_1_MAT" localSheetId="8">#REF!</definedName>
    <definedName name="EMISS_1_MAT" localSheetId="6">#REF!</definedName>
    <definedName name="EMISS_1_SERV" localSheetId="8">#REF!</definedName>
    <definedName name="EMISS_1_SERV" localSheetId="6">#REF!</definedName>
    <definedName name="EMISS_2_MAT" localSheetId="8">#REF!</definedName>
    <definedName name="EMISS_2_MAT" localSheetId="6">#REF!</definedName>
    <definedName name="EMISS_2_SERV" localSheetId="8">#REF!</definedName>
    <definedName name="EMISS_2_SERV" localSheetId="6">#REF!</definedName>
    <definedName name="EMISS_3_MAT" localSheetId="8">#REF!</definedName>
    <definedName name="EMISS_3_MAT" localSheetId="6">#REF!</definedName>
    <definedName name="EMISS_3_SERV" localSheetId="8">#REF!</definedName>
    <definedName name="EMISS_3_SERV" localSheetId="6">#REF!</definedName>
    <definedName name="Empo" localSheetId="8">#REF!</definedName>
    <definedName name="Empo" localSheetId="6">#REF!</definedName>
    <definedName name="empo2" localSheetId="8">#REF!</definedName>
    <definedName name="empo2" localSheetId="6">#REF!</definedName>
    <definedName name="Empola2" localSheetId="8">#REF!</definedName>
    <definedName name="Empola2" localSheetId="6">#REF!</definedName>
    <definedName name="Empolamento" localSheetId="8">#REF!</definedName>
    <definedName name="Empolamento" localSheetId="6">#REF!</definedName>
    <definedName name="Empolo2" localSheetId="8">#REF!</definedName>
    <definedName name="Empolo2" localSheetId="6">#REF!</definedName>
    <definedName name="empolo3" localSheetId="8">#REF!</definedName>
    <definedName name="empolo3" localSheetId="6">#REF!</definedName>
    <definedName name="ENCP" localSheetId="8">#REF!</definedName>
    <definedName name="ENCP" localSheetId="6">#REF!</definedName>
    <definedName name="ENCPA" localSheetId="8">#REF!</definedName>
    <definedName name="ENCPA" localSheetId="6">#REF!</definedName>
    <definedName name="ENCT" localSheetId="8">#REF!</definedName>
    <definedName name="ENCT" localSheetId="6">#REF!</definedName>
    <definedName name="ENCTA" localSheetId="8">#REF!</definedName>
    <definedName name="ENCTA" localSheetId="6">#REF!</definedName>
    <definedName name="eng." localSheetId="15" hidden="1">{#N/A,#N/A,FALSE,"MO (2)"}</definedName>
    <definedName name="eng." localSheetId="8" hidden="1">{#N/A,#N/A,FALSE,"MO (2)"}</definedName>
    <definedName name="eng." localSheetId="5" hidden="1">{#N/A,#N/A,FALSE,"MO (2)"}</definedName>
    <definedName name="eng." localSheetId="34" hidden="1">{#N/A,#N/A,FALSE,"MO (2)"}</definedName>
    <definedName name="eng." localSheetId="6" hidden="1">{#N/A,#N/A,FALSE,"MO (2)"}</definedName>
    <definedName name="eng." localSheetId="14" hidden="1">{#N/A,#N/A,FALSE,"MO (2)"}</definedName>
    <definedName name="eng." hidden="1">{#N/A,#N/A,FALSE,"MO (2)"}</definedName>
    <definedName name="eng._1" localSheetId="15" hidden="1">{#N/A,#N/A,FALSE,"MO (2)"}</definedName>
    <definedName name="eng._1" localSheetId="8" hidden="1">{#N/A,#N/A,FALSE,"MO (2)"}</definedName>
    <definedName name="eng._1" localSheetId="5" hidden="1">{#N/A,#N/A,FALSE,"MO (2)"}</definedName>
    <definedName name="eng._1" localSheetId="34" hidden="1">{#N/A,#N/A,FALSE,"MO (2)"}</definedName>
    <definedName name="eng._1" localSheetId="6" hidden="1">{#N/A,#N/A,FALSE,"MO (2)"}</definedName>
    <definedName name="eng._1" localSheetId="14" hidden="1">{#N/A,#N/A,FALSE,"MO (2)"}</definedName>
    <definedName name="eng._1" hidden="1">{#N/A,#N/A,FALSE,"MO (2)"}</definedName>
    <definedName name="ENGENHARIA" localSheetId="15" hidden="1">{#N/A,#N/A,FALSE,"MO (2)"}</definedName>
    <definedName name="ENGENHARIA" localSheetId="8" hidden="1">{#N/A,#N/A,FALSE,"MO (2)"}</definedName>
    <definedName name="ENGENHARIA" localSheetId="5" hidden="1">{#N/A,#N/A,FALSE,"MO (2)"}</definedName>
    <definedName name="ENGENHARIA" localSheetId="34" hidden="1">{#N/A,#N/A,FALSE,"MO (2)"}</definedName>
    <definedName name="ENGENHARIA" localSheetId="6" hidden="1">{#N/A,#N/A,FALSE,"MO (2)"}</definedName>
    <definedName name="ENGENHARIA" localSheetId="14" hidden="1">{#N/A,#N/A,FALSE,"MO (2)"}</definedName>
    <definedName name="ENGENHARIA" hidden="1">{#N/A,#N/A,FALSE,"MO (2)"}</definedName>
    <definedName name="ENGENHARIA_1" localSheetId="15" hidden="1">{#N/A,#N/A,FALSE,"MO (2)"}</definedName>
    <definedName name="ENGENHARIA_1" localSheetId="8" hidden="1">{#N/A,#N/A,FALSE,"MO (2)"}</definedName>
    <definedName name="ENGENHARIA_1" localSheetId="5" hidden="1">{#N/A,#N/A,FALSE,"MO (2)"}</definedName>
    <definedName name="ENGENHARIA_1" localSheetId="34" hidden="1">{#N/A,#N/A,FALSE,"MO (2)"}</definedName>
    <definedName name="ENGENHARIA_1" localSheetId="6" hidden="1">{#N/A,#N/A,FALSE,"MO (2)"}</definedName>
    <definedName name="ENGENHARIA_1" localSheetId="14" hidden="1">{#N/A,#N/A,FALSE,"MO (2)"}</definedName>
    <definedName name="ENGENHARIA_1" hidden="1">{#N/A,#N/A,FALSE,"MO (2)"}</definedName>
    <definedName name="entrada1" localSheetId="8">#REF!</definedName>
    <definedName name="entrada1" localSheetId="6">#REF!</definedName>
    <definedName name="entrada2" localSheetId="8">#REF!</definedName>
    <definedName name="entrada2" localSheetId="6">#REF!</definedName>
    <definedName name="ESC" localSheetId="8">#REF!</definedName>
    <definedName name="ESC" localSheetId="6">#REF!</definedName>
    <definedName name="ESC_EMISS3_S" localSheetId="8">#REF!</definedName>
    <definedName name="ESC_EMISS3_S" localSheetId="6">#REF!</definedName>
    <definedName name="Escavação" localSheetId="8">#REF!</definedName>
    <definedName name="Escavação" localSheetId="6">#REF!</definedName>
    <definedName name="escavmec" localSheetId="8">#REF!</definedName>
    <definedName name="escavmec" localSheetId="6">#REF!</definedName>
    <definedName name="ESCORAMENTO" localSheetId="8">#REF!</definedName>
    <definedName name="ESCORAMENTO" localSheetId="6">#REF!</definedName>
    <definedName name="ESGOT_EMISS3_S" localSheetId="8">#REF!</definedName>
    <definedName name="ESGOT_EMISS3_S" localSheetId="6">#REF!</definedName>
    <definedName name="ESGOTAMENTO" localSheetId="8">#REF!</definedName>
    <definedName name="ESGOTAMENTO" localSheetId="6">#REF!</definedName>
    <definedName name="Esquadrias" localSheetId="8">#REF!</definedName>
    <definedName name="Esquadrias" localSheetId="6">#REF!</definedName>
    <definedName name="EU" localSheetId="15" hidden="1">{#N/A,#N/A,FALSE,"MO (2)"}</definedName>
    <definedName name="EU" localSheetId="8" hidden="1">{#N/A,#N/A,FALSE,"MO (2)"}</definedName>
    <definedName name="EU" localSheetId="5" hidden="1">{#N/A,#N/A,FALSE,"MO (2)"}</definedName>
    <definedName name="EU" localSheetId="34" hidden="1">{#N/A,#N/A,FALSE,"MO (2)"}</definedName>
    <definedName name="EU" localSheetId="6" hidden="1">{#N/A,#N/A,FALSE,"MO (2)"}</definedName>
    <definedName name="EU" localSheetId="14" hidden="1">{#N/A,#N/A,FALSE,"MO (2)"}</definedName>
    <definedName name="EU" hidden="1">{#N/A,#N/A,FALSE,"MO (2)"}</definedName>
    <definedName name="EU_1" localSheetId="15" hidden="1">{#N/A,#N/A,FALSE,"MO (2)"}</definedName>
    <definedName name="EU_1" localSheetId="8" hidden="1">{#N/A,#N/A,FALSE,"MO (2)"}</definedName>
    <definedName name="EU_1" localSheetId="5" hidden="1">{#N/A,#N/A,FALSE,"MO (2)"}</definedName>
    <definedName name="EU_1" localSheetId="34" hidden="1">{#N/A,#N/A,FALSE,"MO (2)"}</definedName>
    <definedName name="EU_1" localSheetId="6" hidden="1">{#N/A,#N/A,FALSE,"MO (2)"}</definedName>
    <definedName name="EU_1" localSheetId="14" hidden="1">{#N/A,#N/A,FALSE,"MO (2)"}</definedName>
    <definedName name="EU_1" hidden="1">{#N/A,#N/A,FALSE,"MO (2)"}</definedName>
    <definedName name="EXER" localSheetId="8">#REF!</definedName>
    <definedName name="EXER" localSheetId="6">#REF!</definedName>
    <definedName name="EXPU" localSheetId="8">#REF!</definedName>
    <definedName name="EXPU" localSheetId="6">#REF!</definedName>
    <definedName name="EXT" localSheetId="8">#REF!</definedName>
    <definedName name="EXT" localSheetId="6">#REF!</definedName>
    <definedName name="EXTA" localSheetId="8">#REF!</definedName>
    <definedName name="EXTA" localSheetId="6">#REF!</definedName>
    <definedName name="EXTENSÃO1" localSheetId="8">#REF!</definedName>
    <definedName name="EXTENSÃO1" localSheetId="6">#REF!</definedName>
    <definedName name="F_01_120" localSheetId="8">#REF!</definedName>
    <definedName name="F_01_120" localSheetId="6">#REF!</definedName>
    <definedName name="F_01_150" localSheetId="8">#REF!</definedName>
    <definedName name="F_01_150" localSheetId="6">#REF!</definedName>
    <definedName name="F_01_180" localSheetId="8">#REF!</definedName>
    <definedName name="F_01_180" localSheetId="6">#REF!</definedName>
    <definedName name="F_01_210" localSheetId="8">#REF!</definedName>
    <definedName name="F_01_210" localSheetId="6">#REF!</definedName>
    <definedName name="F_01_240" localSheetId="8">#REF!</definedName>
    <definedName name="F_01_240" localSheetId="6">#REF!</definedName>
    <definedName name="F_01_270" localSheetId="8">#REF!</definedName>
    <definedName name="F_01_270" localSheetId="6">#REF!</definedName>
    <definedName name="F_01_30" localSheetId="8">#REF!</definedName>
    <definedName name="F_01_30" localSheetId="6">#REF!</definedName>
    <definedName name="F_01_300" localSheetId="8">#REF!</definedName>
    <definedName name="F_01_300" localSheetId="6">#REF!</definedName>
    <definedName name="F_01_330" localSheetId="8">#REF!</definedName>
    <definedName name="F_01_330" localSheetId="6">#REF!</definedName>
    <definedName name="F_01_360" localSheetId="8">#REF!</definedName>
    <definedName name="F_01_360" localSheetId="6">#REF!</definedName>
    <definedName name="F_01_390" localSheetId="8">#REF!</definedName>
    <definedName name="F_01_390" localSheetId="6">#REF!</definedName>
    <definedName name="F_01_420" localSheetId="8">#REF!</definedName>
    <definedName name="F_01_420" localSheetId="6">#REF!</definedName>
    <definedName name="F_01_450" localSheetId="8">#REF!</definedName>
    <definedName name="F_01_450" localSheetId="6">#REF!</definedName>
    <definedName name="F_01_480" localSheetId="8">#REF!</definedName>
    <definedName name="F_01_480" localSheetId="6">#REF!</definedName>
    <definedName name="F_01_510" localSheetId="8">#REF!</definedName>
    <definedName name="F_01_510" localSheetId="6">#REF!</definedName>
    <definedName name="F_01_540" localSheetId="8">#REF!</definedName>
    <definedName name="F_01_540" localSheetId="6">#REF!</definedName>
    <definedName name="F_01_570" localSheetId="8">#REF!</definedName>
    <definedName name="F_01_570" localSheetId="6">#REF!</definedName>
    <definedName name="F_01_60" localSheetId="8">#REF!</definedName>
    <definedName name="F_01_60" localSheetId="6">#REF!</definedName>
    <definedName name="F_01_600" localSheetId="8">#REF!</definedName>
    <definedName name="F_01_600" localSheetId="6">#REF!</definedName>
    <definedName name="F_01_630" localSheetId="8">#REF!</definedName>
    <definedName name="F_01_630" localSheetId="6">#REF!</definedName>
    <definedName name="F_01_660" localSheetId="8">#REF!</definedName>
    <definedName name="F_01_660" localSheetId="6">#REF!</definedName>
    <definedName name="F_01_690" localSheetId="8">#REF!</definedName>
    <definedName name="F_01_690" localSheetId="6">#REF!</definedName>
    <definedName name="F_01_720" localSheetId="8">#REF!</definedName>
    <definedName name="F_01_720" localSheetId="6">#REF!</definedName>
    <definedName name="F_01_90" localSheetId="8">#REF!</definedName>
    <definedName name="F_01_90" localSheetId="6">#REF!</definedName>
    <definedName name="F_02_120" localSheetId="8">#REF!</definedName>
    <definedName name="F_02_120" localSheetId="6">#REF!</definedName>
    <definedName name="F_02_150" localSheetId="8">#REF!</definedName>
    <definedName name="F_02_150" localSheetId="6">#REF!</definedName>
    <definedName name="F_02_180" localSheetId="8">#REF!</definedName>
    <definedName name="F_02_180" localSheetId="6">#REF!</definedName>
    <definedName name="F_02_210" localSheetId="8">#REF!</definedName>
    <definedName name="F_02_210" localSheetId="6">#REF!</definedName>
    <definedName name="F_02_240" localSheetId="8">#REF!</definedName>
    <definedName name="F_02_240" localSheetId="6">#REF!</definedName>
    <definedName name="F_02_270" localSheetId="8">#REF!</definedName>
    <definedName name="F_02_270" localSheetId="6">#REF!</definedName>
    <definedName name="F_02_30" localSheetId="8">#REF!</definedName>
    <definedName name="F_02_30" localSheetId="6">#REF!</definedName>
    <definedName name="F_02_300" localSheetId="8">#REF!</definedName>
    <definedName name="F_02_300" localSheetId="6">#REF!</definedName>
    <definedName name="F_02_330" localSheetId="8">#REF!</definedName>
    <definedName name="F_02_330" localSheetId="6">#REF!</definedName>
    <definedName name="F_02_360" localSheetId="8">#REF!</definedName>
    <definedName name="F_02_360" localSheetId="6">#REF!</definedName>
    <definedName name="F_02_390" localSheetId="8">#REF!</definedName>
    <definedName name="F_02_390" localSheetId="6">#REF!</definedName>
    <definedName name="F_02_420" localSheetId="8">#REF!</definedName>
    <definedName name="F_02_420" localSheetId="6">#REF!</definedName>
    <definedName name="F_02_450" localSheetId="8">#REF!</definedName>
    <definedName name="F_02_450" localSheetId="6">#REF!</definedName>
    <definedName name="F_02_480" localSheetId="8">#REF!</definedName>
    <definedName name="F_02_480" localSheetId="6">#REF!</definedName>
    <definedName name="F_02_510" localSheetId="8">#REF!</definedName>
    <definedName name="F_02_510" localSheetId="6">#REF!</definedName>
    <definedName name="F_02_540" localSheetId="8">#REF!</definedName>
    <definedName name="F_02_540" localSheetId="6">#REF!</definedName>
    <definedName name="F_02_570" localSheetId="8">#REF!</definedName>
    <definedName name="F_02_570" localSheetId="6">#REF!</definedName>
    <definedName name="F_02_60" localSheetId="8">#REF!</definedName>
    <definedName name="F_02_60" localSheetId="6">#REF!</definedName>
    <definedName name="F_02_600" localSheetId="8">#REF!</definedName>
    <definedName name="F_02_600" localSheetId="6">#REF!</definedName>
    <definedName name="F_02_630" localSheetId="8">#REF!</definedName>
    <definedName name="F_02_630" localSheetId="6">#REF!</definedName>
    <definedName name="F_02_660" localSheetId="8">#REF!</definedName>
    <definedName name="F_02_660" localSheetId="6">#REF!</definedName>
    <definedName name="F_02_690" localSheetId="8">#REF!</definedName>
    <definedName name="F_02_690" localSheetId="6">#REF!</definedName>
    <definedName name="F_02_720" localSheetId="8">#REF!</definedName>
    <definedName name="F_02_720" localSheetId="6">#REF!</definedName>
    <definedName name="F_02_90" localSheetId="8">#REF!</definedName>
    <definedName name="F_02_90" localSheetId="6">#REF!</definedName>
    <definedName name="F_03_120" localSheetId="8">#REF!</definedName>
    <definedName name="F_03_120" localSheetId="6">#REF!</definedName>
    <definedName name="F_03_150" localSheetId="8">#REF!</definedName>
    <definedName name="F_03_150" localSheetId="6">#REF!</definedName>
    <definedName name="F_03_180" localSheetId="8">#REF!</definedName>
    <definedName name="F_03_180" localSheetId="6">#REF!</definedName>
    <definedName name="F_03_210" localSheetId="8">#REF!</definedName>
    <definedName name="F_03_210" localSheetId="6">#REF!</definedName>
    <definedName name="F_03_240" localSheetId="8">#REF!</definedName>
    <definedName name="F_03_240" localSheetId="6">#REF!</definedName>
    <definedName name="F_03_270" localSheetId="8">#REF!</definedName>
    <definedName name="F_03_270" localSheetId="6">#REF!</definedName>
    <definedName name="F_03_30" localSheetId="8">#REF!</definedName>
    <definedName name="F_03_30" localSheetId="6">#REF!</definedName>
    <definedName name="F_03_300" localSheetId="8">#REF!</definedName>
    <definedName name="F_03_300" localSheetId="6">#REF!</definedName>
    <definedName name="F_03_330" localSheetId="8">#REF!</definedName>
    <definedName name="F_03_330" localSheetId="6">#REF!</definedName>
    <definedName name="F_03_360" localSheetId="8">#REF!</definedName>
    <definedName name="F_03_360" localSheetId="6">#REF!</definedName>
    <definedName name="F_03_390" localSheetId="8">#REF!</definedName>
    <definedName name="F_03_390" localSheetId="6">#REF!</definedName>
    <definedName name="F_03_420" localSheetId="8">#REF!</definedName>
    <definedName name="F_03_420" localSheetId="6">#REF!</definedName>
    <definedName name="F_03_450" localSheetId="8">#REF!</definedName>
    <definedName name="F_03_450" localSheetId="6">#REF!</definedName>
    <definedName name="F_03_480" localSheetId="8">#REF!</definedName>
    <definedName name="F_03_480" localSheetId="6">#REF!</definedName>
    <definedName name="F_03_510" localSheetId="8">#REF!</definedName>
    <definedName name="F_03_510" localSheetId="6">#REF!</definedName>
    <definedName name="F_03_540" localSheetId="8">#REF!</definedName>
    <definedName name="F_03_540" localSheetId="6">#REF!</definedName>
    <definedName name="F_03_570" localSheetId="8">#REF!</definedName>
    <definedName name="F_03_570" localSheetId="6">#REF!</definedName>
    <definedName name="F_03_60" localSheetId="8">#REF!</definedName>
    <definedName name="F_03_60" localSheetId="6">#REF!</definedName>
    <definedName name="F_03_600" localSheetId="8">#REF!</definedName>
    <definedName name="F_03_600" localSheetId="6">#REF!</definedName>
    <definedName name="F_03_630" localSheetId="8">#REF!</definedName>
    <definedName name="F_03_630" localSheetId="6">#REF!</definedName>
    <definedName name="F_03_660" localSheetId="8">#REF!</definedName>
    <definedName name="F_03_660" localSheetId="6">#REF!</definedName>
    <definedName name="F_03_690" localSheetId="8">#REF!</definedName>
    <definedName name="F_03_690" localSheetId="6">#REF!</definedName>
    <definedName name="F_03_720" localSheetId="8">#REF!</definedName>
    <definedName name="F_03_720" localSheetId="6">#REF!</definedName>
    <definedName name="F_03_90" localSheetId="8">#REF!</definedName>
    <definedName name="F_03_90" localSheetId="6">#REF!</definedName>
    <definedName name="F_04_120" localSheetId="8">#REF!</definedName>
    <definedName name="F_04_120" localSheetId="6">#REF!</definedName>
    <definedName name="F_04_150" localSheetId="8">#REF!</definedName>
    <definedName name="F_04_150" localSheetId="6">#REF!</definedName>
    <definedName name="F_04_180" localSheetId="8">#REF!</definedName>
    <definedName name="F_04_180" localSheetId="6">#REF!</definedName>
    <definedName name="F_04_210" localSheetId="8">#REF!</definedName>
    <definedName name="F_04_210" localSheetId="6">#REF!</definedName>
    <definedName name="F_04_240" localSheetId="8">#REF!</definedName>
    <definedName name="F_04_240" localSheetId="6">#REF!</definedName>
    <definedName name="F_04_270" localSheetId="8">#REF!</definedName>
    <definedName name="F_04_270" localSheetId="6">#REF!</definedName>
    <definedName name="F_04_30" localSheetId="8">#REF!</definedName>
    <definedName name="F_04_30" localSheetId="6">#REF!</definedName>
    <definedName name="F_04_300" localSheetId="8">#REF!</definedName>
    <definedName name="F_04_300" localSheetId="6">#REF!</definedName>
    <definedName name="F_04_330" localSheetId="8">#REF!</definedName>
    <definedName name="F_04_330" localSheetId="6">#REF!</definedName>
    <definedName name="F_04_360" localSheetId="8">#REF!</definedName>
    <definedName name="F_04_360" localSheetId="6">#REF!</definedName>
    <definedName name="F_04_390" localSheetId="8">#REF!</definedName>
    <definedName name="F_04_390" localSheetId="6">#REF!</definedName>
    <definedName name="F_04_420" localSheetId="8">#REF!</definedName>
    <definedName name="F_04_420" localSheetId="6">#REF!</definedName>
    <definedName name="F_04_450" localSheetId="8">#REF!</definedName>
    <definedName name="F_04_450" localSheetId="6">#REF!</definedName>
    <definedName name="F_04_480" localSheetId="8">#REF!</definedName>
    <definedName name="F_04_480" localSheetId="6">#REF!</definedName>
    <definedName name="F_04_510" localSheetId="8">#REF!</definedName>
    <definedName name="F_04_510" localSheetId="6">#REF!</definedName>
    <definedName name="F_04_540" localSheetId="8">#REF!</definedName>
    <definedName name="F_04_540" localSheetId="6">#REF!</definedName>
    <definedName name="F_04_570" localSheetId="8">#REF!</definedName>
    <definedName name="F_04_570" localSheetId="6">#REF!</definedName>
    <definedName name="F_04_60" localSheetId="8">#REF!</definedName>
    <definedName name="F_04_60" localSheetId="6">#REF!</definedName>
    <definedName name="F_04_600" localSheetId="8">#REF!</definedName>
    <definedName name="F_04_600" localSheetId="6">#REF!</definedName>
    <definedName name="F_04_630" localSheetId="8">#REF!</definedName>
    <definedName name="F_04_630" localSheetId="6">#REF!</definedName>
    <definedName name="F_04_660" localSheetId="8">#REF!</definedName>
    <definedName name="F_04_660" localSheetId="6">#REF!</definedName>
    <definedName name="F_04_690" localSheetId="8">#REF!</definedName>
    <definedName name="F_04_690" localSheetId="6">#REF!</definedName>
    <definedName name="F_04_720" localSheetId="8">#REF!</definedName>
    <definedName name="F_04_720" localSheetId="6">#REF!</definedName>
    <definedName name="F_04_90" localSheetId="8">#REF!</definedName>
    <definedName name="F_04_90" localSheetId="6">#REF!</definedName>
    <definedName name="F_05_120" localSheetId="8">#REF!</definedName>
    <definedName name="F_05_120" localSheetId="6">#REF!</definedName>
    <definedName name="F_05_150" localSheetId="8">#REF!</definedName>
    <definedName name="F_05_150" localSheetId="6">#REF!</definedName>
    <definedName name="F_05_180" localSheetId="8">#REF!</definedName>
    <definedName name="F_05_180" localSheetId="6">#REF!</definedName>
    <definedName name="F_05_210" localSheetId="8">#REF!</definedName>
    <definedName name="F_05_210" localSheetId="6">#REF!</definedName>
    <definedName name="F_05_240" localSheetId="8">#REF!</definedName>
    <definedName name="F_05_240" localSheetId="6">#REF!</definedName>
    <definedName name="F_05_270" localSheetId="8">#REF!</definedName>
    <definedName name="F_05_270" localSheetId="6">#REF!</definedName>
    <definedName name="F_05_30" localSheetId="8">#REF!</definedName>
    <definedName name="F_05_30" localSheetId="6">#REF!</definedName>
    <definedName name="F_05_300" localSheetId="8">#REF!</definedName>
    <definedName name="F_05_300" localSheetId="6">#REF!</definedName>
    <definedName name="F_05_330" localSheetId="8">#REF!</definedName>
    <definedName name="F_05_330" localSheetId="6">#REF!</definedName>
    <definedName name="F_05_360" localSheetId="8">#REF!</definedName>
    <definedName name="F_05_360" localSheetId="6">#REF!</definedName>
    <definedName name="F_05_390" localSheetId="8">#REF!</definedName>
    <definedName name="F_05_390" localSheetId="6">#REF!</definedName>
    <definedName name="F_05_420" localSheetId="8">#REF!</definedName>
    <definedName name="F_05_420" localSheetId="6">#REF!</definedName>
    <definedName name="F_05_450" localSheetId="8">#REF!</definedName>
    <definedName name="F_05_450" localSheetId="6">#REF!</definedName>
    <definedName name="F_05_480" localSheetId="8">#REF!</definedName>
    <definedName name="F_05_480" localSheetId="6">#REF!</definedName>
    <definedName name="F_05_510" localSheetId="8">#REF!</definedName>
    <definedName name="F_05_510" localSheetId="6">#REF!</definedName>
    <definedName name="F_05_540" localSheetId="8">#REF!</definedName>
    <definedName name="F_05_540" localSheetId="6">#REF!</definedName>
    <definedName name="F_05_570" localSheetId="8">#REF!</definedName>
    <definedName name="F_05_570" localSheetId="6">#REF!</definedName>
    <definedName name="F_05_60" localSheetId="8">#REF!</definedName>
    <definedName name="F_05_60" localSheetId="6">#REF!</definedName>
    <definedName name="F_05_600" localSheetId="8">#REF!</definedName>
    <definedName name="F_05_600" localSheetId="6">#REF!</definedName>
    <definedName name="F_05_630" localSheetId="8">#REF!</definedName>
    <definedName name="F_05_630" localSheetId="6">#REF!</definedName>
    <definedName name="F_05_660" localSheetId="8">#REF!</definedName>
    <definedName name="F_05_660" localSheetId="6">#REF!</definedName>
    <definedName name="F_05_690" localSheetId="8">#REF!</definedName>
    <definedName name="F_05_690" localSheetId="6">#REF!</definedName>
    <definedName name="F_05_720" localSheetId="8">#REF!</definedName>
    <definedName name="F_05_720" localSheetId="6">#REF!</definedName>
    <definedName name="F_05_90" localSheetId="8">#REF!</definedName>
    <definedName name="F_05_90" localSheetId="6">#REF!</definedName>
    <definedName name="F_06_120" localSheetId="8">#REF!</definedName>
    <definedName name="F_06_120" localSheetId="6">#REF!</definedName>
    <definedName name="F_06_150" localSheetId="8">#REF!</definedName>
    <definedName name="F_06_150" localSheetId="6">#REF!</definedName>
    <definedName name="F_06_180" localSheetId="8">#REF!</definedName>
    <definedName name="F_06_180" localSheetId="6">#REF!</definedName>
    <definedName name="F_06_210" localSheetId="8">#REF!</definedName>
    <definedName name="F_06_210" localSheetId="6">#REF!</definedName>
    <definedName name="F_06_240" localSheetId="8">#REF!</definedName>
    <definedName name="F_06_240" localSheetId="6">#REF!</definedName>
    <definedName name="F_06_270" localSheetId="8">#REF!</definedName>
    <definedName name="F_06_270" localSheetId="6">#REF!</definedName>
    <definedName name="F_06_30" localSheetId="8">#REF!</definedName>
    <definedName name="F_06_30" localSheetId="6">#REF!</definedName>
    <definedName name="F_06_300" localSheetId="8">#REF!</definedName>
    <definedName name="F_06_300" localSheetId="6">#REF!</definedName>
    <definedName name="F_06_330" localSheetId="8">#REF!</definedName>
    <definedName name="F_06_330" localSheetId="6">#REF!</definedName>
    <definedName name="F_06_360" localSheetId="8">#REF!</definedName>
    <definedName name="F_06_360" localSheetId="6">#REF!</definedName>
    <definedName name="F_06_390" localSheetId="8">#REF!</definedName>
    <definedName name="F_06_390" localSheetId="6">#REF!</definedName>
    <definedName name="F_06_420" localSheetId="8">#REF!</definedName>
    <definedName name="F_06_420" localSheetId="6">#REF!</definedName>
    <definedName name="F_06_450" localSheetId="8">#REF!</definedName>
    <definedName name="F_06_450" localSheetId="6">#REF!</definedName>
    <definedName name="F_06_480" localSheetId="8">#REF!</definedName>
    <definedName name="F_06_480" localSheetId="6">#REF!</definedName>
    <definedName name="F_06_510" localSheetId="8">#REF!</definedName>
    <definedName name="F_06_510" localSheetId="6">#REF!</definedName>
    <definedName name="F_06_540" localSheetId="8">#REF!</definedName>
    <definedName name="F_06_540" localSheetId="6">#REF!</definedName>
    <definedName name="F_06_570" localSheetId="8">#REF!</definedName>
    <definedName name="F_06_570" localSheetId="6">#REF!</definedName>
    <definedName name="F_06_60" localSheetId="8">#REF!</definedName>
    <definedName name="F_06_60" localSheetId="6">#REF!</definedName>
    <definedName name="F_06_600" localSheetId="8">#REF!</definedName>
    <definedName name="F_06_600" localSheetId="6">#REF!</definedName>
    <definedName name="F_06_630" localSheetId="8">#REF!</definedName>
    <definedName name="F_06_630" localSheetId="6">#REF!</definedName>
    <definedName name="F_06_660" localSheetId="8">#REF!</definedName>
    <definedName name="F_06_660" localSheetId="6">#REF!</definedName>
    <definedName name="F_06_690" localSheetId="8">#REF!</definedName>
    <definedName name="F_06_690" localSheetId="6">#REF!</definedName>
    <definedName name="F_06_720" localSheetId="8">#REF!</definedName>
    <definedName name="F_06_720" localSheetId="6">#REF!</definedName>
    <definedName name="F_06_90" localSheetId="8">#REF!</definedName>
    <definedName name="F_06_90" localSheetId="6">#REF!</definedName>
    <definedName name="F_07_120" localSheetId="8">#REF!</definedName>
    <definedName name="F_07_120" localSheetId="6">#REF!</definedName>
    <definedName name="F_07_150" localSheetId="8">#REF!</definedName>
    <definedName name="F_07_150" localSheetId="6">#REF!</definedName>
    <definedName name="F_07_180" localSheetId="8">#REF!</definedName>
    <definedName name="F_07_180" localSheetId="6">#REF!</definedName>
    <definedName name="F_07_210" localSheetId="8">#REF!</definedName>
    <definedName name="F_07_210" localSheetId="6">#REF!</definedName>
    <definedName name="F_07_240" localSheetId="8">#REF!</definedName>
    <definedName name="F_07_240" localSheetId="6">#REF!</definedName>
    <definedName name="F_07_270" localSheetId="8">#REF!</definedName>
    <definedName name="F_07_270" localSheetId="6">#REF!</definedName>
    <definedName name="F_07_30" localSheetId="8">#REF!</definedName>
    <definedName name="F_07_30" localSheetId="6">#REF!</definedName>
    <definedName name="F_07_300" localSheetId="8">#REF!</definedName>
    <definedName name="F_07_300" localSheetId="6">#REF!</definedName>
    <definedName name="F_07_330" localSheetId="8">#REF!</definedName>
    <definedName name="F_07_330" localSheetId="6">#REF!</definedName>
    <definedName name="F_07_360" localSheetId="8">#REF!</definedName>
    <definedName name="F_07_360" localSheetId="6">#REF!</definedName>
    <definedName name="F_07_390" localSheetId="8">#REF!</definedName>
    <definedName name="F_07_390" localSheetId="6">#REF!</definedName>
    <definedName name="F_07_420" localSheetId="8">#REF!</definedName>
    <definedName name="F_07_420" localSheetId="6">#REF!</definedName>
    <definedName name="F_07_450" localSheetId="8">#REF!</definedName>
    <definedName name="F_07_450" localSheetId="6">#REF!</definedName>
    <definedName name="F_07_480" localSheetId="8">#REF!</definedName>
    <definedName name="F_07_480" localSheetId="6">#REF!</definedName>
    <definedName name="F_07_510" localSheetId="8">#REF!</definedName>
    <definedName name="F_07_510" localSheetId="6">#REF!</definedName>
    <definedName name="F_07_540" localSheetId="8">#REF!</definedName>
    <definedName name="F_07_540" localSheetId="6">#REF!</definedName>
    <definedName name="F_07_570" localSheetId="8">#REF!</definedName>
    <definedName name="F_07_570" localSheetId="6">#REF!</definedName>
    <definedName name="F_07_60" localSheetId="8">#REF!</definedName>
    <definedName name="F_07_60" localSheetId="6">#REF!</definedName>
    <definedName name="F_07_600" localSheetId="8">#REF!</definedName>
    <definedName name="F_07_600" localSheetId="6">#REF!</definedName>
    <definedName name="F_07_630" localSheetId="8">#REF!</definedName>
    <definedName name="F_07_630" localSheetId="6">#REF!</definedName>
    <definedName name="F_07_660" localSheetId="8">#REF!</definedName>
    <definedName name="F_07_660" localSheetId="6">#REF!</definedName>
    <definedName name="F_07_690" localSheetId="8">#REF!</definedName>
    <definedName name="F_07_690" localSheetId="6">#REF!</definedName>
    <definedName name="F_07_720" localSheetId="8">#REF!</definedName>
    <definedName name="F_07_720" localSheetId="6">#REF!</definedName>
    <definedName name="F_07_90" localSheetId="8">#REF!</definedName>
    <definedName name="F_07_90" localSheetId="6">#REF!</definedName>
    <definedName name="F_08_120" localSheetId="8">#REF!</definedName>
    <definedName name="F_08_120" localSheetId="6">#REF!</definedName>
    <definedName name="F_08_150" localSheetId="8">#REF!</definedName>
    <definedName name="F_08_150" localSheetId="6">#REF!</definedName>
    <definedName name="F_08_180" localSheetId="8">#REF!</definedName>
    <definedName name="F_08_180" localSheetId="6">#REF!</definedName>
    <definedName name="F_08_210" localSheetId="8">#REF!</definedName>
    <definedName name="F_08_210" localSheetId="6">#REF!</definedName>
    <definedName name="F_08_240" localSheetId="8">#REF!</definedName>
    <definedName name="F_08_240" localSheetId="6">#REF!</definedName>
    <definedName name="F_08_270" localSheetId="8">#REF!</definedName>
    <definedName name="F_08_270" localSheetId="6">#REF!</definedName>
    <definedName name="F_08_30" localSheetId="8">#REF!</definedName>
    <definedName name="F_08_30" localSheetId="6">#REF!</definedName>
    <definedName name="F_08_300" localSheetId="8">#REF!</definedName>
    <definedName name="F_08_300" localSheetId="6">#REF!</definedName>
    <definedName name="F_08_330" localSheetId="8">#REF!</definedName>
    <definedName name="F_08_330" localSheetId="6">#REF!</definedName>
    <definedName name="F_08_360" localSheetId="8">#REF!</definedName>
    <definedName name="F_08_360" localSheetId="6">#REF!</definedName>
    <definedName name="F_08_390" localSheetId="8">#REF!</definedName>
    <definedName name="F_08_390" localSheetId="6">#REF!</definedName>
    <definedName name="F_08_420" localSheetId="8">#REF!</definedName>
    <definedName name="F_08_420" localSheetId="6">#REF!</definedName>
    <definedName name="F_08_450" localSheetId="8">#REF!</definedName>
    <definedName name="F_08_450" localSheetId="6">#REF!</definedName>
    <definedName name="F_08_480" localSheetId="8">#REF!</definedName>
    <definedName name="F_08_480" localSheetId="6">#REF!</definedName>
    <definedName name="F_08_510" localSheetId="8">#REF!</definedName>
    <definedName name="F_08_510" localSheetId="6">#REF!</definedName>
    <definedName name="F_08_540" localSheetId="8">#REF!</definedName>
    <definedName name="F_08_540" localSheetId="6">#REF!</definedName>
    <definedName name="F_08_570" localSheetId="8">#REF!</definedName>
    <definedName name="F_08_570" localSheetId="6">#REF!</definedName>
    <definedName name="F_08_60" localSheetId="8">#REF!</definedName>
    <definedName name="F_08_60" localSheetId="6">#REF!</definedName>
    <definedName name="F_08_600" localSheetId="8">#REF!</definedName>
    <definedName name="F_08_600" localSheetId="6">#REF!</definedName>
    <definedName name="F_08_630" localSheetId="8">#REF!</definedName>
    <definedName name="F_08_630" localSheetId="6">#REF!</definedName>
    <definedName name="F_08_660" localSheetId="8">#REF!</definedName>
    <definedName name="F_08_660" localSheetId="6">#REF!</definedName>
    <definedName name="F_08_690" localSheetId="8">#REF!</definedName>
    <definedName name="F_08_690" localSheetId="6">#REF!</definedName>
    <definedName name="F_08_720" localSheetId="8">#REF!</definedName>
    <definedName name="F_08_720" localSheetId="6">#REF!</definedName>
    <definedName name="F_08_90" localSheetId="8">#REF!</definedName>
    <definedName name="F_08_90" localSheetId="6">#REF!</definedName>
    <definedName name="F_09_120" localSheetId="8">#REF!</definedName>
    <definedName name="F_09_120" localSheetId="6">#REF!</definedName>
    <definedName name="F_09_150" localSheetId="8">#REF!</definedName>
    <definedName name="F_09_150" localSheetId="6">#REF!</definedName>
    <definedName name="F_09_180" localSheetId="8">#REF!</definedName>
    <definedName name="F_09_180" localSheetId="6">#REF!</definedName>
    <definedName name="F_09_210" localSheetId="8">#REF!</definedName>
    <definedName name="F_09_210" localSheetId="6">#REF!</definedName>
    <definedName name="F_09_240" localSheetId="8">#REF!</definedName>
    <definedName name="F_09_240" localSheetId="6">#REF!</definedName>
    <definedName name="F_09_270" localSheetId="8">#REF!</definedName>
    <definedName name="F_09_270" localSheetId="6">#REF!</definedName>
    <definedName name="F_09_30" localSheetId="8">#REF!</definedName>
    <definedName name="F_09_30" localSheetId="6">#REF!</definedName>
    <definedName name="F_09_300" localSheetId="8">#REF!</definedName>
    <definedName name="F_09_300" localSheetId="6">#REF!</definedName>
    <definedName name="F_09_330" localSheetId="8">#REF!</definedName>
    <definedName name="F_09_330" localSheetId="6">#REF!</definedName>
    <definedName name="F_09_360" localSheetId="8">#REF!</definedName>
    <definedName name="F_09_360" localSheetId="6">#REF!</definedName>
    <definedName name="F_09_390" localSheetId="8">#REF!</definedName>
    <definedName name="F_09_390" localSheetId="6">#REF!</definedName>
    <definedName name="F_09_420" localSheetId="8">#REF!</definedName>
    <definedName name="F_09_420" localSheetId="6">#REF!</definedName>
    <definedName name="F_09_450" localSheetId="8">#REF!</definedName>
    <definedName name="F_09_450" localSheetId="6">#REF!</definedName>
    <definedName name="F_09_480" localSheetId="8">#REF!</definedName>
    <definedName name="F_09_480" localSheetId="6">#REF!</definedName>
    <definedName name="F_09_510" localSheetId="8">#REF!</definedName>
    <definedName name="F_09_510" localSheetId="6">#REF!</definedName>
    <definedName name="F_09_540" localSheetId="8">#REF!</definedName>
    <definedName name="F_09_540" localSheetId="6">#REF!</definedName>
    <definedName name="F_09_570" localSheetId="8">#REF!</definedName>
    <definedName name="F_09_570" localSheetId="6">#REF!</definedName>
    <definedName name="F_09_60" localSheetId="8">#REF!</definedName>
    <definedName name="F_09_60" localSheetId="6">#REF!</definedName>
    <definedName name="F_09_600" localSheetId="8">#REF!</definedName>
    <definedName name="F_09_600" localSheetId="6">#REF!</definedName>
    <definedName name="F_09_630" localSheetId="8">#REF!</definedName>
    <definedName name="F_09_630" localSheetId="6">#REF!</definedName>
    <definedName name="F_09_660" localSheetId="8">#REF!</definedName>
    <definedName name="F_09_660" localSheetId="6">#REF!</definedName>
    <definedName name="F_09_690" localSheetId="8">#REF!</definedName>
    <definedName name="F_09_690" localSheetId="6">#REF!</definedName>
    <definedName name="F_09_720" localSheetId="8">#REF!</definedName>
    <definedName name="F_09_720" localSheetId="6">#REF!</definedName>
    <definedName name="F_09_90" localSheetId="8">#REF!</definedName>
    <definedName name="F_09_90" localSheetId="6">#REF!</definedName>
    <definedName name="F_10_120" localSheetId="8">#REF!</definedName>
    <definedName name="F_10_120" localSheetId="6">#REF!</definedName>
    <definedName name="F_10_150" localSheetId="8">#REF!</definedName>
    <definedName name="F_10_150" localSheetId="6">#REF!</definedName>
    <definedName name="F_10_180" localSheetId="8">#REF!</definedName>
    <definedName name="F_10_180" localSheetId="6">#REF!</definedName>
    <definedName name="F_10_210" localSheetId="8">#REF!</definedName>
    <definedName name="F_10_210" localSheetId="6">#REF!</definedName>
    <definedName name="F_10_240" localSheetId="8">#REF!</definedName>
    <definedName name="F_10_240" localSheetId="6">#REF!</definedName>
    <definedName name="F_10_270" localSheetId="8">#REF!</definedName>
    <definedName name="F_10_270" localSheetId="6">#REF!</definedName>
    <definedName name="F_10_30" localSheetId="8">#REF!</definedName>
    <definedName name="F_10_30" localSheetId="6">#REF!</definedName>
    <definedName name="F_10_300" localSheetId="8">#REF!</definedName>
    <definedName name="F_10_300" localSheetId="6">#REF!</definedName>
    <definedName name="F_10_330" localSheetId="8">#REF!</definedName>
    <definedName name="F_10_330" localSheetId="6">#REF!</definedName>
    <definedName name="F_10_360" localSheetId="8">#REF!</definedName>
    <definedName name="F_10_360" localSheetId="6">#REF!</definedName>
    <definedName name="F_10_390" localSheetId="8">#REF!</definedName>
    <definedName name="F_10_390" localSheetId="6">#REF!</definedName>
    <definedName name="F_10_420" localSheetId="8">#REF!</definedName>
    <definedName name="F_10_420" localSheetId="6">#REF!</definedName>
    <definedName name="F_10_450" localSheetId="8">#REF!</definedName>
    <definedName name="F_10_450" localSheetId="6">#REF!</definedName>
    <definedName name="F_10_480" localSheetId="8">#REF!</definedName>
    <definedName name="F_10_480" localSheetId="6">#REF!</definedName>
    <definedName name="F_10_510" localSheetId="8">#REF!</definedName>
    <definedName name="F_10_510" localSheetId="6">#REF!</definedName>
    <definedName name="F_10_540" localSheetId="8">#REF!</definedName>
    <definedName name="F_10_540" localSheetId="6">#REF!</definedName>
    <definedName name="F_10_570" localSheetId="8">#REF!</definedName>
    <definedName name="F_10_570" localSheetId="6">#REF!</definedName>
    <definedName name="F_10_60" localSheetId="8">#REF!</definedName>
    <definedName name="F_10_60" localSheetId="6">#REF!</definedName>
    <definedName name="F_10_600" localSheetId="8">#REF!</definedName>
    <definedName name="F_10_600" localSheetId="6">#REF!</definedName>
    <definedName name="F_10_630" localSheetId="8">#REF!</definedName>
    <definedName name="F_10_630" localSheetId="6">#REF!</definedName>
    <definedName name="F_10_660" localSheetId="8">#REF!</definedName>
    <definedName name="F_10_660" localSheetId="6">#REF!</definedName>
    <definedName name="F_10_690" localSheetId="8">#REF!</definedName>
    <definedName name="F_10_690" localSheetId="6">#REF!</definedName>
    <definedName name="F_10_720" localSheetId="8">#REF!</definedName>
    <definedName name="F_10_720" localSheetId="6">#REF!</definedName>
    <definedName name="F_10_90" localSheetId="8">#REF!</definedName>
    <definedName name="F_10_90" localSheetId="6">#REF!</definedName>
    <definedName name="F_11_120" localSheetId="8">#REF!</definedName>
    <definedName name="F_11_120" localSheetId="6">#REF!</definedName>
    <definedName name="F_11_150" localSheetId="8">#REF!</definedName>
    <definedName name="F_11_150" localSheetId="6">#REF!</definedName>
    <definedName name="F_11_180" localSheetId="8">#REF!</definedName>
    <definedName name="F_11_180" localSheetId="6">#REF!</definedName>
    <definedName name="F_11_210" localSheetId="8">#REF!</definedName>
    <definedName name="F_11_210" localSheetId="6">#REF!</definedName>
    <definedName name="F_11_240" localSheetId="8">#REF!</definedName>
    <definedName name="F_11_240" localSheetId="6">#REF!</definedName>
    <definedName name="F_11_270" localSheetId="8">#REF!</definedName>
    <definedName name="F_11_270" localSheetId="6">#REF!</definedName>
    <definedName name="F_11_30" localSheetId="8">#REF!</definedName>
    <definedName name="F_11_30" localSheetId="6">#REF!</definedName>
    <definedName name="F_11_300" localSheetId="8">#REF!</definedName>
    <definedName name="F_11_300" localSheetId="6">#REF!</definedName>
    <definedName name="F_11_330" localSheetId="8">#REF!</definedName>
    <definedName name="F_11_330" localSheetId="6">#REF!</definedName>
    <definedName name="F_11_360" localSheetId="8">#REF!</definedName>
    <definedName name="F_11_360" localSheetId="6">#REF!</definedName>
    <definedName name="F_11_390" localSheetId="8">#REF!</definedName>
    <definedName name="F_11_390" localSheetId="6">#REF!</definedName>
    <definedName name="F_11_420" localSheetId="8">#REF!</definedName>
    <definedName name="F_11_420" localSheetId="6">#REF!</definedName>
    <definedName name="F_11_450" localSheetId="8">#REF!</definedName>
    <definedName name="F_11_450" localSheetId="6">#REF!</definedName>
    <definedName name="F_11_480" localSheetId="8">#REF!</definedName>
    <definedName name="F_11_480" localSheetId="6">#REF!</definedName>
    <definedName name="F_11_510" localSheetId="8">#REF!</definedName>
    <definedName name="F_11_510" localSheetId="6">#REF!</definedName>
    <definedName name="F_11_540" localSheetId="8">#REF!</definedName>
    <definedName name="F_11_540" localSheetId="6">#REF!</definedName>
    <definedName name="F_11_570" localSheetId="8">#REF!</definedName>
    <definedName name="F_11_570" localSheetId="6">#REF!</definedName>
    <definedName name="F_11_60" localSheetId="8">#REF!</definedName>
    <definedName name="F_11_60" localSheetId="6">#REF!</definedName>
    <definedName name="F_11_600" localSheetId="8">#REF!</definedName>
    <definedName name="F_11_600" localSheetId="6">#REF!</definedName>
    <definedName name="F_11_630" localSheetId="8">#REF!</definedName>
    <definedName name="F_11_630" localSheetId="6">#REF!</definedName>
    <definedName name="F_11_660" localSheetId="8">#REF!</definedName>
    <definedName name="F_11_660" localSheetId="6">#REF!</definedName>
    <definedName name="F_11_690" localSheetId="8">#REF!</definedName>
    <definedName name="F_11_690" localSheetId="6">#REF!</definedName>
    <definedName name="F_11_720" localSheetId="8">#REF!</definedName>
    <definedName name="F_11_720" localSheetId="6">#REF!</definedName>
    <definedName name="F_11_90" localSheetId="8">#REF!</definedName>
    <definedName name="F_11_90" localSheetId="6">#REF!</definedName>
    <definedName name="F_12_120" localSheetId="8">#REF!</definedName>
    <definedName name="F_12_120" localSheetId="6">#REF!</definedName>
    <definedName name="F_12_150" localSheetId="8">#REF!</definedName>
    <definedName name="F_12_150" localSheetId="6">#REF!</definedName>
    <definedName name="F_12_180" localSheetId="8">#REF!</definedName>
    <definedName name="F_12_180" localSheetId="6">#REF!</definedName>
    <definedName name="F_12_210" localSheetId="8">#REF!</definedName>
    <definedName name="F_12_210" localSheetId="6">#REF!</definedName>
    <definedName name="F_12_240" localSheetId="8">#REF!</definedName>
    <definedName name="F_12_240" localSheetId="6">#REF!</definedName>
    <definedName name="F_12_270" localSheetId="8">#REF!</definedName>
    <definedName name="F_12_270" localSheetId="6">#REF!</definedName>
    <definedName name="F_12_30" localSheetId="8">#REF!</definedName>
    <definedName name="F_12_30" localSheetId="6">#REF!</definedName>
    <definedName name="F_12_300" localSheetId="8">#REF!</definedName>
    <definedName name="F_12_300" localSheetId="6">#REF!</definedName>
    <definedName name="F_12_330" localSheetId="8">#REF!</definedName>
    <definedName name="F_12_330" localSheetId="6">#REF!</definedName>
    <definedName name="F_12_360" localSheetId="8">#REF!</definedName>
    <definedName name="F_12_360" localSheetId="6">#REF!</definedName>
    <definedName name="F_12_390" localSheetId="8">#REF!</definedName>
    <definedName name="F_12_390" localSheetId="6">#REF!</definedName>
    <definedName name="F_12_420" localSheetId="8">#REF!</definedName>
    <definedName name="F_12_420" localSheetId="6">#REF!</definedName>
    <definedName name="F_12_450" localSheetId="8">#REF!</definedName>
    <definedName name="F_12_450" localSheetId="6">#REF!</definedName>
    <definedName name="F_12_480" localSheetId="8">#REF!</definedName>
    <definedName name="F_12_480" localSheetId="6">#REF!</definedName>
    <definedName name="F_12_510" localSheetId="8">#REF!</definedName>
    <definedName name="F_12_510" localSheetId="6">#REF!</definedName>
    <definedName name="F_12_540" localSheetId="8">#REF!</definedName>
    <definedName name="F_12_540" localSheetId="6">#REF!</definedName>
    <definedName name="F_12_570" localSheetId="8">#REF!</definedName>
    <definedName name="F_12_570" localSheetId="6">#REF!</definedName>
    <definedName name="F_12_60" localSheetId="8">#REF!</definedName>
    <definedName name="F_12_60" localSheetId="6">#REF!</definedName>
    <definedName name="F_12_600" localSheetId="8">#REF!</definedName>
    <definedName name="F_12_600" localSheetId="6">#REF!</definedName>
    <definedName name="F_12_630" localSheetId="8">#REF!</definedName>
    <definedName name="F_12_630" localSheetId="6">#REF!</definedName>
    <definedName name="F_12_660" localSheetId="8">#REF!</definedName>
    <definedName name="F_12_660" localSheetId="6">#REF!</definedName>
    <definedName name="F_12_690" localSheetId="8">#REF!</definedName>
    <definedName name="F_12_690" localSheetId="6">#REF!</definedName>
    <definedName name="F_12_720" localSheetId="8">#REF!</definedName>
    <definedName name="F_12_720" localSheetId="6">#REF!</definedName>
    <definedName name="F_12_90" localSheetId="8">#REF!</definedName>
    <definedName name="F_12_90" localSheetId="6">#REF!</definedName>
    <definedName name="F_13_120" localSheetId="8">#REF!</definedName>
    <definedName name="F_13_120" localSheetId="6">#REF!</definedName>
    <definedName name="F_13_150" localSheetId="8">#REF!</definedName>
    <definedName name="F_13_150" localSheetId="6">#REF!</definedName>
    <definedName name="F_13_180" localSheetId="8">#REF!</definedName>
    <definedName name="F_13_180" localSheetId="6">#REF!</definedName>
    <definedName name="F_13_210" localSheetId="8">#REF!</definedName>
    <definedName name="F_13_210" localSheetId="6">#REF!</definedName>
    <definedName name="F_13_240" localSheetId="8">#REF!</definedName>
    <definedName name="F_13_240" localSheetId="6">#REF!</definedName>
    <definedName name="F_13_270" localSheetId="8">#REF!</definedName>
    <definedName name="F_13_270" localSheetId="6">#REF!</definedName>
    <definedName name="F_13_30" localSheetId="8">#REF!</definedName>
    <definedName name="F_13_30" localSheetId="6">#REF!</definedName>
    <definedName name="F_13_300" localSheetId="8">#REF!</definedName>
    <definedName name="F_13_300" localSheetId="6">#REF!</definedName>
    <definedName name="F_13_330" localSheetId="8">#REF!</definedName>
    <definedName name="F_13_330" localSheetId="6">#REF!</definedName>
    <definedName name="F_13_360" localSheetId="8">#REF!</definedName>
    <definedName name="F_13_360" localSheetId="6">#REF!</definedName>
    <definedName name="F_13_390" localSheetId="8">#REF!</definedName>
    <definedName name="F_13_390" localSheetId="6">#REF!</definedName>
    <definedName name="F_13_420" localSheetId="8">#REF!</definedName>
    <definedName name="F_13_420" localSheetId="6">#REF!</definedName>
    <definedName name="F_13_450" localSheetId="8">#REF!</definedName>
    <definedName name="F_13_450" localSheetId="6">#REF!</definedName>
    <definedName name="F_13_480" localSheetId="8">#REF!</definedName>
    <definedName name="F_13_480" localSheetId="6">#REF!</definedName>
    <definedName name="F_13_510" localSheetId="8">#REF!</definedName>
    <definedName name="F_13_510" localSheetId="6">#REF!</definedName>
    <definedName name="F_13_540" localSheetId="8">#REF!</definedName>
    <definedName name="F_13_540" localSheetId="6">#REF!</definedName>
    <definedName name="F_13_570" localSheetId="8">#REF!</definedName>
    <definedName name="F_13_570" localSheetId="6">#REF!</definedName>
    <definedName name="F_13_60" localSheetId="8">#REF!</definedName>
    <definedName name="F_13_60" localSheetId="6">#REF!</definedName>
    <definedName name="F_13_600" localSheetId="8">#REF!</definedName>
    <definedName name="F_13_600" localSheetId="6">#REF!</definedName>
    <definedName name="F_13_630" localSheetId="8">#REF!</definedName>
    <definedName name="F_13_630" localSheetId="6">#REF!</definedName>
    <definedName name="F_13_660" localSheetId="8">#REF!</definedName>
    <definedName name="F_13_660" localSheetId="6">#REF!</definedName>
    <definedName name="F_13_690" localSheetId="8">#REF!</definedName>
    <definedName name="F_13_690" localSheetId="6">#REF!</definedName>
    <definedName name="F_13_720" localSheetId="8">#REF!</definedName>
    <definedName name="F_13_720" localSheetId="6">#REF!</definedName>
    <definedName name="F_13_90" localSheetId="8">#REF!</definedName>
    <definedName name="F_13_90" localSheetId="6">#REF!</definedName>
    <definedName name="F_14_120" localSheetId="8">#REF!</definedName>
    <definedName name="F_14_120" localSheetId="6">#REF!</definedName>
    <definedName name="F_14_150" localSheetId="8">#REF!</definedName>
    <definedName name="F_14_150" localSheetId="6">#REF!</definedName>
    <definedName name="F_14_180" localSheetId="8">#REF!</definedName>
    <definedName name="F_14_180" localSheetId="6">#REF!</definedName>
    <definedName name="F_14_210" localSheetId="8">#REF!</definedName>
    <definedName name="F_14_210" localSheetId="6">#REF!</definedName>
    <definedName name="F_14_240" localSheetId="8">#REF!</definedName>
    <definedName name="F_14_240" localSheetId="6">#REF!</definedName>
    <definedName name="F_14_270" localSheetId="8">#REF!</definedName>
    <definedName name="F_14_270" localSheetId="6">#REF!</definedName>
    <definedName name="F_14_30" localSheetId="8">#REF!</definedName>
    <definedName name="F_14_30" localSheetId="6">#REF!</definedName>
    <definedName name="F_14_300" localSheetId="8">#REF!</definedName>
    <definedName name="F_14_300" localSheetId="6">#REF!</definedName>
    <definedName name="F_14_330" localSheetId="8">#REF!</definedName>
    <definedName name="F_14_330" localSheetId="6">#REF!</definedName>
    <definedName name="F_14_360" localSheetId="8">#REF!</definedName>
    <definedName name="F_14_360" localSheetId="6">#REF!</definedName>
    <definedName name="F_14_390" localSheetId="8">#REF!</definedName>
    <definedName name="F_14_390" localSheetId="6">#REF!</definedName>
    <definedName name="F_14_420" localSheetId="8">#REF!</definedName>
    <definedName name="F_14_420" localSheetId="6">#REF!</definedName>
    <definedName name="F_14_450" localSheetId="8">#REF!</definedName>
    <definedName name="F_14_450" localSheetId="6">#REF!</definedName>
    <definedName name="F_14_480" localSheetId="8">#REF!</definedName>
    <definedName name="F_14_480" localSheetId="6">#REF!</definedName>
    <definedName name="F_14_510" localSheetId="8">#REF!</definedName>
    <definedName name="F_14_510" localSheetId="6">#REF!</definedName>
    <definedName name="F_14_540" localSheetId="8">#REF!</definedName>
    <definedName name="F_14_540" localSheetId="6">#REF!</definedName>
    <definedName name="F_14_570" localSheetId="8">#REF!</definedName>
    <definedName name="F_14_570" localSheetId="6">#REF!</definedName>
    <definedName name="F_14_60" localSheetId="8">#REF!</definedName>
    <definedName name="F_14_60" localSheetId="6">#REF!</definedName>
    <definedName name="F_14_600" localSheetId="8">#REF!</definedName>
    <definedName name="F_14_600" localSheetId="6">#REF!</definedName>
    <definedName name="F_14_630" localSheetId="8">#REF!</definedName>
    <definedName name="F_14_630" localSheetId="6">#REF!</definedName>
    <definedName name="F_14_660" localSheetId="8">#REF!</definedName>
    <definedName name="F_14_660" localSheetId="6">#REF!</definedName>
    <definedName name="F_14_690" localSheetId="8">#REF!</definedName>
    <definedName name="F_14_690" localSheetId="6">#REF!</definedName>
    <definedName name="F_14_720" localSheetId="8">#REF!</definedName>
    <definedName name="F_14_720" localSheetId="6">#REF!</definedName>
    <definedName name="F_14_90" localSheetId="8">#REF!</definedName>
    <definedName name="F_14_90" localSheetId="6">#REF!</definedName>
    <definedName name="F_15_120" localSheetId="8">#REF!</definedName>
    <definedName name="F_15_120" localSheetId="6">#REF!</definedName>
    <definedName name="F_15_150" localSheetId="8">#REF!</definedName>
    <definedName name="F_15_150" localSheetId="6">#REF!</definedName>
    <definedName name="F_15_180" localSheetId="8">#REF!</definedName>
    <definedName name="F_15_180" localSheetId="6">#REF!</definedName>
    <definedName name="F_15_210" localSheetId="8">#REF!</definedName>
    <definedName name="F_15_210" localSheetId="6">#REF!</definedName>
    <definedName name="F_15_240" localSheetId="8">#REF!</definedName>
    <definedName name="F_15_240" localSheetId="6">#REF!</definedName>
    <definedName name="F_15_270" localSheetId="8">#REF!</definedName>
    <definedName name="F_15_270" localSheetId="6">#REF!</definedName>
    <definedName name="F_15_30" localSheetId="8">#REF!</definedName>
    <definedName name="F_15_30" localSheetId="6">#REF!</definedName>
    <definedName name="F_15_300" localSheetId="8">#REF!</definedName>
    <definedName name="F_15_300" localSheetId="6">#REF!</definedName>
    <definedName name="F_15_330" localSheetId="8">#REF!</definedName>
    <definedName name="F_15_330" localSheetId="6">#REF!</definedName>
    <definedName name="F_15_360" localSheetId="8">#REF!</definedName>
    <definedName name="F_15_360" localSheetId="6">#REF!</definedName>
    <definedName name="F_15_390" localSheetId="8">#REF!</definedName>
    <definedName name="F_15_390" localSheetId="6">#REF!</definedName>
    <definedName name="F_15_420" localSheetId="8">#REF!</definedName>
    <definedName name="F_15_420" localSheetId="6">#REF!</definedName>
    <definedName name="F_15_450" localSheetId="8">#REF!</definedName>
    <definedName name="F_15_450" localSheetId="6">#REF!</definedName>
    <definedName name="F_15_480" localSheetId="8">#REF!</definedName>
    <definedName name="F_15_480" localSheetId="6">#REF!</definedName>
    <definedName name="F_15_510" localSheetId="8">#REF!</definedName>
    <definedName name="F_15_510" localSheetId="6">#REF!</definedName>
    <definedName name="F_15_540" localSheetId="8">#REF!</definedName>
    <definedName name="F_15_540" localSheetId="6">#REF!</definedName>
    <definedName name="F_15_570" localSheetId="8">#REF!</definedName>
    <definedName name="F_15_570" localSheetId="6">#REF!</definedName>
    <definedName name="F_15_60" localSheetId="8">#REF!</definedName>
    <definedName name="F_15_60" localSheetId="6">#REF!</definedName>
    <definedName name="F_15_600" localSheetId="8">#REF!</definedName>
    <definedName name="F_15_600" localSheetId="6">#REF!</definedName>
    <definedName name="F_15_630" localSheetId="8">#REF!</definedName>
    <definedName name="F_15_630" localSheetId="6">#REF!</definedName>
    <definedName name="F_15_660" localSheetId="8">#REF!</definedName>
    <definedName name="F_15_660" localSheetId="6">#REF!</definedName>
    <definedName name="F_15_690" localSheetId="8">#REF!</definedName>
    <definedName name="F_15_690" localSheetId="6">#REF!</definedName>
    <definedName name="F_15_720" localSheetId="8">#REF!</definedName>
    <definedName name="F_15_720" localSheetId="6">#REF!</definedName>
    <definedName name="F_15_90" localSheetId="8">#REF!</definedName>
    <definedName name="F_15_90" localSheetId="6">#REF!</definedName>
    <definedName name="FATOR" localSheetId="8">#REF!</definedName>
    <definedName name="FATOR" localSheetId="6">#REF!</definedName>
    <definedName name="fator100" localSheetId="8">#REF!</definedName>
    <definedName name="fator100" localSheetId="6">#REF!</definedName>
    <definedName name="FATOR2" localSheetId="8">#REF!</definedName>
    <definedName name="FATOR2" localSheetId="6">#REF!</definedName>
    <definedName name="fator50" localSheetId="8">#REF!</definedName>
    <definedName name="fator50" localSheetId="6">#REF!</definedName>
    <definedName name="Ferro_CA60" localSheetId="8">#REF!</definedName>
    <definedName name="Ferro_CA60" localSheetId="6">#REF!</definedName>
    <definedName name="ffg" localSheetId="15" hidden="1">{#N/A,#N/A,FALSE,"MO (2)"}</definedName>
    <definedName name="ffg" localSheetId="8" hidden="1">{#N/A,#N/A,FALSE,"MO (2)"}</definedName>
    <definedName name="ffg" localSheetId="5" hidden="1">{#N/A,#N/A,FALSE,"MO (2)"}</definedName>
    <definedName name="ffg" localSheetId="34" hidden="1">{#N/A,#N/A,FALSE,"MO (2)"}</definedName>
    <definedName name="ffg" localSheetId="6" hidden="1">{#N/A,#N/A,FALSE,"MO (2)"}</definedName>
    <definedName name="ffg" localSheetId="14" hidden="1">{#N/A,#N/A,FALSE,"MO (2)"}</definedName>
    <definedName name="ffg" hidden="1">{#N/A,#N/A,FALSE,"MO (2)"}</definedName>
    <definedName name="ffg_1" localSheetId="15" hidden="1">{#N/A,#N/A,FALSE,"MO (2)"}</definedName>
    <definedName name="ffg_1" localSheetId="8" hidden="1">{#N/A,#N/A,FALSE,"MO (2)"}</definedName>
    <definedName name="ffg_1" localSheetId="5" hidden="1">{#N/A,#N/A,FALSE,"MO (2)"}</definedName>
    <definedName name="ffg_1" localSheetId="34" hidden="1">{#N/A,#N/A,FALSE,"MO (2)"}</definedName>
    <definedName name="ffg_1" localSheetId="6" hidden="1">{#N/A,#N/A,FALSE,"MO (2)"}</definedName>
    <definedName name="ffg_1" localSheetId="14" hidden="1">{#N/A,#N/A,FALSE,"MO (2)"}</definedName>
    <definedName name="ffg_1" hidden="1">{#N/A,#N/A,FALSE,"MO (2)"}</definedName>
    <definedName name="fghji" localSheetId="15" hidden="1">{#N/A,#N/A,FALSE,"MO (2)"}</definedName>
    <definedName name="fghji" localSheetId="8" hidden="1">{#N/A,#N/A,FALSE,"MO (2)"}</definedName>
    <definedName name="fghji" localSheetId="5" hidden="1">{#N/A,#N/A,FALSE,"MO (2)"}</definedName>
    <definedName name="fghji" localSheetId="34" hidden="1">{#N/A,#N/A,FALSE,"MO (2)"}</definedName>
    <definedName name="fghji" localSheetId="6" hidden="1">{#N/A,#N/A,FALSE,"MO (2)"}</definedName>
    <definedName name="fghji" localSheetId="14" hidden="1">{#N/A,#N/A,FALSE,"MO (2)"}</definedName>
    <definedName name="fghji" hidden="1">{#N/A,#N/A,FALSE,"MO (2)"}</definedName>
    <definedName name="fghji_1" localSheetId="15" hidden="1">{#N/A,#N/A,FALSE,"MO (2)"}</definedName>
    <definedName name="fghji_1" localSheetId="8" hidden="1">{#N/A,#N/A,FALSE,"MO (2)"}</definedName>
    <definedName name="fghji_1" localSheetId="5" hidden="1">{#N/A,#N/A,FALSE,"MO (2)"}</definedName>
    <definedName name="fghji_1" localSheetId="34" hidden="1">{#N/A,#N/A,FALSE,"MO (2)"}</definedName>
    <definedName name="fghji_1" localSheetId="6" hidden="1">{#N/A,#N/A,FALSE,"MO (2)"}</definedName>
    <definedName name="fghji_1" localSheetId="14" hidden="1">{#N/A,#N/A,FALSE,"MO (2)"}</definedName>
    <definedName name="fghji_1" hidden="1">{#N/A,#N/A,FALSE,"MO (2)"}</definedName>
    <definedName name="Filtro" localSheetId="8">#REF!</definedName>
    <definedName name="Filtro" localSheetId="6">#REF!</definedName>
    <definedName name="fir" localSheetId="8">#REF!</definedName>
    <definedName name="fir" localSheetId="6">#REF!</definedName>
    <definedName name="FIRMA" localSheetId="8">#REF!</definedName>
    <definedName name="FIRMA" localSheetId="6">#REF!</definedName>
    <definedName name="FIRMA1" localSheetId="8">#REF!</definedName>
    <definedName name="FIRMA1" localSheetId="6">#REF!</definedName>
    <definedName name="FIRMA2" localSheetId="8">#REF!</definedName>
    <definedName name="FIRMA2" localSheetId="6">#REF!</definedName>
    <definedName name="FIRMA3" localSheetId="8">#REF!</definedName>
    <definedName name="FIRMA3" localSheetId="6">#REF!</definedName>
    <definedName name="FOG" localSheetId="8">#REF!</definedName>
    <definedName name="FOG" localSheetId="6">#REF!</definedName>
    <definedName name="FORN_ACESS_EMISS" localSheetId="8">#REF!</definedName>
    <definedName name="FORN_ACESS_EMISS" localSheetId="6">#REF!</definedName>
    <definedName name="FORN_ACESS_EMISS2_M" localSheetId="8">#REF!</definedName>
    <definedName name="FORN_ACESS_EMISS2_M" localSheetId="6">#REF!</definedName>
    <definedName name="FORN_ACESS_EMISS3_M" localSheetId="8">#REF!</definedName>
    <definedName name="FORN_ACESS_EMISS3_M" localSheetId="6">#REF!</definedName>
    <definedName name="FORN_ACESS_REDE_COL" localSheetId="8">#REF!</definedName>
    <definedName name="FORN_ACESS_REDE_COL" localSheetId="6">#REF!</definedName>
    <definedName name="FORN_ACESSÓRIOS" localSheetId="8">#REF!</definedName>
    <definedName name="FORN_ACESSÓRIOS" localSheetId="6">#REF!</definedName>
    <definedName name="FORN_CON_EMISS3_M" localSheetId="8">#REF!</definedName>
    <definedName name="FORN_CON_EMISS3_M" localSheetId="6">#REF!</definedName>
    <definedName name="FORN_CONEX" localSheetId="8">#REF!</definedName>
    <definedName name="FORN_CONEX" localSheetId="6">#REF!</definedName>
    <definedName name="FORN_CONEX_EMISS" localSheetId="8">#REF!</definedName>
    <definedName name="FORN_CONEX_EMISS" localSheetId="6">#REF!</definedName>
    <definedName name="FORN_CONEX_PEÇAS" localSheetId="8">#REF!</definedName>
    <definedName name="FORN_CONEX_PEÇAS" localSheetId="6">#REF!</definedName>
    <definedName name="FORN_PEÇAS_EMISS2_M" localSheetId="8">#REF!</definedName>
    <definedName name="FORN_PEÇAS_EMISS2_M" localSheetId="6">#REF!</definedName>
    <definedName name="FORN_TUB_EMISS" localSheetId="8">#REF!</definedName>
    <definedName name="FORN_TUB_EMISS" localSheetId="6">#REF!</definedName>
    <definedName name="FORN_TUB_EMISS2_M" localSheetId="8">#REF!</definedName>
    <definedName name="FORN_TUB_EMISS2_M" localSheetId="6">#REF!</definedName>
    <definedName name="FORN_TUB_EMISS3_M" localSheetId="8">#REF!</definedName>
    <definedName name="FORN_TUB_EMISS3_M" localSheetId="6">#REF!</definedName>
    <definedName name="FORN_TUB_REDE_COL" localSheetId="8">#REF!</definedName>
    <definedName name="FORN_TUB_REDE_COL" localSheetId="6">#REF!</definedName>
    <definedName name="FORN_TUBU" localSheetId="8">#REF!</definedName>
    <definedName name="FORN_TUBU" localSheetId="6">#REF!</definedName>
    <definedName name="fornecer" localSheetId="8">#REF!</definedName>
    <definedName name="fornecer" localSheetId="6">#REF!</definedName>
    <definedName name="Fundação" localSheetId="8">#REF!</definedName>
    <definedName name="Fundação" localSheetId="6">#REF!</definedName>
    <definedName name="fx_horiz" localSheetId="8">#REF!</definedName>
    <definedName name="fx_horiz" localSheetId="6">#REF!</definedName>
    <definedName name="G_01" localSheetId="8">#REF!</definedName>
    <definedName name="G_01" localSheetId="6">#REF!</definedName>
    <definedName name="G_02" localSheetId="8">#REF!</definedName>
    <definedName name="G_02" localSheetId="6">#REF!</definedName>
    <definedName name="G_03" localSheetId="8">#REF!</definedName>
    <definedName name="G_03" localSheetId="6">#REF!</definedName>
    <definedName name="G_04" localSheetId="8">#REF!</definedName>
    <definedName name="G_04" localSheetId="6">#REF!</definedName>
    <definedName name="G_05" localSheetId="8">#REF!</definedName>
    <definedName name="G_05" localSheetId="6">#REF!</definedName>
    <definedName name="G_06" localSheetId="8">#REF!</definedName>
    <definedName name="G_06" localSheetId="6">#REF!</definedName>
    <definedName name="G_07" localSheetId="8">#REF!</definedName>
    <definedName name="G_07" localSheetId="6">#REF!</definedName>
    <definedName name="G_08" localSheetId="8">#REF!</definedName>
    <definedName name="G_08" localSheetId="6">#REF!</definedName>
    <definedName name="G_09" localSheetId="8">#REF!</definedName>
    <definedName name="G_09" localSheetId="6">#REF!</definedName>
    <definedName name="G_10" localSheetId="8">#REF!</definedName>
    <definedName name="G_10" localSheetId="6">#REF!</definedName>
    <definedName name="G_11" localSheetId="8">#REF!</definedName>
    <definedName name="G_11" localSheetId="6">#REF!</definedName>
    <definedName name="G_12" localSheetId="8">#REF!</definedName>
    <definedName name="G_12" localSheetId="6">#REF!</definedName>
    <definedName name="G_13" localSheetId="8">#REF!</definedName>
    <definedName name="G_13" localSheetId="6">#REF!</definedName>
    <definedName name="G_14" localSheetId="8">#REF!</definedName>
    <definedName name="G_14" localSheetId="6">#REF!</definedName>
    <definedName name="G_15" localSheetId="8">#REF!</definedName>
    <definedName name="G_15" localSheetId="6">#REF!</definedName>
    <definedName name="G_16" localSheetId="8">#REF!</definedName>
    <definedName name="G_16" localSheetId="6">#REF!</definedName>
    <definedName name="G_17" localSheetId="8">#REF!</definedName>
    <definedName name="G_17" localSheetId="6">#REF!</definedName>
    <definedName name="G_18" localSheetId="8">#REF!</definedName>
    <definedName name="G_18" localSheetId="6">#REF!</definedName>
    <definedName name="G_19" localSheetId="8">#REF!</definedName>
    <definedName name="G_19" localSheetId="6">#REF!</definedName>
    <definedName name="G_20" localSheetId="8">#REF!</definedName>
    <definedName name="G_20" localSheetId="6">#REF!</definedName>
    <definedName name="G_21" localSheetId="8">#REF!</definedName>
    <definedName name="G_21" localSheetId="6">#REF!</definedName>
    <definedName name="G_22" localSheetId="8">#REF!</definedName>
    <definedName name="G_22" localSheetId="6">#REF!</definedName>
    <definedName name="G_23" localSheetId="8">#REF!</definedName>
    <definedName name="G_23" localSheetId="6">#REF!</definedName>
    <definedName name="G_24" localSheetId="8">#REF!</definedName>
    <definedName name="G_24" localSheetId="6">#REF!</definedName>
    <definedName name="G_25" localSheetId="8">#REF!</definedName>
    <definedName name="G_25" localSheetId="6">#REF!</definedName>
    <definedName name="GASOLINA" localSheetId="8">#REF!</definedName>
    <definedName name="GASOLINA" localSheetId="6">#REF!</definedName>
    <definedName name="GD" localSheetId="8">#REF!</definedName>
    <definedName name="GD" localSheetId="6">#REF!</definedName>
    <definedName name="geral" localSheetId="8">#REF!</definedName>
    <definedName name="geral" localSheetId="6">#REF!</definedName>
    <definedName name="gfgh" localSheetId="15" hidden="1">{#N/A,#N/A,FALSE,"MO (2)"}</definedName>
    <definedName name="gfgh" localSheetId="8" hidden="1">{#N/A,#N/A,FALSE,"MO (2)"}</definedName>
    <definedName name="gfgh" localSheetId="5" hidden="1">{#N/A,#N/A,FALSE,"MO (2)"}</definedName>
    <definedName name="gfgh" localSheetId="34" hidden="1">{#N/A,#N/A,FALSE,"MO (2)"}</definedName>
    <definedName name="gfgh" localSheetId="6" hidden="1">{#N/A,#N/A,FALSE,"MO (2)"}</definedName>
    <definedName name="gfgh" localSheetId="14" hidden="1">{#N/A,#N/A,FALSE,"MO (2)"}</definedName>
    <definedName name="gfgh" hidden="1">{#N/A,#N/A,FALSE,"MO (2)"}</definedName>
    <definedName name="gfgh_1" localSheetId="15" hidden="1">{#N/A,#N/A,FALSE,"MO (2)"}</definedName>
    <definedName name="gfgh_1" localSheetId="8" hidden="1">{#N/A,#N/A,FALSE,"MO (2)"}</definedName>
    <definedName name="gfgh_1" localSheetId="5" hidden="1">{#N/A,#N/A,FALSE,"MO (2)"}</definedName>
    <definedName name="gfgh_1" localSheetId="34" hidden="1">{#N/A,#N/A,FALSE,"MO (2)"}</definedName>
    <definedName name="gfgh_1" localSheetId="6" hidden="1">{#N/A,#N/A,FALSE,"MO (2)"}</definedName>
    <definedName name="gfgh_1" localSheetId="14" hidden="1">{#N/A,#N/A,FALSE,"MO (2)"}</definedName>
    <definedName name="gfgh_1" hidden="1">{#N/A,#N/A,FALSE,"MO (2)"}</definedName>
    <definedName name="GRAMA" localSheetId="8">#REF!</definedName>
    <definedName name="GRAMA" localSheetId="6">#REF!</definedName>
    <definedName name="grama_mudas" localSheetId="8">#REF!</definedName>
    <definedName name="grama_mudas" localSheetId="6">#REF!</definedName>
    <definedName name="_xlnm.Recorder" localSheetId="8">#REF!</definedName>
    <definedName name="_xlnm.Recorder" localSheetId="6">#REF!</definedName>
    <definedName name="Guias" localSheetId="8">#REF!</definedName>
    <definedName name="Guias" localSheetId="6">#REF!</definedName>
    <definedName name="INDI" localSheetId="8">#REF!</definedName>
    <definedName name="INDI" localSheetId="6">#REF!</definedName>
    <definedName name="indi_33" localSheetId="8">#REF!</definedName>
    <definedName name="indi_33" localSheetId="6">#REF!</definedName>
    <definedName name="INDI22" localSheetId="8">#REF!</definedName>
    <definedName name="INDI22" localSheetId="6">#REF!</definedName>
    <definedName name="indice_2" localSheetId="8">#REF!</definedName>
    <definedName name="indice_2" localSheetId="6">#REF!</definedName>
    <definedName name="INDICEI1" localSheetId="8">#REF!</definedName>
    <definedName name="INDICEI1" localSheetId="6">#REF!</definedName>
    <definedName name="inic" localSheetId="8">#REF!</definedName>
    <definedName name="inic" localSheetId="6">#REF!</definedName>
    <definedName name="Inst_elétricas" localSheetId="8">#REF!</definedName>
    <definedName name="Inst_elétricas" localSheetId="6">#REF!</definedName>
    <definedName name="Inst_hidráulicas" localSheetId="8">#REF!</definedName>
    <definedName name="Inst_hidráulicas" localSheetId="6">#REF!</definedName>
    <definedName name="INST_PROVISÓRIAS" localSheetId="8">#REF!</definedName>
    <definedName name="INST_PROVISÓRIAS" localSheetId="6">#REF!</definedName>
    <definedName name="Inst_sanitárias" localSheetId="8">#REF!</definedName>
    <definedName name="Inst_sanitárias" localSheetId="6">#REF!</definedName>
    <definedName name="JAZ" localSheetId="8">#REF!</definedName>
    <definedName name="JAZ" localSheetId="6">#REF!</definedName>
    <definedName name="jkhjkjkg" localSheetId="15" hidden="1">{#N/A,#N/A,FALSE,"MO (2)"}</definedName>
    <definedName name="jkhjkjkg" localSheetId="8" hidden="1">{#N/A,#N/A,FALSE,"MO (2)"}</definedName>
    <definedName name="jkhjkjkg" localSheetId="5" hidden="1">{#N/A,#N/A,FALSE,"MO (2)"}</definedName>
    <definedName name="jkhjkjkg" localSheetId="34" hidden="1">{#N/A,#N/A,FALSE,"MO (2)"}</definedName>
    <definedName name="jkhjkjkg" localSheetId="6" hidden="1">{#N/A,#N/A,FALSE,"MO (2)"}</definedName>
    <definedName name="jkhjkjkg" localSheetId="14" hidden="1">{#N/A,#N/A,FALSE,"MO (2)"}</definedName>
    <definedName name="jkhjkjkg" hidden="1">{#N/A,#N/A,FALSE,"MO (2)"}</definedName>
    <definedName name="jkhjkjkg_1" localSheetId="15" hidden="1">{#N/A,#N/A,FALSE,"MO (2)"}</definedName>
    <definedName name="jkhjkjkg_1" localSheetId="8" hidden="1">{#N/A,#N/A,FALSE,"MO (2)"}</definedName>
    <definedName name="jkhjkjkg_1" localSheetId="5" hidden="1">{#N/A,#N/A,FALSE,"MO (2)"}</definedName>
    <definedName name="jkhjkjkg_1" localSheetId="34" hidden="1">{#N/A,#N/A,FALSE,"MO (2)"}</definedName>
    <definedName name="jkhjkjkg_1" localSheetId="6" hidden="1">{#N/A,#N/A,FALSE,"MO (2)"}</definedName>
    <definedName name="jkhjkjkg_1" localSheetId="14" hidden="1">{#N/A,#N/A,FALSE,"MO (2)"}</definedName>
    <definedName name="jkhjkjkg_1" hidden="1">{#N/A,#N/A,FALSE,"MO (2)"}</definedName>
    <definedName name="kdren" localSheetId="8">#REF!</definedName>
    <definedName name="kdren" localSheetId="6">#REF!</definedName>
    <definedName name="kdrena" localSheetId="8">#REF!</definedName>
    <definedName name="kdrena" localSheetId="6">#REF!</definedName>
    <definedName name="Km" localSheetId="8">#REF!</definedName>
    <definedName name="Km" localSheetId="6">#REF!</definedName>
    <definedName name="koae" localSheetId="8">#REF!</definedName>
    <definedName name="koae" localSheetId="6">#REF!</definedName>
    <definedName name="kpavi" localSheetId="8">#REF!</definedName>
    <definedName name="kpavi" localSheetId="6">#REF!</definedName>
    <definedName name="KSIN" localSheetId="8">#REF!</definedName>
    <definedName name="KSIN" localSheetId="6">#REF!</definedName>
    <definedName name="ksinal" localSheetId="8">#REF!</definedName>
    <definedName name="ksinal" localSheetId="6">#REF!</definedName>
    <definedName name="kterra" localSheetId="8">#REF!</definedName>
    <definedName name="kterra" localSheetId="6">#REF!</definedName>
    <definedName name="LASTRO_CONCRETO" localSheetId="8">#REF!</definedName>
    <definedName name="LASTRO_CONCRETO" localSheetId="6">#REF!</definedName>
    <definedName name="LASTRO_EMISS3_S" localSheetId="8">#REF!</definedName>
    <definedName name="LASTRO_EMISS3_S" localSheetId="6">#REF!</definedName>
    <definedName name="LIG_PRED_SERV" localSheetId="8">#REF!</definedName>
    <definedName name="LIG_PRED_SERV" localSheetId="6">#REF!</definedName>
    <definedName name="LIG_PREDIAIS_MAT" localSheetId="8">#REF!</definedName>
    <definedName name="LIG_PREDIAIS_MAT" localSheetId="6">#REF!</definedName>
    <definedName name="LIGAÇÕES" localSheetId="8">#REF!</definedName>
    <definedName name="LIGAÇÕES" localSheetId="6">#REF!</definedName>
    <definedName name="loc" localSheetId="8">#REF!</definedName>
    <definedName name="loc" localSheetId="6">#REF!</definedName>
    <definedName name="LOC_EMISS3" localSheetId="8">#REF!</definedName>
    <definedName name="LOC_EMISS3" localSheetId="6">#REF!</definedName>
    <definedName name="LOCAÇÃO" localSheetId="8">#REF!</definedName>
    <definedName name="LOCAÇÃO" localSheetId="6">#REF!</definedName>
    <definedName name="LOCAÇÃO_EMISS" localSheetId="8">#REF!</definedName>
    <definedName name="LOCAÇÃO_EMISS" localSheetId="6">#REF!</definedName>
    <definedName name="LOCAÇÃO_EMISS2" localSheetId="8">#REF!</definedName>
    <definedName name="LOCAÇÃO_EMISS2" localSheetId="6">#REF!</definedName>
    <definedName name="local" localSheetId="8">#REF!</definedName>
    <definedName name="local" localSheetId="6">#REF!</definedName>
    <definedName name="LOTA" localSheetId="8">#REF!</definedName>
    <definedName name="LOTA" localSheetId="6">#REF!</definedName>
    <definedName name="LOTE" localSheetId="8">#REF!</definedName>
    <definedName name="LOTE" localSheetId="6">#REF!</definedName>
    <definedName name="LOTE1" localSheetId="8">#REF!</definedName>
    <definedName name="LOTE1" localSheetId="6">#REF!</definedName>
    <definedName name="Louças_acessórios" localSheetId="8">#REF!</definedName>
    <definedName name="Louças_acessórios" localSheetId="6">#REF!</definedName>
    <definedName name="LS" localSheetId="8">#REF!</definedName>
    <definedName name="LS" localSheetId="6">#REF!</definedName>
    <definedName name="luis" localSheetId="8">#REF!</definedName>
    <definedName name="luis" localSheetId="6">#REF!</definedName>
    <definedName name="Material_britado" localSheetId="8">#REF!</definedName>
    <definedName name="Material_britado" localSheetId="6">#REF!</definedName>
    <definedName name="mbc" localSheetId="8">#REF!</definedName>
    <definedName name="mbc" localSheetId="6">#REF!</definedName>
    <definedName name="med" localSheetId="15" hidden="1">{#N/A,#N/A,FALSE,"MO (2)"}</definedName>
    <definedName name="med" localSheetId="8" hidden="1">{#N/A,#N/A,FALSE,"MO (2)"}</definedName>
    <definedName name="med" localSheetId="5" hidden="1">{#N/A,#N/A,FALSE,"MO (2)"}</definedName>
    <definedName name="med" localSheetId="34" hidden="1">{#N/A,#N/A,FALSE,"MO (2)"}</definedName>
    <definedName name="med" localSheetId="6" hidden="1">{#N/A,#N/A,FALSE,"MO (2)"}</definedName>
    <definedName name="med" localSheetId="14" hidden="1">{#N/A,#N/A,FALSE,"MO (2)"}</definedName>
    <definedName name="med" hidden="1">{#N/A,#N/A,FALSE,"MO (2)"}</definedName>
    <definedName name="med_1" localSheetId="15" hidden="1">{#N/A,#N/A,FALSE,"MO (2)"}</definedName>
    <definedName name="med_1" localSheetId="8" hidden="1">{#N/A,#N/A,FALSE,"MO (2)"}</definedName>
    <definedName name="med_1" localSheetId="5" hidden="1">{#N/A,#N/A,FALSE,"MO (2)"}</definedName>
    <definedName name="med_1" localSheetId="34" hidden="1">{#N/A,#N/A,FALSE,"MO (2)"}</definedName>
    <definedName name="med_1" localSheetId="6" hidden="1">{#N/A,#N/A,FALSE,"MO (2)"}</definedName>
    <definedName name="med_1" localSheetId="14" hidden="1">{#N/A,#N/A,FALSE,"MO (2)"}</definedName>
    <definedName name="med_1" hidden="1">{#N/A,#N/A,FALSE,"MO (2)"}</definedName>
    <definedName name="MEIO_FIO" localSheetId="8">#REF!</definedName>
    <definedName name="MEIO_FIO" localSheetId="6">#REF!</definedName>
    <definedName name="meiofio" localSheetId="8">#REF!</definedName>
    <definedName name="meiofio" localSheetId="6">#REF!</definedName>
    <definedName name="mo_base" localSheetId="8">#REF!</definedName>
    <definedName name="mo_base" localSheetId="6">#REF!</definedName>
    <definedName name="mo_sub_base" localSheetId="8">#REF!</definedName>
    <definedName name="mo_sub_base" localSheetId="6">#REF!</definedName>
    <definedName name="mosubb" localSheetId="8">#REF!</definedName>
    <definedName name="mosubb" localSheetId="6">#REF!</definedName>
    <definedName name="mosubl" localSheetId="8">#REF!</definedName>
    <definedName name="mosubl" localSheetId="6">#REF!</definedName>
    <definedName name="MOV_TERR_EMISS3_S" localSheetId="8">#REF!</definedName>
    <definedName name="MOV_TERR_EMISS3_S" localSheetId="6">#REF!</definedName>
    <definedName name="MOV_TERRA" localSheetId="8">#REF!</definedName>
    <definedName name="MOV_TERRA" localSheetId="6">#REF!</definedName>
    <definedName name="MOV_TERRA_EMISS" localSheetId="8">#REF!</definedName>
    <definedName name="MOV_TERRA_EMISS" localSheetId="6">#REF!</definedName>
    <definedName name="MOV_TERRA_EMISS2" localSheetId="8">#REF!</definedName>
    <definedName name="MOV_TERRA_EMISS2" localSheetId="6">#REF!</definedName>
    <definedName name="OAC" localSheetId="8">#REF!</definedName>
    <definedName name="OAC" localSheetId="6">#REF!</definedName>
    <definedName name="oac.b" localSheetId="8">#REF!</definedName>
    <definedName name="oac.b" localSheetId="6">#REF!</definedName>
    <definedName name="oac.c" localSheetId="8">#REF!</definedName>
    <definedName name="oac.c" localSheetId="6">#REF!</definedName>
    <definedName name="oac.ve" localSheetId="8">#REF!</definedName>
    <definedName name="oac.ve" localSheetId="6">#REF!</definedName>
    <definedName name="oac.ve.remoc" localSheetId="8">#REF!</definedName>
    <definedName name="oac.ve.remoc" localSheetId="6">#REF!</definedName>
    <definedName name="oac.vr" localSheetId="8">#REF!</definedName>
    <definedName name="oac.vr" localSheetId="6">#REF!</definedName>
    <definedName name="oac.vr.remoc" localSheetId="8">#REF!</definedName>
    <definedName name="oac.vr.remoc" localSheetId="6">#REF!</definedName>
    <definedName name="Oacorre2" localSheetId="8">#REF!</definedName>
    <definedName name="Oacorre2" localSheetId="6">#REF!</definedName>
    <definedName name="OAE" localSheetId="8">#REF!</definedName>
    <definedName name="OAE" localSheetId="6">#REF!</definedName>
    <definedName name="oae.vc" localSheetId="8">#REF!</definedName>
    <definedName name="oae.vc" localSheetId="6">#REF!</definedName>
    <definedName name="Oaesp2" localSheetId="8">#REF!</definedName>
    <definedName name="Oaesp2" localSheetId="6">#REF!</definedName>
    <definedName name="OBJETO" localSheetId="8">#REF!</definedName>
    <definedName name="OBJETO" localSheetId="6">#REF!</definedName>
    <definedName name="OBJETOA" localSheetId="8">#REF!</definedName>
    <definedName name="OBJETOA" localSheetId="6">#REF!</definedName>
    <definedName name="OCOM" localSheetId="8">#REF!</definedName>
    <definedName name="OCOM" localSheetId="6">#REF!</definedName>
    <definedName name="Ocomp2" localSheetId="8">#REF!</definedName>
    <definedName name="Ocomp2" localSheetId="6">#REF!</definedName>
    <definedName name="oesp" localSheetId="8">#REF!</definedName>
    <definedName name="oesp" localSheetId="6">#REF!</definedName>
    <definedName name="OP" localSheetId="8">#REF!</definedName>
    <definedName name="OP" localSheetId="6">#REF!</definedName>
    <definedName name="OPA" localSheetId="8">#REF!</definedName>
    <definedName name="OPA" localSheetId="6">#REF!</definedName>
    <definedName name="Orçamento" localSheetId="8">#REF!</definedName>
    <definedName name="Orçamento" localSheetId="6">#REF!</definedName>
    <definedName name="org" localSheetId="8">#REF!</definedName>
    <definedName name="org" localSheetId="6">#REF!</definedName>
    <definedName name="ÓRGÃO" localSheetId="8">#REF!</definedName>
    <definedName name="ÓRGÃO" localSheetId="6">#REF!</definedName>
    <definedName name="Orla" localSheetId="8">#REF!</definedName>
    <definedName name="Orla" localSheetId="6">#REF!</definedName>
    <definedName name="orlando" localSheetId="8">#REF!</definedName>
    <definedName name="orlando" localSheetId="6">#REF!</definedName>
    <definedName name="pav" localSheetId="8">#REF!</definedName>
    <definedName name="pav" localSheetId="6">#REF!</definedName>
    <definedName name="PAV_2" localSheetId="8">#REF!</definedName>
    <definedName name="PAV_2" localSheetId="6">#REF!</definedName>
    <definedName name="PAV_EMISS3_S" localSheetId="8">#REF!</definedName>
    <definedName name="PAV_EMISS3_S" localSheetId="6">#REF!</definedName>
    <definedName name="pavi" localSheetId="8">#REF!</definedName>
    <definedName name="pavi" localSheetId="6">#REF!</definedName>
    <definedName name="Pavi2" localSheetId="8">#REF!</definedName>
    <definedName name="Pavi2" localSheetId="6">#REF!</definedName>
    <definedName name="PAVIM_EMISS" localSheetId="8">#REF!</definedName>
    <definedName name="PAVIM_EMISS" localSheetId="6">#REF!</definedName>
    <definedName name="PAVIM_EMISS2" localSheetId="8">#REF!</definedName>
    <definedName name="PAVIM_EMISS2" localSheetId="6">#REF!</definedName>
    <definedName name="PAVIMENTAÇÃO" localSheetId="8">#REF!</definedName>
    <definedName name="PAVIMENTAÇÃO" localSheetId="6">#REF!</definedName>
    <definedName name="PED" localSheetId="8">#REF!</definedName>
    <definedName name="PED" localSheetId="6">#REF!</definedName>
    <definedName name="PEDA" localSheetId="8">#REF!</definedName>
    <definedName name="PEDA" localSheetId="6">#REF!</definedName>
    <definedName name="PEDREIRA" localSheetId="8">#REF!</definedName>
    <definedName name="PEDREIRA" localSheetId="6">#REF!</definedName>
    <definedName name="Pia_cozinha" localSheetId="8">#REF!</definedName>
    <definedName name="Pia_cozinha" localSheetId="6">#REF!</definedName>
    <definedName name="Pilar" localSheetId="8">#REF!</definedName>
    <definedName name="Pilar" localSheetId="6">#REF!</definedName>
    <definedName name="pint_lig" localSheetId="8">#REF!</definedName>
    <definedName name="pint_lig" localSheetId="6">#REF!</definedName>
    <definedName name="Pintura_cal" localSheetId="8">#REF!</definedName>
    <definedName name="Pintura_cal" localSheetId="6">#REF!</definedName>
    <definedName name="Pintura_óleo" localSheetId="8">#REF!</definedName>
    <definedName name="Pintura_óleo" localSheetId="6">#REF!</definedName>
    <definedName name="Piso_cimentado" localSheetId="8">#REF!</definedName>
    <definedName name="Piso_cimentado" localSheetId="6">#REF!</definedName>
    <definedName name="Placa_de_cimento" localSheetId="8">#REF!</definedName>
    <definedName name="Placa_de_cimento" localSheetId="6">#REF!</definedName>
    <definedName name="PLACA_OBRA" localSheetId="8">#REF!</definedName>
    <definedName name="PLACA_OBRA" localSheetId="6">#REF!</definedName>
    <definedName name="plano" localSheetId="8">#REF!</definedName>
    <definedName name="plano" localSheetId="6">#REF!</definedName>
    <definedName name="POÇO_VISIT" localSheetId="8">#REF!</definedName>
    <definedName name="POÇO_VISIT" localSheetId="6">#REF!</definedName>
    <definedName name="PRAZO" localSheetId="8">#REF!</definedName>
    <definedName name="PRAZO" localSheetId="6">#REF!</definedName>
    <definedName name="PRAZOA" localSheetId="8">#REF!</definedName>
    <definedName name="PRAZOA" localSheetId="6">#REF!</definedName>
    <definedName name="Preço_Unitário" localSheetId="8">#REF!</definedName>
    <definedName name="Preço_Unitário" localSheetId="6">#REF!</definedName>
    <definedName name="Print_Area_MI" localSheetId="8">#REF!</definedName>
    <definedName name="Print_Area_MI" localSheetId="6">#REF!</definedName>
    <definedName name="pz" localSheetId="8">#REF!</definedName>
    <definedName name="pz" localSheetId="6">#REF!</definedName>
    <definedName name="QUANT_acumu" localSheetId="8">#REF!</definedName>
    <definedName name="QUANT_acumu" localSheetId="6">#REF!</definedName>
    <definedName name="Quantidade" localSheetId="8">#REF!</definedName>
    <definedName name="Quantidade" localSheetId="6">#REF!</definedName>
    <definedName name="quantidades" localSheetId="8">#REF!</definedName>
    <definedName name="quantidades" localSheetId="6">#REF!</definedName>
    <definedName name="Radier" localSheetId="8">#REF!</definedName>
    <definedName name="Radier" localSheetId="6">#REF!</definedName>
    <definedName name="rc.cerca" localSheetId="8">#REF!</definedName>
    <definedName name="rc.cerca" localSheetId="6">#REF!</definedName>
    <definedName name="rea" localSheetId="8">#REF!</definedName>
    <definedName name="rea" localSheetId="6">#REF!</definedName>
    <definedName name="REAJ" localSheetId="8">#REF!</definedName>
    <definedName name="REAJ" localSheetId="6">#REF!</definedName>
    <definedName name="Reaterro" localSheetId="8">#REF!</definedName>
    <definedName name="Reaterro" localSheetId="6">#REF!</definedName>
    <definedName name="Reboco" localSheetId="8">#REF!</definedName>
    <definedName name="Reboco" localSheetId="6">#REF!</definedName>
    <definedName name="REDE_COLETORA_MAT" localSheetId="8">#REF!</definedName>
    <definedName name="REDE_COLETORA_MAT" localSheetId="6">#REF!</definedName>
    <definedName name="REDE_COLETORA_SERV" localSheetId="8">#REF!</definedName>
    <definedName name="REDE_COLETORA_SERV" localSheetId="6">#REF!</definedName>
    <definedName name="REG" localSheetId="8">#REF!</definedName>
    <definedName name="REG" localSheetId="6">#REF!</definedName>
    <definedName name="REGULA" localSheetId="8">#REF!</definedName>
    <definedName name="REGULA" localSheetId="6">#REF!</definedName>
    <definedName name="RELATÓRIO_DOS_SERVIÇOS_EXECUTADOS" localSheetId="8">#REF!</definedName>
    <definedName name="RELATÓRIO_DOS_SERVIÇOS_EXECUTADOS" localSheetId="6">#REF!</definedName>
    <definedName name="remoc" localSheetId="8">#REF!</definedName>
    <definedName name="remoc" localSheetId="6">#REF!</definedName>
    <definedName name="REMOÇÃO" localSheetId="8">#REF!</definedName>
    <definedName name="REMOÇÃO" localSheetId="6">#REF!</definedName>
    <definedName name="resumo3" localSheetId="15" hidden="1">{#N/A,#N/A,FALSE,"MO (2)"}</definedName>
    <definedName name="resumo3" localSheetId="8" hidden="1">{#N/A,#N/A,FALSE,"MO (2)"}</definedName>
    <definedName name="resumo3" localSheetId="5" hidden="1">{#N/A,#N/A,FALSE,"MO (2)"}</definedName>
    <definedName name="resumo3" localSheetId="34" hidden="1">{#N/A,#N/A,FALSE,"MO (2)"}</definedName>
    <definedName name="resumo3" localSheetId="6" hidden="1">{#N/A,#N/A,FALSE,"MO (2)"}</definedName>
    <definedName name="resumo3" localSheetId="14" hidden="1">{#N/A,#N/A,FALSE,"MO (2)"}</definedName>
    <definedName name="resumo3" hidden="1">{#N/A,#N/A,FALSE,"MO (2)"}</definedName>
    <definedName name="resumo3_1" localSheetId="15" hidden="1">{#N/A,#N/A,FALSE,"MO (2)"}</definedName>
    <definedName name="resumo3_1" localSheetId="8" hidden="1">{#N/A,#N/A,FALSE,"MO (2)"}</definedName>
    <definedName name="resumo3_1" localSheetId="5" hidden="1">{#N/A,#N/A,FALSE,"MO (2)"}</definedName>
    <definedName name="resumo3_1" localSheetId="34" hidden="1">{#N/A,#N/A,FALSE,"MO (2)"}</definedName>
    <definedName name="resumo3_1" localSheetId="6" hidden="1">{#N/A,#N/A,FALSE,"MO (2)"}</definedName>
    <definedName name="resumo3_1" localSheetId="14" hidden="1">{#N/A,#N/A,FALSE,"MO (2)"}</definedName>
    <definedName name="resumo3_1" hidden="1">{#N/A,#N/A,FALSE,"MO (2)"}</definedName>
    <definedName name="RL1C" localSheetId="8">#REF!</definedName>
    <definedName name="RL1C" localSheetId="6">#REF!</definedName>
    <definedName name="ROB" localSheetId="8">#REF!</definedName>
    <definedName name="ROBERTO" localSheetId="8">#REF!</definedName>
    <definedName name="rod" localSheetId="8">#REF!</definedName>
    <definedName name="rod" localSheetId="6">#REF!</definedName>
    <definedName name="rodo" localSheetId="8">#REF!</definedName>
    <definedName name="rodo" localSheetId="6">#REF!</definedName>
    <definedName name="RODO1" localSheetId="8">#REF!</definedName>
    <definedName name="RODO1" localSheetId="6">#REF!</definedName>
    <definedName name="RODO2" localSheetId="8">#REF!</definedName>
    <definedName name="RODO2" localSheetId="6">#REF!</definedName>
    <definedName name="RODOA" localSheetId="8">#REF!</definedName>
    <definedName name="RODOA" localSheetId="6">#REF!</definedName>
    <definedName name="RODOA1" localSheetId="8">#REF!</definedName>
    <definedName name="RODOA1" localSheetId="6">#REF!</definedName>
    <definedName name="rodov" localSheetId="8">#REF!</definedName>
    <definedName name="rodov" localSheetId="6">#REF!</definedName>
    <definedName name="rr.2c_pint" localSheetId="8">#REF!</definedName>
    <definedName name="rr.2c_pint" localSheetId="6">#REF!</definedName>
    <definedName name="RR_2C" localSheetId="8">#REF!</definedName>
    <definedName name="RR_2C" localSheetId="6">#REF!</definedName>
    <definedName name="RR1C" localSheetId="8">#REF!</definedName>
    <definedName name="RR1C" localSheetId="6">#REF!</definedName>
    <definedName name="RRD" localSheetId="8">#REF!</definedName>
    <definedName name="RRD" localSheetId="6">#REF!</definedName>
    <definedName name="SADERA" localSheetId="15" hidden="1">{#N/A,#N/A,FALSE,"MO (2)"}</definedName>
    <definedName name="SADERA" localSheetId="8" hidden="1">{#N/A,#N/A,FALSE,"MO (2)"}</definedName>
    <definedName name="SADERA" localSheetId="5" hidden="1">{#N/A,#N/A,FALSE,"MO (2)"}</definedName>
    <definedName name="SADERA" localSheetId="34" hidden="1">{#N/A,#N/A,FALSE,"MO (2)"}</definedName>
    <definedName name="SADERA" localSheetId="6" hidden="1">{#N/A,#N/A,FALSE,"MO (2)"}</definedName>
    <definedName name="SADERA" localSheetId="14" hidden="1">{#N/A,#N/A,FALSE,"MO (2)"}</definedName>
    <definedName name="SADERA" hidden="1">{#N/A,#N/A,FALSE,"MO (2)"}</definedName>
    <definedName name="SADERA_1" localSheetId="15" hidden="1">{#N/A,#N/A,FALSE,"MO (2)"}</definedName>
    <definedName name="SADERA_1" localSheetId="8" hidden="1">{#N/A,#N/A,FALSE,"MO (2)"}</definedName>
    <definedName name="SADERA_1" localSheetId="5" hidden="1">{#N/A,#N/A,FALSE,"MO (2)"}</definedName>
    <definedName name="SADERA_1" localSheetId="34" hidden="1">{#N/A,#N/A,FALSE,"MO (2)"}</definedName>
    <definedName name="SADERA_1" localSheetId="6" hidden="1">{#N/A,#N/A,FALSE,"MO (2)"}</definedName>
    <definedName name="SADERA_1" localSheetId="14" hidden="1">{#N/A,#N/A,FALSE,"MO (2)"}</definedName>
    <definedName name="SADERA_1" hidden="1">{#N/A,#N/A,FALSE,"MO (2)"}</definedName>
    <definedName name="saderadesa" localSheetId="15" hidden="1">{#N/A,#N/A,FALSE,"MO (2)"}</definedName>
    <definedName name="saderadesa" localSheetId="8" hidden="1">{#N/A,#N/A,FALSE,"MO (2)"}</definedName>
    <definedName name="saderadesa" localSheetId="5" hidden="1">{#N/A,#N/A,FALSE,"MO (2)"}</definedName>
    <definedName name="saderadesa" localSheetId="34" hidden="1">{#N/A,#N/A,FALSE,"MO (2)"}</definedName>
    <definedName name="saderadesa" localSheetId="6" hidden="1">{#N/A,#N/A,FALSE,"MO (2)"}</definedName>
    <definedName name="saderadesa" localSheetId="14" hidden="1">{#N/A,#N/A,FALSE,"MO (2)"}</definedName>
    <definedName name="saderadesa" hidden="1">{#N/A,#N/A,FALSE,"MO (2)"}</definedName>
    <definedName name="saderadesa_1" localSheetId="15" hidden="1">{#N/A,#N/A,FALSE,"MO (2)"}</definedName>
    <definedName name="saderadesa_1" localSheetId="8" hidden="1">{#N/A,#N/A,FALSE,"MO (2)"}</definedName>
    <definedName name="saderadesa_1" localSheetId="5" hidden="1">{#N/A,#N/A,FALSE,"MO (2)"}</definedName>
    <definedName name="saderadesa_1" localSheetId="34" hidden="1">{#N/A,#N/A,FALSE,"MO (2)"}</definedName>
    <definedName name="saderadesa_1" localSheetId="6" hidden="1">{#N/A,#N/A,FALSE,"MO (2)"}</definedName>
    <definedName name="saderadesa_1" localSheetId="14" hidden="1">{#N/A,#N/A,FALSE,"MO (2)"}</definedName>
    <definedName name="saderadesa_1" hidden="1">{#N/A,#N/A,FALSE,"MO (2)"}</definedName>
    <definedName name="saderasa" localSheetId="15" hidden="1">{#N/A,#N/A,FALSE,"MO (2)"}</definedName>
    <definedName name="saderasa" localSheetId="8" hidden="1">{#N/A,#N/A,FALSE,"MO (2)"}</definedName>
    <definedName name="saderasa" localSheetId="5" hidden="1">{#N/A,#N/A,FALSE,"MO (2)"}</definedName>
    <definedName name="saderasa" localSheetId="34" hidden="1">{#N/A,#N/A,FALSE,"MO (2)"}</definedName>
    <definedName name="saderasa" localSheetId="6" hidden="1">{#N/A,#N/A,FALSE,"MO (2)"}</definedName>
    <definedName name="saderasa" localSheetId="14" hidden="1">{#N/A,#N/A,FALSE,"MO (2)"}</definedName>
    <definedName name="saderasa" hidden="1">{#N/A,#N/A,FALSE,"MO (2)"}</definedName>
    <definedName name="saderasa_1" localSheetId="15" hidden="1">{#N/A,#N/A,FALSE,"MO (2)"}</definedName>
    <definedName name="saderasa_1" localSheetId="8" hidden="1">{#N/A,#N/A,FALSE,"MO (2)"}</definedName>
    <definedName name="saderasa_1" localSheetId="5" hidden="1">{#N/A,#N/A,FALSE,"MO (2)"}</definedName>
    <definedName name="saderasa_1" localSheetId="34" hidden="1">{#N/A,#N/A,FALSE,"MO (2)"}</definedName>
    <definedName name="saderasa_1" localSheetId="6" hidden="1">{#N/A,#N/A,FALSE,"MO (2)"}</definedName>
    <definedName name="saderasa_1" localSheetId="14" hidden="1">{#N/A,#N/A,FALSE,"MO (2)"}</definedName>
    <definedName name="saderasa_1" hidden="1">{#N/A,#N/A,FALSE,"MO (2)"}</definedName>
    <definedName name="saderefe" localSheetId="15" hidden="1">{#N/A,#N/A,FALSE,"MO (2)"}</definedName>
    <definedName name="saderefe" localSheetId="8" hidden="1">{#N/A,#N/A,FALSE,"MO (2)"}</definedName>
    <definedName name="saderefe" localSheetId="5" hidden="1">{#N/A,#N/A,FALSE,"MO (2)"}</definedName>
    <definedName name="saderefe" localSheetId="34" hidden="1">{#N/A,#N/A,FALSE,"MO (2)"}</definedName>
    <definedName name="saderefe" localSheetId="6" hidden="1">{#N/A,#N/A,FALSE,"MO (2)"}</definedName>
    <definedName name="saderefe" localSheetId="14" hidden="1">{#N/A,#N/A,FALSE,"MO (2)"}</definedName>
    <definedName name="saderefe" hidden="1">{#N/A,#N/A,FALSE,"MO (2)"}</definedName>
    <definedName name="saderefe_1" localSheetId="15" hidden="1">{#N/A,#N/A,FALSE,"MO (2)"}</definedName>
    <definedName name="saderefe_1" localSheetId="8" hidden="1">{#N/A,#N/A,FALSE,"MO (2)"}</definedName>
    <definedName name="saderefe_1" localSheetId="5" hidden="1">{#N/A,#N/A,FALSE,"MO (2)"}</definedName>
    <definedName name="saderefe_1" localSheetId="34" hidden="1">{#N/A,#N/A,FALSE,"MO (2)"}</definedName>
    <definedName name="saderefe_1" localSheetId="6" hidden="1">{#N/A,#N/A,FALSE,"MO (2)"}</definedName>
    <definedName name="saderefe_1" localSheetId="14" hidden="1">{#N/A,#N/A,FALSE,"MO (2)"}</definedName>
    <definedName name="saderefe_1" hidden="1">{#N/A,#N/A,FALSE,"MO (2)"}</definedName>
    <definedName name="SALÁRIOMINIMO" localSheetId="8">#REF!</definedName>
    <definedName name="SALÁRIOMINIMO" localSheetId="6">#REF!</definedName>
    <definedName name="salete" localSheetId="15" hidden="1">{#N/A,#N/A,FALSE,"MO (2)"}</definedName>
    <definedName name="salete" localSheetId="8" hidden="1">{#N/A,#N/A,FALSE,"MO (2)"}</definedName>
    <definedName name="salete" localSheetId="5" hidden="1">{#N/A,#N/A,FALSE,"MO (2)"}</definedName>
    <definedName name="salete" localSheetId="34" hidden="1">{#N/A,#N/A,FALSE,"MO (2)"}</definedName>
    <definedName name="salete" localSheetId="6" hidden="1">{#N/A,#N/A,FALSE,"MO (2)"}</definedName>
    <definedName name="salete" localSheetId="14" hidden="1">{#N/A,#N/A,FALSE,"MO (2)"}</definedName>
    <definedName name="salete" hidden="1">{#N/A,#N/A,FALSE,"MO (2)"}</definedName>
    <definedName name="salete.com" localSheetId="15" hidden="1">{#N/A,#N/A,FALSE,"MO (2)"}</definedName>
    <definedName name="salete.com" localSheetId="8" hidden="1">{#N/A,#N/A,FALSE,"MO (2)"}</definedName>
    <definedName name="salete.com" localSheetId="5" hidden="1">{#N/A,#N/A,FALSE,"MO (2)"}</definedName>
    <definedName name="salete.com" localSheetId="34" hidden="1">{#N/A,#N/A,FALSE,"MO (2)"}</definedName>
    <definedName name="salete.com" localSheetId="6" hidden="1">{#N/A,#N/A,FALSE,"MO (2)"}</definedName>
    <definedName name="salete.com" localSheetId="14" hidden="1">{#N/A,#N/A,FALSE,"MO (2)"}</definedName>
    <definedName name="salete.com" hidden="1">{#N/A,#N/A,FALSE,"MO (2)"}</definedName>
    <definedName name="salete.com_1" localSheetId="15" hidden="1">{#N/A,#N/A,FALSE,"MO (2)"}</definedName>
    <definedName name="salete.com_1" localSheetId="8" hidden="1">{#N/A,#N/A,FALSE,"MO (2)"}</definedName>
    <definedName name="salete.com_1" localSheetId="5" hidden="1">{#N/A,#N/A,FALSE,"MO (2)"}</definedName>
    <definedName name="salete.com_1" localSheetId="34" hidden="1">{#N/A,#N/A,FALSE,"MO (2)"}</definedName>
    <definedName name="salete.com_1" localSheetId="6" hidden="1">{#N/A,#N/A,FALSE,"MO (2)"}</definedName>
    <definedName name="salete.com_1" localSheetId="14" hidden="1">{#N/A,#N/A,FALSE,"MO (2)"}</definedName>
    <definedName name="salete.com_1" hidden="1">{#N/A,#N/A,FALSE,"MO (2)"}</definedName>
    <definedName name="salete_1" localSheetId="15" hidden="1">{#N/A,#N/A,FALSE,"MO (2)"}</definedName>
    <definedName name="salete_1" localSheetId="8" hidden="1">{#N/A,#N/A,FALSE,"MO (2)"}</definedName>
    <definedName name="salete_1" localSheetId="5" hidden="1">{#N/A,#N/A,FALSE,"MO (2)"}</definedName>
    <definedName name="salete_1" localSheetId="34" hidden="1">{#N/A,#N/A,FALSE,"MO (2)"}</definedName>
    <definedName name="salete_1" localSheetId="6" hidden="1">{#N/A,#N/A,FALSE,"MO (2)"}</definedName>
    <definedName name="salete_1" localSheetId="14" hidden="1">{#N/A,#N/A,FALSE,"MO (2)"}</definedName>
    <definedName name="salete_1" hidden="1">{#N/A,#N/A,FALSE,"MO (2)"}</definedName>
    <definedName name="salete333" localSheetId="15" hidden="1">{#N/A,#N/A,FALSE,"MO (2)"}</definedName>
    <definedName name="salete333" localSheetId="8" hidden="1">{#N/A,#N/A,FALSE,"MO (2)"}</definedName>
    <definedName name="salete333" localSheetId="5" hidden="1">{#N/A,#N/A,FALSE,"MO (2)"}</definedName>
    <definedName name="salete333" localSheetId="34" hidden="1">{#N/A,#N/A,FALSE,"MO (2)"}</definedName>
    <definedName name="salete333" localSheetId="6" hidden="1">{#N/A,#N/A,FALSE,"MO (2)"}</definedName>
    <definedName name="salete333" localSheetId="14" hidden="1">{#N/A,#N/A,FALSE,"MO (2)"}</definedName>
    <definedName name="salete333" hidden="1">{#N/A,#N/A,FALSE,"MO (2)"}</definedName>
    <definedName name="salete333_1" localSheetId="15" hidden="1">{#N/A,#N/A,FALSE,"MO (2)"}</definedName>
    <definedName name="salete333_1" localSheetId="8" hidden="1">{#N/A,#N/A,FALSE,"MO (2)"}</definedName>
    <definedName name="salete333_1" localSheetId="5" hidden="1">{#N/A,#N/A,FALSE,"MO (2)"}</definedName>
    <definedName name="salete333_1" localSheetId="34" hidden="1">{#N/A,#N/A,FALSE,"MO (2)"}</definedName>
    <definedName name="salete333_1" localSheetId="6" hidden="1">{#N/A,#N/A,FALSE,"MO (2)"}</definedName>
    <definedName name="salete333_1" localSheetId="14" hidden="1">{#N/A,#N/A,FALSE,"MO (2)"}</definedName>
    <definedName name="salete333_1" hidden="1">{#N/A,#N/A,FALSE,"MO (2)"}</definedName>
    <definedName name="SASA" localSheetId="15" hidden="1">{#N/A,#N/A,FALSE,"MO (2)"}</definedName>
    <definedName name="SASA" localSheetId="8" hidden="1">{#N/A,#N/A,FALSE,"MO (2)"}</definedName>
    <definedName name="SASA" localSheetId="5" hidden="1">{#N/A,#N/A,FALSE,"MO (2)"}</definedName>
    <definedName name="SASA" localSheetId="34" hidden="1">{#N/A,#N/A,FALSE,"MO (2)"}</definedName>
    <definedName name="SASA" localSheetId="6" hidden="1">{#N/A,#N/A,FALSE,"MO (2)"}</definedName>
    <definedName name="SASA" localSheetId="14" hidden="1">{#N/A,#N/A,FALSE,"MO (2)"}</definedName>
    <definedName name="SASA" hidden="1">{#N/A,#N/A,FALSE,"MO (2)"}</definedName>
    <definedName name="sasa.com" localSheetId="15" hidden="1">{#N/A,#N/A,FALSE,"MO (2)"}</definedName>
    <definedName name="sasa.com" localSheetId="8" hidden="1">{#N/A,#N/A,FALSE,"MO (2)"}</definedName>
    <definedName name="sasa.com" localSheetId="5" hidden="1">{#N/A,#N/A,FALSE,"MO (2)"}</definedName>
    <definedName name="sasa.com" localSheetId="34" hidden="1">{#N/A,#N/A,FALSE,"MO (2)"}</definedName>
    <definedName name="sasa.com" localSheetId="6" hidden="1">{#N/A,#N/A,FALSE,"MO (2)"}</definedName>
    <definedName name="sasa.com" localSheetId="14" hidden="1">{#N/A,#N/A,FALSE,"MO (2)"}</definedName>
    <definedName name="sasa.com" hidden="1">{#N/A,#N/A,FALSE,"MO (2)"}</definedName>
    <definedName name="sasa.com_1" localSheetId="15" hidden="1">{#N/A,#N/A,FALSE,"MO (2)"}</definedName>
    <definedName name="sasa.com_1" localSheetId="8" hidden="1">{#N/A,#N/A,FALSE,"MO (2)"}</definedName>
    <definedName name="sasa.com_1" localSheetId="5" hidden="1">{#N/A,#N/A,FALSE,"MO (2)"}</definedName>
    <definedName name="sasa.com_1" localSheetId="34" hidden="1">{#N/A,#N/A,FALSE,"MO (2)"}</definedName>
    <definedName name="sasa.com_1" localSheetId="6" hidden="1">{#N/A,#N/A,FALSE,"MO (2)"}</definedName>
    <definedName name="sasa.com_1" localSheetId="14" hidden="1">{#N/A,#N/A,FALSE,"MO (2)"}</definedName>
    <definedName name="sasa.com_1" hidden="1">{#N/A,#N/A,FALSE,"MO (2)"}</definedName>
    <definedName name="SASA_1" localSheetId="15" hidden="1">{#N/A,#N/A,FALSE,"MO (2)"}</definedName>
    <definedName name="SASA_1" localSheetId="8" hidden="1">{#N/A,#N/A,FALSE,"MO (2)"}</definedName>
    <definedName name="SASA_1" localSheetId="5" hidden="1">{#N/A,#N/A,FALSE,"MO (2)"}</definedName>
    <definedName name="SASA_1" localSheetId="34" hidden="1">{#N/A,#N/A,FALSE,"MO (2)"}</definedName>
    <definedName name="SASA_1" localSheetId="6" hidden="1">{#N/A,#N/A,FALSE,"MO (2)"}</definedName>
    <definedName name="SASA_1" localSheetId="14" hidden="1">{#N/A,#N/A,FALSE,"MO (2)"}</definedName>
    <definedName name="SASA_1" hidden="1">{#N/A,#N/A,FALSE,"MO (2)"}</definedName>
    <definedName name="sasaasa" localSheetId="15" hidden="1">{#N/A,#N/A,FALSE,"MO (2)"}</definedName>
    <definedName name="sasaasa" localSheetId="8" hidden="1">{#N/A,#N/A,FALSE,"MO (2)"}</definedName>
    <definedName name="sasaasa" localSheetId="5" hidden="1">{#N/A,#N/A,FALSE,"MO (2)"}</definedName>
    <definedName name="sasaasa" localSheetId="34" hidden="1">{#N/A,#N/A,FALSE,"MO (2)"}</definedName>
    <definedName name="sasaasa" localSheetId="6" hidden="1">{#N/A,#N/A,FALSE,"MO (2)"}</definedName>
    <definedName name="sasaasa" localSheetId="14" hidden="1">{#N/A,#N/A,FALSE,"MO (2)"}</definedName>
    <definedName name="sasaasa" hidden="1">{#N/A,#N/A,FALSE,"MO (2)"}</definedName>
    <definedName name="sasaasa_1" localSheetId="15" hidden="1">{#N/A,#N/A,FALSE,"MO (2)"}</definedName>
    <definedName name="sasaasa_1" localSheetId="8" hidden="1">{#N/A,#N/A,FALSE,"MO (2)"}</definedName>
    <definedName name="sasaasa_1" localSheetId="5" hidden="1">{#N/A,#N/A,FALSE,"MO (2)"}</definedName>
    <definedName name="sasaasa_1" localSheetId="34" hidden="1">{#N/A,#N/A,FALSE,"MO (2)"}</definedName>
    <definedName name="sasaasa_1" localSheetId="6" hidden="1">{#N/A,#N/A,FALSE,"MO (2)"}</definedName>
    <definedName name="sasaasa_1" localSheetId="14" hidden="1">{#N/A,#N/A,FALSE,"MO (2)"}</definedName>
    <definedName name="sasaasa_1" hidden="1">{#N/A,#N/A,FALSE,"MO (2)"}</definedName>
    <definedName name="sasadasas" localSheetId="15" hidden="1">{#N/A,#N/A,FALSE,"MO (2)"}</definedName>
    <definedName name="sasadasas" localSheetId="8" hidden="1">{#N/A,#N/A,FALSE,"MO (2)"}</definedName>
    <definedName name="sasadasas" localSheetId="5" hidden="1">{#N/A,#N/A,FALSE,"MO (2)"}</definedName>
    <definedName name="sasadasas" localSheetId="34" hidden="1">{#N/A,#N/A,FALSE,"MO (2)"}</definedName>
    <definedName name="sasadasas" localSheetId="6" hidden="1">{#N/A,#N/A,FALSE,"MO (2)"}</definedName>
    <definedName name="sasadasas" localSheetId="14" hidden="1">{#N/A,#N/A,FALSE,"MO (2)"}</definedName>
    <definedName name="sasadasas" hidden="1">{#N/A,#N/A,FALSE,"MO (2)"}</definedName>
    <definedName name="sasadasas_1" localSheetId="15" hidden="1">{#N/A,#N/A,FALSE,"MO (2)"}</definedName>
    <definedName name="sasadasas_1" localSheetId="8" hidden="1">{#N/A,#N/A,FALSE,"MO (2)"}</definedName>
    <definedName name="sasadasas_1" localSheetId="5" hidden="1">{#N/A,#N/A,FALSE,"MO (2)"}</definedName>
    <definedName name="sasadasas_1" localSheetId="34" hidden="1">{#N/A,#N/A,FALSE,"MO (2)"}</definedName>
    <definedName name="sasadasas_1" localSheetId="6" hidden="1">{#N/A,#N/A,FALSE,"MO (2)"}</definedName>
    <definedName name="sasadasas_1" localSheetId="14" hidden="1">{#N/A,#N/A,FALSE,"MO (2)"}</definedName>
    <definedName name="sasadasas_1" hidden="1">{#N/A,#N/A,FALSE,"MO (2)"}</definedName>
    <definedName name="sasadefadesa" localSheetId="15" hidden="1">{#N/A,#N/A,FALSE,"MO (2)"}</definedName>
    <definedName name="sasadefadesa" localSheetId="8" hidden="1">{#N/A,#N/A,FALSE,"MO (2)"}</definedName>
    <definedName name="sasadefadesa" localSheetId="5" hidden="1">{#N/A,#N/A,FALSE,"MO (2)"}</definedName>
    <definedName name="sasadefadesa" localSheetId="34" hidden="1">{#N/A,#N/A,FALSE,"MO (2)"}</definedName>
    <definedName name="sasadefadesa" localSheetId="6" hidden="1">{#N/A,#N/A,FALSE,"MO (2)"}</definedName>
    <definedName name="sasadefadesa" localSheetId="14" hidden="1">{#N/A,#N/A,FALSE,"MO (2)"}</definedName>
    <definedName name="sasadefadesa" hidden="1">{#N/A,#N/A,FALSE,"MO (2)"}</definedName>
    <definedName name="sasadefadesa_1" localSheetId="15" hidden="1">{#N/A,#N/A,FALSE,"MO (2)"}</definedName>
    <definedName name="sasadefadesa_1" localSheetId="8" hidden="1">{#N/A,#N/A,FALSE,"MO (2)"}</definedName>
    <definedName name="sasadefadesa_1" localSheetId="5" hidden="1">{#N/A,#N/A,FALSE,"MO (2)"}</definedName>
    <definedName name="sasadefadesa_1" localSheetId="34" hidden="1">{#N/A,#N/A,FALSE,"MO (2)"}</definedName>
    <definedName name="sasadefadesa_1" localSheetId="6" hidden="1">{#N/A,#N/A,FALSE,"MO (2)"}</definedName>
    <definedName name="sasadefadesa_1" localSheetId="14" hidden="1">{#N/A,#N/A,FALSE,"MO (2)"}</definedName>
    <definedName name="sasadefadesa_1" hidden="1">{#N/A,#N/A,FALSE,"MO (2)"}</definedName>
    <definedName name="saux" localSheetId="8">#REF!</definedName>
    <definedName name="saux" localSheetId="6">#REF!</definedName>
    <definedName name="SB" localSheetId="8">#REF!</definedName>
    <definedName name="SB" localSheetId="6">#REF!</definedName>
    <definedName name="scon" localSheetId="8">#REF!</definedName>
    <definedName name="scon" localSheetId="6">#REF!</definedName>
    <definedName name="segment" localSheetId="8">#REF!</definedName>
    <definedName name="segment" localSheetId="6">#REF!</definedName>
    <definedName name="SELO" localSheetId="8">#REF!</definedName>
    <definedName name="SELO" localSheetId="6">#REF!</definedName>
    <definedName name="SELOA" localSheetId="8">#REF!</definedName>
    <definedName name="SELOA" localSheetId="6">#REF!</definedName>
    <definedName name="sfsfsfs" localSheetId="15" hidden="1">{#N/A,#N/A,FALSE,"MO (2)"}</definedName>
    <definedName name="sfsfsfs" localSheetId="8" hidden="1">{#N/A,#N/A,FALSE,"MO (2)"}</definedName>
    <definedName name="sfsfsfs" localSheetId="34" hidden="1">{#N/A,#N/A,FALSE,"MO (2)"}</definedName>
    <definedName name="sfsfsfs" localSheetId="6" hidden="1">{#N/A,#N/A,FALSE,"MO (2)"}</definedName>
    <definedName name="sfsfsfs" hidden="1">{#N/A,#N/A,FALSE,"MO (2)"}</definedName>
    <definedName name="SG_01_01" localSheetId="8">#REF!</definedName>
    <definedName name="SG_01_01" localSheetId="6">#REF!</definedName>
    <definedName name="SG_01_02" localSheetId="8">#REF!</definedName>
    <definedName name="SG_01_02" localSheetId="6">#REF!</definedName>
    <definedName name="SG_01_03" localSheetId="8">#REF!</definedName>
    <definedName name="SG_01_03" localSheetId="6">#REF!</definedName>
    <definedName name="SG_01_04" localSheetId="8">#REF!</definedName>
    <definedName name="SG_01_04" localSheetId="6">#REF!</definedName>
    <definedName name="SG_01_05" localSheetId="8">#REF!</definedName>
    <definedName name="SG_01_05" localSheetId="6">#REF!</definedName>
    <definedName name="SG_01_06" localSheetId="8">#REF!</definedName>
    <definedName name="SG_01_06" localSheetId="6">#REF!</definedName>
    <definedName name="SG_01_07" localSheetId="8">#REF!</definedName>
    <definedName name="SG_01_07" localSheetId="6">#REF!</definedName>
    <definedName name="SG_01_08" localSheetId="8">#REF!</definedName>
    <definedName name="SG_01_08" localSheetId="6">#REF!</definedName>
    <definedName name="SG_01_09" localSheetId="8">#REF!</definedName>
    <definedName name="SG_01_09" localSheetId="6">#REF!</definedName>
    <definedName name="SG_01_10" localSheetId="8">#REF!</definedName>
    <definedName name="SG_01_10" localSheetId="6">#REF!</definedName>
    <definedName name="SG_01_11" localSheetId="8">#REF!</definedName>
    <definedName name="SG_01_11" localSheetId="6">#REF!</definedName>
    <definedName name="SG_01_12" localSheetId="8">#REF!</definedName>
    <definedName name="SG_01_12" localSheetId="6">#REF!</definedName>
    <definedName name="SG_01_13" localSheetId="8">#REF!</definedName>
    <definedName name="SG_01_13" localSheetId="6">#REF!</definedName>
    <definedName name="SG_01_14" localSheetId="8">#REF!</definedName>
    <definedName name="SG_01_14" localSheetId="6">#REF!</definedName>
    <definedName name="SG_01_15" localSheetId="8">#REF!</definedName>
    <definedName name="SG_01_15" localSheetId="6">#REF!</definedName>
    <definedName name="SG_01_16" localSheetId="8">#REF!</definedName>
    <definedName name="SG_01_16" localSheetId="6">#REF!</definedName>
    <definedName name="SG_01_17" localSheetId="8">#REF!</definedName>
    <definedName name="SG_01_17" localSheetId="6">#REF!</definedName>
    <definedName name="SG_01_18" localSheetId="8">#REF!</definedName>
    <definedName name="SG_01_18" localSheetId="6">#REF!</definedName>
    <definedName name="SG_01_19" localSheetId="8">#REF!</definedName>
    <definedName name="SG_01_19" localSheetId="6">#REF!</definedName>
    <definedName name="SG_01_20" localSheetId="8">#REF!</definedName>
    <definedName name="SG_01_20" localSheetId="6">#REF!</definedName>
    <definedName name="SG_01_21" localSheetId="8">#REF!</definedName>
    <definedName name="SG_01_21" localSheetId="6">#REF!</definedName>
    <definedName name="SG_01_22" localSheetId="8">#REF!</definedName>
    <definedName name="SG_01_22" localSheetId="6">#REF!</definedName>
    <definedName name="SG_01_23" localSheetId="8">#REF!</definedName>
    <definedName name="SG_01_23" localSheetId="6">#REF!</definedName>
    <definedName name="SG_01_24" localSheetId="8">#REF!</definedName>
    <definedName name="SG_01_24" localSheetId="6">#REF!</definedName>
    <definedName name="SG_01_25" localSheetId="8">#REF!</definedName>
    <definedName name="SG_01_25" localSheetId="6">#REF!</definedName>
    <definedName name="SG_02_01" localSheetId="8">#REF!</definedName>
    <definedName name="SG_02_01" localSheetId="6">#REF!</definedName>
    <definedName name="SG_02_02" localSheetId="8">#REF!</definedName>
    <definedName name="SG_02_02" localSheetId="6">#REF!</definedName>
    <definedName name="SG_02_03" localSheetId="8">#REF!</definedName>
    <definedName name="SG_02_03" localSheetId="6">#REF!</definedName>
    <definedName name="SG_02_04" localSheetId="8">#REF!</definedName>
    <definedName name="SG_02_04" localSheetId="6">#REF!</definedName>
    <definedName name="SG_02_05" localSheetId="8">#REF!</definedName>
    <definedName name="SG_02_05" localSheetId="6">#REF!</definedName>
    <definedName name="SG_02_06" localSheetId="8">#REF!</definedName>
    <definedName name="SG_02_06" localSheetId="6">#REF!</definedName>
    <definedName name="SG_02_07" localSheetId="8">#REF!</definedName>
    <definedName name="SG_02_07" localSheetId="6">#REF!</definedName>
    <definedName name="SG_02_08" localSheetId="8">#REF!</definedName>
    <definedName name="SG_02_08" localSheetId="6">#REF!</definedName>
    <definedName name="SG_02_09" localSheetId="8">#REF!</definedName>
    <definedName name="SG_02_09" localSheetId="6">#REF!</definedName>
    <definedName name="SG_02_10" localSheetId="8">#REF!</definedName>
    <definedName name="SG_02_10" localSheetId="6">#REF!</definedName>
    <definedName name="SG_02_11" localSheetId="8">#REF!</definedName>
    <definedName name="SG_02_11" localSheetId="6">#REF!</definedName>
    <definedName name="SG_02_12" localSheetId="8">#REF!</definedName>
    <definedName name="SG_02_12" localSheetId="6">#REF!</definedName>
    <definedName name="SG_02_13" localSheetId="8">#REF!</definedName>
    <definedName name="SG_02_13" localSheetId="6">#REF!</definedName>
    <definedName name="SG_02_14" localSheetId="8">#REF!</definedName>
    <definedName name="SG_02_14" localSheetId="6">#REF!</definedName>
    <definedName name="SG_02_15" localSheetId="8">#REF!</definedName>
    <definedName name="SG_02_15" localSheetId="6">#REF!</definedName>
    <definedName name="SG_02_16" localSheetId="8">#REF!</definedName>
    <definedName name="SG_02_16" localSheetId="6">#REF!</definedName>
    <definedName name="SG_02_17" localSheetId="8">#REF!</definedName>
    <definedName name="SG_02_17" localSheetId="6">#REF!</definedName>
    <definedName name="SG_02_18" localSheetId="8">#REF!</definedName>
    <definedName name="SG_02_18" localSheetId="6">#REF!</definedName>
    <definedName name="SG_02_19" localSheetId="8">#REF!</definedName>
    <definedName name="SG_02_19" localSheetId="6">#REF!</definedName>
    <definedName name="SG_02_20" localSheetId="8">#REF!</definedName>
    <definedName name="SG_02_20" localSheetId="6">#REF!</definedName>
    <definedName name="SG_02_21" localSheetId="8">#REF!</definedName>
    <definedName name="SG_02_21" localSheetId="6">#REF!</definedName>
    <definedName name="SG_02_22" localSheetId="8">#REF!</definedName>
    <definedName name="SG_02_22" localSheetId="6">#REF!</definedName>
    <definedName name="SG_02_23" localSheetId="8">#REF!</definedName>
    <definedName name="SG_02_23" localSheetId="6">#REF!</definedName>
    <definedName name="SG_02_24" localSheetId="8">#REF!</definedName>
    <definedName name="SG_02_24" localSheetId="6">#REF!</definedName>
    <definedName name="SG_02_25" localSheetId="8">#REF!</definedName>
    <definedName name="SG_02_25" localSheetId="6">#REF!</definedName>
    <definedName name="SG_03_01" localSheetId="8">#REF!</definedName>
    <definedName name="SG_03_01" localSheetId="6">#REF!</definedName>
    <definedName name="SG_03_02" localSheetId="8">#REF!</definedName>
    <definedName name="SG_03_02" localSheetId="6">#REF!</definedName>
    <definedName name="SG_03_03" localSheetId="8">#REF!</definedName>
    <definedName name="SG_03_03" localSheetId="6">#REF!</definedName>
    <definedName name="SG_03_04" localSheetId="8">#REF!</definedName>
    <definedName name="SG_03_04" localSheetId="6">#REF!</definedName>
    <definedName name="SG_03_05" localSheetId="8">#REF!</definedName>
    <definedName name="SG_03_05" localSheetId="6">#REF!</definedName>
    <definedName name="SG_03_06" localSheetId="8">#REF!</definedName>
    <definedName name="SG_03_06" localSheetId="6">#REF!</definedName>
    <definedName name="SG_03_07" localSheetId="8">#REF!</definedName>
    <definedName name="SG_03_07" localSheetId="6">#REF!</definedName>
    <definedName name="SG_03_08" localSheetId="8">#REF!</definedName>
    <definedName name="SG_03_08" localSheetId="6">#REF!</definedName>
    <definedName name="SG_03_09" localSheetId="8">#REF!</definedName>
    <definedName name="SG_03_09" localSheetId="6">#REF!</definedName>
    <definedName name="SG_03_10" localSheetId="8">#REF!</definedName>
    <definedName name="SG_03_10" localSheetId="6">#REF!</definedName>
    <definedName name="SG_03_11" localSheetId="8">#REF!</definedName>
    <definedName name="SG_03_11" localSheetId="6">#REF!</definedName>
    <definedName name="SG_03_12" localSheetId="8">#REF!</definedName>
    <definedName name="SG_03_12" localSheetId="6">#REF!</definedName>
    <definedName name="SG_03_13" localSheetId="8">#REF!</definedName>
    <definedName name="SG_03_13" localSheetId="6">#REF!</definedName>
    <definedName name="SG_03_14" localSheetId="8">#REF!</definedName>
    <definedName name="SG_03_14" localSheetId="6">#REF!</definedName>
    <definedName name="SG_03_15" localSheetId="8">#REF!</definedName>
    <definedName name="SG_03_15" localSheetId="6">#REF!</definedName>
    <definedName name="SG_03_16" localSheetId="8">#REF!</definedName>
    <definedName name="SG_03_16" localSheetId="6">#REF!</definedName>
    <definedName name="SG_03_17" localSheetId="8">#REF!</definedName>
    <definedName name="SG_03_17" localSheetId="6">#REF!</definedName>
    <definedName name="SG_03_18" localSheetId="8">#REF!</definedName>
    <definedName name="SG_03_18" localSheetId="6">#REF!</definedName>
    <definedName name="SG_03_19" localSheetId="8">#REF!</definedName>
    <definedName name="SG_03_19" localSheetId="6">#REF!</definedName>
    <definedName name="SG_03_20" localSheetId="8">#REF!</definedName>
    <definedName name="SG_03_20" localSheetId="6">#REF!</definedName>
    <definedName name="SG_03_21" localSheetId="8">#REF!</definedName>
    <definedName name="SG_03_21" localSheetId="6">#REF!</definedName>
    <definedName name="SG_03_22" localSheetId="8">#REF!</definedName>
    <definedName name="SG_03_22" localSheetId="6">#REF!</definedName>
    <definedName name="SG_03_23" localSheetId="8">#REF!</definedName>
    <definedName name="SG_03_23" localSheetId="6">#REF!</definedName>
    <definedName name="SG_03_24" localSheetId="8">#REF!</definedName>
    <definedName name="SG_03_24" localSheetId="6">#REF!</definedName>
    <definedName name="SG_03_25" localSheetId="8">#REF!</definedName>
    <definedName name="SG_03_25" localSheetId="6">#REF!</definedName>
    <definedName name="SG_04_01" localSheetId="8">#REF!</definedName>
    <definedName name="SG_04_01" localSheetId="6">#REF!</definedName>
    <definedName name="SG_04_02" localSheetId="8">#REF!</definedName>
    <definedName name="SG_04_02" localSheetId="6">#REF!</definedName>
    <definedName name="SG_04_03" localSheetId="8">#REF!</definedName>
    <definedName name="SG_04_03" localSheetId="6">#REF!</definedName>
    <definedName name="SG_04_04" localSheetId="8">#REF!</definedName>
    <definedName name="SG_04_04" localSheetId="6">#REF!</definedName>
    <definedName name="SG_04_05" localSheetId="8">#REF!</definedName>
    <definedName name="SG_04_05" localSheetId="6">#REF!</definedName>
    <definedName name="SG_04_06" localSheetId="8">#REF!</definedName>
    <definedName name="SG_04_06" localSheetId="6">#REF!</definedName>
    <definedName name="SG_04_07" localSheetId="8">#REF!</definedName>
    <definedName name="SG_04_07" localSheetId="6">#REF!</definedName>
    <definedName name="SG_04_08" localSheetId="8">#REF!</definedName>
    <definedName name="SG_04_08" localSheetId="6">#REF!</definedName>
    <definedName name="SG_04_09" localSheetId="8">#REF!</definedName>
    <definedName name="SG_04_09" localSheetId="6">#REF!</definedName>
    <definedName name="SG_04_10" localSheetId="8">#REF!</definedName>
    <definedName name="SG_04_10" localSheetId="6">#REF!</definedName>
    <definedName name="SG_04_11" localSheetId="8">#REF!</definedName>
    <definedName name="SG_04_11" localSheetId="6">#REF!</definedName>
    <definedName name="SG_04_12" localSheetId="8">#REF!</definedName>
    <definedName name="SG_04_12" localSheetId="6">#REF!</definedName>
    <definedName name="SG_04_13" localSheetId="8">#REF!</definedName>
    <definedName name="SG_04_13" localSheetId="6">#REF!</definedName>
    <definedName name="SG_04_14" localSheetId="8">#REF!</definedName>
    <definedName name="SG_04_14" localSheetId="6">#REF!</definedName>
    <definedName name="SG_04_15" localSheetId="8">#REF!</definedName>
    <definedName name="SG_04_15" localSheetId="6">#REF!</definedName>
    <definedName name="SG_04_16" localSheetId="8">#REF!</definedName>
    <definedName name="SG_04_16" localSheetId="6">#REF!</definedName>
    <definedName name="SG_04_17" localSheetId="8">#REF!</definedName>
    <definedName name="SG_04_17" localSheetId="6">#REF!</definedName>
    <definedName name="SG_04_18" localSheetId="8">#REF!</definedName>
    <definedName name="SG_04_18" localSheetId="6">#REF!</definedName>
    <definedName name="SG_04_19" localSheetId="8">#REF!</definedName>
    <definedName name="SG_04_19" localSheetId="6">#REF!</definedName>
    <definedName name="SG_04_20" localSheetId="8">#REF!</definedName>
    <definedName name="SG_04_20" localSheetId="6">#REF!</definedName>
    <definedName name="SG_04_21" localSheetId="8">#REF!</definedName>
    <definedName name="SG_04_21" localSheetId="6">#REF!</definedName>
    <definedName name="SG_04_22" localSheetId="8">#REF!</definedName>
    <definedName name="SG_04_22" localSheetId="6">#REF!</definedName>
    <definedName name="SG_04_23" localSheetId="8">#REF!</definedName>
    <definedName name="SG_04_23" localSheetId="6">#REF!</definedName>
    <definedName name="SG_04_24" localSheetId="8">#REF!</definedName>
    <definedName name="SG_04_24" localSheetId="6">#REF!</definedName>
    <definedName name="SG_04_25" localSheetId="8">#REF!</definedName>
    <definedName name="SG_04_25" localSheetId="6">#REF!</definedName>
    <definedName name="SG_05_01" localSheetId="8">#REF!</definedName>
    <definedName name="SG_05_01" localSheetId="6">#REF!</definedName>
    <definedName name="SG_05_02" localSheetId="8">#REF!</definedName>
    <definedName name="SG_05_02" localSheetId="6">#REF!</definedName>
    <definedName name="SG_05_03" localSheetId="8">#REF!</definedName>
    <definedName name="SG_05_03" localSheetId="6">#REF!</definedName>
    <definedName name="SG_05_04" localSheetId="8">#REF!</definedName>
    <definedName name="SG_05_04" localSheetId="6">#REF!</definedName>
    <definedName name="SG_05_05" localSheetId="8">#REF!</definedName>
    <definedName name="SG_05_05" localSheetId="6">#REF!</definedName>
    <definedName name="SG_05_06" localSheetId="8">#REF!</definedName>
    <definedName name="SG_05_06" localSheetId="6">#REF!</definedName>
    <definedName name="SG_05_07" localSheetId="8">#REF!</definedName>
    <definedName name="SG_05_07" localSheetId="6">#REF!</definedName>
    <definedName name="SG_05_08" localSheetId="8">#REF!</definedName>
    <definedName name="SG_05_08" localSheetId="6">#REF!</definedName>
    <definedName name="SG_05_09" localSheetId="8">#REF!</definedName>
    <definedName name="SG_05_09" localSheetId="6">#REF!</definedName>
    <definedName name="SG_05_10" localSheetId="8">#REF!</definedName>
    <definedName name="SG_05_10" localSheetId="6">#REF!</definedName>
    <definedName name="SG_05_11" localSheetId="8">#REF!</definedName>
    <definedName name="SG_05_11" localSheetId="6">#REF!</definedName>
    <definedName name="SG_05_12" localSheetId="8">#REF!</definedName>
    <definedName name="SG_05_12" localSheetId="6">#REF!</definedName>
    <definedName name="SG_05_13" localSheetId="8">#REF!</definedName>
    <definedName name="SG_05_13" localSheetId="6">#REF!</definedName>
    <definedName name="SG_05_14" localSheetId="8">#REF!</definedName>
    <definedName name="SG_05_14" localSheetId="6">#REF!</definedName>
    <definedName name="SG_05_15" localSheetId="8">#REF!</definedName>
    <definedName name="SG_05_15" localSheetId="6">#REF!</definedName>
    <definedName name="SG_05_16" localSheetId="8">#REF!</definedName>
    <definedName name="SG_05_16" localSheetId="6">#REF!</definedName>
    <definedName name="SG_05_17" localSheetId="8">#REF!</definedName>
    <definedName name="SG_05_17" localSheetId="6">#REF!</definedName>
    <definedName name="SG_05_18" localSheetId="8">#REF!</definedName>
    <definedName name="SG_05_18" localSheetId="6">#REF!</definedName>
    <definedName name="SG_05_19" localSheetId="8">#REF!</definedName>
    <definedName name="SG_05_19" localSheetId="6">#REF!</definedName>
    <definedName name="SG_05_20" localSheetId="8">#REF!</definedName>
    <definedName name="SG_05_20" localSheetId="6">#REF!</definedName>
    <definedName name="SG_05_21" localSheetId="8">#REF!</definedName>
    <definedName name="SG_05_21" localSheetId="6">#REF!</definedName>
    <definedName name="SG_05_22" localSheetId="8">#REF!</definedName>
    <definedName name="SG_05_22" localSheetId="6">#REF!</definedName>
    <definedName name="SG_05_23" localSheetId="8">#REF!</definedName>
    <definedName name="SG_05_23" localSheetId="6">#REF!</definedName>
    <definedName name="SG_05_24" localSheetId="8">#REF!</definedName>
    <definedName name="SG_05_24" localSheetId="6">#REF!</definedName>
    <definedName name="SG_05_25" localSheetId="8">#REF!</definedName>
    <definedName name="SG_05_25" localSheetId="6">#REF!</definedName>
    <definedName name="SG_06_01" localSheetId="8">#REF!</definedName>
    <definedName name="SG_06_01" localSheetId="6">#REF!</definedName>
    <definedName name="SG_06_02" localSheetId="8">#REF!</definedName>
    <definedName name="SG_06_02" localSheetId="6">#REF!</definedName>
    <definedName name="SG_06_03" localSheetId="8">#REF!</definedName>
    <definedName name="SG_06_03" localSheetId="6">#REF!</definedName>
    <definedName name="SG_06_04" localSheetId="8">#REF!</definedName>
    <definedName name="SG_06_04" localSheetId="6">#REF!</definedName>
    <definedName name="SG_06_05" localSheetId="8">#REF!</definedName>
    <definedName name="SG_06_05" localSheetId="6">#REF!</definedName>
    <definedName name="SG_06_06" localSheetId="8">#REF!</definedName>
    <definedName name="SG_06_06" localSheetId="6">#REF!</definedName>
    <definedName name="SG_06_07" localSheetId="8">#REF!</definedName>
    <definedName name="SG_06_07" localSheetId="6">#REF!</definedName>
    <definedName name="SG_06_08" localSheetId="8">#REF!</definedName>
    <definedName name="SG_06_08" localSheetId="6">#REF!</definedName>
    <definedName name="SG_06_09" localSheetId="8">#REF!</definedName>
    <definedName name="SG_06_09" localSheetId="6">#REF!</definedName>
    <definedName name="SG_06_10" localSheetId="8">#REF!</definedName>
    <definedName name="SG_06_10" localSheetId="6">#REF!</definedName>
    <definedName name="SG_06_11" localSheetId="8">#REF!</definedName>
    <definedName name="SG_06_11" localSheetId="6">#REF!</definedName>
    <definedName name="SG_06_12" localSheetId="8">#REF!</definedName>
    <definedName name="SG_06_12" localSheetId="6">#REF!</definedName>
    <definedName name="SG_06_13" localSheetId="8">#REF!</definedName>
    <definedName name="SG_06_13" localSheetId="6">#REF!</definedName>
    <definedName name="SG_06_14" localSheetId="8">#REF!</definedName>
    <definedName name="SG_06_14" localSheetId="6">#REF!</definedName>
    <definedName name="SG_06_15" localSheetId="8">#REF!</definedName>
    <definedName name="SG_06_15" localSheetId="6">#REF!</definedName>
    <definedName name="SG_06_16" localSheetId="8">#REF!</definedName>
    <definedName name="SG_06_16" localSheetId="6">#REF!</definedName>
    <definedName name="SG_06_17" localSheetId="8">#REF!</definedName>
    <definedName name="SG_06_17" localSheetId="6">#REF!</definedName>
    <definedName name="SG_06_18" localSheetId="8">#REF!</definedName>
    <definedName name="SG_06_18" localSheetId="6">#REF!</definedName>
    <definedName name="SG_06_19" localSheetId="8">#REF!</definedName>
    <definedName name="SG_06_19" localSheetId="6">#REF!</definedName>
    <definedName name="SG_06_20" localSheetId="8">#REF!</definedName>
    <definedName name="SG_06_20" localSheetId="6">#REF!</definedName>
    <definedName name="SG_06_21" localSheetId="8">#REF!</definedName>
    <definedName name="SG_06_21" localSheetId="6">#REF!</definedName>
    <definedName name="SG_06_22" localSheetId="8">#REF!</definedName>
    <definedName name="SG_06_22" localSheetId="6">#REF!</definedName>
    <definedName name="SG_06_23" localSheetId="8">#REF!</definedName>
    <definedName name="SG_06_23" localSheetId="6">#REF!</definedName>
    <definedName name="SG_06_24" localSheetId="8">#REF!</definedName>
    <definedName name="SG_06_24" localSheetId="6">#REF!</definedName>
    <definedName name="SG_06_25" localSheetId="8">#REF!</definedName>
    <definedName name="SG_06_25" localSheetId="6">#REF!</definedName>
    <definedName name="SG_07_01" localSheetId="8">#REF!</definedName>
    <definedName name="SG_07_01" localSheetId="6">#REF!</definedName>
    <definedName name="SG_07_02" localSheetId="8">#REF!</definedName>
    <definedName name="SG_07_02" localSheetId="6">#REF!</definedName>
    <definedName name="SG_07_03" localSheetId="8">#REF!</definedName>
    <definedName name="SG_07_03" localSheetId="6">#REF!</definedName>
    <definedName name="SG_07_04" localSheetId="8">#REF!</definedName>
    <definedName name="SG_07_04" localSheetId="6">#REF!</definedName>
    <definedName name="SG_07_05" localSheetId="8">#REF!</definedName>
    <definedName name="SG_07_05" localSheetId="6">#REF!</definedName>
    <definedName name="SG_07_06" localSheetId="8">#REF!</definedName>
    <definedName name="SG_07_06" localSheetId="6">#REF!</definedName>
    <definedName name="SG_07_07" localSheetId="8">#REF!</definedName>
    <definedName name="SG_07_07" localSheetId="6">#REF!</definedName>
    <definedName name="SG_07_08" localSheetId="8">#REF!</definedName>
    <definedName name="SG_07_08" localSheetId="6">#REF!</definedName>
    <definedName name="SG_07_09" localSheetId="8">#REF!</definedName>
    <definedName name="SG_07_09" localSheetId="6">#REF!</definedName>
    <definedName name="SG_07_10" localSheetId="8">#REF!</definedName>
    <definedName name="SG_07_10" localSheetId="6">#REF!</definedName>
    <definedName name="SG_07_11" localSheetId="8">#REF!</definedName>
    <definedName name="SG_07_11" localSheetId="6">#REF!</definedName>
    <definedName name="SG_07_12" localSheetId="8">#REF!</definedName>
    <definedName name="SG_07_12" localSheetId="6">#REF!</definedName>
    <definedName name="SG_07_13" localSheetId="8">#REF!</definedName>
    <definedName name="SG_07_13" localSheetId="6">#REF!</definedName>
    <definedName name="SG_07_14" localSheetId="8">#REF!</definedName>
    <definedName name="SG_07_14" localSheetId="6">#REF!</definedName>
    <definedName name="SG_07_15" localSheetId="8">#REF!</definedName>
    <definedName name="SG_07_15" localSheetId="6">#REF!</definedName>
    <definedName name="SG_07_16" localSheetId="8">#REF!</definedName>
    <definedName name="SG_07_16" localSheetId="6">#REF!</definedName>
    <definedName name="SG_07_17" localSheetId="8">#REF!</definedName>
    <definedName name="SG_07_17" localSheetId="6">#REF!</definedName>
    <definedName name="SG_07_18" localSheetId="8">#REF!</definedName>
    <definedName name="SG_07_18" localSheetId="6">#REF!</definedName>
    <definedName name="SG_07_19" localSheetId="8">#REF!</definedName>
    <definedName name="SG_07_19" localSheetId="6">#REF!</definedName>
    <definedName name="SG_07_20" localSheetId="8">#REF!</definedName>
    <definedName name="SG_07_20" localSheetId="6">#REF!</definedName>
    <definedName name="SG_07_21" localSheetId="8">#REF!</definedName>
    <definedName name="SG_07_21" localSheetId="6">#REF!</definedName>
    <definedName name="SG_07_22" localSheetId="8">#REF!</definedName>
    <definedName name="SG_07_22" localSheetId="6">#REF!</definedName>
    <definedName name="SG_07_23" localSheetId="8">#REF!</definedName>
    <definedName name="SG_07_23" localSheetId="6">#REF!</definedName>
    <definedName name="SG_07_24" localSheetId="8">#REF!</definedName>
    <definedName name="SG_07_24" localSheetId="6">#REF!</definedName>
    <definedName name="SG_07_25" localSheetId="8">#REF!</definedName>
    <definedName name="SG_07_25" localSheetId="6">#REF!</definedName>
    <definedName name="SG_08_01" localSheetId="8">#REF!</definedName>
    <definedName name="SG_08_01" localSheetId="6">#REF!</definedName>
    <definedName name="SG_08_02" localSheetId="8">#REF!</definedName>
    <definedName name="SG_08_02" localSheetId="6">#REF!</definedName>
    <definedName name="SG_08_03" localSheetId="8">#REF!</definedName>
    <definedName name="SG_08_03" localSheetId="6">#REF!</definedName>
    <definedName name="SG_08_04" localSheetId="8">#REF!</definedName>
    <definedName name="SG_08_04" localSheetId="6">#REF!</definedName>
    <definedName name="SG_08_05" localSheetId="8">#REF!</definedName>
    <definedName name="SG_08_05" localSheetId="6">#REF!</definedName>
    <definedName name="SG_08_06" localSheetId="8">#REF!</definedName>
    <definedName name="SG_08_06" localSheetId="6">#REF!</definedName>
    <definedName name="SG_08_07" localSheetId="8">#REF!</definedName>
    <definedName name="SG_08_07" localSheetId="6">#REF!</definedName>
    <definedName name="SG_08_08" localSheetId="8">#REF!</definedName>
    <definedName name="SG_08_08" localSheetId="6">#REF!</definedName>
    <definedName name="SG_08_09" localSheetId="8">#REF!</definedName>
    <definedName name="SG_08_09" localSheetId="6">#REF!</definedName>
    <definedName name="SG_08_10" localSheetId="8">#REF!</definedName>
    <definedName name="SG_08_10" localSheetId="6">#REF!</definedName>
    <definedName name="SG_08_11" localSheetId="8">#REF!</definedName>
    <definedName name="SG_08_11" localSheetId="6">#REF!</definedName>
    <definedName name="SG_08_12" localSheetId="8">#REF!</definedName>
    <definedName name="SG_08_12" localSheetId="6">#REF!</definedName>
    <definedName name="SG_08_13" localSheetId="8">#REF!</definedName>
    <definedName name="SG_08_13" localSheetId="6">#REF!</definedName>
    <definedName name="SG_08_14" localSheetId="8">#REF!</definedName>
    <definedName name="SG_08_14" localSheetId="6">#REF!</definedName>
    <definedName name="SG_08_15" localSheetId="8">#REF!</definedName>
    <definedName name="SG_08_15" localSheetId="6">#REF!</definedName>
    <definedName name="SG_08_16" localSheetId="8">#REF!</definedName>
    <definedName name="SG_08_16" localSheetId="6">#REF!</definedName>
    <definedName name="SG_08_17" localSheetId="8">#REF!</definedName>
    <definedName name="SG_08_17" localSheetId="6">#REF!</definedName>
    <definedName name="SG_08_18" localSheetId="8">#REF!</definedName>
    <definedName name="SG_08_18" localSheetId="6">#REF!</definedName>
    <definedName name="SG_08_19" localSheetId="8">#REF!</definedName>
    <definedName name="SG_08_19" localSheetId="6">#REF!</definedName>
    <definedName name="SG_08_20" localSheetId="8">#REF!</definedName>
    <definedName name="SG_08_20" localSheetId="6">#REF!</definedName>
    <definedName name="SG_08_21" localSheetId="8">#REF!</definedName>
    <definedName name="SG_08_21" localSheetId="6">#REF!</definedName>
    <definedName name="SG_08_22" localSheetId="8">#REF!</definedName>
    <definedName name="SG_08_22" localSheetId="6">#REF!</definedName>
    <definedName name="SG_08_23" localSheetId="8">#REF!</definedName>
    <definedName name="SG_08_23" localSheetId="6">#REF!</definedName>
    <definedName name="SG_08_24" localSheetId="8">#REF!</definedName>
    <definedName name="SG_08_24" localSheetId="6">#REF!</definedName>
    <definedName name="SG_08_25" localSheetId="8">#REF!</definedName>
    <definedName name="SG_08_25" localSheetId="6">#REF!</definedName>
    <definedName name="SG_09_01" localSheetId="8">#REF!</definedName>
    <definedName name="SG_09_01" localSheetId="6">#REF!</definedName>
    <definedName name="SG_09_02" localSheetId="8">#REF!</definedName>
    <definedName name="SG_09_02" localSheetId="6">#REF!</definedName>
    <definedName name="SG_09_03" localSheetId="8">#REF!</definedName>
    <definedName name="SG_09_03" localSheetId="6">#REF!</definedName>
    <definedName name="SG_09_04" localSheetId="8">#REF!</definedName>
    <definedName name="SG_09_04" localSheetId="6">#REF!</definedName>
    <definedName name="SG_09_05" localSheetId="8">#REF!</definedName>
    <definedName name="SG_09_05" localSheetId="6">#REF!</definedName>
    <definedName name="SG_09_06" localSheetId="8">#REF!</definedName>
    <definedName name="SG_09_06" localSheetId="6">#REF!</definedName>
    <definedName name="SG_09_07" localSheetId="8">#REF!</definedName>
    <definedName name="SG_09_07" localSheetId="6">#REF!</definedName>
    <definedName name="SG_09_08" localSheetId="8">#REF!</definedName>
    <definedName name="SG_09_08" localSheetId="6">#REF!</definedName>
    <definedName name="SG_09_09" localSheetId="8">#REF!</definedName>
    <definedName name="SG_09_09" localSheetId="6">#REF!</definedName>
    <definedName name="SG_09_10" localSheetId="8">#REF!</definedName>
    <definedName name="SG_09_10" localSheetId="6">#REF!</definedName>
    <definedName name="SG_09_11" localSheetId="8">#REF!</definedName>
    <definedName name="SG_09_11" localSheetId="6">#REF!</definedName>
    <definedName name="SG_09_12" localSheetId="8">#REF!</definedName>
    <definedName name="SG_09_12" localSheetId="6">#REF!</definedName>
    <definedName name="SG_09_13" localSheetId="8">#REF!</definedName>
    <definedName name="SG_09_13" localSheetId="6">#REF!</definedName>
    <definedName name="SG_09_14" localSheetId="8">#REF!</definedName>
    <definedName name="SG_09_14" localSheetId="6">#REF!</definedName>
    <definedName name="SG_09_15" localSheetId="8">#REF!</definedName>
    <definedName name="SG_09_15" localSheetId="6">#REF!</definedName>
    <definedName name="SG_09_16" localSheetId="8">#REF!</definedName>
    <definedName name="SG_09_16" localSheetId="6">#REF!</definedName>
    <definedName name="SG_09_17" localSheetId="8">#REF!</definedName>
    <definedName name="SG_09_17" localSheetId="6">#REF!</definedName>
    <definedName name="SG_09_18" localSheetId="8">#REF!</definedName>
    <definedName name="SG_09_18" localSheetId="6">#REF!</definedName>
    <definedName name="SG_09_19" localSheetId="8">#REF!</definedName>
    <definedName name="SG_09_19" localSheetId="6">#REF!</definedName>
    <definedName name="SG_09_20" localSheetId="8">#REF!</definedName>
    <definedName name="SG_09_20" localSheetId="6">#REF!</definedName>
    <definedName name="SG_09_21" localSheetId="8">#REF!</definedName>
    <definedName name="SG_09_21" localSheetId="6">#REF!</definedName>
    <definedName name="SG_09_22" localSheetId="8">#REF!</definedName>
    <definedName name="SG_09_22" localSheetId="6">#REF!</definedName>
    <definedName name="SG_09_23" localSheetId="8">#REF!</definedName>
    <definedName name="SG_09_23" localSheetId="6">#REF!</definedName>
    <definedName name="SG_09_24" localSheetId="8">#REF!</definedName>
    <definedName name="SG_09_24" localSheetId="6">#REF!</definedName>
    <definedName name="SG_09_25" localSheetId="8">#REF!</definedName>
    <definedName name="SG_09_25" localSheetId="6">#REF!</definedName>
    <definedName name="SG_10_01" localSheetId="8">#REF!</definedName>
    <definedName name="SG_10_01" localSheetId="6">#REF!</definedName>
    <definedName name="SG_10_02" localSheetId="8">#REF!</definedName>
    <definedName name="SG_10_02" localSheetId="6">#REF!</definedName>
    <definedName name="SG_10_03" localSheetId="8">#REF!</definedName>
    <definedName name="SG_10_03" localSheetId="6">#REF!</definedName>
    <definedName name="SG_10_04" localSheetId="8">#REF!</definedName>
    <definedName name="SG_10_04" localSheetId="6">#REF!</definedName>
    <definedName name="SG_10_05" localSheetId="8">#REF!</definedName>
    <definedName name="SG_10_05" localSheetId="6">#REF!</definedName>
    <definedName name="SG_10_06" localSheetId="8">#REF!</definedName>
    <definedName name="SG_10_06" localSheetId="6">#REF!</definedName>
    <definedName name="SG_10_07" localSheetId="8">#REF!</definedName>
    <definedName name="SG_10_07" localSheetId="6">#REF!</definedName>
    <definedName name="SG_10_08" localSheetId="8">#REF!</definedName>
    <definedName name="SG_10_08" localSheetId="6">#REF!</definedName>
    <definedName name="SG_10_09" localSheetId="8">#REF!</definedName>
    <definedName name="SG_10_09" localSheetId="6">#REF!</definedName>
    <definedName name="SG_10_10" localSheetId="8">#REF!</definedName>
    <definedName name="SG_10_10" localSheetId="6">#REF!</definedName>
    <definedName name="SG_10_11" localSheetId="8">#REF!</definedName>
    <definedName name="SG_10_11" localSheetId="6">#REF!</definedName>
    <definedName name="SG_10_12" localSheetId="8">#REF!</definedName>
    <definedName name="SG_10_12" localSheetId="6">#REF!</definedName>
    <definedName name="SG_10_13" localSheetId="8">#REF!</definedName>
    <definedName name="SG_10_13" localSheetId="6">#REF!</definedName>
    <definedName name="SG_10_14" localSheetId="8">#REF!</definedName>
    <definedName name="SG_10_14" localSheetId="6">#REF!</definedName>
    <definedName name="SG_10_15" localSheetId="8">#REF!</definedName>
    <definedName name="SG_10_15" localSheetId="6">#REF!</definedName>
    <definedName name="SG_10_16" localSheetId="8">#REF!</definedName>
    <definedName name="SG_10_16" localSheetId="6">#REF!</definedName>
    <definedName name="SG_10_17" localSheetId="8">#REF!</definedName>
    <definedName name="SG_10_17" localSheetId="6">#REF!</definedName>
    <definedName name="SG_10_18" localSheetId="8">#REF!</definedName>
    <definedName name="SG_10_18" localSheetId="6">#REF!</definedName>
    <definedName name="SG_10_19" localSheetId="8">#REF!</definedName>
    <definedName name="SG_10_19" localSheetId="6">#REF!</definedName>
    <definedName name="SG_10_20" localSheetId="8">#REF!</definedName>
    <definedName name="SG_10_20" localSheetId="6">#REF!</definedName>
    <definedName name="SG_10_21" localSheetId="8">#REF!</definedName>
    <definedName name="SG_10_21" localSheetId="6">#REF!</definedName>
    <definedName name="SG_10_22" localSheetId="8">#REF!</definedName>
    <definedName name="SG_10_22" localSheetId="6">#REF!</definedName>
    <definedName name="SG_10_23" localSheetId="8">#REF!</definedName>
    <definedName name="SG_10_23" localSheetId="6">#REF!</definedName>
    <definedName name="SG_10_24" localSheetId="8">#REF!</definedName>
    <definedName name="SG_10_24" localSheetId="6">#REF!</definedName>
    <definedName name="SG_10_25" localSheetId="8">#REF!</definedName>
    <definedName name="SG_10_25" localSheetId="6">#REF!</definedName>
    <definedName name="SG_11_01" localSheetId="8">#REF!</definedName>
    <definedName name="SG_11_01" localSheetId="6">#REF!</definedName>
    <definedName name="SG_11_02" localSheetId="8">#REF!</definedName>
    <definedName name="SG_11_02" localSheetId="6">#REF!</definedName>
    <definedName name="SG_11_03" localSheetId="8">#REF!</definedName>
    <definedName name="SG_11_03" localSheetId="6">#REF!</definedName>
    <definedName name="SG_11_04" localSheetId="8">#REF!</definedName>
    <definedName name="SG_11_04" localSheetId="6">#REF!</definedName>
    <definedName name="SG_11_05" localSheetId="8">#REF!</definedName>
    <definedName name="SG_11_05" localSheetId="6">#REF!</definedName>
    <definedName name="SG_11_06" localSheetId="8">#REF!</definedName>
    <definedName name="SG_11_06" localSheetId="6">#REF!</definedName>
    <definedName name="SG_11_07" localSheetId="8">#REF!</definedName>
    <definedName name="SG_11_07" localSheetId="6">#REF!</definedName>
    <definedName name="SG_11_08" localSheetId="8">#REF!</definedName>
    <definedName name="SG_11_08" localSheetId="6">#REF!</definedName>
    <definedName name="SG_11_09" localSheetId="8">#REF!</definedName>
    <definedName name="SG_11_09" localSheetId="6">#REF!</definedName>
    <definedName name="SG_11_10" localSheetId="8">#REF!</definedName>
    <definedName name="SG_11_10" localSheetId="6">#REF!</definedName>
    <definedName name="SG_11_11" localSheetId="8">#REF!</definedName>
    <definedName name="SG_11_11" localSheetId="6">#REF!</definedName>
    <definedName name="SG_11_12" localSheetId="8">#REF!</definedName>
    <definedName name="SG_11_12" localSheetId="6">#REF!</definedName>
    <definedName name="SG_11_13" localSheetId="8">#REF!</definedName>
    <definedName name="SG_11_13" localSheetId="6">#REF!</definedName>
    <definedName name="SG_11_14" localSheetId="8">#REF!</definedName>
    <definedName name="SG_11_14" localSheetId="6">#REF!</definedName>
    <definedName name="SG_11_15" localSheetId="8">#REF!</definedName>
    <definedName name="SG_11_15" localSheetId="6">#REF!</definedName>
    <definedName name="SG_11_16" localSheetId="8">#REF!</definedName>
    <definedName name="SG_11_16" localSheetId="6">#REF!</definedName>
    <definedName name="SG_11_17" localSheetId="8">#REF!</definedName>
    <definedName name="SG_11_17" localSheetId="6">#REF!</definedName>
    <definedName name="SG_11_18" localSheetId="8">#REF!</definedName>
    <definedName name="SG_11_18" localSheetId="6">#REF!</definedName>
    <definedName name="SG_11_19" localSheetId="8">#REF!</definedName>
    <definedName name="SG_11_19" localSheetId="6">#REF!</definedName>
    <definedName name="SG_11_20" localSheetId="8">#REF!</definedName>
    <definedName name="SG_11_20" localSheetId="6">#REF!</definedName>
    <definedName name="SG_11_21" localSheetId="8">#REF!</definedName>
    <definedName name="SG_11_21" localSheetId="6">#REF!</definedName>
    <definedName name="SG_11_22" localSheetId="8">#REF!</definedName>
    <definedName name="SG_11_22" localSheetId="6">#REF!</definedName>
    <definedName name="SG_11_23" localSheetId="8">#REF!</definedName>
    <definedName name="SG_11_23" localSheetId="6">#REF!</definedName>
    <definedName name="SG_11_24" localSheetId="8">#REF!</definedName>
    <definedName name="SG_11_24" localSheetId="6">#REF!</definedName>
    <definedName name="SG_11_25" localSheetId="8">#REF!</definedName>
    <definedName name="SG_11_25" localSheetId="6">#REF!</definedName>
    <definedName name="SG_12_01" localSheetId="8">#REF!</definedName>
    <definedName name="SG_12_01" localSheetId="6">#REF!</definedName>
    <definedName name="SG_12_02" localSheetId="8">#REF!</definedName>
    <definedName name="SG_12_02" localSheetId="6">#REF!</definedName>
    <definedName name="SG_12_03" localSheetId="8">#REF!</definedName>
    <definedName name="SG_12_03" localSheetId="6">#REF!</definedName>
    <definedName name="SG_12_04" localSheetId="8">#REF!</definedName>
    <definedName name="SG_12_04" localSheetId="6">#REF!</definedName>
    <definedName name="SG_12_05" localSheetId="8">#REF!</definedName>
    <definedName name="SG_12_05" localSheetId="6">#REF!</definedName>
    <definedName name="SG_12_06" localSheetId="8">#REF!</definedName>
    <definedName name="SG_12_06" localSheetId="6">#REF!</definedName>
    <definedName name="SG_12_07" localSheetId="8">#REF!</definedName>
    <definedName name="SG_12_07" localSheetId="6">#REF!</definedName>
    <definedName name="SG_12_08" localSheetId="8">#REF!</definedName>
    <definedName name="SG_12_08" localSheetId="6">#REF!</definedName>
    <definedName name="SG_12_09" localSheetId="8">#REF!</definedName>
    <definedName name="SG_12_09" localSheetId="6">#REF!</definedName>
    <definedName name="SG_12_10" localSheetId="8">#REF!</definedName>
    <definedName name="SG_12_10" localSheetId="6">#REF!</definedName>
    <definedName name="SG_12_11" localSheetId="8">#REF!</definedName>
    <definedName name="SG_12_11" localSheetId="6">#REF!</definedName>
    <definedName name="SG_12_12" localSheetId="8">#REF!</definedName>
    <definedName name="SG_12_12" localSheetId="6">#REF!</definedName>
    <definedName name="SG_12_13" localSheetId="8">#REF!</definedName>
    <definedName name="SG_12_13" localSheetId="6">#REF!</definedName>
    <definedName name="SG_12_14" localSheetId="8">#REF!</definedName>
    <definedName name="SG_12_14" localSheetId="6">#REF!</definedName>
    <definedName name="SG_12_15" localSheetId="8">#REF!</definedName>
    <definedName name="SG_12_15" localSheetId="6">#REF!</definedName>
    <definedName name="SG_12_16" localSheetId="8">#REF!</definedName>
    <definedName name="SG_12_16" localSheetId="6">#REF!</definedName>
    <definedName name="SG_12_17" localSheetId="8">#REF!</definedName>
    <definedName name="SG_12_17" localSheetId="6">#REF!</definedName>
    <definedName name="SG_12_18" localSheetId="8">#REF!</definedName>
    <definedName name="SG_12_18" localSheetId="6">#REF!</definedName>
    <definedName name="SG_12_19" localSheetId="8">#REF!</definedName>
    <definedName name="SG_12_19" localSheetId="6">#REF!</definedName>
    <definedName name="SG_12_20" localSheetId="8">#REF!</definedName>
    <definedName name="SG_12_20" localSheetId="6">#REF!</definedName>
    <definedName name="SG_12_21" localSheetId="8">#REF!</definedName>
    <definedName name="SG_12_21" localSheetId="6">#REF!</definedName>
    <definedName name="SG_12_22" localSheetId="8">#REF!</definedName>
    <definedName name="SG_12_22" localSheetId="6">#REF!</definedName>
    <definedName name="SG_12_23" localSheetId="8">#REF!</definedName>
    <definedName name="SG_12_23" localSheetId="6">#REF!</definedName>
    <definedName name="SG_12_24" localSheetId="8">#REF!</definedName>
    <definedName name="SG_12_24" localSheetId="6">#REF!</definedName>
    <definedName name="SG_12_25" localSheetId="8">#REF!</definedName>
    <definedName name="SG_12_25" localSheetId="6">#REF!</definedName>
    <definedName name="SG_13_01" localSheetId="8">#REF!</definedName>
    <definedName name="SG_13_01" localSheetId="6">#REF!</definedName>
    <definedName name="SG_13_02" localSheetId="8">#REF!</definedName>
    <definedName name="SG_13_02" localSheetId="6">#REF!</definedName>
    <definedName name="SG_13_03" localSheetId="8">#REF!</definedName>
    <definedName name="SG_13_03" localSheetId="6">#REF!</definedName>
    <definedName name="SG_13_04" localSheetId="8">#REF!</definedName>
    <definedName name="SG_13_04" localSheetId="6">#REF!</definedName>
    <definedName name="SG_13_05" localSheetId="8">#REF!</definedName>
    <definedName name="SG_13_05" localSheetId="6">#REF!</definedName>
    <definedName name="SG_13_06" localSheetId="8">#REF!</definedName>
    <definedName name="SG_13_06" localSheetId="6">#REF!</definedName>
    <definedName name="SG_13_07" localSheetId="8">#REF!</definedName>
    <definedName name="SG_13_07" localSheetId="6">#REF!</definedName>
    <definedName name="SG_13_08" localSheetId="8">#REF!</definedName>
    <definedName name="SG_13_08" localSheetId="6">#REF!</definedName>
    <definedName name="SG_13_09" localSheetId="8">#REF!</definedName>
    <definedName name="SG_13_09" localSheetId="6">#REF!</definedName>
    <definedName name="SG_13_10" localSheetId="8">#REF!</definedName>
    <definedName name="SG_13_10" localSheetId="6">#REF!</definedName>
    <definedName name="SG_13_11" localSheetId="8">#REF!</definedName>
    <definedName name="SG_13_11" localSheetId="6">#REF!</definedName>
    <definedName name="SG_13_12" localSheetId="8">#REF!</definedName>
    <definedName name="SG_13_12" localSheetId="6">#REF!</definedName>
    <definedName name="SG_13_13" localSheetId="8">#REF!</definedName>
    <definedName name="SG_13_13" localSheetId="6">#REF!</definedName>
    <definedName name="SG_13_14" localSheetId="8">#REF!</definedName>
    <definedName name="SG_13_14" localSheetId="6">#REF!</definedName>
    <definedName name="SG_13_15" localSheetId="8">#REF!</definedName>
    <definedName name="SG_13_15" localSheetId="6">#REF!</definedName>
    <definedName name="SG_13_16" localSheetId="8">#REF!</definedName>
    <definedName name="SG_13_16" localSheetId="6">#REF!</definedName>
    <definedName name="SG_13_17" localSheetId="8">#REF!</definedName>
    <definedName name="SG_13_17" localSheetId="6">#REF!</definedName>
    <definedName name="SG_13_18" localSheetId="8">#REF!</definedName>
    <definedName name="SG_13_18" localSheetId="6">#REF!</definedName>
    <definedName name="SG_13_19" localSheetId="8">#REF!</definedName>
    <definedName name="SG_13_19" localSheetId="6">#REF!</definedName>
    <definedName name="SG_13_20" localSheetId="8">#REF!</definedName>
    <definedName name="SG_13_20" localSheetId="6">#REF!</definedName>
    <definedName name="SG_13_21" localSheetId="8">#REF!</definedName>
    <definedName name="SG_13_21" localSheetId="6">#REF!</definedName>
    <definedName name="SG_13_22" localSheetId="8">#REF!</definedName>
    <definedName name="SG_13_22" localSheetId="6">#REF!</definedName>
    <definedName name="SG_13_23" localSheetId="8">#REF!</definedName>
    <definedName name="SG_13_23" localSheetId="6">#REF!</definedName>
    <definedName name="SG_13_24" localSheetId="8">#REF!</definedName>
    <definedName name="SG_13_24" localSheetId="6">#REF!</definedName>
    <definedName name="SG_13_25" localSheetId="8">#REF!</definedName>
    <definedName name="SG_13_25" localSheetId="6">#REF!</definedName>
    <definedName name="SG_14_01" localSheetId="8">#REF!</definedName>
    <definedName name="SG_14_01" localSheetId="6">#REF!</definedName>
    <definedName name="SG_14_02" localSheetId="8">#REF!</definedName>
    <definedName name="SG_14_02" localSheetId="6">#REF!</definedName>
    <definedName name="SG_14_03" localSheetId="8">#REF!</definedName>
    <definedName name="SG_14_03" localSheetId="6">#REF!</definedName>
    <definedName name="SG_14_04" localSheetId="8">#REF!</definedName>
    <definedName name="SG_14_04" localSheetId="6">#REF!</definedName>
    <definedName name="SG_14_05" localSheetId="8">#REF!</definedName>
    <definedName name="SG_14_05" localSheetId="6">#REF!</definedName>
    <definedName name="SG_14_06" localSheetId="8">#REF!</definedName>
    <definedName name="SG_14_06" localSheetId="6">#REF!</definedName>
    <definedName name="SG_14_07" localSheetId="8">#REF!</definedName>
    <definedName name="SG_14_07" localSheetId="6">#REF!</definedName>
    <definedName name="SG_14_08" localSheetId="8">#REF!</definedName>
    <definedName name="SG_14_08" localSheetId="6">#REF!</definedName>
    <definedName name="SG_14_09" localSheetId="8">#REF!</definedName>
    <definedName name="SG_14_09" localSheetId="6">#REF!</definedName>
    <definedName name="SG_14_10" localSheetId="8">#REF!</definedName>
    <definedName name="SG_14_10" localSheetId="6">#REF!</definedName>
    <definedName name="SG_14_11" localSheetId="8">#REF!</definedName>
    <definedName name="SG_14_11" localSheetId="6">#REF!</definedName>
    <definedName name="SG_14_12" localSheetId="8">#REF!</definedName>
    <definedName name="SG_14_12" localSheetId="6">#REF!</definedName>
    <definedName name="SG_14_13" localSheetId="8">#REF!</definedName>
    <definedName name="SG_14_13" localSheetId="6">#REF!</definedName>
    <definedName name="SG_14_14" localSheetId="8">#REF!</definedName>
    <definedName name="SG_14_14" localSheetId="6">#REF!</definedName>
    <definedName name="SG_14_15" localSheetId="8">#REF!</definedName>
    <definedName name="SG_14_15" localSheetId="6">#REF!</definedName>
    <definedName name="SG_14_16" localSheetId="8">#REF!</definedName>
    <definedName name="SG_14_16" localSheetId="6">#REF!</definedName>
    <definedName name="SG_14_17" localSheetId="8">#REF!</definedName>
    <definedName name="SG_14_17" localSheetId="6">#REF!</definedName>
    <definedName name="SG_14_18" localSheetId="8">#REF!</definedName>
    <definedName name="SG_14_18" localSheetId="6">#REF!</definedName>
    <definedName name="SG_14_19" localSheetId="8">#REF!</definedName>
    <definedName name="SG_14_19" localSheetId="6">#REF!</definedName>
    <definedName name="SG_14_20" localSheetId="8">#REF!</definedName>
    <definedName name="SG_14_20" localSheetId="6">#REF!</definedName>
    <definedName name="SG_14_21" localSheetId="8">#REF!</definedName>
    <definedName name="SG_14_21" localSheetId="6">#REF!</definedName>
    <definedName name="SG_14_22" localSheetId="8">#REF!</definedName>
    <definedName name="SG_14_22" localSheetId="6">#REF!</definedName>
    <definedName name="SG_14_23" localSheetId="8">#REF!</definedName>
    <definedName name="SG_14_23" localSheetId="6">#REF!</definedName>
    <definedName name="SG_14_24" localSheetId="8">#REF!</definedName>
    <definedName name="SG_14_24" localSheetId="6">#REF!</definedName>
    <definedName name="SG_14_25" localSheetId="8">#REF!</definedName>
    <definedName name="SG_14_25" localSheetId="6">#REF!</definedName>
    <definedName name="SG_15_01" localSheetId="8">#REF!</definedName>
    <definedName name="SG_15_01" localSheetId="6">#REF!</definedName>
    <definedName name="SG_15_02" localSheetId="8">#REF!</definedName>
    <definedName name="SG_15_02" localSheetId="6">#REF!</definedName>
    <definedName name="SG_15_03" localSheetId="8">#REF!</definedName>
    <definedName name="SG_15_03" localSheetId="6">#REF!</definedName>
    <definedName name="SG_15_04" localSheetId="8">#REF!</definedName>
    <definedName name="SG_15_04" localSheetId="6">#REF!</definedName>
    <definedName name="SG_15_05" localSheetId="8">#REF!</definedName>
    <definedName name="SG_15_05" localSheetId="6">#REF!</definedName>
    <definedName name="SG_15_06" localSheetId="8">#REF!</definedName>
    <definedName name="SG_15_06" localSheetId="6">#REF!</definedName>
    <definedName name="SG_15_07" localSheetId="8">#REF!</definedName>
    <definedName name="SG_15_07" localSheetId="6">#REF!</definedName>
    <definedName name="SG_15_08" localSheetId="8">#REF!</definedName>
    <definedName name="SG_15_08" localSheetId="6">#REF!</definedName>
    <definedName name="SG_15_09" localSheetId="8">#REF!</definedName>
    <definedName name="SG_15_09" localSheetId="6">#REF!</definedName>
    <definedName name="SG_15_10" localSheetId="8">#REF!</definedName>
    <definedName name="SG_15_10" localSheetId="6">#REF!</definedName>
    <definedName name="SG_15_11" localSheetId="8">#REF!</definedName>
    <definedName name="SG_15_11" localSheetId="6">#REF!</definedName>
    <definedName name="SG_15_12" localSheetId="8">#REF!</definedName>
    <definedName name="SG_15_12" localSheetId="6">#REF!</definedName>
    <definedName name="SG_15_13" localSheetId="8">#REF!</definedName>
    <definedName name="SG_15_13" localSheetId="6">#REF!</definedName>
    <definedName name="SG_15_14" localSheetId="8">#REF!</definedName>
    <definedName name="SG_15_14" localSheetId="6">#REF!</definedName>
    <definedName name="SG_15_15" localSheetId="8">#REF!</definedName>
    <definedName name="SG_15_15" localSheetId="6">#REF!</definedName>
    <definedName name="SG_15_16" localSheetId="8">#REF!</definedName>
    <definedName name="SG_15_16" localSheetId="6">#REF!</definedName>
    <definedName name="SG_15_17" localSheetId="8">#REF!</definedName>
    <definedName name="SG_15_17" localSheetId="6">#REF!</definedName>
    <definedName name="SG_15_18" localSheetId="8">#REF!</definedName>
    <definedName name="SG_15_18" localSheetId="6">#REF!</definedName>
    <definedName name="SG_15_19" localSheetId="8">#REF!</definedName>
    <definedName name="SG_15_19" localSheetId="6">#REF!</definedName>
    <definedName name="SG_15_20" localSheetId="8">#REF!</definedName>
    <definedName name="SG_15_20" localSheetId="6">#REF!</definedName>
    <definedName name="SG_15_21" localSheetId="8">#REF!</definedName>
    <definedName name="SG_15_21" localSheetId="6">#REF!</definedName>
    <definedName name="SG_15_22" localSheetId="8">#REF!</definedName>
    <definedName name="SG_15_22" localSheetId="6">#REF!</definedName>
    <definedName name="SG_15_23" localSheetId="8">#REF!</definedName>
    <definedName name="SG_15_23" localSheetId="6">#REF!</definedName>
    <definedName name="SG_15_24" localSheetId="8">#REF!</definedName>
    <definedName name="SG_15_24" localSheetId="6">#REF!</definedName>
    <definedName name="SG_15_25" localSheetId="8">#REF!</definedName>
    <definedName name="SG_15_25" localSheetId="6">#REF!</definedName>
    <definedName name="SG_16_01" localSheetId="8">#REF!</definedName>
    <definedName name="SG_16_01" localSheetId="6">#REF!</definedName>
    <definedName name="SG_16_02" localSheetId="8">#REF!</definedName>
    <definedName name="SG_16_02" localSheetId="6">#REF!</definedName>
    <definedName name="SG_16_03" localSheetId="8">#REF!</definedName>
    <definedName name="SG_16_03" localSheetId="6">#REF!</definedName>
    <definedName name="SG_16_04" localSheetId="8">#REF!</definedName>
    <definedName name="SG_16_04" localSheetId="6">#REF!</definedName>
    <definedName name="SG_16_05" localSheetId="8">#REF!</definedName>
    <definedName name="SG_16_05" localSheetId="6">#REF!</definedName>
    <definedName name="SG_16_06" localSheetId="8">#REF!</definedName>
    <definedName name="SG_16_06" localSheetId="6">#REF!</definedName>
    <definedName name="SG_16_07" localSheetId="8">#REF!</definedName>
    <definedName name="SG_16_07" localSheetId="6">#REF!</definedName>
    <definedName name="SG_16_08" localSheetId="8">#REF!</definedName>
    <definedName name="SG_16_08" localSheetId="6">#REF!</definedName>
    <definedName name="SG_16_09" localSheetId="8">#REF!</definedName>
    <definedName name="SG_16_09" localSheetId="6">#REF!</definedName>
    <definedName name="SG_16_10" localSheetId="8">#REF!</definedName>
    <definedName name="SG_16_10" localSheetId="6">#REF!</definedName>
    <definedName name="SG_16_11" localSheetId="8">#REF!</definedName>
    <definedName name="SG_16_11" localSheetId="6">#REF!</definedName>
    <definedName name="SG_16_12" localSheetId="8">#REF!</definedName>
    <definedName name="SG_16_12" localSheetId="6">#REF!</definedName>
    <definedName name="SG_16_13" localSheetId="8">#REF!</definedName>
    <definedName name="SG_16_13" localSheetId="6">#REF!</definedName>
    <definedName name="SG_16_14" localSheetId="8">#REF!</definedName>
    <definedName name="SG_16_14" localSheetId="6">#REF!</definedName>
    <definedName name="SG_16_15" localSheetId="8">#REF!</definedName>
    <definedName name="SG_16_15" localSheetId="6">#REF!</definedName>
    <definedName name="SG_16_16" localSheetId="8">#REF!</definedName>
    <definedName name="SG_16_16" localSheetId="6">#REF!</definedName>
    <definedName name="SG_16_17" localSheetId="8">#REF!</definedName>
    <definedName name="SG_16_17" localSheetId="6">#REF!</definedName>
    <definedName name="SG_16_18" localSheetId="8">#REF!</definedName>
    <definedName name="SG_16_18" localSheetId="6">#REF!</definedName>
    <definedName name="SG_16_19" localSheetId="8">#REF!</definedName>
    <definedName name="SG_16_19" localSheetId="6">#REF!</definedName>
    <definedName name="SG_16_20" localSheetId="8">#REF!</definedName>
    <definedName name="SG_16_20" localSheetId="6">#REF!</definedName>
    <definedName name="SG_16_21" localSheetId="8">#REF!</definedName>
    <definedName name="SG_16_21" localSheetId="6">#REF!</definedName>
    <definedName name="SG_16_22" localSheetId="8">#REF!</definedName>
    <definedName name="SG_16_22" localSheetId="6">#REF!</definedName>
    <definedName name="SG_16_23" localSheetId="8">#REF!</definedName>
    <definedName name="SG_16_23" localSheetId="6">#REF!</definedName>
    <definedName name="SG_16_24" localSheetId="8">#REF!</definedName>
    <definedName name="SG_16_24" localSheetId="6">#REF!</definedName>
    <definedName name="SG_16_25" localSheetId="8">#REF!</definedName>
    <definedName name="SG_16_25" localSheetId="6">#REF!</definedName>
    <definedName name="SG_17_01" localSheetId="8">#REF!</definedName>
    <definedName name="SG_17_01" localSheetId="6">#REF!</definedName>
    <definedName name="SG_17_02" localSheetId="8">#REF!</definedName>
    <definedName name="SG_17_02" localSheetId="6">#REF!</definedName>
    <definedName name="SG_17_03" localSheetId="8">#REF!</definedName>
    <definedName name="SG_17_03" localSheetId="6">#REF!</definedName>
    <definedName name="SG_17_04" localSheetId="8">#REF!</definedName>
    <definedName name="SG_17_04" localSheetId="6">#REF!</definedName>
    <definedName name="SG_17_05" localSheetId="8">#REF!</definedName>
    <definedName name="SG_17_05" localSheetId="6">#REF!</definedName>
    <definedName name="SG_17_06" localSheetId="8">#REF!</definedName>
    <definedName name="SG_17_06" localSheetId="6">#REF!</definedName>
    <definedName name="SG_17_07" localSheetId="8">#REF!</definedName>
    <definedName name="SG_17_07" localSheetId="6">#REF!</definedName>
    <definedName name="SG_17_08" localSheetId="8">#REF!</definedName>
    <definedName name="SG_17_08" localSheetId="6">#REF!</definedName>
    <definedName name="SG_17_09" localSheetId="8">#REF!</definedName>
    <definedName name="SG_17_09" localSheetId="6">#REF!</definedName>
    <definedName name="SG_17_10" localSheetId="8">#REF!</definedName>
    <definedName name="SG_17_10" localSheetId="6">#REF!</definedName>
    <definedName name="SG_17_11" localSheetId="8">#REF!</definedName>
    <definedName name="SG_17_11" localSheetId="6">#REF!</definedName>
    <definedName name="SG_17_12" localSheetId="8">#REF!</definedName>
    <definedName name="SG_17_12" localSheetId="6">#REF!</definedName>
    <definedName name="SG_17_13" localSheetId="8">#REF!</definedName>
    <definedName name="SG_17_13" localSheetId="6">#REF!</definedName>
    <definedName name="SG_17_14" localSheetId="8">#REF!</definedName>
    <definedName name="SG_17_14" localSheetId="6">#REF!</definedName>
    <definedName name="SG_17_15" localSheetId="8">#REF!</definedName>
    <definedName name="SG_17_15" localSheetId="6">#REF!</definedName>
    <definedName name="SG_17_16" localSheetId="8">#REF!</definedName>
    <definedName name="SG_17_16" localSheetId="6">#REF!</definedName>
    <definedName name="SG_17_17" localSheetId="8">#REF!</definedName>
    <definedName name="SG_17_17" localSheetId="6">#REF!</definedName>
    <definedName name="SG_17_18" localSheetId="8">#REF!</definedName>
    <definedName name="SG_17_18" localSheetId="6">#REF!</definedName>
    <definedName name="SG_17_19" localSheetId="8">#REF!</definedName>
    <definedName name="SG_17_19" localSheetId="6">#REF!</definedName>
    <definedName name="SG_17_20" localSheetId="8">#REF!</definedName>
    <definedName name="SG_17_20" localSheetId="6">#REF!</definedName>
    <definedName name="SG_17_21" localSheetId="8">#REF!</definedName>
    <definedName name="SG_17_21" localSheetId="6">#REF!</definedName>
    <definedName name="SG_17_22" localSheetId="8">#REF!</definedName>
    <definedName name="SG_17_22" localSheetId="6">#REF!</definedName>
    <definedName name="SG_17_23" localSheetId="8">#REF!</definedName>
    <definedName name="SG_17_23" localSheetId="6">#REF!</definedName>
    <definedName name="SG_17_24" localSheetId="8">#REF!</definedName>
    <definedName name="SG_17_24" localSheetId="6">#REF!</definedName>
    <definedName name="SG_17_25" localSheetId="8">#REF!</definedName>
    <definedName name="SG_17_25" localSheetId="6">#REF!</definedName>
    <definedName name="SG_18_01" localSheetId="8">#REF!</definedName>
    <definedName name="SG_18_01" localSheetId="6">#REF!</definedName>
    <definedName name="SG_18_02" localSheetId="8">#REF!</definedName>
    <definedName name="SG_18_02" localSheetId="6">#REF!</definedName>
    <definedName name="SG_18_03" localSheetId="8">#REF!</definedName>
    <definedName name="SG_18_03" localSheetId="6">#REF!</definedName>
    <definedName name="SG_18_04" localSheetId="8">#REF!</definedName>
    <definedName name="SG_18_04" localSheetId="6">#REF!</definedName>
    <definedName name="SG_18_05" localSheetId="8">#REF!</definedName>
    <definedName name="SG_18_05" localSheetId="6">#REF!</definedName>
    <definedName name="SG_18_06" localSheetId="8">#REF!</definedName>
    <definedName name="SG_18_06" localSheetId="6">#REF!</definedName>
    <definedName name="SG_18_07" localSheetId="8">#REF!</definedName>
    <definedName name="SG_18_07" localSheetId="6">#REF!</definedName>
    <definedName name="SG_18_08" localSheetId="8">#REF!</definedName>
    <definedName name="SG_18_08" localSheetId="6">#REF!</definedName>
    <definedName name="SG_18_09" localSheetId="8">#REF!</definedName>
    <definedName name="SG_18_09" localSheetId="6">#REF!</definedName>
    <definedName name="SG_18_10" localSheetId="8">#REF!</definedName>
    <definedName name="SG_18_10" localSheetId="6">#REF!</definedName>
    <definedName name="SG_18_11" localSheetId="8">#REF!</definedName>
    <definedName name="SG_18_11" localSheetId="6">#REF!</definedName>
    <definedName name="SG_18_12" localSheetId="8">#REF!</definedName>
    <definedName name="SG_18_12" localSheetId="6">#REF!</definedName>
    <definedName name="SG_18_13" localSheetId="8">#REF!</definedName>
    <definedName name="SG_18_13" localSheetId="6">#REF!</definedName>
    <definedName name="SG_18_14" localSheetId="8">#REF!</definedName>
    <definedName name="SG_18_14" localSheetId="6">#REF!</definedName>
    <definedName name="SG_18_15" localSheetId="8">#REF!</definedName>
    <definedName name="SG_18_15" localSheetId="6">#REF!</definedName>
    <definedName name="SG_18_16" localSheetId="8">#REF!</definedName>
    <definedName name="SG_18_16" localSheetId="6">#REF!</definedName>
    <definedName name="SG_18_17" localSheetId="8">#REF!</definedName>
    <definedName name="SG_18_17" localSheetId="6">#REF!</definedName>
    <definedName name="SG_18_18" localSheetId="8">#REF!</definedName>
    <definedName name="SG_18_18" localSheetId="6">#REF!</definedName>
    <definedName name="SG_18_19" localSheetId="8">#REF!</definedName>
    <definedName name="SG_18_19" localSheetId="6">#REF!</definedName>
    <definedName name="SG_18_20" localSheetId="8">#REF!</definedName>
    <definedName name="SG_18_20" localSheetId="6">#REF!</definedName>
    <definedName name="SG_18_21" localSheetId="8">#REF!</definedName>
    <definedName name="SG_18_21" localSheetId="6">#REF!</definedName>
    <definedName name="SG_18_22" localSheetId="8">#REF!</definedName>
    <definedName name="SG_18_22" localSheetId="6">#REF!</definedName>
    <definedName name="SG_18_23" localSheetId="8">#REF!</definedName>
    <definedName name="SG_18_23" localSheetId="6">#REF!</definedName>
    <definedName name="SG_18_24" localSheetId="8">#REF!</definedName>
    <definedName name="SG_18_24" localSheetId="6">#REF!</definedName>
    <definedName name="SG_18_25" localSheetId="8">#REF!</definedName>
    <definedName name="SG_18_25" localSheetId="6">#REF!</definedName>
    <definedName name="SG_19_01" localSheetId="8">#REF!</definedName>
    <definedName name="SG_19_01" localSheetId="6">#REF!</definedName>
    <definedName name="SG_19_02" localSheetId="8">#REF!</definedName>
    <definedName name="SG_19_02" localSheetId="6">#REF!</definedName>
    <definedName name="SG_19_03" localSheetId="8">#REF!</definedName>
    <definedName name="SG_19_03" localSheetId="6">#REF!</definedName>
    <definedName name="SG_19_04" localSheetId="8">#REF!</definedName>
    <definedName name="SG_19_04" localSheetId="6">#REF!</definedName>
    <definedName name="SG_19_05" localSheetId="8">#REF!</definedName>
    <definedName name="SG_19_05" localSheetId="6">#REF!</definedName>
    <definedName name="SG_19_06" localSheetId="8">#REF!</definedName>
    <definedName name="SG_19_06" localSheetId="6">#REF!</definedName>
    <definedName name="SG_19_07" localSheetId="8">#REF!</definedName>
    <definedName name="SG_19_07" localSheetId="6">#REF!</definedName>
    <definedName name="SG_19_08" localSheetId="8">#REF!</definedName>
    <definedName name="SG_19_08" localSheetId="6">#REF!</definedName>
    <definedName name="SG_19_09" localSheetId="8">#REF!</definedName>
    <definedName name="SG_19_09" localSheetId="6">#REF!</definedName>
    <definedName name="SG_19_10" localSheetId="8">#REF!</definedName>
    <definedName name="SG_19_10" localSheetId="6">#REF!</definedName>
    <definedName name="SG_19_11" localSheetId="8">#REF!</definedName>
    <definedName name="SG_19_11" localSheetId="6">#REF!</definedName>
    <definedName name="SG_19_12" localSheetId="8">#REF!</definedName>
    <definedName name="SG_19_12" localSheetId="6">#REF!</definedName>
    <definedName name="SG_19_13" localSheetId="8">#REF!</definedName>
    <definedName name="SG_19_13" localSheetId="6">#REF!</definedName>
    <definedName name="SG_19_14" localSheetId="8">#REF!</definedName>
    <definedName name="SG_19_14" localSheetId="6">#REF!</definedName>
    <definedName name="SG_19_15" localSheetId="8">#REF!</definedName>
    <definedName name="SG_19_15" localSheetId="6">#REF!</definedName>
    <definedName name="SG_19_16" localSheetId="8">#REF!</definedName>
    <definedName name="SG_19_16" localSheetId="6">#REF!</definedName>
    <definedName name="SG_19_17" localSheetId="8">#REF!</definedName>
    <definedName name="SG_19_17" localSheetId="6">#REF!</definedName>
    <definedName name="SG_19_18" localSheetId="8">#REF!</definedName>
    <definedName name="SG_19_18" localSheetId="6">#REF!</definedName>
    <definedName name="SG_19_19" localSheetId="8">#REF!</definedName>
    <definedName name="SG_19_19" localSheetId="6">#REF!</definedName>
    <definedName name="SG_19_20" localSheetId="8">#REF!</definedName>
    <definedName name="SG_19_20" localSheetId="6">#REF!</definedName>
    <definedName name="SG_19_21" localSheetId="8">#REF!</definedName>
    <definedName name="SG_19_21" localSheetId="6">#REF!</definedName>
    <definedName name="SG_19_22" localSheetId="8">#REF!</definedName>
    <definedName name="SG_19_22" localSheetId="6">#REF!</definedName>
    <definedName name="SG_19_23" localSheetId="8">#REF!</definedName>
    <definedName name="SG_19_23" localSheetId="6">#REF!</definedName>
    <definedName name="SG_19_24" localSheetId="8">#REF!</definedName>
    <definedName name="SG_19_24" localSheetId="6">#REF!</definedName>
    <definedName name="SG_19_25" localSheetId="8">#REF!</definedName>
    <definedName name="SG_19_25" localSheetId="6">#REF!</definedName>
    <definedName name="SG_20_01" localSheetId="8">#REF!</definedName>
    <definedName name="SG_20_01" localSheetId="6">#REF!</definedName>
    <definedName name="SG_20_02" localSheetId="8">#REF!</definedName>
    <definedName name="SG_20_02" localSheetId="6">#REF!</definedName>
    <definedName name="SG_20_03" localSheetId="8">#REF!</definedName>
    <definedName name="SG_20_03" localSheetId="6">#REF!</definedName>
    <definedName name="SG_20_04" localSheetId="8">#REF!</definedName>
    <definedName name="SG_20_04" localSheetId="6">#REF!</definedName>
    <definedName name="SG_20_05" localSheetId="8">#REF!</definedName>
    <definedName name="SG_20_05" localSheetId="6">#REF!</definedName>
    <definedName name="SG_20_06" localSheetId="8">#REF!</definedName>
    <definedName name="SG_20_06" localSheetId="6">#REF!</definedName>
    <definedName name="SG_20_07" localSheetId="8">#REF!</definedName>
    <definedName name="SG_20_07" localSheetId="6">#REF!</definedName>
    <definedName name="SG_20_08" localSheetId="8">#REF!</definedName>
    <definedName name="SG_20_08" localSheetId="6">#REF!</definedName>
    <definedName name="SG_20_09" localSheetId="8">#REF!</definedName>
    <definedName name="SG_20_09" localSheetId="6">#REF!</definedName>
    <definedName name="SG_20_10" localSheetId="8">#REF!</definedName>
    <definedName name="SG_20_10" localSheetId="6">#REF!</definedName>
    <definedName name="SG_20_11" localSheetId="8">#REF!</definedName>
    <definedName name="SG_20_11" localSheetId="6">#REF!</definedName>
    <definedName name="SG_20_12" localSheetId="8">#REF!</definedName>
    <definedName name="SG_20_12" localSheetId="6">#REF!</definedName>
    <definedName name="SG_20_13" localSheetId="8">#REF!</definedName>
    <definedName name="SG_20_13" localSheetId="6">#REF!</definedName>
    <definedName name="SG_20_14" localSheetId="8">#REF!</definedName>
    <definedName name="SG_20_14" localSheetId="6">#REF!</definedName>
    <definedName name="SG_20_15" localSheetId="8">#REF!</definedName>
    <definedName name="SG_20_15" localSheetId="6">#REF!</definedName>
    <definedName name="SG_20_16" localSheetId="8">#REF!</definedName>
    <definedName name="SG_20_16" localSheetId="6">#REF!</definedName>
    <definedName name="SG_20_17" localSheetId="8">#REF!</definedName>
    <definedName name="SG_20_17" localSheetId="6">#REF!</definedName>
    <definedName name="SG_20_18" localSheetId="8">#REF!</definedName>
    <definedName name="SG_20_18" localSheetId="6">#REF!</definedName>
    <definedName name="SG_20_19" localSheetId="8">#REF!</definedName>
    <definedName name="SG_20_19" localSheetId="6">#REF!</definedName>
    <definedName name="SG_20_20" localSheetId="8">#REF!</definedName>
    <definedName name="SG_20_20" localSheetId="6">#REF!</definedName>
    <definedName name="SG_20_21" localSheetId="8">#REF!</definedName>
    <definedName name="SG_20_21" localSheetId="6">#REF!</definedName>
    <definedName name="SG_20_22" localSheetId="8">#REF!</definedName>
    <definedName name="SG_20_22" localSheetId="6">#REF!</definedName>
    <definedName name="SG_20_23" localSheetId="8">#REF!</definedName>
    <definedName name="SG_20_23" localSheetId="6">#REF!</definedName>
    <definedName name="SG_20_24" localSheetId="8">#REF!</definedName>
    <definedName name="SG_20_24" localSheetId="6">#REF!</definedName>
    <definedName name="SG_20_25" localSheetId="8">#REF!</definedName>
    <definedName name="SG_20_25" localSheetId="6">#REF!</definedName>
    <definedName name="SG_21_01" localSheetId="8">#REF!</definedName>
    <definedName name="SG_21_01" localSheetId="6">#REF!</definedName>
    <definedName name="SG_21_02" localSheetId="8">#REF!</definedName>
    <definedName name="SG_21_02" localSheetId="6">#REF!</definedName>
    <definedName name="SG_21_03" localSheetId="8">#REF!</definedName>
    <definedName name="SG_21_03" localSheetId="6">#REF!</definedName>
    <definedName name="SG_21_04" localSheetId="8">#REF!</definedName>
    <definedName name="SG_21_04" localSheetId="6">#REF!</definedName>
    <definedName name="SG_21_05" localSheetId="8">#REF!</definedName>
    <definedName name="SG_21_05" localSheetId="6">#REF!</definedName>
    <definedName name="SG_21_06" localSheetId="8">#REF!</definedName>
    <definedName name="SG_21_06" localSheetId="6">#REF!</definedName>
    <definedName name="SG_21_07" localSheetId="8">#REF!</definedName>
    <definedName name="SG_21_07" localSheetId="6">#REF!</definedName>
    <definedName name="SG_21_08" localSheetId="8">#REF!</definedName>
    <definedName name="SG_21_08" localSheetId="6">#REF!</definedName>
    <definedName name="SG_21_09" localSheetId="8">#REF!</definedName>
    <definedName name="SG_21_09" localSheetId="6">#REF!</definedName>
    <definedName name="SG_21_10" localSheetId="8">#REF!</definedName>
    <definedName name="SG_21_10" localSheetId="6">#REF!</definedName>
    <definedName name="SG_21_11" localSheetId="8">#REF!</definedName>
    <definedName name="SG_21_11" localSheetId="6">#REF!</definedName>
    <definedName name="SG_21_12" localSheetId="8">#REF!</definedName>
    <definedName name="SG_21_12" localSheetId="6">#REF!</definedName>
    <definedName name="SG_21_13" localSheetId="8">#REF!</definedName>
    <definedName name="SG_21_13" localSheetId="6">#REF!</definedName>
    <definedName name="SG_21_14" localSheetId="8">#REF!</definedName>
    <definedName name="SG_21_14" localSheetId="6">#REF!</definedName>
    <definedName name="SG_21_15" localSheetId="8">#REF!</definedName>
    <definedName name="SG_21_15" localSheetId="6">#REF!</definedName>
    <definedName name="SG_21_16" localSheetId="8">#REF!</definedName>
    <definedName name="SG_21_16" localSheetId="6">#REF!</definedName>
    <definedName name="SG_21_17" localSheetId="8">#REF!</definedName>
    <definedName name="SG_21_17" localSheetId="6">#REF!</definedName>
    <definedName name="SG_21_18" localSheetId="8">#REF!</definedName>
    <definedName name="SG_21_18" localSheetId="6">#REF!</definedName>
    <definedName name="SG_21_19" localSheetId="8">#REF!</definedName>
    <definedName name="SG_21_19" localSheetId="6">#REF!</definedName>
    <definedName name="SG_21_20" localSheetId="8">#REF!</definedName>
    <definedName name="SG_21_20" localSheetId="6">#REF!</definedName>
    <definedName name="SG_21_21" localSheetId="8">#REF!</definedName>
    <definedName name="SG_21_21" localSheetId="6">#REF!</definedName>
    <definedName name="SG_21_22" localSheetId="8">#REF!</definedName>
    <definedName name="SG_21_22" localSheetId="6">#REF!</definedName>
    <definedName name="SG_21_23" localSheetId="8">#REF!</definedName>
    <definedName name="SG_21_23" localSheetId="6">#REF!</definedName>
    <definedName name="SG_21_24" localSheetId="8">#REF!</definedName>
    <definedName name="SG_21_24" localSheetId="6">#REF!</definedName>
    <definedName name="SG_21_25" localSheetId="8">#REF!</definedName>
    <definedName name="SG_21_25" localSheetId="6">#REF!</definedName>
    <definedName name="SG_22_01" localSheetId="8">#REF!</definedName>
    <definedName name="SG_22_01" localSheetId="6">#REF!</definedName>
    <definedName name="SG_22_02" localSheetId="8">#REF!</definedName>
    <definedName name="SG_22_02" localSheetId="6">#REF!</definedName>
    <definedName name="SG_22_03" localSheetId="8">#REF!</definedName>
    <definedName name="SG_22_03" localSheetId="6">#REF!</definedName>
    <definedName name="SG_22_04" localSheetId="8">#REF!</definedName>
    <definedName name="SG_22_04" localSheetId="6">#REF!</definedName>
    <definedName name="SG_22_05" localSheetId="8">#REF!</definedName>
    <definedName name="SG_22_05" localSheetId="6">#REF!</definedName>
    <definedName name="SG_22_06" localSheetId="8">#REF!</definedName>
    <definedName name="SG_22_06" localSheetId="6">#REF!</definedName>
    <definedName name="SG_22_07" localSheetId="8">#REF!</definedName>
    <definedName name="SG_22_07" localSheetId="6">#REF!</definedName>
    <definedName name="SG_22_08" localSheetId="8">#REF!</definedName>
    <definedName name="SG_22_08" localSheetId="6">#REF!</definedName>
    <definedName name="SG_22_09" localSheetId="8">#REF!</definedName>
    <definedName name="SG_22_09" localSheetId="6">#REF!</definedName>
    <definedName name="SG_22_10" localSheetId="8">#REF!</definedName>
    <definedName name="SG_22_10" localSheetId="6">#REF!</definedName>
    <definedName name="SG_22_11" localSheetId="8">#REF!</definedName>
    <definedName name="SG_22_11" localSheetId="6">#REF!</definedName>
    <definedName name="SG_22_12" localSheetId="8">#REF!</definedName>
    <definedName name="SG_22_12" localSheetId="6">#REF!</definedName>
    <definedName name="SG_22_13" localSheetId="8">#REF!</definedName>
    <definedName name="SG_22_13" localSheetId="6">#REF!</definedName>
    <definedName name="SG_22_14" localSheetId="8">#REF!</definedName>
    <definedName name="SG_22_14" localSheetId="6">#REF!</definedName>
    <definedName name="SG_22_15" localSheetId="8">#REF!</definedName>
    <definedName name="SG_22_15" localSheetId="6">#REF!</definedName>
    <definedName name="SG_22_16" localSheetId="8">#REF!</definedName>
    <definedName name="SG_22_16" localSheetId="6">#REF!</definedName>
    <definedName name="SG_22_17" localSheetId="8">#REF!</definedName>
    <definedName name="SG_22_17" localSheetId="6">#REF!</definedName>
    <definedName name="SG_22_18" localSheetId="8">#REF!</definedName>
    <definedName name="SG_22_18" localSheetId="6">#REF!</definedName>
    <definedName name="SG_22_19" localSheetId="8">#REF!</definedName>
    <definedName name="SG_22_19" localSheetId="6">#REF!</definedName>
    <definedName name="SG_22_20" localSheetId="8">#REF!</definedName>
    <definedName name="SG_22_20" localSheetId="6">#REF!</definedName>
    <definedName name="SG_22_21" localSheetId="8">#REF!</definedName>
    <definedName name="SG_22_21" localSheetId="6">#REF!</definedName>
    <definedName name="SG_22_22" localSheetId="8">#REF!</definedName>
    <definedName name="SG_22_22" localSheetId="6">#REF!</definedName>
    <definedName name="SG_22_23" localSheetId="8">#REF!</definedName>
    <definedName name="SG_22_23" localSheetId="6">#REF!</definedName>
    <definedName name="SG_22_24" localSheetId="8">#REF!</definedName>
    <definedName name="SG_22_24" localSheetId="6">#REF!</definedName>
    <definedName name="SG_22_25" localSheetId="8">#REF!</definedName>
    <definedName name="SG_22_25" localSheetId="6">#REF!</definedName>
    <definedName name="SG_23_01" localSheetId="8">#REF!</definedName>
    <definedName name="SG_23_01" localSheetId="6">#REF!</definedName>
    <definedName name="SG_23_02" localSheetId="8">#REF!</definedName>
    <definedName name="SG_23_02" localSheetId="6">#REF!</definedName>
    <definedName name="SG_23_03" localSheetId="8">#REF!</definedName>
    <definedName name="SG_23_03" localSheetId="6">#REF!</definedName>
    <definedName name="SG_23_04" localSheetId="8">#REF!</definedName>
    <definedName name="SG_23_04" localSheetId="6">#REF!</definedName>
    <definedName name="SG_23_05" localSheetId="8">#REF!</definedName>
    <definedName name="SG_23_05" localSheetId="6">#REF!</definedName>
    <definedName name="SG_23_06" localSheetId="8">#REF!</definedName>
    <definedName name="SG_23_06" localSheetId="6">#REF!</definedName>
    <definedName name="SG_23_07" localSheetId="8">#REF!</definedName>
    <definedName name="SG_23_07" localSheetId="6">#REF!</definedName>
    <definedName name="SG_23_08" localSheetId="8">#REF!</definedName>
    <definedName name="SG_23_08" localSheetId="6">#REF!</definedName>
    <definedName name="SG_23_09" localSheetId="8">#REF!</definedName>
    <definedName name="SG_23_09" localSheetId="6">#REF!</definedName>
    <definedName name="SG_23_10" localSheetId="8">#REF!</definedName>
    <definedName name="SG_23_10" localSheetId="6">#REF!</definedName>
    <definedName name="SG_23_11" localSheetId="8">#REF!</definedName>
    <definedName name="SG_23_11" localSheetId="6">#REF!</definedName>
    <definedName name="SG_23_12" localSheetId="8">#REF!</definedName>
    <definedName name="SG_23_12" localSheetId="6">#REF!</definedName>
    <definedName name="SG_23_13" localSheetId="8">#REF!</definedName>
    <definedName name="SG_23_13" localSheetId="6">#REF!</definedName>
    <definedName name="SG_23_14" localSheetId="8">#REF!</definedName>
    <definedName name="SG_23_14" localSheetId="6">#REF!</definedName>
    <definedName name="SG_23_15" localSheetId="8">#REF!</definedName>
    <definedName name="SG_23_15" localSheetId="6">#REF!</definedName>
    <definedName name="SG_23_16" localSheetId="8">#REF!</definedName>
    <definedName name="SG_23_16" localSheetId="6">#REF!</definedName>
    <definedName name="SG_23_17" localSheetId="8">#REF!</definedName>
    <definedName name="SG_23_17" localSheetId="6">#REF!</definedName>
    <definedName name="SG_23_18" localSheetId="8">#REF!</definedName>
    <definedName name="SG_23_18" localSheetId="6">#REF!</definedName>
    <definedName name="SG_23_19" localSheetId="8">#REF!</definedName>
    <definedName name="SG_23_19" localSheetId="6">#REF!</definedName>
    <definedName name="SG_23_20" localSheetId="8">#REF!</definedName>
    <definedName name="SG_23_20" localSheetId="6">#REF!</definedName>
    <definedName name="SG_23_21" localSheetId="8">#REF!</definedName>
    <definedName name="SG_23_21" localSheetId="6">#REF!</definedName>
    <definedName name="SG_23_22" localSheetId="8">#REF!</definedName>
    <definedName name="SG_23_22" localSheetId="6">#REF!</definedName>
    <definedName name="SG_23_23" localSheetId="8">#REF!</definedName>
    <definedName name="SG_23_23" localSheetId="6">#REF!</definedName>
    <definedName name="SG_23_24" localSheetId="8">#REF!</definedName>
    <definedName name="SG_23_24" localSheetId="6">#REF!</definedName>
    <definedName name="SG_23_25" localSheetId="8">#REF!</definedName>
    <definedName name="SG_23_25" localSheetId="6">#REF!</definedName>
    <definedName name="SG_24_01" localSheetId="8">#REF!</definedName>
    <definedName name="SG_24_01" localSheetId="6">#REF!</definedName>
    <definedName name="SG_24_02" localSheetId="8">#REF!</definedName>
    <definedName name="SG_24_02" localSheetId="6">#REF!</definedName>
    <definedName name="SG_24_03" localSheetId="8">#REF!</definedName>
    <definedName name="SG_24_03" localSheetId="6">#REF!</definedName>
    <definedName name="SG_24_04" localSheetId="8">#REF!</definedName>
    <definedName name="SG_24_04" localSheetId="6">#REF!</definedName>
    <definedName name="SG_24_05" localSheetId="8">#REF!</definedName>
    <definedName name="SG_24_05" localSheetId="6">#REF!</definedName>
    <definedName name="SG_24_06" localSheetId="8">#REF!</definedName>
    <definedName name="SG_24_06" localSheetId="6">#REF!</definedName>
    <definedName name="SG_24_07" localSheetId="8">#REF!</definedName>
    <definedName name="SG_24_07" localSheetId="6">#REF!</definedName>
    <definedName name="SG_24_08" localSheetId="8">#REF!</definedName>
    <definedName name="SG_24_08" localSheetId="6">#REF!</definedName>
    <definedName name="SG_24_09" localSheetId="8">#REF!</definedName>
    <definedName name="SG_24_09" localSheetId="6">#REF!</definedName>
    <definedName name="SG_24_10" localSheetId="8">#REF!</definedName>
    <definedName name="SG_24_10" localSheetId="6">#REF!</definedName>
    <definedName name="SG_24_11" localSheetId="8">#REF!</definedName>
    <definedName name="SG_24_11" localSheetId="6">#REF!</definedName>
    <definedName name="SG_24_12" localSheetId="8">#REF!</definedName>
    <definedName name="SG_24_12" localSheetId="6">#REF!</definedName>
    <definedName name="SG_24_13" localSheetId="8">#REF!</definedName>
    <definedName name="SG_24_13" localSheetId="6">#REF!</definedName>
    <definedName name="SG_24_14" localSheetId="8">#REF!</definedName>
    <definedName name="SG_24_14" localSheetId="6">#REF!</definedName>
    <definedName name="SG_24_15" localSheetId="8">#REF!</definedName>
    <definedName name="SG_24_15" localSheetId="6">#REF!</definedName>
    <definedName name="SG_24_16" localSheetId="8">#REF!</definedName>
    <definedName name="SG_24_16" localSheetId="6">#REF!</definedName>
    <definedName name="SG_24_17" localSheetId="8">#REF!</definedName>
    <definedName name="SG_24_17" localSheetId="6">#REF!</definedName>
    <definedName name="SG_24_18" localSheetId="8">#REF!</definedName>
    <definedName name="SG_24_18" localSheetId="6">#REF!</definedName>
    <definedName name="SG_24_19" localSheetId="8">#REF!</definedName>
    <definedName name="SG_24_19" localSheetId="6">#REF!</definedName>
    <definedName name="SG_24_20" localSheetId="8">#REF!</definedName>
    <definedName name="SG_24_20" localSheetId="6">#REF!</definedName>
    <definedName name="SG_24_21" localSheetId="8">#REF!</definedName>
    <definedName name="SG_24_21" localSheetId="6">#REF!</definedName>
    <definedName name="SG_24_22" localSheetId="8">#REF!</definedName>
    <definedName name="SG_24_22" localSheetId="6">#REF!</definedName>
    <definedName name="SG_24_23" localSheetId="8">#REF!</definedName>
    <definedName name="SG_24_23" localSheetId="6">#REF!</definedName>
    <definedName name="SG_24_24" localSheetId="8">#REF!</definedName>
    <definedName name="SG_24_24" localSheetId="6">#REF!</definedName>
    <definedName name="SG_24_25" localSheetId="8">#REF!</definedName>
    <definedName name="SG_24_25" localSheetId="6">#REF!</definedName>
    <definedName name="SG_25_01" localSheetId="8">#REF!</definedName>
    <definedName name="SG_25_01" localSheetId="6">#REF!</definedName>
    <definedName name="SG_25_02" localSheetId="8">#REF!</definedName>
    <definedName name="SG_25_02" localSheetId="6">#REF!</definedName>
    <definedName name="SG_25_03" localSheetId="8">#REF!</definedName>
    <definedName name="SG_25_03" localSheetId="6">#REF!</definedName>
    <definedName name="SG_25_04" localSheetId="8">#REF!</definedName>
    <definedName name="SG_25_04" localSheetId="6">#REF!</definedName>
    <definedName name="SG_25_05" localSheetId="8">#REF!</definedName>
    <definedName name="SG_25_05" localSheetId="6">#REF!</definedName>
    <definedName name="SG_25_06" localSheetId="8">#REF!</definedName>
    <definedName name="SG_25_06" localSheetId="6">#REF!</definedName>
    <definedName name="SG_25_07" localSheetId="8">#REF!</definedName>
    <definedName name="SG_25_07" localSheetId="6">#REF!</definedName>
    <definedName name="SG_25_08" localSheetId="8">#REF!</definedName>
    <definedName name="SG_25_08" localSheetId="6">#REF!</definedName>
    <definedName name="SG_25_09" localSheetId="8">#REF!</definedName>
    <definedName name="SG_25_09" localSheetId="6">#REF!</definedName>
    <definedName name="SG_25_10" localSheetId="8">#REF!</definedName>
    <definedName name="SG_25_10" localSheetId="6">#REF!</definedName>
    <definedName name="SG_25_11" localSheetId="8">#REF!</definedName>
    <definedName name="SG_25_11" localSheetId="6">#REF!</definedName>
    <definedName name="SG_25_12" localSheetId="8">#REF!</definedName>
    <definedName name="SG_25_12" localSheetId="6">#REF!</definedName>
    <definedName name="SG_25_13" localSheetId="8">#REF!</definedName>
    <definedName name="SG_25_13" localSheetId="6">#REF!</definedName>
    <definedName name="SG_25_14" localSheetId="8">#REF!</definedName>
    <definedName name="SG_25_14" localSheetId="6">#REF!</definedName>
    <definedName name="SG_25_15" localSheetId="8">#REF!</definedName>
    <definedName name="SG_25_15" localSheetId="6">#REF!</definedName>
    <definedName name="SG_25_16" localSheetId="8">#REF!</definedName>
    <definedName name="SG_25_16" localSheetId="6">#REF!</definedName>
    <definedName name="SG_25_17" localSheetId="8">#REF!</definedName>
    <definedName name="SG_25_17" localSheetId="6">#REF!</definedName>
    <definedName name="SG_25_18" localSheetId="8">#REF!</definedName>
    <definedName name="SG_25_18" localSheetId="6">#REF!</definedName>
    <definedName name="SG_25_19" localSheetId="8">#REF!</definedName>
    <definedName name="SG_25_19" localSheetId="6">#REF!</definedName>
    <definedName name="SG_25_20" localSheetId="8">#REF!</definedName>
    <definedName name="SG_25_20" localSheetId="6">#REF!</definedName>
    <definedName name="SG_25_21" localSheetId="8">#REF!</definedName>
    <definedName name="SG_25_21" localSheetId="6">#REF!</definedName>
    <definedName name="SG_25_22" localSheetId="8">#REF!</definedName>
    <definedName name="SG_25_22" localSheetId="6">#REF!</definedName>
    <definedName name="SG_25_23" localSheetId="8">#REF!</definedName>
    <definedName name="SG_25_23" localSheetId="6">#REF!</definedName>
    <definedName name="SG_25_24" localSheetId="8">#REF!</definedName>
    <definedName name="SG_25_24" localSheetId="6">#REF!</definedName>
    <definedName name="SG_25_25" localSheetId="8">#REF!</definedName>
    <definedName name="SG_25_25" localSheetId="6">#REF!</definedName>
    <definedName name="sinal" localSheetId="8">#REF!</definedName>
    <definedName name="sinal" localSheetId="6">#REF!</definedName>
    <definedName name="SINALI" localSheetId="8">#REF!</definedName>
    <definedName name="SINALI" localSheetId="6">#REF!</definedName>
    <definedName name="sinaliz_vert" localSheetId="8">#REF!</definedName>
    <definedName name="sinaliz_vert" localSheetId="6">#REF!</definedName>
    <definedName name="SM" localSheetId="8">#REF!</definedName>
    <definedName name="SM" localSheetId="6">#REF!</definedName>
    <definedName name="Sorriso" localSheetId="8">#REF!</definedName>
    <definedName name="Sorriso" localSheetId="6">#REF!</definedName>
    <definedName name="SS" localSheetId="15" hidden="1">{#N/A,#N/A,FALSE,"MO (2)"}</definedName>
    <definedName name="SS" localSheetId="8" hidden="1">{#N/A,#N/A,FALSE,"MO (2)"}</definedName>
    <definedName name="SS" localSheetId="5" hidden="1">{#N/A,#N/A,FALSE,"MO (2)"}</definedName>
    <definedName name="SS" localSheetId="34" hidden="1">{#N/A,#N/A,FALSE,"MO (2)"}</definedName>
    <definedName name="SS" localSheetId="6" hidden="1">{#N/A,#N/A,FALSE,"MO (2)"}</definedName>
    <definedName name="SS" localSheetId="14" hidden="1">{#N/A,#N/A,FALSE,"MO (2)"}</definedName>
    <definedName name="SS" hidden="1">{#N/A,#N/A,FALSE,"MO (2)"}</definedName>
    <definedName name="SS_1" localSheetId="15" hidden="1">{#N/A,#N/A,FALSE,"MO (2)"}</definedName>
    <definedName name="SS_1" localSheetId="8" hidden="1">{#N/A,#N/A,FALSE,"MO (2)"}</definedName>
    <definedName name="SS_1" localSheetId="5" hidden="1">{#N/A,#N/A,FALSE,"MO (2)"}</definedName>
    <definedName name="SS_1" localSheetId="34" hidden="1">{#N/A,#N/A,FALSE,"MO (2)"}</definedName>
    <definedName name="SS_1" localSheetId="6" hidden="1">{#N/A,#N/A,FALSE,"MO (2)"}</definedName>
    <definedName name="SS_1" localSheetId="14" hidden="1">{#N/A,#N/A,FALSE,"MO (2)"}</definedName>
    <definedName name="SS_1" hidden="1">{#N/A,#N/A,FALSE,"MO (2)"}</definedName>
    <definedName name="SSS" localSheetId="15" hidden="1">{#N/A,#N/A,FALSE,"MO (2)"}</definedName>
    <definedName name="SSS" localSheetId="8" hidden="1">{#N/A,#N/A,FALSE,"MO (2)"}</definedName>
    <definedName name="SSS" localSheetId="5" hidden="1">{#N/A,#N/A,FALSE,"MO (2)"}</definedName>
    <definedName name="SSS" localSheetId="34" hidden="1">{#N/A,#N/A,FALSE,"MO (2)"}</definedName>
    <definedName name="SSS" localSheetId="6" hidden="1">{#N/A,#N/A,FALSE,"MO (2)"}</definedName>
    <definedName name="SSS" localSheetId="14" hidden="1">{#N/A,#N/A,FALSE,"MO (2)"}</definedName>
    <definedName name="SSS" hidden="1">{#N/A,#N/A,FALSE,"MO (2)"}</definedName>
    <definedName name="SSS_1" localSheetId="15" hidden="1">{#N/A,#N/A,FALSE,"MO (2)"}</definedName>
    <definedName name="SSS_1" localSheetId="8" hidden="1">{#N/A,#N/A,FALSE,"MO (2)"}</definedName>
    <definedName name="SSS_1" localSheetId="5" hidden="1">{#N/A,#N/A,FALSE,"MO (2)"}</definedName>
    <definedName name="SSS_1" localSheetId="34" hidden="1">{#N/A,#N/A,FALSE,"MO (2)"}</definedName>
    <definedName name="SSS_1" localSheetId="6" hidden="1">{#N/A,#N/A,FALSE,"MO (2)"}</definedName>
    <definedName name="SSS_1" localSheetId="14" hidden="1">{#N/A,#N/A,FALSE,"MO (2)"}</definedName>
    <definedName name="SSS_1" hidden="1">{#N/A,#N/A,FALSE,"MO (2)"}</definedName>
    <definedName name="subtrec" localSheetId="8">#REF!</definedName>
    <definedName name="subtrec" localSheetId="6">#REF!</definedName>
    <definedName name="subtrech" localSheetId="8">#REF!</definedName>
    <definedName name="subtrech" localSheetId="6">#REF!</definedName>
    <definedName name="T" localSheetId="8">#REF!</definedName>
    <definedName name="T" localSheetId="6">#REF!</definedName>
    <definedName name="tabela" localSheetId="8">#REF!</definedName>
    <definedName name="tabela" localSheetId="6">#REF!</definedName>
    <definedName name="TABELA1" localSheetId="8">#REF!</definedName>
    <definedName name="TABELA1" localSheetId="6">#REF!</definedName>
    <definedName name="tachinhas" localSheetId="8">#REF!</definedName>
    <definedName name="tachinhas" localSheetId="6">#REF!</definedName>
    <definedName name="tachões" localSheetId="8">#REF!</definedName>
    <definedName name="tachões" localSheetId="6">#REF!</definedName>
    <definedName name="Tanque_lavar_roupa" localSheetId="8">#REF!</definedName>
    <definedName name="Tanque_lavar_roupa" localSheetId="6">#REF!</definedName>
    <definedName name="Tanque_premoldado" localSheetId="8">#REF!</definedName>
    <definedName name="Tanque_premoldado" localSheetId="6">#REF!</definedName>
    <definedName name="taxa_cap" localSheetId="8">#REF!</definedName>
    <definedName name="taxa_cap" localSheetId="6">#REF!</definedName>
    <definedName name="TCC4T" localSheetId="8">#REF!</definedName>
    <definedName name="TCC4T" localSheetId="6">#REF!</definedName>
    <definedName name="TEA" localSheetId="8">#REF!</definedName>
    <definedName name="TEA" localSheetId="6">#REF!</definedName>
    <definedName name="ter" localSheetId="8">#REF!</definedName>
    <definedName name="ter" localSheetId="6">#REF!</definedName>
    <definedName name="terra" localSheetId="8">#REF!</definedName>
    <definedName name="terra" localSheetId="6">#REF!</definedName>
    <definedName name="Terra2" localSheetId="8">#REF!</definedName>
    <definedName name="Terra2" localSheetId="6">#REF!</definedName>
    <definedName name="teste" localSheetId="8">#REF!</definedName>
    <definedName name="teste" localSheetId="6">#REF!</definedName>
    <definedName name="teste1" localSheetId="8">#REF!</definedName>
    <definedName name="teste1" localSheetId="6">#REF!</definedName>
    <definedName name="teste2" localSheetId="8">#REF!</definedName>
    <definedName name="teste2" localSheetId="6">#REF!</definedName>
    <definedName name="teste3" localSheetId="8">#REF!</definedName>
    <definedName name="teste3" localSheetId="6">#REF!</definedName>
    <definedName name="_xlnm.Print_Titles" localSheetId="16">'ACADEMIA DA 3 IDADE '!$2:$12</definedName>
    <definedName name="_xlnm.Print_Titles" localSheetId="23">'COMP. ACAD CEF'!$2:$12</definedName>
    <definedName name="_xlnm.Print_Titles" localSheetId="17">'COMP. ELETRICO '!$3:$12</definedName>
    <definedName name="_xlnm.Print_Titles" localSheetId="15">'COMP. HIDRO '!$4:$14</definedName>
    <definedName name="_xlnm.Print_Titles" localSheetId="20">'COMP. INC'!$5:$15</definedName>
    <definedName name="_xlnm.Print_Titles" localSheetId="21">'COMP. IP'!$5:$15</definedName>
    <definedName name="_xlnm.Print_Titles" localSheetId="19">'COMP. LOG'!$5:$15</definedName>
    <definedName name="_xlnm.Print_Titles" localSheetId="22">'COMP. PAISAGISMO'!$2:$12</definedName>
    <definedName name="_xlnm.Print_Titles" localSheetId="18">'COMP. SPDA '!$5:$15</definedName>
    <definedName name="_xlnm.Print_Titles" localSheetId="9">'COMPOSIÇÃO CIVIL'!$2:$12</definedName>
    <definedName name="_xlnm.Print_Titles" localSheetId="10">'COMPOSIÇÃO ESTRUTURAL'!$2:$12</definedName>
    <definedName name="_xlnm.Print_Titles" localSheetId="37">CRONOGRAMA!$C:$D,CRONOGRAMA!$3:$10</definedName>
    <definedName name="_xlnm.Print_Titles" localSheetId="8">'CURVA ABC  '!$4:$15</definedName>
    <definedName name="_xlnm.Print_Titles" localSheetId="1">'DECL. DE RESP.'!$2:$5</definedName>
    <definedName name="_xlnm.Print_Titles" localSheetId="5">'M.C PISO'!$2:$9</definedName>
    <definedName name="_xlnm.Print_Titles" localSheetId="6">'M.C. PINTURA INT'!$1:$11</definedName>
    <definedName name="_xlnm.Print_Titles" localSheetId="35">'MEM. DE CALCULO'!$2:$14</definedName>
    <definedName name="_xlnm.Print_Titles" localSheetId="30">MEMCALCOBERT!$3:$12</definedName>
    <definedName name="_xlnm.Print_Titles" localSheetId="31">MEMCALESTMET!$3:$12</definedName>
    <definedName name="_xlnm.Print_Titles" localSheetId="33">MEMCALTRASP!$3:$12</definedName>
    <definedName name="_xlnm.Print_Titles" localSheetId="7">'ORÇAMENTO '!$4:$15</definedName>
    <definedName name="_xlnm.Print_Titles" localSheetId="24">'PLAYGROUND '!$2:$12</definedName>
    <definedName name="_xlnm.Print_Titles" localSheetId="3">RESUMO!$2:$7</definedName>
    <definedName name="tmat" localSheetId="8">#REF!</definedName>
    <definedName name="tmat" localSheetId="6">#REF!</definedName>
    <definedName name="TOTAL" localSheetId="8">#REF!</definedName>
    <definedName name="TOTAL" localSheetId="6">#REF!</definedName>
    <definedName name="TOTAL_GERAL" localSheetId="8">#REF!</definedName>
    <definedName name="TOTAL_GERAL" localSheetId="6">#REF!</definedName>
    <definedName name="TOTAL_RESUMO" localSheetId="8">#REF!</definedName>
    <definedName name="TOTAL_RESUMO" localSheetId="6">#REF!</definedName>
    <definedName name="totee_3" localSheetId="8">#REF!</definedName>
    <definedName name="totee_3" localSheetId="6">#REF!</definedName>
    <definedName name="totee1" localSheetId="8">#REF!</definedName>
    <definedName name="totee1" localSheetId="6">#REF!</definedName>
    <definedName name="totee2" localSheetId="8">#REF!</definedName>
    <definedName name="totee2" localSheetId="6">#REF!</definedName>
    <definedName name="TOTMAT_EE1" localSheetId="8">#REF!</definedName>
    <definedName name="TOTMAT_EE1" localSheetId="6">#REF!</definedName>
    <definedName name="TOTMAT_EE2" localSheetId="8">#REF!</definedName>
    <definedName name="TOTMAT_EE2" localSheetId="6">#REF!</definedName>
    <definedName name="TOTMAT_EE3" localSheetId="8">#REF!</definedName>
    <definedName name="TOTMAT_EE3" localSheetId="6">#REF!</definedName>
    <definedName name="TOTSER_EE1" localSheetId="8">#REF!</definedName>
    <definedName name="TOTSER_EE1" localSheetId="6">#REF!</definedName>
    <definedName name="TOTSER_EE2" localSheetId="8">#REF!</definedName>
    <definedName name="TOTSER_EE2" localSheetId="6">#REF!</definedName>
    <definedName name="TOTSER_EE3" localSheetId="8">#REF!</definedName>
    <definedName name="TOTSER_EE3" localSheetId="6">#REF!</definedName>
    <definedName name="TRÂNS_SEG_EMISS2" localSheetId="8">#REF!</definedName>
    <definedName name="TRÂNS_SEG_EMISS2" localSheetId="6">#REF!</definedName>
    <definedName name="TRÂNS_SEG_EMISS3" localSheetId="8">#REF!</definedName>
    <definedName name="TRÂNS_SEG_EMISS3" localSheetId="6">#REF!</definedName>
    <definedName name="TRÂNS_SEGU" localSheetId="8">#REF!</definedName>
    <definedName name="TRÂNS_SEGU" localSheetId="6">#REF!</definedName>
    <definedName name="TRÂNS_SEGURANÇA" localSheetId="8">#REF!</definedName>
    <definedName name="TRÂNS_SEGURANÇA" localSheetId="6">#REF!</definedName>
    <definedName name="transp_massa" localSheetId="8">#REF!</definedName>
    <definedName name="transp_massa" localSheetId="6">#REF!</definedName>
    <definedName name="TRAV_EMISS3_S" localSheetId="8">#REF!</definedName>
    <definedName name="TRAV_EMISS3_S" localSheetId="6">#REF!</definedName>
    <definedName name="trec" localSheetId="8">#REF!</definedName>
    <definedName name="trec" localSheetId="6">#REF!</definedName>
    <definedName name="trech" localSheetId="8">#REF!</definedName>
    <definedName name="trech" localSheetId="6">#REF!</definedName>
    <definedName name="TRECHOA" localSheetId="8">#REF!</definedName>
    <definedName name="TRECHOA" localSheetId="6">#REF!</definedName>
    <definedName name="ts" localSheetId="8">#REF!</definedName>
    <definedName name="ts" localSheetId="6">#REF!</definedName>
    <definedName name="TSD" localSheetId="8">#REF!</definedName>
    <definedName name="TSD" localSheetId="6">#REF!</definedName>
    <definedName name="tsd.a" localSheetId="8">#REF!</definedName>
    <definedName name="tsd.a" localSheetId="6">#REF!</definedName>
    <definedName name="TSs" localSheetId="8">#REF!</definedName>
    <definedName name="TSs" localSheetId="6">#REF!</definedName>
    <definedName name="tss.a" localSheetId="8">#REF!</definedName>
    <definedName name="tss.a" localSheetId="6">#REF!</definedName>
    <definedName name="ttra" localSheetId="8">#REF!</definedName>
    <definedName name="ttra" localSheetId="6">#REF!</definedName>
    <definedName name="TUBO" localSheetId="8">#REF!</definedName>
    <definedName name="TUBO" localSheetId="6">#REF!</definedName>
    <definedName name="TUBOA" localSheetId="8">#REF!</definedName>
    <definedName name="TUBOA" localSheetId="6">#REF!</definedName>
    <definedName name="vala.ca" localSheetId="8">#REF!</definedName>
    <definedName name="vala.ca" localSheetId="6">#REF!</definedName>
    <definedName name="VAVRC" localSheetId="8">#REF!</definedName>
    <definedName name="VAVRC" localSheetId="6">#REF!</definedName>
    <definedName name="Verga" localSheetId="8">#REF!</definedName>
    <definedName name="Verga" localSheetId="6">#REF!</definedName>
    <definedName name="Vilmar12" localSheetId="8">#REF!</definedName>
    <definedName name="Vilmar12" localSheetId="6">#REF!</definedName>
    <definedName name="VOL_MASSA" localSheetId="8">#REF!</definedName>
    <definedName name="VOL_MASSA" localSheetId="6">#REF!</definedName>
    <definedName name="volsubl" localSheetId="8">#REF!</definedName>
    <definedName name="volsubl" localSheetId="6">#REF!</definedName>
    <definedName name="vvv" localSheetId="15" hidden="1">{#N/A,#N/A,FALSE,"MO (2)"}</definedName>
    <definedName name="vvv" localSheetId="8" hidden="1">{#N/A,#N/A,FALSE,"MO (2)"}</definedName>
    <definedName name="vvv" localSheetId="5" hidden="1">{#N/A,#N/A,FALSE,"MO (2)"}</definedName>
    <definedName name="vvv" localSheetId="34" hidden="1">{#N/A,#N/A,FALSE,"MO (2)"}</definedName>
    <definedName name="vvv" localSheetId="6" hidden="1">{#N/A,#N/A,FALSE,"MO (2)"}</definedName>
    <definedName name="vvv" localSheetId="14" hidden="1">{#N/A,#N/A,FALSE,"MO (2)"}</definedName>
    <definedName name="vvv" hidden="1">{#N/A,#N/A,FALSE,"MO (2)"}</definedName>
    <definedName name="vvv_1" localSheetId="15" hidden="1">{#N/A,#N/A,FALSE,"MO (2)"}</definedName>
    <definedName name="vvv_1" localSheetId="8" hidden="1">{#N/A,#N/A,FALSE,"MO (2)"}</definedName>
    <definedName name="vvv_1" localSheetId="5" hidden="1">{#N/A,#N/A,FALSE,"MO (2)"}</definedName>
    <definedName name="vvv_1" localSheetId="34" hidden="1">{#N/A,#N/A,FALSE,"MO (2)"}</definedName>
    <definedName name="vvv_1" localSheetId="6" hidden="1">{#N/A,#N/A,FALSE,"MO (2)"}</definedName>
    <definedName name="vvv_1" localSheetId="14" hidden="1">{#N/A,#N/A,FALSE,"MO (2)"}</definedName>
    <definedName name="vvv_1" hidden="1">{#N/A,#N/A,FALSE,"MO (2)"}</definedName>
    <definedName name="WEN" localSheetId="8">#REF!</definedName>
    <definedName name="WEN" localSheetId="6">#REF!</definedName>
    <definedName name="wrn.mo2." localSheetId="15" hidden="1">{#N/A,#N/A,FALSE,"MO (2)"}</definedName>
    <definedName name="wrn.mo2." localSheetId="8" hidden="1">{#N/A,#N/A,FALSE,"MO (2)"}</definedName>
    <definedName name="wrn.mo2." localSheetId="5" hidden="1">{#N/A,#N/A,FALSE,"MO (2)"}</definedName>
    <definedName name="wrn.mo2." localSheetId="34" hidden="1">{#N/A,#N/A,FALSE,"MO (2)"}</definedName>
    <definedName name="wrn.mo2." localSheetId="6" hidden="1">{#N/A,#N/A,FALSE,"MO (2)"}</definedName>
    <definedName name="wrn.mo2." localSheetId="14" hidden="1">{#N/A,#N/A,FALSE,"MO (2)"}</definedName>
    <definedName name="wrn.mo2." hidden="1">{#N/A,#N/A,FALSE,"MO (2)"}</definedName>
    <definedName name="wrn.mo2._1" localSheetId="15" hidden="1">{#N/A,#N/A,FALSE,"MO (2)"}</definedName>
    <definedName name="wrn.mo2._1" localSheetId="8" hidden="1">{#N/A,#N/A,FALSE,"MO (2)"}</definedName>
    <definedName name="wrn.mo2._1" localSheetId="5" hidden="1">{#N/A,#N/A,FALSE,"MO (2)"}</definedName>
    <definedName name="wrn.mo2._1" localSheetId="34" hidden="1">{#N/A,#N/A,FALSE,"MO (2)"}</definedName>
    <definedName name="wrn.mo2._1" localSheetId="6" hidden="1">{#N/A,#N/A,FALSE,"MO (2)"}</definedName>
    <definedName name="wrn.mo2._1" localSheetId="14" hidden="1">{#N/A,#N/A,FALSE,"MO (2)"}</definedName>
    <definedName name="wrn.mo2._1" hidden="1">{#N/A,#N/A,FALSE,"MO (2)"}</definedName>
    <definedName name="wrn.Orçamento." localSheetId="15"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localSheetId="34" hidden="1">{#N/A,#N/A,FALSE,"Planilha";#N/A,#N/A,FALSE,"Resumo";#N/A,#N/A,FALSE,"Fisico";#N/A,#N/A,FALSE,"Financeiro";#N/A,#N/A,FALSE,"Financeiro"}</definedName>
    <definedName name="wrn.Orçamento." localSheetId="6" hidden="1">{#N/A,#N/A,FALSE,"Planilha";#N/A,#N/A,FALSE,"Resumo";#N/A,#N/A,FALSE,"Fisico";#N/A,#N/A,FALSE,"Financeiro";#N/A,#N/A,FALSE,"Financeiro"}</definedName>
    <definedName name="wrn.Orçamento." hidden="1">{#N/A,#N/A,FALSE,"Planilha";#N/A,#N/A,FALSE,"Resumo";#N/A,#N/A,FALSE,"Fisico";#N/A,#N/A,FALSE,"Financeiro";#N/A,#N/A,FALSE,"Financeiro"}</definedName>
    <definedName name="wrn.relext." localSheetId="15" hidden="1">{#N/A,#N/A,TRUE,"Plan1"}</definedName>
    <definedName name="wrn.relext." localSheetId="8" hidden="1">{#N/A,#N/A,TRUE,"Plan1"}</definedName>
    <definedName name="wrn.relext." localSheetId="5" hidden="1">{#N/A,#N/A,TRUE,"Plan1"}</definedName>
    <definedName name="wrn.relext." localSheetId="34" hidden="1">{#N/A,#N/A,TRUE,"Plan1"}</definedName>
    <definedName name="wrn.relext." localSheetId="6" hidden="1">{#N/A,#N/A,TRUE,"Plan1"}</definedName>
    <definedName name="wrn.relext." localSheetId="14" hidden="1">{#N/A,#N/A,TRUE,"Plan1"}</definedName>
    <definedName name="wrn.relext." hidden="1">{#N/A,#N/A,TRUE,"Plan1"}</definedName>
    <definedName name="wrn.relext._1" localSheetId="15" hidden="1">{#N/A,#N/A,TRUE,"Plan1"}</definedName>
    <definedName name="wrn.relext._1" localSheetId="8" hidden="1">{#N/A,#N/A,TRUE,"Plan1"}</definedName>
    <definedName name="wrn.relext._1" localSheetId="5" hidden="1">{#N/A,#N/A,TRUE,"Plan1"}</definedName>
    <definedName name="wrn.relext._1" localSheetId="34" hidden="1">{#N/A,#N/A,TRUE,"Plan1"}</definedName>
    <definedName name="wrn.relext._1" localSheetId="6" hidden="1">{#N/A,#N/A,TRUE,"Plan1"}</definedName>
    <definedName name="wrn.relext._1" localSheetId="14" hidden="1">{#N/A,#N/A,TRUE,"Plan1"}</definedName>
    <definedName name="wrn.relext._1" hidden="1">{#N/A,#N/A,TRUE,"Plan1"}</definedName>
    <definedName name="z" localSheetId="15" hidden="1">{#N/A,#N/A,FALSE,"MO (2)"}</definedName>
    <definedName name="z" localSheetId="8" hidden="1">{#N/A,#N/A,FALSE,"MO (2)"}</definedName>
    <definedName name="z" localSheetId="5" hidden="1">{#N/A,#N/A,FALSE,"MO (2)"}</definedName>
    <definedName name="z" localSheetId="34" hidden="1">{#N/A,#N/A,FALSE,"MO (2)"}</definedName>
    <definedName name="z" localSheetId="6" hidden="1">{#N/A,#N/A,FALSE,"MO (2)"}</definedName>
    <definedName name="z" localSheetId="14" hidden="1">{#N/A,#N/A,FALSE,"MO (2)"}</definedName>
    <definedName name="z" hidden="1">{#N/A,#N/A,FALSE,"MO (2)"}</definedName>
    <definedName name="z_1" localSheetId="15" hidden="1">{#N/A,#N/A,FALSE,"MO (2)"}</definedName>
    <definedName name="z_1" localSheetId="8" hidden="1">{#N/A,#N/A,FALSE,"MO (2)"}</definedName>
    <definedName name="z_1" localSheetId="5" hidden="1">{#N/A,#N/A,FALSE,"MO (2)"}</definedName>
    <definedName name="z_1" localSheetId="34" hidden="1">{#N/A,#N/A,FALSE,"MO (2)"}</definedName>
    <definedName name="z_1" localSheetId="6" hidden="1">{#N/A,#N/A,FALSE,"MO (2)"}</definedName>
    <definedName name="z_1" localSheetId="14" hidden="1">{#N/A,#N/A,FALSE,"MO (2)"}</definedName>
    <definedName name="z_1" hidden="1">{#N/A,#N/A,FALSE,"MO (2)"}</definedName>
    <definedName name="zaza" localSheetId="15" hidden="1">{#N/A,#N/A,FALSE,"MO (2)"}</definedName>
    <definedName name="zaza" localSheetId="8" hidden="1">{#N/A,#N/A,FALSE,"MO (2)"}</definedName>
    <definedName name="zaza" localSheetId="5" hidden="1">{#N/A,#N/A,FALSE,"MO (2)"}</definedName>
    <definedName name="zaza" localSheetId="34" hidden="1">{#N/A,#N/A,FALSE,"MO (2)"}</definedName>
    <definedName name="zaza" localSheetId="6" hidden="1">{#N/A,#N/A,FALSE,"MO (2)"}</definedName>
    <definedName name="zaza" localSheetId="14" hidden="1">{#N/A,#N/A,FALSE,"MO (2)"}</definedName>
    <definedName name="zaza" hidden="1">{#N/A,#N/A,FALSE,"MO (2)"}</definedName>
    <definedName name="zaza_1" localSheetId="15" hidden="1">{#N/A,#N/A,FALSE,"MO (2)"}</definedName>
    <definedName name="zaza_1" localSheetId="8" hidden="1">{#N/A,#N/A,FALSE,"MO (2)"}</definedName>
    <definedName name="zaza_1" localSheetId="5" hidden="1">{#N/A,#N/A,FALSE,"MO (2)"}</definedName>
    <definedName name="zaza_1" localSheetId="34" hidden="1">{#N/A,#N/A,FALSE,"MO (2)"}</definedName>
    <definedName name="zaza_1" localSheetId="6" hidden="1">{#N/A,#N/A,FALSE,"MO (2)"}</definedName>
    <definedName name="zaza_1" localSheetId="14" hidden="1">{#N/A,#N/A,FALSE,"MO (2)"}</definedName>
    <definedName name="zaza_1" hidden="1">{#N/A,#N/A,FALSE,"MO (2)"}</definedName>
    <definedName name="zenil" localSheetId="8">#REF!</definedName>
    <definedName name="zenil" localSheetId="6">#REF!</definedName>
  </definedNames>
  <calcPr calcId="191029"/>
</workbook>
</file>

<file path=xl/calcChain.xml><?xml version="1.0" encoding="utf-8"?>
<calcChain xmlns="http://schemas.openxmlformats.org/spreadsheetml/2006/main">
  <c r="H4911" i="20" l="1"/>
  <c r="D4911" i="20"/>
  <c r="H4910" i="20"/>
  <c r="D4910" i="20"/>
  <c r="H4909" i="20"/>
  <c r="D4909" i="20"/>
  <c r="H4908" i="20"/>
  <c r="D4908" i="20"/>
  <c r="H4907" i="20"/>
  <c r="D4907" i="20"/>
  <c r="H4906" i="20"/>
  <c r="D4906" i="20"/>
  <c r="H4905" i="20"/>
  <c r="D4905" i="20"/>
  <c r="H4904" i="20"/>
  <c r="D4904" i="20"/>
  <c r="H4903" i="20"/>
  <c r="D4903" i="20"/>
  <c r="H4902" i="20"/>
  <c r="D4902" i="20"/>
  <c r="H4901" i="20"/>
  <c r="D4901" i="20"/>
  <c r="H4900" i="20"/>
  <c r="D4900" i="20"/>
  <c r="H4899" i="20"/>
  <c r="D4899" i="20"/>
  <c r="H4898" i="20"/>
  <c r="D4898" i="20"/>
  <c r="H4897" i="20"/>
  <c r="D4897" i="20"/>
  <c r="H4896" i="20"/>
  <c r="D4896" i="20"/>
  <c r="H4895" i="20"/>
  <c r="D4895" i="20"/>
  <c r="H4894" i="20"/>
  <c r="D4894" i="20"/>
  <c r="H4893" i="20"/>
  <c r="D4893" i="20"/>
  <c r="H4892" i="20"/>
  <c r="D4892" i="20"/>
  <c r="H4891" i="20"/>
  <c r="D4891" i="20"/>
  <c r="H4890" i="20"/>
  <c r="D4890" i="20"/>
  <c r="H4889" i="20"/>
  <c r="D4889" i="20"/>
  <c r="H4888" i="20"/>
  <c r="D4888" i="20"/>
  <c r="H4887" i="20"/>
  <c r="D4887" i="20"/>
  <c r="H4886" i="20"/>
  <c r="D4886" i="20"/>
  <c r="H4885" i="20"/>
  <c r="D4885" i="20"/>
  <c r="H4884" i="20"/>
  <c r="D4884" i="20"/>
  <c r="H4883" i="20"/>
  <c r="D4883" i="20"/>
  <c r="H4882" i="20"/>
  <c r="D4882" i="20"/>
  <c r="H4881" i="20"/>
  <c r="D4881" i="20"/>
  <c r="H4880" i="20"/>
  <c r="D4880" i="20"/>
  <c r="H4879" i="20"/>
  <c r="D4879" i="20"/>
  <c r="H4878" i="20"/>
  <c r="D4878" i="20"/>
  <c r="H4877" i="20"/>
  <c r="D4877" i="20"/>
  <c r="H4876" i="20"/>
  <c r="D4876" i="20"/>
  <c r="H4875" i="20"/>
  <c r="D4875" i="20"/>
  <c r="H4874" i="20"/>
  <c r="D4874" i="20"/>
  <c r="H4873" i="20"/>
  <c r="D4873" i="20"/>
  <c r="H4872" i="20"/>
  <c r="D4872" i="20"/>
  <c r="H4871" i="20"/>
  <c r="D4871" i="20"/>
  <c r="H4870" i="20"/>
  <c r="D4870" i="20"/>
  <c r="H4869" i="20"/>
  <c r="D4869" i="20"/>
  <c r="H4868" i="20"/>
  <c r="D4868" i="20"/>
  <c r="H4867" i="20"/>
  <c r="D4867" i="20"/>
  <c r="H4866" i="20"/>
  <c r="D4866" i="20"/>
  <c r="H4865" i="20"/>
  <c r="D4865" i="20"/>
  <c r="H4864" i="20"/>
  <c r="D4864" i="20"/>
  <c r="H4863" i="20"/>
  <c r="D4863" i="20"/>
  <c r="H4862" i="20"/>
  <c r="D4862" i="20"/>
  <c r="H4861" i="20"/>
  <c r="D4861" i="20"/>
  <c r="H4860" i="20"/>
  <c r="D4860" i="20"/>
  <c r="H4859" i="20"/>
  <c r="D4859" i="20"/>
  <c r="H4858" i="20"/>
  <c r="D4858" i="20"/>
  <c r="H4857" i="20"/>
  <c r="D4857" i="20"/>
  <c r="H4856" i="20"/>
  <c r="D4856" i="20"/>
  <c r="H4855" i="20"/>
  <c r="D4855" i="20"/>
  <c r="H4854" i="20"/>
  <c r="D4854" i="20"/>
  <c r="H4853" i="20"/>
  <c r="D4853" i="20"/>
  <c r="H4852" i="20"/>
  <c r="D4852" i="20"/>
  <c r="H4851" i="20"/>
  <c r="D4851" i="20"/>
  <c r="H4850" i="20"/>
  <c r="D4850" i="20"/>
  <c r="H4849" i="20"/>
  <c r="D4849" i="20"/>
  <c r="H4848" i="20"/>
  <c r="D4848" i="20"/>
  <c r="H4847" i="20"/>
  <c r="D4847" i="20"/>
  <c r="H4846" i="20"/>
  <c r="D4846" i="20"/>
  <c r="H4845" i="20"/>
  <c r="D4845" i="20"/>
  <c r="H4844" i="20"/>
  <c r="D4844" i="20"/>
  <c r="H4843" i="20"/>
  <c r="D4843" i="20"/>
  <c r="H4842" i="20"/>
  <c r="D4842" i="20"/>
  <c r="H4841" i="20"/>
  <c r="D4841" i="20"/>
  <c r="H4840" i="20"/>
  <c r="D4840" i="20"/>
  <c r="H4839" i="20"/>
  <c r="D4839" i="20"/>
  <c r="H4838" i="20"/>
  <c r="D4838" i="20"/>
  <c r="H4837" i="20"/>
  <c r="D4837" i="20"/>
  <c r="H4836" i="20"/>
  <c r="D4836" i="20"/>
  <c r="H4835" i="20"/>
  <c r="D4835" i="20"/>
  <c r="H4834" i="20"/>
  <c r="D4834" i="20"/>
  <c r="H4833" i="20"/>
  <c r="D4833" i="20"/>
  <c r="H4832" i="20"/>
  <c r="D4832" i="20"/>
  <c r="H4831" i="20"/>
  <c r="D4831" i="20"/>
  <c r="H4830" i="20"/>
  <c r="D4830" i="20"/>
  <c r="H4829" i="20"/>
  <c r="D4829" i="20"/>
  <c r="H4828" i="20"/>
  <c r="D4828" i="20"/>
  <c r="H4827" i="20"/>
  <c r="D4827" i="20"/>
  <c r="H4826" i="20"/>
  <c r="D4826" i="20"/>
  <c r="H4825" i="20"/>
  <c r="D4825" i="20"/>
  <c r="H4824" i="20"/>
  <c r="D4824" i="20"/>
  <c r="H4823" i="20"/>
  <c r="D4823" i="20"/>
  <c r="H4822" i="20"/>
  <c r="D4822" i="20"/>
  <c r="H4821" i="20"/>
  <c r="D4821" i="20"/>
  <c r="H4820" i="20"/>
  <c r="D4820" i="20"/>
  <c r="H4819" i="20"/>
  <c r="D4819" i="20"/>
  <c r="H4818" i="20"/>
  <c r="D4818" i="20"/>
  <c r="H4817" i="20"/>
  <c r="D4817" i="20"/>
  <c r="H4816" i="20"/>
  <c r="D4816" i="20"/>
  <c r="H4815" i="20"/>
  <c r="D4815" i="20"/>
  <c r="H4814" i="20"/>
  <c r="D4814" i="20"/>
  <c r="H4813" i="20"/>
  <c r="D4813" i="20"/>
  <c r="H4812" i="20"/>
  <c r="D4812" i="20"/>
  <c r="H4811" i="20"/>
  <c r="D4811" i="20"/>
  <c r="H4810" i="20"/>
  <c r="D4810" i="20"/>
  <c r="H4809" i="20"/>
  <c r="D4809" i="20"/>
  <c r="H4808" i="20"/>
  <c r="D4808" i="20"/>
  <c r="H4807" i="20"/>
  <c r="D4807" i="20"/>
  <c r="H4806" i="20"/>
  <c r="D4806" i="20"/>
  <c r="H4805" i="20"/>
  <c r="D4805" i="20"/>
  <c r="H4804" i="20"/>
  <c r="D4804" i="20"/>
  <c r="H4803" i="20"/>
  <c r="D4803" i="20"/>
  <c r="H4802" i="20"/>
  <c r="D4802" i="20"/>
  <c r="H4801" i="20"/>
  <c r="D4801" i="20"/>
  <c r="H4800" i="20"/>
  <c r="D4800" i="20"/>
  <c r="H4799" i="20"/>
  <c r="D4799" i="20"/>
  <c r="H4798" i="20"/>
  <c r="D4798" i="20"/>
  <c r="H4797" i="20"/>
  <c r="D4797" i="20"/>
  <c r="H4796" i="20"/>
  <c r="D4796" i="20"/>
  <c r="H4795" i="20"/>
  <c r="D4795" i="20"/>
  <c r="H4794" i="20"/>
  <c r="D4794" i="20"/>
  <c r="H4793" i="20"/>
  <c r="D4793" i="20"/>
  <c r="H4792" i="20"/>
  <c r="D4792" i="20"/>
  <c r="H4791" i="20"/>
  <c r="D4791" i="20"/>
  <c r="H4790" i="20"/>
  <c r="D4790" i="20"/>
  <c r="H4789" i="20"/>
  <c r="D4789" i="20"/>
  <c r="H4788" i="20"/>
  <c r="D4788" i="20"/>
  <c r="H4787" i="20"/>
  <c r="D4787" i="20"/>
  <c r="H4786" i="20"/>
  <c r="D4786" i="20"/>
  <c r="H4785" i="20"/>
  <c r="D4785" i="20"/>
  <c r="H4784" i="20"/>
  <c r="D4784" i="20"/>
  <c r="H4783" i="20"/>
  <c r="D4783" i="20"/>
  <c r="H4782" i="20"/>
  <c r="D4782" i="20"/>
  <c r="H4781" i="20"/>
  <c r="D4781" i="20"/>
  <c r="H4780" i="20"/>
  <c r="D4780" i="20"/>
  <c r="H4779" i="20"/>
  <c r="D4779" i="20"/>
  <c r="H4778" i="20"/>
  <c r="D4778" i="20"/>
  <c r="H4777" i="20"/>
  <c r="D4777" i="20"/>
  <c r="H4776" i="20"/>
  <c r="D4776" i="20"/>
  <c r="H4775" i="20"/>
  <c r="D4775" i="20"/>
  <c r="H4774" i="20"/>
  <c r="D4774" i="20"/>
  <c r="H4773" i="20"/>
  <c r="D4773" i="20"/>
  <c r="H4772" i="20"/>
  <c r="D4772" i="20"/>
  <c r="H4771" i="20"/>
  <c r="D4771" i="20"/>
  <c r="H4770" i="20"/>
  <c r="D4770" i="20"/>
  <c r="H4769" i="20"/>
  <c r="D4769" i="20"/>
  <c r="H4768" i="20"/>
  <c r="D4768" i="20"/>
  <c r="H4767" i="20"/>
  <c r="D4767" i="20"/>
  <c r="H4766" i="20"/>
  <c r="D4766" i="20"/>
  <c r="H4765" i="20"/>
  <c r="D4765" i="20"/>
  <c r="H4764" i="20"/>
  <c r="D4764" i="20"/>
  <c r="H4763" i="20"/>
  <c r="D4763" i="20"/>
  <c r="H4762" i="20"/>
  <c r="D4762" i="20"/>
  <c r="H4761" i="20"/>
  <c r="D4761" i="20"/>
  <c r="H4760" i="20"/>
  <c r="D4760" i="20"/>
  <c r="H4759" i="20"/>
  <c r="D4759" i="20"/>
  <c r="H4758" i="20"/>
  <c r="D4758" i="20"/>
  <c r="H4757" i="20"/>
  <c r="D4757" i="20"/>
  <c r="H4756" i="20"/>
  <c r="D4756" i="20"/>
  <c r="H4755" i="20"/>
  <c r="D4755" i="20"/>
  <c r="H4754" i="20"/>
  <c r="D4754" i="20"/>
  <c r="H4753" i="20"/>
  <c r="D4753" i="20"/>
  <c r="H4752" i="20"/>
  <c r="D4752" i="20"/>
  <c r="H4751" i="20"/>
  <c r="D4751" i="20"/>
  <c r="H4750" i="20"/>
  <c r="D4750" i="20"/>
  <c r="H4749" i="20"/>
  <c r="D4749" i="20"/>
  <c r="H4748" i="20"/>
  <c r="D4748" i="20"/>
  <c r="H4747" i="20"/>
  <c r="D4747" i="20"/>
  <c r="H4746" i="20"/>
  <c r="D4746" i="20"/>
  <c r="H4745" i="20"/>
  <c r="D4745" i="20"/>
  <c r="H4744" i="20"/>
  <c r="D4744" i="20"/>
  <c r="H4743" i="20"/>
  <c r="D4743" i="20"/>
  <c r="H4742" i="20"/>
  <c r="D4742" i="20"/>
  <c r="H4741" i="20"/>
  <c r="D4741" i="20"/>
  <c r="H4740" i="20"/>
  <c r="D4740" i="20"/>
  <c r="H4739" i="20"/>
  <c r="D4739" i="20"/>
  <c r="H4738" i="20"/>
  <c r="D4738" i="20"/>
  <c r="H4737" i="20"/>
  <c r="D4737" i="20"/>
  <c r="H4736" i="20"/>
  <c r="D4736" i="20"/>
  <c r="H4735" i="20"/>
  <c r="D4735" i="20"/>
  <c r="H4734" i="20"/>
  <c r="D4734" i="20"/>
  <c r="H4733" i="20"/>
  <c r="D4733" i="20"/>
  <c r="H4732" i="20"/>
  <c r="D4732" i="20"/>
  <c r="H4731" i="20"/>
  <c r="D4731" i="20"/>
  <c r="H4730" i="20"/>
  <c r="D4730" i="20"/>
  <c r="H4729" i="20"/>
  <c r="D4729" i="20"/>
  <c r="H4728" i="20"/>
  <c r="D4728" i="20"/>
  <c r="H4727" i="20"/>
  <c r="D4727" i="20"/>
  <c r="H4726" i="20"/>
  <c r="D4726" i="20"/>
  <c r="H4725" i="20"/>
  <c r="D4725" i="20"/>
  <c r="H4724" i="20"/>
  <c r="D4724" i="20"/>
  <c r="H4723" i="20"/>
  <c r="D4723" i="20"/>
  <c r="H4722" i="20"/>
  <c r="D4722" i="20"/>
  <c r="H4721" i="20"/>
  <c r="D4721" i="20"/>
  <c r="H4720" i="20"/>
  <c r="D4720" i="20"/>
  <c r="H4719" i="20"/>
  <c r="D4719" i="20"/>
  <c r="H4718" i="20"/>
  <c r="D4718" i="20"/>
  <c r="H4717" i="20"/>
  <c r="D4717" i="20"/>
  <c r="H4716" i="20"/>
  <c r="D4716" i="20"/>
  <c r="H4715" i="20"/>
  <c r="D4715" i="20"/>
  <c r="H4714" i="20"/>
  <c r="D4714" i="20"/>
  <c r="H4713" i="20"/>
  <c r="D4713" i="20"/>
  <c r="H4712" i="20"/>
  <c r="D4712" i="20"/>
  <c r="H4711" i="20"/>
  <c r="D4711" i="20"/>
  <c r="H4710" i="20"/>
  <c r="D4710" i="20"/>
  <c r="H4709" i="20"/>
  <c r="D4709" i="20"/>
  <c r="H4708" i="20"/>
  <c r="D4708" i="20"/>
  <c r="H4707" i="20"/>
  <c r="D4707" i="20"/>
  <c r="H4706" i="20"/>
  <c r="D4706" i="20"/>
  <c r="H4705" i="20"/>
  <c r="D4705" i="20"/>
  <c r="H4704" i="20"/>
  <c r="D4704" i="20"/>
  <c r="H4703" i="20"/>
  <c r="D4703" i="20"/>
  <c r="H4702" i="20"/>
  <c r="D4702" i="20"/>
  <c r="H4701" i="20"/>
  <c r="D4701" i="20"/>
  <c r="H4700" i="20"/>
  <c r="D4700" i="20"/>
  <c r="H4699" i="20"/>
  <c r="D4699" i="20"/>
  <c r="H4698" i="20"/>
  <c r="D4698" i="20"/>
  <c r="H4697" i="20"/>
  <c r="D4697" i="20"/>
  <c r="H4696" i="20"/>
  <c r="D4696" i="20"/>
  <c r="H4695" i="20"/>
  <c r="D4695" i="20"/>
  <c r="H4694" i="20"/>
  <c r="D4694" i="20"/>
  <c r="H4693" i="20"/>
  <c r="D4693" i="20"/>
  <c r="H4692" i="20"/>
  <c r="D4692" i="20"/>
  <c r="H4691" i="20"/>
  <c r="D4691" i="20"/>
  <c r="H4690" i="20"/>
  <c r="D4690" i="20"/>
  <c r="H4689" i="20"/>
  <c r="D4689" i="20"/>
  <c r="H4688" i="20"/>
  <c r="D4688" i="20"/>
  <c r="H4687" i="20"/>
  <c r="D4687" i="20"/>
  <c r="H4686" i="20"/>
  <c r="D4686" i="20"/>
  <c r="H4685" i="20"/>
  <c r="D4685" i="20"/>
  <c r="H4684" i="20"/>
  <c r="D4684" i="20"/>
  <c r="H4683" i="20"/>
  <c r="D4683" i="20"/>
  <c r="H4682" i="20"/>
  <c r="D4682" i="20"/>
  <c r="H4681" i="20"/>
  <c r="D4681" i="20"/>
  <c r="H4680" i="20"/>
  <c r="D4680" i="20"/>
  <c r="H4679" i="20"/>
  <c r="D4679" i="20"/>
  <c r="H4678" i="20"/>
  <c r="D4678" i="20"/>
  <c r="H4677" i="20"/>
  <c r="D4677" i="20"/>
  <c r="H4676" i="20"/>
  <c r="D4676" i="20"/>
  <c r="H4675" i="20"/>
  <c r="D4675" i="20"/>
  <c r="H4674" i="20"/>
  <c r="D4674" i="20"/>
  <c r="H4673" i="20"/>
  <c r="D4673" i="20"/>
  <c r="H4672" i="20"/>
  <c r="D4672" i="20"/>
  <c r="H4671" i="20"/>
  <c r="D4671" i="20"/>
  <c r="H4670" i="20"/>
  <c r="D4670" i="20"/>
  <c r="H4669" i="20"/>
  <c r="D4669" i="20"/>
  <c r="H4668" i="20"/>
  <c r="D4668" i="20"/>
  <c r="H4667" i="20"/>
  <c r="D4667" i="20"/>
  <c r="H4666" i="20"/>
  <c r="D4666" i="20"/>
  <c r="H4665" i="20"/>
  <c r="D4665" i="20"/>
  <c r="H4664" i="20"/>
  <c r="D4664" i="20"/>
  <c r="H4663" i="20"/>
  <c r="D4663" i="20"/>
  <c r="H4662" i="20"/>
  <c r="D4662" i="20"/>
  <c r="H4661" i="20"/>
  <c r="D4661" i="20"/>
  <c r="H4660" i="20"/>
  <c r="D4660" i="20"/>
  <c r="H4659" i="20"/>
  <c r="D4659" i="20"/>
  <c r="H4658" i="20"/>
  <c r="D4658" i="20"/>
  <c r="H4657" i="20"/>
  <c r="D4657" i="20"/>
  <c r="H4656" i="20"/>
  <c r="D4656" i="20"/>
  <c r="H4655" i="20"/>
  <c r="D4655" i="20"/>
  <c r="H4654" i="20"/>
  <c r="D4654" i="20"/>
  <c r="H4653" i="20"/>
  <c r="D4653" i="20"/>
  <c r="H4652" i="20"/>
  <c r="D4652" i="20"/>
  <c r="H4651" i="20"/>
  <c r="D4651" i="20"/>
  <c r="H4650" i="20"/>
  <c r="D4650" i="20"/>
  <c r="H4649" i="20"/>
  <c r="D4649" i="20"/>
  <c r="H4648" i="20"/>
  <c r="D4648" i="20"/>
  <c r="H4647" i="20"/>
  <c r="D4647" i="20"/>
  <c r="H4646" i="20"/>
  <c r="D4646" i="20"/>
  <c r="H4645" i="20"/>
  <c r="D4645" i="20"/>
  <c r="H4644" i="20"/>
  <c r="D4644" i="20"/>
  <c r="H4643" i="20"/>
  <c r="D4643" i="20"/>
  <c r="H4642" i="20"/>
  <c r="D4642" i="20"/>
  <c r="H4641" i="20"/>
  <c r="D4641" i="20"/>
  <c r="H4640" i="20"/>
  <c r="D4640" i="20"/>
  <c r="H4639" i="20"/>
  <c r="D4639" i="20"/>
  <c r="H4638" i="20"/>
  <c r="D4638" i="20"/>
  <c r="H4637" i="20"/>
  <c r="D4637" i="20"/>
  <c r="H4636" i="20"/>
  <c r="D4636" i="20"/>
  <c r="H4635" i="20"/>
  <c r="D4635" i="20"/>
  <c r="H4634" i="20"/>
  <c r="D4634" i="20"/>
  <c r="H4633" i="20"/>
  <c r="D4633" i="20"/>
  <c r="H4632" i="20"/>
  <c r="D4632" i="20"/>
  <c r="H4631" i="20"/>
  <c r="D4631" i="20"/>
  <c r="H4630" i="20"/>
  <c r="D4630" i="20"/>
  <c r="H4629" i="20"/>
  <c r="D4629" i="20"/>
  <c r="H4628" i="20"/>
  <c r="D4628" i="20"/>
  <c r="H4627" i="20"/>
  <c r="D4627" i="20"/>
  <c r="H4626" i="20"/>
  <c r="D4626" i="20"/>
  <c r="H4625" i="20"/>
  <c r="D4625" i="20"/>
  <c r="H4624" i="20"/>
  <c r="D4624" i="20"/>
  <c r="H4623" i="20"/>
  <c r="D4623" i="20"/>
  <c r="H4622" i="20"/>
  <c r="D4622" i="20"/>
  <c r="H4621" i="20"/>
  <c r="D4621" i="20"/>
  <c r="H4620" i="20"/>
  <c r="D4620" i="20"/>
  <c r="H4619" i="20"/>
  <c r="D4619" i="20"/>
  <c r="H4618" i="20"/>
  <c r="D4618" i="20"/>
  <c r="H4617" i="20"/>
  <c r="D4617" i="20"/>
  <c r="H4616" i="20"/>
  <c r="D4616" i="20"/>
  <c r="H4615" i="20"/>
  <c r="D4615" i="20"/>
  <c r="H4614" i="20"/>
  <c r="D4614" i="20"/>
  <c r="H4613" i="20"/>
  <c r="D4613" i="20"/>
  <c r="H4612" i="20"/>
  <c r="D4612" i="20"/>
  <c r="H4611" i="20"/>
  <c r="D4611" i="20"/>
  <c r="H4610" i="20"/>
  <c r="D4610" i="20"/>
  <c r="H4609" i="20"/>
  <c r="D4609" i="20"/>
  <c r="H4608" i="20"/>
  <c r="D4608" i="20"/>
  <c r="H4607" i="20"/>
  <c r="D4607" i="20"/>
  <c r="H4606" i="20"/>
  <c r="D4606" i="20"/>
  <c r="H4605" i="20"/>
  <c r="D4605" i="20"/>
  <c r="H4604" i="20"/>
  <c r="D4604" i="20"/>
  <c r="H4603" i="20"/>
  <c r="D4603" i="20"/>
  <c r="H4602" i="20"/>
  <c r="D4602" i="20"/>
  <c r="H4601" i="20"/>
  <c r="D4601" i="20"/>
  <c r="H4600" i="20"/>
  <c r="D4600" i="20"/>
  <c r="H4599" i="20"/>
  <c r="D4599" i="20"/>
  <c r="H4598" i="20"/>
  <c r="D4598" i="20"/>
  <c r="H4597" i="20"/>
  <c r="D4597" i="20"/>
  <c r="H4596" i="20"/>
  <c r="D4596" i="20"/>
  <c r="H4595" i="20"/>
  <c r="D4595" i="20"/>
  <c r="H4594" i="20"/>
  <c r="D4594" i="20"/>
  <c r="H4593" i="20"/>
  <c r="D4593" i="20"/>
  <c r="H4592" i="20"/>
  <c r="D4592" i="20"/>
  <c r="H4591" i="20"/>
  <c r="D4591" i="20"/>
  <c r="H4590" i="20"/>
  <c r="D4590" i="20"/>
  <c r="H4589" i="20"/>
  <c r="D4589" i="20"/>
  <c r="H4588" i="20"/>
  <c r="D4588" i="20"/>
  <c r="H4587" i="20"/>
  <c r="D4587" i="20"/>
  <c r="H4586" i="20"/>
  <c r="D4586" i="20"/>
  <c r="H4585" i="20"/>
  <c r="D4585" i="20"/>
  <c r="H4584" i="20"/>
  <c r="D4584" i="20"/>
  <c r="H4583" i="20"/>
  <c r="D4583" i="20"/>
  <c r="H4582" i="20"/>
  <c r="D4582" i="20"/>
  <c r="H4581" i="20"/>
  <c r="D4581" i="20"/>
  <c r="H4580" i="20"/>
  <c r="D4580" i="20"/>
  <c r="H4579" i="20"/>
  <c r="D4579" i="20"/>
  <c r="H4578" i="20"/>
  <c r="D4578" i="20"/>
  <c r="H4577" i="20"/>
  <c r="D4577" i="20"/>
  <c r="H4576" i="20"/>
  <c r="D4576" i="20"/>
  <c r="H4575" i="20"/>
  <c r="D4575" i="20"/>
  <c r="H4574" i="20"/>
  <c r="D4574" i="20"/>
  <c r="H4573" i="20"/>
  <c r="D4573" i="20"/>
  <c r="H4572" i="20"/>
  <c r="D4572" i="20"/>
  <c r="H4571" i="20"/>
  <c r="D4571" i="20"/>
  <c r="H4570" i="20"/>
  <c r="D4570" i="20"/>
  <c r="H4569" i="20"/>
  <c r="D4569" i="20"/>
  <c r="H4568" i="20"/>
  <c r="D4568" i="20"/>
  <c r="H4567" i="20"/>
  <c r="D4567" i="20"/>
  <c r="H4566" i="20"/>
  <c r="D4566" i="20"/>
  <c r="H4565" i="20"/>
  <c r="D4565" i="20"/>
  <c r="H4564" i="20"/>
  <c r="D4564" i="20"/>
  <c r="H4563" i="20"/>
  <c r="D4563" i="20"/>
  <c r="H4562" i="20"/>
  <c r="D4562" i="20"/>
  <c r="H4561" i="20"/>
  <c r="D4561" i="20"/>
  <c r="H4560" i="20"/>
  <c r="D4560" i="20"/>
  <c r="H4559" i="20"/>
  <c r="D4559" i="20"/>
  <c r="H4558" i="20"/>
  <c r="D4558" i="20"/>
  <c r="H4557" i="20"/>
  <c r="D4557" i="20"/>
  <c r="H4556" i="20"/>
  <c r="D4556" i="20"/>
  <c r="H4555" i="20"/>
  <c r="D4555" i="20"/>
  <c r="H4554" i="20"/>
  <c r="D4554" i="20"/>
  <c r="H4553" i="20"/>
  <c r="D4553" i="20"/>
  <c r="H4552" i="20"/>
  <c r="D4552" i="20"/>
  <c r="H4551" i="20"/>
  <c r="D4551" i="20"/>
  <c r="H4550" i="20"/>
  <c r="D4550" i="20"/>
  <c r="H4549" i="20"/>
  <c r="D4549" i="20"/>
  <c r="H4548" i="20"/>
  <c r="D4548" i="20"/>
  <c r="H4547" i="20"/>
  <c r="D4547" i="20"/>
  <c r="H4546" i="20"/>
  <c r="D4546" i="20"/>
  <c r="H4545" i="20"/>
  <c r="D4545" i="20"/>
  <c r="H4544" i="20"/>
  <c r="D4544" i="20"/>
  <c r="H4543" i="20"/>
  <c r="D4543" i="20"/>
  <c r="H4542" i="20"/>
  <c r="D4542" i="20"/>
  <c r="H4541" i="20"/>
  <c r="D4541" i="20"/>
  <c r="H4540" i="20"/>
  <c r="D4540" i="20"/>
  <c r="H4539" i="20"/>
  <c r="D4539" i="20"/>
  <c r="H4538" i="20"/>
  <c r="D4538" i="20"/>
  <c r="H4537" i="20"/>
  <c r="D4537" i="20"/>
  <c r="H4536" i="20"/>
  <c r="D4536" i="20"/>
  <c r="H4535" i="20"/>
  <c r="D4535" i="20"/>
  <c r="H4534" i="20"/>
  <c r="D4534" i="20"/>
  <c r="H4533" i="20"/>
  <c r="D4533" i="20"/>
  <c r="H4532" i="20"/>
  <c r="D4532" i="20"/>
  <c r="H4531" i="20"/>
  <c r="D4531" i="20"/>
  <c r="H4530" i="20"/>
  <c r="D4530" i="20"/>
  <c r="H4529" i="20"/>
  <c r="D4529" i="20"/>
  <c r="H4528" i="20"/>
  <c r="D4528" i="20"/>
  <c r="H4527" i="20"/>
  <c r="D4527" i="20"/>
  <c r="H4526" i="20"/>
  <c r="D4526" i="20"/>
  <c r="H4525" i="20"/>
  <c r="D4525" i="20"/>
  <c r="H4524" i="20"/>
  <c r="D4524" i="20"/>
  <c r="H4523" i="20"/>
  <c r="D4523" i="20"/>
  <c r="H4522" i="20"/>
  <c r="D4522" i="20"/>
  <c r="H4521" i="20"/>
  <c r="D4521" i="20"/>
  <c r="H4520" i="20"/>
  <c r="D4520" i="20"/>
  <c r="H4519" i="20"/>
  <c r="D4519" i="20"/>
  <c r="H4518" i="20"/>
  <c r="D4518" i="20"/>
  <c r="H4517" i="20"/>
  <c r="D4517" i="20"/>
  <c r="H4516" i="20"/>
  <c r="D4516" i="20"/>
  <c r="H4515" i="20"/>
  <c r="D4515" i="20"/>
  <c r="H4514" i="20"/>
  <c r="D4514" i="20"/>
  <c r="H4513" i="20"/>
  <c r="D4513" i="20"/>
  <c r="H4512" i="20"/>
  <c r="D4512" i="20"/>
  <c r="H4511" i="20"/>
  <c r="D4511" i="20"/>
  <c r="H4510" i="20"/>
  <c r="D4510" i="20"/>
  <c r="H4509" i="20"/>
  <c r="D4509" i="20"/>
  <c r="H4508" i="20"/>
  <c r="D4508" i="20"/>
  <c r="H4507" i="20"/>
  <c r="D4507" i="20"/>
  <c r="H4506" i="20"/>
  <c r="D4506" i="20"/>
  <c r="H4505" i="20"/>
  <c r="D4505" i="20"/>
  <c r="H4504" i="20"/>
  <c r="D4504" i="20"/>
  <c r="H4503" i="20"/>
  <c r="D4503" i="20"/>
  <c r="H4502" i="20"/>
  <c r="D4502" i="20"/>
  <c r="H4501" i="20"/>
  <c r="D4501" i="20"/>
  <c r="H4500" i="20"/>
  <c r="D4500" i="20"/>
  <c r="H4499" i="20"/>
  <c r="D4499" i="20"/>
  <c r="H4498" i="20"/>
  <c r="D4498" i="20"/>
  <c r="H4497" i="20"/>
  <c r="D4497" i="20"/>
  <c r="H4496" i="20"/>
  <c r="D4496" i="20"/>
  <c r="H4495" i="20"/>
  <c r="D4495" i="20"/>
  <c r="H4494" i="20"/>
  <c r="D4494" i="20"/>
  <c r="H4493" i="20"/>
  <c r="D4493" i="20"/>
  <c r="H4492" i="20"/>
  <c r="D4492" i="20"/>
  <c r="H4491" i="20"/>
  <c r="D4491" i="20"/>
  <c r="H4490" i="20"/>
  <c r="D4490" i="20"/>
  <c r="H4489" i="20"/>
  <c r="D4489" i="20"/>
  <c r="H4488" i="20"/>
  <c r="D4488" i="20"/>
  <c r="H4487" i="20"/>
  <c r="D4487" i="20"/>
  <c r="H4486" i="20"/>
  <c r="D4486" i="20"/>
  <c r="H4485" i="20"/>
  <c r="D4485" i="20"/>
  <c r="H4484" i="20"/>
  <c r="D4484" i="20"/>
  <c r="H4483" i="20"/>
  <c r="D4483" i="20"/>
  <c r="H4482" i="20"/>
  <c r="D4482" i="20"/>
  <c r="H4481" i="20"/>
  <c r="D4481" i="20"/>
  <c r="H4480" i="20"/>
  <c r="D4480" i="20"/>
  <c r="H4479" i="20"/>
  <c r="D4479" i="20"/>
  <c r="H4478" i="20"/>
  <c r="D4478" i="20"/>
  <c r="H4477" i="20"/>
  <c r="D4477" i="20"/>
  <c r="H4476" i="20"/>
  <c r="D4476" i="20"/>
  <c r="H4475" i="20"/>
  <c r="D4475" i="20"/>
  <c r="H4474" i="20"/>
  <c r="D4474" i="20"/>
  <c r="H4473" i="20"/>
  <c r="D4473" i="20"/>
  <c r="H4472" i="20"/>
  <c r="D4472" i="20"/>
  <c r="H4471" i="20"/>
  <c r="D4471" i="20"/>
  <c r="H4470" i="20"/>
  <c r="D4470" i="20"/>
  <c r="H4469" i="20"/>
  <c r="D4469" i="20"/>
  <c r="H4468" i="20"/>
  <c r="D4468" i="20"/>
  <c r="H4467" i="20"/>
  <c r="D4467" i="20"/>
  <c r="H4466" i="20"/>
  <c r="D4466" i="20"/>
  <c r="H4465" i="20"/>
  <c r="D4465" i="20"/>
  <c r="H4464" i="20"/>
  <c r="D4464" i="20"/>
  <c r="H4463" i="20"/>
  <c r="D4463" i="20"/>
  <c r="H4462" i="20"/>
  <c r="D4462" i="20"/>
  <c r="H4461" i="20"/>
  <c r="D4461" i="20"/>
  <c r="H4460" i="20"/>
  <c r="D4460" i="20"/>
  <c r="H4459" i="20"/>
  <c r="D4459" i="20"/>
  <c r="H4458" i="20"/>
  <c r="D4458" i="20"/>
  <c r="H4457" i="20"/>
  <c r="D4457" i="20"/>
  <c r="H4456" i="20"/>
  <c r="D4456" i="20"/>
  <c r="H4455" i="20"/>
  <c r="D4455" i="20"/>
  <c r="H4454" i="20"/>
  <c r="D4454" i="20"/>
  <c r="H4453" i="20"/>
  <c r="D4453" i="20"/>
  <c r="H4452" i="20"/>
  <c r="D4452" i="20"/>
  <c r="H4451" i="20"/>
  <c r="D4451" i="20"/>
  <c r="H4450" i="20"/>
  <c r="D4450" i="20"/>
  <c r="H4449" i="20"/>
  <c r="D4449" i="20"/>
  <c r="H4448" i="20"/>
  <c r="D4448" i="20"/>
  <c r="H4447" i="20"/>
  <c r="D4447" i="20"/>
  <c r="H4446" i="20"/>
  <c r="D4446" i="20"/>
  <c r="H4445" i="20"/>
  <c r="D4445" i="20"/>
  <c r="H4444" i="20"/>
  <c r="D4444" i="20"/>
  <c r="H4443" i="20"/>
  <c r="D4443" i="20"/>
  <c r="H4442" i="20"/>
  <c r="D4442" i="20"/>
  <c r="H4441" i="20"/>
  <c r="D4441" i="20"/>
  <c r="H4440" i="20"/>
  <c r="D4440" i="20"/>
  <c r="H4439" i="20"/>
  <c r="D4439" i="20"/>
  <c r="H4438" i="20"/>
  <c r="D4438" i="20"/>
  <c r="H4437" i="20"/>
  <c r="D4437" i="20"/>
  <c r="H4436" i="20"/>
  <c r="D4436" i="20"/>
  <c r="H4435" i="20"/>
  <c r="D4435" i="20"/>
  <c r="H4434" i="20"/>
  <c r="D4434" i="20"/>
  <c r="H4433" i="20"/>
  <c r="D4433" i="20"/>
  <c r="H4432" i="20"/>
  <c r="D4432" i="20"/>
  <c r="H4431" i="20"/>
  <c r="D4431" i="20"/>
  <c r="H4430" i="20"/>
  <c r="D4430" i="20"/>
  <c r="H4429" i="20"/>
  <c r="D4429" i="20"/>
  <c r="H4428" i="20"/>
  <c r="D4428" i="20"/>
  <c r="H4427" i="20"/>
  <c r="D4427" i="20"/>
  <c r="H4426" i="20"/>
  <c r="D4426" i="20"/>
  <c r="H4425" i="20"/>
  <c r="D4425" i="20"/>
  <c r="H4424" i="20"/>
  <c r="D4424" i="20"/>
  <c r="H4423" i="20"/>
  <c r="D4423" i="20"/>
  <c r="H4422" i="20"/>
  <c r="D4422" i="20"/>
  <c r="H4421" i="20"/>
  <c r="D4421" i="20"/>
  <c r="H4420" i="20"/>
  <c r="D4420" i="20"/>
  <c r="H4419" i="20"/>
  <c r="D4419" i="20"/>
  <c r="H4418" i="20"/>
  <c r="D4418" i="20"/>
  <c r="H4417" i="20"/>
  <c r="D4417" i="20"/>
  <c r="H4416" i="20"/>
  <c r="D4416" i="20"/>
  <c r="H4415" i="20"/>
  <c r="D4415" i="20"/>
  <c r="H4414" i="20"/>
  <c r="D4414" i="20"/>
  <c r="H4413" i="20"/>
  <c r="D4413" i="20"/>
  <c r="H4412" i="20"/>
  <c r="D4412" i="20"/>
  <c r="H4411" i="20"/>
  <c r="D4411" i="20"/>
  <c r="H4410" i="20"/>
  <c r="D4410" i="20"/>
  <c r="H4409" i="20"/>
  <c r="D4409" i="20"/>
  <c r="H4408" i="20"/>
  <c r="D4408" i="20"/>
  <c r="H4407" i="20"/>
  <c r="D4407" i="20"/>
  <c r="H4406" i="20"/>
  <c r="D4406" i="20"/>
  <c r="H4405" i="20"/>
  <c r="D4405" i="20"/>
  <c r="H4404" i="20"/>
  <c r="D4404" i="20"/>
  <c r="H4403" i="20"/>
  <c r="D4403" i="20"/>
  <c r="H4402" i="20"/>
  <c r="D4402" i="20"/>
  <c r="H4401" i="20"/>
  <c r="D4401" i="20"/>
  <c r="H4400" i="20"/>
  <c r="D4400" i="20"/>
  <c r="H4399" i="20"/>
  <c r="D4399" i="20"/>
  <c r="H4398" i="20"/>
  <c r="D4398" i="20"/>
  <c r="H4397" i="20"/>
  <c r="D4397" i="20"/>
  <c r="H4396" i="20"/>
  <c r="D4396" i="20"/>
  <c r="H4395" i="20"/>
  <c r="D4395" i="20"/>
  <c r="H4394" i="20"/>
  <c r="D4394" i="20"/>
  <c r="H4393" i="20"/>
  <c r="D4393" i="20"/>
  <c r="H4392" i="20"/>
  <c r="D4392" i="20"/>
  <c r="H4391" i="20"/>
  <c r="D4391" i="20"/>
  <c r="H4390" i="20"/>
  <c r="D4390" i="20"/>
  <c r="H4389" i="20"/>
  <c r="D4389" i="20"/>
  <c r="H4388" i="20"/>
  <c r="D4388" i="20"/>
  <c r="H4387" i="20"/>
  <c r="D4387" i="20"/>
  <c r="H4386" i="20"/>
  <c r="D4386" i="20"/>
  <c r="H4385" i="20"/>
  <c r="D4385" i="20"/>
  <c r="H4384" i="20"/>
  <c r="D4384" i="20"/>
  <c r="H4383" i="20"/>
  <c r="D4383" i="20"/>
  <c r="H4382" i="20"/>
  <c r="D4382" i="20"/>
  <c r="H4381" i="20"/>
  <c r="D4381" i="20"/>
  <c r="H4380" i="20"/>
  <c r="D4380" i="20"/>
  <c r="H4379" i="20"/>
  <c r="D4379" i="20"/>
  <c r="H4378" i="20"/>
  <c r="D4378" i="20"/>
  <c r="H4377" i="20"/>
  <c r="D4377" i="20"/>
  <c r="H4376" i="20"/>
  <c r="D4376" i="20"/>
  <c r="H4375" i="20"/>
  <c r="D4375" i="20"/>
  <c r="H4374" i="20"/>
  <c r="D4374" i="20"/>
  <c r="H4373" i="20"/>
  <c r="D4373" i="20"/>
  <c r="H4372" i="20"/>
  <c r="D4372" i="20"/>
  <c r="H4371" i="20"/>
  <c r="D4371" i="20"/>
  <c r="H4370" i="20"/>
  <c r="D4370" i="20"/>
  <c r="H4369" i="20"/>
  <c r="D4369" i="20"/>
  <c r="H4368" i="20"/>
  <c r="D4368" i="20"/>
  <c r="H4367" i="20"/>
  <c r="D4367" i="20"/>
  <c r="H4366" i="20"/>
  <c r="D4366" i="20"/>
  <c r="H4365" i="20"/>
  <c r="D4365" i="20"/>
  <c r="H4364" i="20"/>
  <c r="D4364" i="20"/>
  <c r="H4363" i="20"/>
  <c r="D4363" i="20"/>
  <c r="H4362" i="20"/>
  <c r="D4362" i="20"/>
  <c r="H4361" i="20"/>
  <c r="D4361" i="20"/>
  <c r="H4360" i="20"/>
  <c r="D4360" i="20"/>
  <c r="H4359" i="20"/>
  <c r="D4359" i="20"/>
  <c r="H4358" i="20"/>
  <c r="D4358" i="20"/>
  <c r="H4357" i="20"/>
  <c r="D4357" i="20"/>
  <c r="H4356" i="20"/>
  <c r="D4356" i="20"/>
  <c r="H4355" i="20"/>
  <c r="D4355" i="20"/>
  <c r="H4354" i="20"/>
  <c r="D4354" i="20"/>
  <c r="H4353" i="20"/>
  <c r="D4353" i="20"/>
  <c r="H4352" i="20"/>
  <c r="D4352" i="20"/>
  <c r="H4351" i="20"/>
  <c r="D4351" i="20"/>
  <c r="H4350" i="20"/>
  <c r="D4350" i="20"/>
  <c r="H4349" i="20"/>
  <c r="D4349" i="20"/>
  <c r="H4348" i="20"/>
  <c r="D4348" i="20"/>
  <c r="H4347" i="20"/>
  <c r="D4347" i="20"/>
  <c r="H4346" i="20"/>
  <c r="D4346" i="20"/>
  <c r="H4345" i="20"/>
  <c r="D4345" i="20"/>
  <c r="H4344" i="20"/>
  <c r="D4344" i="20"/>
  <c r="H4343" i="20"/>
  <c r="D4343" i="20"/>
  <c r="H4342" i="20"/>
  <c r="D4342" i="20"/>
  <c r="H4341" i="20"/>
  <c r="D4341" i="20"/>
  <c r="H4340" i="20"/>
  <c r="D4340" i="20"/>
  <c r="H4339" i="20"/>
  <c r="D4339" i="20"/>
  <c r="H4338" i="20"/>
  <c r="D4338" i="20"/>
  <c r="H4337" i="20"/>
  <c r="D4337" i="20"/>
  <c r="H4336" i="20"/>
  <c r="D4336" i="20"/>
  <c r="H4335" i="20"/>
  <c r="D4335" i="20"/>
  <c r="H4334" i="20"/>
  <c r="D4334" i="20"/>
  <c r="H4333" i="20"/>
  <c r="D4333" i="20"/>
  <c r="H4332" i="20"/>
  <c r="D4332" i="20"/>
  <c r="H4331" i="20"/>
  <c r="D4331" i="20"/>
  <c r="H4330" i="20"/>
  <c r="D4330" i="20"/>
  <c r="H4329" i="20"/>
  <c r="D4329" i="20"/>
  <c r="H4328" i="20"/>
  <c r="D4328" i="20"/>
  <c r="H4327" i="20"/>
  <c r="D4327" i="20"/>
  <c r="H4326" i="20"/>
  <c r="D4326" i="20"/>
  <c r="H4325" i="20"/>
  <c r="D4325" i="20"/>
  <c r="H4324" i="20"/>
  <c r="D4324" i="20"/>
  <c r="H4323" i="20"/>
  <c r="D4323" i="20"/>
  <c r="H4322" i="20"/>
  <c r="D4322" i="20"/>
  <c r="H4321" i="20"/>
  <c r="D4321" i="20"/>
  <c r="H4320" i="20"/>
  <c r="D4320" i="20"/>
  <c r="H4319" i="20"/>
  <c r="D4319" i="20"/>
  <c r="H4318" i="20"/>
  <c r="D4318" i="20"/>
  <c r="H4317" i="20"/>
  <c r="D4317" i="20"/>
  <c r="H4316" i="20"/>
  <c r="D4316" i="20"/>
  <c r="H4315" i="20"/>
  <c r="D4315" i="20"/>
  <c r="H4314" i="20"/>
  <c r="D4314" i="20"/>
  <c r="H4313" i="20"/>
  <c r="D4313" i="20"/>
  <c r="H4312" i="20"/>
  <c r="D4312" i="20"/>
  <c r="H4311" i="20"/>
  <c r="D4311" i="20"/>
  <c r="H4310" i="20"/>
  <c r="D4310" i="20"/>
  <c r="H4309" i="20"/>
  <c r="D4309" i="20"/>
  <c r="H4308" i="20"/>
  <c r="D4308" i="20"/>
  <c r="H4307" i="20"/>
  <c r="D4307" i="20"/>
  <c r="H4306" i="20"/>
  <c r="D4306" i="20"/>
  <c r="H4305" i="20"/>
  <c r="D4305" i="20"/>
  <c r="H4304" i="20"/>
  <c r="D4304" i="20"/>
  <c r="H4303" i="20"/>
  <c r="D4303" i="20"/>
  <c r="H4302" i="20"/>
  <c r="D4302" i="20"/>
  <c r="H4301" i="20"/>
  <c r="D4301" i="20"/>
  <c r="H4300" i="20"/>
  <c r="D4300" i="20"/>
  <c r="H4299" i="20"/>
  <c r="D4299" i="20"/>
  <c r="H4298" i="20"/>
  <c r="D4298" i="20"/>
  <c r="H4297" i="20"/>
  <c r="D4297" i="20"/>
  <c r="H4296" i="20"/>
  <c r="D4296" i="20"/>
  <c r="H4295" i="20"/>
  <c r="D4295" i="20"/>
  <c r="H4294" i="20"/>
  <c r="D4294" i="20"/>
  <c r="H4293" i="20"/>
  <c r="D4293" i="20"/>
  <c r="H4292" i="20"/>
  <c r="D4292" i="20"/>
  <c r="H4291" i="20"/>
  <c r="D4291" i="20"/>
  <c r="H4290" i="20"/>
  <c r="D4290" i="20"/>
  <c r="H4289" i="20"/>
  <c r="D4289" i="20"/>
  <c r="H4288" i="20"/>
  <c r="D4288" i="20"/>
  <c r="H4287" i="20"/>
  <c r="D4287" i="20"/>
  <c r="H4286" i="20"/>
  <c r="D4286" i="20"/>
  <c r="H4285" i="20"/>
  <c r="D4285" i="20"/>
  <c r="H4284" i="20"/>
  <c r="D4284" i="20"/>
  <c r="H4283" i="20"/>
  <c r="D4283" i="20"/>
  <c r="H4282" i="20"/>
  <c r="D4282" i="20"/>
  <c r="H4281" i="20"/>
  <c r="D4281" i="20"/>
  <c r="H4280" i="20"/>
  <c r="D4280" i="20"/>
  <c r="H4279" i="20"/>
  <c r="D4279" i="20"/>
  <c r="H4278" i="20"/>
  <c r="D4278" i="20"/>
  <c r="H4277" i="20"/>
  <c r="D4277" i="20"/>
  <c r="H4276" i="20"/>
  <c r="D4276" i="20"/>
  <c r="H4275" i="20"/>
  <c r="D4275" i="20"/>
  <c r="H4274" i="20"/>
  <c r="D4274" i="20"/>
  <c r="H4273" i="20"/>
  <c r="D4273" i="20"/>
  <c r="H4272" i="20"/>
  <c r="D4272" i="20"/>
  <c r="H4271" i="20"/>
  <c r="D4271" i="20"/>
  <c r="H4270" i="20"/>
  <c r="D4270" i="20"/>
  <c r="H4269" i="20"/>
  <c r="D4269" i="20"/>
  <c r="H4268" i="20"/>
  <c r="D4268" i="20"/>
  <c r="H4267" i="20"/>
  <c r="D4267" i="20"/>
  <c r="H4266" i="20"/>
  <c r="D4266" i="20"/>
  <c r="H4265" i="20"/>
  <c r="D4265" i="20"/>
  <c r="H4264" i="20"/>
  <c r="D4264" i="20"/>
  <c r="H4263" i="20"/>
  <c r="D4263" i="20"/>
  <c r="H4262" i="20"/>
  <c r="D4262" i="20"/>
  <c r="H4261" i="20"/>
  <c r="D4261" i="20"/>
  <c r="H4260" i="20"/>
  <c r="D4260" i="20"/>
  <c r="H4259" i="20"/>
  <c r="D4259" i="20"/>
  <c r="H4258" i="20"/>
  <c r="D4258" i="20"/>
  <c r="H4257" i="20"/>
  <c r="D4257" i="20"/>
  <c r="H4256" i="20"/>
  <c r="D4256" i="20"/>
  <c r="H4255" i="20"/>
  <c r="D4255" i="20"/>
  <c r="H4254" i="20"/>
  <c r="D4254" i="20"/>
  <c r="H4253" i="20"/>
  <c r="D4253" i="20"/>
  <c r="H4252" i="20"/>
  <c r="D4252" i="20"/>
  <c r="H4251" i="20"/>
  <c r="D4251" i="20"/>
  <c r="H4250" i="20"/>
  <c r="D4250" i="20"/>
  <c r="H4249" i="20"/>
  <c r="D4249" i="20"/>
  <c r="H4248" i="20"/>
  <c r="D4248" i="20"/>
  <c r="H4247" i="20"/>
  <c r="D4247" i="20"/>
  <c r="H4246" i="20"/>
  <c r="D4246" i="20"/>
  <c r="H4245" i="20"/>
  <c r="D4245" i="20"/>
  <c r="H4244" i="20"/>
  <c r="D4244" i="20"/>
  <c r="H4243" i="20"/>
  <c r="D4243" i="20"/>
  <c r="H4242" i="20"/>
  <c r="D4242" i="20"/>
  <c r="H4241" i="20"/>
  <c r="D4241" i="20"/>
  <c r="H4240" i="20"/>
  <c r="D4240" i="20"/>
  <c r="H4239" i="20"/>
  <c r="D4239" i="20"/>
  <c r="H4238" i="20"/>
  <c r="D4238" i="20"/>
  <c r="H4237" i="20"/>
  <c r="D4237" i="20"/>
  <c r="H4236" i="20"/>
  <c r="D4236" i="20"/>
  <c r="H4235" i="20"/>
  <c r="D4235" i="20"/>
  <c r="H4234" i="20"/>
  <c r="D4234" i="20"/>
  <c r="H4233" i="20"/>
  <c r="D4233" i="20"/>
  <c r="H4232" i="20"/>
  <c r="D4232" i="20"/>
  <c r="H4231" i="20"/>
  <c r="D4231" i="20"/>
  <c r="H4230" i="20"/>
  <c r="D4230" i="20"/>
  <c r="H4229" i="20"/>
  <c r="D4229" i="20"/>
  <c r="H4228" i="20"/>
  <c r="D4228" i="20"/>
  <c r="H4227" i="20"/>
  <c r="D4227" i="20"/>
  <c r="H4226" i="20"/>
  <c r="D4226" i="20"/>
  <c r="H4225" i="20"/>
  <c r="D4225" i="20"/>
  <c r="H4224" i="20"/>
  <c r="D4224" i="20"/>
  <c r="H4223" i="20"/>
  <c r="D4223" i="20"/>
  <c r="H4222" i="20"/>
  <c r="D4222" i="20"/>
  <c r="H4221" i="20"/>
  <c r="D4221" i="20"/>
  <c r="H4220" i="20"/>
  <c r="D4220" i="20"/>
  <c r="H4219" i="20"/>
  <c r="D4219" i="20"/>
  <c r="H4218" i="20"/>
  <c r="D4218" i="20"/>
  <c r="H4217" i="20"/>
  <c r="D4217" i="20"/>
  <c r="H4216" i="20"/>
  <c r="D4216" i="20"/>
  <c r="H4215" i="20"/>
  <c r="D4215" i="20"/>
  <c r="H4214" i="20"/>
  <c r="D4214" i="20"/>
  <c r="H4213" i="20"/>
  <c r="D4213" i="20"/>
  <c r="H4212" i="20"/>
  <c r="D4212" i="20"/>
  <c r="H4211" i="20"/>
  <c r="D4211" i="20"/>
  <c r="H4210" i="20"/>
  <c r="D4210" i="20"/>
  <c r="H4209" i="20"/>
  <c r="D4209" i="20"/>
  <c r="H4208" i="20"/>
  <c r="D4208" i="20"/>
  <c r="H4207" i="20"/>
  <c r="D4207" i="20"/>
  <c r="H4206" i="20"/>
  <c r="D4206" i="20"/>
  <c r="H4205" i="20"/>
  <c r="D4205" i="20"/>
  <c r="H4204" i="20"/>
  <c r="D4204" i="20"/>
  <c r="H4203" i="20"/>
  <c r="D4203" i="20"/>
  <c r="H4202" i="20"/>
  <c r="D4202" i="20"/>
  <c r="H4201" i="20"/>
  <c r="D4201" i="20"/>
  <c r="H4200" i="20"/>
  <c r="D4200" i="20"/>
  <c r="H4199" i="20"/>
  <c r="D4199" i="20"/>
  <c r="H4198" i="20"/>
  <c r="D4198" i="20"/>
  <c r="H4197" i="20"/>
  <c r="D4197" i="20"/>
  <c r="H4196" i="20"/>
  <c r="D4196" i="20"/>
  <c r="H4195" i="20"/>
  <c r="D4195" i="20"/>
  <c r="H4194" i="20"/>
  <c r="D4194" i="20"/>
  <c r="H4193" i="20"/>
  <c r="D4193" i="20"/>
  <c r="H4192" i="20"/>
  <c r="D4192" i="20"/>
  <c r="H4191" i="20"/>
  <c r="D4191" i="20"/>
  <c r="H4190" i="20"/>
  <c r="D4190" i="20"/>
  <c r="H4189" i="20"/>
  <c r="D4189" i="20"/>
  <c r="H4188" i="20"/>
  <c r="D4188" i="20"/>
  <c r="H4187" i="20"/>
  <c r="D4187" i="20"/>
  <c r="H4186" i="20"/>
  <c r="D4186" i="20"/>
  <c r="H4185" i="20"/>
  <c r="D4185" i="20"/>
  <c r="H4184" i="20"/>
  <c r="D4184" i="20"/>
  <c r="H4183" i="20"/>
  <c r="D4183" i="20"/>
  <c r="H4182" i="20"/>
  <c r="D4182" i="20"/>
  <c r="H4181" i="20"/>
  <c r="D4181" i="20"/>
  <c r="H4180" i="20"/>
  <c r="D4180" i="20"/>
  <c r="H4179" i="20"/>
  <c r="D4179" i="20"/>
  <c r="H4178" i="20"/>
  <c r="D4178" i="20"/>
  <c r="H4177" i="20"/>
  <c r="D4177" i="20"/>
  <c r="H4176" i="20"/>
  <c r="D4176" i="20"/>
  <c r="H4175" i="20"/>
  <c r="D4175" i="20"/>
  <c r="H4174" i="20"/>
  <c r="D4174" i="20"/>
  <c r="H4173" i="20"/>
  <c r="D4173" i="20"/>
  <c r="H4172" i="20"/>
  <c r="D4172" i="20"/>
  <c r="H4171" i="20"/>
  <c r="D4171" i="20"/>
  <c r="H4170" i="20"/>
  <c r="D4170" i="20"/>
  <c r="H4169" i="20"/>
  <c r="D4169" i="20"/>
  <c r="H4168" i="20"/>
  <c r="D4168" i="20"/>
  <c r="H4167" i="20"/>
  <c r="D4167" i="20"/>
  <c r="H4166" i="20"/>
  <c r="D4166" i="20"/>
  <c r="H4165" i="20"/>
  <c r="D4165" i="20"/>
  <c r="H4164" i="20"/>
  <c r="D4164" i="20"/>
  <c r="H4163" i="20"/>
  <c r="D4163" i="20"/>
  <c r="H4162" i="20"/>
  <c r="D4162" i="20"/>
  <c r="H4161" i="20"/>
  <c r="D4161" i="20"/>
  <c r="H4160" i="20"/>
  <c r="D4160" i="20"/>
  <c r="H4159" i="20"/>
  <c r="D4159" i="20"/>
  <c r="H4158" i="20"/>
  <c r="D4158" i="20"/>
  <c r="H4157" i="20"/>
  <c r="D4157" i="20"/>
  <c r="H4156" i="20"/>
  <c r="D4156" i="20"/>
  <c r="H4155" i="20"/>
  <c r="D4155" i="20"/>
  <c r="H4154" i="20"/>
  <c r="D4154" i="20"/>
  <c r="H4153" i="20"/>
  <c r="D4153" i="20"/>
  <c r="H4152" i="20"/>
  <c r="D4152" i="20"/>
  <c r="H4151" i="20"/>
  <c r="D4151" i="20"/>
  <c r="H4150" i="20"/>
  <c r="D4150" i="20"/>
  <c r="H4149" i="20"/>
  <c r="D4149" i="20"/>
  <c r="H4148" i="20"/>
  <c r="D4148" i="20"/>
  <c r="H4147" i="20"/>
  <c r="D4147" i="20"/>
  <c r="H4146" i="20"/>
  <c r="D4146" i="20"/>
  <c r="H4145" i="20"/>
  <c r="D4145" i="20"/>
  <c r="H4144" i="20"/>
  <c r="D4144" i="20"/>
  <c r="H4143" i="20"/>
  <c r="D4143" i="20"/>
  <c r="H4142" i="20"/>
  <c r="D4142" i="20"/>
  <c r="H4141" i="20"/>
  <c r="D4141" i="20"/>
  <c r="H4140" i="20"/>
  <c r="D4140" i="20"/>
  <c r="H4139" i="20"/>
  <c r="D4139" i="20"/>
  <c r="H4138" i="20"/>
  <c r="D4138" i="20"/>
  <c r="H4137" i="20"/>
  <c r="D4137" i="20"/>
  <c r="H4136" i="20"/>
  <c r="D4136" i="20"/>
  <c r="H4135" i="20"/>
  <c r="D4135" i="20"/>
  <c r="H4134" i="20"/>
  <c r="D4134" i="20"/>
  <c r="H4133" i="20"/>
  <c r="D4133" i="20"/>
  <c r="H4132" i="20"/>
  <c r="D4132" i="20"/>
  <c r="H4131" i="20"/>
  <c r="D4131" i="20"/>
  <c r="H4130" i="20"/>
  <c r="D4130" i="20"/>
  <c r="H4129" i="20"/>
  <c r="D4129" i="20"/>
  <c r="H4128" i="20"/>
  <c r="D4128" i="20"/>
  <c r="H4127" i="20"/>
  <c r="D4127" i="20"/>
  <c r="H4126" i="20"/>
  <c r="D4126" i="20"/>
  <c r="H4125" i="20"/>
  <c r="D4125" i="20"/>
  <c r="H4124" i="20"/>
  <c r="D4124" i="20"/>
  <c r="H4123" i="20"/>
  <c r="D4123" i="20"/>
  <c r="H4122" i="20"/>
  <c r="D4122" i="20"/>
  <c r="H4121" i="20"/>
  <c r="D4121" i="20"/>
  <c r="H4120" i="20"/>
  <c r="D4120" i="20"/>
  <c r="H4119" i="20"/>
  <c r="D4119" i="20"/>
  <c r="H4118" i="20"/>
  <c r="D4118" i="20"/>
  <c r="H4117" i="20"/>
  <c r="D4117" i="20"/>
  <c r="H4116" i="20"/>
  <c r="D4116" i="20"/>
  <c r="H4115" i="20"/>
  <c r="D4115" i="20"/>
  <c r="H4114" i="20"/>
  <c r="D4114" i="20"/>
  <c r="H4113" i="20"/>
  <c r="D4113" i="20"/>
  <c r="H4112" i="20"/>
  <c r="D4112" i="20"/>
  <c r="H4111" i="20"/>
  <c r="D4111" i="20"/>
  <c r="H4110" i="20"/>
  <c r="D4110" i="20"/>
  <c r="H4109" i="20"/>
  <c r="D4109" i="20"/>
  <c r="H4108" i="20"/>
  <c r="D4108" i="20"/>
  <c r="H4107" i="20"/>
  <c r="D4107" i="20"/>
  <c r="H4106" i="20"/>
  <c r="D4106" i="20"/>
  <c r="H4105" i="20"/>
  <c r="D4105" i="20"/>
  <c r="H4104" i="20"/>
  <c r="D4104" i="20"/>
  <c r="H4103" i="20"/>
  <c r="D4103" i="20"/>
  <c r="H4102" i="20"/>
  <c r="D4102" i="20"/>
  <c r="H4101" i="20"/>
  <c r="D4101" i="20"/>
  <c r="H4100" i="20"/>
  <c r="D4100" i="20"/>
  <c r="H4099" i="20"/>
  <c r="D4099" i="20"/>
  <c r="H4098" i="20"/>
  <c r="D4098" i="20"/>
  <c r="H4097" i="20"/>
  <c r="D4097" i="20"/>
  <c r="H4096" i="20"/>
  <c r="D4096" i="20"/>
  <c r="H4095" i="20"/>
  <c r="D4095" i="20"/>
  <c r="H4094" i="20"/>
  <c r="D4094" i="20"/>
  <c r="H4093" i="20"/>
  <c r="D4093" i="20"/>
  <c r="H4092" i="20"/>
  <c r="D4092" i="20"/>
  <c r="H4091" i="20"/>
  <c r="D4091" i="20"/>
  <c r="H4090" i="20"/>
  <c r="D4090" i="20"/>
  <c r="H4089" i="20"/>
  <c r="D4089" i="20"/>
  <c r="H4088" i="20"/>
  <c r="D4088" i="20"/>
  <c r="H4087" i="20"/>
  <c r="D4087" i="20"/>
  <c r="H4086" i="20"/>
  <c r="D4086" i="20"/>
  <c r="H4085" i="20"/>
  <c r="D4085" i="20"/>
  <c r="H4084" i="20"/>
  <c r="D4084" i="20"/>
  <c r="H4083" i="20"/>
  <c r="D4083" i="20"/>
  <c r="H4082" i="20"/>
  <c r="D4082" i="20"/>
  <c r="H4081" i="20"/>
  <c r="D4081" i="20"/>
  <c r="H4080" i="20"/>
  <c r="D4080" i="20"/>
  <c r="H4079" i="20"/>
  <c r="D4079" i="20"/>
  <c r="H4078" i="20"/>
  <c r="D4078" i="20"/>
  <c r="H4077" i="20"/>
  <c r="D4077" i="20"/>
  <c r="H4076" i="20"/>
  <c r="D4076" i="20"/>
  <c r="H4075" i="20"/>
  <c r="D4075" i="20"/>
  <c r="H4074" i="20"/>
  <c r="D4074" i="20"/>
  <c r="H4073" i="20"/>
  <c r="D4073" i="20"/>
  <c r="H4072" i="20"/>
  <c r="D4072" i="20"/>
  <c r="H4071" i="20"/>
  <c r="D4071" i="20"/>
  <c r="H4070" i="20"/>
  <c r="D4070" i="20"/>
  <c r="H4069" i="20"/>
  <c r="D4069" i="20"/>
  <c r="H4068" i="20"/>
  <c r="D4068" i="20"/>
  <c r="H4067" i="20"/>
  <c r="D4067" i="20"/>
  <c r="H4066" i="20"/>
  <c r="D4066" i="20"/>
  <c r="H4065" i="20"/>
  <c r="D4065" i="20"/>
  <c r="H4064" i="20"/>
  <c r="D4064" i="20"/>
  <c r="H4063" i="20"/>
  <c r="D4063" i="20"/>
  <c r="H4062" i="20"/>
  <c r="D4062" i="20"/>
  <c r="H4061" i="20"/>
  <c r="D4061" i="20"/>
  <c r="H4060" i="20"/>
  <c r="D4060" i="20"/>
  <c r="H4059" i="20"/>
  <c r="D4059" i="20"/>
  <c r="H4058" i="20"/>
  <c r="D4058" i="20"/>
  <c r="H4057" i="20"/>
  <c r="D4057" i="20"/>
  <c r="H4056" i="20"/>
  <c r="D4056" i="20"/>
  <c r="H4055" i="20"/>
  <c r="D4055" i="20"/>
  <c r="H4054" i="20"/>
  <c r="D4054" i="20"/>
  <c r="H4053" i="20"/>
  <c r="D4053" i="20"/>
  <c r="H4052" i="20"/>
  <c r="D4052" i="20"/>
  <c r="H4051" i="20"/>
  <c r="D4051" i="20"/>
  <c r="H4050" i="20"/>
  <c r="D4050" i="20"/>
  <c r="H4049" i="20"/>
  <c r="D4049" i="20"/>
  <c r="H4048" i="20"/>
  <c r="D4048" i="20"/>
  <c r="H4047" i="20"/>
  <c r="D4047" i="20"/>
  <c r="H4046" i="20"/>
  <c r="D4046" i="20"/>
  <c r="H4045" i="20"/>
  <c r="D4045" i="20"/>
  <c r="H4044" i="20"/>
  <c r="D4044" i="20"/>
  <c r="H4043" i="20"/>
  <c r="D4043" i="20"/>
  <c r="H4042" i="20"/>
  <c r="D4042" i="20"/>
  <c r="H4041" i="20"/>
  <c r="D4041" i="20"/>
  <c r="H4040" i="20"/>
  <c r="D4040" i="20"/>
  <c r="H4039" i="20"/>
  <c r="D4039" i="20"/>
  <c r="H4038" i="20"/>
  <c r="D4038" i="20"/>
  <c r="H4037" i="20"/>
  <c r="D4037" i="20"/>
  <c r="H4036" i="20"/>
  <c r="D4036" i="20"/>
  <c r="H4035" i="20"/>
  <c r="D4035" i="20"/>
  <c r="H4034" i="20"/>
  <c r="D4034" i="20"/>
  <c r="H4033" i="20"/>
  <c r="D4033" i="20"/>
  <c r="H4032" i="20"/>
  <c r="D4032" i="20"/>
  <c r="H4031" i="20"/>
  <c r="D4031" i="20"/>
  <c r="H4030" i="20"/>
  <c r="D4030" i="20"/>
  <c r="H4029" i="20"/>
  <c r="D4029" i="20"/>
  <c r="H4028" i="20"/>
  <c r="D4028" i="20"/>
  <c r="H4027" i="20"/>
  <c r="D4027" i="20"/>
  <c r="H4026" i="20"/>
  <c r="D4026" i="20"/>
  <c r="H4025" i="20"/>
  <c r="D4025" i="20"/>
  <c r="H4024" i="20"/>
  <c r="D4024" i="20"/>
  <c r="H4023" i="20"/>
  <c r="D4023" i="20"/>
  <c r="H4022" i="20"/>
  <c r="D4022" i="20"/>
  <c r="H4021" i="20"/>
  <c r="D4021" i="20"/>
  <c r="H4020" i="20"/>
  <c r="D4020" i="20"/>
  <c r="H4019" i="20"/>
  <c r="D4019" i="20"/>
  <c r="H4018" i="20"/>
  <c r="D4018" i="20"/>
  <c r="H4017" i="20"/>
  <c r="D4017" i="20"/>
  <c r="H4016" i="20"/>
  <c r="D4016" i="20"/>
  <c r="H4015" i="20"/>
  <c r="D4015" i="20"/>
  <c r="H4014" i="20"/>
  <c r="D4014" i="20"/>
  <c r="H4013" i="20"/>
  <c r="D4013" i="20"/>
  <c r="H4012" i="20"/>
  <c r="D4012" i="20"/>
  <c r="H4011" i="20"/>
  <c r="D4011" i="20"/>
  <c r="H4010" i="20"/>
  <c r="D4010" i="20"/>
  <c r="H4009" i="20"/>
  <c r="D4009" i="20"/>
  <c r="H4008" i="20"/>
  <c r="D4008" i="20"/>
  <c r="H4007" i="20"/>
  <c r="D4007" i="20"/>
  <c r="H4006" i="20"/>
  <c r="D4006" i="20"/>
  <c r="H4005" i="20"/>
  <c r="D4005" i="20"/>
  <c r="H4004" i="20"/>
  <c r="D4004" i="20"/>
  <c r="H4003" i="20"/>
  <c r="D4003" i="20"/>
  <c r="H4002" i="20"/>
  <c r="D4002" i="20"/>
  <c r="H4001" i="20"/>
  <c r="D4001" i="20"/>
  <c r="H4000" i="20"/>
  <c r="D4000" i="20"/>
  <c r="H3999" i="20"/>
  <c r="D3999" i="20"/>
  <c r="H3998" i="20"/>
  <c r="D3998" i="20"/>
  <c r="H3997" i="20"/>
  <c r="D3997" i="20"/>
  <c r="H3996" i="20"/>
  <c r="D3996" i="20"/>
  <c r="H3995" i="20"/>
  <c r="D3995" i="20"/>
  <c r="H3994" i="20"/>
  <c r="D3994" i="20"/>
  <c r="H3993" i="20"/>
  <c r="D3993" i="20"/>
  <c r="H3992" i="20"/>
  <c r="D3992" i="20"/>
  <c r="H3991" i="20"/>
  <c r="D3991" i="20"/>
  <c r="H3990" i="20"/>
  <c r="D3990" i="20"/>
  <c r="H3989" i="20"/>
  <c r="D3989" i="20"/>
  <c r="H3988" i="20"/>
  <c r="D3988" i="20"/>
  <c r="H3987" i="20"/>
  <c r="D3987" i="20"/>
  <c r="H3986" i="20"/>
  <c r="D3986" i="20"/>
  <c r="H3985" i="20"/>
  <c r="D3985" i="20"/>
  <c r="H3984" i="20"/>
  <c r="D3984" i="20"/>
  <c r="H3983" i="20"/>
  <c r="D3983" i="20"/>
  <c r="H3982" i="20"/>
  <c r="D3982" i="20"/>
  <c r="H3981" i="20"/>
  <c r="D3981" i="20"/>
  <c r="H3980" i="20"/>
  <c r="D3980" i="20"/>
  <c r="H3979" i="20"/>
  <c r="D3979" i="20"/>
  <c r="H3978" i="20"/>
  <c r="D3978" i="20"/>
  <c r="H3977" i="20"/>
  <c r="D3977" i="20"/>
  <c r="H3976" i="20"/>
  <c r="D3976" i="20"/>
  <c r="H3975" i="20"/>
  <c r="D3975" i="20"/>
  <c r="H3974" i="20"/>
  <c r="D3974" i="20"/>
  <c r="H3973" i="20"/>
  <c r="D3973" i="20"/>
  <c r="H3972" i="20"/>
  <c r="D3972" i="20"/>
  <c r="H3971" i="20"/>
  <c r="D3971" i="20"/>
  <c r="H3970" i="20"/>
  <c r="D3970" i="20"/>
  <c r="H3969" i="20"/>
  <c r="D3969" i="20"/>
  <c r="H3968" i="20"/>
  <c r="D3968" i="20"/>
  <c r="H3967" i="20"/>
  <c r="D3967" i="20"/>
  <c r="H3966" i="20"/>
  <c r="D3966" i="20"/>
  <c r="H3965" i="20"/>
  <c r="D3965" i="20"/>
  <c r="H3964" i="20"/>
  <c r="D3964" i="20"/>
  <c r="H3963" i="20"/>
  <c r="D3963" i="20"/>
  <c r="H3962" i="20"/>
  <c r="D3962" i="20"/>
  <c r="H3961" i="20"/>
  <c r="D3961" i="20"/>
  <c r="H3960" i="20"/>
  <c r="D3960" i="20"/>
  <c r="H3959" i="20"/>
  <c r="D3959" i="20"/>
  <c r="H3958" i="20"/>
  <c r="D3958" i="20"/>
  <c r="H3957" i="20"/>
  <c r="D3957" i="20"/>
  <c r="H3956" i="20"/>
  <c r="D3956" i="20"/>
  <c r="H3955" i="20"/>
  <c r="D3955" i="20"/>
  <c r="H3954" i="20"/>
  <c r="D3954" i="20"/>
  <c r="H3953" i="20"/>
  <c r="D3953" i="20"/>
  <c r="H3952" i="20"/>
  <c r="D3952" i="20"/>
  <c r="H3951" i="20"/>
  <c r="D3951" i="20"/>
  <c r="H3950" i="20"/>
  <c r="D3950" i="20"/>
  <c r="H3949" i="20"/>
  <c r="D3949" i="20"/>
  <c r="H3948" i="20"/>
  <c r="D3948" i="20"/>
  <c r="H3947" i="20"/>
  <c r="D3947" i="20"/>
  <c r="H3946" i="20"/>
  <c r="D3946" i="20"/>
  <c r="H3945" i="20"/>
  <c r="D3945" i="20"/>
  <c r="H3944" i="20"/>
  <c r="D3944" i="20"/>
  <c r="H3943" i="20"/>
  <c r="D3943" i="20"/>
  <c r="H3942" i="20"/>
  <c r="D3942" i="20"/>
  <c r="H3941" i="20"/>
  <c r="D3941" i="20"/>
  <c r="H3940" i="20"/>
  <c r="D3940" i="20"/>
  <c r="H3939" i="20"/>
  <c r="D3939" i="20"/>
  <c r="H3938" i="20"/>
  <c r="D3938" i="20"/>
  <c r="H3937" i="20"/>
  <c r="D3937" i="20"/>
  <c r="H3936" i="20"/>
  <c r="D3936" i="20"/>
  <c r="H3935" i="20"/>
  <c r="D3935" i="20"/>
  <c r="H3934" i="20"/>
  <c r="D3934" i="20"/>
  <c r="H3933" i="20"/>
  <c r="D3933" i="20"/>
  <c r="H3932" i="20"/>
  <c r="D3932" i="20"/>
  <c r="H3931" i="20"/>
  <c r="D3931" i="20"/>
  <c r="H3930" i="20"/>
  <c r="D3930" i="20"/>
  <c r="H3929" i="20"/>
  <c r="D3929" i="20"/>
  <c r="H3928" i="20"/>
  <c r="D3928" i="20"/>
  <c r="H3927" i="20"/>
  <c r="D3927" i="20"/>
  <c r="H3926" i="20"/>
  <c r="D3926" i="20"/>
  <c r="H3925" i="20"/>
  <c r="D3925" i="20"/>
  <c r="H3924" i="20"/>
  <c r="D3924" i="20"/>
  <c r="H3923" i="20"/>
  <c r="D3923" i="20"/>
  <c r="H3922" i="20"/>
  <c r="D3922" i="20"/>
  <c r="H3921" i="20"/>
  <c r="D3921" i="20"/>
  <c r="H3920" i="20"/>
  <c r="D3920" i="20"/>
  <c r="H3919" i="20"/>
  <c r="D3919" i="20"/>
  <c r="H3918" i="20"/>
  <c r="D3918" i="20"/>
  <c r="H3917" i="20"/>
  <c r="D3917" i="20"/>
  <c r="H3916" i="20"/>
  <c r="D3916" i="20"/>
  <c r="H3915" i="20"/>
  <c r="D3915" i="20"/>
  <c r="H3914" i="20"/>
  <c r="D3914" i="20"/>
  <c r="H3913" i="20"/>
  <c r="D3913" i="20"/>
  <c r="H3912" i="20"/>
  <c r="D3912" i="20"/>
  <c r="H3911" i="20"/>
  <c r="D3911" i="20"/>
  <c r="H3910" i="20"/>
  <c r="D3910" i="20"/>
  <c r="H3909" i="20"/>
  <c r="D3909" i="20"/>
  <c r="H3908" i="20"/>
  <c r="D3908" i="20"/>
  <c r="H3907" i="20"/>
  <c r="D3907" i="20"/>
  <c r="H3906" i="20"/>
  <c r="D3906" i="20"/>
  <c r="H3905" i="20"/>
  <c r="D3905" i="20"/>
  <c r="H3904" i="20"/>
  <c r="D3904" i="20"/>
  <c r="H3903" i="20"/>
  <c r="D3903" i="20"/>
  <c r="H3902" i="20"/>
  <c r="D3902" i="20"/>
  <c r="H3901" i="20"/>
  <c r="D3901" i="20"/>
  <c r="H3900" i="20"/>
  <c r="D3900" i="20"/>
  <c r="H3899" i="20"/>
  <c r="D3899" i="20"/>
  <c r="H3898" i="20"/>
  <c r="D3898" i="20"/>
  <c r="H3897" i="20"/>
  <c r="D3897" i="20"/>
  <c r="H3896" i="20"/>
  <c r="D3896" i="20"/>
  <c r="H3895" i="20"/>
  <c r="D3895" i="20"/>
  <c r="H3894" i="20"/>
  <c r="D3894" i="20"/>
  <c r="H3893" i="20"/>
  <c r="D3893" i="20"/>
  <c r="H3892" i="20"/>
  <c r="D3892" i="20"/>
  <c r="H3891" i="20"/>
  <c r="D3891" i="20"/>
  <c r="H3890" i="20"/>
  <c r="D3890" i="20"/>
  <c r="H3889" i="20"/>
  <c r="D3889" i="20"/>
  <c r="H3888" i="20"/>
  <c r="D3888" i="20"/>
  <c r="H3887" i="20"/>
  <c r="D3887" i="20"/>
  <c r="H3886" i="20"/>
  <c r="D3886" i="20"/>
  <c r="H3885" i="20"/>
  <c r="D3885" i="20"/>
  <c r="H3884" i="20"/>
  <c r="D3884" i="20"/>
  <c r="H3883" i="20"/>
  <c r="D3883" i="20"/>
  <c r="H3882" i="20"/>
  <c r="D3882" i="20"/>
  <c r="H3881" i="20"/>
  <c r="D3881" i="20"/>
  <c r="H3880" i="20"/>
  <c r="D3880" i="20"/>
  <c r="H3879" i="20"/>
  <c r="D3879" i="20"/>
  <c r="H3878" i="20"/>
  <c r="D3878" i="20"/>
  <c r="H3877" i="20"/>
  <c r="D3877" i="20"/>
  <c r="H3876" i="20"/>
  <c r="D3876" i="20"/>
  <c r="H3875" i="20"/>
  <c r="D3875" i="20"/>
  <c r="H3874" i="20"/>
  <c r="D3874" i="20"/>
  <c r="H3873" i="20"/>
  <c r="D3873" i="20"/>
  <c r="H3872" i="20"/>
  <c r="D3872" i="20"/>
  <c r="H3871" i="20"/>
  <c r="D3871" i="20"/>
  <c r="H3870" i="20"/>
  <c r="D3870" i="20"/>
  <c r="H3869" i="20"/>
  <c r="D3869" i="20"/>
  <c r="H3868" i="20"/>
  <c r="D3868" i="20"/>
  <c r="H3867" i="20"/>
  <c r="D3867" i="20"/>
  <c r="H3866" i="20"/>
  <c r="D3866" i="20"/>
  <c r="H3865" i="20"/>
  <c r="D3865" i="20"/>
  <c r="H3864" i="20"/>
  <c r="D3864" i="20"/>
  <c r="H3863" i="20"/>
  <c r="D3863" i="20"/>
  <c r="H3862" i="20"/>
  <c r="D3862" i="20"/>
  <c r="H3861" i="20"/>
  <c r="D3861" i="20"/>
  <c r="H3860" i="20"/>
  <c r="D3860" i="20"/>
  <c r="H3859" i="20"/>
  <c r="D3859" i="20"/>
  <c r="H3858" i="20"/>
  <c r="D3858" i="20"/>
  <c r="H3857" i="20"/>
  <c r="D3857" i="20"/>
  <c r="H3856" i="20"/>
  <c r="D3856" i="20"/>
  <c r="H3855" i="20"/>
  <c r="D3855" i="20"/>
  <c r="H3854" i="20"/>
  <c r="D3854" i="20"/>
  <c r="H3853" i="20"/>
  <c r="D3853" i="20"/>
  <c r="H3852" i="20"/>
  <c r="D3852" i="20"/>
  <c r="H3851" i="20"/>
  <c r="D3851" i="20"/>
  <c r="H3850" i="20"/>
  <c r="D3850" i="20"/>
  <c r="H3849" i="20"/>
  <c r="D3849" i="20"/>
  <c r="H3848" i="20"/>
  <c r="D3848" i="20"/>
  <c r="H3847" i="20"/>
  <c r="D3847" i="20"/>
  <c r="H3846" i="20"/>
  <c r="D3846" i="20"/>
  <c r="H3845" i="20"/>
  <c r="D3845" i="20"/>
  <c r="H3844" i="20"/>
  <c r="D3844" i="20"/>
  <c r="H3843" i="20"/>
  <c r="D3843" i="20"/>
  <c r="H3842" i="20"/>
  <c r="D3842" i="20"/>
  <c r="H3841" i="20"/>
  <c r="D3841" i="20"/>
  <c r="H3840" i="20"/>
  <c r="D3840" i="20"/>
  <c r="H3839" i="20"/>
  <c r="D3839" i="20"/>
  <c r="H3838" i="20"/>
  <c r="D3838" i="20"/>
  <c r="H3837" i="20"/>
  <c r="D3837" i="20"/>
  <c r="H3836" i="20"/>
  <c r="D3836" i="20"/>
  <c r="H3835" i="20"/>
  <c r="D3835" i="20"/>
  <c r="H3834" i="20"/>
  <c r="D3834" i="20"/>
  <c r="H3833" i="20"/>
  <c r="D3833" i="20"/>
  <c r="H3832" i="20"/>
  <c r="D3832" i="20"/>
  <c r="H3831" i="20"/>
  <c r="D3831" i="20"/>
  <c r="H3830" i="20"/>
  <c r="D3830" i="20"/>
  <c r="H3829" i="20"/>
  <c r="D3829" i="20"/>
  <c r="H3828" i="20"/>
  <c r="D3828" i="20"/>
  <c r="H3827" i="20"/>
  <c r="D3827" i="20"/>
  <c r="H3826" i="20"/>
  <c r="D3826" i="20"/>
  <c r="H3825" i="20"/>
  <c r="D3825" i="20"/>
  <c r="H3824" i="20"/>
  <c r="D3824" i="20"/>
  <c r="H3823" i="20"/>
  <c r="D3823" i="20"/>
  <c r="H3822" i="20"/>
  <c r="D3822" i="20"/>
  <c r="H3821" i="20"/>
  <c r="D3821" i="20"/>
  <c r="H3820" i="20"/>
  <c r="D3820" i="20"/>
  <c r="H3819" i="20"/>
  <c r="D3819" i="20"/>
  <c r="H3818" i="20"/>
  <c r="D3818" i="20"/>
  <c r="H3817" i="20"/>
  <c r="D3817" i="20"/>
  <c r="H3816" i="20"/>
  <c r="D3816" i="20"/>
  <c r="H3815" i="20"/>
  <c r="D3815" i="20"/>
  <c r="H3814" i="20"/>
  <c r="D3814" i="20"/>
  <c r="H3813" i="20"/>
  <c r="D3813" i="20"/>
  <c r="H3812" i="20"/>
  <c r="D3812" i="20"/>
  <c r="H3811" i="20"/>
  <c r="D3811" i="20"/>
  <c r="H3810" i="20"/>
  <c r="D3810" i="20"/>
  <c r="H3809" i="20"/>
  <c r="D3809" i="20"/>
  <c r="H3808" i="20"/>
  <c r="D3808" i="20"/>
  <c r="H3807" i="20"/>
  <c r="D3807" i="20"/>
  <c r="H3806" i="20"/>
  <c r="D3806" i="20"/>
  <c r="H3805" i="20"/>
  <c r="D3805" i="20"/>
  <c r="H3804" i="20"/>
  <c r="D3804" i="20"/>
  <c r="H3803" i="20"/>
  <c r="D3803" i="20"/>
  <c r="H3802" i="20"/>
  <c r="D3802" i="20"/>
  <c r="H3801" i="20"/>
  <c r="D3801" i="20"/>
  <c r="H3800" i="20"/>
  <c r="D3800" i="20"/>
  <c r="H3799" i="20"/>
  <c r="D3799" i="20"/>
  <c r="H3798" i="20"/>
  <c r="D3798" i="20"/>
  <c r="H3797" i="20"/>
  <c r="D3797" i="20"/>
  <c r="H3796" i="20"/>
  <c r="D3796" i="20"/>
  <c r="H3795" i="20"/>
  <c r="D3795" i="20"/>
  <c r="H3794" i="20"/>
  <c r="D3794" i="20"/>
  <c r="H3793" i="20"/>
  <c r="D3793" i="20"/>
  <c r="H3792" i="20"/>
  <c r="D3792" i="20"/>
  <c r="H3791" i="20"/>
  <c r="D3791" i="20"/>
  <c r="H3790" i="20"/>
  <c r="D3790" i="20"/>
  <c r="H3789" i="20"/>
  <c r="D3789" i="20"/>
  <c r="H3788" i="20"/>
  <c r="D3788" i="20"/>
  <c r="H3787" i="20"/>
  <c r="D3787" i="20"/>
  <c r="H3786" i="20"/>
  <c r="D3786" i="20"/>
  <c r="H3785" i="20"/>
  <c r="D3785" i="20"/>
  <c r="H3784" i="20"/>
  <c r="D3784" i="20"/>
  <c r="H3783" i="20"/>
  <c r="D3783" i="20"/>
  <c r="H3782" i="20"/>
  <c r="D3782" i="20"/>
  <c r="H3781" i="20"/>
  <c r="D3781" i="20"/>
  <c r="H3780" i="20"/>
  <c r="D3780" i="20"/>
  <c r="H3779" i="20"/>
  <c r="D3779" i="20"/>
  <c r="H3778" i="20"/>
  <c r="D3778" i="20"/>
  <c r="H3777" i="20"/>
  <c r="D3777" i="20"/>
  <c r="H3776" i="20"/>
  <c r="D3776" i="20"/>
  <c r="H3775" i="20"/>
  <c r="D3775" i="20"/>
  <c r="H3774" i="20"/>
  <c r="D3774" i="20"/>
  <c r="H3773" i="20"/>
  <c r="D3773" i="20"/>
  <c r="H3772" i="20"/>
  <c r="D3772" i="20"/>
  <c r="H3771" i="20"/>
  <c r="D3771" i="20"/>
  <c r="H3770" i="20"/>
  <c r="D3770" i="20"/>
  <c r="H3769" i="20"/>
  <c r="D3769" i="20"/>
  <c r="H3768" i="20"/>
  <c r="D3768" i="20"/>
  <c r="H3767" i="20"/>
  <c r="D3767" i="20"/>
  <c r="H3766" i="20"/>
  <c r="D3766" i="20"/>
  <c r="H3765" i="20"/>
  <c r="D3765" i="20"/>
  <c r="H3764" i="20"/>
  <c r="D3764" i="20"/>
  <c r="H3763" i="20"/>
  <c r="D3763" i="20"/>
  <c r="H3762" i="20"/>
  <c r="D3762" i="20"/>
  <c r="H3761" i="20"/>
  <c r="D3761" i="20"/>
  <c r="H3760" i="20"/>
  <c r="D3760" i="20"/>
  <c r="H3759" i="20"/>
  <c r="D3759" i="20"/>
  <c r="H3758" i="20"/>
  <c r="D3758" i="20"/>
  <c r="H3757" i="20"/>
  <c r="D3757" i="20"/>
  <c r="H3756" i="20"/>
  <c r="D3756" i="20"/>
  <c r="H3755" i="20"/>
  <c r="D3755" i="20"/>
  <c r="H3754" i="20"/>
  <c r="D3754" i="20"/>
  <c r="H3753" i="20"/>
  <c r="D3753" i="20"/>
  <c r="H3752" i="20"/>
  <c r="D3752" i="20"/>
  <c r="H3751" i="20"/>
  <c r="D3751" i="20"/>
  <c r="H3750" i="20"/>
  <c r="D3750" i="20"/>
  <c r="H3749" i="20"/>
  <c r="D3749" i="20"/>
  <c r="H3748" i="20"/>
  <c r="D3748" i="20"/>
  <c r="H3747" i="20"/>
  <c r="D3747" i="20"/>
  <c r="H3746" i="20"/>
  <c r="D3746" i="20"/>
  <c r="H3745" i="20"/>
  <c r="D3745" i="20"/>
  <c r="H3744" i="20"/>
  <c r="D3744" i="20"/>
  <c r="H3743" i="20"/>
  <c r="D3743" i="20"/>
  <c r="H3742" i="20"/>
  <c r="D3742" i="20"/>
  <c r="H3741" i="20"/>
  <c r="D3741" i="20"/>
  <c r="H3740" i="20"/>
  <c r="D3740" i="20"/>
  <c r="H3739" i="20"/>
  <c r="D3739" i="20"/>
  <c r="H3738" i="20"/>
  <c r="D3738" i="20"/>
  <c r="H3737" i="20"/>
  <c r="D3737" i="20"/>
  <c r="H3736" i="20"/>
  <c r="D3736" i="20"/>
  <c r="H3735" i="20"/>
  <c r="D3735" i="20"/>
  <c r="H3734" i="20"/>
  <c r="D3734" i="20"/>
  <c r="H3733" i="20"/>
  <c r="D3733" i="20"/>
  <c r="H3732" i="20"/>
  <c r="D3732" i="20"/>
  <c r="H3731" i="20"/>
  <c r="D3731" i="20"/>
  <c r="H3730" i="20"/>
  <c r="D3730" i="20"/>
  <c r="H3729" i="20"/>
  <c r="D3729" i="20"/>
  <c r="H3728" i="20"/>
  <c r="D3728" i="20"/>
  <c r="H3727" i="20"/>
  <c r="D3727" i="20"/>
  <c r="H3726" i="20"/>
  <c r="D3726" i="20"/>
  <c r="H3725" i="20"/>
  <c r="D3725" i="20"/>
  <c r="H3724" i="20"/>
  <c r="D3724" i="20"/>
  <c r="H3723" i="20"/>
  <c r="D3723" i="20"/>
  <c r="H3722" i="20"/>
  <c r="D3722" i="20"/>
  <c r="H3721" i="20"/>
  <c r="D3721" i="20"/>
  <c r="H3720" i="20"/>
  <c r="D3720" i="20"/>
  <c r="H3719" i="20"/>
  <c r="D3719" i="20"/>
  <c r="H3718" i="20"/>
  <c r="D3718" i="20"/>
  <c r="H3717" i="20"/>
  <c r="D3717" i="20"/>
  <c r="H3716" i="20"/>
  <c r="D3716" i="20"/>
  <c r="H3715" i="20"/>
  <c r="D3715" i="20"/>
  <c r="H3714" i="20"/>
  <c r="D3714" i="20"/>
  <c r="H3713" i="20"/>
  <c r="D3713" i="20"/>
  <c r="H3712" i="20"/>
  <c r="D3712" i="20"/>
  <c r="H3711" i="20"/>
  <c r="D3711" i="20"/>
  <c r="H3710" i="20"/>
  <c r="D3710" i="20"/>
  <c r="H3709" i="20"/>
  <c r="D3709" i="20"/>
  <c r="H3708" i="20"/>
  <c r="D3708" i="20"/>
  <c r="H3707" i="20"/>
  <c r="D3707" i="20"/>
  <c r="H3706" i="20"/>
  <c r="D3706" i="20"/>
  <c r="H3705" i="20"/>
  <c r="D3705" i="20"/>
  <c r="H3704" i="20"/>
  <c r="D3704" i="20"/>
  <c r="H3703" i="20"/>
  <c r="D3703" i="20"/>
  <c r="H3702" i="20"/>
  <c r="D3702" i="20"/>
  <c r="H3701" i="20"/>
  <c r="D3701" i="20"/>
  <c r="H3700" i="20"/>
  <c r="D3700" i="20"/>
  <c r="H3699" i="20"/>
  <c r="D3699" i="20"/>
  <c r="H3698" i="20"/>
  <c r="D3698" i="20"/>
  <c r="H3697" i="20"/>
  <c r="D3697" i="20"/>
  <c r="H3696" i="20"/>
  <c r="D3696" i="20"/>
  <c r="H3695" i="20"/>
  <c r="D3695" i="20"/>
  <c r="H3694" i="20"/>
  <c r="D3694" i="20"/>
  <c r="H3693" i="20"/>
  <c r="D3693" i="20"/>
  <c r="H3692" i="20"/>
  <c r="D3692" i="20"/>
  <c r="H3691" i="20"/>
  <c r="D3691" i="20"/>
  <c r="H3690" i="20"/>
  <c r="D3690" i="20"/>
  <c r="H3689" i="20"/>
  <c r="D3689" i="20"/>
  <c r="H3688" i="20"/>
  <c r="D3688" i="20"/>
  <c r="H3687" i="20"/>
  <c r="D3687" i="20"/>
  <c r="H3686" i="20"/>
  <c r="D3686" i="20"/>
  <c r="H3685" i="20"/>
  <c r="D3685" i="20"/>
  <c r="H3684" i="20"/>
  <c r="D3684" i="20"/>
  <c r="H3683" i="20"/>
  <c r="D3683" i="20"/>
  <c r="H3682" i="20"/>
  <c r="D3682" i="20"/>
  <c r="H3681" i="20"/>
  <c r="D3681" i="20"/>
  <c r="H3680" i="20"/>
  <c r="D3680" i="20"/>
  <c r="H3679" i="20"/>
  <c r="D3679" i="20"/>
  <c r="H3678" i="20"/>
  <c r="D3678" i="20"/>
  <c r="H3677" i="20"/>
  <c r="D3677" i="20"/>
  <c r="H3676" i="20"/>
  <c r="D3676" i="20"/>
  <c r="H3675" i="20"/>
  <c r="D3675" i="20"/>
  <c r="H3674" i="20"/>
  <c r="D3674" i="20"/>
  <c r="H3673" i="20"/>
  <c r="D3673" i="20"/>
  <c r="H3672" i="20"/>
  <c r="D3672" i="20"/>
  <c r="H3671" i="20"/>
  <c r="D3671" i="20"/>
  <c r="H3670" i="20"/>
  <c r="D3670" i="20"/>
  <c r="H3669" i="20"/>
  <c r="D3669" i="20"/>
  <c r="H3668" i="20"/>
  <c r="D3668" i="20"/>
  <c r="H3667" i="20"/>
  <c r="D3667" i="20"/>
  <c r="H3666" i="20"/>
  <c r="D3666" i="20"/>
  <c r="H3665" i="20"/>
  <c r="D3665" i="20"/>
  <c r="H3664" i="20"/>
  <c r="D3664" i="20"/>
  <c r="H3663" i="20"/>
  <c r="D3663" i="20"/>
  <c r="H3662" i="20"/>
  <c r="D3662" i="20"/>
  <c r="H3661" i="20"/>
  <c r="D3661" i="20"/>
  <c r="H3660" i="20"/>
  <c r="D3660" i="20"/>
  <c r="H3659" i="20"/>
  <c r="D3659" i="20"/>
  <c r="H3658" i="20"/>
  <c r="D3658" i="20"/>
  <c r="H3657" i="20"/>
  <c r="D3657" i="20"/>
  <c r="H3656" i="20"/>
  <c r="D3656" i="20"/>
  <c r="H3655" i="20"/>
  <c r="D3655" i="20"/>
  <c r="H3654" i="20"/>
  <c r="D3654" i="20"/>
  <c r="H3653" i="20"/>
  <c r="D3653" i="20"/>
  <c r="H3652" i="20"/>
  <c r="D3652" i="20"/>
  <c r="H3651" i="20"/>
  <c r="D3651" i="20"/>
  <c r="H3650" i="20"/>
  <c r="D3650" i="20"/>
  <c r="H3649" i="20"/>
  <c r="D3649" i="20"/>
  <c r="H3648" i="20"/>
  <c r="D3648" i="20"/>
  <c r="H3647" i="20"/>
  <c r="D3647" i="20"/>
  <c r="H3646" i="20"/>
  <c r="D3646" i="20"/>
  <c r="H3645" i="20"/>
  <c r="D3645" i="20"/>
  <c r="H3644" i="20"/>
  <c r="D3644" i="20"/>
  <c r="H3643" i="20"/>
  <c r="D3643" i="20"/>
  <c r="H3642" i="20"/>
  <c r="D3642" i="20"/>
  <c r="H3641" i="20"/>
  <c r="D3641" i="20"/>
  <c r="H3640" i="20"/>
  <c r="D3640" i="20"/>
  <c r="H3639" i="20"/>
  <c r="D3639" i="20"/>
  <c r="H3638" i="20"/>
  <c r="D3638" i="20"/>
  <c r="H3637" i="20"/>
  <c r="D3637" i="20"/>
  <c r="H3636" i="20"/>
  <c r="D3636" i="20"/>
  <c r="H3635" i="20"/>
  <c r="D3635" i="20"/>
  <c r="H3634" i="20"/>
  <c r="D3634" i="20"/>
  <c r="H3633" i="20"/>
  <c r="D3633" i="20"/>
  <c r="H3632" i="20"/>
  <c r="D3632" i="20"/>
  <c r="H3631" i="20"/>
  <c r="D3631" i="20"/>
  <c r="H3630" i="20"/>
  <c r="D3630" i="20"/>
  <c r="H3629" i="20"/>
  <c r="D3629" i="20"/>
  <c r="H3628" i="20"/>
  <c r="D3628" i="20"/>
  <c r="H3627" i="20"/>
  <c r="D3627" i="20"/>
  <c r="H3626" i="20"/>
  <c r="D3626" i="20"/>
  <c r="H3625" i="20"/>
  <c r="D3625" i="20"/>
  <c r="H3624" i="20"/>
  <c r="D3624" i="20"/>
  <c r="H3623" i="20"/>
  <c r="D3623" i="20"/>
  <c r="H3622" i="20"/>
  <c r="D3622" i="20"/>
  <c r="H3621" i="20"/>
  <c r="D3621" i="20"/>
  <c r="H3620" i="20"/>
  <c r="D3620" i="20"/>
  <c r="H3619" i="20"/>
  <c r="D3619" i="20"/>
  <c r="H3618" i="20"/>
  <c r="D3618" i="20"/>
  <c r="H3617" i="20"/>
  <c r="D3617" i="20"/>
  <c r="H3616" i="20"/>
  <c r="D3616" i="20"/>
  <c r="H3615" i="20"/>
  <c r="D3615" i="20"/>
  <c r="H3614" i="20"/>
  <c r="D3614" i="20"/>
  <c r="H3613" i="20"/>
  <c r="D3613" i="20"/>
  <c r="H3612" i="20"/>
  <c r="D3612" i="20"/>
  <c r="H3611" i="20"/>
  <c r="D3611" i="20"/>
  <c r="H3610" i="20"/>
  <c r="D3610" i="20"/>
  <c r="H3609" i="20"/>
  <c r="D3609" i="20"/>
  <c r="H3608" i="20"/>
  <c r="D3608" i="20"/>
  <c r="H3607" i="20"/>
  <c r="D3607" i="20"/>
  <c r="H3606" i="20"/>
  <c r="D3606" i="20"/>
  <c r="H3605" i="20"/>
  <c r="D3605" i="20"/>
  <c r="H3604" i="20"/>
  <c r="D3604" i="20"/>
  <c r="H3603" i="20"/>
  <c r="D3603" i="20"/>
  <c r="H3602" i="20"/>
  <c r="D3602" i="20"/>
  <c r="H3601" i="20"/>
  <c r="D3601" i="20"/>
  <c r="H3600" i="20"/>
  <c r="D3600" i="20"/>
  <c r="H3599" i="20"/>
  <c r="D3599" i="20"/>
  <c r="H3598" i="20"/>
  <c r="D3598" i="20"/>
  <c r="H3597" i="20"/>
  <c r="D3597" i="20"/>
  <c r="H3596" i="20"/>
  <c r="D3596" i="20"/>
  <c r="H3595" i="20"/>
  <c r="D3595" i="20"/>
  <c r="H3594" i="20"/>
  <c r="D3594" i="20"/>
  <c r="H3593" i="20"/>
  <c r="D3593" i="20"/>
  <c r="H3592" i="20"/>
  <c r="D3592" i="20"/>
  <c r="H3591" i="20"/>
  <c r="D3591" i="20"/>
  <c r="H3590" i="20"/>
  <c r="D3590" i="20"/>
  <c r="H3589" i="20"/>
  <c r="D3589" i="20"/>
  <c r="H3588" i="20"/>
  <c r="D3588" i="20"/>
  <c r="H3587" i="20"/>
  <c r="D3587" i="20"/>
  <c r="H3586" i="20"/>
  <c r="D3586" i="20"/>
  <c r="H3585" i="20"/>
  <c r="D3585" i="20"/>
  <c r="H3584" i="20"/>
  <c r="D3584" i="20"/>
  <c r="H3583" i="20"/>
  <c r="D3583" i="20"/>
  <c r="H3582" i="20"/>
  <c r="D3582" i="20"/>
  <c r="H3581" i="20"/>
  <c r="D3581" i="20"/>
  <c r="H3580" i="20"/>
  <c r="D3580" i="20"/>
  <c r="H3579" i="20"/>
  <c r="D3579" i="20"/>
  <c r="H3578" i="20"/>
  <c r="D3578" i="20"/>
  <c r="H3577" i="20"/>
  <c r="D3577" i="20"/>
  <c r="H3576" i="20"/>
  <c r="D3576" i="20"/>
  <c r="H3575" i="20"/>
  <c r="D3575" i="20"/>
  <c r="H3574" i="20"/>
  <c r="D3574" i="20"/>
  <c r="H3573" i="20"/>
  <c r="D3573" i="20"/>
  <c r="H3572" i="20"/>
  <c r="D3572" i="20"/>
  <c r="H3571" i="20"/>
  <c r="D3571" i="20"/>
  <c r="H3570" i="20"/>
  <c r="D3570" i="20"/>
  <c r="H3569" i="20"/>
  <c r="D3569" i="20"/>
  <c r="H3568" i="20"/>
  <c r="D3568" i="20"/>
  <c r="H3567" i="20"/>
  <c r="D3567" i="20"/>
  <c r="H3566" i="20"/>
  <c r="D3566" i="20"/>
  <c r="H3565" i="20"/>
  <c r="D3565" i="20"/>
  <c r="H3564" i="20"/>
  <c r="D3564" i="20"/>
  <c r="H3563" i="20"/>
  <c r="D3563" i="20"/>
  <c r="H3562" i="20"/>
  <c r="D3562" i="20"/>
  <c r="H3561" i="20"/>
  <c r="D3561" i="20"/>
  <c r="H3560" i="20"/>
  <c r="D3560" i="20"/>
  <c r="H3559" i="20"/>
  <c r="D3559" i="20"/>
  <c r="H3558" i="20"/>
  <c r="D3558" i="20"/>
  <c r="H3557" i="20"/>
  <c r="D3557" i="20"/>
  <c r="H3556" i="20"/>
  <c r="D3556" i="20"/>
  <c r="H3555" i="20"/>
  <c r="D3555" i="20"/>
  <c r="H3554" i="20"/>
  <c r="D3554" i="20"/>
  <c r="H3553" i="20"/>
  <c r="D3553" i="20"/>
  <c r="H3552" i="20"/>
  <c r="D3552" i="20"/>
  <c r="H3551" i="20"/>
  <c r="D3551" i="20"/>
  <c r="H3550" i="20"/>
  <c r="D3550" i="20"/>
  <c r="H3549" i="20"/>
  <c r="D3549" i="20"/>
  <c r="H3548" i="20"/>
  <c r="D3548" i="20"/>
  <c r="H3547" i="20"/>
  <c r="D3547" i="20"/>
  <c r="H3546" i="20"/>
  <c r="D3546" i="20"/>
  <c r="H3545" i="20"/>
  <c r="D3545" i="20"/>
  <c r="H3544" i="20"/>
  <c r="D3544" i="20"/>
  <c r="H3543" i="20"/>
  <c r="D3543" i="20"/>
  <c r="H3542" i="20"/>
  <c r="D3542" i="20"/>
  <c r="H3541" i="20"/>
  <c r="D3541" i="20"/>
  <c r="H3540" i="20"/>
  <c r="D3540" i="20"/>
  <c r="H3539" i="20"/>
  <c r="D3539" i="20"/>
  <c r="H3538" i="20"/>
  <c r="D3538" i="20"/>
  <c r="H3537" i="20"/>
  <c r="D3537" i="20"/>
  <c r="H3536" i="20"/>
  <c r="D3536" i="20"/>
  <c r="H3535" i="20"/>
  <c r="D3535" i="20"/>
  <c r="H3534" i="20"/>
  <c r="D3534" i="20"/>
  <c r="H3533" i="20"/>
  <c r="D3533" i="20"/>
  <c r="H3532" i="20"/>
  <c r="D3532" i="20"/>
  <c r="H3531" i="20"/>
  <c r="D3531" i="20"/>
  <c r="H3530" i="20"/>
  <c r="D3530" i="20"/>
  <c r="H3529" i="20"/>
  <c r="D3529" i="20"/>
  <c r="H3528" i="20"/>
  <c r="D3528" i="20"/>
  <c r="H3527" i="20"/>
  <c r="D3527" i="20"/>
  <c r="H3526" i="20"/>
  <c r="D3526" i="20"/>
  <c r="H3525" i="20"/>
  <c r="D3525" i="20"/>
  <c r="H3524" i="20"/>
  <c r="D3524" i="20"/>
  <c r="H3523" i="20"/>
  <c r="D3523" i="20"/>
  <c r="H3522" i="20"/>
  <c r="D3522" i="20"/>
  <c r="H3521" i="20"/>
  <c r="D3521" i="20"/>
  <c r="H3520" i="20"/>
  <c r="D3520" i="20"/>
  <c r="H3519" i="20"/>
  <c r="D3519" i="20"/>
  <c r="H3518" i="20"/>
  <c r="D3518" i="20"/>
  <c r="H3517" i="20"/>
  <c r="D3517" i="20"/>
  <c r="H3516" i="20"/>
  <c r="D3516" i="20"/>
  <c r="H3515" i="20"/>
  <c r="D3515" i="20"/>
  <c r="H3514" i="20"/>
  <c r="D3514" i="20"/>
  <c r="H3513" i="20"/>
  <c r="D3513" i="20"/>
  <c r="H3512" i="20"/>
  <c r="D3512" i="20"/>
  <c r="H3511" i="20"/>
  <c r="D3511" i="20"/>
  <c r="H3510" i="20"/>
  <c r="D3510" i="20"/>
  <c r="H3509" i="20"/>
  <c r="D3509" i="20"/>
  <c r="H3508" i="20"/>
  <c r="D3508" i="20"/>
  <c r="H3507" i="20"/>
  <c r="D3507" i="20"/>
  <c r="H3506" i="20"/>
  <c r="D3506" i="20"/>
  <c r="H3505" i="20"/>
  <c r="D3505" i="20"/>
  <c r="H3504" i="20"/>
  <c r="D3504" i="20"/>
  <c r="H3503" i="20"/>
  <c r="D3503" i="20"/>
  <c r="H3502" i="20"/>
  <c r="D3502" i="20"/>
  <c r="H3501" i="20"/>
  <c r="D3501" i="20"/>
  <c r="H3500" i="20"/>
  <c r="D3500" i="20"/>
  <c r="H3499" i="20"/>
  <c r="D3499" i="20"/>
  <c r="H3498" i="20"/>
  <c r="D3498" i="20"/>
  <c r="H3497" i="20"/>
  <c r="D3497" i="20"/>
  <c r="H3496" i="20"/>
  <c r="D3496" i="20"/>
  <c r="H3495" i="20"/>
  <c r="D3495" i="20"/>
  <c r="H3494" i="20"/>
  <c r="D3494" i="20"/>
  <c r="H3493" i="20"/>
  <c r="D3493" i="20"/>
  <c r="H3492" i="20"/>
  <c r="D3492" i="20"/>
  <c r="H3491" i="20"/>
  <c r="D3491" i="20"/>
  <c r="H3490" i="20"/>
  <c r="D3490" i="20"/>
  <c r="H3489" i="20"/>
  <c r="D3489" i="20"/>
  <c r="H3488" i="20"/>
  <c r="D3488" i="20"/>
  <c r="H3487" i="20"/>
  <c r="D3487" i="20"/>
  <c r="H3486" i="20"/>
  <c r="D3486" i="20"/>
  <c r="H3485" i="20"/>
  <c r="D3485" i="20"/>
  <c r="H3484" i="20"/>
  <c r="D3484" i="20"/>
  <c r="H3483" i="20"/>
  <c r="D3483" i="20"/>
  <c r="H3482" i="20"/>
  <c r="D3482" i="20"/>
  <c r="H3481" i="20"/>
  <c r="D3481" i="20"/>
  <c r="H3480" i="20"/>
  <c r="D3480" i="20"/>
  <c r="H3479" i="20"/>
  <c r="D3479" i="20"/>
  <c r="H3478" i="20"/>
  <c r="D3478" i="20"/>
  <c r="H3477" i="20"/>
  <c r="D3477" i="20"/>
  <c r="H3476" i="20"/>
  <c r="D3476" i="20"/>
  <c r="H3475" i="20"/>
  <c r="D3475" i="20"/>
  <c r="H3474" i="20"/>
  <c r="D3474" i="20"/>
  <c r="H3473" i="20"/>
  <c r="D3473" i="20"/>
  <c r="H3472" i="20"/>
  <c r="D3472" i="20"/>
  <c r="H3471" i="20"/>
  <c r="D3471" i="20"/>
  <c r="H3470" i="20"/>
  <c r="D3470" i="20"/>
  <c r="H3469" i="20"/>
  <c r="D3469" i="20"/>
  <c r="H3468" i="20"/>
  <c r="D3468" i="20"/>
  <c r="H3467" i="20"/>
  <c r="D3467" i="20"/>
  <c r="H3466" i="20"/>
  <c r="D3466" i="20"/>
  <c r="H3465" i="20"/>
  <c r="D3465" i="20"/>
  <c r="H3464" i="20"/>
  <c r="D3464" i="20"/>
  <c r="H3463" i="20"/>
  <c r="D3463" i="20"/>
  <c r="H3462" i="20"/>
  <c r="D3462" i="20"/>
  <c r="H3461" i="20"/>
  <c r="D3461" i="20"/>
  <c r="H3460" i="20"/>
  <c r="D3460" i="20"/>
  <c r="H3459" i="20"/>
  <c r="D3459" i="20"/>
  <c r="H3458" i="20"/>
  <c r="D3458" i="20"/>
  <c r="H3457" i="20"/>
  <c r="D3457" i="20"/>
  <c r="H3456" i="20"/>
  <c r="D3456" i="20"/>
  <c r="H3455" i="20"/>
  <c r="D3455" i="20"/>
  <c r="H3454" i="20"/>
  <c r="D3454" i="20"/>
  <c r="H3453" i="20"/>
  <c r="D3453" i="20"/>
  <c r="H3452" i="20"/>
  <c r="D3452" i="20"/>
  <c r="H3451" i="20"/>
  <c r="D3451" i="20"/>
  <c r="H3450" i="20"/>
  <c r="D3450" i="20"/>
  <c r="H3449" i="20"/>
  <c r="D3449" i="20"/>
  <c r="H3448" i="20"/>
  <c r="D3448" i="20"/>
  <c r="H3447" i="20"/>
  <c r="D3447" i="20"/>
  <c r="H3446" i="20"/>
  <c r="D3446" i="20"/>
  <c r="H3445" i="20"/>
  <c r="D3445" i="20"/>
  <c r="H3444" i="20"/>
  <c r="D3444" i="20"/>
  <c r="H3443" i="20"/>
  <c r="D3443" i="20"/>
  <c r="H3442" i="20"/>
  <c r="D3442" i="20"/>
  <c r="H3441" i="20"/>
  <c r="D3441" i="20"/>
  <c r="H3440" i="20"/>
  <c r="D3440" i="20"/>
  <c r="H3439" i="20"/>
  <c r="D3439" i="20"/>
  <c r="H3438" i="20"/>
  <c r="D3438" i="20"/>
  <c r="H3437" i="20"/>
  <c r="D3437" i="20"/>
  <c r="H3436" i="20"/>
  <c r="D3436" i="20"/>
  <c r="H3435" i="20"/>
  <c r="D3435" i="20"/>
  <c r="H3434" i="20"/>
  <c r="D3434" i="20"/>
  <c r="H3433" i="20"/>
  <c r="D3433" i="20"/>
  <c r="H3432" i="20"/>
  <c r="D3432" i="20"/>
  <c r="H3431" i="20"/>
  <c r="D3431" i="20"/>
  <c r="H3430" i="20"/>
  <c r="D3430" i="20"/>
  <c r="H3429" i="20"/>
  <c r="D3429" i="20"/>
  <c r="H3428" i="20"/>
  <c r="D3428" i="20"/>
  <c r="H3427" i="20"/>
  <c r="D3427" i="20"/>
  <c r="H3426" i="20"/>
  <c r="D3426" i="20"/>
  <c r="H3425" i="20"/>
  <c r="D3425" i="20"/>
  <c r="H3424" i="20"/>
  <c r="D3424" i="20"/>
  <c r="H3423" i="20"/>
  <c r="D3423" i="20"/>
  <c r="H3422" i="20"/>
  <c r="D3422" i="20"/>
  <c r="H3421" i="20"/>
  <c r="D3421" i="20"/>
  <c r="H3420" i="20"/>
  <c r="D3420" i="20"/>
  <c r="H3419" i="20"/>
  <c r="D3419" i="20"/>
  <c r="H3418" i="20"/>
  <c r="D3418" i="20"/>
  <c r="H3417" i="20"/>
  <c r="D3417" i="20"/>
  <c r="H3416" i="20"/>
  <c r="D3416" i="20"/>
  <c r="H3415" i="20"/>
  <c r="D3415" i="20"/>
  <c r="H3414" i="20"/>
  <c r="D3414" i="20"/>
  <c r="H3413" i="20"/>
  <c r="D3413" i="20"/>
  <c r="H3412" i="20"/>
  <c r="D3412" i="20"/>
  <c r="H3411" i="20"/>
  <c r="D3411" i="20"/>
  <c r="H3410" i="20"/>
  <c r="D3410" i="20"/>
  <c r="H3409" i="20"/>
  <c r="D3409" i="20"/>
  <c r="H3408" i="20"/>
  <c r="D3408" i="20"/>
  <c r="H3407" i="20"/>
  <c r="D3407" i="20"/>
  <c r="H3406" i="20"/>
  <c r="D3406" i="20"/>
  <c r="H3405" i="20"/>
  <c r="D3405" i="20"/>
  <c r="H3404" i="20"/>
  <c r="D3404" i="20"/>
  <c r="H3403" i="20"/>
  <c r="D3403" i="20"/>
  <c r="H3402" i="20"/>
  <c r="D3402" i="20"/>
  <c r="H3401" i="20"/>
  <c r="D3401" i="20"/>
  <c r="H3400" i="20"/>
  <c r="D3400" i="20"/>
  <c r="H3399" i="20"/>
  <c r="D3399" i="20"/>
  <c r="H3398" i="20"/>
  <c r="D3398" i="20"/>
  <c r="H3397" i="20"/>
  <c r="D3397" i="20"/>
  <c r="H3396" i="20"/>
  <c r="D3396" i="20"/>
  <c r="H3395" i="20"/>
  <c r="D3395" i="20"/>
  <c r="H3394" i="20"/>
  <c r="D3394" i="20"/>
  <c r="H3393" i="20"/>
  <c r="D3393" i="20"/>
  <c r="H3392" i="20"/>
  <c r="D3392" i="20"/>
  <c r="H3391" i="20"/>
  <c r="D3391" i="20"/>
  <c r="H3390" i="20"/>
  <c r="D3390" i="20"/>
  <c r="H3389" i="20"/>
  <c r="D3389" i="20"/>
  <c r="H3388" i="20"/>
  <c r="D3388" i="20"/>
  <c r="H3387" i="20"/>
  <c r="D3387" i="20"/>
  <c r="H3386" i="20"/>
  <c r="D3386" i="20"/>
  <c r="H3385" i="20"/>
  <c r="D3385" i="20"/>
  <c r="H3384" i="20"/>
  <c r="D3384" i="20"/>
  <c r="H3383" i="20"/>
  <c r="D3383" i="20"/>
  <c r="H3382" i="20"/>
  <c r="D3382" i="20"/>
  <c r="H3381" i="20"/>
  <c r="D3381" i="20"/>
  <c r="H3380" i="20"/>
  <c r="D3380" i="20"/>
  <c r="H3379" i="20"/>
  <c r="D3379" i="20"/>
  <c r="H3378" i="20"/>
  <c r="D3378" i="20"/>
  <c r="H3377" i="20"/>
  <c r="D3377" i="20"/>
  <c r="H3376" i="20"/>
  <c r="D3376" i="20"/>
  <c r="H3375" i="20"/>
  <c r="D3375" i="20"/>
  <c r="H3374" i="20"/>
  <c r="D3374" i="20"/>
  <c r="H3373" i="20"/>
  <c r="D3373" i="20"/>
  <c r="H3372" i="20"/>
  <c r="D3372" i="20"/>
  <c r="H3371" i="20"/>
  <c r="D3371" i="20"/>
  <c r="H3370" i="20"/>
  <c r="D3370" i="20"/>
  <c r="H3369" i="20"/>
  <c r="D3369" i="20"/>
  <c r="H3368" i="20"/>
  <c r="D3368" i="20"/>
  <c r="H3367" i="20"/>
  <c r="D3367" i="20"/>
  <c r="H3366" i="20"/>
  <c r="D3366" i="20"/>
  <c r="H3365" i="20"/>
  <c r="D3365" i="20"/>
  <c r="H3364" i="20"/>
  <c r="D3364" i="20"/>
  <c r="H3363" i="20"/>
  <c r="D3363" i="20"/>
  <c r="H3362" i="20"/>
  <c r="D3362" i="20"/>
  <c r="H3361" i="20"/>
  <c r="D3361" i="20"/>
  <c r="H3360" i="20"/>
  <c r="D3360" i="20"/>
  <c r="H3359" i="20"/>
  <c r="D3359" i="20"/>
  <c r="H3358" i="20"/>
  <c r="D3358" i="20"/>
  <c r="H3357" i="20"/>
  <c r="D3357" i="20"/>
  <c r="H3356" i="20"/>
  <c r="D3356" i="20"/>
  <c r="H3355" i="20"/>
  <c r="D3355" i="20"/>
  <c r="H3354" i="20"/>
  <c r="D3354" i="20"/>
  <c r="H3353" i="20"/>
  <c r="D3353" i="20"/>
  <c r="H3352" i="20"/>
  <c r="D3352" i="20"/>
  <c r="H3351" i="20"/>
  <c r="D3351" i="20"/>
  <c r="H3350" i="20"/>
  <c r="D3350" i="20"/>
  <c r="H3349" i="20"/>
  <c r="D3349" i="20"/>
  <c r="H3348" i="20"/>
  <c r="D3348" i="20"/>
  <c r="H3347" i="20"/>
  <c r="D3347" i="20"/>
  <c r="H3346" i="20"/>
  <c r="D3346" i="20"/>
  <c r="H3345" i="20"/>
  <c r="D3345" i="20"/>
  <c r="H3344" i="20"/>
  <c r="D3344" i="20"/>
  <c r="H3343" i="20"/>
  <c r="D3343" i="20"/>
  <c r="H3342" i="20"/>
  <c r="D3342" i="20"/>
  <c r="H3341" i="20"/>
  <c r="D3341" i="20"/>
  <c r="H3340" i="20"/>
  <c r="D3340" i="20"/>
  <c r="H3339" i="20"/>
  <c r="D3339" i="20"/>
  <c r="H3338" i="20"/>
  <c r="D3338" i="20"/>
  <c r="H3337" i="20"/>
  <c r="D3337" i="20"/>
  <c r="H3336" i="20"/>
  <c r="D3336" i="20"/>
  <c r="H3335" i="20"/>
  <c r="D3335" i="20"/>
  <c r="H3334" i="20"/>
  <c r="D3334" i="20"/>
  <c r="H3333" i="20"/>
  <c r="D3333" i="20"/>
  <c r="H3332" i="20"/>
  <c r="D3332" i="20"/>
  <c r="H3331" i="20"/>
  <c r="D3331" i="20"/>
  <c r="H3330" i="20"/>
  <c r="D3330" i="20"/>
  <c r="H3329" i="20"/>
  <c r="D3329" i="20"/>
  <c r="H3328" i="20"/>
  <c r="D3328" i="20"/>
  <c r="H3327" i="20"/>
  <c r="D3327" i="20"/>
  <c r="H3326" i="20"/>
  <c r="D3326" i="20"/>
  <c r="H3325" i="20"/>
  <c r="D3325" i="20"/>
  <c r="H3324" i="20"/>
  <c r="D3324" i="20"/>
  <c r="H3323" i="20"/>
  <c r="D3323" i="20"/>
  <c r="H3322" i="20"/>
  <c r="D3322" i="20"/>
  <c r="H3321" i="20"/>
  <c r="D3321" i="20"/>
  <c r="H3320" i="20"/>
  <c r="D3320" i="20"/>
  <c r="H3319" i="20"/>
  <c r="D3319" i="20"/>
  <c r="H3318" i="20"/>
  <c r="D3318" i="20"/>
  <c r="H3317" i="20"/>
  <c r="D3317" i="20"/>
  <c r="H3316" i="20"/>
  <c r="D3316" i="20"/>
  <c r="H3315" i="20"/>
  <c r="D3315" i="20"/>
  <c r="H3314" i="20"/>
  <c r="D3314" i="20"/>
  <c r="H3313" i="20"/>
  <c r="D3313" i="20"/>
  <c r="H3312" i="20"/>
  <c r="D3312" i="20"/>
  <c r="H3311" i="20"/>
  <c r="D3311" i="20"/>
  <c r="H3310" i="20"/>
  <c r="D3310" i="20"/>
  <c r="H3309" i="20"/>
  <c r="D3309" i="20"/>
  <c r="H3308" i="20"/>
  <c r="D3308" i="20"/>
  <c r="H3307" i="20"/>
  <c r="D3307" i="20"/>
  <c r="H3306" i="20"/>
  <c r="D3306" i="20"/>
  <c r="H3305" i="20"/>
  <c r="D3305" i="20"/>
  <c r="H3304" i="20"/>
  <c r="D3304" i="20"/>
  <c r="H3303" i="20"/>
  <c r="D3303" i="20"/>
  <c r="H3302" i="20"/>
  <c r="D3302" i="20"/>
  <c r="H3301" i="20"/>
  <c r="D3301" i="20"/>
  <c r="H3300" i="20"/>
  <c r="D3300" i="20"/>
  <c r="H3299" i="20"/>
  <c r="D3299" i="20"/>
  <c r="H3298" i="20"/>
  <c r="D3298" i="20"/>
  <c r="H3297" i="20"/>
  <c r="D3297" i="20"/>
  <c r="H3296" i="20"/>
  <c r="D3296" i="20"/>
  <c r="H3295" i="20"/>
  <c r="D3295" i="20"/>
  <c r="H3294" i="20"/>
  <c r="D3294" i="20"/>
  <c r="H3293" i="20"/>
  <c r="D3293" i="20"/>
  <c r="H3292" i="20"/>
  <c r="D3292" i="20"/>
  <c r="H3291" i="20"/>
  <c r="D3291" i="20"/>
  <c r="H3290" i="20"/>
  <c r="D3290" i="20"/>
  <c r="H3289" i="20"/>
  <c r="D3289" i="20"/>
  <c r="H3288" i="20"/>
  <c r="D3288" i="20"/>
  <c r="H3287" i="20"/>
  <c r="D3287" i="20"/>
  <c r="H3286" i="20"/>
  <c r="D3286" i="20"/>
  <c r="H3285" i="20"/>
  <c r="D3285" i="20"/>
  <c r="H3284" i="20"/>
  <c r="D3284" i="20"/>
  <c r="H3283" i="20"/>
  <c r="D3283" i="20"/>
  <c r="H3282" i="20"/>
  <c r="D3282" i="20"/>
  <c r="H3281" i="20"/>
  <c r="D3281" i="20"/>
  <c r="H3280" i="20"/>
  <c r="D3280" i="20"/>
  <c r="H3279" i="20"/>
  <c r="D3279" i="20"/>
  <c r="H3278" i="20"/>
  <c r="D3278" i="20"/>
  <c r="H3277" i="20"/>
  <c r="D3277" i="20"/>
  <c r="H3276" i="20"/>
  <c r="D3276" i="20"/>
  <c r="H3275" i="20"/>
  <c r="D3275" i="20"/>
  <c r="H3274" i="20"/>
  <c r="D3274" i="20"/>
  <c r="H3273" i="20"/>
  <c r="D3273" i="20"/>
  <c r="H3272" i="20"/>
  <c r="D3272" i="20"/>
  <c r="H3271" i="20"/>
  <c r="D3271" i="20"/>
  <c r="H3270" i="20"/>
  <c r="D3270" i="20"/>
  <c r="H3269" i="20"/>
  <c r="D3269" i="20"/>
  <c r="H3268" i="20"/>
  <c r="D3268" i="20"/>
  <c r="H3267" i="20"/>
  <c r="D3267" i="20"/>
  <c r="H3266" i="20"/>
  <c r="D3266" i="20"/>
  <c r="H3265" i="20"/>
  <c r="D3265" i="20"/>
  <c r="H3264" i="20"/>
  <c r="D3264" i="20"/>
  <c r="H3263" i="20"/>
  <c r="D3263" i="20"/>
  <c r="H3262" i="20"/>
  <c r="D3262" i="20"/>
  <c r="H3261" i="20"/>
  <c r="D3261" i="20"/>
  <c r="H3260" i="20"/>
  <c r="D3260" i="20"/>
  <c r="H3259" i="20"/>
  <c r="D3259" i="20"/>
  <c r="H3258" i="20"/>
  <c r="D3258" i="20"/>
  <c r="H3257" i="20"/>
  <c r="D3257" i="20"/>
  <c r="H3256" i="20"/>
  <c r="D3256" i="20"/>
  <c r="H3255" i="20"/>
  <c r="D3255" i="20"/>
  <c r="H3254" i="20"/>
  <c r="D3254" i="20"/>
  <c r="H3253" i="20"/>
  <c r="D3253" i="20"/>
  <c r="H3252" i="20"/>
  <c r="D3252" i="20"/>
  <c r="H3251" i="20"/>
  <c r="D3251" i="20"/>
  <c r="H3250" i="20"/>
  <c r="D3250" i="20"/>
  <c r="H3249" i="20"/>
  <c r="D3249" i="20"/>
  <c r="H3248" i="20"/>
  <c r="D3248" i="20"/>
  <c r="H3247" i="20"/>
  <c r="D3247" i="20"/>
  <c r="H3246" i="20"/>
  <c r="D3246" i="20"/>
  <c r="H3245" i="20"/>
  <c r="D3245" i="20"/>
  <c r="H3244" i="20"/>
  <c r="D3244" i="20"/>
  <c r="H3243" i="20"/>
  <c r="D3243" i="20"/>
  <c r="H3242" i="20"/>
  <c r="D3242" i="20"/>
  <c r="H3241" i="20"/>
  <c r="D3241" i="20"/>
  <c r="H3240" i="20"/>
  <c r="D3240" i="20"/>
  <c r="H3239" i="20"/>
  <c r="D3239" i="20"/>
  <c r="H3238" i="20"/>
  <c r="D3238" i="20"/>
  <c r="H3237" i="20"/>
  <c r="D3237" i="20"/>
  <c r="H3236" i="20"/>
  <c r="D3236" i="20"/>
  <c r="H3235" i="20"/>
  <c r="D3235" i="20"/>
  <c r="H3234" i="20"/>
  <c r="D3234" i="20"/>
  <c r="H3233" i="20"/>
  <c r="D3233" i="20"/>
  <c r="H3232" i="20"/>
  <c r="D3232" i="20"/>
  <c r="H3231" i="20"/>
  <c r="D3231" i="20"/>
  <c r="H3230" i="20"/>
  <c r="D3230" i="20"/>
  <c r="H3229" i="20"/>
  <c r="D3229" i="20"/>
  <c r="H3228" i="20"/>
  <c r="D3228" i="20"/>
  <c r="H3227" i="20"/>
  <c r="D3227" i="20"/>
  <c r="H3226" i="20"/>
  <c r="D3226" i="20"/>
  <c r="H3225" i="20"/>
  <c r="D3225" i="20"/>
  <c r="H3224" i="20"/>
  <c r="D3224" i="20"/>
  <c r="H3223" i="20"/>
  <c r="D3223" i="20"/>
  <c r="H3222" i="20"/>
  <c r="D3222" i="20"/>
  <c r="H3221" i="20"/>
  <c r="D3221" i="20"/>
  <c r="H3220" i="20"/>
  <c r="D3220" i="20"/>
  <c r="H3219" i="20"/>
  <c r="D3219" i="20"/>
  <c r="H3218" i="20"/>
  <c r="D3218" i="20"/>
  <c r="H3217" i="20"/>
  <c r="D3217" i="20"/>
  <c r="H3216" i="20"/>
  <c r="D3216" i="20"/>
  <c r="H3215" i="20"/>
  <c r="D3215" i="20"/>
  <c r="H3214" i="20"/>
  <c r="D3214" i="20"/>
  <c r="H3213" i="20"/>
  <c r="D3213" i="20"/>
  <c r="H3212" i="20"/>
  <c r="D3212" i="20"/>
  <c r="H3211" i="20"/>
  <c r="D3211" i="20"/>
  <c r="H3210" i="20"/>
  <c r="D3210" i="20"/>
  <c r="H3209" i="20"/>
  <c r="D3209" i="20"/>
  <c r="H3208" i="20"/>
  <c r="D3208" i="20"/>
  <c r="H3207" i="20"/>
  <c r="D3207" i="20"/>
  <c r="H3206" i="20"/>
  <c r="D3206" i="20"/>
  <c r="H3205" i="20"/>
  <c r="D3205" i="20"/>
  <c r="H3204" i="20"/>
  <c r="D3204" i="20"/>
  <c r="H3203" i="20"/>
  <c r="D3203" i="20"/>
  <c r="H3202" i="20"/>
  <c r="D3202" i="20"/>
  <c r="H3201" i="20"/>
  <c r="D3201" i="20"/>
  <c r="H3200" i="20"/>
  <c r="D3200" i="20"/>
  <c r="H3199" i="20"/>
  <c r="D3199" i="20"/>
  <c r="H3198" i="20"/>
  <c r="D3198" i="20"/>
  <c r="H3197" i="20"/>
  <c r="D3197" i="20"/>
  <c r="H3196" i="20"/>
  <c r="D3196" i="20"/>
  <c r="H3195" i="20"/>
  <c r="D3195" i="20"/>
  <c r="H3194" i="20"/>
  <c r="D3194" i="20"/>
  <c r="H3193" i="20"/>
  <c r="D3193" i="20"/>
  <c r="H3192" i="20"/>
  <c r="D3192" i="20"/>
  <c r="H3191" i="20"/>
  <c r="D3191" i="20"/>
  <c r="H3190" i="20"/>
  <c r="D3190" i="20"/>
  <c r="H3189" i="20"/>
  <c r="D3189" i="20"/>
  <c r="H3188" i="20"/>
  <c r="D3188" i="20"/>
  <c r="H3187" i="20"/>
  <c r="D3187" i="20"/>
  <c r="H3186" i="20"/>
  <c r="D3186" i="20"/>
  <c r="H3185" i="20"/>
  <c r="D3185" i="20"/>
  <c r="H3184" i="20"/>
  <c r="D3184" i="20"/>
  <c r="H3183" i="20"/>
  <c r="D3183" i="20"/>
  <c r="H3182" i="20"/>
  <c r="D3182" i="20"/>
  <c r="H3181" i="20"/>
  <c r="D3181" i="20"/>
  <c r="H3180" i="20"/>
  <c r="D3180" i="20"/>
  <c r="H3179" i="20"/>
  <c r="D3179" i="20"/>
  <c r="H3178" i="20"/>
  <c r="D3178" i="20"/>
  <c r="H3177" i="20"/>
  <c r="D3177" i="20"/>
  <c r="H3176" i="20"/>
  <c r="D3176" i="20"/>
  <c r="H3175" i="20"/>
  <c r="D3175" i="20"/>
  <c r="H3174" i="20"/>
  <c r="D3174" i="20"/>
  <c r="H3173" i="20"/>
  <c r="D3173" i="20"/>
  <c r="H3172" i="20"/>
  <c r="D3172" i="20"/>
  <c r="H3171" i="20"/>
  <c r="D3171" i="20"/>
  <c r="H3170" i="20"/>
  <c r="D3170" i="20"/>
  <c r="H3169" i="20"/>
  <c r="D3169" i="20"/>
  <c r="H3168" i="20"/>
  <c r="D3168" i="20"/>
  <c r="H3167" i="20"/>
  <c r="D3167" i="20"/>
  <c r="H3166" i="20"/>
  <c r="D3166" i="20"/>
  <c r="H3165" i="20"/>
  <c r="D3165" i="20"/>
  <c r="H3164" i="20"/>
  <c r="D3164" i="20"/>
  <c r="H3163" i="20"/>
  <c r="D3163" i="20"/>
  <c r="H3162" i="20"/>
  <c r="D3162" i="20"/>
  <c r="H3161" i="20"/>
  <c r="D3161" i="20"/>
  <c r="H3160" i="20"/>
  <c r="D3160" i="20"/>
  <c r="H3159" i="20"/>
  <c r="D3159" i="20"/>
  <c r="H3158" i="20"/>
  <c r="D3158" i="20"/>
  <c r="H3157" i="20"/>
  <c r="D3157" i="20"/>
  <c r="H3156" i="20"/>
  <c r="D3156" i="20"/>
  <c r="H3155" i="20"/>
  <c r="D3155" i="20"/>
  <c r="H3154" i="20"/>
  <c r="D3154" i="20"/>
  <c r="H3153" i="20"/>
  <c r="D3153" i="20"/>
  <c r="H3152" i="20"/>
  <c r="D3152" i="20"/>
  <c r="H3151" i="20"/>
  <c r="D3151" i="20"/>
  <c r="H3150" i="20"/>
  <c r="D3150" i="20"/>
  <c r="H3149" i="20"/>
  <c r="D3149" i="20"/>
  <c r="H3148" i="20"/>
  <c r="D3148" i="20"/>
  <c r="H3147" i="20"/>
  <c r="D3147" i="20"/>
  <c r="H3146" i="20"/>
  <c r="D3146" i="20"/>
  <c r="H3145" i="20"/>
  <c r="D3145" i="20"/>
  <c r="H3144" i="20"/>
  <c r="D3144" i="20"/>
  <c r="H3143" i="20"/>
  <c r="D3143" i="20"/>
  <c r="H3142" i="20"/>
  <c r="D3142" i="20"/>
  <c r="H3141" i="20"/>
  <c r="D3141" i="20"/>
  <c r="H3140" i="20"/>
  <c r="D3140" i="20"/>
  <c r="H3139" i="20"/>
  <c r="D3139" i="20"/>
  <c r="H3138" i="20"/>
  <c r="D3138" i="20"/>
  <c r="H3137" i="20"/>
  <c r="D3137" i="20"/>
  <c r="H3136" i="20"/>
  <c r="D3136" i="20"/>
  <c r="H3135" i="20"/>
  <c r="D3135" i="20"/>
  <c r="H3134" i="20"/>
  <c r="D3134" i="20"/>
  <c r="H3133" i="20"/>
  <c r="D3133" i="20"/>
  <c r="H3132" i="20"/>
  <c r="D3132" i="20"/>
  <c r="H3131" i="20"/>
  <c r="D3131" i="20"/>
  <c r="H3130" i="20"/>
  <c r="D3130" i="20"/>
  <c r="H3129" i="20"/>
  <c r="D3129" i="20"/>
  <c r="H3128" i="20"/>
  <c r="D3128" i="20"/>
  <c r="H3127" i="20"/>
  <c r="D3127" i="20"/>
  <c r="H3126" i="20"/>
  <c r="D3126" i="20"/>
  <c r="H3125" i="20"/>
  <c r="D3125" i="20"/>
  <c r="H3124" i="20"/>
  <c r="D3124" i="20"/>
  <c r="H3123" i="20"/>
  <c r="D3123" i="20"/>
  <c r="H3122" i="20"/>
  <c r="D3122" i="20"/>
  <c r="H3121" i="20"/>
  <c r="D3121" i="20"/>
  <c r="H3120" i="20"/>
  <c r="D3120" i="20"/>
  <c r="H3119" i="20"/>
  <c r="D3119" i="20"/>
  <c r="H3118" i="20"/>
  <c r="D3118" i="20"/>
  <c r="H3117" i="20"/>
  <c r="D3117" i="20"/>
  <c r="H3116" i="20"/>
  <c r="D3116" i="20"/>
  <c r="H3115" i="20"/>
  <c r="D3115" i="20"/>
  <c r="H3114" i="20"/>
  <c r="D3114" i="20"/>
  <c r="H3113" i="20"/>
  <c r="D3113" i="20"/>
  <c r="H3112" i="20"/>
  <c r="D3112" i="20"/>
  <c r="H3111" i="20"/>
  <c r="D3111" i="20"/>
  <c r="H3110" i="20"/>
  <c r="D3110" i="20"/>
  <c r="H3109" i="20"/>
  <c r="D3109" i="20"/>
  <c r="H3108" i="20"/>
  <c r="D3108" i="20"/>
  <c r="H3107" i="20"/>
  <c r="D3107" i="20"/>
  <c r="H3106" i="20"/>
  <c r="D3106" i="20"/>
  <c r="H3105" i="20"/>
  <c r="D3105" i="20"/>
  <c r="H3104" i="20"/>
  <c r="D3104" i="20"/>
  <c r="H3103" i="20"/>
  <c r="D3103" i="20"/>
  <c r="H3102" i="20"/>
  <c r="D3102" i="20"/>
  <c r="H3101" i="20"/>
  <c r="D3101" i="20"/>
  <c r="H3100" i="20"/>
  <c r="D3100" i="20"/>
  <c r="H3099" i="20"/>
  <c r="D3099" i="20"/>
  <c r="H3098" i="20"/>
  <c r="D3098" i="20"/>
  <c r="H3097" i="20"/>
  <c r="D3097" i="20"/>
  <c r="H3096" i="20"/>
  <c r="D3096" i="20"/>
  <c r="H3095" i="20"/>
  <c r="D3095" i="20"/>
  <c r="H3094" i="20"/>
  <c r="D3094" i="20"/>
  <c r="H3093" i="20"/>
  <c r="D3093" i="20"/>
  <c r="H3092" i="20"/>
  <c r="D3092" i="20"/>
  <c r="H3091" i="20"/>
  <c r="D3091" i="20"/>
  <c r="H3090" i="20"/>
  <c r="D3090" i="20"/>
  <c r="H3089" i="20"/>
  <c r="D3089" i="20"/>
  <c r="H3088" i="20"/>
  <c r="D3088" i="20"/>
  <c r="H3087" i="20"/>
  <c r="D3087" i="20"/>
  <c r="H3086" i="20"/>
  <c r="D3086" i="20"/>
  <c r="H3085" i="20"/>
  <c r="D3085" i="20"/>
  <c r="H3084" i="20"/>
  <c r="D3084" i="20"/>
  <c r="H3083" i="20"/>
  <c r="D3083" i="20"/>
  <c r="H3082" i="20"/>
  <c r="D3082" i="20"/>
  <c r="H3081" i="20"/>
  <c r="D3081" i="20"/>
  <c r="H3080" i="20"/>
  <c r="D3080" i="20"/>
  <c r="H3079" i="20"/>
  <c r="D3079" i="20"/>
  <c r="H3078" i="20"/>
  <c r="D3078" i="20"/>
  <c r="H3077" i="20"/>
  <c r="D3077" i="20"/>
  <c r="H3076" i="20"/>
  <c r="D3076" i="20"/>
  <c r="H3075" i="20"/>
  <c r="D3075" i="20"/>
  <c r="H3074" i="20"/>
  <c r="D3074" i="20"/>
  <c r="H3073" i="20"/>
  <c r="D3073" i="20"/>
  <c r="H3072" i="20"/>
  <c r="D3072" i="20"/>
  <c r="H3071" i="20"/>
  <c r="D3071" i="20"/>
  <c r="H3070" i="20"/>
  <c r="D3070" i="20"/>
  <c r="H3069" i="20"/>
  <c r="D3069" i="20"/>
  <c r="H3068" i="20"/>
  <c r="D3068" i="20"/>
  <c r="H3067" i="20"/>
  <c r="D3067" i="20"/>
  <c r="H3066" i="20"/>
  <c r="D3066" i="20"/>
  <c r="H3065" i="20"/>
  <c r="D3065" i="20"/>
  <c r="H3064" i="20"/>
  <c r="D3064" i="20"/>
  <c r="H3063" i="20"/>
  <c r="D3063" i="20"/>
  <c r="H3062" i="20"/>
  <c r="D3062" i="20"/>
  <c r="H3061" i="20"/>
  <c r="D3061" i="20"/>
  <c r="H3060" i="20"/>
  <c r="D3060" i="20"/>
  <c r="H3059" i="20"/>
  <c r="D3059" i="20"/>
  <c r="H3058" i="20"/>
  <c r="D3058" i="20"/>
  <c r="H3057" i="20"/>
  <c r="D3057" i="20"/>
  <c r="H3056" i="20"/>
  <c r="D3056" i="20"/>
  <c r="H3055" i="20"/>
  <c r="D3055" i="20"/>
  <c r="H3054" i="20"/>
  <c r="D3054" i="20"/>
  <c r="H3053" i="20"/>
  <c r="D3053" i="20"/>
  <c r="H3052" i="20"/>
  <c r="D3052" i="20"/>
  <c r="H3051" i="20"/>
  <c r="D3051" i="20"/>
  <c r="H3050" i="20"/>
  <c r="D3050" i="20"/>
  <c r="H3049" i="20"/>
  <c r="D3049" i="20"/>
  <c r="H3048" i="20"/>
  <c r="D3048" i="20"/>
  <c r="H3047" i="20"/>
  <c r="D3047" i="20"/>
  <c r="H3046" i="20"/>
  <c r="D3046" i="20"/>
  <c r="H3045" i="20"/>
  <c r="D3045" i="20"/>
  <c r="H3044" i="20"/>
  <c r="D3044" i="20"/>
  <c r="H3043" i="20"/>
  <c r="D3043" i="20"/>
  <c r="H3042" i="20"/>
  <c r="D3042" i="20"/>
  <c r="H3041" i="20"/>
  <c r="D3041" i="20"/>
  <c r="H3040" i="20"/>
  <c r="D3040" i="20"/>
  <c r="H3039" i="20"/>
  <c r="D3039" i="20"/>
  <c r="H3038" i="20"/>
  <c r="D3038" i="20"/>
  <c r="H3037" i="20"/>
  <c r="D3037" i="20"/>
  <c r="H3036" i="20"/>
  <c r="D3036" i="20"/>
  <c r="H3035" i="20"/>
  <c r="D3035" i="20"/>
  <c r="H3034" i="20"/>
  <c r="D3034" i="20"/>
  <c r="H3033" i="20"/>
  <c r="D3033" i="20"/>
  <c r="H3032" i="20"/>
  <c r="D3032" i="20"/>
  <c r="H3031" i="20"/>
  <c r="D3031" i="20"/>
  <c r="H3030" i="20"/>
  <c r="D3030" i="20"/>
  <c r="H3029" i="20"/>
  <c r="D3029" i="20"/>
  <c r="H3028" i="20"/>
  <c r="D3028" i="20"/>
  <c r="H3027" i="20"/>
  <c r="D3027" i="20"/>
  <c r="H3026" i="20"/>
  <c r="D3026" i="20"/>
  <c r="H3025" i="20"/>
  <c r="D3025" i="20"/>
  <c r="H3024" i="20"/>
  <c r="D3024" i="20"/>
  <c r="H3023" i="20"/>
  <c r="D3023" i="20"/>
  <c r="H3022" i="20"/>
  <c r="D3022" i="20"/>
  <c r="H3021" i="20"/>
  <c r="D3021" i="20"/>
  <c r="H3020" i="20"/>
  <c r="D3020" i="20"/>
  <c r="H3019" i="20"/>
  <c r="D3019" i="20"/>
  <c r="H3018" i="20"/>
  <c r="D3018" i="20"/>
  <c r="H3017" i="20"/>
  <c r="D3017" i="20"/>
  <c r="H3016" i="20"/>
  <c r="D3016" i="20"/>
  <c r="H3015" i="20"/>
  <c r="D3015" i="20"/>
  <c r="H3014" i="20"/>
  <c r="D3014" i="20"/>
  <c r="H3013" i="20"/>
  <c r="D3013" i="20"/>
  <c r="H3012" i="20"/>
  <c r="D3012" i="20"/>
  <c r="H3011" i="20"/>
  <c r="D3011" i="20"/>
  <c r="H3010" i="20"/>
  <c r="D3010" i="20"/>
  <c r="H3009" i="20"/>
  <c r="D3009" i="20"/>
  <c r="H3008" i="20"/>
  <c r="D3008" i="20"/>
  <c r="H3007" i="20"/>
  <c r="D3007" i="20"/>
  <c r="H3006" i="20"/>
  <c r="D3006" i="20"/>
  <c r="H3005" i="20"/>
  <c r="D3005" i="20"/>
  <c r="H3004" i="20"/>
  <c r="D3004" i="20"/>
  <c r="H3003" i="20"/>
  <c r="D3003" i="20"/>
  <c r="H3002" i="20"/>
  <c r="D3002" i="20"/>
  <c r="H3001" i="20"/>
  <c r="D3001" i="20"/>
  <c r="H3000" i="20"/>
  <c r="D3000" i="20"/>
  <c r="H2999" i="20"/>
  <c r="D2999" i="20"/>
  <c r="H2998" i="20"/>
  <c r="D2998" i="20"/>
  <c r="H2997" i="20"/>
  <c r="D2997" i="20"/>
  <c r="H2996" i="20"/>
  <c r="D2996" i="20"/>
  <c r="H2995" i="20"/>
  <c r="D2995" i="20"/>
  <c r="H2994" i="20"/>
  <c r="D2994" i="20"/>
  <c r="H2993" i="20"/>
  <c r="D2993" i="20"/>
  <c r="H2992" i="20"/>
  <c r="D2992" i="20"/>
  <c r="H2991" i="20"/>
  <c r="D2991" i="20"/>
  <c r="H2990" i="20"/>
  <c r="D2990" i="20"/>
  <c r="H2989" i="20"/>
  <c r="D2989" i="20"/>
  <c r="H2988" i="20"/>
  <c r="D2988" i="20"/>
  <c r="H2987" i="20"/>
  <c r="D2987" i="20"/>
  <c r="H2986" i="20"/>
  <c r="D2986" i="20"/>
  <c r="H2985" i="20"/>
  <c r="D2985" i="20"/>
  <c r="H2984" i="20"/>
  <c r="D2984" i="20"/>
  <c r="H2983" i="20"/>
  <c r="D2983" i="20"/>
  <c r="H2982" i="20"/>
  <c r="D2982" i="20"/>
  <c r="H2981" i="20"/>
  <c r="D2981" i="20"/>
  <c r="H2980" i="20"/>
  <c r="D2980" i="20"/>
  <c r="H2979" i="20"/>
  <c r="D2979" i="20"/>
  <c r="H2978" i="20"/>
  <c r="D2978" i="20"/>
  <c r="H2977" i="20"/>
  <c r="D2977" i="20"/>
  <c r="H2976" i="20"/>
  <c r="D2976" i="20"/>
  <c r="H2975" i="20"/>
  <c r="D2975" i="20"/>
  <c r="H2974" i="20"/>
  <c r="D2974" i="20"/>
  <c r="H2973" i="20"/>
  <c r="D2973" i="20"/>
  <c r="H2972" i="20"/>
  <c r="D2972" i="20"/>
  <c r="H2971" i="20"/>
  <c r="D2971" i="20"/>
  <c r="H2970" i="20"/>
  <c r="D2970" i="20"/>
  <c r="H2969" i="20"/>
  <c r="D2969" i="20"/>
  <c r="H2968" i="20"/>
  <c r="D2968" i="20"/>
  <c r="H2967" i="20"/>
  <c r="D2967" i="20"/>
  <c r="H2966" i="20"/>
  <c r="D2966" i="20"/>
  <c r="H2965" i="20"/>
  <c r="D2965" i="20"/>
  <c r="H2964" i="20"/>
  <c r="D2964" i="20"/>
  <c r="H2963" i="20"/>
  <c r="D2963" i="20"/>
  <c r="H2962" i="20"/>
  <c r="D2962" i="20"/>
  <c r="H2961" i="20"/>
  <c r="D2961" i="20"/>
  <c r="H2960" i="20"/>
  <c r="D2960" i="20"/>
  <c r="H2959" i="20"/>
  <c r="D2959" i="20"/>
  <c r="H2958" i="20"/>
  <c r="D2958" i="20"/>
  <c r="H2957" i="20"/>
  <c r="D2957" i="20"/>
  <c r="H2956" i="20"/>
  <c r="D2956" i="20"/>
  <c r="H2955" i="20"/>
  <c r="D2955" i="20"/>
  <c r="H2954" i="20"/>
  <c r="D2954" i="20"/>
  <c r="H2953" i="20"/>
  <c r="D2953" i="20"/>
  <c r="H2952" i="20"/>
  <c r="D2952" i="20"/>
  <c r="H2951" i="20"/>
  <c r="D2951" i="20"/>
  <c r="H2950" i="20"/>
  <c r="D2950" i="20"/>
  <c r="H2949" i="20"/>
  <c r="D2949" i="20"/>
  <c r="H2948" i="20"/>
  <c r="D2948" i="20"/>
  <c r="H2947" i="20"/>
  <c r="D2947" i="20"/>
  <c r="H2946" i="20"/>
  <c r="D2946" i="20"/>
  <c r="H2945" i="20"/>
  <c r="D2945" i="20"/>
  <c r="H2944" i="20"/>
  <c r="D2944" i="20"/>
  <c r="H2943" i="20"/>
  <c r="D2943" i="20"/>
  <c r="H2942" i="20"/>
  <c r="D2942" i="20"/>
  <c r="H2941" i="20"/>
  <c r="D2941" i="20"/>
  <c r="H2940" i="20"/>
  <c r="D2940" i="20"/>
  <c r="H2939" i="20"/>
  <c r="D2939" i="20"/>
  <c r="H2938" i="20"/>
  <c r="D2938" i="20"/>
  <c r="H2937" i="20"/>
  <c r="D2937" i="20"/>
  <c r="H2936" i="20"/>
  <c r="D2936" i="20"/>
  <c r="H2935" i="20"/>
  <c r="D2935" i="20"/>
  <c r="H2934" i="20"/>
  <c r="D2934" i="20"/>
  <c r="H2933" i="20"/>
  <c r="D2933" i="20"/>
  <c r="H2932" i="20"/>
  <c r="D2932" i="20"/>
  <c r="H2931" i="20"/>
  <c r="D2931" i="20"/>
  <c r="H2930" i="20"/>
  <c r="D2930" i="20"/>
  <c r="H2929" i="20"/>
  <c r="D2929" i="20"/>
  <c r="H2928" i="20"/>
  <c r="D2928" i="20"/>
  <c r="H2927" i="20"/>
  <c r="D2927" i="20"/>
  <c r="H2926" i="20"/>
  <c r="D2926" i="20"/>
  <c r="H2925" i="20"/>
  <c r="D2925" i="20"/>
  <c r="H2924" i="20"/>
  <c r="D2924" i="20"/>
  <c r="H2923" i="20"/>
  <c r="D2923" i="20"/>
  <c r="H2922" i="20"/>
  <c r="D2922" i="20"/>
  <c r="H2921" i="20"/>
  <c r="D2921" i="20"/>
  <c r="H2920" i="20"/>
  <c r="D2920" i="20"/>
  <c r="H2919" i="20"/>
  <c r="D2919" i="20"/>
  <c r="H2918" i="20"/>
  <c r="D2918" i="20"/>
  <c r="H2917" i="20"/>
  <c r="D2917" i="20"/>
  <c r="H2916" i="20"/>
  <c r="D2916" i="20"/>
  <c r="H2915" i="20"/>
  <c r="D2915" i="20"/>
  <c r="H2914" i="20"/>
  <c r="D2914" i="20"/>
  <c r="H2913" i="20"/>
  <c r="D2913" i="20"/>
  <c r="H2912" i="20"/>
  <c r="D2912" i="20"/>
  <c r="H2911" i="20"/>
  <c r="D2911" i="20"/>
  <c r="H2910" i="20"/>
  <c r="D2910" i="20"/>
  <c r="H2909" i="20"/>
  <c r="D2909" i="20"/>
  <c r="H2908" i="20"/>
  <c r="D2908" i="20"/>
  <c r="H2907" i="20"/>
  <c r="D2907" i="20"/>
  <c r="H2906" i="20"/>
  <c r="D2906" i="20"/>
  <c r="H2905" i="20"/>
  <c r="D2905" i="20"/>
  <c r="H2904" i="20"/>
  <c r="D2904" i="20"/>
  <c r="H2903" i="20"/>
  <c r="D2903" i="20"/>
  <c r="H2902" i="20"/>
  <c r="D2902" i="20"/>
  <c r="H2901" i="20"/>
  <c r="D2901" i="20"/>
  <c r="H2900" i="20"/>
  <c r="D2900" i="20"/>
  <c r="H2899" i="20"/>
  <c r="D2899" i="20"/>
  <c r="H2898" i="20"/>
  <c r="D2898" i="20"/>
  <c r="H2897" i="20"/>
  <c r="D2897" i="20"/>
  <c r="H2896" i="20"/>
  <c r="D2896" i="20"/>
  <c r="H2895" i="20"/>
  <c r="D2895" i="20"/>
  <c r="H2894" i="20"/>
  <c r="D2894" i="20"/>
  <c r="H2893" i="20"/>
  <c r="D2893" i="20"/>
  <c r="H2892" i="20"/>
  <c r="D2892" i="20"/>
  <c r="H2891" i="20"/>
  <c r="D2891" i="20"/>
  <c r="H2890" i="20"/>
  <c r="D2890" i="20"/>
  <c r="H2889" i="20"/>
  <c r="D2889" i="20"/>
  <c r="H2888" i="20"/>
  <c r="D2888" i="20"/>
  <c r="H2887" i="20"/>
  <c r="D2887" i="20"/>
  <c r="H2886" i="20"/>
  <c r="D2886" i="20"/>
  <c r="H2885" i="20"/>
  <c r="D2885" i="20"/>
  <c r="H2884" i="20"/>
  <c r="D2884" i="20"/>
  <c r="H2883" i="20"/>
  <c r="D2883" i="20"/>
  <c r="H2882" i="20"/>
  <c r="D2882" i="20"/>
  <c r="H2881" i="20"/>
  <c r="D2881" i="20"/>
  <c r="H2880" i="20"/>
  <c r="D2880" i="20"/>
  <c r="H2879" i="20"/>
  <c r="D2879" i="20"/>
  <c r="H2878" i="20"/>
  <c r="D2878" i="20"/>
  <c r="H2877" i="20"/>
  <c r="D2877" i="20"/>
  <c r="H2876" i="20"/>
  <c r="D2876" i="20"/>
  <c r="H2875" i="20"/>
  <c r="D2875" i="20"/>
  <c r="H2874" i="20"/>
  <c r="D2874" i="20"/>
  <c r="H2873" i="20"/>
  <c r="D2873" i="20"/>
  <c r="H2872" i="20"/>
  <c r="D2872" i="20"/>
  <c r="H2871" i="20"/>
  <c r="D2871" i="20"/>
  <c r="H2870" i="20"/>
  <c r="D2870" i="20"/>
  <c r="H2869" i="20"/>
  <c r="D2869" i="20"/>
  <c r="H2868" i="20"/>
  <c r="D2868" i="20"/>
  <c r="H2867" i="20"/>
  <c r="D2867" i="20"/>
  <c r="H2866" i="20"/>
  <c r="D2866" i="20"/>
  <c r="H2865" i="20"/>
  <c r="D2865" i="20"/>
  <c r="H2864" i="20"/>
  <c r="D2864" i="20"/>
  <c r="H2863" i="20"/>
  <c r="D2863" i="20"/>
  <c r="H2862" i="20"/>
  <c r="D2862" i="20"/>
  <c r="H2861" i="20"/>
  <c r="D2861" i="20"/>
  <c r="H2860" i="20"/>
  <c r="D2860" i="20"/>
  <c r="H2859" i="20"/>
  <c r="D2859" i="20"/>
  <c r="H2858" i="20"/>
  <c r="D2858" i="20"/>
  <c r="H2857" i="20"/>
  <c r="D2857" i="20"/>
  <c r="H2856" i="20"/>
  <c r="D2856" i="20"/>
  <c r="H2855" i="20"/>
  <c r="D2855" i="20"/>
  <c r="H2854" i="20"/>
  <c r="D2854" i="20"/>
  <c r="H2853" i="20"/>
  <c r="D2853" i="20"/>
  <c r="H2852" i="20"/>
  <c r="D2852" i="20"/>
  <c r="H2851" i="20"/>
  <c r="D2851" i="20"/>
  <c r="H2850" i="20"/>
  <c r="D2850" i="20"/>
  <c r="H2849" i="20"/>
  <c r="D2849" i="20"/>
  <c r="H2848" i="20"/>
  <c r="D2848" i="20"/>
  <c r="H2847" i="20"/>
  <c r="D2847" i="20"/>
  <c r="H2846" i="20"/>
  <c r="D2846" i="20"/>
  <c r="H2845" i="20"/>
  <c r="D2845" i="20"/>
  <c r="H2844" i="20"/>
  <c r="D2844" i="20"/>
  <c r="H2843" i="20"/>
  <c r="D2843" i="20"/>
  <c r="H2842" i="20"/>
  <c r="D2842" i="20"/>
  <c r="H2841" i="20"/>
  <c r="D2841" i="20"/>
  <c r="H2840" i="20"/>
  <c r="D2840" i="20"/>
  <c r="H2839" i="20"/>
  <c r="D2839" i="20"/>
  <c r="H2838" i="20"/>
  <c r="D2838" i="20"/>
  <c r="H2837" i="20"/>
  <c r="D2837" i="20"/>
  <c r="H2836" i="20"/>
  <c r="D2836" i="20"/>
  <c r="H2835" i="20"/>
  <c r="D2835" i="20"/>
  <c r="H2834" i="20"/>
  <c r="D2834" i="20"/>
  <c r="H2833" i="20"/>
  <c r="D2833" i="20"/>
  <c r="H2832" i="20"/>
  <c r="D2832" i="20"/>
  <c r="H2831" i="20"/>
  <c r="D2831" i="20"/>
  <c r="H2830" i="20"/>
  <c r="D2830" i="20"/>
  <c r="H2829" i="20"/>
  <c r="D2829" i="20"/>
  <c r="H2828" i="20"/>
  <c r="D2828" i="20"/>
  <c r="H2827" i="20"/>
  <c r="D2827" i="20"/>
  <c r="H2826" i="20"/>
  <c r="D2826" i="20"/>
  <c r="H2825" i="20"/>
  <c r="D2825" i="20"/>
  <c r="H2824" i="20"/>
  <c r="D2824" i="20"/>
  <c r="H2823" i="20"/>
  <c r="D2823" i="20"/>
  <c r="H2822" i="20"/>
  <c r="D2822" i="20"/>
  <c r="H2821" i="20"/>
  <c r="D2821" i="20"/>
  <c r="H2820" i="20"/>
  <c r="D2820" i="20"/>
  <c r="H2819" i="20"/>
  <c r="D2819" i="20"/>
  <c r="H2818" i="20"/>
  <c r="D2818" i="20"/>
  <c r="H2817" i="20"/>
  <c r="D2817" i="20"/>
  <c r="H2816" i="20"/>
  <c r="D2816" i="20"/>
  <c r="H2815" i="20"/>
  <c r="D2815" i="20"/>
  <c r="H2814" i="20"/>
  <c r="D2814" i="20"/>
  <c r="H2813" i="20"/>
  <c r="D2813" i="20"/>
  <c r="H2812" i="20"/>
  <c r="D2812" i="20"/>
  <c r="H2811" i="20"/>
  <c r="D2811" i="20"/>
  <c r="H2810" i="20"/>
  <c r="D2810" i="20"/>
  <c r="H2809" i="20"/>
  <c r="D2809" i="20"/>
  <c r="H2808" i="20"/>
  <c r="D2808" i="20"/>
  <c r="H2807" i="20"/>
  <c r="D2807" i="20"/>
  <c r="H2806" i="20"/>
  <c r="D2806" i="20"/>
  <c r="H2805" i="20"/>
  <c r="D2805" i="20"/>
  <c r="H2804" i="20"/>
  <c r="D2804" i="20"/>
  <c r="H2803" i="20"/>
  <c r="D2803" i="20"/>
  <c r="H2802" i="20"/>
  <c r="D2802" i="20"/>
  <c r="H2801" i="20"/>
  <c r="D2801" i="20"/>
  <c r="H2800" i="20"/>
  <c r="D2800" i="20"/>
  <c r="H2799" i="20"/>
  <c r="D2799" i="20"/>
  <c r="H2798" i="20"/>
  <c r="D2798" i="20"/>
  <c r="H2797" i="20"/>
  <c r="D2797" i="20"/>
  <c r="H2796" i="20"/>
  <c r="D2796" i="20"/>
  <c r="H2795" i="20"/>
  <c r="D2795" i="20"/>
  <c r="H2794" i="20"/>
  <c r="D2794" i="20"/>
  <c r="H2793" i="20"/>
  <c r="D2793" i="20"/>
  <c r="H2792" i="20"/>
  <c r="D2792" i="20"/>
  <c r="H2791" i="20"/>
  <c r="D2791" i="20"/>
  <c r="H2790" i="20"/>
  <c r="D2790" i="20"/>
  <c r="H2789" i="20"/>
  <c r="D2789" i="20"/>
  <c r="H2788" i="20"/>
  <c r="D2788" i="20"/>
  <c r="H2787" i="20"/>
  <c r="D2787" i="20"/>
  <c r="H2786" i="20"/>
  <c r="D2786" i="20"/>
  <c r="H2785" i="20"/>
  <c r="D2785" i="20"/>
  <c r="H2784" i="20"/>
  <c r="D2784" i="20"/>
  <c r="H2783" i="20"/>
  <c r="D2783" i="20"/>
  <c r="H2782" i="20"/>
  <c r="D2782" i="20"/>
  <c r="H2781" i="20"/>
  <c r="D2781" i="20"/>
  <c r="H2780" i="20"/>
  <c r="D2780" i="20"/>
  <c r="H2779" i="20"/>
  <c r="D2779" i="20"/>
  <c r="H2778" i="20"/>
  <c r="D2778" i="20"/>
  <c r="H2777" i="20"/>
  <c r="D2777" i="20"/>
  <c r="H2776" i="20"/>
  <c r="D2776" i="20"/>
  <c r="H2775" i="20"/>
  <c r="D2775" i="20"/>
  <c r="H2774" i="20"/>
  <c r="D2774" i="20"/>
  <c r="H2773" i="20"/>
  <c r="D2773" i="20"/>
  <c r="H2772" i="20"/>
  <c r="D2772" i="20"/>
  <c r="H2771" i="20"/>
  <c r="D2771" i="20"/>
  <c r="H2770" i="20"/>
  <c r="D2770" i="20"/>
  <c r="H2769" i="20"/>
  <c r="D2769" i="20"/>
  <c r="H2768" i="20"/>
  <c r="D2768" i="20"/>
  <c r="H2767" i="20"/>
  <c r="D2767" i="20"/>
  <c r="H2766" i="20"/>
  <c r="D2766" i="20"/>
  <c r="H2765" i="20"/>
  <c r="D2765" i="20"/>
  <c r="H2764" i="20"/>
  <c r="D2764" i="20"/>
  <c r="H2763" i="20"/>
  <c r="D2763" i="20"/>
  <c r="H2762" i="20"/>
  <c r="D2762" i="20"/>
  <c r="H2761" i="20"/>
  <c r="D2761" i="20"/>
  <c r="H2760" i="20"/>
  <c r="D2760" i="20"/>
  <c r="H2759" i="20"/>
  <c r="D2759" i="20"/>
  <c r="H2758" i="20"/>
  <c r="D2758" i="20"/>
  <c r="H2757" i="20"/>
  <c r="D2757" i="20"/>
  <c r="H2756" i="20"/>
  <c r="D2756" i="20"/>
  <c r="H2755" i="20"/>
  <c r="D2755" i="20"/>
  <c r="H2754" i="20"/>
  <c r="D2754" i="20"/>
  <c r="H2753" i="20"/>
  <c r="D2753" i="20"/>
  <c r="H2752" i="20"/>
  <c r="D2752" i="20"/>
  <c r="H2751" i="20"/>
  <c r="D2751" i="20"/>
  <c r="H2750" i="20"/>
  <c r="D2750" i="20"/>
  <c r="H2749" i="20"/>
  <c r="D2749" i="20"/>
  <c r="H2748" i="20"/>
  <c r="D2748" i="20"/>
  <c r="H2747" i="20"/>
  <c r="D2747" i="20"/>
  <c r="H2746" i="20"/>
  <c r="D2746" i="20"/>
  <c r="H2745" i="20"/>
  <c r="D2745" i="20"/>
  <c r="H2744" i="20"/>
  <c r="D2744" i="20"/>
  <c r="H2743" i="20"/>
  <c r="D2743" i="20"/>
  <c r="H2742" i="20"/>
  <c r="D2742" i="20"/>
  <c r="H2741" i="20"/>
  <c r="D2741" i="20"/>
  <c r="H2740" i="20"/>
  <c r="D2740" i="20"/>
  <c r="H2739" i="20"/>
  <c r="D2739" i="20"/>
  <c r="H2738" i="20"/>
  <c r="D2738" i="20"/>
  <c r="H2737" i="20"/>
  <c r="D2737" i="20"/>
  <c r="H2736" i="20"/>
  <c r="D2736" i="20"/>
  <c r="H2735" i="20"/>
  <c r="D2735" i="20"/>
  <c r="H2734" i="20"/>
  <c r="D2734" i="20"/>
  <c r="H2733" i="20"/>
  <c r="D2733" i="20"/>
  <c r="H2732" i="20"/>
  <c r="D2732" i="20"/>
  <c r="H2731" i="20"/>
  <c r="D2731" i="20"/>
  <c r="H2730" i="20"/>
  <c r="D2730" i="20"/>
  <c r="H2729" i="20"/>
  <c r="D2729" i="20"/>
  <c r="H2728" i="20"/>
  <c r="D2728" i="20"/>
  <c r="H2727" i="20"/>
  <c r="D2727" i="20"/>
  <c r="H2726" i="20"/>
  <c r="D2726" i="20"/>
  <c r="H2725" i="20"/>
  <c r="D2725" i="20"/>
  <c r="H2724" i="20"/>
  <c r="D2724" i="20"/>
  <c r="H2723" i="20"/>
  <c r="D2723" i="20"/>
  <c r="H2722" i="20"/>
  <c r="D2722" i="20"/>
  <c r="H2721" i="20"/>
  <c r="D2721" i="20"/>
  <c r="H2720" i="20"/>
  <c r="D2720" i="20"/>
  <c r="H2719" i="20"/>
  <c r="D2719" i="20"/>
  <c r="H2718" i="20"/>
  <c r="D2718" i="20"/>
  <c r="H2717" i="20"/>
  <c r="D2717" i="20"/>
  <c r="H2716" i="20"/>
  <c r="D2716" i="20"/>
  <c r="H2715" i="20"/>
  <c r="D2715" i="20"/>
  <c r="H2714" i="20"/>
  <c r="D2714" i="20"/>
  <c r="H2713" i="20"/>
  <c r="D2713" i="20"/>
  <c r="H2712" i="20"/>
  <c r="D2712" i="20"/>
  <c r="H2711" i="20"/>
  <c r="D2711" i="20"/>
  <c r="H2710" i="20"/>
  <c r="D2710" i="20"/>
  <c r="H2709" i="20"/>
  <c r="D2709" i="20"/>
  <c r="H2708" i="20"/>
  <c r="D2708" i="20"/>
  <c r="H2707" i="20"/>
  <c r="D2707" i="20"/>
  <c r="H2706" i="20"/>
  <c r="D2706" i="20"/>
  <c r="H2705" i="20"/>
  <c r="D2705" i="20"/>
  <c r="H2704" i="20"/>
  <c r="D2704" i="20"/>
  <c r="H2703" i="20"/>
  <c r="D2703" i="20"/>
  <c r="H2702" i="20"/>
  <c r="D2702" i="20"/>
  <c r="H2701" i="20"/>
  <c r="D2701" i="20"/>
  <c r="H2700" i="20"/>
  <c r="D2700" i="20"/>
  <c r="H2699" i="20"/>
  <c r="D2699" i="20"/>
  <c r="H2698" i="20"/>
  <c r="D2698" i="20"/>
  <c r="H2697" i="20"/>
  <c r="D2697" i="20"/>
  <c r="H2696" i="20"/>
  <c r="D2696" i="20"/>
  <c r="H2695" i="20"/>
  <c r="D2695" i="20"/>
  <c r="H2694" i="20"/>
  <c r="D2694" i="20"/>
  <c r="H2693" i="20"/>
  <c r="D2693" i="20"/>
  <c r="H2692" i="20"/>
  <c r="D2692" i="20"/>
  <c r="H2691" i="20"/>
  <c r="D2691" i="20"/>
  <c r="H2690" i="20"/>
  <c r="D2690" i="20"/>
  <c r="H2689" i="20"/>
  <c r="D2689" i="20"/>
  <c r="H2688" i="20"/>
  <c r="D2688" i="20"/>
  <c r="H2687" i="20"/>
  <c r="D2687" i="20"/>
  <c r="H2686" i="20"/>
  <c r="D2686" i="20"/>
  <c r="H2685" i="20"/>
  <c r="D2685" i="20"/>
  <c r="H2684" i="20"/>
  <c r="D2684" i="20"/>
  <c r="H2683" i="20"/>
  <c r="D2683" i="20"/>
  <c r="H2682" i="20"/>
  <c r="D2682" i="20"/>
  <c r="H2681" i="20"/>
  <c r="D2681" i="20"/>
  <c r="H2680" i="20"/>
  <c r="D2680" i="20"/>
  <c r="H2679" i="20"/>
  <c r="D2679" i="20"/>
  <c r="H2678" i="20"/>
  <c r="D2678" i="20"/>
  <c r="H2677" i="20"/>
  <c r="D2677" i="20"/>
  <c r="H2676" i="20"/>
  <c r="D2676" i="20"/>
  <c r="H2675" i="20"/>
  <c r="D2675" i="20"/>
  <c r="H2674" i="20"/>
  <c r="D2674" i="20"/>
  <c r="H2673" i="20"/>
  <c r="D2673" i="20"/>
  <c r="H2672" i="20"/>
  <c r="D2672" i="20"/>
  <c r="H2671" i="20"/>
  <c r="D2671" i="20"/>
  <c r="H2670" i="20"/>
  <c r="D2670" i="20"/>
  <c r="H2669" i="20"/>
  <c r="D2669" i="20"/>
  <c r="H2668" i="20"/>
  <c r="D2668" i="20"/>
  <c r="H2667" i="20"/>
  <c r="D2667" i="20"/>
  <c r="H2666" i="20"/>
  <c r="D2666" i="20"/>
  <c r="H2665" i="20"/>
  <c r="D2665" i="20"/>
  <c r="H2664" i="20"/>
  <c r="D2664" i="20"/>
  <c r="H2663" i="20"/>
  <c r="D2663" i="20"/>
  <c r="H2662" i="20"/>
  <c r="D2662" i="20"/>
  <c r="H2661" i="20"/>
  <c r="D2661" i="20"/>
  <c r="H2660" i="20"/>
  <c r="D2660" i="20"/>
  <c r="H2659" i="20"/>
  <c r="D2659" i="20"/>
  <c r="H2658" i="20"/>
  <c r="D2658" i="20"/>
  <c r="H2657" i="20"/>
  <c r="D2657" i="20"/>
  <c r="H2656" i="20"/>
  <c r="D2656" i="20"/>
  <c r="H2655" i="20"/>
  <c r="D2655" i="20"/>
  <c r="H2654" i="20"/>
  <c r="D2654" i="20"/>
  <c r="H2653" i="20"/>
  <c r="D2653" i="20"/>
  <c r="H2652" i="20"/>
  <c r="D2652" i="20"/>
  <c r="H2651" i="20"/>
  <c r="D2651" i="20"/>
  <c r="H2650" i="20"/>
  <c r="D2650" i="20"/>
  <c r="H2649" i="20"/>
  <c r="D2649" i="20"/>
  <c r="H2648" i="20"/>
  <c r="D2648" i="20"/>
  <c r="H2647" i="20"/>
  <c r="D2647" i="20"/>
  <c r="H2646" i="20"/>
  <c r="D2646" i="20"/>
  <c r="H2645" i="20"/>
  <c r="D2645" i="20"/>
  <c r="H2644" i="20"/>
  <c r="D2644" i="20"/>
  <c r="H2643" i="20"/>
  <c r="D2643" i="20"/>
  <c r="H2642" i="20"/>
  <c r="D2642" i="20"/>
  <c r="H2641" i="20"/>
  <c r="D2641" i="20"/>
  <c r="H2640" i="20"/>
  <c r="D2640" i="20"/>
  <c r="H2639" i="20"/>
  <c r="D2639" i="20"/>
  <c r="H2638" i="20"/>
  <c r="D2638" i="20"/>
  <c r="H2637" i="20"/>
  <c r="D2637" i="20"/>
  <c r="H2636" i="20"/>
  <c r="D2636" i="20"/>
  <c r="H2635" i="20"/>
  <c r="D2635" i="20"/>
  <c r="H2634" i="20"/>
  <c r="D2634" i="20"/>
  <c r="H2633" i="20"/>
  <c r="D2633" i="20"/>
  <c r="H2632" i="20"/>
  <c r="D2632" i="20"/>
  <c r="H2631" i="20"/>
  <c r="D2631" i="20"/>
  <c r="H2630" i="20"/>
  <c r="D2630" i="20"/>
  <c r="H2629" i="20"/>
  <c r="D2629" i="20"/>
  <c r="H2628" i="20"/>
  <c r="D2628" i="20"/>
  <c r="H2627" i="20"/>
  <c r="D2627" i="20"/>
  <c r="H2626" i="20"/>
  <c r="D2626" i="20"/>
  <c r="H2625" i="20"/>
  <c r="D2625" i="20"/>
  <c r="H2624" i="20"/>
  <c r="D2624" i="20"/>
  <c r="H2623" i="20"/>
  <c r="D2623" i="20"/>
  <c r="H2622" i="20"/>
  <c r="D2622" i="20"/>
  <c r="H2621" i="20"/>
  <c r="D2621" i="20"/>
  <c r="H2620" i="20"/>
  <c r="D2620" i="20"/>
  <c r="H2619" i="20"/>
  <c r="D2619" i="20"/>
  <c r="H2618" i="20"/>
  <c r="D2618" i="20"/>
  <c r="H2617" i="20"/>
  <c r="D2617" i="20"/>
  <c r="H2616" i="20"/>
  <c r="D2616" i="20"/>
  <c r="H2615" i="20"/>
  <c r="D2615" i="20"/>
  <c r="H2614" i="20"/>
  <c r="D2614" i="20"/>
  <c r="H2613" i="20"/>
  <c r="D2613" i="20"/>
  <c r="H2612" i="20"/>
  <c r="D2612" i="20"/>
  <c r="H2611" i="20"/>
  <c r="D2611" i="20"/>
  <c r="H2610" i="20"/>
  <c r="D2610" i="20"/>
  <c r="H2609" i="20"/>
  <c r="D2609" i="20"/>
  <c r="H2608" i="20"/>
  <c r="D2608" i="20"/>
  <c r="H2607" i="20"/>
  <c r="D2607" i="20"/>
  <c r="H2606" i="20"/>
  <c r="D2606" i="20"/>
  <c r="H2605" i="20"/>
  <c r="D2605" i="20"/>
  <c r="H2604" i="20"/>
  <c r="D2604" i="20"/>
  <c r="H2603" i="20"/>
  <c r="D2603" i="20"/>
  <c r="H2602" i="20"/>
  <c r="D2602" i="20"/>
  <c r="H2601" i="20"/>
  <c r="D2601" i="20"/>
  <c r="H2600" i="20"/>
  <c r="D2600" i="20"/>
  <c r="H2599" i="20"/>
  <c r="D2599" i="20"/>
  <c r="H2598" i="20"/>
  <c r="D2598" i="20"/>
  <c r="H2597" i="20"/>
  <c r="D2597" i="20"/>
  <c r="H2596" i="20"/>
  <c r="D2596" i="20"/>
  <c r="H2595" i="20"/>
  <c r="D2595" i="20"/>
  <c r="H2594" i="20"/>
  <c r="D2594" i="20"/>
  <c r="H2593" i="20"/>
  <c r="D2593" i="20"/>
  <c r="H2592" i="20"/>
  <c r="D2592" i="20"/>
  <c r="H2591" i="20"/>
  <c r="D2591" i="20"/>
  <c r="H2590" i="20"/>
  <c r="D2590" i="20"/>
  <c r="H2589" i="20"/>
  <c r="D2589" i="20"/>
  <c r="H2588" i="20"/>
  <c r="D2588" i="20"/>
  <c r="H2587" i="20"/>
  <c r="D2587" i="20"/>
  <c r="H2586" i="20"/>
  <c r="D2586" i="20"/>
  <c r="H2585" i="20"/>
  <c r="D2585" i="20"/>
  <c r="H2584" i="20"/>
  <c r="D2584" i="20"/>
  <c r="H2583" i="20"/>
  <c r="D2583" i="20"/>
  <c r="H2582" i="20"/>
  <c r="D2582" i="20"/>
  <c r="H2581" i="20"/>
  <c r="D2581" i="20"/>
  <c r="H2580" i="20"/>
  <c r="D2580" i="20"/>
  <c r="H2579" i="20"/>
  <c r="D2579" i="20"/>
  <c r="H2578" i="20"/>
  <c r="D2578" i="20"/>
  <c r="H2577" i="20"/>
  <c r="D2577" i="20"/>
  <c r="H2576" i="20"/>
  <c r="D2576" i="20"/>
  <c r="H2575" i="20"/>
  <c r="D2575" i="20"/>
  <c r="H2574" i="20"/>
  <c r="D2574" i="20"/>
  <c r="H2573" i="20"/>
  <c r="D2573" i="20"/>
  <c r="H2572" i="20"/>
  <c r="D2572" i="20"/>
  <c r="H2571" i="20"/>
  <c r="D2571" i="20"/>
  <c r="H2570" i="20"/>
  <c r="D2570" i="20"/>
  <c r="H2569" i="20"/>
  <c r="D2569" i="20"/>
  <c r="H2568" i="20"/>
  <c r="D2568" i="20"/>
  <c r="H2567" i="20"/>
  <c r="D2567" i="20"/>
  <c r="H2566" i="20"/>
  <c r="D2566" i="20"/>
  <c r="H2565" i="20"/>
  <c r="D2565" i="20"/>
  <c r="H2564" i="20"/>
  <c r="D2564" i="20"/>
  <c r="H2563" i="20"/>
  <c r="D2563" i="20"/>
  <c r="H2562" i="20"/>
  <c r="D2562" i="20"/>
  <c r="H2561" i="20"/>
  <c r="D2561" i="20"/>
  <c r="H2560" i="20"/>
  <c r="D2560" i="20"/>
  <c r="H2559" i="20"/>
  <c r="D2559" i="20"/>
  <c r="H2558" i="20"/>
  <c r="D2558" i="20"/>
  <c r="H2557" i="20"/>
  <c r="D2557" i="20"/>
  <c r="H2556" i="20"/>
  <c r="D2556" i="20"/>
  <c r="H2555" i="20"/>
  <c r="D2555" i="20"/>
  <c r="H2554" i="20"/>
  <c r="D2554" i="20"/>
  <c r="H2553" i="20"/>
  <c r="D2553" i="20"/>
  <c r="H2552" i="20"/>
  <c r="D2552" i="20"/>
  <c r="H2551" i="20"/>
  <c r="D2551" i="20"/>
  <c r="H2550" i="20"/>
  <c r="D2550" i="20"/>
  <c r="H2549" i="20"/>
  <c r="D2549" i="20"/>
  <c r="H2548" i="20"/>
  <c r="D2548" i="20"/>
  <c r="H2547" i="20"/>
  <c r="D2547" i="20"/>
  <c r="H2546" i="20"/>
  <c r="D2546" i="20"/>
  <c r="H2545" i="20"/>
  <c r="D2545" i="20"/>
  <c r="H2544" i="20"/>
  <c r="D2544" i="20"/>
  <c r="H2543" i="20"/>
  <c r="D2543" i="20"/>
  <c r="H2542" i="20"/>
  <c r="D2542" i="20"/>
  <c r="H2541" i="20"/>
  <c r="D2541" i="20"/>
  <c r="H2540" i="20"/>
  <c r="D2540" i="20"/>
  <c r="H2539" i="20"/>
  <c r="D2539" i="20"/>
  <c r="H2538" i="20"/>
  <c r="D2538" i="20"/>
  <c r="H2537" i="20"/>
  <c r="D2537" i="20"/>
  <c r="H2536" i="20"/>
  <c r="D2536" i="20"/>
  <c r="H2535" i="20"/>
  <c r="D2535" i="20"/>
  <c r="H2534" i="20"/>
  <c r="D2534" i="20"/>
  <c r="H2533" i="20"/>
  <c r="D2533" i="20"/>
  <c r="H2532" i="20"/>
  <c r="D2532" i="20"/>
  <c r="H2531" i="20"/>
  <c r="D2531" i="20"/>
  <c r="H2530" i="20"/>
  <c r="D2530" i="20"/>
  <c r="H2529" i="20"/>
  <c r="D2529" i="20"/>
  <c r="H2528" i="20"/>
  <c r="D2528" i="20"/>
  <c r="H2527" i="20"/>
  <c r="D2527" i="20"/>
  <c r="H2526" i="20"/>
  <c r="D2526" i="20"/>
  <c r="H2525" i="20"/>
  <c r="D2525" i="20"/>
  <c r="H2524" i="20"/>
  <c r="D2524" i="20"/>
  <c r="H2523" i="20"/>
  <c r="D2523" i="20"/>
  <c r="H2522" i="20"/>
  <c r="D2522" i="20"/>
  <c r="H2521" i="20"/>
  <c r="D2521" i="20"/>
  <c r="H2520" i="20"/>
  <c r="D2520" i="20"/>
  <c r="H2519" i="20"/>
  <c r="D2519" i="20"/>
  <c r="H2518" i="20"/>
  <c r="D2518" i="20"/>
  <c r="H2517" i="20"/>
  <c r="D2517" i="20"/>
  <c r="H2516" i="20"/>
  <c r="D2516" i="20"/>
  <c r="H2515" i="20"/>
  <c r="D2515" i="20"/>
  <c r="H2514" i="20"/>
  <c r="D2514" i="20"/>
  <c r="H2513" i="20"/>
  <c r="D2513" i="20"/>
  <c r="H2512" i="20"/>
  <c r="D2512" i="20"/>
  <c r="H2511" i="20"/>
  <c r="D2511" i="20"/>
  <c r="H2510" i="20"/>
  <c r="D2510" i="20"/>
  <c r="H2509" i="20"/>
  <c r="D2509" i="20"/>
  <c r="H2508" i="20"/>
  <c r="D2508" i="20"/>
  <c r="H2507" i="20"/>
  <c r="D2507" i="20"/>
  <c r="H2506" i="20"/>
  <c r="D2506" i="20"/>
  <c r="H2505" i="20"/>
  <c r="D2505" i="20"/>
  <c r="H2504" i="20"/>
  <c r="D2504" i="20"/>
  <c r="H2503" i="20"/>
  <c r="D2503" i="20"/>
  <c r="H2502" i="20"/>
  <c r="D2502" i="20"/>
  <c r="H2501" i="20"/>
  <c r="D2501" i="20"/>
  <c r="H2500" i="20"/>
  <c r="D2500" i="20"/>
  <c r="H2499" i="20"/>
  <c r="D2499" i="20"/>
  <c r="H2498" i="20"/>
  <c r="D2498" i="20"/>
  <c r="H2497" i="20"/>
  <c r="D2497" i="20"/>
  <c r="H2496" i="20"/>
  <c r="D2496" i="20"/>
  <c r="H2495" i="20"/>
  <c r="D2495" i="20"/>
  <c r="H2494" i="20"/>
  <c r="D2494" i="20"/>
  <c r="H2493" i="20"/>
  <c r="D2493" i="20"/>
  <c r="H2492" i="20"/>
  <c r="D2492" i="20"/>
  <c r="H2491" i="20"/>
  <c r="D2491" i="20"/>
  <c r="H2490" i="20"/>
  <c r="D2490" i="20"/>
  <c r="H2489" i="20"/>
  <c r="D2489" i="20"/>
  <c r="H2488" i="20"/>
  <c r="D2488" i="20"/>
  <c r="H2487" i="20"/>
  <c r="D2487" i="20"/>
  <c r="H2486" i="20"/>
  <c r="D2486" i="20"/>
  <c r="H2485" i="20"/>
  <c r="D2485" i="20"/>
  <c r="H2484" i="20"/>
  <c r="D2484" i="20"/>
  <c r="H2483" i="20"/>
  <c r="D2483" i="20"/>
  <c r="H2482" i="20"/>
  <c r="D2482" i="20"/>
  <c r="H2481" i="20"/>
  <c r="D2481" i="20"/>
  <c r="H2480" i="20"/>
  <c r="D2480" i="20"/>
  <c r="H2479" i="20"/>
  <c r="D2479" i="20"/>
  <c r="H2478" i="20"/>
  <c r="D2478" i="20"/>
  <c r="H2477" i="20"/>
  <c r="D2477" i="20"/>
  <c r="H2476" i="20"/>
  <c r="D2476" i="20"/>
  <c r="H2475" i="20"/>
  <c r="D2475" i="20"/>
  <c r="H2474" i="20"/>
  <c r="D2474" i="20"/>
  <c r="H2473" i="20"/>
  <c r="D2473" i="20"/>
  <c r="H2472" i="20"/>
  <c r="D2472" i="20"/>
  <c r="H2471" i="20"/>
  <c r="D2471" i="20"/>
  <c r="H2470" i="20"/>
  <c r="D2470" i="20"/>
  <c r="H2469" i="20"/>
  <c r="D2469" i="20"/>
  <c r="H2468" i="20"/>
  <c r="D2468" i="20"/>
  <c r="H2467" i="20"/>
  <c r="D2467" i="20"/>
  <c r="H2466" i="20"/>
  <c r="D2466" i="20"/>
  <c r="H2465" i="20"/>
  <c r="D2465" i="20"/>
  <c r="H2464" i="20"/>
  <c r="D2464" i="20"/>
  <c r="H2463" i="20"/>
  <c r="D2463" i="20"/>
  <c r="H2462" i="20"/>
  <c r="D2462" i="20"/>
  <c r="H2461" i="20"/>
  <c r="D2461" i="20"/>
  <c r="H2460" i="20"/>
  <c r="D2460" i="20"/>
  <c r="H2459" i="20"/>
  <c r="D2459" i="20"/>
  <c r="H2458" i="20"/>
  <c r="D2458" i="20"/>
  <c r="H2457" i="20"/>
  <c r="D2457" i="20"/>
  <c r="H2456" i="20"/>
  <c r="D2456" i="20"/>
  <c r="H2455" i="20"/>
  <c r="D2455" i="20"/>
  <c r="H2454" i="20"/>
  <c r="D2454" i="20"/>
  <c r="H2453" i="20"/>
  <c r="D2453" i="20"/>
  <c r="H2452" i="20"/>
  <c r="D2452" i="20"/>
  <c r="H2451" i="20"/>
  <c r="D2451" i="20"/>
  <c r="H2450" i="20"/>
  <c r="D2450" i="20"/>
  <c r="H2449" i="20"/>
  <c r="D2449" i="20"/>
  <c r="H2448" i="20"/>
  <c r="D2448" i="20"/>
  <c r="H2447" i="20"/>
  <c r="D2447" i="20"/>
  <c r="H2446" i="20"/>
  <c r="D2446" i="20"/>
  <c r="H2445" i="20"/>
  <c r="D2445" i="20"/>
  <c r="H2444" i="20"/>
  <c r="D2444" i="20"/>
  <c r="H2443" i="20"/>
  <c r="D2443" i="20"/>
  <c r="H2442" i="20"/>
  <c r="D2442" i="20"/>
  <c r="H2441" i="20"/>
  <c r="D2441" i="20"/>
  <c r="H2440" i="20"/>
  <c r="D2440" i="20"/>
  <c r="H2439" i="20"/>
  <c r="D2439" i="20"/>
  <c r="H2438" i="20"/>
  <c r="D2438" i="20"/>
  <c r="H2437" i="20"/>
  <c r="D2437" i="20"/>
  <c r="H2436" i="20"/>
  <c r="D2436" i="20"/>
  <c r="H2435" i="20"/>
  <c r="D2435" i="20"/>
  <c r="H2434" i="20"/>
  <c r="D2434" i="20"/>
  <c r="H2433" i="20"/>
  <c r="D2433" i="20"/>
  <c r="H2432" i="20"/>
  <c r="D2432" i="20"/>
  <c r="H2431" i="20"/>
  <c r="D2431" i="20"/>
  <c r="H2430" i="20"/>
  <c r="D2430" i="20"/>
  <c r="H2429" i="20"/>
  <c r="D2429" i="20"/>
  <c r="H2428" i="20"/>
  <c r="D2428" i="20"/>
  <c r="H2427" i="20"/>
  <c r="D2427" i="20"/>
  <c r="H2426" i="20"/>
  <c r="D2426" i="20"/>
  <c r="H2425" i="20"/>
  <c r="D2425" i="20"/>
  <c r="H2424" i="20"/>
  <c r="D2424" i="20"/>
  <c r="H2423" i="20"/>
  <c r="D2423" i="20"/>
  <c r="H2422" i="20"/>
  <c r="D2422" i="20"/>
  <c r="H2421" i="20"/>
  <c r="D2421" i="20"/>
  <c r="H2420" i="20"/>
  <c r="D2420" i="20"/>
  <c r="H2419" i="20"/>
  <c r="D2419" i="20"/>
  <c r="H2418" i="20"/>
  <c r="D2418" i="20"/>
  <c r="H2417" i="20"/>
  <c r="D2417" i="20"/>
  <c r="H2416" i="20"/>
  <c r="D2416" i="20"/>
  <c r="H2415" i="20"/>
  <c r="D2415" i="20"/>
  <c r="H2414" i="20"/>
  <c r="D2414" i="20"/>
  <c r="H2413" i="20"/>
  <c r="D2413" i="20"/>
  <c r="H2412" i="20"/>
  <c r="D2412" i="20"/>
  <c r="H2411" i="20"/>
  <c r="D2411" i="20"/>
  <c r="H2410" i="20"/>
  <c r="D2410" i="20"/>
  <c r="H2409" i="20"/>
  <c r="D2409" i="20"/>
  <c r="H2408" i="20"/>
  <c r="D2408" i="20"/>
  <c r="H2407" i="20"/>
  <c r="D2407" i="20"/>
  <c r="H2406" i="20"/>
  <c r="D2406" i="20"/>
  <c r="H2405" i="20"/>
  <c r="D2405" i="20"/>
  <c r="H2404" i="20"/>
  <c r="D2404" i="20"/>
  <c r="H2403" i="20"/>
  <c r="D2403" i="20"/>
  <c r="H2402" i="20"/>
  <c r="D2402" i="20"/>
  <c r="H2401" i="20"/>
  <c r="D2401" i="20"/>
  <c r="H2400" i="20"/>
  <c r="D2400" i="20"/>
  <c r="H2399" i="20"/>
  <c r="D2399" i="20"/>
  <c r="H2398" i="20"/>
  <c r="D2398" i="20"/>
  <c r="H2397" i="20"/>
  <c r="D2397" i="20"/>
  <c r="H2396" i="20"/>
  <c r="D2396" i="20"/>
  <c r="H2395" i="20"/>
  <c r="D2395" i="20"/>
  <c r="H2394" i="20"/>
  <c r="D2394" i="20"/>
  <c r="H2393" i="20"/>
  <c r="D2393" i="20"/>
  <c r="H2392" i="20"/>
  <c r="D2392" i="20"/>
  <c r="H2391" i="20"/>
  <c r="D2391" i="20"/>
  <c r="H2390" i="20"/>
  <c r="D2390" i="20"/>
  <c r="H2389" i="20"/>
  <c r="D2389" i="20"/>
  <c r="H2388" i="20"/>
  <c r="D2388" i="20"/>
  <c r="H2387" i="20"/>
  <c r="D2387" i="20"/>
  <c r="H2386" i="20"/>
  <c r="D2386" i="20"/>
  <c r="H2385" i="20"/>
  <c r="D2385" i="20"/>
  <c r="H2384" i="20"/>
  <c r="D2384" i="20"/>
  <c r="H2383" i="20"/>
  <c r="D2383" i="20"/>
  <c r="H2382" i="20"/>
  <c r="D2382" i="20"/>
  <c r="H2381" i="20"/>
  <c r="D2381" i="20"/>
  <c r="H2380" i="20"/>
  <c r="D2380" i="20"/>
  <c r="H2379" i="20"/>
  <c r="D2379" i="20"/>
  <c r="H2378" i="20"/>
  <c r="D2378" i="20"/>
  <c r="H2377" i="20"/>
  <c r="D2377" i="20"/>
  <c r="H2376" i="20"/>
  <c r="D2376" i="20"/>
  <c r="H2375" i="20"/>
  <c r="D2375" i="20"/>
  <c r="H2374" i="20"/>
  <c r="D2374" i="20"/>
  <c r="H2373" i="20"/>
  <c r="D2373" i="20"/>
  <c r="H2372" i="20"/>
  <c r="D2372" i="20"/>
  <c r="H2371" i="20"/>
  <c r="D2371" i="20"/>
  <c r="H2370" i="20"/>
  <c r="D2370" i="20"/>
  <c r="H2369" i="20"/>
  <c r="D2369" i="20"/>
  <c r="H2368" i="20"/>
  <c r="D2368" i="20"/>
  <c r="H2367" i="20"/>
  <c r="D2367" i="20"/>
  <c r="H2366" i="20"/>
  <c r="D2366" i="20"/>
  <c r="H2365" i="20"/>
  <c r="D2365" i="20"/>
  <c r="H2364" i="20"/>
  <c r="D2364" i="20"/>
  <c r="H2363" i="20"/>
  <c r="D2363" i="20"/>
  <c r="H2362" i="20"/>
  <c r="D2362" i="20"/>
  <c r="H2361" i="20"/>
  <c r="D2361" i="20"/>
  <c r="H2360" i="20"/>
  <c r="D2360" i="20"/>
  <c r="H2359" i="20"/>
  <c r="D2359" i="20"/>
  <c r="H2358" i="20"/>
  <c r="D2358" i="20"/>
  <c r="H2357" i="20"/>
  <c r="D2357" i="20"/>
  <c r="H2356" i="20"/>
  <c r="D2356" i="20"/>
  <c r="H2355" i="20"/>
  <c r="D2355" i="20"/>
  <c r="H2354" i="20"/>
  <c r="D2354" i="20"/>
  <c r="H2353" i="20"/>
  <c r="D2353" i="20"/>
  <c r="H2352" i="20"/>
  <c r="D2352" i="20"/>
  <c r="H2351" i="20"/>
  <c r="D2351" i="20"/>
  <c r="H2350" i="20"/>
  <c r="D2350" i="20"/>
  <c r="H2349" i="20"/>
  <c r="D2349" i="20"/>
  <c r="H2348" i="20"/>
  <c r="D2348" i="20"/>
  <c r="H2347" i="20"/>
  <c r="D2347" i="20"/>
  <c r="H2346" i="20"/>
  <c r="D2346" i="20"/>
  <c r="H2345" i="20"/>
  <c r="D2345" i="20"/>
  <c r="H2344" i="20"/>
  <c r="D2344" i="20"/>
  <c r="H2343" i="20"/>
  <c r="D2343" i="20"/>
  <c r="H2342" i="20"/>
  <c r="D2342" i="20"/>
  <c r="H2341" i="20"/>
  <c r="D2341" i="20"/>
  <c r="H2340" i="20"/>
  <c r="D2340" i="20"/>
  <c r="H2339" i="20"/>
  <c r="D2339" i="20"/>
  <c r="H2338" i="20"/>
  <c r="D2338" i="20"/>
  <c r="H2337" i="20"/>
  <c r="D2337" i="20"/>
  <c r="H2336" i="20"/>
  <c r="D2336" i="20"/>
  <c r="H2335" i="20"/>
  <c r="D2335" i="20"/>
  <c r="H2334" i="20"/>
  <c r="D2334" i="20"/>
  <c r="H2333" i="20"/>
  <c r="D2333" i="20"/>
  <c r="H2332" i="20"/>
  <c r="D2332" i="20"/>
  <c r="H2331" i="20"/>
  <c r="D2331" i="20"/>
  <c r="H2330" i="20"/>
  <c r="D2330" i="20"/>
  <c r="H2329" i="20"/>
  <c r="D2329" i="20"/>
  <c r="H2328" i="20"/>
  <c r="D2328" i="20"/>
  <c r="H2327" i="20"/>
  <c r="D2327" i="20"/>
  <c r="H2326" i="20"/>
  <c r="D2326" i="20"/>
  <c r="H2325" i="20"/>
  <c r="D2325" i="20"/>
  <c r="H2324" i="20"/>
  <c r="D2324" i="20"/>
  <c r="H2323" i="20"/>
  <c r="D2323" i="20"/>
  <c r="H2322" i="20"/>
  <c r="D2322" i="20"/>
  <c r="H2321" i="20"/>
  <c r="D2321" i="20"/>
  <c r="H2320" i="20"/>
  <c r="D2320" i="20"/>
  <c r="H2319" i="20"/>
  <c r="D2319" i="20"/>
  <c r="H2318" i="20"/>
  <c r="D2318" i="20"/>
  <c r="H2317" i="20"/>
  <c r="D2317" i="20"/>
  <c r="H2316" i="20"/>
  <c r="D2316" i="20"/>
  <c r="H2315" i="20"/>
  <c r="D2315" i="20"/>
  <c r="H2314" i="20"/>
  <c r="D2314" i="20"/>
  <c r="H2313" i="20"/>
  <c r="D2313" i="20"/>
  <c r="H2312" i="20"/>
  <c r="D2312" i="20"/>
  <c r="H2311" i="20"/>
  <c r="D2311" i="20"/>
  <c r="H2310" i="20"/>
  <c r="D2310" i="20"/>
  <c r="H2309" i="20"/>
  <c r="D2309" i="20"/>
  <c r="H2308" i="20"/>
  <c r="D2308" i="20"/>
  <c r="H2307" i="20"/>
  <c r="D2307" i="20"/>
  <c r="H2306" i="20"/>
  <c r="D2306" i="20"/>
  <c r="H2305" i="20"/>
  <c r="D2305" i="20"/>
  <c r="H2304" i="20"/>
  <c r="D2304" i="20"/>
  <c r="H2303" i="20"/>
  <c r="D2303" i="20"/>
  <c r="H2302" i="20"/>
  <c r="D2302" i="20"/>
  <c r="H2301" i="20"/>
  <c r="D2301" i="20"/>
  <c r="H2300" i="20"/>
  <c r="D2300" i="20"/>
  <c r="H2299" i="20"/>
  <c r="D2299" i="20"/>
  <c r="H2298" i="20"/>
  <c r="D2298" i="20"/>
  <c r="H2297" i="20"/>
  <c r="D2297" i="20"/>
  <c r="H2296" i="20"/>
  <c r="D2296" i="20"/>
  <c r="H2295" i="20"/>
  <c r="D2295" i="20"/>
  <c r="H2294" i="20"/>
  <c r="D2294" i="20"/>
  <c r="H2293" i="20"/>
  <c r="D2293" i="20"/>
  <c r="H2292" i="20"/>
  <c r="D2292" i="20"/>
  <c r="H2291" i="20"/>
  <c r="D2291" i="20"/>
  <c r="H2290" i="20"/>
  <c r="D2290" i="20"/>
  <c r="H2289" i="20"/>
  <c r="D2289" i="20"/>
  <c r="H2288" i="20"/>
  <c r="D2288" i="20"/>
  <c r="H2287" i="20"/>
  <c r="D2287" i="20"/>
  <c r="H2286" i="20"/>
  <c r="D2286" i="20"/>
  <c r="H2285" i="20"/>
  <c r="D2285" i="20"/>
  <c r="H2284" i="20"/>
  <c r="D2284" i="20"/>
  <c r="H2283" i="20"/>
  <c r="D2283" i="20"/>
  <c r="H2282" i="20"/>
  <c r="D2282" i="20"/>
  <c r="H2281" i="20"/>
  <c r="D2281" i="20"/>
  <c r="H2280" i="20"/>
  <c r="D2280" i="20"/>
  <c r="H2279" i="20"/>
  <c r="D2279" i="20"/>
  <c r="H2278" i="20"/>
  <c r="D2278" i="20"/>
  <c r="H2277" i="20"/>
  <c r="D2277" i="20"/>
  <c r="H2276" i="20"/>
  <c r="D2276" i="20"/>
  <c r="H2275" i="20"/>
  <c r="D2275" i="20"/>
  <c r="H2274" i="20"/>
  <c r="D2274" i="20"/>
  <c r="H2273" i="20"/>
  <c r="D2273" i="20"/>
  <c r="H2272" i="20"/>
  <c r="D2272" i="20"/>
  <c r="H2271" i="20"/>
  <c r="D2271" i="20"/>
  <c r="H2270" i="20"/>
  <c r="D2270" i="20"/>
  <c r="H2269" i="20"/>
  <c r="D2269" i="20"/>
  <c r="H2268" i="20"/>
  <c r="D2268" i="20"/>
  <c r="H2267" i="20"/>
  <c r="D2267" i="20"/>
  <c r="H2266" i="20"/>
  <c r="D2266" i="20"/>
  <c r="H2265" i="20"/>
  <c r="D2265" i="20"/>
  <c r="H2264" i="20"/>
  <c r="D2264" i="20"/>
  <c r="H2263" i="20"/>
  <c r="D2263" i="20"/>
  <c r="H2262" i="20"/>
  <c r="D2262" i="20"/>
  <c r="H2261" i="20"/>
  <c r="D2261" i="20"/>
  <c r="H2260" i="20"/>
  <c r="D2260" i="20"/>
  <c r="H2259" i="20"/>
  <c r="D2259" i="20"/>
  <c r="H2258" i="20"/>
  <c r="D2258" i="20"/>
  <c r="H2257" i="20"/>
  <c r="D2257" i="20"/>
  <c r="H2256" i="20"/>
  <c r="D2256" i="20"/>
  <c r="H2255" i="20"/>
  <c r="D2255" i="20"/>
  <c r="H2254" i="20"/>
  <c r="D2254" i="20"/>
  <c r="H2253" i="20"/>
  <c r="D2253" i="20"/>
  <c r="H2252" i="20"/>
  <c r="D2252" i="20"/>
  <c r="H2251" i="20"/>
  <c r="D2251" i="20"/>
  <c r="H2250" i="20"/>
  <c r="D2250" i="20"/>
  <c r="H2249" i="20"/>
  <c r="D2249" i="20"/>
  <c r="H2248" i="20"/>
  <c r="D2248" i="20"/>
  <c r="H2247" i="20"/>
  <c r="D2247" i="20"/>
  <c r="H2246" i="20"/>
  <c r="D2246" i="20"/>
  <c r="H2245" i="20"/>
  <c r="D2245" i="20"/>
  <c r="H2244" i="20"/>
  <c r="D2244" i="20"/>
  <c r="H2243" i="20"/>
  <c r="D2243" i="20"/>
  <c r="H2242" i="20"/>
  <c r="D2242" i="20"/>
  <c r="H2241" i="20"/>
  <c r="D2241" i="20"/>
  <c r="H2240" i="20"/>
  <c r="D2240" i="20"/>
  <c r="H2239" i="20"/>
  <c r="D2239" i="20"/>
  <c r="H2238" i="20"/>
  <c r="D2238" i="20"/>
  <c r="H2237" i="20"/>
  <c r="D2237" i="20"/>
  <c r="H2236" i="20"/>
  <c r="D2236" i="20"/>
  <c r="H2235" i="20"/>
  <c r="D2235" i="20"/>
  <c r="H2234" i="20"/>
  <c r="D2234" i="20"/>
  <c r="H2233" i="20"/>
  <c r="D2233" i="20"/>
  <c r="H2232" i="20"/>
  <c r="D2232" i="20"/>
  <c r="H2231" i="20"/>
  <c r="D2231" i="20"/>
  <c r="H2230" i="20"/>
  <c r="D2230" i="20"/>
  <c r="H2229" i="20"/>
  <c r="D2229" i="20"/>
  <c r="H2228" i="20"/>
  <c r="D2228" i="20"/>
  <c r="H2227" i="20"/>
  <c r="D2227" i="20"/>
  <c r="H2226" i="20"/>
  <c r="D2226" i="20"/>
  <c r="H2225" i="20"/>
  <c r="D2225" i="20"/>
  <c r="H2224" i="20"/>
  <c r="D2224" i="20"/>
  <c r="H2223" i="20"/>
  <c r="D2223" i="20"/>
  <c r="H2222" i="20"/>
  <c r="D2222" i="20"/>
  <c r="H2221" i="20"/>
  <c r="D2221" i="20"/>
  <c r="H2220" i="20"/>
  <c r="D2220" i="20"/>
  <c r="H2219" i="20"/>
  <c r="D2219" i="20"/>
  <c r="H2218" i="20"/>
  <c r="D2218" i="20"/>
  <c r="H2217" i="20"/>
  <c r="D2217" i="20"/>
  <c r="H2216" i="20"/>
  <c r="D2216" i="20"/>
  <c r="H2215" i="20"/>
  <c r="D2215" i="20"/>
  <c r="H2214" i="20"/>
  <c r="D2214" i="20"/>
  <c r="H2213" i="20"/>
  <c r="D2213" i="20"/>
  <c r="H2212" i="20"/>
  <c r="D2212" i="20"/>
  <c r="H2211" i="20"/>
  <c r="D2211" i="20"/>
  <c r="H2210" i="20"/>
  <c r="D2210" i="20"/>
  <c r="H2209" i="20"/>
  <c r="D2209" i="20"/>
  <c r="H2208" i="20"/>
  <c r="D2208" i="20"/>
  <c r="H2207" i="20"/>
  <c r="D2207" i="20"/>
  <c r="H2206" i="20"/>
  <c r="D2206" i="20"/>
  <c r="H2205" i="20"/>
  <c r="D2205" i="20"/>
  <c r="H2204" i="20"/>
  <c r="D2204" i="20"/>
  <c r="H2203" i="20"/>
  <c r="D2203" i="20"/>
  <c r="H2202" i="20"/>
  <c r="D2202" i="20"/>
  <c r="H2201" i="20"/>
  <c r="D2201" i="20"/>
  <c r="H2200" i="20"/>
  <c r="D2200" i="20"/>
  <c r="H2199" i="20"/>
  <c r="D2199" i="20"/>
  <c r="H2198" i="20"/>
  <c r="D2198" i="20"/>
  <c r="H2197" i="20"/>
  <c r="D2197" i="20"/>
  <c r="H2196" i="20"/>
  <c r="D2196" i="20"/>
  <c r="H2195" i="20"/>
  <c r="D2195" i="20"/>
  <c r="H2194" i="20"/>
  <c r="D2194" i="20"/>
  <c r="H2193" i="20"/>
  <c r="D2193" i="20"/>
  <c r="H2192" i="20"/>
  <c r="D2192" i="20"/>
  <c r="H2191" i="20"/>
  <c r="D2191" i="20"/>
  <c r="H2190" i="20"/>
  <c r="D2190" i="20"/>
  <c r="H2189" i="20"/>
  <c r="D2189" i="20"/>
  <c r="H2188" i="20"/>
  <c r="D2188" i="20"/>
  <c r="H2187" i="20"/>
  <c r="D2187" i="20"/>
  <c r="H2186" i="20"/>
  <c r="D2186" i="20"/>
  <c r="H2185" i="20"/>
  <c r="D2185" i="20"/>
  <c r="H2184" i="20"/>
  <c r="D2184" i="20"/>
  <c r="H2183" i="20"/>
  <c r="D2183" i="20"/>
  <c r="H2182" i="20"/>
  <c r="D2182" i="20"/>
  <c r="H2181" i="20"/>
  <c r="D2181" i="20"/>
  <c r="H2180" i="20"/>
  <c r="D2180" i="20"/>
  <c r="H2179" i="20"/>
  <c r="D2179" i="20"/>
  <c r="H2178" i="20"/>
  <c r="D2178" i="20"/>
  <c r="H2177" i="20"/>
  <c r="D2177" i="20"/>
  <c r="H2176" i="20"/>
  <c r="D2176" i="20"/>
  <c r="H2175" i="20"/>
  <c r="D2175" i="20"/>
  <c r="H2174" i="20"/>
  <c r="D2174" i="20"/>
  <c r="H2173" i="20"/>
  <c r="D2173" i="20"/>
  <c r="H2172" i="20"/>
  <c r="D2172" i="20"/>
  <c r="H2171" i="20"/>
  <c r="D2171" i="20"/>
  <c r="H2170" i="20"/>
  <c r="D2170" i="20"/>
  <c r="H2169" i="20"/>
  <c r="D2169" i="20"/>
  <c r="H2168" i="20"/>
  <c r="D2168" i="20"/>
  <c r="H2167" i="20"/>
  <c r="D2167" i="20"/>
  <c r="H2166" i="20"/>
  <c r="D2166" i="20"/>
  <c r="H2165" i="20"/>
  <c r="D2165" i="20"/>
  <c r="H2164" i="20"/>
  <c r="D2164" i="20"/>
  <c r="H2163" i="20"/>
  <c r="D2163" i="20"/>
  <c r="H2162" i="20"/>
  <c r="D2162" i="20"/>
  <c r="H2161" i="20"/>
  <c r="D2161" i="20"/>
  <c r="H2160" i="20"/>
  <c r="D2160" i="20"/>
  <c r="H2159" i="20"/>
  <c r="D2159" i="20"/>
  <c r="H2158" i="20"/>
  <c r="D2158" i="20"/>
  <c r="H2157" i="20"/>
  <c r="D2157" i="20"/>
  <c r="H2156" i="20"/>
  <c r="D2156" i="20"/>
  <c r="H2155" i="20"/>
  <c r="D2155" i="20"/>
  <c r="H2154" i="20"/>
  <c r="D2154" i="20"/>
  <c r="H2153" i="20"/>
  <c r="D2153" i="20"/>
  <c r="H2152" i="20"/>
  <c r="D2152" i="20"/>
  <c r="H2151" i="20"/>
  <c r="D2151" i="20"/>
  <c r="H2150" i="20"/>
  <c r="D2150" i="20"/>
  <c r="H2149" i="20"/>
  <c r="D2149" i="20"/>
  <c r="H2148" i="20"/>
  <c r="D2148" i="20"/>
  <c r="H2147" i="20"/>
  <c r="D2147" i="20"/>
  <c r="H2146" i="20"/>
  <c r="D2146" i="20"/>
  <c r="H2145" i="20"/>
  <c r="D2145" i="20"/>
  <c r="H2144" i="20"/>
  <c r="D2144" i="20"/>
  <c r="H2143" i="20"/>
  <c r="D2143" i="20"/>
  <c r="H2142" i="20"/>
  <c r="D2142" i="20"/>
  <c r="H2141" i="20"/>
  <c r="D2141" i="20"/>
  <c r="H2140" i="20"/>
  <c r="D2140" i="20"/>
  <c r="H2139" i="20"/>
  <c r="D2139" i="20"/>
  <c r="H2138" i="20"/>
  <c r="D2138" i="20"/>
  <c r="H2137" i="20"/>
  <c r="D2137" i="20"/>
  <c r="H2136" i="20"/>
  <c r="D2136" i="20"/>
  <c r="H2135" i="20"/>
  <c r="D2135" i="20"/>
  <c r="H2134" i="20"/>
  <c r="D2134" i="20"/>
  <c r="H2133" i="20"/>
  <c r="D2133" i="20"/>
  <c r="H2132" i="20"/>
  <c r="D2132" i="20"/>
  <c r="H2131" i="20"/>
  <c r="D2131" i="20"/>
  <c r="H2130" i="20"/>
  <c r="D2130" i="20"/>
  <c r="H2129" i="20"/>
  <c r="D2129" i="20"/>
  <c r="H2128" i="20"/>
  <c r="D2128" i="20"/>
  <c r="H2127" i="20"/>
  <c r="D2127" i="20"/>
  <c r="H2126" i="20"/>
  <c r="D2126" i="20"/>
  <c r="H2125" i="20"/>
  <c r="D2125" i="20"/>
  <c r="H2124" i="20"/>
  <c r="D2124" i="20"/>
  <c r="H2123" i="20"/>
  <c r="D2123" i="20"/>
  <c r="H2122" i="20"/>
  <c r="D2122" i="20"/>
  <c r="H2121" i="20"/>
  <c r="D2121" i="20"/>
  <c r="H2120" i="20"/>
  <c r="D2120" i="20"/>
  <c r="H2119" i="20"/>
  <c r="D2119" i="20"/>
  <c r="H2118" i="20"/>
  <c r="D2118" i="20"/>
  <c r="H2117" i="20"/>
  <c r="D2117" i="20"/>
  <c r="H2116" i="20"/>
  <c r="D2116" i="20"/>
  <c r="H2115" i="20"/>
  <c r="D2115" i="20"/>
  <c r="H2114" i="20"/>
  <c r="D2114" i="20"/>
  <c r="H2113" i="20"/>
  <c r="D2113" i="20"/>
  <c r="H2112" i="20"/>
  <c r="D2112" i="20"/>
  <c r="H2111" i="20"/>
  <c r="D2111" i="20"/>
  <c r="H2110" i="20"/>
  <c r="D2110" i="20"/>
  <c r="H2109" i="20"/>
  <c r="D2109" i="20"/>
  <c r="H2108" i="20"/>
  <c r="D2108" i="20"/>
  <c r="H2107" i="20"/>
  <c r="D2107" i="20"/>
  <c r="H2106" i="20"/>
  <c r="D2106" i="20"/>
  <c r="H2105" i="20"/>
  <c r="D2105" i="20"/>
  <c r="H2104" i="20"/>
  <c r="D2104" i="20"/>
  <c r="H2103" i="20"/>
  <c r="D2103" i="20"/>
  <c r="H2102" i="20"/>
  <c r="D2102" i="20"/>
  <c r="H2101" i="20"/>
  <c r="D2101" i="20"/>
  <c r="H2100" i="20"/>
  <c r="D2100" i="20"/>
  <c r="H2099" i="20"/>
  <c r="D2099" i="20"/>
  <c r="H2098" i="20"/>
  <c r="D2098" i="20"/>
  <c r="H2097" i="20"/>
  <c r="D2097" i="20"/>
  <c r="H2096" i="20"/>
  <c r="D2096" i="20"/>
  <c r="H2095" i="20"/>
  <c r="D2095" i="20"/>
  <c r="H2094" i="20"/>
  <c r="D2094" i="20"/>
  <c r="H2093" i="20"/>
  <c r="D2093" i="20"/>
  <c r="H2092" i="20"/>
  <c r="D2092" i="20"/>
  <c r="H2091" i="20"/>
  <c r="D2091" i="20"/>
  <c r="H2090" i="20"/>
  <c r="D2090" i="20"/>
  <c r="H2089" i="20"/>
  <c r="D2089" i="20"/>
  <c r="H2088" i="20"/>
  <c r="D2088" i="20"/>
  <c r="H2087" i="20"/>
  <c r="D2087" i="20"/>
  <c r="H2086" i="20"/>
  <c r="D2086" i="20"/>
  <c r="H2085" i="20"/>
  <c r="D2085" i="20"/>
  <c r="H2084" i="20"/>
  <c r="D2084" i="20"/>
  <c r="H2083" i="20"/>
  <c r="D2083" i="20"/>
  <c r="H2082" i="20"/>
  <c r="D2082" i="20"/>
  <c r="H2081" i="20"/>
  <c r="D2081" i="20"/>
  <c r="H2080" i="20"/>
  <c r="D2080" i="20"/>
  <c r="H2079" i="20"/>
  <c r="D2079" i="20"/>
  <c r="H2078" i="20"/>
  <c r="D2078" i="20"/>
  <c r="H2077" i="20"/>
  <c r="D2077" i="20"/>
  <c r="H2076" i="20"/>
  <c r="D2076" i="20"/>
  <c r="H2075" i="20"/>
  <c r="D2075" i="20"/>
  <c r="H2074" i="20"/>
  <c r="D2074" i="20"/>
  <c r="H2073" i="20"/>
  <c r="D2073" i="20"/>
  <c r="H2072" i="20"/>
  <c r="D2072" i="20"/>
  <c r="H2071" i="20"/>
  <c r="D2071" i="20"/>
  <c r="H2070" i="20"/>
  <c r="D2070" i="20"/>
  <c r="H2069" i="20"/>
  <c r="D2069" i="20"/>
  <c r="H2068" i="20"/>
  <c r="D2068" i="20"/>
  <c r="H2067" i="20"/>
  <c r="D2067" i="20"/>
  <c r="H2066" i="20"/>
  <c r="D2066" i="20"/>
  <c r="H2065" i="20"/>
  <c r="D2065" i="20"/>
  <c r="H2064" i="20"/>
  <c r="D2064" i="20"/>
  <c r="H2063" i="20"/>
  <c r="D2063" i="20"/>
  <c r="H2062" i="20"/>
  <c r="D2062" i="20"/>
  <c r="H2061" i="20"/>
  <c r="D2061" i="20"/>
  <c r="H2060" i="20"/>
  <c r="D2060" i="20"/>
  <c r="H2059" i="20"/>
  <c r="D2059" i="20"/>
  <c r="H2058" i="20"/>
  <c r="D2058" i="20"/>
  <c r="H2057" i="20"/>
  <c r="D2057" i="20"/>
  <c r="H2056" i="20"/>
  <c r="D2056" i="20"/>
  <c r="H2055" i="20"/>
  <c r="D2055" i="20"/>
  <c r="H2054" i="20"/>
  <c r="D2054" i="20"/>
  <c r="H2053" i="20"/>
  <c r="D2053" i="20"/>
  <c r="H2052" i="20"/>
  <c r="D2052" i="20"/>
  <c r="H2051" i="20"/>
  <c r="D2051" i="20"/>
  <c r="H2050" i="20"/>
  <c r="D2050" i="20"/>
  <c r="H2049" i="20"/>
  <c r="D2049" i="20"/>
  <c r="H2048" i="20"/>
  <c r="D2048" i="20"/>
  <c r="H2047" i="20"/>
  <c r="D2047" i="20"/>
  <c r="H2046" i="20"/>
  <c r="D2046" i="20"/>
  <c r="H2045" i="20"/>
  <c r="D2045" i="20"/>
  <c r="H2044" i="20"/>
  <c r="D2044" i="20"/>
  <c r="H2043" i="20"/>
  <c r="D2043" i="20"/>
  <c r="H2042" i="20"/>
  <c r="D2042" i="20"/>
  <c r="H2041" i="20"/>
  <c r="D2041" i="20"/>
  <c r="H2040" i="20"/>
  <c r="D2040" i="20"/>
  <c r="H2039" i="20"/>
  <c r="D2039" i="20"/>
  <c r="H2038" i="20"/>
  <c r="D2038" i="20"/>
  <c r="H2037" i="20"/>
  <c r="D2037" i="20"/>
  <c r="H2036" i="20"/>
  <c r="D2036" i="20"/>
  <c r="H2035" i="20"/>
  <c r="D2035" i="20"/>
  <c r="H2034" i="20"/>
  <c r="D2034" i="20"/>
  <c r="H2033" i="20"/>
  <c r="D2033" i="20"/>
  <c r="H2032" i="20"/>
  <c r="D2032" i="20"/>
  <c r="H2031" i="20"/>
  <c r="D2031" i="20"/>
  <c r="H2030" i="20"/>
  <c r="D2030" i="20"/>
  <c r="H2029" i="20"/>
  <c r="D2029" i="20"/>
  <c r="H2028" i="20"/>
  <c r="D2028" i="20"/>
  <c r="H2027" i="20"/>
  <c r="D2027" i="20"/>
  <c r="H2026" i="20"/>
  <c r="D2026" i="20"/>
  <c r="H2025" i="20"/>
  <c r="D2025" i="20"/>
  <c r="H2024" i="20"/>
  <c r="D2024" i="20"/>
  <c r="H2023" i="20"/>
  <c r="D2023" i="20"/>
  <c r="H2022" i="20"/>
  <c r="D2022" i="20"/>
  <c r="H2021" i="20"/>
  <c r="D2021" i="20"/>
  <c r="H2020" i="20"/>
  <c r="D2020" i="20"/>
  <c r="H2019" i="20"/>
  <c r="D2019" i="20"/>
  <c r="H2018" i="20"/>
  <c r="D2018" i="20"/>
  <c r="H2017" i="20"/>
  <c r="D2017" i="20"/>
  <c r="H2016" i="20"/>
  <c r="D2016" i="20"/>
  <c r="H2015" i="20"/>
  <c r="D2015" i="20"/>
  <c r="H2014" i="20"/>
  <c r="D2014" i="20"/>
  <c r="H2013" i="20"/>
  <c r="D2013" i="20"/>
  <c r="H2012" i="20"/>
  <c r="D2012" i="20"/>
  <c r="H2011" i="20"/>
  <c r="D2011" i="20"/>
  <c r="H2010" i="20"/>
  <c r="D2010" i="20"/>
  <c r="H2009" i="20"/>
  <c r="D2009" i="20"/>
  <c r="H2008" i="20"/>
  <c r="D2008" i="20"/>
  <c r="H2007" i="20"/>
  <c r="D2007" i="20"/>
  <c r="H2006" i="20"/>
  <c r="D2006" i="20"/>
  <c r="H2005" i="20"/>
  <c r="D2005" i="20"/>
  <c r="H2004" i="20"/>
  <c r="D2004" i="20"/>
  <c r="H2003" i="20"/>
  <c r="D2003" i="20"/>
  <c r="H2002" i="20"/>
  <c r="D2002" i="20"/>
  <c r="H2001" i="20"/>
  <c r="D2001" i="20"/>
  <c r="H2000" i="20"/>
  <c r="D2000" i="20"/>
  <c r="H1999" i="20"/>
  <c r="D1999" i="20"/>
  <c r="H1998" i="20"/>
  <c r="D1998" i="20"/>
  <c r="H1997" i="20"/>
  <c r="D1997" i="20"/>
  <c r="H1996" i="20"/>
  <c r="D1996" i="20"/>
  <c r="H1995" i="20"/>
  <c r="D1995" i="20"/>
  <c r="H1994" i="20"/>
  <c r="D1994" i="20"/>
  <c r="H1993" i="20"/>
  <c r="D1993" i="20"/>
  <c r="H1992" i="20"/>
  <c r="D1992" i="20"/>
  <c r="H1991" i="20"/>
  <c r="D1991" i="20"/>
  <c r="H1990" i="20"/>
  <c r="D1990" i="20"/>
  <c r="H1989" i="20"/>
  <c r="D1989" i="20"/>
  <c r="H1988" i="20"/>
  <c r="D1988" i="20"/>
  <c r="H1987" i="20"/>
  <c r="D1987" i="20"/>
  <c r="H1986" i="20"/>
  <c r="D1986" i="20"/>
  <c r="H1985" i="20"/>
  <c r="D1985" i="20"/>
  <c r="H1984" i="20"/>
  <c r="D1984" i="20"/>
  <c r="H1983" i="20"/>
  <c r="D1983" i="20"/>
  <c r="H1982" i="20"/>
  <c r="D1982" i="20"/>
  <c r="H1981" i="20"/>
  <c r="D1981" i="20"/>
  <c r="H1980" i="20"/>
  <c r="D1980" i="20"/>
  <c r="H1979" i="20"/>
  <c r="D1979" i="20"/>
  <c r="H1978" i="20"/>
  <c r="D1978" i="20"/>
  <c r="H1977" i="20"/>
  <c r="D1977" i="20"/>
  <c r="H1976" i="20"/>
  <c r="D1976" i="20"/>
  <c r="H1975" i="20"/>
  <c r="D1975" i="20"/>
  <c r="H1974" i="20"/>
  <c r="D1974" i="20"/>
  <c r="H1973" i="20"/>
  <c r="D1973" i="20"/>
  <c r="H1972" i="20"/>
  <c r="D1972" i="20"/>
  <c r="H1971" i="20"/>
  <c r="D1971" i="20"/>
  <c r="H1970" i="20"/>
  <c r="D1970" i="20"/>
  <c r="H1969" i="20"/>
  <c r="D1969" i="20"/>
  <c r="H1968" i="20"/>
  <c r="D1968" i="20"/>
  <c r="H1967" i="20"/>
  <c r="D1967" i="20"/>
  <c r="H1966" i="20"/>
  <c r="D1966" i="20"/>
  <c r="H1965" i="20"/>
  <c r="D1965" i="20"/>
  <c r="H1964" i="20"/>
  <c r="D1964" i="20"/>
  <c r="H1963" i="20"/>
  <c r="D1963" i="20"/>
  <c r="H1962" i="20"/>
  <c r="D1962" i="20"/>
  <c r="H1961" i="20"/>
  <c r="D1961" i="20"/>
  <c r="H1960" i="20"/>
  <c r="D1960" i="20"/>
  <c r="H1959" i="20"/>
  <c r="D1959" i="20"/>
  <c r="H1958" i="20"/>
  <c r="D1958" i="20"/>
  <c r="H1957" i="20"/>
  <c r="D1957" i="20"/>
  <c r="H1956" i="20"/>
  <c r="D1956" i="20"/>
  <c r="H1955" i="20"/>
  <c r="D1955" i="20"/>
  <c r="H1954" i="20"/>
  <c r="D1954" i="20"/>
  <c r="H1953" i="20"/>
  <c r="D1953" i="20"/>
  <c r="H1952" i="20"/>
  <c r="D1952" i="20"/>
  <c r="H1951" i="20"/>
  <c r="D1951" i="20"/>
  <c r="H1950" i="20"/>
  <c r="D1950" i="20"/>
  <c r="H1949" i="20"/>
  <c r="D1949" i="20"/>
  <c r="H1948" i="20"/>
  <c r="D1948" i="20"/>
  <c r="H1947" i="20"/>
  <c r="D1947" i="20"/>
  <c r="H1946" i="20"/>
  <c r="D1946" i="20"/>
  <c r="H1945" i="20"/>
  <c r="D1945" i="20"/>
  <c r="H1944" i="20"/>
  <c r="D1944" i="20"/>
  <c r="H1943" i="20"/>
  <c r="D1943" i="20"/>
  <c r="H1942" i="20"/>
  <c r="D1942" i="20"/>
  <c r="H1941" i="20"/>
  <c r="D1941" i="20"/>
  <c r="H1940" i="20"/>
  <c r="D1940" i="20"/>
  <c r="H1939" i="20"/>
  <c r="D1939" i="20"/>
  <c r="H1938" i="20"/>
  <c r="D1938" i="20"/>
  <c r="H1937" i="20"/>
  <c r="D1937" i="20"/>
  <c r="H1936" i="20"/>
  <c r="D1936" i="20"/>
  <c r="H1935" i="20"/>
  <c r="D1935" i="20"/>
  <c r="H1934" i="20"/>
  <c r="D1934" i="20"/>
  <c r="H1933" i="20"/>
  <c r="D1933" i="20"/>
  <c r="H1932" i="20"/>
  <c r="D1932" i="20"/>
  <c r="H1931" i="20"/>
  <c r="D1931" i="20"/>
  <c r="H1930" i="20"/>
  <c r="D1930" i="20"/>
  <c r="H1929" i="20"/>
  <c r="D1929" i="20"/>
  <c r="H1928" i="20"/>
  <c r="D1928" i="20"/>
  <c r="H1927" i="20"/>
  <c r="D1927" i="20"/>
  <c r="H1926" i="20"/>
  <c r="D1926" i="20"/>
  <c r="H1925" i="20"/>
  <c r="D1925" i="20"/>
  <c r="H1924" i="20"/>
  <c r="D1924" i="20"/>
  <c r="H1923" i="20"/>
  <c r="D1923" i="20"/>
  <c r="H1922" i="20"/>
  <c r="D1922" i="20"/>
  <c r="H1921" i="20"/>
  <c r="D1921" i="20"/>
  <c r="H1920" i="20"/>
  <c r="D1920" i="20"/>
  <c r="H1919" i="20"/>
  <c r="D1919" i="20"/>
  <c r="H1918" i="20"/>
  <c r="D1918" i="20"/>
  <c r="H1917" i="20"/>
  <c r="D1917" i="20"/>
  <c r="H1916" i="20"/>
  <c r="D1916" i="20"/>
  <c r="H1915" i="20"/>
  <c r="D1915" i="20"/>
  <c r="H1914" i="20"/>
  <c r="D1914" i="20"/>
  <c r="H1913" i="20"/>
  <c r="D1913" i="20"/>
  <c r="H1912" i="20"/>
  <c r="D1912" i="20"/>
  <c r="H1911" i="20"/>
  <c r="D1911" i="20"/>
  <c r="H1910" i="20"/>
  <c r="D1910" i="20"/>
  <c r="H1909" i="20"/>
  <c r="D1909" i="20"/>
  <c r="H1908" i="20"/>
  <c r="D1908" i="20"/>
  <c r="H1907" i="20"/>
  <c r="D1907" i="20"/>
  <c r="H1906" i="20"/>
  <c r="D1906" i="20"/>
  <c r="H1905" i="20"/>
  <c r="D1905" i="20"/>
  <c r="H1904" i="20"/>
  <c r="D1904" i="20"/>
  <c r="H1903" i="20"/>
  <c r="D1903" i="20"/>
  <c r="H1902" i="20"/>
  <c r="D1902" i="20"/>
  <c r="H1901" i="20"/>
  <c r="D1901" i="20"/>
  <c r="H1900" i="20"/>
  <c r="D1900" i="20"/>
  <c r="H1899" i="20"/>
  <c r="D1899" i="20"/>
  <c r="H1898" i="20"/>
  <c r="D1898" i="20"/>
  <c r="H1897" i="20"/>
  <c r="D1897" i="20"/>
  <c r="H1896" i="20"/>
  <c r="D1896" i="20"/>
  <c r="H1895" i="20"/>
  <c r="D1895" i="20"/>
  <c r="H1894" i="20"/>
  <c r="D1894" i="20"/>
  <c r="H1893" i="20"/>
  <c r="D1893" i="20"/>
  <c r="H1892" i="20"/>
  <c r="D1892" i="20"/>
  <c r="H1891" i="20"/>
  <c r="D1891" i="20"/>
  <c r="H1890" i="20"/>
  <c r="D1890" i="20"/>
  <c r="H1889" i="20"/>
  <c r="D1889" i="20"/>
  <c r="H1888" i="20"/>
  <c r="D1888" i="20"/>
  <c r="H1887" i="20"/>
  <c r="D1887" i="20"/>
  <c r="H1886" i="20"/>
  <c r="D1886" i="20"/>
  <c r="H1885" i="20"/>
  <c r="D1885" i="20"/>
  <c r="H1884" i="20"/>
  <c r="D1884" i="20"/>
  <c r="H1883" i="20"/>
  <c r="D1883" i="20"/>
  <c r="H1882" i="20"/>
  <c r="D1882" i="20"/>
  <c r="H1881" i="20"/>
  <c r="D1881" i="20"/>
  <c r="H1880" i="20"/>
  <c r="D1880" i="20"/>
  <c r="H1879" i="20"/>
  <c r="D1879" i="20"/>
  <c r="H1878" i="20"/>
  <c r="D1878" i="20"/>
  <c r="H1877" i="20"/>
  <c r="D1877" i="20"/>
  <c r="H1876" i="20"/>
  <c r="D1876" i="20"/>
  <c r="H1875" i="20"/>
  <c r="D1875" i="20"/>
  <c r="H1874" i="20"/>
  <c r="D1874" i="20"/>
  <c r="H1873" i="20"/>
  <c r="D1873" i="20"/>
  <c r="H1872" i="20"/>
  <c r="D1872" i="20"/>
  <c r="H1871" i="20"/>
  <c r="D1871" i="20"/>
  <c r="H1870" i="20"/>
  <c r="D1870" i="20"/>
  <c r="H1869" i="20"/>
  <c r="D1869" i="20"/>
  <c r="H1868" i="20"/>
  <c r="D1868" i="20"/>
  <c r="H1867" i="20"/>
  <c r="D1867" i="20"/>
  <c r="H1866" i="20"/>
  <c r="D1866" i="20"/>
  <c r="H1865" i="20"/>
  <c r="D1865" i="20"/>
  <c r="H1864" i="20"/>
  <c r="D1864" i="20"/>
  <c r="H1863" i="20"/>
  <c r="D1863" i="20"/>
  <c r="H1862" i="20"/>
  <c r="D1862" i="20"/>
  <c r="H1861" i="20"/>
  <c r="D1861" i="20"/>
  <c r="H1860" i="20"/>
  <c r="D1860" i="20"/>
  <c r="H1859" i="20"/>
  <c r="D1859" i="20"/>
  <c r="H1858" i="20"/>
  <c r="D1858" i="20"/>
  <c r="H1857" i="20"/>
  <c r="D1857" i="20"/>
  <c r="H1856" i="20"/>
  <c r="D1856" i="20"/>
  <c r="H1855" i="20"/>
  <c r="D1855" i="20"/>
  <c r="H1854" i="20"/>
  <c r="D1854" i="20"/>
  <c r="H1853" i="20"/>
  <c r="D1853" i="20"/>
  <c r="H1852" i="20"/>
  <c r="D1852" i="20"/>
  <c r="H1851" i="20"/>
  <c r="D1851" i="20"/>
  <c r="H1850" i="20"/>
  <c r="D1850" i="20"/>
  <c r="H1849" i="20"/>
  <c r="D1849" i="20"/>
  <c r="H1848" i="20"/>
  <c r="D1848" i="20"/>
  <c r="H1847" i="20"/>
  <c r="D1847" i="20"/>
  <c r="H1846" i="20"/>
  <c r="D1846" i="20"/>
  <c r="H1845" i="20"/>
  <c r="D1845" i="20"/>
  <c r="H1844" i="20"/>
  <c r="D1844" i="20"/>
  <c r="H1843" i="20"/>
  <c r="D1843" i="20"/>
  <c r="H1842" i="20"/>
  <c r="D1842" i="20"/>
  <c r="H1841" i="20"/>
  <c r="D1841" i="20"/>
  <c r="H1840" i="20"/>
  <c r="D1840" i="20"/>
  <c r="H1839" i="20"/>
  <c r="D1839" i="20"/>
  <c r="H1838" i="20"/>
  <c r="D1838" i="20"/>
  <c r="H1837" i="20"/>
  <c r="D1837" i="20"/>
  <c r="H1836" i="20"/>
  <c r="D1836" i="20"/>
  <c r="H1835" i="20"/>
  <c r="D1835" i="20"/>
  <c r="H1834" i="20"/>
  <c r="D1834" i="20"/>
  <c r="H1833" i="20"/>
  <c r="D1833" i="20"/>
  <c r="H1832" i="20"/>
  <c r="D1832" i="20"/>
  <c r="H1831" i="20"/>
  <c r="D1831" i="20"/>
  <c r="H1830" i="20"/>
  <c r="D1830" i="20"/>
  <c r="H1829" i="20"/>
  <c r="D1829" i="20"/>
  <c r="H1828" i="20"/>
  <c r="D1828" i="20"/>
  <c r="H1827" i="20"/>
  <c r="D1827" i="20"/>
  <c r="H1826" i="20"/>
  <c r="D1826" i="20"/>
  <c r="H1825" i="20"/>
  <c r="D1825" i="20"/>
  <c r="H1824" i="20"/>
  <c r="D1824" i="20"/>
  <c r="H1823" i="20"/>
  <c r="D1823" i="20"/>
  <c r="H1822" i="20"/>
  <c r="D1822" i="20"/>
  <c r="H1821" i="20"/>
  <c r="D1821" i="20"/>
  <c r="H1820" i="20"/>
  <c r="D1820" i="20"/>
  <c r="H1819" i="20"/>
  <c r="D1819" i="20"/>
  <c r="H1818" i="20"/>
  <c r="D1818" i="20"/>
  <c r="H1817" i="20"/>
  <c r="D1817" i="20"/>
  <c r="H1816" i="20"/>
  <c r="D1816" i="20"/>
  <c r="H1815" i="20"/>
  <c r="D1815" i="20"/>
  <c r="H1814" i="20"/>
  <c r="D1814" i="20"/>
  <c r="H1813" i="20"/>
  <c r="D1813" i="20"/>
  <c r="H1812" i="20"/>
  <c r="D1812" i="20"/>
  <c r="H1811" i="20"/>
  <c r="D1811" i="20"/>
  <c r="H1810" i="20"/>
  <c r="D1810" i="20"/>
  <c r="H1809" i="20"/>
  <c r="D1809" i="20"/>
  <c r="H1808" i="20"/>
  <c r="D1808" i="20"/>
  <c r="H1807" i="20"/>
  <c r="D1807" i="20"/>
  <c r="H1806" i="20"/>
  <c r="D1806" i="20"/>
  <c r="H1805" i="20"/>
  <c r="D1805" i="20"/>
  <c r="H1804" i="20"/>
  <c r="D1804" i="20"/>
  <c r="H1803" i="20"/>
  <c r="D1803" i="20"/>
  <c r="H1802" i="20"/>
  <c r="D1802" i="20"/>
  <c r="H1801" i="20"/>
  <c r="D1801" i="20"/>
  <c r="H1800" i="20"/>
  <c r="D1800" i="20"/>
  <c r="H1799" i="20"/>
  <c r="D1799" i="20"/>
  <c r="H1798" i="20"/>
  <c r="D1798" i="20"/>
  <c r="H1797" i="20"/>
  <c r="D1797" i="20"/>
  <c r="H1796" i="20"/>
  <c r="D1796" i="20"/>
  <c r="H1795" i="20"/>
  <c r="D1795" i="20"/>
  <c r="H1794" i="20"/>
  <c r="D1794" i="20"/>
  <c r="H1793" i="20"/>
  <c r="D1793" i="20"/>
  <c r="H1792" i="20"/>
  <c r="D1792" i="20"/>
  <c r="H1791" i="20"/>
  <c r="D1791" i="20"/>
  <c r="H1790" i="20"/>
  <c r="D1790" i="20"/>
  <c r="H1789" i="20"/>
  <c r="D1789" i="20"/>
  <c r="H1788" i="20"/>
  <c r="D1788" i="20"/>
  <c r="H1787" i="20"/>
  <c r="D1787" i="20"/>
  <c r="H1786" i="20"/>
  <c r="D1786" i="20"/>
  <c r="H1785" i="20"/>
  <c r="D1785" i="20"/>
  <c r="H1784" i="20"/>
  <c r="D1784" i="20"/>
  <c r="H1783" i="20"/>
  <c r="D1783" i="20"/>
  <c r="H1782" i="20"/>
  <c r="D1782" i="20"/>
  <c r="H1781" i="20"/>
  <c r="D1781" i="20"/>
  <c r="H1780" i="20"/>
  <c r="D1780" i="20"/>
  <c r="H1779" i="20"/>
  <c r="D1779" i="20"/>
  <c r="H1778" i="20"/>
  <c r="D1778" i="20"/>
  <c r="H1777" i="20"/>
  <c r="D1777" i="20"/>
  <c r="H1776" i="20"/>
  <c r="D1776" i="20"/>
  <c r="H1775" i="20"/>
  <c r="D1775" i="20"/>
  <c r="H1774" i="20"/>
  <c r="D1774" i="20"/>
  <c r="H1773" i="20"/>
  <c r="D1773" i="20"/>
  <c r="H1772" i="20"/>
  <c r="D1772" i="20"/>
  <c r="H1771" i="20"/>
  <c r="D1771" i="20"/>
  <c r="H1770" i="20"/>
  <c r="D1770" i="20"/>
  <c r="H1769" i="20"/>
  <c r="D1769" i="20"/>
  <c r="H1768" i="20"/>
  <c r="D1768" i="20"/>
  <c r="H1767" i="20"/>
  <c r="D1767" i="20"/>
  <c r="H1766" i="20"/>
  <c r="D1766" i="20"/>
  <c r="H1765" i="20"/>
  <c r="D1765" i="20"/>
  <c r="H1764" i="20"/>
  <c r="D1764" i="20"/>
  <c r="H1763" i="20"/>
  <c r="D1763" i="20"/>
  <c r="H1762" i="20"/>
  <c r="D1762" i="20"/>
  <c r="H1761" i="20"/>
  <c r="D1761" i="20"/>
  <c r="H1760" i="20"/>
  <c r="D1760" i="20"/>
  <c r="H1759" i="20"/>
  <c r="D1759" i="20"/>
  <c r="H1758" i="20"/>
  <c r="D1758" i="20"/>
  <c r="H1757" i="20"/>
  <c r="D1757" i="20"/>
  <c r="H1756" i="20"/>
  <c r="D1756" i="20"/>
  <c r="H1755" i="20"/>
  <c r="D1755" i="20"/>
  <c r="H1754" i="20"/>
  <c r="D1754" i="20"/>
  <c r="H1753" i="20"/>
  <c r="D1753" i="20"/>
  <c r="H1752" i="20"/>
  <c r="D1752" i="20"/>
  <c r="H1751" i="20"/>
  <c r="D1751" i="20"/>
  <c r="H1750" i="20"/>
  <c r="D1750" i="20"/>
  <c r="H1749" i="20"/>
  <c r="D1749" i="20"/>
  <c r="H1748" i="20"/>
  <c r="D1748" i="20"/>
  <c r="H1747" i="20"/>
  <c r="D1747" i="20"/>
  <c r="H1746" i="20"/>
  <c r="D1746" i="20"/>
  <c r="H1745" i="20"/>
  <c r="D1745" i="20"/>
  <c r="H1744" i="20"/>
  <c r="D1744" i="20"/>
  <c r="H1743" i="20"/>
  <c r="D1743" i="20"/>
  <c r="H1742" i="20"/>
  <c r="D1742" i="20"/>
  <c r="H1741" i="20"/>
  <c r="D1741" i="20"/>
  <c r="H1740" i="20"/>
  <c r="D1740" i="20"/>
  <c r="H1739" i="20"/>
  <c r="D1739" i="20"/>
  <c r="H1738" i="20"/>
  <c r="D1738" i="20"/>
  <c r="H1737" i="20"/>
  <c r="D1737" i="20"/>
  <c r="H1736" i="20"/>
  <c r="D1736" i="20"/>
  <c r="H1735" i="20"/>
  <c r="D1735" i="20"/>
  <c r="H1734" i="20"/>
  <c r="D1734" i="20"/>
  <c r="H1733" i="20"/>
  <c r="D1733" i="20"/>
  <c r="H1732" i="20"/>
  <c r="D1732" i="20"/>
  <c r="H1731" i="20"/>
  <c r="D1731" i="20"/>
  <c r="H1730" i="20"/>
  <c r="D1730" i="20"/>
  <c r="H1729" i="20"/>
  <c r="D1729" i="20"/>
  <c r="H1728" i="20"/>
  <c r="D1728" i="20"/>
  <c r="H1727" i="20"/>
  <c r="D1727" i="20"/>
  <c r="H1726" i="20"/>
  <c r="D1726" i="20"/>
  <c r="H1725" i="20"/>
  <c r="D1725" i="20"/>
  <c r="H1724" i="20"/>
  <c r="D1724" i="20"/>
  <c r="H1723" i="20"/>
  <c r="D1723" i="20"/>
  <c r="H1722" i="20"/>
  <c r="D1722" i="20"/>
  <c r="H1721" i="20"/>
  <c r="D1721" i="20"/>
  <c r="H1720" i="20"/>
  <c r="D1720" i="20"/>
  <c r="H1719" i="20"/>
  <c r="D1719" i="20"/>
  <c r="H1718" i="20"/>
  <c r="D1718" i="20"/>
  <c r="H1717" i="20"/>
  <c r="D1717" i="20"/>
  <c r="H1716" i="20"/>
  <c r="D1716" i="20"/>
  <c r="H1715" i="20"/>
  <c r="D1715" i="20"/>
  <c r="H1714" i="20"/>
  <c r="D1714" i="20"/>
  <c r="H1713" i="20"/>
  <c r="D1713" i="20"/>
  <c r="H1712" i="20"/>
  <c r="D1712" i="20"/>
  <c r="H1711" i="20"/>
  <c r="D1711" i="20"/>
  <c r="H1710" i="20"/>
  <c r="D1710" i="20"/>
  <c r="H1709" i="20"/>
  <c r="D1709" i="20"/>
  <c r="H1708" i="20"/>
  <c r="D1708" i="20"/>
  <c r="H1707" i="20"/>
  <c r="D1707" i="20"/>
  <c r="H1706" i="20"/>
  <c r="D1706" i="20"/>
  <c r="H1705" i="20"/>
  <c r="D1705" i="20"/>
  <c r="H1704" i="20"/>
  <c r="D1704" i="20"/>
  <c r="H1703" i="20"/>
  <c r="D1703" i="20"/>
  <c r="H1702" i="20"/>
  <c r="D1702" i="20"/>
  <c r="H1701" i="20"/>
  <c r="D1701" i="20"/>
  <c r="H1700" i="20"/>
  <c r="D1700" i="20"/>
  <c r="H1699" i="20"/>
  <c r="D1699" i="20"/>
  <c r="H1698" i="20"/>
  <c r="D1698" i="20"/>
  <c r="H1697" i="20"/>
  <c r="D1697" i="20"/>
  <c r="H1696" i="20"/>
  <c r="D1696" i="20"/>
  <c r="H1695" i="20"/>
  <c r="D1695" i="20"/>
  <c r="H1694" i="20"/>
  <c r="D1694" i="20"/>
  <c r="H1693" i="20"/>
  <c r="D1693" i="20"/>
  <c r="H1692" i="20"/>
  <c r="D1692" i="20"/>
  <c r="H1691" i="20"/>
  <c r="D1691" i="20"/>
  <c r="H1690" i="20"/>
  <c r="D1690" i="20"/>
  <c r="H1689" i="20"/>
  <c r="D1689" i="20"/>
  <c r="H1688" i="20"/>
  <c r="D1688" i="20"/>
  <c r="H1687" i="20"/>
  <c r="D1687" i="20"/>
  <c r="H1686" i="20"/>
  <c r="D1686" i="20"/>
  <c r="H1685" i="20"/>
  <c r="D1685" i="20"/>
  <c r="H1684" i="20"/>
  <c r="D1684" i="20"/>
  <c r="H1683" i="20"/>
  <c r="D1683" i="20"/>
  <c r="H1682" i="20"/>
  <c r="D1682" i="20"/>
  <c r="H1681" i="20"/>
  <c r="D1681" i="20"/>
  <c r="H1680" i="20"/>
  <c r="D1680" i="20"/>
  <c r="H1679" i="20"/>
  <c r="D1679" i="20"/>
  <c r="H1678" i="20"/>
  <c r="D1678" i="20"/>
  <c r="H1677" i="20"/>
  <c r="D1677" i="20"/>
  <c r="H1676" i="20"/>
  <c r="D1676" i="20"/>
  <c r="H1675" i="20"/>
  <c r="D1675" i="20"/>
  <c r="H1674" i="20"/>
  <c r="D1674" i="20"/>
  <c r="H1673" i="20"/>
  <c r="D1673" i="20"/>
  <c r="H1672" i="20"/>
  <c r="D1672" i="20"/>
  <c r="H1671" i="20"/>
  <c r="D1671" i="20"/>
  <c r="H1670" i="20"/>
  <c r="D1670" i="20"/>
  <c r="H1669" i="20"/>
  <c r="D1669" i="20"/>
  <c r="H1668" i="20"/>
  <c r="D1668" i="20"/>
  <c r="H1667" i="20"/>
  <c r="D1667" i="20"/>
  <c r="H1666" i="20"/>
  <c r="D1666" i="20"/>
  <c r="H1665" i="20"/>
  <c r="D1665" i="20"/>
  <c r="H1664" i="20"/>
  <c r="D1664" i="20"/>
  <c r="H1663" i="20"/>
  <c r="D1663" i="20"/>
  <c r="H1662" i="20"/>
  <c r="D1662" i="20"/>
  <c r="H1661" i="20"/>
  <c r="D1661" i="20"/>
  <c r="H1660" i="20"/>
  <c r="D1660" i="20"/>
  <c r="H1659" i="20"/>
  <c r="D1659" i="20"/>
  <c r="H1658" i="20"/>
  <c r="D1658" i="20"/>
  <c r="H1657" i="20"/>
  <c r="D1657" i="20"/>
  <c r="H1656" i="20"/>
  <c r="D1656" i="20"/>
  <c r="H1655" i="20"/>
  <c r="D1655" i="20"/>
  <c r="H1654" i="20"/>
  <c r="D1654" i="20"/>
  <c r="H1653" i="20"/>
  <c r="D1653" i="20"/>
  <c r="H1652" i="20"/>
  <c r="D1652" i="20"/>
  <c r="H1651" i="20"/>
  <c r="D1651" i="20"/>
  <c r="H1650" i="20"/>
  <c r="D1650" i="20"/>
  <c r="H1649" i="20"/>
  <c r="D1649" i="20"/>
  <c r="H1648" i="20"/>
  <c r="D1648" i="20"/>
  <c r="H1647" i="20"/>
  <c r="D1647" i="20"/>
  <c r="H1646" i="20"/>
  <c r="D1646" i="20"/>
  <c r="H1645" i="20"/>
  <c r="D1645" i="20"/>
  <c r="H1644" i="20"/>
  <c r="D1644" i="20"/>
  <c r="H1643" i="20"/>
  <c r="D1643" i="20"/>
  <c r="H1642" i="20"/>
  <c r="D1642" i="20"/>
  <c r="H1641" i="20"/>
  <c r="D1641" i="20"/>
  <c r="H1640" i="20"/>
  <c r="D1640" i="20"/>
  <c r="H1639" i="20"/>
  <c r="D1639" i="20"/>
  <c r="H1638" i="20"/>
  <c r="D1638" i="20"/>
  <c r="H1637" i="20"/>
  <c r="D1637" i="20"/>
  <c r="H1636" i="20"/>
  <c r="D1636" i="20"/>
  <c r="H1635" i="20"/>
  <c r="D1635" i="20"/>
  <c r="H1634" i="20"/>
  <c r="D1634" i="20"/>
  <c r="H1633" i="20"/>
  <c r="D1633" i="20"/>
  <c r="H1632" i="20"/>
  <c r="D1632" i="20"/>
  <c r="H1631" i="20"/>
  <c r="D1631" i="20"/>
  <c r="H1630" i="20"/>
  <c r="D1630" i="20"/>
  <c r="H1629" i="20"/>
  <c r="D1629" i="20"/>
  <c r="H1628" i="20"/>
  <c r="D1628" i="20"/>
  <c r="H1627" i="20"/>
  <c r="D1627" i="20"/>
  <c r="H1626" i="20"/>
  <c r="D1626" i="20"/>
  <c r="H1625" i="20"/>
  <c r="D1625" i="20"/>
  <c r="H1624" i="20"/>
  <c r="D1624" i="20"/>
  <c r="H1623" i="20"/>
  <c r="D1623" i="20"/>
  <c r="H1622" i="20"/>
  <c r="D1622" i="20"/>
  <c r="H1621" i="20"/>
  <c r="D1621" i="20"/>
  <c r="H1620" i="20"/>
  <c r="D1620" i="20"/>
  <c r="H1619" i="20"/>
  <c r="D1619" i="20"/>
  <c r="H1618" i="20"/>
  <c r="D1618" i="20"/>
  <c r="H1617" i="20"/>
  <c r="D1617" i="20"/>
  <c r="H1616" i="20"/>
  <c r="D1616" i="20"/>
  <c r="H1615" i="20"/>
  <c r="D1615" i="20"/>
  <c r="H1614" i="20"/>
  <c r="D1614" i="20"/>
  <c r="H1613" i="20"/>
  <c r="D1613" i="20"/>
  <c r="H1612" i="20"/>
  <c r="D1612" i="20"/>
  <c r="H1611" i="20"/>
  <c r="D1611" i="20"/>
  <c r="H1610" i="20"/>
  <c r="D1610" i="20"/>
  <c r="H1609" i="20"/>
  <c r="D1609" i="20"/>
  <c r="H1608" i="20"/>
  <c r="D1608" i="20"/>
  <c r="H1607" i="20"/>
  <c r="D1607" i="20"/>
  <c r="H1606" i="20"/>
  <c r="D1606" i="20"/>
  <c r="H1605" i="20"/>
  <c r="D1605" i="20"/>
  <c r="H1604" i="20"/>
  <c r="D1604" i="20"/>
  <c r="H1603" i="20"/>
  <c r="D1603" i="20"/>
  <c r="H1602" i="20"/>
  <c r="D1602" i="20"/>
  <c r="H1601" i="20"/>
  <c r="D1601" i="20"/>
  <c r="H1600" i="20"/>
  <c r="D1600" i="20"/>
  <c r="H1599" i="20"/>
  <c r="D1599" i="20"/>
  <c r="H1598" i="20"/>
  <c r="D1598" i="20"/>
  <c r="H1597" i="20"/>
  <c r="D1597" i="20"/>
  <c r="H1596" i="20"/>
  <c r="D1596" i="20"/>
  <c r="H1595" i="20"/>
  <c r="D1595" i="20"/>
  <c r="H1594" i="20"/>
  <c r="D1594" i="20"/>
  <c r="H1593" i="20"/>
  <c r="D1593" i="20"/>
  <c r="H1592" i="20"/>
  <c r="D1592" i="20"/>
  <c r="H1591" i="20"/>
  <c r="D1591" i="20"/>
  <c r="H1590" i="20"/>
  <c r="D1590" i="20"/>
  <c r="H1589" i="20"/>
  <c r="D1589" i="20"/>
  <c r="H1588" i="20"/>
  <c r="D1588" i="20"/>
  <c r="H1587" i="20"/>
  <c r="D1587" i="20"/>
  <c r="H1586" i="20"/>
  <c r="D1586" i="20"/>
  <c r="H1585" i="20"/>
  <c r="D1585" i="20"/>
  <c r="H1584" i="20"/>
  <c r="D1584" i="20"/>
  <c r="H1583" i="20"/>
  <c r="D1583" i="20"/>
  <c r="H1582" i="20"/>
  <c r="D1582" i="20"/>
  <c r="H1581" i="20"/>
  <c r="D1581" i="20"/>
  <c r="H1580" i="20"/>
  <c r="D1580" i="20"/>
  <c r="H1579" i="20"/>
  <c r="D1579" i="20"/>
  <c r="H1578" i="20"/>
  <c r="D1578" i="20"/>
  <c r="H1577" i="20"/>
  <c r="D1577" i="20"/>
  <c r="H1576" i="20"/>
  <c r="D1576" i="20"/>
  <c r="H1575" i="20"/>
  <c r="D1575" i="20"/>
  <c r="H1574" i="20"/>
  <c r="D1574" i="20"/>
  <c r="H1573" i="20"/>
  <c r="D1573" i="20"/>
  <c r="H1572" i="20"/>
  <c r="D1572" i="20"/>
  <c r="H1571" i="20"/>
  <c r="D1571" i="20"/>
  <c r="H1570" i="20"/>
  <c r="D1570" i="20"/>
  <c r="H1569" i="20"/>
  <c r="D1569" i="20"/>
  <c r="H1568" i="20"/>
  <c r="D1568" i="20"/>
  <c r="H1567" i="20"/>
  <c r="D1567" i="20"/>
  <c r="H1566" i="20"/>
  <c r="D1566" i="20"/>
  <c r="H1565" i="20"/>
  <c r="D1565" i="20"/>
  <c r="H1564" i="20"/>
  <c r="D1564" i="20"/>
  <c r="H1563" i="20"/>
  <c r="D1563" i="20"/>
  <c r="H1562" i="20"/>
  <c r="D1562" i="20"/>
  <c r="H1561" i="20"/>
  <c r="D1561" i="20"/>
  <c r="H1560" i="20"/>
  <c r="D1560" i="20"/>
  <c r="H1559" i="20"/>
  <c r="D1559" i="20"/>
  <c r="H1558" i="20"/>
  <c r="D1558" i="20"/>
  <c r="H1557" i="20"/>
  <c r="D1557" i="20"/>
  <c r="H1556" i="20"/>
  <c r="D1556" i="20"/>
  <c r="H1555" i="20"/>
  <c r="D1555" i="20"/>
  <c r="H1554" i="20"/>
  <c r="D1554" i="20"/>
  <c r="H1553" i="20"/>
  <c r="D1553" i="20"/>
  <c r="H1552" i="20"/>
  <c r="D1552" i="20"/>
  <c r="H1551" i="20"/>
  <c r="D1551" i="20"/>
  <c r="H1550" i="20"/>
  <c r="D1550" i="20"/>
  <c r="H1549" i="20"/>
  <c r="D1549" i="20"/>
  <c r="H1548" i="20"/>
  <c r="D1548" i="20"/>
  <c r="H1547" i="20"/>
  <c r="D1547" i="20"/>
  <c r="H1546" i="20"/>
  <c r="D1546" i="20"/>
  <c r="H1545" i="20"/>
  <c r="D1545" i="20"/>
  <c r="H1544" i="20"/>
  <c r="D1544" i="20"/>
  <c r="H1543" i="20"/>
  <c r="D1543" i="20"/>
  <c r="H1542" i="20"/>
  <c r="D1542" i="20"/>
  <c r="H1541" i="20"/>
  <c r="D1541" i="20"/>
  <c r="H1540" i="20"/>
  <c r="D1540" i="20"/>
  <c r="H1539" i="20"/>
  <c r="D1539" i="20"/>
  <c r="H1538" i="20"/>
  <c r="D1538" i="20"/>
  <c r="H1537" i="20"/>
  <c r="D1537" i="20"/>
  <c r="H1536" i="20"/>
  <c r="D1536" i="20"/>
  <c r="H1535" i="20"/>
  <c r="D1535" i="20"/>
  <c r="H1534" i="20"/>
  <c r="D1534" i="20"/>
  <c r="H1533" i="20"/>
  <c r="D1533" i="20"/>
  <c r="H1532" i="20"/>
  <c r="D1532" i="20"/>
  <c r="H1531" i="20"/>
  <c r="D1531" i="20"/>
  <c r="H1530" i="20"/>
  <c r="D1530" i="20"/>
  <c r="H1529" i="20"/>
  <c r="D1529" i="20"/>
  <c r="H1528" i="20"/>
  <c r="D1528" i="20"/>
  <c r="H1527" i="20"/>
  <c r="D1527" i="20"/>
  <c r="H1526" i="20"/>
  <c r="D1526" i="20"/>
  <c r="H1525" i="20"/>
  <c r="D1525" i="20"/>
  <c r="H1524" i="20"/>
  <c r="D1524" i="20"/>
  <c r="H1523" i="20"/>
  <c r="D1523" i="20"/>
  <c r="H1522" i="20"/>
  <c r="D1522" i="20"/>
  <c r="H1521" i="20"/>
  <c r="D1521" i="20"/>
  <c r="H1520" i="20"/>
  <c r="D1520" i="20"/>
  <c r="H1519" i="20"/>
  <c r="D1519" i="20"/>
  <c r="H1518" i="20"/>
  <c r="D1518" i="20"/>
  <c r="H1517" i="20"/>
  <c r="D1517" i="20"/>
  <c r="H1516" i="20"/>
  <c r="D1516" i="20"/>
  <c r="H1515" i="20"/>
  <c r="D1515" i="20"/>
  <c r="H1514" i="20"/>
  <c r="D1514" i="20"/>
  <c r="H1513" i="20"/>
  <c r="D1513" i="20"/>
  <c r="H1512" i="20"/>
  <c r="D1512" i="20"/>
  <c r="H1511" i="20"/>
  <c r="D1511" i="20"/>
  <c r="H1510" i="20"/>
  <c r="D1510" i="20"/>
  <c r="H1509" i="20"/>
  <c r="D1509" i="20"/>
  <c r="H1508" i="20"/>
  <c r="D1508" i="20"/>
  <c r="H1507" i="20"/>
  <c r="D1507" i="20"/>
  <c r="H1506" i="20"/>
  <c r="D1506" i="20"/>
  <c r="H1505" i="20"/>
  <c r="D1505" i="20"/>
  <c r="H1504" i="20"/>
  <c r="D1504" i="20"/>
  <c r="H1503" i="20"/>
  <c r="D1503" i="20"/>
  <c r="H1502" i="20"/>
  <c r="D1502" i="20"/>
  <c r="H1501" i="20"/>
  <c r="D1501" i="20"/>
  <c r="H1500" i="20"/>
  <c r="D1500" i="20"/>
  <c r="H1499" i="20"/>
  <c r="D1499" i="20"/>
  <c r="H1498" i="20"/>
  <c r="D1498" i="20"/>
  <c r="H1497" i="20"/>
  <c r="D1497" i="20"/>
  <c r="H1496" i="20"/>
  <c r="D1496" i="20"/>
  <c r="H1495" i="20"/>
  <c r="D1495" i="20"/>
  <c r="H1494" i="20"/>
  <c r="D1494" i="20"/>
  <c r="H1493" i="20"/>
  <c r="D1493" i="20"/>
  <c r="H1492" i="20"/>
  <c r="D1492" i="20"/>
  <c r="H1491" i="20"/>
  <c r="D1491" i="20"/>
  <c r="H1490" i="20"/>
  <c r="D1490" i="20"/>
  <c r="H1489" i="20"/>
  <c r="D1489" i="20"/>
  <c r="H1488" i="20"/>
  <c r="D1488" i="20"/>
  <c r="H1487" i="20"/>
  <c r="D1487" i="20"/>
  <c r="H1486" i="20"/>
  <c r="D1486" i="20"/>
  <c r="H1485" i="20"/>
  <c r="D1485" i="20"/>
  <c r="H1484" i="20"/>
  <c r="D1484" i="20"/>
  <c r="H1483" i="20"/>
  <c r="D1483" i="20"/>
  <c r="H1482" i="20"/>
  <c r="D1482" i="20"/>
  <c r="H1481" i="20"/>
  <c r="D1481" i="20"/>
  <c r="H1480" i="20"/>
  <c r="D1480" i="20"/>
  <c r="H1479" i="20"/>
  <c r="D1479" i="20"/>
  <c r="H1478" i="20"/>
  <c r="D1478" i="20"/>
  <c r="H1477" i="20"/>
  <c r="D1477" i="20"/>
  <c r="H1476" i="20"/>
  <c r="D1476" i="20"/>
  <c r="H1475" i="20"/>
  <c r="D1475" i="20"/>
  <c r="H1474" i="20"/>
  <c r="D1474" i="20"/>
  <c r="H1473" i="20"/>
  <c r="D1473" i="20"/>
  <c r="H1472" i="20"/>
  <c r="D1472" i="20"/>
  <c r="H1471" i="20"/>
  <c r="D1471" i="20"/>
  <c r="H1470" i="20"/>
  <c r="D1470" i="20"/>
  <c r="H1469" i="20"/>
  <c r="D1469" i="20"/>
  <c r="H1468" i="20"/>
  <c r="D1468" i="20"/>
  <c r="H1467" i="20"/>
  <c r="D1467" i="20"/>
  <c r="H1466" i="20"/>
  <c r="D1466" i="20"/>
  <c r="H1465" i="20"/>
  <c r="D1465" i="20"/>
  <c r="H1464" i="20"/>
  <c r="D1464" i="20"/>
  <c r="H1463" i="20"/>
  <c r="D1463" i="20"/>
  <c r="H1462" i="20"/>
  <c r="D1462" i="20"/>
  <c r="H1461" i="20"/>
  <c r="D1461" i="20"/>
  <c r="H1460" i="20"/>
  <c r="D1460" i="20"/>
  <c r="H1459" i="20"/>
  <c r="D1459" i="20"/>
  <c r="H1458" i="20"/>
  <c r="D1458" i="20"/>
  <c r="H1457" i="20"/>
  <c r="D1457" i="20"/>
  <c r="H1456" i="20"/>
  <c r="D1456" i="20"/>
  <c r="H1455" i="20"/>
  <c r="D1455" i="20"/>
  <c r="H1454" i="20"/>
  <c r="D1454" i="20"/>
  <c r="H1453" i="20"/>
  <c r="D1453" i="20"/>
  <c r="H1452" i="20"/>
  <c r="D1452" i="20"/>
  <c r="H1451" i="20"/>
  <c r="D1451" i="20"/>
  <c r="H1450" i="20"/>
  <c r="D1450" i="20"/>
  <c r="H1449" i="20"/>
  <c r="D1449" i="20"/>
  <c r="H1448" i="20"/>
  <c r="D1448" i="20"/>
  <c r="H1447" i="20"/>
  <c r="D1447" i="20"/>
  <c r="H1446" i="20"/>
  <c r="D1446" i="20"/>
  <c r="H1445" i="20"/>
  <c r="D1445" i="20"/>
  <c r="H1444" i="20"/>
  <c r="D1444" i="20"/>
  <c r="H1443" i="20"/>
  <c r="D1443" i="20"/>
  <c r="H1442" i="20"/>
  <c r="D1442" i="20"/>
  <c r="H1441" i="20"/>
  <c r="D1441" i="20"/>
  <c r="H1440" i="20"/>
  <c r="D1440" i="20"/>
  <c r="H1439" i="20"/>
  <c r="D1439" i="20"/>
  <c r="H1438" i="20"/>
  <c r="D1438" i="20"/>
  <c r="H1437" i="20"/>
  <c r="D1437" i="20"/>
  <c r="H1436" i="20"/>
  <c r="D1436" i="20"/>
  <c r="H1435" i="20"/>
  <c r="D1435" i="20"/>
  <c r="H1434" i="20"/>
  <c r="D1434" i="20"/>
  <c r="H1433" i="20"/>
  <c r="D1433" i="20"/>
  <c r="H1432" i="20"/>
  <c r="D1432" i="20"/>
  <c r="H1431" i="20"/>
  <c r="D1431" i="20"/>
  <c r="H1430" i="20"/>
  <c r="D1430" i="20"/>
  <c r="H1429" i="20"/>
  <c r="D1429" i="20"/>
  <c r="H1428" i="20"/>
  <c r="D1428" i="20"/>
  <c r="H1427" i="20"/>
  <c r="D1427" i="20"/>
  <c r="H1426" i="20"/>
  <c r="D1426" i="20"/>
  <c r="H1425" i="20"/>
  <c r="D1425" i="20"/>
  <c r="H1424" i="20"/>
  <c r="D1424" i="20"/>
  <c r="H1423" i="20"/>
  <c r="D1423" i="20"/>
  <c r="H1422" i="20"/>
  <c r="D1422" i="20"/>
  <c r="H1421" i="20"/>
  <c r="D1421" i="20"/>
  <c r="H1420" i="20"/>
  <c r="D1420" i="20"/>
  <c r="H1419" i="20"/>
  <c r="D1419" i="20"/>
  <c r="H1418" i="20"/>
  <c r="D1418" i="20"/>
  <c r="H1417" i="20"/>
  <c r="D1417" i="20"/>
  <c r="H1416" i="20"/>
  <c r="D1416" i="20"/>
  <c r="H1415" i="20"/>
  <c r="D1415" i="20"/>
  <c r="H1414" i="20"/>
  <c r="D1414" i="20"/>
  <c r="H1413" i="20"/>
  <c r="D1413" i="20"/>
  <c r="H1412" i="20"/>
  <c r="D1412" i="20"/>
  <c r="H1411" i="20"/>
  <c r="D1411" i="20"/>
  <c r="H1410" i="20"/>
  <c r="D1410" i="20"/>
  <c r="H1409" i="20"/>
  <c r="D1409" i="20"/>
  <c r="H1408" i="20"/>
  <c r="D1408" i="20"/>
  <c r="H1407" i="20"/>
  <c r="D1407" i="20"/>
  <c r="H1406" i="20"/>
  <c r="D1406" i="20"/>
  <c r="H1405" i="20"/>
  <c r="D1405" i="20"/>
  <c r="H1404" i="20"/>
  <c r="D1404" i="20"/>
  <c r="H1403" i="20"/>
  <c r="D1403" i="20"/>
  <c r="H1402" i="20"/>
  <c r="D1402" i="20"/>
  <c r="H1401" i="20"/>
  <c r="D1401" i="20"/>
  <c r="H1400" i="20"/>
  <c r="D1400" i="20"/>
  <c r="H1399" i="20"/>
  <c r="D1399" i="20"/>
  <c r="H1398" i="20"/>
  <c r="D1398" i="20"/>
  <c r="H1397" i="20"/>
  <c r="D1397" i="20"/>
  <c r="H1396" i="20"/>
  <c r="D1396" i="20"/>
  <c r="H1395" i="20"/>
  <c r="D1395" i="20"/>
  <c r="H1394" i="20"/>
  <c r="D1394" i="20"/>
  <c r="H1393" i="20"/>
  <c r="D1393" i="20"/>
  <c r="H1392" i="20"/>
  <c r="D1392" i="20"/>
  <c r="H1391" i="20"/>
  <c r="D1391" i="20"/>
  <c r="H1390" i="20"/>
  <c r="D1390" i="20"/>
  <c r="H1389" i="20"/>
  <c r="D1389" i="20"/>
  <c r="H1388" i="20"/>
  <c r="D1388" i="20"/>
  <c r="H1387" i="20"/>
  <c r="D1387" i="20"/>
  <c r="H1386" i="20"/>
  <c r="D1386" i="20"/>
  <c r="H1385" i="20"/>
  <c r="D1385" i="20"/>
  <c r="H1384" i="20"/>
  <c r="D1384" i="20"/>
  <c r="H1383" i="20"/>
  <c r="D1383" i="20"/>
  <c r="H1382" i="20"/>
  <c r="D1382" i="20"/>
  <c r="H1381" i="20"/>
  <c r="D1381" i="20"/>
  <c r="H1380" i="20"/>
  <c r="D1380" i="20"/>
  <c r="H1379" i="20"/>
  <c r="D1379" i="20"/>
  <c r="H1378" i="20"/>
  <c r="D1378" i="20"/>
  <c r="H1377" i="20"/>
  <c r="D1377" i="20"/>
  <c r="H1376" i="20"/>
  <c r="D1376" i="20"/>
  <c r="H1375" i="20"/>
  <c r="D1375" i="20"/>
  <c r="H1374" i="20"/>
  <c r="D1374" i="20"/>
  <c r="H1373" i="20"/>
  <c r="D1373" i="20"/>
  <c r="H1372" i="20"/>
  <c r="D1372" i="20"/>
  <c r="H1371" i="20"/>
  <c r="D1371" i="20"/>
  <c r="H1370" i="20"/>
  <c r="D1370" i="20"/>
  <c r="H1369" i="20"/>
  <c r="D1369" i="20"/>
  <c r="H1368" i="20"/>
  <c r="D1368" i="20"/>
  <c r="H1367" i="20"/>
  <c r="D1367" i="20"/>
  <c r="H1366" i="20"/>
  <c r="D1366" i="20"/>
  <c r="H1365" i="20"/>
  <c r="D1365" i="20"/>
  <c r="H1364" i="20"/>
  <c r="D1364" i="20"/>
  <c r="H1363" i="20"/>
  <c r="D1363" i="20"/>
  <c r="H1362" i="20"/>
  <c r="D1362" i="20"/>
  <c r="H1361" i="20"/>
  <c r="D1361" i="20"/>
  <c r="H1360" i="20"/>
  <c r="D1360" i="20"/>
  <c r="H1359" i="20"/>
  <c r="D1359" i="20"/>
  <c r="H1358" i="20"/>
  <c r="D1358" i="20"/>
  <c r="H1357" i="20"/>
  <c r="D1357" i="20"/>
  <c r="H1356" i="20"/>
  <c r="D1356" i="20"/>
  <c r="H1355" i="20"/>
  <c r="D1355" i="20"/>
  <c r="H1354" i="20"/>
  <c r="D1354" i="20"/>
  <c r="H1353" i="20"/>
  <c r="D1353" i="20"/>
  <c r="H1352" i="20"/>
  <c r="D1352" i="20"/>
  <c r="H1351" i="20"/>
  <c r="D1351" i="20"/>
  <c r="H1350" i="20"/>
  <c r="D1350" i="20"/>
  <c r="H1349" i="20"/>
  <c r="D1349" i="20"/>
  <c r="H1348" i="20"/>
  <c r="D1348" i="20"/>
  <c r="H1347" i="20"/>
  <c r="D1347" i="20"/>
  <c r="H1346" i="20"/>
  <c r="D1346" i="20"/>
  <c r="H1345" i="20"/>
  <c r="D1345" i="20"/>
  <c r="H1344" i="20"/>
  <c r="D1344" i="20"/>
  <c r="H1343" i="20"/>
  <c r="D1343" i="20"/>
  <c r="H1342" i="20"/>
  <c r="D1342" i="20"/>
  <c r="H1341" i="20"/>
  <c r="D1341" i="20"/>
  <c r="H1340" i="20"/>
  <c r="D1340" i="20"/>
  <c r="H1339" i="20"/>
  <c r="D1339" i="20"/>
  <c r="H1338" i="20"/>
  <c r="D1338" i="20"/>
  <c r="H1337" i="20"/>
  <c r="D1337" i="20"/>
  <c r="H1336" i="20"/>
  <c r="D1336" i="20"/>
  <c r="H1335" i="20"/>
  <c r="D1335" i="20"/>
  <c r="H1334" i="20"/>
  <c r="D1334" i="20"/>
  <c r="H1333" i="20"/>
  <c r="D1333" i="20"/>
  <c r="H1332" i="20"/>
  <c r="D1332" i="20"/>
  <c r="H1331" i="20"/>
  <c r="D1331" i="20"/>
  <c r="H1330" i="20"/>
  <c r="D1330" i="20"/>
  <c r="H1329" i="20"/>
  <c r="D1329" i="20"/>
  <c r="H1328" i="20"/>
  <c r="D1328" i="20"/>
  <c r="H1327" i="20"/>
  <c r="D1327" i="20"/>
  <c r="H1326" i="20"/>
  <c r="D1326" i="20"/>
  <c r="H1325" i="20"/>
  <c r="D1325" i="20"/>
  <c r="H1324" i="20"/>
  <c r="D1324" i="20"/>
  <c r="H1323" i="20"/>
  <c r="D1323" i="20"/>
  <c r="H1322" i="20"/>
  <c r="D1322" i="20"/>
  <c r="H1321" i="20"/>
  <c r="D1321" i="20"/>
  <c r="H1320" i="20"/>
  <c r="D1320" i="20"/>
  <c r="H1319" i="20"/>
  <c r="D1319" i="20"/>
  <c r="H1318" i="20"/>
  <c r="D1318" i="20"/>
  <c r="H1317" i="20"/>
  <c r="D1317" i="20"/>
  <c r="H1316" i="20"/>
  <c r="D1316" i="20"/>
  <c r="H1315" i="20"/>
  <c r="D1315" i="20"/>
  <c r="H1314" i="20"/>
  <c r="D1314" i="20"/>
  <c r="H1313" i="20"/>
  <c r="D1313" i="20"/>
  <c r="H1312" i="20"/>
  <c r="D1312" i="20"/>
  <c r="H1311" i="20"/>
  <c r="D1311" i="20"/>
  <c r="H1310" i="20"/>
  <c r="D1310" i="20"/>
  <c r="H1309" i="20"/>
  <c r="D1309" i="20"/>
  <c r="H1308" i="20"/>
  <c r="D1308" i="20"/>
  <c r="H1307" i="20"/>
  <c r="D1307" i="20"/>
  <c r="H1306" i="20"/>
  <c r="D1306" i="20"/>
  <c r="H1305" i="20"/>
  <c r="D1305" i="20"/>
  <c r="H1304" i="20"/>
  <c r="D1304" i="20"/>
  <c r="H1303" i="20"/>
  <c r="D1303" i="20"/>
  <c r="H1302" i="20"/>
  <c r="D1302" i="20"/>
  <c r="H1301" i="20"/>
  <c r="D1301" i="20"/>
  <c r="H1300" i="20"/>
  <c r="D1300" i="20"/>
  <c r="H1299" i="20"/>
  <c r="D1299" i="20"/>
  <c r="H1298" i="20"/>
  <c r="D1298" i="20"/>
  <c r="H1297" i="20"/>
  <c r="D1297" i="20"/>
  <c r="H1296" i="20"/>
  <c r="D1296" i="20"/>
  <c r="H1295" i="20"/>
  <c r="D1295" i="20"/>
  <c r="H1294" i="20"/>
  <c r="D1294" i="20"/>
  <c r="H1293" i="20"/>
  <c r="D1293" i="20"/>
  <c r="H1292" i="20"/>
  <c r="D1292" i="20"/>
  <c r="H1291" i="20"/>
  <c r="D1291" i="20"/>
  <c r="H1290" i="20"/>
  <c r="D1290" i="20"/>
  <c r="H1289" i="20"/>
  <c r="D1289" i="20"/>
  <c r="H1288" i="20"/>
  <c r="D1288" i="20"/>
  <c r="H1287" i="20"/>
  <c r="D1287" i="20"/>
  <c r="H1286" i="20"/>
  <c r="D1286" i="20"/>
  <c r="H1285" i="20"/>
  <c r="D1285" i="20"/>
  <c r="H1284" i="20"/>
  <c r="D1284" i="20"/>
  <c r="H1283" i="20"/>
  <c r="D1283" i="20"/>
  <c r="H1282" i="20"/>
  <c r="D1282" i="20"/>
  <c r="H1281" i="20"/>
  <c r="D1281" i="20"/>
  <c r="H1280" i="20"/>
  <c r="D1280" i="20"/>
  <c r="H1279" i="20"/>
  <c r="D1279" i="20"/>
  <c r="H1278" i="20"/>
  <c r="D1278" i="20"/>
  <c r="H1277" i="20"/>
  <c r="D1277" i="20"/>
  <c r="H1276" i="20"/>
  <c r="D1276" i="20"/>
  <c r="H1275" i="20"/>
  <c r="D1275" i="20"/>
  <c r="H1274" i="20"/>
  <c r="D1274" i="20"/>
  <c r="H1273" i="20"/>
  <c r="D1273" i="20"/>
  <c r="H1272" i="20"/>
  <c r="D1272" i="20"/>
  <c r="H1271" i="20"/>
  <c r="D1271" i="20"/>
  <c r="H1270" i="20"/>
  <c r="D1270" i="20"/>
  <c r="H1269" i="20"/>
  <c r="D1269" i="20"/>
  <c r="H1268" i="20"/>
  <c r="D1268" i="20"/>
  <c r="H1267" i="20"/>
  <c r="D1267" i="20"/>
  <c r="H1266" i="20"/>
  <c r="D1266" i="20"/>
  <c r="H1265" i="20"/>
  <c r="D1265" i="20"/>
  <c r="H1264" i="20"/>
  <c r="D1264" i="20"/>
  <c r="H1263" i="20"/>
  <c r="D1263" i="20"/>
  <c r="H1262" i="20"/>
  <c r="D1262" i="20"/>
  <c r="H1261" i="20"/>
  <c r="D1261" i="20"/>
  <c r="H1260" i="20"/>
  <c r="D1260" i="20"/>
  <c r="H1259" i="20"/>
  <c r="D1259" i="20"/>
  <c r="H1258" i="20"/>
  <c r="D1258" i="20"/>
  <c r="H1257" i="20"/>
  <c r="D1257" i="20"/>
  <c r="H1256" i="20"/>
  <c r="D1256" i="20"/>
  <c r="H1255" i="20"/>
  <c r="D1255" i="20"/>
  <c r="H1254" i="20"/>
  <c r="D1254" i="20"/>
  <c r="H1253" i="20"/>
  <c r="D1253" i="20"/>
  <c r="H1252" i="20"/>
  <c r="D1252" i="20"/>
  <c r="H1251" i="20"/>
  <c r="D1251" i="20"/>
  <c r="H1250" i="20"/>
  <c r="D1250" i="20"/>
  <c r="H1249" i="20"/>
  <c r="D1249" i="20"/>
  <c r="H1248" i="20"/>
  <c r="D1248" i="20"/>
  <c r="H1247" i="20"/>
  <c r="D1247" i="20"/>
  <c r="H1246" i="20"/>
  <c r="D1246" i="20"/>
  <c r="H1245" i="20"/>
  <c r="D1245" i="20"/>
  <c r="H1244" i="20"/>
  <c r="D1244" i="20"/>
  <c r="H1243" i="20"/>
  <c r="D1243" i="20"/>
  <c r="H1242" i="20"/>
  <c r="D1242" i="20"/>
  <c r="H1241" i="20"/>
  <c r="D1241" i="20"/>
  <c r="H1240" i="20"/>
  <c r="D1240" i="20"/>
  <c r="H1239" i="20"/>
  <c r="D1239" i="20"/>
  <c r="H1238" i="20"/>
  <c r="D1238" i="20"/>
  <c r="H1237" i="20"/>
  <c r="D1237" i="20"/>
  <c r="H1236" i="20"/>
  <c r="D1236" i="20"/>
  <c r="H1235" i="20"/>
  <c r="D1235" i="20"/>
  <c r="H1234" i="20"/>
  <c r="D1234" i="20"/>
  <c r="H1233" i="20"/>
  <c r="D1233" i="20"/>
  <c r="H1232" i="20"/>
  <c r="D1232" i="20"/>
  <c r="H1231" i="20"/>
  <c r="D1231" i="20"/>
  <c r="H1230" i="20"/>
  <c r="D1230" i="20"/>
  <c r="H1229" i="20"/>
  <c r="D1229" i="20"/>
  <c r="H1228" i="20"/>
  <c r="D1228" i="20"/>
  <c r="H1227" i="20"/>
  <c r="D1227" i="20"/>
  <c r="H1226" i="20"/>
  <c r="D1226" i="20"/>
  <c r="H1225" i="20"/>
  <c r="D1225" i="20"/>
  <c r="H1224" i="20"/>
  <c r="D1224" i="20"/>
  <c r="H1223" i="20"/>
  <c r="D1223" i="20"/>
  <c r="H1222" i="20"/>
  <c r="D1222" i="20"/>
  <c r="H1221" i="20"/>
  <c r="D1221" i="20"/>
  <c r="H1220" i="20"/>
  <c r="D1220" i="20"/>
  <c r="H1219" i="20"/>
  <c r="D1219" i="20"/>
  <c r="H1218" i="20"/>
  <c r="D1218" i="20"/>
  <c r="H1217" i="20"/>
  <c r="D1217" i="20"/>
  <c r="H1216" i="20"/>
  <c r="D1216" i="20"/>
  <c r="H1215" i="20"/>
  <c r="D1215" i="20"/>
  <c r="H1214" i="20"/>
  <c r="D1214" i="20"/>
  <c r="H1213" i="20"/>
  <c r="D1213" i="20"/>
  <c r="H1212" i="20"/>
  <c r="D1212" i="20"/>
  <c r="H1211" i="20"/>
  <c r="D1211" i="20"/>
  <c r="H1210" i="20"/>
  <c r="D1210" i="20"/>
  <c r="H1209" i="20"/>
  <c r="D1209" i="20"/>
  <c r="H1208" i="20"/>
  <c r="D1208" i="20"/>
  <c r="H1207" i="20"/>
  <c r="D1207" i="20"/>
  <c r="H1206" i="20"/>
  <c r="D1206" i="20"/>
  <c r="H1205" i="20"/>
  <c r="D1205" i="20"/>
  <c r="H1204" i="20"/>
  <c r="D1204" i="20"/>
  <c r="H1203" i="20"/>
  <c r="D1203" i="20"/>
  <c r="H1202" i="20"/>
  <c r="D1202" i="20"/>
  <c r="H1201" i="20"/>
  <c r="D1201" i="20"/>
  <c r="H1200" i="20"/>
  <c r="D1200" i="20"/>
  <c r="H1199" i="20"/>
  <c r="D1199" i="20"/>
  <c r="H1198" i="20"/>
  <c r="D1198" i="20"/>
  <c r="H1197" i="20"/>
  <c r="D1197" i="20"/>
  <c r="H1196" i="20"/>
  <c r="D1196" i="20"/>
  <c r="H1195" i="20"/>
  <c r="D1195" i="20"/>
  <c r="H1194" i="20"/>
  <c r="D1194" i="20"/>
  <c r="H1193" i="20"/>
  <c r="D1193" i="20"/>
  <c r="H1192" i="20"/>
  <c r="D1192" i="20"/>
  <c r="H1191" i="20"/>
  <c r="D1191" i="20"/>
  <c r="H1190" i="20"/>
  <c r="D1190" i="20"/>
  <c r="H1189" i="20"/>
  <c r="D1189" i="20"/>
  <c r="H1188" i="20"/>
  <c r="D1188" i="20"/>
  <c r="H1187" i="20"/>
  <c r="D1187" i="20"/>
  <c r="H1186" i="20"/>
  <c r="D1186" i="20"/>
  <c r="H1185" i="20"/>
  <c r="D1185" i="20"/>
  <c r="H1184" i="20"/>
  <c r="D1184" i="20"/>
  <c r="H1183" i="20"/>
  <c r="D1183" i="20"/>
  <c r="H1182" i="20"/>
  <c r="D1182" i="20"/>
  <c r="H1181" i="20"/>
  <c r="D1181" i="20"/>
  <c r="H1180" i="20"/>
  <c r="D1180" i="20"/>
  <c r="H1179" i="20"/>
  <c r="D1179" i="20"/>
  <c r="H1178" i="20"/>
  <c r="D1178" i="20"/>
  <c r="H1177" i="20"/>
  <c r="D1177" i="20"/>
  <c r="H1176" i="20"/>
  <c r="D1176" i="20"/>
  <c r="H1175" i="20"/>
  <c r="D1175" i="20"/>
  <c r="H1174" i="20"/>
  <c r="D1174" i="20"/>
  <c r="H1173" i="20"/>
  <c r="D1173" i="20"/>
  <c r="H1172" i="20"/>
  <c r="D1172" i="20"/>
  <c r="H1171" i="20"/>
  <c r="D1171" i="20"/>
  <c r="H1170" i="20"/>
  <c r="D1170" i="20"/>
  <c r="H1169" i="20"/>
  <c r="D1169" i="20"/>
  <c r="H1168" i="20"/>
  <c r="D1168" i="20"/>
  <c r="H1167" i="20"/>
  <c r="D1167" i="20"/>
  <c r="H1166" i="20"/>
  <c r="D1166" i="20"/>
  <c r="H1165" i="20"/>
  <c r="D1165" i="20"/>
  <c r="H1164" i="20"/>
  <c r="D1164" i="20"/>
  <c r="H1163" i="20"/>
  <c r="D1163" i="20"/>
  <c r="H1162" i="20"/>
  <c r="D1162" i="20"/>
  <c r="H1161" i="20"/>
  <c r="D1161" i="20"/>
  <c r="H1160" i="20"/>
  <c r="D1160" i="20"/>
  <c r="H1159" i="20"/>
  <c r="D1159" i="20"/>
  <c r="H1158" i="20"/>
  <c r="D1158" i="20"/>
  <c r="H1157" i="20"/>
  <c r="D1157" i="20"/>
  <c r="H1156" i="20"/>
  <c r="D1156" i="20"/>
  <c r="H1155" i="20"/>
  <c r="D1155" i="20"/>
  <c r="H1154" i="20"/>
  <c r="D1154" i="20"/>
  <c r="H1153" i="20"/>
  <c r="D1153" i="20"/>
  <c r="H1152" i="20"/>
  <c r="D1152" i="20"/>
  <c r="H1151" i="20"/>
  <c r="D1151" i="20"/>
  <c r="H1150" i="20"/>
  <c r="D1150" i="20"/>
  <c r="H1149" i="20"/>
  <c r="D1149" i="20"/>
  <c r="H1148" i="20"/>
  <c r="D1148" i="20"/>
  <c r="H1147" i="20"/>
  <c r="D1147" i="20"/>
  <c r="H1146" i="20"/>
  <c r="D1146" i="20"/>
  <c r="H1145" i="20"/>
  <c r="D1145" i="20"/>
  <c r="H1144" i="20"/>
  <c r="D1144" i="20"/>
  <c r="H1143" i="20"/>
  <c r="D1143" i="20"/>
  <c r="H1142" i="20"/>
  <c r="D1142" i="20"/>
  <c r="H1141" i="20"/>
  <c r="D1141" i="20"/>
  <c r="H1140" i="20"/>
  <c r="D1140" i="20"/>
  <c r="H1139" i="20"/>
  <c r="D1139" i="20"/>
  <c r="H1138" i="20"/>
  <c r="D1138" i="20"/>
  <c r="H1137" i="20"/>
  <c r="D1137" i="20"/>
  <c r="H1136" i="20"/>
  <c r="D1136" i="20"/>
  <c r="H1135" i="20"/>
  <c r="D1135" i="20"/>
  <c r="H1134" i="20"/>
  <c r="D1134" i="20"/>
  <c r="H1133" i="20"/>
  <c r="D1133" i="20"/>
  <c r="H1132" i="20"/>
  <c r="D1132" i="20"/>
  <c r="H1131" i="20"/>
  <c r="D1131" i="20"/>
  <c r="H1130" i="20"/>
  <c r="D1130" i="20"/>
  <c r="H1129" i="20"/>
  <c r="D1129" i="20"/>
  <c r="H1128" i="20"/>
  <c r="D1128" i="20"/>
  <c r="H1127" i="20"/>
  <c r="D1127" i="20"/>
  <c r="H1126" i="20"/>
  <c r="D1126" i="20"/>
  <c r="H1125" i="20"/>
  <c r="D1125" i="20"/>
  <c r="H1124" i="20"/>
  <c r="D1124" i="20"/>
  <c r="H1123" i="20"/>
  <c r="D1123" i="20"/>
  <c r="H1122" i="20"/>
  <c r="D1122" i="20"/>
  <c r="H1121" i="20"/>
  <c r="D1121" i="20"/>
  <c r="H1120" i="20"/>
  <c r="D1120" i="20"/>
  <c r="H1119" i="20"/>
  <c r="D1119" i="20"/>
  <c r="H1118" i="20"/>
  <c r="D1118" i="20"/>
  <c r="H1117" i="20"/>
  <c r="D1117" i="20"/>
  <c r="H1116" i="20"/>
  <c r="D1116" i="20"/>
  <c r="H1115" i="20"/>
  <c r="D1115" i="20"/>
  <c r="H1114" i="20"/>
  <c r="D1114" i="20"/>
  <c r="H1113" i="20"/>
  <c r="D1113" i="20"/>
  <c r="H1112" i="20"/>
  <c r="D1112" i="20"/>
  <c r="H1111" i="20"/>
  <c r="D1111" i="20"/>
  <c r="H1110" i="20"/>
  <c r="D1110" i="20"/>
  <c r="H1109" i="20"/>
  <c r="D1109" i="20"/>
  <c r="H1108" i="20"/>
  <c r="D1108" i="20"/>
  <c r="H1107" i="20"/>
  <c r="D1107" i="20"/>
  <c r="H1106" i="20"/>
  <c r="D1106" i="20"/>
  <c r="H1105" i="20"/>
  <c r="D1105" i="20"/>
  <c r="H1104" i="20"/>
  <c r="D1104" i="20"/>
  <c r="H1103" i="20"/>
  <c r="D1103" i="20"/>
  <c r="H1102" i="20"/>
  <c r="D1102" i="20"/>
  <c r="H1101" i="20"/>
  <c r="D1101" i="20"/>
  <c r="H1100" i="20"/>
  <c r="D1100" i="20"/>
  <c r="H1099" i="20"/>
  <c r="D1099" i="20"/>
  <c r="H1098" i="20"/>
  <c r="D1098" i="20"/>
  <c r="H1097" i="20"/>
  <c r="D1097" i="20"/>
  <c r="H1096" i="20"/>
  <c r="D1096" i="20"/>
  <c r="H1095" i="20"/>
  <c r="D1095" i="20"/>
  <c r="H1094" i="20"/>
  <c r="D1094" i="20"/>
  <c r="H1093" i="20"/>
  <c r="D1093" i="20"/>
  <c r="H1092" i="20"/>
  <c r="D1092" i="20"/>
  <c r="H1091" i="20"/>
  <c r="D1091" i="20"/>
  <c r="H1090" i="20"/>
  <c r="D1090" i="20"/>
  <c r="H1089" i="20"/>
  <c r="D1089" i="20"/>
  <c r="H1088" i="20"/>
  <c r="D1088" i="20"/>
  <c r="H1087" i="20"/>
  <c r="D1087" i="20"/>
  <c r="H1086" i="20"/>
  <c r="D1086" i="20"/>
  <c r="H1085" i="20"/>
  <c r="D1085" i="20"/>
  <c r="H1084" i="20"/>
  <c r="D1084" i="20"/>
  <c r="H1083" i="20"/>
  <c r="D1083" i="20"/>
  <c r="H1082" i="20"/>
  <c r="D1082" i="20"/>
  <c r="H1081" i="20"/>
  <c r="D1081" i="20"/>
  <c r="H1080" i="20"/>
  <c r="D1080" i="20"/>
  <c r="H1079" i="20"/>
  <c r="D1079" i="20"/>
  <c r="H1078" i="20"/>
  <c r="D1078" i="20"/>
  <c r="H1077" i="20"/>
  <c r="D1077" i="20"/>
  <c r="H1076" i="20"/>
  <c r="D1076" i="20"/>
  <c r="H1075" i="20"/>
  <c r="D1075" i="20"/>
  <c r="H1074" i="20"/>
  <c r="D1074" i="20"/>
  <c r="H1073" i="20"/>
  <c r="D1073" i="20"/>
  <c r="H1072" i="20"/>
  <c r="D1072" i="20"/>
  <c r="H1071" i="20"/>
  <c r="D1071" i="20"/>
  <c r="H1070" i="20"/>
  <c r="D1070" i="20"/>
  <c r="H1069" i="20"/>
  <c r="D1069" i="20"/>
  <c r="H1068" i="20"/>
  <c r="D1068" i="20"/>
  <c r="H1067" i="20"/>
  <c r="D1067" i="20"/>
  <c r="H1066" i="20"/>
  <c r="D1066" i="20"/>
  <c r="H1065" i="20"/>
  <c r="D1065" i="20"/>
  <c r="H1064" i="20"/>
  <c r="D1064" i="20"/>
  <c r="H1063" i="20"/>
  <c r="D1063" i="20"/>
  <c r="H1062" i="20"/>
  <c r="D1062" i="20"/>
  <c r="H1061" i="20"/>
  <c r="D1061" i="20"/>
  <c r="H1060" i="20"/>
  <c r="D1060" i="20"/>
  <c r="H1059" i="20"/>
  <c r="D1059" i="20"/>
  <c r="H1058" i="20"/>
  <c r="D1058" i="20"/>
  <c r="H1057" i="20"/>
  <c r="D1057" i="20"/>
  <c r="H1056" i="20"/>
  <c r="D1056" i="20"/>
  <c r="H1055" i="20"/>
  <c r="D1055" i="20"/>
  <c r="H1054" i="20"/>
  <c r="D1054" i="20"/>
  <c r="H1053" i="20"/>
  <c r="D1053" i="20"/>
  <c r="H1052" i="20"/>
  <c r="D1052" i="20"/>
  <c r="H1051" i="20"/>
  <c r="D1051" i="20"/>
  <c r="H1050" i="20"/>
  <c r="D1050" i="20"/>
  <c r="H1049" i="20"/>
  <c r="D1049" i="20"/>
  <c r="H1048" i="20"/>
  <c r="D1048" i="20"/>
  <c r="H1047" i="20"/>
  <c r="D1047" i="20"/>
  <c r="H1046" i="20"/>
  <c r="D1046" i="20"/>
  <c r="H1045" i="20"/>
  <c r="D1045" i="20"/>
  <c r="H1044" i="20"/>
  <c r="D1044" i="20"/>
  <c r="H1043" i="20"/>
  <c r="D1043" i="20"/>
  <c r="H1042" i="20"/>
  <c r="D1042" i="20"/>
  <c r="H1041" i="20"/>
  <c r="D1041" i="20"/>
  <c r="H1040" i="20"/>
  <c r="D1040" i="20"/>
  <c r="H1039" i="20"/>
  <c r="D1039" i="20"/>
  <c r="H1038" i="20"/>
  <c r="D1038" i="20"/>
  <c r="H1037" i="20"/>
  <c r="D1037" i="20"/>
  <c r="H1036" i="20"/>
  <c r="D1036" i="20"/>
  <c r="H1035" i="20"/>
  <c r="D1035" i="20"/>
  <c r="H1034" i="20"/>
  <c r="D1034" i="20"/>
  <c r="H1033" i="20"/>
  <c r="D1033" i="20"/>
  <c r="H1032" i="20"/>
  <c r="D1032" i="20"/>
  <c r="H1031" i="20"/>
  <c r="D1031" i="20"/>
  <c r="H1030" i="20"/>
  <c r="D1030" i="20"/>
  <c r="H1029" i="20"/>
  <c r="D1029" i="20"/>
  <c r="H1028" i="20"/>
  <c r="D1028" i="20"/>
  <c r="H1027" i="20"/>
  <c r="D1027" i="20"/>
  <c r="H1026" i="20"/>
  <c r="D1026" i="20"/>
  <c r="H1025" i="20"/>
  <c r="D1025" i="20"/>
  <c r="H1024" i="20"/>
  <c r="D1024" i="20"/>
  <c r="H1023" i="20"/>
  <c r="D1023" i="20"/>
  <c r="H1022" i="20"/>
  <c r="D1022" i="20"/>
  <c r="H1021" i="20"/>
  <c r="D1021" i="20"/>
  <c r="H1020" i="20"/>
  <c r="D1020" i="20"/>
  <c r="H1019" i="20"/>
  <c r="D1019" i="20"/>
  <c r="H1018" i="20"/>
  <c r="D1018" i="20"/>
  <c r="H1017" i="20"/>
  <c r="D1017" i="20"/>
  <c r="H1016" i="20"/>
  <c r="D1016" i="20"/>
  <c r="H1015" i="20"/>
  <c r="D1015" i="20"/>
  <c r="H1014" i="20"/>
  <c r="D1014" i="20"/>
  <c r="H1013" i="20"/>
  <c r="D1013" i="20"/>
  <c r="H1012" i="20"/>
  <c r="D1012" i="20"/>
  <c r="H1011" i="20"/>
  <c r="D1011" i="20"/>
  <c r="H1010" i="20"/>
  <c r="D1010" i="20"/>
  <c r="H1009" i="20"/>
  <c r="D1009" i="20"/>
  <c r="H1008" i="20"/>
  <c r="D1008" i="20"/>
  <c r="H1007" i="20"/>
  <c r="D1007" i="20"/>
  <c r="H1006" i="20"/>
  <c r="D1006" i="20"/>
  <c r="H1005" i="20"/>
  <c r="D1005" i="20"/>
  <c r="H1004" i="20"/>
  <c r="D1004" i="20"/>
  <c r="H1003" i="20"/>
  <c r="D1003" i="20"/>
  <c r="H1002" i="20"/>
  <c r="D1002" i="20"/>
  <c r="H1001" i="20"/>
  <c r="D1001" i="20"/>
  <c r="H1000" i="20"/>
  <c r="D1000" i="20"/>
  <c r="H999" i="20"/>
  <c r="D999" i="20"/>
  <c r="H998" i="20"/>
  <c r="D998" i="20"/>
  <c r="H997" i="20"/>
  <c r="D997" i="20"/>
  <c r="H996" i="20"/>
  <c r="D996" i="20"/>
  <c r="H995" i="20"/>
  <c r="D995" i="20"/>
  <c r="H994" i="20"/>
  <c r="D994" i="20"/>
  <c r="H993" i="20"/>
  <c r="D993" i="20"/>
  <c r="H992" i="20"/>
  <c r="D992" i="20"/>
  <c r="H991" i="20"/>
  <c r="D991" i="20"/>
  <c r="H990" i="20"/>
  <c r="D990" i="20"/>
  <c r="H989" i="20"/>
  <c r="D989" i="20"/>
  <c r="H988" i="20"/>
  <c r="D988" i="20"/>
  <c r="H987" i="20"/>
  <c r="D987" i="20"/>
  <c r="H986" i="20"/>
  <c r="D986" i="20"/>
  <c r="H985" i="20"/>
  <c r="D985" i="20"/>
  <c r="H984" i="20"/>
  <c r="D984" i="20"/>
  <c r="H983" i="20"/>
  <c r="D983" i="20"/>
  <c r="H982" i="20"/>
  <c r="D982" i="20"/>
  <c r="H981" i="20"/>
  <c r="D981" i="20"/>
  <c r="H980" i="20"/>
  <c r="D980" i="20"/>
  <c r="H979" i="20"/>
  <c r="D979" i="20"/>
  <c r="H978" i="20"/>
  <c r="D978" i="20"/>
  <c r="H977" i="20"/>
  <c r="D977" i="20"/>
  <c r="H976" i="20"/>
  <c r="D976" i="20"/>
  <c r="H975" i="20"/>
  <c r="D975" i="20"/>
  <c r="H974" i="20"/>
  <c r="D974" i="20"/>
  <c r="H973" i="20"/>
  <c r="D973" i="20"/>
  <c r="H972" i="20"/>
  <c r="D972" i="20"/>
  <c r="H971" i="20"/>
  <c r="D971" i="20"/>
  <c r="H970" i="20"/>
  <c r="D970" i="20"/>
  <c r="H969" i="20"/>
  <c r="D969" i="20"/>
  <c r="H968" i="20"/>
  <c r="D968" i="20"/>
  <c r="H967" i="20"/>
  <c r="D967" i="20"/>
  <c r="H966" i="20"/>
  <c r="D966" i="20"/>
  <c r="H965" i="20"/>
  <c r="D965" i="20"/>
  <c r="H964" i="20"/>
  <c r="D964" i="20"/>
  <c r="H963" i="20"/>
  <c r="D963" i="20"/>
  <c r="H962" i="20"/>
  <c r="D962" i="20"/>
  <c r="H961" i="20"/>
  <c r="D961" i="20"/>
  <c r="H960" i="20"/>
  <c r="D960" i="20"/>
  <c r="H959" i="20"/>
  <c r="D959" i="20"/>
  <c r="H958" i="20"/>
  <c r="D958" i="20"/>
  <c r="H957" i="20"/>
  <c r="D957" i="20"/>
  <c r="H956" i="20"/>
  <c r="D956" i="20"/>
  <c r="H955" i="20"/>
  <c r="D955" i="20"/>
  <c r="H954" i="20"/>
  <c r="D954" i="20"/>
  <c r="H953" i="20"/>
  <c r="D953" i="20"/>
  <c r="H952" i="20"/>
  <c r="D952" i="20"/>
  <c r="H951" i="20"/>
  <c r="D951" i="20"/>
  <c r="H950" i="20"/>
  <c r="D950" i="20"/>
  <c r="H949" i="20"/>
  <c r="D949" i="20"/>
  <c r="H948" i="20"/>
  <c r="D948" i="20"/>
  <c r="H947" i="20"/>
  <c r="D947" i="20"/>
  <c r="H946" i="20"/>
  <c r="D946" i="20"/>
  <c r="H945" i="20"/>
  <c r="D945" i="20"/>
  <c r="H944" i="20"/>
  <c r="D944" i="20"/>
  <c r="H943" i="20"/>
  <c r="D943" i="20"/>
  <c r="H942" i="20"/>
  <c r="D942" i="20"/>
  <c r="H941" i="20"/>
  <c r="D941" i="20"/>
  <c r="H940" i="20"/>
  <c r="D940" i="20"/>
  <c r="H939" i="20"/>
  <c r="D939" i="20"/>
  <c r="H938" i="20"/>
  <c r="D938" i="20"/>
  <c r="H937" i="20"/>
  <c r="D937" i="20"/>
  <c r="H936" i="20"/>
  <c r="D936" i="20"/>
  <c r="H935" i="20"/>
  <c r="D935" i="20"/>
  <c r="H934" i="20"/>
  <c r="D934" i="20"/>
  <c r="H933" i="20"/>
  <c r="D933" i="20"/>
  <c r="H932" i="20"/>
  <c r="D932" i="20"/>
  <c r="H931" i="20"/>
  <c r="D931" i="20"/>
  <c r="H930" i="20"/>
  <c r="D930" i="20"/>
  <c r="H929" i="20"/>
  <c r="D929" i="20"/>
  <c r="H928" i="20"/>
  <c r="D928" i="20"/>
  <c r="H927" i="20"/>
  <c r="D927" i="20"/>
  <c r="H926" i="20"/>
  <c r="D926" i="20"/>
  <c r="H925" i="20"/>
  <c r="D925" i="20"/>
  <c r="H924" i="20"/>
  <c r="D924" i="20"/>
  <c r="H923" i="20"/>
  <c r="D923" i="20"/>
  <c r="H922" i="20"/>
  <c r="D922" i="20"/>
  <c r="H921" i="20"/>
  <c r="D921" i="20"/>
  <c r="H920" i="20"/>
  <c r="D920" i="20"/>
  <c r="H919" i="20"/>
  <c r="D919" i="20"/>
  <c r="H918" i="20"/>
  <c r="D918" i="20"/>
  <c r="H917" i="20"/>
  <c r="D917" i="20"/>
  <c r="H916" i="20"/>
  <c r="D916" i="20"/>
  <c r="H915" i="20"/>
  <c r="D915" i="20"/>
  <c r="H914" i="20"/>
  <c r="D914" i="20"/>
  <c r="H913" i="20"/>
  <c r="D913" i="20"/>
  <c r="H912" i="20"/>
  <c r="D912" i="20"/>
  <c r="H911" i="20"/>
  <c r="D911" i="20"/>
  <c r="H910" i="20"/>
  <c r="D910" i="20"/>
  <c r="H909" i="20"/>
  <c r="D909" i="20"/>
  <c r="H908" i="20"/>
  <c r="D908" i="20"/>
  <c r="H907" i="20"/>
  <c r="D907" i="20"/>
  <c r="H906" i="20"/>
  <c r="D906" i="20"/>
  <c r="H905" i="20"/>
  <c r="D905" i="20"/>
  <c r="H904" i="20"/>
  <c r="D904" i="20"/>
  <c r="H903" i="20"/>
  <c r="D903" i="20"/>
  <c r="H902" i="20"/>
  <c r="D902" i="20"/>
  <c r="H901" i="20"/>
  <c r="D901" i="20"/>
  <c r="H900" i="20"/>
  <c r="D900" i="20"/>
  <c r="H899" i="20"/>
  <c r="D899" i="20"/>
  <c r="H898" i="20"/>
  <c r="D898" i="20"/>
  <c r="H897" i="20"/>
  <c r="D897" i="20"/>
  <c r="H896" i="20"/>
  <c r="D896" i="20"/>
  <c r="H895" i="20"/>
  <c r="D895" i="20"/>
  <c r="H894" i="20"/>
  <c r="D894" i="20"/>
  <c r="H893" i="20"/>
  <c r="D893" i="20"/>
  <c r="H892" i="20"/>
  <c r="D892" i="20"/>
  <c r="H891" i="20"/>
  <c r="D891" i="20"/>
  <c r="H890" i="20"/>
  <c r="D890" i="20"/>
  <c r="H889" i="20"/>
  <c r="D889" i="20"/>
  <c r="H888" i="20"/>
  <c r="D888" i="20"/>
  <c r="H887" i="20"/>
  <c r="D887" i="20"/>
  <c r="H886" i="20"/>
  <c r="D886" i="20"/>
  <c r="H885" i="20"/>
  <c r="D885" i="20"/>
  <c r="H884" i="20"/>
  <c r="D884" i="20"/>
  <c r="H883" i="20"/>
  <c r="D883" i="20"/>
  <c r="H882" i="20"/>
  <c r="D882" i="20"/>
  <c r="H881" i="20"/>
  <c r="D881" i="20"/>
  <c r="H880" i="20"/>
  <c r="D880" i="20"/>
  <c r="H879" i="20"/>
  <c r="D879" i="20"/>
  <c r="H878" i="20"/>
  <c r="D878" i="20"/>
  <c r="H877" i="20"/>
  <c r="D877" i="20"/>
  <c r="H876" i="20"/>
  <c r="D876" i="20"/>
  <c r="H875" i="20"/>
  <c r="D875" i="20"/>
  <c r="H874" i="20"/>
  <c r="D874" i="20"/>
  <c r="H873" i="20"/>
  <c r="D873" i="20"/>
  <c r="H872" i="20"/>
  <c r="D872" i="20"/>
  <c r="H871" i="20"/>
  <c r="D871" i="20"/>
  <c r="H870" i="20"/>
  <c r="D870" i="20"/>
  <c r="H869" i="20"/>
  <c r="D869" i="20"/>
  <c r="H868" i="20"/>
  <c r="D868" i="20"/>
  <c r="H867" i="20"/>
  <c r="D867" i="20"/>
  <c r="H866" i="20"/>
  <c r="D866" i="20"/>
  <c r="H865" i="20"/>
  <c r="D865" i="20"/>
  <c r="H864" i="20"/>
  <c r="D864" i="20"/>
  <c r="H863" i="20"/>
  <c r="D863" i="20"/>
  <c r="H862" i="20"/>
  <c r="D862" i="20"/>
  <c r="H861" i="20"/>
  <c r="D861" i="20"/>
  <c r="H860" i="20"/>
  <c r="D860" i="20"/>
  <c r="H859" i="20"/>
  <c r="D859" i="20"/>
  <c r="H858" i="20"/>
  <c r="D858" i="20"/>
  <c r="H857" i="20"/>
  <c r="D857" i="20"/>
  <c r="H856" i="20"/>
  <c r="D856" i="20"/>
  <c r="H855" i="20"/>
  <c r="D855" i="20"/>
  <c r="H854" i="20"/>
  <c r="D854" i="20"/>
  <c r="H853" i="20"/>
  <c r="D853" i="20"/>
  <c r="H852" i="20"/>
  <c r="D852" i="20"/>
  <c r="H851" i="20"/>
  <c r="D851" i="20"/>
  <c r="H850" i="20"/>
  <c r="D850" i="20"/>
  <c r="H849" i="20"/>
  <c r="D849" i="20"/>
  <c r="H848" i="20"/>
  <c r="D848" i="20"/>
  <c r="H847" i="20"/>
  <c r="D847" i="20"/>
  <c r="H846" i="20"/>
  <c r="D846" i="20"/>
  <c r="H845" i="20"/>
  <c r="D845" i="20"/>
  <c r="H844" i="20"/>
  <c r="D844" i="20"/>
  <c r="H843" i="20"/>
  <c r="D843" i="20"/>
  <c r="H842" i="20"/>
  <c r="D842" i="20"/>
  <c r="H841" i="20"/>
  <c r="D841" i="20"/>
  <c r="H840" i="20"/>
  <c r="D840" i="20"/>
  <c r="H839" i="20"/>
  <c r="D839" i="20"/>
  <c r="H838" i="20"/>
  <c r="D838" i="20"/>
  <c r="H837" i="20"/>
  <c r="D837" i="20"/>
  <c r="H836" i="20"/>
  <c r="D836" i="20"/>
  <c r="H835" i="20"/>
  <c r="D835" i="20"/>
  <c r="H834" i="20"/>
  <c r="D834" i="20"/>
  <c r="H833" i="20"/>
  <c r="D833" i="20"/>
  <c r="H832" i="20"/>
  <c r="D832" i="20"/>
  <c r="H831" i="20"/>
  <c r="D831" i="20"/>
  <c r="H830" i="20"/>
  <c r="D830" i="20"/>
  <c r="H829" i="20"/>
  <c r="D829" i="20"/>
  <c r="H828" i="20"/>
  <c r="D828" i="20"/>
  <c r="H827" i="20"/>
  <c r="D827" i="20"/>
  <c r="H826" i="20"/>
  <c r="D826" i="20"/>
  <c r="H825" i="20"/>
  <c r="D825" i="20"/>
  <c r="H824" i="20"/>
  <c r="D824" i="20"/>
  <c r="H823" i="20"/>
  <c r="D823" i="20"/>
  <c r="H822" i="20"/>
  <c r="D822" i="20"/>
  <c r="H821" i="20"/>
  <c r="D821" i="20"/>
  <c r="H820" i="20"/>
  <c r="D820" i="20"/>
  <c r="H819" i="20"/>
  <c r="D819" i="20"/>
  <c r="H818" i="20"/>
  <c r="D818" i="20"/>
  <c r="H817" i="20"/>
  <c r="D817" i="20"/>
  <c r="H816" i="20"/>
  <c r="D816" i="20"/>
  <c r="H815" i="20"/>
  <c r="D815" i="20"/>
  <c r="H814" i="20"/>
  <c r="D814" i="20"/>
  <c r="H813" i="20"/>
  <c r="D813" i="20"/>
  <c r="H812" i="20"/>
  <c r="D812" i="20"/>
  <c r="H811" i="20"/>
  <c r="D811" i="20"/>
  <c r="H810" i="20"/>
  <c r="D810" i="20"/>
  <c r="H809" i="20"/>
  <c r="D809" i="20"/>
  <c r="H808" i="20"/>
  <c r="D808" i="20"/>
  <c r="H807" i="20"/>
  <c r="D807" i="20"/>
  <c r="H806" i="20"/>
  <c r="D806" i="20"/>
  <c r="H805" i="20"/>
  <c r="D805" i="20"/>
  <c r="H804" i="20"/>
  <c r="D804" i="20"/>
  <c r="H803" i="20"/>
  <c r="D803" i="20"/>
  <c r="H802" i="20"/>
  <c r="D802" i="20"/>
  <c r="H801" i="20"/>
  <c r="D801" i="20"/>
  <c r="H800" i="20"/>
  <c r="D800" i="20"/>
  <c r="H799" i="20"/>
  <c r="D799" i="20"/>
  <c r="H798" i="20"/>
  <c r="D798" i="20"/>
  <c r="H797" i="20"/>
  <c r="D797" i="20"/>
  <c r="H796" i="20"/>
  <c r="D796" i="20"/>
  <c r="H795" i="20"/>
  <c r="D795" i="20"/>
  <c r="H794" i="20"/>
  <c r="D794" i="20"/>
  <c r="H793" i="20"/>
  <c r="D793" i="20"/>
  <c r="H792" i="20"/>
  <c r="D792" i="20"/>
  <c r="H791" i="20"/>
  <c r="D791" i="20"/>
  <c r="H790" i="20"/>
  <c r="D790" i="20"/>
  <c r="H789" i="20"/>
  <c r="D789" i="20"/>
  <c r="H788" i="20"/>
  <c r="D788" i="20"/>
  <c r="H787" i="20"/>
  <c r="D787" i="20"/>
  <c r="H786" i="20"/>
  <c r="D786" i="20"/>
  <c r="H785" i="20"/>
  <c r="D785" i="20"/>
  <c r="H784" i="20"/>
  <c r="D784" i="20"/>
  <c r="H783" i="20"/>
  <c r="D783" i="20"/>
  <c r="H782" i="20"/>
  <c r="D782" i="20"/>
  <c r="H781" i="20"/>
  <c r="D781" i="20"/>
  <c r="H780" i="20"/>
  <c r="D780" i="20"/>
  <c r="H779" i="20"/>
  <c r="D779" i="20"/>
  <c r="H778" i="20"/>
  <c r="D778" i="20"/>
  <c r="H777" i="20"/>
  <c r="D777" i="20"/>
  <c r="H776" i="20"/>
  <c r="D776" i="20"/>
  <c r="H775" i="20"/>
  <c r="D775" i="20"/>
  <c r="H774" i="20"/>
  <c r="D774" i="20"/>
  <c r="H773" i="20"/>
  <c r="D773" i="20"/>
  <c r="H772" i="20"/>
  <c r="D772" i="20"/>
  <c r="H771" i="20"/>
  <c r="D771" i="20"/>
  <c r="H770" i="20"/>
  <c r="D770" i="20"/>
  <c r="H769" i="20"/>
  <c r="D769" i="20"/>
  <c r="H768" i="20"/>
  <c r="D768" i="20"/>
  <c r="H767" i="20"/>
  <c r="D767" i="20"/>
  <c r="H766" i="20"/>
  <c r="D766" i="20"/>
  <c r="H765" i="20"/>
  <c r="D765" i="20"/>
  <c r="H764" i="20"/>
  <c r="D764" i="20"/>
  <c r="H763" i="20"/>
  <c r="D763" i="20"/>
  <c r="H762" i="20"/>
  <c r="D762" i="20"/>
  <c r="H761" i="20"/>
  <c r="D761" i="20"/>
  <c r="H760" i="20"/>
  <c r="D760" i="20"/>
  <c r="H759" i="20"/>
  <c r="D759" i="20"/>
  <c r="H758" i="20"/>
  <c r="D758" i="20"/>
  <c r="H757" i="20"/>
  <c r="D757" i="20"/>
  <c r="H756" i="20"/>
  <c r="D756" i="20"/>
  <c r="H755" i="20"/>
  <c r="D755" i="20"/>
  <c r="H754" i="20"/>
  <c r="D754" i="20"/>
  <c r="H753" i="20"/>
  <c r="D753" i="20"/>
  <c r="H752" i="20"/>
  <c r="D752" i="20"/>
  <c r="H751" i="20"/>
  <c r="D751" i="20"/>
  <c r="H750" i="20"/>
  <c r="D750" i="20"/>
  <c r="H749" i="20"/>
  <c r="D749" i="20"/>
  <c r="H748" i="20"/>
  <c r="D748" i="20"/>
  <c r="H747" i="20"/>
  <c r="D747" i="20"/>
  <c r="H746" i="20"/>
  <c r="D746" i="20"/>
  <c r="H745" i="20"/>
  <c r="D745" i="20"/>
  <c r="H744" i="20"/>
  <c r="D744" i="20"/>
  <c r="H743" i="20"/>
  <c r="D743" i="20"/>
  <c r="H742" i="20"/>
  <c r="D742" i="20"/>
  <c r="H741" i="20"/>
  <c r="D741" i="20"/>
  <c r="H740" i="20"/>
  <c r="D740" i="20"/>
  <c r="H739" i="20"/>
  <c r="D739" i="20"/>
  <c r="H738" i="20"/>
  <c r="D738" i="20"/>
  <c r="H737" i="20"/>
  <c r="D737" i="20"/>
  <c r="H736" i="20"/>
  <c r="D736" i="20"/>
  <c r="H735" i="20"/>
  <c r="D735" i="20"/>
  <c r="H734" i="20"/>
  <c r="D734" i="20"/>
  <c r="H733" i="20"/>
  <c r="D733" i="20"/>
  <c r="H732" i="20"/>
  <c r="D732" i="20"/>
  <c r="H731" i="20"/>
  <c r="D731" i="20"/>
  <c r="H730" i="20"/>
  <c r="D730" i="20"/>
  <c r="H729" i="20"/>
  <c r="D729" i="20"/>
  <c r="H728" i="20"/>
  <c r="D728" i="20"/>
  <c r="H727" i="20"/>
  <c r="D727" i="20"/>
  <c r="H726" i="20"/>
  <c r="D726" i="20"/>
  <c r="H725" i="20"/>
  <c r="D725" i="20"/>
  <c r="H724" i="20"/>
  <c r="D724" i="20"/>
  <c r="H723" i="20"/>
  <c r="D723" i="20"/>
  <c r="H722" i="20"/>
  <c r="D722" i="20"/>
  <c r="H721" i="20"/>
  <c r="D721" i="20"/>
  <c r="H720" i="20"/>
  <c r="D720" i="20"/>
  <c r="H719" i="20"/>
  <c r="D719" i="20"/>
  <c r="H718" i="20"/>
  <c r="D718" i="20"/>
  <c r="H717" i="20"/>
  <c r="D717" i="20"/>
  <c r="H716" i="20"/>
  <c r="D716" i="20"/>
  <c r="H715" i="20"/>
  <c r="D715" i="20"/>
  <c r="H714" i="20"/>
  <c r="D714" i="20"/>
  <c r="H713" i="20"/>
  <c r="D713" i="20"/>
  <c r="H712" i="20"/>
  <c r="D712" i="20"/>
  <c r="H711" i="20"/>
  <c r="D711" i="20"/>
  <c r="H710" i="20"/>
  <c r="D710" i="20"/>
  <c r="H709" i="20"/>
  <c r="D709" i="20"/>
  <c r="H708" i="20"/>
  <c r="D708" i="20"/>
  <c r="H707" i="20"/>
  <c r="D707" i="20"/>
  <c r="H706" i="20"/>
  <c r="D706" i="20"/>
  <c r="H705" i="20"/>
  <c r="D705" i="20"/>
  <c r="H704" i="20"/>
  <c r="D704" i="20"/>
  <c r="H703" i="20"/>
  <c r="D703" i="20"/>
  <c r="H702" i="20"/>
  <c r="D702" i="20"/>
  <c r="H701" i="20"/>
  <c r="D701" i="20"/>
  <c r="H700" i="20"/>
  <c r="D700" i="20"/>
  <c r="H699" i="20"/>
  <c r="D699" i="20"/>
  <c r="H698" i="20"/>
  <c r="D698" i="20"/>
  <c r="H697" i="20"/>
  <c r="D697" i="20"/>
  <c r="H696" i="20"/>
  <c r="D696" i="20"/>
  <c r="H695" i="20"/>
  <c r="D695" i="20"/>
  <c r="H694" i="20"/>
  <c r="D694" i="20"/>
  <c r="H693" i="20"/>
  <c r="D693" i="20"/>
  <c r="H692" i="20"/>
  <c r="D692" i="20"/>
  <c r="H691" i="20"/>
  <c r="D691" i="20"/>
  <c r="H690" i="20"/>
  <c r="D690" i="20"/>
  <c r="H689" i="20"/>
  <c r="D689" i="20"/>
  <c r="H688" i="20"/>
  <c r="D688" i="20"/>
  <c r="H687" i="20"/>
  <c r="D687" i="20"/>
  <c r="H686" i="20"/>
  <c r="D686" i="20"/>
  <c r="H685" i="20"/>
  <c r="D685" i="20"/>
  <c r="H684" i="20"/>
  <c r="D684" i="20"/>
  <c r="H683" i="20"/>
  <c r="D683" i="20"/>
  <c r="H682" i="20"/>
  <c r="D682" i="20"/>
  <c r="H681" i="20"/>
  <c r="D681" i="20"/>
  <c r="H680" i="20"/>
  <c r="D680" i="20"/>
  <c r="H679" i="20"/>
  <c r="D679" i="20"/>
  <c r="H678" i="20"/>
  <c r="D678" i="20"/>
  <c r="H677" i="20"/>
  <c r="D677" i="20"/>
  <c r="H676" i="20"/>
  <c r="D676" i="20"/>
  <c r="H675" i="20"/>
  <c r="D675" i="20"/>
  <c r="H674" i="20"/>
  <c r="D674" i="20"/>
  <c r="H673" i="20"/>
  <c r="D673" i="20"/>
  <c r="H672" i="20"/>
  <c r="D672" i="20"/>
  <c r="H671" i="20"/>
  <c r="D671" i="20"/>
  <c r="H670" i="20"/>
  <c r="D670" i="20"/>
  <c r="H669" i="20"/>
  <c r="D669" i="20"/>
  <c r="H668" i="20"/>
  <c r="D668" i="20"/>
  <c r="H667" i="20"/>
  <c r="D667" i="20"/>
  <c r="H666" i="20"/>
  <c r="D666" i="20"/>
  <c r="H665" i="20"/>
  <c r="D665" i="20"/>
  <c r="H664" i="20"/>
  <c r="D664" i="20"/>
  <c r="H663" i="20"/>
  <c r="D663" i="20"/>
  <c r="H662" i="20"/>
  <c r="D662" i="20"/>
  <c r="H661" i="20"/>
  <c r="D661" i="20"/>
  <c r="H660" i="20"/>
  <c r="D660" i="20"/>
  <c r="H659" i="20"/>
  <c r="D659" i="20"/>
  <c r="H658" i="20"/>
  <c r="D658" i="20"/>
  <c r="H657" i="20"/>
  <c r="D657" i="20"/>
  <c r="H656" i="20"/>
  <c r="D656" i="20"/>
  <c r="H655" i="20"/>
  <c r="D655" i="20"/>
  <c r="H654" i="20"/>
  <c r="D654" i="20"/>
  <c r="H653" i="20"/>
  <c r="D653" i="20"/>
  <c r="H652" i="20"/>
  <c r="D652" i="20"/>
  <c r="H651" i="20"/>
  <c r="D651" i="20"/>
  <c r="H650" i="20"/>
  <c r="D650" i="20"/>
  <c r="H649" i="20"/>
  <c r="D649" i="20"/>
  <c r="H648" i="20"/>
  <c r="D648" i="20"/>
  <c r="H647" i="20"/>
  <c r="D647" i="20"/>
  <c r="H646" i="20"/>
  <c r="D646" i="20"/>
  <c r="H645" i="20"/>
  <c r="D645" i="20"/>
  <c r="H644" i="20"/>
  <c r="D644" i="20"/>
  <c r="H643" i="20"/>
  <c r="D643" i="20"/>
  <c r="H642" i="20"/>
  <c r="D642" i="20"/>
  <c r="H641" i="20"/>
  <c r="D641" i="20"/>
  <c r="H640" i="20"/>
  <c r="D640" i="20"/>
  <c r="H639" i="20"/>
  <c r="D639" i="20"/>
  <c r="H638" i="20"/>
  <c r="D638" i="20"/>
  <c r="H637" i="20"/>
  <c r="D637" i="20"/>
  <c r="H636" i="20"/>
  <c r="D636" i="20"/>
  <c r="H635" i="20"/>
  <c r="D635" i="20"/>
  <c r="H634" i="20"/>
  <c r="D634" i="20"/>
  <c r="H633" i="20"/>
  <c r="D633" i="20"/>
  <c r="H632" i="20"/>
  <c r="D632" i="20"/>
  <c r="H631" i="20"/>
  <c r="D631" i="20"/>
  <c r="H630" i="20"/>
  <c r="D630" i="20"/>
  <c r="H629" i="20"/>
  <c r="D629" i="20"/>
  <c r="H628" i="20"/>
  <c r="D628" i="20"/>
  <c r="H627" i="20"/>
  <c r="D627" i="20"/>
  <c r="H626" i="20"/>
  <c r="D626" i="20"/>
  <c r="H625" i="20"/>
  <c r="D625" i="20"/>
  <c r="H624" i="20"/>
  <c r="D624" i="20"/>
  <c r="H623" i="20"/>
  <c r="D623" i="20"/>
  <c r="H622" i="20"/>
  <c r="D622" i="20"/>
  <c r="H621" i="20"/>
  <c r="D621" i="20"/>
  <c r="H620" i="20"/>
  <c r="D620" i="20"/>
  <c r="H619" i="20"/>
  <c r="D619" i="20"/>
  <c r="H618" i="20"/>
  <c r="D618" i="20"/>
  <c r="H617" i="20"/>
  <c r="D617" i="20"/>
  <c r="H616" i="20"/>
  <c r="D616" i="20"/>
  <c r="H615" i="20"/>
  <c r="D615" i="20"/>
  <c r="H614" i="20"/>
  <c r="D614" i="20"/>
  <c r="H613" i="20"/>
  <c r="D613" i="20"/>
  <c r="H612" i="20"/>
  <c r="D612" i="20"/>
  <c r="H611" i="20"/>
  <c r="D611" i="20"/>
  <c r="H610" i="20"/>
  <c r="D610" i="20"/>
  <c r="H609" i="20"/>
  <c r="D609" i="20"/>
  <c r="H608" i="20"/>
  <c r="D608" i="20"/>
  <c r="H607" i="20"/>
  <c r="D607" i="20"/>
  <c r="H606" i="20"/>
  <c r="D606" i="20"/>
  <c r="H605" i="20"/>
  <c r="D605" i="20"/>
  <c r="H604" i="20"/>
  <c r="D604" i="20"/>
  <c r="H603" i="20"/>
  <c r="D603" i="20"/>
  <c r="H602" i="20"/>
  <c r="D602" i="20"/>
  <c r="H601" i="20"/>
  <c r="D601" i="20"/>
  <c r="H600" i="20"/>
  <c r="D600" i="20"/>
  <c r="H599" i="20"/>
  <c r="D599" i="20"/>
  <c r="H598" i="20"/>
  <c r="D598" i="20"/>
  <c r="H597" i="20"/>
  <c r="D597" i="20"/>
  <c r="H596" i="20"/>
  <c r="D596" i="20"/>
  <c r="H595" i="20"/>
  <c r="D595" i="20"/>
  <c r="H594" i="20"/>
  <c r="D594" i="20"/>
  <c r="H593" i="20"/>
  <c r="D593" i="20"/>
  <c r="H592" i="20"/>
  <c r="D592" i="20"/>
  <c r="H591" i="20"/>
  <c r="D591" i="20"/>
  <c r="H590" i="20"/>
  <c r="D590" i="20"/>
  <c r="H589" i="20"/>
  <c r="D589" i="20"/>
  <c r="H588" i="20"/>
  <c r="D588" i="20"/>
  <c r="H587" i="20"/>
  <c r="D587" i="20"/>
  <c r="H586" i="20"/>
  <c r="D586" i="20"/>
  <c r="H585" i="20"/>
  <c r="D585" i="20"/>
  <c r="H584" i="20"/>
  <c r="D584" i="20"/>
  <c r="H583" i="20"/>
  <c r="D583" i="20"/>
  <c r="H582" i="20"/>
  <c r="D582" i="20"/>
  <c r="H581" i="20"/>
  <c r="D581" i="20"/>
  <c r="H580" i="20"/>
  <c r="D580" i="20"/>
  <c r="H579" i="20"/>
  <c r="D579" i="20"/>
  <c r="H578" i="20"/>
  <c r="D578" i="20"/>
  <c r="H577" i="20"/>
  <c r="D577" i="20"/>
  <c r="H576" i="20"/>
  <c r="D576" i="20"/>
  <c r="H575" i="20"/>
  <c r="D575" i="20"/>
  <c r="H574" i="20"/>
  <c r="D574" i="20"/>
  <c r="H573" i="20"/>
  <c r="D573" i="20"/>
  <c r="H572" i="20"/>
  <c r="D572" i="20"/>
  <c r="H571" i="20"/>
  <c r="D571" i="20"/>
  <c r="H570" i="20"/>
  <c r="D570" i="20"/>
  <c r="H569" i="20"/>
  <c r="D569" i="20"/>
  <c r="H568" i="20"/>
  <c r="D568" i="20"/>
  <c r="H567" i="20"/>
  <c r="D567" i="20"/>
  <c r="H566" i="20"/>
  <c r="D566" i="20"/>
  <c r="H565" i="20"/>
  <c r="D565" i="20"/>
  <c r="H564" i="20"/>
  <c r="D564" i="20"/>
  <c r="H563" i="20"/>
  <c r="D563" i="20"/>
  <c r="H562" i="20"/>
  <c r="D562" i="20"/>
  <c r="H561" i="20"/>
  <c r="D561" i="20"/>
  <c r="H560" i="20"/>
  <c r="D560" i="20"/>
  <c r="H559" i="20"/>
  <c r="D559" i="20"/>
  <c r="H558" i="20"/>
  <c r="D558" i="20"/>
  <c r="H557" i="20"/>
  <c r="D557" i="20"/>
  <c r="H556" i="20"/>
  <c r="D556" i="20"/>
  <c r="H555" i="20"/>
  <c r="D555" i="20"/>
  <c r="H554" i="20"/>
  <c r="D554" i="20"/>
  <c r="H553" i="20"/>
  <c r="D553" i="20"/>
  <c r="H552" i="20"/>
  <c r="D552" i="20"/>
  <c r="H551" i="20"/>
  <c r="D551" i="20"/>
  <c r="H550" i="20"/>
  <c r="D550" i="20"/>
  <c r="H549" i="20"/>
  <c r="D549" i="20"/>
  <c r="H548" i="20"/>
  <c r="D548" i="20"/>
  <c r="H547" i="20"/>
  <c r="D547" i="20"/>
  <c r="H546" i="20"/>
  <c r="D546" i="20"/>
  <c r="H545" i="20"/>
  <c r="D545" i="20"/>
  <c r="H544" i="20"/>
  <c r="D544" i="20"/>
  <c r="H543" i="20"/>
  <c r="D543" i="20"/>
  <c r="H542" i="20"/>
  <c r="D542" i="20"/>
  <c r="H541" i="20"/>
  <c r="D541" i="20"/>
  <c r="H540" i="20"/>
  <c r="D540" i="20"/>
  <c r="H539" i="20"/>
  <c r="D539" i="20"/>
  <c r="H538" i="20"/>
  <c r="D538" i="20"/>
  <c r="H537" i="20"/>
  <c r="D537" i="20"/>
  <c r="H536" i="20"/>
  <c r="D536" i="20"/>
  <c r="H535" i="20"/>
  <c r="D535" i="20"/>
  <c r="H534" i="20"/>
  <c r="D534" i="20"/>
  <c r="H533" i="20"/>
  <c r="D533" i="20"/>
  <c r="H532" i="20"/>
  <c r="D532" i="20"/>
  <c r="H531" i="20"/>
  <c r="D531" i="20"/>
  <c r="H530" i="20"/>
  <c r="D530" i="20"/>
  <c r="H529" i="20"/>
  <c r="D529" i="20"/>
  <c r="H528" i="20"/>
  <c r="D528" i="20"/>
  <c r="H527" i="20"/>
  <c r="D527" i="20"/>
  <c r="H526" i="20"/>
  <c r="D526" i="20"/>
  <c r="H525" i="20"/>
  <c r="D525" i="20"/>
  <c r="H524" i="20"/>
  <c r="D524" i="20"/>
  <c r="H523" i="20"/>
  <c r="D523" i="20"/>
  <c r="H522" i="20"/>
  <c r="D522" i="20"/>
  <c r="H521" i="20"/>
  <c r="D521" i="20"/>
  <c r="H520" i="20"/>
  <c r="D520" i="20"/>
  <c r="H519" i="20"/>
  <c r="D519" i="20"/>
  <c r="H518" i="20"/>
  <c r="D518" i="20"/>
  <c r="H517" i="20"/>
  <c r="D517" i="20"/>
  <c r="H516" i="20"/>
  <c r="D516" i="20"/>
  <c r="H515" i="20"/>
  <c r="D515" i="20"/>
  <c r="H514" i="20"/>
  <c r="D514" i="20"/>
  <c r="H513" i="20"/>
  <c r="D513" i="20"/>
  <c r="H512" i="20"/>
  <c r="D512" i="20"/>
  <c r="H511" i="20"/>
  <c r="D511" i="20"/>
  <c r="H510" i="20"/>
  <c r="D510" i="20"/>
  <c r="H509" i="20"/>
  <c r="D509" i="20"/>
  <c r="H508" i="20"/>
  <c r="D508" i="20"/>
  <c r="H507" i="20"/>
  <c r="D507" i="20"/>
  <c r="H506" i="20"/>
  <c r="D506" i="20"/>
  <c r="H505" i="20"/>
  <c r="D505" i="20"/>
  <c r="H504" i="20"/>
  <c r="D504" i="20"/>
  <c r="H503" i="20"/>
  <c r="D503" i="20"/>
  <c r="H502" i="20"/>
  <c r="D502" i="20"/>
  <c r="H501" i="20"/>
  <c r="D501" i="20"/>
  <c r="H500" i="20"/>
  <c r="D500" i="20"/>
  <c r="H499" i="20"/>
  <c r="D499" i="20"/>
  <c r="H498" i="20"/>
  <c r="D498" i="20"/>
  <c r="H497" i="20"/>
  <c r="D497" i="20"/>
  <c r="H496" i="20"/>
  <c r="D496" i="20"/>
  <c r="H495" i="20"/>
  <c r="D495" i="20"/>
  <c r="H494" i="20"/>
  <c r="D494" i="20"/>
  <c r="H493" i="20"/>
  <c r="D493" i="20"/>
  <c r="H492" i="20"/>
  <c r="D492" i="20"/>
  <c r="H491" i="20"/>
  <c r="D491" i="20"/>
  <c r="H490" i="20"/>
  <c r="D490" i="20"/>
  <c r="H489" i="20"/>
  <c r="D489" i="20"/>
  <c r="H488" i="20"/>
  <c r="D488" i="20"/>
  <c r="H487" i="20"/>
  <c r="D487" i="20"/>
  <c r="H486" i="20"/>
  <c r="D486" i="20"/>
  <c r="H485" i="20"/>
  <c r="D485" i="20"/>
  <c r="H484" i="20"/>
  <c r="D484" i="20"/>
  <c r="H483" i="20"/>
  <c r="D483" i="20"/>
  <c r="H482" i="20"/>
  <c r="D482" i="20"/>
  <c r="H481" i="20"/>
  <c r="D481" i="20"/>
  <c r="H480" i="20"/>
  <c r="D480" i="20"/>
  <c r="H479" i="20"/>
  <c r="D479" i="20"/>
  <c r="H478" i="20"/>
  <c r="D478" i="20"/>
  <c r="H477" i="20"/>
  <c r="D477" i="20"/>
  <c r="H476" i="20"/>
  <c r="D476" i="20"/>
  <c r="H475" i="20"/>
  <c r="D475" i="20"/>
  <c r="H474" i="20"/>
  <c r="D474" i="20"/>
  <c r="H473" i="20"/>
  <c r="D473" i="20"/>
  <c r="H472" i="20"/>
  <c r="D472" i="20"/>
  <c r="H471" i="20"/>
  <c r="D471" i="20"/>
  <c r="H470" i="20"/>
  <c r="D470" i="20"/>
  <c r="H469" i="20"/>
  <c r="D469" i="20"/>
  <c r="H468" i="20"/>
  <c r="D468" i="20"/>
  <c r="H467" i="20"/>
  <c r="D467" i="20"/>
  <c r="H466" i="20"/>
  <c r="D466" i="20"/>
  <c r="H465" i="20"/>
  <c r="D465" i="20"/>
  <c r="H464" i="20"/>
  <c r="D464" i="20"/>
  <c r="H463" i="20"/>
  <c r="D463" i="20"/>
  <c r="H462" i="20"/>
  <c r="D462" i="20"/>
  <c r="H461" i="20"/>
  <c r="D461" i="20"/>
  <c r="H460" i="20"/>
  <c r="D460" i="20"/>
  <c r="H459" i="20"/>
  <c r="D459" i="20"/>
  <c r="H458" i="20"/>
  <c r="D458" i="20"/>
  <c r="H457" i="20"/>
  <c r="D457" i="20"/>
  <c r="H456" i="20"/>
  <c r="D456" i="20"/>
  <c r="H455" i="20"/>
  <c r="D455" i="20"/>
  <c r="H454" i="20"/>
  <c r="D454" i="20"/>
  <c r="H453" i="20"/>
  <c r="D453" i="20"/>
  <c r="H452" i="20"/>
  <c r="D452" i="20"/>
  <c r="H451" i="20"/>
  <c r="D451" i="20"/>
  <c r="H450" i="20"/>
  <c r="D450" i="20"/>
  <c r="H449" i="20"/>
  <c r="D449" i="20"/>
  <c r="H448" i="20"/>
  <c r="D448" i="20"/>
  <c r="H447" i="20"/>
  <c r="D447" i="20"/>
  <c r="H446" i="20"/>
  <c r="D446" i="20"/>
  <c r="H445" i="20"/>
  <c r="D445" i="20"/>
  <c r="H444" i="20"/>
  <c r="D444" i="20"/>
  <c r="H443" i="20"/>
  <c r="D443" i="20"/>
  <c r="H442" i="20"/>
  <c r="D442" i="20"/>
  <c r="H441" i="20"/>
  <c r="D441" i="20"/>
  <c r="H440" i="20"/>
  <c r="D440" i="20"/>
  <c r="H439" i="20"/>
  <c r="D439" i="20"/>
  <c r="H438" i="20"/>
  <c r="D438" i="20"/>
  <c r="H437" i="20"/>
  <c r="D437" i="20"/>
  <c r="H436" i="20"/>
  <c r="D436" i="20"/>
  <c r="H435" i="20"/>
  <c r="D435" i="20"/>
  <c r="H434" i="20"/>
  <c r="D434" i="20"/>
  <c r="H433" i="20"/>
  <c r="D433" i="20"/>
  <c r="H432" i="20"/>
  <c r="D432" i="20"/>
  <c r="H431" i="20"/>
  <c r="D431" i="20"/>
  <c r="H430" i="20"/>
  <c r="D430" i="20"/>
  <c r="H429" i="20"/>
  <c r="D429" i="20"/>
  <c r="H428" i="20"/>
  <c r="D428" i="20"/>
  <c r="H427" i="20"/>
  <c r="D427" i="20"/>
  <c r="H426" i="20"/>
  <c r="D426" i="20"/>
  <c r="H425" i="20"/>
  <c r="D425" i="20"/>
  <c r="H424" i="20"/>
  <c r="D424" i="20"/>
  <c r="H423" i="20"/>
  <c r="D423" i="20"/>
  <c r="H422" i="20"/>
  <c r="D422" i="20"/>
  <c r="H421" i="20"/>
  <c r="D421" i="20"/>
  <c r="H420" i="20"/>
  <c r="D420" i="20"/>
  <c r="H419" i="20"/>
  <c r="D419" i="20"/>
  <c r="H418" i="20"/>
  <c r="D418" i="20"/>
  <c r="H417" i="20"/>
  <c r="D417" i="20"/>
  <c r="H416" i="20"/>
  <c r="D416" i="20"/>
  <c r="H415" i="20"/>
  <c r="D415" i="20"/>
  <c r="H414" i="20"/>
  <c r="D414" i="20"/>
  <c r="H413" i="20"/>
  <c r="D413" i="20"/>
  <c r="H412" i="20"/>
  <c r="D412" i="20"/>
  <c r="H411" i="20"/>
  <c r="D411" i="20"/>
  <c r="H410" i="20"/>
  <c r="D410" i="20"/>
  <c r="H409" i="20"/>
  <c r="D409" i="20"/>
  <c r="H408" i="20"/>
  <c r="D408" i="20"/>
  <c r="H407" i="20"/>
  <c r="D407" i="20"/>
  <c r="H406" i="20"/>
  <c r="D406" i="20"/>
  <c r="H405" i="20"/>
  <c r="D405" i="20"/>
  <c r="H404" i="20"/>
  <c r="D404" i="20"/>
  <c r="H403" i="20"/>
  <c r="D403" i="20"/>
  <c r="H402" i="20"/>
  <c r="D402" i="20"/>
  <c r="H401" i="20"/>
  <c r="D401" i="20"/>
  <c r="H400" i="20"/>
  <c r="D400" i="20"/>
  <c r="H399" i="20"/>
  <c r="D399" i="20"/>
  <c r="H398" i="20"/>
  <c r="D398" i="20"/>
  <c r="H397" i="20"/>
  <c r="D397" i="20"/>
  <c r="H396" i="20"/>
  <c r="D396" i="20"/>
  <c r="H395" i="20"/>
  <c r="D395" i="20"/>
  <c r="H394" i="20"/>
  <c r="D394" i="20"/>
  <c r="H393" i="20"/>
  <c r="D393" i="20"/>
  <c r="H392" i="20"/>
  <c r="D392" i="20"/>
  <c r="H391" i="20"/>
  <c r="D391" i="20"/>
  <c r="H390" i="20"/>
  <c r="D390" i="20"/>
  <c r="H389" i="20"/>
  <c r="D389" i="20"/>
  <c r="H388" i="20"/>
  <c r="D388" i="20"/>
  <c r="H387" i="20"/>
  <c r="D387" i="20"/>
  <c r="H386" i="20"/>
  <c r="D386" i="20"/>
  <c r="H385" i="20"/>
  <c r="D385" i="20"/>
  <c r="H384" i="20"/>
  <c r="D384" i="20"/>
  <c r="H383" i="20"/>
  <c r="D383" i="20"/>
  <c r="H382" i="20"/>
  <c r="D382" i="20"/>
  <c r="H381" i="20"/>
  <c r="D381" i="20"/>
  <c r="H380" i="20"/>
  <c r="D380" i="20"/>
  <c r="H379" i="20"/>
  <c r="D379" i="20"/>
  <c r="H378" i="20"/>
  <c r="D378" i="20"/>
  <c r="H377" i="20"/>
  <c r="D377" i="20"/>
  <c r="H376" i="20"/>
  <c r="D376" i="20"/>
  <c r="H375" i="20"/>
  <c r="D375" i="20"/>
  <c r="H374" i="20"/>
  <c r="D374" i="20"/>
  <c r="H373" i="20"/>
  <c r="D373" i="20"/>
  <c r="H372" i="20"/>
  <c r="D372" i="20"/>
  <c r="H371" i="20"/>
  <c r="D371" i="20"/>
  <c r="H370" i="20"/>
  <c r="D370" i="20"/>
  <c r="H369" i="20"/>
  <c r="D369" i="20"/>
  <c r="H368" i="20"/>
  <c r="D368" i="20"/>
  <c r="H367" i="20"/>
  <c r="D367" i="20"/>
  <c r="H366" i="20"/>
  <c r="D366" i="20"/>
  <c r="H365" i="20"/>
  <c r="D365" i="20"/>
  <c r="H364" i="20"/>
  <c r="D364" i="20"/>
  <c r="H363" i="20"/>
  <c r="D363" i="20"/>
  <c r="H362" i="20"/>
  <c r="D362" i="20"/>
  <c r="H361" i="20"/>
  <c r="D361" i="20"/>
  <c r="H360" i="20"/>
  <c r="D360" i="20"/>
  <c r="H359" i="20"/>
  <c r="D359" i="20"/>
  <c r="H358" i="20"/>
  <c r="D358" i="20"/>
  <c r="H357" i="20"/>
  <c r="D357" i="20"/>
  <c r="H356" i="20"/>
  <c r="D356" i="20"/>
  <c r="H355" i="20"/>
  <c r="D355" i="20"/>
  <c r="H354" i="20"/>
  <c r="D354" i="20"/>
  <c r="H353" i="20"/>
  <c r="D353" i="20"/>
  <c r="H352" i="20"/>
  <c r="D352" i="20"/>
  <c r="H351" i="20"/>
  <c r="D351" i="20"/>
  <c r="H350" i="20"/>
  <c r="D350" i="20"/>
  <c r="H349" i="20"/>
  <c r="D349" i="20"/>
  <c r="H348" i="20"/>
  <c r="D348" i="20"/>
  <c r="H347" i="20"/>
  <c r="D347" i="20"/>
  <c r="H346" i="20"/>
  <c r="D346" i="20"/>
  <c r="H345" i="20"/>
  <c r="D345" i="20"/>
  <c r="H344" i="20"/>
  <c r="D344" i="20"/>
  <c r="H343" i="20"/>
  <c r="D343" i="20"/>
  <c r="H342" i="20"/>
  <c r="D342" i="20"/>
  <c r="H341" i="20"/>
  <c r="D341" i="20"/>
  <c r="H340" i="20"/>
  <c r="D340" i="20"/>
  <c r="H339" i="20"/>
  <c r="D339" i="20"/>
  <c r="H338" i="20"/>
  <c r="D338" i="20"/>
  <c r="H337" i="20"/>
  <c r="D337" i="20"/>
  <c r="H336" i="20"/>
  <c r="D336" i="20"/>
  <c r="H335" i="20"/>
  <c r="D335" i="20"/>
  <c r="H334" i="20"/>
  <c r="D334" i="20"/>
  <c r="H333" i="20"/>
  <c r="D333" i="20"/>
  <c r="H332" i="20"/>
  <c r="D332" i="20"/>
  <c r="H331" i="20"/>
  <c r="D331" i="20"/>
  <c r="H330" i="20"/>
  <c r="D330" i="20"/>
  <c r="H329" i="20"/>
  <c r="D329" i="20"/>
  <c r="H328" i="20"/>
  <c r="D328" i="20"/>
  <c r="H327" i="20"/>
  <c r="D327" i="20"/>
  <c r="H326" i="20"/>
  <c r="D326" i="20"/>
  <c r="H325" i="20"/>
  <c r="D325" i="20"/>
  <c r="H324" i="20"/>
  <c r="D324" i="20"/>
  <c r="H323" i="20"/>
  <c r="D323" i="20"/>
  <c r="H322" i="20"/>
  <c r="D322" i="20"/>
  <c r="H321" i="20"/>
  <c r="D321" i="20"/>
  <c r="H320" i="20"/>
  <c r="D320" i="20"/>
  <c r="H319" i="20"/>
  <c r="D319" i="20"/>
  <c r="H318" i="20"/>
  <c r="D318" i="20"/>
  <c r="H317" i="20"/>
  <c r="D317" i="20"/>
  <c r="H316" i="20"/>
  <c r="D316" i="20"/>
  <c r="H315" i="20"/>
  <c r="D315" i="20"/>
  <c r="H314" i="20"/>
  <c r="D314" i="20"/>
  <c r="H313" i="20"/>
  <c r="D313" i="20"/>
  <c r="H312" i="20"/>
  <c r="D312" i="20"/>
  <c r="H311" i="20"/>
  <c r="D311" i="20"/>
  <c r="H310" i="20"/>
  <c r="D310" i="20"/>
  <c r="H309" i="20"/>
  <c r="D309" i="20"/>
  <c r="H308" i="20"/>
  <c r="D308" i="20"/>
  <c r="H307" i="20"/>
  <c r="D307" i="20"/>
  <c r="H306" i="20"/>
  <c r="D306" i="20"/>
  <c r="H305" i="20"/>
  <c r="D305" i="20"/>
  <c r="H304" i="20"/>
  <c r="D304" i="20"/>
  <c r="H303" i="20"/>
  <c r="D303" i="20"/>
  <c r="H302" i="20"/>
  <c r="D302" i="20"/>
  <c r="H301" i="20"/>
  <c r="D301" i="20"/>
  <c r="H300" i="20"/>
  <c r="D300" i="20"/>
  <c r="H299" i="20"/>
  <c r="D299" i="20"/>
  <c r="H298" i="20"/>
  <c r="D298" i="20"/>
  <c r="H297" i="20"/>
  <c r="D297" i="20"/>
  <c r="H296" i="20"/>
  <c r="D296" i="20"/>
  <c r="H295" i="20"/>
  <c r="D295" i="20"/>
  <c r="H294" i="20"/>
  <c r="D294" i="20"/>
  <c r="H293" i="20"/>
  <c r="D293" i="20"/>
  <c r="H292" i="20"/>
  <c r="D292" i="20"/>
  <c r="H291" i="20"/>
  <c r="D291" i="20"/>
  <c r="H290" i="20"/>
  <c r="D290" i="20"/>
  <c r="H289" i="20"/>
  <c r="D289" i="20"/>
  <c r="H288" i="20"/>
  <c r="D288" i="20"/>
  <c r="H287" i="20"/>
  <c r="D287" i="20"/>
  <c r="H286" i="20"/>
  <c r="D286" i="20"/>
  <c r="H285" i="20"/>
  <c r="D285" i="20"/>
  <c r="H284" i="20"/>
  <c r="D284" i="20"/>
  <c r="H283" i="20"/>
  <c r="D283" i="20"/>
  <c r="H282" i="20"/>
  <c r="D282" i="20"/>
  <c r="H281" i="20"/>
  <c r="D281" i="20"/>
  <c r="H280" i="20"/>
  <c r="D280" i="20"/>
  <c r="H279" i="20"/>
  <c r="D279" i="20"/>
  <c r="H278" i="20"/>
  <c r="D278" i="20"/>
  <c r="H277" i="20"/>
  <c r="D277" i="20"/>
  <c r="H276" i="20"/>
  <c r="D276" i="20"/>
  <c r="H275" i="20"/>
  <c r="D275" i="20"/>
  <c r="H274" i="20"/>
  <c r="D274" i="20"/>
  <c r="H273" i="20"/>
  <c r="D273" i="20"/>
  <c r="H272" i="20"/>
  <c r="D272" i="20"/>
  <c r="H271" i="20"/>
  <c r="D271" i="20"/>
  <c r="H270" i="20"/>
  <c r="D270" i="20"/>
  <c r="H269" i="20"/>
  <c r="D269" i="20"/>
  <c r="H268" i="20"/>
  <c r="D268" i="20"/>
  <c r="H267" i="20"/>
  <c r="D267" i="20"/>
  <c r="H266" i="20"/>
  <c r="D266" i="20"/>
  <c r="H265" i="20"/>
  <c r="D265" i="20"/>
  <c r="H264" i="20"/>
  <c r="D264" i="20"/>
  <c r="H263" i="20"/>
  <c r="D263" i="20"/>
  <c r="H262" i="20"/>
  <c r="D262" i="20"/>
  <c r="H261" i="20"/>
  <c r="D261" i="20"/>
  <c r="H260" i="20"/>
  <c r="D260" i="20"/>
  <c r="H259" i="20"/>
  <c r="D259" i="20"/>
  <c r="H258" i="20"/>
  <c r="D258" i="20"/>
  <c r="H257" i="20"/>
  <c r="D257" i="20"/>
  <c r="H256" i="20"/>
  <c r="D256" i="20"/>
  <c r="H255" i="20"/>
  <c r="D255" i="20"/>
  <c r="H254" i="20"/>
  <c r="D254" i="20"/>
  <c r="H253" i="20"/>
  <c r="D253" i="20"/>
  <c r="H252" i="20"/>
  <c r="D252" i="20"/>
  <c r="H251" i="20"/>
  <c r="D251" i="20"/>
  <c r="H250" i="20"/>
  <c r="D250" i="20"/>
  <c r="H249" i="20"/>
  <c r="D249" i="20"/>
  <c r="H248" i="20"/>
  <c r="D248" i="20"/>
  <c r="H247" i="20"/>
  <c r="D247" i="20"/>
  <c r="H246" i="20"/>
  <c r="D246" i="20"/>
  <c r="H245" i="20"/>
  <c r="D245" i="20"/>
  <c r="H244" i="20"/>
  <c r="D244" i="20"/>
  <c r="H243" i="20"/>
  <c r="D243" i="20"/>
  <c r="H242" i="20"/>
  <c r="D242" i="20"/>
  <c r="H241" i="20"/>
  <c r="D241" i="20"/>
  <c r="H240" i="20"/>
  <c r="D240" i="20"/>
  <c r="H239" i="20"/>
  <c r="D239" i="20"/>
  <c r="H238" i="20"/>
  <c r="D238" i="20"/>
  <c r="H237" i="20"/>
  <c r="D237" i="20"/>
  <c r="H236" i="20"/>
  <c r="D236" i="20"/>
  <c r="H235" i="20"/>
  <c r="D235" i="20"/>
  <c r="H234" i="20"/>
  <c r="D234" i="20"/>
  <c r="H233" i="20"/>
  <c r="D233" i="20"/>
  <c r="H232" i="20"/>
  <c r="D232" i="20"/>
  <c r="H231" i="20"/>
  <c r="D231" i="20"/>
  <c r="H230" i="20"/>
  <c r="D230" i="20"/>
  <c r="H229" i="20"/>
  <c r="D229" i="20"/>
  <c r="H228" i="20"/>
  <c r="D228" i="20"/>
  <c r="H227" i="20"/>
  <c r="D227" i="20"/>
  <c r="H226" i="20"/>
  <c r="D226" i="20"/>
  <c r="H225" i="20"/>
  <c r="D225" i="20"/>
  <c r="H224" i="20"/>
  <c r="D224" i="20"/>
  <c r="H223" i="20"/>
  <c r="D223" i="20"/>
  <c r="H222" i="20"/>
  <c r="D222" i="20"/>
  <c r="H221" i="20"/>
  <c r="D221" i="20"/>
  <c r="H220" i="20"/>
  <c r="D220" i="20"/>
  <c r="H219" i="20"/>
  <c r="D219" i="20"/>
  <c r="H218" i="20"/>
  <c r="D218" i="20"/>
  <c r="H217" i="20"/>
  <c r="D217" i="20"/>
  <c r="H216" i="20"/>
  <c r="D216" i="20"/>
  <c r="H215" i="20"/>
  <c r="D215" i="20"/>
  <c r="H214" i="20"/>
  <c r="D214" i="20"/>
  <c r="H213" i="20"/>
  <c r="D213" i="20"/>
  <c r="H212" i="20"/>
  <c r="D212" i="20"/>
  <c r="H211" i="20"/>
  <c r="D211" i="20"/>
  <c r="H210" i="20"/>
  <c r="D210" i="20"/>
  <c r="H209" i="20"/>
  <c r="D209" i="20"/>
  <c r="H208" i="20"/>
  <c r="D208" i="20"/>
  <c r="H207" i="20"/>
  <c r="D207" i="20"/>
  <c r="H206" i="20"/>
  <c r="D206" i="20"/>
  <c r="H205" i="20"/>
  <c r="D205" i="20"/>
  <c r="H204" i="20"/>
  <c r="D204" i="20"/>
  <c r="H203" i="20"/>
  <c r="D203" i="20"/>
  <c r="H202" i="20"/>
  <c r="D202" i="20"/>
  <c r="H201" i="20"/>
  <c r="D201" i="20"/>
  <c r="H200" i="20"/>
  <c r="D200" i="20"/>
  <c r="H199" i="20"/>
  <c r="D199" i="20"/>
  <c r="H198" i="20"/>
  <c r="D198" i="20"/>
  <c r="H197" i="20"/>
  <c r="D197" i="20"/>
  <c r="H196" i="20"/>
  <c r="D196" i="20"/>
  <c r="H195" i="20"/>
  <c r="D195" i="20"/>
  <c r="H194" i="20"/>
  <c r="D194" i="20"/>
  <c r="H193" i="20"/>
  <c r="D193" i="20"/>
  <c r="H192" i="20"/>
  <c r="D192" i="20"/>
  <c r="H191" i="20"/>
  <c r="D191" i="20"/>
  <c r="H190" i="20"/>
  <c r="D190" i="20"/>
  <c r="H189" i="20"/>
  <c r="D189" i="20"/>
  <c r="H188" i="20"/>
  <c r="D188" i="20"/>
  <c r="H187" i="20"/>
  <c r="D187" i="20"/>
  <c r="H186" i="20"/>
  <c r="D186" i="20"/>
  <c r="H185" i="20"/>
  <c r="D185" i="20"/>
  <c r="H184" i="20"/>
  <c r="D184" i="20"/>
  <c r="H183" i="20"/>
  <c r="D183" i="20"/>
  <c r="H182" i="20"/>
  <c r="D182" i="20"/>
  <c r="H181" i="20"/>
  <c r="D181" i="20"/>
  <c r="H180" i="20"/>
  <c r="D180" i="20"/>
  <c r="H179" i="20"/>
  <c r="D179" i="20"/>
  <c r="H178" i="20"/>
  <c r="D178" i="20"/>
  <c r="H177" i="20"/>
  <c r="D177" i="20"/>
  <c r="H176" i="20"/>
  <c r="D176" i="20"/>
  <c r="H175" i="20"/>
  <c r="D175" i="20"/>
  <c r="H174" i="20"/>
  <c r="D174" i="20"/>
  <c r="H173" i="20"/>
  <c r="D173" i="20"/>
  <c r="H172" i="20"/>
  <c r="D172" i="20"/>
  <c r="H171" i="20"/>
  <c r="D171" i="20"/>
  <c r="H170" i="20"/>
  <c r="D170" i="20"/>
  <c r="H169" i="20"/>
  <c r="D169" i="20"/>
  <c r="H168" i="20"/>
  <c r="D168" i="20"/>
  <c r="H167" i="20"/>
  <c r="D167" i="20"/>
  <c r="H166" i="20"/>
  <c r="D166" i="20"/>
  <c r="H165" i="20"/>
  <c r="D165" i="20"/>
  <c r="H164" i="20"/>
  <c r="D164" i="20"/>
  <c r="H163" i="20"/>
  <c r="D163" i="20"/>
  <c r="H162" i="20"/>
  <c r="D162" i="20"/>
  <c r="H161" i="20"/>
  <c r="D161" i="20"/>
  <c r="H160" i="20"/>
  <c r="D160" i="20"/>
  <c r="H159" i="20"/>
  <c r="D159" i="20"/>
  <c r="H158" i="20"/>
  <c r="D158" i="20"/>
  <c r="H157" i="20"/>
  <c r="D157" i="20"/>
  <c r="H156" i="20"/>
  <c r="D156" i="20"/>
  <c r="H155" i="20"/>
  <c r="D155" i="20"/>
  <c r="H154" i="20"/>
  <c r="D154" i="20"/>
  <c r="H153" i="20"/>
  <c r="D153" i="20"/>
  <c r="H152" i="20"/>
  <c r="D152" i="20"/>
  <c r="H151" i="20"/>
  <c r="D151" i="20"/>
  <c r="H150" i="20"/>
  <c r="D150" i="20"/>
  <c r="H149" i="20"/>
  <c r="D149" i="20"/>
  <c r="H148" i="20"/>
  <c r="D148" i="20"/>
  <c r="H147" i="20"/>
  <c r="D147" i="20"/>
  <c r="H146" i="20"/>
  <c r="D146" i="20"/>
  <c r="H145" i="20"/>
  <c r="D145" i="20"/>
  <c r="H144" i="20"/>
  <c r="D144" i="20"/>
  <c r="H143" i="20"/>
  <c r="D143" i="20"/>
  <c r="H142" i="20"/>
  <c r="D142" i="20"/>
  <c r="H141" i="20"/>
  <c r="D141" i="20"/>
  <c r="H140" i="20"/>
  <c r="D140" i="20"/>
  <c r="H139" i="20"/>
  <c r="D139" i="20"/>
  <c r="H138" i="20"/>
  <c r="D138" i="20"/>
  <c r="H137" i="20"/>
  <c r="D137" i="20"/>
  <c r="H136" i="20"/>
  <c r="D136" i="20"/>
  <c r="H135" i="20"/>
  <c r="D135" i="20"/>
  <c r="H134" i="20"/>
  <c r="D134" i="20"/>
  <c r="H133" i="20"/>
  <c r="D133" i="20"/>
  <c r="H132" i="20"/>
  <c r="D132" i="20"/>
  <c r="H131" i="20"/>
  <c r="D131" i="20"/>
  <c r="H130" i="20"/>
  <c r="D130" i="20"/>
  <c r="H129" i="20"/>
  <c r="D129" i="20"/>
  <c r="H128" i="20"/>
  <c r="D128" i="20"/>
  <c r="H127" i="20"/>
  <c r="D127" i="20"/>
  <c r="H126" i="20"/>
  <c r="D126" i="20"/>
  <c r="H125" i="20"/>
  <c r="D125" i="20"/>
  <c r="H124" i="20"/>
  <c r="D124" i="20"/>
  <c r="H123" i="20"/>
  <c r="D123" i="20"/>
  <c r="H122" i="20"/>
  <c r="D122" i="20"/>
  <c r="H121" i="20"/>
  <c r="D121" i="20"/>
  <c r="H120" i="20"/>
  <c r="D120" i="20"/>
  <c r="H119" i="20"/>
  <c r="D119" i="20"/>
  <c r="H118" i="20"/>
  <c r="D118" i="20"/>
  <c r="H117" i="20"/>
  <c r="D117" i="20"/>
  <c r="H116" i="20"/>
  <c r="D116" i="20"/>
  <c r="H115" i="20"/>
  <c r="D115" i="20"/>
  <c r="H114" i="20"/>
  <c r="D114" i="20"/>
  <c r="H113" i="20"/>
  <c r="D113" i="20"/>
  <c r="H112" i="20"/>
  <c r="D112" i="20"/>
  <c r="H111" i="20"/>
  <c r="D111" i="20"/>
  <c r="H110" i="20"/>
  <c r="D110" i="20"/>
  <c r="H109" i="20"/>
  <c r="D109" i="20"/>
  <c r="H108" i="20"/>
  <c r="D108" i="20"/>
  <c r="H107" i="20"/>
  <c r="D107" i="20"/>
  <c r="H106" i="20"/>
  <c r="D106" i="20"/>
  <c r="H105" i="20"/>
  <c r="D105" i="20"/>
  <c r="H104" i="20"/>
  <c r="D104" i="20"/>
  <c r="H103" i="20"/>
  <c r="D103" i="20"/>
  <c r="H102" i="20"/>
  <c r="D102" i="20"/>
  <c r="H101" i="20"/>
  <c r="D101" i="20"/>
  <c r="H100" i="20"/>
  <c r="D100" i="20"/>
  <c r="H99" i="20"/>
  <c r="D99" i="20"/>
  <c r="H98" i="20"/>
  <c r="D98" i="20"/>
  <c r="H97" i="20"/>
  <c r="D97" i="20"/>
  <c r="H96" i="20"/>
  <c r="D96" i="20"/>
  <c r="H95" i="20"/>
  <c r="D95" i="20"/>
  <c r="H94" i="20"/>
  <c r="D94" i="20"/>
  <c r="H93" i="20"/>
  <c r="D93" i="20"/>
  <c r="H92" i="20"/>
  <c r="D92" i="20"/>
  <c r="H91" i="20"/>
  <c r="D91" i="20"/>
  <c r="H90" i="20"/>
  <c r="D90" i="20"/>
  <c r="H89" i="20"/>
  <c r="D89" i="20"/>
  <c r="H88" i="20"/>
  <c r="D88" i="20"/>
  <c r="H87" i="20"/>
  <c r="D87" i="20"/>
  <c r="H86" i="20"/>
  <c r="D86" i="20"/>
  <c r="H85" i="20"/>
  <c r="D85" i="20"/>
  <c r="H84" i="20"/>
  <c r="D84" i="20"/>
  <c r="H83" i="20"/>
  <c r="D83" i="20"/>
  <c r="H82" i="20"/>
  <c r="D82" i="20"/>
  <c r="H81" i="20"/>
  <c r="D81" i="20"/>
  <c r="H80" i="20"/>
  <c r="D80" i="20"/>
  <c r="H79" i="20"/>
  <c r="D79" i="20"/>
  <c r="H78" i="20"/>
  <c r="D78" i="20"/>
  <c r="H77" i="20"/>
  <c r="D77" i="20"/>
  <c r="H76" i="20"/>
  <c r="D76" i="20"/>
  <c r="H75" i="20"/>
  <c r="D75" i="20"/>
  <c r="H74" i="20"/>
  <c r="D74" i="20"/>
  <c r="H73" i="20"/>
  <c r="D73" i="20"/>
  <c r="H72" i="20"/>
  <c r="D72" i="20"/>
  <c r="H71" i="20"/>
  <c r="D71" i="20"/>
  <c r="H70" i="20"/>
  <c r="D70" i="20"/>
  <c r="H69" i="20"/>
  <c r="D69" i="20"/>
  <c r="H68" i="20"/>
  <c r="D68" i="20"/>
  <c r="H67" i="20"/>
  <c r="D67" i="20"/>
  <c r="H66" i="20"/>
  <c r="D66" i="20"/>
  <c r="H65" i="20"/>
  <c r="D65" i="20"/>
  <c r="H64" i="20"/>
  <c r="D64" i="20"/>
  <c r="H63" i="20"/>
  <c r="D63" i="20"/>
  <c r="H62" i="20"/>
  <c r="D62" i="20"/>
  <c r="H61" i="20"/>
  <c r="D61" i="20"/>
  <c r="H60" i="20"/>
  <c r="D60" i="20"/>
  <c r="H59" i="20"/>
  <c r="D59" i="20"/>
  <c r="H58" i="20"/>
  <c r="D58" i="20"/>
  <c r="H57" i="20"/>
  <c r="D57" i="20"/>
  <c r="H56" i="20"/>
  <c r="D56" i="20"/>
  <c r="H55" i="20"/>
  <c r="D55" i="20"/>
  <c r="H54" i="20"/>
  <c r="D54" i="20"/>
  <c r="H53" i="20"/>
  <c r="D53" i="20"/>
  <c r="H52" i="20"/>
  <c r="D52" i="20"/>
  <c r="H51" i="20"/>
  <c r="D51" i="20"/>
  <c r="H50" i="20"/>
  <c r="D50" i="20"/>
  <c r="H49" i="20"/>
  <c r="D49" i="20"/>
  <c r="H48" i="20"/>
  <c r="D48" i="20"/>
  <c r="H47" i="20"/>
  <c r="D47" i="20"/>
  <c r="H46" i="20"/>
  <c r="D46" i="20"/>
  <c r="H45" i="20"/>
  <c r="D45" i="20"/>
  <c r="H44" i="20"/>
  <c r="D44" i="20"/>
  <c r="H43" i="20"/>
  <c r="D43" i="20"/>
  <c r="H42" i="20"/>
  <c r="D42" i="20"/>
  <c r="H41" i="20"/>
  <c r="D41" i="20"/>
  <c r="H40" i="20"/>
  <c r="D40" i="20"/>
  <c r="H39" i="20"/>
  <c r="D39" i="20"/>
  <c r="H38" i="20"/>
  <c r="D38" i="20"/>
  <c r="H37" i="20"/>
  <c r="D37" i="20"/>
  <c r="H36" i="20"/>
  <c r="D36" i="20"/>
  <c r="H35" i="20"/>
  <c r="D35" i="20"/>
  <c r="H34" i="20"/>
  <c r="D34" i="20"/>
  <c r="H33" i="20"/>
  <c r="D33" i="20"/>
  <c r="H32" i="20"/>
  <c r="D32" i="20"/>
  <c r="H31" i="20"/>
  <c r="D31" i="20"/>
  <c r="H30" i="20"/>
  <c r="D30" i="20"/>
  <c r="H29" i="20"/>
  <c r="D29" i="20"/>
  <c r="H28" i="20"/>
  <c r="D28" i="20"/>
  <c r="H27" i="20"/>
  <c r="D27" i="20"/>
  <c r="H26" i="20"/>
  <c r="D26" i="20"/>
  <c r="H25" i="20"/>
  <c r="D25" i="20"/>
  <c r="H24" i="20"/>
  <c r="D24" i="20"/>
  <c r="H23" i="20"/>
  <c r="D23" i="20"/>
  <c r="H22" i="20"/>
  <c r="D22" i="20"/>
  <c r="H21" i="20"/>
  <c r="D21" i="20"/>
  <c r="H20" i="20"/>
  <c r="D20" i="20"/>
  <c r="H19" i="20"/>
  <c r="D19" i="20"/>
  <c r="H18" i="20"/>
  <c r="D18" i="20"/>
  <c r="H17" i="20"/>
  <c r="D17" i="20"/>
  <c r="H16" i="20"/>
  <c r="D16" i="20"/>
  <c r="H15" i="20"/>
  <c r="D15" i="20"/>
  <c r="H14" i="20"/>
  <c r="D14" i="20"/>
  <c r="H13" i="20"/>
  <c r="D13" i="20"/>
  <c r="H12" i="20"/>
  <c r="D12" i="20"/>
  <c r="H11" i="20"/>
  <c r="D11" i="20"/>
  <c r="H10" i="20"/>
  <c r="D10" i="20"/>
  <c r="H9" i="20"/>
  <c r="D9" i="20"/>
  <c r="H8" i="20"/>
  <c r="D8" i="20"/>
  <c r="H7" i="20"/>
  <c r="D7" i="20"/>
  <c r="H6" i="20"/>
  <c r="D6" i="20"/>
  <c r="H5" i="20"/>
  <c r="D5" i="20"/>
  <c r="H4" i="20"/>
  <c r="D4" i="20"/>
  <c r="H3" i="20"/>
  <c r="D3" i="20"/>
  <c r="H2" i="20"/>
  <c r="D2" i="20"/>
  <c r="F7564" i="8"/>
  <c r="E7564" i="8"/>
  <c r="F7563" i="8"/>
  <c r="E7563" i="8"/>
  <c r="F7562" i="8"/>
  <c r="E7562" i="8"/>
  <c r="F7561" i="8"/>
  <c r="E7561" i="8"/>
  <c r="F7560" i="8"/>
  <c r="E7560" i="8"/>
  <c r="F7559" i="8"/>
  <c r="E7559" i="8"/>
  <c r="F7558" i="8"/>
  <c r="E7558" i="8"/>
  <c r="F7557" i="8"/>
  <c r="E7557" i="8"/>
  <c r="F7556" i="8"/>
  <c r="E7556" i="8"/>
  <c r="F7555" i="8"/>
  <c r="E7555" i="8"/>
  <c r="F7554" i="8"/>
  <c r="E7554" i="8"/>
  <c r="F7553" i="8"/>
  <c r="E7553" i="8"/>
  <c r="F7552" i="8"/>
  <c r="E7552" i="8"/>
  <c r="F7551" i="8"/>
  <c r="E7551" i="8"/>
  <c r="F7550" i="8"/>
  <c r="E7550" i="8"/>
  <c r="F7549" i="8"/>
  <c r="E7549" i="8"/>
  <c r="F7548" i="8"/>
  <c r="E7548" i="8"/>
  <c r="F7547" i="8"/>
  <c r="E7547" i="8"/>
  <c r="F7546" i="8"/>
  <c r="E7546" i="8"/>
  <c r="F7545" i="8"/>
  <c r="E7545" i="8"/>
  <c r="F7544" i="8"/>
  <c r="E7544" i="8"/>
  <c r="F7543" i="8"/>
  <c r="E7543" i="8"/>
  <c r="F7542" i="8"/>
  <c r="E7542" i="8"/>
  <c r="F7541" i="8"/>
  <c r="E7541" i="8"/>
  <c r="F7540" i="8"/>
  <c r="E7540" i="8"/>
  <c r="F7539" i="8"/>
  <c r="E7539" i="8"/>
  <c r="F7538" i="8"/>
  <c r="E7538" i="8"/>
  <c r="F7537" i="8"/>
  <c r="E7537" i="8"/>
  <c r="F7536" i="8"/>
  <c r="E7536" i="8"/>
  <c r="F7535" i="8"/>
  <c r="E7535" i="8"/>
  <c r="F7534" i="8"/>
  <c r="E7534" i="8"/>
  <c r="F7533" i="8"/>
  <c r="E7533" i="8"/>
  <c r="F7532" i="8"/>
  <c r="E7532" i="8"/>
  <c r="F7531" i="8"/>
  <c r="E7531" i="8"/>
  <c r="F7530" i="8"/>
  <c r="E7530" i="8"/>
  <c r="F7529" i="8"/>
  <c r="E7529" i="8"/>
  <c r="F7528" i="8"/>
  <c r="E7528" i="8"/>
  <c r="F7527" i="8"/>
  <c r="E7527" i="8"/>
  <c r="F7526" i="8"/>
  <c r="E7526" i="8"/>
  <c r="F7525" i="8"/>
  <c r="E7525" i="8"/>
  <c r="F7524" i="8"/>
  <c r="E7524" i="8"/>
  <c r="F7523" i="8"/>
  <c r="E7523" i="8"/>
  <c r="F7522" i="8"/>
  <c r="E7522" i="8"/>
  <c r="F7521" i="8"/>
  <c r="E7521" i="8"/>
  <c r="F7520" i="8"/>
  <c r="E7520" i="8"/>
  <c r="F7519" i="8"/>
  <c r="E7519" i="8"/>
  <c r="F7518" i="8"/>
  <c r="E7518" i="8"/>
  <c r="F7517" i="8"/>
  <c r="E7517" i="8"/>
  <c r="F7516" i="8"/>
  <c r="E7516" i="8"/>
  <c r="F7515" i="8"/>
  <c r="E7515" i="8"/>
  <c r="F7514" i="8"/>
  <c r="E7514" i="8"/>
  <c r="F7513" i="8"/>
  <c r="E7513" i="8"/>
  <c r="F7512" i="8"/>
  <c r="E7512" i="8"/>
  <c r="F7511" i="8"/>
  <c r="E7511" i="8"/>
  <c r="F7510" i="8"/>
  <c r="E7510" i="8"/>
  <c r="F7509" i="8"/>
  <c r="E7509" i="8"/>
  <c r="F7508" i="8"/>
  <c r="E7508" i="8"/>
  <c r="F7507" i="8"/>
  <c r="E7507" i="8"/>
  <c r="F7506" i="8"/>
  <c r="E7506" i="8"/>
  <c r="F7505" i="8"/>
  <c r="E7505" i="8"/>
  <c r="F7504" i="8"/>
  <c r="E7504" i="8"/>
  <c r="F7503" i="8"/>
  <c r="E7503" i="8"/>
  <c r="F7502" i="8"/>
  <c r="E7502" i="8"/>
  <c r="F7501" i="8"/>
  <c r="E7501" i="8"/>
  <c r="F7500" i="8"/>
  <c r="E7500" i="8"/>
  <c r="F7499" i="8"/>
  <c r="E7499" i="8"/>
  <c r="F7498" i="8"/>
  <c r="E7498" i="8"/>
  <c r="F7497" i="8"/>
  <c r="E7497" i="8"/>
  <c r="F7496" i="8"/>
  <c r="E7496" i="8"/>
  <c r="F7495" i="8"/>
  <c r="E7495" i="8"/>
  <c r="F7494" i="8"/>
  <c r="E7494" i="8"/>
  <c r="F7493" i="8"/>
  <c r="E7493" i="8"/>
  <c r="F7492" i="8"/>
  <c r="E7492" i="8"/>
  <c r="F7491" i="8"/>
  <c r="E7491" i="8"/>
  <c r="F7490" i="8"/>
  <c r="E7490" i="8"/>
  <c r="F7489" i="8"/>
  <c r="E7489" i="8"/>
  <c r="F7488" i="8"/>
  <c r="E7488" i="8"/>
  <c r="F7487" i="8"/>
  <c r="E7487" i="8"/>
  <c r="F7486" i="8"/>
  <c r="E7486" i="8"/>
  <c r="F7485" i="8"/>
  <c r="E7485" i="8"/>
  <c r="F7484" i="8"/>
  <c r="E7484" i="8"/>
  <c r="F7483" i="8"/>
  <c r="E7483" i="8"/>
  <c r="F7482" i="8"/>
  <c r="E7482" i="8"/>
  <c r="F7481" i="8"/>
  <c r="E7481" i="8"/>
  <c r="F7480" i="8"/>
  <c r="E7480" i="8"/>
  <c r="F7479" i="8"/>
  <c r="E7479" i="8"/>
  <c r="F7478" i="8"/>
  <c r="E7478" i="8"/>
  <c r="F7477" i="8"/>
  <c r="E7477" i="8"/>
  <c r="F7476" i="8"/>
  <c r="E7476" i="8"/>
  <c r="F7475" i="8"/>
  <c r="E7475" i="8"/>
  <c r="F7474" i="8"/>
  <c r="E7474" i="8"/>
  <c r="F7473" i="8"/>
  <c r="E7473" i="8"/>
  <c r="F7472" i="8"/>
  <c r="E7472" i="8"/>
  <c r="F7471" i="8"/>
  <c r="E7471" i="8"/>
  <c r="F7470" i="8"/>
  <c r="E7470" i="8"/>
  <c r="F7469" i="8"/>
  <c r="E7469" i="8"/>
  <c r="F7468" i="8"/>
  <c r="E7468" i="8"/>
  <c r="F7467" i="8"/>
  <c r="E7467" i="8"/>
  <c r="F7466" i="8"/>
  <c r="E7466" i="8"/>
  <c r="F7465" i="8"/>
  <c r="E7465" i="8"/>
  <c r="F7464" i="8"/>
  <c r="E7464" i="8"/>
  <c r="F7463" i="8"/>
  <c r="E7463" i="8"/>
  <c r="F7462" i="8"/>
  <c r="E7462" i="8"/>
  <c r="F7461" i="8"/>
  <c r="E7461" i="8"/>
  <c r="F7460" i="8"/>
  <c r="E7460" i="8"/>
  <c r="F7459" i="8"/>
  <c r="E7459" i="8"/>
  <c r="F7458" i="8"/>
  <c r="E7458" i="8"/>
  <c r="F7457" i="8"/>
  <c r="E7457" i="8"/>
  <c r="F7456" i="8"/>
  <c r="E7456" i="8"/>
  <c r="F7455" i="8"/>
  <c r="E7455" i="8"/>
  <c r="F7454" i="8"/>
  <c r="E7454" i="8"/>
  <c r="F7453" i="8"/>
  <c r="E7453" i="8"/>
  <c r="F7452" i="8"/>
  <c r="E7452" i="8"/>
  <c r="F7451" i="8"/>
  <c r="E7451" i="8"/>
  <c r="F7450" i="8"/>
  <c r="E7450" i="8"/>
  <c r="F7449" i="8"/>
  <c r="E7449" i="8"/>
  <c r="F7448" i="8"/>
  <c r="E7448" i="8"/>
  <c r="F7447" i="8"/>
  <c r="E7447" i="8"/>
  <c r="F7446" i="8"/>
  <c r="E7446" i="8"/>
  <c r="F7445" i="8"/>
  <c r="E7445" i="8"/>
  <c r="F7444" i="8"/>
  <c r="E7444" i="8"/>
  <c r="F7443" i="8"/>
  <c r="E7443" i="8"/>
  <c r="F7442" i="8"/>
  <c r="E7442" i="8"/>
  <c r="F7441" i="8"/>
  <c r="E7441" i="8"/>
  <c r="F7440" i="8"/>
  <c r="E7440" i="8"/>
  <c r="F7439" i="8"/>
  <c r="E7439" i="8"/>
  <c r="F7438" i="8"/>
  <c r="E7438" i="8"/>
  <c r="F7437" i="8"/>
  <c r="E7437" i="8"/>
  <c r="F7436" i="8"/>
  <c r="E7436" i="8"/>
  <c r="F7435" i="8"/>
  <c r="E7435" i="8"/>
  <c r="F7434" i="8"/>
  <c r="E7434" i="8"/>
  <c r="F7433" i="8"/>
  <c r="E7433" i="8"/>
  <c r="F7432" i="8"/>
  <c r="E7432" i="8"/>
  <c r="F7431" i="8"/>
  <c r="E7431" i="8"/>
  <c r="F7430" i="8"/>
  <c r="E7430" i="8"/>
  <c r="F7429" i="8"/>
  <c r="E7429" i="8"/>
  <c r="F7428" i="8"/>
  <c r="E7428" i="8"/>
  <c r="F7427" i="8"/>
  <c r="E7427" i="8"/>
  <c r="F7426" i="8"/>
  <c r="E7426" i="8"/>
  <c r="F7425" i="8"/>
  <c r="E7425" i="8"/>
  <c r="F7424" i="8"/>
  <c r="E7424" i="8"/>
  <c r="F7423" i="8"/>
  <c r="E7423" i="8"/>
  <c r="F7422" i="8"/>
  <c r="E7422" i="8"/>
  <c r="F7421" i="8"/>
  <c r="E7421" i="8"/>
  <c r="F7420" i="8"/>
  <c r="E7420" i="8"/>
  <c r="F7419" i="8"/>
  <c r="E7419" i="8"/>
  <c r="F7418" i="8"/>
  <c r="E7418" i="8"/>
  <c r="F7417" i="8"/>
  <c r="E7417" i="8"/>
  <c r="F7416" i="8"/>
  <c r="E7416" i="8"/>
  <c r="F7415" i="8"/>
  <c r="E7415" i="8"/>
  <c r="F7414" i="8"/>
  <c r="E7414" i="8"/>
  <c r="F7413" i="8"/>
  <c r="E7413" i="8"/>
  <c r="F7412" i="8"/>
  <c r="E7412" i="8"/>
  <c r="F7411" i="8"/>
  <c r="E7411" i="8"/>
  <c r="F7410" i="8"/>
  <c r="E7410" i="8"/>
  <c r="F7409" i="8"/>
  <c r="E7409" i="8"/>
  <c r="F7408" i="8"/>
  <c r="E7408" i="8"/>
  <c r="F7407" i="8"/>
  <c r="E7407" i="8"/>
  <c r="F7406" i="8"/>
  <c r="E7406" i="8"/>
  <c r="F7405" i="8"/>
  <c r="E7405" i="8"/>
  <c r="F7404" i="8"/>
  <c r="E7404" i="8"/>
  <c r="F7403" i="8"/>
  <c r="E7403" i="8"/>
  <c r="F7402" i="8"/>
  <c r="E7402" i="8"/>
  <c r="F7401" i="8"/>
  <c r="E7401" i="8"/>
  <c r="F7400" i="8"/>
  <c r="E7400" i="8"/>
  <c r="F7399" i="8"/>
  <c r="E7399" i="8"/>
  <c r="F7398" i="8"/>
  <c r="E7398" i="8"/>
  <c r="F7397" i="8"/>
  <c r="E7397" i="8"/>
  <c r="F7396" i="8"/>
  <c r="E7396" i="8"/>
  <c r="F7395" i="8"/>
  <c r="E7395" i="8"/>
  <c r="F7394" i="8"/>
  <c r="E7394" i="8"/>
  <c r="F7393" i="8"/>
  <c r="E7393" i="8"/>
  <c r="F7392" i="8"/>
  <c r="E7392" i="8"/>
  <c r="F7391" i="8"/>
  <c r="E7391" i="8"/>
  <c r="F7390" i="8"/>
  <c r="E7390" i="8"/>
  <c r="F7389" i="8"/>
  <c r="E7389" i="8"/>
  <c r="F7388" i="8"/>
  <c r="E7388" i="8"/>
  <c r="F7387" i="8"/>
  <c r="E7387" i="8"/>
  <c r="F7386" i="8"/>
  <c r="E7386" i="8"/>
  <c r="F7385" i="8"/>
  <c r="E7385" i="8"/>
  <c r="F7384" i="8"/>
  <c r="E7384" i="8"/>
  <c r="F7383" i="8"/>
  <c r="E7383" i="8"/>
  <c r="F7382" i="8"/>
  <c r="E7382" i="8"/>
  <c r="F7381" i="8"/>
  <c r="E7381" i="8"/>
  <c r="F7380" i="8"/>
  <c r="E7380" i="8"/>
  <c r="F7379" i="8"/>
  <c r="E7379" i="8"/>
  <c r="F7378" i="8"/>
  <c r="E7378" i="8"/>
  <c r="F7377" i="8"/>
  <c r="E7377" i="8"/>
  <c r="F7376" i="8"/>
  <c r="E7376" i="8"/>
  <c r="F7375" i="8"/>
  <c r="E7375" i="8"/>
  <c r="F7374" i="8"/>
  <c r="E7374" i="8"/>
  <c r="F7373" i="8"/>
  <c r="E7373" i="8"/>
  <c r="F7372" i="8"/>
  <c r="E7372" i="8"/>
  <c r="F7371" i="8"/>
  <c r="E7371" i="8"/>
  <c r="F7370" i="8"/>
  <c r="E7370" i="8"/>
  <c r="F7369" i="8"/>
  <c r="E7369" i="8"/>
  <c r="F7368" i="8"/>
  <c r="E7368" i="8"/>
  <c r="F7367" i="8"/>
  <c r="E7367" i="8"/>
  <c r="F7366" i="8"/>
  <c r="E7366" i="8"/>
  <c r="F7365" i="8"/>
  <c r="E7365" i="8"/>
  <c r="F7364" i="8"/>
  <c r="E7364" i="8"/>
  <c r="F7363" i="8"/>
  <c r="E7363" i="8"/>
  <c r="F7362" i="8"/>
  <c r="E7362" i="8"/>
  <c r="F7361" i="8"/>
  <c r="E7361" i="8"/>
  <c r="F7360" i="8"/>
  <c r="E7360" i="8"/>
  <c r="F7359" i="8"/>
  <c r="E7359" i="8"/>
  <c r="F7358" i="8"/>
  <c r="E7358" i="8"/>
  <c r="F7357" i="8"/>
  <c r="E7357" i="8"/>
  <c r="F7356" i="8"/>
  <c r="E7356" i="8"/>
  <c r="F7355" i="8"/>
  <c r="E7355" i="8"/>
  <c r="F7354" i="8"/>
  <c r="E7354" i="8"/>
  <c r="F7353" i="8"/>
  <c r="E7353" i="8"/>
  <c r="F7352" i="8"/>
  <c r="E7352" i="8"/>
  <c r="F7351" i="8"/>
  <c r="E7351" i="8"/>
  <c r="F7350" i="8"/>
  <c r="E7350" i="8"/>
  <c r="F7349" i="8"/>
  <c r="E7349" i="8"/>
  <c r="F7348" i="8"/>
  <c r="E7348" i="8"/>
  <c r="F7347" i="8"/>
  <c r="E7347" i="8"/>
  <c r="F7346" i="8"/>
  <c r="E7346" i="8"/>
  <c r="F7345" i="8"/>
  <c r="E7345" i="8"/>
  <c r="F7344" i="8"/>
  <c r="E7344" i="8"/>
  <c r="F7343" i="8"/>
  <c r="E7343" i="8"/>
  <c r="F7342" i="8"/>
  <c r="E7342" i="8"/>
  <c r="F7341" i="8"/>
  <c r="E7341" i="8"/>
  <c r="F7340" i="8"/>
  <c r="E7340" i="8"/>
  <c r="F7339" i="8"/>
  <c r="E7339" i="8"/>
  <c r="F7338" i="8"/>
  <c r="E7338" i="8"/>
  <c r="F7337" i="8"/>
  <c r="E7337" i="8"/>
  <c r="F7336" i="8"/>
  <c r="E7336" i="8"/>
  <c r="F7335" i="8"/>
  <c r="E7335" i="8"/>
  <c r="F7334" i="8"/>
  <c r="E7334" i="8"/>
  <c r="F7333" i="8"/>
  <c r="E7333" i="8"/>
  <c r="F7332" i="8"/>
  <c r="E7332" i="8"/>
  <c r="F7331" i="8"/>
  <c r="E7331" i="8"/>
  <c r="F7330" i="8"/>
  <c r="E7330" i="8"/>
  <c r="F7329" i="8"/>
  <c r="E7329" i="8"/>
  <c r="F7328" i="8"/>
  <c r="E7328" i="8"/>
  <c r="F7327" i="8"/>
  <c r="E7327" i="8"/>
  <c r="F7326" i="8"/>
  <c r="E7326" i="8"/>
  <c r="F7325" i="8"/>
  <c r="E7325" i="8"/>
  <c r="F7324" i="8"/>
  <c r="E7324" i="8"/>
  <c r="F7323" i="8"/>
  <c r="E7323" i="8"/>
  <c r="F7322" i="8"/>
  <c r="E7322" i="8"/>
  <c r="F7321" i="8"/>
  <c r="E7321" i="8"/>
  <c r="F7320" i="8"/>
  <c r="E7320" i="8"/>
  <c r="F7319" i="8"/>
  <c r="E7319" i="8"/>
  <c r="F7318" i="8"/>
  <c r="E7318" i="8"/>
  <c r="F7317" i="8"/>
  <c r="E7317" i="8"/>
  <c r="F7316" i="8"/>
  <c r="E7316" i="8"/>
  <c r="F7315" i="8"/>
  <c r="E7315" i="8"/>
  <c r="F7314" i="8"/>
  <c r="E7314" i="8"/>
  <c r="F7313" i="8"/>
  <c r="E7313" i="8"/>
  <c r="F7312" i="8"/>
  <c r="E7312" i="8"/>
  <c r="F7311" i="8"/>
  <c r="E7311" i="8"/>
  <c r="F7310" i="8"/>
  <c r="E7310" i="8"/>
  <c r="F7309" i="8"/>
  <c r="E7309" i="8"/>
  <c r="F7308" i="8"/>
  <c r="E7308" i="8"/>
  <c r="F7307" i="8"/>
  <c r="E7307" i="8"/>
  <c r="F7306" i="8"/>
  <c r="E7306" i="8"/>
  <c r="F7305" i="8"/>
  <c r="E7305" i="8"/>
  <c r="F7304" i="8"/>
  <c r="E7304" i="8"/>
  <c r="F7303" i="8"/>
  <c r="E7303" i="8"/>
  <c r="F7302" i="8"/>
  <c r="E7302" i="8"/>
  <c r="F7301" i="8"/>
  <c r="E7301" i="8"/>
  <c r="F7300" i="8"/>
  <c r="E7300" i="8"/>
  <c r="F7299" i="8"/>
  <c r="E7299" i="8"/>
  <c r="F7298" i="8"/>
  <c r="E7298" i="8"/>
  <c r="F7297" i="8"/>
  <c r="E7297" i="8"/>
  <c r="F7296" i="8"/>
  <c r="E7296" i="8"/>
  <c r="F7295" i="8"/>
  <c r="E7295" i="8"/>
  <c r="F7294" i="8"/>
  <c r="E7294" i="8"/>
  <c r="F7293" i="8"/>
  <c r="E7293" i="8"/>
  <c r="F7292" i="8"/>
  <c r="E7292" i="8"/>
  <c r="F7291" i="8"/>
  <c r="E7291" i="8"/>
  <c r="F7290" i="8"/>
  <c r="E7290" i="8"/>
  <c r="F7289" i="8"/>
  <c r="E7289" i="8"/>
  <c r="F7288" i="8"/>
  <c r="E7288" i="8"/>
  <c r="F7287" i="8"/>
  <c r="E7287" i="8"/>
  <c r="F7286" i="8"/>
  <c r="E7286" i="8"/>
  <c r="F7285" i="8"/>
  <c r="E7285" i="8"/>
  <c r="F7284" i="8"/>
  <c r="E7284" i="8"/>
  <c r="F7283" i="8"/>
  <c r="E7283" i="8"/>
  <c r="F7282" i="8"/>
  <c r="E7282" i="8"/>
  <c r="F7281" i="8"/>
  <c r="E7281" i="8"/>
  <c r="F7280" i="8"/>
  <c r="E7280" i="8"/>
  <c r="F7279" i="8"/>
  <c r="E7279" i="8"/>
  <c r="F7278" i="8"/>
  <c r="E7278" i="8"/>
  <c r="F7277" i="8"/>
  <c r="E7277" i="8"/>
  <c r="F7276" i="8"/>
  <c r="E7276" i="8"/>
  <c r="F7275" i="8"/>
  <c r="E7275" i="8"/>
  <c r="F7274" i="8"/>
  <c r="E7274" i="8"/>
  <c r="F7273" i="8"/>
  <c r="E7273" i="8"/>
  <c r="F7272" i="8"/>
  <c r="E7272" i="8"/>
  <c r="F7271" i="8"/>
  <c r="E7271" i="8"/>
  <c r="F7270" i="8"/>
  <c r="E7270" i="8"/>
  <c r="F7269" i="8"/>
  <c r="E7269" i="8"/>
  <c r="F7268" i="8"/>
  <c r="E7268" i="8"/>
  <c r="F7267" i="8"/>
  <c r="E7267" i="8"/>
  <c r="F7266" i="8"/>
  <c r="E7266" i="8"/>
  <c r="F7265" i="8"/>
  <c r="E7265" i="8"/>
  <c r="F7264" i="8"/>
  <c r="E7264" i="8"/>
  <c r="F7263" i="8"/>
  <c r="E7263" i="8"/>
  <c r="F7262" i="8"/>
  <c r="E7262" i="8"/>
  <c r="F7261" i="8"/>
  <c r="E7261" i="8"/>
  <c r="F7260" i="8"/>
  <c r="E7260" i="8"/>
  <c r="F7259" i="8"/>
  <c r="E7259" i="8"/>
  <c r="F7258" i="8"/>
  <c r="E7258" i="8"/>
  <c r="F7257" i="8"/>
  <c r="E7257" i="8"/>
  <c r="F7256" i="8"/>
  <c r="E7256" i="8"/>
  <c r="F7255" i="8"/>
  <c r="E7255" i="8"/>
  <c r="F7254" i="8"/>
  <c r="E7254" i="8"/>
  <c r="F7253" i="8"/>
  <c r="E7253" i="8"/>
  <c r="F7252" i="8"/>
  <c r="E7252" i="8"/>
  <c r="F7251" i="8"/>
  <c r="E7251" i="8"/>
  <c r="F7250" i="8"/>
  <c r="E7250" i="8"/>
  <c r="F7249" i="8"/>
  <c r="E7249" i="8"/>
  <c r="F7248" i="8"/>
  <c r="E7248" i="8"/>
  <c r="F7247" i="8"/>
  <c r="E7247" i="8"/>
  <c r="F7246" i="8"/>
  <c r="E7246" i="8"/>
  <c r="F7245" i="8"/>
  <c r="E7245" i="8"/>
  <c r="F7244" i="8"/>
  <c r="E7244" i="8"/>
  <c r="F7243" i="8"/>
  <c r="E7243" i="8"/>
  <c r="F7242" i="8"/>
  <c r="E7242" i="8"/>
  <c r="F7241" i="8"/>
  <c r="E7241" i="8"/>
  <c r="F7240" i="8"/>
  <c r="E7240" i="8"/>
  <c r="F7239" i="8"/>
  <c r="E7239" i="8"/>
  <c r="F7238" i="8"/>
  <c r="E7238" i="8"/>
  <c r="F7237" i="8"/>
  <c r="E7237" i="8"/>
  <c r="F7236" i="8"/>
  <c r="E7236" i="8"/>
  <c r="F7235" i="8"/>
  <c r="E7235" i="8"/>
  <c r="F7234" i="8"/>
  <c r="E7234" i="8"/>
  <c r="F7233" i="8"/>
  <c r="E7233" i="8"/>
  <c r="F7232" i="8"/>
  <c r="E7232" i="8"/>
  <c r="F7231" i="8"/>
  <c r="E7231" i="8"/>
  <c r="F7230" i="8"/>
  <c r="E7230" i="8"/>
  <c r="F7229" i="8"/>
  <c r="E7229" i="8"/>
  <c r="F7228" i="8"/>
  <c r="E7228" i="8"/>
  <c r="F7227" i="8"/>
  <c r="E7227" i="8"/>
  <c r="F7226" i="8"/>
  <c r="E7226" i="8"/>
  <c r="F7225" i="8"/>
  <c r="E7225" i="8"/>
  <c r="F7224" i="8"/>
  <c r="E7224" i="8"/>
  <c r="F7223" i="8"/>
  <c r="E7223" i="8"/>
  <c r="F7222" i="8"/>
  <c r="E7222" i="8"/>
  <c r="F7221" i="8"/>
  <c r="E7221" i="8"/>
  <c r="F7220" i="8"/>
  <c r="E7220" i="8"/>
  <c r="F7219" i="8"/>
  <c r="E7219" i="8"/>
  <c r="F7218" i="8"/>
  <c r="E7218" i="8"/>
  <c r="F7217" i="8"/>
  <c r="E7217" i="8"/>
  <c r="F7216" i="8"/>
  <c r="E7216" i="8"/>
  <c r="F7215" i="8"/>
  <c r="E7215" i="8"/>
  <c r="F7214" i="8"/>
  <c r="E7214" i="8"/>
  <c r="F7213" i="8"/>
  <c r="E7213" i="8"/>
  <c r="F7212" i="8"/>
  <c r="E7212" i="8"/>
  <c r="F7211" i="8"/>
  <c r="E7211" i="8"/>
  <c r="F7210" i="8"/>
  <c r="E7210" i="8"/>
  <c r="F7209" i="8"/>
  <c r="E7209" i="8"/>
  <c r="F7208" i="8"/>
  <c r="E7208" i="8"/>
  <c r="F7207" i="8"/>
  <c r="E7207" i="8"/>
  <c r="F7206" i="8"/>
  <c r="E7206" i="8"/>
  <c r="F7205" i="8"/>
  <c r="E7205" i="8"/>
  <c r="F7204" i="8"/>
  <c r="E7204" i="8"/>
  <c r="F7203" i="8"/>
  <c r="E7203" i="8"/>
  <c r="F7202" i="8"/>
  <c r="E7202" i="8"/>
  <c r="F7201" i="8"/>
  <c r="E7201" i="8"/>
  <c r="F7200" i="8"/>
  <c r="E7200" i="8"/>
  <c r="F7199" i="8"/>
  <c r="E7199" i="8"/>
  <c r="F7198" i="8"/>
  <c r="E7198" i="8"/>
  <c r="F7197" i="8"/>
  <c r="E7197" i="8"/>
  <c r="F7196" i="8"/>
  <c r="E7196" i="8"/>
  <c r="F7195" i="8"/>
  <c r="E7195" i="8"/>
  <c r="F7194" i="8"/>
  <c r="E7194" i="8"/>
  <c r="F7193" i="8"/>
  <c r="E7193" i="8"/>
  <c r="F7192" i="8"/>
  <c r="E7192" i="8"/>
  <c r="F7191" i="8"/>
  <c r="E7191" i="8"/>
  <c r="F7190" i="8"/>
  <c r="E7190" i="8"/>
  <c r="F7189" i="8"/>
  <c r="E7189" i="8"/>
  <c r="F7188" i="8"/>
  <c r="E7188" i="8"/>
  <c r="F7187" i="8"/>
  <c r="E7187" i="8"/>
  <c r="F7186" i="8"/>
  <c r="E7186" i="8"/>
  <c r="F7185" i="8"/>
  <c r="E7185" i="8"/>
  <c r="F7184" i="8"/>
  <c r="E7184" i="8"/>
  <c r="F7183" i="8"/>
  <c r="E7183" i="8"/>
  <c r="F7182" i="8"/>
  <c r="E7182" i="8"/>
  <c r="F7181" i="8"/>
  <c r="E7181" i="8"/>
  <c r="F7180" i="8"/>
  <c r="E7180" i="8"/>
  <c r="F7179" i="8"/>
  <c r="E7179" i="8"/>
  <c r="F7178" i="8"/>
  <c r="E7178" i="8"/>
  <c r="F7177" i="8"/>
  <c r="E7177" i="8"/>
  <c r="F7176" i="8"/>
  <c r="E7176" i="8"/>
  <c r="F7175" i="8"/>
  <c r="E7175" i="8"/>
  <c r="F7174" i="8"/>
  <c r="E7174" i="8"/>
  <c r="F7173" i="8"/>
  <c r="E7173" i="8"/>
  <c r="F7172" i="8"/>
  <c r="E7172" i="8"/>
  <c r="F7171" i="8"/>
  <c r="E7171" i="8"/>
  <c r="F7170" i="8"/>
  <c r="E7170" i="8"/>
  <c r="F7169" i="8"/>
  <c r="E7169" i="8"/>
  <c r="F7168" i="8"/>
  <c r="E7168" i="8"/>
  <c r="F7167" i="8"/>
  <c r="E7167" i="8"/>
  <c r="F7166" i="8"/>
  <c r="E7166" i="8"/>
  <c r="F7165" i="8"/>
  <c r="E7165" i="8"/>
  <c r="F7164" i="8"/>
  <c r="E7164" i="8"/>
  <c r="F7163" i="8"/>
  <c r="E7163" i="8"/>
  <c r="F7162" i="8"/>
  <c r="E7162" i="8"/>
  <c r="F7161" i="8"/>
  <c r="E7161" i="8"/>
  <c r="F7160" i="8"/>
  <c r="E7160" i="8"/>
  <c r="F7159" i="8"/>
  <c r="E7159" i="8"/>
  <c r="F7158" i="8"/>
  <c r="E7158" i="8"/>
  <c r="F7157" i="8"/>
  <c r="E7157" i="8"/>
  <c r="F7156" i="8"/>
  <c r="E7156" i="8"/>
  <c r="F7155" i="8"/>
  <c r="E7155" i="8"/>
  <c r="F7154" i="8"/>
  <c r="E7154" i="8"/>
  <c r="F7153" i="8"/>
  <c r="E7153" i="8"/>
  <c r="F7152" i="8"/>
  <c r="E7152" i="8"/>
  <c r="F7151" i="8"/>
  <c r="E7151" i="8"/>
  <c r="F7150" i="8"/>
  <c r="E7150" i="8"/>
  <c r="F7149" i="8"/>
  <c r="E7149" i="8"/>
  <c r="F7148" i="8"/>
  <c r="E7148" i="8"/>
  <c r="F7147" i="8"/>
  <c r="E7147" i="8"/>
  <c r="F7146" i="8"/>
  <c r="E7146" i="8"/>
  <c r="F7145" i="8"/>
  <c r="E7145" i="8"/>
  <c r="F7144" i="8"/>
  <c r="E7144" i="8"/>
  <c r="F7143" i="8"/>
  <c r="E7143" i="8"/>
  <c r="F7142" i="8"/>
  <c r="E7142" i="8"/>
  <c r="F7141" i="8"/>
  <c r="E7141" i="8"/>
  <c r="F7140" i="8"/>
  <c r="E7140" i="8"/>
  <c r="F7139" i="8"/>
  <c r="E7139" i="8"/>
  <c r="F7138" i="8"/>
  <c r="E7138" i="8"/>
  <c r="F7137" i="8"/>
  <c r="E7137" i="8"/>
  <c r="F7136" i="8"/>
  <c r="E7136" i="8"/>
  <c r="F7135" i="8"/>
  <c r="E7135" i="8"/>
  <c r="F7134" i="8"/>
  <c r="E7134" i="8"/>
  <c r="F7133" i="8"/>
  <c r="E7133" i="8"/>
  <c r="F7132" i="8"/>
  <c r="E7132" i="8"/>
  <c r="F7131" i="8"/>
  <c r="E7131" i="8"/>
  <c r="F7130" i="8"/>
  <c r="E7130" i="8"/>
  <c r="F7129" i="8"/>
  <c r="E7129" i="8"/>
  <c r="F7128" i="8"/>
  <c r="E7128" i="8"/>
  <c r="F7127" i="8"/>
  <c r="E7127" i="8"/>
  <c r="F7126" i="8"/>
  <c r="E7126" i="8"/>
  <c r="F7125" i="8"/>
  <c r="E7125" i="8"/>
  <c r="F7124" i="8"/>
  <c r="E7124" i="8"/>
  <c r="F7123" i="8"/>
  <c r="E7123" i="8"/>
  <c r="F7122" i="8"/>
  <c r="E7122" i="8"/>
  <c r="F7121" i="8"/>
  <c r="E7121" i="8"/>
  <c r="F7120" i="8"/>
  <c r="E7120" i="8"/>
  <c r="F7119" i="8"/>
  <c r="E7119" i="8"/>
  <c r="F7118" i="8"/>
  <c r="E7118" i="8"/>
  <c r="F7117" i="8"/>
  <c r="E7117" i="8"/>
  <c r="F7116" i="8"/>
  <c r="E7116" i="8"/>
  <c r="F7115" i="8"/>
  <c r="E7115" i="8"/>
  <c r="F7114" i="8"/>
  <c r="E7114" i="8"/>
  <c r="F7113" i="8"/>
  <c r="E7113" i="8"/>
  <c r="F7112" i="8"/>
  <c r="E7112" i="8"/>
  <c r="F7111" i="8"/>
  <c r="E7111" i="8"/>
  <c r="F7110" i="8"/>
  <c r="E7110" i="8"/>
  <c r="F7109" i="8"/>
  <c r="E7109" i="8"/>
  <c r="F7108" i="8"/>
  <c r="E7108" i="8"/>
  <c r="F7107" i="8"/>
  <c r="E7107" i="8"/>
  <c r="F7106" i="8"/>
  <c r="E7106" i="8"/>
  <c r="F7105" i="8"/>
  <c r="E7105" i="8"/>
  <c r="F7104" i="8"/>
  <c r="E7104" i="8"/>
  <c r="F7103" i="8"/>
  <c r="E7103" i="8"/>
  <c r="F7102" i="8"/>
  <c r="E7102" i="8"/>
  <c r="F7101" i="8"/>
  <c r="E7101" i="8"/>
  <c r="F7100" i="8"/>
  <c r="E7100" i="8"/>
  <c r="F7099" i="8"/>
  <c r="E7099" i="8"/>
  <c r="F7098" i="8"/>
  <c r="E7098" i="8"/>
  <c r="F7097" i="8"/>
  <c r="E7097" i="8"/>
  <c r="F7096" i="8"/>
  <c r="E7096" i="8"/>
  <c r="F7095" i="8"/>
  <c r="E7095" i="8"/>
  <c r="F7094" i="8"/>
  <c r="E7094" i="8"/>
  <c r="F7093" i="8"/>
  <c r="E7093" i="8"/>
  <c r="F7092" i="8"/>
  <c r="E7092" i="8"/>
  <c r="F7091" i="8"/>
  <c r="E7091" i="8"/>
  <c r="F7090" i="8"/>
  <c r="E7090" i="8"/>
  <c r="F7089" i="8"/>
  <c r="E7089" i="8"/>
  <c r="F7088" i="8"/>
  <c r="E7088" i="8"/>
  <c r="F7087" i="8"/>
  <c r="E7087" i="8"/>
  <c r="F7086" i="8"/>
  <c r="E7086" i="8"/>
  <c r="F7085" i="8"/>
  <c r="E7085" i="8"/>
  <c r="F7084" i="8"/>
  <c r="E7084" i="8"/>
  <c r="F7083" i="8"/>
  <c r="E7083" i="8"/>
  <c r="F7082" i="8"/>
  <c r="E7082" i="8"/>
  <c r="F7081" i="8"/>
  <c r="E7081" i="8"/>
  <c r="F7080" i="8"/>
  <c r="E7080" i="8"/>
  <c r="F7079" i="8"/>
  <c r="E7079" i="8"/>
  <c r="F7078" i="8"/>
  <c r="E7078" i="8"/>
  <c r="F7077" i="8"/>
  <c r="E7077" i="8"/>
  <c r="F7076" i="8"/>
  <c r="E7076" i="8"/>
  <c r="F7075" i="8"/>
  <c r="E7075" i="8"/>
  <c r="F7074" i="8"/>
  <c r="E7074" i="8"/>
  <c r="F7073" i="8"/>
  <c r="E7073" i="8"/>
  <c r="F7072" i="8"/>
  <c r="E7072" i="8"/>
  <c r="F7071" i="8"/>
  <c r="E7071" i="8"/>
  <c r="F7070" i="8"/>
  <c r="E7070" i="8"/>
  <c r="F7069" i="8"/>
  <c r="E7069" i="8"/>
  <c r="F7068" i="8"/>
  <c r="E7068" i="8"/>
  <c r="F7067" i="8"/>
  <c r="E7067" i="8"/>
  <c r="F7066" i="8"/>
  <c r="E7066" i="8"/>
  <c r="F7065" i="8"/>
  <c r="E7065" i="8"/>
  <c r="F7064" i="8"/>
  <c r="E7064" i="8"/>
  <c r="F7063" i="8"/>
  <c r="E7063" i="8"/>
  <c r="F7062" i="8"/>
  <c r="E7062" i="8"/>
  <c r="F7061" i="8"/>
  <c r="E7061" i="8"/>
  <c r="F7060" i="8"/>
  <c r="E7060" i="8"/>
  <c r="F7059" i="8"/>
  <c r="E7059" i="8"/>
  <c r="F7058" i="8"/>
  <c r="E7058" i="8"/>
  <c r="F7057" i="8"/>
  <c r="E7057" i="8"/>
  <c r="F7056" i="8"/>
  <c r="E7056" i="8"/>
  <c r="F7055" i="8"/>
  <c r="E7055" i="8"/>
  <c r="F7054" i="8"/>
  <c r="E7054" i="8"/>
  <c r="F7053" i="8"/>
  <c r="E7053" i="8"/>
  <c r="F7052" i="8"/>
  <c r="E7052" i="8"/>
  <c r="F7051" i="8"/>
  <c r="E7051" i="8"/>
  <c r="F7050" i="8"/>
  <c r="E7050" i="8"/>
  <c r="F7049" i="8"/>
  <c r="E7049" i="8"/>
  <c r="F7048" i="8"/>
  <c r="E7048" i="8"/>
  <c r="F7047" i="8"/>
  <c r="E7047" i="8"/>
  <c r="F7046" i="8"/>
  <c r="E7046" i="8"/>
  <c r="F7045" i="8"/>
  <c r="E7045" i="8"/>
  <c r="F7044" i="8"/>
  <c r="E7044" i="8"/>
  <c r="F7043" i="8"/>
  <c r="E7043" i="8"/>
  <c r="F7042" i="8"/>
  <c r="E7042" i="8"/>
  <c r="F7041" i="8"/>
  <c r="E7041" i="8"/>
  <c r="F7040" i="8"/>
  <c r="E7040" i="8"/>
  <c r="F7039" i="8"/>
  <c r="E7039" i="8"/>
  <c r="F7038" i="8"/>
  <c r="E7038" i="8"/>
  <c r="F7037" i="8"/>
  <c r="E7037" i="8"/>
  <c r="F7036" i="8"/>
  <c r="E7036" i="8"/>
  <c r="F7035" i="8"/>
  <c r="E7035" i="8"/>
  <c r="F7034" i="8"/>
  <c r="E7034" i="8"/>
  <c r="F7033" i="8"/>
  <c r="E7033" i="8"/>
  <c r="F7032" i="8"/>
  <c r="E7032" i="8"/>
  <c r="F7031" i="8"/>
  <c r="E7031" i="8"/>
  <c r="F7030" i="8"/>
  <c r="E7030" i="8"/>
  <c r="F7029" i="8"/>
  <c r="E7029" i="8"/>
  <c r="F7028" i="8"/>
  <c r="E7028" i="8"/>
  <c r="F7027" i="8"/>
  <c r="E7027" i="8"/>
  <c r="F7026" i="8"/>
  <c r="E7026" i="8"/>
  <c r="F7025" i="8"/>
  <c r="E7025" i="8"/>
  <c r="F7024" i="8"/>
  <c r="E7024" i="8"/>
  <c r="F7023" i="8"/>
  <c r="E7023" i="8"/>
  <c r="F7022" i="8"/>
  <c r="E7022" i="8"/>
  <c r="F7021" i="8"/>
  <c r="E7021" i="8"/>
  <c r="F7020" i="8"/>
  <c r="E7020" i="8"/>
  <c r="F7019" i="8"/>
  <c r="E7019" i="8"/>
  <c r="F7018" i="8"/>
  <c r="E7018" i="8"/>
  <c r="F7017" i="8"/>
  <c r="E7017" i="8"/>
  <c r="F7016" i="8"/>
  <c r="E7016" i="8"/>
  <c r="F7015" i="8"/>
  <c r="E7015" i="8"/>
  <c r="F7014" i="8"/>
  <c r="E7014" i="8"/>
  <c r="F7013" i="8"/>
  <c r="E7013" i="8"/>
  <c r="F7012" i="8"/>
  <c r="E7012" i="8"/>
  <c r="F7011" i="8"/>
  <c r="E7011" i="8"/>
  <c r="F7010" i="8"/>
  <c r="E7010" i="8"/>
  <c r="F7009" i="8"/>
  <c r="E7009" i="8"/>
  <c r="F7008" i="8"/>
  <c r="E7008" i="8"/>
  <c r="F7007" i="8"/>
  <c r="E7007" i="8"/>
  <c r="F7006" i="8"/>
  <c r="E7006" i="8"/>
  <c r="F7005" i="8"/>
  <c r="E7005" i="8"/>
  <c r="F7004" i="8"/>
  <c r="E7004" i="8"/>
  <c r="F7003" i="8"/>
  <c r="E7003" i="8"/>
  <c r="F7002" i="8"/>
  <c r="E7002" i="8"/>
  <c r="F7001" i="8"/>
  <c r="E7001" i="8"/>
  <c r="F7000" i="8"/>
  <c r="E7000" i="8"/>
  <c r="F6999" i="8"/>
  <c r="E6999" i="8"/>
  <c r="F6998" i="8"/>
  <c r="E6998" i="8"/>
  <c r="F6997" i="8"/>
  <c r="E6997" i="8"/>
  <c r="F6996" i="8"/>
  <c r="E6996" i="8"/>
  <c r="F6995" i="8"/>
  <c r="E6995" i="8"/>
  <c r="F6994" i="8"/>
  <c r="E6994" i="8"/>
  <c r="F6993" i="8"/>
  <c r="E6993" i="8"/>
  <c r="F6992" i="8"/>
  <c r="E6992" i="8"/>
  <c r="F6991" i="8"/>
  <c r="E6991" i="8"/>
  <c r="F6990" i="8"/>
  <c r="E6990" i="8"/>
  <c r="F6989" i="8"/>
  <c r="E6989" i="8"/>
  <c r="F6988" i="8"/>
  <c r="E6988" i="8"/>
  <c r="F6987" i="8"/>
  <c r="E6987" i="8"/>
  <c r="F6986" i="8"/>
  <c r="E6986" i="8"/>
  <c r="F6985" i="8"/>
  <c r="E6985" i="8"/>
  <c r="F6984" i="8"/>
  <c r="E6984" i="8"/>
  <c r="F6983" i="8"/>
  <c r="E6983" i="8"/>
  <c r="F6982" i="8"/>
  <c r="E6982" i="8"/>
  <c r="F6981" i="8"/>
  <c r="E6981" i="8"/>
  <c r="F6980" i="8"/>
  <c r="E6980" i="8"/>
  <c r="F6979" i="8"/>
  <c r="E6979" i="8"/>
  <c r="F6978" i="8"/>
  <c r="E6978" i="8"/>
  <c r="F6977" i="8"/>
  <c r="E6977" i="8"/>
  <c r="F6976" i="8"/>
  <c r="E6976" i="8"/>
  <c r="F6975" i="8"/>
  <c r="E6975" i="8"/>
  <c r="F6974" i="8"/>
  <c r="E6974" i="8"/>
  <c r="F6973" i="8"/>
  <c r="E6973" i="8"/>
  <c r="F6972" i="8"/>
  <c r="E6972" i="8"/>
  <c r="F6971" i="8"/>
  <c r="E6971" i="8"/>
  <c r="F6970" i="8"/>
  <c r="E6970" i="8"/>
  <c r="F6969" i="8"/>
  <c r="E6969" i="8"/>
  <c r="F6968" i="8"/>
  <c r="E6968" i="8"/>
  <c r="F6967" i="8"/>
  <c r="E6967" i="8"/>
  <c r="F6966" i="8"/>
  <c r="E6966" i="8"/>
  <c r="F6965" i="8"/>
  <c r="E6965" i="8"/>
  <c r="F6964" i="8"/>
  <c r="E6964" i="8"/>
  <c r="F6963" i="8"/>
  <c r="E6963" i="8"/>
  <c r="F6962" i="8"/>
  <c r="E6962" i="8"/>
  <c r="F6961" i="8"/>
  <c r="E6961" i="8"/>
  <c r="F6960" i="8"/>
  <c r="E6960" i="8"/>
  <c r="F6959" i="8"/>
  <c r="E6959" i="8"/>
  <c r="F6958" i="8"/>
  <c r="E6958" i="8"/>
  <c r="F6957" i="8"/>
  <c r="E6957" i="8"/>
  <c r="F6956" i="8"/>
  <c r="E6956" i="8"/>
  <c r="F6955" i="8"/>
  <c r="E6955" i="8"/>
  <c r="F6954" i="8"/>
  <c r="E6954" i="8"/>
  <c r="F6953" i="8"/>
  <c r="E6953" i="8"/>
  <c r="F6952" i="8"/>
  <c r="E6952" i="8"/>
  <c r="F6951" i="8"/>
  <c r="E6951" i="8"/>
  <c r="F6950" i="8"/>
  <c r="E6950" i="8"/>
  <c r="F6949" i="8"/>
  <c r="E6949" i="8"/>
  <c r="F6948" i="8"/>
  <c r="E6948" i="8"/>
  <c r="F6947" i="8"/>
  <c r="E6947" i="8"/>
  <c r="F6946" i="8"/>
  <c r="E6946" i="8"/>
  <c r="F6945" i="8"/>
  <c r="E6945" i="8"/>
  <c r="F6944" i="8"/>
  <c r="E6944" i="8"/>
  <c r="F6943" i="8"/>
  <c r="E6943" i="8"/>
  <c r="F6942" i="8"/>
  <c r="E6942" i="8"/>
  <c r="F6941" i="8"/>
  <c r="E6941" i="8"/>
  <c r="F6940" i="8"/>
  <c r="E6940" i="8"/>
  <c r="F6939" i="8"/>
  <c r="E6939" i="8"/>
  <c r="F6938" i="8"/>
  <c r="E6938" i="8"/>
  <c r="F6937" i="8"/>
  <c r="E6937" i="8"/>
  <c r="F6936" i="8"/>
  <c r="E6936" i="8"/>
  <c r="F6935" i="8"/>
  <c r="E6935" i="8"/>
  <c r="F6934" i="8"/>
  <c r="E6934" i="8"/>
  <c r="F6933" i="8"/>
  <c r="E6933" i="8"/>
  <c r="F6932" i="8"/>
  <c r="E6932" i="8"/>
  <c r="F6931" i="8"/>
  <c r="E6931" i="8"/>
  <c r="F6930" i="8"/>
  <c r="E6930" i="8"/>
  <c r="F6929" i="8"/>
  <c r="E6929" i="8"/>
  <c r="F6928" i="8"/>
  <c r="E6928" i="8"/>
  <c r="F6927" i="8"/>
  <c r="E6927" i="8"/>
  <c r="F6926" i="8"/>
  <c r="E6926" i="8"/>
  <c r="F6925" i="8"/>
  <c r="E6925" i="8"/>
  <c r="F6924" i="8"/>
  <c r="E6924" i="8"/>
  <c r="F6923" i="8"/>
  <c r="E6923" i="8"/>
  <c r="F6922" i="8"/>
  <c r="E6922" i="8"/>
  <c r="F6921" i="8"/>
  <c r="E6921" i="8"/>
  <c r="F6920" i="8"/>
  <c r="E6920" i="8"/>
  <c r="F6919" i="8"/>
  <c r="E6919" i="8"/>
  <c r="F6918" i="8"/>
  <c r="E6918" i="8"/>
  <c r="F6917" i="8"/>
  <c r="E6917" i="8"/>
  <c r="F6916" i="8"/>
  <c r="E6916" i="8"/>
  <c r="F6915" i="8"/>
  <c r="E6915" i="8"/>
  <c r="F6914" i="8"/>
  <c r="E6914" i="8"/>
  <c r="F6913" i="8"/>
  <c r="E6913" i="8"/>
  <c r="F6912" i="8"/>
  <c r="E6912" i="8"/>
  <c r="F6911" i="8"/>
  <c r="E6911" i="8"/>
  <c r="F6910" i="8"/>
  <c r="E6910" i="8"/>
  <c r="F6909" i="8"/>
  <c r="E6909" i="8"/>
  <c r="F6908" i="8"/>
  <c r="E6908" i="8"/>
  <c r="F6907" i="8"/>
  <c r="E6907" i="8"/>
  <c r="F6906" i="8"/>
  <c r="E6906" i="8"/>
  <c r="F6905" i="8"/>
  <c r="E6905" i="8"/>
  <c r="F6904" i="8"/>
  <c r="E6904" i="8"/>
  <c r="F6903" i="8"/>
  <c r="E6903" i="8"/>
  <c r="F6902" i="8"/>
  <c r="E6902" i="8"/>
  <c r="F6901" i="8"/>
  <c r="E6901" i="8"/>
  <c r="F6900" i="8"/>
  <c r="E6900" i="8"/>
  <c r="F6899" i="8"/>
  <c r="E6899" i="8"/>
  <c r="F6898" i="8"/>
  <c r="E6898" i="8"/>
  <c r="F6897" i="8"/>
  <c r="E6897" i="8"/>
  <c r="F6896" i="8"/>
  <c r="E6896" i="8"/>
  <c r="F6895" i="8"/>
  <c r="E6895" i="8"/>
  <c r="F6894" i="8"/>
  <c r="E6894" i="8"/>
  <c r="F6893" i="8"/>
  <c r="E6893" i="8"/>
  <c r="F6892" i="8"/>
  <c r="E6892" i="8"/>
  <c r="F6891" i="8"/>
  <c r="E6891" i="8"/>
  <c r="F6890" i="8"/>
  <c r="E6890" i="8"/>
  <c r="F6889" i="8"/>
  <c r="E6889" i="8"/>
  <c r="F6888" i="8"/>
  <c r="E6888" i="8"/>
  <c r="F6887" i="8"/>
  <c r="E6887" i="8"/>
  <c r="F6886" i="8"/>
  <c r="E6886" i="8"/>
  <c r="F6885" i="8"/>
  <c r="E6885" i="8"/>
  <c r="F6884" i="8"/>
  <c r="E6884" i="8"/>
  <c r="F6883" i="8"/>
  <c r="E6883" i="8"/>
  <c r="F6882" i="8"/>
  <c r="E6882" i="8"/>
  <c r="F6881" i="8"/>
  <c r="E6881" i="8"/>
  <c r="F6880" i="8"/>
  <c r="E6880" i="8"/>
  <c r="F6879" i="8"/>
  <c r="E6879" i="8"/>
  <c r="F6878" i="8"/>
  <c r="E6878" i="8"/>
  <c r="F6877" i="8"/>
  <c r="E6877" i="8"/>
  <c r="F6876" i="8"/>
  <c r="E6876" i="8"/>
  <c r="F6875" i="8"/>
  <c r="E6875" i="8"/>
  <c r="F6874" i="8"/>
  <c r="E6874" i="8"/>
  <c r="F6873" i="8"/>
  <c r="E6873" i="8"/>
  <c r="F6872" i="8"/>
  <c r="E6872" i="8"/>
  <c r="F6871" i="8"/>
  <c r="E6871" i="8"/>
  <c r="F6870" i="8"/>
  <c r="E6870" i="8"/>
  <c r="F6869" i="8"/>
  <c r="E6869" i="8"/>
  <c r="F6868" i="8"/>
  <c r="E6868" i="8"/>
  <c r="F6867" i="8"/>
  <c r="E6867" i="8"/>
  <c r="F6866" i="8"/>
  <c r="E6866" i="8"/>
  <c r="F6865" i="8"/>
  <c r="E6865" i="8"/>
  <c r="F6864" i="8"/>
  <c r="E6864" i="8"/>
  <c r="F6863" i="8"/>
  <c r="E6863" i="8"/>
  <c r="F6862" i="8"/>
  <c r="E6862" i="8"/>
  <c r="F6861" i="8"/>
  <c r="E6861" i="8"/>
  <c r="F6860" i="8"/>
  <c r="E6860" i="8"/>
  <c r="F6859" i="8"/>
  <c r="E6859" i="8"/>
  <c r="F6858" i="8"/>
  <c r="E6858" i="8"/>
  <c r="F6857" i="8"/>
  <c r="E6857" i="8"/>
  <c r="F6856" i="8"/>
  <c r="E6856" i="8"/>
  <c r="F6855" i="8"/>
  <c r="E6855" i="8"/>
  <c r="F6854" i="8"/>
  <c r="E6854" i="8"/>
  <c r="F6853" i="8"/>
  <c r="E6853" i="8"/>
  <c r="F6852" i="8"/>
  <c r="E6852" i="8"/>
  <c r="F6851" i="8"/>
  <c r="E6851" i="8"/>
  <c r="F6850" i="8"/>
  <c r="E6850" i="8"/>
  <c r="F6849" i="8"/>
  <c r="E6849" i="8"/>
  <c r="F6848" i="8"/>
  <c r="E6848" i="8"/>
  <c r="F6847" i="8"/>
  <c r="E6847" i="8"/>
  <c r="F6846" i="8"/>
  <c r="E6846" i="8"/>
  <c r="F6845" i="8"/>
  <c r="E6845" i="8"/>
  <c r="F6844" i="8"/>
  <c r="E6844" i="8"/>
  <c r="F6843" i="8"/>
  <c r="E6843" i="8"/>
  <c r="F6842" i="8"/>
  <c r="E6842" i="8"/>
  <c r="F6841" i="8"/>
  <c r="E6841" i="8"/>
  <c r="F6840" i="8"/>
  <c r="E6840" i="8"/>
  <c r="F6839" i="8"/>
  <c r="E6839" i="8"/>
  <c r="F6838" i="8"/>
  <c r="E6838" i="8"/>
  <c r="F6837" i="8"/>
  <c r="E6837" i="8"/>
  <c r="F6836" i="8"/>
  <c r="E6836" i="8"/>
  <c r="F6835" i="8"/>
  <c r="E6835" i="8"/>
  <c r="F6834" i="8"/>
  <c r="E6834" i="8"/>
  <c r="F6833" i="8"/>
  <c r="E6833" i="8"/>
  <c r="F6832" i="8"/>
  <c r="E6832" i="8"/>
  <c r="F6831" i="8"/>
  <c r="E6831" i="8"/>
  <c r="F6830" i="8"/>
  <c r="E6830" i="8"/>
  <c r="F6829" i="8"/>
  <c r="E6829" i="8"/>
  <c r="F6828" i="8"/>
  <c r="E6828" i="8"/>
  <c r="F6827" i="8"/>
  <c r="E6827" i="8"/>
  <c r="F6826" i="8"/>
  <c r="E6826" i="8"/>
  <c r="F6825" i="8"/>
  <c r="E6825" i="8"/>
  <c r="F6824" i="8"/>
  <c r="E6824" i="8"/>
  <c r="F6823" i="8"/>
  <c r="E6823" i="8"/>
  <c r="F6822" i="8"/>
  <c r="E6822" i="8"/>
  <c r="F6821" i="8"/>
  <c r="E6821" i="8"/>
  <c r="F6820" i="8"/>
  <c r="E6820" i="8"/>
  <c r="F6819" i="8"/>
  <c r="E6819" i="8"/>
  <c r="F6818" i="8"/>
  <c r="E6818" i="8"/>
  <c r="F6817" i="8"/>
  <c r="E6817" i="8"/>
  <c r="F6816" i="8"/>
  <c r="E6816" i="8"/>
  <c r="F6815" i="8"/>
  <c r="E6815" i="8"/>
  <c r="F6814" i="8"/>
  <c r="E6814" i="8"/>
  <c r="F6813" i="8"/>
  <c r="E6813" i="8"/>
  <c r="F6812" i="8"/>
  <c r="E6812" i="8"/>
  <c r="F6811" i="8"/>
  <c r="E6811" i="8"/>
  <c r="F6810" i="8"/>
  <c r="E6810" i="8"/>
  <c r="F6809" i="8"/>
  <c r="E6809" i="8"/>
  <c r="F6808" i="8"/>
  <c r="E6808" i="8"/>
  <c r="F6807" i="8"/>
  <c r="E6807" i="8"/>
  <c r="F6806" i="8"/>
  <c r="E6806" i="8"/>
  <c r="F6805" i="8"/>
  <c r="E6805" i="8"/>
  <c r="F6804" i="8"/>
  <c r="E6804" i="8"/>
  <c r="F6803" i="8"/>
  <c r="E6803" i="8"/>
  <c r="F6802" i="8"/>
  <c r="E6802" i="8"/>
  <c r="F6801" i="8"/>
  <c r="E6801" i="8"/>
  <c r="F6800" i="8"/>
  <c r="E6800" i="8"/>
  <c r="F6799" i="8"/>
  <c r="E6799" i="8"/>
  <c r="F6798" i="8"/>
  <c r="E6798" i="8"/>
  <c r="F6797" i="8"/>
  <c r="E6797" i="8"/>
  <c r="F6796" i="8"/>
  <c r="E6796" i="8"/>
  <c r="F6795" i="8"/>
  <c r="E6795" i="8"/>
  <c r="F6794" i="8"/>
  <c r="E6794" i="8"/>
  <c r="F6793" i="8"/>
  <c r="E6793" i="8"/>
  <c r="F6792" i="8"/>
  <c r="E6792" i="8"/>
  <c r="F6791" i="8"/>
  <c r="E6791" i="8"/>
  <c r="F6790" i="8"/>
  <c r="E6790" i="8"/>
  <c r="F6789" i="8"/>
  <c r="E6789" i="8"/>
  <c r="F6788" i="8"/>
  <c r="E6788" i="8"/>
  <c r="F6787" i="8"/>
  <c r="E6787" i="8"/>
  <c r="F6786" i="8"/>
  <c r="E6786" i="8"/>
  <c r="F6785" i="8"/>
  <c r="E6785" i="8"/>
  <c r="F6784" i="8"/>
  <c r="E6784" i="8"/>
  <c r="F6783" i="8"/>
  <c r="E6783" i="8"/>
  <c r="F6782" i="8"/>
  <c r="E6782" i="8"/>
  <c r="F6781" i="8"/>
  <c r="E6781" i="8"/>
  <c r="F6780" i="8"/>
  <c r="E6780" i="8"/>
  <c r="F6779" i="8"/>
  <c r="E6779" i="8"/>
  <c r="F6778" i="8"/>
  <c r="E6778" i="8"/>
  <c r="F6777" i="8"/>
  <c r="E6777" i="8"/>
  <c r="F6776" i="8"/>
  <c r="E6776" i="8"/>
  <c r="F6775" i="8"/>
  <c r="E6775" i="8"/>
  <c r="F6774" i="8"/>
  <c r="E6774" i="8"/>
  <c r="F6773" i="8"/>
  <c r="E6773" i="8"/>
  <c r="F6772" i="8"/>
  <c r="E6772" i="8"/>
  <c r="F6771" i="8"/>
  <c r="E6771" i="8"/>
  <c r="F6770" i="8"/>
  <c r="E6770" i="8"/>
  <c r="F6769" i="8"/>
  <c r="E6769" i="8"/>
  <c r="F6768" i="8"/>
  <c r="E6768" i="8"/>
  <c r="F6767" i="8"/>
  <c r="E6767" i="8"/>
  <c r="F6766" i="8"/>
  <c r="E6766" i="8"/>
  <c r="F6765" i="8"/>
  <c r="E6765" i="8"/>
  <c r="F6764" i="8"/>
  <c r="E6764" i="8"/>
  <c r="F6763" i="8"/>
  <c r="E6763" i="8"/>
  <c r="F6762" i="8"/>
  <c r="E6762" i="8"/>
  <c r="F6761" i="8"/>
  <c r="E6761" i="8"/>
  <c r="F6760" i="8"/>
  <c r="E6760" i="8"/>
  <c r="F6759" i="8"/>
  <c r="E6759" i="8"/>
  <c r="F6758" i="8"/>
  <c r="E6758" i="8"/>
  <c r="F6757" i="8"/>
  <c r="E6757" i="8"/>
  <c r="F6756" i="8"/>
  <c r="E6756" i="8"/>
  <c r="F6755" i="8"/>
  <c r="E6755" i="8"/>
  <c r="F6754" i="8"/>
  <c r="E6754" i="8"/>
  <c r="F6753" i="8"/>
  <c r="E6753" i="8"/>
  <c r="F6752" i="8"/>
  <c r="E6752" i="8"/>
  <c r="F6751" i="8"/>
  <c r="E6751" i="8"/>
  <c r="F6750" i="8"/>
  <c r="E6750" i="8"/>
  <c r="F6749" i="8"/>
  <c r="E6749" i="8"/>
  <c r="F6748" i="8"/>
  <c r="E6748" i="8"/>
  <c r="F6747" i="8"/>
  <c r="E6747" i="8"/>
  <c r="F6746" i="8"/>
  <c r="E6746" i="8"/>
  <c r="F6745" i="8"/>
  <c r="E6745" i="8"/>
  <c r="F6744" i="8"/>
  <c r="E6744" i="8"/>
  <c r="F6743" i="8"/>
  <c r="E6743" i="8"/>
  <c r="F6742" i="8"/>
  <c r="E6742" i="8"/>
  <c r="F6741" i="8"/>
  <c r="E6741" i="8"/>
  <c r="F6740" i="8"/>
  <c r="E6740" i="8"/>
  <c r="F6739" i="8"/>
  <c r="E6739" i="8"/>
  <c r="F6738" i="8"/>
  <c r="E6738" i="8"/>
  <c r="F6737" i="8"/>
  <c r="E6737" i="8"/>
  <c r="F6736" i="8"/>
  <c r="E6736" i="8"/>
  <c r="F6735" i="8"/>
  <c r="E6735" i="8"/>
  <c r="F6734" i="8"/>
  <c r="E6734" i="8"/>
  <c r="F6733" i="8"/>
  <c r="E6733" i="8"/>
  <c r="F6732" i="8"/>
  <c r="E6732" i="8"/>
  <c r="F6731" i="8"/>
  <c r="E6731" i="8"/>
  <c r="F6730" i="8"/>
  <c r="E6730" i="8"/>
  <c r="F6729" i="8"/>
  <c r="E6729" i="8"/>
  <c r="F6728" i="8"/>
  <c r="E6728" i="8"/>
  <c r="F6727" i="8"/>
  <c r="E6727" i="8"/>
  <c r="F6726" i="8"/>
  <c r="E6726" i="8"/>
  <c r="F6725" i="8"/>
  <c r="E6725" i="8"/>
  <c r="F6724" i="8"/>
  <c r="E6724" i="8"/>
  <c r="F6723" i="8"/>
  <c r="E6723" i="8"/>
  <c r="F6722" i="8"/>
  <c r="E6722" i="8"/>
  <c r="F6721" i="8"/>
  <c r="E6721" i="8"/>
  <c r="F6720" i="8"/>
  <c r="E6720" i="8"/>
  <c r="F6719" i="8"/>
  <c r="E6719" i="8"/>
  <c r="F6718" i="8"/>
  <c r="E6718" i="8"/>
  <c r="F6717" i="8"/>
  <c r="E6717" i="8"/>
  <c r="F6716" i="8"/>
  <c r="E6716" i="8"/>
  <c r="F6715" i="8"/>
  <c r="E6715" i="8"/>
  <c r="F6714" i="8"/>
  <c r="E6714" i="8"/>
  <c r="F6713" i="8"/>
  <c r="E6713" i="8"/>
  <c r="F6712" i="8"/>
  <c r="E6712" i="8"/>
  <c r="F6711" i="8"/>
  <c r="E6711" i="8"/>
  <c r="F6710" i="8"/>
  <c r="E6710" i="8"/>
  <c r="F6709" i="8"/>
  <c r="E6709" i="8"/>
  <c r="F6708" i="8"/>
  <c r="E6708" i="8"/>
  <c r="F6707" i="8"/>
  <c r="E6707" i="8"/>
  <c r="F6706" i="8"/>
  <c r="E6706" i="8"/>
  <c r="F6705" i="8"/>
  <c r="E6705" i="8"/>
  <c r="F6704" i="8"/>
  <c r="E6704" i="8"/>
  <c r="F6703" i="8"/>
  <c r="E6703" i="8"/>
  <c r="F6702" i="8"/>
  <c r="E6702" i="8"/>
  <c r="F6701" i="8"/>
  <c r="E6701" i="8"/>
  <c r="F6700" i="8"/>
  <c r="E6700" i="8"/>
  <c r="F6699" i="8"/>
  <c r="E6699" i="8"/>
  <c r="F6698" i="8"/>
  <c r="E6698" i="8"/>
  <c r="F6697" i="8"/>
  <c r="E6697" i="8"/>
  <c r="F6696" i="8"/>
  <c r="E6696" i="8"/>
  <c r="F6695" i="8"/>
  <c r="E6695" i="8"/>
  <c r="F6694" i="8"/>
  <c r="E6694" i="8"/>
  <c r="F6693" i="8"/>
  <c r="E6693" i="8"/>
  <c r="F6692" i="8"/>
  <c r="E6692" i="8"/>
  <c r="F6691" i="8"/>
  <c r="E6691" i="8"/>
  <c r="F6690" i="8"/>
  <c r="E6690" i="8"/>
  <c r="F6689" i="8"/>
  <c r="E6689" i="8"/>
  <c r="F6688" i="8"/>
  <c r="E6688" i="8"/>
  <c r="F6687" i="8"/>
  <c r="E6687" i="8"/>
  <c r="F6686" i="8"/>
  <c r="E6686" i="8"/>
  <c r="F6685" i="8"/>
  <c r="E6685" i="8"/>
  <c r="F6684" i="8"/>
  <c r="E6684" i="8"/>
  <c r="F6683" i="8"/>
  <c r="E6683" i="8"/>
  <c r="F6682" i="8"/>
  <c r="E6682" i="8"/>
  <c r="F6681" i="8"/>
  <c r="E6681" i="8"/>
  <c r="F6680" i="8"/>
  <c r="E6680" i="8"/>
  <c r="F6679" i="8"/>
  <c r="E6679" i="8"/>
  <c r="F6678" i="8"/>
  <c r="E6678" i="8"/>
  <c r="F6677" i="8"/>
  <c r="E6677" i="8"/>
  <c r="F6676" i="8"/>
  <c r="E6676" i="8"/>
  <c r="F6675" i="8"/>
  <c r="E6675" i="8"/>
  <c r="F6674" i="8"/>
  <c r="E6674" i="8"/>
  <c r="F6673" i="8"/>
  <c r="E6673" i="8"/>
  <c r="F6672" i="8"/>
  <c r="E6672" i="8"/>
  <c r="F6671" i="8"/>
  <c r="E6671" i="8"/>
  <c r="F6670" i="8"/>
  <c r="E6670" i="8"/>
  <c r="F6669" i="8"/>
  <c r="E6669" i="8"/>
  <c r="F6668" i="8"/>
  <c r="E6668" i="8"/>
  <c r="F6667" i="8"/>
  <c r="E6667" i="8"/>
  <c r="F6666" i="8"/>
  <c r="E6666" i="8"/>
  <c r="F6665" i="8"/>
  <c r="E6665" i="8"/>
  <c r="F6664" i="8"/>
  <c r="E6664" i="8"/>
  <c r="F6663" i="8"/>
  <c r="E6663" i="8"/>
  <c r="F6662" i="8"/>
  <c r="E6662" i="8"/>
  <c r="F6661" i="8"/>
  <c r="E6661" i="8"/>
  <c r="F6660" i="8"/>
  <c r="E6660" i="8"/>
  <c r="F6659" i="8"/>
  <c r="E6659" i="8"/>
  <c r="F6658" i="8"/>
  <c r="E6658" i="8"/>
  <c r="F6657" i="8"/>
  <c r="E6657" i="8"/>
  <c r="F6656" i="8"/>
  <c r="E6656" i="8"/>
  <c r="F6655" i="8"/>
  <c r="E6655" i="8"/>
  <c r="F6654" i="8"/>
  <c r="E6654" i="8"/>
  <c r="F6653" i="8"/>
  <c r="E6653" i="8"/>
  <c r="F6652" i="8"/>
  <c r="E6652" i="8"/>
  <c r="F6651" i="8"/>
  <c r="E6651" i="8"/>
  <c r="F6650" i="8"/>
  <c r="E6650" i="8"/>
  <c r="F6649" i="8"/>
  <c r="E6649" i="8"/>
  <c r="F6648" i="8"/>
  <c r="E6648" i="8"/>
  <c r="F6647" i="8"/>
  <c r="E6647" i="8"/>
  <c r="F6646" i="8"/>
  <c r="E6646" i="8"/>
  <c r="F6645" i="8"/>
  <c r="E6645" i="8"/>
  <c r="F6644" i="8"/>
  <c r="E6644" i="8"/>
  <c r="F6643" i="8"/>
  <c r="E6643" i="8"/>
  <c r="F6642" i="8"/>
  <c r="E6642" i="8"/>
  <c r="F6641" i="8"/>
  <c r="E6641" i="8"/>
  <c r="F6640" i="8"/>
  <c r="E6640" i="8"/>
  <c r="F6639" i="8"/>
  <c r="E6639" i="8"/>
  <c r="F6638" i="8"/>
  <c r="E6638" i="8"/>
  <c r="F6637" i="8"/>
  <c r="E6637" i="8"/>
  <c r="F6636" i="8"/>
  <c r="E6636" i="8"/>
  <c r="F6635" i="8"/>
  <c r="E6635" i="8"/>
  <c r="F6634" i="8"/>
  <c r="E6634" i="8"/>
  <c r="F6633" i="8"/>
  <c r="E6633" i="8"/>
  <c r="F6632" i="8"/>
  <c r="E6632" i="8"/>
  <c r="F6631" i="8"/>
  <c r="E6631" i="8"/>
  <c r="F6630" i="8"/>
  <c r="E6630" i="8"/>
  <c r="F6629" i="8"/>
  <c r="E6629" i="8"/>
  <c r="F6628" i="8"/>
  <c r="E6628" i="8"/>
  <c r="F6627" i="8"/>
  <c r="E6627" i="8"/>
  <c r="F6626" i="8"/>
  <c r="E6626" i="8"/>
  <c r="F6625" i="8"/>
  <c r="E6625" i="8"/>
  <c r="F6624" i="8"/>
  <c r="E6624" i="8"/>
  <c r="F6623" i="8"/>
  <c r="E6623" i="8"/>
  <c r="F6622" i="8"/>
  <c r="E6622" i="8"/>
  <c r="F6621" i="8"/>
  <c r="E6621" i="8"/>
  <c r="F6620" i="8"/>
  <c r="E6620" i="8"/>
  <c r="F6619" i="8"/>
  <c r="E6619" i="8"/>
  <c r="F6618" i="8"/>
  <c r="E6618" i="8"/>
  <c r="F6617" i="8"/>
  <c r="E6617" i="8"/>
  <c r="F6616" i="8"/>
  <c r="E6616" i="8"/>
  <c r="F6615" i="8"/>
  <c r="E6615" i="8"/>
  <c r="F6614" i="8"/>
  <c r="E6614" i="8"/>
  <c r="F6613" i="8"/>
  <c r="E6613" i="8"/>
  <c r="F6612" i="8"/>
  <c r="E6612" i="8"/>
  <c r="F6611" i="8"/>
  <c r="E6611" i="8"/>
  <c r="F6610" i="8"/>
  <c r="E6610" i="8"/>
  <c r="F6609" i="8"/>
  <c r="E6609" i="8"/>
  <c r="F6608" i="8"/>
  <c r="E6608" i="8"/>
  <c r="F6607" i="8"/>
  <c r="E6607" i="8"/>
  <c r="F6606" i="8"/>
  <c r="E6606" i="8"/>
  <c r="F6605" i="8"/>
  <c r="E6605" i="8"/>
  <c r="F6604" i="8"/>
  <c r="E6604" i="8"/>
  <c r="F6603" i="8"/>
  <c r="E6603" i="8"/>
  <c r="F6602" i="8"/>
  <c r="E6602" i="8"/>
  <c r="F6601" i="8"/>
  <c r="E6601" i="8"/>
  <c r="F6600" i="8"/>
  <c r="E6600" i="8"/>
  <c r="F6599" i="8"/>
  <c r="E6599" i="8"/>
  <c r="F6598" i="8"/>
  <c r="E6598" i="8"/>
  <c r="F6597" i="8"/>
  <c r="E6597" i="8"/>
  <c r="F6596" i="8"/>
  <c r="E6596" i="8"/>
  <c r="F6595" i="8"/>
  <c r="E6595" i="8"/>
  <c r="F6594" i="8"/>
  <c r="E6594" i="8"/>
  <c r="F6593" i="8"/>
  <c r="E6593" i="8"/>
  <c r="F6592" i="8"/>
  <c r="E6592" i="8"/>
  <c r="F6591" i="8"/>
  <c r="E6591" i="8"/>
  <c r="F6590" i="8"/>
  <c r="E6590" i="8"/>
  <c r="F6589" i="8"/>
  <c r="E6589" i="8"/>
  <c r="F6588" i="8"/>
  <c r="E6588" i="8"/>
  <c r="F6587" i="8"/>
  <c r="E6587" i="8"/>
  <c r="F6586" i="8"/>
  <c r="E6586" i="8"/>
  <c r="F6585" i="8"/>
  <c r="E6585" i="8"/>
  <c r="F6584" i="8"/>
  <c r="E6584" i="8"/>
  <c r="F6583" i="8"/>
  <c r="E6583" i="8"/>
  <c r="F6582" i="8"/>
  <c r="E6582" i="8"/>
  <c r="F6581" i="8"/>
  <c r="E6581" i="8"/>
  <c r="F6580" i="8"/>
  <c r="E6580" i="8"/>
  <c r="F6579" i="8"/>
  <c r="E6579" i="8"/>
  <c r="F6578" i="8"/>
  <c r="E6578" i="8"/>
  <c r="F6577" i="8"/>
  <c r="E6577" i="8"/>
  <c r="F6576" i="8"/>
  <c r="E6576" i="8"/>
  <c r="F6575" i="8"/>
  <c r="E6575" i="8"/>
  <c r="F6574" i="8"/>
  <c r="E6574" i="8"/>
  <c r="F6573" i="8"/>
  <c r="E6573" i="8"/>
  <c r="F6572" i="8"/>
  <c r="E6572" i="8"/>
  <c r="F6571" i="8"/>
  <c r="E6571" i="8"/>
  <c r="F6570" i="8"/>
  <c r="E6570" i="8"/>
  <c r="F6569" i="8"/>
  <c r="E6569" i="8"/>
  <c r="F6568" i="8"/>
  <c r="E6568" i="8"/>
  <c r="F6567" i="8"/>
  <c r="E6567" i="8"/>
  <c r="F6566" i="8"/>
  <c r="E6566" i="8"/>
  <c r="F6565" i="8"/>
  <c r="E6565" i="8"/>
  <c r="F6564" i="8"/>
  <c r="E6564" i="8"/>
  <c r="F6563" i="8"/>
  <c r="E6563" i="8"/>
  <c r="F6562" i="8"/>
  <c r="E6562" i="8"/>
  <c r="F6561" i="8"/>
  <c r="E6561" i="8"/>
  <c r="F6560" i="8"/>
  <c r="E6560" i="8"/>
  <c r="F6559" i="8"/>
  <c r="E6559" i="8"/>
  <c r="F6558" i="8"/>
  <c r="E6558" i="8"/>
  <c r="F6557" i="8"/>
  <c r="E6557" i="8"/>
  <c r="F6556" i="8"/>
  <c r="E6556" i="8"/>
  <c r="F6555" i="8"/>
  <c r="E6555" i="8"/>
  <c r="F6554" i="8"/>
  <c r="E6554" i="8"/>
  <c r="F6553" i="8"/>
  <c r="E6553" i="8"/>
  <c r="F6552" i="8"/>
  <c r="E6552" i="8"/>
  <c r="F6551" i="8"/>
  <c r="E6551" i="8"/>
  <c r="F6550" i="8"/>
  <c r="E6550" i="8"/>
  <c r="F6549" i="8"/>
  <c r="E6549" i="8"/>
  <c r="F6548" i="8"/>
  <c r="E6548" i="8"/>
  <c r="F6547" i="8"/>
  <c r="E6547" i="8"/>
  <c r="F6546" i="8"/>
  <c r="E6546" i="8"/>
  <c r="F6545" i="8"/>
  <c r="E6545" i="8"/>
  <c r="F6544" i="8"/>
  <c r="E6544" i="8"/>
  <c r="F6543" i="8"/>
  <c r="E6543" i="8"/>
  <c r="F6542" i="8"/>
  <c r="E6542" i="8"/>
  <c r="F6541" i="8"/>
  <c r="E6541" i="8"/>
  <c r="F6540" i="8"/>
  <c r="E6540" i="8"/>
  <c r="F6539" i="8"/>
  <c r="E6539" i="8"/>
  <c r="F6538" i="8"/>
  <c r="E6538" i="8"/>
  <c r="F6537" i="8"/>
  <c r="E6537" i="8"/>
  <c r="F6536" i="8"/>
  <c r="E6536" i="8"/>
  <c r="F6535" i="8"/>
  <c r="E6535" i="8"/>
  <c r="F6534" i="8"/>
  <c r="E6534" i="8"/>
  <c r="F6533" i="8"/>
  <c r="E6533" i="8"/>
  <c r="F6532" i="8"/>
  <c r="E6532" i="8"/>
  <c r="F6531" i="8"/>
  <c r="E6531" i="8"/>
  <c r="F6530" i="8"/>
  <c r="E6530" i="8"/>
  <c r="F6529" i="8"/>
  <c r="E6529" i="8"/>
  <c r="F6528" i="8"/>
  <c r="E6528" i="8"/>
  <c r="F6527" i="8"/>
  <c r="E6527" i="8"/>
  <c r="F6526" i="8"/>
  <c r="E6526" i="8"/>
  <c r="F6525" i="8"/>
  <c r="E6525" i="8"/>
  <c r="F6524" i="8"/>
  <c r="E6524" i="8"/>
  <c r="F6523" i="8"/>
  <c r="E6523" i="8"/>
  <c r="F6522" i="8"/>
  <c r="E6522" i="8"/>
  <c r="F6521" i="8"/>
  <c r="E6521" i="8"/>
  <c r="F6520" i="8"/>
  <c r="E6520" i="8"/>
  <c r="F6519" i="8"/>
  <c r="E6519" i="8"/>
  <c r="F6518" i="8"/>
  <c r="E6518" i="8"/>
  <c r="F6517" i="8"/>
  <c r="E6517" i="8"/>
  <c r="F6516" i="8"/>
  <c r="E6516" i="8"/>
  <c r="F6515" i="8"/>
  <c r="E6515" i="8"/>
  <c r="F6514" i="8"/>
  <c r="E6514" i="8"/>
  <c r="F6513" i="8"/>
  <c r="E6513" i="8"/>
  <c r="F6512" i="8"/>
  <c r="E6512" i="8"/>
  <c r="F6511" i="8"/>
  <c r="E6511" i="8"/>
  <c r="F6510" i="8"/>
  <c r="E6510" i="8"/>
  <c r="F6509" i="8"/>
  <c r="E6509" i="8"/>
  <c r="F6508" i="8"/>
  <c r="E6508" i="8"/>
  <c r="F6507" i="8"/>
  <c r="E6507" i="8"/>
  <c r="F6506" i="8"/>
  <c r="E6506" i="8"/>
  <c r="F6505" i="8"/>
  <c r="E6505" i="8"/>
  <c r="F6504" i="8"/>
  <c r="E6504" i="8"/>
  <c r="F6503" i="8"/>
  <c r="E6503" i="8"/>
  <c r="F6502" i="8"/>
  <c r="E6502" i="8"/>
  <c r="F6501" i="8"/>
  <c r="E6501" i="8"/>
  <c r="F6500" i="8"/>
  <c r="E6500" i="8"/>
  <c r="F6499" i="8"/>
  <c r="E6499" i="8"/>
  <c r="F6498" i="8"/>
  <c r="E6498" i="8"/>
  <c r="F6497" i="8"/>
  <c r="E6497" i="8"/>
  <c r="F6496" i="8"/>
  <c r="E6496" i="8"/>
  <c r="F6495" i="8"/>
  <c r="E6495" i="8"/>
  <c r="F6494" i="8"/>
  <c r="E6494" i="8"/>
  <c r="F6493" i="8"/>
  <c r="E6493" i="8"/>
  <c r="F6492" i="8"/>
  <c r="E6492" i="8"/>
  <c r="F6491" i="8"/>
  <c r="E6491" i="8"/>
  <c r="F6490" i="8"/>
  <c r="E6490" i="8"/>
  <c r="F6489" i="8"/>
  <c r="E6489" i="8"/>
  <c r="F6488" i="8"/>
  <c r="E6488" i="8"/>
  <c r="F6487" i="8"/>
  <c r="E6487" i="8"/>
  <c r="F6486" i="8"/>
  <c r="E6486" i="8"/>
  <c r="F6485" i="8"/>
  <c r="E6485" i="8"/>
  <c r="F6484" i="8"/>
  <c r="E6484" i="8"/>
  <c r="F6483" i="8"/>
  <c r="E6483" i="8"/>
  <c r="F6482" i="8"/>
  <c r="E6482" i="8"/>
  <c r="F6481" i="8"/>
  <c r="E6481" i="8"/>
  <c r="F6480" i="8"/>
  <c r="E6480" i="8"/>
  <c r="F6479" i="8"/>
  <c r="E6479" i="8"/>
  <c r="F6478" i="8"/>
  <c r="E6478" i="8"/>
  <c r="F6477" i="8"/>
  <c r="E6477" i="8"/>
  <c r="F6476" i="8"/>
  <c r="E6476" i="8"/>
  <c r="F6475" i="8"/>
  <c r="E6475" i="8"/>
  <c r="F6474" i="8"/>
  <c r="E6474" i="8"/>
  <c r="F6473" i="8"/>
  <c r="E6473" i="8"/>
  <c r="F6472" i="8"/>
  <c r="E6472" i="8"/>
  <c r="F6471" i="8"/>
  <c r="E6471" i="8"/>
  <c r="F6470" i="8"/>
  <c r="E6470" i="8"/>
  <c r="F6469" i="8"/>
  <c r="E6469" i="8"/>
  <c r="F6468" i="8"/>
  <c r="E6468" i="8"/>
  <c r="F6467" i="8"/>
  <c r="E6467" i="8"/>
  <c r="F6466" i="8"/>
  <c r="E6466" i="8"/>
  <c r="F6465" i="8"/>
  <c r="E6465" i="8"/>
  <c r="F6464" i="8"/>
  <c r="E6464" i="8"/>
  <c r="F6463" i="8"/>
  <c r="E6463" i="8"/>
  <c r="F6462" i="8"/>
  <c r="E6462" i="8"/>
  <c r="F6461" i="8"/>
  <c r="E6461" i="8"/>
  <c r="F6460" i="8"/>
  <c r="E6460" i="8"/>
  <c r="F6459" i="8"/>
  <c r="E6459" i="8"/>
  <c r="F6458" i="8"/>
  <c r="E6458" i="8"/>
  <c r="F6457" i="8"/>
  <c r="E6457" i="8"/>
  <c r="F6456" i="8"/>
  <c r="E6456" i="8"/>
  <c r="F6455" i="8"/>
  <c r="E6455" i="8"/>
  <c r="F6454" i="8"/>
  <c r="E6454" i="8"/>
  <c r="F6453" i="8"/>
  <c r="E6453" i="8"/>
  <c r="F6452" i="8"/>
  <c r="E6452" i="8"/>
  <c r="F6451" i="8"/>
  <c r="E6451" i="8"/>
  <c r="F6450" i="8"/>
  <c r="E6450" i="8"/>
  <c r="F6449" i="8"/>
  <c r="E6449" i="8"/>
  <c r="F6448" i="8"/>
  <c r="E6448" i="8"/>
  <c r="F6447" i="8"/>
  <c r="E6447" i="8"/>
  <c r="F6446" i="8"/>
  <c r="E6446" i="8"/>
  <c r="F6445" i="8"/>
  <c r="E6445" i="8"/>
  <c r="F6444" i="8"/>
  <c r="E6444" i="8"/>
  <c r="F6443" i="8"/>
  <c r="E6443" i="8"/>
  <c r="F6442" i="8"/>
  <c r="E6442" i="8"/>
  <c r="F6441" i="8"/>
  <c r="E6441" i="8"/>
  <c r="F6440" i="8"/>
  <c r="E6440" i="8"/>
  <c r="F6439" i="8"/>
  <c r="E6439" i="8"/>
  <c r="F6438" i="8"/>
  <c r="E6438" i="8"/>
  <c r="F6437" i="8"/>
  <c r="E6437" i="8"/>
  <c r="F6436" i="8"/>
  <c r="E6436" i="8"/>
  <c r="F6435" i="8"/>
  <c r="E6435" i="8"/>
  <c r="F6434" i="8"/>
  <c r="E6434" i="8"/>
  <c r="F6433" i="8"/>
  <c r="E6433" i="8"/>
  <c r="F6432" i="8"/>
  <c r="E6432" i="8"/>
  <c r="F6431" i="8"/>
  <c r="E6431" i="8"/>
  <c r="F6430" i="8"/>
  <c r="E6430" i="8"/>
  <c r="F6429" i="8"/>
  <c r="E6429" i="8"/>
  <c r="F6428" i="8"/>
  <c r="E6428" i="8"/>
  <c r="F6427" i="8"/>
  <c r="E6427" i="8"/>
  <c r="F6426" i="8"/>
  <c r="E6426" i="8"/>
  <c r="F6425" i="8"/>
  <c r="E6425" i="8"/>
  <c r="F6424" i="8"/>
  <c r="E6424" i="8"/>
  <c r="F6423" i="8"/>
  <c r="E6423" i="8"/>
  <c r="F6422" i="8"/>
  <c r="E6422" i="8"/>
  <c r="F6421" i="8"/>
  <c r="E6421" i="8"/>
  <c r="F6420" i="8"/>
  <c r="E6420" i="8"/>
  <c r="F6419" i="8"/>
  <c r="E6419" i="8"/>
  <c r="F6418" i="8"/>
  <c r="E6418" i="8"/>
  <c r="F6417" i="8"/>
  <c r="E6417" i="8"/>
  <c r="F6416" i="8"/>
  <c r="E6416" i="8"/>
  <c r="F6415" i="8"/>
  <c r="E6415" i="8"/>
  <c r="F6414" i="8"/>
  <c r="E6414" i="8"/>
  <c r="F6413" i="8"/>
  <c r="E6413" i="8"/>
  <c r="F6412" i="8"/>
  <c r="E6412" i="8"/>
  <c r="F6411" i="8"/>
  <c r="E6411" i="8"/>
  <c r="F6410" i="8"/>
  <c r="E6410" i="8"/>
  <c r="F6409" i="8"/>
  <c r="E6409" i="8"/>
  <c r="F6408" i="8"/>
  <c r="E6408" i="8"/>
  <c r="F6407" i="8"/>
  <c r="E6407" i="8"/>
  <c r="F6406" i="8"/>
  <c r="E6406" i="8"/>
  <c r="F6405" i="8"/>
  <c r="E6405" i="8"/>
  <c r="F6404" i="8"/>
  <c r="E6404" i="8"/>
  <c r="F6403" i="8"/>
  <c r="E6403" i="8"/>
  <c r="F6402" i="8"/>
  <c r="E6402" i="8"/>
  <c r="F6401" i="8"/>
  <c r="E6401" i="8"/>
  <c r="F6400" i="8"/>
  <c r="E6400" i="8"/>
  <c r="F6399" i="8"/>
  <c r="E6399" i="8"/>
  <c r="F6398" i="8"/>
  <c r="E6398" i="8"/>
  <c r="F6397" i="8"/>
  <c r="E6397" i="8"/>
  <c r="F6396" i="8"/>
  <c r="E6396" i="8"/>
  <c r="F6395" i="8"/>
  <c r="E6395" i="8"/>
  <c r="F6394" i="8"/>
  <c r="E6394" i="8"/>
  <c r="F6393" i="8"/>
  <c r="E6393" i="8"/>
  <c r="F6392" i="8"/>
  <c r="E6392" i="8"/>
  <c r="F6391" i="8"/>
  <c r="E6391" i="8"/>
  <c r="F6390" i="8"/>
  <c r="E6390" i="8"/>
  <c r="F6389" i="8"/>
  <c r="E6389" i="8"/>
  <c r="F6388" i="8"/>
  <c r="E6388" i="8"/>
  <c r="F6387" i="8"/>
  <c r="E6387" i="8"/>
  <c r="F6386" i="8"/>
  <c r="E6386" i="8"/>
  <c r="F6385" i="8"/>
  <c r="E6385" i="8"/>
  <c r="F6384" i="8"/>
  <c r="E6384" i="8"/>
  <c r="F6383" i="8"/>
  <c r="E6383" i="8"/>
  <c r="F6382" i="8"/>
  <c r="E6382" i="8"/>
  <c r="F6381" i="8"/>
  <c r="E6381" i="8"/>
  <c r="F6380" i="8"/>
  <c r="E6380" i="8"/>
  <c r="F6379" i="8"/>
  <c r="E6379" i="8"/>
  <c r="F6378" i="8"/>
  <c r="E6378" i="8"/>
  <c r="F6377" i="8"/>
  <c r="E6377" i="8"/>
  <c r="F6376" i="8"/>
  <c r="E6376" i="8"/>
  <c r="F6375" i="8"/>
  <c r="E6375" i="8"/>
  <c r="F6374" i="8"/>
  <c r="E6374" i="8"/>
  <c r="F6373" i="8"/>
  <c r="E6373" i="8"/>
  <c r="F6372" i="8"/>
  <c r="E6372" i="8"/>
  <c r="F6371" i="8"/>
  <c r="E6371" i="8"/>
  <c r="F6370" i="8"/>
  <c r="E6370" i="8"/>
  <c r="F6369" i="8"/>
  <c r="E6369" i="8"/>
  <c r="F6368" i="8"/>
  <c r="E6368" i="8"/>
  <c r="F6367" i="8"/>
  <c r="E6367" i="8"/>
  <c r="F6366" i="8"/>
  <c r="E6366" i="8"/>
  <c r="F6365" i="8"/>
  <c r="E6365" i="8"/>
  <c r="F6364" i="8"/>
  <c r="E6364" i="8"/>
  <c r="F6363" i="8"/>
  <c r="E6363" i="8"/>
  <c r="F6362" i="8"/>
  <c r="E6362" i="8"/>
  <c r="F6361" i="8"/>
  <c r="E6361" i="8"/>
  <c r="F6360" i="8"/>
  <c r="E6360" i="8"/>
  <c r="F6359" i="8"/>
  <c r="E6359" i="8"/>
  <c r="F6358" i="8"/>
  <c r="E6358" i="8"/>
  <c r="F6357" i="8"/>
  <c r="E6357" i="8"/>
  <c r="F6356" i="8"/>
  <c r="E6356" i="8"/>
  <c r="F6355" i="8"/>
  <c r="E6355" i="8"/>
  <c r="F6354" i="8"/>
  <c r="E6354" i="8"/>
  <c r="F6353" i="8"/>
  <c r="E6353" i="8"/>
  <c r="F6352" i="8"/>
  <c r="E6352" i="8"/>
  <c r="F6351" i="8"/>
  <c r="E6351" i="8"/>
  <c r="F6350" i="8"/>
  <c r="E6350" i="8"/>
  <c r="F6349" i="8"/>
  <c r="E6349" i="8"/>
  <c r="F6348" i="8"/>
  <c r="E6348" i="8"/>
  <c r="F6347" i="8"/>
  <c r="E6347" i="8"/>
  <c r="F6346" i="8"/>
  <c r="E6346" i="8"/>
  <c r="F6345" i="8"/>
  <c r="E6345" i="8"/>
  <c r="F6344" i="8"/>
  <c r="E6344" i="8"/>
  <c r="F6343" i="8"/>
  <c r="E6343" i="8"/>
  <c r="F6342" i="8"/>
  <c r="E6342" i="8"/>
  <c r="F6341" i="8"/>
  <c r="E6341" i="8"/>
  <c r="F6340" i="8"/>
  <c r="E6340" i="8"/>
  <c r="F6339" i="8"/>
  <c r="E6339" i="8"/>
  <c r="F6338" i="8"/>
  <c r="E6338" i="8"/>
  <c r="F6337" i="8"/>
  <c r="E6337" i="8"/>
  <c r="F6336" i="8"/>
  <c r="E6336" i="8"/>
  <c r="F6335" i="8"/>
  <c r="E6335" i="8"/>
  <c r="F6334" i="8"/>
  <c r="E6334" i="8"/>
  <c r="F6333" i="8"/>
  <c r="E6333" i="8"/>
  <c r="F6332" i="8"/>
  <c r="E6332" i="8"/>
  <c r="F6331" i="8"/>
  <c r="E6331" i="8"/>
  <c r="F6330" i="8"/>
  <c r="E6330" i="8"/>
  <c r="F6329" i="8"/>
  <c r="E6329" i="8"/>
  <c r="F6328" i="8"/>
  <c r="E6328" i="8"/>
  <c r="F6327" i="8"/>
  <c r="E6327" i="8"/>
  <c r="F6326" i="8"/>
  <c r="E6326" i="8"/>
  <c r="F6325" i="8"/>
  <c r="E6325" i="8"/>
  <c r="F6324" i="8"/>
  <c r="E6324" i="8"/>
  <c r="F6323" i="8"/>
  <c r="E6323" i="8"/>
  <c r="F6322" i="8"/>
  <c r="E6322" i="8"/>
  <c r="F6321" i="8"/>
  <c r="E6321" i="8"/>
  <c r="F6320" i="8"/>
  <c r="E6320" i="8"/>
  <c r="F6319" i="8"/>
  <c r="E6319" i="8"/>
  <c r="F6318" i="8"/>
  <c r="E6318" i="8"/>
  <c r="F6317" i="8"/>
  <c r="E6317" i="8"/>
  <c r="F6316" i="8"/>
  <c r="E6316" i="8"/>
  <c r="F6315" i="8"/>
  <c r="E6315" i="8"/>
  <c r="F6314" i="8"/>
  <c r="E6314" i="8"/>
  <c r="F6313" i="8"/>
  <c r="E6313" i="8"/>
  <c r="F6312" i="8"/>
  <c r="E6312" i="8"/>
  <c r="F6311" i="8"/>
  <c r="E6311" i="8"/>
  <c r="F6310" i="8"/>
  <c r="E6310" i="8"/>
  <c r="F6309" i="8"/>
  <c r="E6309" i="8"/>
  <c r="F6308" i="8"/>
  <c r="E6308" i="8"/>
  <c r="F6307" i="8"/>
  <c r="E6307" i="8"/>
  <c r="F6306" i="8"/>
  <c r="E6306" i="8"/>
  <c r="F6305" i="8"/>
  <c r="E6305" i="8"/>
  <c r="F6304" i="8"/>
  <c r="E6304" i="8"/>
  <c r="F6303" i="8"/>
  <c r="E6303" i="8"/>
  <c r="F6302" i="8"/>
  <c r="E6302" i="8"/>
  <c r="F6301" i="8"/>
  <c r="E6301" i="8"/>
  <c r="F6300" i="8"/>
  <c r="E6300" i="8"/>
  <c r="F6299" i="8"/>
  <c r="E6299" i="8"/>
  <c r="F6298" i="8"/>
  <c r="E6298" i="8"/>
  <c r="F6297" i="8"/>
  <c r="E6297" i="8"/>
  <c r="F6296" i="8"/>
  <c r="E6296" i="8"/>
  <c r="F6295" i="8"/>
  <c r="E6295" i="8"/>
  <c r="F6294" i="8"/>
  <c r="E6294" i="8"/>
  <c r="F6293" i="8"/>
  <c r="E6293" i="8"/>
  <c r="F6292" i="8"/>
  <c r="E6292" i="8"/>
  <c r="F6291" i="8"/>
  <c r="E6291" i="8"/>
  <c r="F6290" i="8"/>
  <c r="E6290" i="8"/>
  <c r="F6289" i="8"/>
  <c r="E6289" i="8"/>
  <c r="F6288" i="8"/>
  <c r="E6288" i="8"/>
  <c r="F6287" i="8"/>
  <c r="E6287" i="8"/>
  <c r="F6286" i="8"/>
  <c r="E6286" i="8"/>
  <c r="F6285" i="8"/>
  <c r="E6285" i="8"/>
  <c r="F6284" i="8"/>
  <c r="E6284" i="8"/>
  <c r="F6283" i="8"/>
  <c r="E6283" i="8"/>
  <c r="F6282" i="8"/>
  <c r="E6282" i="8"/>
  <c r="F6281" i="8"/>
  <c r="E6281" i="8"/>
  <c r="F6280" i="8"/>
  <c r="E6280" i="8"/>
  <c r="F6279" i="8"/>
  <c r="E6279" i="8"/>
  <c r="F6278" i="8"/>
  <c r="E6278" i="8"/>
  <c r="F6277" i="8"/>
  <c r="E6277" i="8"/>
  <c r="F6276" i="8"/>
  <c r="E6276" i="8"/>
  <c r="F6275" i="8"/>
  <c r="E6275" i="8"/>
  <c r="F6274" i="8"/>
  <c r="E6274" i="8"/>
  <c r="F6273" i="8"/>
  <c r="E6273" i="8"/>
  <c r="F6272" i="8"/>
  <c r="E6272" i="8"/>
  <c r="F6271" i="8"/>
  <c r="E6271" i="8"/>
  <c r="F6270" i="8"/>
  <c r="E6270" i="8"/>
  <c r="F6269" i="8"/>
  <c r="E6269" i="8"/>
  <c r="F6268" i="8"/>
  <c r="E6268" i="8"/>
  <c r="F6267" i="8"/>
  <c r="E6267" i="8"/>
  <c r="F6266" i="8"/>
  <c r="E6266" i="8"/>
  <c r="F6265" i="8"/>
  <c r="E6265" i="8"/>
  <c r="F6264" i="8"/>
  <c r="E6264" i="8"/>
  <c r="F6263" i="8"/>
  <c r="E6263" i="8"/>
  <c r="F6262" i="8"/>
  <c r="E6262" i="8"/>
  <c r="F6261" i="8"/>
  <c r="E6261" i="8"/>
  <c r="F6260" i="8"/>
  <c r="E6260" i="8"/>
  <c r="F6259" i="8"/>
  <c r="E6259" i="8"/>
  <c r="F6258" i="8"/>
  <c r="E6258" i="8"/>
  <c r="F6257" i="8"/>
  <c r="E6257" i="8"/>
  <c r="F6256" i="8"/>
  <c r="E6256" i="8"/>
  <c r="F6255" i="8"/>
  <c r="E6255" i="8"/>
  <c r="F6254" i="8"/>
  <c r="E6254" i="8"/>
  <c r="F6253" i="8"/>
  <c r="E6253" i="8"/>
  <c r="F6252" i="8"/>
  <c r="E6252" i="8"/>
  <c r="F6251" i="8"/>
  <c r="E6251" i="8"/>
  <c r="F6250" i="8"/>
  <c r="E6250" i="8"/>
  <c r="F6249" i="8"/>
  <c r="E6249" i="8"/>
  <c r="F6248" i="8"/>
  <c r="E6248" i="8"/>
  <c r="F6247" i="8"/>
  <c r="E6247" i="8"/>
  <c r="F6246" i="8"/>
  <c r="E6246" i="8"/>
  <c r="F6245" i="8"/>
  <c r="E6245" i="8"/>
  <c r="F6244" i="8"/>
  <c r="E6244" i="8"/>
  <c r="F6243" i="8"/>
  <c r="E6243" i="8"/>
  <c r="F6242" i="8"/>
  <c r="E6242" i="8"/>
  <c r="F6241" i="8"/>
  <c r="E6241" i="8"/>
  <c r="F6240" i="8"/>
  <c r="E6240" i="8"/>
  <c r="F6239" i="8"/>
  <c r="E6239" i="8"/>
  <c r="F6238" i="8"/>
  <c r="E6238" i="8"/>
  <c r="F6237" i="8"/>
  <c r="E6237" i="8"/>
  <c r="F6236" i="8"/>
  <c r="E6236" i="8"/>
  <c r="F6235" i="8"/>
  <c r="E6235" i="8"/>
  <c r="F6234" i="8"/>
  <c r="E6234" i="8"/>
  <c r="F6233" i="8"/>
  <c r="E6233" i="8"/>
  <c r="F6232" i="8"/>
  <c r="E6232" i="8"/>
  <c r="F6231" i="8"/>
  <c r="E6231" i="8"/>
  <c r="F6230" i="8"/>
  <c r="E6230" i="8"/>
  <c r="F6229" i="8"/>
  <c r="E6229" i="8"/>
  <c r="F6228" i="8"/>
  <c r="E6228" i="8"/>
  <c r="F6227" i="8"/>
  <c r="E6227" i="8"/>
  <c r="F6226" i="8"/>
  <c r="E6226" i="8"/>
  <c r="F6225" i="8"/>
  <c r="E6225" i="8"/>
  <c r="F6224" i="8"/>
  <c r="E6224" i="8"/>
  <c r="F6223" i="8"/>
  <c r="E6223" i="8"/>
  <c r="F6222" i="8"/>
  <c r="E6222" i="8"/>
  <c r="F6221" i="8"/>
  <c r="E6221" i="8"/>
  <c r="F6220" i="8"/>
  <c r="E6220" i="8"/>
  <c r="F6219" i="8"/>
  <c r="E6219" i="8"/>
  <c r="F6218" i="8"/>
  <c r="E6218" i="8"/>
  <c r="F6217" i="8"/>
  <c r="E6217" i="8"/>
  <c r="F6216" i="8"/>
  <c r="E6216" i="8"/>
  <c r="F6215" i="8"/>
  <c r="E6215" i="8"/>
  <c r="F6214" i="8"/>
  <c r="E6214" i="8"/>
  <c r="F6213" i="8"/>
  <c r="E6213" i="8"/>
  <c r="F6212" i="8"/>
  <c r="E6212" i="8"/>
  <c r="F6211" i="8"/>
  <c r="E6211" i="8"/>
  <c r="F6210" i="8"/>
  <c r="E6210" i="8"/>
  <c r="F6209" i="8"/>
  <c r="E6209" i="8"/>
  <c r="F6208" i="8"/>
  <c r="E6208" i="8"/>
  <c r="F6207" i="8"/>
  <c r="E6207" i="8"/>
  <c r="F6206" i="8"/>
  <c r="E6206" i="8"/>
  <c r="F6205" i="8"/>
  <c r="E6205" i="8"/>
  <c r="F6204" i="8"/>
  <c r="E6204" i="8"/>
  <c r="F6203" i="8"/>
  <c r="E6203" i="8"/>
  <c r="F6202" i="8"/>
  <c r="E6202" i="8"/>
  <c r="F6201" i="8"/>
  <c r="E6201" i="8"/>
  <c r="F6200" i="8"/>
  <c r="E6200" i="8"/>
  <c r="F6199" i="8"/>
  <c r="E6199" i="8"/>
  <c r="F6198" i="8"/>
  <c r="E6198" i="8"/>
  <c r="F6197" i="8"/>
  <c r="E6197" i="8"/>
  <c r="F6196" i="8"/>
  <c r="E6196" i="8"/>
  <c r="F6195" i="8"/>
  <c r="E6195" i="8"/>
  <c r="F6194" i="8"/>
  <c r="E6194" i="8"/>
  <c r="F6193" i="8"/>
  <c r="E6193" i="8"/>
  <c r="F6192" i="8"/>
  <c r="E6192" i="8"/>
  <c r="F6191" i="8"/>
  <c r="E6191" i="8"/>
  <c r="F6190" i="8"/>
  <c r="E6190" i="8"/>
  <c r="F6189" i="8"/>
  <c r="E6189" i="8"/>
  <c r="F6188" i="8"/>
  <c r="E6188" i="8"/>
  <c r="F6187" i="8"/>
  <c r="E6187" i="8"/>
  <c r="F6186" i="8"/>
  <c r="E6186" i="8"/>
  <c r="F6185" i="8"/>
  <c r="E6185" i="8"/>
  <c r="F6184" i="8"/>
  <c r="E6184" i="8"/>
  <c r="F6183" i="8"/>
  <c r="E6183" i="8"/>
  <c r="F6182" i="8"/>
  <c r="E6182" i="8"/>
  <c r="F6181" i="8"/>
  <c r="E6181" i="8"/>
  <c r="F6180" i="8"/>
  <c r="E6180" i="8"/>
  <c r="F6179" i="8"/>
  <c r="E6179" i="8"/>
  <c r="F6178" i="8"/>
  <c r="E6178" i="8"/>
  <c r="F6177" i="8"/>
  <c r="E6177" i="8"/>
  <c r="F6176" i="8"/>
  <c r="E6176" i="8"/>
  <c r="F6175" i="8"/>
  <c r="E6175" i="8"/>
  <c r="F6174" i="8"/>
  <c r="E6174" i="8"/>
  <c r="F6173" i="8"/>
  <c r="E6173" i="8"/>
  <c r="F6172" i="8"/>
  <c r="E6172" i="8"/>
  <c r="F6171" i="8"/>
  <c r="E6171" i="8"/>
  <c r="F6170" i="8"/>
  <c r="E6170" i="8"/>
  <c r="F6169" i="8"/>
  <c r="E6169" i="8"/>
  <c r="F6168" i="8"/>
  <c r="E6168" i="8"/>
  <c r="F6167" i="8"/>
  <c r="E6167" i="8"/>
  <c r="F6166" i="8"/>
  <c r="E6166" i="8"/>
  <c r="F6165" i="8"/>
  <c r="E6165" i="8"/>
  <c r="F6164" i="8"/>
  <c r="E6164" i="8"/>
  <c r="F6163" i="8"/>
  <c r="E6163" i="8"/>
  <c r="F6162" i="8"/>
  <c r="E6162" i="8"/>
  <c r="F6161" i="8"/>
  <c r="E6161" i="8"/>
  <c r="F6160" i="8"/>
  <c r="E6160" i="8"/>
  <c r="F6159" i="8"/>
  <c r="E6159" i="8"/>
  <c r="F6158" i="8"/>
  <c r="E6158" i="8"/>
  <c r="F6157" i="8"/>
  <c r="E6157" i="8"/>
  <c r="F6156" i="8"/>
  <c r="E6156" i="8"/>
  <c r="F6155" i="8"/>
  <c r="E6155" i="8"/>
  <c r="F6154" i="8"/>
  <c r="E6154" i="8"/>
  <c r="F6153" i="8"/>
  <c r="E6153" i="8"/>
  <c r="F6152" i="8"/>
  <c r="E6152" i="8"/>
  <c r="F6151" i="8"/>
  <c r="E6151" i="8"/>
  <c r="F6150" i="8"/>
  <c r="E6150" i="8"/>
  <c r="F6149" i="8"/>
  <c r="E6149" i="8"/>
  <c r="F6148" i="8"/>
  <c r="E6148" i="8"/>
  <c r="F6147" i="8"/>
  <c r="E6147" i="8"/>
  <c r="F6146" i="8"/>
  <c r="E6146" i="8"/>
  <c r="F6145" i="8"/>
  <c r="E6145" i="8"/>
  <c r="F6144" i="8"/>
  <c r="E6144" i="8"/>
  <c r="F6143" i="8"/>
  <c r="E6143" i="8"/>
  <c r="F6142" i="8"/>
  <c r="E6142" i="8"/>
  <c r="F6141" i="8"/>
  <c r="E6141" i="8"/>
  <c r="F6140" i="8"/>
  <c r="E6140" i="8"/>
  <c r="F6139" i="8"/>
  <c r="E6139" i="8"/>
  <c r="F6138" i="8"/>
  <c r="E6138" i="8"/>
  <c r="F6137" i="8"/>
  <c r="E6137" i="8"/>
  <c r="F6136" i="8"/>
  <c r="E6136" i="8"/>
  <c r="F6135" i="8"/>
  <c r="E6135" i="8"/>
  <c r="F6134" i="8"/>
  <c r="E6134" i="8"/>
  <c r="F6133" i="8"/>
  <c r="E6133" i="8"/>
  <c r="F6132" i="8"/>
  <c r="E6132" i="8"/>
  <c r="F6131" i="8"/>
  <c r="E6131" i="8"/>
  <c r="F6130" i="8"/>
  <c r="E6130" i="8"/>
  <c r="F6129" i="8"/>
  <c r="E6129" i="8"/>
  <c r="F6128" i="8"/>
  <c r="E6128" i="8"/>
  <c r="F6127" i="8"/>
  <c r="E6127" i="8"/>
  <c r="F6126" i="8"/>
  <c r="E6126" i="8"/>
  <c r="F6125" i="8"/>
  <c r="E6125" i="8"/>
  <c r="F6124" i="8"/>
  <c r="E6124" i="8"/>
  <c r="F6123" i="8"/>
  <c r="E6123" i="8"/>
  <c r="F6122" i="8"/>
  <c r="E6122" i="8"/>
  <c r="F6121" i="8"/>
  <c r="E6121" i="8"/>
  <c r="F6120" i="8"/>
  <c r="E6120" i="8"/>
  <c r="F6119" i="8"/>
  <c r="E6119" i="8"/>
  <c r="F6118" i="8"/>
  <c r="E6118" i="8"/>
  <c r="F6117" i="8"/>
  <c r="E6117" i="8"/>
  <c r="F6116" i="8"/>
  <c r="E6116" i="8"/>
  <c r="F6115" i="8"/>
  <c r="E6115" i="8"/>
  <c r="F6114" i="8"/>
  <c r="E6114" i="8"/>
  <c r="F6113" i="8"/>
  <c r="E6113" i="8"/>
  <c r="F6112" i="8"/>
  <c r="E6112" i="8"/>
  <c r="F6111" i="8"/>
  <c r="E6111" i="8"/>
  <c r="F6110" i="8"/>
  <c r="E6110" i="8"/>
  <c r="F6109" i="8"/>
  <c r="E6109" i="8"/>
  <c r="F6108" i="8"/>
  <c r="E6108" i="8"/>
  <c r="F6107" i="8"/>
  <c r="E6107" i="8"/>
  <c r="F6106" i="8"/>
  <c r="E6106" i="8"/>
  <c r="F6105" i="8"/>
  <c r="E6105" i="8"/>
  <c r="F6104" i="8"/>
  <c r="E6104" i="8"/>
  <c r="F6103" i="8"/>
  <c r="E6103" i="8"/>
  <c r="F6102" i="8"/>
  <c r="E6102" i="8"/>
  <c r="F6101" i="8"/>
  <c r="E6101" i="8"/>
  <c r="F6100" i="8"/>
  <c r="E6100" i="8"/>
  <c r="F6099" i="8"/>
  <c r="E6099" i="8"/>
  <c r="F6098" i="8"/>
  <c r="E6098" i="8"/>
  <c r="F6097" i="8"/>
  <c r="E6097" i="8"/>
  <c r="F6096" i="8"/>
  <c r="E6096" i="8"/>
  <c r="F6095" i="8"/>
  <c r="E6095" i="8"/>
  <c r="F6094" i="8"/>
  <c r="E6094" i="8"/>
  <c r="F6093" i="8"/>
  <c r="E6093" i="8"/>
  <c r="F6092" i="8"/>
  <c r="E6092" i="8"/>
  <c r="F6091" i="8"/>
  <c r="E6091" i="8"/>
  <c r="F6090" i="8"/>
  <c r="E6090" i="8"/>
  <c r="F6089" i="8"/>
  <c r="E6089" i="8"/>
  <c r="F6088" i="8"/>
  <c r="E6088" i="8"/>
  <c r="F6087" i="8"/>
  <c r="E6087" i="8"/>
  <c r="F6086" i="8"/>
  <c r="E6086" i="8"/>
  <c r="F6085" i="8"/>
  <c r="E6085" i="8"/>
  <c r="F6084" i="8"/>
  <c r="E6084" i="8"/>
  <c r="F6083" i="8"/>
  <c r="E6083" i="8"/>
  <c r="F6082" i="8"/>
  <c r="E6082" i="8"/>
  <c r="F6081" i="8"/>
  <c r="E6081" i="8"/>
  <c r="F6080" i="8"/>
  <c r="E6080" i="8"/>
  <c r="F6079" i="8"/>
  <c r="E6079" i="8"/>
  <c r="F6078" i="8"/>
  <c r="E6078" i="8"/>
  <c r="F6077" i="8"/>
  <c r="E6077" i="8"/>
  <c r="F6076" i="8"/>
  <c r="E6076" i="8"/>
  <c r="F6075" i="8"/>
  <c r="E6075" i="8"/>
  <c r="F6074" i="8"/>
  <c r="E6074" i="8"/>
  <c r="F6073" i="8"/>
  <c r="E6073" i="8"/>
  <c r="F6072" i="8"/>
  <c r="E6072" i="8"/>
  <c r="F6071" i="8"/>
  <c r="E6071" i="8"/>
  <c r="F6070" i="8"/>
  <c r="E6070" i="8"/>
  <c r="F6069" i="8"/>
  <c r="E6069" i="8"/>
  <c r="F6068" i="8"/>
  <c r="E6068" i="8"/>
  <c r="F6067" i="8"/>
  <c r="E6067" i="8"/>
  <c r="F6066" i="8"/>
  <c r="E6066" i="8"/>
  <c r="F6065" i="8"/>
  <c r="E6065" i="8"/>
  <c r="F6064" i="8"/>
  <c r="E6064" i="8"/>
  <c r="F6063" i="8"/>
  <c r="E6063" i="8"/>
  <c r="F6062" i="8"/>
  <c r="E6062" i="8"/>
  <c r="F6061" i="8"/>
  <c r="E6061" i="8"/>
  <c r="F6060" i="8"/>
  <c r="E6060" i="8"/>
  <c r="F6059" i="8"/>
  <c r="E6059" i="8"/>
  <c r="F6058" i="8"/>
  <c r="E6058" i="8"/>
  <c r="F6057" i="8"/>
  <c r="E6057" i="8"/>
  <c r="F6056" i="8"/>
  <c r="E6056" i="8"/>
  <c r="F6055" i="8"/>
  <c r="E6055" i="8"/>
  <c r="F6054" i="8"/>
  <c r="E6054" i="8"/>
  <c r="F6053" i="8"/>
  <c r="E6053" i="8"/>
  <c r="F6052" i="8"/>
  <c r="E6052" i="8"/>
  <c r="F6051" i="8"/>
  <c r="E6051" i="8"/>
  <c r="F6050" i="8"/>
  <c r="E6050" i="8"/>
  <c r="F6049" i="8"/>
  <c r="E6049" i="8"/>
  <c r="F6048" i="8"/>
  <c r="E6048" i="8"/>
  <c r="F6047" i="8"/>
  <c r="E6047" i="8"/>
  <c r="F6046" i="8"/>
  <c r="E6046" i="8"/>
  <c r="F6045" i="8"/>
  <c r="E6045" i="8"/>
  <c r="F6044" i="8"/>
  <c r="E6044" i="8"/>
  <c r="F6043" i="8"/>
  <c r="E6043" i="8"/>
  <c r="F6042" i="8"/>
  <c r="E6042" i="8"/>
  <c r="F6041" i="8"/>
  <c r="E6041" i="8"/>
  <c r="F6040" i="8"/>
  <c r="E6040" i="8"/>
  <c r="F6039" i="8"/>
  <c r="E6039" i="8"/>
  <c r="F6038" i="8"/>
  <c r="E6038" i="8"/>
  <c r="F6037" i="8"/>
  <c r="E6037" i="8"/>
  <c r="F6036" i="8"/>
  <c r="E6036" i="8"/>
  <c r="F6035" i="8"/>
  <c r="E6035" i="8"/>
  <c r="F6034" i="8"/>
  <c r="E6034" i="8"/>
  <c r="F6033" i="8"/>
  <c r="E6033" i="8"/>
  <c r="F6032" i="8"/>
  <c r="E6032" i="8"/>
  <c r="F6031" i="8"/>
  <c r="E6031" i="8"/>
  <c r="F6030" i="8"/>
  <c r="E6030" i="8"/>
  <c r="F6029" i="8"/>
  <c r="E6029" i="8"/>
  <c r="F6028" i="8"/>
  <c r="E6028" i="8"/>
  <c r="F6027" i="8"/>
  <c r="E6027" i="8"/>
  <c r="F6026" i="8"/>
  <c r="E6026" i="8"/>
  <c r="F6025" i="8"/>
  <c r="E6025" i="8"/>
  <c r="F6024" i="8"/>
  <c r="E6024" i="8"/>
  <c r="F6023" i="8"/>
  <c r="E6023" i="8"/>
  <c r="F6022" i="8"/>
  <c r="E6022" i="8"/>
  <c r="F6021" i="8"/>
  <c r="E6021" i="8"/>
  <c r="F6020" i="8"/>
  <c r="E6020" i="8"/>
  <c r="F6019" i="8"/>
  <c r="E6019" i="8"/>
  <c r="F6018" i="8"/>
  <c r="E6018" i="8"/>
  <c r="F6017" i="8"/>
  <c r="E6017" i="8"/>
  <c r="F6016" i="8"/>
  <c r="E6016" i="8"/>
  <c r="F6015" i="8"/>
  <c r="E6015" i="8"/>
  <c r="F6014" i="8"/>
  <c r="E6014" i="8"/>
  <c r="F6013" i="8"/>
  <c r="E6013" i="8"/>
  <c r="F6012" i="8"/>
  <c r="E6012" i="8"/>
  <c r="F6011" i="8"/>
  <c r="E6011" i="8"/>
  <c r="F6010" i="8"/>
  <c r="E6010" i="8"/>
  <c r="F6009" i="8"/>
  <c r="E6009" i="8"/>
  <c r="F6008" i="8"/>
  <c r="E6008" i="8"/>
  <c r="F6007" i="8"/>
  <c r="E6007" i="8"/>
  <c r="F6006" i="8"/>
  <c r="E6006" i="8"/>
  <c r="F6005" i="8"/>
  <c r="E6005" i="8"/>
  <c r="F6004" i="8"/>
  <c r="E6004" i="8"/>
  <c r="F6003" i="8"/>
  <c r="E6003" i="8"/>
  <c r="F6002" i="8"/>
  <c r="E6002" i="8"/>
  <c r="F6001" i="8"/>
  <c r="E6001" i="8"/>
  <c r="F6000" i="8"/>
  <c r="E6000" i="8"/>
  <c r="F5999" i="8"/>
  <c r="E5999" i="8"/>
  <c r="F5998" i="8"/>
  <c r="E5998" i="8"/>
  <c r="F5997" i="8"/>
  <c r="E5997" i="8"/>
  <c r="F5996" i="8"/>
  <c r="E5996" i="8"/>
  <c r="F5995" i="8"/>
  <c r="E5995" i="8"/>
  <c r="F5994" i="8"/>
  <c r="E5994" i="8"/>
  <c r="F5993" i="8"/>
  <c r="E5993" i="8"/>
  <c r="F5992" i="8"/>
  <c r="E5992" i="8"/>
  <c r="F5991" i="8"/>
  <c r="E5991" i="8"/>
  <c r="F5990" i="8"/>
  <c r="E5990" i="8"/>
  <c r="F5989" i="8"/>
  <c r="E5989" i="8"/>
  <c r="F5988" i="8"/>
  <c r="E5988" i="8"/>
  <c r="F5987" i="8"/>
  <c r="E5987" i="8"/>
  <c r="F5986" i="8"/>
  <c r="E5986" i="8"/>
  <c r="F5985" i="8"/>
  <c r="E5985" i="8"/>
  <c r="F5984" i="8"/>
  <c r="E5984" i="8"/>
  <c r="F5983" i="8"/>
  <c r="E5983" i="8"/>
  <c r="F5982" i="8"/>
  <c r="E5982" i="8"/>
  <c r="F5981" i="8"/>
  <c r="E5981" i="8"/>
  <c r="F5980" i="8"/>
  <c r="E5980" i="8"/>
  <c r="F5979" i="8"/>
  <c r="E5979" i="8"/>
  <c r="F5978" i="8"/>
  <c r="E5978" i="8"/>
  <c r="F5977" i="8"/>
  <c r="E5977" i="8"/>
  <c r="F5976" i="8"/>
  <c r="E5976" i="8"/>
  <c r="F5975" i="8"/>
  <c r="E5975" i="8"/>
  <c r="F5974" i="8"/>
  <c r="E5974" i="8"/>
  <c r="F5973" i="8"/>
  <c r="E5973" i="8"/>
  <c r="F5972" i="8"/>
  <c r="E5972" i="8"/>
  <c r="F5971" i="8"/>
  <c r="E5971" i="8"/>
  <c r="F5970" i="8"/>
  <c r="E5970" i="8"/>
  <c r="F5969" i="8"/>
  <c r="E5969" i="8"/>
  <c r="F5968" i="8"/>
  <c r="E5968" i="8"/>
  <c r="F5967" i="8"/>
  <c r="E5967" i="8"/>
  <c r="F5966" i="8"/>
  <c r="E5966" i="8"/>
  <c r="F5965" i="8"/>
  <c r="E5965" i="8"/>
  <c r="F5964" i="8"/>
  <c r="E5964" i="8"/>
  <c r="F5963" i="8"/>
  <c r="E5963" i="8"/>
  <c r="F5962" i="8"/>
  <c r="E5962" i="8"/>
  <c r="F5961" i="8"/>
  <c r="E5961" i="8"/>
  <c r="F5960" i="8"/>
  <c r="E5960" i="8"/>
  <c r="F5959" i="8"/>
  <c r="E5959" i="8"/>
  <c r="F5958" i="8"/>
  <c r="E5958" i="8"/>
  <c r="F5957" i="8"/>
  <c r="E5957" i="8"/>
  <c r="F5956" i="8"/>
  <c r="E5956" i="8"/>
  <c r="F5955" i="8"/>
  <c r="E5955" i="8"/>
  <c r="F5954" i="8"/>
  <c r="E5954" i="8"/>
  <c r="F5953" i="8"/>
  <c r="E5953" i="8"/>
  <c r="F5952" i="8"/>
  <c r="E5952" i="8"/>
  <c r="F5951" i="8"/>
  <c r="E5951" i="8"/>
  <c r="F5950" i="8"/>
  <c r="E5950" i="8"/>
  <c r="F5949" i="8"/>
  <c r="E5949" i="8"/>
  <c r="F5948" i="8"/>
  <c r="E5948" i="8"/>
  <c r="F5947" i="8"/>
  <c r="E5947" i="8"/>
  <c r="F5946" i="8"/>
  <c r="E5946" i="8"/>
  <c r="F5945" i="8"/>
  <c r="E5945" i="8"/>
  <c r="F5944" i="8"/>
  <c r="E5944" i="8"/>
  <c r="F5943" i="8"/>
  <c r="E5943" i="8"/>
  <c r="F5942" i="8"/>
  <c r="E5942" i="8"/>
  <c r="F5941" i="8"/>
  <c r="E5941" i="8"/>
  <c r="F5940" i="8"/>
  <c r="E5940" i="8"/>
  <c r="F5939" i="8"/>
  <c r="E5939" i="8"/>
  <c r="F5938" i="8"/>
  <c r="E5938" i="8"/>
  <c r="F5937" i="8"/>
  <c r="E5937" i="8"/>
  <c r="F5936" i="8"/>
  <c r="E5936" i="8"/>
  <c r="F5935" i="8"/>
  <c r="E5935" i="8"/>
  <c r="F5934" i="8"/>
  <c r="E5934" i="8"/>
  <c r="F5933" i="8"/>
  <c r="E5933" i="8"/>
  <c r="F5932" i="8"/>
  <c r="E5932" i="8"/>
  <c r="F5931" i="8"/>
  <c r="E5931" i="8"/>
  <c r="F5930" i="8"/>
  <c r="E5930" i="8"/>
  <c r="F5929" i="8"/>
  <c r="E5929" i="8"/>
  <c r="F5928" i="8"/>
  <c r="E5928" i="8"/>
  <c r="F5927" i="8"/>
  <c r="E5927" i="8"/>
  <c r="F5926" i="8"/>
  <c r="E5926" i="8"/>
  <c r="F5925" i="8"/>
  <c r="E5925" i="8"/>
  <c r="F5924" i="8"/>
  <c r="E5924" i="8"/>
  <c r="F5923" i="8"/>
  <c r="E5923" i="8"/>
  <c r="F5922" i="8"/>
  <c r="E5922" i="8"/>
  <c r="F5921" i="8"/>
  <c r="E5921" i="8"/>
  <c r="F5920" i="8"/>
  <c r="E5920" i="8"/>
  <c r="F5919" i="8"/>
  <c r="E5919" i="8"/>
  <c r="F5918" i="8"/>
  <c r="E5918" i="8"/>
  <c r="F5917" i="8"/>
  <c r="E5917" i="8"/>
  <c r="F5916" i="8"/>
  <c r="E5916" i="8"/>
  <c r="F5915" i="8"/>
  <c r="E5915" i="8"/>
  <c r="F5914" i="8"/>
  <c r="E5914" i="8"/>
  <c r="F5913" i="8"/>
  <c r="E5913" i="8"/>
  <c r="F5912" i="8"/>
  <c r="E5912" i="8"/>
  <c r="F5911" i="8"/>
  <c r="E5911" i="8"/>
  <c r="F5910" i="8"/>
  <c r="E5910" i="8"/>
  <c r="F5909" i="8"/>
  <c r="E5909" i="8"/>
  <c r="F5908" i="8"/>
  <c r="E5908" i="8"/>
  <c r="F5907" i="8"/>
  <c r="E5907" i="8"/>
  <c r="F5906" i="8"/>
  <c r="E5906" i="8"/>
  <c r="F5905" i="8"/>
  <c r="E5905" i="8"/>
  <c r="F5904" i="8"/>
  <c r="E5904" i="8"/>
  <c r="F5903" i="8"/>
  <c r="E5903" i="8"/>
  <c r="F5902" i="8"/>
  <c r="E5902" i="8"/>
  <c r="F5901" i="8"/>
  <c r="E5901" i="8"/>
  <c r="F5900" i="8"/>
  <c r="E5900" i="8"/>
  <c r="F5899" i="8"/>
  <c r="E5899" i="8"/>
  <c r="F5898" i="8"/>
  <c r="E5898" i="8"/>
  <c r="F5897" i="8"/>
  <c r="E5897" i="8"/>
  <c r="F5896" i="8"/>
  <c r="E5896" i="8"/>
  <c r="F5895" i="8"/>
  <c r="E5895" i="8"/>
  <c r="F5894" i="8"/>
  <c r="E5894" i="8"/>
  <c r="F5893" i="8"/>
  <c r="E5893" i="8"/>
  <c r="F5892" i="8"/>
  <c r="E5892" i="8"/>
  <c r="F5891" i="8"/>
  <c r="E5891" i="8"/>
  <c r="F5890" i="8"/>
  <c r="E5890" i="8"/>
  <c r="F5889" i="8"/>
  <c r="E5889" i="8"/>
  <c r="F5888" i="8"/>
  <c r="E5888" i="8"/>
  <c r="F5887" i="8"/>
  <c r="E5887" i="8"/>
  <c r="F5886" i="8"/>
  <c r="E5886" i="8"/>
  <c r="F5885" i="8"/>
  <c r="E5885" i="8"/>
  <c r="F5884" i="8"/>
  <c r="E5884" i="8"/>
  <c r="F5883" i="8"/>
  <c r="E5883" i="8"/>
  <c r="F5882" i="8"/>
  <c r="E5882" i="8"/>
  <c r="F5881" i="8"/>
  <c r="E5881" i="8"/>
  <c r="F5880" i="8"/>
  <c r="E5880" i="8"/>
  <c r="F5879" i="8"/>
  <c r="E5879" i="8"/>
  <c r="F5878" i="8"/>
  <c r="E5878" i="8"/>
  <c r="F5877" i="8"/>
  <c r="E5877" i="8"/>
  <c r="F5876" i="8"/>
  <c r="E5876" i="8"/>
  <c r="F5875" i="8"/>
  <c r="E5875" i="8"/>
  <c r="F5874" i="8"/>
  <c r="E5874" i="8"/>
  <c r="F5873" i="8"/>
  <c r="E5873" i="8"/>
  <c r="F5872" i="8"/>
  <c r="E5872" i="8"/>
  <c r="F5871" i="8"/>
  <c r="E5871" i="8"/>
  <c r="F5870" i="8"/>
  <c r="E5870" i="8"/>
  <c r="F5869" i="8"/>
  <c r="E5869" i="8"/>
  <c r="F5868" i="8"/>
  <c r="E5868" i="8"/>
  <c r="F5867" i="8"/>
  <c r="E5867" i="8"/>
  <c r="F5866" i="8"/>
  <c r="E5866" i="8"/>
  <c r="F5865" i="8"/>
  <c r="E5865" i="8"/>
  <c r="F5864" i="8"/>
  <c r="E5864" i="8"/>
  <c r="F5863" i="8"/>
  <c r="E5863" i="8"/>
  <c r="F5862" i="8"/>
  <c r="E5862" i="8"/>
  <c r="F5861" i="8"/>
  <c r="E5861" i="8"/>
  <c r="F5860" i="8"/>
  <c r="E5860" i="8"/>
  <c r="F5859" i="8"/>
  <c r="E5859" i="8"/>
  <c r="F5858" i="8"/>
  <c r="E5858" i="8"/>
  <c r="F5857" i="8"/>
  <c r="E5857" i="8"/>
  <c r="F5856" i="8"/>
  <c r="E5856" i="8"/>
  <c r="F5855" i="8"/>
  <c r="E5855" i="8"/>
  <c r="F5854" i="8"/>
  <c r="E5854" i="8"/>
  <c r="F5853" i="8"/>
  <c r="E5853" i="8"/>
  <c r="F5852" i="8"/>
  <c r="E5852" i="8"/>
  <c r="F5851" i="8"/>
  <c r="E5851" i="8"/>
  <c r="F5850" i="8"/>
  <c r="E5850" i="8"/>
  <c r="F5849" i="8"/>
  <c r="E5849" i="8"/>
  <c r="F5848" i="8"/>
  <c r="E5848" i="8"/>
  <c r="F5847" i="8"/>
  <c r="E5847" i="8"/>
  <c r="F5846" i="8"/>
  <c r="E5846" i="8"/>
  <c r="F5845" i="8"/>
  <c r="E5845" i="8"/>
  <c r="F5844" i="8"/>
  <c r="E5844" i="8"/>
  <c r="F5843" i="8"/>
  <c r="E5843" i="8"/>
  <c r="F5842" i="8"/>
  <c r="E5842" i="8"/>
  <c r="F5841" i="8"/>
  <c r="E5841" i="8"/>
  <c r="F5840" i="8"/>
  <c r="E5840" i="8"/>
  <c r="F5839" i="8"/>
  <c r="E5839" i="8"/>
  <c r="F5838" i="8"/>
  <c r="E5838" i="8"/>
  <c r="F5837" i="8"/>
  <c r="E5837" i="8"/>
  <c r="F5836" i="8"/>
  <c r="E5836" i="8"/>
  <c r="F5835" i="8"/>
  <c r="E5835" i="8"/>
  <c r="F5834" i="8"/>
  <c r="E5834" i="8"/>
  <c r="F5833" i="8"/>
  <c r="E5833" i="8"/>
  <c r="F5832" i="8"/>
  <c r="E5832" i="8"/>
  <c r="F5831" i="8"/>
  <c r="E5831" i="8"/>
  <c r="F5830" i="8"/>
  <c r="E5830" i="8"/>
  <c r="F5829" i="8"/>
  <c r="E5829" i="8"/>
  <c r="F5828" i="8"/>
  <c r="E5828" i="8"/>
  <c r="F5827" i="8"/>
  <c r="E5827" i="8"/>
  <c r="F5826" i="8"/>
  <c r="E5826" i="8"/>
  <c r="F5825" i="8"/>
  <c r="E5825" i="8"/>
  <c r="F5824" i="8"/>
  <c r="E5824" i="8"/>
  <c r="F5823" i="8"/>
  <c r="E5823" i="8"/>
  <c r="F5822" i="8"/>
  <c r="E5822" i="8"/>
  <c r="F5821" i="8"/>
  <c r="E5821" i="8"/>
  <c r="F5820" i="8"/>
  <c r="E5820" i="8"/>
  <c r="F5819" i="8"/>
  <c r="E5819" i="8"/>
  <c r="F5818" i="8"/>
  <c r="E5818" i="8"/>
  <c r="F5817" i="8"/>
  <c r="E5817" i="8"/>
  <c r="F5816" i="8"/>
  <c r="E5816" i="8"/>
  <c r="F5815" i="8"/>
  <c r="E5815" i="8"/>
  <c r="F5814" i="8"/>
  <c r="E5814" i="8"/>
  <c r="F5813" i="8"/>
  <c r="E5813" i="8"/>
  <c r="F5812" i="8"/>
  <c r="E5812" i="8"/>
  <c r="F5811" i="8"/>
  <c r="E5811" i="8"/>
  <c r="F5810" i="8"/>
  <c r="E5810" i="8"/>
  <c r="F5809" i="8"/>
  <c r="E5809" i="8"/>
  <c r="F5808" i="8"/>
  <c r="E5808" i="8"/>
  <c r="F5807" i="8"/>
  <c r="E5807" i="8"/>
  <c r="F5806" i="8"/>
  <c r="E5806" i="8"/>
  <c r="F5805" i="8"/>
  <c r="E5805" i="8"/>
  <c r="F5804" i="8"/>
  <c r="E5804" i="8"/>
  <c r="F5803" i="8"/>
  <c r="E5803" i="8"/>
  <c r="F5802" i="8"/>
  <c r="E5802" i="8"/>
  <c r="F5801" i="8"/>
  <c r="E5801" i="8"/>
  <c r="F5800" i="8"/>
  <c r="E5800" i="8"/>
  <c r="F5799" i="8"/>
  <c r="E5799" i="8"/>
  <c r="F5798" i="8"/>
  <c r="E5798" i="8"/>
  <c r="F5797" i="8"/>
  <c r="E5797" i="8"/>
  <c r="F5796" i="8"/>
  <c r="E5796" i="8"/>
  <c r="F5795" i="8"/>
  <c r="E5795" i="8"/>
  <c r="F5794" i="8"/>
  <c r="E5794" i="8"/>
  <c r="F5793" i="8"/>
  <c r="E5793" i="8"/>
  <c r="F5792" i="8"/>
  <c r="E5792" i="8"/>
  <c r="F5791" i="8"/>
  <c r="E5791" i="8"/>
  <c r="F5790" i="8"/>
  <c r="E5790" i="8"/>
  <c r="F5789" i="8"/>
  <c r="E5789" i="8"/>
  <c r="F5788" i="8"/>
  <c r="E5788" i="8"/>
  <c r="F5787" i="8"/>
  <c r="E5787" i="8"/>
  <c r="F5786" i="8"/>
  <c r="E5786" i="8"/>
  <c r="F5785" i="8"/>
  <c r="E5785" i="8"/>
  <c r="F5784" i="8"/>
  <c r="E5784" i="8"/>
  <c r="F5783" i="8"/>
  <c r="E5783" i="8"/>
  <c r="F5782" i="8"/>
  <c r="E5782" i="8"/>
  <c r="F5781" i="8"/>
  <c r="E5781" i="8"/>
  <c r="F5780" i="8"/>
  <c r="E5780" i="8"/>
  <c r="F5779" i="8"/>
  <c r="E5779" i="8"/>
  <c r="F5778" i="8"/>
  <c r="E5778" i="8"/>
  <c r="F5777" i="8"/>
  <c r="E5777" i="8"/>
  <c r="F5776" i="8"/>
  <c r="E5776" i="8"/>
  <c r="F5775" i="8"/>
  <c r="E5775" i="8"/>
  <c r="F5774" i="8"/>
  <c r="E5774" i="8"/>
  <c r="F5773" i="8"/>
  <c r="E5773" i="8"/>
  <c r="F5772" i="8"/>
  <c r="E5772" i="8"/>
  <c r="F5771" i="8"/>
  <c r="E5771" i="8"/>
  <c r="F5770" i="8"/>
  <c r="E5770" i="8"/>
  <c r="F5769" i="8"/>
  <c r="E5769" i="8"/>
  <c r="F5768" i="8"/>
  <c r="E5768" i="8"/>
  <c r="F5767" i="8"/>
  <c r="E5767" i="8"/>
  <c r="F5766" i="8"/>
  <c r="E5766" i="8"/>
  <c r="F5765" i="8"/>
  <c r="E5765" i="8"/>
  <c r="F5764" i="8"/>
  <c r="E5764" i="8"/>
  <c r="F5763" i="8"/>
  <c r="E5763" i="8"/>
  <c r="F5762" i="8"/>
  <c r="E5762" i="8"/>
  <c r="F5761" i="8"/>
  <c r="E5761" i="8"/>
  <c r="F5760" i="8"/>
  <c r="E5760" i="8"/>
  <c r="F5759" i="8"/>
  <c r="E5759" i="8"/>
  <c r="F5758" i="8"/>
  <c r="E5758" i="8"/>
  <c r="F5757" i="8"/>
  <c r="E5757" i="8"/>
  <c r="F5756" i="8"/>
  <c r="E5756" i="8"/>
  <c r="F5755" i="8"/>
  <c r="E5755" i="8"/>
  <c r="F5754" i="8"/>
  <c r="E5754" i="8"/>
  <c r="F5753" i="8"/>
  <c r="E5753" i="8"/>
  <c r="F5752" i="8"/>
  <c r="E5752" i="8"/>
  <c r="F5751" i="8"/>
  <c r="E5751" i="8"/>
  <c r="F5750" i="8"/>
  <c r="E5750" i="8"/>
  <c r="F5749" i="8"/>
  <c r="E5749" i="8"/>
  <c r="F5748" i="8"/>
  <c r="E5748" i="8"/>
  <c r="F5747" i="8"/>
  <c r="E5747" i="8"/>
  <c r="F5746" i="8"/>
  <c r="E5746" i="8"/>
  <c r="F5745" i="8"/>
  <c r="E5745" i="8"/>
  <c r="F5744" i="8"/>
  <c r="E5744" i="8"/>
  <c r="F5743" i="8"/>
  <c r="E5743" i="8"/>
  <c r="F5742" i="8"/>
  <c r="E5742" i="8"/>
  <c r="F5741" i="8"/>
  <c r="E5741" i="8"/>
  <c r="F5740" i="8"/>
  <c r="E5740" i="8"/>
  <c r="F5739" i="8"/>
  <c r="E5739" i="8"/>
  <c r="F5738" i="8"/>
  <c r="E5738" i="8"/>
  <c r="F5737" i="8"/>
  <c r="E5737" i="8"/>
  <c r="F5736" i="8"/>
  <c r="E5736" i="8"/>
  <c r="F5735" i="8"/>
  <c r="E5735" i="8"/>
  <c r="F5734" i="8"/>
  <c r="E5734" i="8"/>
  <c r="F5733" i="8"/>
  <c r="E5733" i="8"/>
  <c r="F5732" i="8"/>
  <c r="E5732" i="8"/>
  <c r="F5731" i="8"/>
  <c r="E5731" i="8"/>
  <c r="F5730" i="8"/>
  <c r="E5730" i="8"/>
  <c r="F5729" i="8"/>
  <c r="E5729" i="8"/>
  <c r="F5728" i="8"/>
  <c r="E5728" i="8"/>
  <c r="F5727" i="8"/>
  <c r="E5727" i="8"/>
  <c r="F5726" i="8"/>
  <c r="E5726" i="8"/>
  <c r="F5725" i="8"/>
  <c r="E5725" i="8"/>
  <c r="F5724" i="8"/>
  <c r="E5724" i="8"/>
  <c r="F5723" i="8"/>
  <c r="E5723" i="8"/>
  <c r="F5722" i="8"/>
  <c r="E5722" i="8"/>
  <c r="F5721" i="8"/>
  <c r="E5721" i="8"/>
  <c r="F5720" i="8"/>
  <c r="E5720" i="8"/>
  <c r="F5719" i="8"/>
  <c r="E5719" i="8"/>
  <c r="F5718" i="8"/>
  <c r="E5718" i="8"/>
  <c r="F5717" i="8"/>
  <c r="E5717" i="8"/>
  <c r="F5716" i="8"/>
  <c r="E5716" i="8"/>
  <c r="F5715" i="8"/>
  <c r="E5715" i="8"/>
  <c r="F5714" i="8"/>
  <c r="E5714" i="8"/>
  <c r="F5713" i="8"/>
  <c r="E5713" i="8"/>
  <c r="F5712" i="8"/>
  <c r="E5712" i="8"/>
  <c r="F5711" i="8"/>
  <c r="E5711" i="8"/>
  <c r="F5710" i="8"/>
  <c r="E5710" i="8"/>
  <c r="F5709" i="8"/>
  <c r="E5709" i="8"/>
  <c r="F5708" i="8"/>
  <c r="E5708" i="8"/>
  <c r="F5707" i="8"/>
  <c r="E5707" i="8"/>
  <c r="F5706" i="8"/>
  <c r="E5706" i="8"/>
  <c r="F5705" i="8"/>
  <c r="E5705" i="8"/>
  <c r="F5704" i="8"/>
  <c r="E5704" i="8"/>
  <c r="F5703" i="8"/>
  <c r="E5703" i="8"/>
  <c r="F5702" i="8"/>
  <c r="E5702" i="8"/>
  <c r="F5701" i="8"/>
  <c r="E5701" i="8"/>
  <c r="F5700" i="8"/>
  <c r="E5700" i="8"/>
  <c r="F5699" i="8"/>
  <c r="E5699" i="8"/>
  <c r="F5698" i="8"/>
  <c r="E5698" i="8"/>
  <c r="F5697" i="8"/>
  <c r="E5697" i="8"/>
  <c r="F5696" i="8"/>
  <c r="E5696" i="8"/>
  <c r="F5695" i="8"/>
  <c r="E5695" i="8"/>
  <c r="F5694" i="8"/>
  <c r="E5694" i="8"/>
  <c r="F5693" i="8"/>
  <c r="E5693" i="8"/>
  <c r="F5692" i="8"/>
  <c r="E5692" i="8"/>
  <c r="F5691" i="8"/>
  <c r="E5691" i="8"/>
  <c r="F5690" i="8"/>
  <c r="E5690" i="8"/>
  <c r="F5689" i="8"/>
  <c r="E5689" i="8"/>
  <c r="F5688" i="8"/>
  <c r="E5688" i="8"/>
  <c r="F5687" i="8"/>
  <c r="E5687" i="8"/>
  <c r="F5686" i="8"/>
  <c r="E5686" i="8"/>
  <c r="F5685" i="8"/>
  <c r="E5685" i="8"/>
  <c r="F5684" i="8"/>
  <c r="E5684" i="8"/>
  <c r="F5683" i="8"/>
  <c r="E5683" i="8"/>
  <c r="F5682" i="8"/>
  <c r="E5682" i="8"/>
  <c r="F5681" i="8"/>
  <c r="E5681" i="8"/>
  <c r="F5680" i="8"/>
  <c r="E5680" i="8"/>
  <c r="F5679" i="8"/>
  <c r="E5679" i="8"/>
  <c r="F5678" i="8"/>
  <c r="E5678" i="8"/>
  <c r="F5677" i="8"/>
  <c r="E5677" i="8"/>
  <c r="F5676" i="8"/>
  <c r="E5676" i="8"/>
  <c r="F5675" i="8"/>
  <c r="E5675" i="8"/>
  <c r="F5674" i="8"/>
  <c r="E5674" i="8"/>
  <c r="F5673" i="8"/>
  <c r="E5673" i="8"/>
  <c r="F5672" i="8"/>
  <c r="E5672" i="8"/>
  <c r="F5671" i="8"/>
  <c r="E5671" i="8"/>
  <c r="F5670" i="8"/>
  <c r="E5670" i="8"/>
  <c r="F5669" i="8"/>
  <c r="E5669" i="8"/>
  <c r="F5668" i="8"/>
  <c r="E5668" i="8"/>
  <c r="F5667" i="8"/>
  <c r="E5667" i="8"/>
  <c r="F5666" i="8"/>
  <c r="E5666" i="8"/>
  <c r="F5665" i="8"/>
  <c r="E5665" i="8"/>
  <c r="F5664" i="8"/>
  <c r="E5664" i="8"/>
  <c r="F5663" i="8"/>
  <c r="E5663" i="8"/>
  <c r="F5662" i="8"/>
  <c r="E5662" i="8"/>
  <c r="F5661" i="8"/>
  <c r="E5661" i="8"/>
  <c r="F5660" i="8"/>
  <c r="E5660" i="8"/>
  <c r="F5659" i="8"/>
  <c r="E5659" i="8"/>
  <c r="F5658" i="8"/>
  <c r="E5658" i="8"/>
  <c r="F5657" i="8"/>
  <c r="E5657" i="8"/>
  <c r="F5656" i="8"/>
  <c r="E5656" i="8"/>
  <c r="F5655" i="8"/>
  <c r="E5655" i="8"/>
  <c r="F5654" i="8"/>
  <c r="E5654" i="8"/>
  <c r="F5653" i="8"/>
  <c r="E5653" i="8"/>
  <c r="F5652" i="8"/>
  <c r="E5652" i="8"/>
  <c r="F5651" i="8"/>
  <c r="E5651" i="8"/>
  <c r="F5650" i="8"/>
  <c r="E5650" i="8"/>
  <c r="F5649" i="8"/>
  <c r="E5649" i="8"/>
  <c r="F5648" i="8"/>
  <c r="E5648" i="8"/>
  <c r="F5647" i="8"/>
  <c r="E5647" i="8"/>
  <c r="F5646" i="8"/>
  <c r="E5646" i="8"/>
  <c r="F5645" i="8"/>
  <c r="E5645" i="8"/>
  <c r="F5644" i="8"/>
  <c r="E5644" i="8"/>
  <c r="F5643" i="8"/>
  <c r="E5643" i="8"/>
  <c r="F5642" i="8"/>
  <c r="E5642" i="8"/>
  <c r="F5641" i="8"/>
  <c r="E5641" i="8"/>
  <c r="F5640" i="8"/>
  <c r="E5640" i="8"/>
  <c r="F5639" i="8"/>
  <c r="E5639" i="8"/>
  <c r="F5638" i="8"/>
  <c r="E5638" i="8"/>
  <c r="F5637" i="8"/>
  <c r="E5637" i="8"/>
  <c r="F5636" i="8"/>
  <c r="E5636" i="8"/>
  <c r="F5635" i="8"/>
  <c r="E5635" i="8"/>
  <c r="F5634" i="8"/>
  <c r="E5634" i="8"/>
  <c r="F5633" i="8"/>
  <c r="E5633" i="8"/>
  <c r="F5632" i="8"/>
  <c r="E5632" i="8"/>
  <c r="F5631" i="8"/>
  <c r="E5631" i="8"/>
  <c r="F5630" i="8"/>
  <c r="E5630" i="8"/>
  <c r="F5629" i="8"/>
  <c r="E5629" i="8"/>
  <c r="F5628" i="8"/>
  <c r="E5628" i="8"/>
  <c r="F5627" i="8"/>
  <c r="E5627" i="8"/>
  <c r="F5626" i="8"/>
  <c r="E5626" i="8"/>
  <c r="F5625" i="8"/>
  <c r="E5625" i="8"/>
  <c r="F5624" i="8"/>
  <c r="E5624" i="8"/>
  <c r="F5623" i="8"/>
  <c r="E5623" i="8"/>
  <c r="F5622" i="8"/>
  <c r="E5622" i="8"/>
  <c r="F5621" i="8"/>
  <c r="E5621" i="8"/>
  <c r="F5620" i="8"/>
  <c r="E5620" i="8"/>
  <c r="F5619" i="8"/>
  <c r="E5619" i="8"/>
  <c r="F5618" i="8"/>
  <c r="E5618" i="8"/>
  <c r="F5617" i="8"/>
  <c r="E5617" i="8"/>
  <c r="F5616" i="8"/>
  <c r="E5616" i="8"/>
  <c r="F5615" i="8"/>
  <c r="E5615" i="8"/>
  <c r="F5614" i="8"/>
  <c r="E5614" i="8"/>
  <c r="F5613" i="8"/>
  <c r="E5613" i="8"/>
  <c r="F5612" i="8"/>
  <c r="E5612" i="8"/>
  <c r="F5611" i="8"/>
  <c r="E5611" i="8"/>
  <c r="F5610" i="8"/>
  <c r="E5610" i="8"/>
  <c r="F5609" i="8"/>
  <c r="E5609" i="8"/>
  <c r="F5608" i="8"/>
  <c r="E5608" i="8"/>
  <c r="F5607" i="8"/>
  <c r="E5607" i="8"/>
  <c r="F5606" i="8"/>
  <c r="E5606" i="8"/>
  <c r="F5605" i="8"/>
  <c r="E5605" i="8"/>
  <c r="F5604" i="8"/>
  <c r="E5604" i="8"/>
  <c r="F5603" i="8"/>
  <c r="E5603" i="8"/>
  <c r="F5602" i="8"/>
  <c r="E5602" i="8"/>
  <c r="F5601" i="8"/>
  <c r="E5601" i="8"/>
  <c r="F5600" i="8"/>
  <c r="E5600" i="8"/>
  <c r="F5599" i="8"/>
  <c r="E5599" i="8"/>
  <c r="F5598" i="8"/>
  <c r="E5598" i="8"/>
  <c r="F5597" i="8"/>
  <c r="E5597" i="8"/>
  <c r="F5596" i="8"/>
  <c r="E5596" i="8"/>
  <c r="F5595" i="8"/>
  <c r="E5595" i="8"/>
  <c r="F5594" i="8"/>
  <c r="E5594" i="8"/>
  <c r="F5593" i="8"/>
  <c r="E5593" i="8"/>
  <c r="F5592" i="8"/>
  <c r="E5592" i="8"/>
  <c r="F5591" i="8"/>
  <c r="E5591" i="8"/>
  <c r="F5590" i="8"/>
  <c r="E5590" i="8"/>
  <c r="F5589" i="8"/>
  <c r="E5589" i="8"/>
  <c r="F5588" i="8"/>
  <c r="E5588" i="8"/>
  <c r="F5587" i="8"/>
  <c r="E5587" i="8"/>
  <c r="F5586" i="8"/>
  <c r="E5586" i="8"/>
  <c r="F5585" i="8"/>
  <c r="E5585" i="8"/>
  <c r="F5584" i="8"/>
  <c r="E5584" i="8"/>
  <c r="F5583" i="8"/>
  <c r="E5583" i="8"/>
  <c r="F5582" i="8"/>
  <c r="E5582" i="8"/>
  <c r="F5581" i="8"/>
  <c r="E5581" i="8"/>
  <c r="F5580" i="8"/>
  <c r="E5580" i="8"/>
  <c r="F5579" i="8"/>
  <c r="E5579" i="8"/>
  <c r="F5578" i="8"/>
  <c r="E5578" i="8"/>
  <c r="F5577" i="8"/>
  <c r="E5577" i="8"/>
  <c r="F5576" i="8"/>
  <c r="E5576" i="8"/>
  <c r="F5575" i="8"/>
  <c r="E5575" i="8"/>
  <c r="F5574" i="8"/>
  <c r="E5574" i="8"/>
  <c r="F5573" i="8"/>
  <c r="E5573" i="8"/>
  <c r="F5572" i="8"/>
  <c r="E5572" i="8"/>
  <c r="F5571" i="8"/>
  <c r="E5571" i="8"/>
  <c r="F5570" i="8"/>
  <c r="E5570" i="8"/>
  <c r="F5569" i="8"/>
  <c r="E5569" i="8"/>
  <c r="F5568" i="8"/>
  <c r="E5568" i="8"/>
  <c r="F5567" i="8"/>
  <c r="E5567" i="8"/>
  <c r="F5566" i="8"/>
  <c r="E5566" i="8"/>
  <c r="F5565" i="8"/>
  <c r="E5565" i="8"/>
  <c r="F5564" i="8"/>
  <c r="E5564" i="8"/>
  <c r="F5563" i="8"/>
  <c r="E5563" i="8"/>
  <c r="F5562" i="8"/>
  <c r="E5562" i="8"/>
  <c r="F5561" i="8"/>
  <c r="E5561" i="8"/>
  <c r="F5560" i="8"/>
  <c r="E5560" i="8"/>
  <c r="F5559" i="8"/>
  <c r="E5559" i="8"/>
  <c r="F5558" i="8"/>
  <c r="E5558" i="8"/>
  <c r="F5557" i="8"/>
  <c r="E5557" i="8"/>
  <c r="F5556" i="8"/>
  <c r="E5556" i="8"/>
  <c r="F5555" i="8"/>
  <c r="E5555" i="8"/>
  <c r="F5554" i="8"/>
  <c r="E5554" i="8"/>
  <c r="F5553" i="8"/>
  <c r="E5553" i="8"/>
  <c r="F5552" i="8"/>
  <c r="E5552" i="8"/>
  <c r="F5551" i="8"/>
  <c r="E5551" i="8"/>
  <c r="F5550" i="8"/>
  <c r="E5550" i="8"/>
  <c r="F5549" i="8"/>
  <c r="E5549" i="8"/>
  <c r="F5548" i="8"/>
  <c r="E5548" i="8"/>
  <c r="F5547" i="8"/>
  <c r="E5547" i="8"/>
  <c r="F5546" i="8"/>
  <c r="E5546" i="8"/>
  <c r="F5545" i="8"/>
  <c r="E5545" i="8"/>
  <c r="F5544" i="8"/>
  <c r="E5544" i="8"/>
  <c r="F5543" i="8"/>
  <c r="E5543" i="8"/>
  <c r="F5542" i="8"/>
  <c r="E5542" i="8"/>
  <c r="F5541" i="8"/>
  <c r="E5541" i="8"/>
  <c r="F5540" i="8"/>
  <c r="E5540" i="8"/>
  <c r="F5539" i="8"/>
  <c r="E5539" i="8"/>
  <c r="F5538" i="8"/>
  <c r="E5538" i="8"/>
  <c r="F5537" i="8"/>
  <c r="E5537" i="8"/>
  <c r="F5536" i="8"/>
  <c r="E5536" i="8"/>
  <c r="F5535" i="8"/>
  <c r="E5535" i="8"/>
  <c r="F5534" i="8"/>
  <c r="E5534" i="8"/>
  <c r="F5533" i="8"/>
  <c r="E5533" i="8"/>
  <c r="F5532" i="8"/>
  <c r="E5532" i="8"/>
  <c r="F5531" i="8"/>
  <c r="E5531" i="8"/>
  <c r="F5530" i="8"/>
  <c r="E5530" i="8"/>
  <c r="F5529" i="8"/>
  <c r="E5529" i="8"/>
  <c r="F5528" i="8"/>
  <c r="E5528" i="8"/>
  <c r="F5527" i="8"/>
  <c r="E5527" i="8"/>
  <c r="F5526" i="8"/>
  <c r="E5526" i="8"/>
  <c r="F5525" i="8"/>
  <c r="E5525" i="8"/>
  <c r="F5524" i="8"/>
  <c r="E5524" i="8"/>
  <c r="F5523" i="8"/>
  <c r="E5523" i="8"/>
  <c r="F5522" i="8"/>
  <c r="E5522" i="8"/>
  <c r="F5521" i="8"/>
  <c r="E5521" i="8"/>
  <c r="F5520" i="8"/>
  <c r="E5520" i="8"/>
  <c r="F5519" i="8"/>
  <c r="E5519" i="8"/>
  <c r="F5518" i="8"/>
  <c r="E5518" i="8"/>
  <c r="F5517" i="8"/>
  <c r="E5517" i="8"/>
  <c r="F5516" i="8"/>
  <c r="E5516" i="8"/>
  <c r="F5515" i="8"/>
  <c r="E5515" i="8"/>
  <c r="F5514" i="8"/>
  <c r="E5514" i="8"/>
  <c r="F5513" i="8"/>
  <c r="E5513" i="8"/>
  <c r="F5512" i="8"/>
  <c r="E5512" i="8"/>
  <c r="F5511" i="8"/>
  <c r="E5511" i="8"/>
  <c r="F5510" i="8"/>
  <c r="E5510" i="8"/>
  <c r="F5509" i="8"/>
  <c r="E5509" i="8"/>
  <c r="F5508" i="8"/>
  <c r="E5508" i="8"/>
  <c r="F5507" i="8"/>
  <c r="E5507" i="8"/>
  <c r="F5506" i="8"/>
  <c r="E5506" i="8"/>
  <c r="F5505" i="8"/>
  <c r="E5505" i="8"/>
  <c r="F5504" i="8"/>
  <c r="E5504" i="8"/>
  <c r="F5503" i="8"/>
  <c r="E5503" i="8"/>
  <c r="F5502" i="8"/>
  <c r="E5502" i="8"/>
  <c r="F5501" i="8"/>
  <c r="E5501" i="8"/>
  <c r="F5500" i="8"/>
  <c r="E5500" i="8"/>
  <c r="F5499" i="8"/>
  <c r="E5499" i="8"/>
  <c r="F5498" i="8"/>
  <c r="E5498" i="8"/>
  <c r="F5497" i="8"/>
  <c r="E5497" i="8"/>
  <c r="F5496" i="8"/>
  <c r="E5496" i="8"/>
  <c r="F5495" i="8"/>
  <c r="E5495" i="8"/>
  <c r="F5494" i="8"/>
  <c r="E5494" i="8"/>
  <c r="F5493" i="8"/>
  <c r="E5493" i="8"/>
  <c r="F5492" i="8"/>
  <c r="E5492" i="8"/>
  <c r="F5491" i="8"/>
  <c r="E5491" i="8"/>
  <c r="F5490" i="8"/>
  <c r="E5490" i="8"/>
  <c r="F5489" i="8"/>
  <c r="E5489" i="8"/>
  <c r="F5488" i="8"/>
  <c r="E5488" i="8"/>
  <c r="F5487" i="8"/>
  <c r="E5487" i="8"/>
  <c r="F5486" i="8"/>
  <c r="E5486" i="8"/>
  <c r="F5485" i="8"/>
  <c r="E5485" i="8"/>
  <c r="F5484" i="8"/>
  <c r="E5484" i="8"/>
  <c r="F5483" i="8"/>
  <c r="E5483" i="8"/>
  <c r="F5482" i="8"/>
  <c r="E5482" i="8"/>
  <c r="F5481" i="8"/>
  <c r="E5481" i="8"/>
  <c r="F5480" i="8"/>
  <c r="E5480" i="8"/>
  <c r="F5479" i="8"/>
  <c r="E5479" i="8"/>
  <c r="F5478" i="8"/>
  <c r="E5478" i="8"/>
  <c r="F5477" i="8"/>
  <c r="E5477" i="8"/>
  <c r="F5476" i="8"/>
  <c r="E5476" i="8"/>
  <c r="F5475" i="8"/>
  <c r="E5475" i="8"/>
  <c r="F5474" i="8"/>
  <c r="E5474" i="8"/>
  <c r="F5473" i="8"/>
  <c r="E5473" i="8"/>
  <c r="F5472" i="8"/>
  <c r="E5472" i="8"/>
  <c r="F5471" i="8"/>
  <c r="E5471" i="8"/>
  <c r="F5470" i="8"/>
  <c r="E5470" i="8"/>
  <c r="F5469" i="8"/>
  <c r="E5469" i="8"/>
  <c r="F5468" i="8"/>
  <c r="E5468" i="8"/>
  <c r="F5467" i="8"/>
  <c r="E5467" i="8"/>
  <c r="F5466" i="8"/>
  <c r="E5466" i="8"/>
  <c r="F5465" i="8"/>
  <c r="E5465" i="8"/>
  <c r="F5464" i="8"/>
  <c r="E5464" i="8"/>
  <c r="F5463" i="8"/>
  <c r="E5463" i="8"/>
  <c r="F5462" i="8"/>
  <c r="E5462" i="8"/>
  <c r="F5461" i="8"/>
  <c r="E5461" i="8"/>
  <c r="F5460" i="8"/>
  <c r="E5460" i="8"/>
  <c r="F5459" i="8"/>
  <c r="E5459" i="8"/>
  <c r="F5458" i="8"/>
  <c r="E5458" i="8"/>
  <c r="F5457" i="8"/>
  <c r="E5457" i="8"/>
  <c r="F5456" i="8"/>
  <c r="E5456" i="8"/>
  <c r="F5455" i="8"/>
  <c r="E5455" i="8"/>
  <c r="F5454" i="8"/>
  <c r="E5454" i="8"/>
  <c r="F5453" i="8"/>
  <c r="E5453" i="8"/>
  <c r="F5452" i="8"/>
  <c r="E5452" i="8"/>
  <c r="F5451" i="8"/>
  <c r="E5451" i="8"/>
  <c r="F5450" i="8"/>
  <c r="E5450" i="8"/>
  <c r="F5449" i="8"/>
  <c r="E5449" i="8"/>
  <c r="F5448" i="8"/>
  <c r="E5448" i="8"/>
  <c r="F5447" i="8"/>
  <c r="E5447" i="8"/>
  <c r="F5446" i="8"/>
  <c r="E5446" i="8"/>
  <c r="F5445" i="8"/>
  <c r="E5445" i="8"/>
  <c r="F5444" i="8"/>
  <c r="E5444" i="8"/>
  <c r="F5443" i="8"/>
  <c r="E5443" i="8"/>
  <c r="F5442" i="8"/>
  <c r="E5442" i="8"/>
  <c r="F5441" i="8"/>
  <c r="E5441" i="8"/>
  <c r="F5440" i="8"/>
  <c r="E5440" i="8"/>
  <c r="F5439" i="8"/>
  <c r="E5439" i="8"/>
  <c r="F5438" i="8"/>
  <c r="E5438" i="8"/>
  <c r="F5437" i="8"/>
  <c r="E5437" i="8"/>
  <c r="F5436" i="8"/>
  <c r="E5436" i="8"/>
  <c r="F5435" i="8"/>
  <c r="E5435" i="8"/>
  <c r="F5434" i="8"/>
  <c r="E5434" i="8"/>
  <c r="F5433" i="8"/>
  <c r="E5433" i="8"/>
  <c r="F5432" i="8"/>
  <c r="E5432" i="8"/>
  <c r="F5431" i="8"/>
  <c r="E5431" i="8"/>
  <c r="F5430" i="8"/>
  <c r="E5430" i="8"/>
  <c r="F5429" i="8"/>
  <c r="E5429" i="8"/>
  <c r="F5428" i="8"/>
  <c r="E5428" i="8"/>
  <c r="F5427" i="8"/>
  <c r="E5427" i="8"/>
  <c r="F5426" i="8"/>
  <c r="E5426" i="8"/>
  <c r="F5425" i="8"/>
  <c r="E5425" i="8"/>
  <c r="F5424" i="8"/>
  <c r="E5424" i="8"/>
  <c r="F5423" i="8"/>
  <c r="E5423" i="8"/>
  <c r="F5422" i="8"/>
  <c r="E5422" i="8"/>
  <c r="F5421" i="8"/>
  <c r="E5421" i="8"/>
  <c r="F5420" i="8"/>
  <c r="E5420" i="8"/>
  <c r="F5419" i="8"/>
  <c r="E5419" i="8"/>
  <c r="F5418" i="8"/>
  <c r="E5418" i="8"/>
  <c r="F5417" i="8"/>
  <c r="E5417" i="8"/>
  <c r="F5416" i="8"/>
  <c r="E5416" i="8"/>
  <c r="F5415" i="8"/>
  <c r="E5415" i="8"/>
  <c r="F5414" i="8"/>
  <c r="E5414" i="8"/>
  <c r="F5413" i="8"/>
  <c r="E5413" i="8"/>
  <c r="F5412" i="8"/>
  <c r="E5412" i="8"/>
  <c r="F5411" i="8"/>
  <c r="E5411" i="8"/>
  <c r="F5410" i="8"/>
  <c r="E5410" i="8"/>
  <c r="F5409" i="8"/>
  <c r="E5409" i="8"/>
  <c r="F5408" i="8"/>
  <c r="E5408" i="8"/>
  <c r="F5407" i="8"/>
  <c r="E5407" i="8"/>
  <c r="F5406" i="8"/>
  <c r="E5406" i="8"/>
  <c r="F5405" i="8"/>
  <c r="E5405" i="8"/>
  <c r="F5404" i="8"/>
  <c r="E5404" i="8"/>
  <c r="F5403" i="8"/>
  <c r="E5403" i="8"/>
  <c r="F5402" i="8"/>
  <c r="E5402" i="8"/>
  <c r="F5401" i="8"/>
  <c r="E5401" i="8"/>
  <c r="F5400" i="8"/>
  <c r="E5400" i="8"/>
  <c r="F5399" i="8"/>
  <c r="E5399" i="8"/>
  <c r="F5398" i="8"/>
  <c r="E5398" i="8"/>
  <c r="F5397" i="8"/>
  <c r="E5397" i="8"/>
  <c r="F5396" i="8"/>
  <c r="E5396" i="8"/>
  <c r="F5395" i="8"/>
  <c r="E5395" i="8"/>
  <c r="F5394" i="8"/>
  <c r="E5394" i="8"/>
  <c r="F5393" i="8"/>
  <c r="E5393" i="8"/>
  <c r="F5392" i="8"/>
  <c r="E5392" i="8"/>
  <c r="F5391" i="8"/>
  <c r="E5391" i="8"/>
  <c r="F5390" i="8"/>
  <c r="E5390" i="8"/>
  <c r="F5389" i="8"/>
  <c r="E5389" i="8"/>
  <c r="F5388" i="8"/>
  <c r="E5388" i="8"/>
  <c r="F5387" i="8"/>
  <c r="E5387" i="8"/>
  <c r="F5386" i="8"/>
  <c r="E5386" i="8"/>
  <c r="F5385" i="8"/>
  <c r="E5385" i="8"/>
  <c r="F5384" i="8"/>
  <c r="E5384" i="8"/>
  <c r="F5383" i="8"/>
  <c r="E5383" i="8"/>
  <c r="F5382" i="8"/>
  <c r="E5382" i="8"/>
  <c r="F5381" i="8"/>
  <c r="E5381" i="8"/>
  <c r="F5380" i="8"/>
  <c r="E5380" i="8"/>
  <c r="F5379" i="8"/>
  <c r="E5379" i="8"/>
  <c r="F5378" i="8"/>
  <c r="E5378" i="8"/>
  <c r="F5377" i="8"/>
  <c r="E5377" i="8"/>
  <c r="F5376" i="8"/>
  <c r="E5376" i="8"/>
  <c r="F5375" i="8"/>
  <c r="E5375" i="8"/>
  <c r="F5374" i="8"/>
  <c r="E5374" i="8"/>
  <c r="F5373" i="8"/>
  <c r="E5373" i="8"/>
  <c r="F5372" i="8"/>
  <c r="E5372" i="8"/>
  <c r="F5371" i="8"/>
  <c r="E5371" i="8"/>
  <c r="F5370" i="8"/>
  <c r="E5370" i="8"/>
  <c r="F5369" i="8"/>
  <c r="E5369" i="8"/>
  <c r="F5368" i="8"/>
  <c r="E5368" i="8"/>
  <c r="F5367" i="8"/>
  <c r="E5367" i="8"/>
  <c r="F5366" i="8"/>
  <c r="E5366" i="8"/>
  <c r="F5365" i="8"/>
  <c r="E5365" i="8"/>
  <c r="F5364" i="8"/>
  <c r="E5364" i="8"/>
  <c r="F5363" i="8"/>
  <c r="E5363" i="8"/>
  <c r="F5362" i="8"/>
  <c r="E5362" i="8"/>
  <c r="F5361" i="8"/>
  <c r="E5361" i="8"/>
  <c r="F5360" i="8"/>
  <c r="E5360" i="8"/>
  <c r="F5359" i="8"/>
  <c r="E5359" i="8"/>
  <c r="F5358" i="8"/>
  <c r="E5358" i="8"/>
  <c r="F5357" i="8"/>
  <c r="E5357" i="8"/>
  <c r="F5356" i="8"/>
  <c r="E5356" i="8"/>
  <c r="F5355" i="8"/>
  <c r="E5355" i="8"/>
  <c r="F5354" i="8"/>
  <c r="E5354" i="8"/>
  <c r="F5353" i="8"/>
  <c r="E5353" i="8"/>
  <c r="F5352" i="8"/>
  <c r="E5352" i="8"/>
  <c r="F5351" i="8"/>
  <c r="E5351" i="8"/>
  <c r="F5350" i="8"/>
  <c r="E5350" i="8"/>
  <c r="F5349" i="8"/>
  <c r="E5349" i="8"/>
  <c r="F5348" i="8"/>
  <c r="E5348" i="8"/>
  <c r="F5347" i="8"/>
  <c r="E5347" i="8"/>
  <c r="F5346" i="8"/>
  <c r="E5346" i="8"/>
  <c r="F5345" i="8"/>
  <c r="E5345" i="8"/>
  <c r="F5344" i="8"/>
  <c r="E5344" i="8"/>
  <c r="F5343" i="8"/>
  <c r="E5343" i="8"/>
  <c r="F5342" i="8"/>
  <c r="E5342" i="8"/>
  <c r="F5341" i="8"/>
  <c r="E5341" i="8"/>
  <c r="F5340" i="8"/>
  <c r="E5340" i="8"/>
  <c r="F5339" i="8"/>
  <c r="E5339" i="8"/>
  <c r="F5338" i="8"/>
  <c r="E5338" i="8"/>
  <c r="F5337" i="8"/>
  <c r="E5337" i="8"/>
  <c r="F5336" i="8"/>
  <c r="E5336" i="8"/>
  <c r="F5335" i="8"/>
  <c r="E5335" i="8"/>
  <c r="F5334" i="8"/>
  <c r="E5334" i="8"/>
  <c r="F5333" i="8"/>
  <c r="E5333" i="8"/>
  <c r="F5332" i="8"/>
  <c r="E5332" i="8"/>
  <c r="F5331" i="8"/>
  <c r="E5331" i="8"/>
  <c r="F5330" i="8"/>
  <c r="E5330" i="8"/>
  <c r="F5329" i="8"/>
  <c r="E5329" i="8"/>
  <c r="F5328" i="8"/>
  <c r="E5328" i="8"/>
  <c r="F5327" i="8"/>
  <c r="E5327" i="8"/>
  <c r="F5326" i="8"/>
  <c r="E5326" i="8"/>
  <c r="F5325" i="8"/>
  <c r="E5325" i="8"/>
  <c r="F5324" i="8"/>
  <c r="E5324" i="8"/>
  <c r="F5323" i="8"/>
  <c r="E5323" i="8"/>
  <c r="F5322" i="8"/>
  <c r="E5322" i="8"/>
  <c r="F5321" i="8"/>
  <c r="E5321" i="8"/>
  <c r="F5320" i="8"/>
  <c r="E5320" i="8"/>
  <c r="F5319" i="8"/>
  <c r="E5319" i="8"/>
  <c r="F5318" i="8"/>
  <c r="E5318" i="8"/>
  <c r="F5317" i="8"/>
  <c r="E5317" i="8"/>
  <c r="F5316" i="8"/>
  <c r="E5316" i="8"/>
  <c r="F5315" i="8"/>
  <c r="E5315" i="8"/>
  <c r="F5314" i="8"/>
  <c r="E5314" i="8"/>
  <c r="F5313" i="8"/>
  <c r="E5313" i="8"/>
  <c r="F5312" i="8"/>
  <c r="E5312" i="8"/>
  <c r="F5311" i="8"/>
  <c r="E5311" i="8"/>
  <c r="F5310" i="8"/>
  <c r="E5310" i="8"/>
  <c r="F5309" i="8"/>
  <c r="E5309" i="8"/>
  <c r="F5308" i="8"/>
  <c r="E5308" i="8"/>
  <c r="F5307" i="8"/>
  <c r="E5307" i="8"/>
  <c r="F5306" i="8"/>
  <c r="E5306" i="8"/>
  <c r="F5305" i="8"/>
  <c r="E5305" i="8"/>
  <c r="F5304" i="8"/>
  <c r="E5304" i="8"/>
  <c r="F5303" i="8"/>
  <c r="E5303" i="8"/>
  <c r="F5302" i="8"/>
  <c r="E5302" i="8"/>
  <c r="F5301" i="8"/>
  <c r="E5301" i="8"/>
  <c r="F5300" i="8"/>
  <c r="E5300" i="8"/>
  <c r="F5299" i="8"/>
  <c r="E5299" i="8"/>
  <c r="F5298" i="8"/>
  <c r="E5298" i="8"/>
  <c r="F5297" i="8"/>
  <c r="E5297" i="8"/>
  <c r="F5296" i="8"/>
  <c r="E5296" i="8"/>
  <c r="F5295" i="8"/>
  <c r="E5295" i="8"/>
  <c r="F5294" i="8"/>
  <c r="E5294" i="8"/>
  <c r="F5293" i="8"/>
  <c r="E5293" i="8"/>
  <c r="F5292" i="8"/>
  <c r="E5292" i="8"/>
  <c r="F5291" i="8"/>
  <c r="E5291" i="8"/>
  <c r="F5290" i="8"/>
  <c r="E5290" i="8"/>
  <c r="F5289" i="8"/>
  <c r="E5289" i="8"/>
  <c r="F5288" i="8"/>
  <c r="E5288" i="8"/>
  <c r="F5287" i="8"/>
  <c r="E5287" i="8"/>
  <c r="F5286" i="8"/>
  <c r="E5286" i="8"/>
  <c r="F5285" i="8"/>
  <c r="E5285" i="8"/>
  <c r="F5284" i="8"/>
  <c r="E5284" i="8"/>
  <c r="F5283" i="8"/>
  <c r="E5283" i="8"/>
  <c r="F5282" i="8"/>
  <c r="E5282" i="8"/>
  <c r="F5281" i="8"/>
  <c r="E5281" i="8"/>
  <c r="F5280" i="8"/>
  <c r="E5280" i="8"/>
  <c r="F5279" i="8"/>
  <c r="E5279" i="8"/>
  <c r="F5278" i="8"/>
  <c r="E5278" i="8"/>
  <c r="F5277" i="8"/>
  <c r="E5277" i="8"/>
  <c r="F5276" i="8"/>
  <c r="E5276" i="8"/>
  <c r="F5275" i="8"/>
  <c r="E5275" i="8"/>
  <c r="F5274" i="8"/>
  <c r="E5274" i="8"/>
  <c r="F5273" i="8"/>
  <c r="E5273" i="8"/>
  <c r="F5272" i="8"/>
  <c r="E5272" i="8"/>
  <c r="F5271" i="8"/>
  <c r="E5271" i="8"/>
  <c r="F5270" i="8"/>
  <c r="E5270" i="8"/>
  <c r="F5269" i="8"/>
  <c r="E5269" i="8"/>
  <c r="F5268" i="8"/>
  <c r="E5268" i="8"/>
  <c r="F5267" i="8"/>
  <c r="E5267" i="8"/>
  <c r="F5266" i="8"/>
  <c r="E5266" i="8"/>
  <c r="F5265" i="8"/>
  <c r="E5265" i="8"/>
  <c r="F5264" i="8"/>
  <c r="E5264" i="8"/>
  <c r="F5263" i="8"/>
  <c r="E5263" i="8"/>
  <c r="F5262" i="8"/>
  <c r="E5262" i="8"/>
  <c r="F5261" i="8"/>
  <c r="E5261" i="8"/>
  <c r="F5260" i="8"/>
  <c r="E5260" i="8"/>
  <c r="F5259" i="8"/>
  <c r="E5259" i="8"/>
  <c r="F5258" i="8"/>
  <c r="E5258" i="8"/>
  <c r="F5257" i="8"/>
  <c r="E5257" i="8"/>
  <c r="F5256" i="8"/>
  <c r="E5256" i="8"/>
  <c r="F5255" i="8"/>
  <c r="E5255" i="8"/>
  <c r="F5254" i="8"/>
  <c r="E5254" i="8"/>
  <c r="F5253" i="8"/>
  <c r="E5253" i="8"/>
  <c r="F5252" i="8"/>
  <c r="E5252" i="8"/>
  <c r="F5251" i="8"/>
  <c r="E5251" i="8"/>
  <c r="F5250" i="8"/>
  <c r="E5250" i="8"/>
  <c r="F5249" i="8"/>
  <c r="E5249" i="8"/>
  <c r="F5248" i="8"/>
  <c r="E5248" i="8"/>
  <c r="F5247" i="8"/>
  <c r="E5247" i="8"/>
  <c r="F5246" i="8"/>
  <c r="E5246" i="8"/>
  <c r="F5245" i="8"/>
  <c r="E5245" i="8"/>
  <c r="F5244" i="8"/>
  <c r="E5244" i="8"/>
  <c r="F5243" i="8"/>
  <c r="E5243" i="8"/>
  <c r="F5242" i="8"/>
  <c r="E5242" i="8"/>
  <c r="F5241" i="8"/>
  <c r="E5241" i="8"/>
  <c r="F5240" i="8"/>
  <c r="E5240" i="8"/>
  <c r="F5239" i="8"/>
  <c r="E5239" i="8"/>
  <c r="F5238" i="8"/>
  <c r="E5238" i="8"/>
  <c r="F5237" i="8"/>
  <c r="E5237" i="8"/>
  <c r="F5236" i="8"/>
  <c r="E5236" i="8"/>
  <c r="F5235" i="8"/>
  <c r="E5235" i="8"/>
  <c r="F5234" i="8"/>
  <c r="E5234" i="8"/>
  <c r="F5233" i="8"/>
  <c r="E5233" i="8"/>
  <c r="F5232" i="8"/>
  <c r="E5232" i="8"/>
  <c r="F5231" i="8"/>
  <c r="E5231" i="8"/>
  <c r="F5230" i="8"/>
  <c r="E5230" i="8"/>
  <c r="F5229" i="8"/>
  <c r="E5229" i="8"/>
  <c r="F5228" i="8"/>
  <c r="E5228" i="8"/>
  <c r="F5227" i="8"/>
  <c r="E5227" i="8"/>
  <c r="F5226" i="8"/>
  <c r="E5226" i="8"/>
  <c r="F5225" i="8"/>
  <c r="E5225" i="8"/>
  <c r="F5224" i="8"/>
  <c r="E5224" i="8"/>
  <c r="F5223" i="8"/>
  <c r="E5223" i="8"/>
  <c r="F5222" i="8"/>
  <c r="E5222" i="8"/>
  <c r="F5221" i="8"/>
  <c r="E5221" i="8"/>
  <c r="F5220" i="8"/>
  <c r="E5220" i="8"/>
  <c r="F5219" i="8"/>
  <c r="E5219" i="8"/>
  <c r="F5218" i="8"/>
  <c r="E5218" i="8"/>
  <c r="F5217" i="8"/>
  <c r="E5217" i="8"/>
  <c r="F5216" i="8"/>
  <c r="E5216" i="8"/>
  <c r="F5215" i="8"/>
  <c r="E5215" i="8"/>
  <c r="F5214" i="8"/>
  <c r="E5214" i="8"/>
  <c r="F5213" i="8"/>
  <c r="E5213" i="8"/>
  <c r="F5212" i="8"/>
  <c r="E5212" i="8"/>
  <c r="F5211" i="8"/>
  <c r="E5211" i="8"/>
  <c r="F5210" i="8"/>
  <c r="E5210" i="8"/>
  <c r="F5209" i="8"/>
  <c r="E5209" i="8"/>
  <c r="F5208" i="8"/>
  <c r="E5208" i="8"/>
  <c r="F5207" i="8"/>
  <c r="E5207" i="8"/>
  <c r="F5206" i="8"/>
  <c r="E5206" i="8"/>
  <c r="F5205" i="8"/>
  <c r="E5205" i="8"/>
  <c r="F5204" i="8"/>
  <c r="E5204" i="8"/>
  <c r="F5203" i="8"/>
  <c r="E5203" i="8"/>
  <c r="F5202" i="8"/>
  <c r="E5202" i="8"/>
  <c r="F5201" i="8"/>
  <c r="E5201" i="8"/>
  <c r="F5200" i="8"/>
  <c r="E5200" i="8"/>
  <c r="F5199" i="8"/>
  <c r="E5199" i="8"/>
  <c r="F5198" i="8"/>
  <c r="E5198" i="8"/>
  <c r="F5197" i="8"/>
  <c r="E5197" i="8"/>
  <c r="F5196" i="8"/>
  <c r="E5196" i="8"/>
  <c r="F5195" i="8"/>
  <c r="E5195" i="8"/>
  <c r="F5194" i="8"/>
  <c r="E5194" i="8"/>
  <c r="F5193" i="8"/>
  <c r="E5193" i="8"/>
  <c r="F5192" i="8"/>
  <c r="E5192" i="8"/>
  <c r="F5191" i="8"/>
  <c r="E5191" i="8"/>
  <c r="F5190" i="8"/>
  <c r="E5190" i="8"/>
  <c r="F5189" i="8"/>
  <c r="E5189" i="8"/>
  <c r="F5188" i="8"/>
  <c r="E5188" i="8"/>
  <c r="F5187" i="8"/>
  <c r="E5187" i="8"/>
  <c r="F5186" i="8"/>
  <c r="E5186" i="8"/>
  <c r="F5185" i="8"/>
  <c r="E5185" i="8"/>
  <c r="F5184" i="8"/>
  <c r="E5184" i="8"/>
  <c r="F5183" i="8"/>
  <c r="E5183" i="8"/>
  <c r="F5182" i="8"/>
  <c r="E5182" i="8"/>
  <c r="F5181" i="8"/>
  <c r="E5181" i="8"/>
  <c r="F5180" i="8"/>
  <c r="E5180" i="8"/>
  <c r="F5179" i="8"/>
  <c r="E5179" i="8"/>
  <c r="F5178" i="8"/>
  <c r="E5178" i="8"/>
  <c r="F5177" i="8"/>
  <c r="E5177" i="8"/>
  <c r="F5176" i="8"/>
  <c r="E5176" i="8"/>
  <c r="F5175" i="8"/>
  <c r="E5175" i="8"/>
  <c r="F5174" i="8"/>
  <c r="E5174" i="8"/>
  <c r="F5173" i="8"/>
  <c r="E5173" i="8"/>
  <c r="F5172" i="8"/>
  <c r="E5172" i="8"/>
  <c r="F5171" i="8"/>
  <c r="E5171" i="8"/>
  <c r="F5170" i="8"/>
  <c r="E5170" i="8"/>
  <c r="F5169" i="8"/>
  <c r="E5169" i="8"/>
  <c r="F5168" i="8"/>
  <c r="E5168" i="8"/>
  <c r="F5167" i="8"/>
  <c r="E5167" i="8"/>
  <c r="F5166" i="8"/>
  <c r="E5166" i="8"/>
  <c r="F5165" i="8"/>
  <c r="E5165" i="8"/>
  <c r="F5164" i="8"/>
  <c r="E5164" i="8"/>
  <c r="F5163" i="8"/>
  <c r="E5163" i="8"/>
  <c r="F5162" i="8"/>
  <c r="E5162" i="8"/>
  <c r="F5161" i="8"/>
  <c r="E5161" i="8"/>
  <c r="F5160" i="8"/>
  <c r="E5160" i="8"/>
  <c r="F5159" i="8"/>
  <c r="E5159" i="8"/>
  <c r="F5158" i="8"/>
  <c r="E5158" i="8"/>
  <c r="F5157" i="8"/>
  <c r="E5157" i="8"/>
  <c r="F5156" i="8"/>
  <c r="E5156" i="8"/>
  <c r="F5155" i="8"/>
  <c r="E5155" i="8"/>
  <c r="F5154" i="8"/>
  <c r="E5154" i="8"/>
  <c r="F5153" i="8"/>
  <c r="E5153" i="8"/>
  <c r="F5152" i="8"/>
  <c r="E5152" i="8"/>
  <c r="F5151" i="8"/>
  <c r="E5151" i="8"/>
  <c r="F5150" i="8"/>
  <c r="E5150" i="8"/>
  <c r="F5149" i="8"/>
  <c r="E5149" i="8"/>
  <c r="F5148" i="8"/>
  <c r="E5148" i="8"/>
  <c r="F5147" i="8"/>
  <c r="E5147" i="8"/>
  <c r="F5146" i="8"/>
  <c r="E5146" i="8"/>
  <c r="F5145" i="8"/>
  <c r="E5145" i="8"/>
  <c r="F5144" i="8"/>
  <c r="E5144" i="8"/>
  <c r="F5143" i="8"/>
  <c r="E5143" i="8"/>
  <c r="F5142" i="8"/>
  <c r="E5142" i="8"/>
  <c r="F5141" i="8"/>
  <c r="E5141" i="8"/>
  <c r="F5140" i="8"/>
  <c r="E5140" i="8"/>
  <c r="F5139" i="8"/>
  <c r="E5139" i="8"/>
  <c r="F5138" i="8"/>
  <c r="E5138" i="8"/>
  <c r="F5137" i="8"/>
  <c r="E5137" i="8"/>
  <c r="F5136" i="8"/>
  <c r="E5136" i="8"/>
  <c r="F5135" i="8"/>
  <c r="E5135" i="8"/>
  <c r="F5134" i="8"/>
  <c r="E5134" i="8"/>
  <c r="F5133" i="8"/>
  <c r="E5133" i="8"/>
  <c r="F5132" i="8"/>
  <c r="E5132" i="8"/>
  <c r="F5131" i="8"/>
  <c r="E5131" i="8"/>
  <c r="F5130" i="8"/>
  <c r="E5130" i="8"/>
  <c r="F5129" i="8"/>
  <c r="E5129" i="8"/>
  <c r="F5128" i="8"/>
  <c r="E5128" i="8"/>
  <c r="F5127" i="8"/>
  <c r="E5127" i="8"/>
  <c r="F5126" i="8"/>
  <c r="E5126" i="8"/>
  <c r="F5125" i="8"/>
  <c r="E5125" i="8"/>
  <c r="F5124" i="8"/>
  <c r="E5124" i="8"/>
  <c r="F5123" i="8"/>
  <c r="E5123" i="8"/>
  <c r="F5122" i="8"/>
  <c r="E5122" i="8"/>
  <c r="F5121" i="8"/>
  <c r="E5121" i="8"/>
  <c r="F5120" i="8"/>
  <c r="E5120" i="8"/>
  <c r="F5119" i="8"/>
  <c r="E5119" i="8"/>
  <c r="F5118" i="8"/>
  <c r="E5118" i="8"/>
  <c r="F5117" i="8"/>
  <c r="E5117" i="8"/>
  <c r="F5116" i="8"/>
  <c r="E5116" i="8"/>
  <c r="F5115" i="8"/>
  <c r="E5115" i="8"/>
  <c r="F5114" i="8"/>
  <c r="E5114" i="8"/>
  <c r="F5113" i="8"/>
  <c r="E5113" i="8"/>
  <c r="F5112" i="8"/>
  <c r="E5112" i="8"/>
  <c r="F5111" i="8"/>
  <c r="E5111" i="8"/>
  <c r="F5110" i="8"/>
  <c r="E5110" i="8"/>
  <c r="F5109" i="8"/>
  <c r="E5109" i="8"/>
  <c r="F5108" i="8"/>
  <c r="E5108" i="8"/>
  <c r="F5107" i="8"/>
  <c r="E5107" i="8"/>
  <c r="F5106" i="8"/>
  <c r="E5106" i="8"/>
  <c r="F5105" i="8"/>
  <c r="E5105" i="8"/>
  <c r="F5104" i="8"/>
  <c r="E5104" i="8"/>
  <c r="F5103" i="8"/>
  <c r="E5103" i="8"/>
  <c r="F5102" i="8"/>
  <c r="E5102" i="8"/>
  <c r="F5101" i="8"/>
  <c r="E5101" i="8"/>
  <c r="F5100" i="8"/>
  <c r="E5100" i="8"/>
  <c r="F5099" i="8"/>
  <c r="E5099" i="8"/>
  <c r="F5098" i="8"/>
  <c r="E5098" i="8"/>
  <c r="F5097" i="8"/>
  <c r="E5097" i="8"/>
  <c r="F5096" i="8"/>
  <c r="E5096" i="8"/>
  <c r="F5095" i="8"/>
  <c r="E5095" i="8"/>
  <c r="F5094" i="8"/>
  <c r="E5094" i="8"/>
  <c r="F5093" i="8"/>
  <c r="E5093" i="8"/>
  <c r="F5092" i="8"/>
  <c r="E5092" i="8"/>
  <c r="F5091" i="8"/>
  <c r="E5091" i="8"/>
  <c r="F5090" i="8"/>
  <c r="E5090" i="8"/>
  <c r="F5089" i="8"/>
  <c r="E5089" i="8"/>
  <c r="F5088" i="8"/>
  <c r="E5088" i="8"/>
  <c r="F5087" i="8"/>
  <c r="E5087" i="8"/>
  <c r="F5086" i="8"/>
  <c r="E5086" i="8"/>
  <c r="F5085" i="8"/>
  <c r="E5085" i="8"/>
  <c r="F5084" i="8"/>
  <c r="E5084" i="8"/>
  <c r="F5083" i="8"/>
  <c r="E5083" i="8"/>
  <c r="F5082" i="8"/>
  <c r="E5082" i="8"/>
  <c r="F5081" i="8"/>
  <c r="E5081" i="8"/>
  <c r="F5080" i="8"/>
  <c r="E5080" i="8"/>
  <c r="F5079" i="8"/>
  <c r="E5079" i="8"/>
  <c r="F5078" i="8"/>
  <c r="E5078" i="8"/>
  <c r="F5077" i="8"/>
  <c r="E5077" i="8"/>
  <c r="F5076" i="8"/>
  <c r="E5076" i="8"/>
  <c r="F5075" i="8"/>
  <c r="E5075" i="8"/>
  <c r="F5074" i="8"/>
  <c r="E5074" i="8"/>
  <c r="F5073" i="8"/>
  <c r="E5073" i="8"/>
  <c r="F5072" i="8"/>
  <c r="E5072" i="8"/>
  <c r="F5071" i="8"/>
  <c r="E5071" i="8"/>
  <c r="F5070" i="8"/>
  <c r="E5070" i="8"/>
  <c r="F5069" i="8"/>
  <c r="E5069" i="8"/>
  <c r="F5068" i="8"/>
  <c r="E5068" i="8"/>
  <c r="F5067" i="8"/>
  <c r="E5067" i="8"/>
  <c r="F5066" i="8"/>
  <c r="E5066" i="8"/>
  <c r="F5065" i="8"/>
  <c r="E5065" i="8"/>
  <c r="F5064" i="8"/>
  <c r="E5064" i="8"/>
  <c r="F5063" i="8"/>
  <c r="E5063" i="8"/>
  <c r="F5062" i="8"/>
  <c r="E5062" i="8"/>
  <c r="F5061" i="8"/>
  <c r="E5061" i="8"/>
  <c r="F5060" i="8"/>
  <c r="E5060" i="8"/>
  <c r="F5059" i="8"/>
  <c r="E5059" i="8"/>
  <c r="F5058" i="8"/>
  <c r="E5058" i="8"/>
  <c r="F5057" i="8"/>
  <c r="E5057" i="8"/>
  <c r="F5056" i="8"/>
  <c r="E5056" i="8"/>
  <c r="F5055" i="8"/>
  <c r="E5055" i="8"/>
  <c r="F5054" i="8"/>
  <c r="E5054" i="8"/>
  <c r="F5053" i="8"/>
  <c r="E5053" i="8"/>
  <c r="F5052" i="8"/>
  <c r="E5052" i="8"/>
  <c r="F5051" i="8"/>
  <c r="E5051" i="8"/>
  <c r="F5050" i="8"/>
  <c r="E5050" i="8"/>
  <c r="F5049" i="8"/>
  <c r="E5049" i="8"/>
  <c r="F5048" i="8"/>
  <c r="E5048" i="8"/>
  <c r="F5047" i="8"/>
  <c r="E5047" i="8"/>
  <c r="F5046" i="8"/>
  <c r="E5046" i="8"/>
  <c r="F5045" i="8"/>
  <c r="E5045" i="8"/>
  <c r="F5044" i="8"/>
  <c r="E5044" i="8"/>
  <c r="F5043" i="8"/>
  <c r="E5043" i="8"/>
  <c r="F5042" i="8"/>
  <c r="E5042" i="8"/>
  <c r="F5041" i="8"/>
  <c r="E5041" i="8"/>
  <c r="F5040" i="8"/>
  <c r="E5040" i="8"/>
  <c r="F5039" i="8"/>
  <c r="E5039" i="8"/>
  <c r="F5038" i="8"/>
  <c r="E5038" i="8"/>
  <c r="F5037" i="8"/>
  <c r="E5037" i="8"/>
  <c r="F5036" i="8"/>
  <c r="E5036" i="8"/>
  <c r="F5035" i="8"/>
  <c r="E5035" i="8"/>
  <c r="F5034" i="8"/>
  <c r="E5034" i="8"/>
  <c r="F5033" i="8"/>
  <c r="E5033" i="8"/>
  <c r="F5032" i="8"/>
  <c r="E5032" i="8"/>
  <c r="F5031" i="8"/>
  <c r="E5031" i="8"/>
  <c r="F5030" i="8"/>
  <c r="E5030" i="8"/>
  <c r="F5029" i="8"/>
  <c r="E5029" i="8"/>
  <c r="F5028" i="8"/>
  <c r="E5028" i="8"/>
  <c r="F5027" i="8"/>
  <c r="E5027" i="8"/>
  <c r="F5026" i="8"/>
  <c r="E5026" i="8"/>
  <c r="F5025" i="8"/>
  <c r="E5025" i="8"/>
  <c r="F5024" i="8"/>
  <c r="E5024" i="8"/>
  <c r="F5023" i="8"/>
  <c r="E5023" i="8"/>
  <c r="F5022" i="8"/>
  <c r="E5022" i="8"/>
  <c r="F5021" i="8"/>
  <c r="E5021" i="8"/>
  <c r="F5020" i="8"/>
  <c r="E5020" i="8"/>
  <c r="F5019" i="8"/>
  <c r="E5019" i="8"/>
  <c r="F5018" i="8"/>
  <c r="E5018" i="8"/>
  <c r="F5017" i="8"/>
  <c r="E5017" i="8"/>
  <c r="F5016" i="8"/>
  <c r="E5016" i="8"/>
  <c r="F5015" i="8"/>
  <c r="E5015" i="8"/>
  <c r="F5014" i="8"/>
  <c r="E5014" i="8"/>
  <c r="F5013" i="8"/>
  <c r="E5013" i="8"/>
  <c r="F5012" i="8"/>
  <c r="E5012" i="8"/>
  <c r="F5011" i="8"/>
  <c r="E5011" i="8"/>
  <c r="F5010" i="8"/>
  <c r="E5010" i="8"/>
  <c r="F5009" i="8"/>
  <c r="E5009" i="8"/>
  <c r="F5008" i="8"/>
  <c r="E5008" i="8"/>
  <c r="F5007" i="8"/>
  <c r="E5007" i="8"/>
  <c r="F5006" i="8"/>
  <c r="E5006" i="8"/>
  <c r="F5005" i="8"/>
  <c r="E5005" i="8"/>
  <c r="F5004" i="8"/>
  <c r="E5004" i="8"/>
  <c r="F5003" i="8"/>
  <c r="E5003" i="8"/>
  <c r="F5002" i="8"/>
  <c r="E5002" i="8"/>
  <c r="F5001" i="8"/>
  <c r="E5001" i="8"/>
  <c r="F5000" i="8"/>
  <c r="E5000" i="8"/>
  <c r="F4999" i="8"/>
  <c r="E4999" i="8"/>
  <c r="F4998" i="8"/>
  <c r="E4998" i="8"/>
  <c r="F4997" i="8"/>
  <c r="E4997" i="8"/>
  <c r="F4996" i="8"/>
  <c r="E4996" i="8"/>
  <c r="F4995" i="8"/>
  <c r="E4995" i="8"/>
  <c r="F4994" i="8"/>
  <c r="E4994" i="8"/>
  <c r="F4993" i="8"/>
  <c r="E4993" i="8"/>
  <c r="F4992" i="8"/>
  <c r="E4992" i="8"/>
  <c r="F4991" i="8"/>
  <c r="E4991" i="8"/>
  <c r="F4990" i="8"/>
  <c r="E4990" i="8"/>
  <c r="F4989" i="8"/>
  <c r="E4989" i="8"/>
  <c r="F4988" i="8"/>
  <c r="E4988" i="8"/>
  <c r="F4987" i="8"/>
  <c r="E4987" i="8"/>
  <c r="F4986" i="8"/>
  <c r="E4986" i="8"/>
  <c r="F4985" i="8"/>
  <c r="E4985" i="8"/>
  <c r="F4984" i="8"/>
  <c r="E4984" i="8"/>
  <c r="F4983" i="8"/>
  <c r="E4983" i="8"/>
  <c r="F4982" i="8"/>
  <c r="E4982" i="8"/>
  <c r="F4981" i="8"/>
  <c r="E4981" i="8"/>
  <c r="F4980" i="8"/>
  <c r="E4980" i="8"/>
  <c r="F4979" i="8"/>
  <c r="E4979" i="8"/>
  <c r="F4978" i="8"/>
  <c r="E4978" i="8"/>
  <c r="F4977" i="8"/>
  <c r="E4977" i="8"/>
  <c r="F4976" i="8"/>
  <c r="E4976" i="8"/>
  <c r="F4975" i="8"/>
  <c r="E4975" i="8"/>
  <c r="F4974" i="8"/>
  <c r="E4974" i="8"/>
  <c r="F4973" i="8"/>
  <c r="E4973" i="8"/>
  <c r="F4972" i="8"/>
  <c r="E4972" i="8"/>
  <c r="F4971" i="8"/>
  <c r="E4971" i="8"/>
  <c r="F4970" i="8"/>
  <c r="E4970" i="8"/>
  <c r="F4969" i="8"/>
  <c r="E4969" i="8"/>
  <c r="F4968" i="8"/>
  <c r="E4968" i="8"/>
  <c r="F4967" i="8"/>
  <c r="E4967" i="8"/>
  <c r="F4966" i="8"/>
  <c r="E4966" i="8"/>
  <c r="F4965" i="8"/>
  <c r="E4965" i="8"/>
  <c r="F4964" i="8"/>
  <c r="E4964" i="8"/>
  <c r="F4963" i="8"/>
  <c r="E4963" i="8"/>
  <c r="F4962" i="8"/>
  <c r="E4962" i="8"/>
  <c r="F4961" i="8"/>
  <c r="E4961" i="8"/>
  <c r="F4960" i="8"/>
  <c r="E4960" i="8"/>
  <c r="F4959" i="8"/>
  <c r="E4959" i="8"/>
  <c r="F4958" i="8"/>
  <c r="E4958" i="8"/>
  <c r="F4957" i="8"/>
  <c r="E4957" i="8"/>
  <c r="F4956" i="8"/>
  <c r="E4956" i="8"/>
  <c r="F4955" i="8"/>
  <c r="E4955" i="8"/>
  <c r="F4954" i="8"/>
  <c r="E4954" i="8"/>
  <c r="F4953" i="8"/>
  <c r="E4953" i="8"/>
  <c r="F4952" i="8"/>
  <c r="E4952" i="8"/>
  <c r="F4951" i="8"/>
  <c r="E4951" i="8"/>
  <c r="F4950" i="8"/>
  <c r="E4950" i="8"/>
  <c r="F4949" i="8"/>
  <c r="E4949" i="8"/>
  <c r="F4948" i="8"/>
  <c r="E4948" i="8"/>
  <c r="F4947" i="8"/>
  <c r="E4947" i="8"/>
  <c r="F4946" i="8"/>
  <c r="E4946" i="8"/>
  <c r="F4945" i="8"/>
  <c r="E4945" i="8"/>
  <c r="F4944" i="8"/>
  <c r="E4944" i="8"/>
  <c r="F4943" i="8"/>
  <c r="E4943" i="8"/>
  <c r="F4942" i="8"/>
  <c r="E4942" i="8"/>
  <c r="F4941" i="8"/>
  <c r="E4941" i="8"/>
  <c r="F4940" i="8"/>
  <c r="E4940" i="8"/>
  <c r="F4939" i="8"/>
  <c r="E4939" i="8"/>
  <c r="F4938" i="8"/>
  <c r="E4938" i="8"/>
  <c r="F4937" i="8"/>
  <c r="E4937" i="8"/>
  <c r="F4936" i="8"/>
  <c r="E4936" i="8"/>
  <c r="F4935" i="8"/>
  <c r="E4935" i="8"/>
  <c r="F4934" i="8"/>
  <c r="E4934" i="8"/>
  <c r="F4933" i="8"/>
  <c r="E4933" i="8"/>
  <c r="F4932" i="8"/>
  <c r="E4932" i="8"/>
  <c r="F4931" i="8"/>
  <c r="E4931" i="8"/>
  <c r="F4930" i="8"/>
  <c r="E4930" i="8"/>
  <c r="F4929" i="8"/>
  <c r="E4929" i="8"/>
  <c r="F4928" i="8"/>
  <c r="E4928" i="8"/>
  <c r="F4927" i="8"/>
  <c r="E4927" i="8"/>
  <c r="F4926" i="8"/>
  <c r="E4926" i="8"/>
  <c r="F4925" i="8"/>
  <c r="E4925" i="8"/>
  <c r="F4924" i="8"/>
  <c r="E4924" i="8"/>
  <c r="F4923" i="8"/>
  <c r="E4923" i="8"/>
  <c r="F4922" i="8"/>
  <c r="E4922" i="8"/>
  <c r="F4921" i="8"/>
  <c r="E4921" i="8"/>
  <c r="F4920" i="8"/>
  <c r="E4920" i="8"/>
  <c r="F4919" i="8"/>
  <c r="E4919" i="8"/>
  <c r="F4918" i="8"/>
  <c r="E4918" i="8"/>
  <c r="F4917" i="8"/>
  <c r="E4917" i="8"/>
  <c r="F4916" i="8"/>
  <c r="E4916" i="8"/>
  <c r="F4915" i="8"/>
  <c r="E4915" i="8"/>
  <c r="F4914" i="8"/>
  <c r="E4914" i="8"/>
  <c r="F4913" i="8"/>
  <c r="E4913" i="8"/>
  <c r="F4912" i="8"/>
  <c r="E4912" i="8"/>
  <c r="F4911" i="8"/>
  <c r="E4911" i="8"/>
  <c r="F4910" i="8"/>
  <c r="E4910" i="8"/>
  <c r="F4909" i="8"/>
  <c r="E4909" i="8"/>
  <c r="F4908" i="8"/>
  <c r="E4908" i="8"/>
  <c r="F4907" i="8"/>
  <c r="E4907" i="8"/>
  <c r="F4906" i="8"/>
  <c r="E4906" i="8"/>
  <c r="F4905" i="8"/>
  <c r="E4905" i="8"/>
  <c r="F4904" i="8"/>
  <c r="E4904" i="8"/>
  <c r="F4903" i="8"/>
  <c r="E4903" i="8"/>
  <c r="F4902" i="8"/>
  <c r="E4902" i="8"/>
  <c r="F4901" i="8"/>
  <c r="E4901" i="8"/>
  <c r="F4900" i="8"/>
  <c r="E4900" i="8"/>
  <c r="F4899" i="8"/>
  <c r="E4899" i="8"/>
  <c r="F4898" i="8"/>
  <c r="E4898" i="8"/>
  <c r="F4897" i="8"/>
  <c r="E4897" i="8"/>
  <c r="F4896" i="8"/>
  <c r="E4896" i="8"/>
  <c r="F4895" i="8"/>
  <c r="E4895" i="8"/>
  <c r="F4894" i="8"/>
  <c r="E4894" i="8"/>
  <c r="F4893" i="8"/>
  <c r="E4893" i="8"/>
  <c r="F4892" i="8"/>
  <c r="E4892" i="8"/>
  <c r="F4891" i="8"/>
  <c r="E4891" i="8"/>
  <c r="F4890" i="8"/>
  <c r="E4890" i="8"/>
  <c r="F4889" i="8"/>
  <c r="E4889" i="8"/>
  <c r="F4888" i="8"/>
  <c r="E4888" i="8"/>
  <c r="F4887" i="8"/>
  <c r="E4887" i="8"/>
  <c r="F4886" i="8"/>
  <c r="E4886" i="8"/>
  <c r="F4885" i="8"/>
  <c r="E4885" i="8"/>
  <c r="F4884" i="8"/>
  <c r="E4884" i="8"/>
  <c r="F4883" i="8"/>
  <c r="E4883" i="8"/>
  <c r="F4882" i="8"/>
  <c r="E4882" i="8"/>
  <c r="F4881" i="8"/>
  <c r="E4881" i="8"/>
  <c r="F4880" i="8"/>
  <c r="E4880" i="8"/>
  <c r="F4879" i="8"/>
  <c r="E4879" i="8"/>
  <c r="F4878" i="8"/>
  <c r="E4878" i="8"/>
  <c r="F4877" i="8"/>
  <c r="E4877" i="8"/>
  <c r="F4876" i="8"/>
  <c r="E4876" i="8"/>
  <c r="F4875" i="8"/>
  <c r="E4875" i="8"/>
  <c r="F4874" i="8"/>
  <c r="E4874" i="8"/>
  <c r="F4873" i="8"/>
  <c r="E4873" i="8"/>
  <c r="F4872" i="8"/>
  <c r="E4872" i="8"/>
  <c r="F4871" i="8"/>
  <c r="E4871" i="8"/>
  <c r="F4870" i="8"/>
  <c r="E4870" i="8"/>
  <c r="F4869" i="8"/>
  <c r="E4869" i="8"/>
  <c r="F4868" i="8"/>
  <c r="E4868" i="8"/>
  <c r="F4867" i="8"/>
  <c r="E4867" i="8"/>
  <c r="F4866" i="8"/>
  <c r="E4866" i="8"/>
  <c r="F4865" i="8"/>
  <c r="E4865" i="8"/>
  <c r="F4864" i="8"/>
  <c r="E4864" i="8"/>
  <c r="F4863" i="8"/>
  <c r="E4863" i="8"/>
  <c r="F4862" i="8"/>
  <c r="E4862" i="8"/>
  <c r="F4861" i="8"/>
  <c r="E4861" i="8"/>
  <c r="F4860" i="8"/>
  <c r="E4860" i="8"/>
  <c r="F4859" i="8"/>
  <c r="E4859" i="8"/>
  <c r="F4858" i="8"/>
  <c r="E4858" i="8"/>
  <c r="F4857" i="8"/>
  <c r="E4857" i="8"/>
  <c r="F4856" i="8"/>
  <c r="E4856" i="8"/>
  <c r="F4855" i="8"/>
  <c r="E4855" i="8"/>
  <c r="F4854" i="8"/>
  <c r="E4854" i="8"/>
  <c r="F4853" i="8"/>
  <c r="E4853" i="8"/>
  <c r="F4852" i="8"/>
  <c r="E4852" i="8"/>
  <c r="F4851" i="8"/>
  <c r="E4851" i="8"/>
  <c r="F4850" i="8"/>
  <c r="E4850" i="8"/>
  <c r="F4849" i="8"/>
  <c r="E4849" i="8"/>
  <c r="F4848" i="8"/>
  <c r="E4848" i="8"/>
  <c r="F4847" i="8"/>
  <c r="E4847" i="8"/>
  <c r="F4846" i="8"/>
  <c r="E4846" i="8"/>
  <c r="F4845" i="8"/>
  <c r="E4845" i="8"/>
  <c r="F4844" i="8"/>
  <c r="E4844" i="8"/>
  <c r="F4843" i="8"/>
  <c r="E4843" i="8"/>
  <c r="F4842" i="8"/>
  <c r="E4842" i="8"/>
  <c r="F4841" i="8"/>
  <c r="E4841" i="8"/>
  <c r="F4840" i="8"/>
  <c r="E4840" i="8"/>
  <c r="F4839" i="8"/>
  <c r="E4839" i="8"/>
  <c r="F4838" i="8"/>
  <c r="E4838" i="8"/>
  <c r="F4837" i="8"/>
  <c r="E4837" i="8"/>
  <c r="F4836" i="8"/>
  <c r="E4836" i="8"/>
  <c r="F4835" i="8"/>
  <c r="E4835" i="8"/>
  <c r="F4834" i="8"/>
  <c r="E4834" i="8"/>
  <c r="F4833" i="8"/>
  <c r="E4833" i="8"/>
  <c r="F4832" i="8"/>
  <c r="E4832" i="8"/>
  <c r="F4831" i="8"/>
  <c r="E4831" i="8"/>
  <c r="F4830" i="8"/>
  <c r="E4830" i="8"/>
  <c r="F4829" i="8"/>
  <c r="E4829" i="8"/>
  <c r="F4828" i="8"/>
  <c r="E4828" i="8"/>
  <c r="F4827" i="8"/>
  <c r="E4827" i="8"/>
  <c r="F4826" i="8"/>
  <c r="E4826" i="8"/>
  <c r="F4825" i="8"/>
  <c r="E4825" i="8"/>
  <c r="F4824" i="8"/>
  <c r="E4824" i="8"/>
  <c r="F4823" i="8"/>
  <c r="E4823" i="8"/>
  <c r="F4822" i="8"/>
  <c r="E4822" i="8"/>
  <c r="F4821" i="8"/>
  <c r="E4821" i="8"/>
  <c r="F4820" i="8"/>
  <c r="E4820" i="8"/>
  <c r="F4819" i="8"/>
  <c r="E4819" i="8"/>
  <c r="F4818" i="8"/>
  <c r="E4818" i="8"/>
  <c r="F4817" i="8"/>
  <c r="E4817" i="8"/>
  <c r="F4816" i="8"/>
  <c r="E4816" i="8"/>
  <c r="F4815" i="8"/>
  <c r="E4815" i="8"/>
  <c r="F4814" i="8"/>
  <c r="E4814" i="8"/>
  <c r="F4813" i="8"/>
  <c r="E4813" i="8"/>
  <c r="F4812" i="8"/>
  <c r="E4812" i="8"/>
  <c r="F4811" i="8"/>
  <c r="E4811" i="8"/>
  <c r="F4810" i="8"/>
  <c r="E4810" i="8"/>
  <c r="F4809" i="8"/>
  <c r="E4809" i="8"/>
  <c r="F4808" i="8"/>
  <c r="E4808" i="8"/>
  <c r="F4807" i="8"/>
  <c r="E4807" i="8"/>
  <c r="F4806" i="8"/>
  <c r="E4806" i="8"/>
  <c r="F4805" i="8"/>
  <c r="E4805" i="8"/>
  <c r="F4804" i="8"/>
  <c r="E4804" i="8"/>
  <c r="F4803" i="8"/>
  <c r="E4803" i="8"/>
  <c r="F4802" i="8"/>
  <c r="E4802" i="8"/>
  <c r="F4801" i="8"/>
  <c r="E4801" i="8"/>
  <c r="F4800" i="8"/>
  <c r="E4800" i="8"/>
  <c r="F4799" i="8"/>
  <c r="E4799" i="8"/>
  <c r="F4798" i="8"/>
  <c r="E4798" i="8"/>
  <c r="F4797" i="8"/>
  <c r="E4797" i="8"/>
  <c r="F4796" i="8"/>
  <c r="E4796" i="8"/>
  <c r="F4795" i="8"/>
  <c r="E4795" i="8"/>
  <c r="F4794" i="8"/>
  <c r="E4794" i="8"/>
  <c r="F4793" i="8"/>
  <c r="E4793" i="8"/>
  <c r="F4792" i="8"/>
  <c r="E4792" i="8"/>
  <c r="F4791" i="8"/>
  <c r="E4791" i="8"/>
  <c r="F4790" i="8"/>
  <c r="E4790" i="8"/>
  <c r="F4789" i="8"/>
  <c r="E4789" i="8"/>
  <c r="F4788" i="8"/>
  <c r="E4788" i="8"/>
  <c r="F4787" i="8"/>
  <c r="E4787" i="8"/>
  <c r="F4786" i="8"/>
  <c r="E4786" i="8"/>
  <c r="F4785" i="8"/>
  <c r="E4785" i="8"/>
  <c r="F4784" i="8"/>
  <c r="E4784" i="8"/>
  <c r="F4783" i="8"/>
  <c r="E4783" i="8"/>
  <c r="F4782" i="8"/>
  <c r="E4782" i="8"/>
  <c r="F4781" i="8"/>
  <c r="E4781" i="8"/>
  <c r="F4780" i="8"/>
  <c r="E4780" i="8"/>
  <c r="F4779" i="8"/>
  <c r="E4779" i="8"/>
  <c r="F4778" i="8"/>
  <c r="E4778" i="8"/>
  <c r="F4777" i="8"/>
  <c r="E4777" i="8"/>
  <c r="F4776" i="8"/>
  <c r="E4776" i="8"/>
  <c r="F4775" i="8"/>
  <c r="E4775" i="8"/>
  <c r="F4774" i="8"/>
  <c r="E4774" i="8"/>
  <c r="F4773" i="8"/>
  <c r="E4773" i="8"/>
  <c r="F4772" i="8"/>
  <c r="E4772" i="8"/>
  <c r="F4771" i="8"/>
  <c r="E4771" i="8"/>
  <c r="F4770" i="8"/>
  <c r="E4770" i="8"/>
  <c r="F4769" i="8"/>
  <c r="E4769" i="8"/>
  <c r="F4768" i="8"/>
  <c r="E4768" i="8"/>
  <c r="F4767" i="8"/>
  <c r="E4767" i="8"/>
  <c r="F4766" i="8"/>
  <c r="E4766" i="8"/>
  <c r="F4765" i="8"/>
  <c r="E4765" i="8"/>
  <c r="F4764" i="8"/>
  <c r="E4764" i="8"/>
  <c r="F4763" i="8"/>
  <c r="E4763" i="8"/>
  <c r="F4762" i="8"/>
  <c r="E4762" i="8"/>
  <c r="F4761" i="8"/>
  <c r="E4761" i="8"/>
  <c r="F4760" i="8"/>
  <c r="E4760" i="8"/>
  <c r="F4759" i="8"/>
  <c r="E4759" i="8"/>
  <c r="F4758" i="8"/>
  <c r="E4758" i="8"/>
  <c r="F4757" i="8"/>
  <c r="E4757" i="8"/>
  <c r="F4756" i="8"/>
  <c r="E4756" i="8"/>
  <c r="F4755" i="8"/>
  <c r="E4755" i="8"/>
  <c r="F4754" i="8"/>
  <c r="E4754" i="8"/>
  <c r="F4753" i="8"/>
  <c r="E4753" i="8"/>
  <c r="F4752" i="8"/>
  <c r="E4752" i="8"/>
  <c r="F4751" i="8"/>
  <c r="E4751" i="8"/>
  <c r="F4750" i="8"/>
  <c r="E4750" i="8"/>
  <c r="F4749" i="8"/>
  <c r="E4749" i="8"/>
  <c r="F4748" i="8"/>
  <c r="E4748" i="8"/>
  <c r="F4747" i="8"/>
  <c r="E4747" i="8"/>
  <c r="F4746" i="8"/>
  <c r="E4746" i="8"/>
  <c r="F4745" i="8"/>
  <c r="E4745" i="8"/>
  <c r="F4744" i="8"/>
  <c r="E4744" i="8"/>
  <c r="F4743" i="8"/>
  <c r="E4743" i="8"/>
  <c r="F4742" i="8"/>
  <c r="E4742" i="8"/>
  <c r="F4741" i="8"/>
  <c r="E4741" i="8"/>
  <c r="F4740" i="8"/>
  <c r="E4740" i="8"/>
  <c r="F4739" i="8"/>
  <c r="E4739" i="8"/>
  <c r="F4738" i="8"/>
  <c r="E4738" i="8"/>
  <c r="F4737" i="8"/>
  <c r="E4737" i="8"/>
  <c r="F4736" i="8"/>
  <c r="E4736" i="8"/>
  <c r="F4735" i="8"/>
  <c r="E4735" i="8"/>
  <c r="F4734" i="8"/>
  <c r="E4734" i="8"/>
  <c r="F4733" i="8"/>
  <c r="E4733" i="8"/>
  <c r="F4732" i="8"/>
  <c r="E4732" i="8"/>
  <c r="F4731" i="8"/>
  <c r="E4731" i="8"/>
  <c r="F4730" i="8"/>
  <c r="E4730" i="8"/>
  <c r="F4729" i="8"/>
  <c r="E4729" i="8"/>
  <c r="F4728" i="8"/>
  <c r="E4728" i="8"/>
  <c r="F4727" i="8"/>
  <c r="E4727" i="8"/>
  <c r="F4726" i="8"/>
  <c r="E4726" i="8"/>
  <c r="F4725" i="8"/>
  <c r="E4725" i="8"/>
  <c r="F4724" i="8"/>
  <c r="E4724" i="8"/>
  <c r="F4723" i="8"/>
  <c r="E4723" i="8"/>
  <c r="F4722" i="8"/>
  <c r="E4722" i="8"/>
  <c r="F4721" i="8"/>
  <c r="E4721" i="8"/>
  <c r="F4720" i="8"/>
  <c r="E4720" i="8"/>
  <c r="F4719" i="8"/>
  <c r="E4719" i="8"/>
  <c r="F4718" i="8"/>
  <c r="E4718" i="8"/>
  <c r="F4717" i="8"/>
  <c r="E4717" i="8"/>
  <c r="F4716" i="8"/>
  <c r="E4716" i="8"/>
  <c r="F4715" i="8"/>
  <c r="E4715" i="8"/>
  <c r="F4714" i="8"/>
  <c r="E4714" i="8"/>
  <c r="F4713" i="8"/>
  <c r="E4713" i="8"/>
  <c r="F4712" i="8"/>
  <c r="E4712" i="8"/>
  <c r="F4711" i="8"/>
  <c r="E4711" i="8"/>
  <c r="F4710" i="8"/>
  <c r="E4710" i="8"/>
  <c r="F4709" i="8"/>
  <c r="E4709" i="8"/>
  <c r="F4708" i="8"/>
  <c r="E4708" i="8"/>
  <c r="F4707" i="8"/>
  <c r="E4707" i="8"/>
  <c r="F4706" i="8"/>
  <c r="E4706" i="8"/>
  <c r="F4705" i="8"/>
  <c r="E4705" i="8"/>
  <c r="F4704" i="8"/>
  <c r="E4704" i="8"/>
  <c r="F4703" i="8"/>
  <c r="E4703" i="8"/>
  <c r="F4702" i="8"/>
  <c r="E4702" i="8"/>
  <c r="F4701" i="8"/>
  <c r="E4701" i="8"/>
  <c r="F4700" i="8"/>
  <c r="E4700" i="8"/>
  <c r="F4699" i="8"/>
  <c r="E4699" i="8"/>
  <c r="F4698" i="8"/>
  <c r="E4698" i="8"/>
  <c r="F4697" i="8"/>
  <c r="E4697" i="8"/>
  <c r="F4696" i="8"/>
  <c r="E4696" i="8"/>
  <c r="F4695" i="8"/>
  <c r="E4695" i="8"/>
  <c r="F4694" i="8"/>
  <c r="E4694" i="8"/>
  <c r="F4693" i="8"/>
  <c r="E4693" i="8"/>
  <c r="F4692" i="8"/>
  <c r="E4692" i="8"/>
  <c r="F4691" i="8"/>
  <c r="E4691" i="8"/>
  <c r="F4690" i="8"/>
  <c r="E4690" i="8"/>
  <c r="F4689" i="8"/>
  <c r="E4689" i="8"/>
  <c r="F4688" i="8"/>
  <c r="E4688" i="8"/>
  <c r="F4687" i="8"/>
  <c r="E4687" i="8"/>
  <c r="F4686" i="8"/>
  <c r="E4686" i="8"/>
  <c r="F4685" i="8"/>
  <c r="E4685" i="8"/>
  <c r="F4684" i="8"/>
  <c r="E4684" i="8"/>
  <c r="F4683" i="8"/>
  <c r="E4683" i="8"/>
  <c r="F4682" i="8"/>
  <c r="E4682" i="8"/>
  <c r="F4681" i="8"/>
  <c r="E4681" i="8"/>
  <c r="F4680" i="8"/>
  <c r="E4680" i="8"/>
  <c r="F4679" i="8"/>
  <c r="E4679" i="8"/>
  <c r="F4678" i="8"/>
  <c r="E4678" i="8"/>
  <c r="F4677" i="8"/>
  <c r="E4677" i="8"/>
  <c r="F4676" i="8"/>
  <c r="E4676" i="8"/>
  <c r="F4675" i="8"/>
  <c r="E4675" i="8"/>
  <c r="F4674" i="8"/>
  <c r="E4674" i="8"/>
  <c r="F4673" i="8"/>
  <c r="E4673" i="8"/>
  <c r="F4672" i="8"/>
  <c r="E4672" i="8"/>
  <c r="F4671" i="8"/>
  <c r="E4671" i="8"/>
  <c r="F4670" i="8"/>
  <c r="E4670" i="8"/>
  <c r="F4669" i="8"/>
  <c r="E4669" i="8"/>
  <c r="F4668" i="8"/>
  <c r="E4668" i="8"/>
  <c r="F4667" i="8"/>
  <c r="E4667" i="8"/>
  <c r="F4666" i="8"/>
  <c r="E4666" i="8"/>
  <c r="F4665" i="8"/>
  <c r="E4665" i="8"/>
  <c r="F4664" i="8"/>
  <c r="E4664" i="8"/>
  <c r="F4663" i="8"/>
  <c r="E4663" i="8"/>
  <c r="F4662" i="8"/>
  <c r="E4662" i="8"/>
  <c r="F4661" i="8"/>
  <c r="E4661" i="8"/>
  <c r="F4660" i="8"/>
  <c r="E4660" i="8"/>
  <c r="F4659" i="8"/>
  <c r="E4659" i="8"/>
  <c r="F4658" i="8"/>
  <c r="E4658" i="8"/>
  <c r="F4657" i="8"/>
  <c r="E4657" i="8"/>
  <c r="F4656" i="8"/>
  <c r="E4656" i="8"/>
  <c r="F4655" i="8"/>
  <c r="E4655" i="8"/>
  <c r="F4654" i="8"/>
  <c r="E4654" i="8"/>
  <c r="F4653" i="8"/>
  <c r="E4653" i="8"/>
  <c r="F4652" i="8"/>
  <c r="E4652" i="8"/>
  <c r="F4651" i="8"/>
  <c r="E4651" i="8"/>
  <c r="F4650" i="8"/>
  <c r="E4650" i="8"/>
  <c r="F4649" i="8"/>
  <c r="E4649" i="8"/>
  <c r="F4648" i="8"/>
  <c r="E4648" i="8"/>
  <c r="F4647" i="8"/>
  <c r="E4647" i="8"/>
  <c r="F4646" i="8"/>
  <c r="E4646" i="8"/>
  <c r="F4645" i="8"/>
  <c r="E4645" i="8"/>
  <c r="F4644" i="8"/>
  <c r="E4644" i="8"/>
  <c r="F4643" i="8"/>
  <c r="E4643" i="8"/>
  <c r="F4642" i="8"/>
  <c r="E4642" i="8"/>
  <c r="F4641" i="8"/>
  <c r="E4641" i="8"/>
  <c r="F4640" i="8"/>
  <c r="E4640" i="8"/>
  <c r="F4639" i="8"/>
  <c r="E4639" i="8"/>
  <c r="F4638" i="8"/>
  <c r="E4638" i="8"/>
  <c r="F4637" i="8"/>
  <c r="E4637" i="8"/>
  <c r="F4636" i="8"/>
  <c r="E4636" i="8"/>
  <c r="F4635" i="8"/>
  <c r="E4635" i="8"/>
  <c r="F4634" i="8"/>
  <c r="E4634" i="8"/>
  <c r="F4633" i="8"/>
  <c r="E4633" i="8"/>
  <c r="F4632" i="8"/>
  <c r="E4632" i="8"/>
  <c r="F4631" i="8"/>
  <c r="E4631" i="8"/>
  <c r="F4630" i="8"/>
  <c r="E4630" i="8"/>
  <c r="F4629" i="8"/>
  <c r="E4629" i="8"/>
  <c r="F4628" i="8"/>
  <c r="E4628" i="8"/>
  <c r="F4627" i="8"/>
  <c r="E4627" i="8"/>
  <c r="F4626" i="8"/>
  <c r="E4626" i="8"/>
  <c r="F4625" i="8"/>
  <c r="E4625" i="8"/>
  <c r="F4624" i="8"/>
  <c r="E4624" i="8"/>
  <c r="F4623" i="8"/>
  <c r="E4623" i="8"/>
  <c r="F4622" i="8"/>
  <c r="E4622" i="8"/>
  <c r="F4621" i="8"/>
  <c r="E4621" i="8"/>
  <c r="F4620" i="8"/>
  <c r="E4620" i="8"/>
  <c r="F4619" i="8"/>
  <c r="E4619" i="8"/>
  <c r="F4618" i="8"/>
  <c r="E4618" i="8"/>
  <c r="F4617" i="8"/>
  <c r="E4617" i="8"/>
  <c r="F4616" i="8"/>
  <c r="E4616" i="8"/>
  <c r="F4615" i="8"/>
  <c r="E4615" i="8"/>
  <c r="F4614" i="8"/>
  <c r="E4614" i="8"/>
  <c r="F4613" i="8"/>
  <c r="E4613" i="8"/>
  <c r="F4612" i="8"/>
  <c r="E4612" i="8"/>
  <c r="F4611" i="8"/>
  <c r="E4611" i="8"/>
  <c r="F4610" i="8"/>
  <c r="E4610" i="8"/>
  <c r="F4609" i="8"/>
  <c r="E4609" i="8"/>
  <c r="F4608" i="8"/>
  <c r="E4608" i="8"/>
  <c r="F4607" i="8"/>
  <c r="E4607" i="8"/>
  <c r="F4606" i="8"/>
  <c r="E4606" i="8"/>
  <c r="F4605" i="8"/>
  <c r="E4605" i="8"/>
  <c r="F4604" i="8"/>
  <c r="E4604" i="8"/>
  <c r="F4603" i="8"/>
  <c r="E4603" i="8"/>
  <c r="F4602" i="8"/>
  <c r="E4602" i="8"/>
  <c r="F4601" i="8"/>
  <c r="E4601" i="8"/>
  <c r="F4600" i="8"/>
  <c r="E4600" i="8"/>
  <c r="F4599" i="8"/>
  <c r="E4599" i="8"/>
  <c r="F4598" i="8"/>
  <c r="E4598" i="8"/>
  <c r="F4597" i="8"/>
  <c r="E4597" i="8"/>
  <c r="F4596" i="8"/>
  <c r="E4596" i="8"/>
  <c r="F4595" i="8"/>
  <c r="E4595" i="8"/>
  <c r="F4594" i="8"/>
  <c r="E4594" i="8"/>
  <c r="F4593" i="8"/>
  <c r="E4593" i="8"/>
  <c r="F4592" i="8"/>
  <c r="E4592" i="8"/>
  <c r="F4591" i="8"/>
  <c r="E4591" i="8"/>
  <c r="F4590" i="8"/>
  <c r="E4590" i="8"/>
  <c r="F4589" i="8"/>
  <c r="E4589" i="8"/>
  <c r="F4588" i="8"/>
  <c r="E4588" i="8"/>
  <c r="F4587" i="8"/>
  <c r="E4587" i="8"/>
  <c r="F4586" i="8"/>
  <c r="E4586" i="8"/>
  <c r="F4585" i="8"/>
  <c r="E4585" i="8"/>
  <c r="F4584" i="8"/>
  <c r="E4584" i="8"/>
  <c r="F4583" i="8"/>
  <c r="E4583" i="8"/>
  <c r="F4582" i="8"/>
  <c r="E4582" i="8"/>
  <c r="F4581" i="8"/>
  <c r="E4581" i="8"/>
  <c r="F4580" i="8"/>
  <c r="E4580" i="8"/>
  <c r="F4579" i="8"/>
  <c r="E4579" i="8"/>
  <c r="F4578" i="8"/>
  <c r="E4578" i="8"/>
  <c r="F4577" i="8"/>
  <c r="E4577" i="8"/>
  <c r="F4576" i="8"/>
  <c r="E4576" i="8"/>
  <c r="F4575" i="8"/>
  <c r="E4575" i="8"/>
  <c r="F4574" i="8"/>
  <c r="E4574" i="8"/>
  <c r="F4573" i="8"/>
  <c r="E4573" i="8"/>
  <c r="F4572" i="8"/>
  <c r="E4572" i="8"/>
  <c r="F4571" i="8"/>
  <c r="E4571" i="8"/>
  <c r="F4570" i="8"/>
  <c r="E4570" i="8"/>
  <c r="F4569" i="8"/>
  <c r="E4569" i="8"/>
  <c r="F4568" i="8"/>
  <c r="E4568" i="8"/>
  <c r="F4567" i="8"/>
  <c r="E4567" i="8"/>
  <c r="F4566" i="8"/>
  <c r="E4566" i="8"/>
  <c r="F4565" i="8"/>
  <c r="E4565" i="8"/>
  <c r="F4564" i="8"/>
  <c r="E4564" i="8"/>
  <c r="F4563" i="8"/>
  <c r="E4563" i="8"/>
  <c r="F4562" i="8"/>
  <c r="E4562" i="8"/>
  <c r="F4561" i="8"/>
  <c r="E4561" i="8"/>
  <c r="F4560" i="8"/>
  <c r="E4560" i="8"/>
  <c r="F4559" i="8"/>
  <c r="E4559" i="8"/>
  <c r="F4558" i="8"/>
  <c r="E4558" i="8"/>
  <c r="F4557" i="8"/>
  <c r="E4557" i="8"/>
  <c r="F4556" i="8"/>
  <c r="E4556" i="8"/>
  <c r="F4555" i="8"/>
  <c r="E4555" i="8"/>
  <c r="F4554" i="8"/>
  <c r="E4554" i="8"/>
  <c r="F4553" i="8"/>
  <c r="E4553" i="8"/>
  <c r="F4552" i="8"/>
  <c r="E4552" i="8"/>
  <c r="F4551" i="8"/>
  <c r="E4551" i="8"/>
  <c r="F4550" i="8"/>
  <c r="E4550" i="8"/>
  <c r="F4549" i="8"/>
  <c r="E4549" i="8"/>
  <c r="F4548" i="8"/>
  <c r="E4548" i="8"/>
  <c r="F4547" i="8"/>
  <c r="E4547" i="8"/>
  <c r="F4546" i="8"/>
  <c r="E4546" i="8"/>
  <c r="F4545" i="8"/>
  <c r="E4545" i="8"/>
  <c r="F4544" i="8"/>
  <c r="E4544" i="8"/>
  <c r="F4543" i="8"/>
  <c r="E4543" i="8"/>
  <c r="F4542" i="8"/>
  <c r="E4542" i="8"/>
  <c r="F4541" i="8"/>
  <c r="E4541" i="8"/>
  <c r="F4540" i="8"/>
  <c r="E4540" i="8"/>
  <c r="F4539" i="8"/>
  <c r="E4539" i="8"/>
  <c r="F4538" i="8"/>
  <c r="E4538" i="8"/>
  <c r="F4537" i="8"/>
  <c r="E4537" i="8"/>
  <c r="F4536" i="8"/>
  <c r="E4536" i="8"/>
  <c r="F4535" i="8"/>
  <c r="E4535" i="8"/>
  <c r="F4534" i="8"/>
  <c r="E4534" i="8"/>
  <c r="F4533" i="8"/>
  <c r="E4533" i="8"/>
  <c r="F4532" i="8"/>
  <c r="E4532" i="8"/>
  <c r="F4531" i="8"/>
  <c r="E4531" i="8"/>
  <c r="F4530" i="8"/>
  <c r="E4530" i="8"/>
  <c r="F4529" i="8"/>
  <c r="E4529" i="8"/>
  <c r="F4528" i="8"/>
  <c r="E4528" i="8"/>
  <c r="F4527" i="8"/>
  <c r="E4527" i="8"/>
  <c r="F4526" i="8"/>
  <c r="E4526" i="8"/>
  <c r="F4525" i="8"/>
  <c r="E4525" i="8"/>
  <c r="F4524" i="8"/>
  <c r="E4524" i="8"/>
  <c r="F4523" i="8"/>
  <c r="E4523" i="8"/>
  <c r="F4522" i="8"/>
  <c r="E4522" i="8"/>
  <c r="F4521" i="8"/>
  <c r="E4521" i="8"/>
  <c r="F4520" i="8"/>
  <c r="E4520" i="8"/>
  <c r="F4519" i="8"/>
  <c r="E4519" i="8"/>
  <c r="F4518" i="8"/>
  <c r="E4518" i="8"/>
  <c r="F4517" i="8"/>
  <c r="E4517" i="8"/>
  <c r="F4516" i="8"/>
  <c r="E4516" i="8"/>
  <c r="F4515" i="8"/>
  <c r="E4515" i="8"/>
  <c r="F4514" i="8"/>
  <c r="E4514" i="8"/>
  <c r="F4513" i="8"/>
  <c r="E4513" i="8"/>
  <c r="F4512" i="8"/>
  <c r="E4512" i="8"/>
  <c r="F4511" i="8"/>
  <c r="E4511" i="8"/>
  <c r="F4510" i="8"/>
  <c r="E4510" i="8"/>
  <c r="F4509" i="8"/>
  <c r="E4509" i="8"/>
  <c r="F4508" i="8"/>
  <c r="E4508" i="8"/>
  <c r="F4507" i="8"/>
  <c r="E4507" i="8"/>
  <c r="F4506" i="8"/>
  <c r="E4506" i="8"/>
  <c r="F4505" i="8"/>
  <c r="E4505" i="8"/>
  <c r="F4504" i="8"/>
  <c r="E4504" i="8"/>
  <c r="F4503" i="8"/>
  <c r="E4503" i="8"/>
  <c r="F4502" i="8"/>
  <c r="E4502" i="8"/>
  <c r="F4501" i="8"/>
  <c r="E4501" i="8"/>
  <c r="F4500" i="8"/>
  <c r="E4500" i="8"/>
  <c r="F4499" i="8"/>
  <c r="E4499" i="8"/>
  <c r="F4498" i="8"/>
  <c r="E4498" i="8"/>
  <c r="F4497" i="8"/>
  <c r="E4497" i="8"/>
  <c r="F4496" i="8"/>
  <c r="E4496" i="8"/>
  <c r="F4495" i="8"/>
  <c r="E4495" i="8"/>
  <c r="F4494" i="8"/>
  <c r="E4494" i="8"/>
  <c r="F4493" i="8"/>
  <c r="E4493" i="8"/>
  <c r="F4492" i="8"/>
  <c r="E4492" i="8"/>
  <c r="F4491" i="8"/>
  <c r="E4491" i="8"/>
  <c r="F4490" i="8"/>
  <c r="E4490" i="8"/>
  <c r="F4489" i="8"/>
  <c r="E4489" i="8"/>
  <c r="F4488" i="8"/>
  <c r="E4488" i="8"/>
  <c r="F4487" i="8"/>
  <c r="E4487" i="8"/>
  <c r="F4486" i="8"/>
  <c r="E4486" i="8"/>
  <c r="F4485" i="8"/>
  <c r="E4485" i="8"/>
  <c r="F4484" i="8"/>
  <c r="E4484" i="8"/>
  <c r="F4483" i="8"/>
  <c r="E4483" i="8"/>
  <c r="F4482" i="8"/>
  <c r="E4482" i="8"/>
  <c r="F4481" i="8"/>
  <c r="E4481" i="8"/>
  <c r="F4480" i="8"/>
  <c r="E4480" i="8"/>
  <c r="F4479" i="8"/>
  <c r="E4479" i="8"/>
  <c r="F4478" i="8"/>
  <c r="E4478" i="8"/>
  <c r="F4477" i="8"/>
  <c r="E4477" i="8"/>
  <c r="F4476" i="8"/>
  <c r="E4476" i="8"/>
  <c r="F4475" i="8"/>
  <c r="E4475" i="8"/>
  <c r="F4474" i="8"/>
  <c r="E4474" i="8"/>
  <c r="F4473" i="8"/>
  <c r="E4473" i="8"/>
  <c r="F4472" i="8"/>
  <c r="E4472" i="8"/>
  <c r="F4471" i="8"/>
  <c r="E4471" i="8"/>
  <c r="F4470" i="8"/>
  <c r="E4470" i="8"/>
  <c r="F4469" i="8"/>
  <c r="E4469" i="8"/>
  <c r="F4468" i="8"/>
  <c r="E4468" i="8"/>
  <c r="F4467" i="8"/>
  <c r="E4467" i="8"/>
  <c r="F4466" i="8"/>
  <c r="E4466" i="8"/>
  <c r="F4465" i="8"/>
  <c r="E4465" i="8"/>
  <c r="F4464" i="8"/>
  <c r="E4464" i="8"/>
  <c r="F4463" i="8"/>
  <c r="E4463" i="8"/>
  <c r="F4462" i="8"/>
  <c r="E4462" i="8"/>
  <c r="F4461" i="8"/>
  <c r="E4461" i="8"/>
  <c r="F4460" i="8"/>
  <c r="E4460" i="8"/>
  <c r="F4459" i="8"/>
  <c r="E4459" i="8"/>
  <c r="F4458" i="8"/>
  <c r="E4458" i="8"/>
  <c r="F4457" i="8"/>
  <c r="E4457" i="8"/>
  <c r="F4456" i="8"/>
  <c r="E4456" i="8"/>
  <c r="F4455" i="8"/>
  <c r="E4455" i="8"/>
  <c r="F4454" i="8"/>
  <c r="E4454" i="8"/>
  <c r="F4453" i="8"/>
  <c r="E4453" i="8"/>
  <c r="F4452" i="8"/>
  <c r="E4452" i="8"/>
  <c r="F4451" i="8"/>
  <c r="E4451" i="8"/>
  <c r="F4450" i="8"/>
  <c r="E4450" i="8"/>
  <c r="F4449" i="8"/>
  <c r="E4449" i="8"/>
  <c r="F4448" i="8"/>
  <c r="E4448" i="8"/>
  <c r="F4447" i="8"/>
  <c r="E4447" i="8"/>
  <c r="F4446" i="8"/>
  <c r="E4446" i="8"/>
  <c r="F4445" i="8"/>
  <c r="E4445" i="8"/>
  <c r="F4444" i="8"/>
  <c r="E4444" i="8"/>
  <c r="F4443" i="8"/>
  <c r="E4443" i="8"/>
  <c r="F4442" i="8"/>
  <c r="E4442" i="8"/>
  <c r="F4441" i="8"/>
  <c r="E4441" i="8"/>
  <c r="F4440" i="8"/>
  <c r="E4440" i="8"/>
  <c r="F4439" i="8"/>
  <c r="E4439" i="8"/>
  <c r="F4438" i="8"/>
  <c r="E4438" i="8"/>
  <c r="F4437" i="8"/>
  <c r="E4437" i="8"/>
  <c r="F4436" i="8"/>
  <c r="E4436" i="8"/>
  <c r="F4435" i="8"/>
  <c r="E4435" i="8"/>
  <c r="F4434" i="8"/>
  <c r="E4434" i="8"/>
  <c r="F4433" i="8"/>
  <c r="E4433" i="8"/>
  <c r="F4432" i="8"/>
  <c r="E4432" i="8"/>
  <c r="F4431" i="8"/>
  <c r="E4431" i="8"/>
  <c r="F4430" i="8"/>
  <c r="E4430" i="8"/>
  <c r="F4429" i="8"/>
  <c r="E4429" i="8"/>
  <c r="F4428" i="8"/>
  <c r="E4428" i="8"/>
  <c r="F4427" i="8"/>
  <c r="E4427" i="8"/>
  <c r="F4426" i="8"/>
  <c r="E4426" i="8"/>
  <c r="F4425" i="8"/>
  <c r="E4425" i="8"/>
  <c r="F4424" i="8"/>
  <c r="E4424" i="8"/>
  <c r="F4423" i="8"/>
  <c r="E4423" i="8"/>
  <c r="F4422" i="8"/>
  <c r="E4422" i="8"/>
  <c r="F4421" i="8"/>
  <c r="E4421" i="8"/>
  <c r="F4420" i="8"/>
  <c r="E4420" i="8"/>
  <c r="F4419" i="8"/>
  <c r="E4419" i="8"/>
  <c r="F4418" i="8"/>
  <c r="E4418" i="8"/>
  <c r="F4417" i="8"/>
  <c r="E4417" i="8"/>
  <c r="F4416" i="8"/>
  <c r="E4416" i="8"/>
  <c r="F4415" i="8"/>
  <c r="E4415" i="8"/>
  <c r="F4414" i="8"/>
  <c r="E4414" i="8"/>
  <c r="F4413" i="8"/>
  <c r="E4413" i="8"/>
  <c r="F4412" i="8"/>
  <c r="E4412" i="8"/>
  <c r="F4411" i="8"/>
  <c r="E4411" i="8"/>
  <c r="F4410" i="8"/>
  <c r="E4410" i="8"/>
  <c r="F4409" i="8"/>
  <c r="E4409" i="8"/>
  <c r="F4408" i="8"/>
  <c r="E4408" i="8"/>
  <c r="F4407" i="8"/>
  <c r="E4407" i="8"/>
  <c r="F4406" i="8"/>
  <c r="E4406" i="8"/>
  <c r="F4405" i="8"/>
  <c r="E4405" i="8"/>
  <c r="F4404" i="8"/>
  <c r="E4404" i="8"/>
  <c r="F4403" i="8"/>
  <c r="E4403" i="8"/>
  <c r="F4402" i="8"/>
  <c r="E4402" i="8"/>
  <c r="F4401" i="8"/>
  <c r="E4401" i="8"/>
  <c r="F4400" i="8"/>
  <c r="E4400" i="8"/>
  <c r="F4399" i="8"/>
  <c r="E4399" i="8"/>
  <c r="F4398" i="8"/>
  <c r="E4398" i="8"/>
  <c r="F4397" i="8"/>
  <c r="E4397" i="8"/>
  <c r="F4396" i="8"/>
  <c r="E4396" i="8"/>
  <c r="F4395" i="8"/>
  <c r="E4395" i="8"/>
  <c r="F4394" i="8"/>
  <c r="E4394" i="8"/>
  <c r="F4393" i="8"/>
  <c r="E4393" i="8"/>
  <c r="F4392" i="8"/>
  <c r="E4392" i="8"/>
  <c r="F4391" i="8"/>
  <c r="E4391" i="8"/>
  <c r="F4390" i="8"/>
  <c r="E4390" i="8"/>
  <c r="F4389" i="8"/>
  <c r="E4389" i="8"/>
  <c r="F4388" i="8"/>
  <c r="E4388" i="8"/>
  <c r="F4387" i="8"/>
  <c r="E4387" i="8"/>
  <c r="F4386" i="8"/>
  <c r="E4386" i="8"/>
  <c r="F4385" i="8"/>
  <c r="E4385" i="8"/>
  <c r="F4384" i="8"/>
  <c r="E4384" i="8"/>
  <c r="F4383" i="8"/>
  <c r="E4383" i="8"/>
  <c r="F4382" i="8"/>
  <c r="E4382" i="8"/>
  <c r="F4381" i="8"/>
  <c r="E4381" i="8"/>
  <c r="F4380" i="8"/>
  <c r="E4380" i="8"/>
  <c r="F4379" i="8"/>
  <c r="E4379" i="8"/>
  <c r="F4378" i="8"/>
  <c r="E4378" i="8"/>
  <c r="F4377" i="8"/>
  <c r="E4377" i="8"/>
  <c r="F4376" i="8"/>
  <c r="E4376" i="8"/>
  <c r="F4375" i="8"/>
  <c r="E4375" i="8"/>
  <c r="F4374" i="8"/>
  <c r="E4374" i="8"/>
  <c r="F4373" i="8"/>
  <c r="E4373" i="8"/>
  <c r="F4372" i="8"/>
  <c r="E4372" i="8"/>
  <c r="F4371" i="8"/>
  <c r="E4371" i="8"/>
  <c r="F4370" i="8"/>
  <c r="E4370" i="8"/>
  <c r="F4369" i="8"/>
  <c r="E4369" i="8"/>
  <c r="F4368" i="8"/>
  <c r="E4368" i="8"/>
  <c r="F4367" i="8"/>
  <c r="E4367" i="8"/>
  <c r="F4366" i="8"/>
  <c r="E4366" i="8"/>
  <c r="F4365" i="8"/>
  <c r="E4365" i="8"/>
  <c r="F4364" i="8"/>
  <c r="E4364" i="8"/>
  <c r="F4363" i="8"/>
  <c r="E4363" i="8"/>
  <c r="F4362" i="8"/>
  <c r="E4362" i="8"/>
  <c r="F4361" i="8"/>
  <c r="E4361" i="8"/>
  <c r="F4360" i="8"/>
  <c r="E4360" i="8"/>
  <c r="F4359" i="8"/>
  <c r="E4359" i="8"/>
  <c r="F4358" i="8"/>
  <c r="E4358" i="8"/>
  <c r="F4357" i="8"/>
  <c r="E4357" i="8"/>
  <c r="F4356" i="8"/>
  <c r="E4356" i="8"/>
  <c r="F4355" i="8"/>
  <c r="E4355" i="8"/>
  <c r="F4354" i="8"/>
  <c r="E4354" i="8"/>
  <c r="F4353" i="8"/>
  <c r="E4353" i="8"/>
  <c r="F4352" i="8"/>
  <c r="E4352" i="8"/>
  <c r="F4351" i="8"/>
  <c r="E4351" i="8"/>
  <c r="F4350" i="8"/>
  <c r="E4350" i="8"/>
  <c r="F4349" i="8"/>
  <c r="E4349" i="8"/>
  <c r="F4348" i="8"/>
  <c r="E4348" i="8"/>
  <c r="F4347" i="8"/>
  <c r="E4347" i="8"/>
  <c r="F4346" i="8"/>
  <c r="E4346" i="8"/>
  <c r="F4345" i="8"/>
  <c r="E4345" i="8"/>
  <c r="F4344" i="8"/>
  <c r="E4344" i="8"/>
  <c r="F4343" i="8"/>
  <c r="E4343" i="8"/>
  <c r="F4342" i="8"/>
  <c r="E4342" i="8"/>
  <c r="F4341" i="8"/>
  <c r="E4341" i="8"/>
  <c r="F4340" i="8"/>
  <c r="E4340" i="8"/>
  <c r="F4339" i="8"/>
  <c r="E4339" i="8"/>
  <c r="F4338" i="8"/>
  <c r="E4338" i="8"/>
  <c r="F4337" i="8"/>
  <c r="E4337" i="8"/>
  <c r="F4336" i="8"/>
  <c r="E4336" i="8"/>
  <c r="F4335" i="8"/>
  <c r="E4335" i="8"/>
  <c r="F4334" i="8"/>
  <c r="E4334" i="8"/>
  <c r="F4333" i="8"/>
  <c r="E4333" i="8"/>
  <c r="F4332" i="8"/>
  <c r="E4332" i="8"/>
  <c r="F4331" i="8"/>
  <c r="E4331" i="8"/>
  <c r="F4330" i="8"/>
  <c r="E4330" i="8"/>
  <c r="F4329" i="8"/>
  <c r="E4329" i="8"/>
  <c r="F4328" i="8"/>
  <c r="E4328" i="8"/>
  <c r="F4327" i="8"/>
  <c r="E4327" i="8"/>
  <c r="F4326" i="8"/>
  <c r="E4326" i="8"/>
  <c r="F4325" i="8"/>
  <c r="E4325" i="8"/>
  <c r="F4324" i="8"/>
  <c r="E4324" i="8"/>
  <c r="F4323" i="8"/>
  <c r="E4323" i="8"/>
  <c r="F4322" i="8"/>
  <c r="E4322" i="8"/>
  <c r="F4321" i="8"/>
  <c r="E4321" i="8"/>
  <c r="F4320" i="8"/>
  <c r="E4320" i="8"/>
  <c r="F4319" i="8"/>
  <c r="E4319" i="8"/>
  <c r="F4318" i="8"/>
  <c r="E4318" i="8"/>
  <c r="F4317" i="8"/>
  <c r="E4317" i="8"/>
  <c r="F4316" i="8"/>
  <c r="E4316" i="8"/>
  <c r="F4315" i="8"/>
  <c r="E4315" i="8"/>
  <c r="F4314" i="8"/>
  <c r="E4314" i="8"/>
  <c r="F4313" i="8"/>
  <c r="E4313" i="8"/>
  <c r="F4312" i="8"/>
  <c r="E4312" i="8"/>
  <c r="F4311" i="8"/>
  <c r="E4311" i="8"/>
  <c r="F4310" i="8"/>
  <c r="E4310" i="8"/>
  <c r="F4309" i="8"/>
  <c r="E4309" i="8"/>
  <c r="F4308" i="8"/>
  <c r="E4308" i="8"/>
  <c r="F4307" i="8"/>
  <c r="E4307" i="8"/>
  <c r="F4306" i="8"/>
  <c r="E4306" i="8"/>
  <c r="F4305" i="8"/>
  <c r="E4305" i="8"/>
  <c r="F4304" i="8"/>
  <c r="E4304" i="8"/>
  <c r="F4303" i="8"/>
  <c r="E4303" i="8"/>
  <c r="F4302" i="8"/>
  <c r="E4302" i="8"/>
  <c r="F4301" i="8"/>
  <c r="E4301" i="8"/>
  <c r="F4300" i="8"/>
  <c r="E4300" i="8"/>
  <c r="F4299" i="8"/>
  <c r="E4299" i="8"/>
  <c r="F4298" i="8"/>
  <c r="E4298" i="8"/>
  <c r="F4297" i="8"/>
  <c r="E4297" i="8"/>
  <c r="F4296" i="8"/>
  <c r="E4296" i="8"/>
  <c r="F4295" i="8"/>
  <c r="E4295" i="8"/>
  <c r="F4294" i="8"/>
  <c r="E4294" i="8"/>
  <c r="F4293" i="8"/>
  <c r="E4293" i="8"/>
  <c r="F4292" i="8"/>
  <c r="E4292" i="8"/>
  <c r="F4291" i="8"/>
  <c r="E4291" i="8"/>
  <c r="F4290" i="8"/>
  <c r="E4290" i="8"/>
  <c r="F4289" i="8"/>
  <c r="E4289" i="8"/>
  <c r="F4288" i="8"/>
  <c r="E4288" i="8"/>
  <c r="F4287" i="8"/>
  <c r="E4287" i="8"/>
  <c r="F4286" i="8"/>
  <c r="E4286" i="8"/>
  <c r="F4285" i="8"/>
  <c r="E4285" i="8"/>
  <c r="F4284" i="8"/>
  <c r="E4284" i="8"/>
  <c r="F4283" i="8"/>
  <c r="E4283" i="8"/>
  <c r="F4282" i="8"/>
  <c r="E4282" i="8"/>
  <c r="F4281" i="8"/>
  <c r="E4281" i="8"/>
  <c r="F4280" i="8"/>
  <c r="E4280" i="8"/>
  <c r="F4279" i="8"/>
  <c r="E4279" i="8"/>
  <c r="F4278" i="8"/>
  <c r="E4278" i="8"/>
  <c r="F4277" i="8"/>
  <c r="E4277" i="8"/>
  <c r="F4276" i="8"/>
  <c r="E4276" i="8"/>
  <c r="F4275" i="8"/>
  <c r="E4275" i="8"/>
  <c r="F4274" i="8"/>
  <c r="E4274" i="8"/>
  <c r="F4273" i="8"/>
  <c r="E4273" i="8"/>
  <c r="F4272" i="8"/>
  <c r="E4272" i="8"/>
  <c r="F4271" i="8"/>
  <c r="E4271" i="8"/>
  <c r="F4270" i="8"/>
  <c r="E4270" i="8"/>
  <c r="F4269" i="8"/>
  <c r="E4269" i="8"/>
  <c r="F4268" i="8"/>
  <c r="E4268" i="8"/>
  <c r="F4267" i="8"/>
  <c r="E4267" i="8"/>
  <c r="F4266" i="8"/>
  <c r="E4266" i="8"/>
  <c r="F4265" i="8"/>
  <c r="E4265" i="8"/>
  <c r="F4264" i="8"/>
  <c r="E4264" i="8"/>
  <c r="F4263" i="8"/>
  <c r="E4263" i="8"/>
  <c r="F4262" i="8"/>
  <c r="E4262" i="8"/>
  <c r="F4261" i="8"/>
  <c r="E4261" i="8"/>
  <c r="F4260" i="8"/>
  <c r="E4260" i="8"/>
  <c r="F4259" i="8"/>
  <c r="E4259" i="8"/>
  <c r="F4258" i="8"/>
  <c r="E4258" i="8"/>
  <c r="F4257" i="8"/>
  <c r="E4257" i="8"/>
  <c r="F4256" i="8"/>
  <c r="E4256" i="8"/>
  <c r="F4255" i="8"/>
  <c r="E4255" i="8"/>
  <c r="F4254" i="8"/>
  <c r="E4254" i="8"/>
  <c r="F4253" i="8"/>
  <c r="E4253" i="8"/>
  <c r="F4252" i="8"/>
  <c r="E4252" i="8"/>
  <c r="F4251" i="8"/>
  <c r="E4251" i="8"/>
  <c r="F4250" i="8"/>
  <c r="E4250" i="8"/>
  <c r="F4249" i="8"/>
  <c r="E4249" i="8"/>
  <c r="F4248" i="8"/>
  <c r="E4248" i="8"/>
  <c r="F4247" i="8"/>
  <c r="E4247" i="8"/>
  <c r="F4246" i="8"/>
  <c r="E4246" i="8"/>
  <c r="F4245" i="8"/>
  <c r="E4245" i="8"/>
  <c r="F4244" i="8"/>
  <c r="E4244" i="8"/>
  <c r="F4243" i="8"/>
  <c r="E4243" i="8"/>
  <c r="F4242" i="8"/>
  <c r="E4242" i="8"/>
  <c r="F4241" i="8"/>
  <c r="E4241" i="8"/>
  <c r="F4240" i="8"/>
  <c r="E4240" i="8"/>
  <c r="F4239" i="8"/>
  <c r="E4239" i="8"/>
  <c r="F4238" i="8"/>
  <c r="E4238" i="8"/>
  <c r="F4237" i="8"/>
  <c r="E4237" i="8"/>
  <c r="F4236" i="8"/>
  <c r="E4236" i="8"/>
  <c r="F4235" i="8"/>
  <c r="E4235" i="8"/>
  <c r="F4234" i="8"/>
  <c r="E4234" i="8"/>
  <c r="F4233" i="8"/>
  <c r="E4233" i="8"/>
  <c r="F4232" i="8"/>
  <c r="E4232" i="8"/>
  <c r="F4231" i="8"/>
  <c r="E4231" i="8"/>
  <c r="F4230" i="8"/>
  <c r="E4230" i="8"/>
  <c r="F4229" i="8"/>
  <c r="E4229" i="8"/>
  <c r="F4228" i="8"/>
  <c r="E4228" i="8"/>
  <c r="F4227" i="8"/>
  <c r="E4227" i="8"/>
  <c r="F4226" i="8"/>
  <c r="E4226" i="8"/>
  <c r="F4225" i="8"/>
  <c r="E4225" i="8"/>
  <c r="F4224" i="8"/>
  <c r="E4224" i="8"/>
  <c r="F4223" i="8"/>
  <c r="E4223" i="8"/>
  <c r="F4222" i="8"/>
  <c r="E4222" i="8"/>
  <c r="F4221" i="8"/>
  <c r="E4221" i="8"/>
  <c r="F4220" i="8"/>
  <c r="E4220" i="8"/>
  <c r="F4219" i="8"/>
  <c r="E4219" i="8"/>
  <c r="F4218" i="8"/>
  <c r="E4218" i="8"/>
  <c r="F4217" i="8"/>
  <c r="E4217" i="8"/>
  <c r="F4216" i="8"/>
  <c r="E4216" i="8"/>
  <c r="F4215" i="8"/>
  <c r="E4215" i="8"/>
  <c r="F4214" i="8"/>
  <c r="E4214" i="8"/>
  <c r="F4213" i="8"/>
  <c r="E4213" i="8"/>
  <c r="F4212" i="8"/>
  <c r="E4212" i="8"/>
  <c r="F4211" i="8"/>
  <c r="E4211" i="8"/>
  <c r="F4210" i="8"/>
  <c r="E4210" i="8"/>
  <c r="F4209" i="8"/>
  <c r="E4209" i="8"/>
  <c r="F4208" i="8"/>
  <c r="E4208" i="8"/>
  <c r="F4207" i="8"/>
  <c r="E4207" i="8"/>
  <c r="F4206" i="8"/>
  <c r="E4206" i="8"/>
  <c r="F4205" i="8"/>
  <c r="E4205" i="8"/>
  <c r="F4204" i="8"/>
  <c r="E4204" i="8"/>
  <c r="F4203" i="8"/>
  <c r="E4203" i="8"/>
  <c r="F4202" i="8"/>
  <c r="E4202" i="8"/>
  <c r="F4201" i="8"/>
  <c r="E4201" i="8"/>
  <c r="F4200" i="8"/>
  <c r="E4200" i="8"/>
  <c r="F4199" i="8"/>
  <c r="E4199" i="8"/>
  <c r="F4198" i="8"/>
  <c r="E4198" i="8"/>
  <c r="F4197" i="8"/>
  <c r="E4197" i="8"/>
  <c r="F4196" i="8"/>
  <c r="E4196" i="8"/>
  <c r="F4195" i="8"/>
  <c r="E4195" i="8"/>
  <c r="F4194" i="8"/>
  <c r="E4194" i="8"/>
  <c r="F4193" i="8"/>
  <c r="E4193" i="8"/>
  <c r="F4192" i="8"/>
  <c r="E4192" i="8"/>
  <c r="F4191" i="8"/>
  <c r="E4191" i="8"/>
  <c r="F4190" i="8"/>
  <c r="E4190" i="8"/>
  <c r="F4189" i="8"/>
  <c r="E4189" i="8"/>
  <c r="F4188" i="8"/>
  <c r="E4188" i="8"/>
  <c r="F4187" i="8"/>
  <c r="E4187" i="8"/>
  <c r="F4186" i="8"/>
  <c r="E4186" i="8"/>
  <c r="F4185" i="8"/>
  <c r="E4185" i="8"/>
  <c r="F4184" i="8"/>
  <c r="E4184" i="8"/>
  <c r="F4183" i="8"/>
  <c r="E4183" i="8"/>
  <c r="F4182" i="8"/>
  <c r="E4182" i="8"/>
  <c r="F4181" i="8"/>
  <c r="E4181" i="8"/>
  <c r="F4180" i="8"/>
  <c r="E4180" i="8"/>
  <c r="F4179" i="8"/>
  <c r="E4179" i="8"/>
  <c r="F4178" i="8"/>
  <c r="E4178" i="8"/>
  <c r="F4177" i="8"/>
  <c r="E4177" i="8"/>
  <c r="F4176" i="8"/>
  <c r="E4176" i="8"/>
  <c r="F4175" i="8"/>
  <c r="E4175" i="8"/>
  <c r="F4174" i="8"/>
  <c r="E4174" i="8"/>
  <c r="F4173" i="8"/>
  <c r="E4173" i="8"/>
  <c r="F4172" i="8"/>
  <c r="E4172" i="8"/>
  <c r="F4171" i="8"/>
  <c r="E4171" i="8"/>
  <c r="F4170" i="8"/>
  <c r="E4170" i="8"/>
  <c r="F4169" i="8"/>
  <c r="E4169" i="8"/>
  <c r="F4168" i="8"/>
  <c r="E4168" i="8"/>
  <c r="F4167" i="8"/>
  <c r="E4167" i="8"/>
  <c r="F4166" i="8"/>
  <c r="E4166" i="8"/>
  <c r="F4165" i="8"/>
  <c r="E4165" i="8"/>
  <c r="F4164" i="8"/>
  <c r="E4164" i="8"/>
  <c r="F4163" i="8"/>
  <c r="E4163" i="8"/>
  <c r="F4162" i="8"/>
  <c r="E4162" i="8"/>
  <c r="F4161" i="8"/>
  <c r="E4161" i="8"/>
  <c r="F4160" i="8"/>
  <c r="E4160" i="8"/>
  <c r="F4159" i="8"/>
  <c r="E4159" i="8"/>
  <c r="F4158" i="8"/>
  <c r="E4158" i="8"/>
  <c r="F4157" i="8"/>
  <c r="E4157" i="8"/>
  <c r="F4156" i="8"/>
  <c r="E4156" i="8"/>
  <c r="F4155" i="8"/>
  <c r="E4155" i="8"/>
  <c r="F4154" i="8"/>
  <c r="E4154" i="8"/>
  <c r="F4153" i="8"/>
  <c r="E4153" i="8"/>
  <c r="F4152" i="8"/>
  <c r="E4152" i="8"/>
  <c r="F4151" i="8"/>
  <c r="E4151" i="8"/>
  <c r="F4150" i="8"/>
  <c r="E4150" i="8"/>
  <c r="F4149" i="8"/>
  <c r="E4149" i="8"/>
  <c r="F4148" i="8"/>
  <c r="E4148" i="8"/>
  <c r="F4147" i="8"/>
  <c r="E4147" i="8"/>
  <c r="F4146" i="8"/>
  <c r="E4146" i="8"/>
  <c r="F4145" i="8"/>
  <c r="E4145" i="8"/>
  <c r="F4144" i="8"/>
  <c r="E4144" i="8"/>
  <c r="F4143" i="8"/>
  <c r="E4143" i="8"/>
  <c r="F4142" i="8"/>
  <c r="E4142" i="8"/>
  <c r="F4141" i="8"/>
  <c r="E4141" i="8"/>
  <c r="F4140" i="8"/>
  <c r="E4140" i="8"/>
  <c r="F4139" i="8"/>
  <c r="E4139" i="8"/>
  <c r="F4138" i="8"/>
  <c r="E4138" i="8"/>
  <c r="F4137" i="8"/>
  <c r="E4137" i="8"/>
  <c r="F4136" i="8"/>
  <c r="E4136" i="8"/>
  <c r="F4135" i="8"/>
  <c r="E4135" i="8"/>
  <c r="F4134" i="8"/>
  <c r="E4134" i="8"/>
  <c r="F4133" i="8"/>
  <c r="E4133" i="8"/>
  <c r="F4132" i="8"/>
  <c r="E4132" i="8"/>
  <c r="F4131" i="8"/>
  <c r="E4131" i="8"/>
  <c r="F4130" i="8"/>
  <c r="E4130" i="8"/>
  <c r="F4129" i="8"/>
  <c r="E4129" i="8"/>
  <c r="F4128" i="8"/>
  <c r="E4128" i="8"/>
  <c r="F4127" i="8"/>
  <c r="E4127" i="8"/>
  <c r="F4126" i="8"/>
  <c r="E4126" i="8"/>
  <c r="F4125" i="8"/>
  <c r="E4125" i="8"/>
  <c r="F4124" i="8"/>
  <c r="E4124" i="8"/>
  <c r="F4123" i="8"/>
  <c r="E4123" i="8"/>
  <c r="F4122" i="8"/>
  <c r="E4122" i="8"/>
  <c r="F4121" i="8"/>
  <c r="E4121" i="8"/>
  <c r="F4120" i="8"/>
  <c r="E4120" i="8"/>
  <c r="F4119" i="8"/>
  <c r="E4119" i="8"/>
  <c r="F4118" i="8"/>
  <c r="E4118" i="8"/>
  <c r="F4117" i="8"/>
  <c r="E4117" i="8"/>
  <c r="F4116" i="8"/>
  <c r="E4116" i="8"/>
  <c r="F4115" i="8"/>
  <c r="E4115" i="8"/>
  <c r="F4114" i="8"/>
  <c r="E4114" i="8"/>
  <c r="F4113" i="8"/>
  <c r="E4113" i="8"/>
  <c r="F4112" i="8"/>
  <c r="E4112" i="8"/>
  <c r="F4111" i="8"/>
  <c r="E4111" i="8"/>
  <c r="F4110" i="8"/>
  <c r="E4110" i="8"/>
  <c r="F4109" i="8"/>
  <c r="E4109" i="8"/>
  <c r="F4108" i="8"/>
  <c r="E4108" i="8"/>
  <c r="F4107" i="8"/>
  <c r="E4107" i="8"/>
  <c r="F4106" i="8"/>
  <c r="E4106" i="8"/>
  <c r="F4105" i="8"/>
  <c r="E4105" i="8"/>
  <c r="F4104" i="8"/>
  <c r="E4104" i="8"/>
  <c r="F4103" i="8"/>
  <c r="E4103" i="8"/>
  <c r="F4102" i="8"/>
  <c r="E4102" i="8"/>
  <c r="F4101" i="8"/>
  <c r="E4101" i="8"/>
  <c r="F4100" i="8"/>
  <c r="E4100" i="8"/>
  <c r="F4099" i="8"/>
  <c r="E4099" i="8"/>
  <c r="F4098" i="8"/>
  <c r="E4098" i="8"/>
  <c r="F4097" i="8"/>
  <c r="E4097" i="8"/>
  <c r="F4096" i="8"/>
  <c r="E4096" i="8"/>
  <c r="F4095" i="8"/>
  <c r="E4095" i="8"/>
  <c r="F4094" i="8"/>
  <c r="E4094" i="8"/>
  <c r="F4093" i="8"/>
  <c r="E4093" i="8"/>
  <c r="F4092" i="8"/>
  <c r="E4092" i="8"/>
  <c r="F4091" i="8"/>
  <c r="E4091" i="8"/>
  <c r="F4090" i="8"/>
  <c r="E4090" i="8"/>
  <c r="F4089" i="8"/>
  <c r="E4089" i="8"/>
  <c r="F4088" i="8"/>
  <c r="E4088" i="8"/>
  <c r="F4087" i="8"/>
  <c r="E4087" i="8"/>
  <c r="F4086" i="8"/>
  <c r="E4086" i="8"/>
  <c r="F4085" i="8"/>
  <c r="E4085" i="8"/>
  <c r="F4084" i="8"/>
  <c r="E4084" i="8"/>
  <c r="F4083" i="8"/>
  <c r="E4083" i="8"/>
  <c r="F4082" i="8"/>
  <c r="E4082" i="8"/>
  <c r="F4081" i="8"/>
  <c r="E4081" i="8"/>
  <c r="F4080" i="8"/>
  <c r="E4080" i="8"/>
  <c r="F4079" i="8"/>
  <c r="E4079" i="8"/>
  <c r="F4078" i="8"/>
  <c r="E4078" i="8"/>
  <c r="F4077" i="8"/>
  <c r="E4077" i="8"/>
  <c r="F4076" i="8"/>
  <c r="E4076" i="8"/>
  <c r="F4075" i="8"/>
  <c r="E4075" i="8"/>
  <c r="F4074" i="8"/>
  <c r="E4074" i="8"/>
  <c r="F4073" i="8"/>
  <c r="E4073" i="8"/>
  <c r="F4072" i="8"/>
  <c r="E4072" i="8"/>
  <c r="F4071" i="8"/>
  <c r="E4071" i="8"/>
  <c r="F4070" i="8"/>
  <c r="E4070" i="8"/>
  <c r="F4069" i="8"/>
  <c r="E4069" i="8"/>
  <c r="F4068" i="8"/>
  <c r="E4068" i="8"/>
  <c r="F4067" i="8"/>
  <c r="E4067" i="8"/>
  <c r="F4066" i="8"/>
  <c r="E4066" i="8"/>
  <c r="F4065" i="8"/>
  <c r="E4065" i="8"/>
  <c r="F4064" i="8"/>
  <c r="E4064" i="8"/>
  <c r="F4063" i="8"/>
  <c r="E4063" i="8"/>
  <c r="F4062" i="8"/>
  <c r="E4062" i="8"/>
  <c r="F4061" i="8"/>
  <c r="E4061" i="8"/>
  <c r="F4060" i="8"/>
  <c r="E4060" i="8"/>
  <c r="F4059" i="8"/>
  <c r="E4059" i="8"/>
  <c r="F4058" i="8"/>
  <c r="E4058" i="8"/>
  <c r="F4057" i="8"/>
  <c r="E4057" i="8"/>
  <c r="F4056" i="8"/>
  <c r="E4056" i="8"/>
  <c r="F4055" i="8"/>
  <c r="E4055" i="8"/>
  <c r="F4054" i="8"/>
  <c r="E4054" i="8"/>
  <c r="F4053" i="8"/>
  <c r="E4053" i="8"/>
  <c r="F4052" i="8"/>
  <c r="E4052" i="8"/>
  <c r="F4051" i="8"/>
  <c r="E4051" i="8"/>
  <c r="F4050" i="8"/>
  <c r="E4050" i="8"/>
  <c r="F4049" i="8"/>
  <c r="E4049" i="8"/>
  <c r="F4048" i="8"/>
  <c r="E4048" i="8"/>
  <c r="F4047" i="8"/>
  <c r="E4047" i="8"/>
  <c r="F4046" i="8"/>
  <c r="E4046" i="8"/>
  <c r="F4045" i="8"/>
  <c r="E4045" i="8"/>
  <c r="F4044" i="8"/>
  <c r="E4044" i="8"/>
  <c r="F4043" i="8"/>
  <c r="E4043" i="8"/>
  <c r="F4042" i="8"/>
  <c r="E4042" i="8"/>
  <c r="F4041" i="8"/>
  <c r="E4041" i="8"/>
  <c r="F4040" i="8"/>
  <c r="E4040" i="8"/>
  <c r="F4039" i="8"/>
  <c r="E4039" i="8"/>
  <c r="F4038" i="8"/>
  <c r="E4038" i="8"/>
  <c r="F4037" i="8"/>
  <c r="E4037" i="8"/>
  <c r="F4036" i="8"/>
  <c r="E4036" i="8"/>
  <c r="F4035" i="8"/>
  <c r="E4035" i="8"/>
  <c r="F4034" i="8"/>
  <c r="E4034" i="8"/>
  <c r="F4033" i="8"/>
  <c r="E4033" i="8"/>
  <c r="F4032" i="8"/>
  <c r="E4032" i="8"/>
  <c r="F4031" i="8"/>
  <c r="E4031" i="8"/>
  <c r="F4030" i="8"/>
  <c r="E4030" i="8"/>
  <c r="F4029" i="8"/>
  <c r="E4029" i="8"/>
  <c r="F4028" i="8"/>
  <c r="E4028" i="8"/>
  <c r="F4027" i="8"/>
  <c r="E4027" i="8"/>
  <c r="F4026" i="8"/>
  <c r="E4026" i="8"/>
  <c r="F4025" i="8"/>
  <c r="E4025" i="8"/>
  <c r="F4024" i="8"/>
  <c r="E4024" i="8"/>
  <c r="F4023" i="8"/>
  <c r="E4023" i="8"/>
  <c r="F4022" i="8"/>
  <c r="E4022" i="8"/>
  <c r="F4021" i="8"/>
  <c r="E4021" i="8"/>
  <c r="F4020" i="8"/>
  <c r="E4020" i="8"/>
  <c r="F4019" i="8"/>
  <c r="E4019" i="8"/>
  <c r="F4018" i="8"/>
  <c r="E4018" i="8"/>
  <c r="F4017" i="8"/>
  <c r="E4017" i="8"/>
  <c r="F4016" i="8"/>
  <c r="E4016" i="8"/>
  <c r="F4015" i="8"/>
  <c r="E4015" i="8"/>
  <c r="F4014" i="8"/>
  <c r="E4014" i="8"/>
  <c r="F4013" i="8"/>
  <c r="E4013" i="8"/>
  <c r="F4012" i="8"/>
  <c r="E4012" i="8"/>
  <c r="F4011" i="8"/>
  <c r="E4011" i="8"/>
  <c r="F4010" i="8"/>
  <c r="E4010" i="8"/>
  <c r="F4009" i="8"/>
  <c r="E4009" i="8"/>
  <c r="F4008" i="8"/>
  <c r="E4008" i="8"/>
  <c r="F4007" i="8"/>
  <c r="E4007" i="8"/>
  <c r="F4006" i="8"/>
  <c r="E4006" i="8"/>
  <c r="F4005" i="8"/>
  <c r="E4005" i="8"/>
  <c r="F4004" i="8"/>
  <c r="E4004" i="8"/>
  <c r="F4003" i="8"/>
  <c r="E4003" i="8"/>
  <c r="F4002" i="8"/>
  <c r="E4002" i="8"/>
  <c r="F4001" i="8"/>
  <c r="E4001" i="8"/>
  <c r="F4000" i="8"/>
  <c r="E4000" i="8"/>
  <c r="F3999" i="8"/>
  <c r="E3999" i="8"/>
  <c r="F3998" i="8"/>
  <c r="E3998" i="8"/>
  <c r="F3997" i="8"/>
  <c r="E3997" i="8"/>
  <c r="F3996" i="8"/>
  <c r="E3996" i="8"/>
  <c r="F3995" i="8"/>
  <c r="E3995" i="8"/>
  <c r="F3994" i="8"/>
  <c r="E3994" i="8"/>
  <c r="F3993" i="8"/>
  <c r="E3993" i="8"/>
  <c r="F3992" i="8"/>
  <c r="E3992" i="8"/>
  <c r="F3991" i="8"/>
  <c r="E3991" i="8"/>
  <c r="F3990" i="8"/>
  <c r="E3990" i="8"/>
  <c r="F3989" i="8"/>
  <c r="E3989" i="8"/>
  <c r="F3988" i="8"/>
  <c r="E3988" i="8"/>
  <c r="F3987" i="8"/>
  <c r="E3987" i="8"/>
  <c r="F3986" i="8"/>
  <c r="E3986" i="8"/>
  <c r="F3985" i="8"/>
  <c r="E3985" i="8"/>
  <c r="F3984" i="8"/>
  <c r="E3984" i="8"/>
  <c r="F3983" i="8"/>
  <c r="E3983" i="8"/>
  <c r="F3982" i="8"/>
  <c r="E3982" i="8"/>
  <c r="F3981" i="8"/>
  <c r="E3981" i="8"/>
  <c r="F3980" i="8"/>
  <c r="E3980" i="8"/>
  <c r="F3979" i="8"/>
  <c r="E3979" i="8"/>
  <c r="F3978" i="8"/>
  <c r="E3978" i="8"/>
  <c r="F3977" i="8"/>
  <c r="E3977" i="8"/>
  <c r="F3976" i="8"/>
  <c r="E3976" i="8"/>
  <c r="F3975" i="8"/>
  <c r="E3975" i="8"/>
  <c r="F3974" i="8"/>
  <c r="E3974" i="8"/>
  <c r="F3973" i="8"/>
  <c r="E3973" i="8"/>
  <c r="F3972" i="8"/>
  <c r="E3972" i="8"/>
  <c r="F3971" i="8"/>
  <c r="E3971" i="8"/>
  <c r="F3970" i="8"/>
  <c r="E3970" i="8"/>
  <c r="F3969" i="8"/>
  <c r="E3969" i="8"/>
  <c r="F3968" i="8"/>
  <c r="E3968" i="8"/>
  <c r="F3967" i="8"/>
  <c r="E3967" i="8"/>
  <c r="F3966" i="8"/>
  <c r="E3966" i="8"/>
  <c r="F3965" i="8"/>
  <c r="E3965" i="8"/>
  <c r="F3964" i="8"/>
  <c r="E3964" i="8"/>
  <c r="F3963" i="8"/>
  <c r="E3963" i="8"/>
  <c r="F3962" i="8"/>
  <c r="E3962" i="8"/>
  <c r="F3961" i="8"/>
  <c r="E3961" i="8"/>
  <c r="F3960" i="8"/>
  <c r="E3960" i="8"/>
  <c r="F3959" i="8"/>
  <c r="E3959" i="8"/>
  <c r="F3958" i="8"/>
  <c r="E3958" i="8"/>
  <c r="F3957" i="8"/>
  <c r="E3957" i="8"/>
  <c r="F3956" i="8"/>
  <c r="E3956" i="8"/>
  <c r="F3955" i="8"/>
  <c r="E3955" i="8"/>
  <c r="F3954" i="8"/>
  <c r="E3954" i="8"/>
  <c r="F3953" i="8"/>
  <c r="E3953" i="8"/>
  <c r="F3952" i="8"/>
  <c r="E3952" i="8"/>
  <c r="F3951" i="8"/>
  <c r="E3951" i="8"/>
  <c r="F3950" i="8"/>
  <c r="E3950" i="8"/>
  <c r="F3949" i="8"/>
  <c r="E3949" i="8"/>
  <c r="F3948" i="8"/>
  <c r="E3948" i="8"/>
  <c r="F3947" i="8"/>
  <c r="E3947" i="8"/>
  <c r="F3946" i="8"/>
  <c r="E3946" i="8"/>
  <c r="F3945" i="8"/>
  <c r="E3945" i="8"/>
  <c r="F3944" i="8"/>
  <c r="E3944" i="8"/>
  <c r="F3943" i="8"/>
  <c r="E3943" i="8"/>
  <c r="F3942" i="8"/>
  <c r="E3942" i="8"/>
  <c r="F3941" i="8"/>
  <c r="E3941" i="8"/>
  <c r="F3940" i="8"/>
  <c r="E3940" i="8"/>
  <c r="F3939" i="8"/>
  <c r="E3939" i="8"/>
  <c r="F3938" i="8"/>
  <c r="E3938" i="8"/>
  <c r="F3937" i="8"/>
  <c r="E3937" i="8"/>
  <c r="F3936" i="8"/>
  <c r="E3936" i="8"/>
  <c r="F3935" i="8"/>
  <c r="E3935" i="8"/>
  <c r="F3934" i="8"/>
  <c r="E3934" i="8"/>
  <c r="F3933" i="8"/>
  <c r="E3933" i="8"/>
  <c r="F3932" i="8"/>
  <c r="E3932" i="8"/>
  <c r="F3931" i="8"/>
  <c r="E3931" i="8"/>
  <c r="F3930" i="8"/>
  <c r="E3930" i="8"/>
  <c r="F3929" i="8"/>
  <c r="E3929" i="8"/>
  <c r="F3928" i="8"/>
  <c r="E3928" i="8"/>
  <c r="F3927" i="8"/>
  <c r="E3927" i="8"/>
  <c r="F3926" i="8"/>
  <c r="E3926" i="8"/>
  <c r="F3925" i="8"/>
  <c r="E3925" i="8"/>
  <c r="F3924" i="8"/>
  <c r="E3924" i="8"/>
  <c r="F3923" i="8"/>
  <c r="E3923" i="8"/>
  <c r="F3922" i="8"/>
  <c r="E3922" i="8"/>
  <c r="F3921" i="8"/>
  <c r="E3921" i="8"/>
  <c r="F3920" i="8"/>
  <c r="E3920" i="8"/>
  <c r="F3919" i="8"/>
  <c r="E3919" i="8"/>
  <c r="F3918" i="8"/>
  <c r="E3918" i="8"/>
  <c r="F3917" i="8"/>
  <c r="E3917" i="8"/>
  <c r="F3916" i="8"/>
  <c r="E3916" i="8"/>
  <c r="F3915" i="8"/>
  <c r="E3915" i="8"/>
  <c r="F3914" i="8"/>
  <c r="E3914" i="8"/>
  <c r="F3913" i="8"/>
  <c r="E3913" i="8"/>
  <c r="F3912" i="8"/>
  <c r="E3912" i="8"/>
  <c r="F3911" i="8"/>
  <c r="E3911" i="8"/>
  <c r="F3910" i="8"/>
  <c r="E3910" i="8"/>
  <c r="F3909" i="8"/>
  <c r="E3909" i="8"/>
  <c r="F3908" i="8"/>
  <c r="E3908" i="8"/>
  <c r="F3907" i="8"/>
  <c r="E3907" i="8"/>
  <c r="F3906" i="8"/>
  <c r="E3906" i="8"/>
  <c r="F3905" i="8"/>
  <c r="E3905" i="8"/>
  <c r="F3904" i="8"/>
  <c r="E3904" i="8"/>
  <c r="F3903" i="8"/>
  <c r="E3903" i="8"/>
  <c r="F3902" i="8"/>
  <c r="E3902" i="8"/>
  <c r="F3901" i="8"/>
  <c r="E3901" i="8"/>
  <c r="F3900" i="8"/>
  <c r="E3900" i="8"/>
  <c r="F3899" i="8"/>
  <c r="E3899" i="8"/>
  <c r="F3898" i="8"/>
  <c r="E3898" i="8"/>
  <c r="F3897" i="8"/>
  <c r="E3897" i="8"/>
  <c r="F3896" i="8"/>
  <c r="E3896" i="8"/>
  <c r="F3895" i="8"/>
  <c r="E3895" i="8"/>
  <c r="F3894" i="8"/>
  <c r="E3894" i="8"/>
  <c r="F3893" i="8"/>
  <c r="E3893" i="8"/>
  <c r="F3892" i="8"/>
  <c r="E3892" i="8"/>
  <c r="F3891" i="8"/>
  <c r="E3891" i="8"/>
  <c r="F3890" i="8"/>
  <c r="E3890" i="8"/>
  <c r="F3889" i="8"/>
  <c r="E3889" i="8"/>
  <c r="F3888" i="8"/>
  <c r="E3888" i="8"/>
  <c r="F3887" i="8"/>
  <c r="E3887" i="8"/>
  <c r="F3886" i="8"/>
  <c r="E3886" i="8"/>
  <c r="F3885" i="8"/>
  <c r="E3885" i="8"/>
  <c r="F3884" i="8"/>
  <c r="E3884" i="8"/>
  <c r="F3883" i="8"/>
  <c r="E3883" i="8"/>
  <c r="F3882" i="8"/>
  <c r="E3882" i="8"/>
  <c r="F3881" i="8"/>
  <c r="E3881" i="8"/>
  <c r="F3880" i="8"/>
  <c r="E3880" i="8"/>
  <c r="F3879" i="8"/>
  <c r="E3879" i="8"/>
  <c r="F3878" i="8"/>
  <c r="E3878" i="8"/>
  <c r="F3877" i="8"/>
  <c r="E3877" i="8"/>
  <c r="F3876" i="8"/>
  <c r="E3876" i="8"/>
  <c r="F3875" i="8"/>
  <c r="E3875" i="8"/>
  <c r="F3874" i="8"/>
  <c r="E3874" i="8"/>
  <c r="F3873" i="8"/>
  <c r="E3873" i="8"/>
  <c r="F3872" i="8"/>
  <c r="E3872" i="8"/>
  <c r="F3871" i="8"/>
  <c r="E3871" i="8"/>
  <c r="F3870" i="8"/>
  <c r="E3870" i="8"/>
  <c r="F3869" i="8"/>
  <c r="E3869" i="8"/>
  <c r="F3868" i="8"/>
  <c r="E3868" i="8"/>
  <c r="F3867" i="8"/>
  <c r="E3867" i="8"/>
  <c r="F3866" i="8"/>
  <c r="E3866" i="8"/>
  <c r="F3865" i="8"/>
  <c r="E3865" i="8"/>
  <c r="F3864" i="8"/>
  <c r="E3864" i="8"/>
  <c r="F3863" i="8"/>
  <c r="E3863" i="8"/>
  <c r="F3862" i="8"/>
  <c r="E3862" i="8"/>
  <c r="F3861" i="8"/>
  <c r="E3861" i="8"/>
  <c r="F3860" i="8"/>
  <c r="E3860" i="8"/>
  <c r="F3859" i="8"/>
  <c r="E3859" i="8"/>
  <c r="F3858" i="8"/>
  <c r="E3858" i="8"/>
  <c r="F3857" i="8"/>
  <c r="E3857" i="8"/>
  <c r="F3856" i="8"/>
  <c r="E3856" i="8"/>
  <c r="F3855" i="8"/>
  <c r="E3855" i="8"/>
  <c r="F3854" i="8"/>
  <c r="E3854" i="8"/>
  <c r="F3853" i="8"/>
  <c r="E3853" i="8"/>
  <c r="F3852" i="8"/>
  <c r="E3852" i="8"/>
  <c r="F3851" i="8"/>
  <c r="E3851" i="8"/>
  <c r="F3850" i="8"/>
  <c r="E3850" i="8"/>
  <c r="F3849" i="8"/>
  <c r="E3849" i="8"/>
  <c r="F3848" i="8"/>
  <c r="E3848" i="8"/>
  <c r="F3847" i="8"/>
  <c r="E3847" i="8"/>
  <c r="F3846" i="8"/>
  <c r="E3846" i="8"/>
  <c r="F3845" i="8"/>
  <c r="E3845" i="8"/>
  <c r="F3844" i="8"/>
  <c r="E3844" i="8"/>
  <c r="F3843" i="8"/>
  <c r="E3843" i="8"/>
  <c r="F3842" i="8"/>
  <c r="E3842" i="8"/>
  <c r="F3841" i="8"/>
  <c r="E3841" i="8"/>
  <c r="F3840" i="8"/>
  <c r="E3840" i="8"/>
  <c r="F3839" i="8"/>
  <c r="E3839" i="8"/>
  <c r="F3838" i="8"/>
  <c r="E3838" i="8"/>
  <c r="F3837" i="8"/>
  <c r="E3837" i="8"/>
  <c r="F3836" i="8"/>
  <c r="E3836" i="8"/>
  <c r="F3835" i="8"/>
  <c r="E3835" i="8"/>
  <c r="F3834" i="8"/>
  <c r="E3834" i="8"/>
  <c r="F3833" i="8"/>
  <c r="E3833" i="8"/>
  <c r="F3832" i="8"/>
  <c r="E3832" i="8"/>
  <c r="F3831" i="8"/>
  <c r="E3831" i="8"/>
  <c r="F3830" i="8"/>
  <c r="E3830" i="8"/>
  <c r="F3829" i="8"/>
  <c r="E3829" i="8"/>
  <c r="F3828" i="8"/>
  <c r="E3828" i="8"/>
  <c r="F3827" i="8"/>
  <c r="E3827" i="8"/>
  <c r="F3826" i="8"/>
  <c r="E3826" i="8"/>
  <c r="F3825" i="8"/>
  <c r="E3825" i="8"/>
  <c r="F3824" i="8"/>
  <c r="E3824" i="8"/>
  <c r="F3823" i="8"/>
  <c r="E3823" i="8"/>
  <c r="F3822" i="8"/>
  <c r="E3822" i="8"/>
  <c r="F3821" i="8"/>
  <c r="E3821" i="8"/>
  <c r="F3820" i="8"/>
  <c r="E3820" i="8"/>
  <c r="F3819" i="8"/>
  <c r="E3819" i="8"/>
  <c r="F3818" i="8"/>
  <c r="E3818" i="8"/>
  <c r="F3817" i="8"/>
  <c r="E3817" i="8"/>
  <c r="F3816" i="8"/>
  <c r="E3816" i="8"/>
  <c r="F3815" i="8"/>
  <c r="E3815" i="8"/>
  <c r="F3814" i="8"/>
  <c r="E3814" i="8"/>
  <c r="F3813" i="8"/>
  <c r="E3813" i="8"/>
  <c r="F3812" i="8"/>
  <c r="E3812" i="8"/>
  <c r="F3811" i="8"/>
  <c r="E3811" i="8"/>
  <c r="F3810" i="8"/>
  <c r="E3810" i="8"/>
  <c r="F3809" i="8"/>
  <c r="E3809" i="8"/>
  <c r="F3808" i="8"/>
  <c r="E3808" i="8"/>
  <c r="F3807" i="8"/>
  <c r="E3807" i="8"/>
  <c r="F3806" i="8"/>
  <c r="E3806" i="8"/>
  <c r="F3805" i="8"/>
  <c r="E3805" i="8"/>
  <c r="F3804" i="8"/>
  <c r="E3804" i="8"/>
  <c r="F3803" i="8"/>
  <c r="E3803" i="8"/>
  <c r="F3802" i="8"/>
  <c r="E3802" i="8"/>
  <c r="F3801" i="8"/>
  <c r="E3801" i="8"/>
  <c r="F3800" i="8"/>
  <c r="E3800" i="8"/>
  <c r="F3799" i="8"/>
  <c r="E3799" i="8"/>
  <c r="F3798" i="8"/>
  <c r="E3798" i="8"/>
  <c r="F3797" i="8"/>
  <c r="E3797" i="8"/>
  <c r="F3796" i="8"/>
  <c r="E3796" i="8"/>
  <c r="F3795" i="8"/>
  <c r="E3795" i="8"/>
  <c r="F3794" i="8"/>
  <c r="E3794" i="8"/>
  <c r="F3793" i="8"/>
  <c r="E3793" i="8"/>
  <c r="F3792" i="8"/>
  <c r="E3792" i="8"/>
  <c r="F3791" i="8"/>
  <c r="E3791" i="8"/>
  <c r="F3790" i="8"/>
  <c r="E3790" i="8"/>
  <c r="F3789" i="8"/>
  <c r="E3789" i="8"/>
  <c r="F3788" i="8"/>
  <c r="E3788" i="8"/>
  <c r="F3787" i="8"/>
  <c r="E3787" i="8"/>
  <c r="F3786" i="8"/>
  <c r="E3786" i="8"/>
  <c r="F3785" i="8"/>
  <c r="E3785" i="8"/>
  <c r="F3784" i="8"/>
  <c r="E3784" i="8"/>
  <c r="F3783" i="8"/>
  <c r="E3783" i="8"/>
  <c r="F3782" i="8"/>
  <c r="E3782" i="8"/>
  <c r="F3781" i="8"/>
  <c r="E3781" i="8"/>
  <c r="F3780" i="8"/>
  <c r="E3780" i="8"/>
  <c r="F3779" i="8"/>
  <c r="E3779" i="8"/>
  <c r="F3778" i="8"/>
  <c r="E3778" i="8"/>
  <c r="F3777" i="8"/>
  <c r="E3777" i="8"/>
  <c r="F3776" i="8"/>
  <c r="E3776" i="8"/>
  <c r="F3775" i="8"/>
  <c r="E3775" i="8"/>
  <c r="F3774" i="8"/>
  <c r="E3774" i="8"/>
  <c r="F3773" i="8"/>
  <c r="E3773" i="8"/>
  <c r="F3772" i="8"/>
  <c r="E3772" i="8"/>
  <c r="F3771" i="8"/>
  <c r="E3771" i="8"/>
  <c r="F3770" i="8"/>
  <c r="E3770" i="8"/>
  <c r="F3769" i="8"/>
  <c r="E3769" i="8"/>
  <c r="F3768" i="8"/>
  <c r="E3768" i="8"/>
  <c r="F3767" i="8"/>
  <c r="E3767" i="8"/>
  <c r="F3766" i="8"/>
  <c r="E3766" i="8"/>
  <c r="F3765" i="8"/>
  <c r="E3765" i="8"/>
  <c r="F3764" i="8"/>
  <c r="E3764" i="8"/>
  <c r="F3763" i="8"/>
  <c r="E3763" i="8"/>
  <c r="F3762" i="8"/>
  <c r="E3762" i="8"/>
  <c r="F3761" i="8"/>
  <c r="E3761" i="8"/>
  <c r="F3760" i="8"/>
  <c r="E3760" i="8"/>
  <c r="F3759" i="8"/>
  <c r="E3759" i="8"/>
  <c r="F3758" i="8"/>
  <c r="E3758" i="8"/>
  <c r="F3757" i="8"/>
  <c r="E3757" i="8"/>
  <c r="F3756" i="8"/>
  <c r="E3756" i="8"/>
  <c r="F3755" i="8"/>
  <c r="E3755" i="8"/>
  <c r="F3754" i="8"/>
  <c r="E3754" i="8"/>
  <c r="F3753" i="8"/>
  <c r="E3753" i="8"/>
  <c r="F3752" i="8"/>
  <c r="E3752" i="8"/>
  <c r="F3751" i="8"/>
  <c r="E3751" i="8"/>
  <c r="F3750" i="8"/>
  <c r="E3750" i="8"/>
  <c r="F3749" i="8"/>
  <c r="E3749" i="8"/>
  <c r="F3748" i="8"/>
  <c r="E3748" i="8"/>
  <c r="F3747" i="8"/>
  <c r="E3747" i="8"/>
  <c r="F3746" i="8"/>
  <c r="E3746" i="8"/>
  <c r="F3745" i="8"/>
  <c r="E3745" i="8"/>
  <c r="F3744" i="8"/>
  <c r="E3744" i="8"/>
  <c r="F3743" i="8"/>
  <c r="E3743" i="8"/>
  <c r="F3742" i="8"/>
  <c r="E3742" i="8"/>
  <c r="F3741" i="8"/>
  <c r="E3741" i="8"/>
  <c r="F3740" i="8"/>
  <c r="E3740" i="8"/>
  <c r="F3739" i="8"/>
  <c r="E3739" i="8"/>
  <c r="F3738" i="8"/>
  <c r="E3738" i="8"/>
  <c r="F3737" i="8"/>
  <c r="E3737" i="8"/>
  <c r="F3736" i="8"/>
  <c r="E3736" i="8"/>
  <c r="F3735" i="8"/>
  <c r="E3735" i="8"/>
  <c r="F3734" i="8"/>
  <c r="E3734" i="8"/>
  <c r="F3733" i="8"/>
  <c r="E3733" i="8"/>
  <c r="F3732" i="8"/>
  <c r="E3732" i="8"/>
  <c r="F3731" i="8"/>
  <c r="E3731" i="8"/>
  <c r="F3730" i="8"/>
  <c r="E3730" i="8"/>
  <c r="F3729" i="8"/>
  <c r="E3729" i="8"/>
  <c r="F3728" i="8"/>
  <c r="E3728" i="8"/>
  <c r="F3727" i="8"/>
  <c r="E3727" i="8"/>
  <c r="F3726" i="8"/>
  <c r="E3726" i="8"/>
  <c r="F3725" i="8"/>
  <c r="E3725" i="8"/>
  <c r="F3724" i="8"/>
  <c r="E3724" i="8"/>
  <c r="F3723" i="8"/>
  <c r="E3723" i="8"/>
  <c r="F3722" i="8"/>
  <c r="E3722" i="8"/>
  <c r="F3721" i="8"/>
  <c r="E3721" i="8"/>
  <c r="F3720" i="8"/>
  <c r="E3720" i="8"/>
  <c r="F3719" i="8"/>
  <c r="E3719" i="8"/>
  <c r="F3718" i="8"/>
  <c r="E3718" i="8"/>
  <c r="F3717" i="8"/>
  <c r="E3717" i="8"/>
  <c r="F3716" i="8"/>
  <c r="E3716" i="8"/>
  <c r="F3715" i="8"/>
  <c r="E3715" i="8"/>
  <c r="F3714" i="8"/>
  <c r="E3714" i="8"/>
  <c r="F3713" i="8"/>
  <c r="E3713" i="8"/>
  <c r="F3712" i="8"/>
  <c r="E3712" i="8"/>
  <c r="F3711" i="8"/>
  <c r="E3711" i="8"/>
  <c r="F3710" i="8"/>
  <c r="E3710" i="8"/>
  <c r="F3709" i="8"/>
  <c r="E3709" i="8"/>
  <c r="F3708" i="8"/>
  <c r="E3708" i="8"/>
  <c r="F3707" i="8"/>
  <c r="E3707" i="8"/>
  <c r="F3706" i="8"/>
  <c r="E3706" i="8"/>
  <c r="F3705" i="8"/>
  <c r="E3705" i="8"/>
  <c r="F3704" i="8"/>
  <c r="E3704" i="8"/>
  <c r="F3703" i="8"/>
  <c r="E3703" i="8"/>
  <c r="F3702" i="8"/>
  <c r="E3702" i="8"/>
  <c r="F3701" i="8"/>
  <c r="E3701" i="8"/>
  <c r="F3700" i="8"/>
  <c r="E3700" i="8"/>
  <c r="F3699" i="8"/>
  <c r="E3699" i="8"/>
  <c r="F3698" i="8"/>
  <c r="E3698" i="8"/>
  <c r="F3697" i="8"/>
  <c r="E3697" i="8"/>
  <c r="F3696" i="8"/>
  <c r="E3696" i="8"/>
  <c r="F3695" i="8"/>
  <c r="E3695" i="8"/>
  <c r="F3694" i="8"/>
  <c r="E3694" i="8"/>
  <c r="F3693" i="8"/>
  <c r="E3693" i="8"/>
  <c r="F3692" i="8"/>
  <c r="E3692" i="8"/>
  <c r="F3691" i="8"/>
  <c r="E3691" i="8"/>
  <c r="F3690" i="8"/>
  <c r="E3690" i="8"/>
  <c r="F3689" i="8"/>
  <c r="E3689" i="8"/>
  <c r="F3688" i="8"/>
  <c r="E3688" i="8"/>
  <c r="F3687" i="8"/>
  <c r="E3687" i="8"/>
  <c r="F3686" i="8"/>
  <c r="E3686" i="8"/>
  <c r="F3685" i="8"/>
  <c r="E3685" i="8"/>
  <c r="F3684" i="8"/>
  <c r="E3684" i="8"/>
  <c r="F3683" i="8"/>
  <c r="E3683" i="8"/>
  <c r="F3682" i="8"/>
  <c r="E3682" i="8"/>
  <c r="F3681" i="8"/>
  <c r="E3681" i="8"/>
  <c r="F3680" i="8"/>
  <c r="E3680" i="8"/>
  <c r="F3679" i="8"/>
  <c r="E3679" i="8"/>
  <c r="F3678" i="8"/>
  <c r="E3678" i="8"/>
  <c r="F3677" i="8"/>
  <c r="E3677" i="8"/>
  <c r="F3676" i="8"/>
  <c r="E3676" i="8"/>
  <c r="F3675" i="8"/>
  <c r="E3675" i="8"/>
  <c r="F3674" i="8"/>
  <c r="E3674" i="8"/>
  <c r="F3673" i="8"/>
  <c r="E3673" i="8"/>
  <c r="F3672" i="8"/>
  <c r="E3672" i="8"/>
  <c r="F3671" i="8"/>
  <c r="E3671" i="8"/>
  <c r="F3670" i="8"/>
  <c r="E3670" i="8"/>
  <c r="F3669" i="8"/>
  <c r="E3669" i="8"/>
  <c r="F3668" i="8"/>
  <c r="E3668" i="8"/>
  <c r="F3667" i="8"/>
  <c r="E3667" i="8"/>
  <c r="F3666" i="8"/>
  <c r="E3666" i="8"/>
  <c r="F3665" i="8"/>
  <c r="E3665" i="8"/>
  <c r="F3664" i="8"/>
  <c r="E3664" i="8"/>
  <c r="F3663" i="8"/>
  <c r="E3663" i="8"/>
  <c r="F3662" i="8"/>
  <c r="E3662" i="8"/>
  <c r="F3661" i="8"/>
  <c r="E3661" i="8"/>
  <c r="F3660" i="8"/>
  <c r="E3660" i="8"/>
  <c r="F3659" i="8"/>
  <c r="E3659" i="8"/>
  <c r="F3658" i="8"/>
  <c r="E3658" i="8"/>
  <c r="F3657" i="8"/>
  <c r="E3657" i="8"/>
  <c r="F3656" i="8"/>
  <c r="E3656" i="8"/>
  <c r="F3655" i="8"/>
  <c r="E3655" i="8"/>
  <c r="F3654" i="8"/>
  <c r="E3654" i="8"/>
  <c r="F3653" i="8"/>
  <c r="E3653" i="8"/>
  <c r="F3652" i="8"/>
  <c r="E3652" i="8"/>
  <c r="F3651" i="8"/>
  <c r="E3651" i="8"/>
  <c r="F3650" i="8"/>
  <c r="E3650" i="8"/>
  <c r="F3649" i="8"/>
  <c r="E3649" i="8"/>
  <c r="F3648" i="8"/>
  <c r="E3648" i="8"/>
  <c r="F3647" i="8"/>
  <c r="E3647" i="8"/>
  <c r="F3646" i="8"/>
  <c r="E3646" i="8"/>
  <c r="F3645" i="8"/>
  <c r="E3645" i="8"/>
  <c r="F3644" i="8"/>
  <c r="E3644" i="8"/>
  <c r="F3643" i="8"/>
  <c r="E3643" i="8"/>
  <c r="F3642" i="8"/>
  <c r="E3642" i="8"/>
  <c r="F3641" i="8"/>
  <c r="E3641" i="8"/>
  <c r="F3640" i="8"/>
  <c r="E3640" i="8"/>
  <c r="F3639" i="8"/>
  <c r="E3639" i="8"/>
  <c r="F3638" i="8"/>
  <c r="E3638" i="8"/>
  <c r="F3637" i="8"/>
  <c r="E3637" i="8"/>
  <c r="F3636" i="8"/>
  <c r="E3636" i="8"/>
  <c r="F3635" i="8"/>
  <c r="E3635" i="8"/>
  <c r="F3634" i="8"/>
  <c r="E3634" i="8"/>
  <c r="F3633" i="8"/>
  <c r="E3633" i="8"/>
  <c r="F3632" i="8"/>
  <c r="E3632" i="8"/>
  <c r="F3631" i="8"/>
  <c r="E3631" i="8"/>
  <c r="F3630" i="8"/>
  <c r="E3630" i="8"/>
  <c r="F3629" i="8"/>
  <c r="E3629" i="8"/>
  <c r="F3628" i="8"/>
  <c r="E3628" i="8"/>
  <c r="F3627" i="8"/>
  <c r="E3627" i="8"/>
  <c r="F3626" i="8"/>
  <c r="E3626" i="8"/>
  <c r="F3625" i="8"/>
  <c r="E3625" i="8"/>
  <c r="F3624" i="8"/>
  <c r="E3624" i="8"/>
  <c r="F3623" i="8"/>
  <c r="E3623" i="8"/>
  <c r="F3622" i="8"/>
  <c r="E3622" i="8"/>
  <c r="F3621" i="8"/>
  <c r="E3621" i="8"/>
  <c r="F3620" i="8"/>
  <c r="E3620" i="8"/>
  <c r="F3619" i="8"/>
  <c r="E3619" i="8"/>
  <c r="F3618" i="8"/>
  <c r="E3618" i="8"/>
  <c r="F3617" i="8"/>
  <c r="E3617" i="8"/>
  <c r="F3616" i="8"/>
  <c r="E3616" i="8"/>
  <c r="F3615" i="8"/>
  <c r="E3615" i="8"/>
  <c r="F3614" i="8"/>
  <c r="E3614" i="8"/>
  <c r="F3613" i="8"/>
  <c r="E3613" i="8"/>
  <c r="F3612" i="8"/>
  <c r="E3612" i="8"/>
  <c r="F3611" i="8"/>
  <c r="E3611" i="8"/>
  <c r="F3610" i="8"/>
  <c r="E3610" i="8"/>
  <c r="F3609" i="8"/>
  <c r="E3609" i="8"/>
  <c r="F3608" i="8"/>
  <c r="E3608" i="8"/>
  <c r="F3607" i="8"/>
  <c r="E3607" i="8"/>
  <c r="F3606" i="8"/>
  <c r="E3606" i="8"/>
  <c r="F3605" i="8"/>
  <c r="E3605" i="8"/>
  <c r="F3604" i="8"/>
  <c r="E3604" i="8"/>
  <c r="F3603" i="8"/>
  <c r="E3603" i="8"/>
  <c r="F3602" i="8"/>
  <c r="E3602" i="8"/>
  <c r="F3601" i="8"/>
  <c r="E3601" i="8"/>
  <c r="F3600" i="8"/>
  <c r="E3600" i="8"/>
  <c r="F3599" i="8"/>
  <c r="E3599" i="8"/>
  <c r="F3598" i="8"/>
  <c r="E3598" i="8"/>
  <c r="F3597" i="8"/>
  <c r="E3597" i="8"/>
  <c r="F3596" i="8"/>
  <c r="E3596" i="8"/>
  <c r="F3595" i="8"/>
  <c r="E3595" i="8"/>
  <c r="F3594" i="8"/>
  <c r="E3594" i="8"/>
  <c r="F3593" i="8"/>
  <c r="E3593" i="8"/>
  <c r="F3592" i="8"/>
  <c r="E3592" i="8"/>
  <c r="F3591" i="8"/>
  <c r="E3591" i="8"/>
  <c r="F3590" i="8"/>
  <c r="E3590" i="8"/>
  <c r="F3589" i="8"/>
  <c r="E3589" i="8"/>
  <c r="F3588" i="8"/>
  <c r="E3588" i="8"/>
  <c r="F3587" i="8"/>
  <c r="E3587" i="8"/>
  <c r="F3586" i="8"/>
  <c r="E3586" i="8"/>
  <c r="F3585" i="8"/>
  <c r="E3585" i="8"/>
  <c r="F3584" i="8"/>
  <c r="E3584" i="8"/>
  <c r="F3583" i="8"/>
  <c r="E3583" i="8"/>
  <c r="F3582" i="8"/>
  <c r="E3582" i="8"/>
  <c r="F3581" i="8"/>
  <c r="E3581" i="8"/>
  <c r="F3580" i="8"/>
  <c r="E3580" i="8"/>
  <c r="F3579" i="8"/>
  <c r="E3579" i="8"/>
  <c r="F3578" i="8"/>
  <c r="E3578" i="8"/>
  <c r="F3577" i="8"/>
  <c r="E3577" i="8"/>
  <c r="F3576" i="8"/>
  <c r="E3576" i="8"/>
  <c r="F3575" i="8"/>
  <c r="E3575" i="8"/>
  <c r="F3574" i="8"/>
  <c r="E3574" i="8"/>
  <c r="F3573" i="8"/>
  <c r="E3573" i="8"/>
  <c r="F3572" i="8"/>
  <c r="E3572" i="8"/>
  <c r="F3571" i="8"/>
  <c r="E3571" i="8"/>
  <c r="F3570" i="8"/>
  <c r="E3570" i="8"/>
  <c r="F3569" i="8"/>
  <c r="E3569" i="8"/>
  <c r="F3568" i="8"/>
  <c r="E3568" i="8"/>
  <c r="F3567" i="8"/>
  <c r="E3567" i="8"/>
  <c r="F3566" i="8"/>
  <c r="E3566" i="8"/>
  <c r="F3565" i="8"/>
  <c r="E3565" i="8"/>
  <c r="F3564" i="8"/>
  <c r="E3564" i="8"/>
  <c r="F3563" i="8"/>
  <c r="E3563" i="8"/>
  <c r="F3562" i="8"/>
  <c r="E3562" i="8"/>
  <c r="F3561" i="8"/>
  <c r="E3561" i="8"/>
  <c r="F3560" i="8"/>
  <c r="E3560" i="8"/>
  <c r="F3559" i="8"/>
  <c r="E3559" i="8"/>
  <c r="F3558" i="8"/>
  <c r="E3558" i="8"/>
  <c r="F3557" i="8"/>
  <c r="E3557" i="8"/>
  <c r="F3556" i="8"/>
  <c r="E3556" i="8"/>
  <c r="F3555" i="8"/>
  <c r="E3555" i="8"/>
  <c r="F3554" i="8"/>
  <c r="E3554" i="8"/>
  <c r="F3553" i="8"/>
  <c r="E3553" i="8"/>
  <c r="F3552" i="8"/>
  <c r="E3552" i="8"/>
  <c r="F3551" i="8"/>
  <c r="E3551" i="8"/>
  <c r="F3550" i="8"/>
  <c r="E3550" i="8"/>
  <c r="F3549" i="8"/>
  <c r="E3549" i="8"/>
  <c r="F3548" i="8"/>
  <c r="E3548" i="8"/>
  <c r="F3547" i="8"/>
  <c r="E3547" i="8"/>
  <c r="F3546" i="8"/>
  <c r="E3546" i="8"/>
  <c r="F3545" i="8"/>
  <c r="E3545" i="8"/>
  <c r="F3544" i="8"/>
  <c r="E3544" i="8"/>
  <c r="F3543" i="8"/>
  <c r="E3543" i="8"/>
  <c r="F3542" i="8"/>
  <c r="E3542" i="8"/>
  <c r="F3541" i="8"/>
  <c r="E3541" i="8"/>
  <c r="F3540" i="8"/>
  <c r="E3540" i="8"/>
  <c r="F3539" i="8"/>
  <c r="E3539" i="8"/>
  <c r="F3538" i="8"/>
  <c r="E3538" i="8"/>
  <c r="F3537" i="8"/>
  <c r="E3537" i="8"/>
  <c r="F3536" i="8"/>
  <c r="E3536" i="8"/>
  <c r="F3535" i="8"/>
  <c r="E3535" i="8"/>
  <c r="F3534" i="8"/>
  <c r="E3534" i="8"/>
  <c r="F3533" i="8"/>
  <c r="E3533" i="8"/>
  <c r="F3532" i="8"/>
  <c r="E3532" i="8"/>
  <c r="F3531" i="8"/>
  <c r="E3531" i="8"/>
  <c r="F3530" i="8"/>
  <c r="E3530" i="8"/>
  <c r="F3529" i="8"/>
  <c r="E3529" i="8"/>
  <c r="F3528" i="8"/>
  <c r="E3528" i="8"/>
  <c r="F3527" i="8"/>
  <c r="E3527" i="8"/>
  <c r="F3526" i="8"/>
  <c r="E3526" i="8"/>
  <c r="F3525" i="8"/>
  <c r="E3525" i="8"/>
  <c r="F3524" i="8"/>
  <c r="E3524" i="8"/>
  <c r="F3523" i="8"/>
  <c r="E3523" i="8"/>
  <c r="F3522" i="8"/>
  <c r="E3522" i="8"/>
  <c r="F3521" i="8"/>
  <c r="E3521" i="8"/>
  <c r="F3520" i="8"/>
  <c r="E3520" i="8"/>
  <c r="F3519" i="8"/>
  <c r="E3519" i="8"/>
  <c r="F3518" i="8"/>
  <c r="E3518" i="8"/>
  <c r="F3517" i="8"/>
  <c r="E3517" i="8"/>
  <c r="F3516" i="8"/>
  <c r="E3516" i="8"/>
  <c r="F3515" i="8"/>
  <c r="E3515" i="8"/>
  <c r="F3514" i="8"/>
  <c r="E3514" i="8"/>
  <c r="F3513" i="8"/>
  <c r="E3513" i="8"/>
  <c r="F3512" i="8"/>
  <c r="E3512" i="8"/>
  <c r="F3511" i="8"/>
  <c r="E3511" i="8"/>
  <c r="F3510" i="8"/>
  <c r="E3510" i="8"/>
  <c r="F3509" i="8"/>
  <c r="E3509" i="8"/>
  <c r="F3508" i="8"/>
  <c r="E3508" i="8"/>
  <c r="F3507" i="8"/>
  <c r="E3507" i="8"/>
  <c r="F3506" i="8"/>
  <c r="E3506" i="8"/>
  <c r="F3505" i="8"/>
  <c r="E3505" i="8"/>
  <c r="F3504" i="8"/>
  <c r="E3504" i="8"/>
  <c r="F3503" i="8"/>
  <c r="E3503" i="8"/>
  <c r="F3502" i="8"/>
  <c r="E3502" i="8"/>
  <c r="F3501" i="8"/>
  <c r="E3501" i="8"/>
  <c r="F3500" i="8"/>
  <c r="E3500" i="8"/>
  <c r="F3499" i="8"/>
  <c r="E3499" i="8"/>
  <c r="F3498" i="8"/>
  <c r="E3498" i="8"/>
  <c r="F3497" i="8"/>
  <c r="E3497" i="8"/>
  <c r="F3496" i="8"/>
  <c r="E3496" i="8"/>
  <c r="F3495" i="8"/>
  <c r="E3495" i="8"/>
  <c r="F3494" i="8"/>
  <c r="E3494" i="8"/>
  <c r="F3493" i="8"/>
  <c r="E3493" i="8"/>
  <c r="F3492" i="8"/>
  <c r="E3492" i="8"/>
  <c r="F3491" i="8"/>
  <c r="E3491" i="8"/>
  <c r="F3490" i="8"/>
  <c r="E3490" i="8"/>
  <c r="F3489" i="8"/>
  <c r="E3489" i="8"/>
  <c r="F3488" i="8"/>
  <c r="E3488" i="8"/>
  <c r="F3487" i="8"/>
  <c r="E3487" i="8"/>
  <c r="F3486" i="8"/>
  <c r="E3486" i="8"/>
  <c r="F3485" i="8"/>
  <c r="E3485" i="8"/>
  <c r="F3484" i="8"/>
  <c r="E3484" i="8"/>
  <c r="F3483" i="8"/>
  <c r="E3483" i="8"/>
  <c r="F3482" i="8"/>
  <c r="E3482" i="8"/>
  <c r="F3481" i="8"/>
  <c r="E3481" i="8"/>
  <c r="F3480" i="8"/>
  <c r="E3480" i="8"/>
  <c r="F3479" i="8"/>
  <c r="E3479" i="8"/>
  <c r="F3478" i="8"/>
  <c r="E3478" i="8"/>
  <c r="F3477" i="8"/>
  <c r="E3477" i="8"/>
  <c r="F3476" i="8"/>
  <c r="E3476" i="8"/>
  <c r="F3475" i="8"/>
  <c r="E3475" i="8"/>
  <c r="F3474" i="8"/>
  <c r="E3474" i="8"/>
  <c r="F3473" i="8"/>
  <c r="E3473" i="8"/>
  <c r="F3472" i="8"/>
  <c r="E3472" i="8"/>
  <c r="F3471" i="8"/>
  <c r="E3471" i="8"/>
  <c r="F3470" i="8"/>
  <c r="E3470" i="8"/>
  <c r="F3469" i="8"/>
  <c r="E3469" i="8"/>
  <c r="F3468" i="8"/>
  <c r="E3468" i="8"/>
  <c r="F3467" i="8"/>
  <c r="E3467" i="8"/>
  <c r="F3466" i="8"/>
  <c r="E3466" i="8"/>
  <c r="F3465" i="8"/>
  <c r="E3465" i="8"/>
  <c r="F3464" i="8"/>
  <c r="E3464" i="8"/>
  <c r="F3463" i="8"/>
  <c r="E3463" i="8"/>
  <c r="F3462" i="8"/>
  <c r="E3462" i="8"/>
  <c r="F3461" i="8"/>
  <c r="E3461" i="8"/>
  <c r="F3460" i="8"/>
  <c r="E3460" i="8"/>
  <c r="F3459" i="8"/>
  <c r="E3459" i="8"/>
  <c r="F3458" i="8"/>
  <c r="E3458" i="8"/>
  <c r="F3457" i="8"/>
  <c r="E3457" i="8"/>
  <c r="F3456" i="8"/>
  <c r="E3456" i="8"/>
  <c r="F3455" i="8"/>
  <c r="E3455" i="8"/>
  <c r="F3454" i="8"/>
  <c r="E3454" i="8"/>
  <c r="F3453" i="8"/>
  <c r="E3453" i="8"/>
  <c r="F3452" i="8"/>
  <c r="E3452" i="8"/>
  <c r="F3451" i="8"/>
  <c r="E3451" i="8"/>
  <c r="F3450" i="8"/>
  <c r="E3450" i="8"/>
  <c r="F3449" i="8"/>
  <c r="E3449" i="8"/>
  <c r="F3448" i="8"/>
  <c r="E3448" i="8"/>
  <c r="F3447" i="8"/>
  <c r="E3447" i="8"/>
  <c r="F3446" i="8"/>
  <c r="E3446" i="8"/>
  <c r="F3445" i="8"/>
  <c r="E3445" i="8"/>
  <c r="F3444" i="8"/>
  <c r="E3444" i="8"/>
  <c r="F3443" i="8"/>
  <c r="E3443" i="8"/>
  <c r="F3442" i="8"/>
  <c r="E3442" i="8"/>
  <c r="F3441" i="8"/>
  <c r="E3441" i="8"/>
  <c r="F3440" i="8"/>
  <c r="E3440" i="8"/>
  <c r="F3439" i="8"/>
  <c r="E3439" i="8"/>
  <c r="F3438" i="8"/>
  <c r="E3438" i="8"/>
  <c r="F3437" i="8"/>
  <c r="E3437" i="8"/>
  <c r="F3436" i="8"/>
  <c r="E3436" i="8"/>
  <c r="F3435" i="8"/>
  <c r="E3435" i="8"/>
  <c r="F3434" i="8"/>
  <c r="E3434" i="8"/>
  <c r="F3433" i="8"/>
  <c r="E3433" i="8"/>
  <c r="F3432" i="8"/>
  <c r="E3432" i="8"/>
  <c r="F3431" i="8"/>
  <c r="E3431" i="8"/>
  <c r="F3430" i="8"/>
  <c r="E3430" i="8"/>
  <c r="F3429" i="8"/>
  <c r="E3429" i="8"/>
  <c r="F3428" i="8"/>
  <c r="E3428" i="8"/>
  <c r="F3427" i="8"/>
  <c r="E3427" i="8"/>
  <c r="F3426" i="8"/>
  <c r="E3426" i="8"/>
  <c r="F3425" i="8"/>
  <c r="E3425" i="8"/>
  <c r="F3424" i="8"/>
  <c r="E3424" i="8"/>
  <c r="F3423" i="8"/>
  <c r="E3423" i="8"/>
  <c r="F3422" i="8"/>
  <c r="E3422" i="8"/>
  <c r="F3421" i="8"/>
  <c r="E3421" i="8"/>
  <c r="F3420" i="8"/>
  <c r="E3420" i="8"/>
  <c r="F3419" i="8"/>
  <c r="E3419" i="8"/>
  <c r="F3418" i="8"/>
  <c r="E3418" i="8"/>
  <c r="F3417" i="8"/>
  <c r="E3417" i="8"/>
  <c r="F3416" i="8"/>
  <c r="E3416" i="8"/>
  <c r="F3415" i="8"/>
  <c r="E3415" i="8"/>
  <c r="F3414" i="8"/>
  <c r="E3414" i="8"/>
  <c r="F3413" i="8"/>
  <c r="E3413" i="8"/>
  <c r="F3412" i="8"/>
  <c r="E3412" i="8"/>
  <c r="F3411" i="8"/>
  <c r="E3411" i="8"/>
  <c r="F3410" i="8"/>
  <c r="E3410" i="8"/>
  <c r="F3409" i="8"/>
  <c r="E3409" i="8"/>
  <c r="F3408" i="8"/>
  <c r="E3408" i="8"/>
  <c r="F3407" i="8"/>
  <c r="E3407" i="8"/>
  <c r="F3406" i="8"/>
  <c r="E3406" i="8"/>
  <c r="F3405" i="8"/>
  <c r="E3405" i="8"/>
  <c r="F3404" i="8"/>
  <c r="E3404" i="8"/>
  <c r="F3403" i="8"/>
  <c r="E3403" i="8"/>
  <c r="F3402" i="8"/>
  <c r="E3402" i="8"/>
  <c r="F3401" i="8"/>
  <c r="E3401" i="8"/>
  <c r="F3400" i="8"/>
  <c r="E3400" i="8"/>
  <c r="F3399" i="8"/>
  <c r="E3399" i="8"/>
  <c r="F3398" i="8"/>
  <c r="E3398" i="8"/>
  <c r="F3397" i="8"/>
  <c r="E3397" i="8"/>
  <c r="F3396" i="8"/>
  <c r="E3396" i="8"/>
  <c r="F3395" i="8"/>
  <c r="E3395" i="8"/>
  <c r="F3394" i="8"/>
  <c r="E3394" i="8"/>
  <c r="F3393" i="8"/>
  <c r="E3393" i="8"/>
  <c r="F3392" i="8"/>
  <c r="E3392" i="8"/>
  <c r="F3391" i="8"/>
  <c r="E3391" i="8"/>
  <c r="F3390" i="8"/>
  <c r="E3390" i="8"/>
  <c r="F3389" i="8"/>
  <c r="E3389" i="8"/>
  <c r="F3388" i="8"/>
  <c r="E3388" i="8"/>
  <c r="F3387" i="8"/>
  <c r="E3387" i="8"/>
  <c r="F3386" i="8"/>
  <c r="E3386" i="8"/>
  <c r="F3385" i="8"/>
  <c r="E3385" i="8"/>
  <c r="F3384" i="8"/>
  <c r="E3384" i="8"/>
  <c r="F3383" i="8"/>
  <c r="E3383" i="8"/>
  <c r="F3382" i="8"/>
  <c r="E3382" i="8"/>
  <c r="F3381" i="8"/>
  <c r="E3381" i="8"/>
  <c r="F3380" i="8"/>
  <c r="E3380" i="8"/>
  <c r="F3379" i="8"/>
  <c r="E3379" i="8"/>
  <c r="F3378" i="8"/>
  <c r="E3378" i="8"/>
  <c r="F3377" i="8"/>
  <c r="E3377" i="8"/>
  <c r="F3376" i="8"/>
  <c r="E3376" i="8"/>
  <c r="F3375" i="8"/>
  <c r="E3375" i="8"/>
  <c r="F3374" i="8"/>
  <c r="E3374" i="8"/>
  <c r="F3373" i="8"/>
  <c r="E3373" i="8"/>
  <c r="F3372" i="8"/>
  <c r="E3372" i="8"/>
  <c r="F3371" i="8"/>
  <c r="E3371" i="8"/>
  <c r="F3370" i="8"/>
  <c r="E3370" i="8"/>
  <c r="F3369" i="8"/>
  <c r="E3369" i="8"/>
  <c r="F3368" i="8"/>
  <c r="E3368" i="8"/>
  <c r="F3367" i="8"/>
  <c r="E3367" i="8"/>
  <c r="F3366" i="8"/>
  <c r="E3366" i="8"/>
  <c r="F3365" i="8"/>
  <c r="E3365" i="8"/>
  <c r="F3364" i="8"/>
  <c r="E3364" i="8"/>
  <c r="F3363" i="8"/>
  <c r="E3363" i="8"/>
  <c r="F3362" i="8"/>
  <c r="E3362" i="8"/>
  <c r="F3361" i="8"/>
  <c r="E3361" i="8"/>
  <c r="F3360" i="8"/>
  <c r="E3360" i="8"/>
  <c r="F3359" i="8"/>
  <c r="E3359" i="8"/>
  <c r="F3358" i="8"/>
  <c r="E3358" i="8"/>
  <c r="F3357" i="8"/>
  <c r="E3357" i="8"/>
  <c r="F3356" i="8"/>
  <c r="E3356" i="8"/>
  <c r="F3355" i="8"/>
  <c r="E3355" i="8"/>
  <c r="F3354" i="8"/>
  <c r="E3354" i="8"/>
  <c r="F3353" i="8"/>
  <c r="E3353" i="8"/>
  <c r="F3352" i="8"/>
  <c r="E3352" i="8"/>
  <c r="F3351" i="8"/>
  <c r="E3351" i="8"/>
  <c r="F3350" i="8"/>
  <c r="E3350" i="8"/>
  <c r="F3349" i="8"/>
  <c r="E3349" i="8"/>
  <c r="F3348" i="8"/>
  <c r="E3348" i="8"/>
  <c r="F3347" i="8"/>
  <c r="E3347" i="8"/>
  <c r="F3346" i="8"/>
  <c r="E3346" i="8"/>
  <c r="F3345" i="8"/>
  <c r="E3345" i="8"/>
  <c r="F3344" i="8"/>
  <c r="E3344" i="8"/>
  <c r="F3343" i="8"/>
  <c r="E3343" i="8"/>
  <c r="F3342" i="8"/>
  <c r="E3342" i="8"/>
  <c r="F3341" i="8"/>
  <c r="E3341" i="8"/>
  <c r="F3340" i="8"/>
  <c r="E3340" i="8"/>
  <c r="F3339" i="8"/>
  <c r="E3339" i="8"/>
  <c r="F3338" i="8"/>
  <c r="E3338" i="8"/>
  <c r="F3337" i="8"/>
  <c r="E3337" i="8"/>
  <c r="F3336" i="8"/>
  <c r="E3336" i="8"/>
  <c r="F3335" i="8"/>
  <c r="E3335" i="8"/>
  <c r="F3334" i="8"/>
  <c r="E3334" i="8"/>
  <c r="F3333" i="8"/>
  <c r="E3333" i="8"/>
  <c r="F3332" i="8"/>
  <c r="E3332" i="8"/>
  <c r="F3331" i="8"/>
  <c r="E3331" i="8"/>
  <c r="F3330" i="8"/>
  <c r="E3330" i="8"/>
  <c r="F3329" i="8"/>
  <c r="E3329" i="8"/>
  <c r="F3328" i="8"/>
  <c r="E3328" i="8"/>
  <c r="F3327" i="8"/>
  <c r="E3327" i="8"/>
  <c r="F3326" i="8"/>
  <c r="E3326" i="8"/>
  <c r="F3325" i="8"/>
  <c r="E3325" i="8"/>
  <c r="F3324" i="8"/>
  <c r="E3324" i="8"/>
  <c r="F3323" i="8"/>
  <c r="E3323" i="8"/>
  <c r="F3322" i="8"/>
  <c r="E3322" i="8"/>
  <c r="F3321" i="8"/>
  <c r="E3321" i="8"/>
  <c r="F3320" i="8"/>
  <c r="E3320" i="8"/>
  <c r="F3319" i="8"/>
  <c r="E3319" i="8"/>
  <c r="F3318" i="8"/>
  <c r="E3318" i="8"/>
  <c r="F3317" i="8"/>
  <c r="E3317" i="8"/>
  <c r="F3316" i="8"/>
  <c r="E3316" i="8"/>
  <c r="F3315" i="8"/>
  <c r="E3315" i="8"/>
  <c r="F3314" i="8"/>
  <c r="E3314" i="8"/>
  <c r="F3313" i="8"/>
  <c r="E3313" i="8"/>
  <c r="F3312" i="8"/>
  <c r="E3312" i="8"/>
  <c r="F3311" i="8"/>
  <c r="E3311" i="8"/>
  <c r="F3310" i="8"/>
  <c r="E3310" i="8"/>
  <c r="F3309" i="8"/>
  <c r="E3309" i="8"/>
  <c r="F3308" i="8"/>
  <c r="E3308" i="8"/>
  <c r="F3307" i="8"/>
  <c r="E3307" i="8"/>
  <c r="F3306" i="8"/>
  <c r="E3306" i="8"/>
  <c r="F3305" i="8"/>
  <c r="E3305" i="8"/>
  <c r="F3304" i="8"/>
  <c r="E3304" i="8"/>
  <c r="F3303" i="8"/>
  <c r="E3303" i="8"/>
  <c r="F3302" i="8"/>
  <c r="E3302" i="8"/>
  <c r="F3301" i="8"/>
  <c r="E3301" i="8"/>
  <c r="F3300" i="8"/>
  <c r="E3300" i="8"/>
  <c r="F3299" i="8"/>
  <c r="E3299" i="8"/>
  <c r="F3298" i="8"/>
  <c r="E3298" i="8"/>
  <c r="F3297" i="8"/>
  <c r="E3297" i="8"/>
  <c r="F3296" i="8"/>
  <c r="E3296" i="8"/>
  <c r="F3295" i="8"/>
  <c r="E3295" i="8"/>
  <c r="F3294" i="8"/>
  <c r="E3294" i="8"/>
  <c r="F3293" i="8"/>
  <c r="E3293" i="8"/>
  <c r="F3292" i="8"/>
  <c r="E3292" i="8"/>
  <c r="F3291" i="8"/>
  <c r="E3291" i="8"/>
  <c r="F3290" i="8"/>
  <c r="E3290" i="8"/>
  <c r="F3289" i="8"/>
  <c r="E3289" i="8"/>
  <c r="F3288" i="8"/>
  <c r="E3288" i="8"/>
  <c r="F3287" i="8"/>
  <c r="E3287" i="8"/>
  <c r="F3286" i="8"/>
  <c r="E3286" i="8"/>
  <c r="F3285" i="8"/>
  <c r="E3285" i="8"/>
  <c r="F3284" i="8"/>
  <c r="E3284" i="8"/>
  <c r="F3283" i="8"/>
  <c r="E3283" i="8"/>
  <c r="F3282" i="8"/>
  <c r="E3282" i="8"/>
  <c r="F3281" i="8"/>
  <c r="E3281" i="8"/>
  <c r="F3280" i="8"/>
  <c r="E3280" i="8"/>
  <c r="F3279" i="8"/>
  <c r="E3279" i="8"/>
  <c r="F3278" i="8"/>
  <c r="E3278" i="8"/>
  <c r="F3277" i="8"/>
  <c r="E3277" i="8"/>
  <c r="F3276" i="8"/>
  <c r="E3276" i="8"/>
  <c r="F3275" i="8"/>
  <c r="E3275" i="8"/>
  <c r="F3274" i="8"/>
  <c r="E3274" i="8"/>
  <c r="F3273" i="8"/>
  <c r="E3273" i="8"/>
  <c r="F3272" i="8"/>
  <c r="E3272" i="8"/>
  <c r="F3271" i="8"/>
  <c r="E3271" i="8"/>
  <c r="F3270" i="8"/>
  <c r="E3270" i="8"/>
  <c r="F3269" i="8"/>
  <c r="E3269" i="8"/>
  <c r="F3268" i="8"/>
  <c r="E3268" i="8"/>
  <c r="F3267" i="8"/>
  <c r="E3267" i="8"/>
  <c r="F3266" i="8"/>
  <c r="E3266" i="8"/>
  <c r="F3265" i="8"/>
  <c r="E3265" i="8"/>
  <c r="F3264" i="8"/>
  <c r="E3264" i="8"/>
  <c r="F3263" i="8"/>
  <c r="E3263" i="8"/>
  <c r="F3262" i="8"/>
  <c r="E3262" i="8"/>
  <c r="F3261" i="8"/>
  <c r="E3261" i="8"/>
  <c r="F3260" i="8"/>
  <c r="E3260" i="8"/>
  <c r="F3259" i="8"/>
  <c r="E3259" i="8"/>
  <c r="F3258" i="8"/>
  <c r="E3258" i="8"/>
  <c r="F3257" i="8"/>
  <c r="E3257" i="8"/>
  <c r="F3256" i="8"/>
  <c r="E3256" i="8"/>
  <c r="F3255" i="8"/>
  <c r="E3255" i="8"/>
  <c r="F3254" i="8"/>
  <c r="E3254" i="8"/>
  <c r="F3253" i="8"/>
  <c r="E3253" i="8"/>
  <c r="F3252" i="8"/>
  <c r="E3252" i="8"/>
  <c r="F3251" i="8"/>
  <c r="E3251" i="8"/>
  <c r="F3250" i="8"/>
  <c r="E3250" i="8"/>
  <c r="F3249" i="8"/>
  <c r="E3249" i="8"/>
  <c r="F3248" i="8"/>
  <c r="E3248" i="8"/>
  <c r="F3247" i="8"/>
  <c r="E3247" i="8"/>
  <c r="F3246" i="8"/>
  <c r="E3246" i="8"/>
  <c r="F3245" i="8"/>
  <c r="E3245" i="8"/>
  <c r="F3244" i="8"/>
  <c r="E3244" i="8"/>
  <c r="F3243" i="8"/>
  <c r="E3243" i="8"/>
  <c r="F3242" i="8"/>
  <c r="E3242" i="8"/>
  <c r="F3241" i="8"/>
  <c r="E3241" i="8"/>
  <c r="F3240" i="8"/>
  <c r="E3240" i="8"/>
  <c r="F3239" i="8"/>
  <c r="E3239" i="8"/>
  <c r="F3238" i="8"/>
  <c r="E3238" i="8"/>
  <c r="F3237" i="8"/>
  <c r="E3237" i="8"/>
  <c r="F3236" i="8"/>
  <c r="E3236" i="8"/>
  <c r="F3235" i="8"/>
  <c r="E3235" i="8"/>
  <c r="F3234" i="8"/>
  <c r="E3234" i="8"/>
  <c r="F3233" i="8"/>
  <c r="E3233" i="8"/>
  <c r="F3232" i="8"/>
  <c r="E3232" i="8"/>
  <c r="F3231" i="8"/>
  <c r="E3231" i="8"/>
  <c r="F3230" i="8"/>
  <c r="E3230" i="8"/>
  <c r="F3229" i="8"/>
  <c r="E3229" i="8"/>
  <c r="F3228" i="8"/>
  <c r="E3228" i="8"/>
  <c r="F3227" i="8"/>
  <c r="E3227" i="8"/>
  <c r="F3226" i="8"/>
  <c r="E3226" i="8"/>
  <c r="F3225" i="8"/>
  <c r="E3225" i="8"/>
  <c r="F3224" i="8"/>
  <c r="E3224" i="8"/>
  <c r="F3223" i="8"/>
  <c r="E3223" i="8"/>
  <c r="F3222" i="8"/>
  <c r="E3222" i="8"/>
  <c r="F3221" i="8"/>
  <c r="E3221" i="8"/>
  <c r="F3220" i="8"/>
  <c r="E3220" i="8"/>
  <c r="F3219" i="8"/>
  <c r="E3219" i="8"/>
  <c r="F3218" i="8"/>
  <c r="E3218" i="8"/>
  <c r="F3217" i="8"/>
  <c r="E3217" i="8"/>
  <c r="F3216" i="8"/>
  <c r="E3216" i="8"/>
  <c r="F3215" i="8"/>
  <c r="E3215" i="8"/>
  <c r="F3214" i="8"/>
  <c r="E3214" i="8"/>
  <c r="F3213" i="8"/>
  <c r="E3213" i="8"/>
  <c r="F3212" i="8"/>
  <c r="E3212" i="8"/>
  <c r="F3211" i="8"/>
  <c r="E3211" i="8"/>
  <c r="F3210" i="8"/>
  <c r="E3210" i="8"/>
  <c r="F3209" i="8"/>
  <c r="E3209" i="8"/>
  <c r="F3208" i="8"/>
  <c r="E3208" i="8"/>
  <c r="F3207" i="8"/>
  <c r="E3207" i="8"/>
  <c r="F3206" i="8"/>
  <c r="E3206" i="8"/>
  <c r="F3205" i="8"/>
  <c r="E3205" i="8"/>
  <c r="F3204" i="8"/>
  <c r="E3204" i="8"/>
  <c r="F3203" i="8"/>
  <c r="E3203" i="8"/>
  <c r="F3202" i="8"/>
  <c r="E3202" i="8"/>
  <c r="F3201" i="8"/>
  <c r="E3201" i="8"/>
  <c r="F3200" i="8"/>
  <c r="E3200" i="8"/>
  <c r="F3199" i="8"/>
  <c r="E3199" i="8"/>
  <c r="F3198" i="8"/>
  <c r="E3198" i="8"/>
  <c r="F3197" i="8"/>
  <c r="E3197" i="8"/>
  <c r="F3196" i="8"/>
  <c r="E3196" i="8"/>
  <c r="F3195" i="8"/>
  <c r="E3195" i="8"/>
  <c r="F3194" i="8"/>
  <c r="E3194" i="8"/>
  <c r="F3193" i="8"/>
  <c r="E3193" i="8"/>
  <c r="F3192" i="8"/>
  <c r="E3192" i="8"/>
  <c r="F3191" i="8"/>
  <c r="E3191" i="8"/>
  <c r="F3190" i="8"/>
  <c r="E3190" i="8"/>
  <c r="F3189" i="8"/>
  <c r="E3189" i="8"/>
  <c r="F3188" i="8"/>
  <c r="E3188" i="8"/>
  <c r="F3187" i="8"/>
  <c r="E3187" i="8"/>
  <c r="F3186" i="8"/>
  <c r="E3186" i="8"/>
  <c r="F3185" i="8"/>
  <c r="E3185" i="8"/>
  <c r="F3184" i="8"/>
  <c r="E3184" i="8"/>
  <c r="F3183" i="8"/>
  <c r="E3183" i="8"/>
  <c r="F3182" i="8"/>
  <c r="E3182" i="8"/>
  <c r="F3181" i="8"/>
  <c r="E3181" i="8"/>
  <c r="F3180" i="8"/>
  <c r="E3180" i="8"/>
  <c r="F3179" i="8"/>
  <c r="E3179" i="8"/>
  <c r="F3178" i="8"/>
  <c r="E3178" i="8"/>
  <c r="F3177" i="8"/>
  <c r="E3177" i="8"/>
  <c r="F3176" i="8"/>
  <c r="E3176" i="8"/>
  <c r="F3175" i="8"/>
  <c r="E3175" i="8"/>
  <c r="F3174" i="8"/>
  <c r="E3174" i="8"/>
  <c r="F3173" i="8"/>
  <c r="E3173" i="8"/>
  <c r="F3172" i="8"/>
  <c r="E3172" i="8"/>
  <c r="F3171" i="8"/>
  <c r="E3171" i="8"/>
  <c r="F3170" i="8"/>
  <c r="E3170" i="8"/>
  <c r="F3169" i="8"/>
  <c r="E3169" i="8"/>
  <c r="F3168" i="8"/>
  <c r="E3168" i="8"/>
  <c r="F3167" i="8"/>
  <c r="E3167" i="8"/>
  <c r="F3166" i="8"/>
  <c r="E3166" i="8"/>
  <c r="F3165" i="8"/>
  <c r="E3165" i="8"/>
  <c r="F3164" i="8"/>
  <c r="E3164" i="8"/>
  <c r="F3163" i="8"/>
  <c r="E3163" i="8"/>
  <c r="F3162" i="8"/>
  <c r="E3162" i="8"/>
  <c r="F3161" i="8"/>
  <c r="E3161" i="8"/>
  <c r="F3160" i="8"/>
  <c r="E3160" i="8"/>
  <c r="F3159" i="8"/>
  <c r="E3159" i="8"/>
  <c r="F3158" i="8"/>
  <c r="E3158" i="8"/>
  <c r="F3157" i="8"/>
  <c r="E3157" i="8"/>
  <c r="F3156" i="8"/>
  <c r="E3156" i="8"/>
  <c r="F3155" i="8"/>
  <c r="E3155" i="8"/>
  <c r="F3154" i="8"/>
  <c r="E3154" i="8"/>
  <c r="F3153" i="8"/>
  <c r="E3153" i="8"/>
  <c r="F3152" i="8"/>
  <c r="E3152" i="8"/>
  <c r="F3151" i="8"/>
  <c r="E3151" i="8"/>
  <c r="F3150" i="8"/>
  <c r="E3150" i="8"/>
  <c r="F3149" i="8"/>
  <c r="E3149" i="8"/>
  <c r="F3148" i="8"/>
  <c r="E3148" i="8"/>
  <c r="F3147" i="8"/>
  <c r="E3147" i="8"/>
  <c r="F3146" i="8"/>
  <c r="E3146" i="8"/>
  <c r="F3145" i="8"/>
  <c r="E3145" i="8"/>
  <c r="F3144" i="8"/>
  <c r="E3144" i="8"/>
  <c r="F3143" i="8"/>
  <c r="E3143" i="8"/>
  <c r="F3142" i="8"/>
  <c r="E3142" i="8"/>
  <c r="F3141" i="8"/>
  <c r="E3141" i="8"/>
  <c r="F3140" i="8"/>
  <c r="E3140" i="8"/>
  <c r="F3139" i="8"/>
  <c r="E3139" i="8"/>
  <c r="F3138" i="8"/>
  <c r="E3138" i="8"/>
  <c r="F3137" i="8"/>
  <c r="E3137" i="8"/>
  <c r="F3136" i="8"/>
  <c r="E3136" i="8"/>
  <c r="F3135" i="8"/>
  <c r="E3135" i="8"/>
  <c r="F3134" i="8"/>
  <c r="E3134" i="8"/>
  <c r="F3133" i="8"/>
  <c r="E3133" i="8"/>
  <c r="F3132" i="8"/>
  <c r="E3132" i="8"/>
  <c r="F3131" i="8"/>
  <c r="E3131" i="8"/>
  <c r="F3130" i="8"/>
  <c r="E3130" i="8"/>
  <c r="F3129" i="8"/>
  <c r="E3129" i="8"/>
  <c r="F3128" i="8"/>
  <c r="E3128" i="8"/>
  <c r="F3127" i="8"/>
  <c r="E3127" i="8"/>
  <c r="F3126" i="8"/>
  <c r="E3126" i="8"/>
  <c r="F3125" i="8"/>
  <c r="E3125" i="8"/>
  <c r="F3124" i="8"/>
  <c r="E3124" i="8"/>
  <c r="F3123" i="8"/>
  <c r="E3123" i="8"/>
  <c r="F3122" i="8"/>
  <c r="E3122" i="8"/>
  <c r="F3121" i="8"/>
  <c r="E3121" i="8"/>
  <c r="F3120" i="8"/>
  <c r="E3120" i="8"/>
  <c r="F3119" i="8"/>
  <c r="E3119" i="8"/>
  <c r="F3118" i="8"/>
  <c r="E3118" i="8"/>
  <c r="F3117" i="8"/>
  <c r="E3117" i="8"/>
  <c r="F3116" i="8"/>
  <c r="E3116" i="8"/>
  <c r="F3115" i="8"/>
  <c r="E3115" i="8"/>
  <c r="F3114" i="8"/>
  <c r="E3114" i="8"/>
  <c r="F3113" i="8"/>
  <c r="E3113" i="8"/>
  <c r="F3112" i="8"/>
  <c r="E3112" i="8"/>
  <c r="F3111" i="8"/>
  <c r="E3111" i="8"/>
  <c r="F3110" i="8"/>
  <c r="E3110" i="8"/>
  <c r="F3109" i="8"/>
  <c r="E3109" i="8"/>
  <c r="F3108" i="8"/>
  <c r="E3108" i="8"/>
  <c r="F3107" i="8"/>
  <c r="E3107" i="8"/>
  <c r="F3106" i="8"/>
  <c r="E3106" i="8"/>
  <c r="F3105" i="8"/>
  <c r="E3105" i="8"/>
  <c r="F3104" i="8"/>
  <c r="E3104" i="8"/>
  <c r="F3103" i="8"/>
  <c r="E3103" i="8"/>
  <c r="F3102" i="8"/>
  <c r="E3102" i="8"/>
  <c r="F3101" i="8"/>
  <c r="E3101" i="8"/>
  <c r="F3100" i="8"/>
  <c r="E3100" i="8"/>
  <c r="F3099" i="8"/>
  <c r="E3099" i="8"/>
  <c r="F3098" i="8"/>
  <c r="E3098" i="8"/>
  <c r="F3097" i="8"/>
  <c r="E3097" i="8"/>
  <c r="F3096" i="8"/>
  <c r="E3096" i="8"/>
  <c r="F3095" i="8"/>
  <c r="E3095" i="8"/>
  <c r="F3094" i="8"/>
  <c r="E3094" i="8"/>
  <c r="F3093" i="8"/>
  <c r="E3093" i="8"/>
  <c r="F3092" i="8"/>
  <c r="E3092" i="8"/>
  <c r="F3091" i="8"/>
  <c r="E3091" i="8"/>
  <c r="F3090" i="8"/>
  <c r="E3090" i="8"/>
  <c r="F3089" i="8"/>
  <c r="E3089" i="8"/>
  <c r="F3088" i="8"/>
  <c r="E3088" i="8"/>
  <c r="F3087" i="8"/>
  <c r="E3087" i="8"/>
  <c r="F3086" i="8"/>
  <c r="E3086" i="8"/>
  <c r="F3085" i="8"/>
  <c r="E3085" i="8"/>
  <c r="F3084" i="8"/>
  <c r="E3084" i="8"/>
  <c r="F3083" i="8"/>
  <c r="E3083" i="8"/>
  <c r="F3082" i="8"/>
  <c r="E3082" i="8"/>
  <c r="F3081" i="8"/>
  <c r="E3081" i="8"/>
  <c r="F3080" i="8"/>
  <c r="E3080" i="8"/>
  <c r="F3079" i="8"/>
  <c r="E3079" i="8"/>
  <c r="F3078" i="8"/>
  <c r="E3078" i="8"/>
  <c r="F3077" i="8"/>
  <c r="E3077" i="8"/>
  <c r="F3076" i="8"/>
  <c r="E3076" i="8"/>
  <c r="F3075" i="8"/>
  <c r="E3075" i="8"/>
  <c r="F3074" i="8"/>
  <c r="E3074" i="8"/>
  <c r="F3073" i="8"/>
  <c r="E3073" i="8"/>
  <c r="F3072" i="8"/>
  <c r="E3072" i="8"/>
  <c r="F3071" i="8"/>
  <c r="E3071" i="8"/>
  <c r="F3070" i="8"/>
  <c r="E3070" i="8"/>
  <c r="F3069" i="8"/>
  <c r="E3069" i="8"/>
  <c r="F3068" i="8"/>
  <c r="E3068" i="8"/>
  <c r="F3067" i="8"/>
  <c r="E3067" i="8"/>
  <c r="F3066" i="8"/>
  <c r="E3066" i="8"/>
  <c r="F3065" i="8"/>
  <c r="E3065" i="8"/>
  <c r="F3064" i="8"/>
  <c r="E3064" i="8"/>
  <c r="F3063" i="8"/>
  <c r="E3063" i="8"/>
  <c r="F3062" i="8"/>
  <c r="E3062" i="8"/>
  <c r="F3061" i="8"/>
  <c r="E3061" i="8"/>
  <c r="F3060" i="8"/>
  <c r="E3060" i="8"/>
  <c r="F3059" i="8"/>
  <c r="E3059" i="8"/>
  <c r="F3058" i="8"/>
  <c r="E3058" i="8"/>
  <c r="F3057" i="8"/>
  <c r="E3057" i="8"/>
  <c r="F3056" i="8"/>
  <c r="E3056" i="8"/>
  <c r="F3055" i="8"/>
  <c r="E3055" i="8"/>
  <c r="F3054" i="8"/>
  <c r="E3054" i="8"/>
  <c r="F3053" i="8"/>
  <c r="E3053" i="8"/>
  <c r="F3052" i="8"/>
  <c r="E3052" i="8"/>
  <c r="F3051" i="8"/>
  <c r="E3051" i="8"/>
  <c r="F3050" i="8"/>
  <c r="E3050" i="8"/>
  <c r="F3049" i="8"/>
  <c r="E3049" i="8"/>
  <c r="F3048" i="8"/>
  <c r="E3048" i="8"/>
  <c r="F3047" i="8"/>
  <c r="E3047" i="8"/>
  <c r="F3046" i="8"/>
  <c r="E3046" i="8"/>
  <c r="F3045" i="8"/>
  <c r="E3045" i="8"/>
  <c r="F3044" i="8"/>
  <c r="E3044" i="8"/>
  <c r="F3043" i="8"/>
  <c r="E3043" i="8"/>
  <c r="F3042" i="8"/>
  <c r="E3042" i="8"/>
  <c r="F3041" i="8"/>
  <c r="E3041" i="8"/>
  <c r="F3040" i="8"/>
  <c r="E3040" i="8"/>
  <c r="F3039" i="8"/>
  <c r="E3039" i="8"/>
  <c r="F3038" i="8"/>
  <c r="E3038" i="8"/>
  <c r="F3037" i="8"/>
  <c r="E3037" i="8"/>
  <c r="F3036" i="8"/>
  <c r="E3036" i="8"/>
  <c r="F3035" i="8"/>
  <c r="E3035" i="8"/>
  <c r="F3034" i="8"/>
  <c r="E3034" i="8"/>
  <c r="F3033" i="8"/>
  <c r="E3033" i="8"/>
  <c r="F3032" i="8"/>
  <c r="E3032" i="8"/>
  <c r="F3031" i="8"/>
  <c r="E3031" i="8"/>
  <c r="F3030" i="8"/>
  <c r="E3030" i="8"/>
  <c r="F3029" i="8"/>
  <c r="E3029" i="8"/>
  <c r="F3028" i="8"/>
  <c r="E3028" i="8"/>
  <c r="F3027" i="8"/>
  <c r="E3027" i="8"/>
  <c r="F3026" i="8"/>
  <c r="E3026" i="8"/>
  <c r="F3025" i="8"/>
  <c r="E3025" i="8"/>
  <c r="F3024" i="8"/>
  <c r="E3024" i="8"/>
  <c r="F3023" i="8"/>
  <c r="E3023" i="8"/>
  <c r="F3022" i="8"/>
  <c r="E3022" i="8"/>
  <c r="F3021" i="8"/>
  <c r="E3021" i="8"/>
  <c r="F3020" i="8"/>
  <c r="E3020" i="8"/>
  <c r="F3019" i="8"/>
  <c r="E3019" i="8"/>
  <c r="F3018" i="8"/>
  <c r="E3018" i="8"/>
  <c r="F3017" i="8"/>
  <c r="E3017" i="8"/>
  <c r="F3016" i="8"/>
  <c r="E3016" i="8"/>
  <c r="F3015" i="8"/>
  <c r="E3015" i="8"/>
  <c r="F3014" i="8"/>
  <c r="E3014" i="8"/>
  <c r="F3013" i="8"/>
  <c r="E3013" i="8"/>
  <c r="F3012" i="8"/>
  <c r="E3012" i="8"/>
  <c r="F3011" i="8"/>
  <c r="E3011" i="8"/>
  <c r="F3010" i="8"/>
  <c r="E3010" i="8"/>
  <c r="F3009" i="8"/>
  <c r="E3009" i="8"/>
  <c r="F3008" i="8"/>
  <c r="E3008" i="8"/>
  <c r="F3007" i="8"/>
  <c r="E3007" i="8"/>
  <c r="F3006" i="8"/>
  <c r="E3006" i="8"/>
  <c r="F3005" i="8"/>
  <c r="E3005" i="8"/>
  <c r="F3004" i="8"/>
  <c r="E3004" i="8"/>
  <c r="F3003" i="8"/>
  <c r="E3003" i="8"/>
  <c r="F3002" i="8"/>
  <c r="E3002" i="8"/>
  <c r="F3001" i="8"/>
  <c r="E3001" i="8"/>
  <c r="F3000" i="8"/>
  <c r="E3000" i="8"/>
  <c r="F2999" i="8"/>
  <c r="E2999" i="8"/>
  <c r="F2998" i="8"/>
  <c r="E2998" i="8"/>
  <c r="F2997" i="8"/>
  <c r="E2997" i="8"/>
  <c r="F2996" i="8"/>
  <c r="E2996" i="8"/>
  <c r="F2995" i="8"/>
  <c r="E2995" i="8"/>
  <c r="F2994" i="8"/>
  <c r="E2994" i="8"/>
  <c r="F2993" i="8"/>
  <c r="E2993" i="8"/>
  <c r="F2992" i="8"/>
  <c r="E2992" i="8"/>
  <c r="F2991" i="8"/>
  <c r="E2991" i="8"/>
  <c r="F2990" i="8"/>
  <c r="E2990" i="8"/>
  <c r="F2989" i="8"/>
  <c r="E2989" i="8"/>
  <c r="F2988" i="8"/>
  <c r="E2988" i="8"/>
  <c r="F2987" i="8"/>
  <c r="E2987" i="8"/>
  <c r="F2986" i="8"/>
  <c r="E2986" i="8"/>
  <c r="F2985" i="8"/>
  <c r="E2985" i="8"/>
  <c r="F2984" i="8"/>
  <c r="E2984" i="8"/>
  <c r="F2983" i="8"/>
  <c r="E2983" i="8"/>
  <c r="F2982" i="8"/>
  <c r="E2982" i="8"/>
  <c r="F2981" i="8"/>
  <c r="E2981" i="8"/>
  <c r="F2980" i="8"/>
  <c r="E2980" i="8"/>
  <c r="F2979" i="8"/>
  <c r="E2979" i="8"/>
  <c r="F2978" i="8"/>
  <c r="E2978" i="8"/>
  <c r="F2977" i="8"/>
  <c r="E2977" i="8"/>
  <c r="F2976" i="8"/>
  <c r="E2976" i="8"/>
  <c r="F2975" i="8"/>
  <c r="E2975" i="8"/>
  <c r="F2974" i="8"/>
  <c r="E2974" i="8"/>
  <c r="F2973" i="8"/>
  <c r="E2973" i="8"/>
  <c r="F2972" i="8"/>
  <c r="E2972" i="8"/>
  <c r="F2971" i="8"/>
  <c r="E2971" i="8"/>
  <c r="F2970" i="8"/>
  <c r="E2970" i="8"/>
  <c r="F2969" i="8"/>
  <c r="E2969" i="8"/>
  <c r="F2968" i="8"/>
  <c r="E2968" i="8"/>
  <c r="F2967" i="8"/>
  <c r="E2967" i="8"/>
  <c r="F2966" i="8"/>
  <c r="E2966" i="8"/>
  <c r="F2965" i="8"/>
  <c r="E2965" i="8"/>
  <c r="F2964" i="8"/>
  <c r="E2964" i="8"/>
  <c r="F2963" i="8"/>
  <c r="E2963" i="8"/>
  <c r="F2962" i="8"/>
  <c r="E2962" i="8"/>
  <c r="F2961" i="8"/>
  <c r="E2961" i="8"/>
  <c r="F2960" i="8"/>
  <c r="E2960" i="8"/>
  <c r="F2959" i="8"/>
  <c r="E2959" i="8"/>
  <c r="F2958" i="8"/>
  <c r="E2958" i="8"/>
  <c r="F2957" i="8"/>
  <c r="E2957" i="8"/>
  <c r="F2956" i="8"/>
  <c r="E2956" i="8"/>
  <c r="F2955" i="8"/>
  <c r="E2955" i="8"/>
  <c r="F2954" i="8"/>
  <c r="E2954" i="8"/>
  <c r="F2953" i="8"/>
  <c r="E2953" i="8"/>
  <c r="F2952" i="8"/>
  <c r="E2952" i="8"/>
  <c r="F2951" i="8"/>
  <c r="E2951" i="8"/>
  <c r="F2950" i="8"/>
  <c r="E2950" i="8"/>
  <c r="F2949" i="8"/>
  <c r="E2949" i="8"/>
  <c r="F2948" i="8"/>
  <c r="E2948" i="8"/>
  <c r="F2947" i="8"/>
  <c r="E2947" i="8"/>
  <c r="F2946" i="8"/>
  <c r="E2946" i="8"/>
  <c r="F2945" i="8"/>
  <c r="E2945" i="8"/>
  <c r="F2944" i="8"/>
  <c r="E2944" i="8"/>
  <c r="F2943" i="8"/>
  <c r="E2943" i="8"/>
  <c r="F2942" i="8"/>
  <c r="E2942" i="8"/>
  <c r="F2941" i="8"/>
  <c r="E2941" i="8"/>
  <c r="F2940" i="8"/>
  <c r="E2940" i="8"/>
  <c r="F2939" i="8"/>
  <c r="E2939" i="8"/>
  <c r="F2938" i="8"/>
  <c r="E2938" i="8"/>
  <c r="F2937" i="8"/>
  <c r="E2937" i="8"/>
  <c r="F2936" i="8"/>
  <c r="E2936" i="8"/>
  <c r="F2935" i="8"/>
  <c r="E2935" i="8"/>
  <c r="F2934" i="8"/>
  <c r="E2934" i="8"/>
  <c r="F2933" i="8"/>
  <c r="E2933" i="8"/>
  <c r="F2932" i="8"/>
  <c r="E2932" i="8"/>
  <c r="F2931" i="8"/>
  <c r="E2931" i="8"/>
  <c r="F2930" i="8"/>
  <c r="E2930" i="8"/>
  <c r="F2929" i="8"/>
  <c r="E2929" i="8"/>
  <c r="F2928" i="8"/>
  <c r="E2928" i="8"/>
  <c r="F2927" i="8"/>
  <c r="E2927" i="8"/>
  <c r="F2926" i="8"/>
  <c r="E2926" i="8"/>
  <c r="F2925" i="8"/>
  <c r="E2925" i="8"/>
  <c r="F2924" i="8"/>
  <c r="E2924" i="8"/>
  <c r="F2923" i="8"/>
  <c r="E2923" i="8"/>
  <c r="F2922" i="8"/>
  <c r="E2922" i="8"/>
  <c r="F2921" i="8"/>
  <c r="E2921" i="8"/>
  <c r="F2920" i="8"/>
  <c r="E2920" i="8"/>
  <c r="F2919" i="8"/>
  <c r="E2919" i="8"/>
  <c r="F2918" i="8"/>
  <c r="E2918" i="8"/>
  <c r="F2917" i="8"/>
  <c r="E2917" i="8"/>
  <c r="F2916" i="8"/>
  <c r="E2916" i="8"/>
  <c r="F2915" i="8"/>
  <c r="E2915" i="8"/>
  <c r="F2914" i="8"/>
  <c r="E2914" i="8"/>
  <c r="F2913" i="8"/>
  <c r="E2913" i="8"/>
  <c r="F2912" i="8"/>
  <c r="E2912" i="8"/>
  <c r="F2911" i="8"/>
  <c r="E2911" i="8"/>
  <c r="F2910" i="8"/>
  <c r="E2910" i="8"/>
  <c r="F2909" i="8"/>
  <c r="E2909" i="8"/>
  <c r="F2908" i="8"/>
  <c r="E2908" i="8"/>
  <c r="F2907" i="8"/>
  <c r="E2907" i="8"/>
  <c r="F2906" i="8"/>
  <c r="E2906" i="8"/>
  <c r="F2905" i="8"/>
  <c r="E2905" i="8"/>
  <c r="F2904" i="8"/>
  <c r="E2904" i="8"/>
  <c r="F2903" i="8"/>
  <c r="E2903" i="8"/>
  <c r="F2902" i="8"/>
  <c r="E2902" i="8"/>
  <c r="F2901" i="8"/>
  <c r="E2901" i="8"/>
  <c r="F2900" i="8"/>
  <c r="E2900" i="8"/>
  <c r="F2899" i="8"/>
  <c r="E2899" i="8"/>
  <c r="F2898" i="8"/>
  <c r="E2898" i="8"/>
  <c r="F2897" i="8"/>
  <c r="E2897" i="8"/>
  <c r="F2896" i="8"/>
  <c r="E2896" i="8"/>
  <c r="F2895" i="8"/>
  <c r="E2895" i="8"/>
  <c r="F2894" i="8"/>
  <c r="E2894" i="8"/>
  <c r="F2893" i="8"/>
  <c r="E2893" i="8"/>
  <c r="F2892" i="8"/>
  <c r="E2892" i="8"/>
  <c r="F2891" i="8"/>
  <c r="E2891" i="8"/>
  <c r="F2890" i="8"/>
  <c r="E2890" i="8"/>
  <c r="F2889" i="8"/>
  <c r="E2889" i="8"/>
  <c r="F2888" i="8"/>
  <c r="E2888" i="8"/>
  <c r="F2887" i="8"/>
  <c r="E2887" i="8"/>
  <c r="F2886" i="8"/>
  <c r="E2886" i="8"/>
  <c r="F2885" i="8"/>
  <c r="E2885" i="8"/>
  <c r="F2884" i="8"/>
  <c r="E2884" i="8"/>
  <c r="F2883" i="8"/>
  <c r="E2883" i="8"/>
  <c r="F2882" i="8"/>
  <c r="E2882" i="8"/>
  <c r="F2881" i="8"/>
  <c r="E2881" i="8"/>
  <c r="F2880" i="8"/>
  <c r="E2880" i="8"/>
  <c r="F2879" i="8"/>
  <c r="E2879" i="8"/>
  <c r="F2878" i="8"/>
  <c r="E2878" i="8"/>
  <c r="F2877" i="8"/>
  <c r="E2877" i="8"/>
  <c r="F2876" i="8"/>
  <c r="E2876" i="8"/>
  <c r="F2875" i="8"/>
  <c r="E2875" i="8"/>
  <c r="F2874" i="8"/>
  <c r="E2874" i="8"/>
  <c r="F2873" i="8"/>
  <c r="E2873" i="8"/>
  <c r="F2872" i="8"/>
  <c r="E2872" i="8"/>
  <c r="F2871" i="8"/>
  <c r="E2871" i="8"/>
  <c r="F2870" i="8"/>
  <c r="E2870" i="8"/>
  <c r="F2869" i="8"/>
  <c r="E2869" i="8"/>
  <c r="F2868" i="8"/>
  <c r="E2868" i="8"/>
  <c r="F2867" i="8"/>
  <c r="E2867" i="8"/>
  <c r="F2866" i="8"/>
  <c r="E2866" i="8"/>
  <c r="F2865" i="8"/>
  <c r="E2865" i="8"/>
  <c r="F2864" i="8"/>
  <c r="E2864" i="8"/>
  <c r="F2863" i="8"/>
  <c r="E2863" i="8"/>
  <c r="F2862" i="8"/>
  <c r="E2862" i="8"/>
  <c r="F2861" i="8"/>
  <c r="E2861" i="8"/>
  <c r="F2860" i="8"/>
  <c r="E2860" i="8"/>
  <c r="F2859" i="8"/>
  <c r="E2859" i="8"/>
  <c r="F2858" i="8"/>
  <c r="E2858" i="8"/>
  <c r="F2857" i="8"/>
  <c r="E2857" i="8"/>
  <c r="F2856" i="8"/>
  <c r="E2856" i="8"/>
  <c r="F2855" i="8"/>
  <c r="E2855" i="8"/>
  <c r="F2854" i="8"/>
  <c r="E2854" i="8"/>
  <c r="F2853" i="8"/>
  <c r="E2853" i="8"/>
  <c r="F2852" i="8"/>
  <c r="E2852" i="8"/>
  <c r="F2851" i="8"/>
  <c r="E2851" i="8"/>
  <c r="F2850" i="8"/>
  <c r="E2850" i="8"/>
  <c r="F2849" i="8"/>
  <c r="E2849" i="8"/>
  <c r="F2848" i="8"/>
  <c r="E2848" i="8"/>
  <c r="F2847" i="8"/>
  <c r="E2847" i="8"/>
  <c r="F2846" i="8"/>
  <c r="E2846" i="8"/>
  <c r="F2845" i="8"/>
  <c r="E2845" i="8"/>
  <c r="F2844" i="8"/>
  <c r="E2844" i="8"/>
  <c r="F2843" i="8"/>
  <c r="E2843" i="8"/>
  <c r="F2842" i="8"/>
  <c r="E2842" i="8"/>
  <c r="F2841" i="8"/>
  <c r="E2841" i="8"/>
  <c r="F2840" i="8"/>
  <c r="E2840" i="8"/>
  <c r="F2839" i="8"/>
  <c r="E2839" i="8"/>
  <c r="F2838" i="8"/>
  <c r="E2838" i="8"/>
  <c r="F2837" i="8"/>
  <c r="E2837" i="8"/>
  <c r="F2836" i="8"/>
  <c r="E2836" i="8"/>
  <c r="F2835" i="8"/>
  <c r="E2835" i="8"/>
  <c r="F2834" i="8"/>
  <c r="E2834" i="8"/>
  <c r="F2833" i="8"/>
  <c r="E2833" i="8"/>
  <c r="F2832" i="8"/>
  <c r="E2832" i="8"/>
  <c r="F2831" i="8"/>
  <c r="E2831" i="8"/>
  <c r="F2830" i="8"/>
  <c r="E2830" i="8"/>
  <c r="F2829" i="8"/>
  <c r="E2829" i="8"/>
  <c r="F2828" i="8"/>
  <c r="E2828" i="8"/>
  <c r="F2827" i="8"/>
  <c r="E2827" i="8"/>
  <c r="F2826" i="8"/>
  <c r="E2826" i="8"/>
  <c r="F2825" i="8"/>
  <c r="E2825" i="8"/>
  <c r="F2824" i="8"/>
  <c r="E2824" i="8"/>
  <c r="F2823" i="8"/>
  <c r="E2823" i="8"/>
  <c r="F2822" i="8"/>
  <c r="E2822" i="8"/>
  <c r="F2821" i="8"/>
  <c r="E2821" i="8"/>
  <c r="F2820" i="8"/>
  <c r="E2820" i="8"/>
  <c r="F2819" i="8"/>
  <c r="E2819" i="8"/>
  <c r="F2818" i="8"/>
  <c r="E2818" i="8"/>
  <c r="F2817" i="8"/>
  <c r="E2817" i="8"/>
  <c r="F2816" i="8"/>
  <c r="E2816" i="8"/>
  <c r="F2815" i="8"/>
  <c r="E2815" i="8"/>
  <c r="F2814" i="8"/>
  <c r="E2814" i="8"/>
  <c r="F2813" i="8"/>
  <c r="E2813" i="8"/>
  <c r="F2812" i="8"/>
  <c r="E2812" i="8"/>
  <c r="F2811" i="8"/>
  <c r="E2811" i="8"/>
  <c r="F2810" i="8"/>
  <c r="E2810" i="8"/>
  <c r="F2809" i="8"/>
  <c r="E2809" i="8"/>
  <c r="F2808" i="8"/>
  <c r="E2808" i="8"/>
  <c r="F2807" i="8"/>
  <c r="E2807" i="8"/>
  <c r="F2806" i="8"/>
  <c r="E2806" i="8"/>
  <c r="F2805" i="8"/>
  <c r="E2805" i="8"/>
  <c r="F2804" i="8"/>
  <c r="E2804" i="8"/>
  <c r="F2803" i="8"/>
  <c r="E2803" i="8"/>
  <c r="F2802" i="8"/>
  <c r="E2802" i="8"/>
  <c r="F2801" i="8"/>
  <c r="E2801" i="8"/>
  <c r="F2800" i="8"/>
  <c r="E2800" i="8"/>
  <c r="F2799" i="8"/>
  <c r="E2799" i="8"/>
  <c r="F2798" i="8"/>
  <c r="E2798" i="8"/>
  <c r="F2797" i="8"/>
  <c r="E2797" i="8"/>
  <c r="F2796" i="8"/>
  <c r="E2796" i="8"/>
  <c r="F2795" i="8"/>
  <c r="E2795" i="8"/>
  <c r="F2794" i="8"/>
  <c r="E2794" i="8"/>
  <c r="F2793" i="8"/>
  <c r="E2793" i="8"/>
  <c r="F2792" i="8"/>
  <c r="E2792" i="8"/>
  <c r="F2791" i="8"/>
  <c r="E2791" i="8"/>
  <c r="F2790" i="8"/>
  <c r="E2790" i="8"/>
  <c r="F2789" i="8"/>
  <c r="E2789" i="8"/>
  <c r="F2788" i="8"/>
  <c r="E2788" i="8"/>
  <c r="F2787" i="8"/>
  <c r="E2787" i="8"/>
  <c r="F2786" i="8"/>
  <c r="E2786" i="8"/>
  <c r="F2785" i="8"/>
  <c r="E2785" i="8"/>
  <c r="F2784" i="8"/>
  <c r="E2784" i="8"/>
  <c r="F2783" i="8"/>
  <c r="E2783" i="8"/>
  <c r="F2782" i="8"/>
  <c r="E2782" i="8"/>
  <c r="F2781" i="8"/>
  <c r="E2781" i="8"/>
  <c r="F2780" i="8"/>
  <c r="E2780" i="8"/>
  <c r="F2779" i="8"/>
  <c r="E2779" i="8"/>
  <c r="F2778" i="8"/>
  <c r="E2778" i="8"/>
  <c r="F2777" i="8"/>
  <c r="E2777" i="8"/>
  <c r="F2776" i="8"/>
  <c r="E2776" i="8"/>
  <c r="F2775" i="8"/>
  <c r="E2775" i="8"/>
  <c r="F2774" i="8"/>
  <c r="E2774" i="8"/>
  <c r="F2773" i="8"/>
  <c r="E2773" i="8"/>
  <c r="F2772" i="8"/>
  <c r="E2772" i="8"/>
  <c r="F2771" i="8"/>
  <c r="E2771" i="8"/>
  <c r="F2770" i="8"/>
  <c r="E2770" i="8"/>
  <c r="F2769" i="8"/>
  <c r="E2769" i="8"/>
  <c r="F2768" i="8"/>
  <c r="E2768" i="8"/>
  <c r="F2767" i="8"/>
  <c r="E2767" i="8"/>
  <c r="F2766" i="8"/>
  <c r="E2766" i="8"/>
  <c r="F2765" i="8"/>
  <c r="E2765" i="8"/>
  <c r="F2764" i="8"/>
  <c r="E2764" i="8"/>
  <c r="F2763" i="8"/>
  <c r="E2763" i="8"/>
  <c r="F2762" i="8"/>
  <c r="E2762" i="8"/>
  <c r="F2761" i="8"/>
  <c r="E2761" i="8"/>
  <c r="F2760" i="8"/>
  <c r="E2760" i="8"/>
  <c r="F2759" i="8"/>
  <c r="E2759" i="8"/>
  <c r="F2758" i="8"/>
  <c r="E2758" i="8"/>
  <c r="F2757" i="8"/>
  <c r="E2757" i="8"/>
  <c r="F2756" i="8"/>
  <c r="E2756" i="8"/>
  <c r="F2755" i="8"/>
  <c r="E2755" i="8"/>
  <c r="F2754" i="8"/>
  <c r="E2754" i="8"/>
  <c r="F2753" i="8"/>
  <c r="E2753" i="8"/>
  <c r="F2752" i="8"/>
  <c r="E2752" i="8"/>
  <c r="F2751" i="8"/>
  <c r="E2751" i="8"/>
  <c r="F2750" i="8"/>
  <c r="E2750" i="8"/>
  <c r="F2749" i="8"/>
  <c r="E2749" i="8"/>
  <c r="F2748" i="8"/>
  <c r="E2748" i="8"/>
  <c r="F2747" i="8"/>
  <c r="E2747" i="8"/>
  <c r="F2746" i="8"/>
  <c r="E2746" i="8"/>
  <c r="F2745" i="8"/>
  <c r="E2745" i="8"/>
  <c r="F2744" i="8"/>
  <c r="E2744" i="8"/>
  <c r="F2743" i="8"/>
  <c r="E2743" i="8"/>
  <c r="F2742" i="8"/>
  <c r="E2742" i="8"/>
  <c r="F2741" i="8"/>
  <c r="E2741" i="8"/>
  <c r="F2740" i="8"/>
  <c r="E2740" i="8"/>
  <c r="F2739" i="8"/>
  <c r="E2739" i="8"/>
  <c r="F2738" i="8"/>
  <c r="E2738" i="8"/>
  <c r="F2737" i="8"/>
  <c r="E2737" i="8"/>
  <c r="F2736" i="8"/>
  <c r="E2736" i="8"/>
  <c r="F2735" i="8"/>
  <c r="E2735" i="8"/>
  <c r="F2734" i="8"/>
  <c r="E2734" i="8"/>
  <c r="F2733" i="8"/>
  <c r="E2733" i="8"/>
  <c r="F2732" i="8"/>
  <c r="E2732" i="8"/>
  <c r="F2731" i="8"/>
  <c r="E2731" i="8"/>
  <c r="F2730" i="8"/>
  <c r="E2730" i="8"/>
  <c r="F2729" i="8"/>
  <c r="E2729" i="8"/>
  <c r="F2728" i="8"/>
  <c r="E2728" i="8"/>
  <c r="F2727" i="8"/>
  <c r="E2727" i="8"/>
  <c r="F2726" i="8"/>
  <c r="E2726" i="8"/>
  <c r="F2725" i="8"/>
  <c r="E2725" i="8"/>
  <c r="F2724" i="8"/>
  <c r="E2724" i="8"/>
  <c r="F2723" i="8"/>
  <c r="E2723" i="8"/>
  <c r="F2722" i="8"/>
  <c r="E2722" i="8"/>
  <c r="F2721" i="8"/>
  <c r="E2721" i="8"/>
  <c r="F2720" i="8"/>
  <c r="E2720" i="8"/>
  <c r="F2719" i="8"/>
  <c r="E2719" i="8"/>
  <c r="F2718" i="8"/>
  <c r="E2718" i="8"/>
  <c r="F2717" i="8"/>
  <c r="E2717" i="8"/>
  <c r="F2716" i="8"/>
  <c r="E2716" i="8"/>
  <c r="F2715" i="8"/>
  <c r="E2715" i="8"/>
  <c r="F2714" i="8"/>
  <c r="E2714" i="8"/>
  <c r="F2713" i="8"/>
  <c r="E2713" i="8"/>
  <c r="F2712" i="8"/>
  <c r="E2712" i="8"/>
  <c r="F2711" i="8"/>
  <c r="E2711" i="8"/>
  <c r="F2710" i="8"/>
  <c r="E2710" i="8"/>
  <c r="F2709" i="8"/>
  <c r="E2709" i="8"/>
  <c r="F2708" i="8"/>
  <c r="E2708" i="8"/>
  <c r="F2707" i="8"/>
  <c r="E2707" i="8"/>
  <c r="F2706" i="8"/>
  <c r="E2706" i="8"/>
  <c r="F2705" i="8"/>
  <c r="E2705" i="8"/>
  <c r="F2704" i="8"/>
  <c r="E2704" i="8"/>
  <c r="F2703" i="8"/>
  <c r="E2703" i="8"/>
  <c r="F2702" i="8"/>
  <c r="E2702" i="8"/>
  <c r="F2701" i="8"/>
  <c r="E2701" i="8"/>
  <c r="F2700" i="8"/>
  <c r="E2700" i="8"/>
  <c r="F2699" i="8"/>
  <c r="E2699" i="8"/>
  <c r="F2698" i="8"/>
  <c r="E2698" i="8"/>
  <c r="F2697" i="8"/>
  <c r="E2697" i="8"/>
  <c r="F2696" i="8"/>
  <c r="E2696" i="8"/>
  <c r="F2695" i="8"/>
  <c r="E2695" i="8"/>
  <c r="F2694" i="8"/>
  <c r="E2694" i="8"/>
  <c r="F2693" i="8"/>
  <c r="E2693" i="8"/>
  <c r="F2692" i="8"/>
  <c r="E2692" i="8"/>
  <c r="F2691" i="8"/>
  <c r="E2691" i="8"/>
  <c r="F2690" i="8"/>
  <c r="E2690" i="8"/>
  <c r="F2689" i="8"/>
  <c r="E2689" i="8"/>
  <c r="F2688" i="8"/>
  <c r="E2688" i="8"/>
  <c r="F2687" i="8"/>
  <c r="E2687" i="8"/>
  <c r="F2686" i="8"/>
  <c r="E2686" i="8"/>
  <c r="F2685" i="8"/>
  <c r="E2685" i="8"/>
  <c r="F2684" i="8"/>
  <c r="E2684" i="8"/>
  <c r="F2683" i="8"/>
  <c r="E2683" i="8"/>
  <c r="F2682" i="8"/>
  <c r="E2682" i="8"/>
  <c r="F2681" i="8"/>
  <c r="E2681" i="8"/>
  <c r="F2680" i="8"/>
  <c r="E2680" i="8"/>
  <c r="F2679" i="8"/>
  <c r="E2679" i="8"/>
  <c r="F2678" i="8"/>
  <c r="E2678" i="8"/>
  <c r="F2677" i="8"/>
  <c r="E2677" i="8"/>
  <c r="F2676" i="8"/>
  <c r="E2676" i="8"/>
  <c r="F2675" i="8"/>
  <c r="E2675" i="8"/>
  <c r="F2674" i="8"/>
  <c r="E2674" i="8"/>
  <c r="F2673" i="8"/>
  <c r="E2673" i="8"/>
  <c r="F2672" i="8"/>
  <c r="E2672" i="8"/>
  <c r="F2671" i="8"/>
  <c r="E2671" i="8"/>
  <c r="F2670" i="8"/>
  <c r="E2670" i="8"/>
  <c r="F2669" i="8"/>
  <c r="E2669" i="8"/>
  <c r="F2668" i="8"/>
  <c r="E2668" i="8"/>
  <c r="F2667" i="8"/>
  <c r="E2667" i="8"/>
  <c r="F2666" i="8"/>
  <c r="E2666" i="8"/>
  <c r="F2665" i="8"/>
  <c r="E2665" i="8"/>
  <c r="F2664" i="8"/>
  <c r="E2664" i="8"/>
  <c r="F2663" i="8"/>
  <c r="E2663" i="8"/>
  <c r="F2662" i="8"/>
  <c r="E2662" i="8"/>
  <c r="F2661" i="8"/>
  <c r="E2661" i="8"/>
  <c r="F2660" i="8"/>
  <c r="E2660" i="8"/>
  <c r="F2659" i="8"/>
  <c r="E2659" i="8"/>
  <c r="F2658" i="8"/>
  <c r="E2658" i="8"/>
  <c r="F2657" i="8"/>
  <c r="E2657" i="8"/>
  <c r="F2656" i="8"/>
  <c r="E2656" i="8"/>
  <c r="F2655" i="8"/>
  <c r="E2655" i="8"/>
  <c r="F2654" i="8"/>
  <c r="E2654" i="8"/>
  <c r="F2653" i="8"/>
  <c r="E2653" i="8"/>
  <c r="F2652" i="8"/>
  <c r="E2652" i="8"/>
  <c r="F2651" i="8"/>
  <c r="E2651" i="8"/>
  <c r="F2650" i="8"/>
  <c r="E2650" i="8"/>
  <c r="F2649" i="8"/>
  <c r="E2649" i="8"/>
  <c r="F2648" i="8"/>
  <c r="E2648" i="8"/>
  <c r="F2647" i="8"/>
  <c r="E2647" i="8"/>
  <c r="F2646" i="8"/>
  <c r="E2646" i="8"/>
  <c r="F2645" i="8"/>
  <c r="E2645" i="8"/>
  <c r="F2644" i="8"/>
  <c r="E2644" i="8"/>
  <c r="F2643" i="8"/>
  <c r="E2643" i="8"/>
  <c r="F2642" i="8"/>
  <c r="E2642" i="8"/>
  <c r="F2641" i="8"/>
  <c r="E2641" i="8"/>
  <c r="F2640" i="8"/>
  <c r="E2640" i="8"/>
  <c r="F2639" i="8"/>
  <c r="E2639" i="8"/>
  <c r="F2638" i="8"/>
  <c r="E2638" i="8"/>
  <c r="F2637" i="8"/>
  <c r="E2637" i="8"/>
  <c r="F2636" i="8"/>
  <c r="E2636" i="8"/>
  <c r="F2635" i="8"/>
  <c r="E2635" i="8"/>
  <c r="F2634" i="8"/>
  <c r="E2634" i="8"/>
  <c r="F2633" i="8"/>
  <c r="E2633" i="8"/>
  <c r="F2632" i="8"/>
  <c r="E2632" i="8"/>
  <c r="F2631" i="8"/>
  <c r="E2631" i="8"/>
  <c r="F2630" i="8"/>
  <c r="E2630" i="8"/>
  <c r="F2629" i="8"/>
  <c r="E2629" i="8"/>
  <c r="F2628" i="8"/>
  <c r="E2628" i="8"/>
  <c r="F2627" i="8"/>
  <c r="E2627" i="8"/>
  <c r="F2626" i="8"/>
  <c r="E2626" i="8"/>
  <c r="F2625" i="8"/>
  <c r="E2625" i="8"/>
  <c r="F2624" i="8"/>
  <c r="E2624" i="8"/>
  <c r="F2623" i="8"/>
  <c r="E2623" i="8"/>
  <c r="F2622" i="8"/>
  <c r="E2622" i="8"/>
  <c r="F2621" i="8"/>
  <c r="E2621" i="8"/>
  <c r="F2620" i="8"/>
  <c r="E2620" i="8"/>
  <c r="F2619" i="8"/>
  <c r="E2619" i="8"/>
  <c r="F2618" i="8"/>
  <c r="E2618" i="8"/>
  <c r="F2617" i="8"/>
  <c r="E2617" i="8"/>
  <c r="F2616" i="8"/>
  <c r="E2616" i="8"/>
  <c r="F2615" i="8"/>
  <c r="E2615" i="8"/>
  <c r="F2614" i="8"/>
  <c r="E2614" i="8"/>
  <c r="F2613" i="8"/>
  <c r="E2613" i="8"/>
  <c r="F2612" i="8"/>
  <c r="E2612" i="8"/>
  <c r="F2611" i="8"/>
  <c r="E2611" i="8"/>
  <c r="F2610" i="8"/>
  <c r="E2610" i="8"/>
  <c r="F2609" i="8"/>
  <c r="E2609" i="8"/>
  <c r="F2608" i="8"/>
  <c r="E2608" i="8"/>
  <c r="F2607" i="8"/>
  <c r="E2607" i="8"/>
  <c r="F2606" i="8"/>
  <c r="E2606" i="8"/>
  <c r="F2605" i="8"/>
  <c r="E2605" i="8"/>
  <c r="F2604" i="8"/>
  <c r="E2604" i="8"/>
  <c r="F2603" i="8"/>
  <c r="E2603" i="8"/>
  <c r="F2602" i="8"/>
  <c r="E2602" i="8"/>
  <c r="F2601" i="8"/>
  <c r="E2601" i="8"/>
  <c r="F2600" i="8"/>
  <c r="E2600" i="8"/>
  <c r="F2599" i="8"/>
  <c r="E2599" i="8"/>
  <c r="F2598" i="8"/>
  <c r="E2598" i="8"/>
  <c r="F2597" i="8"/>
  <c r="E2597" i="8"/>
  <c r="F2596" i="8"/>
  <c r="E2596" i="8"/>
  <c r="F2595" i="8"/>
  <c r="E2595" i="8"/>
  <c r="F2594" i="8"/>
  <c r="E2594" i="8"/>
  <c r="F2593" i="8"/>
  <c r="E2593" i="8"/>
  <c r="F2592" i="8"/>
  <c r="E2592" i="8"/>
  <c r="F2591" i="8"/>
  <c r="E2591" i="8"/>
  <c r="F2590" i="8"/>
  <c r="E2590" i="8"/>
  <c r="F2589" i="8"/>
  <c r="E2589" i="8"/>
  <c r="F2588" i="8"/>
  <c r="E2588" i="8"/>
  <c r="F2587" i="8"/>
  <c r="E2587" i="8"/>
  <c r="F2586" i="8"/>
  <c r="E2586" i="8"/>
  <c r="F2585" i="8"/>
  <c r="E2585" i="8"/>
  <c r="F2584" i="8"/>
  <c r="E2584" i="8"/>
  <c r="F2583" i="8"/>
  <c r="E2583" i="8"/>
  <c r="F2582" i="8"/>
  <c r="E2582" i="8"/>
  <c r="F2581" i="8"/>
  <c r="E2581" i="8"/>
  <c r="F2580" i="8"/>
  <c r="E2580" i="8"/>
  <c r="F2579" i="8"/>
  <c r="E2579" i="8"/>
  <c r="F2578" i="8"/>
  <c r="E2578" i="8"/>
  <c r="F2577" i="8"/>
  <c r="E2577" i="8"/>
  <c r="F2576" i="8"/>
  <c r="E2576" i="8"/>
  <c r="F2575" i="8"/>
  <c r="E2575" i="8"/>
  <c r="F2574" i="8"/>
  <c r="E2574" i="8"/>
  <c r="F2573" i="8"/>
  <c r="E2573" i="8"/>
  <c r="F2572" i="8"/>
  <c r="E2572" i="8"/>
  <c r="F2571" i="8"/>
  <c r="E2571" i="8"/>
  <c r="F2570" i="8"/>
  <c r="E2570" i="8"/>
  <c r="F2569" i="8"/>
  <c r="E2569" i="8"/>
  <c r="F2568" i="8"/>
  <c r="E2568" i="8"/>
  <c r="F2567" i="8"/>
  <c r="E2567" i="8"/>
  <c r="F2566" i="8"/>
  <c r="E2566" i="8"/>
  <c r="F2565" i="8"/>
  <c r="E2565" i="8"/>
  <c r="F2564" i="8"/>
  <c r="E2564" i="8"/>
  <c r="F2563" i="8"/>
  <c r="E2563" i="8"/>
  <c r="F2562" i="8"/>
  <c r="E2562" i="8"/>
  <c r="F2561" i="8"/>
  <c r="E2561" i="8"/>
  <c r="F2560" i="8"/>
  <c r="E2560" i="8"/>
  <c r="F2559" i="8"/>
  <c r="E2559" i="8"/>
  <c r="F2558" i="8"/>
  <c r="E2558" i="8"/>
  <c r="F2557" i="8"/>
  <c r="E2557" i="8"/>
  <c r="F2556" i="8"/>
  <c r="E2556" i="8"/>
  <c r="F2555" i="8"/>
  <c r="E2555" i="8"/>
  <c r="F2554" i="8"/>
  <c r="E2554" i="8"/>
  <c r="F2553" i="8"/>
  <c r="E2553" i="8"/>
  <c r="F2552" i="8"/>
  <c r="E2552" i="8"/>
  <c r="F2551" i="8"/>
  <c r="E2551" i="8"/>
  <c r="F2550" i="8"/>
  <c r="E2550" i="8"/>
  <c r="F2549" i="8"/>
  <c r="E2549" i="8"/>
  <c r="F2548" i="8"/>
  <c r="E2548" i="8"/>
  <c r="F2547" i="8"/>
  <c r="E2547" i="8"/>
  <c r="F2546" i="8"/>
  <c r="E2546" i="8"/>
  <c r="F2545" i="8"/>
  <c r="E2545" i="8"/>
  <c r="F2544" i="8"/>
  <c r="E2544" i="8"/>
  <c r="F2543" i="8"/>
  <c r="E2543" i="8"/>
  <c r="F2542" i="8"/>
  <c r="E2542" i="8"/>
  <c r="F2541" i="8"/>
  <c r="E2541" i="8"/>
  <c r="F2540" i="8"/>
  <c r="E2540" i="8"/>
  <c r="F2539" i="8"/>
  <c r="E2539" i="8"/>
  <c r="F2538" i="8"/>
  <c r="E2538" i="8"/>
  <c r="F2537" i="8"/>
  <c r="E2537" i="8"/>
  <c r="F2536" i="8"/>
  <c r="E2536" i="8"/>
  <c r="F2535" i="8"/>
  <c r="E2535" i="8"/>
  <c r="F2534" i="8"/>
  <c r="E2534" i="8"/>
  <c r="F2533" i="8"/>
  <c r="E2533" i="8"/>
  <c r="F2532" i="8"/>
  <c r="E2532" i="8"/>
  <c r="F2531" i="8"/>
  <c r="E2531" i="8"/>
  <c r="F2530" i="8"/>
  <c r="E2530" i="8"/>
  <c r="F2529" i="8"/>
  <c r="E2529" i="8"/>
  <c r="F2528" i="8"/>
  <c r="E2528" i="8"/>
  <c r="F2527" i="8"/>
  <c r="E2527" i="8"/>
  <c r="F2526" i="8"/>
  <c r="E2526" i="8"/>
  <c r="F2525" i="8"/>
  <c r="E2525" i="8"/>
  <c r="F2524" i="8"/>
  <c r="E2524" i="8"/>
  <c r="F2523" i="8"/>
  <c r="E2523" i="8"/>
  <c r="F2522" i="8"/>
  <c r="E2522" i="8"/>
  <c r="F2521" i="8"/>
  <c r="E2521" i="8"/>
  <c r="F2520" i="8"/>
  <c r="E2520" i="8"/>
  <c r="F2519" i="8"/>
  <c r="E2519" i="8"/>
  <c r="F2518" i="8"/>
  <c r="E2518" i="8"/>
  <c r="F2517" i="8"/>
  <c r="E2517" i="8"/>
  <c r="F2516" i="8"/>
  <c r="E2516" i="8"/>
  <c r="F2515" i="8"/>
  <c r="E2515" i="8"/>
  <c r="F2514" i="8"/>
  <c r="E2514" i="8"/>
  <c r="F2513" i="8"/>
  <c r="E2513" i="8"/>
  <c r="F2512" i="8"/>
  <c r="E2512" i="8"/>
  <c r="F2511" i="8"/>
  <c r="E2511" i="8"/>
  <c r="F2510" i="8"/>
  <c r="E2510" i="8"/>
  <c r="F2509" i="8"/>
  <c r="E2509" i="8"/>
  <c r="F2508" i="8"/>
  <c r="E2508" i="8"/>
  <c r="F2507" i="8"/>
  <c r="E2507" i="8"/>
  <c r="F2506" i="8"/>
  <c r="E2506" i="8"/>
  <c r="F2505" i="8"/>
  <c r="E2505" i="8"/>
  <c r="F2504" i="8"/>
  <c r="E2504" i="8"/>
  <c r="F2503" i="8"/>
  <c r="E2503" i="8"/>
  <c r="F2502" i="8"/>
  <c r="E2502" i="8"/>
  <c r="F2501" i="8"/>
  <c r="E2501" i="8"/>
  <c r="F2500" i="8"/>
  <c r="E2500" i="8"/>
  <c r="F2499" i="8"/>
  <c r="E2499" i="8"/>
  <c r="F2498" i="8"/>
  <c r="E2498" i="8"/>
  <c r="F2497" i="8"/>
  <c r="E2497" i="8"/>
  <c r="F2496" i="8"/>
  <c r="E2496" i="8"/>
  <c r="F2495" i="8"/>
  <c r="E2495" i="8"/>
  <c r="F2494" i="8"/>
  <c r="E2494" i="8"/>
  <c r="F2493" i="8"/>
  <c r="E2493" i="8"/>
  <c r="F2492" i="8"/>
  <c r="E2492" i="8"/>
  <c r="F2491" i="8"/>
  <c r="E2491" i="8"/>
  <c r="F2490" i="8"/>
  <c r="E2490" i="8"/>
  <c r="F2489" i="8"/>
  <c r="E2489" i="8"/>
  <c r="F2488" i="8"/>
  <c r="E2488" i="8"/>
  <c r="F2487" i="8"/>
  <c r="E2487" i="8"/>
  <c r="F2486" i="8"/>
  <c r="E2486" i="8"/>
  <c r="F2485" i="8"/>
  <c r="E2485" i="8"/>
  <c r="F2484" i="8"/>
  <c r="E2484" i="8"/>
  <c r="F2483" i="8"/>
  <c r="E2483" i="8"/>
  <c r="F2482" i="8"/>
  <c r="E2482" i="8"/>
  <c r="F2481" i="8"/>
  <c r="E2481" i="8"/>
  <c r="F2480" i="8"/>
  <c r="E2480" i="8"/>
  <c r="F2479" i="8"/>
  <c r="E2479" i="8"/>
  <c r="F2478" i="8"/>
  <c r="E2478" i="8"/>
  <c r="F2477" i="8"/>
  <c r="E2477" i="8"/>
  <c r="F2476" i="8"/>
  <c r="E2476" i="8"/>
  <c r="F2475" i="8"/>
  <c r="E2475" i="8"/>
  <c r="F2474" i="8"/>
  <c r="E2474" i="8"/>
  <c r="F2473" i="8"/>
  <c r="E2473" i="8"/>
  <c r="F2472" i="8"/>
  <c r="E2472" i="8"/>
  <c r="F2471" i="8"/>
  <c r="E2471" i="8"/>
  <c r="F2470" i="8"/>
  <c r="E2470" i="8"/>
  <c r="F2469" i="8"/>
  <c r="E2469" i="8"/>
  <c r="F2468" i="8"/>
  <c r="E2468" i="8"/>
  <c r="F2467" i="8"/>
  <c r="E2467" i="8"/>
  <c r="F2466" i="8"/>
  <c r="E2466" i="8"/>
  <c r="F2465" i="8"/>
  <c r="E2465" i="8"/>
  <c r="F2464" i="8"/>
  <c r="E2464" i="8"/>
  <c r="F2463" i="8"/>
  <c r="E2463" i="8"/>
  <c r="F2462" i="8"/>
  <c r="E2462" i="8"/>
  <c r="F2461" i="8"/>
  <c r="E2461" i="8"/>
  <c r="F2460" i="8"/>
  <c r="E2460" i="8"/>
  <c r="F2459" i="8"/>
  <c r="E2459" i="8"/>
  <c r="F2458" i="8"/>
  <c r="E2458" i="8"/>
  <c r="F2457" i="8"/>
  <c r="E2457" i="8"/>
  <c r="F2456" i="8"/>
  <c r="E2456" i="8"/>
  <c r="F2455" i="8"/>
  <c r="E2455" i="8"/>
  <c r="F2454" i="8"/>
  <c r="E2454" i="8"/>
  <c r="F2453" i="8"/>
  <c r="E2453" i="8"/>
  <c r="F2452" i="8"/>
  <c r="E2452" i="8"/>
  <c r="F2451" i="8"/>
  <c r="E2451" i="8"/>
  <c r="F2450" i="8"/>
  <c r="E2450" i="8"/>
  <c r="F2449" i="8"/>
  <c r="E2449" i="8"/>
  <c r="F2448" i="8"/>
  <c r="E2448" i="8"/>
  <c r="F2447" i="8"/>
  <c r="E2447" i="8"/>
  <c r="F2446" i="8"/>
  <c r="E2446" i="8"/>
  <c r="F2445" i="8"/>
  <c r="E2445" i="8"/>
  <c r="F2444" i="8"/>
  <c r="E2444" i="8"/>
  <c r="F2443" i="8"/>
  <c r="E2443" i="8"/>
  <c r="F2442" i="8"/>
  <c r="E2442" i="8"/>
  <c r="F2441" i="8"/>
  <c r="E2441" i="8"/>
  <c r="F2440" i="8"/>
  <c r="E2440" i="8"/>
  <c r="F2439" i="8"/>
  <c r="E2439" i="8"/>
  <c r="F2438" i="8"/>
  <c r="E2438" i="8"/>
  <c r="F2437" i="8"/>
  <c r="E2437" i="8"/>
  <c r="F2436" i="8"/>
  <c r="E2436" i="8"/>
  <c r="F2435" i="8"/>
  <c r="E2435" i="8"/>
  <c r="F2434" i="8"/>
  <c r="E2434" i="8"/>
  <c r="F2433" i="8"/>
  <c r="E2433" i="8"/>
  <c r="F2432" i="8"/>
  <c r="E2432" i="8"/>
  <c r="F2431" i="8"/>
  <c r="E2431" i="8"/>
  <c r="F2430" i="8"/>
  <c r="E2430" i="8"/>
  <c r="F2429" i="8"/>
  <c r="E2429" i="8"/>
  <c r="F2428" i="8"/>
  <c r="E2428" i="8"/>
  <c r="F2427" i="8"/>
  <c r="E2427" i="8"/>
  <c r="F2426" i="8"/>
  <c r="E2426" i="8"/>
  <c r="F2425" i="8"/>
  <c r="E2425" i="8"/>
  <c r="F2424" i="8"/>
  <c r="E2424" i="8"/>
  <c r="F2423" i="8"/>
  <c r="E2423" i="8"/>
  <c r="F2422" i="8"/>
  <c r="E2422" i="8"/>
  <c r="F2421" i="8"/>
  <c r="E2421" i="8"/>
  <c r="F2420" i="8"/>
  <c r="E2420" i="8"/>
  <c r="F2419" i="8"/>
  <c r="E2419" i="8"/>
  <c r="F2418" i="8"/>
  <c r="E2418" i="8"/>
  <c r="F2417" i="8"/>
  <c r="E2417" i="8"/>
  <c r="F2416" i="8"/>
  <c r="E2416" i="8"/>
  <c r="F2415" i="8"/>
  <c r="E2415" i="8"/>
  <c r="F2414" i="8"/>
  <c r="E2414" i="8"/>
  <c r="F2413" i="8"/>
  <c r="E2413" i="8"/>
  <c r="F2412" i="8"/>
  <c r="E2412" i="8"/>
  <c r="F2411" i="8"/>
  <c r="E2411" i="8"/>
  <c r="F2410" i="8"/>
  <c r="E2410" i="8"/>
  <c r="F2409" i="8"/>
  <c r="E2409" i="8"/>
  <c r="F2408" i="8"/>
  <c r="E2408" i="8"/>
  <c r="F2407" i="8"/>
  <c r="E2407" i="8"/>
  <c r="F2406" i="8"/>
  <c r="E2406" i="8"/>
  <c r="F2405" i="8"/>
  <c r="E2405" i="8"/>
  <c r="F2404" i="8"/>
  <c r="E2404" i="8"/>
  <c r="F2403" i="8"/>
  <c r="E2403" i="8"/>
  <c r="F2402" i="8"/>
  <c r="E2402" i="8"/>
  <c r="F2401" i="8"/>
  <c r="E2401" i="8"/>
  <c r="F2400" i="8"/>
  <c r="E2400" i="8"/>
  <c r="F2399" i="8"/>
  <c r="E2399" i="8"/>
  <c r="F2398" i="8"/>
  <c r="E2398" i="8"/>
  <c r="F2397" i="8"/>
  <c r="E2397" i="8"/>
  <c r="F2396" i="8"/>
  <c r="E2396" i="8"/>
  <c r="F2395" i="8"/>
  <c r="E2395" i="8"/>
  <c r="F2394" i="8"/>
  <c r="E2394" i="8"/>
  <c r="F2393" i="8"/>
  <c r="E2393" i="8"/>
  <c r="F2392" i="8"/>
  <c r="E2392" i="8"/>
  <c r="F2391" i="8"/>
  <c r="E2391" i="8"/>
  <c r="F2390" i="8"/>
  <c r="E2390" i="8"/>
  <c r="F2389" i="8"/>
  <c r="E2389" i="8"/>
  <c r="F2388" i="8"/>
  <c r="E2388" i="8"/>
  <c r="F2387" i="8"/>
  <c r="E2387" i="8"/>
  <c r="F2386" i="8"/>
  <c r="E2386" i="8"/>
  <c r="F2385" i="8"/>
  <c r="E2385" i="8"/>
  <c r="F2384" i="8"/>
  <c r="E2384" i="8"/>
  <c r="F2383" i="8"/>
  <c r="E2383" i="8"/>
  <c r="F2382" i="8"/>
  <c r="E2382" i="8"/>
  <c r="F2381" i="8"/>
  <c r="E2381" i="8"/>
  <c r="F2380" i="8"/>
  <c r="E2380" i="8"/>
  <c r="F2379" i="8"/>
  <c r="E2379" i="8"/>
  <c r="F2378" i="8"/>
  <c r="E2378" i="8"/>
  <c r="F2377" i="8"/>
  <c r="E2377" i="8"/>
  <c r="F2376" i="8"/>
  <c r="E2376" i="8"/>
  <c r="F2375" i="8"/>
  <c r="E2375" i="8"/>
  <c r="F2374" i="8"/>
  <c r="E2374" i="8"/>
  <c r="F2373" i="8"/>
  <c r="E2373" i="8"/>
  <c r="F2372" i="8"/>
  <c r="E2372" i="8"/>
  <c r="F2371" i="8"/>
  <c r="E2371" i="8"/>
  <c r="F2370" i="8"/>
  <c r="E2370" i="8"/>
  <c r="F2369" i="8"/>
  <c r="E2369" i="8"/>
  <c r="F2368" i="8"/>
  <c r="E2368" i="8"/>
  <c r="F2367" i="8"/>
  <c r="E2367" i="8"/>
  <c r="F2366" i="8"/>
  <c r="E2366" i="8"/>
  <c r="F2365" i="8"/>
  <c r="E2365" i="8"/>
  <c r="F2364" i="8"/>
  <c r="E2364" i="8"/>
  <c r="F2363" i="8"/>
  <c r="E2363" i="8"/>
  <c r="F2362" i="8"/>
  <c r="E2362" i="8"/>
  <c r="F2361" i="8"/>
  <c r="E2361" i="8"/>
  <c r="F2360" i="8"/>
  <c r="E2360" i="8"/>
  <c r="F2359" i="8"/>
  <c r="E2359" i="8"/>
  <c r="F2358" i="8"/>
  <c r="E2358" i="8"/>
  <c r="F2357" i="8"/>
  <c r="E2357" i="8"/>
  <c r="F2356" i="8"/>
  <c r="E2356" i="8"/>
  <c r="F2355" i="8"/>
  <c r="E2355" i="8"/>
  <c r="F2354" i="8"/>
  <c r="E2354" i="8"/>
  <c r="F2353" i="8"/>
  <c r="E2353" i="8"/>
  <c r="F2352" i="8"/>
  <c r="E2352" i="8"/>
  <c r="F2351" i="8"/>
  <c r="E2351" i="8"/>
  <c r="F2350" i="8"/>
  <c r="E2350" i="8"/>
  <c r="F2349" i="8"/>
  <c r="E2349" i="8"/>
  <c r="F2348" i="8"/>
  <c r="E2348" i="8"/>
  <c r="F2347" i="8"/>
  <c r="E2347" i="8"/>
  <c r="F2346" i="8"/>
  <c r="E2346" i="8"/>
  <c r="F2345" i="8"/>
  <c r="E2345" i="8"/>
  <c r="F2344" i="8"/>
  <c r="E2344" i="8"/>
  <c r="F2343" i="8"/>
  <c r="E2343" i="8"/>
  <c r="F2342" i="8"/>
  <c r="E2342" i="8"/>
  <c r="F2341" i="8"/>
  <c r="E2341" i="8"/>
  <c r="F2340" i="8"/>
  <c r="E2340" i="8"/>
  <c r="F2339" i="8"/>
  <c r="E2339" i="8"/>
  <c r="F2338" i="8"/>
  <c r="E2338" i="8"/>
  <c r="F2337" i="8"/>
  <c r="E2337" i="8"/>
  <c r="F2336" i="8"/>
  <c r="E2336" i="8"/>
  <c r="F2335" i="8"/>
  <c r="E2335" i="8"/>
  <c r="F2334" i="8"/>
  <c r="E2334" i="8"/>
  <c r="F2333" i="8"/>
  <c r="E2333" i="8"/>
  <c r="F2332" i="8"/>
  <c r="E2332" i="8"/>
  <c r="F2331" i="8"/>
  <c r="E2331" i="8"/>
  <c r="F2330" i="8"/>
  <c r="E2330" i="8"/>
  <c r="F2329" i="8"/>
  <c r="E2329" i="8"/>
  <c r="F2328" i="8"/>
  <c r="E2328" i="8"/>
  <c r="F2327" i="8"/>
  <c r="E2327" i="8"/>
  <c r="F2326" i="8"/>
  <c r="E2326" i="8"/>
  <c r="F2325" i="8"/>
  <c r="E2325" i="8"/>
  <c r="F2324" i="8"/>
  <c r="E2324" i="8"/>
  <c r="F2323" i="8"/>
  <c r="E2323" i="8"/>
  <c r="F2322" i="8"/>
  <c r="E2322" i="8"/>
  <c r="F2321" i="8"/>
  <c r="E2321" i="8"/>
  <c r="F2320" i="8"/>
  <c r="E2320" i="8"/>
  <c r="F2319" i="8"/>
  <c r="E2319" i="8"/>
  <c r="F2318" i="8"/>
  <c r="E2318" i="8"/>
  <c r="F2317" i="8"/>
  <c r="E2317" i="8"/>
  <c r="F2316" i="8"/>
  <c r="E2316" i="8"/>
  <c r="F2315" i="8"/>
  <c r="E2315" i="8"/>
  <c r="F2314" i="8"/>
  <c r="E2314" i="8"/>
  <c r="F2313" i="8"/>
  <c r="E2313" i="8"/>
  <c r="F2312" i="8"/>
  <c r="E2312" i="8"/>
  <c r="F2311" i="8"/>
  <c r="E2311" i="8"/>
  <c r="F2310" i="8"/>
  <c r="E2310" i="8"/>
  <c r="F2309" i="8"/>
  <c r="E2309" i="8"/>
  <c r="F2308" i="8"/>
  <c r="E2308" i="8"/>
  <c r="F2307" i="8"/>
  <c r="E2307" i="8"/>
  <c r="F2306" i="8"/>
  <c r="E2306" i="8"/>
  <c r="F2305" i="8"/>
  <c r="E2305" i="8"/>
  <c r="F2304" i="8"/>
  <c r="E2304" i="8"/>
  <c r="F2303" i="8"/>
  <c r="E2303" i="8"/>
  <c r="F2302" i="8"/>
  <c r="E2302" i="8"/>
  <c r="F2301" i="8"/>
  <c r="E2301" i="8"/>
  <c r="F2300" i="8"/>
  <c r="E2300" i="8"/>
  <c r="F2299" i="8"/>
  <c r="E2299" i="8"/>
  <c r="F2298" i="8"/>
  <c r="E2298" i="8"/>
  <c r="F2297" i="8"/>
  <c r="E2297" i="8"/>
  <c r="F2296" i="8"/>
  <c r="E2296" i="8"/>
  <c r="F2295" i="8"/>
  <c r="E2295" i="8"/>
  <c r="F2294" i="8"/>
  <c r="E2294" i="8"/>
  <c r="F2293" i="8"/>
  <c r="E2293" i="8"/>
  <c r="F2292" i="8"/>
  <c r="E2292" i="8"/>
  <c r="F2291" i="8"/>
  <c r="E2291" i="8"/>
  <c r="F2290" i="8"/>
  <c r="E2290" i="8"/>
  <c r="F2289" i="8"/>
  <c r="E2289" i="8"/>
  <c r="F2288" i="8"/>
  <c r="E2288" i="8"/>
  <c r="F2287" i="8"/>
  <c r="E2287" i="8"/>
  <c r="F2286" i="8"/>
  <c r="E2286" i="8"/>
  <c r="F2285" i="8"/>
  <c r="E2285" i="8"/>
  <c r="F2284" i="8"/>
  <c r="E2284" i="8"/>
  <c r="F2283" i="8"/>
  <c r="E2283" i="8"/>
  <c r="F2282" i="8"/>
  <c r="E2282" i="8"/>
  <c r="F2281" i="8"/>
  <c r="E2281" i="8"/>
  <c r="F2280" i="8"/>
  <c r="E2280" i="8"/>
  <c r="F2279" i="8"/>
  <c r="E2279" i="8"/>
  <c r="F2278" i="8"/>
  <c r="E2278" i="8"/>
  <c r="F2277" i="8"/>
  <c r="E2277" i="8"/>
  <c r="F2276" i="8"/>
  <c r="E2276" i="8"/>
  <c r="F2275" i="8"/>
  <c r="E2275" i="8"/>
  <c r="F2274" i="8"/>
  <c r="E2274" i="8"/>
  <c r="F2273" i="8"/>
  <c r="E2273" i="8"/>
  <c r="F2272" i="8"/>
  <c r="E2272" i="8"/>
  <c r="F2271" i="8"/>
  <c r="E2271" i="8"/>
  <c r="F2270" i="8"/>
  <c r="E2270" i="8"/>
  <c r="F2269" i="8"/>
  <c r="E2269" i="8"/>
  <c r="F2268" i="8"/>
  <c r="E2268" i="8"/>
  <c r="F2267" i="8"/>
  <c r="E2267" i="8"/>
  <c r="F2266" i="8"/>
  <c r="E2266" i="8"/>
  <c r="F2265" i="8"/>
  <c r="E2265" i="8"/>
  <c r="F2264" i="8"/>
  <c r="E2264" i="8"/>
  <c r="F2263" i="8"/>
  <c r="E2263" i="8"/>
  <c r="F2262" i="8"/>
  <c r="E2262" i="8"/>
  <c r="F2261" i="8"/>
  <c r="E2261" i="8"/>
  <c r="F2260" i="8"/>
  <c r="E2260" i="8"/>
  <c r="F2259" i="8"/>
  <c r="E2259" i="8"/>
  <c r="F2258" i="8"/>
  <c r="E2258" i="8"/>
  <c r="F2257" i="8"/>
  <c r="E2257" i="8"/>
  <c r="F2256" i="8"/>
  <c r="E2256" i="8"/>
  <c r="F2255" i="8"/>
  <c r="E2255" i="8"/>
  <c r="F2254" i="8"/>
  <c r="E2254" i="8"/>
  <c r="F2253" i="8"/>
  <c r="E2253" i="8"/>
  <c r="F2252" i="8"/>
  <c r="E2252" i="8"/>
  <c r="F2251" i="8"/>
  <c r="E2251" i="8"/>
  <c r="F2250" i="8"/>
  <c r="E2250" i="8"/>
  <c r="F2249" i="8"/>
  <c r="E2249" i="8"/>
  <c r="F2248" i="8"/>
  <c r="E2248" i="8"/>
  <c r="F2247" i="8"/>
  <c r="E2247" i="8"/>
  <c r="F2246" i="8"/>
  <c r="E2246" i="8"/>
  <c r="F2245" i="8"/>
  <c r="E2245" i="8"/>
  <c r="F2244" i="8"/>
  <c r="E2244" i="8"/>
  <c r="F2243" i="8"/>
  <c r="E2243" i="8"/>
  <c r="F2242" i="8"/>
  <c r="E2242" i="8"/>
  <c r="F2241" i="8"/>
  <c r="E2241" i="8"/>
  <c r="F2240" i="8"/>
  <c r="E2240" i="8"/>
  <c r="F2239" i="8"/>
  <c r="E2239" i="8"/>
  <c r="F2238" i="8"/>
  <c r="E2238" i="8"/>
  <c r="F2237" i="8"/>
  <c r="E2237" i="8"/>
  <c r="F2236" i="8"/>
  <c r="E2236" i="8"/>
  <c r="F2235" i="8"/>
  <c r="E2235" i="8"/>
  <c r="F2234" i="8"/>
  <c r="E2234" i="8"/>
  <c r="F2233" i="8"/>
  <c r="E2233" i="8"/>
  <c r="F2232" i="8"/>
  <c r="E2232" i="8"/>
  <c r="F2231" i="8"/>
  <c r="E2231" i="8"/>
  <c r="F2230" i="8"/>
  <c r="E2230" i="8"/>
  <c r="F2229" i="8"/>
  <c r="E2229" i="8"/>
  <c r="F2228" i="8"/>
  <c r="E2228" i="8"/>
  <c r="F2227" i="8"/>
  <c r="E2227" i="8"/>
  <c r="F2226" i="8"/>
  <c r="E2226" i="8"/>
  <c r="F2225" i="8"/>
  <c r="E2225" i="8"/>
  <c r="F2224" i="8"/>
  <c r="E2224" i="8"/>
  <c r="F2223" i="8"/>
  <c r="E2223" i="8"/>
  <c r="F2222" i="8"/>
  <c r="E2222" i="8"/>
  <c r="F2221" i="8"/>
  <c r="E2221" i="8"/>
  <c r="F2220" i="8"/>
  <c r="E2220" i="8"/>
  <c r="F2219" i="8"/>
  <c r="E2219" i="8"/>
  <c r="F2218" i="8"/>
  <c r="E2218" i="8"/>
  <c r="F2217" i="8"/>
  <c r="E2217" i="8"/>
  <c r="F2216" i="8"/>
  <c r="E2216" i="8"/>
  <c r="F2215" i="8"/>
  <c r="E2215" i="8"/>
  <c r="F2214" i="8"/>
  <c r="E2214" i="8"/>
  <c r="F2213" i="8"/>
  <c r="E2213" i="8"/>
  <c r="F2212" i="8"/>
  <c r="E2212" i="8"/>
  <c r="F2211" i="8"/>
  <c r="E2211" i="8"/>
  <c r="F2210" i="8"/>
  <c r="E2210" i="8"/>
  <c r="F2209" i="8"/>
  <c r="E2209" i="8"/>
  <c r="F2208" i="8"/>
  <c r="E2208" i="8"/>
  <c r="F2207" i="8"/>
  <c r="E2207" i="8"/>
  <c r="F2206" i="8"/>
  <c r="E2206" i="8"/>
  <c r="F2205" i="8"/>
  <c r="E2205" i="8"/>
  <c r="F2204" i="8"/>
  <c r="E2204" i="8"/>
  <c r="F2203" i="8"/>
  <c r="E2203" i="8"/>
  <c r="F2202" i="8"/>
  <c r="E2202" i="8"/>
  <c r="F2201" i="8"/>
  <c r="E2201" i="8"/>
  <c r="F2200" i="8"/>
  <c r="E2200" i="8"/>
  <c r="F2199" i="8"/>
  <c r="E2199" i="8"/>
  <c r="F2198" i="8"/>
  <c r="E2198" i="8"/>
  <c r="F2197" i="8"/>
  <c r="E2197" i="8"/>
  <c r="F2196" i="8"/>
  <c r="E2196" i="8"/>
  <c r="F2195" i="8"/>
  <c r="E2195" i="8"/>
  <c r="F2194" i="8"/>
  <c r="E2194" i="8"/>
  <c r="F2193" i="8"/>
  <c r="E2193" i="8"/>
  <c r="F2192" i="8"/>
  <c r="E2192" i="8"/>
  <c r="F2191" i="8"/>
  <c r="E2191" i="8"/>
  <c r="F2190" i="8"/>
  <c r="E2190" i="8"/>
  <c r="F2189" i="8"/>
  <c r="E2189" i="8"/>
  <c r="F2188" i="8"/>
  <c r="E2188" i="8"/>
  <c r="F2187" i="8"/>
  <c r="E2187" i="8"/>
  <c r="F2186" i="8"/>
  <c r="E2186" i="8"/>
  <c r="F2185" i="8"/>
  <c r="E2185" i="8"/>
  <c r="F2184" i="8"/>
  <c r="E2184" i="8"/>
  <c r="F2183" i="8"/>
  <c r="E2183" i="8"/>
  <c r="F2182" i="8"/>
  <c r="E2182" i="8"/>
  <c r="F2181" i="8"/>
  <c r="E2181" i="8"/>
  <c r="F2180" i="8"/>
  <c r="E2180" i="8"/>
  <c r="F2179" i="8"/>
  <c r="E2179" i="8"/>
  <c r="F2178" i="8"/>
  <c r="E2178" i="8"/>
  <c r="F2177" i="8"/>
  <c r="E2177" i="8"/>
  <c r="F2176" i="8"/>
  <c r="E2176" i="8"/>
  <c r="F2175" i="8"/>
  <c r="E2175" i="8"/>
  <c r="F2174" i="8"/>
  <c r="E2174" i="8"/>
  <c r="F2173" i="8"/>
  <c r="E2173" i="8"/>
  <c r="F2172" i="8"/>
  <c r="E2172" i="8"/>
  <c r="F2171" i="8"/>
  <c r="E2171" i="8"/>
  <c r="F2170" i="8"/>
  <c r="E2170" i="8"/>
  <c r="F2169" i="8"/>
  <c r="E2169" i="8"/>
  <c r="F2168" i="8"/>
  <c r="E2168" i="8"/>
  <c r="F2167" i="8"/>
  <c r="E2167" i="8"/>
  <c r="F2166" i="8"/>
  <c r="E2166" i="8"/>
  <c r="F2165" i="8"/>
  <c r="E2165" i="8"/>
  <c r="F2164" i="8"/>
  <c r="E2164" i="8"/>
  <c r="F2163" i="8"/>
  <c r="E2163" i="8"/>
  <c r="F2162" i="8"/>
  <c r="E2162" i="8"/>
  <c r="F2161" i="8"/>
  <c r="E2161" i="8"/>
  <c r="F2160" i="8"/>
  <c r="E2160" i="8"/>
  <c r="F2159" i="8"/>
  <c r="E2159" i="8"/>
  <c r="F2158" i="8"/>
  <c r="E2158" i="8"/>
  <c r="F2157" i="8"/>
  <c r="E2157" i="8"/>
  <c r="F2156" i="8"/>
  <c r="E2156" i="8"/>
  <c r="F2155" i="8"/>
  <c r="E2155" i="8"/>
  <c r="F2154" i="8"/>
  <c r="E2154" i="8"/>
  <c r="F2153" i="8"/>
  <c r="E2153" i="8"/>
  <c r="F2152" i="8"/>
  <c r="E2152" i="8"/>
  <c r="F2151" i="8"/>
  <c r="E2151" i="8"/>
  <c r="F2150" i="8"/>
  <c r="E2150" i="8"/>
  <c r="F2149" i="8"/>
  <c r="E2149" i="8"/>
  <c r="F2148" i="8"/>
  <c r="E2148" i="8"/>
  <c r="F2147" i="8"/>
  <c r="E2147" i="8"/>
  <c r="F2146" i="8"/>
  <c r="E2146" i="8"/>
  <c r="F2145" i="8"/>
  <c r="E2145" i="8"/>
  <c r="F2144" i="8"/>
  <c r="E2144" i="8"/>
  <c r="F2143" i="8"/>
  <c r="E2143" i="8"/>
  <c r="F2142" i="8"/>
  <c r="E2142" i="8"/>
  <c r="F2141" i="8"/>
  <c r="E2141" i="8"/>
  <c r="F2140" i="8"/>
  <c r="E2140" i="8"/>
  <c r="F2139" i="8"/>
  <c r="E2139" i="8"/>
  <c r="F2138" i="8"/>
  <c r="E2138" i="8"/>
  <c r="F2137" i="8"/>
  <c r="E2137" i="8"/>
  <c r="F2136" i="8"/>
  <c r="E2136" i="8"/>
  <c r="F2135" i="8"/>
  <c r="E2135" i="8"/>
  <c r="F2134" i="8"/>
  <c r="E2134" i="8"/>
  <c r="F2133" i="8"/>
  <c r="E2133" i="8"/>
  <c r="F2132" i="8"/>
  <c r="E2132" i="8"/>
  <c r="F2131" i="8"/>
  <c r="E2131" i="8"/>
  <c r="F2130" i="8"/>
  <c r="E2130" i="8"/>
  <c r="F2129" i="8"/>
  <c r="E2129" i="8"/>
  <c r="F2128" i="8"/>
  <c r="E2128" i="8"/>
  <c r="F2127" i="8"/>
  <c r="E2127" i="8"/>
  <c r="F2126" i="8"/>
  <c r="E2126" i="8"/>
  <c r="F2125" i="8"/>
  <c r="E2125" i="8"/>
  <c r="F2124" i="8"/>
  <c r="E2124" i="8"/>
  <c r="F2123" i="8"/>
  <c r="E2123" i="8"/>
  <c r="F2122" i="8"/>
  <c r="E2122" i="8"/>
  <c r="F2121" i="8"/>
  <c r="E2121" i="8"/>
  <c r="F2120" i="8"/>
  <c r="E2120" i="8"/>
  <c r="F2119" i="8"/>
  <c r="E2119" i="8"/>
  <c r="F2118" i="8"/>
  <c r="E2118" i="8"/>
  <c r="F2117" i="8"/>
  <c r="E2117" i="8"/>
  <c r="F2116" i="8"/>
  <c r="E2116" i="8"/>
  <c r="F2115" i="8"/>
  <c r="E2115" i="8"/>
  <c r="F2114" i="8"/>
  <c r="E2114" i="8"/>
  <c r="F2113" i="8"/>
  <c r="E2113" i="8"/>
  <c r="F2112" i="8"/>
  <c r="E2112" i="8"/>
  <c r="F2111" i="8"/>
  <c r="E2111" i="8"/>
  <c r="F2110" i="8"/>
  <c r="E2110" i="8"/>
  <c r="F2109" i="8"/>
  <c r="E2109" i="8"/>
  <c r="F2108" i="8"/>
  <c r="E2108" i="8"/>
  <c r="F2107" i="8"/>
  <c r="E2107" i="8"/>
  <c r="F2106" i="8"/>
  <c r="E2106" i="8"/>
  <c r="F2105" i="8"/>
  <c r="E2105" i="8"/>
  <c r="F2104" i="8"/>
  <c r="E2104" i="8"/>
  <c r="F2103" i="8"/>
  <c r="E2103" i="8"/>
  <c r="F2102" i="8"/>
  <c r="E2102" i="8"/>
  <c r="F2101" i="8"/>
  <c r="E2101" i="8"/>
  <c r="F2100" i="8"/>
  <c r="E2100" i="8"/>
  <c r="F2099" i="8"/>
  <c r="E2099" i="8"/>
  <c r="F2098" i="8"/>
  <c r="E2098" i="8"/>
  <c r="F2097" i="8"/>
  <c r="E2097" i="8"/>
  <c r="F2096" i="8"/>
  <c r="E2096" i="8"/>
  <c r="F2095" i="8"/>
  <c r="E2095" i="8"/>
  <c r="F2094" i="8"/>
  <c r="E2094" i="8"/>
  <c r="F2093" i="8"/>
  <c r="E2093" i="8"/>
  <c r="F2092" i="8"/>
  <c r="E2092" i="8"/>
  <c r="F2091" i="8"/>
  <c r="E2091" i="8"/>
  <c r="F2090" i="8"/>
  <c r="E2090" i="8"/>
  <c r="F2089" i="8"/>
  <c r="E2089" i="8"/>
  <c r="F2088" i="8"/>
  <c r="E2088" i="8"/>
  <c r="F2087" i="8"/>
  <c r="E2087" i="8"/>
  <c r="F2086" i="8"/>
  <c r="E2086" i="8"/>
  <c r="F2085" i="8"/>
  <c r="E2085" i="8"/>
  <c r="F2084" i="8"/>
  <c r="E2084" i="8"/>
  <c r="F2083" i="8"/>
  <c r="E2083" i="8"/>
  <c r="F2082" i="8"/>
  <c r="E2082" i="8"/>
  <c r="F2081" i="8"/>
  <c r="E2081" i="8"/>
  <c r="F2080" i="8"/>
  <c r="E2080" i="8"/>
  <c r="F2079" i="8"/>
  <c r="E2079" i="8"/>
  <c r="F2078" i="8"/>
  <c r="E2078" i="8"/>
  <c r="F2077" i="8"/>
  <c r="E2077" i="8"/>
  <c r="F2076" i="8"/>
  <c r="E2076" i="8"/>
  <c r="F2075" i="8"/>
  <c r="E2075" i="8"/>
  <c r="F2074" i="8"/>
  <c r="E2074" i="8"/>
  <c r="F2073" i="8"/>
  <c r="E2073" i="8"/>
  <c r="F2072" i="8"/>
  <c r="E2072" i="8"/>
  <c r="F2071" i="8"/>
  <c r="E2071" i="8"/>
  <c r="F2070" i="8"/>
  <c r="E2070" i="8"/>
  <c r="F2069" i="8"/>
  <c r="E2069" i="8"/>
  <c r="F2068" i="8"/>
  <c r="E2068" i="8"/>
  <c r="F2067" i="8"/>
  <c r="E2067" i="8"/>
  <c r="F2066" i="8"/>
  <c r="E2066" i="8"/>
  <c r="F2065" i="8"/>
  <c r="E2065" i="8"/>
  <c r="F2064" i="8"/>
  <c r="E2064" i="8"/>
  <c r="F2063" i="8"/>
  <c r="E2063" i="8"/>
  <c r="F2062" i="8"/>
  <c r="E2062" i="8"/>
  <c r="F2061" i="8"/>
  <c r="E2061" i="8"/>
  <c r="F2060" i="8"/>
  <c r="E2060" i="8"/>
  <c r="F2059" i="8"/>
  <c r="E2059" i="8"/>
  <c r="F2058" i="8"/>
  <c r="E2058" i="8"/>
  <c r="F2057" i="8"/>
  <c r="E2057" i="8"/>
  <c r="F2056" i="8"/>
  <c r="E2056" i="8"/>
  <c r="F2055" i="8"/>
  <c r="E2055" i="8"/>
  <c r="F2054" i="8"/>
  <c r="E2054" i="8"/>
  <c r="F2053" i="8"/>
  <c r="E2053" i="8"/>
  <c r="F2052" i="8"/>
  <c r="E2052" i="8"/>
  <c r="F2051" i="8"/>
  <c r="E2051" i="8"/>
  <c r="F2050" i="8"/>
  <c r="E2050" i="8"/>
  <c r="F2049" i="8"/>
  <c r="E2049" i="8"/>
  <c r="F2048" i="8"/>
  <c r="E2048" i="8"/>
  <c r="F2047" i="8"/>
  <c r="E2047" i="8"/>
  <c r="F2046" i="8"/>
  <c r="E2046" i="8"/>
  <c r="F2045" i="8"/>
  <c r="E2045" i="8"/>
  <c r="F2044" i="8"/>
  <c r="E2044" i="8"/>
  <c r="F2043" i="8"/>
  <c r="E2043" i="8"/>
  <c r="F2042" i="8"/>
  <c r="E2042" i="8"/>
  <c r="F2041" i="8"/>
  <c r="E2041" i="8"/>
  <c r="F2040" i="8"/>
  <c r="E2040" i="8"/>
  <c r="F2039" i="8"/>
  <c r="E2039" i="8"/>
  <c r="F2038" i="8"/>
  <c r="E2038" i="8"/>
  <c r="F2037" i="8"/>
  <c r="E2037" i="8"/>
  <c r="F2036" i="8"/>
  <c r="E2036" i="8"/>
  <c r="F2035" i="8"/>
  <c r="E2035" i="8"/>
  <c r="F2034" i="8"/>
  <c r="E2034" i="8"/>
  <c r="F2033" i="8"/>
  <c r="E2033" i="8"/>
  <c r="F2032" i="8"/>
  <c r="E2032" i="8"/>
  <c r="F2031" i="8"/>
  <c r="E2031" i="8"/>
  <c r="F2030" i="8"/>
  <c r="E2030" i="8"/>
  <c r="F2029" i="8"/>
  <c r="E2029" i="8"/>
  <c r="F2028" i="8"/>
  <c r="E2028" i="8"/>
  <c r="F2027" i="8"/>
  <c r="E2027" i="8"/>
  <c r="F2026" i="8"/>
  <c r="E2026" i="8"/>
  <c r="F2025" i="8"/>
  <c r="E2025" i="8"/>
  <c r="F2024" i="8"/>
  <c r="E2024" i="8"/>
  <c r="F2023" i="8"/>
  <c r="E2023" i="8"/>
  <c r="F2022" i="8"/>
  <c r="E2022" i="8"/>
  <c r="F2021" i="8"/>
  <c r="E2021" i="8"/>
  <c r="F2020" i="8"/>
  <c r="E2020" i="8"/>
  <c r="F2019" i="8"/>
  <c r="E2019" i="8"/>
  <c r="F2018" i="8"/>
  <c r="E2018" i="8"/>
  <c r="F2017" i="8"/>
  <c r="E2017" i="8"/>
  <c r="F2016" i="8"/>
  <c r="E2016" i="8"/>
  <c r="F2015" i="8"/>
  <c r="E2015" i="8"/>
  <c r="F2014" i="8"/>
  <c r="E2014" i="8"/>
  <c r="F2013" i="8"/>
  <c r="E2013" i="8"/>
  <c r="F2012" i="8"/>
  <c r="E2012" i="8"/>
  <c r="F2011" i="8"/>
  <c r="E2011" i="8"/>
  <c r="F2010" i="8"/>
  <c r="E2010" i="8"/>
  <c r="F2009" i="8"/>
  <c r="E2009" i="8"/>
  <c r="F2008" i="8"/>
  <c r="E2008" i="8"/>
  <c r="F2007" i="8"/>
  <c r="E2007" i="8"/>
  <c r="F2006" i="8"/>
  <c r="E2006" i="8"/>
  <c r="F2005" i="8"/>
  <c r="E2005" i="8"/>
  <c r="F2004" i="8"/>
  <c r="E2004" i="8"/>
  <c r="F2003" i="8"/>
  <c r="E2003" i="8"/>
  <c r="F2002" i="8"/>
  <c r="E2002" i="8"/>
  <c r="F2001" i="8"/>
  <c r="E2001" i="8"/>
  <c r="F2000" i="8"/>
  <c r="E2000" i="8"/>
  <c r="F1999" i="8"/>
  <c r="E1999" i="8"/>
  <c r="F1998" i="8"/>
  <c r="E1998" i="8"/>
  <c r="F1997" i="8"/>
  <c r="E1997" i="8"/>
  <c r="F1996" i="8"/>
  <c r="E1996" i="8"/>
  <c r="F1995" i="8"/>
  <c r="E1995" i="8"/>
  <c r="F1994" i="8"/>
  <c r="E1994" i="8"/>
  <c r="F1993" i="8"/>
  <c r="E1993" i="8"/>
  <c r="F1992" i="8"/>
  <c r="E1992" i="8"/>
  <c r="F1991" i="8"/>
  <c r="E1991" i="8"/>
  <c r="F1990" i="8"/>
  <c r="E1990" i="8"/>
  <c r="F1989" i="8"/>
  <c r="E1989" i="8"/>
  <c r="F1988" i="8"/>
  <c r="E1988" i="8"/>
  <c r="F1987" i="8"/>
  <c r="E1987" i="8"/>
  <c r="F1986" i="8"/>
  <c r="E1986" i="8"/>
  <c r="F1985" i="8"/>
  <c r="E1985" i="8"/>
  <c r="F1984" i="8"/>
  <c r="E1984" i="8"/>
  <c r="F1983" i="8"/>
  <c r="E1983" i="8"/>
  <c r="F1982" i="8"/>
  <c r="E1982" i="8"/>
  <c r="F1981" i="8"/>
  <c r="E1981" i="8"/>
  <c r="F1980" i="8"/>
  <c r="E1980" i="8"/>
  <c r="F1979" i="8"/>
  <c r="E1979" i="8"/>
  <c r="F1978" i="8"/>
  <c r="E1978" i="8"/>
  <c r="F1977" i="8"/>
  <c r="E1977" i="8"/>
  <c r="F1976" i="8"/>
  <c r="E1976" i="8"/>
  <c r="F1975" i="8"/>
  <c r="E1975" i="8"/>
  <c r="F1974" i="8"/>
  <c r="E1974" i="8"/>
  <c r="F1973" i="8"/>
  <c r="E1973" i="8"/>
  <c r="F1972" i="8"/>
  <c r="E1972" i="8"/>
  <c r="F1971" i="8"/>
  <c r="E1971" i="8"/>
  <c r="F1970" i="8"/>
  <c r="E1970" i="8"/>
  <c r="F1969" i="8"/>
  <c r="E1969" i="8"/>
  <c r="F1968" i="8"/>
  <c r="E1968" i="8"/>
  <c r="F1967" i="8"/>
  <c r="E1967" i="8"/>
  <c r="F1966" i="8"/>
  <c r="E1966" i="8"/>
  <c r="F1965" i="8"/>
  <c r="E1965" i="8"/>
  <c r="F1964" i="8"/>
  <c r="E1964" i="8"/>
  <c r="F1963" i="8"/>
  <c r="E1963" i="8"/>
  <c r="F1962" i="8"/>
  <c r="E1962" i="8"/>
  <c r="F1961" i="8"/>
  <c r="E1961" i="8"/>
  <c r="F1960" i="8"/>
  <c r="E1960" i="8"/>
  <c r="F1959" i="8"/>
  <c r="E1959" i="8"/>
  <c r="F1958" i="8"/>
  <c r="E1958" i="8"/>
  <c r="F1957" i="8"/>
  <c r="E1957" i="8"/>
  <c r="F1956" i="8"/>
  <c r="E1956" i="8"/>
  <c r="F1955" i="8"/>
  <c r="E1955" i="8"/>
  <c r="F1954" i="8"/>
  <c r="E1954" i="8"/>
  <c r="F1953" i="8"/>
  <c r="E1953" i="8"/>
  <c r="F1952" i="8"/>
  <c r="E1952" i="8"/>
  <c r="F1951" i="8"/>
  <c r="E1951" i="8"/>
  <c r="F1950" i="8"/>
  <c r="E1950" i="8"/>
  <c r="F1949" i="8"/>
  <c r="E1949" i="8"/>
  <c r="F1948" i="8"/>
  <c r="E1948" i="8"/>
  <c r="F1947" i="8"/>
  <c r="E1947" i="8"/>
  <c r="F1946" i="8"/>
  <c r="E1946" i="8"/>
  <c r="F1945" i="8"/>
  <c r="E1945" i="8"/>
  <c r="F1944" i="8"/>
  <c r="E1944" i="8"/>
  <c r="F1943" i="8"/>
  <c r="E1943" i="8"/>
  <c r="F1942" i="8"/>
  <c r="E1942" i="8"/>
  <c r="F1941" i="8"/>
  <c r="E1941" i="8"/>
  <c r="F1940" i="8"/>
  <c r="E1940" i="8"/>
  <c r="F1939" i="8"/>
  <c r="E1939" i="8"/>
  <c r="F1938" i="8"/>
  <c r="E1938" i="8"/>
  <c r="F1937" i="8"/>
  <c r="E1937" i="8"/>
  <c r="F1936" i="8"/>
  <c r="E1936" i="8"/>
  <c r="F1935" i="8"/>
  <c r="E1935" i="8"/>
  <c r="F1934" i="8"/>
  <c r="E1934" i="8"/>
  <c r="F1933" i="8"/>
  <c r="E1933" i="8"/>
  <c r="F1932" i="8"/>
  <c r="E1932" i="8"/>
  <c r="F1931" i="8"/>
  <c r="E1931" i="8"/>
  <c r="F1930" i="8"/>
  <c r="E1930" i="8"/>
  <c r="F1929" i="8"/>
  <c r="E1929" i="8"/>
  <c r="F1928" i="8"/>
  <c r="E1928" i="8"/>
  <c r="F1927" i="8"/>
  <c r="E1927" i="8"/>
  <c r="F1926" i="8"/>
  <c r="E1926" i="8"/>
  <c r="F1925" i="8"/>
  <c r="E1925" i="8"/>
  <c r="F1924" i="8"/>
  <c r="E1924" i="8"/>
  <c r="F1923" i="8"/>
  <c r="E1923" i="8"/>
  <c r="F1922" i="8"/>
  <c r="E1922" i="8"/>
  <c r="F1921" i="8"/>
  <c r="E1921" i="8"/>
  <c r="F1920" i="8"/>
  <c r="E1920" i="8"/>
  <c r="F1919" i="8"/>
  <c r="E1919" i="8"/>
  <c r="F1918" i="8"/>
  <c r="E1918" i="8"/>
  <c r="F1917" i="8"/>
  <c r="E1917" i="8"/>
  <c r="F1916" i="8"/>
  <c r="E1916" i="8"/>
  <c r="F1915" i="8"/>
  <c r="E1915" i="8"/>
  <c r="F1914" i="8"/>
  <c r="E1914" i="8"/>
  <c r="F1913" i="8"/>
  <c r="E1913" i="8"/>
  <c r="F1912" i="8"/>
  <c r="E1912" i="8"/>
  <c r="F1911" i="8"/>
  <c r="E1911" i="8"/>
  <c r="F1910" i="8"/>
  <c r="E1910" i="8"/>
  <c r="F1909" i="8"/>
  <c r="E1909" i="8"/>
  <c r="F1908" i="8"/>
  <c r="E1908" i="8"/>
  <c r="F1907" i="8"/>
  <c r="E1907" i="8"/>
  <c r="F1906" i="8"/>
  <c r="E1906" i="8"/>
  <c r="F1905" i="8"/>
  <c r="E1905" i="8"/>
  <c r="F1904" i="8"/>
  <c r="E1904" i="8"/>
  <c r="F1903" i="8"/>
  <c r="E1903" i="8"/>
  <c r="F1902" i="8"/>
  <c r="E1902" i="8"/>
  <c r="F1901" i="8"/>
  <c r="E1901" i="8"/>
  <c r="F1900" i="8"/>
  <c r="E1900" i="8"/>
  <c r="F1899" i="8"/>
  <c r="E1899" i="8"/>
  <c r="F1898" i="8"/>
  <c r="E1898" i="8"/>
  <c r="F1897" i="8"/>
  <c r="E1897" i="8"/>
  <c r="F1896" i="8"/>
  <c r="E1896" i="8"/>
  <c r="F1895" i="8"/>
  <c r="E1895" i="8"/>
  <c r="F1894" i="8"/>
  <c r="E1894" i="8"/>
  <c r="F1893" i="8"/>
  <c r="E1893" i="8"/>
  <c r="F1892" i="8"/>
  <c r="E1892" i="8"/>
  <c r="F1891" i="8"/>
  <c r="E1891" i="8"/>
  <c r="F1890" i="8"/>
  <c r="E1890" i="8"/>
  <c r="F1889" i="8"/>
  <c r="E1889" i="8"/>
  <c r="F1888" i="8"/>
  <c r="E1888" i="8"/>
  <c r="F1887" i="8"/>
  <c r="E1887" i="8"/>
  <c r="F1886" i="8"/>
  <c r="E1886" i="8"/>
  <c r="F1885" i="8"/>
  <c r="E1885" i="8"/>
  <c r="F1884" i="8"/>
  <c r="E1884" i="8"/>
  <c r="F1883" i="8"/>
  <c r="E1883" i="8"/>
  <c r="F1882" i="8"/>
  <c r="E1882" i="8"/>
  <c r="F1881" i="8"/>
  <c r="E1881" i="8"/>
  <c r="F1880" i="8"/>
  <c r="E1880" i="8"/>
  <c r="F1879" i="8"/>
  <c r="E1879" i="8"/>
  <c r="F1878" i="8"/>
  <c r="E1878" i="8"/>
  <c r="F1877" i="8"/>
  <c r="E1877" i="8"/>
  <c r="F1876" i="8"/>
  <c r="E1876" i="8"/>
  <c r="F1875" i="8"/>
  <c r="E1875" i="8"/>
  <c r="F1874" i="8"/>
  <c r="E1874" i="8"/>
  <c r="F1873" i="8"/>
  <c r="E1873" i="8"/>
  <c r="F1872" i="8"/>
  <c r="E1872" i="8"/>
  <c r="F1871" i="8"/>
  <c r="E1871" i="8"/>
  <c r="F1870" i="8"/>
  <c r="E1870" i="8"/>
  <c r="F1869" i="8"/>
  <c r="E1869" i="8"/>
  <c r="F1868" i="8"/>
  <c r="E1868" i="8"/>
  <c r="F1867" i="8"/>
  <c r="E1867" i="8"/>
  <c r="F1866" i="8"/>
  <c r="E1866" i="8"/>
  <c r="F1865" i="8"/>
  <c r="E1865" i="8"/>
  <c r="F1864" i="8"/>
  <c r="E1864" i="8"/>
  <c r="F1863" i="8"/>
  <c r="E1863" i="8"/>
  <c r="F1862" i="8"/>
  <c r="E1862" i="8"/>
  <c r="F1861" i="8"/>
  <c r="E1861" i="8"/>
  <c r="F1860" i="8"/>
  <c r="E1860" i="8"/>
  <c r="F1859" i="8"/>
  <c r="E1859" i="8"/>
  <c r="F1858" i="8"/>
  <c r="E1858" i="8"/>
  <c r="F1857" i="8"/>
  <c r="E1857" i="8"/>
  <c r="F1856" i="8"/>
  <c r="E1856" i="8"/>
  <c r="F1855" i="8"/>
  <c r="E1855" i="8"/>
  <c r="F1854" i="8"/>
  <c r="E1854" i="8"/>
  <c r="F1853" i="8"/>
  <c r="E1853" i="8"/>
  <c r="F1852" i="8"/>
  <c r="E1852" i="8"/>
  <c r="F1851" i="8"/>
  <c r="E1851" i="8"/>
  <c r="F1850" i="8"/>
  <c r="E1850" i="8"/>
  <c r="F1849" i="8"/>
  <c r="E1849" i="8"/>
  <c r="F1848" i="8"/>
  <c r="E1848" i="8"/>
  <c r="F1847" i="8"/>
  <c r="E1847" i="8"/>
  <c r="F1846" i="8"/>
  <c r="E1846" i="8"/>
  <c r="F1845" i="8"/>
  <c r="E1845" i="8"/>
  <c r="F1844" i="8"/>
  <c r="E1844" i="8"/>
  <c r="F1843" i="8"/>
  <c r="E1843" i="8"/>
  <c r="F1842" i="8"/>
  <c r="E1842" i="8"/>
  <c r="F1841" i="8"/>
  <c r="E1841" i="8"/>
  <c r="F1840" i="8"/>
  <c r="E1840" i="8"/>
  <c r="F1839" i="8"/>
  <c r="E1839" i="8"/>
  <c r="F1838" i="8"/>
  <c r="E1838" i="8"/>
  <c r="F1837" i="8"/>
  <c r="E1837" i="8"/>
  <c r="F1836" i="8"/>
  <c r="E1836" i="8"/>
  <c r="F1835" i="8"/>
  <c r="E1835" i="8"/>
  <c r="F1834" i="8"/>
  <c r="E1834" i="8"/>
  <c r="F1833" i="8"/>
  <c r="E1833" i="8"/>
  <c r="F1832" i="8"/>
  <c r="E1832" i="8"/>
  <c r="F1831" i="8"/>
  <c r="E1831" i="8"/>
  <c r="F1830" i="8"/>
  <c r="E1830" i="8"/>
  <c r="F1829" i="8"/>
  <c r="E1829" i="8"/>
  <c r="F1828" i="8"/>
  <c r="E1828" i="8"/>
  <c r="F1827" i="8"/>
  <c r="E1827" i="8"/>
  <c r="F1826" i="8"/>
  <c r="E1826" i="8"/>
  <c r="F1825" i="8"/>
  <c r="E1825" i="8"/>
  <c r="F1824" i="8"/>
  <c r="E1824" i="8"/>
  <c r="F1823" i="8"/>
  <c r="E1823" i="8"/>
  <c r="F1822" i="8"/>
  <c r="E1822" i="8"/>
  <c r="F1821" i="8"/>
  <c r="E1821" i="8"/>
  <c r="F1820" i="8"/>
  <c r="E1820" i="8"/>
  <c r="F1819" i="8"/>
  <c r="E1819" i="8"/>
  <c r="F1818" i="8"/>
  <c r="E1818" i="8"/>
  <c r="F1817" i="8"/>
  <c r="E1817" i="8"/>
  <c r="F1816" i="8"/>
  <c r="E1816" i="8"/>
  <c r="F1815" i="8"/>
  <c r="E1815" i="8"/>
  <c r="F1814" i="8"/>
  <c r="E1814" i="8"/>
  <c r="F1813" i="8"/>
  <c r="E1813" i="8"/>
  <c r="F1812" i="8"/>
  <c r="E1812" i="8"/>
  <c r="F1811" i="8"/>
  <c r="E1811" i="8"/>
  <c r="F1810" i="8"/>
  <c r="E1810" i="8"/>
  <c r="F1809" i="8"/>
  <c r="E1809" i="8"/>
  <c r="F1808" i="8"/>
  <c r="E1808" i="8"/>
  <c r="F1807" i="8"/>
  <c r="E1807" i="8"/>
  <c r="F1806" i="8"/>
  <c r="E1806" i="8"/>
  <c r="F1805" i="8"/>
  <c r="E1805" i="8"/>
  <c r="F1804" i="8"/>
  <c r="E1804" i="8"/>
  <c r="F1803" i="8"/>
  <c r="E1803" i="8"/>
  <c r="F1802" i="8"/>
  <c r="E1802" i="8"/>
  <c r="F1801" i="8"/>
  <c r="E1801" i="8"/>
  <c r="F1800" i="8"/>
  <c r="E1800" i="8"/>
  <c r="F1799" i="8"/>
  <c r="E1799" i="8"/>
  <c r="F1798" i="8"/>
  <c r="E1798" i="8"/>
  <c r="F1797" i="8"/>
  <c r="E1797" i="8"/>
  <c r="F1796" i="8"/>
  <c r="E1796" i="8"/>
  <c r="F1795" i="8"/>
  <c r="E1795" i="8"/>
  <c r="F1794" i="8"/>
  <c r="E1794" i="8"/>
  <c r="F1793" i="8"/>
  <c r="E1793" i="8"/>
  <c r="F1792" i="8"/>
  <c r="E1792" i="8"/>
  <c r="F1791" i="8"/>
  <c r="E1791" i="8"/>
  <c r="F1790" i="8"/>
  <c r="E1790" i="8"/>
  <c r="F1789" i="8"/>
  <c r="E1789" i="8"/>
  <c r="F1788" i="8"/>
  <c r="E1788" i="8"/>
  <c r="F1787" i="8"/>
  <c r="E1787" i="8"/>
  <c r="F1786" i="8"/>
  <c r="E1786" i="8"/>
  <c r="F1785" i="8"/>
  <c r="E1785" i="8"/>
  <c r="F1784" i="8"/>
  <c r="E1784" i="8"/>
  <c r="F1783" i="8"/>
  <c r="E1783" i="8"/>
  <c r="F1782" i="8"/>
  <c r="E1782" i="8"/>
  <c r="F1781" i="8"/>
  <c r="E1781" i="8"/>
  <c r="F1780" i="8"/>
  <c r="E1780" i="8"/>
  <c r="F1779" i="8"/>
  <c r="E1779" i="8"/>
  <c r="F1778" i="8"/>
  <c r="E1778" i="8"/>
  <c r="F1777" i="8"/>
  <c r="E1777" i="8"/>
  <c r="F1776" i="8"/>
  <c r="E1776" i="8"/>
  <c r="F1775" i="8"/>
  <c r="E1775" i="8"/>
  <c r="F1774" i="8"/>
  <c r="E1774" i="8"/>
  <c r="F1773" i="8"/>
  <c r="E1773" i="8"/>
  <c r="F1772" i="8"/>
  <c r="E1772" i="8"/>
  <c r="F1771" i="8"/>
  <c r="E1771" i="8"/>
  <c r="F1770" i="8"/>
  <c r="E1770" i="8"/>
  <c r="F1769" i="8"/>
  <c r="E1769" i="8"/>
  <c r="F1768" i="8"/>
  <c r="E1768" i="8"/>
  <c r="F1767" i="8"/>
  <c r="E1767" i="8"/>
  <c r="F1766" i="8"/>
  <c r="E1766" i="8"/>
  <c r="F1765" i="8"/>
  <c r="E1765" i="8"/>
  <c r="F1764" i="8"/>
  <c r="E1764" i="8"/>
  <c r="F1763" i="8"/>
  <c r="E1763" i="8"/>
  <c r="F1762" i="8"/>
  <c r="E1762" i="8"/>
  <c r="F1761" i="8"/>
  <c r="E1761" i="8"/>
  <c r="F1760" i="8"/>
  <c r="E1760" i="8"/>
  <c r="F1759" i="8"/>
  <c r="E1759" i="8"/>
  <c r="F1758" i="8"/>
  <c r="E1758" i="8"/>
  <c r="F1757" i="8"/>
  <c r="E1757" i="8"/>
  <c r="F1756" i="8"/>
  <c r="E1756" i="8"/>
  <c r="F1755" i="8"/>
  <c r="E1755" i="8"/>
  <c r="F1754" i="8"/>
  <c r="E1754" i="8"/>
  <c r="F1753" i="8"/>
  <c r="E1753" i="8"/>
  <c r="F1752" i="8"/>
  <c r="E1752" i="8"/>
  <c r="F1751" i="8"/>
  <c r="E1751" i="8"/>
  <c r="F1750" i="8"/>
  <c r="E1750" i="8"/>
  <c r="F1749" i="8"/>
  <c r="E1749" i="8"/>
  <c r="F1748" i="8"/>
  <c r="E1748" i="8"/>
  <c r="F1747" i="8"/>
  <c r="E1747" i="8"/>
  <c r="F1746" i="8"/>
  <c r="E1746" i="8"/>
  <c r="F1745" i="8"/>
  <c r="E1745" i="8"/>
  <c r="F1744" i="8"/>
  <c r="E1744" i="8"/>
  <c r="F1743" i="8"/>
  <c r="E1743" i="8"/>
  <c r="F1742" i="8"/>
  <c r="E1742" i="8"/>
  <c r="F1741" i="8"/>
  <c r="E1741" i="8"/>
  <c r="F1740" i="8"/>
  <c r="E1740" i="8"/>
  <c r="F1739" i="8"/>
  <c r="E1739" i="8"/>
  <c r="F1738" i="8"/>
  <c r="E1738" i="8"/>
  <c r="F1737" i="8"/>
  <c r="E1737" i="8"/>
  <c r="F1736" i="8"/>
  <c r="E1736" i="8"/>
  <c r="F1735" i="8"/>
  <c r="E1735" i="8"/>
  <c r="F1734" i="8"/>
  <c r="E1734" i="8"/>
  <c r="F1733" i="8"/>
  <c r="E1733" i="8"/>
  <c r="F1732" i="8"/>
  <c r="E1732" i="8"/>
  <c r="F1731" i="8"/>
  <c r="E1731" i="8"/>
  <c r="F1730" i="8"/>
  <c r="E1730" i="8"/>
  <c r="F1729" i="8"/>
  <c r="E1729" i="8"/>
  <c r="F1728" i="8"/>
  <c r="E1728" i="8"/>
  <c r="F1727" i="8"/>
  <c r="E1727" i="8"/>
  <c r="F1726" i="8"/>
  <c r="E1726" i="8"/>
  <c r="F1725" i="8"/>
  <c r="E1725" i="8"/>
  <c r="F1724" i="8"/>
  <c r="E1724" i="8"/>
  <c r="F1723" i="8"/>
  <c r="E1723" i="8"/>
  <c r="F1722" i="8"/>
  <c r="E1722" i="8"/>
  <c r="F1721" i="8"/>
  <c r="E1721" i="8"/>
  <c r="F1720" i="8"/>
  <c r="E1720" i="8"/>
  <c r="F1719" i="8"/>
  <c r="E1719" i="8"/>
  <c r="F1718" i="8"/>
  <c r="E1718" i="8"/>
  <c r="F1717" i="8"/>
  <c r="E1717" i="8"/>
  <c r="F1716" i="8"/>
  <c r="E1716" i="8"/>
  <c r="F1715" i="8"/>
  <c r="E1715" i="8"/>
  <c r="F1714" i="8"/>
  <c r="E1714" i="8"/>
  <c r="F1713" i="8"/>
  <c r="E1713" i="8"/>
  <c r="F1712" i="8"/>
  <c r="E1712" i="8"/>
  <c r="F1711" i="8"/>
  <c r="E1711" i="8"/>
  <c r="F1710" i="8"/>
  <c r="E1710" i="8"/>
  <c r="F1709" i="8"/>
  <c r="E1709" i="8"/>
  <c r="F1708" i="8"/>
  <c r="E1708" i="8"/>
  <c r="F1707" i="8"/>
  <c r="E1707" i="8"/>
  <c r="F1706" i="8"/>
  <c r="E1706" i="8"/>
  <c r="F1705" i="8"/>
  <c r="E1705" i="8"/>
  <c r="F1704" i="8"/>
  <c r="E1704" i="8"/>
  <c r="F1703" i="8"/>
  <c r="E1703" i="8"/>
  <c r="F1702" i="8"/>
  <c r="E1702" i="8"/>
  <c r="F1701" i="8"/>
  <c r="E1701" i="8"/>
  <c r="F1700" i="8"/>
  <c r="E1700" i="8"/>
  <c r="F1699" i="8"/>
  <c r="E1699" i="8"/>
  <c r="F1698" i="8"/>
  <c r="E1698" i="8"/>
  <c r="F1697" i="8"/>
  <c r="E1697" i="8"/>
  <c r="F1696" i="8"/>
  <c r="E1696" i="8"/>
  <c r="F1695" i="8"/>
  <c r="E1695" i="8"/>
  <c r="F1694" i="8"/>
  <c r="E1694" i="8"/>
  <c r="F1693" i="8"/>
  <c r="E1693" i="8"/>
  <c r="F1692" i="8"/>
  <c r="E1692" i="8"/>
  <c r="F1691" i="8"/>
  <c r="E1691" i="8"/>
  <c r="F1690" i="8"/>
  <c r="E1690" i="8"/>
  <c r="F1689" i="8"/>
  <c r="E1689" i="8"/>
  <c r="F1688" i="8"/>
  <c r="E1688" i="8"/>
  <c r="F1687" i="8"/>
  <c r="E1687" i="8"/>
  <c r="F1686" i="8"/>
  <c r="E1686" i="8"/>
  <c r="F1685" i="8"/>
  <c r="E1685" i="8"/>
  <c r="F1684" i="8"/>
  <c r="E1684" i="8"/>
  <c r="F1683" i="8"/>
  <c r="E1683" i="8"/>
  <c r="F1682" i="8"/>
  <c r="E1682" i="8"/>
  <c r="F1681" i="8"/>
  <c r="E1681" i="8"/>
  <c r="F1680" i="8"/>
  <c r="E1680" i="8"/>
  <c r="F1679" i="8"/>
  <c r="E1679" i="8"/>
  <c r="F1678" i="8"/>
  <c r="E1678" i="8"/>
  <c r="F1677" i="8"/>
  <c r="E1677" i="8"/>
  <c r="F1676" i="8"/>
  <c r="E1676" i="8"/>
  <c r="F1675" i="8"/>
  <c r="E1675" i="8"/>
  <c r="F1674" i="8"/>
  <c r="E1674" i="8"/>
  <c r="F1673" i="8"/>
  <c r="E1673" i="8"/>
  <c r="F1672" i="8"/>
  <c r="E1672" i="8"/>
  <c r="F1671" i="8"/>
  <c r="E1671" i="8"/>
  <c r="F1670" i="8"/>
  <c r="E1670" i="8"/>
  <c r="F1669" i="8"/>
  <c r="E1669" i="8"/>
  <c r="F1668" i="8"/>
  <c r="E1668" i="8"/>
  <c r="F1667" i="8"/>
  <c r="E1667" i="8"/>
  <c r="F1666" i="8"/>
  <c r="E1666" i="8"/>
  <c r="F1665" i="8"/>
  <c r="E1665" i="8"/>
  <c r="F1664" i="8"/>
  <c r="E1664" i="8"/>
  <c r="F1663" i="8"/>
  <c r="E1663" i="8"/>
  <c r="F1662" i="8"/>
  <c r="E1662" i="8"/>
  <c r="F1661" i="8"/>
  <c r="E1661" i="8"/>
  <c r="F1660" i="8"/>
  <c r="E1660" i="8"/>
  <c r="F1659" i="8"/>
  <c r="E1659" i="8"/>
  <c r="F1658" i="8"/>
  <c r="E1658" i="8"/>
  <c r="F1657" i="8"/>
  <c r="E1657" i="8"/>
  <c r="F1656" i="8"/>
  <c r="E1656" i="8"/>
  <c r="F1655" i="8"/>
  <c r="E1655" i="8"/>
  <c r="F1654" i="8"/>
  <c r="E1654" i="8"/>
  <c r="F1653" i="8"/>
  <c r="E1653" i="8"/>
  <c r="F1652" i="8"/>
  <c r="E1652" i="8"/>
  <c r="F1651" i="8"/>
  <c r="E1651" i="8"/>
  <c r="F1650" i="8"/>
  <c r="E1650" i="8"/>
  <c r="F1649" i="8"/>
  <c r="E1649" i="8"/>
  <c r="F1648" i="8"/>
  <c r="E1648" i="8"/>
  <c r="F1647" i="8"/>
  <c r="E1647" i="8"/>
  <c r="F1646" i="8"/>
  <c r="E1646" i="8"/>
  <c r="F1645" i="8"/>
  <c r="E1645" i="8"/>
  <c r="F1644" i="8"/>
  <c r="E1644" i="8"/>
  <c r="F1643" i="8"/>
  <c r="E1643" i="8"/>
  <c r="F1642" i="8"/>
  <c r="E1642" i="8"/>
  <c r="F1641" i="8"/>
  <c r="E1641" i="8"/>
  <c r="F1640" i="8"/>
  <c r="E1640" i="8"/>
  <c r="F1639" i="8"/>
  <c r="E1639" i="8"/>
  <c r="F1638" i="8"/>
  <c r="E1638" i="8"/>
  <c r="F1637" i="8"/>
  <c r="E1637" i="8"/>
  <c r="F1636" i="8"/>
  <c r="E1636" i="8"/>
  <c r="F1635" i="8"/>
  <c r="E1635" i="8"/>
  <c r="F1634" i="8"/>
  <c r="E1634" i="8"/>
  <c r="F1633" i="8"/>
  <c r="E1633" i="8"/>
  <c r="F1632" i="8"/>
  <c r="E1632" i="8"/>
  <c r="F1631" i="8"/>
  <c r="E1631" i="8"/>
  <c r="F1630" i="8"/>
  <c r="E1630" i="8"/>
  <c r="F1629" i="8"/>
  <c r="E1629" i="8"/>
  <c r="F1628" i="8"/>
  <c r="E1628" i="8"/>
  <c r="F1627" i="8"/>
  <c r="E1627" i="8"/>
  <c r="F1626" i="8"/>
  <c r="E1626" i="8"/>
  <c r="F1625" i="8"/>
  <c r="E1625" i="8"/>
  <c r="F1624" i="8"/>
  <c r="E1624" i="8"/>
  <c r="F1623" i="8"/>
  <c r="E1623" i="8"/>
  <c r="F1622" i="8"/>
  <c r="E1622" i="8"/>
  <c r="F1621" i="8"/>
  <c r="E1621" i="8"/>
  <c r="F1620" i="8"/>
  <c r="E1620" i="8"/>
  <c r="F1619" i="8"/>
  <c r="E1619" i="8"/>
  <c r="F1618" i="8"/>
  <c r="E1618" i="8"/>
  <c r="F1617" i="8"/>
  <c r="E1617" i="8"/>
  <c r="F1616" i="8"/>
  <c r="E1616" i="8"/>
  <c r="F1615" i="8"/>
  <c r="E1615" i="8"/>
  <c r="F1614" i="8"/>
  <c r="E1614" i="8"/>
  <c r="F1613" i="8"/>
  <c r="E1613" i="8"/>
  <c r="F1612" i="8"/>
  <c r="E1612" i="8"/>
  <c r="F1611" i="8"/>
  <c r="E1611" i="8"/>
  <c r="F1610" i="8"/>
  <c r="E1610" i="8"/>
  <c r="F1609" i="8"/>
  <c r="E1609" i="8"/>
  <c r="F1608" i="8"/>
  <c r="E1608" i="8"/>
  <c r="F1607" i="8"/>
  <c r="E1607" i="8"/>
  <c r="F1606" i="8"/>
  <c r="E1606" i="8"/>
  <c r="F1605" i="8"/>
  <c r="E1605" i="8"/>
  <c r="F1604" i="8"/>
  <c r="E1604" i="8"/>
  <c r="F1603" i="8"/>
  <c r="E1603" i="8"/>
  <c r="F1602" i="8"/>
  <c r="E1602" i="8"/>
  <c r="F1601" i="8"/>
  <c r="E1601" i="8"/>
  <c r="F1600" i="8"/>
  <c r="E1600" i="8"/>
  <c r="F1599" i="8"/>
  <c r="E1599" i="8"/>
  <c r="F1598" i="8"/>
  <c r="E1598" i="8"/>
  <c r="F1597" i="8"/>
  <c r="E1597" i="8"/>
  <c r="F1596" i="8"/>
  <c r="E1596" i="8"/>
  <c r="F1595" i="8"/>
  <c r="E1595" i="8"/>
  <c r="F1594" i="8"/>
  <c r="E1594" i="8"/>
  <c r="F1593" i="8"/>
  <c r="E1593" i="8"/>
  <c r="F1592" i="8"/>
  <c r="E1592" i="8"/>
  <c r="F1591" i="8"/>
  <c r="E1591" i="8"/>
  <c r="F1590" i="8"/>
  <c r="E1590" i="8"/>
  <c r="F1589" i="8"/>
  <c r="E1589" i="8"/>
  <c r="F1588" i="8"/>
  <c r="E1588" i="8"/>
  <c r="F1587" i="8"/>
  <c r="E1587" i="8"/>
  <c r="F1586" i="8"/>
  <c r="E1586" i="8"/>
  <c r="F1585" i="8"/>
  <c r="E1585" i="8"/>
  <c r="F1584" i="8"/>
  <c r="E1584" i="8"/>
  <c r="F1583" i="8"/>
  <c r="E1583" i="8"/>
  <c r="F1582" i="8"/>
  <c r="E1582" i="8"/>
  <c r="F1581" i="8"/>
  <c r="E1581" i="8"/>
  <c r="F1580" i="8"/>
  <c r="E1580" i="8"/>
  <c r="F1579" i="8"/>
  <c r="E1579" i="8"/>
  <c r="F1578" i="8"/>
  <c r="E1578" i="8"/>
  <c r="F1577" i="8"/>
  <c r="E1577" i="8"/>
  <c r="F1576" i="8"/>
  <c r="E1576" i="8"/>
  <c r="F1575" i="8"/>
  <c r="E1575" i="8"/>
  <c r="F1574" i="8"/>
  <c r="E1574" i="8"/>
  <c r="F1573" i="8"/>
  <c r="E1573" i="8"/>
  <c r="F1572" i="8"/>
  <c r="E1572" i="8"/>
  <c r="F1571" i="8"/>
  <c r="E1571" i="8"/>
  <c r="F1570" i="8"/>
  <c r="E1570" i="8"/>
  <c r="F1569" i="8"/>
  <c r="E1569" i="8"/>
  <c r="F1568" i="8"/>
  <c r="E1568" i="8"/>
  <c r="F1567" i="8"/>
  <c r="E1567" i="8"/>
  <c r="F1566" i="8"/>
  <c r="E1566" i="8"/>
  <c r="F1565" i="8"/>
  <c r="E1565" i="8"/>
  <c r="F1564" i="8"/>
  <c r="E1564" i="8"/>
  <c r="F1563" i="8"/>
  <c r="E1563" i="8"/>
  <c r="F1562" i="8"/>
  <c r="E1562" i="8"/>
  <c r="F1561" i="8"/>
  <c r="E1561" i="8"/>
  <c r="F1560" i="8"/>
  <c r="E1560" i="8"/>
  <c r="F1559" i="8"/>
  <c r="E1559" i="8"/>
  <c r="F1558" i="8"/>
  <c r="E1558" i="8"/>
  <c r="F1557" i="8"/>
  <c r="E1557" i="8"/>
  <c r="F1556" i="8"/>
  <c r="E1556" i="8"/>
  <c r="F1555" i="8"/>
  <c r="E1555" i="8"/>
  <c r="F1554" i="8"/>
  <c r="E1554" i="8"/>
  <c r="F1553" i="8"/>
  <c r="E1553" i="8"/>
  <c r="F1552" i="8"/>
  <c r="E1552" i="8"/>
  <c r="F1551" i="8"/>
  <c r="E1551" i="8"/>
  <c r="F1550" i="8"/>
  <c r="E1550" i="8"/>
  <c r="F1549" i="8"/>
  <c r="E1549" i="8"/>
  <c r="F1548" i="8"/>
  <c r="E1548" i="8"/>
  <c r="F1547" i="8"/>
  <c r="E1547" i="8"/>
  <c r="F1546" i="8"/>
  <c r="E1546" i="8"/>
  <c r="F1545" i="8"/>
  <c r="E1545" i="8"/>
  <c r="F1544" i="8"/>
  <c r="E1544" i="8"/>
  <c r="F1543" i="8"/>
  <c r="E1543" i="8"/>
  <c r="F1542" i="8"/>
  <c r="E1542" i="8"/>
  <c r="F1541" i="8"/>
  <c r="E1541" i="8"/>
  <c r="F1540" i="8"/>
  <c r="E1540" i="8"/>
  <c r="F1539" i="8"/>
  <c r="E1539" i="8"/>
  <c r="F1538" i="8"/>
  <c r="E1538" i="8"/>
  <c r="F1537" i="8"/>
  <c r="E1537" i="8"/>
  <c r="F1536" i="8"/>
  <c r="E1536" i="8"/>
  <c r="F1535" i="8"/>
  <c r="E1535" i="8"/>
  <c r="F1534" i="8"/>
  <c r="E1534" i="8"/>
  <c r="F1533" i="8"/>
  <c r="E1533" i="8"/>
  <c r="F1532" i="8"/>
  <c r="E1532" i="8"/>
  <c r="F1531" i="8"/>
  <c r="E1531" i="8"/>
  <c r="F1530" i="8"/>
  <c r="E1530" i="8"/>
  <c r="F1529" i="8"/>
  <c r="E1529" i="8"/>
  <c r="F1528" i="8"/>
  <c r="E1528" i="8"/>
  <c r="F1527" i="8"/>
  <c r="E1527" i="8"/>
  <c r="F1526" i="8"/>
  <c r="E1526" i="8"/>
  <c r="F1525" i="8"/>
  <c r="E1525" i="8"/>
  <c r="F1524" i="8"/>
  <c r="E1524" i="8"/>
  <c r="F1523" i="8"/>
  <c r="E1523" i="8"/>
  <c r="F1522" i="8"/>
  <c r="E1522" i="8"/>
  <c r="F1521" i="8"/>
  <c r="E1521" i="8"/>
  <c r="F1520" i="8"/>
  <c r="E1520" i="8"/>
  <c r="F1519" i="8"/>
  <c r="E1519" i="8"/>
  <c r="F1518" i="8"/>
  <c r="E1518" i="8"/>
  <c r="F1517" i="8"/>
  <c r="E1517" i="8"/>
  <c r="F1516" i="8"/>
  <c r="E1516" i="8"/>
  <c r="F1515" i="8"/>
  <c r="E1515" i="8"/>
  <c r="F1514" i="8"/>
  <c r="E1514" i="8"/>
  <c r="F1513" i="8"/>
  <c r="E1513" i="8"/>
  <c r="F1512" i="8"/>
  <c r="E1512" i="8"/>
  <c r="F1511" i="8"/>
  <c r="E1511" i="8"/>
  <c r="F1510" i="8"/>
  <c r="E1510" i="8"/>
  <c r="F1509" i="8"/>
  <c r="E1509" i="8"/>
  <c r="F1508" i="8"/>
  <c r="E1508" i="8"/>
  <c r="F1507" i="8"/>
  <c r="E1507" i="8"/>
  <c r="F1506" i="8"/>
  <c r="E1506" i="8"/>
  <c r="F1505" i="8"/>
  <c r="E1505" i="8"/>
  <c r="F1504" i="8"/>
  <c r="E1504" i="8"/>
  <c r="F1503" i="8"/>
  <c r="E1503" i="8"/>
  <c r="F1502" i="8"/>
  <c r="E1502" i="8"/>
  <c r="F1501" i="8"/>
  <c r="E1501" i="8"/>
  <c r="F1500" i="8"/>
  <c r="E1500" i="8"/>
  <c r="F1499" i="8"/>
  <c r="E1499" i="8"/>
  <c r="F1498" i="8"/>
  <c r="E1498" i="8"/>
  <c r="F1497" i="8"/>
  <c r="E1497" i="8"/>
  <c r="F1496" i="8"/>
  <c r="E1496" i="8"/>
  <c r="F1495" i="8"/>
  <c r="E1495" i="8"/>
  <c r="F1494" i="8"/>
  <c r="E1494" i="8"/>
  <c r="F1493" i="8"/>
  <c r="E1493" i="8"/>
  <c r="F1492" i="8"/>
  <c r="E1492" i="8"/>
  <c r="F1491" i="8"/>
  <c r="E1491" i="8"/>
  <c r="F1490" i="8"/>
  <c r="E1490" i="8"/>
  <c r="F1489" i="8"/>
  <c r="E1489" i="8"/>
  <c r="F1488" i="8"/>
  <c r="E1488" i="8"/>
  <c r="F1487" i="8"/>
  <c r="E1487" i="8"/>
  <c r="F1486" i="8"/>
  <c r="E1486" i="8"/>
  <c r="F1485" i="8"/>
  <c r="E1485" i="8"/>
  <c r="F1484" i="8"/>
  <c r="E1484" i="8"/>
  <c r="F1483" i="8"/>
  <c r="E1483" i="8"/>
  <c r="F1482" i="8"/>
  <c r="E1482" i="8"/>
  <c r="F1481" i="8"/>
  <c r="E1481" i="8"/>
  <c r="F1480" i="8"/>
  <c r="E1480" i="8"/>
  <c r="F1479" i="8"/>
  <c r="E1479" i="8"/>
  <c r="F1478" i="8"/>
  <c r="E1478" i="8"/>
  <c r="F1477" i="8"/>
  <c r="E1477" i="8"/>
  <c r="F1476" i="8"/>
  <c r="E1476" i="8"/>
  <c r="F1475" i="8"/>
  <c r="E1475" i="8"/>
  <c r="F1474" i="8"/>
  <c r="E1474" i="8"/>
  <c r="F1473" i="8"/>
  <c r="E1473" i="8"/>
  <c r="F1472" i="8"/>
  <c r="E1472" i="8"/>
  <c r="F1471" i="8"/>
  <c r="E1471" i="8"/>
  <c r="F1470" i="8"/>
  <c r="E1470" i="8"/>
  <c r="F1469" i="8"/>
  <c r="E1469" i="8"/>
  <c r="F1468" i="8"/>
  <c r="E1468" i="8"/>
  <c r="F1467" i="8"/>
  <c r="E1467" i="8"/>
  <c r="F1466" i="8"/>
  <c r="E1466" i="8"/>
  <c r="F1465" i="8"/>
  <c r="E1465" i="8"/>
  <c r="F1464" i="8"/>
  <c r="E1464" i="8"/>
  <c r="F1463" i="8"/>
  <c r="E1463" i="8"/>
  <c r="F1462" i="8"/>
  <c r="E1462" i="8"/>
  <c r="F1461" i="8"/>
  <c r="E1461" i="8"/>
  <c r="F1460" i="8"/>
  <c r="E1460" i="8"/>
  <c r="F1459" i="8"/>
  <c r="E1459" i="8"/>
  <c r="F1458" i="8"/>
  <c r="E1458" i="8"/>
  <c r="F1457" i="8"/>
  <c r="E1457" i="8"/>
  <c r="F1456" i="8"/>
  <c r="E1456" i="8"/>
  <c r="F1455" i="8"/>
  <c r="E1455" i="8"/>
  <c r="F1454" i="8"/>
  <c r="E1454" i="8"/>
  <c r="F1453" i="8"/>
  <c r="E1453" i="8"/>
  <c r="F1452" i="8"/>
  <c r="E1452" i="8"/>
  <c r="F1451" i="8"/>
  <c r="E1451" i="8"/>
  <c r="F1450" i="8"/>
  <c r="E1450" i="8"/>
  <c r="F1449" i="8"/>
  <c r="E1449" i="8"/>
  <c r="F1448" i="8"/>
  <c r="E1448" i="8"/>
  <c r="F1447" i="8"/>
  <c r="E1447" i="8"/>
  <c r="F1446" i="8"/>
  <c r="E1446" i="8"/>
  <c r="F1445" i="8"/>
  <c r="E1445" i="8"/>
  <c r="F1444" i="8"/>
  <c r="E1444" i="8"/>
  <c r="F1443" i="8"/>
  <c r="E1443" i="8"/>
  <c r="F1442" i="8"/>
  <c r="E1442" i="8"/>
  <c r="F1441" i="8"/>
  <c r="E1441" i="8"/>
  <c r="F1440" i="8"/>
  <c r="E1440" i="8"/>
  <c r="F1439" i="8"/>
  <c r="E1439" i="8"/>
  <c r="F1438" i="8"/>
  <c r="E1438" i="8"/>
  <c r="F1437" i="8"/>
  <c r="E1437" i="8"/>
  <c r="F1436" i="8"/>
  <c r="E1436" i="8"/>
  <c r="F1435" i="8"/>
  <c r="E1435" i="8"/>
  <c r="F1434" i="8"/>
  <c r="E1434" i="8"/>
  <c r="F1433" i="8"/>
  <c r="E1433" i="8"/>
  <c r="F1432" i="8"/>
  <c r="E1432" i="8"/>
  <c r="F1431" i="8"/>
  <c r="E1431" i="8"/>
  <c r="F1430" i="8"/>
  <c r="E1430" i="8"/>
  <c r="F1429" i="8"/>
  <c r="E1429" i="8"/>
  <c r="F1428" i="8"/>
  <c r="E1428" i="8"/>
  <c r="F1427" i="8"/>
  <c r="E1427" i="8"/>
  <c r="F1426" i="8"/>
  <c r="E1426" i="8"/>
  <c r="F1425" i="8"/>
  <c r="E1425" i="8"/>
  <c r="F1424" i="8"/>
  <c r="E1424" i="8"/>
  <c r="F1423" i="8"/>
  <c r="E1423" i="8"/>
  <c r="F1422" i="8"/>
  <c r="E1422" i="8"/>
  <c r="F1421" i="8"/>
  <c r="E1421" i="8"/>
  <c r="F1420" i="8"/>
  <c r="E1420" i="8"/>
  <c r="F1419" i="8"/>
  <c r="E1419" i="8"/>
  <c r="F1418" i="8"/>
  <c r="E1418" i="8"/>
  <c r="F1417" i="8"/>
  <c r="E1417" i="8"/>
  <c r="F1416" i="8"/>
  <c r="E1416" i="8"/>
  <c r="F1415" i="8"/>
  <c r="E1415" i="8"/>
  <c r="F1414" i="8"/>
  <c r="E1414" i="8"/>
  <c r="F1413" i="8"/>
  <c r="E1413" i="8"/>
  <c r="F1412" i="8"/>
  <c r="E1412" i="8"/>
  <c r="F1411" i="8"/>
  <c r="E1411" i="8"/>
  <c r="F1410" i="8"/>
  <c r="E1410" i="8"/>
  <c r="F1409" i="8"/>
  <c r="E1409" i="8"/>
  <c r="F1408" i="8"/>
  <c r="E1408" i="8"/>
  <c r="F1407" i="8"/>
  <c r="E1407" i="8"/>
  <c r="F1406" i="8"/>
  <c r="E1406" i="8"/>
  <c r="F1405" i="8"/>
  <c r="E1405" i="8"/>
  <c r="F1404" i="8"/>
  <c r="E1404" i="8"/>
  <c r="F1403" i="8"/>
  <c r="E1403" i="8"/>
  <c r="F1402" i="8"/>
  <c r="E1402" i="8"/>
  <c r="F1401" i="8"/>
  <c r="E1401" i="8"/>
  <c r="F1400" i="8"/>
  <c r="E1400" i="8"/>
  <c r="F1399" i="8"/>
  <c r="E1399" i="8"/>
  <c r="F1398" i="8"/>
  <c r="E1398" i="8"/>
  <c r="F1397" i="8"/>
  <c r="E1397" i="8"/>
  <c r="F1396" i="8"/>
  <c r="E1396" i="8"/>
  <c r="F1395" i="8"/>
  <c r="E1395" i="8"/>
  <c r="F1394" i="8"/>
  <c r="E1394" i="8"/>
  <c r="F1393" i="8"/>
  <c r="E1393" i="8"/>
  <c r="F1392" i="8"/>
  <c r="E1392" i="8"/>
  <c r="F1391" i="8"/>
  <c r="E1391" i="8"/>
  <c r="F1390" i="8"/>
  <c r="E1390" i="8"/>
  <c r="F1389" i="8"/>
  <c r="E1389" i="8"/>
  <c r="F1388" i="8"/>
  <c r="E1388" i="8"/>
  <c r="F1387" i="8"/>
  <c r="E1387" i="8"/>
  <c r="F1386" i="8"/>
  <c r="E1386" i="8"/>
  <c r="F1385" i="8"/>
  <c r="E1385" i="8"/>
  <c r="F1384" i="8"/>
  <c r="E1384" i="8"/>
  <c r="F1383" i="8"/>
  <c r="E1383" i="8"/>
  <c r="F1382" i="8"/>
  <c r="E1382" i="8"/>
  <c r="F1381" i="8"/>
  <c r="E1381" i="8"/>
  <c r="F1380" i="8"/>
  <c r="E1380" i="8"/>
  <c r="F1379" i="8"/>
  <c r="E1379" i="8"/>
  <c r="F1378" i="8"/>
  <c r="E1378" i="8"/>
  <c r="F1377" i="8"/>
  <c r="E1377" i="8"/>
  <c r="F1376" i="8"/>
  <c r="E1376" i="8"/>
  <c r="F1375" i="8"/>
  <c r="E1375" i="8"/>
  <c r="F1374" i="8"/>
  <c r="E1374" i="8"/>
  <c r="F1373" i="8"/>
  <c r="E1373" i="8"/>
  <c r="F1372" i="8"/>
  <c r="E1372" i="8"/>
  <c r="F1371" i="8"/>
  <c r="E1371" i="8"/>
  <c r="F1370" i="8"/>
  <c r="E1370" i="8"/>
  <c r="F1369" i="8"/>
  <c r="E1369" i="8"/>
  <c r="F1368" i="8"/>
  <c r="E1368" i="8"/>
  <c r="F1367" i="8"/>
  <c r="E1367" i="8"/>
  <c r="F1366" i="8"/>
  <c r="E1366" i="8"/>
  <c r="F1365" i="8"/>
  <c r="E1365" i="8"/>
  <c r="F1364" i="8"/>
  <c r="E1364" i="8"/>
  <c r="F1363" i="8"/>
  <c r="E1363" i="8"/>
  <c r="F1362" i="8"/>
  <c r="E1362" i="8"/>
  <c r="F1361" i="8"/>
  <c r="E1361" i="8"/>
  <c r="F1360" i="8"/>
  <c r="E1360" i="8"/>
  <c r="F1359" i="8"/>
  <c r="E1359" i="8"/>
  <c r="F1358" i="8"/>
  <c r="E1358" i="8"/>
  <c r="F1357" i="8"/>
  <c r="E1357" i="8"/>
  <c r="F1356" i="8"/>
  <c r="E1356" i="8"/>
  <c r="F1355" i="8"/>
  <c r="E1355" i="8"/>
  <c r="F1354" i="8"/>
  <c r="E1354" i="8"/>
  <c r="F1353" i="8"/>
  <c r="E1353" i="8"/>
  <c r="F1352" i="8"/>
  <c r="E1352" i="8"/>
  <c r="F1351" i="8"/>
  <c r="E1351" i="8"/>
  <c r="F1350" i="8"/>
  <c r="E1350" i="8"/>
  <c r="F1349" i="8"/>
  <c r="E1349" i="8"/>
  <c r="F1348" i="8"/>
  <c r="E1348" i="8"/>
  <c r="F1347" i="8"/>
  <c r="E1347" i="8"/>
  <c r="F1346" i="8"/>
  <c r="E1346" i="8"/>
  <c r="F1345" i="8"/>
  <c r="E1345" i="8"/>
  <c r="F1344" i="8"/>
  <c r="E1344" i="8"/>
  <c r="F1343" i="8"/>
  <c r="E1343" i="8"/>
  <c r="F1342" i="8"/>
  <c r="E1342" i="8"/>
  <c r="F1341" i="8"/>
  <c r="E1341" i="8"/>
  <c r="F1340" i="8"/>
  <c r="E1340" i="8"/>
  <c r="F1339" i="8"/>
  <c r="E1339" i="8"/>
  <c r="F1338" i="8"/>
  <c r="E1338" i="8"/>
  <c r="F1337" i="8"/>
  <c r="E1337" i="8"/>
  <c r="F1336" i="8"/>
  <c r="E1336" i="8"/>
  <c r="F1335" i="8"/>
  <c r="E1335" i="8"/>
  <c r="F1334" i="8"/>
  <c r="E1334" i="8"/>
  <c r="F1333" i="8"/>
  <c r="E1333" i="8"/>
  <c r="F1332" i="8"/>
  <c r="E1332" i="8"/>
  <c r="F1331" i="8"/>
  <c r="E1331" i="8"/>
  <c r="F1330" i="8"/>
  <c r="E1330" i="8"/>
  <c r="F1329" i="8"/>
  <c r="E1329" i="8"/>
  <c r="F1328" i="8"/>
  <c r="E1328" i="8"/>
  <c r="F1327" i="8"/>
  <c r="E1327" i="8"/>
  <c r="F1326" i="8"/>
  <c r="E1326" i="8"/>
  <c r="F1325" i="8"/>
  <c r="E1325" i="8"/>
  <c r="F1324" i="8"/>
  <c r="E1324" i="8"/>
  <c r="F1323" i="8"/>
  <c r="E1323" i="8"/>
  <c r="F1322" i="8"/>
  <c r="E1322" i="8"/>
  <c r="F1321" i="8"/>
  <c r="E1321" i="8"/>
  <c r="F1320" i="8"/>
  <c r="E1320" i="8"/>
  <c r="F1319" i="8"/>
  <c r="E1319" i="8"/>
  <c r="F1318" i="8"/>
  <c r="E1318" i="8"/>
  <c r="F1317" i="8"/>
  <c r="E1317" i="8"/>
  <c r="F1316" i="8"/>
  <c r="E1316" i="8"/>
  <c r="F1315" i="8"/>
  <c r="E1315" i="8"/>
  <c r="F1314" i="8"/>
  <c r="E1314" i="8"/>
  <c r="F1313" i="8"/>
  <c r="E1313" i="8"/>
  <c r="F1312" i="8"/>
  <c r="E1312" i="8"/>
  <c r="F1311" i="8"/>
  <c r="E1311" i="8"/>
  <c r="F1310" i="8"/>
  <c r="E1310" i="8"/>
  <c r="F1309" i="8"/>
  <c r="E1309" i="8"/>
  <c r="F1308" i="8"/>
  <c r="E1308" i="8"/>
  <c r="F1307" i="8"/>
  <c r="E1307" i="8"/>
  <c r="F1306" i="8"/>
  <c r="E1306" i="8"/>
  <c r="F1305" i="8"/>
  <c r="E1305" i="8"/>
  <c r="F1304" i="8"/>
  <c r="E1304" i="8"/>
  <c r="F1303" i="8"/>
  <c r="E1303" i="8"/>
  <c r="F1302" i="8"/>
  <c r="E1302" i="8"/>
  <c r="F1301" i="8"/>
  <c r="E1301" i="8"/>
  <c r="F1300" i="8"/>
  <c r="E1300" i="8"/>
  <c r="F1299" i="8"/>
  <c r="E1299" i="8"/>
  <c r="F1298" i="8"/>
  <c r="E1298" i="8"/>
  <c r="F1297" i="8"/>
  <c r="E1297" i="8"/>
  <c r="F1296" i="8"/>
  <c r="E1296" i="8"/>
  <c r="F1295" i="8"/>
  <c r="E1295" i="8"/>
  <c r="F1294" i="8"/>
  <c r="E1294" i="8"/>
  <c r="F1293" i="8"/>
  <c r="E1293" i="8"/>
  <c r="F1292" i="8"/>
  <c r="E1292" i="8"/>
  <c r="F1291" i="8"/>
  <c r="E1291" i="8"/>
  <c r="F1290" i="8"/>
  <c r="E1290" i="8"/>
  <c r="F1289" i="8"/>
  <c r="E1289" i="8"/>
  <c r="F1288" i="8"/>
  <c r="E1288" i="8"/>
  <c r="F1287" i="8"/>
  <c r="E1287" i="8"/>
  <c r="F1286" i="8"/>
  <c r="E1286" i="8"/>
  <c r="F1285" i="8"/>
  <c r="E1285" i="8"/>
  <c r="F1284" i="8"/>
  <c r="E1284" i="8"/>
  <c r="F1283" i="8"/>
  <c r="E1283" i="8"/>
  <c r="F1282" i="8"/>
  <c r="E1282" i="8"/>
  <c r="F1281" i="8"/>
  <c r="E1281" i="8"/>
  <c r="F1280" i="8"/>
  <c r="E1280" i="8"/>
  <c r="F1279" i="8"/>
  <c r="E1279" i="8"/>
  <c r="F1278" i="8"/>
  <c r="E1278" i="8"/>
  <c r="F1277" i="8"/>
  <c r="E1277" i="8"/>
  <c r="F1276" i="8"/>
  <c r="E1276" i="8"/>
  <c r="F1275" i="8"/>
  <c r="E1275" i="8"/>
  <c r="F1274" i="8"/>
  <c r="E1274" i="8"/>
  <c r="F1273" i="8"/>
  <c r="E1273" i="8"/>
  <c r="F1272" i="8"/>
  <c r="E1272" i="8"/>
  <c r="F1271" i="8"/>
  <c r="E1271" i="8"/>
  <c r="F1270" i="8"/>
  <c r="E1270" i="8"/>
  <c r="F1269" i="8"/>
  <c r="E1269" i="8"/>
  <c r="F1268" i="8"/>
  <c r="E1268" i="8"/>
  <c r="F1267" i="8"/>
  <c r="E1267" i="8"/>
  <c r="F1266" i="8"/>
  <c r="E1266" i="8"/>
  <c r="F1265" i="8"/>
  <c r="E1265" i="8"/>
  <c r="F1264" i="8"/>
  <c r="E1264" i="8"/>
  <c r="F1263" i="8"/>
  <c r="E1263" i="8"/>
  <c r="F1262" i="8"/>
  <c r="E1262" i="8"/>
  <c r="F1261" i="8"/>
  <c r="E1261" i="8"/>
  <c r="F1260" i="8"/>
  <c r="E1260" i="8"/>
  <c r="F1259" i="8"/>
  <c r="E1259" i="8"/>
  <c r="F1258" i="8"/>
  <c r="E1258" i="8"/>
  <c r="F1257" i="8"/>
  <c r="E1257" i="8"/>
  <c r="F1256" i="8"/>
  <c r="E1256" i="8"/>
  <c r="F1255" i="8"/>
  <c r="E1255" i="8"/>
  <c r="F1254" i="8"/>
  <c r="E1254" i="8"/>
  <c r="F1253" i="8"/>
  <c r="E1253" i="8"/>
  <c r="F1252" i="8"/>
  <c r="E1252" i="8"/>
  <c r="F1251" i="8"/>
  <c r="E1251" i="8"/>
  <c r="F1250" i="8"/>
  <c r="E1250" i="8"/>
  <c r="F1249" i="8"/>
  <c r="E1249" i="8"/>
  <c r="F1248" i="8"/>
  <c r="E1248" i="8"/>
  <c r="F1247" i="8"/>
  <c r="E1247" i="8"/>
  <c r="F1246" i="8"/>
  <c r="E1246" i="8"/>
  <c r="F1245" i="8"/>
  <c r="E1245" i="8"/>
  <c r="F1244" i="8"/>
  <c r="E1244" i="8"/>
  <c r="F1243" i="8"/>
  <c r="E1243" i="8"/>
  <c r="F1242" i="8"/>
  <c r="E1242" i="8"/>
  <c r="F1241" i="8"/>
  <c r="E1241" i="8"/>
  <c r="F1240" i="8"/>
  <c r="E1240" i="8"/>
  <c r="F1239" i="8"/>
  <c r="E1239" i="8"/>
  <c r="F1238" i="8"/>
  <c r="E1238" i="8"/>
  <c r="F1237" i="8"/>
  <c r="E1237" i="8"/>
  <c r="F1236" i="8"/>
  <c r="E1236" i="8"/>
  <c r="F1235" i="8"/>
  <c r="E1235" i="8"/>
  <c r="F1234" i="8"/>
  <c r="E1234" i="8"/>
  <c r="F1233" i="8"/>
  <c r="E1233" i="8"/>
  <c r="F1232" i="8"/>
  <c r="E1232" i="8"/>
  <c r="F1231" i="8"/>
  <c r="E1231" i="8"/>
  <c r="F1230" i="8"/>
  <c r="E1230" i="8"/>
  <c r="F1229" i="8"/>
  <c r="E1229" i="8"/>
  <c r="F1228" i="8"/>
  <c r="E1228" i="8"/>
  <c r="F1227" i="8"/>
  <c r="E1227" i="8"/>
  <c r="F1226" i="8"/>
  <c r="E1226" i="8"/>
  <c r="F1225" i="8"/>
  <c r="E1225" i="8"/>
  <c r="F1224" i="8"/>
  <c r="E1224" i="8"/>
  <c r="F1223" i="8"/>
  <c r="E1223" i="8"/>
  <c r="F1222" i="8"/>
  <c r="E1222" i="8"/>
  <c r="F1221" i="8"/>
  <c r="E1221" i="8"/>
  <c r="F1220" i="8"/>
  <c r="E1220" i="8"/>
  <c r="F1219" i="8"/>
  <c r="E1219" i="8"/>
  <c r="F1218" i="8"/>
  <c r="E1218" i="8"/>
  <c r="F1217" i="8"/>
  <c r="E1217" i="8"/>
  <c r="F1216" i="8"/>
  <c r="E1216" i="8"/>
  <c r="F1215" i="8"/>
  <c r="E1215" i="8"/>
  <c r="F1214" i="8"/>
  <c r="E1214" i="8"/>
  <c r="F1213" i="8"/>
  <c r="E1213" i="8"/>
  <c r="F1212" i="8"/>
  <c r="E1212" i="8"/>
  <c r="F1211" i="8"/>
  <c r="E1211" i="8"/>
  <c r="F1210" i="8"/>
  <c r="E1210" i="8"/>
  <c r="F1209" i="8"/>
  <c r="E1209" i="8"/>
  <c r="F1208" i="8"/>
  <c r="E1208" i="8"/>
  <c r="F1207" i="8"/>
  <c r="E1207" i="8"/>
  <c r="F1206" i="8"/>
  <c r="E1206" i="8"/>
  <c r="F1205" i="8"/>
  <c r="E1205" i="8"/>
  <c r="F1204" i="8"/>
  <c r="E1204" i="8"/>
  <c r="F1203" i="8"/>
  <c r="E1203" i="8"/>
  <c r="F1202" i="8"/>
  <c r="E1202" i="8"/>
  <c r="F1201" i="8"/>
  <c r="E1201" i="8"/>
  <c r="F1200" i="8"/>
  <c r="E1200" i="8"/>
  <c r="F1199" i="8"/>
  <c r="E1199" i="8"/>
  <c r="F1198" i="8"/>
  <c r="E1198" i="8"/>
  <c r="F1197" i="8"/>
  <c r="E1197" i="8"/>
  <c r="F1196" i="8"/>
  <c r="E1196" i="8"/>
  <c r="F1195" i="8"/>
  <c r="E1195" i="8"/>
  <c r="F1194" i="8"/>
  <c r="E1194" i="8"/>
  <c r="F1193" i="8"/>
  <c r="E1193" i="8"/>
  <c r="F1192" i="8"/>
  <c r="E1192" i="8"/>
  <c r="F1191" i="8"/>
  <c r="E1191" i="8"/>
  <c r="F1190" i="8"/>
  <c r="E1190" i="8"/>
  <c r="F1189" i="8"/>
  <c r="E1189" i="8"/>
  <c r="F1188" i="8"/>
  <c r="E1188" i="8"/>
  <c r="F1187" i="8"/>
  <c r="E1187" i="8"/>
  <c r="F1186" i="8"/>
  <c r="E1186" i="8"/>
  <c r="F1185" i="8"/>
  <c r="E1185" i="8"/>
  <c r="F1184" i="8"/>
  <c r="E1184" i="8"/>
  <c r="F1183" i="8"/>
  <c r="E1183" i="8"/>
  <c r="F1182" i="8"/>
  <c r="E1182" i="8"/>
  <c r="F1181" i="8"/>
  <c r="E1181" i="8"/>
  <c r="F1180" i="8"/>
  <c r="E1180" i="8"/>
  <c r="F1179" i="8"/>
  <c r="E1179" i="8"/>
  <c r="F1178" i="8"/>
  <c r="E1178" i="8"/>
  <c r="F1177" i="8"/>
  <c r="E1177" i="8"/>
  <c r="F1176" i="8"/>
  <c r="E1176" i="8"/>
  <c r="F1175" i="8"/>
  <c r="E1175" i="8"/>
  <c r="F1174" i="8"/>
  <c r="E1174" i="8"/>
  <c r="F1173" i="8"/>
  <c r="E1173" i="8"/>
  <c r="F1172" i="8"/>
  <c r="E1172" i="8"/>
  <c r="F1171" i="8"/>
  <c r="E1171" i="8"/>
  <c r="F1170" i="8"/>
  <c r="E1170" i="8"/>
  <c r="F1169" i="8"/>
  <c r="E1169" i="8"/>
  <c r="F1168" i="8"/>
  <c r="E1168" i="8"/>
  <c r="F1167" i="8"/>
  <c r="E1167" i="8"/>
  <c r="F1166" i="8"/>
  <c r="E1166" i="8"/>
  <c r="F1165" i="8"/>
  <c r="E1165" i="8"/>
  <c r="F1164" i="8"/>
  <c r="E1164" i="8"/>
  <c r="F1163" i="8"/>
  <c r="E1163" i="8"/>
  <c r="F1162" i="8"/>
  <c r="E1162" i="8"/>
  <c r="F1161" i="8"/>
  <c r="E1161" i="8"/>
  <c r="F1160" i="8"/>
  <c r="E1160" i="8"/>
  <c r="F1159" i="8"/>
  <c r="E1159" i="8"/>
  <c r="F1158" i="8"/>
  <c r="E1158" i="8"/>
  <c r="F1157" i="8"/>
  <c r="E1157" i="8"/>
  <c r="F1156" i="8"/>
  <c r="E1156" i="8"/>
  <c r="F1155" i="8"/>
  <c r="E1155" i="8"/>
  <c r="F1154" i="8"/>
  <c r="E1154" i="8"/>
  <c r="F1153" i="8"/>
  <c r="E1153" i="8"/>
  <c r="F1152" i="8"/>
  <c r="E1152" i="8"/>
  <c r="F1151" i="8"/>
  <c r="E1151" i="8"/>
  <c r="F1150" i="8"/>
  <c r="E1150" i="8"/>
  <c r="F1149" i="8"/>
  <c r="E1149" i="8"/>
  <c r="F1148" i="8"/>
  <c r="E1148" i="8"/>
  <c r="F1147" i="8"/>
  <c r="E1147" i="8"/>
  <c r="F1146" i="8"/>
  <c r="E1146" i="8"/>
  <c r="F1145" i="8"/>
  <c r="E1145" i="8"/>
  <c r="F1144" i="8"/>
  <c r="E1144" i="8"/>
  <c r="F1143" i="8"/>
  <c r="E1143" i="8"/>
  <c r="F1142" i="8"/>
  <c r="E1142" i="8"/>
  <c r="F1141" i="8"/>
  <c r="E1141" i="8"/>
  <c r="F1140" i="8"/>
  <c r="E1140" i="8"/>
  <c r="F1139" i="8"/>
  <c r="E1139" i="8"/>
  <c r="F1138" i="8"/>
  <c r="E1138" i="8"/>
  <c r="F1137" i="8"/>
  <c r="E1137" i="8"/>
  <c r="F1136" i="8"/>
  <c r="E1136" i="8"/>
  <c r="F1135" i="8"/>
  <c r="E1135" i="8"/>
  <c r="F1134" i="8"/>
  <c r="E1134" i="8"/>
  <c r="F1133" i="8"/>
  <c r="E1133" i="8"/>
  <c r="F1132" i="8"/>
  <c r="E1132" i="8"/>
  <c r="F1131" i="8"/>
  <c r="E1131" i="8"/>
  <c r="F1130" i="8"/>
  <c r="E1130" i="8"/>
  <c r="F1129" i="8"/>
  <c r="E1129" i="8"/>
  <c r="F1128" i="8"/>
  <c r="E1128" i="8"/>
  <c r="F1127" i="8"/>
  <c r="E1127" i="8"/>
  <c r="F1126" i="8"/>
  <c r="E1126" i="8"/>
  <c r="F1125" i="8"/>
  <c r="E1125" i="8"/>
  <c r="F1124" i="8"/>
  <c r="E1124" i="8"/>
  <c r="F1123" i="8"/>
  <c r="E1123" i="8"/>
  <c r="F1122" i="8"/>
  <c r="E1122" i="8"/>
  <c r="F1121" i="8"/>
  <c r="E1121" i="8"/>
  <c r="F1120" i="8"/>
  <c r="E1120" i="8"/>
  <c r="F1119" i="8"/>
  <c r="E1119" i="8"/>
  <c r="F1118" i="8"/>
  <c r="E1118" i="8"/>
  <c r="F1117" i="8"/>
  <c r="E1117" i="8"/>
  <c r="F1116" i="8"/>
  <c r="E1116" i="8"/>
  <c r="F1115" i="8"/>
  <c r="E1115" i="8"/>
  <c r="F1114" i="8"/>
  <c r="E1114" i="8"/>
  <c r="F1113" i="8"/>
  <c r="E1113" i="8"/>
  <c r="F1112" i="8"/>
  <c r="E1112" i="8"/>
  <c r="F1111" i="8"/>
  <c r="E1111" i="8"/>
  <c r="F1110" i="8"/>
  <c r="E1110" i="8"/>
  <c r="F1109" i="8"/>
  <c r="E1109" i="8"/>
  <c r="F1108" i="8"/>
  <c r="E1108" i="8"/>
  <c r="F1107" i="8"/>
  <c r="E1107" i="8"/>
  <c r="F1106" i="8"/>
  <c r="E1106" i="8"/>
  <c r="F1105" i="8"/>
  <c r="E1105" i="8"/>
  <c r="F1104" i="8"/>
  <c r="E1104" i="8"/>
  <c r="F1103" i="8"/>
  <c r="E1103" i="8"/>
  <c r="F1102" i="8"/>
  <c r="E1102" i="8"/>
  <c r="F1101" i="8"/>
  <c r="E1101" i="8"/>
  <c r="F1100" i="8"/>
  <c r="E1100" i="8"/>
  <c r="F1099" i="8"/>
  <c r="E1099" i="8"/>
  <c r="F1098" i="8"/>
  <c r="E1098" i="8"/>
  <c r="F1097" i="8"/>
  <c r="E1097" i="8"/>
  <c r="F1096" i="8"/>
  <c r="E1096" i="8"/>
  <c r="F1095" i="8"/>
  <c r="E1095" i="8"/>
  <c r="F1094" i="8"/>
  <c r="E1094" i="8"/>
  <c r="F1093" i="8"/>
  <c r="E1093" i="8"/>
  <c r="F1092" i="8"/>
  <c r="E1092" i="8"/>
  <c r="F1091" i="8"/>
  <c r="E1091" i="8"/>
  <c r="F1090" i="8"/>
  <c r="E1090" i="8"/>
  <c r="F1089" i="8"/>
  <c r="E1089" i="8"/>
  <c r="F1088" i="8"/>
  <c r="E1088" i="8"/>
  <c r="F1087" i="8"/>
  <c r="E1087" i="8"/>
  <c r="F1086" i="8"/>
  <c r="E1086" i="8"/>
  <c r="F1085" i="8"/>
  <c r="E1085" i="8"/>
  <c r="F1084" i="8"/>
  <c r="E1084" i="8"/>
  <c r="F1083" i="8"/>
  <c r="E1083" i="8"/>
  <c r="F1082" i="8"/>
  <c r="E1082" i="8"/>
  <c r="F1081" i="8"/>
  <c r="E1081" i="8"/>
  <c r="F1080" i="8"/>
  <c r="E1080" i="8"/>
  <c r="F1079" i="8"/>
  <c r="E1079" i="8"/>
  <c r="F1078" i="8"/>
  <c r="E1078" i="8"/>
  <c r="F1077" i="8"/>
  <c r="E1077" i="8"/>
  <c r="F1076" i="8"/>
  <c r="E1076" i="8"/>
  <c r="F1075" i="8"/>
  <c r="E1075" i="8"/>
  <c r="F1074" i="8"/>
  <c r="E1074" i="8"/>
  <c r="F1073" i="8"/>
  <c r="E1073" i="8"/>
  <c r="F1072" i="8"/>
  <c r="E1072" i="8"/>
  <c r="F1071" i="8"/>
  <c r="E1071" i="8"/>
  <c r="F1070" i="8"/>
  <c r="E1070" i="8"/>
  <c r="F1069" i="8"/>
  <c r="E1069" i="8"/>
  <c r="F1068" i="8"/>
  <c r="E1068" i="8"/>
  <c r="F1067" i="8"/>
  <c r="E1067" i="8"/>
  <c r="F1066" i="8"/>
  <c r="E1066" i="8"/>
  <c r="F1065" i="8"/>
  <c r="E1065" i="8"/>
  <c r="F1064" i="8"/>
  <c r="E1064" i="8"/>
  <c r="F1063" i="8"/>
  <c r="E1063" i="8"/>
  <c r="F1062" i="8"/>
  <c r="E1062" i="8"/>
  <c r="F1061" i="8"/>
  <c r="E1061" i="8"/>
  <c r="F1060" i="8"/>
  <c r="E1060" i="8"/>
  <c r="F1059" i="8"/>
  <c r="E1059" i="8"/>
  <c r="F1058" i="8"/>
  <c r="E1058" i="8"/>
  <c r="F1057" i="8"/>
  <c r="E1057" i="8"/>
  <c r="F1056" i="8"/>
  <c r="E1056" i="8"/>
  <c r="F1055" i="8"/>
  <c r="E1055" i="8"/>
  <c r="F1054" i="8"/>
  <c r="E1054" i="8"/>
  <c r="F1053" i="8"/>
  <c r="E1053" i="8"/>
  <c r="F1052" i="8"/>
  <c r="E1052" i="8"/>
  <c r="F1051" i="8"/>
  <c r="E1051" i="8"/>
  <c r="F1050" i="8"/>
  <c r="E1050" i="8"/>
  <c r="F1049" i="8"/>
  <c r="E1049" i="8"/>
  <c r="F1048" i="8"/>
  <c r="E1048" i="8"/>
  <c r="F1047" i="8"/>
  <c r="E1047" i="8"/>
  <c r="F1046" i="8"/>
  <c r="E1046" i="8"/>
  <c r="F1045" i="8"/>
  <c r="E1045" i="8"/>
  <c r="F1044" i="8"/>
  <c r="E1044" i="8"/>
  <c r="F1043" i="8"/>
  <c r="E1043" i="8"/>
  <c r="F1042" i="8"/>
  <c r="E1042" i="8"/>
  <c r="F1041" i="8"/>
  <c r="E1041" i="8"/>
  <c r="F1040" i="8"/>
  <c r="E1040" i="8"/>
  <c r="F1039" i="8"/>
  <c r="E1039" i="8"/>
  <c r="F1038" i="8"/>
  <c r="E1038" i="8"/>
  <c r="F1037" i="8"/>
  <c r="E1037" i="8"/>
  <c r="F1036" i="8"/>
  <c r="E1036" i="8"/>
  <c r="F1035" i="8"/>
  <c r="E1035" i="8"/>
  <c r="F1034" i="8"/>
  <c r="E1034" i="8"/>
  <c r="F1033" i="8"/>
  <c r="E1033" i="8"/>
  <c r="F1032" i="8"/>
  <c r="E1032" i="8"/>
  <c r="F1031" i="8"/>
  <c r="E1031" i="8"/>
  <c r="F1030" i="8"/>
  <c r="E1030" i="8"/>
  <c r="F1029" i="8"/>
  <c r="E1029" i="8"/>
  <c r="F1028" i="8"/>
  <c r="E1028" i="8"/>
  <c r="F1027" i="8"/>
  <c r="E1027" i="8"/>
  <c r="F1026" i="8"/>
  <c r="E1026" i="8"/>
  <c r="F1025" i="8"/>
  <c r="E1025" i="8"/>
  <c r="F1024" i="8"/>
  <c r="E1024" i="8"/>
  <c r="F1023" i="8"/>
  <c r="E1023" i="8"/>
  <c r="F1022" i="8"/>
  <c r="E1022" i="8"/>
  <c r="F1021" i="8"/>
  <c r="E1021" i="8"/>
  <c r="F1020" i="8"/>
  <c r="E1020" i="8"/>
  <c r="F1019" i="8"/>
  <c r="E1019" i="8"/>
  <c r="F1018" i="8"/>
  <c r="E1018" i="8"/>
  <c r="F1017" i="8"/>
  <c r="E1017" i="8"/>
  <c r="F1016" i="8"/>
  <c r="E1016" i="8"/>
  <c r="F1015" i="8"/>
  <c r="E1015" i="8"/>
  <c r="F1014" i="8"/>
  <c r="E1014" i="8"/>
  <c r="F1013" i="8"/>
  <c r="E1013" i="8"/>
  <c r="F1012" i="8"/>
  <c r="E1012" i="8"/>
  <c r="F1011" i="8"/>
  <c r="E1011" i="8"/>
  <c r="F1010" i="8"/>
  <c r="E1010" i="8"/>
  <c r="F1009" i="8"/>
  <c r="E1009" i="8"/>
  <c r="F1008" i="8"/>
  <c r="E1008" i="8"/>
  <c r="F1007" i="8"/>
  <c r="E1007" i="8"/>
  <c r="F1006" i="8"/>
  <c r="E1006" i="8"/>
  <c r="F1005" i="8"/>
  <c r="E1005" i="8"/>
  <c r="F1004" i="8"/>
  <c r="E1004" i="8"/>
  <c r="F1003" i="8"/>
  <c r="E1003" i="8"/>
  <c r="F1002" i="8"/>
  <c r="E1002" i="8"/>
  <c r="F1001" i="8"/>
  <c r="E1001" i="8"/>
  <c r="F1000" i="8"/>
  <c r="E1000" i="8"/>
  <c r="F999" i="8"/>
  <c r="E999" i="8"/>
  <c r="F998" i="8"/>
  <c r="E998" i="8"/>
  <c r="F997" i="8"/>
  <c r="E997" i="8"/>
  <c r="F996" i="8"/>
  <c r="E996" i="8"/>
  <c r="F995" i="8"/>
  <c r="E995" i="8"/>
  <c r="F994" i="8"/>
  <c r="E994" i="8"/>
  <c r="F993" i="8"/>
  <c r="E993" i="8"/>
  <c r="F992" i="8"/>
  <c r="E992" i="8"/>
  <c r="F991" i="8"/>
  <c r="E991" i="8"/>
  <c r="F990" i="8"/>
  <c r="E990" i="8"/>
  <c r="F989" i="8"/>
  <c r="E989" i="8"/>
  <c r="F988" i="8"/>
  <c r="E988" i="8"/>
  <c r="F987" i="8"/>
  <c r="E987" i="8"/>
  <c r="F986" i="8"/>
  <c r="E986" i="8"/>
  <c r="F985" i="8"/>
  <c r="E985" i="8"/>
  <c r="F984" i="8"/>
  <c r="E984" i="8"/>
  <c r="F983" i="8"/>
  <c r="E983" i="8"/>
  <c r="F982" i="8"/>
  <c r="E982" i="8"/>
  <c r="F981" i="8"/>
  <c r="E981" i="8"/>
  <c r="F980" i="8"/>
  <c r="E980" i="8"/>
  <c r="F979" i="8"/>
  <c r="E979" i="8"/>
  <c r="F978" i="8"/>
  <c r="E978" i="8"/>
  <c r="F977" i="8"/>
  <c r="E977" i="8"/>
  <c r="F976" i="8"/>
  <c r="E976" i="8"/>
  <c r="F975" i="8"/>
  <c r="E975" i="8"/>
  <c r="F974" i="8"/>
  <c r="E974" i="8"/>
  <c r="F973" i="8"/>
  <c r="E973" i="8"/>
  <c r="F972" i="8"/>
  <c r="E972" i="8"/>
  <c r="F971" i="8"/>
  <c r="E971" i="8"/>
  <c r="F970" i="8"/>
  <c r="E970" i="8"/>
  <c r="F969" i="8"/>
  <c r="E969" i="8"/>
  <c r="F968" i="8"/>
  <c r="E968" i="8"/>
  <c r="F967" i="8"/>
  <c r="E967" i="8"/>
  <c r="F966" i="8"/>
  <c r="E966" i="8"/>
  <c r="F965" i="8"/>
  <c r="E965" i="8"/>
  <c r="F964" i="8"/>
  <c r="E964" i="8"/>
  <c r="F963" i="8"/>
  <c r="E963" i="8"/>
  <c r="F962" i="8"/>
  <c r="E962" i="8"/>
  <c r="F961" i="8"/>
  <c r="E961" i="8"/>
  <c r="F960" i="8"/>
  <c r="E960" i="8"/>
  <c r="F959" i="8"/>
  <c r="E959" i="8"/>
  <c r="F958" i="8"/>
  <c r="E958" i="8"/>
  <c r="F957" i="8"/>
  <c r="E957" i="8"/>
  <c r="F956" i="8"/>
  <c r="E956" i="8"/>
  <c r="F955" i="8"/>
  <c r="E955" i="8"/>
  <c r="F954" i="8"/>
  <c r="E954" i="8"/>
  <c r="F953" i="8"/>
  <c r="E953" i="8"/>
  <c r="F952" i="8"/>
  <c r="E952" i="8"/>
  <c r="F951" i="8"/>
  <c r="E951" i="8"/>
  <c r="F950" i="8"/>
  <c r="E950" i="8"/>
  <c r="F949" i="8"/>
  <c r="E949" i="8"/>
  <c r="F948" i="8"/>
  <c r="E948" i="8"/>
  <c r="F947" i="8"/>
  <c r="E947" i="8"/>
  <c r="F946" i="8"/>
  <c r="E946" i="8"/>
  <c r="F945" i="8"/>
  <c r="E945" i="8"/>
  <c r="F944" i="8"/>
  <c r="E944" i="8"/>
  <c r="F943" i="8"/>
  <c r="E943" i="8"/>
  <c r="F942" i="8"/>
  <c r="E942" i="8"/>
  <c r="F941" i="8"/>
  <c r="E941" i="8"/>
  <c r="F940" i="8"/>
  <c r="E940" i="8"/>
  <c r="F939" i="8"/>
  <c r="E939" i="8"/>
  <c r="F938" i="8"/>
  <c r="E938" i="8"/>
  <c r="F937" i="8"/>
  <c r="E937" i="8"/>
  <c r="F936" i="8"/>
  <c r="E936" i="8"/>
  <c r="F935" i="8"/>
  <c r="E935" i="8"/>
  <c r="F934" i="8"/>
  <c r="E934" i="8"/>
  <c r="F933" i="8"/>
  <c r="E933" i="8"/>
  <c r="F932" i="8"/>
  <c r="E932" i="8"/>
  <c r="F931" i="8"/>
  <c r="E931" i="8"/>
  <c r="F930" i="8"/>
  <c r="E930" i="8"/>
  <c r="F929" i="8"/>
  <c r="E929" i="8"/>
  <c r="F928" i="8"/>
  <c r="E928" i="8"/>
  <c r="F927" i="8"/>
  <c r="E927" i="8"/>
  <c r="F926" i="8"/>
  <c r="E926" i="8"/>
  <c r="F925" i="8"/>
  <c r="E925" i="8"/>
  <c r="F924" i="8"/>
  <c r="E924" i="8"/>
  <c r="F923" i="8"/>
  <c r="E923" i="8"/>
  <c r="F922" i="8"/>
  <c r="E922" i="8"/>
  <c r="F921" i="8"/>
  <c r="E921" i="8"/>
  <c r="F920" i="8"/>
  <c r="E920" i="8"/>
  <c r="F919" i="8"/>
  <c r="E919" i="8"/>
  <c r="F918" i="8"/>
  <c r="E918" i="8"/>
  <c r="F917" i="8"/>
  <c r="E917" i="8"/>
  <c r="F916" i="8"/>
  <c r="E916" i="8"/>
  <c r="F915" i="8"/>
  <c r="E915" i="8"/>
  <c r="F914" i="8"/>
  <c r="E914" i="8"/>
  <c r="F913" i="8"/>
  <c r="E913" i="8"/>
  <c r="F912" i="8"/>
  <c r="E912" i="8"/>
  <c r="F911" i="8"/>
  <c r="E911" i="8"/>
  <c r="F910" i="8"/>
  <c r="E910" i="8"/>
  <c r="F909" i="8"/>
  <c r="E909" i="8"/>
  <c r="F908" i="8"/>
  <c r="E908" i="8"/>
  <c r="F907" i="8"/>
  <c r="E907" i="8"/>
  <c r="F906" i="8"/>
  <c r="E906" i="8"/>
  <c r="F905" i="8"/>
  <c r="E905" i="8"/>
  <c r="F904" i="8"/>
  <c r="E904" i="8"/>
  <c r="F903" i="8"/>
  <c r="E903" i="8"/>
  <c r="F902" i="8"/>
  <c r="E902" i="8"/>
  <c r="F901" i="8"/>
  <c r="E901" i="8"/>
  <c r="F900" i="8"/>
  <c r="E900" i="8"/>
  <c r="F899" i="8"/>
  <c r="E899" i="8"/>
  <c r="F898" i="8"/>
  <c r="E898" i="8"/>
  <c r="F897" i="8"/>
  <c r="E897" i="8"/>
  <c r="F896" i="8"/>
  <c r="E896" i="8"/>
  <c r="F895" i="8"/>
  <c r="E895" i="8"/>
  <c r="F894" i="8"/>
  <c r="E894" i="8"/>
  <c r="F893" i="8"/>
  <c r="E893" i="8"/>
  <c r="F892" i="8"/>
  <c r="E892" i="8"/>
  <c r="F891" i="8"/>
  <c r="E891" i="8"/>
  <c r="F890" i="8"/>
  <c r="E890" i="8"/>
  <c r="F889" i="8"/>
  <c r="E889" i="8"/>
  <c r="F888" i="8"/>
  <c r="E888" i="8"/>
  <c r="F887" i="8"/>
  <c r="E887" i="8"/>
  <c r="F886" i="8"/>
  <c r="E886" i="8"/>
  <c r="F885" i="8"/>
  <c r="E885" i="8"/>
  <c r="F884" i="8"/>
  <c r="E884" i="8"/>
  <c r="F883" i="8"/>
  <c r="E883" i="8"/>
  <c r="F882" i="8"/>
  <c r="E882" i="8"/>
  <c r="F881" i="8"/>
  <c r="E881" i="8"/>
  <c r="F880" i="8"/>
  <c r="E880" i="8"/>
  <c r="F879" i="8"/>
  <c r="E879" i="8"/>
  <c r="F878" i="8"/>
  <c r="E878" i="8"/>
  <c r="F877" i="8"/>
  <c r="E877" i="8"/>
  <c r="F876" i="8"/>
  <c r="E876" i="8"/>
  <c r="F875" i="8"/>
  <c r="E875" i="8"/>
  <c r="F874" i="8"/>
  <c r="E874" i="8"/>
  <c r="F873" i="8"/>
  <c r="E873" i="8"/>
  <c r="F872" i="8"/>
  <c r="E872" i="8"/>
  <c r="F871" i="8"/>
  <c r="E871" i="8"/>
  <c r="F870" i="8"/>
  <c r="E870" i="8"/>
  <c r="F869" i="8"/>
  <c r="E869" i="8"/>
  <c r="F868" i="8"/>
  <c r="E868" i="8"/>
  <c r="F867" i="8"/>
  <c r="E867" i="8"/>
  <c r="F866" i="8"/>
  <c r="E866" i="8"/>
  <c r="F865" i="8"/>
  <c r="E865" i="8"/>
  <c r="F864" i="8"/>
  <c r="E864" i="8"/>
  <c r="F863" i="8"/>
  <c r="E863" i="8"/>
  <c r="F862" i="8"/>
  <c r="E862" i="8"/>
  <c r="F861" i="8"/>
  <c r="E861" i="8"/>
  <c r="F860" i="8"/>
  <c r="E860" i="8"/>
  <c r="F859" i="8"/>
  <c r="E859" i="8"/>
  <c r="F858" i="8"/>
  <c r="E858" i="8"/>
  <c r="F857" i="8"/>
  <c r="E857" i="8"/>
  <c r="F856" i="8"/>
  <c r="E856" i="8"/>
  <c r="F855" i="8"/>
  <c r="E855" i="8"/>
  <c r="F854" i="8"/>
  <c r="E854" i="8"/>
  <c r="F853" i="8"/>
  <c r="E853" i="8"/>
  <c r="F852" i="8"/>
  <c r="E852" i="8"/>
  <c r="F851" i="8"/>
  <c r="E851" i="8"/>
  <c r="F850" i="8"/>
  <c r="E850" i="8"/>
  <c r="F849" i="8"/>
  <c r="E849" i="8"/>
  <c r="F848" i="8"/>
  <c r="E848" i="8"/>
  <c r="F847" i="8"/>
  <c r="E847" i="8"/>
  <c r="F846" i="8"/>
  <c r="E846" i="8"/>
  <c r="F845" i="8"/>
  <c r="E845" i="8"/>
  <c r="F844" i="8"/>
  <c r="E844" i="8"/>
  <c r="F843" i="8"/>
  <c r="E843" i="8"/>
  <c r="F842" i="8"/>
  <c r="E842" i="8"/>
  <c r="F841" i="8"/>
  <c r="E841" i="8"/>
  <c r="F840" i="8"/>
  <c r="E840" i="8"/>
  <c r="F839" i="8"/>
  <c r="E839" i="8"/>
  <c r="F838" i="8"/>
  <c r="E838" i="8"/>
  <c r="F837" i="8"/>
  <c r="E837" i="8"/>
  <c r="F836" i="8"/>
  <c r="E836" i="8"/>
  <c r="F835" i="8"/>
  <c r="E835" i="8"/>
  <c r="F834" i="8"/>
  <c r="E834" i="8"/>
  <c r="F833" i="8"/>
  <c r="E833" i="8"/>
  <c r="F832" i="8"/>
  <c r="E832" i="8"/>
  <c r="F831" i="8"/>
  <c r="E831" i="8"/>
  <c r="F830" i="8"/>
  <c r="E830" i="8"/>
  <c r="F829" i="8"/>
  <c r="E829" i="8"/>
  <c r="F828" i="8"/>
  <c r="E828" i="8"/>
  <c r="F827" i="8"/>
  <c r="E827" i="8"/>
  <c r="F826" i="8"/>
  <c r="E826" i="8"/>
  <c r="F825" i="8"/>
  <c r="E825" i="8"/>
  <c r="F824" i="8"/>
  <c r="E824" i="8"/>
  <c r="F823" i="8"/>
  <c r="E823" i="8"/>
  <c r="F822" i="8"/>
  <c r="E822" i="8"/>
  <c r="F821" i="8"/>
  <c r="E821" i="8"/>
  <c r="F820" i="8"/>
  <c r="E820" i="8"/>
  <c r="F819" i="8"/>
  <c r="E819" i="8"/>
  <c r="F818" i="8"/>
  <c r="E818" i="8"/>
  <c r="F817" i="8"/>
  <c r="E817" i="8"/>
  <c r="F816" i="8"/>
  <c r="E816" i="8"/>
  <c r="F815" i="8"/>
  <c r="E815" i="8"/>
  <c r="F814" i="8"/>
  <c r="E814" i="8"/>
  <c r="F813" i="8"/>
  <c r="E813" i="8"/>
  <c r="F812" i="8"/>
  <c r="E812" i="8"/>
  <c r="F811" i="8"/>
  <c r="E811" i="8"/>
  <c r="F810" i="8"/>
  <c r="E810" i="8"/>
  <c r="F809" i="8"/>
  <c r="E809" i="8"/>
  <c r="F808" i="8"/>
  <c r="E808" i="8"/>
  <c r="F807" i="8"/>
  <c r="E807" i="8"/>
  <c r="F806" i="8"/>
  <c r="E806" i="8"/>
  <c r="F805" i="8"/>
  <c r="E805" i="8"/>
  <c r="F804" i="8"/>
  <c r="E804" i="8"/>
  <c r="F803" i="8"/>
  <c r="E803" i="8"/>
  <c r="F802" i="8"/>
  <c r="E802" i="8"/>
  <c r="F801" i="8"/>
  <c r="E801" i="8"/>
  <c r="F800" i="8"/>
  <c r="E800" i="8"/>
  <c r="F799" i="8"/>
  <c r="E799" i="8"/>
  <c r="F798" i="8"/>
  <c r="E798" i="8"/>
  <c r="F797" i="8"/>
  <c r="E797" i="8"/>
  <c r="F796" i="8"/>
  <c r="E796" i="8"/>
  <c r="F795" i="8"/>
  <c r="E795" i="8"/>
  <c r="F794" i="8"/>
  <c r="E794" i="8"/>
  <c r="F793" i="8"/>
  <c r="E793" i="8"/>
  <c r="F792" i="8"/>
  <c r="E792" i="8"/>
  <c r="F791" i="8"/>
  <c r="E791" i="8"/>
  <c r="F790" i="8"/>
  <c r="E790" i="8"/>
  <c r="F789" i="8"/>
  <c r="E789" i="8"/>
  <c r="F788" i="8"/>
  <c r="E788" i="8"/>
  <c r="F787" i="8"/>
  <c r="E787" i="8"/>
  <c r="F786" i="8"/>
  <c r="E786" i="8"/>
  <c r="F785" i="8"/>
  <c r="E785" i="8"/>
  <c r="F784" i="8"/>
  <c r="E784" i="8"/>
  <c r="F783" i="8"/>
  <c r="E783" i="8"/>
  <c r="F782" i="8"/>
  <c r="E782" i="8"/>
  <c r="F781" i="8"/>
  <c r="E781" i="8"/>
  <c r="F780" i="8"/>
  <c r="E780" i="8"/>
  <c r="F779" i="8"/>
  <c r="E779" i="8"/>
  <c r="F778" i="8"/>
  <c r="E778" i="8"/>
  <c r="F777" i="8"/>
  <c r="E777" i="8"/>
  <c r="F776" i="8"/>
  <c r="E776" i="8"/>
  <c r="F775" i="8"/>
  <c r="E775" i="8"/>
  <c r="F774" i="8"/>
  <c r="E774" i="8"/>
  <c r="F773" i="8"/>
  <c r="E773" i="8"/>
  <c r="F772" i="8"/>
  <c r="E772" i="8"/>
  <c r="F771" i="8"/>
  <c r="E771" i="8"/>
  <c r="F770" i="8"/>
  <c r="E770" i="8"/>
  <c r="F769" i="8"/>
  <c r="E769" i="8"/>
  <c r="F768" i="8"/>
  <c r="E768" i="8"/>
  <c r="F767" i="8"/>
  <c r="E767" i="8"/>
  <c r="F766" i="8"/>
  <c r="E766" i="8"/>
  <c r="F765" i="8"/>
  <c r="E765" i="8"/>
  <c r="F764" i="8"/>
  <c r="E764" i="8"/>
  <c r="F763" i="8"/>
  <c r="E763" i="8"/>
  <c r="F762" i="8"/>
  <c r="E762" i="8"/>
  <c r="F761" i="8"/>
  <c r="E761" i="8"/>
  <c r="F760" i="8"/>
  <c r="E760" i="8"/>
  <c r="F759" i="8"/>
  <c r="E759" i="8"/>
  <c r="F758" i="8"/>
  <c r="E758" i="8"/>
  <c r="F757" i="8"/>
  <c r="E757" i="8"/>
  <c r="F756" i="8"/>
  <c r="E756" i="8"/>
  <c r="F755" i="8"/>
  <c r="E755" i="8"/>
  <c r="F754" i="8"/>
  <c r="E754" i="8"/>
  <c r="F753" i="8"/>
  <c r="E753" i="8"/>
  <c r="F752" i="8"/>
  <c r="E752" i="8"/>
  <c r="F751" i="8"/>
  <c r="E751" i="8"/>
  <c r="F750" i="8"/>
  <c r="E750" i="8"/>
  <c r="F749" i="8"/>
  <c r="E749" i="8"/>
  <c r="F748" i="8"/>
  <c r="E748" i="8"/>
  <c r="F747" i="8"/>
  <c r="E747" i="8"/>
  <c r="F746" i="8"/>
  <c r="E746" i="8"/>
  <c r="F745" i="8"/>
  <c r="E745" i="8"/>
  <c r="F744" i="8"/>
  <c r="E744" i="8"/>
  <c r="F743" i="8"/>
  <c r="E743" i="8"/>
  <c r="F742" i="8"/>
  <c r="E742" i="8"/>
  <c r="F741" i="8"/>
  <c r="E741" i="8"/>
  <c r="F740" i="8"/>
  <c r="E740" i="8"/>
  <c r="F739" i="8"/>
  <c r="E739" i="8"/>
  <c r="F738" i="8"/>
  <c r="E738" i="8"/>
  <c r="F737" i="8"/>
  <c r="E737" i="8"/>
  <c r="F736" i="8"/>
  <c r="E736" i="8"/>
  <c r="F735" i="8"/>
  <c r="E735" i="8"/>
  <c r="F734" i="8"/>
  <c r="E734" i="8"/>
  <c r="F733" i="8"/>
  <c r="E733" i="8"/>
  <c r="F732" i="8"/>
  <c r="E732" i="8"/>
  <c r="F731" i="8"/>
  <c r="E731" i="8"/>
  <c r="F730" i="8"/>
  <c r="E730" i="8"/>
  <c r="F729" i="8"/>
  <c r="E729" i="8"/>
  <c r="F728" i="8"/>
  <c r="E728" i="8"/>
  <c r="F727" i="8"/>
  <c r="E727" i="8"/>
  <c r="F726" i="8"/>
  <c r="E726" i="8"/>
  <c r="F725" i="8"/>
  <c r="E725" i="8"/>
  <c r="F724" i="8"/>
  <c r="E724" i="8"/>
  <c r="F723" i="8"/>
  <c r="E723" i="8"/>
  <c r="F722" i="8"/>
  <c r="E722" i="8"/>
  <c r="F721" i="8"/>
  <c r="E721" i="8"/>
  <c r="F720" i="8"/>
  <c r="E720" i="8"/>
  <c r="F719" i="8"/>
  <c r="E719" i="8"/>
  <c r="F718" i="8"/>
  <c r="E718" i="8"/>
  <c r="F717" i="8"/>
  <c r="E717" i="8"/>
  <c r="F716" i="8"/>
  <c r="E716" i="8"/>
  <c r="F715" i="8"/>
  <c r="E715" i="8"/>
  <c r="F714" i="8"/>
  <c r="E714" i="8"/>
  <c r="F713" i="8"/>
  <c r="E713" i="8"/>
  <c r="F712" i="8"/>
  <c r="E712" i="8"/>
  <c r="F711" i="8"/>
  <c r="E711" i="8"/>
  <c r="F710" i="8"/>
  <c r="E710" i="8"/>
  <c r="F709" i="8"/>
  <c r="E709" i="8"/>
  <c r="F708" i="8"/>
  <c r="E708" i="8"/>
  <c r="F707" i="8"/>
  <c r="E707" i="8"/>
  <c r="F706" i="8"/>
  <c r="E706" i="8"/>
  <c r="F705" i="8"/>
  <c r="E705" i="8"/>
  <c r="F704" i="8"/>
  <c r="E704" i="8"/>
  <c r="F703" i="8"/>
  <c r="E703" i="8"/>
  <c r="F702" i="8"/>
  <c r="E702" i="8"/>
  <c r="F701" i="8"/>
  <c r="E701" i="8"/>
  <c r="F700" i="8"/>
  <c r="E700" i="8"/>
  <c r="F699" i="8"/>
  <c r="E699" i="8"/>
  <c r="F698" i="8"/>
  <c r="E698" i="8"/>
  <c r="F697" i="8"/>
  <c r="E697" i="8"/>
  <c r="F696" i="8"/>
  <c r="E696" i="8"/>
  <c r="F695" i="8"/>
  <c r="E695" i="8"/>
  <c r="F694" i="8"/>
  <c r="E694" i="8"/>
  <c r="F693" i="8"/>
  <c r="E693" i="8"/>
  <c r="F692" i="8"/>
  <c r="E692" i="8"/>
  <c r="F691" i="8"/>
  <c r="E691" i="8"/>
  <c r="F690" i="8"/>
  <c r="E690" i="8"/>
  <c r="F689" i="8"/>
  <c r="E689" i="8"/>
  <c r="F688" i="8"/>
  <c r="E688" i="8"/>
  <c r="F687" i="8"/>
  <c r="E687" i="8"/>
  <c r="F686" i="8"/>
  <c r="E686" i="8"/>
  <c r="F685" i="8"/>
  <c r="E685" i="8"/>
  <c r="F684" i="8"/>
  <c r="E684" i="8"/>
  <c r="F683" i="8"/>
  <c r="E683" i="8"/>
  <c r="F682" i="8"/>
  <c r="E682" i="8"/>
  <c r="F681" i="8"/>
  <c r="E681" i="8"/>
  <c r="F680" i="8"/>
  <c r="E680" i="8"/>
  <c r="F679" i="8"/>
  <c r="E679" i="8"/>
  <c r="F678" i="8"/>
  <c r="E678" i="8"/>
  <c r="F677" i="8"/>
  <c r="E677" i="8"/>
  <c r="F676" i="8"/>
  <c r="E676" i="8"/>
  <c r="F675" i="8"/>
  <c r="E675" i="8"/>
  <c r="F674" i="8"/>
  <c r="E674" i="8"/>
  <c r="F673" i="8"/>
  <c r="E673" i="8"/>
  <c r="F672" i="8"/>
  <c r="E672" i="8"/>
  <c r="F671" i="8"/>
  <c r="E671" i="8"/>
  <c r="F670" i="8"/>
  <c r="E670" i="8"/>
  <c r="F669" i="8"/>
  <c r="E669" i="8"/>
  <c r="F668" i="8"/>
  <c r="E668" i="8"/>
  <c r="F667" i="8"/>
  <c r="E667" i="8"/>
  <c r="F666" i="8"/>
  <c r="E666" i="8"/>
  <c r="F665" i="8"/>
  <c r="E665" i="8"/>
  <c r="F664" i="8"/>
  <c r="E664" i="8"/>
  <c r="F663" i="8"/>
  <c r="E663" i="8"/>
  <c r="F662" i="8"/>
  <c r="E662" i="8"/>
  <c r="F661" i="8"/>
  <c r="E661" i="8"/>
  <c r="F660" i="8"/>
  <c r="E660" i="8"/>
  <c r="F659" i="8"/>
  <c r="E659" i="8"/>
  <c r="F658" i="8"/>
  <c r="E658" i="8"/>
  <c r="F657" i="8"/>
  <c r="E657" i="8"/>
  <c r="F656" i="8"/>
  <c r="E656" i="8"/>
  <c r="F655" i="8"/>
  <c r="E655" i="8"/>
  <c r="F654" i="8"/>
  <c r="E654" i="8"/>
  <c r="F653" i="8"/>
  <c r="E653" i="8"/>
  <c r="F652" i="8"/>
  <c r="E652" i="8"/>
  <c r="F651" i="8"/>
  <c r="E651" i="8"/>
  <c r="F650" i="8"/>
  <c r="E650" i="8"/>
  <c r="F649" i="8"/>
  <c r="E649" i="8"/>
  <c r="F648" i="8"/>
  <c r="E648" i="8"/>
  <c r="F647" i="8"/>
  <c r="E647" i="8"/>
  <c r="F646" i="8"/>
  <c r="E646" i="8"/>
  <c r="F645" i="8"/>
  <c r="E645" i="8"/>
  <c r="F644" i="8"/>
  <c r="E644" i="8"/>
  <c r="F643" i="8"/>
  <c r="E643" i="8"/>
  <c r="F642" i="8"/>
  <c r="E642" i="8"/>
  <c r="F641" i="8"/>
  <c r="E641" i="8"/>
  <c r="F640" i="8"/>
  <c r="E640" i="8"/>
  <c r="F639" i="8"/>
  <c r="E639" i="8"/>
  <c r="F638" i="8"/>
  <c r="E638" i="8"/>
  <c r="F637" i="8"/>
  <c r="E637" i="8"/>
  <c r="F636" i="8"/>
  <c r="E636" i="8"/>
  <c r="F635" i="8"/>
  <c r="E635" i="8"/>
  <c r="F634" i="8"/>
  <c r="E634" i="8"/>
  <c r="F633" i="8"/>
  <c r="E633" i="8"/>
  <c r="F632" i="8"/>
  <c r="E632" i="8"/>
  <c r="F631" i="8"/>
  <c r="E631" i="8"/>
  <c r="F630" i="8"/>
  <c r="E630" i="8"/>
  <c r="F629" i="8"/>
  <c r="E629" i="8"/>
  <c r="F628" i="8"/>
  <c r="E628" i="8"/>
  <c r="F627" i="8"/>
  <c r="E627" i="8"/>
  <c r="F626" i="8"/>
  <c r="E626" i="8"/>
  <c r="F625" i="8"/>
  <c r="E625" i="8"/>
  <c r="F624" i="8"/>
  <c r="E624" i="8"/>
  <c r="F623" i="8"/>
  <c r="E623" i="8"/>
  <c r="F622" i="8"/>
  <c r="E622" i="8"/>
  <c r="F621" i="8"/>
  <c r="E621" i="8"/>
  <c r="F620" i="8"/>
  <c r="E620" i="8"/>
  <c r="F619" i="8"/>
  <c r="E619" i="8"/>
  <c r="F618" i="8"/>
  <c r="E618" i="8"/>
  <c r="F617" i="8"/>
  <c r="E617" i="8"/>
  <c r="F616" i="8"/>
  <c r="E616" i="8"/>
  <c r="F615" i="8"/>
  <c r="E615" i="8"/>
  <c r="F614" i="8"/>
  <c r="E614" i="8"/>
  <c r="F613" i="8"/>
  <c r="E613" i="8"/>
  <c r="F612" i="8"/>
  <c r="E612" i="8"/>
  <c r="F611" i="8"/>
  <c r="E611" i="8"/>
  <c r="F610" i="8"/>
  <c r="E610" i="8"/>
  <c r="F609" i="8"/>
  <c r="E609" i="8"/>
  <c r="F608" i="8"/>
  <c r="E608" i="8"/>
  <c r="F607" i="8"/>
  <c r="E607" i="8"/>
  <c r="F606" i="8"/>
  <c r="E606" i="8"/>
  <c r="F605" i="8"/>
  <c r="E605" i="8"/>
  <c r="F604" i="8"/>
  <c r="E604" i="8"/>
  <c r="F603" i="8"/>
  <c r="E603" i="8"/>
  <c r="F602" i="8"/>
  <c r="E602" i="8"/>
  <c r="F601" i="8"/>
  <c r="E601" i="8"/>
  <c r="F600" i="8"/>
  <c r="E600" i="8"/>
  <c r="F599" i="8"/>
  <c r="E599" i="8"/>
  <c r="F598" i="8"/>
  <c r="E598" i="8"/>
  <c r="F597" i="8"/>
  <c r="E597" i="8"/>
  <c r="F596" i="8"/>
  <c r="E596" i="8"/>
  <c r="F595" i="8"/>
  <c r="E595" i="8"/>
  <c r="F594" i="8"/>
  <c r="E594" i="8"/>
  <c r="F593" i="8"/>
  <c r="E593" i="8"/>
  <c r="F592" i="8"/>
  <c r="E592" i="8"/>
  <c r="F591" i="8"/>
  <c r="E591" i="8"/>
  <c r="F590" i="8"/>
  <c r="E590" i="8"/>
  <c r="F589" i="8"/>
  <c r="E589" i="8"/>
  <c r="F588" i="8"/>
  <c r="E588" i="8"/>
  <c r="F587" i="8"/>
  <c r="E587" i="8"/>
  <c r="F586" i="8"/>
  <c r="E586" i="8"/>
  <c r="F585" i="8"/>
  <c r="E585" i="8"/>
  <c r="F584" i="8"/>
  <c r="E584" i="8"/>
  <c r="F583" i="8"/>
  <c r="E583" i="8"/>
  <c r="F582" i="8"/>
  <c r="E582" i="8"/>
  <c r="F581" i="8"/>
  <c r="E581" i="8"/>
  <c r="F580" i="8"/>
  <c r="E580" i="8"/>
  <c r="F579" i="8"/>
  <c r="E579" i="8"/>
  <c r="F578" i="8"/>
  <c r="E578" i="8"/>
  <c r="F577" i="8"/>
  <c r="E577" i="8"/>
  <c r="F576" i="8"/>
  <c r="E576" i="8"/>
  <c r="F575" i="8"/>
  <c r="E575" i="8"/>
  <c r="F574" i="8"/>
  <c r="E574" i="8"/>
  <c r="F573" i="8"/>
  <c r="E573" i="8"/>
  <c r="F572" i="8"/>
  <c r="E572" i="8"/>
  <c r="F571" i="8"/>
  <c r="E571" i="8"/>
  <c r="F570" i="8"/>
  <c r="E570" i="8"/>
  <c r="F569" i="8"/>
  <c r="E569" i="8"/>
  <c r="F568" i="8"/>
  <c r="E568" i="8"/>
  <c r="F567" i="8"/>
  <c r="E567" i="8"/>
  <c r="F566" i="8"/>
  <c r="E566" i="8"/>
  <c r="F565" i="8"/>
  <c r="E565" i="8"/>
  <c r="F564" i="8"/>
  <c r="E564" i="8"/>
  <c r="F563" i="8"/>
  <c r="E563" i="8"/>
  <c r="F562" i="8"/>
  <c r="E562" i="8"/>
  <c r="F561" i="8"/>
  <c r="E561" i="8"/>
  <c r="F560" i="8"/>
  <c r="E560" i="8"/>
  <c r="F559" i="8"/>
  <c r="E559" i="8"/>
  <c r="F558" i="8"/>
  <c r="E558" i="8"/>
  <c r="F557" i="8"/>
  <c r="E557" i="8"/>
  <c r="F556" i="8"/>
  <c r="E556" i="8"/>
  <c r="F555" i="8"/>
  <c r="E555" i="8"/>
  <c r="F554" i="8"/>
  <c r="E554" i="8"/>
  <c r="F553" i="8"/>
  <c r="E553" i="8"/>
  <c r="F552" i="8"/>
  <c r="E552" i="8"/>
  <c r="F551" i="8"/>
  <c r="E551" i="8"/>
  <c r="F550" i="8"/>
  <c r="E550" i="8"/>
  <c r="F549" i="8"/>
  <c r="E549" i="8"/>
  <c r="F548" i="8"/>
  <c r="E548" i="8"/>
  <c r="F547" i="8"/>
  <c r="E547" i="8"/>
  <c r="F546" i="8"/>
  <c r="E546" i="8"/>
  <c r="F545" i="8"/>
  <c r="E545" i="8"/>
  <c r="F544" i="8"/>
  <c r="E544" i="8"/>
  <c r="F543" i="8"/>
  <c r="E543" i="8"/>
  <c r="F542" i="8"/>
  <c r="E542" i="8"/>
  <c r="F541" i="8"/>
  <c r="E541" i="8"/>
  <c r="F540" i="8"/>
  <c r="E540" i="8"/>
  <c r="F539" i="8"/>
  <c r="E539" i="8"/>
  <c r="F538" i="8"/>
  <c r="E538" i="8"/>
  <c r="F537" i="8"/>
  <c r="E537" i="8"/>
  <c r="F536" i="8"/>
  <c r="E536" i="8"/>
  <c r="F535" i="8"/>
  <c r="E535" i="8"/>
  <c r="F534" i="8"/>
  <c r="E534" i="8"/>
  <c r="F533" i="8"/>
  <c r="E533" i="8"/>
  <c r="F532" i="8"/>
  <c r="E532" i="8"/>
  <c r="F531" i="8"/>
  <c r="E531" i="8"/>
  <c r="F530" i="8"/>
  <c r="E530" i="8"/>
  <c r="F529" i="8"/>
  <c r="E529" i="8"/>
  <c r="F528" i="8"/>
  <c r="E528" i="8"/>
  <c r="F527" i="8"/>
  <c r="E527" i="8"/>
  <c r="F526" i="8"/>
  <c r="E526" i="8"/>
  <c r="F525" i="8"/>
  <c r="E525" i="8"/>
  <c r="F524" i="8"/>
  <c r="E524" i="8"/>
  <c r="F523" i="8"/>
  <c r="E523" i="8"/>
  <c r="F522" i="8"/>
  <c r="E522" i="8"/>
  <c r="F521" i="8"/>
  <c r="E521" i="8"/>
  <c r="F520" i="8"/>
  <c r="E520" i="8"/>
  <c r="F519" i="8"/>
  <c r="E519" i="8"/>
  <c r="F518" i="8"/>
  <c r="E518" i="8"/>
  <c r="F517" i="8"/>
  <c r="E517" i="8"/>
  <c r="F516" i="8"/>
  <c r="E516" i="8"/>
  <c r="F515" i="8"/>
  <c r="E515" i="8"/>
  <c r="F514" i="8"/>
  <c r="E514" i="8"/>
  <c r="F513" i="8"/>
  <c r="E513" i="8"/>
  <c r="F512" i="8"/>
  <c r="E512" i="8"/>
  <c r="F511" i="8"/>
  <c r="E511" i="8"/>
  <c r="F510" i="8"/>
  <c r="E510" i="8"/>
  <c r="F509" i="8"/>
  <c r="E509" i="8"/>
  <c r="F508" i="8"/>
  <c r="E508" i="8"/>
  <c r="F507" i="8"/>
  <c r="E507" i="8"/>
  <c r="F506" i="8"/>
  <c r="E506" i="8"/>
  <c r="F505" i="8"/>
  <c r="E505" i="8"/>
  <c r="F504" i="8"/>
  <c r="E504" i="8"/>
  <c r="F503" i="8"/>
  <c r="E503" i="8"/>
  <c r="F502" i="8"/>
  <c r="E502" i="8"/>
  <c r="F501" i="8"/>
  <c r="E501" i="8"/>
  <c r="F500" i="8"/>
  <c r="E500" i="8"/>
  <c r="F499" i="8"/>
  <c r="E499" i="8"/>
  <c r="F498" i="8"/>
  <c r="E498" i="8"/>
  <c r="F497" i="8"/>
  <c r="E497" i="8"/>
  <c r="F496" i="8"/>
  <c r="E496" i="8"/>
  <c r="F495" i="8"/>
  <c r="E495" i="8"/>
  <c r="F494" i="8"/>
  <c r="E494" i="8"/>
  <c r="F493" i="8"/>
  <c r="E493" i="8"/>
  <c r="F492" i="8"/>
  <c r="E492" i="8"/>
  <c r="F491" i="8"/>
  <c r="E491" i="8"/>
  <c r="F490" i="8"/>
  <c r="E490" i="8"/>
  <c r="F489" i="8"/>
  <c r="E489" i="8"/>
  <c r="F488" i="8"/>
  <c r="E488" i="8"/>
  <c r="F487" i="8"/>
  <c r="E487" i="8"/>
  <c r="F486" i="8"/>
  <c r="E486" i="8"/>
  <c r="F485" i="8"/>
  <c r="E485" i="8"/>
  <c r="F484" i="8"/>
  <c r="E484" i="8"/>
  <c r="F483" i="8"/>
  <c r="E483" i="8"/>
  <c r="F482" i="8"/>
  <c r="E482" i="8"/>
  <c r="F481" i="8"/>
  <c r="E481" i="8"/>
  <c r="F480" i="8"/>
  <c r="E480" i="8"/>
  <c r="F479" i="8"/>
  <c r="E479" i="8"/>
  <c r="F478" i="8"/>
  <c r="E478" i="8"/>
  <c r="F477" i="8"/>
  <c r="E477" i="8"/>
  <c r="F476" i="8"/>
  <c r="E476" i="8"/>
  <c r="F475" i="8"/>
  <c r="E475" i="8"/>
  <c r="F474" i="8"/>
  <c r="E474" i="8"/>
  <c r="F473" i="8"/>
  <c r="E473" i="8"/>
  <c r="F472" i="8"/>
  <c r="E472" i="8"/>
  <c r="F471" i="8"/>
  <c r="E471" i="8"/>
  <c r="F470" i="8"/>
  <c r="E470" i="8"/>
  <c r="F469" i="8"/>
  <c r="E469" i="8"/>
  <c r="F468" i="8"/>
  <c r="E468" i="8"/>
  <c r="F467" i="8"/>
  <c r="E467" i="8"/>
  <c r="F466" i="8"/>
  <c r="E466" i="8"/>
  <c r="F465" i="8"/>
  <c r="E465" i="8"/>
  <c r="F464" i="8"/>
  <c r="E464" i="8"/>
  <c r="F463" i="8"/>
  <c r="E463" i="8"/>
  <c r="F462" i="8"/>
  <c r="E462" i="8"/>
  <c r="F461" i="8"/>
  <c r="E461" i="8"/>
  <c r="F460" i="8"/>
  <c r="E460" i="8"/>
  <c r="F459" i="8"/>
  <c r="E459" i="8"/>
  <c r="F458" i="8"/>
  <c r="E458" i="8"/>
  <c r="F457" i="8"/>
  <c r="E457" i="8"/>
  <c r="F456" i="8"/>
  <c r="E456" i="8"/>
  <c r="F455" i="8"/>
  <c r="E455" i="8"/>
  <c r="F454" i="8"/>
  <c r="E454" i="8"/>
  <c r="F453" i="8"/>
  <c r="E453" i="8"/>
  <c r="F452" i="8"/>
  <c r="E452" i="8"/>
  <c r="F451" i="8"/>
  <c r="E451" i="8"/>
  <c r="F450" i="8"/>
  <c r="E450" i="8"/>
  <c r="F449" i="8"/>
  <c r="E449" i="8"/>
  <c r="F448" i="8"/>
  <c r="E448" i="8"/>
  <c r="F447" i="8"/>
  <c r="E447" i="8"/>
  <c r="F446" i="8"/>
  <c r="E446" i="8"/>
  <c r="F445" i="8"/>
  <c r="E445" i="8"/>
  <c r="F444" i="8"/>
  <c r="E444" i="8"/>
  <c r="F443" i="8"/>
  <c r="E443" i="8"/>
  <c r="F442" i="8"/>
  <c r="E442" i="8"/>
  <c r="F441" i="8"/>
  <c r="E441" i="8"/>
  <c r="F440" i="8"/>
  <c r="E440" i="8"/>
  <c r="F439" i="8"/>
  <c r="E439" i="8"/>
  <c r="F438" i="8"/>
  <c r="E438" i="8"/>
  <c r="F437" i="8"/>
  <c r="E437" i="8"/>
  <c r="F436" i="8"/>
  <c r="E436" i="8"/>
  <c r="F435" i="8"/>
  <c r="E435" i="8"/>
  <c r="F434" i="8"/>
  <c r="E434" i="8"/>
  <c r="F433" i="8"/>
  <c r="E433" i="8"/>
  <c r="F432" i="8"/>
  <c r="E432" i="8"/>
  <c r="F431" i="8"/>
  <c r="E431" i="8"/>
  <c r="F430" i="8"/>
  <c r="E430" i="8"/>
  <c r="F429" i="8"/>
  <c r="E429" i="8"/>
  <c r="F428" i="8"/>
  <c r="E428" i="8"/>
  <c r="F427" i="8"/>
  <c r="E427" i="8"/>
  <c r="F426" i="8"/>
  <c r="E426" i="8"/>
  <c r="F425" i="8"/>
  <c r="E425" i="8"/>
  <c r="F424" i="8"/>
  <c r="E424" i="8"/>
  <c r="F423" i="8"/>
  <c r="E423" i="8"/>
  <c r="F422" i="8"/>
  <c r="E422" i="8"/>
  <c r="F421" i="8"/>
  <c r="E421" i="8"/>
  <c r="F420" i="8"/>
  <c r="E420" i="8"/>
  <c r="F419" i="8"/>
  <c r="E419" i="8"/>
  <c r="F418" i="8"/>
  <c r="E418" i="8"/>
  <c r="F417" i="8"/>
  <c r="E417" i="8"/>
  <c r="F416" i="8"/>
  <c r="E416" i="8"/>
  <c r="F415" i="8"/>
  <c r="E415" i="8"/>
  <c r="F414" i="8"/>
  <c r="E414" i="8"/>
  <c r="F413" i="8"/>
  <c r="E413" i="8"/>
  <c r="F412" i="8"/>
  <c r="E412" i="8"/>
  <c r="F411" i="8"/>
  <c r="E411" i="8"/>
  <c r="F410" i="8"/>
  <c r="E410" i="8"/>
  <c r="F409" i="8"/>
  <c r="E409" i="8"/>
  <c r="F408" i="8"/>
  <c r="E408" i="8"/>
  <c r="F407" i="8"/>
  <c r="E407" i="8"/>
  <c r="F406" i="8"/>
  <c r="E406" i="8"/>
  <c r="F405" i="8"/>
  <c r="E405" i="8"/>
  <c r="F404" i="8"/>
  <c r="E404" i="8"/>
  <c r="F403" i="8"/>
  <c r="E403" i="8"/>
  <c r="F402" i="8"/>
  <c r="E402" i="8"/>
  <c r="F401" i="8"/>
  <c r="E401" i="8"/>
  <c r="F400" i="8"/>
  <c r="E400" i="8"/>
  <c r="F399" i="8"/>
  <c r="E399" i="8"/>
  <c r="F398" i="8"/>
  <c r="E398" i="8"/>
  <c r="F397" i="8"/>
  <c r="E397" i="8"/>
  <c r="F396" i="8"/>
  <c r="E396" i="8"/>
  <c r="F395" i="8"/>
  <c r="E395" i="8"/>
  <c r="F394" i="8"/>
  <c r="E394" i="8"/>
  <c r="F393" i="8"/>
  <c r="E393" i="8"/>
  <c r="F392" i="8"/>
  <c r="E392" i="8"/>
  <c r="F391" i="8"/>
  <c r="E391" i="8"/>
  <c r="F390" i="8"/>
  <c r="E390" i="8"/>
  <c r="F389" i="8"/>
  <c r="E389" i="8"/>
  <c r="F388" i="8"/>
  <c r="E388" i="8"/>
  <c r="F387" i="8"/>
  <c r="E387" i="8"/>
  <c r="F386" i="8"/>
  <c r="E386" i="8"/>
  <c r="F385" i="8"/>
  <c r="E385" i="8"/>
  <c r="F384" i="8"/>
  <c r="E384" i="8"/>
  <c r="F383" i="8"/>
  <c r="E383" i="8"/>
  <c r="F382" i="8"/>
  <c r="E382" i="8"/>
  <c r="F381" i="8"/>
  <c r="E381" i="8"/>
  <c r="F380" i="8"/>
  <c r="E380" i="8"/>
  <c r="F379" i="8"/>
  <c r="E379" i="8"/>
  <c r="F378" i="8"/>
  <c r="E378" i="8"/>
  <c r="F377" i="8"/>
  <c r="E377" i="8"/>
  <c r="F376" i="8"/>
  <c r="E376" i="8"/>
  <c r="F375" i="8"/>
  <c r="E375" i="8"/>
  <c r="F374" i="8"/>
  <c r="E374" i="8"/>
  <c r="F373" i="8"/>
  <c r="E373" i="8"/>
  <c r="F372" i="8"/>
  <c r="E372" i="8"/>
  <c r="F371" i="8"/>
  <c r="E371" i="8"/>
  <c r="F370" i="8"/>
  <c r="E370" i="8"/>
  <c r="F369" i="8"/>
  <c r="E369" i="8"/>
  <c r="F368" i="8"/>
  <c r="E368" i="8"/>
  <c r="F367" i="8"/>
  <c r="E367" i="8"/>
  <c r="F366" i="8"/>
  <c r="E366" i="8"/>
  <c r="F365" i="8"/>
  <c r="E365" i="8"/>
  <c r="F364" i="8"/>
  <c r="E364" i="8"/>
  <c r="F363" i="8"/>
  <c r="E363" i="8"/>
  <c r="F362" i="8"/>
  <c r="E362" i="8"/>
  <c r="F361" i="8"/>
  <c r="E361" i="8"/>
  <c r="F360" i="8"/>
  <c r="E360" i="8"/>
  <c r="F359" i="8"/>
  <c r="E359" i="8"/>
  <c r="F358" i="8"/>
  <c r="E358" i="8"/>
  <c r="F357" i="8"/>
  <c r="E357" i="8"/>
  <c r="F356" i="8"/>
  <c r="E356" i="8"/>
  <c r="F355" i="8"/>
  <c r="E355" i="8"/>
  <c r="F354" i="8"/>
  <c r="E354" i="8"/>
  <c r="F353" i="8"/>
  <c r="E353" i="8"/>
  <c r="F352" i="8"/>
  <c r="E352" i="8"/>
  <c r="F351" i="8"/>
  <c r="E351" i="8"/>
  <c r="F350" i="8"/>
  <c r="E350" i="8"/>
  <c r="F349" i="8"/>
  <c r="E349" i="8"/>
  <c r="F348" i="8"/>
  <c r="E348" i="8"/>
  <c r="F347" i="8"/>
  <c r="E347" i="8"/>
  <c r="F346" i="8"/>
  <c r="E346" i="8"/>
  <c r="F345" i="8"/>
  <c r="E345" i="8"/>
  <c r="F344" i="8"/>
  <c r="E344" i="8"/>
  <c r="F343" i="8"/>
  <c r="E343" i="8"/>
  <c r="F342" i="8"/>
  <c r="E342" i="8"/>
  <c r="F341" i="8"/>
  <c r="E341" i="8"/>
  <c r="F340" i="8"/>
  <c r="E340" i="8"/>
  <c r="F339" i="8"/>
  <c r="E339" i="8"/>
  <c r="F338" i="8"/>
  <c r="E338" i="8"/>
  <c r="F337" i="8"/>
  <c r="E337" i="8"/>
  <c r="F336" i="8"/>
  <c r="E336" i="8"/>
  <c r="F335" i="8"/>
  <c r="E335" i="8"/>
  <c r="F334" i="8"/>
  <c r="E334" i="8"/>
  <c r="F333" i="8"/>
  <c r="E333" i="8"/>
  <c r="F332" i="8"/>
  <c r="E332" i="8"/>
  <c r="F331" i="8"/>
  <c r="E331" i="8"/>
  <c r="F330" i="8"/>
  <c r="E330" i="8"/>
  <c r="F329" i="8"/>
  <c r="E329" i="8"/>
  <c r="F328" i="8"/>
  <c r="E328" i="8"/>
  <c r="F327" i="8"/>
  <c r="E327" i="8"/>
  <c r="F326" i="8"/>
  <c r="E326" i="8"/>
  <c r="F325" i="8"/>
  <c r="E325" i="8"/>
  <c r="F324" i="8"/>
  <c r="E324" i="8"/>
  <c r="F323" i="8"/>
  <c r="E323" i="8"/>
  <c r="F322" i="8"/>
  <c r="E322" i="8"/>
  <c r="F321" i="8"/>
  <c r="E321" i="8"/>
  <c r="F320" i="8"/>
  <c r="E320" i="8"/>
  <c r="F319" i="8"/>
  <c r="E319" i="8"/>
  <c r="F318" i="8"/>
  <c r="E318" i="8"/>
  <c r="F317" i="8"/>
  <c r="E317" i="8"/>
  <c r="F316" i="8"/>
  <c r="E316" i="8"/>
  <c r="F315" i="8"/>
  <c r="E315" i="8"/>
  <c r="F314" i="8"/>
  <c r="E314" i="8"/>
  <c r="F313" i="8"/>
  <c r="E313" i="8"/>
  <c r="F312" i="8"/>
  <c r="E312" i="8"/>
  <c r="F311" i="8"/>
  <c r="E311" i="8"/>
  <c r="F310" i="8"/>
  <c r="E310" i="8"/>
  <c r="F309" i="8"/>
  <c r="E309" i="8"/>
  <c r="F308" i="8"/>
  <c r="E308" i="8"/>
  <c r="F307" i="8"/>
  <c r="E307" i="8"/>
  <c r="F306" i="8"/>
  <c r="E306" i="8"/>
  <c r="F305" i="8"/>
  <c r="E305" i="8"/>
  <c r="F304" i="8"/>
  <c r="E304" i="8"/>
  <c r="F303" i="8"/>
  <c r="E303" i="8"/>
  <c r="F302" i="8"/>
  <c r="E302" i="8"/>
  <c r="F301" i="8"/>
  <c r="E301" i="8"/>
  <c r="F300" i="8"/>
  <c r="E300" i="8"/>
  <c r="F299" i="8"/>
  <c r="E299" i="8"/>
  <c r="F298" i="8"/>
  <c r="E298" i="8"/>
  <c r="F297" i="8"/>
  <c r="E297" i="8"/>
  <c r="F296" i="8"/>
  <c r="E296" i="8"/>
  <c r="F295" i="8"/>
  <c r="E295" i="8"/>
  <c r="F294" i="8"/>
  <c r="E294" i="8"/>
  <c r="F293" i="8"/>
  <c r="E293" i="8"/>
  <c r="F292" i="8"/>
  <c r="E292" i="8"/>
  <c r="F291" i="8"/>
  <c r="E291" i="8"/>
  <c r="F290" i="8"/>
  <c r="E290" i="8"/>
  <c r="F289" i="8"/>
  <c r="E289" i="8"/>
  <c r="F288" i="8"/>
  <c r="E288" i="8"/>
  <c r="F287" i="8"/>
  <c r="E287" i="8"/>
  <c r="F286" i="8"/>
  <c r="E286" i="8"/>
  <c r="F285" i="8"/>
  <c r="E285" i="8"/>
  <c r="F284" i="8"/>
  <c r="E284" i="8"/>
  <c r="F283" i="8"/>
  <c r="E283" i="8"/>
  <c r="F282" i="8"/>
  <c r="E282" i="8"/>
  <c r="F281" i="8"/>
  <c r="E281" i="8"/>
  <c r="F280" i="8"/>
  <c r="E280" i="8"/>
  <c r="F279" i="8"/>
  <c r="E279" i="8"/>
  <c r="F278" i="8"/>
  <c r="E278" i="8"/>
  <c r="F277" i="8"/>
  <c r="E277" i="8"/>
  <c r="F276" i="8"/>
  <c r="E276" i="8"/>
  <c r="F275" i="8"/>
  <c r="E275" i="8"/>
  <c r="F274" i="8"/>
  <c r="E274" i="8"/>
  <c r="F273" i="8"/>
  <c r="E273" i="8"/>
  <c r="F272" i="8"/>
  <c r="E272" i="8"/>
  <c r="F271" i="8"/>
  <c r="E271" i="8"/>
  <c r="F270" i="8"/>
  <c r="E270" i="8"/>
  <c r="F269" i="8"/>
  <c r="E269" i="8"/>
  <c r="F268" i="8"/>
  <c r="E268" i="8"/>
  <c r="F267" i="8"/>
  <c r="E267" i="8"/>
  <c r="F266" i="8"/>
  <c r="E266" i="8"/>
  <c r="F265" i="8"/>
  <c r="E265" i="8"/>
  <c r="F264" i="8"/>
  <c r="E264" i="8"/>
  <c r="F263" i="8"/>
  <c r="E263" i="8"/>
  <c r="F262" i="8"/>
  <c r="E262" i="8"/>
  <c r="F261" i="8"/>
  <c r="E261" i="8"/>
  <c r="F260" i="8"/>
  <c r="E260" i="8"/>
  <c r="F259" i="8"/>
  <c r="E259" i="8"/>
  <c r="F258" i="8"/>
  <c r="E258" i="8"/>
  <c r="F257" i="8"/>
  <c r="E257" i="8"/>
  <c r="F256" i="8"/>
  <c r="E256" i="8"/>
  <c r="F255" i="8"/>
  <c r="E255" i="8"/>
  <c r="F254" i="8"/>
  <c r="E254" i="8"/>
  <c r="F253" i="8"/>
  <c r="E253" i="8"/>
  <c r="F252" i="8"/>
  <c r="E252" i="8"/>
  <c r="F251" i="8"/>
  <c r="E251" i="8"/>
  <c r="F250" i="8"/>
  <c r="E250" i="8"/>
  <c r="F249" i="8"/>
  <c r="E249" i="8"/>
  <c r="F248" i="8"/>
  <c r="E248" i="8"/>
  <c r="F247" i="8"/>
  <c r="E247" i="8"/>
  <c r="F246" i="8"/>
  <c r="E246" i="8"/>
  <c r="F245" i="8"/>
  <c r="E245" i="8"/>
  <c r="F244" i="8"/>
  <c r="E244" i="8"/>
  <c r="F243" i="8"/>
  <c r="E243" i="8"/>
  <c r="F242" i="8"/>
  <c r="E242" i="8"/>
  <c r="F241" i="8"/>
  <c r="E241" i="8"/>
  <c r="F240" i="8"/>
  <c r="E240" i="8"/>
  <c r="F239" i="8"/>
  <c r="E239" i="8"/>
  <c r="F238" i="8"/>
  <c r="E238" i="8"/>
  <c r="F237" i="8"/>
  <c r="E237" i="8"/>
  <c r="F236" i="8"/>
  <c r="E236" i="8"/>
  <c r="F235" i="8"/>
  <c r="E235" i="8"/>
  <c r="F234" i="8"/>
  <c r="E234" i="8"/>
  <c r="F233" i="8"/>
  <c r="E233" i="8"/>
  <c r="F232" i="8"/>
  <c r="E232" i="8"/>
  <c r="F231" i="8"/>
  <c r="E231" i="8"/>
  <c r="F230" i="8"/>
  <c r="E230" i="8"/>
  <c r="F229" i="8"/>
  <c r="E229" i="8"/>
  <c r="F228" i="8"/>
  <c r="E228" i="8"/>
  <c r="F227" i="8"/>
  <c r="E227" i="8"/>
  <c r="F226" i="8"/>
  <c r="E226" i="8"/>
  <c r="F225" i="8"/>
  <c r="E225" i="8"/>
  <c r="F224" i="8"/>
  <c r="E224" i="8"/>
  <c r="F223" i="8"/>
  <c r="E223" i="8"/>
  <c r="F222" i="8"/>
  <c r="E222" i="8"/>
  <c r="F221" i="8"/>
  <c r="E221" i="8"/>
  <c r="F220" i="8"/>
  <c r="E220" i="8"/>
  <c r="F219" i="8"/>
  <c r="E219" i="8"/>
  <c r="F218" i="8"/>
  <c r="E218" i="8"/>
  <c r="F217" i="8"/>
  <c r="E217" i="8"/>
  <c r="F216" i="8"/>
  <c r="E216" i="8"/>
  <c r="F215" i="8"/>
  <c r="E215" i="8"/>
  <c r="F214" i="8"/>
  <c r="E214" i="8"/>
  <c r="F213" i="8"/>
  <c r="E213" i="8"/>
  <c r="F212" i="8"/>
  <c r="E212" i="8"/>
  <c r="F211" i="8"/>
  <c r="E211" i="8"/>
  <c r="F210" i="8"/>
  <c r="E210" i="8"/>
  <c r="F209" i="8"/>
  <c r="E209" i="8"/>
  <c r="F208" i="8"/>
  <c r="E208" i="8"/>
  <c r="F207" i="8"/>
  <c r="E207" i="8"/>
  <c r="F206" i="8"/>
  <c r="E206" i="8"/>
  <c r="F205" i="8"/>
  <c r="E205" i="8"/>
  <c r="F204" i="8"/>
  <c r="E204" i="8"/>
  <c r="F203" i="8"/>
  <c r="E203" i="8"/>
  <c r="F202" i="8"/>
  <c r="E202" i="8"/>
  <c r="F201" i="8"/>
  <c r="E201" i="8"/>
  <c r="F200" i="8"/>
  <c r="E200" i="8"/>
  <c r="F199" i="8"/>
  <c r="E199" i="8"/>
  <c r="F198" i="8"/>
  <c r="E198" i="8"/>
  <c r="F197" i="8"/>
  <c r="E197" i="8"/>
  <c r="F196" i="8"/>
  <c r="E196" i="8"/>
  <c r="F195" i="8"/>
  <c r="E195" i="8"/>
  <c r="F194" i="8"/>
  <c r="E194" i="8"/>
  <c r="F193" i="8"/>
  <c r="E193" i="8"/>
  <c r="F192" i="8"/>
  <c r="E192" i="8"/>
  <c r="F191" i="8"/>
  <c r="E191" i="8"/>
  <c r="F190" i="8"/>
  <c r="E190" i="8"/>
  <c r="F189" i="8"/>
  <c r="E189" i="8"/>
  <c r="F188" i="8"/>
  <c r="E188" i="8"/>
  <c r="F187" i="8"/>
  <c r="E187" i="8"/>
  <c r="F186" i="8"/>
  <c r="E186" i="8"/>
  <c r="F185" i="8"/>
  <c r="E185" i="8"/>
  <c r="F184" i="8"/>
  <c r="E184" i="8"/>
  <c r="F183" i="8"/>
  <c r="E183" i="8"/>
  <c r="F182" i="8"/>
  <c r="E182" i="8"/>
  <c r="F181" i="8"/>
  <c r="E181" i="8"/>
  <c r="F180" i="8"/>
  <c r="E180" i="8"/>
  <c r="F179" i="8"/>
  <c r="E179" i="8"/>
  <c r="F178" i="8"/>
  <c r="E178" i="8"/>
  <c r="F177" i="8"/>
  <c r="E177" i="8"/>
  <c r="F176" i="8"/>
  <c r="E176" i="8"/>
  <c r="F175" i="8"/>
  <c r="E175" i="8"/>
  <c r="F174" i="8"/>
  <c r="E174" i="8"/>
  <c r="F173" i="8"/>
  <c r="E173" i="8"/>
  <c r="F172" i="8"/>
  <c r="E172" i="8"/>
  <c r="F171" i="8"/>
  <c r="E171" i="8"/>
  <c r="F170" i="8"/>
  <c r="E170" i="8"/>
  <c r="F169" i="8"/>
  <c r="E169" i="8"/>
  <c r="F168" i="8"/>
  <c r="E168" i="8"/>
  <c r="F167" i="8"/>
  <c r="E167" i="8"/>
  <c r="F166" i="8"/>
  <c r="E166" i="8"/>
  <c r="F165" i="8"/>
  <c r="E165" i="8"/>
  <c r="F164" i="8"/>
  <c r="E164" i="8"/>
  <c r="F163" i="8"/>
  <c r="E163" i="8"/>
  <c r="F162" i="8"/>
  <c r="E162" i="8"/>
  <c r="F161" i="8"/>
  <c r="E161" i="8"/>
  <c r="F160" i="8"/>
  <c r="E160" i="8"/>
  <c r="F159" i="8"/>
  <c r="E159" i="8"/>
  <c r="F158" i="8"/>
  <c r="E158" i="8"/>
  <c r="F157" i="8"/>
  <c r="E157" i="8"/>
  <c r="F156" i="8"/>
  <c r="E156" i="8"/>
  <c r="F155" i="8"/>
  <c r="E155" i="8"/>
  <c r="F154" i="8"/>
  <c r="E154" i="8"/>
  <c r="F153" i="8"/>
  <c r="E153" i="8"/>
  <c r="F152" i="8"/>
  <c r="E152" i="8"/>
  <c r="F151" i="8"/>
  <c r="E151" i="8"/>
  <c r="F150" i="8"/>
  <c r="E150" i="8"/>
  <c r="F149" i="8"/>
  <c r="E149" i="8"/>
  <c r="F148" i="8"/>
  <c r="E148" i="8"/>
  <c r="F147" i="8"/>
  <c r="E147" i="8"/>
  <c r="F146" i="8"/>
  <c r="E146" i="8"/>
  <c r="F145" i="8"/>
  <c r="E145" i="8"/>
  <c r="F144" i="8"/>
  <c r="E144" i="8"/>
  <c r="F143" i="8"/>
  <c r="E143" i="8"/>
  <c r="F142" i="8"/>
  <c r="E142" i="8"/>
  <c r="F141" i="8"/>
  <c r="E141" i="8"/>
  <c r="F140" i="8"/>
  <c r="E140" i="8"/>
  <c r="F139" i="8"/>
  <c r="E139" i="8"/>
  <c r="F138" i="8"/>
  <c r="E138" i="8"/>
  <c r="F137" i="8"/>
  <c r="E137" i="8"/>
  <c r="F136" i="8"/>
  <c r="E136" i="8"/>
  <c r="F135" i="8"/>
  <c r="E135" i="8"/>
  <c r="F134" i="8"/>
  <c r="E134" i="8"/>
  <c r="F133" i="8"/>
  <c r="E133" i="8"/>
  <c r="F132" i="8"/>
  <c r="E132" i="8"/>
  <c r="F131" i="8"/>
  <c r="E131" i="8"/>
  <c r="F130" i="8"/>
  <c r="E130" i="8"/>
  <c r="F129" i="8"/>
  <c r="E129" i="8"/>
  <c r="F128" i="8"/>
  <c r="E128" i="8"/>
  <c r="F127" i="8"/>
  <c r="E127" i="8"/>
  <c r="F126" i="8"/>
  <c r="E126" i="8"/>
  <c r="F125" i="8"/>
  <c r="E125" i="8"/>
  <c r="F124" i="8"/>
  <c r="E124" i="8"/>
  <c r="F123" i="8"/>
  <c r="E123" i="8"/>
  <c r="F122" i="8"/>
  <c r="E122" i="8"/>
  <c r="F121" i="8"/>
  <c r="E121" i="8"/>
  <c r="F120" i="8"/>
  <c r="E120" i="8"/>
  <c r="F119" i="8"/>
  <c r="E119" i="8"/>
  <c r="F118" i="8"/>
  <c r="E118" i="8"/>
  <c r="F117" i="8"/>
  <c r="E117" i="8"/>
  <c r="F116" i="8"/>
  <c r="E116" i="8"/>
  <c r="F115" i="8"/>
  <c r="E115" i="8"/>
  <c r="F114" i="8"/>
  <c r="E114" i="8"/>
  <c r="F113" i="8"/>
  <c r="E113" i="8"/>
  <c r="F112" i="8"/>
  <c r="E112" i="8"/>
  <c r="F111" i="8"/>
  <c r="E111" i="8"/>
  <c r="F110" i="8"/>
  <c r="E110" i="8"/>
  <c r="F109" i="8"/>
  <c r="E109" i="8"/>
  <c r="F108" i="8"/>
  <c r="E108" i="8"/>
  <c r="F107" i="8"/>
  <c r="E107" i="8"/>
  <c r="F106" i="8"/>
  <c r="E106" i="8"/>
  <c r="F105" i="8"/>
  <c r="E105" i="8"/>
  <c r="F104" i="8"/>
  <c r="E104" i="8"/>
  <c r="F103" i="8"/>
  <c r="E103" i="8"/>
  <c r="F102" i="8"/>
  <c r="E102" i="8"/>
  <c r="F101" i="8"/>
  <c r="E101" i="8"/>
  <c r="F100" i="8"/>
  <c r="E100" i="8"/>
  <c r="F99" i="8"/>
  <c r="E99" i="8"/>
  <c r="F98" i="8"/>
  <c r="E98" i="8"/>
  <c r="F97" i="8"/>
  <c r="E97" i="8"/>
  <c r="F96" i="8"/>
  <c r="E96" i="8"/>
  <c r="F95" i="8"/>
  <c r="E95" i="8"/>
  <c r="F94" i="8"/>
  <c r="E94" i="8"/>
  <c r="F93" i="8"/>
  <c r="E93" i="8"/>
  <c r="F92" i="8"/>
  <c r="E92" i="8"/>
  <c r="F91" i="8"/>
  <c r="E91" i="8"/>
  <c r="F90" i="8"/>
  <c r="E90" i="8"/>
  <c r="F89" i="8"/>
  <c r="E89" i="8"/>
  <c r="F88" i="8"/>
  <c r="E88" i="8"/>
  <c r="F87" i="8"/>
  <c r="E87" i="8"/>
  <c r="F86" i="8"/>
  <c r="E86" i="8"/>
  <c r="F85" i="8"/>
  <c r="E85" i="8"/>
  <c r="F84" i="8"/>
  <c r="E84" i="8"/>
  <c r="F83" i="8"/>
  <c r="E83" i="8"/>
  <c r="F82" i="8"/>
  <c r="E82" i="8"/>
  <c r="F81" i="8"/>
  <c r="E81" i="8"/>
  <c r="F80" i="8"/>
  <c r="E80" i="8"/>
  <c r="F79" i="8"/>
  <c r="E79" i="8"/>
  <c r="F78" i="8"/>
  <c r="E78" i="8"/>
  <c r="F77" i="8"/>
  <c r="E77" i="8"/>
  <c r="F76" i="8"/>
  <c r="E76" i="8"/>
  <c r="F75" i="8"/>
  <c r="E75" i="8"/>
  <c r="F74" i="8"/>
  <c r="E74" i="8"/>
  <c r="F73" i="8"/>
  <c r="E73" i="8"/>
  <c r="F72" i="8"/>
  <c r="E72" i="8"/>
  <c r="F71" i="8"/>
  <c r="E71" i="8"/>
  <c r="F70" i="8"/>
  <c r="E70" i="8"/>
  <c r="F69" i="8"/>
  <c r="E69" i="8"/>
  <c r="F68" i="8"/>
  <c r="E68" i="8"/>
  <c r="F67" i="8"/>
  <c r="E67" i="8"/>
  <c r="F66" i="8"/>
  <c r="E66" i="8"/>
  <c r="F65" i="8"/>
  <c r="E65" i="8"/>
  <c r="F64" i="8"/>
  <c r="E64" i="8"/>
  <c r="F63" i="8"/>
  <c r="E63" i="8"/>
  <c r="F62" i="8"/>
  <c r="E62" i="8"/>
  <c r="F61" i="8"/>
  <c r="E61" i="8"/>
  <c r="F60" i="8"/>
  <c r="E60" i="8"/>
  <c r="F59" i="8"/>
  <c r="E59" i="8"/>
  <c r="F58" i="8"/>
  <c r="E58" i="8"/>
  <c r="F57" i="8"/>
  <c r="E57" i="8"/>
  <c r="F56" i="8"/>
  <c r="E56" i="8"/>
  <c r="F55" i="8"/>
  <c r="E55" i="8"/>
  <c r="F54" i="8"/>
  <c r="E54" i="8"/>
  <c r="F53" i="8"/>
  <c r="E53" i="8"/>
  <c r="F52" i="8"/>
  <c r="E52" i="8"/>
  <c r="F51" i="8"/>
  <c r="E51" i="8"/>
  <c r="F50" i="8"/>
  <c r="E50" i="8"/>
  <c r="F49" i="8"/>
  <c r="E49" i="8"/>
  <c r="F48" i="8"/>
  <c r="E48" i="8"/>
  <c r="F47" i="8"/>
  <c r="E47" i="8"/>
  <c r="F46" i="8"/>
  <c r="E46" i="8"/>
  <c r="F45" i="8"/>
  <c r="E45" i="8"/>
  <c r="F44" i="8"/>
  <c r="E44" i="8"/>
  <c r="F43" i="8"/>
  <c r="E43" i="8"/>
  <c r="F42" i="8"/>
  <c r="E42" i="8"/>
  <c r="F41" i="8"/>
  <c r="E41" i="8"/>
  <c r="F40" i="8"/>
  <c r="E40" i="8"/>
  <c r="F39" i="8"/>
  <c r="E39" i="8"/>
  <c r="F38" i="8"/>
  <c r="E38" i="8"/>
  <c r="F37" i="8"/>
  <c r="E37" i="8"/>
  <c r="F36" i="8"/>
  <c r="E36" i="8"/>
  <c r="F35" i="8"/>
  <c r="E35" i="8"/>
  <c r="F34" i="8"/>
  <c r="E34" i="8"/>
  <c r="F33" i="8"/>
  <c r="E33" i="8"/>
  <c r="F32" i="8"/>
  <c r="E32" i="8"/>
  <c r="F31" i="8"/>
  <c r="E31" i="8"/>
  <c r="F30" i="8"/>
  <c r="E30" i="8"/>
  <c r="F29" i="8"/>
  <c r="E29" i="8"/>
  <c r="F28" i="8"/>
  <c r="E28" i="8"/>
  <c r="F27" i="8"/>
  <c r="E27" i="8"/>
  <c r="F26" i="8"/>
  <c r="E26" i="8"/>
  <c r="F25" i="8"/>
  <c r="E25" i="8"/>
  <c r="F24" i="8"/>
  <c r="E24" i="8"/>
  <c r="F23" i="8"/>
  <c r="E23" i="8"/>
  <c r="F22" i="8"/>
  <c r="E22" i="8"/>
  <c r="F21" i="8"/>
  <c r="E21" i="8"/>
  <c r="F20" i="8"/>
  <c r="E20" i="8"/>
  <c r="F19" i="8"/>
  <c r="E19" i="8"/>
  <c r="F18" i="8"/>
  <c r="E18" i="8"/>
  <c r="F17" i="8"/>
  <c r="E17" i="8"/>
  <c r="F16" i="8"/>
  <c r="E16" i="8"/>
  <c r="F15" i="8"/>
  <c r="E15" i="8"/>
  <c r="F14" i="8"/>
  <c r="E14" i="8"/>
  <c r="F13" i="8"/>
  <c r="E13" i="8"/>
  <c r="F12" i="8"/>
  <c r="E12" i="8"/>
  <c r="F11" i="8"/>
  <c r="E11" i="8"/>
  <c r="F10" i="8"/>
  <c r="E10" i="8"/>
  <c r="F9" i="8"/>
  <c r="E9" i="8"/>
  <c r="F8" i="8"/>
  <c r="E8" i="8"/>
  <c r="F7" i="8"/>
  <c r="E7" i="8"/>
  <c r="F6" i="8"/>
  <c r="E6" i="8"/>
  <c r="F5" i="8"/>
  <c r="E5" i="8"/>
  <c r="F4" i="8"/>
  <c r="E4" i="8"/>
  <c r="F3" i="8"/>
  <c r="E3" i="8"/>
  <c r="F2" i="8"/>
  <c r="E2" i="8"/>
  <c r="D14" i="56" l="1"/>
  <c r="L331" i="7"/>
  <c r="J331" i="7"/>
  <c r="I331" i="7"/>
  <c r="H331" i="7"/>
  <c r="C331" i="7"/>
  <c r="L333" i="7"/>
  <c r="J333" i="7"/>
  <c r="I333" i="7"/>
  <c r="H333" i="7"/>
  <c r="C333" i="7"/>
  <c r="E17" i="9" l="1"/>
  <c r="E18" i="9"/>
  <c r="K16" i="45" l="1"/>
  <c r="C17" i="45"/>
  <c r="F149" i="9"/>
  <c r="F148" i="9"/>
  <c r="F147" i="9"/>
  <c r="F180" i="9"/>
  <c r="F179" i="9"/>
  <c r="F178" i="9"/>
  <c r="K242" i="7"/>
  <c r="G145" i="9"/>
  <c r="D140" i="9" s="1"/>
  <c r="D211" i="9"/>
  <c r="F201" i="9" s="1"/>
  <c r="G201" i="9" s="1"/>
  <c r="D196" i="9"/>
  <c r="F186" i="9" s="1"/>
  <c r="G186" i="9" s="1"/>
  <c r="F208" i="9"/>
  <c r="L249" i="7"/>
  <c r="J249" i="7"/>
  <c r="I249" i="7"/>
  <c r="H249" i="7"/>
  <c r="C249" i="7"/>
  <c r="L248" i="7"/>
  <c r="J248" i="7"/>
  <c r="I248" i="7"/>
  <c r="H248" i="7"/>
  <c r="C248" i="7"/>
  <c r="L247" i="7"/>
  <c r="J247" i="7"/>
  <c r="I247" i="7"/>
  <c r="H247" i="7"/>
  <c r="C247" i="7"/>
  <c r="L246" i="7"/>
  <c r="J246" i="7"/>
  <c r="I246" i="7"/>
  <c r="H246" i="7"/>
  <c r="C246" i="7"/>
  <c r="L245" i="7"/>
  <c r="J245" i="7"/>
  <c r="I245" i="7"/>
  <c r="H245" i="7"/>
  <c r="C245" i="7"/>
  <c r="F228" i="9"/>
  <c r="G228" i="9" s="1"/>
  <c r="D228" i="9"/>
  <c r="C228" i="9"/>
  <c r="D224" i="9"/>
  <c r="D225" i="9" s="1"/>
  <c r="C225" i="9"/>
  <c r="C226" i="9"/>
  <c r="B226" i="9"/>
  <c r="B225" i="9"/>
  <c r="D244" i="9"/>
  <c r="F226" i="9" s="1"/>
  <c r="G226" i="9" s="1"/>
  <c r="D237" i="9"/>
  <c r="F225" i="9" s="1"/>
  <c r="G225" i="9" s="1"/>
  <c r="F224" i="9"/>
  <c r="G224" i="9" s="1"/>
  <c r="C224" i="9"/>
  <c r="D216" i="9"/>
  <c r="C216" i="9"/>
  <c r="F229" i="9"/>
  <c r="G229" i="9" s="1"/>
  <c r="D229" i="9"/>
  <c r="C229" i="9"/>
  <c r="F218" i="9"/>
  <c r="G218" i="9" s="1"/>
  <c r="D218" i="9"/>
  <c r="C218" i="9"/>
  <c r="G206" i="9"/>
  <c r="D201" i="9" s="1"/>
  <c r="F203" i="9"/>
  <c r="G203" i="9" s="1"/>
  <c r="D203" i="9"/>
  <c r="C203" i="9"/>
  <c r="C201" i="9"/>
  <c r="B201" i="9"/>
  <c r="G191" i="9"/>
  <c r="D186" i="9" s="1"/>
  <c r="F188" i="9"/>
  <c r="G188" i="9" s="1"/>
  <c r="D188" i="9"/>
  <c r="C188" i="9"/>
  <c r="C186" i="9"/>
  <c r="B186" i="9"/>
  <c r="B140" i="9"/>
  <c r="B155" i="9"/>
  <c r="B171" i="9"/>
  <c r="D181" i="9"/>
  <c r="G176" i="9"/>
  <c r="D171" i="9" s="1"/>
  <c r="F173" i="9"/>
  <c r="G173" i="9" s="1"/>
  <c r="D173" i="9"/>
  <c r="C173" i="9"/>
  <c r="C171" i="9"/>
  <c r="F157" i="9"/>
  <c r="G157" i="9" s="1"/>
  <c r="D157" i="9"/>
  <c r="C157" i="9"/>
  <c r="C155" i="9"/>
  <c r="D166" i="9"/>
  <c r="G161" i="9"/>
  <c r="D155" i="9" s="1"/>
  <c r="F158" i="9"/>
  <c r="G158" i="9" s="1"/>
  <c r="D158" i="9"/>
  <c r="C158" i="9"/>
  <c r="D150" i="9"/>
  <c r="F140" i="9" s="1"/>
  <c r="F142" i="9"/>
  <c r="G142" i="9" s="1"/>
  <c r="D142" i="9"/>
  <c r="C142" i="9"/>
  <c r="L239" i="7"/>
  <c r="J239" i="7"/>
  <c r="I239" i="7"/>
  <c r="H239" i="7"/>
  <c r="C239" i="7"/>
  <c r="L238" i="7"/>
  <c r="J238" i="7"/>
  <c r="I238" i="7"/>
  <c r="H238" i="7"/>
  <c r="C238" i="7"/>
  <c r="D237" i="7"/>
  <c r="C237" i="7"/>
  <c r="F181" i="9" l="1"/>
  <c r="F171" i="9" s="1"/>
  <c r="G171" i="9" s="1"/>
  <c r="G174" i="9" s="1"/>
  <c r="H168" i="9" s="1"/>
  <c r="F155" i="9"/>
  <c r="G155" i="9" s="1"/>
  <c r="G159" i="9" s="1"/>
  <c r="H152" i="9" s="1"/>
  <c r="F150" i="9"/>
  <c r="D226" i="9"/>
  <c r="G204" i="9"/>
  <c r="H198" i="9" s="1"/>
  <c r="G230" i="9"/>
  <c r="F216" i="9" s="1"/>
  <c r="G216" i="9" s="1"/>
  <c r="G189" i="9"/>
  <c r="H183" i="9" s="1"/>
  <c r="G140" i="9"/>
  <c r="G143" i="9" s="1"/>
  <c r="H137" i="9" s="1"/>
  <c r="B237" i="7"/>
  <c r="F237" i="7" s="1"/>
  <c r="G219" i="9" l="1"/>
  <c r="H213" i="9" s="1"/>
  <c r="D116" i="23" l="1"/>
  <c r="D71" i="9"/>
  <c r="D73" i="9"/>
  <c r="D72" i="9"/>
  <c r="B73" i="16" l="1"/>
  <c r="B74" i="16"/>
  <c r="C74" i="16" s="1"/>
  <c r="B75" i="16"/>
  <c r="C75" i="16" s="1"/>
  <c r="B77" i="16"/>
  <c r="C77" i="16" s="1"/>
  <c r="B78" i="16"/>
  <c r="C78" i="16" s="1"/>
  <c r="B79" i="16"/>
  <c r="C79" i="16" s="1"/>
  <c r="B80" i="16"/>
  <c r="B81" i="16"/>
  <c r="C81" i="16" s="1"/>
  <c r="B82" i="16"/>
  <c r="C82" i="16" s="1"/>
  <c r="B83" i="16"/>
  <c r="B84" i="16"/>
  <c r="C84" i="16" s="1"/>
  <c r="B85" i="16"/>
  <c r="C85" i="16" s="1"/>
  <c r="B86" i="16"/>
  <c r="B87" i="16"/>
  <c r="C87" i="16" s="1"/>
  <c r="B88" i="16"/>
  <c r="C88" i="16" s="1"/>
  <c r="B89" i="16"/>
  <c r="B90" i="16"/>
  <c r="B91" i="16"/>
  <c r="C91" i="16" s="1"/>
  <c r="B92" i="16"/>
  <c r="B93" i="16"/>
  <c r="C93" i="16" s="1"/>
  <c r="B94" i="16"/>
  <c r="C94" i="16" s="1"/>
  <c r="B95" i="16"/>
  <c r="B96" i="16"/>
  <c r="C96" i="16" s="1"/>
  <c r="B97" i="16"/>
  <c r="C97" i="16" s="1"/>
  <c r="B98" i="16"/>
  <c r="B99" i="16"/>
  <c r="C99" i="16" s="1"/>
  <c r="B100" i="16"/>
  <c r="C100" i="16" s="1"/>
  <c r="B101" i="16"/>
  <c r="B102" i="16"/>
  <c r="C102" i="16" s="1"/>
  <c r="B103" i="16"/>
  <c r="C103" i="16" s="1"/>
  <c r="B104" i="16"/>
  <c r="B105" i="16"/>
  <c r="B106" i="16"/>
  <c r="C106" i="16" s="1"/>
  <c r="B107" i="16"/>
  <c r="B108" i="16"/>
  <c r="C108" i="16" s="1"/>
  <c r="B109" i="16"/>
  <c r="C109" i="16" s="1"/>
  <c r="B110" i="16"/>
  <c r="B111" i="16"/>
  <c r="C111" i="16" s="1"/>
  <c r="B112" i="16"/>
  <c r="C112" i="16" s="1"/>
  <c r="B113" i="16"/>
  <c r="B114" i="16"/>
  <c r="C114" i="16" s="1"/>
  <c r="B115" i="16"/>
  <c r="C115" i="16" s="1"/>
  <c r="B116" i="16"/>
  <c r="B117" i="16"/>
  <c r="C117" i="16" s="1"/>
  <c r="B118" i="16"/>
  <c r="C118" i="16" s="1"/>
  <c r="B119" i="16"/>
  <c r="B120" i="16"/>
  <c r="C120" i="16" s="1"/>
  <c r="B121" i="16"/>
  <c r="C121" i="16" s="1"/>
  <c r="B122" i="16"/>
  <c r="B123" i="16"/>
  <c r="C123" i="16" s="1"/>
  <c r="B124" i="16"/>
  <c r="C124" i="16" s="1"/>
  <c r="B125" i="16"/>
  <c r="B126" i="16"/>
  <c r="C126" i="16" s="1"/>
  <c r="B127" i="16"/>
  <c r="C127" i="16" s="1"/>
  <c r="B128" i="16"/>
  <c r="B129" i="16"/>
  <c r="B130" i="16"/>
  <c r="C130" i="16" s="1"/>
  <c r="B131" i="16"/>
  <c r="B132" i="16"/>
  <c r="C132" i="16" s="1"/>
  <c r="B133" i="16"/>
  <c r="C133" i="16" s="1"/>
  <c r="B134" i="16"/>
  <c r="B135" i="16"/>
  <c r="C135" i="16" s="1"/>
  <c r="B136" i="16"/>
  <c r="C136" i="16" s="1"/>
  <c r="B137" i="16"/>
  <c r="B138" i="16"/>
  <c r="C138" i="16" s="1"/>
  <c r="B139" i="16"/>
  <c r="C139" i="16" s="1"/>
  <c r="B140" i="16"/>
  <c r="B141" i="16"/>
  <c r="C141" i="16" s="1"/>
  <c r="B142" i="16"/>
  <c r="C142" i="16" s="1"/>
  <c r="B143" i="16"/>
  <c r="B144" i="16"/>
  <c r="C144" i="16" s="1"/>
  <c r="B145" i="16"/>
  <c r="C145" i="16" s="1"/>
  <c r="B146" i="16"/>
  <c r="B147" i="16"/>
  <c r="C147" i="16" s="1"/>
  <c r="B148" i="16"/>
  <c r="C148" i="16" s="1"/>
  <c r="B149" i="16"/>
  <c r="C149" i="16" s="1"/>
  <c r="B150" i="16"/>
  <c r="C150" i="16" s="1"/>
  <c r="B151" i="16"/>
  <c r="C151" i="16" s="1"/>
  <c r="B152" i="16"/>
  <c r="C152" i="16" s="1"/>
  <c r="B153" i="16"/>
  <c r="B154" i="16"/>
  <c r="C154" i="16" s="1"/>
  <c r="B155" i="16"/>
  <c r="B156" i="16"/>
  <c r="C156" i="16" s="1"/>
  <c r="B157" i="16"/>
  <c r="C157" i="16" s="1"/>
  <c r="B158" i="16"/>
  <c r="B159" i="16"/>
  <c r="C159" i="16" s="1"/>
  <c r="B160" i="16"/>
  <c r="C160" i="16" s="1"/>
  <c r="B161" i="16"/>
  <c r="C161" i="16" s="1"/>
  <c r="B162" i="16"/>
  <c r="C162" i="16" s="1"/>
  <c r="B163" i="16"/>
  <c r="C163" i="16" s="1"/>
  <c r="B164" i="16"/>
  <c r="C164" i="16" s="1"/>
  <c r="B165" i="16"/>
  <c r="C165" i="16" s="1"/>
  <c r="B166" i="16"/>
  <c r="C166" i="16" s="1"/>
  <c r="B167" i="16"/>
  <c r="B168" i="16"/>
  <c r="C168" i="16" s="1"/>
  <c r="B169" i="16"/>
  <c r="C169" i="16" s="1"/>
  <c r="B170" i="16"/>
  <c r="B171" i="16"/>
  <c r="C171" i="16" s="1"/>
  <c r="B172" i="16"/>
  <c r="C172" i="16" s="1"/>
  <c r="B173" i="16"/>
  <c r="C173" i="16" s="1"/>
  <c r="B174" i="16"/>
  <c r="C174" i="16" s="1"/>
  <c r="B175" i="16"/>
  <c r="C175" i="16" s="1"/>
  <c r="B176" i="16"/>
  <c r="C176" i="16" s="1"/>
  <c r="B177" i="16"/>
  <c r="C177" i="16" s="1"/>
  <c r="B178" i="16"/>
  <c r="C178" i="16" s="1"/>
  <c r="B179" i="16"/>
  <c r="B180" i="16"/>
  <c r="C180" i="16" s="1"/>
  <c r="B181" i="16"/>
  <c r="C181" i="16" s="1"/>
  <c r="B182" i="16"/>
  <c r="B183" i="16"/>
  <c r="C183" i="16" s="1"/>
  <c r="B184" i="16"/>
  <c r="C184" i="16" s="1"/>
  <c r="B185" i="16"/>
  <c r="C185" i="16" s="1"/>
  <c r="B186" i="16"/>
  <c r="C186" i="16" s="1"/>
  <c r="B187" i="16"/>
  <c r="C187" i="16" s="1"/>
  <c r="B188" i="16"/>
  <c r="C188" i="16" s="1"/>
  <c r="B189" i="16"/>
  <c r="C189" i="16" s="1"/>
  <c r="B190" i="16"/>
  <c r="C190" i="16" s="1"/>
  <c r="B191" i="16"/>
  <c r="B192" i="16"/>
  <c r="C192" i="16" s="1"/>
  <c r="B193" i="16"/>
  <c r="C193" i="16" s="1"/>
  <c r="B194" i="16"/>
  <c r="B195" i="16"/>
  <c r="C195" i="16" s="1"/>
  <c r="B196" i="16"/>
  <c r="C196" i="16" s="1"/>
  <c r="B197" i="16"/>
  <c r="C197" i="16" s="1"/>
  <c r="B198" i="16"/>
  <c r="C198" i="16" s="1"/>
  <c r="B199" i="16"/>
  <c r="C199" i="16" s="1"/>
  <c r="B200" i="16"/>
  <c r="C200" i="16" s="1"/>
  <c r="B201" i="16"/>
  <c r="C201" i="16" s="1"/>
  <c r="B202" i="16"/>
  <c r="C202" i="16" s="1"/>
  <c r="B203" i="16"/>
  <c r="B204" i="16"/>
  <c r="C204" i="16" s="1"/>
  <c r="B205" i="16"/>
  <c r="C205" i="16" s="1"/>
  <c r="B206" i="16"/>
  <c r="B207" i="16"/>
  <c r="C207" i="16" s="1"/>
  <c r="B208" i="16"/>
  <c r="B209" i="16"/>
  <c r="B210" i="16"/>
  <c r="C210" i="16" s="1"/>
  <c r="B211" i="16"/>
  <c r="B212" i="16"/>
  <c r="C212" i="16" s="1"/>
  <c r="B213" i="16"/>
  <c r="C213" i="16" s="1"/>
  <c r="B214" i="16"/>
  <c r="B215" i="16"/>
  <c r="C215" i="16" s="1"/>
  <c r="B216" i="16"/>
  <c r="B217" i="16"/>
  <c r="C217" i="16" s="1"/>
  <c r="B218" i="16"/>
  <c r="B219" i="16"/>
  <c r="C219" i="16" s="1"/>
  <c r="B220" i="16"/>
  <c r="C220" i="16" s="1"/>
  <c r="B221" i="16"/>
  <c r="C221" i="16" s="1"/>
  <c r="B222" i="16"/>
  <c r="C222" i="16" s="1"/>
  <c r="B223" i="16"/>
  <c r="C223" i="16" s="1"/>
  <c r="B224" i="16"/>
  <c r="C224" i="16" s="1"/>
  <c r="B225" i="16"/>
  <c r="C225" i="16" s="1"/>
  <c r="B226" i="16"/>
  <c r="B227" i="16"/>
  <c r="C227" i="16" s="1"/>
  <c r="B228" i="16"/>
  <c r="B229" i="16"/>
  <c r="C229" i="16" s="1"/>
  <c r="B230" i="16"/>
  <c r="B231" i="16"/>
  <c r="C231" i="16" s="1"/>
  <c r="B232" i="16"/>
  <c r="C232" i="16" s="1"/>
  <c r="B233" i="16"/>
  <c r="C233" i="16" s="1"/>
  <c r="B234" i="16"/>
  <c r="C234" i="16" s="1"/>
  <c r="B235" i="16"/>
  <c r="C235" i="16" s="1"/>
  <c r="B236" i="16"/>
  <c r="C236" i="16" s="1"/>
  <c r="B237" i="16"/>
  <c r="C237" i="16" s="1"/>
  <c r="B238" i="16"/>
  <c r="B239" i="16"/>
  <c r="C239" i="16" s="1"/>
  <c r="B240" i="16"/>
  <c r="B241" i="16"/>
  <c r="C241" i="16" s="1"/>
  <c r="B242" i="16"/>
  <c r="B243" i="16"/>
  <c r="C243" i="16" s="1"/>
  <c r="B244" i="16"/>
  <c r="C244" i="16" s="1"/>
  <c r="B245" i="16"/>
  <c r="C245" i="16" s="1"/>
  <c r="B246" i="16"/>
  <c r="C246" i="16" s="1"/>
  <c r="B247" i="16"/>
  <c r="C247" i="16" s="1"/>
  <c r="B248" i="16"/>
  <c r="C248" i="16" s="1"/>
  <c r="B249" i="16"/>
  <c r="C249" i="16" s="1"/>
  <c r="B250" i="16"/>
  <c r="B251" i="16"/>
  <c r="C251" i="16" s="1"/>
  <c r="B252" i="16"/>
  <c r="B253" i="16"/>
  <c r="C253" i="16" s="1"/>
  <c r="B254" i="16"/>
  <c r="B255" i="16"/>
  <c r="C255" i="16" s="1"/>
  <c r="B256" i="16"/>
  <c r="C256" i="16" s="1"/>
  <c r="B257" i="16"/>
  <c r="C257" i="16" s="1"/>
  <c r="B258" i="16"/>
  <c r="C258" i="16" s="1"/>
  <c r="B259" i="16"/>
  <c r="C259" i="16" s="1"/>
  <c r="B260" i="16"/>
  <c r="C260" i="16" s="1"/>
  <c r="B261" i="16"/>
  <c r="C261" i="16" s="1"/>
  <c r="B262" i="16"/>
  <c r="B263" i="16"/>
  <c r="C263" i="16" s="1"/>
  <c r="B264" i="16"/>
  <c r="B265" i="16"/>
  <c r="C265" i="16" s="1"/>
  <c r="B266" i="16"/>
  <c r="B267" i="16"/>
  <c r="C267" i="16" s="1"/>
  <c r="B268" i="16"/>
  <c r="C268" i="16" s="1"/>
  <c r="B269" i="16"/>
  <c r="C269" i="16" s="1"/>
  <c r="B270" i="16"/>
  <c r="B271" i="16"/>
  <c r="C271" i="16" s="1"/>
  <c r="B272" i="16"/>
  <c r="C272" i="16" s="1"/>
  <c r="B273" i="16"/>
  <c r="C273" i="16" s="1"/>
  <c r="B274" i="16"/>
  <c r="B275" i="16"/>
  <c r="B276" i="16"/>
  <c r="B277" i="16"/>
  <c r="C277" i="16" s="1"/>
  <c r="B278" i="16"/>
  <c r="B279" i="16"/>
  <c r="C279" i="16" s="1"/>
  <c r="B280" i="16"/>
  <c r="C280" i="16" s="1"/>
  <c r="B281" i="16"/>
  <c r="C281" i="16" s="1"/>
  <c r="B282" i="16"/>
  <c r="C282" i="16" s="1"/>
  <c r="B283" i="16"/>
  <c r="C283" i="16" s="1"/>
  <c r="B284" i="16"/>
  <c r="C284" i="16" s="1"/>
  <c r="B285" i="16"/>
  <c r="C285" i="16" s="1"/>
  <c r="B286" i="16"/>
  <c r="B287" i="16"/>
  <c r="B288" i="16"/>
  <c r="B289" i="16"/>
  <c r="C289" i="16" s="1"/>
  <c r="B290" i="16"/>
  <c r="B291" i="16"/>
  <c r="C291" i="16" s="1"/>
  <c r="B292" i="16"/>
  <c r="C292" i="16" s="1"/>
  <c r="B293" i="16"/>
  <c r="C293" i="16" s="1"/>
  <c r="B294" i="16"/>
  <c r="C294" i="16" s="1"/>
  <c r="B295" i="16"/>
  <c r="C295" i="16" s="1"/>
  <c r="B296" i="16"/>
  <c r="C296" i="16" s="1"/>
  <c r="B297" i="16"/>
  <c r="C297" i="16" s="1"/>
  <c r="B298" i="16"/>
  <c r="B299" i="16"/>
  <c r="B300" i="16"/>
  <c r="B301" i="16"/>
  <c r="C301" i="16" s="1"/>
  <c r="B302" i="16"/>
  <c r="B303" i="16"/>
  <c r="C303" i="16" s="1"/>
  <c r="B304" i="16"/>
  <c r="C304" i="16" s="1"/>
  <c r="B305" i="16"/>
  <c r="C305" i="16" s="1"/>
  <c r="B306" i="16"/>
  <c r="B307" i="16"/>
  <c r="C307" i="16" s="1"/>
  <c r="B308" i="16"/>
  <c r="C308" i="16" s="1"/>
  <c r="B309" i="16"/>
  <c r="C309" i="16" s="1"/>
  <c r="B310" i="16"/>
  <c r="C310" i="16" s="1"/>
  <c r="B311" i="16"/>
  <c r="B312" i="16"/>
  <c r="B313" i="16"/>
  <c r="C313" i="16" s="1"/>
  <c r="B314" i="16"/>
  <c r="B315" i="16"/>
  <c r="C315" i="16" s="1"/>
  <c r="B316" i="16"/>
  <c r="C316" i="16" s="1"/>
  <c r="B317" i="16"/>
  <c r="C317" i="16" s="1"/>
  <c r="B318" i="16"/>
  <c r="B319" i="16"/>
  <c r="C319" i="16" s="1"/>
  <c r="B320" i="16"/>
  <c r="C320" i="16" s="1"/>
  <c r="B321" i="16"/>
  <c r="C321" i="16" s="1"/>
  <c r="B322" i="16"/>
  <c r="C322" i="16" s="1"/>
  <c r="B323" i="16"/>
  <c r="B324" i="16"/>
  <c r="B325" i="16"/>
  <c r="C325" i="16" s="1"/>
  <c r="B326" i="16"/>
  <c r="C326" i="16" s="1"/>
  <c r="B327" i="16"/>
  <c r="C327" i="16" s="1"/>
  <c r="B328" i="16"/>
  <c r="C328" i="16" s="1"/>
  <c r="B329" i="16"/>
  <c r="C329" i="16" s="1"/>
  <c r="B330" i="16"/>
  <c r="B331" i="16"/>
  <c r="C331" i="16" s="1"/>
  <c r="B332" i="16"/>
  <c r="B333" i="16"/>
  <c r="C333" i="16" s="1"/>
  <c r="B334" i="16"/>
  <c r="C334" i="16" s="1"/>
  <c r="B335" i="16"/>
  <c r="B336" i="16"/>
  <c r="B337" i="16"/>
  <c r="C337" i="16" s="1"/>
  <c r="B338" i="16"/>
  <c r="C338" i="16" s="1"/>
  <c r="B339" i="16"/>
  <c r="C339" i="16" s="1"/>
  <c r="B340" i="16"/>
  <c r="C340" i="16" s="1"/>
  <c r="B341" i="16"/>
  <c r="C341" i="16" s="1"/>
  <c r="B342" i="16"/>
  <c r="B343" i="16"/>
  <c r="C343" i="16" s="1"/>
  <c r="B344" i="16"/>
  <c r="C344" i="16" s="1"/>
  <c r="B345" i="16"/>
  <c r="C345" i="16" s="1"/>
  <c r="B346" i="16"/>
  <c r="C346" i="16" s="1"/>
  <c r="B347" i="16"/>
  <c r="B348" i="16"/>
  <c r="B349" i="16"/>
  <c r="C349" i="16" s="1"/>
  <c r="B350" i="16"/>
  <c r="C350" i="16" s="1"/>
  <c r="B351" i="16"/>
  <c r="C351" i="16" s="1"/>
  <c r="B352" i="16"/>
  <c r="C352" i="16" s="1"/>
  <c r="B353" i="16"/>
  <c r="C353" i="16" s="1"/>
  <c r="B354" i="16"/>
  <c r="B355" i="16"/>
  <c r="C355" i="16" s="1"/>
  <c r="B356" i="16"/>
  <c r="C356" i="16" s="1"/>
  <c r="B357" i="16"/>
  <c r="B358" i="16"/>
  <c r="C358" i="16" s="1"/>
  <c r="B359" i="16"/>
  <c r="C359" i="16" s="1"/>
  <c r="B360" i="16"/>
  <c r="B361" i="16"/>
  <c r="C361" i="16" s="1"/>
  <c r="B362" i="16"/>
  <c r="B363" i="16"/>
  <c r="C363" i="16" s="1"/>
  <c r="B364" i="16"/>
  <c r="C364" i="16" s="1"/>
  <c r="B365" i="16"/>
  <c r="C365" i="16" s="1"/>
  <c r="B366" i="16"/>
  <c r="C366" i="16" s="1"/>
  <c r="B367" i="16"/>
  <c r="B368" i="16"/>
  <c r="C368" i="16" s="1"/>
  <c r="B369" i="16"/>
  <c r="C369" i="16" s="1"/>
  <c r="B370" i="16"/>
  <c r="B371" i="16"/>
  <c r="B372" i="16"/>
  <c r="B373" i="16"/>
  <c r="C373" i="16" s="1"/>
  <c r="B374" i="16"/>
  <c r="C374" i="16" s="1"/>
  <c r="B375" i="16"/>
  <c r="C375" i="16" s="1"/>
  <c r="B376" i="16"/>
  <c r="C376" i="16" s="1"/>
  <c r="B377" i="16"/>
  <c r="C377" i="16" s="1"/>
  <c r="B378" i="16"/>
  <c r="C378" i="16" s="1"/>
  <c r="B379" i="16"/>
  <c r="B380" i="16"/>
  <c r="C380" i="16" s="1"/>
  <c r="B381" i="16"/>
  <c r="C381" i="16" s="1"/>
  <c r="B382" i="16"/>
  <c r="B383" i="16"/>
  <c r="C383" i="16" s="1"/>
  <c r="B384" i="16"/>
  <c r="B385" i="16"/>
  <c r="B386" i="16"/>
  <c r="C386" i="16" s="1"/>
  <c r="B387" i="16"/>
  <c r="C387" i="16" s="1"/>
  <c r="B388" i="16"/>
  <c r="C388" i="16" s="1"/>
  <c r="B389" i="16"/>
  <c r="C389" i="16" s="1"/>
  <c r="B390" i="16"/>
  <c r="C390" i="16" s="1"/>
  <c r="B391" i="16"/>
  <c r="C391" i="16" s="1"/>
  <c r="B392" i="16"/>
  <c r="C392" i="16" s="1"/>
  <c r="B393" i="16"/>
  <c r="B394" i="16"/>
  <c r="B395" i="16"/>
  <c r="C395" i="16" s="1"/>
  <c r="B396" i="16"/>
  <c r="B397" i="16"/>
  <c r="C397" i="16" s="1"/>
  <c r="B398" i="16"/>
  <c r="B399" i="16"/>
  <c r="C399" i="16" s="1"/>
  <c r="B400" i="16"/>
  <c r="C400" i="16" s="1"/>
  <c r="B401" i="16"/>
  <c r="C401" i="16" s="1"/>
  <c r="B402" i="16"/>
  <c r="C402" i="16" s="1"/>
  <c r="B403" i="16"/>
  <c r="C403" i="16" s="1"/>
  <c r="B404" i="16"/>
  <c r="C404" i="16" s="1"/>
  <c r="B405" i="16"/>
  <c r="C405" i="16" s="1"/>
  <c r="B406" i="16"/>
  <c r="B407" i="16"/>
  <c r="B408" i="16"/>
  <c r="B409" i="16"/>
  <c r="C409" i="16" s="1"/>
  <c r="B410" i="16"/>
  <c r="C410" i="16" s="1"/>
  <c r="B411" i="16"/>
  <c r="C411" i="16" s="1"/>
  <c r="B412" i="16"/>
  <c r="C412" i="16" s="1"/>
  <c r="B413" i="16"/>
  <c r="C413" i="16" s="1"/>
  <c r="B414" i="16"/>
  <c r="C414" i="16" s="1"/>
  <c r="B415" i="16"/>
  <c r="C415" i="16" s="1"/>
  <c r="B416" i="16"/>
  <c r="C416" i="16" s="1"/>
  <c r="B417" i="16"/>
  <c r="B418" i="16"/>
  <c r="B419" i="16"/>
  <c r="C419" i="16" s="1"/>
  <c r="B420" i="16"/>
  <c r="C420" i="16" s="1"/>
  <c r="B421" i="16"/>
  <c r="C421" i="16" s="1"/>
  <c r="B422" i="16"/>
  <c r="B423" i="16"/>
  <c r="C423" i="16" s="1"/>
  <c r="B424" i="16"/>
  <c r="C424" i="16" s="1"/>
  <c r="B425" i="16"/>
  <c r="C425" i="16" s="1"/>
  <c r="B426" i="16"/>
  <c r="C426" i="16" s="1"/>
  <c r="B427" i="16"/>
  <c r="C427" i="16" s="1"/>
  <c r="B428" i="16"/>
  <c r="C428" i="16" s="1"/>
  <c r="B429" i="16"/>
  <c r="C429" i="16" s="1"/>
  <c r="B430" i="16"/>
  <c r="B431" i="16"/>
  <c r="C431" i="16" s="1"/>
  <c r="B432" i="16"/>
  <c r="C432" i="16" s="1"/>
  <c r="B433" i="16"/>
  <c r="C433" i="16" s="1"/>
  <c r="B434" i="16"/>
  <c r="C434" i="16" s="1"/>
  <c r="B435" i="16"/>
  <c r="C435" i="16" s="1"/>
  <c r="B436" i="16"/>
  <c r="C436" i="16" s="1"/>
  <c r="B437" i="16"/>
  <c r="C437" i="16" s="1"/>
  <c r="B438" i="16"/>
  <c r="C438" i="16" s="1"/>
  <c r="B439" i="16"/>
  <c r="C439" i="16" s="1"/>
  <c r="B440" i="16"/>
  <c r="C440" i="16" s="1"/>
  <c r="B441" i="16"/>
  <c r="C441" i="16" s="1"/>
  <c r="B442" i="16"/>
  <c r="C442" i="16" s="1"/>
  <c r="B443" i="16"/>
  <c r="C443" i="16" s="1"/>
  <c r="B444" i="16"/>
  <c r="C444" i="16" s="1"/>
  <c r="B445" i="16"/>
  <c r="C445" i="16" s="1"/>
  <c r="B446" i="16"/>
  <c r="C446" i="16" s="1"/>
  <c r="B447" i="16"/>
  <c r="C447" i="16" s="1"/>
  <c r="B448" i="16"/>
  <c r="C448" i="16" s="1"/>
  <c r="B449" i="16"/>
  <c r="C449" i="16" s="1"/>
  <c r="B450" i="16"/>
  <c r="B451" i="16"/>
  <c r="C451" i="16" s="1"/>
  <c r="B452" i="16"/>
  <c r="C452" i="16" s="1"/>
  <c r="B453" i="16"/>
  <c r="C453" i="16" s="1"/>
  <c r="B454" i="16"/>
  <c r="C454" i="16" s="1"/>
  <c r="B455" i="16"/>
  <c r="C455" i="16" s="1"/>
  <c r="B456" i="16"/>
  <c r="C456" i="16" s="1"/>
  <c r="B457" i="16"/>
  <c r="C457" i="16" s="1"/>
  <c r="B458" i="16"/>
  <c r="C458" i="16" s="1"/>
  <c r="B459" i="16"/>
  <c r="C459" i="16" s="1"/>
  <c r="B460" i="16"/>
  <c r="C460" i="16" s="1"/>
  <c r="B461" i="16"/>
  <c r="B462" i="16"/>
  <c r="C462" i="16" s="1"/>
  <c r="B463" i="16"/>
  <c r="C463" i="16" s="1"/>
  <c r="B464" i="16"/>
  <c r="C464" i="16" s="1"/>
  <c r="B465" i="16"/>
  <c r="C465" i="16" s="1"/>
  <c r="B466" i="16"/>
  <c r="C466" i="16" s="1"/>
  <c r="B467" i="16"/>
  <c r="C467" i="16" s="1"/>
  <c r="B468" i="16"/>
  <c r="C468" i="16" s="1"/>
  <c r="B469" i="16"/>
  <c r="B470" i="16"/>
  <c r="C470" i="16" s="1"/>
  <c r="B471" i="16"/>
  <c r="C471" i="16" s="1"/>
  <c r="B472" i="16"/>
  <c r="B473" i="16"/>
  <c r="C473" i="16" s="1"/>
  <c r="B474" i="16"/>
  <c r="C474" i="16" s="1"/>
  <c r="B475" i="16"/>
  <c r="C475" i="16" s="1"/>
  <c r="B476" i="16"/>
  <c r="C476" i="16" s="1"/>
  <c r="B477" i="16"/>
  <c r="C477" i="16" s="1"/>
  <c r="B478" i="16"/>
  <c r="C478" i="16" s="1"/>
  <c r="B479" i="16"/>
  <c r="C479" i="16" s="1"/>
  <c r="B480" i="16"/>
  <c r="C480" i="16" s="1"/>
  <c r="B481" i="16"/>
  <c r="C481" i="16" s="1"/>
  <c r="B482" i="16"/>
  <c r="C482" i="16" s="1"/>
  <c r="B483" i="16"/>
  <c r="C483" i="16" s="1"/>
  <c r="B484" i="16"/>
  <c r="C484" i="16" s="1"/>
  <c r="B485" i="16"/>
  <c r="C485" i="16" s="1"/>
  <c r="B486" i="16"/>
  <c r="B487" i="16"/>
  <c r="C487" i="16" s="1"/>
  <c r="B488" i="16"/>
  <c r="C488" i="16" s="1"/>
  <c r="B489" i="16"/>
  <c r="C489" i="16" s="1"/>
  <c r="B490" i="16"/>
  <c r="C490" i="16" s="1"/>
  <c r="B491" i="16"/>
  <c r="C491" i="16" s="1"/>
  <c r="B492" i="16"/>
  <c r="C492" i="16" s="1"/>
  <c r="B493" i="16"/>
  <c r="C493" i="16" s="1"/>
  <c r="B494" i="16"/>
  <c r="C494" i="16" s="1"/>
  <c r="B495" i="16"/>
  <c r="C495" i="16" s="1"/>
  <c r="B496" i="16"/>
  <c r="C496" i="16" s="1"/>
  <c r="B497" i="16"/>
  <c r="C497" i="16" s="1"/>
  <c r="B498" i="16"/>
  <c r="C498" i="16" s="1"/>
  <c r="B499" i="16"/>
  <c r="C499" i="16" s="1"/>
  <c r="B500" i="16"/>
  <c r="C500" i="16" s="1"/>
  <c r="B501" i="16"/>
  <c r="B502" i="16"/>
  <c r="C502" i="16" s="1"/>
  <c r="B503" i="16"/>
  <c r="C503" i="16" s="1"/>
  <c r="B504" i="16"/>
  <c r="B505" i="16"/>
  <c r="C505" i="16" s="1"/>
  <c r="B506" i="16"/>
  <c r="B507" i="16"/>
  <c r="C507" i="16" s="1"/>
  <c r="B508" i="16"/>
  <c r="C508" i="16" s="1"/>
  <c r="B509" i="16"/>
  <c r="C509" i="16" s="1"/>
  <c r="B510" i="16"/>
  <c r="C510" i="16" s="1"/>
  <c r="B511" i="16"/>
  <c r="C511" i="16" s="1"/>
  <c r="B512" i="16"/>
  <c r="C512" i="16" s="1"/>
  <c r="B513" i="16"/>
  <c r="C513" i="16" s="1"/>
  <c r="B514" i="16"/>
  <c r="C514" i="16" s="1"/>
  <c r="B515" i="16"/>
  <c r="C515" i="16" s="1"/>
  <c r="B516" i="16"/>
  <c r="B517" i="16"/>
  <c r="C517" i="16" s="1"/>
  <c r="B518" i="16"/>
  <c r="B519" i="16"/>
  <c r="C519" i="16" s="1"/>
  <c r="B520" i="16"/>
  <c r="C520" i="16" s="1"/>
  <c r="B521" i="16"/>
  <c r="C521" i="16" s="1"/>
  <c r="B522" i="16"/>
  <c r="C522" i="16" s="1"/>
  <c r="B523" i="16"/>
  <c r="C523" i="16" s="1"/>
  <c r="B524" i="16"/>
  <c r="C524" i="16" s="1"/>
  <c r="B525" i="16"/>
  <c r="C525" i="16" s="1"/>
  <c r="B526" i="16"/>
  <c r="C526" i="16" s="1"/>
  <c r="B527" i="16"/>
  <c r="C527" i="16" s="1"/>
  <c r="B528" i="16"/>
  <c r="B529" i="16"/>
  <c r="C529" i="16" s="1"/>
  <c r="B530" i="16"/>
  <c r="B531" i="16"/>
  <c r="C531" i="16" s="1"/>
  <c r="B532" i="16"/>
  <c r="C532" i="16" s="1"/>
  <c r="B533" i="16"/>
  <c r="C533" i="16" s="1"/>
  <c r="B534" i="16"/>
  <c r="C534" i="16" s="1"/>
  <c r="B535" i="16"/>
  <c r="C535" i="16" s="1"/>
  <c r="B536" i="16"/>
  <c r="C536" i="16" s="1"/>
  <c r="B537" i="16"/>
  <c r="C537" i="16" s="1"/>
  <c r="B538" i="16"/>
  <c r="C538" i="16" s="1"/>
  <c r="B539" i="16"/>
  <c r="C539" i="16" s="1"/>
  <c r="B540" i="16"/>
  <c r="B541" i="16"/>
  <c r="C541" i="16" s="1"/>
  <c r="B542" i="16"/>
  <c r="B543" i="16"/>
  <c r="C543" i="16" s="1"/>
  <c r="B544" i="16"/>
  <c r="C544" i="16" s="1"/>
  <c r="B545" i="16"/>
  <c r="C545" i="16" s="1"/>
  <c r="B546" i="16"/>
  <c r="C546" i="16" s="1"/>
  <c r="B547" i="16"/>
  <c r="C547" i="16" s="1"/>
  <c r="B548" i="16"/>
  <c r="C548" i="16" s="1"/>
  <c r="B549" i="16"/>
  <c r="C549" i="16" s="1"/>
  <c r="B550" i="16"/>
  <c r="C550" i="16" s="1"/>
  <c r="B551" i="16"/>
  <c r="C551" i="16" s="1"/>
  <c r="B552" i="16"/>
  <c r="B553" i="16"/>
  <c r="C553" i="16" s="1"/>
  <c r="B554" i="16"/>
  <c r="B555" i="16"/>
  <c r="C555" i="16" s="1"/>
  <c r="B556" i="16"/>
  <c r="C556" i="16" s="1"/>
  <c r="B557" i="16"/>
  <c r="C557" i="16" s="1"/>
  <c r="B558" i="16"/>
  <c r="C558" i="16" s="1"/>
  <c r="B559" i="16"/>
  <c r="C559" i="16" s="1"/>
  <c r="B560" i="16"/>
  <c r="C560" i="16" s="1"/>
  <c r="B561" i="16"/>
  <c r="C561" i="16" s="1"/>
  <c r="B562" i="16"/>
  <c r="C562" i="16" s="1"/>
  <c r="B563" i="16"/>
  <c r="C563" i="16" s="1"/>
  <c r="B564" i="16"/>
  <c r="B565" i="16"/>
  <c r="C565" i="16" s="1"/>
  <c r="B566" i="16"/>
  <c r="B567" i="16"/>
  <c r="C567" i="16" s="1"/>
  <c r="B568" i="16"/>
  <c r="C568" i="16" s="1"/>
  <c r="B569" i="16"/>
  <c r="C569" i="16" s="1"/>
  <c r="B570" i="16"/>
  <c r="C570" i="16" s="1"/>
  <c r="B571" i="16"/>
  <c r="C571" i="16" s="1"/>
  <c r="B572" i="16"/>
  <c r="C572" i="16" s="1"/>
  <c r="B573" i="16"/>
  <c r="C573" i="16" s="1"/>
  <c r="B574" i="16"/>
  <c r="C574" i="16" s="1"/>
  <c r="B575" i="16"/>
  <c r="C575" i="16" s="1"/>
  <c r="B576" i="16"/>
  <c r="B577" i="16"/>
  <c r="C577" i="16" s="1"/>
  <c r="B578" i="16"/>
  <c r="B579" i="16"/>
  <c r="C579" i="16" s="1"/>
  <c r="B580" i="16"/>
  <c r="C580" i="16" s="1"/>
  <c r="B581" i="16"/>
  <c r="C581" i="16" s="1"/>
  <c r="B582" i="16"/>
  <c r="C582" i="16" s="1"/>
  <c r="B583" i="16"/>
  <c r="C583" i="16" s="1"/>
  <c r="B584" i="16"/>
  <c r="C584" i="16" s="1"/>
  <c r="B585" i="16"/>
  <c r="C585" i="16" s="1"/>
  <c r="B586" i="16"/>
  <c r="C586" i="16" s="1"/>
  <c r="B587" i="16"/>
  <c r="C587" i="16" s="1"/>
  <c r="B588" i="16"/>
  <c r="B589" i="16"/>
  <c r="C589" i="16" s="1"/>
  <c r="B590" i="16"/>
  <c r="B591" i="16"/>
  <c r="C591" i="16" s="1"/>
  <c r="B592" i="16"/>
  <c r="C592" i="16" s="1"/>
  <c r="B593" i="16"/>
  <c r="C593" i="16" s="1"/>
  <c r="B594" i="16"/>
  <c r="C594" i="16" s="1"/>
  <c r="B595" i="16"/>
  <c r="C595" i="16" s="1"/>
  <c r="B596" i="16"/>
  <c r="C596" i="16" s="1"/>
  <c r="B597" i="16"/>
  <c r="C597" i="16" s="1"/>
  <c r="B598" i="16"/>
  <c r="C598" i="16" s="1"/>
  <c r="B599" i="16"/>
  <c r="C599" i="16" s="1"/>
  <c r="B600" i="16"/>
  <c r="C24" i="56"/>
  <c r="F14" i="56"/>
  <c r="H14" i="56" s="1"/>
  <c r="H15" i="56" s="1"/>
  <c r="D22" i="56"/>
  <c r="D7" i="56"/>
  <c r="D6" i="56"/>
  <c r="F20" i="55"/>
  <c r="G20" i="55" s="1"/>
  <c r="F19" i="55"/>
  <c r="G19" i="55" s="1"/>
  <c r="F18" i="55"/>
  <c r="G18" i="55" s="1"/>
  <c r="G17" i="55"/>
  <c r="F17" i="55"/>
  <c r="G16" i="55"/>
  <c r="F16" i="55"/>
  <c r="D7" i="55"/>
  <c r="D6" i="55"/>
  <c r="F119" i="54"/>
  <c r="F118" i="54"/>
  <c r="F125" i="54" s="1"/>
  <c r="F114" i="54"/>
  <c r="F109" i="54"/>
  <c r="F108" i="54"/>
  <c r="F104" i="54"/>
  <c r="J92" i="54"/>
  <c r="F88" i="54"/>
  <c r="F95" i="54" s="1"/>
  <c r="F84" i="54"/>
  <c r="F77" i="54"/>
  <c r="J81" i="54" s="1"/>
  <c r="F73" i="54"/>
  <c r="J70" i="54"/>
  <c r="F58" i="54"/>
  <c r="F54" i="54"/>
  <c r="J51" i="54"/>
  <c r="F39" i="54"/>
  <c r="F38" i="54"/>
  <c r="F37" i="54"/>
  <c r="F36" i="54"/>
  <c r="J42" i="54"/>
  <c r="F35" i="54"/>
  <c r="F45" i="54" s="1"/>
  <c r="F26" i="54"/>
  <c r="F25" i="54"/>
  <c r="F31" i="54" s="1"/>
  <c r="F21" i="54"/>
  <c r="F16" i="54"/>
  <c r="F15" i="54"/>
  <c r="D7" i="54"/>
  <c r="D6" i="54"/>
  <c r="D89" i="53"/>
  <c r="G31" i="53"/>
  <c r="F31" i="53"/>
  <c r="D27" i="53"/>
  <c r="D26" i="53"/>
  <c r="D25" i="53"/>
  <c r="D24" i="53"/>
  <c r="E22" i="53"/>
  <c r="D22" i="53"/>
  <c r="E20" i="53"/>
  <c r="D20" i="53"/>
  <c r="E19" i="53"/>
  <c r="E31" i="53" s="1"/>
  <c r="D19" i="53"/>
  <c r="D31" i="53" s="1"/>
  <c r="D7" i="53"/>
  <c r="D6" i="53"/>
  <c r="E78" i="52"/>
  <c r="G71" i="52"/>
  <c r="E71" i="52"/>
  <c r="G70" i="52"/>
  <c r="E70" i="52"/>
  <c r="G69" i="52"/>
  <c r="E69" i="52" s="1"/>
  <c r="G68" i="52"/>
  <c r="E68" i="52" s="1"/>
  <c r="G67" i="52"/>
  <c r="E67" i="52"/>
  <c r="G66" i="52"/>
  <c r="E66" i="52" s="1"/>
  <c r="G65" i="52"/>
  <c r="E65" i="52" s="1"/>
  <c r="G64" i="52"/>
  <c r="E64" i="52"/>
  <c r="G63" i="52"/>
  <c r="E63" i="52" s="1"/>
  <c r="E59" i="52"/>
  <c r="E16" i="52"/>
  <c r="D7" i="52"/>
  <c r="D6" i="52"/>
  <c r="G47" i="51"/>
  <c r="G46" i="51"/>
  <c r="G45" i="51"/>
  <c r="G44" i="51"/>
  <c r="G48" i="51" s="1"/>
  <c r="G39" i="51"/>
  <c r="G38" i="51"/>
  <c r="G37" i="51"/>
  <c r="G36" i="51"/>
  <c r="G40" i="51" s="1"/>
  <c r="G31" i="51"/>
  <c r="G32" i="51" s="1"/>
  <c r="G30" i="51"/>
  <c r="G29" i="51"/>
  <c r="G28" i="51"/>
  <c r="G27" i="51"/>
  <c r="G26" i="51"/>
  <c r="G21" i="51"/>
  <c r="G20" i="51"/>
  <c r="G19" i="51"/>
  <c r="G18" i="51"/>
  <c r="G17" i="51"/>
  <c r="G16" i="51"/>
  <c r="G22" i="51" s="1"/>
  <c r="D7" i="51"/>
  <c r="D6" i="51"/>
  <c r="G31" i="50"/>
  <c r="G30" i="50"/>
  <c r="G29" i="50"/>
  <c r="G24" i="50"/>
  <c r="G23" i="50"/>
  <c r="G22" i="50"/>
  <c r="G25" i="50" s="1"/>
  <c r="G17" i="50"/>
  <c r="G16" i="50"/>
  <c r="G15" i="50"/>
  <c r="D7" i="50"/>
  <c r="D6" i="50"/>
  <c r="X63" i="49"/>
  <c r="H69" i="49" s="1"/>
  <c r="X61" i="49"/>
  <c r="W59" i="49"/>
  <c r="T59" i="49"/>
  <c r="Q59" i="49"/>
  <c r="N59" i="49"/>
  <c r="K59" i="49"/>
  <c r="H59" i="49"/>
  <c r="W58" i="49"/>
  <c r="T58" i="49"/>
  <c r="Q58" i="49"/>
  <c r="N58" i="49"/>
  <c r="K58" i="49"/>
  <c r="H58" i="49"/>
  <c r="W57" i="49"/>
  <c r="T57" i="49"/>
  <c r="Q57" i="49"/>
  <c r="N57" i="49"/>
  <c r="K57" i="49"/>
  <c r="H57" i="49"/>
  <c r="W56" i="49"/>
  <c r="T56" i="49"/>
  <c r="R63" i="49" s="1"/>
  <c r="Q56" i="49"/>
  <c r="O63" i="49" s="1"/>
  <c r="H67" i="49" s="1"/>
  <c r="N56" i="49"/>
  <c r="K56" i="49"/>
  <c r="I63" i="49" s="1"/>
  <c r="H56" i="49"/>
  <c r="W55" i="49"/>
  <c r="L55" i="49"/>
  <c r="N55" i="49" s="1"/>
  <c r="W54" i="49"/>
  <c r="N54" i="49"/>
  <c r="W53" i="49"/>
  <c r="N53" i="49"/>
  <c r="W52" i="49"/>
  <c r="N52" i="49"/>
  <c r="W51" i="49"/>
  <c r="N51" i="49"/>
  <c r="L51" i="49"/>
  <c r="W50" i="49"/>
  <c r="L50" i="49"/>
  <c r="N50" i="49" s="1"/>
  <c r="W49" i="49"/>
  <c r="N49" i="49"/>
  <c r="U48" i="49"/>
  <c r="W48" i="49" s="1"/>
  <c r="L48" i="49"/>
  <c r="N48" i="49" s="1"/>
  <c r="W47" i="49"/>
  <c r="L47" i="49"/>
  <c r="N47" i="49" s="1"/>
  <c r="W46" i="49"/>
  <c r="N46" i="49"/>
  <c r="L46" i="49"/>
  <c r="W45" i="49"/>
  <c r="L45" i="49"/>
  <c r="N45" i="49" s="1"/>
  <c r="W44" i="49"/>
  <c r="L44" i="49"/>
  <c r="N44" i="49" s="1"/>
  <c r="W43" i="49"/>
  <c r="L43" i="49"/>
  <c r="N43" i="49" s="1"/>
  <c r="W42" i="49"/>
  <c r="N42" i="49"/>
  <c r="W41" i="49"/>
  <c r="N41" i="49"/>
  <c r="W40" i="49"/>
  <c r="N40" i="49"/>
  <c r="L40" i="49"/>
  <c r="W39" i="49"/>
  <c r="N39" i="49"/>
  <c r="W38" i="49"/>
  <c r="N38" i="49"/>
  <c r="W37" i="49"/>
  <c r="N37" i="49"/>
  <c r="W36" i="49"/>
  <c r="N36" i="49"/>
  <c r="W35" i="49"/>
  <c r="N35" i="49"/>
  <c r="W34" i="49"/>
  <c r="N34" i="49"/>
  <c r="W33" i="49"/>
  <c r="N33" i="49"/>
  <c r="W32" i="49"/>
  <c r="L32" i="49"/>
  <c r="N32" i="49" s="1"/>
  <c r="W31" i="49"/>
  <c r="N31" i="49"/>
  <c r="L31" i="49"/>
  <c r="W30" i="49"/>
  <c r="L30" i="49"/>
  <c r="N30" i="49" s="1"/>
  <c r="W29" i="49"/>
  <c r="L29" i="49"/>
  <c r="N29" i="49" s="1"/>
  <c r="W28" i="49"/>
  <c r="N28" i="49"/>
  <c r="W27" i="49"/>
  <c r="N27" i="49"/>
  <c r="W26" i="49"/>
  <c r="L26" i="49"/>
  <c r="N26" i="49" s="1"/>
  <c r="W25" i="49"/>
  <c r="L25" i="49"/>
  <c r="N25" i="49" s="1"/>
  <c r="W24" i="49"/>
  <c r="L24" i="49"/>
  <c r="N24" i="49" s="1"/>
  <c r="W23" i="49"/>
  <c r="N23" i="49"/>
  <c r="L23" i="49"/>
  <c r="W22" i="49"/>
  <c r="L22" i="49"/>
  <c r="N22" i="49" s="1"/>
  <c r="W21" i="49"/>
  <c r="L21" i="49"/>
  <c r="N21" i="49" s="1"/>
  <c r="W20" i="49"/>
  <c r="L20" i="49"/>
  <c r="N20" i="49" s="1"/>
  <c r="W19" i="49"/>
  <c r="N19" i="49"/>
  <c r="L19" i="49"/>
  <c r="W18" i="49"/>
  <c r="L18" i="49"/>
  <c r="N18" i="49" s="1"/>
  <c r="D7" i="49"/>
  <c r="D6" i="49"/>
  <c r="I47" i="48"/>
  <c r="I46" i="48"/>
  <c r="H45" i="48"/>
  <c r="I45" i="48" s="1"/>
  <c r="H44" i="48"/>
  <c r="I44" i="48" s="1"/>
  <c r="H43" i="48"/>
  <c r="I43" i="48" s="1"/>
  <c r="H42" i="48"/>
  <c r="I42" i="48" s="1"/>
  <c r="H41" i="48"/>
  <c r="I41" i="48" s="1"/>
  <c r="H40" i="48"/>
  <c r="I40" i="48" s="1"/>
  <c r="I39" i="48"/>
  <c r="I38" i="48"/>
  <c r="H37" i="48"/>
  <c r="I37" i="48" s="1"/>
  <c r="H36" i="48"/>
  <c r="I36" i="48" s="1"/>
  <c r="H35" i="48"/>
  <c r="I35" i="48" s="1"/>
  <c r="I34" i="48"/>
  <c r="H34" i="48"/>
  <c r="H33" i="48"/>
  <c r="I33" i="48" s="1"/>
  <c r="H32" i="48"/>
  <c r="I32" i="48" s="1"/>
  <c r="H31" i="48"/>
  <c r="I31" i="48" s="1"/>
  <c r="H30" i="48"/>
  <c r="I30" i="48" s="1"/>
  <c r="H29" i="48"/>
  <c r="I29" i="48" s="1"/>
  <c r="H28" i="48"/>
  <c r="I28" i="48" s="1"/>
  <c r="I27" i="48"/>
  <c r="I26" i="48"/>
  <c r="I25" i="48"/>
  <c r="I24" i="48"/>
  <c r="H23" i="48"/>
  <c r="I23" i="48" s="1"/>
  <c r="I22" i="48"/>
  <c r="I21" i="48"/>
  <c r="I20" i="48"/>
  <c r="H19" i="48"/>
  <c r="I19" i="48" s="1"/>
  <c r="H18" i="48"/>
  <c r="I18" i="48" s="1"/>
  <c r="H17" i="48"/>
  <c r="I17" i="48" s="1"/>
  <c r="D7" i="48"/>
  <c r="D6" i="48"/>
  <c r="H77" i="44"/>
  <c r="H75" i="44"/>
  <c r="H74" i="44"/>
  <c r="H72" i="44"/>
  <c r="H71" i="44"/>
  <c r="H70" i="44"/>
  <c r="H69" i="44"/>
  <c r="H68" i="44"/>
  <c r="H67" i="44"/>
  <c r="H66" i="44"/>
  <c r="H79" i="44" s="1"/>
  <c r="H61" i="44"/>
  <c r="H60" i="44"/>
  <c r="I54" i="44"/>
  <c r="H54" i="44"/>
  <c r="K54" i="44" s="1"/>
  <c r="I53" i="44"/>
  <c r="H53" i="44"/>
  <c r="K53" i="44" s="1"/>
  <c r="I52" i="44"/>
  <c r="H52" i="44"/>
  <c r="K52" i="44" s="1"/>
  <c r="I50" i="44"/>
  <c r="H50" i="44"/>
  <c r="K50" i="44" s="1"/>
  <c r="I49" i="44"/>
  <c r="H49" i="44"/>
  <c r="K49" i="44" s="1"/>
  <c r="I48" i="44"/>
  <c r="H48" i="44"/>
  <c r="K48" i="44" s="1"/>
  <c r="H47" i="44"/>
  <c r="K47" i="44" s="1"/>
  <c r="F47" i="44"/>
  <c r="I47" i="44" s="1"/>
  <c r="I45" i="44"/>
  <c r="H45" i="44"/>
  <c r="K45" i="44" s="1"/>
  <c r="I44" i="44"/>
  <c r="H44" i="44"/>
  <c r="K44" i="44" s="1"/>
  <c r="I43" i="44"/>
  <c r="H43" i="44"/>
  <c r="K43" i="44" s="1"/>
  <c r="I42" i="44"/>
  <c r="H42" i="44"/>
  <c r="K42" i="44" s="1"/>
  <c r="I41" i="44"/>
  <c r="H41" i="44"/>
  <c r="K41" i="44" s="1"/>
  <c r="I40" i="44"/>
  <c r="H40" i="44"/>
  <c r="K40" i="44" s="1"/>
  <c r="I39" i="44"/>
  <c r="H39" i="44"/>
  <c r="K39" i="44" s="1"/>
  <c r="I38" i="44"/>
  <c r="H38" i="44"/>
  <c r="K38" i="44" s="1"/>
  <c r="I37" i="44"/>
  <c r="H37" i="44"/>
  <c r="K37" i="44" s="1"/>
  <c r="I36" i="44"/>
  <c r="H36" i="44"/>
  <c r="K36" i="44" s="1"/>
  <c r="I35" i="44"/>
  <c r="H35" i="44"/>
  <c r="K35" i="44" s="1"/>
  <c r="I34" i="44"/>
  <c r="H34" i="44"/>
  <c r="K34" i="44" s="1"/>
  <c r="I33" i="44"/>
  <c r="H33" i="44"/>
  <c r="K33" i="44" s="1"/>
  <c r="J26" i="44"/>
  <c r="I26" i="44"/>
  <c r="H26" i="44"/>
  <c r="J24" i="44"/>
  <c r="I24" i="44"/>
  <c r="H24" i="44"/>
  <c r="J22" i="44"/>
  <c r="I22" i="44"/>
  <c r="H22" i="44"/>
  <c r="J20" i="44"/>
  <c r="I20" i="44"/>
  <c r="H20" i="44"/>
  <c r="K20" i="44" s="1"/>
  <c r="J18" i="44"/>
  <c r="I18" i="44"/>
  <c r="H18" i="44"/>
  <c r="J17" i="44"/>
  <c r="I17" i="44"/>
  <c r="H17" i="44"/>
  <c r="E19" i="9"/>
  <c r="F19" i="9"/>
  <c r="D19" i="9"/>
  <c r="D27" i="9" s="1"/>
  <c r="C19" i="9"/>
  <c r="B27" i="9" s="1"/>
  <c r="F143" i="23"/>
  <c r="G143" i="23" s="1"/>
  <c r="F134" i="23"/>
  <c r="F124" i="23"/>
  <c r="F146" i="23"/>
  <c r="G146" i="23" s="1"/>
  <c r="D146" i="23"/>
  <c r="C146" i="23"/>
  <c r="F145" i="23"/>
  <c r="G145" i="23" s="1"/>
  <c r="D145" i="23"/>
  <c r="C145" i="23"/>
  <c r="D143" i="23"/>
  <c r="C143" i="23"/>
  <c r="F137" i="23"/>
  <c r="G137" i="23" s="1"/>
  <c r="D137" i="23"/>
  <c r="C137" i="23"/>
  <c r="F136" i="23"/>
  <c r="G136" i="23" s="1"/>
  <c r="D136" i="23"/>
  <c r="C136" i="23"/>
  <c r="D134" i="23"/>
  <c r="C134" i="23"/>
  <c r="D253" i="7"/>
  <c r="C253" i="7"/>
  <c r="D251" i="7"/>
  <c r="C251" i="7"/>
  <c r="D124" i="23"/>
  <c r="C124" i="23"/>
  <c r="F128" i="23"/>
  <c r="G128" i="23" s="1"/>
  <c r="D128" i="23"/>
  <c r="C128" i="23"/>
  <c r="F127" i="23"/>
  <c r="G127" i="23" s="1"/>
  <c r="D127" i="23"/>
  <c r="C127" i="23"/>
  <c r="F125" i="23"/>
  <c r="G125" i="23" s="1"/>
  <c r="D125" i="23"/>
  <c r="C125" i="23"/>
  <c r="D234" i="7"/>
  <c r="C234" i="7"/>
  <c r="D119" i="23"/>
  <c r="F108" i="23" s="1"/>
  <c r="G108" i="23" s="1"/>
  <c r="F111" i="23"/>
  <c r="G111" i="23" s="1"/>
  <c r="D111" i="23"/>
  <c r="C111" i="23"/>
  <c r="F110" i="23"/>
  <c r="G110" i="23" s="1"/>
  <c r="D110" i="23"/>
  <c r="C110" i="23"/>
  <c r="D108" i="23"/>
  <c r="C108" i="23"/>
  <c r="D232" i="7"/>
  <c r="C232" i="7"/>
  <c r="D225" i="7"/>
  <c r="C225" i="7"/>
  <c r="L219" i="7"/>
  <c r="J219" i="7"/>
  <c r="I219" i="7"/>
  <c r="H219" i="7"/>
  <c r="C219" i="7"/>
  <c r="F100" i="23"/>
  <c r="G100" i="23" s="1"/>
  <c r="D100" i="23"/>
  <c r="C100" i="23"/>
  <c r="F102" i="23"/>
  <c r="G102" i="23" s="1"/>
  <c r="D102" i="23"/>
  <c r="C102" i="23"/>
  <c r="F101" i="23"/>
  <c r="G101" i="23" s="1"/>
  <c r="D101" i="23"/>
  <c r="C101" i="23"/>
  <c r="F98" i="23"/>
  <c r="G98" i="23" s="1"/>
  <c r="D98" i="23"/>
  <c r="C98" i="23"/>
  <c r="F92" i="23"/>
  <c r="G92" i="23" s="1"/>
  <c r="D92" i="23"/>
  <c r="C92" i="23"/>
  <c r="F91" i="23"/>
  <c r="G91" i="23" s="1"/>
  <c r="D91" i="23"/>
  <c r="C91" i="23"/>
  <c r="F89" i="23"/>
  <c r="G89" i="23" s="1"/>
  <c r="D89" i="23"/>
  <c r="C89" i="23"/>
  <c r="F83" i="23"/>
  <c r="G83" i="23" s="1"/>
  <c r="D83" i="23"/>
  <c r="C83" i="23"/>
  <c r="F82" i="23"/>
  <c r="G82" i="23" s="1"/>
  <c r="D82" i="23"/>
  <c r="C82" i="23"/>
  <c r="F80" i="23"/>
  <c r="G80" i="23" s="1"/>
  <c r="D80" i="23"/>
  <c r="C80" i="23"/>
  <c r="C48" i="7"/>
  <c r="D48" i="7"/>
  <c r="C49" i="7"/>
  <c r="C50" i="7"/>
  <c r="C51" i="7"/>
  <c r="C52" i="7"/>
  <c r="C53" i="7"/>
  <c r="C54" i="7"/>
  <c r="C55" i="7"/>
  <c r="C56" i="7"/>
  <c r="C57" i="7"/>
  <c r="C58" i="7"/>
  <c r="D58" i="7"/>
  <c r="C59" i="7"/>
  <c r="C60" i="7"/>
  <c r="C61" i="7"/>
  <c r="C62" i="7"/>
  <c r="C63" i="7"/>
  <c r="C64" i="7"/>
  <c r="D64" i="7"/>
  <c r="C65" i="7"/>
  <c r="C66" i="7"/>
  <c r="C67" i="7"/>
  <c r="C68" i="7"/>
  <c r="C69" i="7"/>
  <c r="C70" i="7"/>
  <c r="D70" i="7"/>
  <c r="C71" i="7"/>
  <c r="C72" i="7"/>
  <c r="D72" i="7"/>
  <c r="C73" i="7"/>
  <c r="C77" i="7"/>
  <c r="D77" i="7"/>
  <c r="C78" i="7"/>
  <c r="C79" i="7"/>
  <c r="D79" i="7"/>
  <c r="C80" i="7"/>
  <c r="C81" i="7"/>
  <c r="C82" i="7"/>
  <c r="C83" i="7"/>
  <c r="D83" i="7"/>
  <c r="C84" i="7"/>
  <c r="C85" i="7"/>
  <c r="D85" i="7"/>
  <c r="C86" i="7"/>
  <c r="C87" i="7"/>
  <c r="C88" i="7"/>
  <c r="D88" i="7"/>
  <c r="C89" i="7"/>
  <c r="C90" i="7"/>
  <c r="C91" i="7"/>
  <c r="C92" i="7"/>
  <c r="D92" i="7"/>
  <c r="C93" i="7"/>
  <c r="C94" i="7"/>
  <c r="D94" i="7"/>
  <c r="C95" i="7"/>
  <c r="C96" i="7"/>
  <c r="C97" i="7"/>
  <c r="C98" i="7"/>
  <c r="C99" i="7"/>
  <c r="C100" i="7"/>
  <c r="D100" i="7"/>
  <c r="C101" i="7"/>
  <c r="C102" i="7"/>
  <c r="C103" i="7"/>
  <c r="C104" i="7"/>
  <c r="C105" i="7"/>
  <c r="C106" i="7"/>
  <c r="C107" i="7"/>
  <c r="D107" i="7"/>
  <c r="C108" i="7"/>
  <c r="C109" i="7"/>
  <c r="D109" i="7"/>
  <c r="C110" i="7"/>
  <c r="D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D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2" i="7"/>
  <c r="D172" i="7"/>
  <c r="C173" i="7"/>
  <c r="C174" i="7"/>
  <c r="C175" i="7"/>
  <c r="C176" i="7"/>
  <c r="C177" i="7"/>
  <c r="C178" i="7"/>
  <c r="C179" i="7"/>
  <c r="C180" i="7"/>
  <c r="C181" i="7"/>
  <c r="C182" i="7"/>
  <c r="C183" i="7"/>
  <c r="C184" i="7"/>
  <c r="C185" i="7"/>
  <c r="C186" i="7"/>
  <c r="C188" i="7"/>
  <c r="D188" i="7"/>
  <c r="C189" i="7"/>
  <c r="C190" i="7"/>
  <c r="D190" i="7"/>
  <c r="C191" i="7"/>
  <c r="C192" i="7"/>
  <c r="D192" i="7"/>
  <c r="C193" i="7"/>
  <c r="C194" i="7"/>
  <c r="C195" i="7"/>
  <c r="C196" i="7"/>
  <c r="C197" i="7"/>
  <c r="C198" i="7"/>
  <c r="C199" i="7"/>
  <c r="C200" i="7"/>
  <c r="C201" i="7"/>
  <c r="C202" i="7"/>
  <c r="C203" i="7"/>
  <c r="D203" i="7"/>
  <c r="C205" i="7"/>
  <c r="D205" i="7"/>
  <c r="C206" i="7"/>
  <c r="C207" i="7"/>
  <c r="C208" i="7"/>
  <c r="C209" i="7"/>
  <c r="C210" i="7"/>
  <c r="C211" i="7"/>
  <c r="C212" i="7"/>
  <c r="C213" i="7"/>
  <c r="D213" i="7"/>
  <c r="C214" i="7"/>
  <c r="C215" i="7"/>
  <c r="C217" i="7"/>
  <c r="C218" i="7"/>
  <c r="C220" i="7"/>
  <c r="C221" i="7"/>
  <c r="C226" i="7"/>
  <c r="C227" i="7"/>
  <c r="C228" i="7"/>
  <c r="C229" i="7"/>
  <c r="C230" i="7"/>
  <c r="C231" i="7"/>
  <c r="C254" i="7"/>
  <c r="C257" i="7"/>
  <c r="D257" i="7"/>
  <c r="C258" i="7"/>
  <c r="C259" i="7"/>
  <c r="C261" i="7"/>
  <c r="C262" i="7"/>
  <c r="C265" i="7"/>
  <c r="C266" i="7"/>
  <c r="C267" i="7"/>
  <c r="C268" i="7"/>
  <c r="D268" i="7"/>
  <c r="C269" i="7"/>
  <c r="C271" i="7"/>
  <c r="C272" i="7"/>
  <c r="C273" i="7"/>
  <c r="C274" i="7"/>
  <c r="C275" i="7"/>
  <c r="C278" i="7"/>
  <c r="C279" i="7"/>
  <c r="D279" i="7"/>
  <c r="C280" i="7"/>
  <c r="C281" i="7"/>
  <c r="D281" i="7"/>
  <c r="C282" i="7"/>
  <c r="C283" i="7"/>
  <c r="C284" i="7"/>
  <c r="C285" i="7"/>
  <c r="C286" i="7"/>
  <c r="C287" i="7"/>
  <c r="C288" i="7"/>
  <c r="C289" i="7"/>
  <c r="C290" i="7"/>
  <c r="C292" i="7"/>
  <c r="C294" i="7"/>
  <c r="C295" i="7"/>
  <c r="C296" i="7"/>
  <c r="C297" i="7"/>
  <c r="C300" i="7"/>
  <c r="C301" i="7"/>
  <c r="C302" i="7"/>
  <c r="C303" i="7"/>
  <c r="C304" i="7"/>
  <c r="C305" i="7"/>
  <c r="C306" i="7"/>
  <c r="D306" i="7"/>
  <c r="C307" i="7"/>
  <c r="C308" i="7"/>
  <c r="D308" i="7"/>
  <c r="C309" i="7"/>
  <c r="C310" i="7"/>
  <c r="C311" i="7"/>
  <c r="C312" i="7"/>
  <c r="C313" i="7"/>
  <c r="C314" i="7"/>
  <c r="C315" i="7"/>
  <c r="D315" i="7"/>
  <c r="C316" i="7"/>
  <c r="C317" i="7"/>
  <c r="C318" i="7"/>
  <c r="C319" i="7"/>
  <c r="C320" i="7"/>
  <c r="D320" i="7"/>
  <c r="C321" i="7"/>
  <c r="C328" i="7"/>
  <c r="D328" i="7"/>
  <c r="C329" i="7"/>
  <c r="C332" i="7"/>
  <c r="C334" i="7"/>
  <c r="C335" i="7"/>
  <c r="F74" i="23"/>
  <c r="G74" i="23" s="1"/>
  <c r="D74" i="23"/>
  <c r="C74" i="23"/>
  <c r="F73" i="23"/>
  <c r="G73" i="23" s="1"/>
  <c r="D73" i="23"/>
  <c r="C73" i="23"/>
  <c r="F71" i="23"/>
  <c r="G71" i="23" s="1"/>
  <c r="D71" i="23"/>
  <c r="C71" i="23"/>
  <c r="L207" i="7"/>
  <c r="J207" i="7"/>
  <c r="I207" i="7"/>
  <c r="H207" i="7"/>
  <c r="K196" i="7"/>
  <c r="K195" i="7"/>
  <c r="K330" i="7"/>
  <c r="I48" i="48" l="1"/>
  <c r="C576" i="16"/>
  <c r="C540" i="16"/>
  <c r="C564" i="16"/>
  <c r="C528" i="16"/>
  <c r="C516" i="16"/>
  <c r="C450" i="16"/>
  <c r="C417" i="16"/>
  <c r="C332" i="16"/>
  <c r="C461" i="16"/>
  <c r="C367" i="16"/>
  <c r="C323" i="16"/>
  <c r="C588" i="16"/>
  <c r="C394" i="16"/>
  <c r="C552" i="16"/>
  <c r="C486" i="16"/>
  <c r="C472" i="16"/>
  <c r="C314" i="16"/>
  <c r="C298" i="16"/>
  <c r="C590" i="16"/>
  <c r="C578" i="16"/>
  <c r="C566" i="16"/>
  <c r="C554" i="16"/>
  <c r="C542" i="16"/>
  <c r="C530" i="16"/>
  <c r="C385" i="16"/>
  <c r="C600" i="16"/>
  <c r="C504" i="16"/>
  <c r="C214" i="16"/>
  <c r="C518" i="16"/>
  <c r="C506" i="16"/>
  <c r="C501" i="16"/>
  <c r="C469" i="16"/>
  <c r="C393" i="16"/>
  <c r="C384" i="16"/>
  <c r="C372" i="16"/>
  <c r="C354" i="16"/>
  <c r="C228" i="16"/>
  <c r="C191" i="16"/>
  <c r="C113" i="16"/>
  <c r="C379" i="16"/>
  <c r="C370" i="16"/>
  <c r="C362" i="16"/>
  <c r="C330" i="16"/>
  <c r="C371" i="16"/>
  <c r="C335" i="16"/>
  <c r="C143" i="16"/>
  <c r="C422" i="16"/>
  <c r="C408" i="16"/>
  <c r="C357" i="16"/>
  <c r="C306" i="16"/>
  <c r="C252" i="16"/>
  <c r="C382" i="16"/>
  <c r="C311" i="16"/>
  <c r="C407" i="16"/>
  <c r="C418" i="16"/>
  <c r="C342" i="16"/>
  <c r="C288" i="16"/>
  <c r="C406" i="16"/>
  <c r="C347" i="16"/>
  <c r="C206" i="16"/>
  <c r="C129" i="16"/>
  <c r="C430" i="16"/>
  <c r="C398" i="16"/>
  <c r="C318" i="16"/>
  <c r="C287" i="16"/>
  <c r="C302" i="16"/>
  <c r="C276" i="16"/>
  <c r="C262" i="16"/>
  <c r="C238" i="16"/>
  <c r="C275" i="16"/>
  <c r="C266" i="16"/>
  <c r="C242" i="16"/>
  <c r="C218" i="16"/>
  <c r="C179" i="16"/>
  <c r="C286" i="16"/>
  <c r="C270" i="16"/>
  <c r="C153" i="16"/>
  <c r="C140" i="16"/>
  <c r="C105" i="16"/>
  <c r="C90" i="16"/>
  <c r="C290" i="16"/>
  <c r="C274" i="16"/>
  <c r="C211" i="16"/>
  <c r="C89" i="16"/>
  <c r="C278" i="16"/>
  <c r="C250" i="16"/>
  <c r="C226" i="16"/>
  <c r="C396" i="16"/>
  <c r="C360" i="16"/>
  <c r="C300" i="16"/>
  <c r="C264" i="16"/>
  <c r="C240" i="16"/>
  <c r="C216" i="16"/>
  <c r="C209" i="16"/>
  <c r="C203" i="16"/>
  <c r="C348" i="16"/>
  <c r="C336" i="16"/>
  <c r="C324" i="16"/>
  <c r="C312" i="16"/>
  <c r="C254" i="16"/>
  <c r="C230" i="16"/>
  <c r="C299" i="16"/>
  <c r="C208" i="16"/>
  <c r="C101" i="16"/>
  <c r="C73" i="16"/>
  <c r="C146" i="16"/>
  <c r="C128" i="16"/>
  <c r="C116" i="16"/>
  <c r="C131" i="16"/>
  <c r="C104" i="16"/>
  <c r="C155" i="16"/>
  <c r="C119" i="16"/>
  <c r="C92" i="16"/>
  <c r="C158" i="16"/>
  <c r="C134" i="16"/>
  <c r="C107" i="16"/>
  <c r="C80" i="16"/>
  <c r="C122" i="16"/>
  <c r="C95" i="16"/>
  <c r="C110" i="16"/>
  <c r="C83" i="16"/>
  <c r="C167" i="16"/>
  <c r="C137" i="16"/>
  <c r="C98" i="16"/>
  <c r="C194" i="16"/>
  <c r="C182" i="16"/>
  <c r="C170" i="16"/>
  <c r="C125" i="16"/>
  <c r="C86" i="16"/>
  <c r="F22" i="56"/>
  <c r="H22" i="56" s="1"/>
  <c r="H23" i="56" s="1"/>
  <c r="G21" i="55"/>
  <c r="J61" i="54"/>
  <c r="J28" i="54"/>
  <c r="J111" i="54"/>
  <c r="J18" i="54"/>
  <c r="F64" i="54"/>
  <c r="E72" i="52"/>
  <c r="G18" i="50"/>
  <c r="G32" i="50"/>
  <c r="U63" i="49"/>
  <c r="F63" i="49"/>
  <c r="H66" i="49" s="1"/>
  <c r="H70" i="49"/>
  <c r="L63" i="49"/>
  <c r="H68" i="49" s="1"/>
  <c r="H65" i="49"/>
  <c r="K26" i="44"/>
  <c r="I55" i="44"/>
  <c r="F61" i="44" s="1"/>
  <c r="K22" i="44"/>
  <c r="K18" i="44"/>
  <c r="K17" i="44"/>
  <c r="K24" i="44"/>
  <c r="J27" i="44"/>
  <c r="K55" i="44"/>
  <c r="E61" i="44" s="1"/>
  <c r="J61" i="44" s="1"/>
  <c r="F60" i="44"/>
  <c r="I56" i="44"/>
  <c r="G19" i="9"/>
  <c r="B253" i="7"/>
  <c r="F253" i="7" s="1"/>
  <c r="G134" i="23"/>
  <c r="G138" i="23" s="1"/>
  <c r="H131" i="23" s="1"/>
  <c r="G124" i="23"/>
  <c r="G129" i="23" s="1"/>
  <c r="H121" i="23" s="1"/>
  <c r="G147" i="23"/>
  <c r="H140" i="23" s="1"/>
  <c r="B251" i="7"/>
  <c r="F251" i="7" s="1"/>
  <c r="B234" i="7"/>
  <c r="F234" i="7" s="1"/>
  <c r="B110" i="7"/>
  <c r="B281" i="7"/>
  <c r="G112" i="23"/>
  <c r="H105" i="23" s="1"/>
  <c r="G84" i="23"/>
  <c r="H77" i="23" s="1"/>
  <c r="B232" i="7"/>
  <c r="F232" i="7" s="1"/>
  <c r="B72" i="7"/>
  <c r="B225" i="7"/>
  <c r="F225" i="7" s="1"/>
  <c r="B92" i="7"/>
  <c r="B48" i="7"/>
  <c r="B315" i="7"/>
  <c r="B308" i="7"/>
  <c r="B257" i="7"/>
  <c r="G103" i="23"/>
  <c r="H95" i="23" s="1"/>
  <c r="G93" i="23"/>
  <c r="H86" i="23" s="1"/>
  <c r="B279" i="7"/>
  <c r="B107" i="7"/>
  <c r="B306" i="7"/>
  <c r="B268" i="7"/>
  <c r="B328" i="7"/>
  <c r="B137" i="7"/>
  <c r="B83" i="7"/>
  <c r="B203" i="7"/>
  <c r="F203" i="7" s="1"/>
  <c r="B320" i="7"/>
  <c r="B77" i="7"/>
  <c r="B188" i="7"/>
  <c r="B192" i="7"/>
  <c r="F192" i="7" s="1"/>
  <c r="B213" i="7"/>
  <c r="F213" i="7" s="1"/>
  <c r="B79" i="7"/>
  <c r="B190" i="7"/>
  <c r="F190" i="7" s="1"/>
  <c r="B51" i="16" s="1"/>
  <c r="B94" i="7"/>
  <c r="B70" i="7"/>
  <c r="B58" i="7"/>
  <c r="B205" i="7"/>
  <c r="F205" i="7" s="1"/>
  <c r="B109" i="7"/>
  <c r="B85" i="7"/>
  <c r="B172" i="7"/>
  <c r="B100" i="7"/>
  <c r="F100" i="7" s="1"/>
  <c r="B43" i="16" s="1"/>
  <c r="C43" i="16" s="1"/>
  <c r="B88" i="7"/>
  <c r="B64" i="7"/>
  <c r="G75" i="23"/>
  <c r="H68" i="23" s="1"/>
  <c r="J122" i="54" l="1"/>
  <c r="K27" i="44"/>
  <c r="K56" i="44"/>
  <c r="E60" i="44"/>
  <c r="J60" i="44" s="1"/>
  <c r="J62" i="44" s="1"/>
  <c r="D135" i="9"/>
  <c r="F125" i="9" s="1"/>
  <c r="G125" i="9" s="1"/>
  <c r="G130" i="9"/>
  <c r="D125" i="9" s="1"/>
  <c r="F127" i="9"/>
  <c r="G127" i="9" s="1"/>
  <c r="D127" i="9"/>
  <c r="C127" i="9"/>
  <c r="C125" i="9"/>
  <c r="B125" i="9"/>
  <c r="G69" i="9"/>
  <c r="D64" i="9" s="1"/>
  <c r="G92" i="9"/>
  <c r="G85" i="9"/>
  <c r="D79" i="9" s="1"/>
  <c r="G115" i="9"/>
  <c r="D103" i="9" s="1"/>
  <c r="G108" i="9"/>
  <c r="D102" i="9" s="1"/>
  <c r="D120" i="9"/>
  <c r="F103" i="9" s="1"/>
  <c r="G103" i="9" s="1"/>
  <c r="D113" i="9"/>
  <c r="F102" i="9" s="1"/>
  <c r="G102" i="9" s="1"/>
  <c r="F105" i="9"/>
  <c r="G105" i="9" s="1"/>
  <c r="D105" i="9"/>
  <c r="C105" i="9"/>
  <c r="C103" i="9"/>
  <c r="B103" i="9"/>
  <c r="C102" i="9"/>
  <c r="B102" i="9"/>
  <c r="D97" i="9"/>
  <c r="F80" i="9" s="1"/>
  <c r="G80" i="9" s="1"/>
  <c r="D90" i="9"/>
  <c r="F79" i="9" s="1"/>
  <c r="G79" i="9" s="1"/>
  <c r="F82" i="9"/>
  <c r="G82" i="9" s="1"/>
  <c r="D82" i="9"/>
  <c r="C82" i="9"/>
  <c r="D80" i="9"/>
  <c r="C80" i="9"/>
  <c r="B80" i="9"/>
  <c r="C79" i="9"/>
  <c r="B79" i="9"/>
  <c r="D74" i="9"/>
  <c r="F64" i="9" s="1"/>
  <c r="G64" i="9" s="1"/>
  <c r="F66" i="9"/>
  <c r="G66" i="9" s="1"/>
  <c r="D66" i="9"/>
  <c r="C66" i="9"/>
  <c r="C64" i="9"/>
  <c r="B64" i="9"/>
  <c r="F54" i="24"/>
  <c r="G54" i="24" s="1"/>
  <c r="D54" i="24"/>
  <c r="C54" i="24"/>
  <c r="F55" i="24"/>
  <c r="G55" i="24" s="1"/>
  <c r="D55" i="24"/>
  <c r="C55" i="24"/>
  <c r="F52" i="24"/>
  <c r="G52" i="24" s="1"/>
  <c r="D52" i="24"/>
  <c r="C52" i="24"/>
  <c r="F103" i="31"/>
  <c r="G103" i="31" s="1"/>
  <c r="D103" i="31"/>
  <c r="C103" i="31"/>
  <c r="D114" i="31"/>
  <c r="F102" i="31" s="1"/>
  <c r="G102" i="31" s="1"/>
  <c r="F106" i="31"/>
  <c r="G106" i="31" s="1"/>
  <c r="D106" i="31"/>
  <c r="C106" i="31"/>
  <c r="F104" i="31"/>
  <c r="G104" i="31" s="1"/>
  <c r="D104" i="31"/>
  <c r="C104" i="31"/>
  <c r="C102" i="31"/>
  <c r="D97" i="31"/>
  <c r="F85" i="31" s="1"/>
  <c r="G85" i="31" s="1"/>
  <c r="F89" i="31"/>
  <c r="G89" i="31" s="1"/>
  <c r="D89" i="31"/>
  <c r="C89" i="31"/>
  <c r="F88" i="31"/>
  <c r="G88" i="31" s="1"/>
  <c r="D88" i="31"/>
  <c r="C88" i="31"/>
  <c r="F86" i="31"/>
  <c r="G86" i="31" s="1"/>
  <c r="D86" i="31"/>
  <c r="C86" i="31"/>
  <c r="C85" i="31"/>
  <c r="D80" i="31"/>
  <c r="F68" i="31" s="1"/>
  <c r="G68" i="31" s="1"/>
  <c r="F72" i="31"/>
  <c r="G72" i="31" s="1"/>
  <c r="D72" i="31"/>
  <c r="C72" i="31"/>
  <c r="F71" i="31"/>
  <c r="G71" i="31" s="1"/>
  <c r="D71" i="31"/>
  <c r="C71" i="31"/>
  <c r="F69" i="31"/>
  <c r="G69" i="31" s="1"/>
  <c r="D69" i="31"/>
  <c r="C69" i="31"/>
  <c r="C68" i="31"/>
  <c r="D63" i="31"/>
  <c r="F51" i="31" s="1"/>
  <c r="G51" i="31" s="1"/>
  <c r="F55" i="31"/>
  <c r="G55" i="31" s="1"/>
  <c r="D55" i="31"/>
  <c r="C55" i="31"/>
  <c r="F54" i="31"/>
  <c r="G54" i="31" s="1"/>
  <c r="D54" i="31"/>
  <c r="C54" i="31"/>
  <c r="F52" i="31"/>
  <c r="G52" i="31" s="1"/>
  <c r="D52" i="31"/>
  <c r="C52" i="31"/>
  <c r="C51" i="31"/>
  <c r="D46" i="31"/>
  <c r="F34" i="31" s="1"/>
  <c r="G34" i="31" s="1"/>
  <c r="F38" i="31"/>
  <c r="G38" i="31" s="1"/>
  <c r="D38" i="31"/>
  <c r="C38" i="31"/>
  <c r="F37" i="31"/>
  <c r="G37" i="31" s="1"/>
  <c r="D37" i="31"/>
  <c r="C37" i="31"/>
  <c r="F35" i="31"/>
  <c r="G35" i="31" s="1"/>
  <c r="D35" i="31"/>
  <c r="C35" i="31"/>
  <c r="C34" i="31"/>
  <c r="F21" i="31"/>
  <c r="G21" i="31" s="1"/>
  <c r="D21" i="31"/>
  <c r="C21" i="31"/>
  <c r="F20" i="31"/>
  <c r="G20" i="31" s="1"/>
  <c r="D20" i="31"/>
  <c r="C20" i="31"/>
  <c r="D29" i="31"/>
  <c r="F17" i="31" s="1"/>
  <c r="G17" i="31" s="1"/>
  <c r="F18" i="31"/>
  <c r="D18" i="31"/>
  <c r="C18" i="31"/>
  <c r="C17" i="31"/>
  <c r="F65" i="23"/>
  <c r="G65" i="23" s="1"/>
  <c r="D65" i="23"/>
  <c r="C65" i="23"/>
  <c r="F63" i="23"/>
  <c r="G63" i="23" s="1"/>
  <c r="D63" i="23"/>
  <c r="C63" i="23"/>
  <c r="F57" i="23"/>
  <c r="G57" i="23" s="1"/>
  <c r="D57" i="23"/>
  <c r="C57" i="23"/>
  <c r="F56" i="23"/>
  <c r="G56" i="23" s="1"/>
  <c r="D56" i="23"/>
  <c r="C56" i="23"/>
  <c r="F54" i="23"/>
  <c r="G54" i="23" s="1"/>
  <c r="D54" i="23"/>
  <c r="C54" i="23"/>
  <c r="D82" i="46"/>
  <c r="F71" i="46" s="1"/>
  <c r="G71" i="46" s="1"/>
  <c r="F74" i="46"/>
  <c r="G74" i="46" s="1"/>
  <c r="D74" i="46"/>
  <c r="C74" i="46"/>
  <c r="F73" i="46"/>
  <c r="G73" i="46" s="1"/>
  <c r="D73" i="46"/>
  <c r="C73" i="46"/>
  <c r="D71" i="46"/>
  <c r="C71" i="46"/>
  <c r="B71" i="46"/>
  <c r="D66" i="46"/>
  <c r="F54" i="46" s="1"/>
  <c r="G54" i="46" s="1"/>
  <c r="F58" i="46"/>
  <c r="G58" i="46" s="1"/>
  <c r="D58" i="46"/>
  <c r="C58" i="46"/>
  <c r="F57" i="46"/>
  <c r="G57" i="46" s="1"/>
  <c r="D57" i="46"/>
  <c r="C57" i="46"/>
  <c r="F55" i="46"/>
  <c r="G55" i="46" s="1"/>
  <c r="D55" i="46"/>
  <c r="C55" i="46"/>
  <c r="D54" i="46"/>
  <c r="C54" i="46"/>
  <c r="B54" i="46"/>
  <c r="F47" i="46"/>
  <c r="G47" i="46" s="1"/>
  <c r="D47" i="46"/>
  <c r="C47" i="46"/>
  <c r="F48" i="46"/>
  <c r="G48" i="46" s="1"/>
  <c r="D48" i="46"/>
  <c r="C48" i="46"/>
  <c r="F45" i="46"/>
  <c r="G45" i="46" s="1"/>
  <c r="D45" i="46"/>
  <c r="C45" i="46"/>
  <c r="G106" i="9" l="1"/>
  <c r="H99" i="9" s="1"/>
  <c r="G128" i="9"/>
  <c r="H122" i="9" s="1"/>
  <c r="G83" i="9"/>
  <c r="H76" i="9" s="1"/>
  <c r="G67" i="9"/>
  <c r="H61" i="9" s="1"/>
  <c r="G56" i="24"/>
  <c r="H49" i="24" s="1"/>
  <c r="G107" i="31"/>
  <c r="H99" i="31" s="1"/>
  <c r="G90" i="31"/>
  <c r="H82" i="31" s="1"/>
  <c r="G73" i="31"/>
  <c r="H65" i="31" s="1"/>
  <c r="G56" i="31"/>
  <c r="H48" i="31" s="1"/>
  <c r="G39" i="31"/>
  <c r="H31" i="31" s="1"/>
  <c r="G18" i="31"/>
  <c r="G22" i="31" s="1"/>
  <c r="G66" i="23"/>
  <c r="H60" i="23" s="1"/>
  <c r="G58" i="23"/>
  <c r="H51" i="23" s="1"/>
  <c r="G75" i="46"/>
  <c r="H68" i="46" s="1"/>
  <c r="G59" i="46"/>
  <c r="H51" i="46" s="1"/>
  <c r="G49" i="46"/>
  <c r="H42" i="46" s="1"/>
  <c r="H14" i="31" l="1"/>
  <c r="K264" i="7"/>
  <c r="D47" i="24"/>
  <c r="F36" i="24" s="1"/>
  <c r="G36" i="24" s="1"/>
  <c r="F39" i="24"/>
  <c r="G39" i="24" s="1"/>
  <c r="D39" i="24"/>
  <c r="C39" i="24"/>
  <c r="F38" i="24"/>
  <c r="G38" i="24" s="1"/>
  <c r="D38" i="24"/>
  <c r="C38" i="24"/>
  <c r="D36" i="24"/>
  <c r="C36" i="24"/>
  <c r="D31" i="24"/>
  <c r="F20" i="24" s="1"/>
  <c r="G20" i="24" s="1"/>
  <c r="F23" i="24"/>
  <c r="G23" i="24" s="1"/>
  <c r="D23" i="24"/>
  <c r="C23" i="24"/>
  <c r="F22" i="24"/>
  <c r="G22" i="24" s="1"/>
  <c r="D22" i="24"/>
  <c r="C22" i="24"/>
  <c r="D20" i="24"/>
  <c r="C20" i="24"/>
  <c r="F29" i="46"/>
  <c r="G29" i="46" s="1"/>
  <c r="D29" i="46"/>
  <c r="C29" i="46"/>
  <c r="G24" i="24" l="1"/>
  <c r="H17" i="24" s="1"/>
  <c r="G40" i="24"/>
  <c r="H33" i="24" s="1"/>
  <c r="D40" i="46"/>
  <c r="F28" i="46" s="1"/>
  <c r="G28" i="46" s="1"/>
  <c r="F32" i="46"/>
  <c r="G32" i="46" s="1"/>
  <c r="D32" i="46"/>
  <c r="C32" i="46"/>
  <c r="F31" i="46"/>
  <c r="G31" i="46" s="1"/>
  <c r="D31" i="46"/>
  <c r="C31" i="46"/>
  <c r="D28" i="46"/>
  <c r="C28" i="46"/>
  <c r="B28" i="46"/>
  <c r="L57" i="7"/>
  <c r="L43" i="7"/>
  <c r="J43" i="7"/>
  <c r="I43" i="7"/>
  <c r="H43" i="7"/>
  <c r="C43" i="7"/>
  <c r="F58" i="9"/>
  <c r="G58" i="9" s="1"/>
  <c r="D58" i="9"/>
  <c r="C58" i="9"/>
  <c r="F57" i="9"/>
  <c r="G57" i="9" s="1"/>
  <c r="D57" i="9"/>
  <c r="C57" i="9"/>
  <c r="K25" i="7"/>
  <c r="G33" i="46" l="1"/>
  <c r="H25" i="46" s="1"/>
  <c r="H57" i="7"/>
  <c r="I57" i="7"/>
  <c r="J57" i="7"/>
  <c r="G59" i="9"/>
  <c r="H54" i="9" s="1"/>
  <c r="C3" i="34" l="1"/>
  <c r="L319" i="7"/>
  <c r="J319" i="7"/>
  <c r="I319" i="7"/>
  <c r="H319" i="7"/>
  <c r="L318" i="7"/>
  <c r="J318" i="7"/>
  <c r="I318" i="7"/>
  <c r="H318" i="7"/>
  <c r="L317" i="7"/>
  <c r="J317" i="7"/>
  <c r="I317" i="7"/>
  <c r="H317" i="7"/>
  <c r="L314" i="7"/>
  <c r="J314" i="7"/>
  <c r="I314" i="7"/>
  <c r="H314" i="7"/>
  <c r="L313" i="7"/>
  <c r="J313" i="7"/>
  <c r="I313" i="7"/>
  <c r="H313" i="7"/>
  <c r="L312" i="7"/>
  <c r="J312" i="7"/>
  <c r="I312" i="7"/>
  <c r="H312" i="7"/>
  <c r="L311" i="7"/>
  <c r="J311" i="7"/>
  <c r="I311" i="7"/>
  <c r="H311" i="7"/>
  <c r="L310" i="7"/>
  <c r="J310" i="7"/>
  <c r="I310" i="7"/>
  <c r="H310" i="7"/>
  <c r="L309" i="7"/>
  <c r="J309" i="7"/>
  <c r="I309" i="7"/>
  <c r="H309" i="7"/>
  <c r="L305" i="7"/>
  <c r="J305" i="7"/>
  <c r="I305" i="7"/>
  <c r="H305" i="7"/>
  <c r="L304" i="7"/>
  <c r="J304" i="7"/>
  <c r="I304" i="7"/>
  <c r="H304" i="7"/>
  <c r="L303" i="7"/>
  <c r="J303" i="7"/>
  <c r="I303" i="7"/>
  <c r="H303" i="7"/>
  <c r="L302" i="7"/>
  <c r="J302" i="7"/>
  <c r="I302" i="7"/>
  <c r="H302" i="7"/>
  <c r="L301" i="7"/>
  <c r="J301" i="7"/>
  <c r="I301" i="7"/>
  <c r="H301" i="7"/>
  <c r="L300" i="7"/>
  <c r="J300" i="7"/>
  <c r="I300" i="7"/>
  <c r="H300" i="7"/>
  <c r="L297" i="7"/>
  <c r="J297" i="7"/>
  <c r="I297" i="7"/>
  <c r="H297" i="7"/>
  <c r="L296" i="7"/>
  <c r="J296" i="7"/>
  <c r="I296" i="7"/>
  <c r="H296" i="7"/>
  <c r="L295" i="7"/>
  <c r="J295" i="7"/>
  <c r="I295" i="7"/>
  <c r="H295" i="7"/>
  <c r="L294" i="7"/>
  <c r="J294" i="7"/>
  <c r="I294" i="7"/>
  <c r="H294" i="7"/>
  <c r="L292" i="7"/>
  <c r="J292" i="7"/>
  <c r="I292" i="7"/>
  <c r="H292" i="7"/>
  <c r="L287" i="7"/>
  <c r="J287" i="7"/>
  <c r="I287" i="7"/>
  <c r="H287" i="7"/>
  <c r="L286" i="7"/>
  <c r="J286" i="7"/>
  <c r="I286" i="7"/>
  <c r="H286" i="7"/>
  <c r="L285" i="7"/>
  <c r="J285" i="7"/>
  <c r="I285" i="7"/>
  <c r="H285" i="7"/>
  <c r="L284" i="7"/>
  <c r="J284" i="7"/>
  <c r="I284" i="7"/>
  <c r="H284" i="7"/>
  <c r="L283" i="7"/>
  <c r="J283" i="7"/>
  <c r="I283" i="7"/>
  <c r="H283" i="7"/>
  <c r="L282" i="7"/>
  <c r="J282" i="7"/>
  <c r="I282" i="7"/>
  <c r="H282" i="7"/>
  <c r="L278" i="7"/>
  <c r="J278" i="7"/>
  <c r="I278" i="7"/>
  <c r="H278" i="7"/>
  <c r="L275" i="7"/>
  <c r="J275" i="7"/>
  <c r="I275" i="7"/>
  <c r="H275" i="7"/>
  <c r="L274" i="7"/>
  <c r="J274" i="7"/>
  <c r="I274" i="7"/>
  <c r="H274" i="7"/>
  <c r="L273" i="7"/>
  <c r="J273" i="7"/>
  <c r="I273" i="7"/>
  <c r="H273" i="7"/>
  <c r="L272" i="7"/>
  <c r="J272" i="7"/>
  <c r="I272" i="7"/>
  <c r="H272" i="7"/>
  <c r="L271" i="7"/>
  <c r="J271" i="7"/>
  <c r="I271" i="7"/>
  <c r="H271" i="7"/>
  <c r="L267" i="7"/>
  <c r="J267" i="7"/>
  <c r="I267" i="7"/>
  <c r="H267" i="7"/>
  <c r="L266" i="7"/>
  <c r="J266" i="7"/>
  <c r="I266" i="7"/>
  <c r="H266" i="7"/>
  <c r="L265" i="7"/>
  <c r="J265" i="7"/>
  <c r="I265" i="7"/>
  <c r="H265" i="7"/>
  <c r="L262" i="7"/>
  <c r="J262" i="7"/>
  <c r="I262" i="7"/>
  <c r="H262" i="7"/>
  <c r="L261" i="7"/>
  <c r="J261" i="7"/>
  <c r="I261" i="7"/>
  <c r="H261" i="7"/>
  <c r="L259" i="7"/>
  <c r="J259" i="7"/>
  <c r="I259" i="7"/>
  <c r="H259" i="7"/>
  <c r="L254" i="7"/>
  <c r="J254" i="7"/>
  <c r="I254" i="7"/>
  <c r="H254" i="7"/>
  <c r="L231" i="7"/>
  <c r="J231" i="7"/>
  <c r="I231" i="7"/>
  <c r="H231" i="7"/>
  <c r="L230" i="7"/>
  <c r="J230" i="7"/>
  <c r="I230" i="7"/>
  <c r="H230" i="7"/>
  <c r="L229" i="7"/>
  <c r="J229" i="7"/>
  <c r="I229" i="7"/>
  <c r="H229" i="7"/>
  <c r="L228" i="7"/>
  <c r="J228" i="7"/>
  <c r="I228" i="7"/>
  <c r="H228" i="7"/>
  <c r="L227" i="7"/>
  <c r="J227" i="7"/>
  <c r="I227" i="7"/>
  <c r="H227" i="7"/>
  <c r="L226" i="7"/>
  <c r="J226" i="7"/>
  <c r="I226" i="7"/>
  <c r="H226" i="7"/>
  <c r="L221" i="7"/>
  <c r="J221" i="7"/>
  <c r="I221" i="7"/>
  <c r="H221" i="7"/>
  <c r="L220" i="7"/>
  <c r="J220" i="7"/>
  <c r="I220" i="7"/>
  <c r="H220" i="7"/>
  <c r="L218" i="7"/>
  <c r="J218" i="7"/>
  <c r="I218" i="7"/>
  <c r="H218" i="7"/>
  <c r="L217" i="7"/>
  <c r="J217" i="7"/>
  <c r="I217" i="7"/>
  <c r="H217" i="7"/>
  <c r="L215" i="7"/>
  <c r="J215" i="7"/>
  <c r="I215" i="7"/>
  <c r="H215" i="7"/>
  <c r="L214" i="7"/>
  <c r="J214" i="7"/>
  <c r="I214" i="7"/>
  <c r="H214" i="7"/>
  <c r="L212" i="7"/>
  <c r="J212" i="7"/>
  <c r="I212" i="7"/>
  <c r="H212" i="7"/>
  <c r="L211" i="7"/>
  <c r="J211" i="7"/>
  <c r="I211" i="7"/>
  <c r="H211" i="7"/>
  <c r="L210" i="7"/>
  <c r="J210" i="7"/>
  <c r="I210" i="7"/>
  <c r="H210" i="7"/>
  <c r="L209" i="7"/>
  <c r="J209" i="7"/>
  <c r="I209" i="7"/>
  <c r="H209" i="7"/>
  <c r="L208" i="7"/>
  <c r="J208" i="7"/>
  <c r="I208" i="7"/>
  <c r="H208" i="7"/>
  <c r="L206" i="7"/>
  <c r="J206" i="7"/>
  <c r="I206" i="7"/>
  <c r="H206" i="7"/>
  <c r="L202" i="7"/>
  <c r="J202" i="7"/>
  <c r="I202" i="7"/>
  <c r="H202" i="7"/>
  <c r="L200" i="7"/>
  <c r="J200" i="7"/>
  <c r="I200" i="7"/>
  <c r="H200" i="7"/>
  <c r="L199" i="7"/>
  <c r="J199" i="7"/>
  <c r="I199" i="7"/>
  <c r="H199" i="7"/>
  <c r="L198" i="7"/>
  <c r="J198" i="7"/>
  <c r="I198" i="7"/>
  <c r="H198" i="7"/>
  <c r="L197" i="7"/>
  <c r="J197" i="7"/>
  <c r="I197" i="7"/>
  <c r="H197" i="7"/>
  <c r="L195" i="7"/>
  <c r="J195" i="7"/>
  <c r="I195" i="7"/>
  <c r="H195" i="7"/>
  <c r="L194" i="7"/>
  <c r="J194" i="7"/>
  <c r="I194" i="7"/>
  <c r="H194" i="7"/>
  <c r="L193" i="7"/>
  <c r="J193" i="7"/>
  <c r="I193" i="7"/>
  <c r="H193" i="7"/>
  <c r="L191" i="7"/>
  <c r="J191" i="7"/>
  <c r="I191" i="7"/>
  <c r="H191" i="7"/>
  <c r="L186" i="7"/>
  <c r="J186" i="7"/>
  <c r="I186" i="7"/>
  <c r="H186" i="7"/>
  <c r="L185" i="7"/>
  <c r="J185" i="7"/>
  <c r="I185" i="7"/>
  <c r="H185" i="7"/>
  <c r="L184" i="7"/>
  <c r="J184" i="7"/>
  <c r="I184" i="7"/>
  <c r="H184" i="7"/>
  <c r="L183" i="7"/>
  <c r="J183" i="7"/>
  <c r="I183" i="7"/>
  <c r="H183" i="7"/>
  <c r="L182" i="7"/>
  <c r="J182" i="7"/>
  <c r="I182" i="7"/>
  <c r="H182" i="7"/>
  <c r="L181" i="7"/>
  <c r="J181" i="7"/>
  <c r="I181" i="7"/>
  <c r="H181" i="7"/>
  <c r="L180" i="7"/>
  <c r="J180" i="7"/>
  <c r="I180" i="7"/>
  <c r="H180" i="7"/>
  <c r="L179" i="7"/>
  <c r="J179" i="7"/>
  <c r="I179" i="7"/>
  <c r="H179" i="7"/>
  <c r="L178" i="7"/>
  <c r="J178" i="7"/>
  <c r="I178" i="7"/>
  <c r="H178" i="7"/>
  <c r="L177" i="7"/>
  <c r="J177" i="7"/>
  <c r="I177" i="7"/>
  <c r="H177" i="7"/>
  <c r="L176" i="7"/>
  <c r="J176" i="7"/>
  <c r="I176" i="7"/>
  <c r="H176" i="7"/>
  <c r="L175" i="7"/>
  <c r="J175" i="7"/>
  <c r="I175" i="7"/>
  <c r="H175" i="7"/>
  <c r="L174" i="7"/>
  <c r="J174" i="7"/>
  <c r="I174" i="7"/>
  <c r="H174" i="7"/>
  <c r="L173" i="7"/>
  <c r="J173" i="7"/>
  <c r="I173" i="7"/>
  <c r="H173" i="7"/>
  <c r="L170" i="7"/>
  <c r="J170" i="7"/>
  <c r="I170" i="7"/>
  <c r="H170" i="7"/>
  <c r="L169" i="7"/>
  <c r="J169" i="7"/>
  <c r="I169" i="7"/>
  <c r="H169" i="7"/>
  <c r="L168" i="7"/>
  <c r="J168" i="7"/>
  <c r="I168" i="7"/>
  <c r="H168" i="7"/>
  <c r="L167" i="7"/>
  <c r="J167" i="7"/>
  <c r="I167" i="7"/>
  <c r="H167" i="7"/>
  <c r="L166" i="7"/>
  <c r="J166" i="7"/>
  <c r="I166" i="7"/>
  <c r="H166" i="7"/>
  <c r="L165" i="7"/>
  <c r="J165" i="7"/>
  <c r="I165" i="7"/>
  <c r="H165" i="7"/>
  <c r="L164" i="7"/>
  <c r="J164" i="7"/>
  <c r="I164" i="7"/>
  <c r="H164" i="7"/>
  <c r="L163" i="7"/>
  <c r="J163" i="7"/>
  <c r="I163" i="7"/>
  <c r="H163" i="7"/>
  <c r="L162" i="7"/>
  <c r="J162" i="7"/>
  <c r="I162" i="7"/>
  <c r="H162" i="7"/>
  <c r="L161" i="7"/>
  <c r="J161" i="7"/>
  <c r="I161" i="7"/>
  <c r="H161" i="7"/>
  <c r="L160" i="7"/>
  <c r="J160" i="7"/>
  <c r="I160" i="7"/>
  <c r="H160" i="7"/>
  <c r="L159" i="7"/>
  <c r="J159" i="7"/>
  <c r="I159" i="7"/>
  <c r="H159" i="7"/>
  <c r="L158" i="7"/>
  <c r="J158" i="7"/>
  <c r="I158" i="7"/>
  <c r="H158" i="7"/>
  <c r="L157" i="7"/>
  <c r="J157" i="7"/>
  <c r="I157" i="7"/>
  <c r="H157" i="7"/>
  <c r="L156" i="7"/>
  <c r="J156" i="7"/>
  <c r="I156" i="7"/>
  <c r="H156" i="7"/>
  <c r="L155" i="7"/>
  <c r="J155" i="7"/>
  <c r="I155" i="7"/>
  <c r="H155" i="7"/>
  <c r="L154" i="7"/>
  <c r="J154" i="7"/>
  <c r="I154" i="7"/>
  <c r="H154" i="7"/>
  <c r="L153" i="7"/>
  <c r="J153" i="7"/>
  <c r="I153" i="7"/>
  <c r="H153" i="7"/>
  <c r="L152" i="7"/>
  <c r="J152" i="7"/>
  <c r="I152" i="7"/>
  <c r="H152" i="7"/>
  <c r="L151" i="7"/>
  <c r="J151" i="7"/>
  <c r="I151" i="7"/>
  <c r="H151" i="7"/>
  <c r="L149" i="7"/>
  <c r="J149" i="7"/>
  <c r="I149" i="7"/>
  <c r="H149" i="7"/>
  <c r="L148" i="7"/>
  <c r="J148" i="7"/>
  <c r="I148" i="7"/>
  <c r="H148" i="7"/>
  <c r="L147" i="7"/>
  <c r="J147" i="7"/>
  <c r="I147" i="7"/>
  <c r="H147" i="7"/>
  <c r="L146" i="7"/>
  <c r="J146" i="7"/>
  <c r="I146" i="7"/>
  <c r="H146" i="7"/>
  <c r="L145" i="7"/>
  <c r="J145" i="7"/>
  <c r="I145" i="7"/>
  <c r="H145" i="7"/>
  <c r="L144" i="7"/>
  <c r="J144" i="7"/>
  <c r="I144" i="7"/>
  <c r="H144" i="7"/>
  <c r="L143" i="7"/>
  <c r="J143" i="7"/>
  <c r="I143" i="7"/>
  <c r="H143" i="7"/>
  <c r="L142" i="7"/>
  <c r="J142" i="7"/>
  <c r="I142" i="7"/>
  <c r="H142" i="7"/>
  <c r="L141" i="7"/>
  <c r="J141" i="7"/>
  <c r="I141" i="7"/>
  <c r="H141" i="7"/>
  <c r="L140" i="7"/>
  <c r="J140" i="7"/>
  <c r="I140" i="7"/>
  <c r="H140" i="7"/>
  <c r="L139" i="7"/>
  <c r="J139" i="7"/>
  <c r="I139" i="7"/>
  <c r="H139" i="7"/>
  <c r="L138" i="7"/>
  <c r="J138" i="7"/>
  <c r="I138" i="7"/>
  <c r="H138" i="7"/>
  <c r="L136" i="7"/>
  <c r="J136" i="7"/>
  <c r="I136" i="7"/>
  <c r="H136" i="7"/>
  <c r="L135" i="7"/>
  <c r="J135" i="7"/>
  <c r="I135" i="7"/>
  <c r="H135" i="7"/>
  <c r="L134" i="7"/>
  <c r="J134" i="7"/>
  <c r="I134" i="7"/>
  <c r="H134" i="7"/>
  <c r="L133" i="7"/>
  <c r="J133" i="7"/>
  <c r="I133" i="7"/>
  <c r="H133" i="7"/>
  <c r="L132" i="7"/>
  <c r="J132" i="7"/>
  <c r="I132" i="7"/>
  <c r="H132" i="7"/>
  <c r="L131" i="7"/>
  <c r="J131" i="7"/>
  <c r="I131" i="7"/>
  <c r="H131" i="7"/>
  <c r="L130" i="7"/>
  <c r="J130" i="7"/>
  <c r="I130" i="7"/>
  <c r="H130" i="7"/>
  <c r="L129" i="7"/>
  <c r="J129" i="7"/>
  <c r="I129" i="7"/>
  <c r="H129" i="7"/>
  <c r="L128" i="7"/>
  <c r="J128" i="7"/>
  <c r="I128" i="7"/>
  <c r="H128" i="7"/>
  <c r="L126" i="7"/>
  <c r="J126" i="7"/>
  <c r="I126" i="7"/>
  <c r="H126" i="7"/>
  <c r="L125" i="7"/>
  <c r="J125" i="7"/>
  <c r="I125" i="7"/>
  <c r="H125" i="7"/>
  <c r="L123" i="7"/>
  <c r="J123" i="7"/>
  <c r="I123" i="7"/>
  <c r="H123" i="7"/>
  <c r="L122" i="7"/>
  <c r="J122" i="7"/>
  <c r="I122" i="7"/>
  <c r="H122" i="7"/>
  <c r="L121" i="7"/>
  <c r="J121" i="7"/>
  <c r="I121" i="7"/>
  <c r="H121" i="7"/>
  <c r="L120" i="7"/>
  <c r="J120" i="7"/>
  <c r="I120" i="7"/>
  <c r="H120" i="7"/>
  <c r="L119" i="7"/>
  <c r="J119" i="7"/>
  <c r="I119" i="7"/>
  <c r="H119" i="7"/>
  <c r="L118" i="7"/>
  <c r="J118" i="7"/>
  <c r="I118" i="7"/>
  <c r="H118" i="7"/>
  <c r="L117" i="7"/>
  <c r="J117" i="7"/>
  <c r="I117" i="7"/>
  <c r="H117" i="7"/>
  <c r="L116" i="7"/>
  <c r="J116" i="7"/>
  <c r="I116" i="7"/>
  <c r="H116" i="7"/>
  <c r="L115" i="7"/>
  <c r="J115" i="7"/>
  <c r="I115" i="7"/>
  <c r="H115" i="7"/>
  <c r="L113" i="7"/>
  <c r="J113" i="7"/>
  <c r="I113" i="7"/>
  <c r="H113" i="7"/>
  <c r="L112" i="7"/>
  <c r="J112" i="7"/>
  <c r="I112" i="7"/>
  <c r="H112" i="7"/>
  <c r="L111" i="7"/>
  <c r="J111" i="7"/>
  <c r="I111" i="7"/>
  <c r="H111" i="7"/>
  <c r="L106" i="7"/>
  <c r="J106" i="7"/>
  <c r="I106" i="7"/>
  <c r="H106" i="7"/>
  <c r="L105" i="7"/>
  <c r="J105" i="7"/>
  <c r="I105" i="7"/>
  <c r="H105" i="7"/>
  <c r="L104" i="7"/>
  <c r="J104" i="7"/>
  <c r="I104" i="7"/>
  <c r="H104" i="7"/>
  <c r="L102" i="7"/>
  <c r="J102" i="7"/>
  <c r="I102" i="7"/>
  <c r="H102" i="7"/>
  <c r="L99" i="7"/>
  <c r="J99" i="7"/>
  <c r="I99" i="7"/>
  <c r="H99" i="7"/>
  <c r="L98" i="7"/>
  <c r="J98" i="7"/>
  <c r="I98" i="7"/>
  <c r="H98" i="7"/>
  <c r="L97" i="7"/>
  <c r="J97" i="7"/>
  <c r="I97" i="7"/>
  <c r="H97" i="7"/>
  <c r="L96" i="7"/>
  <c r="J96" i="7"/>
  <c r="I96" i="7"/>
  <c r="H96" i="7"/>
  <c r="L95" i="7"/>
  <c r="J95" i="7"/>
  <c r="I95" i="7"/>
  <c r="H95" i="7"/>
  <c r="L90" i="7"/>
  <c r="J90" i="7"/>
  <c r="I90" i="7"/>
  <c r="H90" i="7"/>
  <c r="L89" i="7"/>
  <c r="J89" i="7"/>
  <c r="I89" i="7"/>
  <c r="H89" i="7"/>
  <c r="L87" i="7"/>
  <c r="J87" i="7"/>
  <c r="I87" i="7"/>
  <c r="H87" i="7"/>
  <c r="L86" i="7"/>
  <c r="J86" i="7"/>
  <c r="I86" i="7"/>
  <c r="H86" i="7"/>
  <c r="L82" i="7"/>
  <c r="J82" i="7"/>
  <c r="I82" i="7"/>
  <c r="H82" i="7"/>
  <c r="L81" i="7"/>
  <c r="J81" i="7"/>
  <c r="I81" i="7"/>
  <c r="H81" i="7"/>
  <c r="L80" i="7"/>
  <c r="J80" i="7"/>
  <c r="I80" i="7"/>
  <c r="H80" i="7"/>
  <c r="L71" i="7"/>
  <c r="J71" i="7"/>
  <c r="I71" i="7"/>
  <c r="H71" i="7"/>
  <c r="L69" i="7"/>
  <c r="J69" i="7"/>
  <c r="I69" i="7"/>
  <c r="H69" i="7"/>
  <c r="L68" i="7"/>
  <c r="J68" i="7"/>
  <c r="I68" i="7"/>
  <c r="H68" i="7"/>
  <c r="L67" i="7"/>
  <c r="J67" i="7"/>
  <c r="I67" i="7"/>
  <c r="H67" i="7"/>
  <c r="L65" i="7"/>
  <c r="J65" i="7"/>
  <c r="I65" i="7"/>
  <c r="H65" i="7"/>
  <c r="L62" i="7"/>
  <c r="J62" i="7"/>
  <c r="I62" i="7"/>
  <c r="H62" i="7"/>
  <c r="L61" i="7"/>
  <c r="J61" i="7"/>
  <c r="I61" i="7"/>
  <c r="H61" i="7"/>
  <c r="L59" i="7"/>
  <c r="J59" i="7"/>
  <c r="I59" i="7"/>
  <c r="H59" i="7"/>
  <c r="L56" i="7"/>
  <c r="J56" i="7"/>
  <c r="I56" i="7"/>
  <c r="H56" i="7"/>
  <c r="L55" i="7"/>
  <c r="J55" i="7"/>
  <c r="I55" i="7"/>
  <c r="H55" i="7"/>
  <c r="L54" i="7"/>
  <c r="J54" i="7"/>
  <c r="I54" i="7"/>
  <c r="H54" i="7"/>
  <c r="L53" i="7"/>
  <c r="J53" i="7"/>
  <c r="I53" i="7"/>
  <c r="H53" i="7"/>
  <c r="L52" i="7"/>
  <c r="J52" i="7"/>
  <c r="I52" i="7"/>
  <c r="H52" i="7"/>
  <c r="L51" i="7"/>
  <c r="J51" i="7"/>
  <c r="I51" i="7"/>
  <c r="H51" i="7"/>
  <c r="L50" i="7"/>
  <c r="J50" i="7"/>
  <c r="I50" i="7"/>
  <c r="H50" i="7"/>
  <c r="L49" i="7"/>
  <c r="J49" i="7"/>
  <c r="I49" i="7"/>
  <c r="H49" i="7"/>
  <c r="L45" i="7"/>
  <c r="J45" i="7"/>
  <c r="I45" i="7"/>
  <c r="H45" i="7"/>
  <c r="L44" i="7"/>
  <c r="J44" i="7"/>
  <c r="I44" i="7"/>
  <c r="H44" i="7"/>
  <c r="L42" i="7"/>
  <c r="J42" i="7"/>
  <c r="I42" i="7"/>
  <c r="H42" i="7"/>
  <c r="L38" i="7"/>
  <c r="J38" i="7"/>
  <c r="I38" i="7"/>
  <c r="H38" i="7"/>
  <c r="L37" i="7"/>
  <c r="J37" i="7"/>
  <c r="I37" i="7"/>
  <c r="H37" i="7"/>
  <c r="L36" i="7"/>
  <c r="J36" i="7"/>
  <c r="I36" i="7"/>
  <c r="H36" i="7"/>
  <c r="L34" i="7"/>
  <c r="J34" i="7"/>
  <c r="I34" i="7"/>
  <c r="H34" i="7"/>
  <c r="L33" i="7"/>
  <c r="J33" i="7"/>
  <c r="I33" i="7"/>
  <c r="H33" i="7"/>
  <c r="L32" i="7"/>
  <c r="J32" i="7"/>
  <c r="I32" i="7"/>
  <c r="H32" i="7"/>
  <c r="L31" i="7"/>
  <c r="J31" i="7"/>
  <c r="I31" i="7"/>
  <c r="H31" i="7"/>
  <c r="L30" i="7"/>
  <c r="J30" i="7"/>
  <c r="I30" i="7"/>
  <c r="H30" i="7"/>
  <c r="L29" i="7"/>
  <c r="J29" i="7"/>
  <c r="I29" i="7"/>
  <c r="H29" i="7"/>
  <c r="L26" i="7"/>
  <c r="J26" i="7"/>
  <c r="I26" i="7"/>
  <c r="H26" i="7"/>
  <c r="L25" i="7"/>
  <c r="J25" i="7"/>
  <c r="I25" i="7"/>
  <c r="H25" i="7"/>
  <c r="C23" i="7"/>
  <c r="D23" i="7"/>
  <c r="C24" i="7"/>
  <c r="C25" i="7"/>
  <c r="C26" i="7"/>
  <c r="C27" i="7"/>
  <c r="D27" i="7"/>
  <c r="C28" i="7"/>
  <c r="C29" i="7"/>
  <c r="C30" i="7"/>
  <c r="C31" i="7"/>
  <c r="C32" i="7"/>
  <c r="C33" i="7"/>
  <c r="C34" i="7"/>
  <c r="C36" i="7"/>
  <c r="C37" i="7"/>
  <c r="C38" i="7"/>
  <c r="G22" i="7"/>
  <c r="H22" i="7" s="1"/>
  <c r="C6" i="22"/>
  <c r="C8" i="18"/>
  <c r="B5" i="41"/>
  <c r="B5" i="26"/>
  <c r="B8" i="13"/>
  <c r="B8" i="32"/>
  <c r="B8" i="25"/>
  <c r="B8" i="24"/>
  <c r="B5" i="23"/>
  <c r="B7" i="46"/>
  <c r="B5" i="29"/>
  <c r="B5" i="9"/>
  <c r="F9" i="7"/>
  <c r="D332" i="25" l="1"/>
  <c r="D317" i="25"/>
  <c r="D286" i="25"/>
  <c r="D237" i="25"/>
  <c r="D220" i="25"/>
  <c r="B205" i="32" l="1"/>
  <c r="B190" i="32"/>
  <c r="B174" i="32"/>
  <c r="B118" i="32"/>
  <c r="B103" i="32"/>
  <c r="B88" i="32"/>
  <c r="C546" i="25" l="1"/>
  <c r="D46" i="29" l="1"/>
  <c r="C46" i="29"/>
  <c r="D45" i="29"/>
  <c r="C45" i="29"/>
  <c r="D43" i="29"/>
  <c r="C43" i="29"/>
  <c r="G40" i="29"/>
  <c r="C44" i="7" l="1"/>
  <c r="D549" i="25" l="1"/>
  <c r="C39" i="7" l="1"/>
  <c r="D39" i="7"/>
  <c r="C40" i="7"/>
  <c r="C41" i="7"/>
  <c r="D41" i="7"/>
  <c r="C42" i="7"/>
  <c r="C45" i="7"/>
  <c r="C46" i="7"/>
  <c r="D46" i="7"/>
  <c r="C47" i="7"/>
  <c r="B46" i="7" l="1"/>
  <c r="B41" i="7"/>
  <c r="B27" i="7"/>
  <c r="B23" i="7"/>
  <c r="B39" i="7"/>
  <c r="D735" i="25" l="1"/>
  <c r="D737" i="25"/>
  <c r="D736" i="25"/>
  <c r="E736" i="25"/>
  <c r="F736" i="25"/>
  <c r="G736" i="25"/>
  <c r="E737" i="25"/>
  <c r="F737" i="25"/>
  <c r="G737" i="25"/>
  <c r="F735" i="25"/>
  <c r="G735" i="25"/>
  <c r="E735" i="25"/>
  <c r="B736" i="25"/>
  <c r="C736" i="25"/>
  <c r="B737" i="25"/>
  <c r="C737" i="25"/>
  <c r="C735" i="25"/>
  <c r="B735" i="25"/>
  <c r="D738" i="25" l="1"/>
  <c r="F719" i="25" s="1"/>
  <c r="F137" i="7" l="1"/>
  <c r="D22" i="46" l="1"/>
  <c r="C22" i="46"/>
  <c r="D21" i="46"/>
  <c r="C21" i="46"/>
  <c r="D19" i="46"/>
  <c r="C19" i="46"/>
  <c r="C9" i="46"/>
  <c r="C10" i="46"/>
  <c r="D445" i="32" l="1"/>
  <c r="C445" i="32"/>
  <c r="D444" i="32"/>
  <c r="C444" i="32"/>
  <c r="D230" i="32"/>
  <c r="D49" i="32"/>
  <c r="C49" i="32"/>
  <c r="D47" i="32"/>
  <c r="G44" i="32" s="1"/>
  <c r="C47" i="32"/>
  <c r="C44" i="32" s="1"/>
  <c r="D739" i="32"/>
  <c r="C739" i="32"/>
  <c r="D737" i="32"/>
  <c r="C737" i="32"/>
  <c r="C734" i="32" s="1"/>
  <c r="D731" i="32"/>
  <c r="C731" i="32"/>
  <c r="D729" i="32"/>
  <c r="C729" i="32"/>
  <c r="C726" i="32" s="1"/>
  <c r="D721" i="32"/>
  <c r="C721" i="32"/>
  <c r="C718" i="32" s="1"/>
  <c r="D723" i="32"/>
  <c r="C723" i="32"/>
  <c r="D454" i="32" l="1"/>
  <c r="C454" i="32"/>
  <c r="D453" i="32"/>
  <c r="C453" i="32"/>
  <c r="D451" i="32"/>
  <c r="C451" i="32"/>
  <c r="C448" i="32" s="1"/>
  <c r="D442" i="32"/>
  <c r="C442" i="32"/>
  <c r="C439" i="32" s="1"/>
  <c r="D427" i="32"/>
  <c r="C427" i="32"/>
  <c r="D426" i="32"/>
  <c r="C426" i="32"/>
  <c r="D424" i="32"/>
  <c r="C424" i="32"/>
  <c r="C421" i="32" s="1"/>
  <c r="D418" i="32"/>
  <c r="C418" i="32"/>
  <c r="D417" i="32"/>
  <c r="C417" i="32"/>
  <c r="D415" i="32"/>
  <c r="C415" i="32"/>
  <c r="C412" i="32" s="1"/>
  <c r="D482" i="32"/>
  <c r="C482" i="32"/>
  <c r="D481" i="32"/>
  <c r="C481" i="32"/>
  <c r="D479" i="32"/>
  <c r="C479" i="32"/>
  <c r="C476" i="32" s="1"/>
  <c r="D473" i="32"/>
  <c r="C473" i="32"/>
  <c r="D472" i="32"/>
  <c r="C472" i="32"/>
  <c r="D470" i="32"/>
  <c r="C470" i="32"/>
  <c r="C467" i="32" s="1"/>
  <c r="D463" i="32"/>
  <c r="C463" i="32"/>
  <c r="D462" i="32"/>
  <c r="C462" i="32"/>
  <c r="D460" i="32"/>
  <c r="C460" i="32"/>
  <c r="C457" i="32" s="1"/>
  <c r="D386" i="32"/>
  <c r="D368" i="32"/>
  <c r="C368" i="32"/>
  <c r="D367" i="32"/>
  <c r="C367" i="32"/>
  <c r="D365" i="32"/>
  <c r="G362" i="32" s="1"/>
  <c r="C365" i="32"/>
  <c r="C362" i="32" s="1"/>
  <c r="D216" i="32"/>
  <c r="C216" i="32"/>
  <c r="C212" i="32" s="1"/>
  <c r="D210" i="32"/>
  <c r="F200" i="32" s="1"/>
  <c r="G200" i="32" s="1"/>
  <c r="D202" i="32"/>
  <c r="C202" i="32"/>
  <c r="C200" i="32"/>
  <c r="C197" i="32" s="1"/>
  <c r="G197" i="32"/>
  <c r="D40" i="32"/>
  <c r="C40" i="32"/>
  <c r="D38" i="32"/>
  <c r="G35" i="32" s="1"/>
  <c r="C38" i="32"/>
  <c r="C35" i="32" s="1"/>
  <c r="D123" i="32"/>
  <c r="F113" i="32" s="1"/>
  <c r="G113" i="32" s="1"/>
  <c r="D115" i="32"/>
  <c r="C115" i="32"/>
  <c r="C113" i="32"/>
  <c r="C110" i="32" s="1"/>
  <c r="G110" i="32"/>
  <c r="D77" i="32"/>
  <c r="C77" i="32"/>
  <c r="D76" i="32"/>
  <c r="C76" i="32"/>
  <c r="D74" i="32"/>
  <c r="G71" i="32" s="1"/>
  <c r="C74" i="32"/>
  <c r="D68" i="32"/>
  <c r="C68" i="32"/>
  <c r="D67" i="32"/>
  <c r="C67" i="32"/>
  <c r="D65" i="32"/>
  <c r="G62" i="32" s="1"/>
  <c r="C65" i="32"/>
  <c r="D413" i="25" l="1"/>
  <c r="D412" i="25"/>
  <c r="D411" i="25"/>
  <c r="D63" i="25"/>
  <c r="C63" i="25"/>
  <c r="D62" i="25"/>
  <c r="C62" i="25"/>
  <c r="D60" i="25"/>
  <c r="C60" i="25"/>
  <c r="C57" i="25" s="1"/>
  <c r="D897" i="25"/>
  <c r="C897" i="25"/>
  <c r="D896" i="25"/>
  <c r="C896" i="25"/>
  <c r="D895" i="25"/>
  <c r="C895" i="25"/>
  <c r="D894" i="25"/>
  <c r="C894" i="25"/>
  <c r="D900" i="25"/>
  <c r="C900" i="25"/>
  <c r="D899" i="25"/>
  <c r="C899" i="25"/>
  <c r="D414" i="25" l="1"/>
  <c r="F396" i="25" s="1"/>
  <c r="D850" i="25" l="1"/>
  <c r="F839" i="25" s="1"/>
  <c r="G839" i="25" s="1"/>
  <c r="D842" i="25"/>
  <c r="C842" i="25"/>
  <c r="D841" i="25"/>
  <c r="C841" i="25"/>
  <c r="C839" i="25"/>
  <c r="C836" i="25" s="1"/>
  <c r="C823" i="25"/>
  <c r="C820" i="25" s="1"/>
  <c r="C807" i="25"/>
  <c r="C804" i="25" s="1"/>
  <c r="D786" i="25"/>
  <c r="C775" i="25"/>
  <c r="C772" i="25" s="1"/>
  <c r="C716" i="25"/>
  <c r="D754" i="25"/>
  <c r="D698" i="25"/>
  <c r="D666" i="25"/>
  <c r="D633" i="25"/>
  <c r="D600" i="25"/>
  <c r="D566" i="25"/>
  <c r="D565" i="25"/>
  <c r="D564" i="25"/>
  <c r="D495" i="25"/>
  <c r="D463" i="25"/>
  <c r="D479" i="25"/>
  <c r="D447" i="25"/>
  <c r="C436" i="25"/>
  <c r="D889" i="25"/>
  <c r="D431" i="25"/>
  <c r="D567" i="25" l="1"/>
  <c r="F549" i="25" s="1"/>
  <c r="D309" i="25"/>
  <c r="C309" i="25"/>
  <c r="D308" i="25"/>
  <c r="C308" i="25"/>
  <c r="D262" i="25"/>
  <c r="C262" i="25"/>
  <c r="D261" i="25"/>
  <c r="C261" i="25"/>
  <c r="D245" i="25"/>
  <c r="C245" i="25"/>
  <c r="D244" i="25"/>
  <c r="C244" i="25"/>
  <c r="D228" i="25"/>
  <c r="C228" i="25"/>
  <c r="D227" i="25"/>
  <c r="C227" i="25"/>
  <c r="D390" i="25"/>
  <c r="C390" i="25"/>
  <c r="D389" i="25"/>
  <c r="C389" i="25"/>
  <c r="D387" i="25"/>
  <c r="C387" i="25"/>
  <c r="C384" i="25" s="1"/>
  <c r="D378" i="25"/>
  <c r="C378" i="25"/>
  <c r="C375" i="25" s="1"/>
  <c r="D381" i="25"/>
  <c r="C381" i="25"/>
  <c r="D380" i="25"/>
  <c r="C380" i="25"/>
  <c r="D271" i="25"/>
  <c r="F259" i="25" s="1"/>
  <c r="G259" i="25" s="1"/>
  <c r="D259" i="25"/>
  <c r="C259" i="25"/>
  <c r="C256" i="25" s="1"/>
  <c r="D254" i="25"/>
  <c r="F242" i="25" s="1"/>
  <c r="G242" i="25" l="1"/>
  <c r="D242" i="25"/>
  <c r="C242" i="25"/>
  <c r="C239" i="25" s="1"/>
  <c r="D204" i="25"/>
  <c r="F193" i="25" s="1"/>
  <c r="G193" i="25" s="1"/>
  <c r="D196" i="25"/>
  <c r="C196" i="25"/>
  <c r="D195" i="25"/>
  <c r="C195" i="25"/>
  <c r="D193" i="25"/>
  <c r="C193" i="25"/>
  <c r="C190" i="25" s="1"/>
  <c r="D188" i="25"/>
  <c r="F177" i="25" s="1"/>
  <c r="G177" i="25" s="1"/>
  <c r="D180" i="25"/>
  <c r="C180" i="25"/>
  <c r="D179" i="25"/>
  <c r="C179" i="25"/>
  <c r="D177" i="25"/>
  <c r="C177" i="25"/>
  <c r="C174" i="25" s="1"/>
  <c r="D155" i="25" l="1"/>
  <c r="C155" i="25"/>
  <c r="D154" i="25"/>
  <c r="C154" i="25"/>
  <c r="D152" i="25"/>
  <c r="C152" i="25"/>
  <c r="C149" i="25" s="1"/>
  <c r="D137" i="25"/>
  <c r="C137" i="25"/>
  <c r="D136" i="25"/>
  <c r="C136" i="25"/>
  <c r="D134" i="25"/>
  <c r="C134" i="25"/>
  <c r="C131" i="25" s="1"/>
  <c r="D100" i="25"/>
  <c r="C100" i="25"/>
  <c r="D99" i="25"/>
  <c r="C99" i="25"/>
  <c r="D97" i="25"/>
  <c r="C97" i="25"/>
  <c r="C94" i="25" s="1"/>
  <c r="D90" i="25"/>
  <c r="C90" i="25"/>
  <c r="D89" i="25"/>
  <c r="C89" i="25"/>
  <c r="D87" i="25"/>
  <c r="C87" i="25"/>
  <c r="C84" i="25" s="1"/>
  <c r="D81" i="25"/>
  <c r="C81" i="25"/>
  <c r="D80" i="25"/>
  <c r="C80" i="25"/>
  <c r="D78" i="25"/>
  <c r="C78" i="25"/>
  <c r="C75" i="25" s="1"/>
  <c r="G4" i="22" l="1"/>
  <c r="I6" i="37"/>
  <c r="G6" i="18"/>
  <c r="F10" i="22" l="1"/>
  <c r="F9" i="22"/>
  <c r="I13" i="37"/>
  <c r="G12" i="18"/>
  <c r="E9" i="31"/>
  <c r="E8" i="31"/>
  <c r="E9" i="41"/>
  <c r="E8" i="41"/>
  <c r="E9" i="26"/>
  <c r="E8" i="26"/>
  <c r="E12" i="13"/>
  <c r="E11" i="13"/>
  <c r="E11" i="32"/>
  <c r="E11" i="24"/>
  <c r="E12" i="32"/>
  <c r="F11" i="32"/>
  <c r="E11" i="25"/>
  <c r="E12" i="25"/>
  <c r="E12" i="24"/>
  <c r="F11" i="24"/>
  <c r="E9" i="23"/>
  <c r="E8" i="23"/>
  <c r="E8" i="29"/>
  <c r="E10" i="46" s="1"/>
  <c r="E9" i="29"/>
  <c r="E11" i="46" s="1"/>
  <c r="E9" i="9"/>
  <c r="E8" i="9"/>
  <c r="H11" i="15"/>
  <c r="H10" i="15"/>
  <c r="D21" i="23" l="1"/>
  <c r="C21" i="23"/>
  <c r="D20" i="23"/>
  <c r="C20" i="23"/>
  <c r="D18" i="23"/>
  <c r="C18" i="23"/>
  <c r="C15" i="23" s="1"/>
  <c r="D228" i="26" l="1"/>
  <c r="C228" i="26"/>
  <c r="D238" i="26"/>
  <c r="C238" i="26"/>
  <c r="F27" i="7" l="1"/>
  <c r="B22" i="16" s="1"/>
  <c r="C22" i="16" s="1"/>
  <c r="F39" i="7"/>
  <c r="B25" i="16" s="1"/>
  <c r="C25" i="16" s="1"/>
  <c r="G872" i="25" l="1"/>
  <c r="F872" i="25"/>
  <c r="E872" i="25"/>
  <c r="D872" i="25"/>
  <c r="C872" i="25"/>
  <c r="B872" i="25"/>
  <c r="G871" i="25"/>
  <c r="F871" i="25"/>
  <c r="E871" i="25"/>
  <c r="D871" i="25"/>
  <c r="C871" i="25"/>
  <c r="B871" i="25"/>
  <c r="G870" i="25"/>
  <c r="F870" i="25"/>
  <c r="E870" i="25"/>
  <c r="D870" i="25"/>
  <c r="C870" i="25"/>
  <c r="B870" i="25"/>
  <c r="D866" i="25"/>
  <c r="D834" i="25"/>
  <c r="D818" i="25"/>
  <c r="D802" i="25"/>
  <c r="D770" i="25"/>
  <c r="D731" i="25"/>
  <c r="D714" i="25"/>
  <c r="D682" i="25"/>
  <c r="D649" i="25"/>
  <c r="D616" i="25"/>
  <c r="D583" i="25"/>
  <c r="D560" i="25"/>
  <c r="D544" i="25"/>
  <c r="D528" i="25"/>
  <c r="D511" i="25"/>
  <c r="D407" i="25"/>
  <c r="D172" i="25"/>
  <c r="D46" i="25"/>
  <c r="D31" i="25"/>
  <c r="D873" i="25" l="1"/>
  <c r="F855" i="25" s="1"/>
  <c r="D39" i="23" l="1"/>
  <c r="D45" i="9" l="1"/>
  <c r="G11" i="45" l="1"/>
  <c r="G10" i="45"/>
  <c r="L6" i="45"/>
  <c r="L5" i="45"/>
  <c r="S84" i="45"/>
  <c r="C84" i="45"/>
  <c r="S83" i="45"/>
  <c r="C83" i="45"/>
  <c r="S82" i="45"/>
  <c r="C82" i="45"/>
  <c r="S81" i="45"/>
  <c r="J81" i="45"/>
  <c r="C81" i="45"/>
  <c r="S80" i="45"/>
  <c r="C80" i="45"/>
  <c r="S79" i="45"/>
  <c r="C79" i="45"/>
  <c r="S78" i="45"/>
  <c r="C78" i="45"/>
  <c r="S77" i="45"/>
  <c r="C77" i="45"/>
  <c r="S76" i="45"/>
  <c r="C76" i="45"/>
  <c r="S75" i="45"/>
  <c r="C75" i="45"/>
  <c r="S74" i="45"/>
  <c r="C74" i="45"/>
  <c r="S73" i="45"/>
  <c r="C73" i="45"/>
  <c r="S72" i="45"/>
  <c r="C72" i="45"/>
  <c r="S71" i="45"/>
  <c r="C71" i="45"/>
  <c r="S70" i="45"/>
  <c r="C70" i="45"/>
  <c r="S69" i="45"/>
  <c r="C69" i="45"/>
  <c r="S68" i="45"/>
  <c r="C68" i="45"/>
  <c r="S67" i="45"/>
  <c r="C67" i="45"/>
  <c r="S66" i="45"/>
  <c r="J66" i="45"/>
  <c r="C66" i="45"/>
  <c r="S65" i="45"/>
  <c r="C65" i="45"/>
  <c r="S64" i="45"/>
  <c r="C64" i="45"/>
  <c r="S63" i="45"/>
  <c r="C63" i="45"/>
  <c r="S62" i="45"/>
  <c r="J62" i="45"/>
  <c r="C62" i="45"/>
  <c r="S61" i="45"/>
  <c r="C61" i="45"/>
  <c r="S60" i="45"/>
  <c r="C60" i="45"/>
  <c r="S59" i="45"/>
  <c r="C59" i="45"/>
  <c r="S58" i="45"/>
  <c r="C58" i="45"/>
  <c r="S57" i="45"/>
  <c r="C57" i="45"/>
  <c r="S56" i="45"/>
  <c r="C56" i="45"/>
  <c r="S55" i="45"/>
  <c r="C55" i="45"/>
  <c r="S54" i="45"/>
  <c r="J54" i="45"/>
  <c r="C54" i="45"/>
  <c r="S53" i="45"/>
  <c r="Q53" i="45"/>
  <c r="C53" i="45"/>
  <c r="S52" i="45"/>
  <c r="C52" i="45"/>
  <c r="S51" i="45"/>
  <c r="C51" i="45"/>
  <c r="S50" i="45"/>
  <c r="C50" i="45"/>
  <c r="S49" i="45"/>
  <c r="C49" i="45"/>
  <c r="S48" i="45"/>
  <c r="C48" i="45"/>
  <c r="S47" i="45"/>
  <c r="C47" i="45"/>
  <c r="S46" i="45"/>
  <c r="C46" i="45"/>
  <c r="S45" i="45"/>
  <c r="C45" i="45"/>
  <c r="S44" i="45"/>
  <c r="C44" i="45"/>
  <c r="S43" i="45"/>
  <c r="C43" i="45"/>
  <c r="S42" i="45"/>
  <c r="C42" i="45"/>
  <c r="S41" i="45"/>
  <c r="C41" i="45"/>
  <c r="S40" i="45"/>
  <c r="C40" i="45"/>
  <c r="S39" i="45"/>
  <c r="C39" i="45"/>
  <c r="S38" i="45"/>
  <c r="C38" i="45"/>
  <c r="S37" i="45"/>
  <c r="J37" i="45"/>
  <c r="C37" i="45"/>
  <c r="S36" i="45"/>
  <c r="C36" i="45"/>
  <c r="S35" i="45"/>
  <c r="C35" i="45"/>
  <c r="S34" i="45"/>
  <c r="C34" i="45"/>
  <c r="S33" i="45"/>
  <c r="C33" i="45"/>
  <c r="S32" i="45"/>
  <c r="Q32" i="45"/>
  <c r="C32" i="45"/>
  <c r="S31" i="45"/>
  <c r="C31" i="45"/>
  <c r="S30" i="45"/>
  <c r="C30" i="45"/>
  <c r="S29" i="45"/>
  <c r="C29" i="45"/>
  <c r="S28" i="45"/>
  <c r="C28" i="45"/>
  <c r="S27" i="45"/>
  <c r="C27" i="45"/>
  <c r="S26" i="45"/>
  <c r="C26" i="45"/>
  <c r="S25" i="45"/>
  <c r="C25" i="45"/>
  <c r="S24" i="45"/>
  <c r="C24" i="45"/>
  <c r="S23" i="45"/>
  <c r="C23" i="45"/>
  <c r="S22" i="45"/>
  <c r="J22" i="45"/>
  <c r="C22" i="45"/>
  <c r="S21" i="45"/>
  <c r="C21" i="45"/>
  <c r="S20" i="45"/>
  <c r="J20" i="45"/>
  <c r="C20" i="45"/>
  <c r="S19" i="45"/>
  <c r="C19" i="45"/>
  <c r="S18" i="45"/>
  <c r="C18" i="45"/>
  <c r="S17" i="45"/>
  <c r="S16" i="45"/>
  <c r="J16" i="45"/>
  <c r="C16" i="45"/>
  <c r="H47" i="22" l="1"/>
  <c r="G47" i="22"/>
  <c r="F47" i="22"/>
  <c r="E47" i="22"/>
  <c r="H43" i="22"/>
  <c r="G43" i="22"/>
  <c r="F43" i="22"/>
  <c r="E43" i="22"/>
  <c r="H36" i="22"/>
  <c r="G36" i="22"/>
  <c r="F36" i="22"/>
  <c r="E36" i="22"/>
  <c r="H24" i="22"/>
  <c r="G24" i="22"/>
  <c r="F24" i="22"/>
  <c r="E24" i="22"/>
  <c r="K5" i="18"/>
  <c r="F48" i="22" l="1"/>
  <c r="H48" i="22"/>
  <c r="G48" i="22"/>
  <c r="N12" i="7" s="1"/>
  <c r="E48" i="22"/>
  <c r="N13" i="7" l="1"/>
  <c r="G9" i="23" l="1"/>
  <c r="G9" i="41"/>
  <c r="G12" i="32"/>
  <c r="G12" i="25"/>
  <c r="G9" i="9"/>
  <c r="G12" i="13"/>
  <c r="G9" i="31"/>
  <c r="I11" i="15"/>
  <c r="H12" i="18"/>
  <c r="J13" i="37" s="1"/>
  <c r="G12" i="24"/>
  <c r="H10" i="22"/>
  <c r="G9" i="29"/>
  <c r="G11" i="46" s="1"/>
  <c r="G9" i="26"/>
  <c r="C21" i="7" l="1"/>
  <c r="C22" i="7" l="1"/>
  <c r="F83" i="7"/>
  <c r="B37" i="16" s="1"/>
  <c r="C37" i="16" s="1"/>
  <c r="F72" i="7"/>
  <c r="B31" i="16" s="1"/>
  <c r="C31" i="16" s="1"/>
  <c r="F109" i="7"/>
  <c r="B48" i="16" s="1"/>
  <c r="F172" i="7"/>
  <c r="F92" i="7"/>
  <c r="B40" i="16" s="1"/>
  <c r="C40" i="16" s="1"/>
  <c r="F94" i="7"/>
  <c r="B42" i="16" s="1"/>
  <c r="F46" i="7"/>
  <c r="B28" i="16" s="1"/>
  <c r="C28" i="16" s="1"/>
  <c r="F107" i="7"/>
  <c r="B46" i="16" s="1"/>
  <c r="C46" i="16" s="1"/>
  <c r="F41" i="7"/>
  <c r="B27" i="16" s="1"/>
  <c r="F77" i="7"/>
  <c r="F110" i="7"/>
  <c r="F188" i="7"/>
  <c r="B49" i="16" s="1"/>
  <c r="C49" i="16" s="1"/>
  <c r="F23" i="7"/>
  <c r="B17" i="16" s="1"/>
  <c r="C17" i="16" s="1"/>
  <c r="F88" i="7"/>
  <c r="F70" i="7"/>
  <c r="F85" i="7"/>
  <c r="B39" i="16" s="1"/>
  <c r="F315" i="7"/>
  <c r="B64" i="16" s="1"/>
  <c r="C64" i="16" s="1"/>
  <c r="F281" i="7"/>
  <c r="B60" i="16" s="1"/>
  <c r="F328" i="7"/>
  <c r="B70" i="16" s="1"/>
  <c r="C70" i="16" s="1"/>
  <c r="F79" i="7"/>
  <c r="B36" i="16" s="1"/>
  <c r="F48" i="7"/>
  <c r="B30" i="16" s="1"/>
  <c r="F320" i="7"/>
  <c r="B67" i="16" s="1"/>
  <c r="C67" i="16" s="1"/>
  <c r="D301" i="25"/>
  <c r="Q77" i="7" l="1"/>
  <c r="B34" i="16"/>
  <c r="C34" i="16" s="1"/>
  <c r="D239" i="26"/>
  <c r="C239" i="26"/>
  <c r="D240" i="26"/>
  <c r="C240" i="26"/>
  <c r="D7" i="44" l="1"/>
  <c r="D6" i="44"/>
  <c r="D130" i="41" l="1"/>
  <c r="D102" i="41"/>
  <c r="D85" i="41"/>
  <c r="J182" i="41"/>
  <c r="D128" i="41"/>
  <c r="D100" i="41"/>
  <c r="D83" i="41"/>
  <c r="D66" i="41"/>
  <c r="I67" i="41"/>
  <c r="I12" i="37" l="1"/>
  <c r="G11" i="18"/>
  <c r="C8" i="31"/>
  <c r="C7" i="31"/>
  <c r="F3" i="31"/>
  <c r="D212" i="25" l="1"/>
  <c r="C212" i="25"/>
  <c r="D211" i="25"/>
  <c r="C211" i="25"/>
  <c r="D322" i="25" l="1"/>
  <c r="D306" i="25"/>
  <c r="C322" i="25" l="1"/>
  <c r="D291" i="25"/>
  <c r="C291" i="25"/>
  <c r="C288" i="25"/>
  <c r="D209" i="25"/>
  <c r="C209" i="25"/>
  <c r="C206" i="25" s="1"/>
  <c r="F322" i="25" l="1"/>
  <c r="F306" i="25"/>
  <c r="F291" i="25"/>
  <c r="F209" i="25"/>
  <c r="G209" i="25" s="1"/>
  <c r="C306" i="25" l="1"/>
  <c r="D276" i="25"/>
  <c r="C276" i="25"/>
  <c r="D225" i="25"/>
  <c r="C225" i="25"/>
  <c r="F276" i="25" l="1"/>
  <c r="F225" i="25"/>
  <c r="D258" i="26" l="1"/>
  <c r="C258" i="26"/>
  <c r="D257" i="26"/>
  <c r="C257" i="26"/>
  <c r="D255" i="26"/>
  <c r="C255" i="26"/>
  <c r="D254" i="26"/>
  <c r="C254" i="26"/>
  <c r="D266" i="26"/>
  <c r="F252" i="26" s="1"/>
  <c r="G252" i="26" s="1"/>
  <c r="C252" i="26"/>
  <c r="D165" i="41" l="1"/>
  <c r="C165" i="41"/>
  <c r="B165" i="41"/>
  <c r="D174" i="41"/>
  <c r="C174" i="41"/>
  <c r="D173" i="41"/>
  <c r="C173" i="41"/>
  <c r="D171" i="41"/>
  <c r="C171" i="41"/>
  <c r="D139" i="41"/>
  <c r="C139" i="41"/>
  <c r="B139" i="41"/>
  <c r="D148" i="41"/>
  <c r="C148" i="41"/>
  <c r="D147" i="41"/>
  <c r="C147" i="41"/>
  <c r="D145" i="41"/>
  <c r="C145" i="41"/>
  <c r="D715" i="32"/>
  <c r="C715" i="32"/>
  <c r="D713" i="32"/>
  <c r="C713" i="32"/>
  <c r="D712" i="32"/>
  <c r="C712" i="32"/>
  <c r="G13" i="42" l="1"/>
  <c r="I13" i="42"/>
  <c r="J13" i="42"/>
  <c r="K13" i="42"/>
  <c r="G14" i="42"/>
  <c r="J14" i="42" s="1"/>
  <c r="I14" i="42"/>
  <c r="K14" i="42" s="1"/>
  <c r="G15" i="42"/>
  <c r="J15" i="42" s="1"/>
  <c r="I15" i="42"/>
  <c r="K15" i="42"/>
  <c r="G16" i="42"/>
  <c r="I16" i="42"/>
  <c r="K16" i="42" s="1"/>
  <c r="J16" i="42"/>
  <c r="G17" i="42"/>
  <c r="J17" i="42" s="1"/>
  <c r="I17" i="42"/>
  <c r="K17" i="42"/>
  <c r="G18" i="42"/>
  <c r="G19" i="42" s="1"/>
  <c r="G21" i="42" s="1"/>
  <c r="I18" i="42"/>
  <c r="K18" i="42" s="1"/>
  <c r="J18" i="42"/>
  <c r="F19" i="42"/>
  <c r="F21" i="42" s="1"/>
  <c r="I19" i="42"/>
  <c r="J19" i="42"/>
  <c r="I21" i="42"/>
  <c r="K21" i="42" s="1"/>
  <c r="J21" i="42"/>
  <c r="G22" i="42"/>
  <c r="J22" i="42" s="1"/>
  <c r="I22" i="42"/>
  <c r="K22" i="42" s="1"/>
  <c r="G23" i="42"/>
  <c r="J23" i="42" s="1"/>
  <c r="I23" i="42"/>
  <c r="K23" i="42" s="1"/>
  <c r="G24" i="42"/>
  <c r="J24" i="42" s="1"/>
  <c r="I24" i="42"/>
  <c r="K24" i="42" s="1"/>
  <c r="G25" i="42"/>
  <c r="I25" i="42"/>
  <c r="K25" i="42" s="1"/>
  <c r="J25" i="42"/>
  <c r="G26" i="42"/>
  <c r="J26" i="42" s="1"/>
  <c r="I26" i="42"/>
  <c r="K26" i="42" s="1"/>
  <c r="G27" i="42"/>
  <c r="I27" i="42"/>
  <c r="K27" i="42" s="1"/>
  <c r="J27" i="42"/>
  <c r="G28" i="42"/>
  <c r="I28" i="42"/>
  <c r="K28" i="42" s="1"/>
  <c r="J28" i="42"/>
  <c r="G29" i="42"/>
  <c r="J29" i="42" s="1"/>
  <c r="I29" i="42"/>
  <c r="K29" i="42" s="1"/>
  <c r="G30" i="42"/>
  <c r="I30" i="42"/>
  <c r="J30" i="42"/>
  <c r="G31" i="42"/>
  <c r="J31" i="42" s="1"/>
  <c r="I31" i="42"/>
  <c r="K31" i="42" s="1"/>
  <c r="G32" i="42"/>
  <c r="J32" i="42" s="1"/>
  <c r="I32" i="42"/>
  <c r="K32" i="42" s="1"/>
  <c r="G33" i="42"/>
  <c r="J33" i="42" s="1"/>
  <c r="I33" i="42"/>
  <c r="K33" i="42" s="1"/>
  <c r="G34" i="42"/>
  <c r="J34" i="42" s="1"/>
  <c r="I34" i="42"/>
  <c r="K34" i="42" s="1"/>
  <c r="G35" i="42"/>
  <c r="J35" i="42" s="1"/>
  <c r="I35" i="42"/>
  <c r="K35" i="42" s="1"/>
  <c r="G36" i="42"/>
  <c r="J36" i="42" s="1"/>
  <c r="I36" i="42"/>
  <c r="K36" i="42" s="1"/>
  <c r="G37" i="42"/>
  <c r="J37" i="42" s="1"/>
  <c r="I37" i="42"/>
  <c r="K37" i="42" s="1"/>
  <c r="G38" i="42"/>
  <c r="J38" i="42" s="1"/>
  <c r="I38" i="42"/>
  <c r="K38" i="42" s="1"/>
  <c r="G39" i="42"/>
  <c r="J39" i="42" s="1"/>
  <c r="I39" i="42"/>
  <c r="K39" i="42" s="1"/>
  <c r="G40" i="42"/>
  <c r="J40" i="42"/>
  <c r="K40" i="42"/>
  <c r="G41" i="42"/>
  <c r="J41" i="42"/>
  <c r="K41" i="42"/>
  <c r="G43" i="42"/>
  <c r="G44" i="42" s="1"/>
  <c r="K44" i="42" s="1"/>
  <c r="J43" i="42"/>
  <c r="E52" i="42" s="1"/>
  <c r="K43" i="42"/>
  <c r="F44" i="42"/>
  <c r="J44" i="42"/>
  <c r="F45" i="42"/>
  <c r="J45" i="42"/>
  <c r="K30" i="42" l="1"/>
  <c r="G45" i="42"/>
  <c r="K45" i="42" s="1"/>
  <c r="E50" i="42"/>
  <c r="F52" i="42"/>
  <c r="E51" i="42"/>
  <c r="K19" i="42"/>
  <c r="F50" i="42" s="1"/>
  <c r="F51" i="42"/>
  <c r="C855" i="25" l="1"/>
  <c r="D369" i="25" l="1"/>
  <c r="C369" i="25"/>
  <c r="C366" i="25" s="1"/>
  <c r="D116" i="25"/>
  <c r="C116" i="25"/>
  <c r="D107" i="25"/>
  <c r="C107" i="25"/>
  <c r="D51" i="25"/>
  <c r="C51" i="25"/>
  <c r="D48" i="23" l="1"/>
  <c r="C48" i="23"/>
  <c r="D47" i="23"/>
  <c r="C47" i="23"/>
  <c r="D45" i="23"/>
  <c r="C45" i="23"/>
  <c r="D44" i="23"/>
  <c r="C44" i="23"/>
  <c r="D31" i="23"/>
  <c r="C31" i="23"/>
  <c r="D30" i="23"/>
  <c r="C30" i="23"/>
  <c r="F28" i="23"/>
  <c r="G28" i="23" s="1"/>
  <c r="I37" i="23"/>
  <c r="I36" i="23"/>
  <c r="D28" i="23"/>
  <c r="C28" i="23"/>
  <c r="C25" i="23" s="1"/>
  <c r="G25" i="23"/>
  <c r="D103" i="41" l="1"/>
  <c r="F91" i="41" s="1"/>
  <c r="G91" i="41" s="1"/>
  <c r="D95" i="41"/>
  <c r="C95" i="41"/>
  <c r="D94" i="41"/>
  <c r="C94" i="41"/>
  <c r="D92" i="41"/>
  <c r="C92" i="41"/>
  <c r="D91" i="41"/>
  <c r="C91" i="41"/>
  <c r="C88" i="41" s="1"/>
  <c r="D18" i="41"/>
  <c r="C18" i="41"/>
  <c r="D17" i="41"/>
  <c r="C17" i="41"/>
  <c r="C14" i="41" s="1"/>
  <c r="D21" i="41"/>
  <c r="C21" i="41"/>
  <c r="D20" i="41"/>
  <c r="C20" i="41"/>
  <c r="D31" i="41"/>
  <c r="C31" i="41"/>
  <c r="D30" i="41"/>
  <c r="C30" i="41"/>
  <c r="D28" i="41"/>
  <c r="C28" i="41"/>
  <c r="D27" i="41"/>
  <c r="C27" i="41"/>
  <c r="C24" i="41" s="1"/>
  <c r="D41" i="41"/>
  <c r="C41" i="41"/>
  <c r="D40" i="41"/>
  <c r="C40" i="41"/>
  <c r="D38" i="41"/>
  <c r="C38" i="41"/>
  <c r="D37" i="41"/>
  <c r="C37" i="41"/>
  <c r="C34" i="41" s="1"/>
  <c r="D47" i="41"/>
  <c r="C47" i="41"/>
  <c r="C44" i="41" s="1"/>
  <c r="D48" i="41"/>
  <c r="C48" i="41"/>
  <c r="D51" i="41"/>
  <c r="C51" i="41"/>
  <c r="D50" i="41"/>
  <c r="C50" i="41"/>
  <c r="D58" i="41"/>
  <c r="C58" i="41"/>
  <c r="D61" i="41"/>
  <c r="C61" i="41"/>
  <c r="D60" i="41"/>
  <c r="C60" i="41"/>
  <c r="D75" i="41"/>
  <c r="C75" i="41"/>
  <c r="D78" i="41"/>
  <c r="C78" i="41"/>
  <c r="D77" i="41"/>
  <c r="C77" i="41"/>
  <c r="D229" i="41"/>
  <c r="C229" i="41"/>
  <c r="D228" i="41"/>
  <c r="C228" i="41"/>
  <c r="D226" i="41"/>
  <c r="C226" i="41"/>
  <c r="D225" i="41"/>
  <c r="C225" i="41"/>
  <c r="C222" i="41" s="1"/>
  <c r="D109" i="41"/>
  <c r="C109" i="41"/>
  <c r="C106" i="41" s="1"/>
  <c r="D110" i="41"/>
  <c r="C110" i="41"/>
  <c r="D113" i="41"/>
  <c r="C113" i="41"/>
  <c r="D112" i="41"/>
  <c r="C112" i="41"/>
  <c r="D120" i="41"/>
  <c r="C120" i="41"/>
  <c r="D123" i="41"/>
  <c r="C123" i="41"/>
  <c r="D122" i="41"/>
  <c r="C122" i="41"/>
  <c r="D131" i="41"/>
  <c r="F119" i="41" s="1"/>
  <c r="G119" i="41" s="1"/>
  <c r="D119" i="41"/>
  <c r="C119" i="41"/>
  <c r="C116" i="41" s="1"/>
  <c r="E226" i="41"/>
  <c r="D86" i="41"/>
  <c r="F74" i="41" s="1"/>
  <c r="G74" i="41" s="1"/>
  <c r="D74" i="41"/>
  <c r="C74" i="41"/>
  <c r="C71" i="41" s="1"/>
  <c r="D69" i="41"/>
  <c r="F57" i="41" s="1"/>
  <c r="G57" i="41" s="1"/>
  <c r="D57" i="41"/>
  <c r="C57" i="41"/>
  <c r="C54" i="41" s="1"/>
  <c r="D634" i="36" l="1"/>
  <c r="C634" i="36"/>
  <c r="D212" i="41" l="1"/>
  <c r="C212" i="41"/>
  <c r="D211" i="41"/>
  <c r="C211" i="41"/>
  <c r="D209" i="41"/>
  <c r="C209" i="41"/>
  <c r="D202" i="41"/>
  <c r="C202" i="41"/>
  <c r="D201" i="41"/>
  <c r="C201" i="41"/>
  <c r="D199" i="41"/>
  <c r="C199" i="41"/>
  <c r="D198" i="41"/>
  <c r="C198" i="41"/>
  <c r="C195" i="41" s="1"/>
  <c r="D192" i="41"/>
  <c r="C192" i="41"/>
  <c r="D191" i="41"/>
  <c r="C191" i="41"/>
  <c r="D189" i="41"/>
  <c r="C189" i="41"/>
  <c r="D188" i="41"/>
  <c r="C188" i="41"/>
  <c r="C185" i="41" s="1"/>
  <c r="D220" i="41"/>
  <c r="F208" i="41" s="1"/>
  <c r="G208" i="41" s="1"/>
  <c r="D208" i="41"/>
  <c r="C208" i="41"/>
  <c r="C205" i="41" s="1"/>
  <c r="E199" i="41"/>
  <c r="E189" i="41"/>
  <c r="B157" i="41"/>
  <c r="D138" i="41"/>
  <c r="C138" i="41"/>
  <c r="B156" i="41" s="1"/>
  <c r="D137" i="41"/>
  <c r="C137" i="41"/>
  <c r="B155" i="41" s="1"/>
  <c r="D136" i="41"/>
  <c r="C136" i="41"/>
  <c r="C133" i="41" s="1"/>
  <c r="E157" i="41"/>
  <c r="E156" i="41"/>
  <c r="E137" i="41"/>
  <c r="E139" i="41" s="1"/>
  <c r="B183" i="41"/>
  <c r="D164" i="41"/>
  <c r="C164" i="41"/>
  <c r="B182" i="41" s="1"/>
  <c r="D163" i="41"/>
  <c r="C163" i="41"/>
  <c r="B181" i="41" s="1"/>
  <c r="D162" i="41"/>
  <c r="C162" i="41"/>
  <c r="C159" i="41" s="1"/>
  <c r="E183" i="41"/>
  <c r="E182" i="41"/>
  <c r="E163" i="41"/>
  <c r="E165" i="41" s="1"/>
  <c r="E138" i="41" l="1"/>
  <c r="E164" i="41"/>
  <c r="C8" i="41" l="1"/>
  <c r="C7" i="41"/>
  <c r="F3" i="41"/>
  <c r="I15" i="34" l="1"/>
  <c r="G15" i="34"/>
  <c r="AA15" i="34"/>
  <c r="Y15" i="34"/>
  <c r="W15" i="34"/>
  <c r="U15" i="34"/>
  <c r="S15" i="34"/>
  <c r="Q15" i="34"/>
  <c r="O15" i="34"/>
  <c r="M15" i="34"/>
  <c r="K15" i="34"/>
  <c r="E15" i="34"/>
  <c r="F16" i="33"/>
  <c r="D8" i="40" l="1"/>
  <c r="D7" i="42" s="1"/>
  <c r="D7" i="40"/>
  <c r="D6" i="42" s="1"/>
  <c r="J44" i="40"/>
  <c r="F49" i="40"/>
  <c r="E49" i="40"/>
  <c r="F48" i="40"/>
  <c r="E48" i="40"/>
  <c r="F47" i="40"/>
  <c r="E47" i="40"/>
  <c r="K12" i="40"/>
  <c r="D181" i="26" l="1"/>
  <c r="D162" i="26"/>
  <c r="D143" i="26"/>
  <c r="D124" i="26"/>
  <c r="D108" i="26"/>
  <c r="D92" i="26"/>
  <c r="D76" i="26"/>
  <c r="D60" i="26"/>
  <c r="D44" i="26"/>
  <c r="D28" i="26"/>
  <c r="I30" i="37" l="1"/>
  <c r="D19" i="37"/>
  <c r="D17" i="37"/>
  <c r="I17" i="37"/>
  <c r="B18" i="18"/>
  <c r="F148" i="26" l="1"/>
  <c r="G148" i="26" s="1"/>
  <c r="D154" i="26"/>
  <c r="C154" i="26"/>
  <c r="D153" i="26"/>
  <c r="C153" i="26"/>
  <c r="D151" i="26"/>
  <c r="C151" i="26"/>
  <c r="D150" i="26"/>
  <c r="C150" i="26"/>
  <c r="C148" i="26"/>
  <c r="D220" i="26"/>
  <c r="C220" i="26"/>
  <c r="D212" i="26"/>
  <c r="C212" i="26"/>
  <c r="D210" i="26"/>
  <c r="C210" i="26"/>
  <c r="D204" i="26"/>
  <c r="C204" i="26"/>
  <c r="D202" i="26"/>
  <c r="C202" i="26"/>
  <c r="D196" i="26"/>
  <c r="C196" i="26"/>
  <c r="D194" i="26"/>
  <c r="C194" i="26"/>
  <c r="F167" i="26"/>
  <c r="G167" i="26" s="1"/>
  <c r="D173" i="26"/>
  <c r="C173" i="26"/>
  <c r="D172" i="26"/>
  <c r="C172" i="26"/>
  <c r="D170" i="26"/>
  <c r="C170" i="26"/>
  <c r="D169" i="26"/>
  <c r="C169" i="26"/>
  <c r="C167" i="26"/>
  <c r="D132" i="26"/>
  <c r="C132" i="26"/>
  <c r="D131" i="26"/>
  <c r="C131" i="26"/>
  <c r="F129" i="26"/>
  <c r="G129" i="26" s="1"/>
  <c r="D135" i="26"/>
  <c r="C135" i="26"/>
  <c r="D134" i="26"/>
  <c r="C134" i="26"/>
  <c r="C129" i="26"/>
  <c r="F113" i="26"/>
  <c r="G113" i="26" s="1"/>
  <c r="D116" i="26"/>
  <c r="C116" i="26"/>
  <c r="D115" i="26"/>
  <c r="C115" i="26"/>
  <c r="C113" i="26"/>
  <c r="F97" i="26"/>
  <c r="G97" i="26" s="1"/>
  <c r="D100" i="26"/>
  <c r="C100" i="26"/>
  <c r="D99" i="26"/>
  <c r="C99" i="26"/>
  <c r="C97" i="26"/>
  <c r="F81" i="26"/>
  <c r="G81" i="26" s="1"/>
  <c r="D84" i="26"/>
  <c r="C84" i="26"/>
  <c r="D83" i="26"/>
  <c r="C83" i="26"/>
  <c r="C81" i="26"/>
  <c r="F65" i="26"/>
  <c r="G65" i="26" s="1"/>
  <c r="D68" i="26"/>
  <c r="C68" i="26"/>
  <c r="D67" i="26"/>
  <c r="C67" i="26"/>
  <c r="C65" i="26"/>
  <c r="D52" i="26"/>
  <c r="C52" i="26"/>
  <c r="D51" i="26"/>
  <c r="C51" i="26"/>
  <c r="F49" i="26"/>
  <c r="G49" i="26" s="1"/>
  <c r="C49" i="26"/>
  <c r="F33" i="26"/>
  <c r="G33" i="26" s="1"/>
  <c r="D36" i="26"/>
  <c r="C36" i="26"/>
  <c r="D35" i="26"/>
  <c r="C35" i="26"/>
  <c r="C33" i="26"/>
  <c r="F17" i="26"/>
  <c r="G17" i="26" s="1"/>
  <c r="D19" i="26"/>
  <c r="C19" i="26"/>
  <c r="D20" i="26"/>
  <c r="C20" i="26"/>
  <c r="C17" i="26"/>
  <c r="D244" i="26" l="1"/>
  <c r="C244" i="26"/>
  <c r="D243" i="26"/>
  <c r="C243" i="26"/>
  <c r="D241" i="26"/>
  <c r="C241" i="26"/>
  <c r="L11" i="39" l="1"/>
  <c r="L12" i="39" s="1"/>
  <c r="C55" i="34" l="1"/>
  <c r="C53" i="34"/>
  <c r="C51" i="34"/>
  <c r="C49" i="34"/>
  <c r="C47" i="34"/>
  <c r="C45" i="34"/>
  <c r="C43" i="34"/>
  <c r="C41" i="34"/>
  <c r="C39" i="34"/>
  <c r="C37" i="34"/>
  <c r="C35" i="34"/>
  <c r="C33" i="34"/>
  <c r="C31" i="34"/>
  <c r="C29" i="34"/>
  <c r="C27" i="34"/>
  <c r="C25" i="34"/>
  <c r="C23" i="34"/>
  <c r="C21" i="34"/>
  <c r="C19" i="34"/>
  <c r="C17" i="34"/>
  <c r="C15" i="34"/>
  <c r="C51" i="38"/>
  <c r="C49" i="38"/>
  <c r="C47" i="38"/>
  <c r="C45" i="38"/>
  <c r="C43" i="38"/>
  <c r="C41" i="38"/>
  <c r="C39" i="38"/>
  <c r="C37" i="38"/>
  <c r="C35" i="38"/>
  <c r="C33" i="38"/>
  <c r="C31" i="38"/>
  <c r="C29" i="38"/>
  <c r="C27" i="38"/>
  <c r="C25" i="38"/>
  <c r="C23" i="38"/>
  <c r="C21" i="38"/>
  <c r="C19" i="38"/>
  <c r="C17" i="38"/>
  <c r="C15" i="38"/>
  <c r="B52" i="15"/>
  <c r="B50" i="15"/>
  <c r="B48" i="15"/>
  <c r="B46" i="15"/>
  <c r="B44" i="15"/>
  <c r="B42" i="15"/>
  <c r="B40" i="15"/>
  <c r="B38" i="15"/>
  <c r="B36" i="15"/>
  <c r="B34" i="15"/>
  <c r="B32" i="15"/>
  <c r="B30" i="15"/>
  <c r="B28" i="15"/>
  <c r="B26" i="15"/>
  <c r="B24" i="15"/>
  <c r="B22" i="15"/>
  <c r="B20" i="15"/>
  <c r="B18" i="15"/>
  <c r="B16" i="15"/>
  <c r="D691" i="32" l="1"/>
  <c r="D684" i="32"/>
  <c r="D658" i="32"/>
  <c r="D651" i="32"/>
  <c r="D644" i="32"/>
  <c r="D637" i="32"/>
  <c r="D613" i="32"/>
  <c r="D606" i="32"/>
  <c r="D599" i="32"/>
  <c r="D592" i="32"/>
  <c r="D585" i="32"/>
  <c r="D578" i="32"/>
  <c r="D571" i="32"/>
  <c r="D564" i="32"/>
  <c r="D557" i="32"/>
  <c r="D550" i="32"/>
  <c r="D543" i="32"/>
  <c r="D536" i="32"/>
  <c r="D529" i="32"/>
  <c r="D342" i="32"/>
  <c r="D335" i="32"/>
  <c r="D328" i="32"/>
  <c r="D321" i="32"/>
  <c r="D314" i="32"/>
  <c r="D307" i="32"/>
  <c r="D300" i="32"/>
  <c r="D293" i="32"/>
  <c r="D286" i="32"/>
  <c r="D279" i="32"/>
  <c r="D272" i="32"/>
  <c r="D265" i="32"/>
  <c r="D258" i="32"/>
  <c r="D195" i="32"/>
  <c r="D179" i="32"/>
  <c r="D108" i="32"/>
  <c r="D93" i="32"/>
  <c r="D364" i="25"/>
  <c r="D348" i="25"/>
  <c r="D37" i="29" l="1"/>
  <c r="C37" i="29"/>
  <c r="D36" i="29"/>
  <c r="C36" i="29"/>
  <c r="D35" i="29"/>
  <c r="C35" i="29"/>
  <c r="D29" i="29"/>
  <c r="C29" i="29"/>
  <c r="D28" i="29"/>
  <c r="C28" i="29"/>
  <c r="D27" i="29"/>
  <c r="C27" i="29"/>
  <c r="D26" i="29"/>
  <c r="C26" i="29"/>
  <c r="D25" i="29"/>
  <c r="C25" i="29"/>
  <c r="D24" i="29"/>
  <c r="C24" i="29"/>
  <c r="D22" i="29"/>
  <c r="C22" i="29"/>
  <c r="D21" i="29"/>
  <c r="C21" i="29"/>
  <c r="D20" i="29"/>
  <c r="C20" i="29"/>
  <c r="D19" i="29"/>
  <c r="C19" i="29"/>
  <c r="D18" i="29"/>
  <c r="C18" i="29"/>
  <c r="D17" i="29"/>
  <c r="C17" i="29"/>
  <c r="D9" i="38" l="1"/>
  <c r="D8" i="38"/>
  <c r="I26" i="37" l="1"/>
  <c r="D20" i="37" s="1"/>
  <c r="I23" i="37"/>
  <c r="D18" i="37" s="1"/>
  <c r="B3" i="37"/>
  <c r="B2" i="37"/>
  <c r="D21" i="37" l="1"/>
  <c r="D22" i="37" s="1"/>
  <c r="I33" i="37" s="1"/>
  <c r="I8" i="37" l="1"/>
  <c r="D706" i="32"/>
  <c r="C706" i="32"/>
  <c r="D705" i="32"/>
  <c r="C705" i="32"/>
  <c r="C702" i="32" s="1"/>
  <c r="G702" i="32"/>
  <c r="D510" i="36" l="1"/>
  <c r="F213" i="30" l="1"/>
  <c r="F196" i="30"/>
  <c r="F179" i="30"/>
  <c r="F162" i="30"/>
  <c r="F145" i="30"/>
  <c r="F128" i="30"/>
  <c r="F111" i="30"/>
  <c r="F93" i="30"/>
  <c r="F76" i="30"/>
  <c r="F58" i="30"/>
  <c r="F40" i="30"/>
  <c r="C213" i="30"/>
  <c r="F878" i="25" l="1"/>
  <c r="G51" i="9" l="1"/>
  <c r="F51" i="9"/>
  <c r="E51" i="9"/>
  <c r="G50" i="9"/>
  <c r="F50" i="9"/>
  <c r="E50" i="9"/>
  <c r="G49" i="9"/>
  <c r="F49" i="9"/>
  <c r="E49" i="9"/>
  <c r="C51" i="9"/>
  <c r="B51" i="9"/>
  <c r="C50" i="9"/>
  <c r="B50" i="9"/>
  <c r="C49" i="9"/>
  <c r="B49" i="9"/>
  <c r="H4" i="15" l="1"/>
  <c r="G19" i="18" l="1"/>
  <c r="G23" i="18"/>
  <c r="G17" i="18"/>
  <c r="B16" i="18" l="1"/>
  <c r="G16" i="18"/>
  <c r="F45" i="29" l="1"/>
  <c r="G45" i="29" s="1"/>
  <c r="F43" i="29"/>
  <c r="G43" i="29" s="1"/>
  <c r="F46" i="29"/>
  <c r="G46" i="29" s="1"/>
  <c r="F110" i="25"/>
  <c r="F451" i="32"/>
  <c r="G451" i="32" s="1"/>
  <c r="F424" i="32"/>
  <c r="G424" i="32" s="1"/>
  <c r="F38" i="32"/>
  <c r="G38" i="32" s="1"/>
  <c r="F78" i="25"/>
  <c r="G78" i="25" s="1"/>
  <c r="F387" i="25"/>
  <c r="G387" i="25" s="1"/>
  <c r="F65" i="32"/>
  <c r="G65" i="32" s="1"/>
  <c r="F896" i="25"/>
  <c r="G896" i="25" s="1"/>
  <c r="F729" i="32"/>
  <c r="G729" i="32" s="1"/>
  <c r="F479" i="32"/>
  <c r="G479" i="32" s="1"/>
  <c r="F895" i="25"/>
  <c r="G895" i="25" s="1"/>
  <c r="F894" i="25"/>
  <c r="G894" i="25" s="1"/>
  <c r="F74" i="32"/>
  <c r="G74" i="32" s="1"/>
  <c r="F60" i="25"/>
  <c r="G60" i="25" s="1"/>
  <c r="F47" i="32"/>
  <c r="G47" i="32" s="1"/>
  <c r="F365" i="32"/>
  <c r="G365" i="32" s="1"/>
  <c r="F216" i="32"/>
  <c r="G216" i="32" s="1"/>
  <c r="F737" i="32"/>
  <c r="G737" i="32" s="1"/>
  <c r="F897" i="25"/>
  <c r="G897" i="25" s="1"/>
  <c r="F721" i="32"/>
  <c r="G721" i="32" s="1"/>
  <c r="F19" i="46"/>
  <c r="G19" i="46" s="1"/>
  <c r="F378" i="25"/>
  <c r="G378" i="25" s="1"/>
  <c r="F49" i="32"/>
  <c r="G49" i="32" s="1"/>
  <c r="F21" i="46"/>
  <c r="G21" i="46" s="1"/>
  <c r="F22" i="46"/>
  <c r="G22" i="46" s="1"/>
  <c r="F723" i="32"/>
  <c r="G723" i="32" s="1"/>
  <c r="F731" i="32"/>
  <c r="G731" i="32" s="1"/>
  <c r="F739" i="32"/>
  <c r="G739" i="32" s="1"/>
  <c r="F472" i="32"/>
  <c r="G472" i="32" s="1"/>
  <c r="F462" i="32"/>
  <c r="G462" i="32" s="1"/>
  <c r="F453" i="32"/>
  <c r="G453" i="32" s="1"/>
  <c r="F444" i="32"/>
  <c r="G444" i="32" s="1"/>
  <c r="F426" i="32"/>
  <c r="G426" i="32" s="1"/>
  <c r="F417" i="32"/>
  <c r="G417" i="32" s="1"/>
  <c r="F481" i="32"/>
  <c r="G481" i="32" s="1"/>
  <c r="F454" i="32"/>
  <c r="G454" i="32" s="1"/>
  <c r="F445" i="32"/>
  <c r="G445" i="32" s="1"/>
  <c r="F427" i="32"/>
  <c r="G427" i="32" s="1"/>
  <c r="F418" i="32"/>
  <c r="G418" i="32" s="1"/>
  <c r="F40" i="32"/>
  <c r="G40" i="32" s="1"/>
  <c r="F482" i="32"/>
  <c r="G482" i="32" s="1"/>
  <c r="F473" i="32"/>
  <c r="G473" i="32" s="1"/>
  <c r="F463" i="32"/>
  <c r="G463" i="32" s="1"/>
  <c r="F87" i="25"/>
  <c r="G87" i="25" s="1"/>
  <c r="F460" i="32"/>
  <c r="G460" i="32" s="1"/>
  <c r="F134" i="25"/>
  <c r="G134" i="25" s="1"/>
  <c r="F415" i="32"/>
  <c r="G415" i="32" s="1"/>
  <c r="F97" i="25"/>
  <c r="G97" i="25" s="1"/>
  <c r="F470" i="32"/>
  <c r="G470" i="32" s="1"/>
  <c r="F152" i="25"/>
  <c r="G152" i="25" s="1"/>
  <c r="F442" i="32"/>
  <c r="G442" i="32" s="1"/>
  <c r="F202" i="32"/>
  <c r="G202" i="32" s="1"/>
  <c r="G203" i="32" s="1"/>
  <c r="H197" i="32" s="1"/>
  <c r="F367" i="32"/>
  <c r="G367" i="32" s="1"/>
  <c r="F900" i="25"/>
  <c r="G900" i="25" s="1"/>
  <c r="F368" i="32"/>
  <c r="G368" i="32" s="1"/>
  <c r="F68" i="32"/>
  <c r="G68" i="32" s="1"/>
  <c r="F115" i="32"/>
  <c r="G115" i="32" s="1"/>
  <c r="G116" i="32" s="1"/>
  <c r="H110" i="32" s="1"/>
  <c r="F77" i="32"/>
  <c r="G77" i="32" s="1"/>
  <c r="F63" i="25"/>
  <c r="G63" i="25" s="1"/>
  <c r="F76" i="32"/>
  <c r="G76" i="32" s="1"/>
  <c r="F67" i="32"/>
  <c r="G67" i="32" s="1"/>
  <c r="F899" i="25"/>
  <c r="G899" i="25" s="1"/>
  <c r="F62" i="25"/>
  <c r="G62" i="25" s="1"/>
  <c r="F841" i="25"/>
  <c r="G841" i="25" s="1"/>
  <c r="F227" i="25"/>
  <c r="G227" i="25" s="1"/>
  <c r="F244" i="25"/>
  <c r="G244" i="25" s="1"/>
  <c r="F261" i="25"/>
  <c r="G261" i="25" s="1"/>
  <c r="F308" i="25"/>
  <c r="G308" i="25" s="1"/>
  <c r="F842" i="25"/>
  <c r="G842" i="25" s="1"/>
  <c r="F262" i="25"/>
  <c r="G262" i="25" s="1"/>
  <c r="F309" i="25"/>
  <c r="G309" i="25" s="1"/>
  <c r="F228" i="25"/>
  <c r="G228" i="25" s="1"/>
  <c r="F245" i="25"/>
  <c r="G245" i="25" s="1"/>
  <c r="F389" i="25"/>
  <c r="G389" i="25" s="1"/>
  <c r="F380" i="25"/>
  <c r="G380" i="25" s="1"/>
  <c r="F390" i="25"/>
  <c r="G390" i="25" s="1"/>
  <c r="F381" i="25"/>
  <c r="G381" i="25" s="1"/>
  <c r="F195" i="25"/>
  <c r="G195" i="25" s="1"/>
  <c r="F179" i="25"/>
  <c r="G179" i="25" s="1"/>
  <c r="F196" i="25"/>
  <c r="G196" i="25" s="1"/>
  <c r="F180" i="25"/>
  <c r="G180" i="25" s="1"/>
  <c r="F154" i="25"/>
  <c r="G154" i="25" s="1"/>
  <c r="F136" i="25"/>
  <c r="G136" i="25" s="1"/>
  <c r="F155" i="25"/>
  <c r="G155" i="25" s="1"/>
  <c r="F137" i="25"/>
  <c r="G137" i="25" s="1"/>
  <c r="F80" i="25"/>
  <c r="G80" i="25" s="1"/>
  <c r="F99" i="25"/>
  <c r="G99" i="25" s="1"/>
  <c r="F89" i="25"/>
  <c r="G89" i="25" s="1"/>
  <c r="F100" i="25"/>
  <c r="G100" i="25" s="1"/>
  <c r="F90" i="25"/>
  <c r="G90" i="25" s="1"/>
  <c r="F81" i="25"/>
  <c r="G81" i="25" s="1"/>
  <c r="F21" i="23"/>
  <c r="G21" i="23" s="1"/>
  <c r="F18" i="23"/>
  <c r="G18" i="23" s="1"/>
  <c r="F20" i="23"/>
  <c r="G20" i="23" s="1"/>
  <c r="F238" i="26"/>
  <c r="G238" i="26" s="1"/>
  <c r="F228" i="26"/>
  <c r="G228" i="26" s="1"/>
  <c r="F239" i="26"/>
  <c r="G239" i="26" s="1"/>
  <c r="F240" i="26"/>
  <c r="G240" i="26" s="1"/>
  <c r="F211" i="25"/>
  <c r="G211" i="25" s="1"/>
  <c r="F212" i="25"/>
  <c r="G212" i="25" s="1"/>
  <c r="F713" i="32"/>
  <c r="G713" i="32" s="1"/>
  <c r="F255" i="26"/>
  <c r="G255" i="26" s="1"/>
  <c r="F254" i="26"/>
  <c r="G254" i="26" s="1"/>
  <c r="F712" i="32"/>
  <c r="G712" i="32" s="1"/>
  <c r="F257" i="26"/>
  <c r="G257" i="26" s="1"/>
  <c r="F258" i="26"/>
  <c r="G258" i="26" s="1"/>
  <c r="F147" i="41"/>
  <c r="G147" i="41" s="1"/>
  <c r="F173" i="41"/>
  <c r="G173" i="41" s="1"/>
  <c r="F148" i="41"/>
  <c r="G148" i="41" s="1"/>
  <c r="F174" i="41"/>
  <c r="G174" i="41" s="1"/>
  <c r="F171" i="41"/>
  <c r="G171" i="41" s="1"/>
  <c r="F145" i="41"/>
  <c r="G145" i="41" s="1"/>
  <c r="F715" i="32"/>
  <c r="G715" i="32" s="1"/>
  <c r="F371" i="25"/>
  <c r="F37" i="29"/>
  <c r="G37" i="29" s="1"/>
  <c r="F22" i="29"/>
  <c r="G22" i="29" s="1"/>
  <c r="F150" i="26"/>
  <c r="G150" i="26" s="1"/>
  <c r="F225" i="41"/>
  <c r="G225" i="41" s="1"/>
  <c r="F51" i="25"/>
  <c r="F154" i="26"/>
  <c r="G154" i="26" s="1"/>
  <c r="F151" i="26"/>
  <c r="G151" i="26" s="1"/>
  <c r="F116" i="25"/>
  <c r="F107" i="25"/>
  <c r="F369" i="25"/>
  <c r="F47" i="23"/>
  <c r="G47" i="23" s="1"/>
  <c r="F30" i="23"/>
  <c r="G30" i="23" s="1"/>
  <c r="F44" i="23"/>
  <c r="G44" i="23" s="1"/>
  <c r="F48" i="23"/>
  <c r="G48" i="23" s="1"/>
  <c r="F31" i="23"/>
  <c r="G31" i="23" s="1"/>
  <c r="F45" i="23"/>
  <c r="G45" i="23" s="1"/>
  <c r="F136" i="41"/>
  <c r="G136" i="41" s="1"/>
  <c r="F27" i="41"/>
  <c r="G27" i="41" s="1"/>
  <c r="F109" i="41"/>
  <c r="G109" i="41" s="1"/>
  <c r="F188" i="41"/>
  <c r="G188" i="41" s="1"/>
  <c r="F47" i="41"/>
  <c r="G47" i="41" s="1"/>
  <c r="F198" i="41"/>
  <c r="G198" i="41" s="1"/>
  <c r="F162" i="41"/>
  <c r="G162" i="41" s="1"/>
  <c r="F17" i="41"/>
  <c r="G17" i="41" s="1"/>
  <c r="F37" i="41"/>
  <c r="G37" i="41" s="1"/>
  <c r="F163" i="41"/>
  <c r="G163" i="41" s="1"/>
  <c r="F137" i="41"/>
  <c r="G137" i="41" s="1"/>
  <c r="F30" i="41"/>
  <c r="G30" i="41" s="1"/>
  <c r="F228" i="41"/>
  <c r="G228" i="41" s="1"/>
  <c r="F60" i="41"/>
  <c r="G60" i="41" s="1"/>
  <c r="F94" i="41"/>
  <c r="G94" i="41" s="1"/>
  <c r="F40" i="41"/>
  <c r="G40" i="41" s="1"/>
  <c r="F112" i="41"/>
  <c r="G112" i="41" s="1"/>
  <c r="F20" i="41"/>
  <c r="G20" i="41" s="1"/>
  <c r="F77" i="41"/>
  <c r="G77" i="41" s="1"/>
  <c r="F50" i="41"/>
  <c r="G50" i="41" s="1"/>
  <c r="F122" i="41"/>
  <c r="G122" i="41" s="1"/>
  <c r="F211" i="41"/>
  <c r="G211" i="41" s="1"/>
  <c r="F201" i="41"/>
  <c r="G201" i="41" s="1"/>
  <c r="F191" i="41"/>
  <c r="G191" i="41" s="1"/>
  <c r="F48" i="41"/>
  <c r="G48" i="41" s="1"/>
  <c r="F58" i="41"/>
  <c r="G58" i="41" s="1"/>
  <c r="F28" i="41"/>
  <c r="G28" i="41" s="1"/>
  <c r="F110" i="41"/>
  <c r="G110" i="41" s="1"/>
  <c r="F75" i="41"/>
  <c r="G75" i="41" s="1"/>
  <c r="F38" i="41"/>
  <c r="G38" i="41" s="1"/>
  <c r="F120" i="41"/>
  <c r="G120" i="41" s="1"/>
  <c r="F92" i="41"/>
  <c r="G92" i="41" s="1"/>
  <c r="F18" i="41"/>
  <c r="G18" i="41" s="1"/>
  <c r="F226" i="41"/>
  <c r="G226" i="41" s="1"/>
  <c r="F189" i="41"/>
  <c r="G189" i="41" s="1"/>
  <c r="F209" i="41"/>
  <c r="G209" i="41" s="1"/>
  <c r="F199" i="41"/>
  <c r="G199" i="41" s="1"/>
  <c r="F164" i="41"/>
  <c r="G164" i="41" s="1"/>
  <c r="F138" i="41"/>
  <c r="G138" i="41" s="1"/>
  <c r="F31" i="41"/>
  <c r="G31" i="41" s="1"/>
  <c r="F229" i="41"/>
  <c r="G229" i="41" s="1"/>
  <c r="F95" i="41"/>
  <c r="G95" i="41" s="1"/>
  <c r="F61" i="41"/>
  <c r="G61" i="41" s="1"/>
  <c r="F41" i="41"/>
  <c r="G41" i="41" s="1"/>
  <c r="F113" i="41"/>
  <c r="G113" i="41" s="1"/>
  <c r="F21" i="41"/>
  <c r="G21" i="41" s="1"/>
  <c r="F78" i="41"/>
  <c r="G78" i="41" s="1"/>
  <c r="F51" i="41"/>
  <c r="G51" i="41" s="1"/>
  <c r="F123" i="41"/>
  <c r="G123" i="41" s="1"/>
  <c r="F212" i="41"/>
  <c r="G212" i="41" s="1"/>
  <c r="F202" i="41"/>
  <c r="G202" i="41" s="1"/>
  <c r="F192" i="41"/>
  <c r="G192" i="41" s="1"/>
  <c r="F194" i="26"/>
  <c r="G194" i="26" s="1"/>
  <c r="F220" i="26"/>
  <c r="G220" i="26" s="1"/>
  <c r="F210" i="26"/>
  <c r="G210" i="26" s="1"/>
  <c r="F153" i="26"/>
  <c r="G153" i="26" s="1"/>
  <c r="F241" i="26"/>
  <c r="G241" i="26" s="1"/>
  <c r="F204" i="26"/>
  <c r="G204" i="26" s="1"/>
  <c r="F212" i="26"/>
  <c r="G212" i="26" s="1"/>
  <c r="F196" i="26"/>
  <c r="G196" i="26" s="1"/>
  <c r="F202" i="26"/>
  <c r="G202" i="26" s="1"/>
  <c r="F173" i="26"/>
  <c r="G173" i="26" s="1"/>
  <c r="F135" i="26"/>
  <c r="G135" i="26" s="1"/>
  <c r="F170" i="26"/>
  <c r="G170" i="26" s="1"/>
  <c r="F132" i="26"/>
  <c r="G132" i="26" s="1"/>
  <c r="F134" i="26"/>
  <c r="G134" i="26" s="1"/>
  <c r="F172" i="26"/>
  <c r="G172" i="26" s="1"/>
  <c r="F706" i="32"/>
  <c r="G706" i="32" s="1"/>
  <c r="F131" i="26"/>
  <c r="G131" i="26" s="1"/>
  <c r="F169" i="26"/>
  <c r="G169" i="26" s="1"/>
  <c r="F100" i="26"/>
  <c r="G100" i="26" s="1"/>
  <c r="F84" i="26"/>
  <c r="G84" i="26" s="1"/>
  <c r="F20" i="26"/>
  <c r="G20" i="26" s="1"/>
  <c r="F36" i="26"/>
  <c r="G36" i="26" s="1"/>
  <c r="F68" i="26"/>
  <c r="G68" i="26" s="1"/>
  <c r="F52" i="26"/>
  <c r="G52" i="26" s="1"/>
  <c r="F116" i="26"/>
  <c r="G116" i="26" s="1"/>
  <c r="F67" i="26"/>
  <c r="G67" i="26" s="1"/>
  <c r="F19" i="26"/>
  <c r="G19" i="26" s="1"/>
  <c r="F51" i="26"/>
  <c r="G51" i="26" s="1"/>
  <c r="F115" i="26"/>
  <c r="G115" i="26" s="1"/>
  <c r="F35" i="26"/>
  <c r="G35" i="26" s="1"/>
  <c r="F99" i="26"/>
  <c r="G99" i="26" s="1"/>
  <c r="F83" i="26"/>
  <c r="G83" i="26" s="1"/>
  <c r="F244" i="26"/>
  <c r="G244" i="26" s="1"/>
  <c r="F243" i="26"/>
  <c r="G243" i="26" s="1"/>
  <c r="F27" i="29"/>
  <c r="G27" i="29" s="1"/>
  <c r="F24" i="29"/>
  <c r="G24" i="29" s="1"/>
  <c r="F35" i="29"/>
  <c r="G35" i="29" s="1"/>
  <c r="F18" i="29"/>
  <c r="G18" i="29" s="1"/>
  <c r="F25" i="29"/>
  <c r="G25" i="29" s="1"/>
  <c r="F29" i="29"/>
  <c r="G29" i="29" s="1"/>
  <c r="F26" i="29"/>
  <c r="G26" i="29" s="1"/>
  <c r="F19" i="29"/>
  <c r="G19" i="29" s="1"/>
  <c r="F17" i="29"/>
  <c r="G17" i="29" s="1"/>
  <c r="F20" i="29"/>
  <c r="G20" i="29" s="1"/>
  <c r="F21" i="29"/>
  <c r="G21" i="29" s="1"/>
  <c r="F705" i="32"/>
  <c r="G705" i="32" s="1"/>
  <c r="F36" i="29"/>
  <c r="G36" i="29" s="1"/>
  <c r="F28" i="29"/>
  <c r="G28" i="29" s="1"/>
  <c r="G29" i="18"/>
  <c r="G707" i="32" l="1"/>
  <c r="G47" i="29"/>
  <c r="H40" i="29" s="1"/>
  <c r="G740" i="32"/>
  <c r="H734" i="32" s="1"/>
  <c r="G732" i="32"/>
  <c r="H726" i="32" s="1"/>
  <c r="G23" i="46"/>
  <c r="H16" i="46" s="1"/>
  <c r="G50" i="32"/>
  <c r="H44" i="32" s="1"/>
  <c r="G724" i="32"/>
  <c r="H718" i="32" s="1"/>
  <c r="G455" i="32"/>
  <c r="H448" i="32" s="1"/>
  <c r="G901" i="25"/>
  <c r="H891" i="25" s="1"/>
  <c r="G428" i="32"/>
  <c r="H421" i="32" s="1"/>
  <c r="G41" i="32"/>
  <c r="H35" i="32" s="1"/>
  <c r="G464" i="32"/>
  <c r="H457" i="32" s="1"/>
  <c r="G446" i="32"/>
  <c r="H439" i="32" s="1"/>
  <c r="G483" i="32"/>
  <c r="H476" i="32" s="1"/>
  <c r="G419" i="32"/>
  <c r="H412" i="32" s="1"/>
  <c r="G474" i="32"/>
  <c r="H467" i="32" s="1"/>
  <c r="G369" i="32"/>
  <c r="H362" i="32" s="1"/>
  <c r="G69" i="32"/>
  <c r="H62" i="32" s="1"/>
  <c r="G78" i="32"/>
  <c r="H71" i="32" s="1"/>
  <c r="G64" i="25"/>
  <c r="H57" i="25" s="1"/>
  <c r="G263" i="25"/>
  <c r="H256" i="25" s="1"/>
  <c r="G246" i="25"/>
  <c r="H239" i="25" s="1"/>
  <c r="G843" i="25"/>
  <c r="H836" i="25" s="1"/>
  <c r="G101" i="25"/>
  <c r="H94" i="25" s="1"/>
  <c r="G382" i="25"/>
  <c r="H375" i="25" s="1"/>
  <c r="G391" i="25"/>
  <c r="H384" i="25" s="1"/>
  <c r="G181" i="25"/>
  <c r="H174" i="25" s="1"/>
  <c r="G197" i="25"/>
  <c r="H190" i="25" s="1"/>
  <c r="G138" i="25"/>
  <c r="H131" i="25" s="1"/>
  <c r="G156" i="25"/>
  <c r="H149" i="25" s="1"/>
  <c r="G82" i="25"/>
  <c r="H75" i="25" s="1"/>
  <c r="G91" i="25"/>
  <c r="H84" i="25" s="1"/>
  <c r="G22" i="23"/>
  <c r="H15" i="23" s="1"/>
  <c r="G49" i="23"/>
  <c r="H41" i="23" s="1"/>
  <c r="G32" i="23"/>
  <c r="H25" i="23" s="1"/>
  <c r="G245" i="26"/>
  <c r="H235" i="26" s="1"/>
  <c r="G213" i="25"/>
  <c r="H206" i="25" s="1"/>
  <c r="G716" i="32"/>
  <c r="H709" i="32" s="1"/>
  <c r="G259" i="26"/>
  <c r="H249" i="26" s="1"/>
  <c r="G149" i="41"/>
  <c r="F139" i="41" s="1"/>
  <c r="G139" i="41" s="1"/>
  <c r="G140" i="41" s="1"/>
  <c r="H133" i="41" s="1"/>
  <c r="G175" i="41"/>
  <c r="F165" i="41" s="1"/>
  <c r="G165" i="41" s="1"/>
  <c r="G166" i="41" s="1"/>
  <c r="H159" i="41" s="1"/>
  <c r="G155" i="26"/>
  <c r="H145" i="26" s="1"/>
  <c r="G37" i="26"/>
  <c r="H30" i="26" s="1"/>
  <c r="G42" i="41"/>
  <c r="H34" i="41" s="1"/>
  <c r="G203" i="41"/>
  <c r="H195" i="41" s="1"/>
  <c r="G193" i="41"/>
  <c r="H185" i="41" s="1"/>
  <c r="G32" i="41"/>
  <c r="H24" i="41" s="1"/>
  <c r="G230" i="41"/>
  <c r="H222" i="41" s="1"/>
  <c r="G22" i="41"/>
  <c r="H14" i="41" s="1"/>
  <c r="G52" i="41"/>
  <c r="H44" i="41" s="1"/>
  <c r="G114" i="41"/>
  <c r="H106" i="41" s="1"/>
  <c r="G213" i="41"/>
  <c r="H205" i="41" s="1"/>
  <c r="G62" i="41"/>
  <c r="H54" i="41" s="1"/>
  <c r="G96" i="41"/>
  <c r="H88" i="41" s="1"/>
  <c r="G124" i="41"/>
  <c r="H116" i="41" s="1"/>
  <c r="G79" i="41"/>
  <c r="H71" i="41" s="1"/>
  <c r="G197" i="26"/>
  <c r="H191" i="26" s="1"/>
  <c r="G213" i="26"/>
  <c r="H207" i="26" s="1"/>
  <c r="G205" i="26"/>
  <c r="H199" i="26" s="1"/>
  <c r="G85" i="26"/>
  <c r="H78" i="26" s="1"/>
  <c r="G21" i="26"/>
  <c r="H14" i="26" s="1"/>
  <c r="G53" i="26"/>
  <c r="H46" i="26" s="1"/>
  <c r="G174" i="26"/>
  <c r="H164" i="26" s="1"/>
  <c r="G136" i="26"/>
  <c r="H126" i="26" s="1"/>
  <c r="G101" i="26"/>
  <c r="H94" i="26" s="1"/>
  <c r="G117" i="26"/>
  <c r="H110" i="26" s="1"/>
  <c r="G69" i="26"/>
  <c r="H62" i="26" s="1"/>
  <c r="G38" i="29"/>
  <c r="H32" i="29" s="1"/>
  <c r="H702" i="32"/>
  <c r="G30" i="29"/>
  <c r="H14" i="29" s="1"/>
  <c r="B31" i="31" l="1"/>
  <c r="G323" i="7" s="1"/>
  <c r="B48" i="31"/>
  <c r="G324" i="7" s="1"/>
  <c r="B51" i="46"/>
  <c r="G276" i="7" s="1"/>
  <c r="B68" i="46"/>
  <c r="G277" i="7" s="1"/>
  <c r="B42" i="46"/>
  <c r="G270" i="7" s="1"/>
  <c r="C270" i="7" s="1"/>
  <c r="B25" i="46"/>
  <c r="G171" i="7" s="1"/>
  <c r="C171" i="7" s="1"/>
  <c r="H127" i="7"/>
  <c r="B16" i="46"/>
  <c r="E173" i="36" s="1"/>
  <c r="B78" i="26"/>
  <c r="B94" i="26"/>
  <c r="B110" i="26"/>
  <c r="B62" i="26"/>
  <c r="B46" i="26"/>
  <c r="B30" i="26"/>
  <c r="B15" i="23"/>
  <c r="B41" i="23"/>
  <c r="B25" i="23"/>
  <c r="G252" i="7" s="1"/>
  <c r="E634" i="36"/>
  <c r="B133" i="41"/>
  <c r="B116" i="41"/>
  <c r="B106" i="41"/>
  <c r="B88" i="41"/>
  <c r="B71" i="41"/>
  <c r="B44" i="41"/>
  <c r="B54" i="41"/>
  <c r="B222" i="41"/>
  <c r="B34" i="41"/>
  <c r="B195" i="41"/>
  <c r="B205" i="41"/>
  <c r="B24" i="41"/>
  <c r="B185" i="41"/>
  <c r="B159" i="41"/>
  <c r="B145" i="26"/>
  <c r="B126" i="26"/>
  <c r="B164" i="26"/>
  <c r="H124" i="7"/>
  <c r="H150" i="7"/>
  <c r="H114" i="7"/>
  <c r="E3" i="36"/>
  <c r="D3" i="36"/>
  <c r="C3" i="36"/>
  <c r="B3" i="36"/>
  <c r="C324" i="7" l="1"/>
  <c r="H324" i="7"/>
  <c r="C323" i="7"/>
  <c r="H323" i="7"/>
  <c r="C279" i="36"/>
  <c r="D279" i="36"/>
  <c r="C277" i="7"/>
  <c r="H277" i="7"/>
  <c r="G187" i="7"/>
  <c r="C187" i="7" s="1"/>
  <c r="D173" i="36"/>
  <c r="C173" i="36"/>
  <c r="C276" i="7"/>
  <c r="H276" i="7"/>
  <c r="C252" i="7"/>
  <c r="H252" i="7"/>
  <c r="G236" i="7"/>
  <c r="G298" i="7"/>
  <c r="C298" i="7" s="1"/>
  <c r="H270" i="7"/>
  <c r="H171" i="7"/>
  <c r="E272" i="36"/>
  <c r="C273" i="36"/>
  <c r="D273" i="36"/>
  <c r="E273" i="36"/>
  <c r="D272" i="36"/>
  <c r="C274" i="36"/>
  <c r="D274" i="36"/>
  <c r="E274" i="36"/>
  <c r="C275" i="36"/>
  <c r="C270" i="36"/>
  <c r="D275" i="36"/>
  <c r="D270" i="36"/>
  <c r="E275" i="36"/>
  <c r="E270" i="36"/>
  <c r="C276" i="36"/>
  <c r="C271" i="36"/>
  <c r="D276" i="36"/>
  <c r="D271" i="36"/>
  <c r="E276" i="36"/>
  <c r="C272" i="36"/>
  <c r="E271" i="36"/>
  <c r="E174" i="36"/>
  <c r="D174" i="36"/>
  <c r="C174" i="36"/>
  <c r="D177" i="36"/>
  <c r="D179" i="36"/>
  <c r="E223" i="36"/>
  <c r="C176" i="36"/>
  <c r="E178" i="36"/>
  <c r="D265" i="36"/>
  <c r="E179" i="36"/>
  <c r="C178" i="36"/>
  <c r="E266" i="36"/>
  <c r="L171" i="7" s="1"/>
  <c r="E256" i="36"/>
  <c r="D255" i="36"/>
  <c r="E249" i="36"/>
  <c r="D222" i="36"/>
  <c r="E190" i="36"/>
  <c r="D261" i="36"/>
  <c r="E229" i="36"/>
  <c r="C266" i="36"/>
  <c r="D236" i="36"/>
  <c r="E204" i="36"/>
  <c r="C233" i="36"/>
  <c r="D203" i="36"/>
  <c r="C256" i="36"/>
  <c r="C192" i="36"/>
  <c r="D226" i="36"/>
  <c r="E258" i="36"/>
  <c r="E194" i="36"/>
  <c r="D225" i="36"/>
  <c r="E177" i="36"/>
  <c r="D232" i="36"/>
  <c r="E248" i="36"/>
  <c r="E184" i="36"/>
  <c r="C221" i="36"/>
  <c r="D247" i="36"/>
  <c r="D183" i="36"/>
  <c r="E215" i="36"/>
  <c r="C215" i="36"/>
  <c r="E233" i="36"/>
  <c r="C190" i="36"/>
  <c r="C252" i="36"/>
  <c r="C188" i="36"/>
  <c r="D214" i="36"/>
  <c r="E246" i="36"/>
  <c r="L127" i="7" s="1"/>
  <c r="E182" i="36"/>
  <c r="C219" i="36"/>
  <c r="D253" i="36"/>
  <c r="J150" i="7" s="1"/>
  <c r="D189" i="36"/>
  <c r="E221" i="36"/>
  <c r="C207" i="36"/>
  <c r="C258" i="36"/>
  <c r="C194" i="36"/>
  <c r="D228" i="36"/>
  <c r="E260" i="36"/>
  <c r="E196" i="36"/>
  <c r="C225" i="36"/>
  <c r="D259" i="36"/>
  <c r="J124" i="7" s="1"/>
  <c r="D195" i="36"/>
  <c r="E227" i="36"/>
  <c r="C200" i="36"/>
  <c r="E193" i="36"/>
  <c r="C229" i="36"/>
  <c r="C239" i="36"/>
  <c r="C196" i="36"/>
  <c r="E254" i="36"/>
  <c r="C227" i="36"/>
  <c r="D197" i="36"/>
  <c r="C231" i="36"/>
  <c r="C202" i="36"/>
  <c r="E268" i="36"/>
  <c r="D267" i="36"/>
  <c r="E235" i="36"/>
  <c r="C248" i="36"/>
  <c r="C184" i="36"/>
  <c r="D218" i="36"/>
  <c r="E250" i="36"/>
  <c r="E186" i="36"/>
  <c r="L114" i="7" s="1"/>
  <c r="D201" i="36"/>
  <c r="C254" i="36"/>
  <c r="D216" i="36"/>
  <c r="E240" i="36"/>
  <c r="E176" i="36"/>
  <c r="C213" i="36"/>
  <c r="D239" i="36"/>
  <c r="D175" i="36"/>
  <c r="E207" i="36"/>
  <c r="C191" i="36"/>
  <c r="E217" i="36"/>
  <c r="C244" i="36"/>
  <c r="C180" i="36"/>
  <c r="D206" i="36"/>
  <c r="E238" i="36"/>
  <c r="C211" i="36"/>
  <c r="D245" i="36"/>
  <c r="D181" i="36"/>
  <c r="E213" i="36"/>
  <c r="C183" i="36"/>
  <c r="C250" i="36"/>
  <c r="C186" i="36"/>
  <c r="I114" i="7" s="1"/>
  <c r="D220" i="36"/>
  <c r="E252" i="36"/>
  <c r="E188" i="36"/>
  <c r="C217" i="36"/>
  <c r="D251" i="36"/>
  <c r="D187" i="36"/>
  <c r="E219" i="36"/>
  <c r="E202" i="36"/>
  <c r="D191" i="36"/>
  <c r="C240" i="36"/>
  <c r="D208" i="36"/>
  <c r="C269" i="36"/>
  <c r="C205" i="36"/>
  <c r="E263" i="36"/>
  <c r="E199" i="36"/>
  <c r="E185" i="36"/>
  <c r="D256" i="36"/>
  <c r="C236" i="36"/>
  <c r="D262" i="36"/>
  <c r="D198" i="36"/>
  <c r="E230" i="36"/>
  <c r="C267" i="36"/>
  <c r="C203" i="36"/>
  <c r="D237" i="36"/>
  <c r="E269" i="36"/>
  <c r="E205" i="36"/>
  <c r="D257" i="36"/>
  <c r="C242" i="36"/>
  <c r="D212" i="36"/>
  <c r="E244" i="36"/>
  <c r="E180" i="36"/>
  <c r="C209" i="36"/>
  <c r="D243" i="36"/>
  <c r="E211" i="36"/>
  <c r="D249" i="36"/>
  <c r="C206" i="36"/>
  <c r="D210" i="36"/>
  <c r="C232" i="36"/>
  <c r="D266" i="36"/>
  <c r="D202" i="36"/>
  <c r="E234" i="36"/>
  <c r="C247" i="36"/>
  <c r="E257" i="36"/>
  <c r="C222" i="36"/>
  <c r="D192" i="36"/>
  <c r="E224" i="36"/>
  <c r="C261" i="36"/>
  <c r="C197" i="36"/>
  <c r="D223" i="36"/>
  <c r="E255" i="36"/>
  <c r="E191" i="36"/>
  <c r="D241" i="36"/>
  <c r="C262" i="36"/>
  <c r="D240" i="36"/>
  <c r="C228" i="36"/>
  <c r="D254" i="36"/>
  <c r="D190" i="36"/>
  <c r="E222" i="36"/>
  <c r="C259" i="36"/>
  <c r="I124" i="7" s="1"/>
  <c r="C195" i="36"/>
  <c r="D229" i="36"/>
  <c r="E261" i="36"/>
  <c r="E197" i="36"/>
  <c r="D233" i="36"/>
  <c r="C234" i="36"/>
  <c r="D268" i="36"/>
  <c r="D204" i="36"/>
  <c r="E236" i="36"/>
  <c r="C265" i="36"/>
  <c r="C201" i="36"/>
  <c r="D235" i="36"/>
  <c r="E267" i="36"/>
  <c r="E203" i="36"/>
  <c r="D234" i="36"/>
  <c r="E192" i="36"/>
  <c r="C260" i="36"/>
  <c r="C224" i="36"/>
  <c r="D258" i="36"/>
  <c r="D194" i="36"/>
  <c r="E226" i="36"/>
  <c r="C223" i="36"/>
  <c r="E241" i="36"/>
  <c r="C198" i="36"/>
  <c r="D184" i="36"/>
  <c r="E216" i="36"/>
  <c r="C253" i="36"/>
  <c r="I150" i="7" s="1"/>
  <c r="C189" i="36"/>
  <c r="D215" i="36"/>
  <c r="E247" i="36"/>
  <c r="E183" i="36"/>
  <c r="D217" i="36"/>
  <c r="C246" i="36"/>
  <c r="I127" i="7" s="1"/>
  <c r="D224" i="36"/>
  <c r="C220" i="36"/>
  <c r="D246" i="36"/>
  <c r="J127" i="7" s="1"/>
  <c r="D182" i="36"/>
  <c r="E214" i="36"/>
  <c r="C251" i="36"/>
  <c r="C187" i="36"/>
  <c r="D221" i="36"/>
  <c r="E253" i="36"/>
  <c r="L150" i="7" s="1"/>
  <c r="E189" i="36"/>
  <c r="D209" i="36"/>
  <c r="C226" i="36"/>
  <c r="D260" i="36"/>
  <c r="D196" i="36"/>
  <c r="E228" i="36"/>
  <c r="C257" i="36"/>
  <c r="C193" i="36"/>
  <c r="D227" i="36"/>
  <c r="E259" i="36"/>
  <c r="L124" i="7" s="1"/>
  <c r="E195" i="36"/>
  <c r="E242" i="36"/>
  <c r="C216" i="36"/>
  <c r="D250" i="36"/>
  <c r="D186" i="36"/>
  <c r="J114" i="7" s="1"/>
  <c r="E218" i="36"/>
  <c r="C199" i="36"/>
  <c r="E225" i="36"/>
  <c r="C182" i="36"/>
  <c r="D176" i="36"/>
  <c r="E208" i="36"/>
  <c r="C245" i="36"/>
  <c r="C181" i="36"/>
  <c r="D207" i="36"/>
  <c r="E239" i="36"/>
  <c r="E175" i="36"/>
  <c r="D193" i="36"/>
  <c r="C230" i="36"/>
  <c r="D200" i="36"/>
  <c r="C212" i="36"/>
  <c r="D238" i="36"/>
  <c r="E206" i="36"/>
  <c r="C243" i="36"/>
  <c r="C179" i="36"/>
  <c r="D213" i="36"/>
  <c r="E245" i="36"/>
  <c r="E181" i="36"/>
  <c r="D185" i="36"/>
  <c r="C218" i="36"/>
  <c r="D252" i="36"/>
  <c r="D188" i="36"/>
  <c r="E220" i="36"/>
  <c r="C249" i="36"/>
  <c r="C185" i="36"/>
  <c r="D219" i="36"/>
  <c r="E251" i="36"/>
  <c r="E187" i="36"/>
  <c r="C264" i="36"/>
  <c r="D248" i="36"/>
  <c r="C238" i="36"/>
  <c r="E232" i="36"/>
  <c r="D231" i="36"/>
  <c r="C208" i="36"/>
  <c r="D242" i="36"/>
  <c r="D178" i="36"/>
  <c r="E210" i="36"/>
  <c r="C175" i="36"/>
  <c r="E201" i="36"/>
  <c r="D264" i="36"/>
  <c r="E264" i="36"/>
  <c r="E200" i="36"/>
  <c r="C237" i="36"/>
  <c r="D263" i="36"/>
  <c r="D199" i="36"/>
  <c r="E231" i="36"/>
  <c r="C263" i="36"/>
  <c r="E265" i="36"/>
  <c r="C214" i="36"/>
  <c r="C268" i="36"/>
  <c r="C204" i="36"/>
  <c r="D230" i="36"/>
  <c r="E262" i="36"/>
  <c r="E198" i="36"/>
  <c r="C235" i="36"/>
  <c r="D269" i="36"/>
  <c r="J277" i="7" s="1"/>
  <c r="D205" i="36"/>
  <c r="E237" i="36"/>
  <c r="C255" i="36"/>
  <c r="E209" i="36"/>
  <c r="C210" i="36"/>
  <c r="D244" i="36"/>
  <c r="D180" i="36"/>
  <c r="E212" i="36"/>
  <c r="C241" i="36"/>
  <c r="C177" i="36"/>
  <c r="D211" i="36"/>
  <c r="E243" i="36"/>
  <c r="C636" i="36"/>
  <c r="E635" i="36"/>
  <c r="D637" i="36"/>
  <c r="E637" i="36"/>
  <c r="D636" i="36"/>
  <c r="C637" i="36"/>
  <c r="C635" i="36"/>
  <c r="D635" i="36"/>
  <c r="E636" i="36"/>
  <c r="C647" i="36"/>
  <c r="E643" i="36"/>
  <c r="E650" i="36"/>
  <c r="D649" i="36"/>
  <c r="E648" i="36"/>
  <c r="E639" i="36"/>
  <c r="D641" i="36"/>
  <c r="C638" i="36"/>
  <c r="E649" i="36"/>
  <c r="C645" i="36"/>
  <c r="E645" i="36"/>
  <c r="C643" i="36"/>
  <c r="C644" i="36"/>
  <c r="C648" i="36"/>
  <c r="C649" i="36"/>
  <c r="C640" i="36"/>
  <c r="C641" i="36"/>
  <c r="D645" i="36"/>
  <c r="C639" i="36"/>
  <c r="E642" i="36"/>
  <c r="D642" i="36"/>
  <c r="D648" i="36"/>
  <c r="C642" i="36"/>
  <c r="D638" i="36"/>
  <c r="E641" i="36"/>
  <c r="D644" i="36"/>
  <c r="E647" i="36"/>
  <c r="D643" i="36"/>
  <c r="D646" i="36"/>
  <c r="C646" i="36"/>
  <c r="E644" i="36"/>
  <c r="D640" i="36"/>
  <c r="E640" i="36"/>
  <c r="E638" i="36"/>
  <c r="E646" i="36"/>
  <c r="D647" i="36"/>
  <c r="D650" i="36"/>
  <c r="C650" i="36"/>
  <c r="D639" i="36"/>
  <c r="E42" i="30"/>
  <c r="E43" i="30"/>
  <c r="H187" i="7" l="1"/>
  <c r="I276" i="7"/>
  <c r="J276" i="7"/>
  <c r="L270" i="7"/>
  <c r="J270" i="7"/>
  <c r="L276" i="7"/>
  <c r="I171" i="7"/>
  <c r="J171" i="7"/>
  <c r="L277" i="7"/>
  <c r="I277" i="7"/>
  <c r="I270" i="7"/>
  <c r="C236" i="7"/>
  <c r="H236" i="7"/>
  <c r="H298" i="7"/>
  <c r="I187" i="7"/>
  <c r="L187" i="7"/>
  <c r="J187" i="7"/>
  <c r="D9" i="34" l="1"/>
  <c r="D8" i="34"/>
  <c r="AF56" i="34"/>
  <c r="E26" i="30" l="1"/>
  <c r="J244" i="33" l="1"/>
  <c r="B13" i="33"/>
  <c r="F406" i="32" l="1"/>
  <c r="G406" i="32" s="1"/>
  <c r="D696" i="32"/>
  <c r="C696" i="32"/>
  <c r="F673" i="32"/>
  <c r="F672" i="32"/>
  <c r="F671" i="32"/>
  <c r="F670" i="32"/>
  <c r="F668" i="32"/>
  <c r="F667" i="32"/>
  <c r="F666" i="32"/>
  <c r="F665" i="32"/>
  <c r="F663" i="32"/>
  <c r="D673" i="32"/>
  <c r="C673" i="32"/>
  <c r="D672" i="32"/>
  <c r="C672" i="32"/>
  <c r="D671" i="32"/>
  <c r="C671" i="32"/>
  <c r="D670" i="32"/>
  <c r="C670" i="32"/>
  <c r="D668" i="32"/>
  <c r="C668" i="32"/>
  <c r="D667" i="32"/>
  <c r="C667" i="32"/>
  <c r="D666" i="32"/>
  <c r="C666" i="32"/>
  <c r="D665" i="32"/>
  <c r="C665" i="32"/>
  <c r="D663" i="32"/>
  <c r="C663" i="32"/>
  <c r="F625" i="32"/>
  <c r="F624" i="32"/>
  <c r="F623" i="32"/>
  <c r="F620" i="32"/>
  <c r="D625" i="32"/>
  <c r="C625" i="32"/>
  <c r="D624" i="32"/>
  <c r="C624" i="32"/>
  <c r="D623" i="32"/>
  <c r="C623" i="32"/>
  <c r="D620" i="32"/>
  <c r="C620" i="32"/>
  <c r="F618" i="32"/>
  <c r="D618" i="32"/>
  <c r="C618" i="32"/>
  <c r="F516" i="32"/>
  <c r="F514" i="32"/>
  <c r="F511" i="32"/>
  <c r="F507" i="32"/>
  <c r="F504" i="32"/>
  <c r="F502" i="32"/>
  <c r="F501" i="32"/>
  <c r="F500" i="32"/>
  <c r="F499" i="32"/>
  <c r="F497" i="32"/>
  <c r="F494" i="32"/>
  <c r="F493" i="32"/>
  <c r="F492" i="32"/>
  <c r="F491" i="32"/>
  <c r="F490" i="32"/>
  <c r="F488" i="32"/>
  <c r="D516" i="32"/>
  <c r="C516" i="32"/>
  <c r="D514" i="32"/>
  <c r="C514" i="32"/>
  <c r="D512" i="32"/>
  <c r="C512" i="32"/>
  <c r="D511" i="32"/>
  <c r="C511" i="32"/>
  <c r="D507" i="32"/>
  <c r="C507" i="32"/>
  <c r="D504" i="32"/>
  <c r="C504" i="32"/>
  <c r="D502" i="32"/>
  <c r="C502" i="32"/>
  <c r="D501" i="32"/>
  <c r="C501" i="32"/>
  <c r="D500" i="32"/>
  <c r="C500" i="32"/>
  <c r="D499" i="32"/>
  <c r="C499" i="32"/>
  <c r="D497" i="32"/>
  <c r="C497" i="32"/>
  <c r="D494" i="32"/>
  <c r="C494" i="32"/>
  <c r="D493" i="32"/>
  <c r="C493" i="32"/>
  <c r="D492" i="32"/>
  <c r="C492" i="32"/>
  <c r="D491" i="32"/>
  <c r="C491" i="32"/>
  <c r="D490" i="32"/>
  <c r="C490" i="32"/>
  <c r="D488" i="32"/>
  <c r="C488" i="32"/>
  <c r="F433" i="32"/>
  <c r="D433" i="32"/>
  <c r="C433" i="32"/>
  <c r="D406" i="32"/>
  <c r="C406" i="32"/>
  <c r="F391" i="32"/>
  <c r="D391" i="32"/>
  <c r="C391" i="32"/>
  <c r="F375" i="32"/>
  <c r="F347" i="32"/>
  <c r="D347" i="32"/>
  <c r="C347" i="32"/>
  <c r="F245" i="32"/>
  <c r="F243" i="32"/>
  <c r="F240" i="32"/>
  <c r="F234" i="32"/>
  <c r="F232" i="32"/>
  <c r="F231" i="32"/>
  <c r="F230" i="32"/>
  <c r="F229" i="32"/>
  <c r="F227" i="32"/>
  <c r="F224" i="32"/>
  <c r="F222" i="32"/>
  <c r="D245" i="32"/>
  <c r="C245" i="32"/>
  <c r="D243" i="32"/>
  <c r="C243" i="32"/>
  <c r="D241" i="32"/>
  <c r="C241" i="32"/>
  <c r="D240" i="32"/>
  <c r="C240" i="32"/>
  <c r="D234" i="32"/>
  <c r="C234" i="32"/>
  <c r="D232" i="32"/>
  <c r="C232" i="32"/>
  <c r="D231" i="32"/>
  <c r="C231" i="32"/>
  <c r="C230" i="32"/>
  <c r="D229" i="32"/>
  <c r="C229" i="32"/>
  <c r="D227" i="32"/>
  <c r="C227" i="32"/>
  <c r="D224" i="32"/>
  <c r="C224" i="32"/>
  <c r="D222" i="32"/>
  <c r="C222" i="32"/>
  <c r="F168" i="32" l="1"/>
  <c r="G168" i="32" s="1"/>
  <c r="F158" i="32"/>
  <c r="G158" i="32" s="1"/>
  <c r="D158" i="32"/>
  <c r="G155" i="32" s="1"/>
  <c r="C158" i="32"/>
  <c r="C155" i="32" s="1"/>
  <c r="F138" i="32"/>
  <c r="G138" i="32" s="1"/>
  <c r="D138" i="32"/>
  <c r="G135" i="32" s="1"/>
  <c r="C138" i="32"/>
  <c r="C135" i="32" s="1"/>
  <c r="F129" i="32"/>
  <c r="G129" i="32" s="1"/>
  <c r="F128" i="32"/>
  <c r="G128" i="32" s="1"/>
  <c r="D129" i="32"/>
  <c r="C129" i="32"/>
  <c r="D128" i="32"/>
  <c r="C128" i="32"/>
  <c r="C125" i="32" s="1"/>
  <c r="F98" i="32"/>
  <c r="G98" i="32" s="1"/>
  <c r="F83" i="32"/>
  <c r="G83" i="32" s="1"/>
  <c r="D56" i="32"/>
  <c r="G53" i="32" s="1"/>
  <c r="C56" i="32"/>
  <c r="F29" i="32"/>
  <c r="G29" i="32" s="1"/>
  <c r="D29" i="32"/>
  <c r="G26" i="32" s="1"/>
  <c r="C29" i="32"/>
  <c r="C26" i="32" s="1"/>
  <c r="F20" i="32"/>
  <c r="G20" i="32" s="1"/>
  <c r="D20" i="32"/>
  <c r="C20" i="32"/>
  <c r="C17" i="32" s="1"/>
  <c r="C510" i="36" s="1"/>
  <c r="G693" i="32"/>
  <c r="C693" i="32"/>
  <c r="F669" i="32"/>
  <c r="G669" i="32" s="1"/>
  <c r="F664" i="32"/>
  <c r="G664" i="32" s="1"/>
  <c r="G673" i="32"/>
  <c r="G672" i="32"/>
  <c r="G671" i="32"/>
  <c r="G670" i="32"/>
  <c r="D669" i="32"/>
  <c r="C669" i="32"/>
  <c r="B669" i="32"/>
  <c r="G668" i="32"/>
  <c r="G667" i="32"/>
  <c r="G666" i="32"/>
  <c r="G665" i="32"/>
  <c r="D664" i="32"/>
  <c r="C664" i="32"/>
  <c r="B664" i="32"/>
  <c r="G663" i="32"/>
  <c r="F626" i="32"/>
  <c r="G626" i="32" s="1"/>
  <c r="F622" i="32"/>
  <c r="G622" i="32" s="1"/>
  <c r="F621" i="32"/>
  <c r="G621" i="32" s="1"/>
  <c r="F619" i="32"/>
  <c r="G619" i="32" s="1"/>
  <c r="D626" i="32"/>
  <c r="C626" i="32"/>
  <c r="B626" i="32"/>
  <c r="G625" i="32"/>
  <c r="G624" i="32"/>
  <c r="G623" i="32"/>
  <c r="D622" i="32"/>
  <c r="C622" i="32"/>
  <c r="B622" i="32"/>
  <c r="D621" i="32"/>
  <c r="C621" i="32"/>
  <c r="B621" i="32"/>
  <c r="G620" i="32"/>
  <c r="D619" i="32"/>
  <c r="C619" i="32"/>
  <c r="B619" i="32"/>
  <c r="G618" i="32"/>
  <c r="F505" i="32"/>
  <c r="G505" i="32" s="1"/>
  <c r="F509" i="32"/>
  <c r="G509" i="32" s="1"/>
  <c r="F513" i="32"/>
  <c r="G513" i="32" s="1"/>
  <c r="F515" i="32"/>
  <c r="G515" i="32" s="1"/>
  <c r="F508" i="32"/>
  <c r="G508" i="32" s="1"/>
  <c r="F510" i="32"/>
  <c r="G510" i="32" s="1"/>
  <c r="F506" i="32"/>
  <c r="G506" i="32" s="1"/>
  <c r="F503" i="32"/>
  <c r="G503" i="32" s="1"/>
  <c r="F498" i="32"/>
  <c r="G498" i="32" s="1"/>
  <c r="F496" i="32"/>
  <c r="G496" i="32" s="1"/>
  <c r="F495" i="32"/>
  <c r="G495" i="32" s="1"/>
  <c r="F489" i="32"/>
  <c r="G489" i="32" s="1"/>
  <c r="G516" i="32"/>
  <c r="C515" i="32"/>
  <c r="B515" i="32"/>
  <c r="G514" i="32"/>
  <c r="C513" i="32"/>
  <c r="B513" i="32"/>
  <c r="G511" i="32"/>
  <c r="C510" i="32"/>
  <c r="B510" i="32"/>
  <c r="D509" i="32"/>
  <c r="C509" i="32"/>
  <c r="B509" i="32"/>
  <c r="D508" i="32"/>
  <c r="C508" i="32"/>
  <c r="B508" i="32"/>
  <c r="G507" i="32"/>
  <c r="D506" i="32"/>
  <c r="C506" i="32"/>
  <c r="B506" i="32"/>
  <c r="C505" i="32"/>
  <c r="B505" i="32"/>
  <c r="G504" i="32"/>
  <c r="C503" i="32"/>
  <c r="B503" i="32"/>
  <c r="G502" i="32"/>
  <c r="G501" i="32"/>
  <c r="G500" i="32"/>
  <c r="G499" i="32"/>
  <c r="C498" i="32"/>
  <c r="B498" i="32"/>
  <c r="G497" i="32"/>
  <c r="D496" i="32"/>
  <c r="C496" i="32"/>
  <c r="B496" i="32"/>
  <c r="D495" i="32"/>
  <c r="C495" i="32"/>
  <c r="B495" i="32"/>
  <c r="G494" i="32"/>
  <c r="G493" i="32"/>
  <c r="G492" i="32"/>
  <c r="G491" i="32"/>
  <c r="G490" i="32"/>
  <c r="D489" i="32"/>
  <c r="C489" i="32"/>
  <c r="B489" i="32"/>
  <c r="G488" i="32"/>
  <c r="G433" i="32"/>
  <c r="C430" i="32"/>
  <c r="C403" i="32"/>
  <c r="G391" i="32"/>
  <c r="G388" i="32"/>
  <c r="C388" i="32"/>
  <c r="G375" i="32"/>
  <c r="D375" i="32"/>
  <c r="G371" i="32" s="1"/>
  <c r="C375" i="32"/>
  <c r="C371" i="32" s="1"/>
  <c r="G347" i="32"/>
  <c r="C344" i="32"/>
  <c r="F235" i="32"/>
  <c r="G235" i="32" s="1"/>
  <c r="F238" i="32"/>
  <c r="G238" i="32" s="1"/>
  <c r="F242" i="32"/>
  <c r="G242" i="32" s="1"/>
  <c r="F237" i="32"/>
  <c r="G237" i="32" s="1"/>
  <c r="F239" i="32"/>
  <c r="G239" i="32" s="1"/>
  <c r="F236" i="32"/>
  <c r="G236" i="32" s="1"/>
  <c r="F233" i="32"/>
  <c r="G233" i="32" s="1"/>
  <c r="F228" i="32"/>
  <c r="G228" i="32" s="1"/>
  <c r="F226" i="32"/>
  <c r="G226" i="32" s="1"/>
  <c r="F225" i="32"/>
  <c r="G225" i="32" s="1"/>
  <c r="F223" i="32"/>
  <c r="G223" i="32" s="1"/>
  <c r="G245" i="32"/>
  <c r="C244" i="32"/>
  <c r="B244" i="32"/>
  <c r="G243" i="32"/>
  <c r="C242" i="32"/>
  <c r="B242" i="32"/>
  <c r="G240" i="32"/>
  <c r="C239" i="32"/>
  <c r="B239" i="32"/>
  <c r="D238" i="32"/>
  <c r="C238" i="32"/>
  <c r="B238" i="32"/>
  <c r="D237" i="32"/>
  <c r="C237" i="32"/>
  <c r="B237" i="32"/>
  <c r="D236" i="32"/>
  <c r="C236" i="32"/>
  <c r="B236" i="32"/>
  <c r="C235" i="32"/>
  <c r="B235" i="32"/>
  <c r="G234" i="32"/>
  <c r="C233" i="32"/>
  <c r="B233" i="32"/>
  <c r="G232" i="32"/>
  <c r="G231" i="32"/>
  <c r="G230" i="32"/>
  <c r="G229" i="32"/>
  <c r="C228" i="32"/>
  <c r="B228" i="32"/>
  <c r="G227" i="32"/>
  <c r="D226" i="32"/>
  <c r="C226" i="32"/>
  <c r="B226" i="32"/>
  <c r="D225" i="32"/>
  <c r="C225" i="32"/>
  <c r="B225" i="32"/>
  <c r="G224" i="32"/>
  <c r="D223" i="32"/>
  <c r="C223" i="32"/>
  <c r="B223" i="32"/>
  <c r="G222" i="32"/>
  <c r="F184" i="32"/>
  <c r="G184" i="32" s="1"/>
  <c r="D184" i="32"/>
  <c r="G181" i="32" s="1"/>
  <c r="C184" i="32"/>
  <c r="C181" i="32" s="1"/>
  <c r="D168" i="32"/>
  <c r="G165" i="32" s="1"/>
  <c r="C168" i="32"/>
  <c r="C165" i="32" s="1"/>
  <c r="D98" i="32"/>
  <c r="G95" i="32" s="1"/>
  <c r="C98" i="32"/>
  <c r="C95" i="32" s="1"/>
  <c r="D83" i="32"/>
  <c r="G80" i="32" s="1"/>
  <c r="C83" i="32"/>
  <c r="C80" i="32" s="1"/>
  <c r="F244" i="32" l="1"/>
  <c r="G244" i="32" s="1"/>
  <c r="C11" i="32" l="1"/>
  <c r="C10" i="32"/>
  <c r="F6" i="32"/>
  <c r="F484" i="25" l="1"/>
  <c r="F18" i="7" l="1"/>
  <c r="E174" i="30" l="1"/>
  <c r="E173" i="30"/>
  <c r="E163" i="30"/>
  <c r="E164" i="30" s="1"/>
  <c r="E165" i="30" s="1"/>
  <c r="F56" i="32" l="1"/>
  <c r="G56" i="32" s="1"/>
  <c r="F791" i="25" l="1"/>
  <c r="G791" i="25" s="1"/>
  <c r="F775" i="25"/>
  <c r="G775" i="25" s="1"/>
  <c r="F533" i="25"/>
  <c r="G533" i="25" s="1"/>
  <c r="G291" i="25"/>
  <c r="G225" i="25"/>
  <c r="G229" i="25" s="1"/>
  <c r="C222" i="25"/>
  <c r="F823" i="25"/>
  <c r="G823" i="25" s="1"/>
  <c r="F807" i="25"/>
  <c r="G807" i="25" s="1"/>
  <c r="D807" i="25"/>
  <c r="D791" i="25"/>
  <c r="C791" i="25"/>
  <c r="C788" i="25" s="1"/>
  <c r="D775" i="25"/>
  <c r="F759" i="25"/>
  <c r="G759" i="25" s="1"/>
  <c r="D759" i="25"/>
  <c r="C759" i="25"/>
  <c r="C756" i="25" s="1"/>
  <c r="F743" i="25"/>
  <c r="G743" i="25" s="1"/>
  <c r="D743" i="25"/>
  <c r="C743" i="25"/>
  <c r="C740" i="25" s="1"/>
  <c r="G719" i="25"/>
  <c r="F703" i="25" l="1"/>
  <c r="G703" i="25" s="1"/>
  <c r="C703" i="25"/>
  <c r="C700" i="25" s="1"/>
  <c r="C533" i="25"/>
  <c r="C530" i="25" s="1"/>
  <c r="F516" i="25"/>
  <c r="G516" i="25" s="1"/>
  <c r="C516" i="25"/>
  <c r="C513" i="25" s="1"/>
  <c r="F500" i="25"/>
  <c r="G500" i="25" s="1"/>
  <c r="D500" i="25"/>
  <c r="C500" i="25"/>
  <c r="C497" i="25" s="1"/>
  <c r="G484" i="25"/>
  <c r="D484" i="25"/>
  <c r="C484" i="25"/>
  <c r="C481" i="25" s="1"/>
  <c r="F468" i="25"/>
  <c r="G468" i="25" s="1"/>
  <c r="D468" i="25"/>
  <c r="C468" i="25"/>
  <c r="C465" i="25" s="1"/>
  <c r="C671" i="25"/>
  <c r="C668" i="25" s="1"/>
  <c r="C687" i="25"/>
  <c r="C684" i="25" s="1"/>
  <c r="F687" i="25"/>
  <c r="G687" i="25" s="1"/>
  <c r="F452" i="25" l="1"/>
  <c r="G452" i="25" s="1"/>
  <c r="D452" i="25"/>
  <c r="C452" i="25"/>
  <c r="F671" i="25" l="1"/>
  <c r="G671" i="25" s="1"/>
  <c r="C161" i="25"/>
  <c r="C158" i="25" s="1"/>
  <c r="D161" i="25"/>
  <c r="F654" i="25"/>
  <c r="G654" i="25" s="1"/>
  <c r="D654" i="25"/>
  <c r="C654" i="25"/>
  <c r="C651" i="25" s="1"/>
  <c r="F638" i="25"/>
  <c r="G638" i="25" s="1"/>
  <c r="D638" i="25"/>
  <c r="C638" i="25"/>
  <c r="C635" i="25" s="1"/>
  <c r="E214" i="30" l="1"/>
  <c r="E216" i="30" s="1"/>
  <c r="E197" i="30"/>
  <c r="E198" i="30" s="1"/>
  <c r="E180" i="30"/>
  <c r="E182" i="30" s="1"/>
  <c r="E146" i="30"/>
  <c r="E148" i="30" s="1"/>
  <c r="E129" i="30"/>
  <c r="E131" i="30" s="1"/>
  <c r="E112" i="30"/>
  <c r="E113" i="30" s="1"/>
  <c r="E94" i="30"/>
  <c r="E95" i="30" s="1"/>
  <c r="E77" i="30"/>
  <c r="E79" i="30" s="1"/>
  <c r="E61" i="30"/>
  <c r="E60" i="30"/>
  <c r="E59" i="30"/>
  <c r="E41" i="30"/>
  <c r="E199" i="30" l="1"/>
  <c r="E96" i="30"/>
  <c r="E147" i="30"/>
  <c r="E215" i="30"/>
  <c r="E114" i="30"/>
  <c r="E78" i="30"/>
  <c r="E130" i="30"/>
  <c r="E181" i="30"/>
  <c r="D143" i="25" l="1"/>
  <c r="D125" i="25"/>
  <c r="F6" i="24" l="1"/>
  <c r="C7" i="30"/>
  <c r="C6" i="30"/>
  <c r="C371" i="30"/>
  <c r="B371" i="30"/>
  <c r="F363" i="30"/>
  <c r="G363" i="30" s="1"/>
  <c r="F362" i="30"/>
  <c r="G362" i="30" s="1"/>
  <c r="F361" i="30"/>
  <c r="G361" i="30" s="1"/>
  <c r="F360" i="30"/>
  <c r="G360" i="30" s="1"/>
  <c r="F359" i="30"/>
  <c r="G359" i="30" s="1"/>
  <c r="F358" i="30"/>
  <c r="G358" i="30" s="1"/>
  <c r="F357" i="30"/>
  <c r="G357" i="30" s="1"/>
  <c r="F356" i="30"/>
  <c r="G356" i="30" s="1"/>
  <c r="F355" i="30"/>
  <c r="G355" i="30" s="1"/>
  <c r="F354" i="30"/>
  <c r="G354" i="30" s="1"/>
  <c r="G364" i="30" s="1"/>
  <c r="F346" i="30"/>
  <c r="G346" i="30" s="1"/>
  <c r="C346" i="30"/>
  <c r="F345" i="30"/>
  <c r="G345" i="30" s="1"/>
  <c r="F338" i="30"/>
  <c r="G338" i="30" s="1"/>
  <c r="F331" i="30"/>
  <c r="G331" i="30" s="1"/>
  <c r="F324" i="30"/>
  <c r="G324" i="30" s="1"/>
  <c r="G310" i="30"/>
  <c r="G309" i="30"/>
  <c r="G308" i="30"/>
  <c r="G307" i="30"/>
  <c r="C240" i="30"/>
  <c r="B240" i="30"/>
  <c r="C239" i="30"/>
  <c r="B239" i="30"/>
  <c r="C238" i="30"/>
  <c r="B238" i="30"/>
  <c r="C237" i="30"/>
  <c r="B237" i="30"/>
  <c r="C236" i="30"/>
  <c r="B236" i="30"/>
  <c r="C235" i="30"/>
  <c r="B235" i="30"/>
  <c r="C234" i="30"/>
  <c r="B234" i="30"/>
  <c r="C233" i="30"/>
  <c r="B233" i="30"/>
  <c r="C232" i="30"/>
  <c r="B232" i="30"/>
  <c r="C231" i="30"/>
  <c r="B231" i="30"/>
  <c r="C230" i="30"/>
  <c r="B230" i="30"/>
  <c r="E225" i="30"/>
  <c r="E224" i="30"/>
  <c r="G213" i="30"/>
  <c r="E208" i="30"/>
  <c r="E207" i="30"/>
  <c r="G196" i="30"/>
  <c r="C196" i="30"/>
  <c r="E191" i="30"/>
  <c r="E190" i="30"/>
  <c r="G179" i="30"/>
  <c r="C179" i="30"/>
  <c r="G162" i="30"/>
  <c r="C162" i="30"/>
  <c r="E157" i="30"/>
  <c r="E156" i="30"/>
  <c r="G145" i="30"/>
  <c r="C145" i="30"/>
  <c r="E140" i="30"/>
  <c r="E139" i="30"/>
  <c r="G128" i="30"/>
  <c r="C128" i="30"/>
  <c r="E123" i="30"/>
  <c r="E122" i="30"/>
  <c r="G111" i="30"/>
  <c r="C111" i="30"/>
  <c r="E106" i="30"/>
  <c r="E105" i="30"/>
  <c r="G93" i="30"/>
  <c r="C93" i="30"/>
  <c r="E88" i="30"/>
  <c r="E87" i="30"/>
  <c r="G76" i="30"/>
  <c r="C76" i="30"/>
  <c r="E71" i="30"/>
  <c r="E70" i="30"/>
  <c r="G58" i="30"/>
  <c r="C58" i="30"/>
  <c r="E53" i="30"/>
  <c r="E52" i="30"/>
  <c r="G40" i="30"/>
  <c r="C40" i="30"/>
  <c r="G26" i="30"/>
  <c r="F26" i="30"/>
  <c r="E27" i="30" s="1"/>
  <c r="F6" i="30"/>
  <c r="G316" i="30" l="1"/>
  <c r="F330" i="30" s="1"/>
  <c r="G330" i="30" s="1"/>
  <c r="G332" i="30" s="1"/>
  <c r="F370" i="30" s="1"/>
  <c r="G370" i="30" s="1"/>
  <c r="G318" i="30"/>
  <c r="F344" i="30" s="1"/>
  <c r="G344" i="30" s="1"/>
  <c r="G347" i="30" s="1"/>
  <c r="F372" i="30" s="1"/>
  <c r="G372" i="30" s="1"/>
  <c r="G315" i="30"/>
  <c r="F323" i="30" s="1"/>
  <c r="G323" i="30" s="1"/>
  <c r="G325" i="30" s="1"/>
  <c r="F369" i="30" s="1"/>
  <c r="G369" i="30" s="1"/>
  <c r="G373" i="30" s="1"/>
  <c r="G317" i="30"/>
  <c r="F337" i="30" s="1"/>
  <c r="G337" i="30" s="1"/>
  <c r="G339" i="30" s="1"/>
  <c r="F371" i="30" s="1"/>
  <c r="G371" i="30" s="1"/>
  <c r="G3" i="22" l="1"/>
  <c r="G5" i="18"/>
  <c r="I5" i="37" s="1"/>
  <c r="F6" i="13"/>
  <c r="F6" i="25"/>
  <c r="F3" i="23"/>
  <c r="F3" i="26"/>
  <c r="F3" i="29"/>
  <c r="H3" i="15"/>
  <c r="F3" i="9"/>
  <c r="F5" i="46" s="1"/>
  <c r="D69" i="25" l="1"/>
  <c r="C8" i="29" l="1"/>
  <c r="C7" i="29"/>
  <c r="C8" i="26" l="1"/>
  <c r="C7" i="26"/>
  <c r="F186" i="26" l="1"/>
  <c r="G186" i="26" s="1"/>
  <c r="D186" i="26"/>
  <c r="C186" i="26"/>
  <c r="F227" i="26"/>
  <c r="G227" i="26" s="1"/>
  <c r="D227" i="26"/>
  <c r="C227" i="26"/>
  <c r="F218" i="26"/>
  <c r="G218" i="26" s="1"/>
  <c r="D218" i="26"/>
  <c r="C218" i="26"/>
  <c r="F143" i="25" l="1"/>
  <c r="G143" i="25" s="1"/>
  <c r="C143" i="25"/>
  <c r="C140" i="25" s="1"/>
  <c r="F125" i="25"/>
  <c r="G125" i="25" s="1"/>
  <c r="C125" i="25"/>
  <c r="C122" i="25" s="1"/>
  <c r="F69" i="25"/>
  <c r="G69" i="25" s="1"/>
  <c r="C69" i="25"/>
  <c r="C66" i="25" s="1"/>
  <c r="D436" i="25"/>
  <c r="C433" i="25"/>
  <c r="F419" i="25"/>
  <c r="G419" i="25" s="1"/>
  <c r="D419" i="25"/>
  <c r="C419" i="25"/>
  <c r="C416" i="25" s="1"/>
  <c r="G396" i="25"/>
  <c r="C396" i="25"/>
  <c r="C393" i="25" s="1"/>
  <c r="G369" i="25"/>
  <c r="D878" i="25"/>
  <c r="C878" i="25"/>
  <c r="C875" i="25" s="1"/>
  <c r="G855" i="25"/>
  <c r="C852" i="25"/>
  <c r="F353" i="25"/>
  <c r="G353" i="25" s="1"/>
  <c r="D353" i="25"/>
  <c r="C353" i="25"/>
  <c r="C350" i="25" s="1"/>
  <c r="F337" i="25"/>
  <c r="G337" i="25" s="1"/>
  <c r="D337" i="25"/>
  <c r="C337" i="25"/>
  <c r="C334" i="25" s="1"/>
  <c r="G322" i="25"/>
  <c r="C319" i="25"/>
  <c r="C303" i="25"/>
  <c r="G276" i="25"/>
  <c r="C273" i="25"/>
  <c r="F161" i="25"/>
  <c r="G161" i="25" s="1"/>
  <c r="F621" i="25"/>
  <c r="G621" i="25" s="1"/>
  <c r="D621" i="25"/>
  <c r="C621" i="25"/>
  <c r="C618" i="25" s="1"/>
  <c r="F605" i="25"/>
  <c r="G605" i="25" s="1"/>
  <c r="D605" i="25"/>
  <c r="C605" i="25"/>
  <c r="C602" i="25" s="1"/>
  <c r="F588" i="25"/>
  <c r="G588" i="25" s="1"/>
  <c r="D588" i="25"/>
  <c r="C588" i="25"/>
  <c r="C585" i="25" s="1"/>
  <c r="F572" i="25"/>
  <c r="G572" i="25" s="1"/>
  <c r="D572" i="25"/>
  <c r="C572" i="25"/>
  <c r="C569" i="25" s="1"/>
  <c r="G549" i="25"/>
  <c r="C549" i="25"/>
  <c r="G116" i="25"/>
  <c r="C113" i="25"/>
  <c r="G51" i="25"/>
  <c r="C48" i="25"/>
  <c r="F36" i="25"/>
  <c r="G36" i="25" s="1"/>
  <c r="D36" i="25"/>
  <c r="C36" i="25"/>
  <c r="C33" i="25" s="1"/>
  <c r="G107" i="25"/>
  <c r="G110" i="25"/>
  <c r="C104" i="25"/>
  <c r="F20" i="25"/>
  <c r="G20" i="25" s="1"/>
  <c r="D20" i="25"/>
  <c r="C20" i="25"/>
  <c r="C17" i="25" s="1"/>
  <c r="G306" i="25" l="1"/>
  <c r="G310" i="25" s="1"/>
  <c r="F436" i="25"/>
  <c r="G436" i="25" s="1"/>
  <c r="G878" i="25" l="1"/>
  <c r="P10" i="45" l="1"/>
  <c r="G7" i="29"/>
  <c r="G7" i="26" s="1"/>
  <c r="D9" i="40"/>
  <c r="D8" i="42" s="1"/>
  <c r="G7" i="41"/>
  <c r="D10" i="34"/>
  <c r="D10" i="38"/>
  <c r="G10" i="32"/>
  <c r="G10" i="25" l="1"/>
  <c r="G10" i="24"/>
  <c r="G7" i="23"/>
  <c r="C11" i="16"/>
  <c r="C10" i="16"/>
  <c r="C9" i="16"/>
  <c r="C11" i="25"/>
  <c r="C10" i="25"/>
  <c r="C11" i="24"/>
  <c r="C10" i="24"/>
  <c r="C8" i="23"/>
  <c r="C7" i="23"/>
  <c r="C7" i="9"/>
  <c r="C10" i="15"/>
  <c r="C9" i="15"/>
  <c r="C8" i="33" l="1"/>
  <c r="C13" i="33" s="1"/>
  <c r="S13" i="33" s="1"/>
  <c r="C6" i="39"/>
  <c r="C9" i="33"/>
  <c r="C7" i="39"/>
  <c r="D51" i="9" l="1"/>
  <c r="D50" i="9"/>
  <c r="D49" i="9"/>
  <c r="D52" i="9" l="1"/>
  <c r="F28" i="13" l="1"/>
  <c r="F20" i="13"/>
  <c r="D28" i="13"/>
  <c r="C28" i="13"/>
  <c r="D20" i="13"/>
  <c r="C20" i="13"/>
  <c r="G28" i="13" l="1"/>
  <c r="C25" i="13"/>
  <c r="H8" i="22" l="1"/>
  <c r="D8" i="22"/>
  <c r="P11" i="45" l="1"/>
  <c r="G8" i="31" l="1"/>
  <c r="H9" i="22"/>
  <c r="G8" i="41"/>
  <c r="G8" i="29"/>
  <c r="G10" i="46" s="1"/>
  <c r="G8" i="23"/>
  <c r="G11" i="25" l="1"/>
  <c r="G8" i="26"/>
  <c r="G11" i="24"/>
  <c r="G11" i="13"/>
  <c r="G11" i="32"/>
  <c r="F7" i="30"/>
  <c r="F33" i="9" l="1"/>
  <c r="F32" i="9"/>
  <c r="D33" i="9"/>
  <c r="C33" i="9"/>
  <c r="D32" i="9"/>
  <c r="C32" i="9"/>
  <c r="I8" i="19" l="1"/>
  <c r="I7" i="19"/>
  <c r="C7" i="19"/>
  <c r="H3" i="19"/>
  <c r="H11" i="18" l="1"/>
  <c r="J12" i="37" s="1"/>
  <c r="H10" i="18"/>
  <c r="J11" i="37" s="1"/>
  <c r="D10" i="18"/>
  <c r="F11" i="37" s="1"/>
  <c r="G10" i="13"/>
  <c r="C10" i="13"/>
  <c r="G8" i="9"/>
  <c r="G7" i="9"/>
  <c r="G9" i="46" s="1"/>
  <c r="I10" i="15"/>
  <c r="I9" i="15"/>
  <c r="C8" i="39" s="1"/>
  <c r="C10" i="33" l="1"/>
  <c r="G26" i="18"/>
  <c r="G25" i="18" s="1"/>
  <c r="B19" i="18" s="1"/>
  <c r="G22" i="18"/>
  <c r="B17" i="18" l="1"/>
  <c r="B20" i="18" s="1"/>
  <c r="B21" i="18" s="1"/>
  <c r="G32" i="18" s="1"/>
  <c r="G4" i="41" l="1"/>
  <c r="I5" i="15"/>
  <c r="N7" i="7"/>
  <c r="H5" i="22"/>
  <c r="G7" i="32"/>
  <c r="G7" i="13"/>
  <c r="G4" i="9"/>
  <c r="G6" i="46" s="1"/>
  <c r="G4" i="29"/>
  <c r="H7" i="18"/>
  <c r="J7" i="37" s="1"/>
  <c r="G4" i="26"/>
  <c r="G7" i="24"/>
  <c r="G4" i="23"/>
  <c r="G7" i="25"/>
  <c r="M333" i="7" l="1"/>
  <c r="N333" i="7" s="1"/>
  <c r="D333" i="7" s="1"/>
  <c r="M331" i="7"/>
  <c r="M248" i="7"/>
  <c r="M247" i="7"/>
  <c r="M249" i="7"/>
  <c r="M245" i="7"/>
  <c r="M246" i="7"/>
  <c r="M239" i="7"/>
  <c r="M238" i="7"/>
  <c r="M207" i="7"/>
  <c r="N207" i="7" s="1"/>
  <c r="D207" i="7" s="1"/>
  <c r="M219" i="7"/>
  <c r="M68" i="7"/>
  <c r="M43" i="7"/>
  <c r="N43" i="7" s="1"/>
  <c r="D43" i="7" s="1"/>
  <c r="M57" i="7"/>
  <c r="M25" i="7"/>
  <c r="M44" i="7"/>
  <c r="M82" i="7"/>
  <c r="M305" i="7"/>
  <c r="M304" i="7"/>
  <c r="M300" i="7"/>
  <c r="M301" i="7"/>
  <c r="M303" i="7"/>
  <c r="M302" i="7"/>
  <c r="M65" i="7"/>
  <c r="M128" i="7"/>
  <c r="M130" i="7"/>
  <c r="M131" i="7"/>
  <c r="M129" i="7"/>
  <c r="M136" i="7"/>
  <c r="M135" i="7"/>
  <c r="M133" i="7"/>
  <c r="M134" i="7"/>
  <c r="M132" i="7"/>
  <c r="M276" i="7"/>
  <c r="M272" i="7"/>
  <c r="M274" i="7"/>
  <c r="M275" i="7"/>
  <c r="M266" i="7"/>
  <c r="M265" i="7"/>
  <c r="M267" i="7"/>
  <c r="M104" i="7"/>
  <c r="M105" i="7"/>
  <c r="M106" i="7"/>
  <c r="M37" i="7"/>
  <c r="M29" i="7"/>
  <c r="M31" i="7"/>
  <c r="M30" i="7"/>
  <c r="M38" i="7"/>
  <c r="M34" i="7"/>
  <c r="M32" i="7"/>
  <c r="M36" i="7"/>
  <c r="M33" i="7"/>
  <c r="M7" i="45"/>
  <c r="M86" i="7"/>
  <c r="M177" i="7"/>
  <c r="M152" i="7"/>
  <c r="M168" i="7"/>
  <c r="M122" i="7"/>
  <c r="M42" i="7"/>
  <c r="M49" i="7"/>
  <c r="M185" i="7"/>
  <c r="M113" i="7"/>
  <c r="M166" i="7"/>
  <c r="M186" i="7"/>
  <c r="M144" i="7"/>
  <c r="M156" i="7"/>
  <c r="M184" i="7"/>
  <c r="M98" i="7"/>
  <c r="M138" i="7"/>
  <c r="M155" i="7"/>
  <c r="M169" i="7"/>
  <c r="M123" i="7"/>
  <c r="M26" i="7"/>
  <c r="M181" i="7"/>
  <c r="M182" i="7"/>
  <c r="M102" i="7"/>
  <c r="M153" i="7"/>
  <c r="M160" i="7"/>
  <c r="M147" i="7"/>
  <c r="M96" i="7"/>
  <c r="M139" i="7"/>
  <c r="M180" i="7"/>
  <c r="M163" i="7"/>
  <c r="M89" i="7"/>
  <c r="M52" i="7"/>
  <c r="M125" i="7"/>
  <c r="M159" i="7"/>
  <c r="M154" i="7"/>
  <c r="M183" i="7"/>
  <c r="M151" i="7"/>
  <c r="M165" i="7"/>
  <c r="M121" i="7"/>
  <c r="M146" i="7"/>
  <c r="M124" i="7"/>
  <c r="M176" i="7"/>
  <c r="M143" i="7"/>
  <c r="M161" i="7"/>
  <c r="M95" i="7"/>
  <c r="M158" i="7"/>
  <c r="M170" i="7"/>
  <c r="M167" i="7"/>
  <c r="M187" i="7"/>
  <c r="M81" i="7"/>
  <c r="M71" i="7"/>
  <c r="M145" i="7"/>
  <c r="M97" i="7"/>
  <c r="M99" i="7"/>
  <c r="M142" i="7"/>
  <c r="M164" i="7"/>
  <c r="M162" i="7"/>
  <c r="M140" i="7"/>
  <c r="M141" i="7"/>
  <c r="M112" i="7"/>
  <c r="M157" i="7"/>
  <c r="M179" i="7"/>
  <c r="M173" i="7"/>
  <c r="M171" i="7"/>
  <c r="M87" i="7"/>
  <c r="M80" i="7"/>
  <c r="M90" i="7"/>
  <c r="M56" i="7"/>
  <c r="M55" i="7"/>
  <c r="M149" i="7"/>
  <c r="M59" i="7"/>
  <c r="M61" i="7"/>
  <c r="M53" i="7"/>
  <c r="M62" i="7"/>
  <c r="M111" i="7"/>
  <c r="M50" i="7"/>
  <c r="M54" i="7"/>
  <c r="M45" i="7"/>
  <c r="M148" i="7"/>
  <c r="M67" i="7"/>
  <c r="M51" i="7"/>
  <c r="M287" i="7"/>
  <c r="M319" i="7"/>
  <c r="M314" i="7"/>
  <c r="M317" i="7"/>
  <c r="M295" i="7"/>
  <c r="M286" i="7"/>
  <c r="M310" i="7"/>
  <c r="M292" i="7"/>
  <c r="M313" i="7"/>
  <c r="M312" i="7"/>
  <c r="M309" i="7"/>
  <c r="M318" i="7"/>
  <c r="M282" i="7"/>
  <c r="M294" i="7"/>
  <c r="M311" i="7"/>
  <c r="M296" i="7"/>
  <c r="M297" i="7"/>
  <c r="M283" i="7"/>
  <c r="M284" i="7"/>
  <c r="M285" i="7"/>
  <c r="G4" i="31"/>
  <c r="M278" i="7"/>
  <c r="M270" i="7"/>
  <c r="M277" i="7"/>
  <c r="M271" i="7"/>
  <c r="M273" i="7"/>
  <c r="M231" i="7"/>
  <c r="M230" i="7"/>
  <c r="M227" i="7"/>
  <c r="M228" i="7"/>
  <c r="M254" i="7"/>
  <c r="M226" i="7"/>
  <c r="M229" i="7"/>
  <c r="M218" i="7"/>
  <c r="M206" i="7"/>
  <c r="M199" i="7"/>
  <c r="M197" i="7"/>
  <c r="M194" i="7"/>
  <c r="M200" i="7"/>
  <c r="M195" i="7"/>
  <c r="M214" i="7"/>
  <c r="M220" i="7"/>
  <c r="M202" i="7"/>
  <c r="M215" i="7"/>
  <c r="M211" i="7"/>
  <c r="M198" i="7"/>
  <c r="M208" i="7"/>
  <c r="M221" i="7"/>
  <c r="M209" i="7"/>
  <c r="M212" i="7"/>
  <c r="M217" i="7"/>
  <c r="M210" i="7"/>
  <c r="M259" i="7"/>
  <c r="M193" i="7"/>
  <c r="M261" i="7"/>
  <c r="M262" i="7"/>
  <c r="M191" i="7"/>
  <c r="I4" i="19"/>
  <c r="B13" i="15"/>
  <c r="N331" i="7" l="1"/>
  <c r="D331" i="7" s="1"/>
  <c r="N246" i="7"/>
  <c r="D246" i="7" s="1"/>
  <c r="N245" i="7"/>
  <c r="D245" i="7" s="1"/>
  <c r="N249" i="7"/>
  <c r="D249" i="7" s="1"/>
  <c r="N247" i="7"/>
  <c r="D247" i="7" s="1"/>
  <c r="N248" i="7"/>
  <c r="D248" i="7" s="1"/>
  <c r="N238" i="7"/>
  <c r="D238" i="7" s="1"/>
  <c r="N239" i="7"/>
  <c r="D239" i="7" s="1"/>
  <c r="N219" i="7"/>
  <c r="D219" i="7" s="1"/>
  <c r="N191" i="7"/>
  <c r="N71" i="7"/>
  <c r="D71" i="7" s="1"/>
  <c r="N57" i="7"/>
  <c r="D57" i="7" s="1"/>
  <c r="N25" i="7"/>
  <c r="N44" i="7"/>
  <c r="D44" i="7" s="1"/>
  <c r="N82" i="7"/>
  <c r="D82" i="7" s="1"/>
  <c r="N300" i="7"/>
  <c r="D300" i="7" s="1"/>
  <c r="N302" i="7"/>
  <c r="D302" i="7" s="1"/>
  <c r="N304" i="7"/>
  <c r="D304" i="7" s="1"/>
  <c r="N303" i="7"/>
  <c r="D303" i="7" s="1"/>
  <c r="N305" i="7"/>
  <c r="D305" i="7" s="1"/>
  <c r="N301" i="7"/>
  <c r="D301" i="7" s="1"/>
  <c r="N65" i="7"/>
  <c r="D65" i="7" s="1"/>
  <c r="N274" i="7"/>
  <c r="D274" i="7" s="1"/>
  <c r="N276" i="7"/>
  <c r="D276" i="7" s="1"/>
  <c r="N259" i="7"/>
  <c r="D259" i="7" s="1"/>
  <c r="N270" i="7"/>
  <c r="D270" i="7" s="1"/>
  <c r="N266" i="7"/>
  <c r="D266" i="7" s="1"/>
  <c r="N129" i="7"/>
  <c r="D129" i="7" s="1"/>
  <c r="N131" i="7"/>
  <c r="D131" i="7" s="1"/>
  <c r="N130" i="7"/>
  <c r="D130" i="7" s="1"/>
  <c r="N128" i="7"/>
  <c r="D128" i="7" s="1"/>
  <c r="N132" i="7"/>
  <c r="D132" i="7" s="1"/>
  <c r="N134" i="7"/>
  <c r="D134" i="7" s="1"/>
  <c r="N133" i="7"/>
  <c r="D133" i="7" s="1"/>
  <c r="N135" i="7"/>
  <c r="D135" i="7" s="1"/>
  <c r="N136" i="7"/>
  <c r="D136" i="7" s="1"/>
  <c r="N272" i="7"/>
  <c r="D272" i="7" s="1"/>
  <c r="N275" i="7"/>
  <c r="D275" i="7" s="1"/>
  <c r="N265" i="7"/>
  <c r="D265" i="7" s="1"/>
  <c r="N267" i="7"/>
  <c r="D267" i="7" s="1"/>
  <c r="N106" i="7"/>
  <c r="D106" i="7" s="1"/>
  <c r="N105" i="7"/>
  <c r="D105" i="7" s="1"/>
  <c r="N104" i="7"/>
  <c r="D104" i="7" s="1"/>
  <c r="N30" i="7"/>
  <c r="D30" i="7" s="1"/>
  <c r="N33" i="7"/>
  <c r="D33" i="7" s="1"/>
  <c r="N34" i="7"/>
  <c r="D34" i="7" s="1"/>
  <c r="N31" i="7"/>
  <c r="D31" i="7" s="1"/>
  <c r="N36" i="7"/>
  <c r="D36" i="7" s="1"/>
  <c r="N29" i="7"/>
  <c r="D29" i="7" s="1"/>
  <c r="N37" i="7"/>
  <c r="D37" i="7" s="1"/>
  <c r="N32" i="7"/>
  <c r="D32" i="7" s="1"/>
  <c r="N38" i="7"/>
  <c r="D38" i="7" s="1"/>
  <c r="N173" i="7"/>
  <c r="D173" i="7" s="1"/>
  <c r="N154" i="7"/>
  <c r="D154" i="7" s="1"/>
  <c r="N148" i="7"/>
  <c r="D148" i="7" s="1"/>
  <c r="N149" i="7"/>
  <c r="D149" i="7" s="1"/>
  <c r="N97" i="7"/>
  <c r="D97" i="7" s="1"/>
  <c r="N143" i="7"/>
  <c r="D143" i="7" s="1"/>
  <c r="N151" i="7"/>
  <c r="D151" i="7" s="1"/>
  <c r="N96" i="7"/>
  <c r="D96" i="7" s="1"/>
  <c r="N181" i="7"/>
  <c r="D181" i="7" s="1"/>
  <c r="N98" i="7"/>
  <c r="D98" i="7" s="1"/>
  <c r="N113" i="7"/>
  <c r="D113" i="7" s="1"/>
  <c r="N51" i="7"/>
  <c r="D51" i="7" s="1"/>
  <c r="N144" i="7"/>
  <c r="D144" i="7" s="1"/>
  <c r="N157" i="7"/>
  <c r="D157" i="7" s="1"/>
  <c r="N42" i="7"/>
  <c r="D42" i="7" s="1"/>
  <c r="N177" i="7"/>
  <c r="D177" i="7" s="1"/>
  <c r="N99" i="7"/>
  <c r="D99" i="7" s="1"/>
  <c r="N53" i="7"/>
  <c r="D53" i="7" s="1"/>
  <c r="N159" i="7"/>
  <c r="D159" i="7" s="1"/>
  <c r="N26" i="7"/>
  <c r="D26" i="7" s="1"/>
  <c r="N184" i="7"/>
  <c r="D184" i="7" s="1"/>
  <c r="N122" i="7"/>
  <c r="D122" i="7" s="1"/>
  <c r="N142" i="7"/>
  <c r="D142" i="7" s="1"/>
  <c r="N81" i="7"/>
  <c r="D81" i="7" s="1"/>
  <c r="N146" i="7"/>
  <c r="D146" i="7" s="1"/>
  <c r="N180" i="7"/>
  <c r="D180" i="7" s="1"/>
  <c r="N147" i="7"/>
  <c r="D147" i="7" s="1"/>
  <c r="N45" i="7"/>
  <c r="D45" i="7" s="1"/>
  <c r="N61" i="7"/>
  <c r="D61" i="7" s="1"/>
  <c r="N55" i="7"/>
  <c r="D55" i="7" s="1"/>
  <c r="N124" i="7"/>
  <c r="D124" i="7" s="1"/>
  <c r="N56" i="7"/>
  <c r="D56" i="7" s="1"/>
  <c r="N145" i="7"/>
  <c r="D145" i="7" s="1"/>
  <c r="N125" i="7"/>
  <c r="D125" i="7" s="1"/>
  <c r="N102" i="7"/>
  <c r="D102" i="7" s="1"/>
  <c r="N123" i="7"/>
  <c r="D123" i="7" s="1"/>
  <c r="N155" i="7"/>
  <c r="D155" i="7" s="1"/>
  <c r="N112" i="7"/>
  <c r="D112" i="7" s="1"/>
  <c r="N161" i="7"/>
  <c r="D161" i="7" s="1"/>
  <c r="N52" i="7"/>
  <c r="D52" i="7" s="1"/>
  <c r="N160" i="7"/>
  <c r="D160" i="7" s="1"/>
  <c r="N50" i="7"/>
  <c r="D50" i="7" s="1"/>
  <c r="N179" i="7"/>
  <c r="D179" i="7" s="1"/>
  <c r="N141" i="7"/>
  <c r="D141" i="7" s="1"/>
  <c r="N158" i="7"/>
  <c r="D158" i="7" s="1"/>
  <c r="N182" i="7"/>
  <c r="D182" i="7" s="1"/>
  <c r="N139" i="7"/>
  <c r="D139" i="7" s="1"/>
  <c r="N54" i="7"/>
  <c r="D54" i="7" s="1"/>
  <c r="N90" i="7"/>
  <c r="D90" i="7" s="1"/>
  <c r="N140" i="7"/>
  <c r="D140" i="7" s="1"/>
  <c r="N167" i="7"/>
  <c r="D167" i="7" s="1"/>
  <c r="N183" i="7"/>
  <c r="D183" i="7" s="1"/>
  <c r="N89" i="7"/>
  <c r="D89" i="7" s="1"/>
  <c r="N156" i="7"/>
  <c r="D156" i="7" s="1"/>
  <c r="N186" i="7"/>
  <c r="D186" i="7" s="1"/>
  <c r="N67" i="7"/>
  <c r="D67" i="7" s="1"/>
  <c r="N80" i="7"/>
  <c r="D80" i="7" s="1"/>
  <c r="N162" i="7"/>
  <c r="D162" i="7" s="1"/>
  <c r="N138" i="7"/>
  <c r="D138" i="7" s="1"/>
  <c r="N166" i="7"/>
  <c r="D166" i="7" s="1"/>
  <c r="N168" i="7"/>
  <c r="D168" i="7" s="1"/>
  <c r="N86" i="7"/>
  <c r="D86" i="7" s="1"/>
  <c r="N59" i="7"/>
  <c r="D59" i="7" s="1"/>
  <c r="N87" i="7"/>
  <c r="D87" i="7" s="1"/>
  <c r="N176" i="7"/>
  <c r="D176" i="7" s="1"/>
  <c r="N121" i="7"/>
  <c r="D121" i="7" s="1"/>
  <c r="N169" i="7"/>
  <c r="D169" i="7" s="1"/>
  <c r="N165" i="7"/>
  <c r="D165" i="7" s="1"/>
  <c r="N111" i="7"/>
  <c r="D111" i="7" s="1"/>
  <c r="N187" i="7"/>
  <c r="D187" i="7" s="1"/>
  <c r="N170" i="7"/>
  <c r="D170" i="7" s="1"/>
  <c r="N153" i="7"/>
  <c r="D153" i="7" s="1"/>
  <c r="N185" i="7"/>
  <c r="D185" i="7" s="1"/>
  <c r="N62" i="7"/>
  <c r="D62" i="7" s="1"/>
  <c r="N171" i="7"/>
  <c r="D171" i="7" s="1"/>
  <c r="N164" i="7"/>
  <c r="D164" i="7" s="1"/>
  <c r="N95" i="7"/>
  <c r="D95" i="7" s="1"/>
  <c r="N163" i="7"/>
  <c r="D163" i="7" s="1"/>
  <c r="N49" i="7"/>
  <c r="D49" i="7" s="1"/>
  <c r="N152" i="7"/>
  <c r="D152" i="7" s="1"/>
  <c r="N310" i="7"/>
  <c r="D310" i="7" s="1"/>
  <c r="N286" i="7"/>
  <c r="D286" i="7" s="1"/>
  <c r="N294" i="7"/>
  <c r="D294" i="7" s="1"/>
  <c r="N297" i="7"/>
  <c r="D297" i="7" s="1"/>
  <c r="N319" i="7"/>
  <c r="D319" i="7" s="1"/>
  <c r="N312" i="7"/>
  <c r="D312" i="7" s="1"/>
  <c r="N295" i="7"/>
  <c r="D295" i="7" s="1"/>
  <c r="N317" i="7"/>
  <c r="D317" i="7" s="1"/>
  <c r="N285" i="7"/>
  <c r="D285" i="7" s="1"/>
  <c r="N296" i="7"/>
  <c r="D296" i="7" s="1"/>
  <c r="N282" i="7"/>
  <c r="D282" i="7" s="1"/>
  <c r="N292" i="7"/>
  <c r="D292" i="7" s="1"/>
  <c r="N284" i="7"/>
  <c r="D284" i="7" s="1"/>
  <c r="N311" i="7"/>
  <c r="D311" i="7" s="1"/>
  <c r="N283" i="7"/>
  <c r="D283" i="7" s="1"/>
  <c r="N318" i="7"/>
  <c r="D318" i="7" s="1"/>
  <c r="N314" i="7"/>
  <c r="D314" i="7" s="1"/>
  <c r="N287" i="7"/>
  <c r="D287" i="7" s="1"/>
  <c r="N309" i="7"/>
  <c r="D309" i="7" s="1"/>
  <c r="N313" i="7"/>
  <c r="D313" i="7" s="1"/>
  <c r="N278" i="7"/>
  <c r="D278" i="7" s="1"/>
  <c r="N273" i="7"/>
  <c r="D273" i="7" s="1"/>
  <c r="N271" i="7"/>
  <c r="D271" i="7" s="1"/>
  <c r="N277" i="7"/>
  <c r="D277" i="7" s="1"/>
  <c r="N254" i="7"/>
  <c r="D254" i="7" s="1"/>
  <c r="N228" i="7"/>
  <c r="D228" i="7" s="1"/>
  <c r="N231" i="7"/>
  <c r="D231" i="7" s="1"/>
  <c r="N227" i="7"/>
  <c r="D227" i="7" s="1"/>
  <c r="N229" i="7"/>
  <c r="D229" i="7" s="1"/>
  <c r="N226" i="7"/>
  <c r="D226" i="7" s="1"/>
  <c r="N230" i="7"/>
  <c r="D230" i="7" s="1"/>
  <c r="N217" i="7"/>
  <c r="D217" i="7" s="1"/>
  <c r="N221" i="7"/>
  <c r="D221" i="7" s="1"/>
  <c r="N202" i="7"/>
  <c r="D202" i="7" s="1"/>
  <c r="N212" i="7"/>
  <c r="D212" i="7" s="1"/>
  <c r="N198" i="7"/>
  <c r="D198" i="7" s="1"/>
  <c r="N200" i="7"/>
  <c r="D200" i="7" s="1"/>
  <c r="N199" i="7"/>
  <c r="D199" i="7" s="1"/>
  <c r="N209" i="7"/>
  <c r="D209" i="7" s="1"/>
  <c r="N220" i="7"/>
  <c r="D220" i="7" s="1"/>
  <c r="N214" i="7"/>
  <c r="D214" i="7" s="1"/>
  <c r="N194" i="7"/>
  <c r="D194" i="7" s="1"/>
  <c r="N206" i="7"/>
  <c r="D206" i="7" s="1"/>
  <c r="N195" i="7"/>
  <c r="D195" i="7" s="1"/>
  <c r="N197" i="7"/>
  <c r="D197" i="7" s="1"/>
  <c r="N218" i="7"/>
  <c r="D218" i="7" s="1"/>
  <c r="N210" i="7"/>
  <c r="D210" i="7" s="1"/>
  <c r="N211" i="7"/>
  <c r="D211" i="7" s="1"/>
  <c r="N208" i="7"/>
  <c r="D208" i="7" s="1"/>
  <c r="N215" i="7"/>
  <c r="D215" i="7" s="1"/>
  <c r="N193" i="7"/>
  <c r="D193" i="7" s="1"/>
  <c r="N262" i="7"/>
  <c r="D262" i="7" s="1"/>
  <c r="N261" i="7"/>
  <c r="D261" i="7" s="1"/>
  <c r="D25" i="7" l="1"/>
  <c r="N24" i="7"/>
  <c r="D191" i="7"/>
  <c r="N269" i="7"/>
  <c r="D269" i="7" s="1"/>
  <c r="N93" i="7"/>
  <c r="D93" i="7" s="1"/>
  <c r="N78" i="7"/>
  <c r="D78" i="7" s="1"/>
  <c r="N40" i="7"/>
  <c r="D40" i="7" s="1"/>
  <c r="G33" i="9"/>
  <c r="G32" i="9"/>
  <c r="G20" i="13" l="1"/>
  <c r="C17" i="13"/>
  <c r="F34" i="9" l="1"/>
  <c r="G34" i="9" l="1"/>
  <c r="D11" i="18" l="1"/>
  <c r="F12" i="37" s="1"/>
  <c r="D9" i="22"/>
  <c r="C8" i="9"/>
  <c r="C8" i="19" l="1"/>
  <c r="C11" i="13"/>
  <c r="F696" i="32" l="1"/>
  <c r="G696" i="32" s="1"/>
  <c r="D148" i="32" l="1"/>
  <c r="G145" i="32" s="1"/>
  <c r="F148" i="32"/>
  <c r="G148" i="32" s="1"/>
  <c r="F356" i="32" l="1"/>
  <c r="G356" i="32" s="1"/>
  <c r="D356" i="32"/>
  <c r="G353" i="32" s="1"/>
  <c r="C356" i="32"/>
  <c r="C353" i="32" s="1"/>
  <c r="F512" i="32" l="1"/>
  <c r="G512" i="32" s="1"/>
  <c r="F241" i="32"/>
  <c r="G241" i="32" s="1"/>
  <c r="F17" i="9" l="1"/>
  <c r="G17" i="9" s="1"/>
  <c r="C17" i="9"/>
  <c r="B25" i="9" s="1"/>
  <c r="C18" i="9"/>
  <c r="B26" i="9" s="1"/>
  <c r="F777" i="25"/>
  <c r="G777" i="25" s="1"/>
  <c r="C148" i="32"/>
  <c r="C145" i="32" s="1"/>
  <c r="F880" i="25"/>
  <c r="G880" i="25" s="1"/>
  <c r="F857" i="25"/>
  <c r="G857" i="25" s="1"/>
  <c r="F761" i="25"/>
  <c r="G761" i="25" s="1"/>
  <c r="F374" i="32"/>
  <c r="G374" i="32" s="1"/>
  <c r="F698" i="32"/>
  <c r="G698" i="32" s="1"/>
  <c r="F358" i="32"/>
  <c r="G358" i="32" s="1"/>
  <c r="F31" i="32"/>
  <c r="G31" i="32" s="1"/>
  <c r="G32" i="32" s="1"/>
  <c r="H26" i="32" s="1"/>
  <c r="F393" i="32"/>
  <c r="G393" i="32" s="1"/>
  <c r="F675" i="32"/>
  <c r="G675" i="32" s="1"/>
  <c r="F408" i="32"/>
  <c r="G408" i="32" s="1"/>
  <c r="F140" i="32"/>
  <c r="G140" i="32" s="1"/>
  <c r="F22" i="13"/>
  <c r="G22" i="13" s="1"/>
  <c r="G23" i="13" s="1"/>
  <c r="H17" i="13" s="1"/>
  <c r="F246" i="32"/>
  <c r="G246" i="32" s="1"/>
  <c r="F517" i="32"/>
  <c r="G517" i="32" s="1"/>
  <c r="F85" i="32"/>
  <c r="G85" i="32" s="1"/>
  <c r="G86" i="32" s="1"/>
  <c r="F825" i="25"/>
  <c r="G825" i="25" s="1"/>
  <c r="F435" i="32"/>
  <c r="G435" i="32" s="1"/>
  <c r="F186" i="32"/>
  <c r="G186" i="32" s="1"/>
  <c r="F131" i="32"/>
  <c r="G131" i="32" s="1"/>
  <c r="F809" i="25"/>
  <c r="G809" i="25" s="1"/>
  <c r="F160" i="32"/>
  <c r="G160" i="32" s="1"/>
  <c r="F793" i="25"/>
  <c r="G793" i="25" s="1"/>
  <c r="F628" i="32"/>
  <c r="G628" i="32" s="1"/>
  <c r="F150" i="32"/>
  <c r="G150" i="32" s="1"/>
  <c r="F215" i="32"/>
  <c r="G215" i="32" s="1"/>
  <c r="G217" i="32" s="1"/>
  <c r="F170" i="32"/>
  <c r="G170" i="32" s="1"/>
  <c r="F745" i="25"/>
  <c r="G745" i="25" s="1"/>
  <c r="F22" i="32"/>
  <c r="G22" i="32" s="1"/>
  <c r="F58" i="32"/>
  <c r="G58" i="32" s="1"/>
  <c r="F100" i="32"/>
  <c r="G100" i="32" s="1"/>
  <c r="G101" i="32" s="1"/>
  <c r="H95" i="32" s="1"/>
  <c r="F324" i="25"/>
  <c r="G324" i="25" s="1"/>
  <c r="F673" i="25"/>
  <c r="G673" i="25" s="1"/>
  <c r="F623" i="25"/>
  <c r="G623" i="25" s="1"/>
  <c r="F705" i="25"/>
  <c r="G705" i="25" s="1"/>
  <c r="F590" i="25"/>
  <c r="G590" i="25" s="1"/>
  <c r="F470" i="25"/>
  <c r="G470" i="25" s="1"/>
  <c r="G371" i="25"/>
  <c r="F355" i="25"/>
  <c r="G355" i="25" s="1"/>
  <c r="F518" i="25"/>
  <c r="G518" i="25" s="1"/>
  <c r="F339" i="25"/>
  <c r="G339" i="25" s="1"/>
  <c r="F574" i="25"/>
  <c r="G574" i="25" s="1"/>
  <c r="F438" i="25"/>
  <c r="G438" i="25" s="1"/>
  <c r="F421" i="25"/>
  <c r="G421" i="25" s="1"/>
  <c r="F502" i="25"/>
  <c r="G502" i="25" s="1"/>
  <c r="F535" i="25"/>
  <c r="G535" i="25" s="1"/>
  <c r="F721" i="25"/>
  <c r="G721" i="25" s="1"/>
  <c r="F486" i="25"/>
  <c r="G486" i="25" s="1"/>
  <c r="F689" i="25"/>
  <c r="G689" i="25" s="1"/>
  <c r="F640" i="25"/>
  <c r="G640" i="25" s="1"/>
  <c r="F656" i="25"/>
  <c r="G656" i="25" s="1"/>
  <c r="F293" i="25"/>
  <c r="G293" i="25" s="1"/>
  <c r="G294" i="25" s="1"/>
  <c r="H288" i="25" s="1"/>
  <c r="F145" i="25"/>
  <c r="G145" i="25" s="1"/>
  <c r="F127" i="25"/>
  <c r="G127" i="25" s="1"/>
  <c r="F278" i="25"/>
  <c r="G278" i="25" s="1"/>
  <c r="G279" i="25" s="1"/>
  <c r="H273" i="25" s="1"/>
  <c r="F551" i="25"/>
  <c r="G551" i="25" s="1"/>
  <c r="F607" i="25"/>
  <c r="G607" i="25" s="1"/>
  <c r="F454" i="25"/>
  <c r="G454" i="25" s="1"/>
  <c r="F398" i="25"/>
  <c r="G398" i="25" s="1"/>
  <c r="F163" i="25"/>
  <c r="G163" i="25" s="1"/>
  <c r="F118" i="25"/>
  <c r="G118" i="25" s="1"/>
  <c r="F22" i="25"/>
  <c r="G22" i="25" s="1"/>
  <c r="F53" i="25"/>
  <c r="G53" i="25" s="1"/>
  <c r="F71" i="25"/>
  <c r="G71" i="25" s="1"/>
  <c r="F109" i="25"/>
  <c r="G109" i="25" s="1"/>
  <c r="F30" i="13"/>
  <c r="G30" i="13" s="1"/>
  <c r="F94" i="30"/>
  <c r="G94" i="30" s="1"/>
  <c r="C78" i="30"/>
  <c r="B87" i="30" s="1"/>
  <c r="C59" i="30"/>
  <c r="B69" i="30" s="1"/>
  <c r="F230" i="26"/>
  <c r="G230" i="26" s="1"/>
  <c r="G231" i="26" s="1"/>
  <c r="C164" i="30"/>
  <c r="B173" i="30" s="1"/>
  <c r="F112" i="30"/>
  <c r="G112" i="30" s="1"/>
  <c r="D470" i="25"/>
  <c r="F214" i="30"/>
  <c r="G214" i="30" s="1"/>
  <c r="F181" i="30"/>
  <c r="G181" i="30" s="1"/>
  <c r="F79" i="30"/>
  <c r="G79" i="30" s="1"/>
  <c r="D689" i="25"/>
  <c r="F608" i="25"/>
  <c r="G608" i="25" s="1"/>
  <c r="C809" i="25"/>
  <c r="F690" i="25"/>
  <c r="G690" i="25" s="1"/>
  <c r="F340" i="25"/>
  <c r="G340" i="25" s="1"/>
  <c r="F129" i="30"/>
  <c r="G129" i="30" s="1"/>
  <c r="C37" i="9"/>
  <c r="F31" i="13"/>
  <c r="G31" i="13" s="1"/>
  <c r="C552" i="25"/>
  <c r="F826" i="25"/>
  <c r="G826" i="25" s="1"/>
  <c r="F36" i="9"/>
  <c r="G36" i="9" s="1"/>
  <c r="F163" i="30"/>
  <c r="G163" i="30" s="1"/>
  <c r="F38" i="25"/>
  <c r="G38" i="25" s="1"/>
  <c r="F216" i="30"/>
  <c r="G216" i="30" s="1"/>
  <c r="C216" i="30"/>
  <c r="B225" i="30" s="1"/>
  <c r="F503" i="25"/>
  <c r="G503" i="25" s="1"/>
  <c r="D471" i="25"/>
  <c r="C536" i="25"/>
  <c r="F18" i="9"/>
  <c r="G18" i="9" s="1"/>
  <c r="D372" i="25"/>
  <c r="C486" i="25"/>
  <c r="D762" i="25"/>
  <c r="F657" i="25"/>
  <c r="G657" i="25" s="1"/>
  <c r="C689" i="25"/>
  <c r="D706" i="25"/>
  <c r="C455" i="25"/>
  <c r="F794" i="25"/>
  <c r="G794" i="25" s="1"/>
  <c r="D810" i="25"/>
  <c r="C575" i="25"/>
  <c r="C215" i="30"/>
  <c r="B224" i="30" s="1"/>
  <c r="D293" i="25"/>
  <c r="F164" i="30"/>
  <c r="G164" i="30" s="1"/>
  <c r="F372" i="25"/>
  <c r="G372" i="25" s="1"/>
  <c r="F810" i="25"/>
  <c r="G810" i="25" s="1"/>
  <c r="C197" i="30"/>
  <c r="B206" i="30" s="1"/>
  <c r="D778" i="25"/>
  <c r="F113" i="30"/>
  <c r="G113" i="30" s="1"/>
  <c r="F641" i="25"/>
  <c r="G641" i="25" s="1"/>
  <c r="C77" i="30"/>
  <c r="B86" i="30" s="1"/>
  <c r="F131" i="30"/>
  <c r="G131" i="30" s="1"/>
  <c r="F114" i="30"/>
  <c r="G114" i="30" s="1"/>
  <c r="F221" i="26"/>
  <c r="G221" i="26" s="1"/>
  <c r="G222" i="26" s="1"/>
  <c r="H215" i="26" s="1"/>
  <c r="C145" i="25"/>
  <c r="F746" i="25"/>
  <c r="G746" i="25" s="1"/>
  <c r="D624" i="25"/>
  <c r="C61" i="30"/>
  <c r="B71" i="30" s="1"/>
  <c r="D777" i="25"/>
  <c r="F37" i="9"/>
  <c r="G37" i="9" s="1"/>
  <c r="D656" i="25"/>
  <c r="F487" i="25"/>
  <c r="G487" i="25" s="1"/>
  <c r="D640" i="25"/>
  <c r="C130" i="30"/>
  <c r="B139" i="30" s="1"/>
  <c r="D278" i="25"/>
  <c r="D705" i="25"/>
  <c r="F552" i="25"/>
  <c r="G552" i="25" s="1"/>
  <c r="F54" i="25"/>
  <c r="G54" i="25" s="1"/>
  <c r="C79" i="30"/>
  <c r="B88" i="30" s="1"/>
  <c r="C518" i="25"/>
  <c r="C182" i="30"/>
  <c r="B191" i="30" s="1"/>
  <c r="F591" i="25"/>
  <c r="G591" i="25" s="1"/>
  <c r="F188" i="26"/>
  <c r="G188" i="26" s="1"/>
  <c r="G189" i="26" s="1"/>
  <c r="H183" i="26" s="1"/>
  <c r="C96" i="30"/>
  <c r="B106" i="30" s="1"/>
  <c r="D746" i="25"/>
  <c r="C110" i="25"/>
  <c r="F722" i="25"/>
  <c r="G722" i="25" s="1"/>
  <c r="F198" i="30"/>
  <c r="G198" i="30" s="1"/>
  <c r="C214" i="30"/>
  <c r="B223" i="30" s="1"/>
  <c r="D324" i="25"/>
  <c r="D109" i="25"/>
  <c r="D96" i="30"/>
  <c r="C826" i="25"/>
  <c r="C95" i="30"/>
  <c r="B105" i="30" s="1"/>
  <c r="C42" i="30"/>
  <c r="B52" i="30" s="1"/>
  <c r="C762" i="25"/>
  <c r="C640" i="25"/>
  <c r="C114" i="30"/>
  <c r="B123" i="30" s="1"/>
  <c r="C163" i="30"/>
  <c r="B172" i="30" s="1"/>
  <c r="F778" i="25"/>
  <c r="G778" i="25" s="1"/>
  <c r="C778" i="25"/>
  <c r="F42" i="30"/>
  <c r="G42" i="30" s="1"/>
  <c r="F23" i="25"/>
  <c r="G23" i="25" s="1"/>
  <c r="F164" i="25"/>
  <c r="G164" i="25" s="1"/>
  <c r="C519" i="25"/>
  <c r="C38" i="25"/>
  <c r="C551" i="25"/>
  <c r="D128" i="25"/>
  <c r="D857" i="25"/>
  <c r="C221" i="26"/>
  <c r="D355" i="25"/>
  <c r="D22" i="13"/>
  <c r="D551" i="25"/>
  <c r="D77" i="30"/>
  <c r="D198" i="30"/>
  <c r="D54" i="25"/>
  <c r="D31" i="13"/>
  <c r="D552" i="25"/>
  <c r="C657" i="25"/>
  <c r="C656" i="25"/>
  <c r="D519" i="25"/>
  <c r="F148" i="30"/>
  <c r="G148" i="30" s="1"/>
  <c r="F762" i="25"/>
  <c r="G762" i="25" s="1"/>
  <c r="F182" i="30"/>
  <c r="G182" i="30" s="1"/>
  <c r="F197" i="30"/>
  <c r="G197" i="30" s="1"/>
  <c r="D502" i="25"/>
  <c r="C293" i="25"/>
  <c r="F215" i="30"/>
  <c r="G215" i="30" s="1"/>
  <c r="F165" i="30"/>
  <c r="G165" i="30" s="1"/>
  <c r="C43" i="30"/>
  <c r="B53" i="30" s="1"/>
  <c r="D454" i="25"/>
  <c r="D71" i="25"/>
  <c r="C127" i="25"/>
  <c r="D197" i="30"/>
  <c r="D119" i="25"/>
  <c r="D79" i="30"/>
  <c r="D575" i="25"/>
  <c r="D340" i="25"/>
  <c r="D623" i="25"/>
  <c r="F119" i="25"/>
  <c r="G119" i="25" s="1"/>
  <c r="D110" i="25"/>
  <c r="C188" i="26"/>
  <c r="D147" i="30"/>
  <c r="C421" i="25"/>
  <c r="D146" i="25"/>
  <c r="C880" i="25"/>
  <c r="C608" i="25"/>
  <c r="D608" i="25"/>
  <c r="D214" i="30"/>
  <c r="D38" i="25"/>
  <c r="C230" i="26"/>
  <c r="D113" i="30"/>
  <c r="C355" i="25"/>
  <c r="C339" i="25"/>
  <c r="D826" i="25"/>
  <c r="F147" i="30"/>
  <c r="G147" i="30" s="1"/>
  <c r="C60" i="30"/>
  <c r="B70" i="30" s="1"/>
  <c r="F422" i="25"/>
  <c r="G422" i="25" s="1"/>
  <c r="F41" i="30"/>
  <c r="G41" i="30" s="1"/>
  <c r="C147" i="30"/>
  <c r="B156" i="30" s="1"/>
  <c r="F575" i="25"/>
  <c r="G575" i="25" s="1"/>
  <c r="F130" i="30"/>
  <c r="G130" i="30" s="1"/>
  <c r="F146" i="25"/>
  <c r="G146" i="25" s="1"/>
  <c r="F706" i="25"/>
  <c r="G706" i="25" s="1"/>
  <c r="C22" i="25"/>
  <c r="C53" i="25"/>
  <c r="D199" i="30"/>
  <c r="D42" i="30"/>
  <c r="D188" i="26"/>
  <c r="C641" i="25"/>
  <c r="D221" i="26"/>
  <c r="D421" i="25"/>
  <c r="C31" i="13"/>
  <c r="C857" i="25"/>
  <c r="D78" i="30"/>
  <c r="C591" i="25"/>
  <c r="C129" i="30"/>
  <c r="B138" i="30" s="1"/>
  <c r="C777" i="25"/>
  <c r="F881" i="25"/>
  <c r="G881" i="25" s="1"/>
  <c r="D721" i="25"/>
  <c r="F455" i="25"/>
  <c r="G455" i="25" s="1"/>
  <c r="C690" i="25"/>
  <c r="C165" i="30"/>
  <c r="B174" i="30" s="1"/>
  <c r="D399" i="25"/>
  <c r="C439" i="25"/>
  <c r="D422" i="25"/>
  <c r="D30" i="13"/>
  <c r="D94" i="30"/>
  <c r="D164" i="30"/>
  <c r="C623" i="25"/>
  <c r="D163" i="25"/>
  <c r="D518" i="25"/>
  <c r="C705" i="25"/>
  <c r="C119" i="25"/>
  <c r="D163" i="30"/>
  <c r="D22" i="25"/>
  <c r="C722" i="25"/>
  <c r="C22" i="13"/>
  <c r="D230" i="26"/>
  <c r="C36" i="9"/>
  <c r="C438" i="25"/>
  <c r="C109" i="25"/>
  <c r="C94" i="30"/>
  <c r="B104" i="30" s="1"/>
  <c r="D41" i="30"/>
  <c r="F858" i="25"/>
  <c r="G858" i="25" s="1"/>
  <c r="C793" i="25"/>
  <c r="F72" i="25"/>
  <c r="G72" i="25" s="1"/>
  <c r="C794" i="25"/>
  <c r="F59" i="30"/>
  <c r="G59" i="30" s="1"/>
  <c r="C673" i="25"/>
  <c r="C535" i="25"/>
  <c r="F624" i="25"/>
  <c r="G624" i="25" s="1"/>
  <c r="C112" i="30"/>
  <c r="B121" i="30" s="1"/>
  <c r="D61" i="30"/>
  <c r="C146" i="25"/>
  <c r="D148" i="30"/>
  <c r="D722" i="25"/>
  <c r="D112" i="30"/>
  <c r="C118" i="25"/>
  <c r="C590" i="25"/>
  <c r="D356" i="25"/>
  <c r="C607" i="25"/>
  <c r="C278" i="25"/>
  <c r="C371" i="25"/>
  <c r="D487" i="25"/>
  <c r="D574" i="25"/>
  <c r="F180" i="30"/>
  <c r="G180" i="30" s="1"/>
  <c r="C745" i="25"/>
  <c r="C858" i="25"/>
  <c r="C825" i="25"/>
  <c r="D503" i="25"/>
  <c r="C487" i="25"/>
  <c r="D809" i="25"/>
  <c r="C674" i="25"/>
  <c r="F95" i="30"/>
  <c r="G95" i="30" s="1"/>
  <c r="C131" i="30"/>
  <c r="B140" i="30" s="1"/>
  <c r="F146" i="30"/>
  <c r="G146" i="30" s="1"/>
  <c r="C706" i="25"/>
  <c r="F77" i="30"/>
  <c r="G77" i="30" s="1"/>
  <c r="F96" i="30"/>
  <c r="G96" i="30" s="1"/>
  <c r="D793" i="25"/>
  <c r="C398" i="25"/>
  <c r="D53" i="25"/>
  <c r="C54" i="25"/>
  <c r="D95" i="30"/>
  <c r="D607" i="25"/>
  <c r="D43" i="30"/>
  <c r="D165" i="30"/>
  <c r="D858" i="25"/>
  <c r="D371" i="25"/>
  <c r="D18" i="9"/>
  <c r="D26" i="9" s="1"/>
  <c r="D118" i="25"/>
  <c r="D17" i="9"/>
  <c r="D25" i="9" s="1"/>
  <c r="D72" i="25"/>
  <c r="F43" i="30"/>
  <c r="G43" i="30" s="1"/>
  <c r="D455" i="25"/>
  <c r="D486" i="25"/>
  <c r="F199" i="30"/>
  <c r="G199" i="30" s="1"/>
  <c r="F519" i="25"/>
  <c r="G519" i="25" s="1"/>
  <c r="D745" i="25"/>
  <c r="C454" i="25"/>
  <c r="D536" i="25"/>
  <c r="D690" i="25"/>
  <c r="D145" i="25"/>
  <c r="F128" i="25"/>
  <c r="G128" i="25" s="1"/>
  <c r="C198" i="30"/>
  <c r="B207" i="30" s="1"/>
  <c r="F61" i="30"/>
  <c r="G61" i="30" s="1"/>
  <c r="F536" i="25"/>
  <c r="G536" i="25" s="1"/>
  <c r="C470" i="25"/>
  <c r="D37" i="9"/>
  <c r="D674" i="25"/>
  <c r="C746" i="25"/>
  <c r="F439" i="25"/>
  <c r="G439" i="25" s="1"/>
  <c r="F78" i="30"/>
  <c r="G78" i="30" s="1"/>
  <c r="D438" i="25"/>
  <c r="C624" i="25"/>
  <c r="D23" i="25"/>
  <c r="C71" i="25"/>
  <c r="D182" i="30"/>
  <c r="D131" i="30"/>
  <c r="C30" i="13"/>
  <c r="D180" i="30"/>
  <c r="C574" i="25"/>
  <c r="D439" i="25"/>
  <c r="D215" i="30"/>
  <c r="C721" i="25"/>
  <c r="C502" i="25"/>
  <c r="D164" i="25"/>
  <c r="C810" i="25"/>
  <c r="D761" i="25"/>
  <c r="D398" i="25"/>
  <c r="C372" i="25"/>
  <c r="C164" i="25"/>
  <c r="C324" i="25"/>
  <c r="D60" i="30"/>
  <c r="C881" i="25"/>
  <c r="C356" i="25"/>
  <c r="C181" i="30"/>
  <c r="B190" i="30" s="1"/>
  <c r="D657" i="25"/>
  <c r="F471" i="25"/>
  <c r="G471" i="25" s="1"/>
  <c r="C146" i="30"/>
  <c r="B155" i="30" s="1"/>
  <c r="F60" i="30"/>
  <c r="G60" i="30" s="1"/>
  <c r="F356" i="25"/>
  <c r="G356" i="25" s="1"/>
  <c r="C148" i="30"/>
  <c r="B157" i="30" s="1"/>
  <c r="C199" i="30"/>
  <c r="B208" i="30" s="1"/>
  <c r="C113" i="30"/>
  <c r="B122" i="30" s="1"/>
  <c r="F399" i="25"/>
  <c r="G399" i="25" s="1"/>
  <c r="C41" i="30"/>
  <c r="B51" i="30" s="1"/>
  <c r="D590" i="25"/>
  <c r="D114" i="30"/>
  <c r="D181" i="30"/>
  <c r="C471" i="25"/>
  <c r="D36" i="9"/>
  <c r="C72" i="25"/>
  <c r="D146" i="30"/>
  <c r="C399" i="25"/>
  <c r="C128" i="25"/>
  <c r="D591" i="25"/>
  <c r="C23" i="25"/>
  <c r="D825" i="25"/>
  <c r="D59" i="30"/>
  <c r="D673" i="25"/>
  <c r="D339" i="25"/>
  <c r="C163" i="25"/>
  <c r="C503" i="25"/>
  <c r="D129" i="30"/>
  <c r="D127" i="25"/>
  <c r="C422" i="25"/>
  <c r="C340" i="25"/>
  <c r="C761" i="25"/>
  <c r="D794" i="25"/>
  <c r="D216" i="30"/>
  <c r="D641" i="25"/>
  <c r="D130" i="30"/>
  <c r="C180" i="30"/>
  <c r="B189" i="30" s="1"/>
  <c r="D535" i="25"/>
  <c r="F674" i="25"/>
  <c r="G674" i="25" s="1"/>
  <c r="F519" i="32"/>
  <c r="G519" i="32" s="1"/>
  <c r="F171" i="32"/>
  <c r="G171" i="32" s="1"/>
  <c r="D131" i="32"/>
  <c r="F349" i="32"/>
  <c r="G349" i="32" s="1"/>
  <c r="C186" i="32"/>
  <c r="C23" i="32"/>
  <c r="C246" i="32"/>
  <c r="F162" i="32"/>
  <c r="G162" i="32" s="1"/>
  <c r="D152" i="32"/>
  <c r="C628" i="32"/>
  <c r="D23" i="32"/>
  <c r="C435" i="32"/>
  <c r="C409" i="32"/>
  <c r="D349" i="32"/>
  <c r="C140" i="32"/>
  <c r="D215" i="32"/>
  <c r="C152" i="32"/>
  <c r="C215" i="32"/>
  <c r="C393" i="32"/>
  <c r="D359" i="32"/>
  <c r="D393" i="32"/>
  <c r="D22" i="32"/>
  <c r="D517" i="32"/>
  <c r="C374" i="32"/>
  <c r="C100" i="32"/>
  <c r="D141" i="32"/>
  <c r="C171" i="32"/>
  <c r="D881" i="25"/>
  <c r="D435" i="32"/>
  <c r="F132" i="32"/>
  <c r="G132" i="32" s="1"/>
  <c r="F248" i="32"/>
  <c r="G248" i="32" s="1"/>
  <c r="F378" i="32"/>
  <c r="G378" i="32" s="1"/>
  <c r="D150" i="32"/>
  <c r="D85" i="32"/>
  <c r="D248" i="32"/>
  <c r="C699" i="32"/>
  <c r="F521" i="32"/>
  <c r="G521" i="32" s="1"/>
  <c r="F59" i="32"/>
  <c r="G59" i="32" s="1"/>
  <c r="C436" i="32"/>
  <c r="F436" i="32"/>
  <c r="G436" i="32" s="1"/>
  <c r="C629" i="32"/>
  <c r="D358" i="32"/>
  <c r="D58" i="32"/>
  <c r="D374" i="32"/>
  <c r="C378" i="32"/>
  <c r="F23" i="32"/>
  <c r="G23" i="32" s="1"/>
  <c r="C58" i="32"/>
  <c r="D378" i="32"/>
  <c r="F699" i="32"/>
  <c r="G699" i="32" s="1"/>
  <c r="F250" i="32"/>
  <c r="G250" i="32" s="1"/>
  <c r="F377" i="32"/>
  <c r="G377" i="32" s="1"/>
  <c r="C150" i="32"/>
  <c r="C349" i="32"/>
  <c r="D100" i="32"/>
  <c r="C59" i="32"/>
  <c r="C519" i="32"/>
  <c r="D628" i="32"/>
  <c r="C22" i="32"/>
  <c r="F629" i="32"/>
  <c r="G629" i="32" s="1"/>
  <c r="C162" i="32"/>
  <c r="D171" i="32"/>
  <c r="F161" i="32"/>
  <c r="G161" i="32" s="1"/>
  <c r="C248" i="32"/>
  <c r="C250" i="32"/>
  <c r="D246" i="32"/>
  <c r="C151" i="32"/>
  <c r="D629" i="32"/>
  <c r="D409" i="32"/>
  <c r="C350" i="32"/>
  <c r="C132" i="32"/>
  <c r="C521" i="32"/>
  <c r="D140" i="32"/>
  <c r="D31" i="32"/>
  <c r="D394" i="32"/>
  <c r="D408" i="32"/>
  <c r="C359" i="32"/>
  <c r="C520" i="32"/>
  <c r="D187" i="32"/>
  <c r="F151" i="32"/>
  <c r="G151" i="32" s="1"/>
  <c r="D436" i="32"/>
  <c r="C160" i="32"/>
  <c r="F409" i="32"/>
  <c r="G409" i="32" s="1"/>
  <c r="D521" i="32"/>
  <c r="F187" i="32"/>
  <c r="G187" i="32" s="1"/>
  <c r="D249" i="32"/>
  <c r="F141" i="32"/>
  <c r="G141" i="32" s="1"/>
  <c r="C358" i="32"/>
  <c r="F249" i="32"/>
  <c r="G249" i="32" s="1"/>
  <c r="C675" i="32"/>
  <c r="D698" i="32"/>
  <c r="D170" i="32"/>
  <c r="D520" i="32"/>
  <c r="D186" i="32"/>
  <c r="C517" i="32"/>
  <c r="F152" i="32"/>
  <c r="G152" i="32" s="1"/>
  <c r="D350" i="32"/>
  <c r="C131" i="32"/>
  <c r="D162" i="32"/>
  <c r="C676" i="32"/>
  <c r="D519" i="32"/>
  <c r="C377" i="32"/>
  <c r="D151" i="32"/>
  <c r="C85" i="32"/>
  <c r="C394" i="32"/>
  <c r="F359" i="32"/>
  <c r="G359" i="32" s="1"/>
  <c r="D132" i="32"/>
  <c r="D59" i="32"/>
  <c r="D160" i="32"/>
  <c r="D675" i="32"/>
  <c r="C408" i="32"/>
  <c r="D161" i="32"/>
  <c r="C31" i="32"/>
  <c r="F676" i="32"/>
  <c r="G676" i="32" s="1"/>
  <c r="D676" i="32"/>
  <c r="C187" i="32"/>
  <c r="F394" i="32"/>
  <c r="G394" i="32" s="1"/>
  <c r="C141" i="32"/>
  <c r="C249" i="32"/>
  <c r="D250" i="32"/>
  <c r="D880" i="25"/>
  <c r="D377" i="32"/>
  <c r="F350" i="32"/>
  <c r="G350" i="32" s="1"/>
  <c r="F520" i="32"/>
  <c r="G520" i="32" s="1"/>
  <c r="D699" i="32"/>
  <c r="C161" i="32"/>
  <c r="C698" i="32"/>
  <c r="C170" i="32"/>
  <c r="B183" i="26" l="1"/>
  <c r="B207" i="26"/>
  <c r="B191" i="26"/>
  <c r="B215" i="26"/>
  <c r="B199" i="26"/>
  <c r="G437" i="32"/>
  <c r="H430" i="32" s="1"/>
  <c r="G142" i="32"/>
  <c r="H135" i="32" s="1"/>
  <c r="G400" i="25"/>
  <c r="H393" i="25" s="1"/>
  <c r="G811" i="25"/>
  <c r="H804" i="25" s="1"/>
  <c r="G779" i="25"/>
  <c r="H772" i="25" s="1"/>
  <c r="G747" i="25"/>
  <c r="H740" i="25" s="1"/>
  <c r="G723" i="25"/>
  <c r="H716" i="25" s="1"/>
  <c r="G691" i="25"/>
  <c r="H684" i="25" s="1"/>
  <c r="G553" i="25"/>
  <c r="H546" i="25" s="1"/>
  <c r="G537" i="25"/>
  <c r="H530" i="25" s="1"/>
  <c r="G520" i="25"/>
  <c r="H513" i="25" s="1"/>
  <c r="G488" i="25"/>
  <c r="H481" i="25" s="1"/>
  <c r="G472" i="25"/>
  <c r="H465" i="25" s="1"/>
  <c r="G456" i="25"/>
  <c r="H449" i="25" s="1"/>
  <c r="G440" i="25"/>
  <c r="H433" i="25" s="1"/>
  <c r="G859" i="25"/>
  <c r="G882" i="25"/>
  <c r="H875" i="25" s="1"/>
  <c r="G423" i="25"/>
  <c r="H416" i="25" s="1"/>
  <c r="G325" i="25"/>
  <c r="H319" i="25" s="1"/>
  <c r="G373" i="25"/>
  <c r="H366" i="25" s="1"/>
  <c r="G24" i="25"/>
  <c r="H17" i="25" s="1"/>
  <c r="G129" i="25"/>
  <c r="H122" i="25" s="1"/>
  <c r="G120" i="25"/>
  <c r="H113" i="25" s="1"/>
  <c r="G111" i="25"/>
  <c r="H104" i="25" s="1"/>
  <c r="G165" i="25"/>
  <c r="H158" i="25" s="1"/>
  <c r="H222" i="25"/>
  <c r="G32" i="13"/>
  <c r="H25" i="13" s="1"/>
  <c r="H224" i="26"/>
  <c r="B249" i="26" s="1"/>
  <c r="H25" i="9"/>
  <c r="P22" i="7" s="1"/>
  <c r="G166" i="30"/>
  <c r="F237" i="30" s="1"/>
  <c r="G237" i="30" s="1"/>
  <c r="G132" i="30"/>
  <c r="F235" i="30" s="1"/>
  <c r="G235" i="30" s="1"/>
  <c r="G60" i="32"/>
  <c r="H53" i="32" s="1"/>
  <c r="G38" i="9"/>
  <c r="H29" i="9" s="1"/>
  <c r="G341" i="25"/>
  <c r="H334" i="25" s="1"/>
  <c r="G675" i="25"/>
  <c r="H668" i="25" s="1"/>
  <c r="G360" i="32"/>
  <c r="H353" i="32" s="1"/>
  <c r="G39" i="25"/>
  <c r="H33" i="25" s="1"/>
  <c r="H303" i="25"/>
  <c r="G827" i="25"/>
  <c r="H820" i="25" s="1"/>
  <c r="G55" i="25"/>
  <c r="H48" i="25" s="1"/>
  <c r="G609" i="25"/>
  <c r="H602" i="25" s="1"/>
  <c r="G147" i="25"/>
  <c r="H140" i="25" s="1"/>
  <c r="G357" i="25"/>
  <c r="H350" i="25" s="1"/>
  <c r="G410" i="32"/>
  <c r="H403" i="32" s="1"/>
  <c r="G763" i="25"/>
  <c r="H756" i="25" s="1"/>
  <c r="G630" i="32"/>
  <c r="H615" i="32" s="1"/>
  <c r="H80" i="32"/>
  <c r="G677" i="32"/>
  <c r="H660" i="32" s="1"/>
  <c r="G504" i="25"/>
  <c r="H497" i="25" s="1"/>
  <c r="G395" i="32"/>
  <c r="H388" i="32" s="1"/>
  <c r="G658" i="25"/>
  <c r="H651" i="25" s="1"/>
  <c r="G592" i="25"/>
  <c r="G795" i="25"/>
  <c r="H788" i="25" s="1"/>
  <c r="G73" i="25"/>
  <c r="H66" i="25" s="1"/>
  <c r="G642" i="25"/>
  <c r="H635" i="25" s="1"/>
  <c r="G707" i="25"/>
  <c r="H700" i="25" s="1"/>
  <c r="G24" i="32"/>
  <c r="H17" i="32" s="1"/>
  <c r="G576" i="25"/>
  <c r="G625" i="25"/>
  <c r="H618" i="25" s="1"/>
  <c r="G163" i="32"/>
  <c r="H155" i="32" s="1"/>
  <c r="G700" i="32"/>
  <c r="G172" i="32"/>
  <c r="H165" i="32" s="1"/>
  <c r="G133" i="32"/>
  <c r="H125" i="32" s="1"/>
  <c r="G153" i="32"/>
  <c r="H145" i="32" s="1"/>
  <c r="G188" i="32"/>
  <c r="H181" i="32" s="1"/>
  <c r="G97" i="30"/>
  <c r="F233" i="30" s="1"/>
  <c r="G233" i="30" s="1"/>
  <c r="G115" i="30"/>
  <c r="F234" i="30" s="1"/>
  <c r="G234" i="30" s="1"/>
  <c r="G149" i="30"/>
  <c r="F236" i="30" s="1"/>
  <c r="G236" i="30" s="1"/>
  <c r="G217" i="30"/>
  <c r="F240" i="30" s="1"/>
  <c r="G240" i="30" s="1"/>
  <c r="G200" i="30"/>
  <c r="F239" i="30" s="1"/>
  <c r="G239" i="30" s="1"/>
  <c r="G44" i="30"/>
  <c r="F230" i="30" s="1"/>
  <c r="G230" i="30" s="1"/>
  <c r="G183" i="30"/>
  <c r="F238" i="30" s="1"/>
  <c r="G238" i="30" s="1"/>
  <c r="G62" i="30"/>
  <c r="F231" i="30" s="1"/>
  <c r="G231" i="30" s="1"/>
  <c r="G80" i="30"/>
  <c r="F232" i="30" s="1"/>
  <c r="G232" i="30" s="1"/>
  <c r="G522" i="32"/>
  <c r="H485" i="32" s="1"/>
  <c r="G251" i="32"/>
  <c r="H219" i="32" s="1"/>
  <c r="H212" i="32"/>
  <c r="G351" i="32"/>
  <c r="H344" i="32" s="1"/>
  <c r="G379" i="32"/>
  <c r="H371" i="32" s="1"/>
  <c r="B235" i="26" l="1"/>
  <c r="B224" i="26"/>
  <c r="B497" i="25"/>
  <c r="B319" i="25"/>
  <c r="B140" i="25"/>
  <c r="B17" i="25"/>
  <c r="B303" i="25"/>
  <c r="B481" i="25"/>
  <c r="B131" i="25"/>
  <c r="B433" i="25"/>
  <c r="B256" i="25"/>
  <c r="B104" i="25"/>
  <c r="B449" i="25"/>
  <c r="B239" i="25"/>
  <c r="B416" i="25"/>
  <c r="B190" i="25"/>
  <c r="B33" i="25"/>
  <c r="B393" i="25"/>
  <c r="B174" i="25"/>
  <c r="B113" i="25"/>
  <c r="B384" i="25"/>
  <c r="B158" i="25"/>
  <c r="B149" i="25"/>
  <c r="B350" i="25"/>
  <c r="B66" i="25"/>
  <c r="B375" i="25"/>
  <c r="B122" i="25"/>
  <c r="B366" i="25"/>
  <c r="B334" i="25"/>
  <c r="B94" i="25"/>
  <c r="B546" i="25"/>
  <c r="B288" i="25"/>
  <c r="B84" i="25"/>
  <c r="B273" i="25"/>
  <c r="B530" i="25"/>
  <c r="B75" i="25"/>
  <c r="B465" i="25"/>
  <c r="B222" i="25"/>
  <c r="B57" i="25"/>
  <c r="B206" i="25"/>
  <c r="B48" i="25"/>
  <c r="B513" i="25"/>
  <c r="B412" i="32"/>
  <c r="B155" i="32"/>
  <c r="B26" i="32"/>
  <c r="B403" i="32"/>
  <c r="B145" i="32"/>
  <c r="B485" i="32"/>
  <c r="B362" i="32"/>
  <c r="B110" i="32"/>
  <c r="B353" i="32"/>
  <c r="B62" i="32"/>
  <c r="B660" i="32"/>
  <c r="B344" i="32"/>
  <c r="B53" i="32"/>
  <c r="B467" i="32"/>
  <c r="B457" i="32"/>
  <c r="B615" i="32"/>
  <c r="B219" i="32"/>
  <c r="B44" i="32"/>
  <c r="B212" i="32"/>
  <c r="B197" i="32"/>
  <c r="B181" i="32"/>
  <c r="B476" i="32"/>
  <c r="B35" i="32"/>
  <c r="B448" i="32"/>
  <c r="B165" i="32"/>
  <c r="B439" i="32"/>
  <c r="B125" i="32"/>
  <c r="B421" i="32"/>
  <c r="B135" i="32"/>
  <c r="B430" i="32"/>
  <c r="B95" i="32"/>
  <c r="B388" i="32"/>
  <c r="B80" i="32"/>
  <c r="B371" i="32"/>
  <c r="B71" i="32"/>
  <c r="B40" i="29"/>
  <c r="G76" i="7" s="1"/>
  <c r="B32" i="29"/>
  <c r="G75" i="7" s="1"/>
  <c r="B14" i="29"/>
  <c r="G74" i="7" s="1"/>
  <c r="B17" i="13"/>
  <c r="G291" i="7" s="1"/>
  <c r="C291" i="7" s="1"/>
  <c r="B25" i="13"/>
  <c r="G293" i="7" s="1"/>
  <c r="E279" i="36"/>
  <c r="E510" i="36"/>
  <c r="H569" i="25"/>
  <c r="H585" i="25"/>
  <c r="H693" i="32"/>
  <c r="B693" i="32" s="1"/>
  <c r="H852" i="25"/>
  <c r="G241" i="30"/>
  <c r="E560" i="36" l="1"/>
  <c r="D560" i="36"/>
  <c r="C560" i="36"/>
  <c r="C293" i="7"/>
  <c r="H293" i="7"/>
  <c r="C75" i="7"/>
  <c r="H75" i="7"/>
  <c r="C76" i="7"/>
  <c r="H76" i="7"/>
  <c r="C74" i="7"/>
  <c r="H74" i="7"/>
  <c r="B14" i="31"/>
  <c r="G322" i="7" s="1"/>
  <c r="B65" i="31"/>
  <c r="G325" i="7" s="1"/>
  <c r="C325" i="7" s="1"/>
  <c r="B82" i="31"/>
  <c r="G326" i="7" s="1"/>
  <c r="B99" i="31"/>
  <c r="G327" i="7" s="1"/>
  <c r="B891" i="25"/>
  <c r="B618" i="25"/>
  <c r="B668" i="25"/>
  <c r="B740" i="25"/>
  <c r="B804" i="25"/>
  <c r="B718" i="32"/>
  <c r="B734" i="32"/>
  <c r="B702" i="32"/>
  <c r="B569" i="25"/>
  <c r="B716" i="25"/>
  <c r="B684" i="25"/>
  <c r="B726" i="32"/>
  <c r="B756" i="25"/>
  <c r="B820" i="25"/>
  <c r="B709" i="32"/>
  <c r="B852" i="25"/>
  <c r="B651" i="25"/>
  <c r="B772" i="25"/>
  <c r="B585" i="25"/>
  <c r="B788" i="25"/>
  <c r="B875" i="25"/>
  <c r="B700" i="25"/>
  <c r="B602" i="25"/>
  <c r="B635" i="25"/>
  <c r="B836" i="25"/>
  <c r="H290" i="7"/>
  <c r="D45" i="36"/>
  <c r="E42" i="36"/>
  <c r="C40" i="36"/>
  <c r="E47" i="36"/>
  <c r="C45" i="36"/>
  <c r="D42" i="36"/>
  <c r="E39" i="36"/>
  <c r="C43" i="36"/>
  <c r="D47" i="36"/>
  <c r="E44" i="36"/>
  <c r="C42" i="36"/>
  <c r="D39" i="36"/>
  <c r="C47" i="36"/>
  <c r="D44" i="36"/>
  <c r="E41" i="36"/>
  <c r="C39" i="36"/>
  <c r="E46" i="36"/>
  <c r="C44" i="36"/>
  <c r="D41" i="36"/>
  <c r="E38" i="36"/>
  <c r="D46" i="36"/>
  <c r="E43" i="36"/>
  <c r="C41" i="36"/>
  <c r="D38" i="36"/>
  <c r="E45" i="36"/>
  <c r="D40" i="36"/>
  <c r="C46" i="36"/>
  <c r="D43" i="36"/>
  <c r="E40" i="36"/>
  <c r="C38" i="36"/>
  <c r="E20" i="36"/>
  <c r="E31" i="36"/>
  <c r="C29" i="36"/>
  <c r="D31" i="36"/>
  <c r="C31" i="36"/>
  <c r="E30" i="36"/>
  <c r="D30" i="36"/>
  <c r="C32" i="36"/>
  <c r="D29" i="36"/>
  <c r="E32" i="36"/>
  <c r="C30" i="36"/>
  <c r="D32" i="36"/>
  <c r="E29" i="36"/>
  <c r="E37" i="36"/>
  <c r="E35" i="36"/>
  <c r="D37" i="36"/>
  <c r="D34" i="36"/>
  <c r="E34" i="36"/>
  <c r="E36" i="36"/>
  <c r="D36" i="36"/>
  <c r="D35" i="36"/>
  <c r="C36" i="36"/>
  <c r="C37" i="36"/>
  <c r="C34" i="36"/>
  <c r="C33" i="36"/>
  <c r="C35" i="36"/>
  <c r="D33" i="36"/>
  <c r="E33" i="36"/>
  <c r="E21" i="36"/>
  <c r="C20" i="36"/>
  <c r="D20" i="36"/>
  <c r="C50" i="36"/>
  <c r="I22" i="7" s="1"/>
  <c r="D50" i="36"/>
  <c r="J22" i="7" s="1"/>
  <c r="E22" i="36"/>
  <c r="E23" i="36"/>
  <c r="E24" i="36"/>
  <c r="C544" i="36"/>
  <c r="C24" i="36"/>
  <c r="D24" i="36"/>
  <c r="C21" i="36"/>
  <c r="D23" i="36"/>
  <c r="D21" i="36"/>
  <c r="C22" i="36"/>
  <c r="D22" i="36"/>
  <c r="C23" i="36"/>
  <c r="C27" i="36"/>
  <c r="D27" i="36"/>
  <c r="C28" i="36"/>
  <c r="D25" i="36"/>
  <c r="D28" i="36"/>
  <c r="C25" i="36"/>
  <c r="C26" i="36"/>
  <c r="D26" i="36"/>
  <c r="E26" i="36"/>
  <c r="E28" i="36"/>
  <c r="E25" i="36"/>
  <c r="E27" i="36"/>
  <c r="E9" i="36" l="1"/>
  <c r="E7" i="36"/>
  <c r="E8" i="36"/>
  <c r="L323" i="7" s="1"/>
  <c r="M323" i="7" s="1"/>
  <c r="N323" i="7" s="1"/>
  <c r="E11" i="36"/>
  <c r="L322" i="7" s="1"/>
  <c r="M322" i="7" s="1"/>
  <c r="N322" i="7" s="1"/>
  <c r="E6" i="36"/>
  <c r="C322" i="7"/>
  <c r="H322" i="7"/>
  <c r="C15" i="36"/>
  <c r="E14" i="36"/>
  <c r="D14" i="36"/>
  <c r="C14" i="36"/>
  <c r="E17" i="36"/>
  <c r="E13" i="36"/>
  <c r="D17" i="36"/>
  <c r="D13" i="36"/>
  <c r="C17" i="36"/>
  <c r="C13" i="36"/>
  <c r="E16" i="36"/>
  <c r="E12" i="36"/>
  <c r="D16" i="36"/>
  <c r="D12" i="36"/>
  <c r="C16" i="36"/>
  <c r="C12" i="36"/>
  <c r="D15" i="36"/>
  <c r="E15" i="36"/>
  <c r="D6" i="36"/>
  <c r="C6" i="36"/>
  <c r="D8" i="36"/>
  <c r="C9" i="36"/>
  <c r="C8" i="36"/>
  <c r="C7" i="36"/>
  <c r="D7" i="36"/>
  <c r="D9" i="36"/>
  <c r="C327" i="7"/>
  <c r="H327" i="7"/>
  <c r="L327" i="7"/>
  <c r="M327" i="7" s="1"/>
  <c r="N327" i="7" s="1"/>
  <c r="C326" i="7"/>
  <c r="H326" i="7"/>
  <c r="H63" i="7"/>
  <c r="H60" i="7"/>
  <c r="H66" i="7"/>
  <c r="H288" i="7"/>
  <c r="H289" i="7"/>
  <c r="D605" i="36"/>
  <c r="E605" i="36"/>
  <c r="D600" i="36"/>
  <c r="C600" i="36"/>
  <c r="E600" i="36"/>
  <c r="D603" i="36"/>
  <c r="E607" i="36"/>
  <c r="E606" i="36"/>
  <c r="D606" i="36"/>
  <c r="D601" i="36"/>
  <c r="E608" i="36"/>
  <c r="E604" i="36"/>
  <c r="L63" i="7" s="1"/>
  <c r="D604" i="36"/>
  <c r="J63" i="7" s="1"/>
  <c r="E602" i="36"/>
  <c r="D607" i="36"/>
  <c r="E603" i="36"/>
  <c r="D602" i="36"/>
  <c r="E601" i="36"/>
  <c r="D609" i="36"/>
  <c r="D608" i="36"/>
  <c r="C608" i="36"/>
  <c r="E609" i="36"/>
  <c r="E507" i="36"/>
  <c r="D502" i="36"/>
  <c r="D507" i="36"/>
  <c r="C502" i="36"/>
  <c r="C507" i="36"/>
  <c r="E501" i="36"/>
  <c r="E506" i="36"/>
  <c r="D501" i="36"/>
  <c r="D504" i="36"/>
  <c r="D506" i="36"/>
  <c r="C504" i="36"/>
  <c r="C501" i="36"/>
  <c r="E503" i="36"/>
  <c r="C506" i="36"/>
  <c r="E504" i="36"/>
  <c r="E500" i="36"/>
  <c r="D503" i="36"/>
  <c r="E505" i="36"/>
  <c r="C503" i="36"/>
  <c r="D500" i="36"/>
  <c r="E502" i="36"/>
  <c r="D505" i="36"/>
  <c r="C505" i="36"/>
  <c r="C500" i="36"/>
  <c r="C609" i="36"/>
  <c r="C631" i="36"/>
  <c r="D631" i="36"/>
  <c r="E631" i="36"/>
  <c r="C630" i="36"/>
  <c r="E630" i="36"/>
  <c r="D630" i="36"/>
  <c r="E438" i="36"/>
  <c r="C438" i="36"/>
  <c r="D438" i="36"/>
  <c r="E544" i="36"/>
  <c r="D544" i="36"/>
  <c r="E552" i="36"/>
  <c r="C545" i="36"/>
  <c r="D547" i="36"/>
  <c r="D546" i="36"/>
  <c r="C547" i="36"/>
  <c r="C546" i="36"/>
  <c r="E545" i="36"/>
  <c r="E546" i="36"/>
  <c r="D545" i="36"/>
  <c r="E547" i="36"/>
  <c r="C554" i="36"/>
  <c r="E555" i="36"/>
  <c r="C550" i="36"/>
  <c r="D551" i="36"/>
  <c r="E558" i="36"/>
  <c r="C553" i="36"/>
  <c r="D557" i="36"/>
  <c r="C557" i="36"/>
  <c r="E548" i="36"/>
  <c r="C556" i="36"/>
  <c r="D550" i="36"/>
  <c r="E554" i="36"/>
  <c r="D554" i="36"/>
  <c r="D553" i="36"/>
  <c r="E557" i="36"/>
  <c r="C552" i="36"/>
  <c r="E551" i="36"/>
  <c r="D556" i="36"/>
  <c r="E550" i="36"/>
  <c r="C555" i="36"/>
  <c r="D549" i="36"/>
  <c r="C549" i="36"/>
  <c r="E553" i="36"/>
  <c r="C548" i="36"/>
  <c r="C558" i="36"/>
  <c r="D552" i="36"/>
  <c r="C551" i="36"/>
  <c r="D555" i="36"/>
  <c r="E549" i="36"/>
  <c r="E556" i="36"/>
  <c r="D548" i="36"/>
  <c r="D558" i="36"/>
  <c r="D517" i="36"/>
  <c r="C526" i="36"/>
  <c r="D11" i="36"/>
  <c r="C10" i="36"/>
  <c r="D10" i="36"/>
  <c r="C11" i="36"/>
  <c r="E511" i="36"/>
  <c r="C512" i="36"/>
  <c r="E525" i="36"/>
  <c r="C511" i="36"/>
  <c r="C443" i="36"/>
  <c r="D537" i="36"/>
  <c r="D513" i="36"/>
  <c r="E443" i="36"/>
  <c r="D511" i="36"/>
  <c r="E521" i="36"/>
  <c r="C513" i="36"/>
  <c r="D443" i="36"/>
  <c r="E10" i="36"/>
  <c r="L326" i="7" s="1"/>
  <c r="M326" i="7" s="1"/>
  <c r="N326" i="7" s="1"/>
  <c r="D512" i="36"/>
  <c r="C629" i="36"/>
  <c r="E629" i="36"/>
  <c r="D629" i="36"/>
  <c r="E461" i="36"/>
  <c r="C440" i="36"/>
  <c r="D527" i="36"/>
  <c r="E512" i="36"/>
  <c r="D471" i="36"/>
  <c r="E439" i="36"/>
  <c r="D440" i="36"/>
  <c r="E448" i="36"/>
  <c r="E517" i="36"/>
  <c r="D448" i="36"/>
  <c r="C471" i="36"/>
  <c r="E513" i="36"/>
  <c r="C601" i="36"/>
  <c r="D476" i="36"/>
  <c r="D470" i="36"/>
  <c r="D441" i="36"/>
  <c r="E470" i="36"/>
  <c r="C527" i="36"/>
  <c r="D525" i="36"/>
  <c r="C439" i="36"/>
  <c r="E527" i="36"/>
  <c r="D521" i="36"/>
  <c r="C521" i="36"/>
  <c r="D461" i="36"/>
  <c r="D439" i="36"/>
  <c r="E526" i="36"/>
  <c r="C525" i="36"/>
  <c r="C517" i="36"/>
  <c r="C461" i="36"/>
  <c r="C448" i="36"/>
  <c r="E471" i="36"/>
  <c r="E441" i="36"/>
  <c r="C604" i="36"/>
  <c r="I63" i="7" s="1"/>
  <c r="C470" i="36"/>
  <c r="C441" i="36"/>
  <c r="D526" i="36"/>
  <c r="E440" i="36"/>
  <c r="D652" i="36"/>
  <c r="C602" i="36"/>
  <c r="C653" i="36"/>
  <c r="E540" i="36"/>
  <c r="C652" i="36"/>
  <c r="D653" i="36"/>
  <c r="E651" i="36"/>
  <c r="E653" i="36"/>
  <c r="C603" i="36"/>
  <c r="C651" i="36"/>
  <c r="E652" i="36"/>
  <c r="D651" i="36"/>
  <c r="C605" i="36"/>
  <c r="D480" i="36"/>
  <c r="D528" i="36"/>
  <c r="E541" i="36"/>
  <c r="D529" i="36"/>
  <c r="C533" i="36"/>
  <c r="E538" i="36"/>
  <c r="C528" i="36"/>
  <c r="C538" i="36"/>
  <c r="C540" i="36"/>
  <c r="C541" i="36"/>
  <c r="D533" i="36"/>
  <c r="D539" i="36"/>
  <c r="C539" i="36"/>
  <c r="E539" i="36"/>
  <c r="D538" i="36"/>
  <c r="E533" i="36"/>
  <c r="E528" i="36"/>
  <c r="E537" i="36"/>
  <c r="D541" i="36"/>
  <c r="E529" i="36"/>
  <c r="E542" i="36"/>
  <c r="D540" i="36"/>
  <c r="C537" i="36"/>
  <c r="C529" i="36"/>
  <c r="C480" i="36"/>
  <c r="E480" i="36"/>
  <c r="E531" i="36"/>
  <c r="E536" i="36"/>
  <c r="D449" i="36"/>
  <c r="C453" i="36"/>
  <c r="D444" i="36"/>
  <c r="E476" i="36"/>
  <c r="E457" i="36"/>
  <c r="E449" i="36"/>
  <c r="C444" i="36"/>
  <c r="D472" i="36"/>
  <c r="E472" i="36"/>
  <c r="E453" i="36"/>
  <c r="D466" i="36"/>
  <c r="C466" i="36"/>
  <c r="D453" i="36"/>
  <c r="C457" i="36"/>
  <c r="E444" i="36"/>
  <c r="D462" i="36"/>
  <c r="C449" i="36"/>
  <c r="E462" i="36"/>
  <c r="C476" i="36"/>
  <c r="C462" i="36"/>
  <c r="D457" i="36"/>
  <c r="C472" i="36"/>
  <c r="E466" i="36"/>
  <c r="D530" i="36"/>
  <c r="E534" i="36"/>
  <c r="E535" i="36"/>
  <c r="D534" i="36"/>
  <c r="C535" i="36"/>
  <c r="D535" i="36"/>
  <c r="D536" i="36"/>
  <c r="C534" i="36"/>
  <c r="C536" i="36"/>
  <c r="E530" i="36"/>
  <c r="C531" i="36"/>
  <c r="D532" i="36"/>
  <c r="E532" i="36"/>
  <c r="C532" i="36"/>
  <c r="C530" i="36"/>
  <c r="D519" i="36"/>
  <c r="D531" i="36"/>
  <c r="C522" i="36"/>
  <c r="E522" i="36"/>
  <c r="C523" i="36"/>
  <c r="E523" i="36"/>
  <c r="E518" i="36"/>
  <c r="D522" i="36"/>
  <c r="D518" i="36"/>
  <c r="C524" i="36"/>
  <c r="C518" i="36"/>
  <c r="D523" i="36"/>
  <c r="E524" i="36"/>
  <c r="E520" i="36"/>
  <c r="D524" i="36"/>
  <c r="C519" i="36"/>
  <c r="C520" i="36"/>
  <c r="D520" i="36"/>
  <c r="E519" i="36"/>
  <c r="D514" i="36"/>
  <c r="C515" i="36"/>
  <c r="E516" i="36"/>
  <c r="E515" i="36"/>
  <c r="D515" i="36"/>
  <c r="C514" i="36"/>
  <c r="E514" i="36"/>
  <c r="C516" i="36"/>
  <c r="D516" i="36"/>
  <c r="E477" i="36"/>
  <c r="D474" i="36"/>
  <c r="D477" i="36"/>
  <c r="C479" i="36"/>
  <c r="C478" i="36"/>
  <c r="E478" i="36"/>
  <c r="D479" i="36"/>
  <c r="E479" i="36"/>
  <c r="C477" i="36"/>
  <c r="D478" i="36"/>
  <c r="E475" i="36"/>
  <c r="C475" i="36"/>
  <c r="D473" i="36"/>
  <c r="C467" i="36"/>
  <c r="E473" i="36"/>
  <c r="E474" i="36"/>
  <c r="D475" i="36"/>
  <c r="C473" i="36"/>
  <c r="C474" i="36"/>
  <c r="D468" i="36"/>
  <c r="C469" i="36"/>
  <c r="E468" i="36"/>
  <c r="C468" i="36"/>
  <c r="E467" i="36"/>
  <c r="E469" i="36"/>
  <c r="D469" i="36"/>
  <c r="D467" i="36"/>
  <c r="C464" i="36"/>
  <c r="D458" i="36"/>
  <c r="D465" i="36"/>
  <c r="C463" i="36"/>
  <c r="C465" i="36"/>
  <c r="D463" i="36"/>
  <c r="E464" i="36"/>
  <c r="E465" i="36"/>
  <c r="D464" i="36"/>
  <c r="E463" i="36"/>
  <c r="C458" i="36"/>
  <c r="C460" i="36"/>
  <c r="C459" i="36"/>
  <c r="E458" i="36"/>
  <c r="E460" i="36"/>
  <c r="E459" i="36"/>
  <c r="E456" i="36"/>
  <c r="E455" i="36"/>
  <c r="D460" i="36"/>
  <c r="D459" i="36"/>
  <c r="D455" i="36"/>
  <c r="D456" i="36"/>
  <c r="C454" i="36"/>
  <c r="C455" i="36"/>
  <c r="D454" i="36"/>
  <c r="E454" i="36"/>
  <c r="C456" i="36"/>
  <c r="D452" i="36"/>
  <c r="D451" i="36"/>
  <c r="D450" i="36"/>
  <c r="C452" i="36"/>
  <c r="C451" i="36"/>
  <c r="C450" i="36"/>
  <c r="E452" i="36"/>
  <c r="E450" i="36"/>
  <c r="E451" i="36"/>
  <c r="C445" i="36"/>
  <c r="D446" i="36"/>
  <c r="C447" i="36"/>
  <c r="E445" i="36"/>
  <c r="D447" i="36"/>
  <c r="C446" i="36"/>
  <c r="D445" i="36"/>
  <c r="E446" i="36"/>
  <c r="E447" i="36"/>
  <c r="D442" i="36"/>
  <c r="C442" i="36"/>
  <c r="E442" i="36"/>
  <c r="D543" i="36"/>
  <c r="E543" i="36"/>
  <c r="C543" i="36"/>
  <c r="C610" i="36"/>
  <c r="C606" i="36"/>
  <c r="N68" i="7"/>
  <c r="D68" i="7" s="1"/>
  <c r="C624" i="36"/>
  <c r="C607" i="36"/>
  <c r="D614" i="36"/>
  <c r="C614" i="36"/>
  <c r="C611" i="36"/>
  <c r="E626" i="36"/>
  <c r="E625" i="36"/>
  <c r="E612" i="36"/>
  <c r="C626" i="36"/>
  <c r="D625" i="36"/>
  <c r="D611" i="36"/>
  <c r="E611" i="36"/>
  <c r="D612" i="36"/>
  <c r="E617" i="36"/>
  <c r="L75" i="7" s="1"/>
  <c r="M75" i="7" s="1"/>
  <c r="N75" i="7" s="1"/>
  <c r="C615" i="36"/>
  <c r="C628" i="36"/>
  <c r="C620" i="36"/>
  <c r="D622" i="36"/>
  <c r="E619" i="36"/>
  <c r="C481" i="36"/>
  <c r="C612" i="36"/>
  <c r="C623" i="36"/>
  <c r="E613" i="36"/>
  <c r="D620" i="36"/>
  <c r="E614" i="36"/>
  <c r="D610" i="36"/>
  <c r="E627" i="36"/>
  <c r="C625" i="36"/>
  <c r="C617" i="36"/>
  <c r="E616" i="36"/>
  <c r="L74" i="7" s="1"/>
  <c r="E615" i="36"/>
  <c r="E622" i="36"/>
  <c r="E482" i="36"/>
  <c r="D617" i="36"/>
  <c r="J75" i="7" s="1"/>
  <c r="D627" i="36"/>
  <c r="C622" i="36"/>
  <c r="D619" i="36"/>
  <c r="E624" i="36"/>
  <c r="D613" i="36"/>
  <c r="E496" i="36"/>
  <c r="D624" i="36"/>
  <c r="E621" i="36"/>
  <c r="C619" i="36"/>
  <c r="D616" i="36"/>
  <c r="D621" i="36"/>
  <c r="E623" i="36"/>
  <c r="C621" i="36"/>
  <c r="D481" i="36"/>
  <c r="E610" i="36"/>
  <c r="C627" i="36"/>
  <c r="C616" i="36"/>
  <c r="C613" i="36"/>
  <c r="D626" i="36"/>
  <c r="D618" i="36"/>
  <c r="J76" i="7" s="1"/>
  <c r="E620" i="36"/>
  <c r="C618" i="36"/>
  <c r="I76" i="7" s="1"/>
  <c r="E618" i="36"/>
  <c r="E628" i="36"/>
  <c r="D623" i="36"/>
  <c r="D615" i="36"/>
  <c r="D628" i="36"/>
  <c r="C497" i="36"/>
  <c r="E498" i="36"/>
  <c r="C495" i="36"/>
  <c r="D489" i="36"/>
  <c r="E497" i="36"/>
  <c r="E492" i="36"/>
  <c r="E493" i="36"/>
  <c r="C486" i="36"/>
  <c r="C485" i="36"/>
  <c r="C482" i="36"/>
  <c r="D494" i="36"/>
  <c r="D485" i="36"/>
  <c r="C499" i="36"/>
  <c r="C491" i="36"/>
  <c r="D491" i="36"/>
  <c r="C493" i="36"/>
  <c r="E487" i="36"/>
  <c r="C498" i="36"/>
  <c r="C489" i="36"/>
  <c r="C492" i="36"/>
  <c r="E485" i="36"/>
  <c r="E481" i="36"/>
  <c r="E490" i="36"/>
  <c r="D497" i="36"/>
  <c r="D483" i="36"/>
  <c r="D495" i="36"/>
  <c r="D486" i="36"/>
  <c r="D482" i="36"/>
  <c r="E484" i="36"/>
  <c r="D542" i="36"/>
  <c r="C542" i="36"/>
  <c r="E491" i="36"/>
  <c r="D498" i="36"/>
  <c r="D493" i="36"/>
  <c r="C494" i="36"/>
  <c r="E499" i="36"/>
  <c r="C487" i="36"/>
  <c r="C488" i="36"/>
  <c r="C484" i="36"/>
  <c r="E488" i="36"/>
  <c r="E483" i="36"/>
  <c r="E486" i="36"/>
  <c r="C483" i="36"/>
  <c r="C490" i="36"/>
  <c r="D484" i="36"/>
  <c r="E495" i="36"/>
  <c r="E494" i="36"/>
  <c r="D488" i="36"/>
  <c r="D490" i="36"/>
  <c r="D492" i="36"/>
  <c r="D496" i="36"/>
  <c r="D499" i="36"/>
  <c r="D487" i="36"/>
  <c r="C496" i="36"/>
  <c r="E489" i="36"/>
  <c r="I75" i="7" l="1"/>
  <c r="D75" i="7" s="1"/>
  <c r="J74" i="7"/>
  <c r="I74" i="7"/>
  <c r="I324" i="7"/>
  <c r="L324" i="7"/>
  <c r="M324" i="7" s="1"/>
  <c r="N324" i="7" s="1"/>
  <c r="J324" i="7"/>
  <c r="J322" i="7"/>
  <c r="I323" i="7"/>
  <c r="I322" i="7"/>
  <c r="L76" i="7"/>
  <c r="M76" i="7" s="1"/>
  <c r="N76" i="7" s="1"/>
  <c r="I327" i="7"/>
  <c r="J327" i="7"/>
  <c r="J323" i="7"/>
  <c r="I326" i="7"/>
  <c r="J326" i="7"/>
  <c r="H325" i="7"/>
  <c r="H334" i="7"/>
  <c r="I60" i="7"/>
  <c r="H335" i="7"/>
  <c r="J60" i="7"/>
  <c r="H91" i="7"/>
  <c r="H332" i="7"/>
  <c r="L60" i="7"/>
  <c r="M60" i="7" s="1"/>
  <c r="N60" i="7" s="1"/>
  <c r="J66" i="7"/>
  <c r="L66" i="7"/>
  <c r="M66" i="7" s="1"/>
  <c r="N66" i="7" s="1"/>
  <c r="H103" i="7"/>
  <c r="I66" i="7"/>
  <c r="M74" i="7"/>
  <c r="M69" i="7"/>
  <c r="K44" i="45"/>
  <c r="K27" i="45"/>
  <c r="K31" i="45"/>
  <c r="K34" i="45"/>
  <c r="K67" i="45"/>
  <c r="K62" i="45"/>
  <c r="K51" i="45"/>
  <c r="K84" i="45"/>
  <c r="K68" i="45"/>
  <c r="K73" i="45"/>
  <c r="L31" i="45"/>
  <c r="M31" i="45" s="1"/>
  <c r="L84" i="45"/>
  <c r="M84" i="45" s="1"/>
  <c r="L73" i="45"/>
  <c r="M73" i="45" s="1"/>
  <c r="L44" i="45"/>
  <c r="M44" i="45" s="1"/>
  <c r="L27" i="45"/>
  <c r="M27" i="45" s="1"/>
  <c r="L51" i="45"/>
  <c r="M51" i="45" s="1"/>
  <c r="L67" i="45"/>
  <c r="M67" i="45" s="1"/>
  <c r="L62" i="45"/>
  <c r="M62" i="45" s="1"/>
  <c r="L68" i="45"/>
  <c r="M68" i="45" s="1"/>
  <c r="L34" i="45"/>
  <c r="M34" i="45" s="1"/>
  <c r="M63" i="7"/>
  <c r="N63" i="7" s="1"/>
  <c r="M174" i="7"/>
  <c r="M115" i="7"/>
  <c r="D324" i="7" l="1"/>
  <c r="D323" i="7"/>
  <c r="D322" i="7"/>
  <c r="D76" i="7"/>
  <c r="D327" i="7"/>
  <c r="D326" i="7"/>
  <c r="D66" i="7"/>
  <c r="D60" i="7"/>
  <c r="N69" i="7"/>
  <c r="D69" i="7" s="1"/>
  <c r="D63" i="7"/>
  <c r="N115" i="7"/>
  <c r="D115" i="7" s="1"/>
  <c r="N174" i="7"/>
  <c r="D174" i="7" s="1"/>
  <c r="N316" i="7"/>
  <c r="D316" i="7" s="1"/>
  <c r="M175" i="7"/>
  <c r="M178" i="7"/>
  <c r="M118" i="7"/>
  <c r="M126" i="7"/>
  <c r="M119" i="7"/>
  <c r="M117" i="7"/>
  <c r="M120" i="7"/>
  <c r="M150" i="7"/>
  <c r="L22" i="45"/>
  <c r="M22" i="45" s="1"/>
  <c r="K50" i="45"/>
  <c r="L38" i="45"/>
  <c r="M38" i="45" s="1"/>
  <c r="L82" i="45"/>
  <c r="M82" i="45" s="1"/>
  <c r="K38" i="45"/>
  <c r="D62" i="45"/>
  <c r="D34" i="45"/>
  <c r="L42" i="45"/>
  <c r="M42" i="45" s="1"/>
  <c r="K82" i="45"/>
  <c r="K42" i="45"/>
  <c r="D67" i="45"/>
  <c r="L33" i="45"/>
  <c r="M33" i="45" s="1"/>
  <c r="D73" i="45"/>
  <c r="D31" i="45"/>
  <c r="L28" i="45"/>
  <c r="M28" i="45" s="1"/>
  <c r="D84" i="45"/>
  <c r="L50" i="45"/>
  <c r="M50" i="45" s="1"/>
  <c r="L18" i="45"/>
  <c r="M18" i="45" s="1"/>
  <c r="L48" i="45"/>
  <c r="M48" i="45" s="1"/>
  <c r="K18" i="45"/>
  <c r="K22" i="45"/>
  <c r="K83" i="45"/>
  <c r="K33" i="45"/>
  <c r="L83" i="45"/>
  <c r="M83" i="45" s="1"/>
  <c r="K48" i="45"/>
  <c r="D68" i="45"/>
  <c r="D27" i="45"/>
  <c r="D51" i="45"/>
  <c r="K28" i="45"/>
  <c r="D44" i="45"/>
  <c r="N74" i="7"/>
  <c r="D74" i="7" s="1"/>
  <c r="M127" i="7"/>
  <c r="M116" i="7"/>
  <c r="N47" i="7" l="1"/>
  <c r="D47" i="7" s="1"/>
  <c r="N118" i="7"/>
  <c r="D118" i="7" s="1"/>
  <c r="N126" i="7"/>
  <c r="D126" i="7" s="1"/>
  <c r="N127" i="7"/>
  <c r="D127" i="7" s="1"/>
  <c r="N175" i="7"/>
  <c r="D175" i="7" s="1"/>
  <c r="N150" i="7"/>
  <c r="D150" i="7" s="1"/>
  <c r="N178" i="7"/>
  <c r="D178" i="7" s="1"/>
  <c r="N120" i="7"/>
  <c r="D120" i="7" s="1"/>
  <c r="N117" i="7"/>
  <c r="D117" i="7" s="1"/>
  <c r="N116" i="7"/>
  <c r="D116" i="7" s="1"/>
  <c r="N119" i="7"/>
  <c r="D119" i="7" s="1"/>
  <c r="N73" i="7"/>
  <c r="D73" i="7" s="1"/>
  <c r="M114" i="7"/>
  <c r="D18" i="45"/>
  <c r="D22" i="45"/>
  <c r="D28" i="45"/>
  <c r="D38" i="45"/>
  <c r="D48" i="45"/>
  <c r="D42" i="45"/>
  <c r="D82" i="45"/>
  <c r="D33" i="45"/>
  <c r="D83" i="45"/>
  <c r="D50" i="45"/>
  <c r="N307" i="7"/>
  <c r="D307" i="7" s="1"/>
  <c r="N114" i="7" l="1"/>
  <c r="N108" i="7" s="1"/>
  <c r="D108" i="7" s="1"/>
  <c r="D114" i="7" l="1"/>
  <c r="D24" i="7"/>
  <c r="F58" i="7" l="1"/>
  <c r="D564" i="36"/>
  <c r="E577" i="36"/>
  <c r="L288" i="7" s="1"/>
  <c r="E582" i="36"/>
  <c r="E583" i="36"/>
  <c r="L290" i="7" s="1"/>
  <c r="D577" i="36"/>
  <c r="J288" i="7" s="1"/>
  <c r="D585" i="36"/>
  <c r="E561" i="36"/>
  <c r="D561" i="36"/>
  <c r="E564" i="36"/>
  <c r="E568" i="36"/>
  <c r="E586" i="36"/>
  <c r="C561" i="36"/>
  <c r="E571" i="36"/>
  <c r="D571" i="36"/>
  <c r="D563" i="36"/>
  <c r="C564" i="36"/>
  <c r="C577" i="36"/>
  <c r="I288" i="7" s="1"/>
  <c r="C585" i="36"/>
  <c r="C568" i="36"/>
  <c r="E584" i="36"/>
  <c r="D568" i="36"/>
  <c r="D584" i="36"/>
  <c r="C571" i="36"/>
  <c r="D586" i="36"/>
  <c r="E587" i="36"/>
  <c r="D582" i="36"/>
  <c r="C584" i="36"/>
  <c r="D583" i="36"/>
  <c r="J290" i="7" s="1"/>
  <c r="E585" i="36"/>
  <c r="C590" i="36"/>
  <c r="D595" i="36"/>
  <c r="E589" i="36"/>
  <c r="D590" i="36"/>
  <c r="C596" i="36"/>
  <c r="C591" i="36"/>
  <c r="C595" i="36"/>
  <c r="E595" i="36"/>
  <c r="E594" i="36"/>
  <c r="D589" i="36"/>
  <c r="C594" i="36"/>
  <c r="E590" i="36"/>
  <c r="D594" i="36"/>
  <c r="D596" i="36"/>
  <c r="C593" i="36"/>
  <c r="E588" i="36"/>
  <c r="E593" i="36"/>
  <c r="C589" i="36"/>
  <c r="D592" i="36"/>
  <c r="E597" i="36"/>
  <c r="E592" i="36"/>
  <c r="D588" i="36"/>
  <c r="D593" i="36"/>
  <c r="C597" i="36"/>
  <c r="C592" i="36"/>
  <c r="D597" i="36"/>
  <c r="D591" i="36"/>
  <c r="E591" i="36"/>
  <c r="E596" i="36"/>
  <c r="E572" i="36"/>
  <c r="D573" i="36"/>
  <c r="D569" i="36"/>
  <c r="D575" i="36"/>
  <c r="D565" i="36"/>
  <c r="C569" i="36"/>
  <c r="C573" i="36"/>
  <c r="C570" i="36"/>
  <c r="C565" i="36"/>
  <c r="E581" i="36"/>
  <c r="D562" i="36"/>
  <c r="J289" i="7" s="1"/>
  <c r="D570" i="36"/>
  <c r="D566" i="36"/>
  <c r="E569" i="36"/>
  <c r="E570" i="36"/>
  <c r="E573" i="36"/>
  <c r="D581" i="36"/>
  <c r="D572" i="36"/>
  <c r="E565" i="36"/>
  <c r="E578" i="36"/>
  <c r="E575" i="36"/>
  <c r="D580" i="36"/>
  <c r="C562" i="36"/>
  <c r="I289" i="7" s="1"/>
  <c r="C567" i="36"/>
  <c r="E562" i="36"/>
  <c r="L289" i="7" s="1"/>
  <c r="E567" i="36"/>
  <c r="C576" i="36"/>
  <c r="C572" i="36"/>
  <c r="D576" i="36"/>
  <c r="E576" i="36"/>
  <c r="E566" i="36"/>
  <c r="C578" i="36"/>
  <c r="C581" i="36"/>
  <c r="D574" i="36"/>
  <c r="J293" i="7" s="1"/>
  <c r="D567" i="36"/>
  <c r="E574" i="36"/>
  <c r="L293" i="7" s="1"/>
  <c r="M293" i="7" s="1"/>
  <c r="N293" i="7" s="1"/>
  <c r="D578" i="36"/>
  <c r="D579" i="36"/>
  <c r="E580" i="36"/>
  <c r="C566" i="36"/>
  <c r="C579" i="36"/>
  <c r="C580" i="36"/>
  <c r="E579" i="36"/>
  <c r="C563" i="36"/>
  <c r="E563" i="36"/>
  <c r="D587" i="36"/>
  <c r="H291" i="7" l="1"/>
  <c r="L291" i="7"/>
  <c r="M291" i="7" s="1"/>
  <c r="N291" i="7" s="1"/>
  <c r="J291" i="7"/>
  <c r="I291" i="7"/>
  <c r="M289" i="7"/>
  <c r="N289" i="7" s="1"/>
  <c r="M290" i="7"/>
  <c r="N290" i="7" s="1"/>
  <c r="M288" i="7"/>
  <c r="N288" i="7" s="1"/>
  <c r="D291" i="7" l="1"/>
  <c r="D288" i="7"/>
  <c r="D289" i="7"/>
  <c r="F64" i="7"/>
  <c r="K57" i="34" l="1"/>
  <c r="S57" i="34"/>
  <c r="U57" i="34"/>
  <c r="W57" i="34"/>
  <c r="Y57" i="34"/>
  <c r="Q57" i="34"/>
  <c r="I57" i="34"/>
  <c r="O57" i="34"/>
  <c r="G57" i="34"/>
  <c r="M57" i="34"/>
  <c r="AA57" i="34"/>
  <c r="E57" i="34" l="1"/>
  <c r="G58" i="34" s="1"/>
  <c r="E58" i="34" l="1"/>
  <c r="I58" i="34"/>
  <c r="K58" i="34" l="1"/>
  <c r="M58" i="34" l="1"/>
  <c r="O58" i="34" l="1"/>
  <c r="Q58" i="34" l="1"/>
  <c r="S58" i="34" l="1"/>
  <c r="U58" i="34" l="1"/>
  <c r="W58" i="34" l="1"/>
  <c r="Y58" i="34" l="1"/>
  <c r="AA58" i="34" l="1"/>
  <c r="F257" i="7" l="1"/>
  <c r="B52" i="16" s="1"/>
  <c r="C52" i="16" l="1"/>
  <c r="F268" i="7"/>
  <c r="B55" i="16" s="1"/>
  <c r="C55" i="16" l="1"/>
  <c r="F279" i="7" l="1"/>
  <c r="B58" i="16" s="1"/>
  <c r="C58" i="16" l="1"/>
  <c r="B131" i="23" l="1"/>
  <c r="G255" i="7" s="1"/>
  <c r="C255" i="7" s="1"/>
  <c r="B140" i="23"/>
  <c r="G256" i="7" s="1"/>
  <c r="C256" i="7" s="1"/>
  <c r="B105" i="23"/>
  <c r="G233" i="7" s="1"/>
  <c r="B121" i="23"/>
  <c r="G235" i="7" s="1"/>
  <c r="B68" i="23"/>
  <c r="G216" i="7" s="1"/>
  <c r="B77" i="23"/>
  <c r="G222" i="7" s="1"/>
  <c r="B86" i="23"/>
  <c r="G223" i="7" s="1"/>
  <c r="B95" i="23"/>
  <c r="G224" i="7" s="1"/>
  <c r="B51" i="23"/>
  <c r="G204" i="7" s="1"/>
  <c r="B60" i="23"/>
  <c r="G299" i="7" s="1"/>
  <c r="C299" i="7" s="1"/>
  <c r="C204" i="7" l="1"/>
  <c r="C235" i="7"/>
  <c r="H235" i="7"/>
  <c r="C233" i="7"/>
  <c r="H233" i="7"/>
  <c r="C224" i="7"/>
  <c r="H224" i="7"/>
  <c r="E379" i="36"/>
  <c r="E371" i="36"/>
  <c r="D374" i="36"/>
  <c r="C373" i="36"/>
  <c r="D370" i="36"/>
  <c r="D375" i="36"/>
  <c r="E377" i="36"/>
  <c r="C376" i="36"/>
  <c r="D378" i="36"/>
  <c r="D379" i="36"/>
  <c r="D371" i="36"/>
  <c r="C371" i="36"/>
  <c r="C375" i="36"/>
  <c r="E375" i="36"/>
  <c r="C378" i="36"/>
  <c r="C379" i="36"/>
  <c r="E374" i="36"/>
  <c r="C377" i="36"/>
  <c r="E376" i="36"/>
  <c r="D372" i="36"/>
  <c r="C372" i="36"/>
  <c r="C370" i="36"/>
  <c r="D377" i="36"/>
  <c r="E373" i="36"/>
  <c r="D376" i="36"/>
  <c r="E372" i="36"/>
  <c r="E370" i="36"/>
  <c r="D373" i="36"/>
  <c r="E378" i="36"/>
  <c r="C374" i="36"/>
  <c r="C223" i="7"/>
  <c r="H223" i="7"/>
  <c r="C222" i="7"/>
  <c r="H222" i="7"/>
  <c r="C216" i="7"/>
  <c r="H216" i="7"/>
  <c r="H299" i="7"/>
  <c r="H204" i="7"/>
  <c r="L58" i="45"/>
  <c r="M58" i="45" s="1"/>
  <c r="K58" i="45"/>
  <c r="H256" i="7"/>
  <c r="H255" i="7"/>
  <c r="H196" i="7"/>
  <c r="L63" i="45"/>
  <c r="M63" i="45" s="1"/>
  <c r="K63" i="45"/>
  <c r="H201" i="7"/>
  <c r="D58" i="45" l="1"/>
  <c r="D63" i="45"/>
  <c r="C349" i="36" l="1"/>
  <c r="D347" i="36"/>
  <c r="D355" i="36"/>
  <c r="C354" i="36"/>
  <c r="D353" i="36"/>
  <c r="C352" i="36"/>
  <c r="D360" i="36"/>
  <c r="J201" i="7" s="1"/>
  <c r="C359" i="36"/>
  <c r="I196" i="7" s="1"/>
  <c r="D358" i="36"/>
  <c r="C357" i="36"/>
  <c r="C355" i="36"/>
  <c r="E353" i="36"/>
  <c r="C353" i="36"/>
  <c r="E356" i="36"/>
  <c r="C360" i="36"/>
  <c r="I201" i="7" s="1"/>
  <c r="E358" i="36"/>
  <c r="D352" i="36"/>
  <c r="D356" i="36"/>
  <c r="E354" i="36"/>
  <c r="C356" i="36"/>
  <c r="E352" i="36"/>
  <c r="E355" i="36"/>
  <c r="E359" i="36"/>
  <c r="L196" i="7" s="1"/>
  <c r="M196" i="7" s="1"/>
  <c r="N196" i="7" s="1"/>
  <c r="E360" i="36"/>
  <c r="L201" i="7" s="1"/>
  <c r="M201" i="7" s="1"/>
  <c r="N201" i="7" s="1"/>
  <c r="E357" i="36"/>
  <c r="D354" i="36"/>
  <c r="D359" i="36"/>
  <c r="J196" i="7" s="1"/>
  <c r="D357" i="36"/>
  <c r="C358" i="36"/>
  <c r="C347" i="36"/>
  <c r="E347" i="36"/>
  <c r="E348" i="36"/>
  <c r="E346" i="36"/>
  <c r="E349" i="36"/>
  <c r="D349" i="36"/>
  <c r="E350" i="36"/>
  <c r="C346" i="36"/>
  <c r="D346" i="36"/>
  <c r="C348" i="36"/>
  <c r="D345" i="36"/>
  <c r="C345" i="36"/>
  <c r="E345" i="36"/>
  <c r="D348" i="36"/>
  <c r="E333" i="36"/>
  <c r="D337" i="36"/>
  <c r="D320" i="36"/>
  <c r="E319" i="36"/>
  <c r="C299" i="36"/>
  <c r="C304" i="36"/>
  <c r="E325" i="36"/>
  <c r="C314" i="36"/>
  <c r="C311" i="36"/>
  <c r="E311" i="36"/>
  <c r="C340" i="36"/>
  <c r="C308" i="36"/>
  <c r="C283" i="36"/>
  <c r="D295" i="36"/>
  <c r="E310" i="36"/>
  <c r="C332" i="36"/>
  <c r="D290" i="36"/>
  <c r="E298" i="36"/>
  <c r="D303" i="36"/>
  <c r="C329" i="36"/>
  <c r="E330" i="36"/>
  <c r="D335" i="36"/>
  <c r="C302" i="36"/>
  <c r="E341" i="36"/>
  <c r="D343" i="36"/>
  <c r="D317" i="36"/>
  <c r="E280" i="36"/>
  <c r="E317" i="36"/>
  <c r="C334" i="36"/>
  <c r="C303" i="36"/>
  <c r="E331" i="36"/>
  <c r="D292" i="36"/>
  <c r="C315" i="36"/>
  <c r="E327" i="36"/>
  <c r="C317" i="36"/>
  <c r="C323" i="36"/>
  <c r="E312" i="36"/>
  <c r="C294" i="36"/>
  <c r="C306" i="36"/>
  <c r="D305" i="36"/>
  <c r="D328" i="36"/>
  <c r="E304" i="36"/>
  <c r="E340" i="36"/>
  <c r="D318" i="36"/>
  <c r="E287" i="36"/>
  <c r="D288" i="36"/>
  <c r="C318" i="36"/>
  <c r="E301" i="36"/>
  <c r="C336" i="36"/>
  <c r="C289" i="36"/>
  <c r="D341" i="36"/>
  <c r="E342" i="36"/>
  <c r="E320" i="36"/>
  <c r="C309" i="36"/>
  <c r="E305" i="36"/>
  <c r="C333" i="36"/>
  <c r="C282" i="36"/>
  <c r="E329" i="36"/>
  <c r="E339" i="36"/>
  <c r="C293" i="36"/>
  <c r="C297" i="36"/>
  <c r="D309" i="36"/>
  <c r="E282" i="36"/>
  <c r="C298" i="36"/>
  <c r="D286" i="36"/>
  <c r="E290" i="36"/>
  <c r="D300" i="36"/>
  <c r="C319" i="36"/>
  <c r="E281" i="36"/>
  <c r="C339" i="36"/>
  <c r="D307" i="36"/>
  <c r="E299" i="36"/>
  <c r="E337" i="36"/>
  <c r="D329" i="36"/>
  <c r="E303" i="36"/>
  <c r="D297" i="36"/>
  <c r="C300" i="36"/>
  <c r="D344" i="36"/>
  <c r="C326" i="36"/>
  <c r="D331" i="36"/>
  <c r="E283" i="36"/>
  <c r="E343" i="36"/>
  <c r="E286" i="36"/>
  <c r="D332" i="36"/>
  <c r="C310" i="36"/>
  <c r="E309" i="36"/>
  <c r="D287" i="36"/>
  <c r="D323" i="36"/>
  <c r="C335" i="36"/>
  <c r="D285" i="36"/>
  <c r="E293" i="36"/>
  <c r="D333" i="36"/>
  <c r="D280" i="36"/>
  <c r="E324" i="36"/>
  <c r="E338" i="36"/>
  <c r="C325" i="36"/>
  <c r="E315" i="36"/>
  <c r="D311" i="36"/>
  <c r="D324" i="36"/>
  <c r="E285" i="36"/>
  <c r="D296" i="36"/>
  <c r="C324" i="36"/>
  <c r="E334" i="36"/>
  <c r="D326" i="36"/>
  <c r="C312" i="36"/>
  <c r="C342" i="36"/>
  <c r="C343" i="36"/>
  <c r="E296" i="36"/>
  <c r="D342" i="36"/>
  <c r="E322" i="36"/>
  <c r="C287" i="36"/>
  <c r="C281" i="36"/>
  <c r="D308" i="36"/>
  <c r="E332" i="36"/>
  <c r="C295" i="36"/>
  <c r="C313" i="36"/>
  <c r="D284" i="36"/>
  <c r="C286" i="36"/>
  <c r="E288" i="36"/>
  <c r="D312" i="36"/>
  <c r="D319" i="36"/>
  <c r="E318" i="36"/>
  <c r="C330" i="36"/>
  <c r="D321" i="36"/>
  <c r="E292" i="36"/>
  <c r="D301" i="36"/>
  <c r="C292" i="36"/>
  <c r="E326" i="36"/>
  <c r="D291" i="36"/>
  <c r="C322" i="36"/>
  <c r="E302" i="36"/>
  <c r="E336" i="36"/>
  <c r="C296" i="36"/>
  <c r="D282" i="36"/>
  <c r="C290" i="36"/>
  <c r="E344" i="36"/>
  <c r="C280" i="36"/>
  <c r="D304" i="36"/>
  <c r="E297" i="36"/>
  <c r="C338" i="36"/>
  <c r="D283" i="36"/>
  <c r="D310" i="36"/>
  <c r="E295" i="36"/>
  <c r="D299" i="36"/>
  <c r="C321" i="36"/>
  <c r="E300" i="36"/>
  <c r="D339" i="36"/>
  <c r="C327" i="36"/>
  <c r="E316" i="36"/>
  <c r="D298" i="36"/>
  <c r="D325" i="36"/>
  <c r="E308" i="36"/>
  <c r="D336" i="36"/>
  <c r="C285" i="36"/>
  <c r="E294" i="36"/>
  <c r="D340" i="36"/>
  <c r="C301" i="36"/>
  <c r="E291" i="36"/>
  <c r="D313" i="36"/>
  <c r="C305" i="36"/>
  <c r="D302" i="36"/>
  <c r="C320" i="36"/>
  <c r="E307" i="36"/>
  <c r="C331" i="36"/>
  <c r="E321" i="36"/>
  <c r="D322" i="36"/>
  <c r="D281" i="36"/>
  <c r="D315" i="36"/>
  <c r="D306" i="36"/>
  <c r="E328" i="36"/>
  <c r="D314" i="36"/>
  <c r="D327" i="36"/>
  <c r="E323" i="36"/>
  <c r="D334" i="36"/>
  <c r="C284" i="36"/>
  <c r="E306" i="36"/>
  <c r="C337" i="36"/>
  <c r="C288" i="36"/>
  <c r="E289" i="36"/>
  <c r="C291" i="36"/>
  <c r="C316" i="36"/>
  <c r="E335" i="36"/>
  <c r="D294" i="36"/>
  <c r="D316" i="36"/>
  <c r="E314" i="36"/>
  <c r="D289" i="36"/>
  <c r="C307" i="36"/>
  <c r="D330" i="36"/>
  <c r="C328" i="36"/>
  <c r="E284" i="36"/>
  <c r="C344" i="36"/>
  <c r="D338" i="36"/>
  <c r="E313" i="36"/>
  <c r="D293" i="36"/>
  <c r="C341" i="36"/>
  <c r="C361" i="36"/>
  <c r="D350" i="36"/>
  <c r="C350" i="36"/>
  <c r="E351" i="36"/>
  <c r="D366" i="36"/>
  <c r="D351" i="36"/>
  <c r="C351" i="36"/>
  <c r="E362" i="36"/>
  <c r="C366" i="36"/>
  <c r="D364" i="36"/>
  <c r="C364" i="36"/>
  <c r="D363" i="36"/>
  <c r="C368" i="36"/>
  <c r="E365" i="36"/>
  <c r="E366" i="36"/>
  <c r="E367" i="36"/>
  <c r="C363" i="36"/>
  <c r="E368" i="36"/>
  <c r="E364" i="36"/>
  <c r="C367" i="36"/>
  <c r="C369" i="36"/>
  <c r="D367" i="36"/>
  <c r="D362" i="36"/>
  <c r="D369" i="36"/>
  <c r="D361" i="36"/>
  <c r="C362" i="36"/>
  <c r="C365" i="36"/>
  <c r="D365" i="36"/>
  <c r="E369" i="36"/>
  <c r="L223" i="7" s="1"/>
  <c r="M223" i="7" s="1"/>
  <c r="N223" i="7" s="1"/>
  <c r="E363" i="36"/>
  <c r="E361" i="36"/>
  <c r="L255" i="7" s="1"/>
  <c r="M255" i="7" s="1"/>
  <c r="N255" i="7" s="1"/>
  <c r="D368" i="36"/>
  <c r="I223" i="7" l="1"/>
  <c r="I299" i="7"/>
  <c r="J204" i="7"/>
  <c r="L222" i="7"/>
  <c r="M222" i="7" s="1"/>
  <c r="N222" i="7" s="1"/>
  <c r="L216" i="7"/>
  <c r="M216" i="7" s="1"/>
  <c r="N216" i="7" s="1"/>
  <c r="J256" i="7"/>
  <c r="J216" i="7"/>
  <c r="J255" i="7"/>
  <c r="J223" i="7"/>
  <c r="J222" i="7"/>
  <c r="L204" i="7"/>
  <c r="M204" i="7" s="1"/>
  <c r="N204" i="7" s="1"/>
  <c r="L235" i="7"/>
  <c r="M235" i="7" s="1"/>
  <c r="N235" i="7" s="1"/>
  <c r="L233" i="7"/>
  <c r="M233" i="7" s="1"/>
  <c r="N233" i="7" s="1"/>
  <c r="J233" i="7"/>
  <c r="L224" i="7"/>
  <c r="M224" i="7" s="1"/>
  <c r="N224" i="7" s="1"/>
  <c r="I233" i="7"/>
  <c r="J299" i="7"/>
  <c r="L299" i="7"/>
  <c r="M299" i="7" s="1"/>
  <c r="N299" i="7" s="1"/>
  <c r="I224" i="7"/>
  <c r="I216" i="7"/>
  <c r="J224" i="7"/>
  <c r="I235" i="7"/>
  <c r="I204" i="7"/>
  <c r="I222" i="7"/>
  <c r="J235" i="7"/>
  <c r="I256" i="7"/>
  <c r="L256" i="7"/>
  <c r="M256" i="7" s="1"/>
  <c r="N256" i="7" s="1"/>
  <c r="I255" i="7"/>
  <c r="L252" i="7"/>
  <c r="M252" i="7" s="1"/>
  <c r="N252" i="7" s="1"/>
  <c r="J252" i="7"/>
  <c r="I252" i="7"/>
  <c r="I236" i="7"/>
  <c r="J236" i="7"/>
  <c r="L236" i="7"/>
  <c r="M236" i="7" s="1"/>
  <c r="N236" i="7" s="1"/>
  <c r="D201" i="7"/>
  <c r="D196" i="7"/>
  <c r="J298" i="7"/>
  <c r="I298" i="7"/>
  <c r="L298" i="7"/>
  <c r="M298" i="7" s="1"/>
  <c r="N298" i="7" s="1"/>
  <c r="D223" i="7" l="1"/>
  <c r="D204" i="7"/>
  <c r="D299" i="7"/>
  <c r="D222" i="7"/>
  <c r="D224" i="7"/>
  <c r="D233" i="7"/>
  <c r="D235" i="7"/>
  <c r="D216" i="7"/>
  <c r="D255" i="7"/>
  <c r="D256" i="7"/>
  <c r="D252" i="7"/>
  <c r="D236" i="7"/>
  <c r="D298" i="7"/>
  <c r="N280" i="7"/>
  <c r="D280" i="7" s="1"/>
  <c r="C574" i="36" l="1"/>
  <c r="I293" i="7" s="1"/>
  <c r="D293" i="7" s="1"/>
  <c r="C582" i="36" l="1"/>
  <c r="C575" i="36"/>
  <c r="C586" i="36"/>
  <c r="C583" i="36"/>
  <c r="I290" i="7" s="1"/>
  <c r="D290" i="7" s="1"/>
  <c r="C587" i="36"/>
  <c r="C588" i="36"/>
  <c r="B17" i="24" l="1"/>
  <c r="B49" i="24"/>
  <c r="G264" i="7" s="1"/>
  <c r="B33" i="24"/>
  <c r="G263" i="7" s="1"/>
  <c r="C263" i="7" s="1"/>
  <c r="G260" i="7" l="1"/>
  <c r="H260" i="7" s="1"/>
  <c r="D382" i="36"/>
  <c r="C382" i="36"/>
  <c r="E382" i="36"/>
  <c r="C264" i="7"/>
  <c r="H264" i="7"/>
  <c r="H263" i="7"/>
  <c r="E401" i="36"/>
  <c r="E387" i="36"/>
  <c r="D401" i="36"/>
  <c r="C401" i="36"/>
  <c r="C396" i="36"/>
  <c r="E384" i="36"/>
  <c r="E394" i="36"/>
  <c r="E395" i="36"/>
  <c r="D386" i="36"/>
  <c r="C402" i="36"/>
  <c r="E405" i="36"/>
  <c r="E407" i="36"/>
  <c r="C407" i="36"/>
  <c r="C397" i="36"/>
  <c r="D403" i="36"/>
  <c r="D387" i="36"/>
  <c r="D391" i="36"/>
  <c r="E388" i="36"/>
  <c r="C389" i="36"/>
  <c r="C390" i="36"/>
  <c r="C392" i="36"/>
  <c r="D383" i="36"/>
  <c r="D407" i="36"/>
  <c r="C405" i="36"/>
  <c r="D408" i="36"/>
  <c r="D399" i="36"/>
  <c r="E398" i="36"/>
  <c r="D400" i="36"/>
  <c r="C385" i="36"/>
  <c r="C395" i="36"/>
  <c r="E391" i="36"/>
  <c r="D397" i="36"/>
  <c r="E408" i="36"/>
  <c r="E403" i="36"/>
  <c r="C404" i="36"/>
  <c r="E390" i="36"/>
  <c r="E397" i="36"/>
  <c r="C408" i="36"/>
  <c r="C406" i="36"/>
  <c r="D398" i="36"/>
  <c r="D392" i="36"/>
  <c r="E383" i="36"/>
  <c r="D390" i="36"/>
  <c r="C400" i="36"/>
  <c r="C391" i="36"/>
  <c r="C383" i="36"/>
  <c r="E386" i="36"/>
  <c r="C384" i="36"/>
  <c r="C398" i="36"/>
  <c r="E392" i="36"/>
  <c r="D405" i="36"/>
  <c r="E404" i="36"/>
  <c r="C403" i="36"/>
  <c r="E402" i="36"/>
  <c r="D395" i="36"/>
  <c r="E400" i="36"/>
  <c r="D404" i="36"/>
  <c r="D388" i="36"/>
  <c r="C387" i="36"/>
  <c r="D384" i="36"/>
  <c r="C394" i="36"/>
  <c r="D396" i="36"/>
  <c r="E393" i="36"/>
  <c r="C386" i="36"/>
  <c r="E406" i="36"/>
  <c r="C399" i="36"/>
  <c r="E396" i="36"/>
  <c r="D389" i="36"/>
  <c r="C393" i="36"/>
  <c r="D385" i="36"/>
  <c r="D394" i="36"/>
  <c r="C388" i="36"/>
  <c r="D393" i="36"/>
  <c r="E399" i="36"/>
  <c r="D406" i="36"/>
  <c r="D402" i="36"/>
  <c r="E385" i="36"/>
  <c r="E389" i="36"/>
  <c r="E409" i="36"/>
  <c r="C431" i="36"/>
  <c r="D431" i="36"/>
  <c r="D412" i="36"/>
  <c r="E416" i="36"/>
  <c r="C411" i="36"/>
  <c r="D418" i="36"/>
  <c r="E422" i="36"/>
  <c r="C413" i="36"/>
  <c r="C425" i="36"/>
  <c r="C410" i="36"/>
  <c r="C415" i="36"/>
  <c r="C423" i="36"/>
  <c r="C430" i="36"/>
  <c r="C424" i="36"/>
  <c r="C418" i="36"/>
  <c r="D415" i="36"/>
  <c r="D424" i="36"/>
  <c r="C432" i="36"/>
  <c r="E421" i="36"/>
  <c r="C427" i="36"/>
  <c r="E432" i="36"/>
  <c r="D417" i="36"/>
  <c r="C416" i="36"/>
  <c r="C421" i="36"/>
  <c r="D413" i="36"/>
  <c r="E429" i="36"/>
  <c r="D433" i="36"/>
  <c r="D410" i="36"/>
  <c r="D435" i="36"/>
  <c r="D414" i="36"/>
  <c r="E415" i="36"/>
  <c r="E420" i="36"/>
  <c r="L263" i="7" s="1"/>
  <c r="M263" i="7" s="1"/>
  <c r="N263" i="7" s="1"/>
  <c r="C434" i="36"/>
  <c r="D423" i="36"/>
  <c r="E425" i="36"/>
  <c r="C422" i="36"/>
  <c r="C420" i="36"/>
  <c r="D419" i="36"/>
  <c r="J260" i="7" s="1"/>
  <c r="C412" i="36"/>
  <c r="C433" i="36"/>
  <c r="E410" i="36"/>
  <c r="D427" i="36"/>
  <c r="E424" i="36"/>
  <c r="E417" i="36"/>
  <c r="D425" i="36"/>
  <c r="E431" i="36"/>
  <c r="D420" i="36"/>
  <c r="E418" i="36"/>
  <c r="D428" i="36"/>
  <c r="D421" i="36"/>
  <c r="C426" i="36"/>
  <c r="E427" i="36"/>
  <c r="D426" i="36"/>
  <c r="E433" i="36"/>
  <c r="D429" i="36"/>
  <c r="E426" i="36"/>
  <c r="C428" i="36"/>
  <c r="D411" i="36"/>
  <c r="E412" i="36"/>
  <c r="E414" i="36"/>
  <c r="E430" i="36"/>
  <c r="C429" i="36"/>
  <c r="C417" i="36"/>
  <c r="C435" i="36"/>
  <c r="D432" i="36"/>
  <c r="D416" i="36"/>
  <c r="E428" i="36"/>
  <c r="C414" i="36"/>
  <c r="E435" i="36"/>
  <c r="C419" i="36"/>
  <c r="E423" i="36"/>
  <c r="D430" i="36"/>
  <c r="D422" i="36"/>
  <c r="D434" i="36"/>
  <c r="E411" i="36"/>
  <c r="E419" i="36"/>
  <c r="D409" i="36"/>
  <c r="E434" i="36"/>
  <c r="E413" i="36"/>
  <c r="C409" i="36"/>
  <c r="I260" i="7" l="1"/>
  <c r="L260" i="7"/>
  <c r="M260" i="7" s="1"/>
  <c r="N260" i="7" s="1"/>
  <c r="I263" i="7"/>
  <c r="J263" i="7"/>
  <c r="C260" i="7"/>
  <c r="I264" i="7"/>
  <c r="L264" i="7"/>
  <c r="M264" i="7" s="1"/>
  <c r="N264" i="7" s="1"/>
  <c r="J264" i="7"/>
  <c r="L61" i="45"/>
  <c r="M61" i="45" s="1"/>
  <c r="K61" i="45"/>
  <c r="K72" i="45"/>
  <c r="L72" i="45"/>
  <c r="M72" i="45" s="1"/>
  <c r="L32" i="45"/>
  <c r="M32" i="45" s="1"/>
  <c r="K32" i="45"/>
  <c r="K77" i="45"/>
  <c r="L77" i="45"/>
  <c r="M77" i="45" s="1"/>
  <c r="L64" i="45"/>
  <c r="M64" i="45" s="1"/>
  <c r="K64" i="45"/>
  <c r="L24" i="45"/>
  <c r="M24" i="45" s="1"/>
  <c r="K24" i="45"/>
  <c r="L39" i="45"/>
  <c r="M39" i="45" s="1"/>
  <c r="K39" i="45"/>
  <c r="L46" i="45"/>
  <c r="M46" i="45" s="1"/>
  <c r="K46" i="45"/>
  <c r="K25" i="45"/>
  <c r="L25" i="45"/>
  <c r="M25" i="45" s="1"/>
  <c r="K29" i="45"/>
  <c r="L29" i="45"/>
  <c r="M29" i="45" s="1"/>
  <c r="L45" i="45"/>
  <c r="M45" i="45" s="1"/>
  <c r="K52" i="45"/>
  <c r="L52" i="45"/>
  <c r="M52" i="45" s="1"/>
  <c r="K45" i="45"/>
  <c r="K20" i="45"/>
  <c r="L20" i="45"/>
  <c r="M20" i="45" s="1"/>
  <c r="K36" i="45"/>
  <c r="K47" i="45"/>
  <c r="L47" i="45"/>
  <c r="M47" i="45" s="1"/>
  <c r="L36" i="45"/>
  <c r="M36" i="45" s="1"/>
  <c r="K60" i="45"/>
  <c r="L40" i="45"/>
  <c r="M40" i="45" s="1"/>
  <c r="K66" i="45"/>
  <c r="L19" i="45"/>
  <c r="M19" i="45" s="1"/>
  <c r="L60" i="45"/>
  <c r="M60" i="45" s="1"/>
  <c r="L37" i="45"/>
  <c r="M37" i="45" s="1"/>
  <c r="K21" i="45"/>
  <c r="K40" i="45"/>
  <c r="L30" i="45"/>
  <c r="M30" i="45" s="1"/>
  <c r="K23" i="45"/>
  <c r="L21" i="45"/>
  <c r="M21" i="45" s="1"/>
  <c r="K41" i="45"/>
  <c r="K17" i="45"/>
  <c r="L41" i="45"/>
  <c r="M41" i="45" s="1"/>
  <c r="K35" i="45"/>
  <c r="L35" i="45"/>
  <c r="M35" i="45" s="1"/>
  <c r="K19" i="45"/>
  <c r="K37" i="45"/>
  <c r="K59" i="45"/>
  <c r="L17" i="45"/>
  <c r="M17" i="45" s="1"/>
  <c r="L59" i="45"/>
  <c r="M59" i="45" s="1"/>
  <c r="L66" i="45"/>
  <c r="M66" i="45" s="1"/>
  <c r="L23" i="45"/>
  <c r="M23" i="45" s="1"/>
  <c r="K30" i="45"/>
  <c r="K26" i="45"/>
  <c r="K49" i="45"/>
  <c r="K71" i="45"/>
  <c r="K65" i="45"/>
  <c r="D260" i="7" l="1"/>
  <c r="D263" i="7"/>
  <c r="D264" i="7"/>
  <c r="D61" i="45"/>
  <c r="D72" i="45"/>
  <c r="D32" i="45"/>
  <c r="D77" i="45"/>
  <c r="D24" i="45"/>
  <c r="D64" i="45"/>
  <c r="D39" i="45"/>
  <c r="D46" i="45"/>
  <c r="D25" i="45"/>
  <c r="D29" i="45"/>
  <c r="D45" i="45"/>
  <c r="D52" i="45"/>
  <c r="K43" i="45"/>
  <c r="K76" i="45"/>
  <c r="K69" i="45"/>
  <c r="K70" i="45"/>
  <c r="K78" i="45"/>
  <c r="D20" i="45"/>
  <c r="D47" i="45"/>
  <c r="D36" i="45"/>
  <c r="D30" i="45"/>
  <c r="A30" i="45" s="1"/>
  <c r="A31" i="45" s="1"/>
  <c r="D19" i="45"/>
  <c r="D35" i="45"/>
  <c r="D37" i="45"/>
  <c r="A37" i="45" s="1"/>
  <c r="A38" i="45" s="1"/>
  <c r="D40" i="45"/>
  <c r="D21" i="45"/>
  <c r="D59" i="45"/>
  <c r="D17" i="45"/>
  <c r="D41" i="45"/>
  <c r="D66" i="45"/>
  <c r="D23" i="45"/>
  <c r="D60" i="45"/>
  <c r="L65" i="45"/>
  <c r="M65" i="45" s="1"/>
  <c r="L78" i="45"/>
  <c r="L76" i="45"/>
  <c r="M76" i="45" s="1"/>
  <c r="L70" i="45"/>
  <c r="M70" i="45" s="1"/>
  <c r="L43" i="45"/>
  <c r="M43" i="45" s="1"/>
  <c r="L49" i="45"/>
  <c r="M49" i="45" s="1"/>
  <c r="L69" i="45"/>
  <c r="L71" i="45"/>
  <c r="M71" i="45" s="1"/>
  <c r="L26" i="45"/>
  <c r="M26" i="45" s="1"/>
  <c r="A32" i="45" l="1"/>
  <c r="A33" i="45" s="1"/>
  <c r="A34" i="45" s="1"/>
  <c r="A39" i="45"/>
  <c r="A35" i="45"/>
  <c r="A36" i="45" s="1"/>
  <c r="B30" i="45"/>
  <c r="B37" i="45"/>
  <c r="B41" i="45"/>
  <c r="A41" i="45"/>
  <c r="A42" i="45" s="1"/>
  <c r="B40" i="45"/>
  <c r="A40" i="45"/>
  <c r="D65" i="45"/>
  <c r="D43" i="45"/>
  <c r="N258" i="7"/>
  <c r="D258" i="7" s="1"/>
  <c r="D71" i="45"/>
  <c r="D76" i="45"/>
  <c r="M78" i="45"/>
  <c r="M69" i="45"/>
  <c r="D26" i="45"/>
  <c r="D70" i="45"/>
  <c r="D49" i="45"/>
  <c r="A43" i="45" l="1"/>
  <c r="A44" i="45" s="1"/>
  <c r="A45" i="45" s="1"/>
  <c r="A25" i="45"/>
  <c r="D69" i="45"/>
  <c r="A69" i="45" s="1"/>
  <c r="A70" i="45" s="1"/>
  <c r="D78" i="45"/>
  <c r="A26" i="45" l="1"/>
  <c r="A27" i="45" s="1"/>
  <c r="A71" i="45"/>
  <c r="A46" i="45"/>
  <c r="A47" i="45" l="1"/>
  <c r="A28" i="45"/>
  <c r="A72" i="45"/>
  <c r="A73" i="45" l="1"/>
  <c r="A29" i="45"/>
  <c r="A48" i="45"/>
  <c r="A49" i="45" l="1"/>
  <c r="A50" i="45" l="1"/>
  <c r="A51" i="45" l="1"/>
  <c r="A76" i="45"/>
  <c r="A77" i="45" l="1"/>
  <c r="A52" i="45"/>
  <c r="A78" i="45" l="1"/>
  <c r="A58" i="45" l="1"/>
  <c r="A59" i="45" s="1"/>
  <c r="A60" i="45" l="1"/>
  <c r="A61" i="45" s="1"/>
  <c r="A62" i="45" s="1"/>
  <c r="A63" i="45" s="1"/>
  <c r="A64" i="45" s="1"/>
  <c r="A65" i="45" s="1"/>
  <c r="A66" i="45" s="1"/>
  <c r="A67" i="45" l="1"/>
  <c r="A68" i="45" s="1"/>
  <c r="L16" i="45" l="1"/>
  <c r="M16" i="45" l="1"/>
  <c r="D16" i="45" l="1"/>
  <c r="A16" i="45" s="1"/>
  <c r="N86" i="45"/>
  <c r="K87" i="45"/>
  <c r="N16" i="45" l="1"/>
  <c r="O16" i="45" s="1"/>
  <c r="N84" i="45"/>
  <c r="N83" i="45"/>
  <c r="N82" i="45"/>
  <c r="B16" i="45"/>
  <c r="N21" i="45"/>
  <c r="Q13" i="45"/>
  <c r="Q88" i="45"/>
  <c r="N39" i="45"/>
  <c r="N36" i="45"/>
  <c r="N61" i="45"/>
  <c r="N72" i="45"/>
  <c r="N42" i="45"/>
  <c r="N73" i="45"/>
  <c r="N38" i="45"/>
  <c r="N29" i="45"/>
  <c r="N67" i="45"/>
  <c r="N48" i="45"/>
  <c r="N51" i="45"/>
  <c r="N45" i="45"/>
  <c r="N58" i="45"/>
  <c r="N27" i="45"/>
  <c r="N68" i="45"/>
  <c r="N32" i="45"/>
  <c r="N34" i="45"/>
  <c r="N31" i="45"/>
  <c r="N63" i="45"/>
  <c r="N33" i="45"/>
  <c r="Q15" i="45"/>
  <c r="N24" i="45"/>
  <c r="N62" i="45"/>
  <c r="N50" i="45"/>
  <c r="N28" i="45"/>
  <c r="N47" i="45"/>
  <c r="N77" i="45"/>
  <c r="N44" i="45"/>
  <c r="N20" i="45"/>
  <c r="N52" i="45"/>
  <c r="N22" i="45"/>
  <c r="N18" i="45"/>
  <c r="N46" i="45"/>
  <c r="N25" i="45"/>
  <c r="N64" i="45"/>
  <c r="N66" i="45"/>
  <c r="N37" i="45"/>
  <c r="N40" i="45"/>
  <c r="N59" i="45"/>
  <c r="N60" i="45"/>
  <c r="N41" i="45"/>
  <c r="N23" i="45"/>
  <c r="N30" i="45"/>
  <c r="N17" i="45"/>
  <c r="N35" i="45"/>
  <c r="N19" i="45"/>
  <c r="N70" i="45"/>
  <c r="N43" i="45"/>
  <c r="N71" i="45"/>
  <c r="N26" i="45"/>
  <c r="N76" i="45"/>
  <c r="N49" i="45"/>
  <c r="N65" i="45"/>
  <c r="N78" i="45"/>
  <c r="N69" i="45"/>
  <c r="A17" i="45"/>
  <c r="O17" i="45" l="1"/>
  <c r="O18" i="45" s="1"/>
  <c r="O19" i="45" s="1"/>
  <c r="O20" i="45" s="1"/>
  <c r="O21" i="45" s="1"/>
  <c r="O22" i="45" s="1"/>
  <c r="O23" i="45" s="1"/>
  <c r="O24" i="45" s="1"/>
  <c r="O25" i="45" s="1"/>
  <c r="O26" i="45" s="1"/>
  <c r="O27" i="45" s="1"/>
  <c r="O28" i="45" s="1"/>
  <c r="O29" i="45" s="1"/>
  <c r="O30" i="45" s="1"/>
  <c r="O31" i="45" s="1"/>
  <c r="O32" i="45" s="1"/>
  <c r="O33" i="45" s="1"/>
  <c r="O34" i="45" s="1"/>
  <c r="O35" i="45" s="1"/>
  <c r="O36" i="45" s="1"/>
  <c r="O37" i="45" s="1"/>
  <c r="O38" i="45" s="1"/>
  <c r="O39" i="45" s="1"/>
  <c r="O40" i="45" s="1"/>
  <c r="O41" i="45" s="1"/>
  <c r="O42" i="45" s="1"/>
  <c r="O43" i="45" s="1"/>
  <c r="O44" i="45" s="1"/>
  <c r="O45" i="45" s="1"/>
  <c r="O46" i="45" s="1"/>
  <c r="O47" i="45" s="1"/>
  <c r="O48" i="45" s="1"/>
  <c r="O49" i="45" s="1"/>
  <c r="O50" i="45" s="1"/>
  <c r="O51" i="45" s="1"/>
  <c r="O52" i="45" s="1"/>
  <c r="A18" i="45"/>
  <c r="B17" i="45"/>
  <c r="R21" i="45"/>
  <c r="R69" i="45"/>
  <c r="R25" i="45"/>
  <c r="R26" i="45"/>
  <c r="R50" i="45"/>
  <c r="R34" i="45"/>
  <c r="R42" i="45"/>
  <c r="R52" i="45"/>
  <c r="R22" i="45"/>
  <c r="R53" i="45"/>
  <c r="R80" i="45"/>
  <c r="R49" i="45"/>
  <c r="R40" i="45"/>
  <c r="R51" i="45"/>
  <c r="R75" i="45"/>
  <c r="R41" i="45"/>
  <c r="R77" i="45"/>
  <c r="R20" i="45"/>
  <c r="R27" i="45"/>
  <c r="R78" i="45"/>
  <c r="R67" i="45"/>
  <c r="R83" i="45"/>
  <c r="R43" i="45"/>
  <c r="R44" i="45"/>
  <c r="R30" i="45"/>
  <c r="R28" i="45"/>
  <c r="R65" i="45"/>
  <c r="R31" i="45"/>
  <c r="R57" i="45"/>
  <c r="R46" i="45"/>
  <c r="R39" i="45"/>
  <c r="R32" i="45"/>
  <c r="R82" i="45"/>
  <c r="R17" i="45"/>
  <c r="R71" i="45"/>
  <c r="R74" i="45"/>
  <c r="R81" i="45"/>
  <c r="R18" i="45"/>
  <c r="R59" i="45"/>
  <c r="R58" i="45"/>
  <c r="R64" i="45"/>
  <c r="R47" i="45"/>
  <c r="R56" i="45"/>
  <c r="R63" i="45"/>
  <c r="R24" i="45"/>
  <c r="R84" i="45"/>
  <c r="R55" i="45"/>
  <c r="R29" i="45"/>
  <c r="R35" i="45"/>
  <c r="R62" i="45"/>
  <c r="R38" i="45"/>
  <c r="R73" i="45"/>
  <c r="R23" i="45"/>
  <c r="R76" i="45"/>
  <c r="R33" i="45"/>
  <c r="R66" i="45"/>
  <c r="R60" i="45"/>
  <c r="R70" i="45"/>
  <c r="R72" i="45"/>
  <c r="R16" i="45"/>
  <c r="R61" i="45"/>
  <c r="R79" i="45"/>
  <c r="R37" i="45"/>
  <c r="R45" i="45"/>
  <c r="R48" i="45"/>
  <c r="R68" i="45"/>
  <c r="R19" i="45"/>
  <c r="R54" i="45"/>
  <c r="R36" i="45"/>
  <c r="A19" i="45" l="1"/>
  <c r="B18" i="45"/>
  <c r="A20" i="45" l="1"/>
  <c r="B19" i="45"/>
  <c r="A21" i="45" l="1"/>
  <c r="B20" i="45"/>
  <c r="A22" i="45" l="1"/>
  <c r="A23" i="45" s="1"/>
  <c r="B21" i="45"/>
  <c r="A24" i="45" l="1"/>
  <c r="B23" i="45"/>
  <c r="B22" i="45"/>
  <c r="B45" i="45"/>
  <c r="B69" i="45"/>
  <c r="B52" i="45"/>
  <c r="B25" i="45"/>
  <c r="B29" i="45"/>
  <c r="B65" i="45" l="1"/>
  <c r="B66" i="45"/>
  <c r="B33" i="45"/>
  <c r="B82" i="45"/>
  <c r="B83" i="45"/>
  <c r="B64" i="45"/>
  <c r="B63" i="45"/>
  <c r="B62" i="45"/>
  <c r="B72" i="45"/>
  <c r="B38" i="45"/>
  <c r="B73" i="45"/>
  <c r="B68" i="45"/>
  <c r="B48" i="45"/>
  <c r="B42" i="45"/>
  <c r="B26" i="45"/>
  <c r="B31" i="45"/>
  <c r="B46" i="45"/>
  <c r="B70" i="45"/>
  <c r="B77" i="45"/>
  <c r="B71" i="45"/>
  <c r="B36" i="45"/>
  <c r="B34" i="45"/>
  <c r="B84" i="45"/>
  <c r="B43" i="45"/>
  <c r="B78" i="45"/>
  <c r="B27" i="45"/>
  <c r="B24" i="45"/>
  <c r="B50" i="45"/>
  <c r="B44" i="45"/>
  <c r="B76" i="45"/>
  <c r="B32" i="45"/>
  <c r="B35" i="45"/>
  <c r="B58" i="45"/>
  <c r="B60" i="45"/>
  <c r="B51" i="45"/>
  <c r="B28" i="45"/>
  <c r="B47" i="45"/>
  <c r="B39" i="45"/>
  <c r="B61" i="45"/>
  <c r="B67" i="45"/>
  <c r="B49" i="45"/>
  <c r="B59" i="45"/>
  <c r="F306" i="7"/>
  <c r="B61" i="16" s="1"/>
  <c r="F308" i="7"/>
  <c r="B63" i="16" s="1"/>
  <c r="C61" i="16" l="1"/>
  <c r="D55" i="34" l="1"/>
  <c r="AC53" i="34"/>
  <c r="D53" i="34"/>
  <c r="AC55" i="34"/>
  <c r="Z55" i="34" l="1"/>
  <c r="H55" i="34"/>
  <c r="V55" i="34"/>
  <c r="N55" i="34"/>
  <c r="T55" i="34"/>
  <c r="F55" i="34"/>
  <c r="J55" i="34"/>
  <c r="X55" i="34"/>
  <c r="AB55" i="34"/>
  <c r="P55" i="34"/>
  <c r="R55" i="34"/>
  <c r="L55" i="34"/>
  <c r="R53" i="34"/>
  <c r="J53" i="34"/>
  <c r="T53" i="34"/>
  <c r="L53" i="34"/>
  <c r="F53" i="34"/>
  <c r="P53" i="34"/>
  <c r="Z53" i="34"/>
  <c r="N53" i="34"/>
  <c r="AB53" i="34"/>
  <c r="V53" i="34"/>
  <c r="H53" i="34"/>
  <c r="X53" i="34"/>
  <c r="AF53" i="34" l="1"/>
  <c r="AF55" i="34"/>
  <c r="I335" i="7"/>
  <c r="J335" i="7"/>
  <c r="L335" i="7"/>
  <c r="M335" i="7" s="1"/>
  <c r="N335" i="7" s="1"/>
  <c r="I334" i="7"/>
  <c r="J334" i="7"/>
  <c r="L334" i="7"/>
  <c r="M334" i="7" s="1"/>
  <c r="N334" i="7" s="1"/>
  <c r="I332" i="7"/>
  <c r="J332" i="7"/>
  <c r="L332" i="7"/>
  <c r="M332" i="7" s="1"/>
  <c r="N332" i="7" s="1"/>
  <c r="I325" i="7"/>
  <c r="J325" i="7"/>
  <c r="L325" i="7"/>
  <c r="M325" i="7" s="1"/>
  <c r="N325" i="7" s="1"/>
  <c r="N321" i="7" s="1"/>
  <c r="D321" i="7" s="1"/>
  <c r="I103" i="7"/>
  <c r="J103" i="7"/>
  <c r="L103" i="7"/>
  <c r="M103" i="7" s="1"/>
  <c r="N103" i="7" s="1"/>
  <c r="N101" i="7" s="1"/>
  <c r="D101" i="7" s="1"/>
  <c r="I91" i="7"/>
  <c r="J91" i="7"/>
  <c r="L91" i="7"/>
  <c r="M91" i="7" s="1"/>
  <c r="N91" i="7" s="1"/>
  <c r="N84" i="7" s="1"/>
  <c r="D84" i="7" s="1"/>
  <c r="A82" i="45"/>
  <c r="A83" i="45"/>
  <c r="A84" i="45"/>
  <c r="D325" i="7" l="1"/>
  <c r="D332" i="7"/>
  <c r="D334" i="7"/>
  <c r="D103" i="7"/>
  <c r="D335" i="7"/>
  <c r="D91" i="7"/>
  <c r="G20" i="9" l="1"/>
  <c r="H14" i="9" s="1"/>
  <c r="B137" i="9" l="1"/>
  <c r="G240" i="7" s="1"/>
  <c r="C240" i="7" s="1"/>
  <c r="B54" i="9"/>
  <c r="G35" i="7" s="1"/>
  <c r="B168" i="9"/>
  <c r="G242" i="7" s="1"/>
  <c r="H242" i="7" s="1"/>
  <c r="B152" i="9"/>
  <c r="G241" i="7" s="1"/>
  <c r="H241" i="7" s="1"/>
  <c r="B76" i="9"/>
  <c r="G337" i="7" s="1"/>
  <c r="H337" i="7" s="1"/>
  <c r="B122" i="9"/>
  <c r="G339" i="7" s="1"/>
  <c r="C339" i="7" s="1"/>
  <c r="B198" i="9"/>
  <c r="G244" i="7" s="1"/>
  <c r="B183" i="9"/>
  <c r="G243" i="7" s="1"/>
  <c r="H243" i="7" s="1"/>
  <c r="B213" i="9"/>
  <c r="G250" i="7" s="1"/>
  <c r="E50" i="36"/>
  <c r="L22" i="7" s="1"/>
  <c r="M22" i="7" s="1"/>
  <c r="N22" i="7" s="1"/>
  <c r="N21" i="7" s="1"/>
  <c r="B29" i="9"/>
  <c r="D161" i="36" s="1"/>
  <c r="B61" i="9"/>
  <c r="G336" i="7" s="1"/>
  <c r="H336" i="7" s="1"/>
  <c r="B99" i="9"/>
  <c r="G338" i="7" s="1"/>
  <c r="H338" i="7" s="1"/>
  <c r="H35" i="7"/>
  <c r="C35" i="7"/>
  <c r="K54" i="45"/>
  <c r="L54" i="45"/>
  <c r="M54" i="45" s="1"/>
  <c r="N54" i="45" s="1"/>
  <c r="H339" i="7"/>
  <c r="C51" i="36"/>
  <c r="E56" i="36"/>
  <c r="C165" i="36"/>
  <c r="C80" i="36"/>
  <c r="D147" i="36"/>
  <c r="C163" i="36"/>
  <c r="D54" i="36"/>
  <c r="J337" i="7" s="1"/>
  <c r="E134" i="36"/>
  <c r="D130" i="36"/>
  <c r="D137" i="36"/>
  <c r="E117" i="36"/>
  <c r="C120" i="36"/>
  <c r="D136" i="36"/>
  <c r="D84" i="36"/>
  <c r="D146" i="36"/>
  <c r="C56" i="36"/>
  <c r="D97" i="36"/>
  <c r="E156" i="36"/>
  <c r="C72" i="36"/>
  <c r="E83" i="36"/>
  <c r="C107" i="36"/>
  <c r="C97" i="36"/>
  <c r="E65" i="36"/>
  <c r="C79" i="36"/>
  <c r="C137" i="36"/>
  <c r="E132" i="36"/>
  <c r="C60" i="36"/>
  <c r="D56" i="36"/>
  <c r="D117" i="36"/>
  <c r="E52" i="36"/>
  <c r="C87" i="36"/>
  <c r="E116" i="36"/>
  <c r="C67" i="36"/>
  <c r="C65" i="36"/>
  <c r="C124" i="36"/>
  <c r="D105" i="36"/>
  <c r="C161" i="36"/>
  <c r="C118" i="36"/>
  <c r="D151" i="36"/>
  <c r="E148" i="36"/>
  <c r="E109" i="36"/>
  <c r="E90" i="36"/>
  <c r="D153" i="36"/>
  <c r="E93" i="36"/>
  <c r="C141" i="36"/>
  <c r="D75" i="36"/>
  <c r="C143" i="36"/>
  <c r="C81" i="36"/>
  <c r="E140" i="36"/>
  <c r="D160" i="36"/>
  <c r="D145" i="36"/>
  <c r="C154" i="36"/>
  <c r="D52" i="36"/>
  <c r="D110" i="36"/>
  <c r="C147" i="36"/>
  <c r="E131" i="36"/>
  <c r="E107" i="36"/>
  <c r="C63" i="36"/>
  <c r="D144" i="36"/>
  <c r="E157" i="36"/>
  <c r="D64" i="36"/>
  <c r="D116" i="36"/>
  <c r="C132" i="36"/>
  <c r="E112" i="36"/>
  <c r="E79" i="36"/>
  <c r="D168" i="36"/>
  <c r="E64" i="36"/>
  <c r="C167" i="36"/>
  <c r="D60" i="36"/>
  <c r="C66" i="36"/>
  <c r="C148" i="36"/>
  <c r="D55" i="36"/>
  <c r="J338" i="7" s="1"/>
  <c r="D98" i="36"/>
  <c r="D95" i="36"/>
  <c r="C91" i="36"/>
  <c r="D123" i="36"/>
  <c r="C123" i="36"/>
  <c r="D115" i="36"/>
  <c r="C129" i="36"/>
  <c r="D102" i="36"/>
  <c r="E119" i="36"/>
  <c r="E161" i="36"/>
  <c r="C100" i="36"/>
  <c r="E163" i="36"/>
  <c r="E62" i="36"/>
  <c r="D78" i="36"/>
  <c r="C122" i="36"/>
  <c r="E71" i="36"/>
  <c r="D138" i="36"/>
  <c r="D170" i="36"/>
  <c r="E143" i="36"/>
  <c r="D157" i="36"/>
  <c r="E105" i="36"/>
  <c r="D61" i="36"/>
  <c r="D87" i="36"/>
  <c r="E166" i="36"/>
  <c r="C135" i="36"/>
  <c r="E136" i="36"/>
  <c r="D79" i="36"/>
  <c r="D122" i="36"/>
  <c r="D106" i="36"/>
  <c r="D155" i="36"/>
  <c r="D143" i="36"/>
  <c r="E96" i="36"/>
  <c r="C116" i="36"/>
  <c r="E142" i="36"/>
  <c r="E168" i="36"/>
  <c r="E85" i="36"/>
  <c r="E88" i="36"/>
  <c r="D149" i="36"/>
  <c r="C53" i="36"/>
  <c r="I336" i="7" s="1"/>
  <c r="E100" i="36"/>
  <c r="C85" i="36"/>
  <c r="E120" i="36"/>
  <c r="D162" i="36"/>
  <c r="D132" i="36"/>
  <c r="C153" i="36"/>
  <c r="E61" i="36"/>
  <c r="L244" i="7" s="1"/>
  <c r="M244" i="7" s="1"/>
  <c r="N244" i="7" s="1"/>
  <c r="E97" i="36"/>
  <c r="C169" i="36"/>
  <c r="E87" i="36"/>
  <c r="C75" i="36"/>
  <c r="E121" i="36"/>
  <c r="C105" i="36"/>
  <c r="D120" i="36"/>
  <c r="D163" i="36"/>
  <c r="E111" i="36"/>
  <c r="E152" i="36"/>
  <c r="D62" i="36"/>
  <c r="D134" i="36"/>
  <c r="C126" i="36"/>
  <c r="E63" i="36"/>
  <c r="D72" i="36"/>
  <c r="C157" i="36"/>
  <c r="D92" i="36"/>
  <c r="C162" i="36"/>
  <c r="C150" i="36"/>
  <c r="E54" i="36"/>
  <c r="E92" i="36"/>
  <c r="C104" i="36"/>
  <c r="C84" i="36"/>
  <c r="C69" i="36"/>
  <c r="C99" i="36"/>
  <c r="E104" i="36"/>
  <c r="G330" i="7"/>
  <c r="K74" i="45" s="1"/>
  <c r="H250" i="7"/>
  <c r="C250" i="7"/>
  <c r="H244" i="7"/>
  <c r="C244" i="7"/>
  <c r="C338" i="7" l="1"/>
  <c r="C242" i="7"/>
  <c r="C241" i="7"/>
  <c r="E129" i="36"/>
  <c r="E113" i="36"/>
  <c r="C98" i="36"/>
  <c r="D74" i="36"/>
  <c r="E138" i="36"/>
  <c r="D104" i="36"/>
  <c r="C76" i="36"/>
  <c r="E127" i="36"/>
  <c r="C130" i="36"/>
  <c r="D133" i="36"/>
  <c r="C111" i="36"/>
  <c r="E135" i="36"/>
  <c r="E89" i="36"/>
  <c r="E72" i="36"/>
  <c r="C54" i="36"/>
  <c r="I337" i="7" s="1"/>
  <c r="C158" i="36"/>
  <c r="E69" i="36"/>
  <c r="C152" i="36"/>
  <c r="E67" i="36"/>
  <c r="C114" i="36"/>
  <c r="D101" i="36"/>
  <c r="E59" i="36"/>
  <c r="L242" i="7" s="1"/>
  <c r="M242" i="7" s="1"/>
  <c r="N242" i="7" s="1"/>
  <c r="E126" i="36"/>
  <c r="E114" i="36"/>
  <c r="D119" i="36"/>
  <c r="C146" i="36"/>
  <c r="E78" i="36"/>
  <c r="D125" i="36"/>
  <c r="E76" i="36"/>
  <c r="D129" i="36"/>
  <c r="D113" i="36"/>
  <c r="E123" i="36"/>
  <c r="D90" i="36"/>
  <c r="E84" i="36"/>
  <c r="D156" i="36"/>
  <c r="C156" i="36"/>
  <c r="E151" i="36"/>
  <c r="E57" i="36"/>
  <c r="L240" i="7" s="1"/>
  <c r="M240" i="7" s="1"/>
  <c r="N240" i="7" s="1"/>
  <c r="C112" i="36"/>
  <c r="D128" i="36"/>
  <c r="D58" i="36"/>
  <c r="J241" i="7" s="1"/>
  <c r="E102" i="36"/>
  <c r="E167" i="36"/>
  <c r="D82" i="36"/>
  <c r="C136" i="36"/>
  <c r="C139" i="36"/>
  <c r="E55" i="36"/>
  <c r="L338" i="7" s="1"/>
  <c r="M338" i="7" s="1"/>
  <c r="N338" i="7" s="1"/>
  <c r="C92" i="36"/>
  <c r="E75" i="36"/>
  <c r="E110" i="36"/>
  <c r="C113" i="36"/>
  <c r="E137" i="36"/>
  <c r="C77" i="36"/>
  <c r="D124" i="36"/>
  <c r="E68" i="36"/>
  <c r="D164" i="36"/>
  <c r="C93" i="36"/>
  <c r="E103" i="36"/>
  <c r="C68" i="36"/>
  <c r="D109" i="36"/>
  <c r="E86" i="36"/>
  <c r="C121" i="36"/>
  <c r="D100" i="36"/>
  <c r="E130" i="36"/>
  <c r="D159" i="36"/>
  <c r="E108" i="36"/>
  <c r="D91" i="36"/>
  <c r="C78" i="36"/>
  <c r="D71" i="36"/>
  <c r="C134" i="36"/>
  <c r="E139" i="36"/>
  <c r="C59" i="36"/>
  <c r="I242" i="7" s="1"/>
  <c r="C149" i="36"/>
  <c r="D99" i="36"/>
  <c r="E74" i="36"/>
  <c r="D126" i="36"/>
  <c r="E94" i="36"/>
  <c r="C101" i="36"/>
  <c r="C64" i="36"/>
  <c r="C108" i="36"/>
  <c r="D81" i="36"/>
  <c r="D114" i="36"/>
  <c r="E106" i="36"/>
  <c r="C131" i="36"/>
  <c r="D135" i="36"/>
  <c r="D70" i="36"/>
  <c r="C71" i="36"/>
  <c r="E149" i="36"/>
  <c r="C73" i="36"/>
  <c r="E141" i="36"/>
  <c r="E58" i="36"/>
  <c r="L241" i="7" s="1"/>
  <c r="M241" i="7" s="1"/>
  <c r="N241" i="7" s="1"/>
  <c r="E60" i="36"/>
  <c r="L243" i="7" s="1"/>
  <c r="M243" i="7" s="1"/>
  <c r="N243" i="7" s="1"/>
  <c r="C145" i="36"/>
  <c r="E101" i="36"/>
  <c r="D118" i="36"/>
  <c r="E81" i="36"/>
  <c r="D121" i="36"/>
  <c r="D154" i="36"/>
  <c r="D93" i="36"/>
  <c r="C170" i="36"/>
  <c r="D165" i="36"/>
  <c r="C106" i="36"/>
  <c r="E122" i="36"/>
  <c r="C83" i="36"/>
  <c r="D68" i="36"/>
  <c r="E165" i="36"/>
  <c r="E147" i="36"/>
  <c r="C96" i="36"/>
  <c r="D148" i="36"/>
  <c r="D89" i="36"/>
  <c r="C55" i="36"/>
  <c r="I338" i="7" s="1"/>
  <c r="D76" i="36"/>
  <c r="E145" i="36"/>
  <c r="E91" i="36"/>
  <c r="E70" i="36"/>
  <c r="C128" i="36"/>
  <c r="E133" i="36"/>
  <c r="C88" i="36"/>
  <c r="E66" i="36"/>
  <c r="D127" i="36"/>
  <c r="E51" i="36"/>
  <c r="L330" i="7" s="1"/>
  <c r="M330" i="7" s="1"/>
  <c r="N330" i="7" s="1"/>
  <c r="C127" i="36"/>
  <c r="D96" i="36"/>
  <c r="D59" i="36"/>
  <c r="J242" i="7" s="1"/>
  <c r="E77" i="36"/>
  <c r="D94" i="36"/>
  <c r="D86" i="36"/>
  <c r="E128" i="36"/>
  <c r="E82" i="36"/>
  <c r="D53" i="36"/>
  <c r="J336" i="7" s="1"/>
  <c r="C52" i="36"/>
  <c r="I35" i="7" s="1"/>
  <c r="C159" i="36"/>
  <c r="C144" i="36"/>
  <c r="C117" i="36"/>
  <c r="C61" i="36"/>
  <c r="I244" i="7" s="1"/>
  <c r="D65" i="36"/>
  <c r="C62" i="36"/>
  <c r="I250" i="7" s="1"/>
  <c r="C82" i="36"/>
  <c r="D51" i="36"/>
  <c r="J330" i="7" s="1"/>
  <c r="C109" i="36"/>
  <c r="D166" i="36"/>
  <c r="D66" i="36"/>
  <c r="E125" i="36"/>
  <c r="C74" i="36"/>
  <c r="C168" i="36"/>
  <c r="D107" i="36"/>
  <c r="C57" i="36"/>
  <c r="I240" i="7" s="1"/>
  <c r="C119" i="36"/>
  <c r="E158" i="36"/>
  <c r="D57" i="36"/>
  <c r="J240" i="7" s="1"/>
  <c r="H240" i="7"/>
  <c r="D85" i="36"/>
  <c r="D152" i="36"/>
  <c r="E99" i="36"/>
  <c r="C103" i="36"/>
  <c r="D167" i="36"/>
  <c r="D88" i="36"/>
  <c r="E146" i="36"/>
  <c r="E164" i="36"/>
  <c r="C94" i="36"/>
  <c r="D103" i="36"/>
  <c r="C86" i="36"/>
  <c r="E115" i="36"/>
  <c r="D77" i="36"/>
  <c r="E80" i="36"/>
  <c r="C164" i="36"/>
  <c r="E160" i="36"/>
  <c r="C58" i="36"/>
  <c r="I241" i="7" s="1"/>
  <c r="D140" i="36"/>
  <c r="D131" i="36"/>
  <c r="E170" i="36"/>
  <c r="C110" i="36"/>
  <c r="C151" i="36"/>
  <c r="C138" i="36"/>
  <c r="D158" i="36"/>
  <c r="D67" i="36"/>
  <c r="D63" i="36"/>
  <c r="E73" i="36"/>
  <c r="D139" i="36"/>
  <c r="E118" i="36"/>
  <c r="C102" i="36"/>
  <c r="C155" i="36"/>
  <c r="E144" i="36"/>
  <c r="C90" i="36"/>
  <c r="D142" i="36"/>
  <c r="E162" i="36"/>
  <c r="E155" i="36"/>
  <c r="D73" i="36"/>
  <c r="E154" i="36"/>
  <c r="D83" i="36"/>
  <c r="C140" i="36"/>
  <c r="D108" i="36"/>
  <c r="C142" i="36"/>
  <c r="C160" i="36"/>
  <c r="E95" i="36"/>
  <c r="E159" i="36"/>
  <c r="C70" i="36"/>
  <c r="D69" i="36"/>
  <c r="E98" i="36"/>
  <c r="D111" i="36"/>
  <c r="D141" i="36"/>
  <c r="E153" i="36"/>
  <c r="C115" i="36"/>
  <c r="C89" i="36"/>
  <c r="C243" i="7"/>
  <c r="L250" i="7"/>
  <c r="M250" i="7" s="1"/>
  <c r="N250" i="7" s="1"/>
  <c r="C336" i="7"/>
  <c r="C337" i="7"/>
  <c r="I243" i="7"/>
  <c r="D112" i="36"/>
  <c r="D169" i="36"/>
  <c r="L337" i="7"/>
  <c r="M337" i="7" s="1"/>
  <c r="N337" i="7" s="1"/>
  <c r="E124" i="36"/>
  <c r="E53" i="36"/>
  <c r="L336" i="7" s="1"/>
  <c r="M336" i="7" s="1"/>
  <c r="N336" i="7" s="1"/>
  <c r="C125" i="36"/>
  <c r="D80" i="36"/>
  <c r="C166" i="36"/>
  <c r="E150" i="36"/>
  <c r="C95" i="36"/>
  <c r="E169" i="36"/>
  <c r="D150" i="36"/>
  <c r="C133" i="36"/>
  <c r="J250" i="7"/>
  <c r="J243" i="7"/>
  <c r="L35" i="7"/>
  <c r="M35" i="7" s="1"/>
  <c r="N35" i="7" s="1"/>
  <c r="N28" i="7" s="1"/>
  <c r="D28" i="7" s="1"/>
  <c r="L339" i="7"/>
  <c r="M339" i="7" s="1"/>
  <c r="N339" i="7" s="1"/>
  <c r="J35" i="7"/>
  <c r="J244" i="7"/>
  <c r="J339" i="7"/>
  <c r="I339" i="7"/>
  <c r="K75" i="45"/>
  <c r="K55" i="45"/>
  <c r="L55" i="45"/>
  <c r="M55" i="45" s="1"/>
  <c r="N55" i="45" s="1"/>
  <c r="K53" i="45"/>
  <c r="L79" i="45"/>
  <c r="M79" i="45" s="1"/>
  <c r="N79" i="45" s="1"/>
  <c r="L56" i="45"/>
  <c r="M56" i="45" s="1"/>
  <c r="N56" i="45" s="1"/>
  <c r="K56" i="45"/>
  <c r="D21" i="7"/>
  <c r="L74" i="45"/>
  <c r="M74" i="45" s="1"/>
  <c r="N74" i="45" s="1"/>
  <c r="D22" i="7"/>
  <c r="L57" i="45"/>
  <c r="M57" i="45" s="1"/>
  <c r="N57" i="45" s="1"/>
  <c r="H330" i="7"/>
  <c r="I330" i="7"/>
  <c r="C330" i="7"/>
  <c r="L75" i="45"/>
  <c r="M75" i="45" s="1"/>
  <c r="N75" i="45" s="1"/>
  <c r="K79" i="45"/>
  <c r="K57" i="45"/>
  <c r="L53" i="45"/>
  <c r="M53" i="45" s="1"/>
  <c r="N53" i="45" s="1"/>
  <c r="O53" i="45" s="1"/>
  <c r="O54" i="45" s="1"/>
  <c r="K81" i="45"/>
  <c r="L80" i="45"/>
  <c r="M80" i="45" s="1"/>
  <c r="N80" i="45" s="1"/>
  <c r="K80" i="45"/>
  <c r="L81" i="45"/>
  <c r="M81" i="45" s="1"/>
  <c r="N81" i="45" s="1"/>
  <c r="D54" i="45"/>
  <c r="D337" i="7" l="1"/>
  <c r="D242" i="7"/>
  <c r="N189" i="7"/>
  <c r="D189" i="7" s="1"/>
  <c r="D250" i="7"/>
  <c r="N329" i="7"/>
  <c r="D329" i="7" s="1"/>
  <c r="D35" i="7"/>
  <c r="D338" i="7"/>
  <c r="D336" i="7"/>
  <c r="D241" i="7"/>
  <c r="D240" i="7"/>
  <c r="D339" i="7"/>
  <c r="D244" i="7"/>
  <c r="D243" i="7"/>
  <c r="D57" i="45"/>
  <c r="B57" i="45" s="1"/>
  <c r="D80" i="45"/>
  <c r="B80" i="45" s="1"/>
  <c r="D330" i="7"/>
  <c r="D81" i="45"/>
  <c r="B81" i="45" s="1"/>
  <c r="L341" i="7"/>
  <c r="D53" i="45"/>
  <c r="O55" i="45"/>
  <c r="O56" i="45" s="1"/>
  <c r="O57" i="45" s="1"/>
  <c r="O58" i="45" s="1"/>
  <c r="O59" i="45" s="1"/>
  <c r="O60" i="45" s="1"/>
  <c r="O61" i="45" s="1"/>
  <c r="O62" i="45" s="1"/>
  <c r="O63" i="45" s="1"/>
  <c r="O64" i="45" s="1"/>
  <c r="O65" i="45" s="1"/>
  <c r="O66" i="45" s="1"/>
  <c r="O67" i="45" s="1"/>
  <c r="O68" i="45" s="1"/>
  <c r="O69" i="45" s="1"/>
  <c r="O70" i="45" s="1"/>
  <c r="O71" i="45" s="1"/>
  <c r="O72" i="45" s="1"/>
  <c r="O73" i="45" s="1"/>
  <c r="O74" i="45" s="1"/>
  <c r="O75" i="45" s="1"/>
  <c r="O76" i="45" s="1"/>
  <c r="O77" i="45" s="1"/>
  <c r="O78" i="45" s="1"/>
  <c r="O79" i="45" s="1"/>
  <c r="O80" i="45" s="1"/>
  <c r="O81" i="45" s="1"/>
  <c r="O82" i="45" s="1"/>
  <c r="O83" i="45" s="1"/>
  <c r="O84" i="45" s="1"/>
  <c r="D79" i="45"/>
  <c r="D55" i="45"/>
  <c r="D75" i="45"/>
  <c r="A21" i="7"/>
  <c r="B21" i="7" s="1"/>
  <c r="F21" i="7" s="1"/>
  <c r="D56" i="45"/>
  <c r="D74" i="45"/>
  <c r="F343" i="7"/>
  <c r="A80" i="45" l="1"/>
  <c r="A57" i="45"/>
  <c r="A22" i="7"/>
  <c r="A23" i="7" s="1"/>
  <c r="A24" i="7" s="1"/>
  <c r="B24" i="7" s="1"/>
  <c r="F24" i="7" s="1"/>
  <c r="A81" i="45"/>
  <c r="B76" i="16"/>
  <c r="F13" i="33"/>
  <c r="F15" i="33" s="1"/>
  <c r="B15" i="16"/>
  <c r="B75" i="45"/>
  <c r="A75" i="45"/>
  <c r="B53" i="45"/>
  <c r="A53" i="45"/>
  <c r="A54" i="45" s="1"/>
  <c r="B54" i="45" s="1"/>
  <c r="A74" i="45"/>
  <c r="B74" i="45"/>
  <c r="A56" i="45"/>
  <c r="B56" i="45"/>
  <c r="B55" i="45"/>
  <c r="A55" i="45"/>
  <c r="A79" i="45"/>
  <c r="B79" i="45"/>
  <c r="A25" i="7" l="1"/>
  <c r="A26" i="7" s="1"/>
  <c r="D13" i="33"/>
  <c r="D15" i="33" s="1"/>
  <c r="B22" i="7"/>
  <c r="F22" i="7" s="1"/>
  <c r="C15" i="16"/>
  <c r="F15" i="16"/>
  <c r="D15" i="16"/>
  <c r="E15" i="16"/>
  <c r="B18" i="16"/>
  <c r="D49" i="16" l="1"/>
  <c r="E13" i="33"/>
  <c r="H13" i="33" s="1"/>
  <c r="B25" i="7"/>
  <c r="F25" i="7" s="1"/>
  <c r="B20" i="16" s="1"/>
  <c r="D67" i="16"/>
  <c r="E55" i="16"/>
  <c r="E31" i="16"/>
  <c r="D34" i="16"/>
  <c r="D43" i="16"/>
  <c r="F49" i="16"/>
  <c r="F64" i="16"/>
  <c r="D60" i="16"/>
  <c r="F60" i="16"/>
  <c r="D22" i="16"/>
  <c r="D28" i="16"/>
  <c r="E60" i="16"/>
  <c r="F70" i="16"/>
  <c r="F46" i="16"/>
  <c r="E67" i="16"/>
  <c r="E61" i="16"/>
  <c r="E43" i="16"/>
  <c r="E51" i="16"/>
  <c r="F17" i="16"/>
  <c r="F34" i="16"/>
  <c r="E17" i="16"/>
  <c r="F63" i="16"/>
  <c r="D70" i="16"/>
  <c r="E22" i="16"/>
  <c r="F61" i="16"/>
  <c r="B16" i="16"/>
  <c r="F16" i="16" s="1"/>
  <c r="D39" i="16"/>
  <c r="E34" i="16"/>
  <c r="E30" i="16"/>
  <c r="D61" i="16"/>
  <c r="D36" i="16"/>
  <c r="F67" i="16"/>
  <c r="D30" i="16"/>
  <c r="F39" i="16"/>
  <c r="E28" i="16"/>
  <c r="D48" i="16"/>
  <c r="E25" i="16"/>
  <c r="E46" i="16"/>
  <c r="F58" i="16"/>
  <c r="F36" i="16"/>
  <c r="F42" i="16"/>
  <c r="F27" i="16"/>
  <c r="Q22" i="7"/>
  <c r="F43" i="16"/>
  <c r="D25" i="16"/>
  <c r="F48" i="16"/>
  <c r="E48" i="16"/>
  <c r="F51" i="16"/>
  <c r="D31" i="16"/>
  <c r="E49" i="16"/>
  <c r="E63" i="16"/>
  <c r="E52" i="16"/>
  <c r="F31" i="16"/>
  <c r="D58" i="16"/>
  <c r="D63" i="16"/>
  <c r="D42" i="16"/>
  <c r="F25" i="16"/>
  <c r="E40" i="16"/>
  <c r="F22" i="16"/>
  <c r="D52" i="16"/>
  <c r="F55" i="16"/>
  <c r="E37" i="16"/>
  <c r="D55" i="16"/>
  <c r="F37" i="16"/>
  <c r="D64" i="16"/>
  <c r="D40" i="16"/>
  <c r="E42" i="16"/>
  <c r="E64" i="16"/>
  <c r="D46" i="16"/>
  <c r="D51" i="16"/>
  <c r="E70" i="16"/>
  <c r="D17" i="16"/>
  <c r="E58" i="16"/>
  <c r="F28" i="16"/>
  <c r="F30" i="16"/>
  <c r="F52" i="16"/>
  <c r="F40" i="16"/>
  <c r="E27" i="16"/>
  <c r="E39" i="16"/>
  <c r="E36" i="16"/>
  <c r="D27" i="16"/>
  <c r="D37" i="16"/>
  <c r="C18" i="16"/>
  <c r="D18" i="16"/>
  <c r="F18" i="16"/>
  <c r="E18" i="16"/>
  <c r="B26" i="7"/>
  <c r="F26" i="7" s="1"/>
  <c r="A27" i="7"/>
  <c r="A28" i="7" s="1"/>
  <c r="E15" i="33" l="1"/>
  <c r="Q25" i="7"/>
  <c r="D16" i="16"/>
  <c r="E16" i="16"/>
  <c r="C16" i="16"/>
  <c r="A29" i="7"/>
  <c r="B28" i="7"/>
  <c r="F28" i="7" s="1"/>
  <c r="Q26" i="7"/>
  <c r="B21" i="16"/>
  <c r="F20" i="16"/>
  <c r="D20" i="16"/>
  <c r="C20" i="16"/>
  <c r="E20" i="16"/>
  <c r="C21" i="16" l="1"/>
  <c r="D21" i="16"/>
  <c r="E21" i="16"/>
  <c r="F21" i="16"/>
  <c r="B23" i="16"/>
  <c r="B29" i="7"/>
  <c r="F29" i="7" s="1"/>
  <c r="A30" i="7"/>
  <c r="A31" i="7" l="1"/>
  <c r="B30" i="7"/>
  <c r="F30" i="7" s="1"/>
  <c r="Q29" i="7"/>
  <c r="D23" i="16"/>
  <c r="F23" i="16"/>
  <c r="C23" i="16"/>
  <c r="E23" i="16"/>
  <c r="Q30" i="7" l="1"/>
  <c r="A32" i="7"/>
  <c r="B31" i="7"/>
  <c r="F31" i="7" s="1"/>
  <c r="Q31" i="7" l="1"/>
  <c r="B32" i="7"/>
  <c r="F32" i="7" s="1"/>
  <c r="Q32" i="7" s="1"/>
  <c r="A33" i="7"/>
  <c r="B33" i="7" l="1"/>
  <c r="F33" i="7" s="1"/>
  <c r="Q33" i="7" s="1"/>
  <c r="A34" i="7"/>
  <c r="B34" i="7" l="1"/>
  <c r="F34" i="7" s="1"/>
  <c r="Q34" i="7" s="1"/>
  <c r="A35" i="7"/>
  <c r="A36" i="7" l="1"/>
  <c r="B35" i="7"/>
  <c r="F35" i="7" s="1"/>
  <c r="Q35" i="7" s="1"/>
  <c r="A37" i="7" l="1"/>
  <c r="B36" i="7"/>
  <c r="F36" i="7" s="1"/>
  <c r="Q36" i="7" s="1"/>
  <c r="A38" i="7" l="1"/>
  <c r="B37" i="7"/>
  <c r="F37" i="7" s="1"/>
  <c r="Q37" i="7" s="1"/>
  <c r="A39" i="7" l="1"/>
  <c r="A40" i="7" s="1"/>
  <c r="B38" i="7"/>
  <c r="F38" i="7" s="1"/>
  <c r="Q38" i="7" s="1"/>
  <c r="A41" i="7" l="1"/>
  <c r="A42" i="7" s="1"/>
  <c r="B40" i="7"/>
  <c r="F40" i="7" s="1"/>
  <c r="B26" i="16" s="1"/>
  <c r="F26" i="16" l="1"/>
  <c r="E26" i="16"/>
  <c r="C26" i="16"/>
  <c r="D26" i="16"/>
  <c r="B42" i="7"/>
  <c r="F42" i="7" s="1"/>
  <c r="Q42" i="7" s="1"/>
  <c r="A43" i="7"/>
  <c r="A44" i="7" l="1"/>
  <c r="B43" i="7"/>
  <c r="F43" i="7" s="1"/>
  <c r="Q43" i="7" s="1"/>
  <c r="B44" i="7" l="1"/>
  <c r="F44" i="7" s="1"/>
  <c r="Q44" i="7" s="1"/>
  <c r="A45" i="7"/>
  <c r="B45" i="7" l="1"/>
  <c r="F45" i="7" s="1"/>
  <c r="Q45" i="7" s="1"/>
  <c r="A46" i="7"/>
  <c r="A47" i="7" s="1"/>
  <c r="B47" i="7" l="1"/>
  <c r="F47" i="7" s="1"/>
  <c r="B29" i="16" s="1"/>
  <c r="A48" i="7"/>
  <c r="A49" i="7" s="1"/>
  <c r="B49" i="7" l="1"/>
  <c r="F49" i="7" s="1"/>
  <c r="Q49" i="7" s="1"/>
  <c r="A50" i="7"/>
  <c r="E29" i="16"/>
  <c r="C29" i="16"/>
  <c r="D29" i="16"/>
  <c r="F29" i="16"/>
  <c r="A51" i="7" l="1"/>
  <c r="B50" i="7"/>
  <c r="F50" i="7" s="1"/>
  <c r="Q50" i="7" s="1"/>
  <c r="A52" i="7" l="1"/>
  <c r="B51" i="7"/>
  <c r="F51" i="7" s="1"/>
  <c r="Q51" i="7" s="1"/>
  <c r="A53" i="7" l="1"/>
  <c r="B52" i="7"/>
  <c r="F52" i="7" s="1"/>
  <c r="Q52" i="7" s="1"/>
  <c r="B53" i="7" l="1"/>
  <c r="F53" i="7" s="1"/>
  <c r="Q53" i="7" s="1"/>
  <c r="A54" i="7"/>
  <c r="B54" i="7" l="1"/>
  <c r="F54" i="7" s="1"/>
  <c r="Q54" i="7" s="1"/>
  <c r="A55" i="7"/>
  <c r="B55" i="7" l="1"/>
  <c r="F55" i="7" s="1"/>
  <c r="Q55" i="7" s="1"/>
  <c r="A56" i="7"/>
  <c r="A57" i="7" l="1"/>
  <c r="B56" i="7"/>
  <c r="F56" i="7" s="1"/>
  <c r="Q56" i="7" s="1"/>
  <c r="B57" i="7" l="1"/>
  <c r="F57" i="7" s="1"/>
  <c r="Q57" i="7" s="1"/>
  <c r="A58" i="7"/>
  <c r="A59" i="7" s="1"/>
  <c r="B59" i="7" l="1"/>
  <c r="F59" i="7" s="1"/>
  <c r="Q59" i="7" s="1"/>
  <c r="A60" i="7"/>
  <c r="A61" i="7" l="1"/>
  <c r="B60" i="7"/>
  <c r="F60" i="7" s="1"/>
  <c r="Q60" i="7" s="1"/>
  <c r="A62" i="7" l="1"/>
  <c r="B61" i="7"/>
  <c r="F61" i="7" s="1"/>
  <c r="Q61" i="7" s="1"/>
  <c r="A63" i="7" l="1"/>
  <c r="B62" i="7"/>
  <c r="F62" i="7" s="1"/>
  <c r="Q62" i="7" s="1"/>
  <c r="A64" i="7" l="1"/>
  <c r="A65" i="7" s="1"/>
  <c r="B63" i="7"/>
  <c r="F63" i="7" s="1"/>
  <c r="Q63" i="7" s="1"/>
  <c r="B65" i="7" l="1"/>
  <c r="F65" i="7" s="1"/>
  <c r="Q65" i="7" s="1"/>
  <c r="A66" i="7"/>
  <c r="B66" i="7" l="1"/>
  <c r="F66" i="7" s="1"/>
  <c r="Q66" i="7" s="1"/>
  <c r="A67" i="7"/>
  <c r="B67" i="7" l="1"/>
  <c r="F67" i="7" s="1"/>
  <c r="Q67" i="7" s="1"/>
  <c r="A68" i="7"/>
  <c r="B68" i="7" l="1"/>
  <c r="F68" i="7" s="1"/>
  <c r="Q68" i="7" s="1"/>
  <c r="A69" i="7"/>
  <c r="B69" i="7" l="1"/>
  <c r="F69" i="7" s="1"/>
  <c r="Q69" i="7" s="1"/>
  <c r="A70" i="7"/>
  <c r="A71" i="7" s="1"/>
  <c r="B71" i="7" l="1"/>
  <c r="F71" i="7" s="1"/>
  <c r="Q71" i="7" s="1"/>
  <c r="A72" i="7"/>
  <c r="A73" i="7" s="1"/>
  <c r="A74" i="7" l="1"/>
  <c r="B73" i="7"/>
  <c r="F73" i="7" s="1"/>
  <c r="B32" i="16" s="1"/>
  <c r="C32" i="16" l="1"/>
  <c r="F32" i="16"/>
  <c r="D32" i="16"/>
  <c r="E32" i="16"/>
  <c r="A75" i="7"/>
  <c r="B74" i="7"/>
  <c r="F74" i="7" s="1"/>
  <c r="Q74" i="7" s="1"/>
  <c r="A76" i="7" l="1"/>
  <c r="B75" i="7"/>
  <c r="F75" i="7" s="1"/>
  <c r="Q75" i="7" s="1"/>
  <c r="B76" i="7" l="1"/>
  <c r="F76" i="7" s="1"/>
  <c r="Q76" i="7" s="1"/>
  <c r="A77" i="7"/>
  <c r="A78" i="7" s="1"/>
  <c r="B78" i="7" l="1"/>
  <c r="F78" i="7" s="1"/>
  <c r="B35" i="16" s="1"/>
  <c r="C35" i="16" s="1"/>
  <c r="A79" i="7"/>
  <c r="A80" i="7" s="1"/>
  <c r="B80" i="7" l="1"/>
  <c r="F80" i="7" s="1"/>
  <c r="Q80" i="7" s="1"/>
  <c r="A81" i="7"/>
  <c r="A82" i="7" l="1"/>
  <c r="B81" i="7"/>
  <c r="F81" i="7" s="1"/>
  <c r="Q81" i="7" s="1"/>
  <c r="B82" i="7" l="1"/>
  <c r="F82" i="7" s="1"/>
  <c r="Q82" i="7" s="1"/>
  <c r="A83" i="7"/>
  <c r="A84" i="7" s="1"/>
  <c r="A85" i="7" l="1"/>
  <c r="A86" i="7" s="1"/>
  <c r="B84" i="7"/>
  <c r="F84" i="7" s="1"/>
  <c r="B38" i="16" s="1"/>
  <c r="C38" i="16" l="1"/>
  <c r="E38" i="16"/>
  <c r="F38" i="16"/>
  <c r="D38" i="16"/>
  <c r="A87" i="7"/>
  <c r="B86" i="7"/>
  <c r="F86" i="7" s="1"/>
  <c r="Q86" i="7" s="1"/>
  <c r="B87" i="7" l="1"/>
  <c r="F87" i="7" s="1"/>
  <c r="Q87" i="7" s="1"/>
  <c r="A88" i="7"/>
  <c r="A89" i="7" s="1"/>
  <c r="A90" i="7" l="1"/>
  <c r="B89" i="7"/>
  <c r="F89" i="7" s="1"/>
  <c r="Q89" i="7" s="1"/>
  <c r="B90" i="7" l="1"/>
  <c r="F90" i="7" s="1"/>
  <c r="Q90" i="7" s="1"/>
  <c r="A91" i="7"/>
  <c r="A92" i="7" l="1"/>
  <c r="A93" i="7" s="1"/>
  <c r="B91" i="7"/>
  <c r="F91" i="7" s="1"/>
  <c r="Q91" i="7" s="1"/>
  <c r="B93" i="7" l="1"/>
  <c r="F93" i="7" s="1"/>
  <c r="B41" i="16" s="1"/>
  <c r="A94" i="7"/>
  <c r="A95" i="7" s="1"/>
  <c r="B95" i="7" l="1"/>
  <c r="F95" i="7" s="1"/>
  <c r="Q95" i="7" s="1"/>
  <c r="A96" i="7"/>
  <c r="C41" i="16"/>
  <c r="E41" i="16"/>
  <c r="F41" i="16"/>
  <c r="D41" i="16"/>
  <c r="A97" i="7" l="1"/>
  <c r="B96" i="7"/>
  <c r="F96" i="7" s="1"/>
  <c r="Q96" i="7" s="1"/>
  <c r="A98" i="7" l="1"/>
  <c r="B97" i="7"/>
  <c r="F97" i="7" s="1"/>
  <c r="Q97" i="7" s="1"/>
  <c r="A99" i="7" l="1"/>
  <c r="B98" i="7"/>
  <c r="F98" i="7" s="1"/>
  <c r="Q98" i="7" s="1"/>
  <c r="A100" i="7" l="1"/>
  <c r="A101" i="7" s="1"/>
  <c r="B99" i="7"/>
  <c r="F99" i="7" s="1"/>
  <c r="Q99" i="7" s="1"/>
  <c r="B101" i="7" l="1"/>
  <c r="F101" i="7" s="1"/>
  <c r="B44" i="16" s="1"/>
  <c r="A102" i="7"/>
  <c r="B102" i="7" l="1"/>
  <c r="F102" i="7" s="1"/>
  <c r="Q102" i="7" s="1"/>
  <c r="A103" i="7"/>
  <c r="C44" i="16"/>
  <c r="D44" i="16"/>
  <c r="F44" i="16"/>
  <c r="E44" i="16"/>
  <c r="A104" i="7" l="1"/>
  <c r="B103" i="7"/>
  <c r="F103" i="7" s="1"/>
  <c r="Q103" i="7" s="1"/>
  <c r="B104" i="7" l="1"/>
  <c r="F104" i="7" s="1"/>
  <c r="Q104" i="7" s="1"/>
  <c r="A105" i="7"/>
  <c r="B105" i="7" l="1"/>
  <c r="F105" i="7" s="1"/>
  <c r="Q105" i="7" s="1"/>
  <c r="A106" i="7"/>
  <c r="B106" i="7" l="1"/>
  <c r="F106" i="7" s="1"/>
  <c r="Q106" i="7" s="1"/>
  <c r="A107" i="7"/>
  <c r="A108" i="7" s="1"/>
  <c r="B108" i="7" l="1"/>
  <c r="F108" i="7" s="1"/>
  <c r="B47" i="16" s="1"/>
  <c r="C47" i="16" s="1"/>
  <c r="A109" i="7"/>
  <c r="A110" i="7" s="1"/>
  <c r="A111" i="7" s="1"/>
  <c r="A112" i="7" l="1"/>
  <c r="B111" i="7"/>
  <c r="F111" i="7" s="1"/>
  <c r="B112" i="7" l="1"/>
  <c r="F112" i="7" s="1"/>
  <c r="A113" i="7"/>
  <c r="A114" i="7" l="1"/>
  <c r="B113" i="7"/>
  <c r="F113" i="7" s="1"/>
  <c r="A115" i="7" l="1"/>
  <c r="B114" i="7"/>
  <c r="F114" i="7" s="1"/>
  <c r="B115" i="7" l="1"/>
  <c r="F115" i="7" s="1"/>
  <c r="A116" i="7"/>
  <c r="B116" i="7" l="1"/>
  <c r="F116" i="7" s="1"/>
  <c r="A117" i="7"/>
  <c r="B117" i="7" l="1"/>
  <c r="F117" i="7" s="1"/>
  <c r="A118" i="7"/>
  <c r="B118" i="7" l="1"/>
  <c r="F118" i="7" s="1"/>
  <c r="A119" i="7"/>
  <c r="B119" i="7" l="1"/>
  <c r="F119" i="7" s="1"/>
  <c r="A120" i="7"/>
  <c r="A121" i="7" l="1"/>
  <c r="B120" i="7"/>
  <c r="F120" i="7" s="1"/>
  <c r="B121" i="7" l="1"/>
  <c r="F121" i="7" s="1"/>
  <c r="A122" i="7"/>
  <c r="B122" i="7" l="1"/>
  <c r="F122" i="7" s="1"/>
  <c r="A123" i="7"/>
  <c r="B123" i="7" l="1"/>
  <c r="F123" i="7" s="1"/>
  <c r="A124" i="7"/>
  <c r="B124" i="7" l="1"/>
  <c r="F124" i="7" s="1"/>
  <c r="A125" i="7"/>
  <c r="A126" i="7" l="1"/>
  <c r="B125" i="7"/>
  <c r="F125" i="7" s="1"/>
  <c r="A127" i="7" l="1"/>
  <c r="B126" i="7"/>
  <c r="F126" i="7" s="1"/>
  <c r="B127" i="7" l="1"/>
  <c r="F127" i="7" s="1"/>
  <c r="A128" i="7"/>
  <c r="B128" i="7" l="1"/>
  <c r="F128" i="7" s="1"/>
  <c r="A129" i="7"/>
  <c r="B129" i="7" l="1"/>
  <c r="F129" i="7" s="1"/>
  <c r="A130" i="7"/>
  <c r="B130" i="7" l="1"/>
  <c r="F130" i="7" s="1"/>
  <c r="A131" i="7"/>
  <c r="B131" i="7" l="1"/>
  <c r="F131" i="7" s="1"/>
  <c r="A132" i="7"/>
  <c r="A133" i="7" l="1"/>
  <c r="B132" i="7"/>
  <c r="F132" i="7" s="1"/>
  <c r="B133" i="7" l="1"/>
  <c r="F133" i="7" s="1"/>
  <c r="A134" i="7"/>
  <c r="A135" i="7" l="1"/>
  <c r="B134" i="7"/>
  <c r="F134" i="7" s="1"/>
  <c r="B135" i="7" l="1"/>
  <c r="F135" i="7" s="1"/>
  <c r="A136" i="7"/>
  <c r="B136" i="7" l="1"/>
  <c r="F136" i="7" s="1"/>
  <c r="A137" i="7"/>
  <c r="A138" i="7" s="1"/>
  <c r="A139" i="7" l="1"/>
  <c r="B138" i="7"/>
  <c r="F138" i="7" s="1"/>
  <c r="B139" i="7" l="1"/>
  <c r="F139" i="7" s="1"/>
  <c r="A140" i="7"/>
  <c r="B140" i="7" l="1"/>
  <c r="F140" i="7" s="1"/>
  <c r="A141" i="7"/>
  <c r="B141" i="7" l="1"/>
  <c r="F141" i="7" s="1"/>
  <c r="A142" i="7"/>
  <c r="B142" i="7" l="1"/>
  <c r="F142" i="7" s="1"/>
  <c r="A143" i="7"/>
  <c r="B143" i="7" l="1"/>
  <c r="F143" i="7" s="1"/>
  <c r="A144" i="7"/>
  <c r="A145" i="7" l="1"/>
  <c r="B144" i="7"/>
  <c r="F144" i="7" s="1"/>
  <c r="A146" i="7" l="1"/>
  <c r="B145" i="7"/>
  <c r="F145" i="7" s="1"/>
  <c r="B146" i="7" l="1"/>
  <c r="F146" i="7" s="1"/>
  <c r="A147" i="7"/>
  <c r="B147" i="7" l="1"/>
  <c r="F147" i="7" s="1"/>
  <c r="A148" i="7"/>
  <c r="B148" i="7" l="1"/>
  <c r="F148" i="7" s="1"/>
  <c r="A149" i="7"/>
  <c r="A150" i="7" l="1"/>
  <c r="B149" i="7"/>
  <c r="F149" i="7" s="1"/>
  <c r="A151" i="7" l="1"/>
  <c r="B150" i="7"/>
  <c r="F150" i="7" s="1"/>
  <c r="B151" i="7" l="1"/>
  <c r="F151" i="7" s="1"/>
  <c r="A152" i="7"/>
  <c r="B152" i="7" l="1"/>
  <c r="F152" i="7" s="1"/>
  <c r="A153" i="7"/>
  <c r="B153" i="7" l="1"/>
  <c r="F153" i="7" s="1"/>
  <c r="A154" i="7"/>
  <c r="B154" i="7" l="1"/>
  <c r="F154" i="7" s="1"/>
  <c r="A155" i="7"/>
  <c r="B155" i="7" l="1"/>
  <c r="F155" i="7" s="1"/>
  <c r="A156" i="7"/>
  <c r="A157" i="7" l="1"/>
  <c r="B156" i="7"/>
  <c r="F156" i="7" s="1"/>
  <c r="A158" i="7" l="1"/>
  <c r="B157" i="7"/>
  <c r="F157" i="7" s="1"/>
  <c r="B158" i="7" l="1"/>
  <c r="F158" i="7" s="1"/>
  <c r="A159" i="7"/>
  <c r="B159" i="7" l="1"/>
  <c r="F159" i="7" s="1"/>
  <c r="A160" i="7"/>
  <c r="B160" i="7" l="1"/>
  <c r="F160" i="7" s="1"/>
  <c r="A161" i="7"/>
  <c r="A162" i="7" l="1"/>
  <c r="B161" i="7"/>
  <c r="F161" i="7" s="1"/>
  <c r="A163" i="7" l="1"/>
  <c r="B162" i="7"/>
  <c r="F162" i="7" s="1"/>
  <c r="B163" i="7" l="1"/>
  <c r="F163" i="7" s="1"/>
  <c r="A164" i="7"/>
  <c r="B164" i="7" l="1"/>
  <c r="F164" i="7" s="1"/>
  <c r="A165" i="7"/>
  <c r="B165" i="7" l="1"/>
  <c r="F165" i="7" s="1"/>
  <c r="A166" i="7"/>
  <c r="B166" i="7" l="1"/>
  <c r="F166" i="7" s="1"/>
  <c r="A167" i="7"/>
  <c r="B167" i="7" l="1"/>
  <c r="F167" i="7" s="1"/>
  <c r="A168" i="7"/>
  <c r="A169" i="7" l="1"/>
  <c r="B168" i="7"/>
  <c r="F168" i="7" s="1"/>
  <c r="B169" i="7" l="1"/>
  <c r="F169" i="7" s="1"/>
  <c r="A170" i="7"/>
  <c r="B170" i="7" l="1"/>
  <c r="F170" i="7" s="1"/>
  <c r="A171" i="7"/>
  <c r="B171" i="7" l="1"/>
  <c r="F171" i="7" s="1"/>
  <c r="A172" i="7"/>
  <c r="A173" i="7" s="1"/>
  <c r="B173" i="7" l="1"/>
  <c r="F173" i="7" s="1"/>
  <c r="A174" i="7"/>
  <c r="A175" i="7" l="1"/>
  <c r="B174" i="7"/>
  <c r="F174" i="7" s="1"/>
  <c r="B175" i="7" l="1"/>
  <c r="F175" i="7" s="1"/>
  <c r="A176" i="7"/>
  <c r="A177" i="7" l="1"/>
  <c r="B176" i="7"/>
  <c r="F176" i="7" s="1"/>
  <c r="B177" i="7" l="1"/>
  <c r="F177" i="7" s="1"/>
  <c r="A178" i="7"/>
  <c r="B178" i="7" l="1"/>
  <c r="F178" i="7" s="1"/>
  <c r="A179" i="7"/>
  <c r="B179" i="7" l="1"/>
  <c r="F179" i="7" s="1"/>
  <c r="A180" i="7"/>
  <c r="B180" i="7" l="1"/>
  <c r="F180" i="7" s="1"/>
  <c r="A181" i="7"/>
  <c r="B181" i="7" l="1"/>
  <c r="F181" i="7" s="1"/>
  <c r="A182" i="7"/>
  <c r="A183" i="7" l="1"/>
  <c r="B182" i="7"/>
  <c r="F182" i="7" s="1"/>
  <c r="B183" i="7" l="1"/>
  <c r="F183" i="7" s="1"/>
  <c r="A184" i="7"/>
  <c r="B184" i="7" l="1"/>
  <c r="F184" i="7" s="1"/>
  <c r="A185" i="7"/>
  <c r="B185" i="7" l="1"/>
  <c r="F185" i="7" s="1"/>
  <c r="A186" i="7"/>
  <c r="A187" i="7" l="1"/>
  <c r="B186" i="7"/>
  <c r="F186" i="7" s="1"/>
  <c r="A188" i="7" l="1"/>
  <c r="A189" i="7" s="1"/>
  <c r="B187" i="7"/>
  <c r="F187" i="7" s="1"/>
  <c r="A190" i="7" l="1"/>
  <c r="A191" i="7" s="1"/>
  <c r="B189" i="7"/>
  <c r="F189" i="7" s="1"/>
  <c r="B50" i="16" s="1"/>
  <c r="C50" i="16" l="1"/>
  <c r="E50" i="16"/>
  <c r="F50" i="16"/>
  <c r="D50" i="16"/>
  <c r="A192" i="7"/>
  <c r="A193" i="7" s="1"/>
  <c r="B191" i="7"/>
  <c r="F191" i="7" s="1"/>
  <c r="A194" i="7" l="1"/>
  <c r="B193" i="7"/>
  <c r="F193" i="7" s="1"/>
  <c r="A195" i="7" l="1"/>
  <c r="B194" i="7"/>
  <c r="F194" i="7" s="1"/>
  <c r="B195" i="7" l="1"/>
  <c r="F195" i="7" s="1"/>
  <c r="A196" i="7"/>
  <c r="B196" i="7" l="1"/>
  <c r="F196" i="7" s="1"/>
  <c r="A197" i="7"/>
  <c r="B197" i="7" l="1"/>
  <c r="F197" i="7" s="1"/>
  <c r="A198" i="7"/>
  <c r="B198" i="7" l="1"/>
  <c r="F198" i="7" s="1"/>
  <c r="A199" i="7"/>
  <c r="A200" i="7" l="1"/>
  <c r="B199" i="7"/>
  <c r="F199" i="7" s="1"/>
  <c r="A201" i="7" l="1"/>
  <c r="B200" i="7"/>
  <c r="F200" i="7" s="1"/>
  <c r="B201" i="7" l="1"/>
  <c r="F201" i="7" s="1"/>
  <c r="A202" i="7"/>
  <c r="A203" i="7" l="1"/>
  <c r="A204" i="7" s="1"/>
  <c r="B202" i="7"/>
  <c r="F202" i="7" s="1"/>
  <c r="A205" i="7" l="1"/>
  <c r="A206" i="7" s="1"/>
  <c r="B204" i="7"/>
  <c r="F204" i="7" s="1"/>
  <c r="A207" i="7" l="1"/>
  <c r="B206" i="7"/>
  <c r="F206" i="7" s="1"/>
  <c r="A208" i="7" l="1"/>
  <c r="B207" i="7"/>
  <c r="F207" i="7" s="1"/>
  <c r="A209" i="7" l="1"/>
  <c r="B208" i="7"/>
  <c r="F208" i="7" s="1"/>
  <c r="B209" i="7" l="1"/>
  <c r="F209" i="7" s="1"/>
  <c r="A210" i="7"/>
  <c r="B210" i="7" l="1"/>
  <c r="F210" i="7" s="1"/>
  <c r="A211" i="7"/>
  <c r="A212" i="7" l="1"/>
  <c r="B211" i="7"/>
  <c r="F211" i="7" s="1"/>
  <c r="A213" i="7" l="1"/>
  <c r="A214" i="7" s="1"/>
  <c r="B212" i="7"/>
  <c r="F212" i="7" s="1"/>
  <c r="A215" i="7" l="1"/>
  <c r="B214" i="7"/>
  <c r="F214" i="7" s="1"/>
  <c r="A216" i="7" l="1"/>
  <c r="B215" i="7"/>
  <c r="F215" i="7" s="1"/>
  <c r="B216" i="7" l="1"/>
  <c r="F216" i="7" s="1"/>
  <c r="A217" i="7"/>
  <c r="B217" i="7" l="1"/>
  <c r="F217" i="7" s="1"/>
  <c r="A218" i="7"/>
  <c r="B218" i="7" l="1"/>
  <c r="F218" i="7" s="1"/>
  <c r="A219" i="7"/>
  <c r="B219" i="7" l="1"/>
  <c r="F219" i="7" s="1"/>
  <c r="A220" i="7"/>
  <c r="B220" i="7" l="1"/>
  <c r="F220" i="7" s="1"/>
  <c r="A221" i="7"/>
  <c r="B221" i="7" l="1"/>
  <c r="F221" i="7" s="1"/>
  <c r="A222" i="7"/>
  <c r="B222" i="7" l="1"/>
  <c r="F222" i="7" s="1"/>
  <c r="A223" i="7"/>
  <c r="A224" i="7" l="1"/>
  <c r="B223" i="7"/>
  <c r="F223" i="7" s="1"/>
  <c r="A225" i="7" l="1"/>
  <c r="A226" i="7" s="1"/>
  <c r="B224" i="7"/>
  <c r="F224" i="7" s="1"/>
  <c r="B226" i="7" l="1"/>
  <c r="F226" i="7" s="1"/>
  <c r="A227" i="7"/>
  <c r="A228" i="7" l="1"/>
  <c r="B227" i="7"/>
  <c r="F227" i="7" s="1"/>
  <c r="A229" i="7" l="1"/>
  <c r="B228" i="7"/>
  <c r="F228" i="7" s="1"/>
  <c r="B229" i="7" l="1"/>
  <c r="F229" i="7" s="1"/>
  <c r="A230" i="7"/>
  <c r="B230" i="7" l="1"/>
  <c r="F230" i="7" s="1"/>
  <c r="A231" i="7"/>
  <c r="A232" i="7" l="1"/>
  <c r="A233" i="7" s="1"/>
  <c r="B231" i="7"/>
  <c r="F231" i="7" s="1"/>
  <c r="A234" i="7" l="1"/>
  <c r="A235" i="7" s="1"/>
  <c r="B233" i="7"/>
  <c r="F233" i="7" s="1"/>
  <c r="A236" i="7" l="1"/>
  <c r="B235" i="7"/>
  <c r="F235" i="7" s="1"/>
  <c r="B236" i="7" l="1"/>
  <c r="F236" i="7" s="1"/>
  <c r="A237" i="7"/>
  <c r="A238" i="7" s="1"/>
  <c r="A239" i="7" l="1"/>
  <c r="B238" i="7"/>
  <c r="F238" i="7" s="1"/>
  <c r="B239" i="7" l="1"/>
  <c r="F239" i="7" s="1"/>
  <c r="A240" i="7"/>
  <c r="A241" i="7" l="1"/>
  <c r="B240" i="7"/>
  <c r="F240" i="7" s="1"/>
  <c r="B241" i="7" l="1"/>
  <c r="F241" i="7" s="1"/>
  <c r="A242" i="7"/>
  <c r="A243" i="7" l="1"/>
  <c r="B242" i="7"/>
  <c r="F242" i="7" s="1"/>
  <c r="B243" i="7" l="1"/>
  <c r="F243" i="7" s="1"/>
  <c r="A244" i="7"/>
  <c r="A245" i="7" l="1"/>
  <c r="B244" i="7"/>
  <c r="F244" i="7" s="1"/>
  <c r="B245" i="7" l="1"/>
  <c r="F245" i="7" s="1"/>
  <c r="A246" i="7"/>
  <c r="B246" i="7" l="1"/>
  <c r="F246" i="7" s="1"/>
  <c r="A247" i="7"/>
  <c r="B247" i="7" l="1"/>
  <c r="F247" i="7" s="1"/>
  <c r="A248" i="7"/>
  <c r="B248" i="7" l="1"/>
  <c r="F248" i="7" s="1"/>
  <c r="A249" i="7"/>
  <c r="B249" i="7" l="1"/>
  <c r="F249" i="7" s="1"/>
  <c r="A250" i="7"/>
  <c r="A251" i="7" l="1"/>
  <c r="A252" i="7" s="1"/>
  <c r="B250" i="7"/>
  <c r="F250" i="7" s="1"/>
  <c r="B252" i="7" l="1"/>
  <c r="F252" i="7" s="1"/>
  <c r="A253" i="7"/>
  <c r="A254" i="7" s="1"/>
  <c r="B254" i="7" l="1"/>
  <c r="F254" i="7" s="1"/>
  <c r="A255" i="7"/>
  <c r="B255" i="7" l="1"/>
  <c r="F255" i="7" s="1"/>
  <c r="A256" i="7"/>
  <c r="B256" i="7" l="1"/>
  <c r="F256" i="7" s="1"/>
  <c r="A257" i="7"/>
  <c r="A258" i="7" s="1"/>
  <c r="A259" i="7" l="1"/>
  <c r="B258" i="7"/>
  <c r="F258" i="7" s="1"/>
  <c r="B53" i="16" s="1"/>
  <c r="E53" i="16" l="1"/>
  <c r="C53" i="16"/>
  <c r="F53" i="16"/>
  <c r="D53" i="16"/>
  <c r="A260" i="7"/>
  <c r="B259" i="7"/>
  <c r="F259" i="7" s="1"/>
  <c r="A261" i="7" l="1"/>
  <c r="B260" i="7"/>
  <c r="F260" i="7" s="1"/>
  <c r="A262" i="7" l="1"/>
  <c r="B261" i="7"/>
  <c r="F261" i="7" s="1"/>
  <c r="B262" i="7" l="1"/>
  <c r="F262" i="7" s="1"/>
  <c r="A263" i="7"/>
  <c r="B263" i="7" l="1"/>
  <c r="F263" i="7" s="1"/>
  <c r="A264" i="7"/>
  <c r="B264" i="7" l="1"/>
  <c r="F264" i="7" s="1"/>
  <c r="A265" i="7"/>
  <c r="B265" i="7" l="1"/>
  <c r="F265" i="7" s="1"/>
  <c r="A266" i="7"/>
  <c r="B266" i="7" l="1"/>
  <c r="F266" i="7" s="1"/>
  <c r="A267" i="7"/>
  <c r="B267" i="7" l="1"/>
  <c r="F267" i="7" s="1"/>
  <c r="A268" i="7"/>
  <c r="A269" i="7" s="1"/>
  <c r="A270" i="7" l="1"/>
  <c r="B269" i="7"/>
  <c r="F269" i="7" s="1"/>
  <c r="B56" i="16" s="1"/>
  <c r="C56" i="16" l="1"/>
  <c r="D56" i="16"/>
  <c r="E56" i="16"/>
  <c r="F56" i="16"/>
  <c r="A271" i="7"/>
  <c r="B270" i="7"/>
  <c r="F270" i="7" s="1"/>
  <c r="A272" i="7" l="1"/>
  <c r="B271" i="7"/>
  <c r="F271" i="7" s="1"/>
  <c r="A273" i="7" l="1"/>
  <c r="B272" i="7"/>
  <c r="F272" i="7" s="1"/>
  <c r="B273" i="7" l="1"/>
  <c r="F273" i="7" s="1"/>
  <c r="A274" i="7"/>
  <c r="B274" i="7" l="1"/>
  <c r="F274" i="7" s="1"/>
  <c r="A275" i="7"/>
  <c r="B275" i="7" l="1"/>
  <c r="F275" i="7" s="1"/>
  <c r="A276" i="7"/>
  <c r="B276" i="7" l="1"/>
  <c r="F276" i="7" s="1"/>
  <c r="A277" i="7"/>
  <c r="A278" i="7" l="1"/>
  <c r="B277" i="7"/>
  <c r="F277" i="7" s="1"/>
  <c r="A279" i="7" l="1"/>
  <c r="A280" i="7" s="1"/>
  <c r="B278" i="7"/>
  <c r="F278" i="7" s="1"/>
  <c r="B280" i="7" l="1"/>
  <c r="F280" i="7" s="1"/>
  <c r="B59" i="16" s="1"/>
  <c r="C59" i="16" s="1"/>
  <c r="A281" i="7"/>
  <c r="A282" i="7" s="1"/>
  <c r="A283" i="7" l="1"/>
  <c r="B282" i="7"/>
  <c r="F282" i="7" s="1"/>
  <c r="A284" i="7" l="1"/>
  <c r="B283" i="7"/>
  <c r="F283" i="7" s="1"/>
  <c r="A285" i="7" l="1"/>
  <c r="B284" i="7"/>
  <c r="F284" i="7" s="1"/>
  <c r="A286" i="7" l="1"/>
  <c r="B285" i="7"/>
  <c r="F285" i="7" s="1"/>
  <c r="B286" i="7" l="1"/>
  <c r="F286" i="7" s="1"/>
  <c r="A287" i="7"/>
  <c r="B287" i="7" l="1"/>
  <c r="F287" i="7" s="1"/>
  <c r="A288" i="7"/>
  <c r="B288" i="7" l="1"/>
  <c r="F288" i="7" s="1"/>
  <c r="A289" i="7"/>
  <c r="B289" i="7" l="1"/>
  <c r="F289" i="7" s="1"/>
  <c r="A290" i="7"/>
  <c r="B290" i="7" l="1"/>
  <c r="F290" i="7" s="1"/>
  <c r="A291" i="7"/>
  <c r="B291" i="7" l="1"/>
  <c r="F291" i="7" s="1"/>
  <c r="A292" i="7"/>
  <c r="B292" i="7" l="1"/>
  <c r="F292" i="7" s="1"/>
  <c r="A293" i="7"/>
  <c r="A294" i="7" l="1"/>
  <c r="B293" i="7"/>
  <c r="F293" i="7" s="1"/>
  <c r="A295" i="7" l="1"/>
  <c r="B294" i="7"/>
  <c r="F294" i="7" s="1"/>
  <c r="B295" i="7" l="1"/>
  <c r="F295" i="7" s="1"/>
  <c r="A296" i="7"/>
  <c r="B296" i="7" l="1"/>
  <c r="F296" i="7" s="1"/>
  <c r="A297" i="7"/>
  <c r="A298" i="7" l="1"/>
  <c r="B297" i="7"/>
  <c r="F297" i="7" s="1"/>
  <c r="A299" i="7" l="1"/>
  <c r="B298" i="7"/>
  <c r="F298" i="7" s="1"/>
  <c r="A300" i="7" l="1"/>
  <c r="B299" i="7"/>
  <c r="F299" i="7" s="1"/>
  <c r="A301" i="7" l="1"/>
  <c r="B300" i="7"/>
  <c r="F300" i="7" s="1"/>
  <c r="Q300" i="7" s="1"/>
  <c r="B301" i="7" l="1"/>
  <c r="F301" i="7" s="1"/>
  <c r="Q301" i="7" s="1"/>
  <c r="A302" i="7"/>
  <c r="B302" i="7" l="1"/>
  <c r="F302" i="7" s="1"/>
  <c r="Q302" i="7" s="1"/>
  <c r="A303" i="7"/>
  <c r="B303" i="7" l="1"/>
  <c r="F303" i="7" s="1"/>
  <c r="Q303" i="7" s="1"/>
  <c r="A304" i="7"/>
  <c r="B304" i="7" l="1"/>
  <c r="F304" i="7" s="1"/>
  <c r="Q304" i="7" s="1"/>
  <c r="A305" i="7"/>
  <c r="A306" i="7" l="1"/>
  <c r="A307" i="7" s="1"/>
  <c r="B305" i="7"/>
  <c r="F305" i="7" s="1"/>
  <c r="Q305" i="7" s="1"/>
  <c r="B307" i="7" l="1"/>
  <c r="F307" i="7" s="1"/>
  <c r="B62" i="16" s="1"/>
  <c r="A308" i="7"/>
  <c r="A309" i="7" s="1"/>
  <c r="A310" i="7" l="1"/>
  <c r="B309" i="7"/>
  <c r="F309" i="7" s="1"/>
  <c r="Q309" i="7" s="1"/>
  <c r="E62" i="16"/>
  <c r="F62" i="16"/>
  <c r="D62" i="16"/>
  <c r="C62" i="16"/>
  <c r="A311" i="7" l="1"/>
  <c r="B310" i="7"/>
  <c r="F310" i="7" s="1"/>
  <c r="Q310" i="7" s="1"/>
  <c r="B311" i="7" l="1"/>
  <c r="F311" i="7" s="1"/>
  <c r="Q311" i="7" s="1"/>
  <c r="A312" i="7"/>
  <c r="B312" i="7" l="1"/>
  <c r="F312" i="7" s="1"/>
  <c r="Q312" i="7" s="1"/>
  <c r="A313" i="7"/>
  <c r="B313" i="7" l="1"/>
  <c r="F313" i="7" s="1"/>
  <c r="Q313" i="7" s="1"/>
  <c r="A314" i="7"/>
  <c r="B314" i="7" l="1"/>
  <c r="F314" i="7" s="1"/>
  <c r="Q314" i="7" s="1"/>
  <c r="A315" i="7"/>
  <c r="A316" i="7" s="1"/>
  <c r="B316" i="7" l="1"/>
  <c r="F316" i="7" s="1"/>
  <c r="B65" i="16" s="1"/>
  <c r="C65" i="16" s="1"/>
  <c r="A317" i="7"/>
  <c r="A318" i="7" l="1"/>
  <c r="B317" i="7"/>
  <c r="F317" i="7" s="1"/>
  <c r="Q317" i="7" s="1"/>
  <c r="A319" i="7" l="1"/>
  <c r="B318" i="7"/>
  <c r="F318" i="7" s="1"/>
  <c r="Q318" i="7" s="1"/>
  <c r="B319" i="7" l="1"/>
  <c r="F319" i="7" s="1"/>
  <c r="Q319" i="7" s="1"/>
  <c r="A320" i="7"/>
  <c r="A321" i="7" s="1"/>
  <c r="A322" i="7" l="1"/>
  <c r="B321" i="7"/>
  <c r="F321" i="7" s="1"/>
  <c r="B68" i="16" s="1"/>
  <c r="D68" i="16" l="1"/>
  <c r="E68" i="16"/>
  <c r="C68" i="16"/>
  <c r="F68" i="16"/>
  <c r="B322" i="7"/>
  <c r="F322" i="7" s="1"/>
  <c r="Q322" i="7" s="1"/>
  <c r="A323" i="7"/>
  <c r="B323" i="7" l="1"/>
  <c r="F323" i="7" s="1"/>
  <c r="Q323" i="7" s="1"/>
  <c r="A324" i="7"/>
  <c r="B324" i="7" l="1"/>
  <c r="F324" i="7" s="1"/>
  <c r="Q324" i="7" s="1"/>
  <c r="A325" i="7"/>
  <c r="A326" i="7" l="1"/>
  <c r="B325" i="7"/>
  <c r="F325" i="7" s="1"/>
  <c r="Q325" i="7" s="1"/>
  <c r="A327" i="7" l="1"/>
  <c r="B326" i="7"/>
  <c r="F326" i="7" s="1"/>
  <c r="Q326" i="7" s="1"/>
  <c r="B327" i="7" l="1"/>
  <c r="F327" i="7" s="1"/>
  <c r="Q327" i="7" s="1"/>
  <c r="A328" i="7"/>
  <c r="A329" i="7" s="1"/>
  <c r="A330" i="7" l="1"/>
  <c r="A331" i="7" s="1"/>
  <c r="B331" i="7" s="1"/>
  <c r="F331" i="7" s="1"/>
  <c r="Q331" i="7" s="1"/>
  <c r="B329" i="7"/>
  <c r="F329" i="7" s="1"/>
  <c r="B71" i="16" s="1"/>
  <c r="C71" i="16" s="1"/>
  <c r="A332" i="7" l="1"/>
  <c r="A333" i="7" s="1"/>
  <c r="B333" i="7" s="1"/>
  <c r="F333" i="7" s="1"/>
  <c r="Q333" i="7" s="1"/>
  <c r="B330" i="7"/>
  <c r="F330" i="7" s="1"/>
  <c r="Q330" i="7" s="1"/>
  <c r="A334" i="7" l="1"/>
  <c r="B332" i="7"/>
  <c r="F332" i="7" s="1"/>
  <c r="Q332" i="7" s="1"/>
  <c r="A335" i="7" l="1"/>
  <c r="B334" i="7"/>
  <c r="F334" i="7" s="1"/>
  <c r="Q334" i="7" s="1"/>
  <c r="B335" i="7" l="1"/>
  <c r="F335" i="7" s="1"/>
  <c r="Q335" i="7" s="1"/>
  <c r="A336" i="7"/>
  <c r="B336" i="7" l="1"/>
  <c r="F336" i="7" s="1"/>
  <c r="Q336" i="7" s="1"/>
  <c r="A337" i="7"/>
  <c r="A338" i="7" l="1"/>
  <c r="B337" i="7"/>
  <c r="F337" i="7" s="1"/>
  <c r="Q337" i="7" s="1"/>
  <c r="B338" i="7" l="1"/>
  <c r="F338" i="7" s="1"/>
  <c r="Q338" i="7" s="1"/>
  <c r="A339" i="7"/>
  <c r="B339" i="7" s="1"/>
  <c r="F339" i="7" s="1"/>
  <c r="I16" i="15" l="1"/>
  <c r="D16" i="15"/>
  <c r="D18" i="15"/>
  <c r="D20" i="15"/>
  <c r="I18" i="15"/>
  <c r="I20" i="15"/>
  <c r="Q339" i="7"/>
  <c r="I36" i="15"/>
  <c r="D276" i="16"/>
  <c r="E270" i="16"/>
  <c r="D376" i="16"/>
  <c r="F533" i="16"/>
  <c r="D402" i="16"/>
  <c r="E105" i="16"/>
  <c r="D126" i="16"/>
  <c r="D159" i="16"/>
  <c r="D574" i="16"/>
  <c r="D290" i="16"/>
  <c r="D36" i="15"/>
  <c r="F393" i="16"/>
  <c r="E514" i="16"/>
  <c r="F464" i="16"/>
  <c r="E310" i="16"/>
  <c r="F430" i="16"/>
  <c r="I32" i="15"/>
  <c r="D344" i="16"/>
  <c r="D124" i="16"/>
  <c r="D174" i="16"/>
  <c r="D221" i="16"/>
  <c r="F525" i="16"/>
  <c r="E297" i="16"/>
  <c r="E235" i="16"/>
  <c r="E579" i="16"/>
  <c r="D464" i="16"/>
  <c r="F424" i="16"/>
  <c r="F526" i="16"/>
  <c r="D468" i="16"/>
  <c r="D109" i="16"/>
  <c r="F179" i="16"/>
  <c r="E340" i="16"/>
  <c r="I44" i="15"/>
  <c r="D415" i="16"/>
  <c r="E533" i="16"/>
  <c r="F91" i="16"/>
  <c r="E339" i="16"/>
  <c r="E537" i="16"/>
  <c r="E185" i="16"/>
  <c r="E209" i="16"/>
  <c r="F181" i="16"/>
  <c r="E266" i="16"/>
  <c r="I50" i="15"/>
  <c r="F495" i="16"/>
  <c r="D433" i="16"/>
  <c r="D101" i="16"/>
  <c r="D22" i="15"/>
  <c r="D122" i="16"/>
  <c r="E222" i="16"/>
  <c r="D526" i="16"/>
  <c r="D114" i="16"/>
  <c r="E324" i="16"/>
  <c r="D505" i="16"/>
  <c r="D589" i="16"/>
  <c r="F364" i="16"/>
  <c r="F455" i="16"/>
  <c r="I52" i="15"/>
  <c r="E131" i="16"/>
  <c r="D260" i="16"/>
  <c r="F238" i="16"/>
  <c r="E180" i="16"/>
  <c r="F268" i="16"/>
  <c r="D188" i="16"/>
  <c r="F378" i="16"/>
  <c r="F312" i="16"/>
  <c r="E244" i="16"/>
  <c r="D524" i="16"/>
  <c r="D211" i="16"/>
  <c r="E506" i="16"/>
  <c r="D564" i="16"/>
  <c r="D535" i="16"/>
  <c r="F319" i="16"/>
  <c r="E351" i="16"/>
  <c r="D544" i="16"/>
  <c r="E515" i="16"/>
  <c r="E136" i="16"/>
  <c r="F153" i="16"/>
  <c r="F162" i="16"/>
  <c r="D423" i="16"/>
  <c r="E335" i="16"/>
  <c r="F215" i="16"/>
  <c r="F278" i="16"/>
  <c r="E535" i="16"/>
  <c r="F450" i="16"/>
  <c r="E472" i="16"/>
  <c r="F126" i="16"/>
  <c r="D210" i="16"/>
  <c r="D443" i="16"/>
  <c r="D44" i="15"/>
  <c r="E206" i="16"/>
  <c r="D119" i="16"/>
  <c r="D335" i="16"/>
  <c r="I26" i="15"/>
  <c r="E509" i="16"/>
  <c r="D515" i="16"/>
  <c r="E587" i="16"/>
  <c r="E364" i="16"/>
  <c r="D138" i="16"/>
  <c r="D377" i="16"/>
  <c r="F593" i="16"/>
  <c r="E73" i="16"/>
  <c r="D325" i="16"/>
  <c r="D405" i="16"/>
  <c r="F131" i="16"/>
  <c r="E546" i="16"/>
  <c r="E184" i="16"/>
  <c r="F280" i="16"/>
  <c r="E558" i="16"/>
  <c r="E474" i="16"/>
  <c r="E377" i="16"/>
  <c r="E404" i="16"/>
  <c r="E96" i="16"/>
  <c r="I28" i="15"/>
  <c r="E243" i="16"/>
  <c r="E294" i="16"/>
  <c r="D38" i="15"/>
  <c r="E285" i="16"/>
  <c r="D485" i="16"/>
  <c r="D596" i="16"/>
  <c r="D164" i="16"/>
  <c r="D582" i="16"/>
  <c r="E460" i="16"/>
  <c r="D444" i="16"/>
  <c r="E123" i="16"/>
  <c r="D295" i="16"/>
  <c r="F400" i="16"/>
  <c r="F333" i="16"/>
  <c r="F425" i="16"/>
  <c r="D491" i="16"/>
  <c r="F107" i="16"/>
  <c r="D329" i="16"/>
  <c r="D228" i="16"/>
  <c r="D361" i="16"/>
  <c r="F127" i="16"/>
  <c r="F476" i="16"/>
  <c r="E281" i="16"/>
  <c r="F169" i="16"/>
  <c r="E162" i="16"/>
  <c r="F321" i="16"/>
  <c r="D446" i="16"/>
  <c r="D478" i="16"/>
  <c r="D509" i="16"/>
  <c r="D598" i="16"/>
  <c r="F130" i="16"/>
  <c r="D83" i="16"/>
  <c r="I34" i="15"/>
  <c r="E570" i="16"/>
  <c r="E388" i="16"/>
  <c r="E486" i="16"/>
  <c r="D195" i="16"/>
  <c r="D523" i="16"/>
  <c r="D48" i="15"/>
  <c r="F381" i="16"/>
  <c r="D326" i="16"/>
  <c r="D135" i="16"/>
  <c r="D551" i="16"/>
  <c r="D40" i="15"/>
  <c r="E108" i="16"/>
  <c r="E342" i="16"/>
  <c r="F244" i="16"/>
  <c r="E214" i="16"/>
  <c r="F187" i="16"/>
  <c r="F557" i="16"/>
  <c r="E87" i="16"/>
  <c r="D436" i="16"/>
  <c r="F404" i="16"/>
  <c r="E402" i="16"/>
  <c r="F251" i="16"/>
  <c r="D338" i="16"/>
  <c r="F498" i="16"/>
  <c r="F260" i="16"/>
  <c r="D472" i="16"/>
  <c r="E358" i="16"/>
  <c r="F135" i="16"/>
  <c r="D548" i="16"/>
  <c r="F110" i="16"/>
  <c r="D434" i="16"/>
  <c r="D422" i="16"/>
  <c r="E242" i="16"/>
  <c r="E379" i="16"/>
  <c r="D242" i="16"/>
  <c r="F590" i="16"/>
  <c r="D201" i="16"/>
  <c r="D253" i="16"/>
  <c r="D385" i="16"/>
  <c r="D594" i="16"/>
  <c r="D543" i="16"/>
  <c r="F338" i="16"/>
  <c r="D437" i="16"/>
  <c r="D96" i="16"/>
  <c r="D369" i="16"/>
  <c r="F405" i="16"/>
  <c r="F418" i="16"/>
  <c r="D330" i="16"/>
  <c r="F389" i="16"/>
  <c r="D42" i="15"/>
  <c r="E505" i="16"/>
  <c r="E210" i="16"/>
  <c r="F507" i="16"/>
  <c r="F175" i="16"/>
  <c r="F165" i="16"/>
  <c r="E314" i="16"/>
  <c r="F560" i="16"/>
  <c r="F592" i="16"/>
  <c r="D160" i="16"/>
  <c r="E366" i="16"/>
  <c r="D570" i="16"/>
  <c r="F351" i="16"/>
  <c r="E315" i="16"/>
  <c r="F146" i="16"/>
  <c r="F373" i="16"/>
  <c r="F264" i="16"/>
  <c r="E332" i="16"/>
  <c r="D343" i="16"/>
  <c r="D391" i="16"/>
  <c r="E273" i="16"/>
  <c r="E197" i="16"/>
  <c r="D147" i="16"/>
  <c r="F330" i="16"/>
  <c r="F209" i="16"/>
  <c r="F173" i="16"/>
  <c r="D450" i="16"/>
  <c r="E356" i="16"/>
  <c r="D334" i="16"/>
  <c r="E559" i="16"/>
  <c r="D261" i="16"/>
  <c r="E128" i="16"/>
  <c r="F434" i="16"/>
  <c r="E144" i="16"/>
  <c r="E488" i="16"/>
  <c r="F583" i="16"/>
  <c r="F228" i="16"/>
  <c r="F486" i="16"/>
  <c r="F532" i="16"/>
  <c r="E331" i="16"/>
  <c r="D303" i="16"/>
  <c r="D430" i="16"/>
  <c r="F299" i="16"/>
  <c r="D265" i="16"/>
  <c r="F232" i="16"/>
  <c r="E475" i="16"/>
  <c r="D293" i="16"/>
  <c r="E263" i="16"/>
  <c r="D282" i="16"/>
  <c r="D302" i="16"/>
  <c r="E74" i="16"/>
  <c r="F451" i="16"/>
  <c r="D296" i="16"/>
  <c r="F360" i="16"/>
  <c r="D240" i="16"/>
  <c r="D429" i="16"/>
  <c r="D292" i="16"/>
  <c r="E328" i="16"/>
  <c r="D428" i="16"/>
  <c r="F571" i="16"/>
  <c r="D552" i="16"/>
  <c r="D243" i="16"/>
  <c r="F432" i="16"/>
  <c r="D79" i="16"/>
  <c r="D597" i="16"/>
  <c r="E440" i="16"/>
  <c r="E205" i="16"/>
  <c r="E392" i="16"/>
  <c r="F334" i="16"/>
  <c r="F491" i="16"/>
  <c r="F497" i="16"/>
  <c r="F579" i="16"/>
  <c r="E470" i="16"/>
  <c r="I24" i="15"/>
  <c r="D451" i="16"/>
  <c r="D534" i="16"/>
  <c r="E283" i="16"/>
  <c r="F423" i="16"/>
  <c r="E347" i="16"/>
  <c r="F152" i="16"/>
  <c r="D30" i="15"/>
  <c r="F320" i="16"/>
  <c r="D448" i="16"/>
  <c r="E494" i="16"/>
  <c r="D180" i="16"/>
  <c r="F325" i="16"/>
  <c r="E361" i="16"/>
  <c r="F291" i="16"/>
  <c r="D445" i="16"/>
  <c r="D317" i="16"/>
  <c r="F168" i="16"/>
  <c r="F212" i="16"/>
  <c r="E86" i="16"/>
  <c r="E574" i="16"/>
  <c r="F496" i="16"/>
  <c r="F524" i="16"/>
  <c r="F440" i="16"/>
  <c r="F115" i="16"/>
  <c r="F534" i="16"/>
  <c r="D52" i="15"/>
  <c r="F481" i="16"/>
  <c r="F401" i="16"/>
  <c r="D233" i="16"/>
  <c r="E260" i="16"/>
  <c r="D199" i="16"/>
  <c r="F437" i="16"/>
  <c r="D530" i="16"/>
  <c r="F249" i="16"/>
  <c r="D557" i="16"/>
  <c r="D254" i="16"/>
  <c r="D512" i="16"/>
  <c r="E165" i="16"/>
  <c r="D373" i="16"/>
  <c r="F86" i="16"/>
  <c r="F329" i="16"/>
  <c r="D77" i="16"/>
  <c r="E480" i="16"/>
  <c r="D273" i="16"/>
  <c r="D280" i="16"/>
  <c r="D86" i="16"/>
  <c r="D480" i="16"/>
  <c r="F201" i="16"/>
  <c r="D569" i="16"/>
  <c r="F80" i="16"/>
  <c r="D178" i="16"/>
  <c r="E75" i="16"/>
  <c r="E362" i="16"/>
  <c r="F466" i="16"/>
  <c r="E572" i="16"/>
  <c r="D506" i="16"/>
  <c r="D272" i="16"/>
  <c r="E547" i="16"/>
  <c r="E91" i="16"/>
  <c r="D28" i="15"/>
  <c r="D410" i="16"/>
  <c r="D146" i="16"/>
  <c r="F503" i="16"/>
  <c r="D353" i="16"/>
  <c r="E269" i="16"/>
  <c r="F340" i="16"/>
  <c r="D194" i="16"/>
  <c r="F449" i="16"/>
  <c r="E599" i="16"/>
  <c r="E479" i="16"/>
  <c r="E164" i="16"/>
  <c r="D562" i="16"/>
  <c r="D267" i="16"/>
  <c r="D108" i="16"/>
  <c r="F463" i="16"/>
  <c r="D454" i="16"/>
  <c r="E341" i="16"/>
  <c r="F537" i="16"/>
  <c r="F183" i="16"/>
  <c r="E336" i="16"/>
  <c r="D525" i="16"/>
  <c r="E418" i="16"/>
  <c r="D449" i="16"/>
  <c r="D291" i="16"/>
  <c r="F528" i="16"/>
  <c r="D258" i="16"/>
  <c r="F265" i="16"/>
  <c r="E173" i="16"/>
  <c r="F520" i="16"/>
  <c r="E146" i="16"/>
  <c r="E534" i="16"/>
  <c r="E179" i="16"/>
  <c r="E323" i="16"/>
  <c r="D550" i="16"/>
  <c r="D311" i="16"/>
  <c r="E237" i="16"/>
  <c r="E280" i="16"/>
  <c r="E194" i="16"/>
  <c r="E538" i="16"/>
  <c r="E367" i="16"/>
  <c r="D283" i="16"/>
  <c r="F542" i="16"/>
  <c r="E114" i="16"/>
  <c r="D162" i="16"/>
  <c r="F226" i="16"/>
  <c r="D479" i="16"/>
  <c r="F84" i="16"/>
  <c r="F199" i="16"/>
  <c r="F200" i="16"/>
  <c r="E403" i="16"/>
  <c r="F348" i="16"/>
  <c r="E120" i="16"/>
  <c r="F506" i="16"/>
  <c r="F539" i="16"/>
  <c r="I42" i="15"/>
  <c r="E536" i="16"/>
  <c r="D560" i="16"/>
  <c r="E464" i="16"/>
  <c r="F514" i="16"/>
  <c r="E330" i="16"/>
  <c r="D351" i="16"/>
  <c r="F508" i="16"/>
  <c r="F595" i="16"/>
  <c r="E458" i="16"/>
  <c r="F213" i="16"/>
  <c r="D566" i="16"/>
  <c r="E309" i="16"/>
  <c r="E563" i="16"/>
  <c r="F573" i="16"/>
  <c r="D511" i="16"/>
  <c r="D187" i="16"/>
  <c r="E504" i="16"/>
  <c r="F158" i="16"/>
  <c r="F117" i="16"/>
  <c r="D340" i="16"/>
  <c r="E230" i="16"/>
  <c r="E500" i="16"/>
  <c r="D558" i="16"/>
  <c r="E541" i="16"/>
  <c r="F332" i="16"/>
  <c r="F356" i="16"/>
  <c r="D212" i="16"/>
  <c r="E134" i="16"/>
  <c r="F296" i="16"/>
  <c r="E409" i="16"/>
  <c r="E238" i="16"/>
  <c r="E208" i="16"/>
  <c r="D113" i="16"/>
  <c r="E349" i="16"/>
  <c r="E593" i="16"/>
  <c r="E202" i="16"/>
  <c r="F177" i="16"/>
  <c r="E156" i="16"/>
  <c r="E137" i="16"/>
  <c r="D232" i="16"/>
  <c r="E112" i="16"/>
  <c r="D384" i="16"/>
  <c r="F119" i="16"/>
  <c r="F470" i="16"/>
  <c r="F549" i="16"/>
  <c r="F372" i="16"/>
  <c r="C76" i="16"/>
  <c r="F112" i="16"/>
  <c r="F323" i="16"/>
  <c r="D486" i="16"/>
  <c r="E524" i="16"/>
  <c r="D91" i="16"/>
  <c r="E410" i="16"/>
  <c r="F540" i="16"/>
  <c r="D399" i="16"/>
  <c r="E449" i="16"/>
  <c r="D529" i="16"/>
  <c r="F415" i="16"/>
  <c r="F281" i="16"/>
  <c r="F368" i="16"/>
  <c r="E348" i="16"/>
  <c r="D587" i="16"/>
  <c r="E228" i="16"/>
  <c r="D93" i="16"/>
  <c r="E577" i="16"/>
  <c r="F336" i="16"/>
  <c r="E492" i="16"/>
  <c r="D127" i="16"/>
  <c r="E207" i="16"/>
  <c r="D150" i="16"/>
  <c r="D421" i="16"/>
  <c r="E167" i="16"/>
  <c r="D46" i="15"/>
  <c r="F171" i="16"/>
  <c r="E287" i="16"/>
  <c r="D501" i="16"/>
  <c r="E111" i="16"/>
  <c r="D396" i="16"/>
  <c r="E382" i="16"/>
  <c r="F247" i="16"/>
  <c r="F79" i="16"/>
  <c r="D328" i="16"/>
  <c r="E439" i="16"/>
  <c r="D539" i="16"/>
  <c r="D459" i="16"/>
  <c r="D208" i="16"/>
  <c r="F566" i="16"/>
  <c r="D583" i="16"/>
  <c r="F458" i="16"/>
  <c r="F484" i="16"/>
  <c r="F444" i="16"/>
  <c r="E406" i="16"/>
  <c r="F283" i="16"/>
  <c r="E503" i="16"/>
  <c r="E298" i="16"/>
  <c r="E471" i="16"/>
  <c r="D545" i="16"/>
  <c r="E322" i="16"/>
  <c r="E520" i="16"/>
  <c r="F211" i="16"/>
  <c r="D438" i="16"/>
  <c r="E508" i="16"/>
  <c r="F132" i="16"/>
  <c r="E272" i="16"/>
  <c r="F287" i="16"/>
  <c r="D158" i="16"/>
  <c r="D175" i="16"/>
  <c r="F94" i="16"/>
  <c r="D572" i="16"/>
  <c r="I40" i="15"/>
  <c r="D34" i="15"/>
  <c r="D193" i="16"/>
  <c r="E333" i="16"/>
  <c r="E491" i="16"/>
  <c r="F578" i="16"/>
  <c r="F218" i="16"/>
  <c r="D198" i="16"/>
  <c r="F580" i="16"/>
  <c r="F342" i="16"/>
  <c r="F300" i="16"/>
  <c r="E487" i="16"/>
  <c r="E145" i="16"/>
  <c r="D230" i="16"/>
  <c r="F386" i="16"/>
  <c r="D522" i="16"/>
  <c r="D382" i="16"/>
  <c r="E121" i="16"/>
  <c r="F543" i="16"/>
  <c r="E588" i="16"/>
  <c r="F229" i="16"/>
  <c r="D281" i="16"/>
  <c r="F501" i="16"/>
  <c r="D167" i="16"/>
  <c r="F108" i="16"/>
  <c r="D322" i="16"/>
  <c r="E425" i="16"/>
  <c r="F276" i="16"/>
  <c r="D585" i="16"/>
  <c r="F114" i="16"/>
  <c r="E455" i="16"/>
  <c r="D140" i="16"/>
  <c r="E354" i="16"/>
  <c r="D339" i="16"/>
  <c r="D218" i="16"/>
  <c r="D321" i="16"/>
  <c r="D130" i="16"/>
  <c r="D250" i="16"/>
  <c r="E142" i="16"/>
  <c r="D417" i="16"/>
  <c r="E130" i="16"/>
  <c r="F282" i="16"/>
  <c r="D154" i="16"/>
  <c r="E457" i="16"/>
  <c r="F371" i="16"/>
  <c r="E467" i="16"/>
  <c r="E352" i="16"/>
  <c r="E434" i="16"/>
  <c r="D268" i="16"/>
  <c r="F103" i="16"/>
  <c r="E580" i="16"/>
  <c r="F150" i="16"/>
  <c r="E155" i="16"/>
  <c r="E568" i="16"/>
  <c r="D136" i="16"/>
  <c r="F552" i="16"/>
  <c r="F225" i="16"/>
  <c r="E313" i="16"/>
  <c r="D416" i="16"/>
  <c r="F599" i="16"/>
  <c r="D90" i="16"/>
  <c r="F277" i="16"/>
  <c r="E548" i="16"/>
  <c r="F369" i="16"/>
  <c r="D556" i="16"/>
  <c r="F384" i="16"/>
  <c r="F182" i="16"/>
  <c r="D209" i="16"/>
  <c r="E408" i="16"/>
  <c r="D241" i="16"/>
  <c r="D111" i="16"/>
  <c r="D238" i="16"/>
  <c r="E540" i="16"/>
  <c r="D527" i="16"/>
  <c r="D533" i="16"/>
  <c r="D137" i="16"/>
  <c r="D345" i="16"/>
  <c r="F588" i="16"/>
  <c r="E463" i="16"/>
  <c r="E192" i="16"/>
  <c r="E445" i="16"/>
  <c r="E157" i="16"/>
  <c r="E501" i="16"/>
  <c r="E77" i="16"/>
  <c r="D186" i="16"/>
  <c r="E252" i="16"/>
  <c r="E420" i="16"/>
  <c r="E435" i="16"/>
  <c r="F96" i="16"/>
  <c r="E82" i="16"/>
  <c r="E476" i="16"/>
  <c r="D275" i="16"/>
  <c r="D408" i="16"/>
  <c r="E461" i="16"/>
  <c r="F535" i="16"/>
  <c r="E560" i="16"/>
  <c r="F328" i="16"/>
  <c r="D467" i="16"/>
  <c r="E95" i="16"/>
  <c r="D347" i="16"/>
  <c r="F297" i="16"/>
  <c r="E104" i="16"/>
  <c r="E246" i="16"/>
  <c r="D364" i="16"/>
  <c r="F269" i="16"/>
  <c r="D586" i="16"/>
  <c r="F123" i="16"/>
  <c r="E290" i="16"/>
  <c r="F194" i="16"/>
  <c r="E459" i="16"/>
  <c r="F563" i="16"/>
  <c r="F262" i="16"/>
  <c r="E327" i="16"/>
  <c r="E254" i="16"/>
  <c r="D106" i="16"/>
  <c r="F144" i="16"/>
  <c r="D245" i="16"/>
  <c r="E345" i="16"/>
  <c r="D176" i="16"/>
  <c r="F220" i="16"/>
  <c r="E232" i="16"/>
  <c r="E320" i="16"/>
  <c r="F586" i="16"/>
  <c r="E443" i="16"/>
  <c r="F577" i="16"/>
  <c r="F562" i="16"/>
  <c r="F217" i="16"/>
  <c r="D207" i="16"/>
  <c r="F370" i="16"/>
  <c r="F245" i="16"/>
  <c r="E79" i="16"/>
  <c r="E539" i="16"/>
  <c r="D102" i="16"/>
  <c r="F438" i="16"/>
  <c r="F587" i="16"/>
  <c r="F374" i="16"/>
  <c r="F538" i="16"/>
  <c r="F129" i="16"/>
  <c r="D516" i="16"/>
  <c r="E600" i="16"/>
  <c r="F151" i="16"/>
  <c r="E140" i="16"/>
  <c r="E174" i="16"/>
  <c r="E191" i="16"/>
  <c r="F170" i="16"/>
  <c r="E233" i="16"/>
  <c r="D368" i="16"/>
  <c r="E387" i="16"/>
  <c r="E446" i="16"/>
  <c r="E521" i="16"/>
  <c r="F120" i="16"/>
  <c r="E344" i="16"/>
  <c r="F214" i="16"/>
  <c r="F343" i="16"/>
  <c r="F504" i="16"/>
  <c r="F398" i="16"/>
  <c r="F118" i="16"/>
  <c r="F357" i="16"/>
  <c r="F367" i="16"/>
  <c r="F589" i="16"/>
  <c r="D117" i="16"/>
  <c r="E424" i="16"/>
  <c r="D95" i="16"/>
  <c r="F572" i="16"/>
  <c r="E405" i="16"/>
  <c r="E177" i="16"/>
  <c r="E312" i="16"/>
  <c r="F279" i="16"/>
  <c r="D420" i="16"/>
  <c r="D151" i="16"/>
  <c r="D508" i="16"/>
  <c r="D494" i="16"/>
  <c r="D513" i="16"/>
  <c r="D110" i="16"/>
  <c r="D327" i="16"/>
  <c r="E113" i="16"/>
  <c r="E196" i="16"/>
  <c r="E556" i="16"/>
  <c r="F561" i="16"/>
  <c r="D378" i="16"/>
  <c r="F143" i="16"/>
  <c r="E431" i="16"/>
  <c r="F223" i="16"/>
  <c r="F255" i="16"/>
  <c r="F227" i="16"/>
  <c r="F337" i="16"/>
  <c r="F392" i="16"/>
  <c r="F448" i="16"/>
  <c r="F433" i="16"/>
  <c r="F442" i="16"/>
  <c r="E529" i="16"/>
  <c r="E426" i="16"/>
  <c r="E375" i="16"/>
  <c r="F137" i="16"/>
  <c r="E148" i="16"/>
  <c r="E555" i="16"/>
  <c r="F204" i="16"/>
  <c r="F121" i="16"/>
  <c r="D424" i="16"/>
  <c r="F565" i="16"/>
  <c r="F536" i="16"/>
  <c r="D316" i="16"/>
  <c r="E234" i="16"/>
  <c r="F157" i="16"/>
  <c r="F570" i="16"/>
  <c r="F531" i="16"/>
  <c r="E452" i="16"/>
  <c r="F253" i="16"/>
  <c r="D266" i="16"/>
  <c r="F598" i="16"/>
  <c r="F316" i="16"/>
  <c r="E390" i="16"/>
  <c r="E171" i="16"/>
  <c r="D169" i="16"/>
  <c r="D219" i="16"/>
  <c r="E383" i="16"/>
  <c r="F128" i="16"/>
  <c r="D202" i="16"/>
  <c r="D568" i="16"/>
  <c r="F500" i="16"/>
  <c r="F82" i="16"/>
  <c r="D144" i="16"/>
  <c r="D171" i="16"/>
  <c r="E561" i="16"/>
  <c r="F344" i="16"/>
  <c r="D507" i="16"/>
  <c r="E355" i="16"/>
  <c r="E250" i="16"/>
  <c r="D155" i="16"/>
  <c r="F285" i="16"/>
  <c r="F105" i="16"/>
  <c r="E193" i="16"/>
  <c r="E447" i="16"/>
  <c r="D284" i="16"/>
  <c r="D183" i="16"/>
  <c r="F258" i="16"/>
  <c r="F188" i="16"/>
  <c r="F308" i="16"/>
  <c r="D225" i="16"/>
  <c r="D496" i="16"/>
  <c r="F259" i="16"/>
  <c r="E453" i="16"/>
  <c r="E381" i="16"/>
  <c r="E357" i="16"/>
  <c r="F145" i="16"/>
  <c r="D579" i="16"/>
  <c r="F399" i="16"/>
  <c r="E495" i="16"/>
  <c r="E499" i="16"/>
  <c r="F203" i="16"/>
  <c r="F301" i="16"/>
  <c r="E224" i="16"/>
  <c r="F106" i="16"/>
  <c r="D252" i="16"/>
  <c r="D94" i="16"/>
  <c r="E549" i="16"/>
  <c r="D440" i="16"/>
  <c r="D24" i="15"/>
  <c r="D80" i="16"/>
  <c r="E89" i="16"/>
  <c r="F408" i="16"/>
  <c r="E154" i="16"/>
  <c r="E484" i="16"/>
  <c r="F411" i="16"/>
  <c r="E481" i="16"/>
  <c r="D362" i="16"/>
  <c r="F155" i="16"/>
  <c r="D497" i="16"/>
  <c r="E264" i="16"/>
  <c r="E160" i="16"/>
  <c r="E126" i="16"/>
  <c r="E421" i="16"/>
  <c r="F95" i="16"/>
  <c r="F584" i="16"/>
  <c r="D387" i="16"/>
  <c r="D299" i="16"/>
  <c r="E497" i="16"/>
  <c r="F271" i="16"/>
  <c r="D476" i="16"/>
  <c r="F385" i="16"/>
  <c r="E329" i="16"/>
  <c r="E308" i="16"/>
  <c r="E319" i="16"/>
  <c r="F459" i="16"/>
  <c r="F327" i="16"/>
  <c r="D392" i="16"/>
  <c r="F499" i="16"/>
  <c r="E423" i="16"/>
  <c r="F460" i="16"/>
  <c r="F292" i="16"/>
  <c r="D559" i="16"/>
  <c r="E84" i="16"/>
  <c r="D571" i="16"/>
  <c r="F193" i="16"/>
  <c r="F313" i="16"/>
  <c r="D153" i="16"/>
  <c r="E394" i="16"/>
  <c r="E292" i="16"/>
  <c r="F494" i="16"/>
  <c r="D427" i="16"/>
  <c r="D349" i="16"/>
  <c r="E396" i="16"/>
  <c r="F273" i="16"/>
  <c r="F216" i="16"/>
  <c r="D184" i="16"/>
  <c r="D488" i="16"/>
  <c r="F522" i="16"/>
  <c r="E90" i="16"/>
  <c r="D425" i="16"/>
  <c r="D104" i="16"/>
  <c r="F555" i="16"/>
  <c r="E429" i="16"/>
  <c r="F362" i="16"/>
  <c r="E414" i="16"/>
  <c r="F186" i="16"/>
  <c r="F224" i="16"/>
  <c r="E565" i="16"/>
  <c r="D214" i="16"/>
  <c r="F252" i="16"/>
  <c r="F365" i="16"/>
  <c r="D592" i="16"/>
  <c r="F75" i="16"/>
  <c r="D537" i="16"/>
  <c r="D76" i="16"/>
  <c r="D192" i="16"/>
  <c r="D141" i="16"/>
  <c r="F136" i="16"/>
  <c r="E454" i="16"/>
  <c r="E485" i="16"/>
  <c r="F122" i="16"/>
  <c r="D418" i="16"/>
  <c r="D213" i="16"/>
  <c r="F441" i="16"/>
  <c r="F275" i="16"/>
  <c r="E427" i="16"/>
  <c r="F100" i="16"/>
  <c r="D308" i="16"/>
  <c r="F261" i="16"/>
  <c r="E465" i="16"/>
  <c r="D593" i="16"/>
  <c r="E149" i="16"/>
  <c r="D372" i="16"/>
  <c r="D401" i="16"/>
  <c r="E256" i="16"/>
  <c r="D121" i="16"/>
  <c r="E188" i="16"/>
  <c r="D191" i="16"/>
  <c r="D483" i="16"/>
  <c r="F90" i="16"/>
  <c r="E119" i="16"/>
  <c r="F596" i="16"/>
  <c r="F133" i="16"/>
  <c r="F89" i="16"/>
  <c r="F290" i="16"/>
  <c r="E422" i="16"/>
  <c r="F478" i="16"/>
  <c r="F267" i="16"/>
  <c r="E201" i="16"/>
  <c r="E299" i="16"/>
  <c r="D398" i="16"/>
  <c r="E584" i="16"/>
  <c r="E576" i="16"/>
  <c r="E531" i="16"/>
  <c r="F104" i="16"/>
  <c r="D298" i="16"/>
  <c r="D573" i="16"/>
  <c r="F407" i="16"/>
  <c r="E562" i="16"/>
  <c r="F163" i="16"/>
  <c r="F309" i="16"/>
  <c r="F419" i="16"/>
  <c r="E412" i="16"/>
  <c r="D99" i="16"/>
  <c r="E567" i="16"/>
  <c r="D538" i="16"/>
  <c r="D403" i="16"/>
  <c r="D274" i="16"/>
  <c r="F345" i="16"/>
  <c r="E169" i="16"/>
  <c r="F81" i="16"/>
  <c r="F516" i="16"/>
  <c r="E282" i="16"/>
  <c r="E416" i="16"/>
  <c r="E176" i="16"/>
  <c r="D205" i="16"/>
  <c r="D394" i="16"/>
  <c r="F219" i="16"/>
  <c r="D409" i="16"/>
  <c r="F482" i="16"/>
  <c r="E300" i="16"/>
  <c r="D487" i="16"/>
  <c r="D359" i="16"/>
  <c r="E468" i="16"/>
  <c r="F513" i="16"/>
  <c r="E220" i="16"/>
  <c r="E88" i="16"/>
  <c r="E438" i="16"/>
  <c r="D229" i="16"/>
  <c r="F206" i="16"/>
  <c r="D465" i="16"/>
  <c r="F477" i="16"/>
  <c r="F457" i="16"/>
  <c r="E182" i="16"/>
  <c r="E78" i="16"/>
  <c r="E317" i="16"/>
  <c r="D355" i="16"/>
  <c r="D363" i="16"/>
  <c r="D471" i="16"/>
  <c r="E581" i="16"/>
  <c r="D390" i="16"/>
  <c r="E571" i="16"/>
  <c r="E393" i="16"/>
  <c r="F326" i="16"/>
  <c r="D145" i="16"/>
  <c r="D484" i="16"/>
  <c r="E566" i="16"/>
  <c r="E97" i="16"/>
  <c r="E288" i="16"/>
  <c r="E279" i="16"/>
  <c r="D177" i="16"/>
  <c r="D473" i="16"/>
  <c r="E251" i="16"/>
  <c r="E190" i="16"/>
  <c r="E417" i="16"/>
  <c r="D541" i="16"/>
  <c r="F148" i="16"/>
  <c r="D337" i="16"/>
  <c r="F93" i="16"/>
  <c r="F331" i="16"/>
  <c r="E532" i="16"/>
  <c r="D503" i="16"/>
  <c r="E517" i="16"/>
  <c r="E219" i="16"/>
  <c r="F248" i="16"/>
  <c r="D514" i="16"/>
  <c r="E183" i="16"/>
  <c r="E241" i="16"/>
  <c r="E507" i="16"/>
  <c r="D223" i="16"/>
  <c r="F202" i="16"/>
  <c r="F99" i="16"/>
  <c r="D310" i="16"/>
  <c r="D439" i="16"/>
  <c r="F515" i="16"/>
  <c r="D388" i="16"/>
  <c r="D575" i="16"/>
  <c r="E318" i="16"/>
  <c r="F569" i="16"/>
  <c r="F473" i="16"/>
  <c r="E175" i="16"/>
  <c r="F250" i="16"/>
  <c r="F189" i="16"/>
  <c r="F235" i="16"/>
  <c r="F422" i="16"/>
  <c r="D172" i="16"/>
  <c r="F87" i="16"/>
  <c r="D375" i="16"/>
  <c r="D547" i="16"/>
  <c r="D517" i="16"/>
  <c r="F346" i="16"/>
  <c r="E343" i="16"/>
  <c r="D314" i="16"/>
  <c r="E106" i="16"/>
  <c r="F254" i="16"/>
  <c r="F558" i="16"/>
  <c r="D457" i="16"/>
  <c r="F363" i="16"/>
  <c r="F485" i="16"/>
  <c r="E159" i="16"/>
  <c r="E374" i="16"/>
  <c r="E591" i="16"/>
  <c r="E510" i="16"/>
  <c r="F256" i="16"/>
  <c r="F409" i="16"/>
  <c r="E598" i="16"/>
  <c r="F518" i="16"/>
  <c r="D156" i="16"/>
  <c r="D489" i="16"/>
  <c r="E181" i="16"/>
  <c r="D82" i="16"/>
  <c r="E133" i="16"/>
  <c r="E150" i="16"/>
  <c r="F306" i="16"/>
  <c r="F352" i="16"/>
  <c r="D499" i="16"/>
  <c r="F510" i="16"/>
  <c r="E353" i="16"/>
  <c r="F469" i="16"/>
  <c r="D561" i="16"/>
  <c r="D413" i="16"/>
  <c r="F295" i="16"/>
  <c r="E203" i="16"/>
  <c r="F289" i="16"/>
  <c r="E102" i="16"/>
  <c r="F551" i="16"/>
  <c r="F230" i="16"/>
  <c r="F396" i="16"/>
  <c r="E168" i="16"/>
  <c r="E512" i="16"/>
  <c r="F511" i="16"/>
  <c r="F443" i="16"/>
  <c r="D393" i="16"/>
  <c r="D224" i="16"/>
  <c r="E198" i="16"/>
  <c r="F582" i="16"/>
  <c r="D307" i="16"/>
  <c r="I46" i="15"/>
  <c r="E419" i="16"/>
  <c r="D270" i="16"/>
  <c r="E590" i="16"/>
  <c r="E153" i="16"/>
  <c r="F294" i="16"/>
  <c r="E511" i="16"/>
  <c r="F310" i="16"/>
  <c r="I30" i="15"/>
  <c r="F234" i="16"/>
  <c r="D591" i="16"/>
  <c r="F390" i="16"/>
  <c r="F315" i="16"/>
  <c r="D50" i="15"/>
  <c r="D234" i="16"/>
  <c r="E200" i="16"/>
  <c r="D520" i="16"/>
  <c r="D447" i="16"/>
  <c r="E101" i="16"/>
  <c r="D412" i="16"/>
  <c r="D510" i="16"/>
  <c r="D227" i="16"/>
  <c r="F303" i="16"/>
  <c r="F413" i="16"/>
  <c r="E430" i="16"/>
  <c r="F305" i="16"/>
  <c r="D185" i="16"/>
  <c r="E395" i="16"/>
  <c r="D383" i="16"/>
  <c r="E107" i="16"/>
  <c r="F174" i="16"/>
  <c r="E274" i="16"/>
  <c r="D87" i="16"/>
  <c r="E125" i="16"/>
  <c r="E544" i="16"/>
  <c r="F467" i="16"/>
  <c r="E291" i="16"/>
  <c r="F311" i="16"/>
  <c r="D237" i="16"/>
  <c r="F574" i="16"/>
  <c r="D324" i="16"/>
  <c r="F241" i="16"/>
  <c r="D235" i="16"/>
  <c r="D285" i="16"/>
  <c r="D452" i="16"/>
  <c r="E100" i="16"/>
  <c r="F366" i="16"/>
  <c r="D173" i="16"/>
  <c r="D565" i="16"/>
  <c r="E413" i="16"/>
  <c r="F427" i="16"/>
  <c r="F140" i="16"/>
  <c r="D165" i="16"/>
  <c r="E277" i="16"/>
  <c r="E552" i="16"/>
  <c r="F493" i="16"/>
  <c r="F412" i="16"/>
  <c r="D411" i="16"/>
  <c r="E451" i="16"/>
  <c r="F134" i="16"/>
  <c r="D118" i="16"/>
  <c r="F298" i="16"/>
  <c r="E543" i="16"/>
  <c r="E229" i="16"/>
  <c r="F246" i="16"/>
  <c r="E217" i="16"/>
  <c r="F581" i="16"/>
  <c r="E442" i="16"/>
  <c r="E372" i="16"/>
  <c r="E213" i="16"/>
  <c r="E127" i="16"/>
  <c r="E400" i="16"/>
  <c r="E147" i="16"/>
  <c r="F274" i="16"/>
  <c r="F349" i="16"/>
  <c r="F416" i="16"/>
  <c r="D152" i="16"/>
  <c r="D313" i="16"/>
  <c r="F475" i="16"/>
  <c r="E132" i="16"/>
  <c r="D279" i="16"/>
  <c r="D318" i="16"/>
  <c r="E158" i="16"/>
  <c r="E240" i="16"/>
  <c r="D492" i="16"/>
  <c r="E321" i="16"/>
  <c r="F97" i="16"/>
  <c r="D500" i="16"/>
  <c r="E216" i="16"/>
  <c r="E94" i="16"/>
  <c r="D360" i="16"/>
  <c r="D196" i="16"/>
  <c r="D97" i="16"/>
  <c r="D75" i="16"/>
  <c r="D149" i="16"/>
  <c r="D365" i="16"/>
  <c r="F383" i="16"/>
  <c r="F164" i="16"/>
  <c r="E124" i="16"/>
  <c r="E236" i="16"/>
  <c r="F521" i="16"/>
  <c r="F435" i="16"/>
  <c r="E586" i="16"/>
  <c r="D490" i="16"/>
  <c r="D419" i="16"/>
  <c r="D495" i="16"/>
  <c r="E265" i="16"/>
  <c r="D220" i="16"/>
  <c r="E110" i="16"/>
  <c r="F347" i="16"/>
  <c r="F380" i="16"/>
  <c r="E226" i="16"/>
  <c r="E109" i="16"/>
  <c r="D356" i="16"/>
  <c r="D469" i="16"/>
  <c r="D103" i="16"/>
  <c r="E437" i="16"/>
  <c r="E334" i="16"/>
  <c r="E569" i="16"/>
  <c r="E338" i="16"/>
  <c r="D555" i="16"/>
  <c r="E268" i="16"/>
  <c r="E553" i="16"/>
  <c r="F307" i="16"/>
  <c r="D336" i="16"/>
  <c r="D226" i="16"/>
  <c r="F576" i="16"/>
  <c r="F222" i="16"/>
  <c r="E215" i="16"/>
  <c r="E483" i="16"/>
  <c r="E231" i="16"/>
  <c r="F417" i="16"/>
  <c r="D306" i="16"/>
  <c r="E436" i="16"/>
  <c r="D595" i="16"/>
  <c r="D577" i="16"/>
  <c r="E227" i="16"/>
  <c r="D563" i="16"/>
  <c r="D222" i="16"/>
  <c r="D133" i="16"/>
  <c r="F358" i="16"/>
  <c r="F77" i="16"/>
  <c r="D458" i="16"/>
  <c r="E516" i="16"/>
  <c r="D269" i="16"/>
  <c r="D304" i="16"/>
  <c r="D504" i="16"/>
  <c r="D381" i="16"/>
  <c r="E575" i="16"/>
  <c r="D380" i="16"/>
  <c r="F564" i="16"/>
  <c r="E384" i="16"/>
  <c r="F446" i="16"/>
  <c r="F167" i="16"/>
  <c r="E365" i="16"/>
  <c r="E391" i="16"/>
  <c r="E550" i="16"/>
  <c r="E271" i="16"/>
  <c r="F465" i="16"/>
  <c r="F597" i="16"/>
  <c r="E275" i="16"/>
  <c r="D297" i="16"/>
  <c r="F426" i="16"/>
  <c r="F221" i="16"/>
  <c r="D350" i="16"/>
  <c r="E305" i="16"/>
  <c r="F192" i="16"/>
  <c r="D179" i="16"/>
  <c r="E399" i="16"/>
  <c r="F546" i="16"/>
  <c r="D323" i="16"/>
  <c r="D84" i="16"/>
  <c r="F240" i="16"/>
  <c r="E302" i="16"/>
  <c r="F479" i="16"/>
  <c r="E221" i="16"/>
  <c r="D370" i="16"/>
  <c r="E325" i="16"/>
  <c r="D342" i="16"/>
  <c r="D518" i="16"/>
  <c r="F547" i="16"/>
  <c r="E592" i="16"/>
  <c r="E80" i="16"/>
  <c r="F474" i="16"/>
  <c r="E139" i="16"/>
  <c r="F208" i="16"/>
  <c r="F483" i="16"/>
  <c r="E432" i="16"/>
  <c r="E296" i="16"/>
  <c r="F180" i="16"/>
  <c r="D148" i="16"/>
  <c r="D128" i="16"/>
  <c r="D257" i="16"/>
  <c r="E407" i="16"/>
  <c r="E573" i="16"/>
  <c r="D493" i="16"/>
  <c r="D404" i="16"/>
  <c r="E293" i="16"/>
  <c r="F141" i="16"/>
  <c r="D217" i="16"/>
  <c r="D553" i="16"/>
  <c r="E186" i="16"/>
  <c r="E528" i="16"/>
  <c r="D453" i="16"/>
  <c r="F377" i="16"/>
  <c r="D531" i="16"/>
  <c r="D239" i="16"/>
  <c r="D129" i="16"/>
  <c r="D85" i="16"/>
  <c r="D371" i="16"/>
  <c r="E248" i="16"/>
  <c r="E415" i="16"/>
  <c r="D502" i="16"/>
  <c r="E261" i="16"/>
  <c r="D289" i="16"/>
  <c r="F85" i="16"/>
  <c r="E304" i="16"/>
  <c r="D521" i="16"/>
  <c r="E397" i="16"/>
  <c r="E496" i="16"/>
  <c r="D163" i="16"/>
  <c r="F83" i="16"/>
  <c r="D333" i="16"/>
  <c r="E135" i="16"/>
  <c r="E551" i="16"/>
  <c r="E482" i="16"/>
  <c r="D554" i="16"/>
  <c r="D358" i="16"/>
  <c r="F471" i="16"/>
  <c r="E118" i="16"/>
  <c r="D271" i="16"/>
  <c r="F111" i="16"/>
  <c r="D143" i="16"/>
  <c r="F388" i="16"/>
  <c r="F550" i="16"/>
  <c r="F184" i="16"/>
  <c r="E369" i="16"/>
  <c r="F257" i="16"/>
  <c r="D300" i="16"/>
  <c r="E502" i="16"/>
  <c r="F266" i="16"/>
  <c r="E519" i="16"/>
  <c r="E597" i="16"/>
  <c r="E583" i="16"/>
  <c r="D256" i="16"/>
  <c r="F288" i="16"/>
  <c r="E267" i="16"/>
  <c r="F207" i="16"/>
  <c r="E582" i="16"/>
  <c r="F527" i="16"/>
  <c r="E450" i="16"/>
  <c r="F161" i="16"/>
  <c r="D546" i="16"/>
  <c r="D249" i="16"/>
  <c r="D320" i="16"/>
  <c r="D142" i="16"/>
  <c r="I38" i="15"/>
  <c r="E385" i="16"/>
  <c r="F454" i="16"/>
  <c r="E295" i="16"/>
  <c r="F109" i="16"/>
  <c r="D395" i="16"/>
  <c r="F456" i="16"/>
  <c r="F523" i="16"/>
  <c r="D203" i="16"/>
  <c r="D255" i="16"/>
  <c r="F159" i="16"/>
  <c r="E595" i="16"/>
  <c r="F160" i="16"/>
  <c r="D407" i="16"/>
  <c r="D389" i="16"/>
  <c r="F236" i="16"/>
  <c r="F461" i="16"/>
  <c r="F76" i="16"/>
  <c r="E513" i="16"/>
  <c r="F519" i="16"/>
  <c r="E247" i="16"/>
  <c r="F505" i="16"/>
  <c r="E585" i="16"/>
  <c r="D536" i="16"/>
  <c r="E448" i="16"/>
  <c r="D590" i="16"/>
  <c r="D366" i="16"/>
  <c r="E498" i="16"/>
  <c r="F359" i="16"/>
  <c r="E262" i="16"/>
  <c r="E469" i="16"/>
  <c r="F403" i="16"/>
  <c r="F196" i="16"/>
  <c r="F335" i="16"/>
  <c r="D367" i="16"/>
  <c r="F394" i="16"/>
  <c r="F375" i="16"/>
  <c r="F139" i="16"/>
  <c r="D431" i="16"/>
  <c r="F239" i="16"/>
  <c r="F102" i="16"/>
  <c r="F402" i="16"/>
  <c r="F472" i="16"/>
  <c r="E542" i="16"/>
  <c r="F195" i="16"/>
  <c r="F406" i="16"/>
  <c r="F395" i="16"/>
  <c r="F548" i="16"/>
  <c r="E83" i="16"/>
  <c r="F568" i="16"/>
  <c r="E522" i="16"/>
  <c r="E368" i="16"/>
  <c r="F98" i="16"/>
  <c r="E138" i="16"/>
  <c r="D406" i="16"/>
  <c r="E444" i="16"/>
  <c r="F376" i="16"/>
  <c r="D309" i="16"/>
  <c r="D215" i="16"/>
  <c r="F530" i="16"/>
  <c r="E311" i="16"/>
  <c r="D475" i="16"/>
  <c r="D277" i="16"/>
  <c r="D161" i="16"/>
  <c r="E373" i="16"/>
  <c r="D374" i="16"/>
  <c r="D206" i="16"/>
  <c r="D567" i="16"/>
  <c r="D231" i="16"/>
  <c r="F379" i="16"/>
  <c r="E360" i="16"/>
  <c r="F286" i="16"/>
  <c r="E398" i="16"/>
  <c r="F594" i="16"/>
  <c r="E257" i="16"/>
  <c r="F488" i="16"/>
  <c r="D116" i="16"/>
  <c r="F517" i="16"/>
  <c r="D312" i="16"/>
  <c r="D204" i="16"/>
  <c r="E389" i="16"/>
  <c r="D189" i="16"/>
  <c r="E557" i="16"/>
  <c r="E187" i="16"/>
  <c r="D262" i="16"/>
  <c r="F142" i="16"/>
  <c r="D354" i="16"/>
  <c r="F355" i="16"/>
  <c r="D442" i="16"/>
  <c r="D466" i="16"/>
  <c r="E371" i="16"/>
  <c r="D251" i="16"/>
  <c r="E554" i="16"/>
  <c r="F113" i="16"/>
  <c r="D319" i="16"/>
  <c r="D197" i="16"/>
  <c r="D600" i="16"/>
  <c r="F190" i="16"/>
  <c r="D397" i="16"/>
  <c r="F149" i="16"/>
  <c r="E151" i="16"/>
  <c r="E99" i="16"/>
  <c r="E249" i="16"/>
  <c r="E278" i="16"/>
  <c r="F354" i="16"/>
  <c r="D263" i="16"/>
  <c r="E527" i="16"/>
  <c r="D236" i="16"/>
  <c r="E363" i="16"/>
  <c r="F421" i="16"/>
  <c r="E170" i="16"/>
  <c r="E337" i="16"/>
  <c r="E307" i="16"/>
  <c r="D462" i="16"/>
  <c r="D181" i="16"/>
  <c r="F138" i="16"/>
  <c r="F502" i="16"/>
  <c r="E378" i="16"/>
  <c r="E255" i="16"/>
  <c r="E103" i="16"/>
  <c r="D540" i="16"/>
  <c r="D125" i="16"/>
  <c r="D182" i="16"/>
  <c r="E189" i="16"/>
  <c r="F397" i="16"/>
  <c r="E493" i="16"/>
  <c r="D73" i="16"/>
  <c r="D81" i="16"/>
  <c r="D346" i="16"/>
  <c r="F88" i="16"/>
  <c r="E359" i="16"/>
  <c r="F575" i="16"/>
  <c r="E518" i="16"/>
  <c r="E143" i="16"/>
  <c r="D98" i="16"/>
  <c r="D379" i="16"/>
  <c r="E218" i="16"/>
  <c r="F553" i="16"/>
  <c r="D294" i="16"/>
  <c r="D131" i="16"/>
  <c r="F462" i="16"/>
  <c r="D463" i="16"/>
  <c r="E223" i="16"/>
  <c r="D301" i="16"/>
  <c r="D166" i="16"/>
  <c r="F512" i="16"/>
  <c r="F317" i="16"/>
  <c r="F447" i="16"/>
  <c r="F73" i="16"/>
  <c r="D357" i="16"/>
  <c r="D400" i="16"/>
  <c r="D168" i="16"/>
  <c r="E284" i="16"/>
  <c r="E85" i="16"/>
  <c r="E456" i="16"/>
  <c r="F205" i="16"/>
  <c r="F453" i="16"/>
  <c r="F487" i="16"/>
  <c r="E462" i="16"/>
  <c r="E115" i="16"/>
  <c r="E152" i="16"/>
  <c r="D78" i="16"/>
  <c r="E478" i="16"/>
  <c r="E98" i="16"/>
  <c r="D542" i="16"/>
  <c r="F176" i="16"/>
  <c r="E117" i="16"/>
  <c r="D386" i="16"/>
  <c r="F350" i="16"/>
  <c r="E346" i="16"/>
  <c r="D139" i="16"/>
  <c r="F556" i="16"/>
  <c r="E253" i="16"/>
  <c r="D588" i="16"/>
  <c r="I22" i="15"/>
  <c r="D287" i="16"/>
  <c r="D170" i="16"/>
  <c r="D157" i="16"/>
  <c r="D456" i="16"/>
  <c r="D470" i="16"/>
  <c r="F541" i="16"/>
  <c r="F436" i="16"/>
  <c r="F304" i="16"/>
  <c r="D123" i="16"/>
  <c r="D599" i="16"/>
  <c r="D341" i="16"/>
  <c r="E199" i="16"/>
  <c r="E473" i="16"/>
  <c r="E411" i="16"/>
  <c r="D580" i="16"/>
  <c r="F243" i="16"/>
  <c r="E211" i="16"/>
  <c r="F154" i="16"/>
  <c r="D348" i="16"/>
  <c r="E141" i="16"/>
  <c r="E212" i="16"/>
  <c r="F431" i="16"/>
  <c r="E245" i="16"/>
  <c r="E578" i="16"/>
  <c r="D426" i="16"/>
  <c r="D200" i="16"/>
  <c r="D332" i="16"/>
  <c r="E370" i="16"/>
  <c r="E441" i="16"/>
  <c r="E433" i="16"/>
  <c r="D115" i="16"/>
  <c r="F314" i="16"/>
  <c r="E163" i="16"/>
  <c r="E530" i="16"/>
  <c r="D584" i="16"/>
  <c r="D581" i="16"/>
  <c r="F78" i="16"/>
  <c r="E306" i="16"/>
  <c r="D576" i="16"/>
  <c r="F242" i="16"/>
  <c r="E564" i="16"/>
  <c r="F567" i="16"/>
  <c r="E301" i="16"/>
  <c r="D549" i="16"/>
  <c r="E81" i="16"/>
  <c r="F272" i="16"/>
  <c r="F233" i="16"/>
  <c r="F293" i="16"/>
  <c r="D414" i="16"/>
  <c r="D578" i="16"/>
  <c r="F270" i="16"/>
  <c r="F172" i="16"/>
  <c r="F428" i="16"/>
  <c r="D331" i="16"/>
  <c r="F429" i="16"/>
  <c r="E401" i="16"/>
  <c r="D112" i="16"/>
  <c r="F124" i="16"/>
  <c r="D88" i="16"/>
  <c r="E326" i="16"/>
  <c r="F302" i="16"/>
  <c r="D92" i="16"/>
  <c r="F387" i="16"/>
  <c r="E386" i="16"/>
  <c r="E380" i="16"/>
  <c r="E116" i="16"/>
  <c r="F554" i="16"/>
  <c r="F92" i="16"/>
  <c r="F452" i="16"/>
  <c r="F445" i="16"/>
  <c r="F480" i="16"/>
  <c r="F318" i="16"/>
  <c r="F191" i="16"/>
  <c r="D315" i="16"/>
  <c r="D532" i="16"/>
  <c r="E490" i="16"/>
  <c r="F391" i="16"/>
  <c r="F231" i="16"/>
  <c r="D482" i="16"/>
  <c r="F339" i="16"/>
  <c r="E523" i="16"/>
  <c r="F591" i="16"/>
  <c r="F185" i="16"/>
  <c r="D26" i="15"/>
  <c r="D455" i="16"/>
  <c r="E129" i="16"/>
  <c r="F166" i="16"/>
  <c r="F559" i="16"/>
  <c r="D190" i="16"/>
  <c r="F468" i="16"/>
  <c r="I48" i="15"/>
  <c r="E239" i="16"/>
  <c r="F509" i="16"/>
  <c r="E286" i="16"/>
  <c r="D286" i="16"/>
  <c r="E259" i="16"/>
  <c r="D259" i="16"/>
  <c r="F489" i="16"/>
  <c r="E350" i="16"/>
  <c r="D120" i="16"/>
  <c r="E589" i="16"/>
  <c r="D474" i="16"/>
  <c r="F101" i="16"/>
  <c r="D481" i="16"/>
  <c r="D132" i="16"/>
  <c r="D247" i="16"/>
  <c r="F237" i="16"/>
  <c r="F116" i="16"/>
  <c r="E316" i="16"/>
  <c r="E594" i="16"/>
  <c r="E489" i="16"/>
  <c r="F492" i="16"/>
  <c r="D460" i="16"/>
  <c r="F490" i="16"/>
  <c r="F156" i="16"/>
  <c r="F74" i="16"/>
  <c r="E596" i="16"/>
  <c r="D246" i="16"/>
  <c r="F545" i="16"/>
  <c r="E526" i="16"/>
  <c r="D519" i="16"/>
  <c r="F147" i="16"/>
  <c r="E122" i="16"/>
  <c r="F263" i="16"/>
  <c r="E289" i="16"/>
  <c r="D105" i="16"/>
  <c r="F529" i="16"/>
  <c r="F322" i="16"/>
  <c r="D305" i="16"/>
  <c r="E466" i="16"/>
  <c r="D244" i="16"/>
  <c r="D216" i="16"/>
  <c r="D477" i="16"/>
  <c r="E428" i="16"/>
  <c r="D435" i="16"/>
  <c r="E225" i="16"/>
  <c r="E166" i="16"/>
  <c r="F210" i="16"/>
  <c r="F125" i="16"/>
  <c r="E172" i="16"/>
  <c r="F600" i="16"/>
  <c r="E477" i="16"/>
  <c r="D264" i="16"/>
  <c r="E376" i="16"/>
  <c r="F198" i="16"/>
  <c r="D498" i="16"/>
  <c r="F341" i="16"/>
  <c r="E258" i="16"/>
  <c r="D134" i="16"/>
  <c r="D528" i="16"/>
  <c r="F361" i="16"/>
  <c r="F414" i="16"/>
  <c r="E525" i="16"/>
  <c r="D100" i="16"/>
  <c r="E204" i="16"/>
  <c r="F585" i="16"/>
  <c r="E93" i="16"/>
  <c r="D461" i="16"/>
  <c r="E303" i="16"/>
  <c r="E195" i="16"/>
  <c r="E92" i="16"/>
  <c r="F353" i="16"/>
  <c r="D432" i="16"/>
  <c r="F410" i="16"/>
  <c r="E545" i="16"/>
  <c r="F197" i="16"/>
  <c r="D32" i="15"/>
  <c r="F544" i="16"/>
  <c r="F324" i="16"/>
  <c r="F178" i="16"/>
  <c r="D352" i="16"/>
  <c r="D441" i="16"/>
  <c r="D74" i="16"/>
  <c r="F382" i="16"/>
  <c r="E178" i="16"/>
  <c r="E276" i="16"/>
  <c r="F284" i="16"/>
  <c r="F439" i="16"/>
  <c r="D248" i="16"/>
  <c r="D278" i="16"/>
  <c r="E161" i="16"/>
  <c r="F420" i="16"/>
  <c r="D288" i="16"/>
  <c r="D107" i="16"/>
  <c r="D89" i="16"/>
  <c r="E76" i="16"/>
  <c r="AC19" i="34" l="1"/>
  <c r="AC19" i="38"/>
  <c r="AC17" i="34"/>
  <c r="AC17" i="38"/>
  <c r="D19" i="34"/>
  <c r="D19" i="38"/>
  <c r="D17" i="38"/>
  <c r="D17" i="34"/>
  <c r="D15" i="34"/>
  <c r="D15" i="38"/>
  <c r="AC15" i="38"/>
  <c r="AC15" i="34"/>
  <c r="AC25" i="34"/>
  <c r="AC25" i="38"/>
  <c r="AC51" i="38"/>
  <c r="AC51" i="34"/>
  <c r="AC43" i="38"/>
  <c r="AC43" i="34"/>
  <c r="AC37" i="34"/>
  <c r="AC37" i="38"/>
  <c r="D47" i="34"/>
  <c r="D47" i="38"/>
  <c r="D37" i="34"/>
  <c r="D37" i="38"/>
  <c r="D23" i="34"/>
  <c r="D23" i="38"/>
  <c r="D51" i="38"/>
  <c r="D51" i="34"/>
  <c r="AC49" i="38"/>
  <c r="AC49" i="34"/>
  <c r="D49" i="34"/>
  <c r="D49" i="38"/>
  <c r="D27" i="34"/>
  <c r="D27" i="38"/>
  <c r="AC23" i="34"/>
  <c r="AC23" i="38"/>
  <c r="AC27" i="38"/>
  <c r="AC27" i="34"/>
  <c r="D43" i="34"/>
  <c r="D43" i="38"/>
  <c r="AC31" i="34"/>
  <c r="AC31" i="38"/>
  <c r="AC45" i="34"/>
  <c r="AC45" i="38"/>
  <c r="D41" i="34"/>
  <c r="D41" i="38"/>
  <c r="D33" i="38"/>
  <c r="D33" i="34"/>
  <c r="D25" i="34"/>
  <c r="D25" i="38"/>
  <c r="AC21" i="38"/>
  <c r="AC21" i="34"/>
  <c r="H54" i="15"/>
  <c r="AC39" i="34"/>
  <c r="AC39" i="38"/>
  <c r="AC33" i="38"/>
  <c r="AC33" i="34"/>
  <c r="D31" i="34"/>
  <c r="D31" i="38"/>
  <c r="D45" i="38"/>
  <c r="D45" i="34"/>
  <c r="D39" i="38"/>
  <c r="D39" i="34"/>
  <c r="AC29" i="34"/>
  <c r="AC29" i="38"/>
  <c r="AC41" i="38"/>
  <c r="AC41" i="34"/>
  <c r="D29" i="34"/>
  <c r="D29" i="38"/>
  <c r="AC35" i="38"/>
  <c r="AC35" i="34"/>
  <c r="AC47" i="34"/>
  <c r="AC47" i="38"/>
  <c r="D21" i="34"/>
  <c r="D21" i="38"/>
  <c r="D35" i="38"/>
  <c r="D35" i="34"/>
  <c r="B55" i="15"/>
  <c r="J15" i="34" l="1"/>
  <c r="P15" i="34"/>
  <c r="R15" i="34"/>
  <c r="V15" i="34"/>
  <c r="Z15" i="34"/>
  <c r="N15" i="34"/>
  <c r="F15" i="34"/>
  <c r="X15" i="34"/>
  <c r="L15" i="34"/>
  <c r="H15" i="34"/>
  <c r="AB15" i="34"/>
  <c r="T15" i="34"/>
  <c r="K17" i="38"/>
  <c r="W17" i="38"/>
  <c r="O17" i="38"/>
  <c r="E17" i="38"/>
  <c r="Y17" i="38"/>
  <c r="Q17" i="38"/>
  <c r="U17" i="38"/>
  <c r="M17" i="38"/>
  <c r="G17" i="38"/>
  <c r="AA17" i="38"/>
  <c r="S17" i="38"/>
  <c r="I17" i="38"/>
  <c r="X17" i="34"/>
  <c r="F17" i="34"/>
  <c r="AB17" i="34"/>
  <c r="Z17" i="34"/>
  <c r="V17" i="34"/>
  <c r="N17" i="34"/>
  <c r="H17" i="34"/>
  <c r="J17" i="34"/>
  <c r="P17" i="34"/>
  <c r="L17" i="34"/>
  <c r="T17" i="34"/>
  <c r="R17" i="34"/>
  <c r="Y19" i="38"/>
  <c r="AA19" i="38"/>
  <c r="Q19" i="38"/>
  <c r="E19" i="38"/>
  <c r="K19" i="38"/>
  <c r="O19" i="38"/>
  <c r="W19" i="38"/>
  <c r="M19" i="38"/>
  <c r="S19" i="38"/>
  <c r="I19" i="38"/>
  <c r="G19" i="38"/>
  <c r="U19" i="38"/>
  <c r="J19" i="34"/>
  <c r="P19" i="34"/>
  <c r="X19" i="34"/>
  <c r="Z19" i="34"/>
  <c r="L19" i="34"/>
  <c r="N19" i="34"/>
  <c r="R19" i="34"/>
  <c r="AB19" i="34"/>
  <c r="H19" i="34"/>
  <c r="V19" i="34"/>
  <c r="F19" i="34"/>
  <c r="T19" i="34"/>
  <c r="G52" i="15"/>
  <c r="G36" i="15"/>
  <c r="G48" i="15"/>
  <c r="G22" i="15"/>
  <c r="G32" i="15"/>
  <c r="G37" i="38"/>
  <c r="O37" i="38"/>
  <c r="Q37" i="38"/>
  <c r="E37" i="38"/>
  <c r="K37" i="38"/>
  <c r="U37" i="38"/>
  <c r="M37" i="38"/>
  <c r="Y37" i="38"/>
  <c r="AA37" i="38"/>
  <c r="I37" i="38"/>
  <c r="W37" i="38"/>
  <c r="S37" i="38"/>
  <c r="H49" i="34"/>
  <c r="AB49" i="34"/>
  <c r="V49" i="34"/>
  <c r="T49" i="34"/>
  <c r="Z49" i="34"/>
  <c r="J49" i="34"/>
  <c r="P49" i="34"/>
  <c r="X49" i="34"/>
  <c r="N49" i="34"/>
  <c r="F49" i="34"/>
  <c r="R49" i="34"/>
  <c r="L49" i="34"/>
  <c r="V37" i="34"/>
  <c r="Z37" i="34"/>
  <c r="F37" i="34"/>
  <c r="R37" i="34"/>
  <c r="P37" i="34"/>
  <c r="AB37" i="34"/>
  <c r="T37" i="34"/>
  <c r="X37" i="34"/>
  <c r="H37" i="34"/>
  <c r="L37" i="34"/>
  <c r="N37" i="34"/>
  <c r="J37" i="34"/>
  <c r="S49" i="38"/>
  <c r="O49" i="38"/>
  <c r="E49" i="38"/>
  <c r="M49" i="38"/>
  <c r="Q49" i="38"/>
  <c r="I49" i="38"/>
  <c r="K49" i="38"/>
  <c r="U49" i="38"/>
  <c r="Y49" i="38"/>
  <c r="AA49" i="38"/>
  <c r="G49" i="38"/>
  <c r="W49" i="38"/>
  <c r="G38" i="15"/>
  <c r="J41" i="34"/>
  <c r="L41" i="34"/>
  <c r="H41" i="34"/>
  <c r="N41" i="34"/>
  <c r="X41" i="34"/>
  <c r="V41" i="34"/>
  <c r="P41" i="34"/>
  <c r="T41" i="34"/>
  <c r="Z41" i="34"/>
  <c r="R41" i="34"/>
  <c r="F41" i="34"/>
  <c r="AB41" i="34"/>
  <c r="V33" i="34"/>
  <c r="N33" i="34"/>
  <c r="X33" i="34"/>
  <c r="T33" i="34"/>
  <c r="AB33" i="34"/>
  <c r="L33" i="34"/>
  <c r="P33" i="34"/>
  <c r="J33" i="34"/>
  <c r="F33" i="34"/>
  <c r="Z33" i="34"/>
  <c r="R33" i="34"/>
  <c r="H33" i="34"/>
  <c r="Z27" i="34"/>
  <c r="T27" i="34"/>
  <c r="R27" i="34"/>
  <c r="AB27" i="34"/>
  <c r="N27" i="34"/>
  <c r="L27" i="34"/>
  <c r="H27" i="34"/>
  <c r="P27" i="34"/>
  <c r="X27" i="34"/>
  <c r="J27" i="34"/>
  <c r="V27" i="34"/>
  <c r="F27" i="34"/>
  <c r="G50" i="15"/>
  <c r="H43" i="34"/>
  <c r="T43" i="34"/>
  <c r="AB43" i="34"/>
  <c r="J43" i="34"/>
  <c r="Z43" i="34"/>
  <c r="N43" i="34"/>
  <c r="V43" i="34"/>
  <c r="P43" i="34"/>
  <c r="L43" i="34"/>
  <c r="F43" i="34"/>
  <c r="X43" i="34"/>
  <c r="R43" i="34"/>
  <c r="Y33" i="38"/>
  <c r="Q33" i="38"/>
  <c r="S33" i="38"/>
  <c r="G33" i="38"/>
  <c r="I33" i="38"/>
  <c r="U33" i="38"/>
  <c r="AA33" i="38"/>
  <c r="K33" i="38"/>
  <c r="O33" i="38"/>
  <c r="W33" i="38"/>
  <c r="E33" i="38"/>
  <c r="M33" i="38"/>
  <c r="Q27" i="38"/>
  <c r="G27" i="38"/>
  <c r="I27" i="38"/>
  <c r="M27" i="38"/>
  <c r="Y27" i="38"/>
  <c r="S27" i="38"/>
  <c r="U27" i="38"/>
  <c r="E27" i="38"/>
  <c r="W27" i="38"/>
  <c r="AA27" i="38"/>
  <c r="K27" i="38"/>
  <c r="O27" i="38"/>
  <c r="AA43" i="38"/>
  <c r="S43" i="38"/>
  <c r="K43" i="38"/>
  <c r="E43" i="38"/>
  <c r="U43" i="38"/>
  <c r="W43" i="38"/>
  <c r="M43" i="38"/>
  <c r="I43" i="38"/>
  <c r="Y43" i="38"/>
  <c r="Q43" i="38"/>
  <c r="G43" i="38"/>
  <c r="O43" i="38"/>
  <c r="G42" i="15"/>
  <c r="G34" i="15"/>
  <c r="G28" i="15"/>
  <c r="G44" i="15"/>
  <c r="U41" i="38"/>
  <c r="G41" i="38"/>
  <c r="S41" i="38"/>
  <c r="I41" i="38"/>
  <c r="K41" i="38"/>
  <c r="M41" i="38"/>
  <c r="Y41" i="38"/>
  <c r="W41" i="38"/>
  <c r="AA41" i="38"/>
  <c r="E41" i="38"/>
  <c r="Q41" i="38"/>
  <c r="AA29" i="38"/>
  <c r="S29" i="38"/>
  <c r="Q29" i="38"/>
  <c r="G29" i="38"/>
  <c r="W29" i="38"/>
  <c r="E29" i="38"/>
  <c r="K29" i="38"/>
  <c r="U29" i="38"/>
  <c r="Y29" i="38"/>
  <c r="M29" i="38"/>
  <c r="I29" i="38"/>
  <c r="O29" i="38"/>
  <c r="E39" i="38"/>
  <c r="K39" i="38"/>
  <c r="I39" i="38"/>
  <c r="U39" i="38"/>
  <c r="O39" i="38"/>
  <c r="Q39" i="38"/>
  <c r="G39" i="38"/>
  <c r="AA39" i="38"/>
  <c r="S39" i="38"/>
  <c r="Y39" i="38"/>
  <c r="W39" i="38"/>
  <c r="M39" i="38"/>
  <c r="S23" i="38"/>
  <c r="AA23" i="38"/>
  <c r="Y23" i="38"/>
  <c r="O23" i="38"/>
  <c r="M23" i="38"/>
  <c r="I23" i="38"/>
  <c r="K23" i="38"/>
  <c r="W23" i="38"/>
  <c r="U23" i="38"/>
  <c r="Q23" i="38"/>
  <c r="E23" i="38"/>
  <c r="G23" i="38"/>
  <c r="V51" i="34"/>
  <c r="H51" i="34"/>
  <c r="X51" i="34"/>
  <c r="T51" i="34"/>
  <c r="F51" i="34"/>
  <c r="R51" i="34"/>
  <c r="N51" i="34"/>
  <c r="J51" i="34"/>
  <c r="L51" i="34"/>
  <c r="AB51" i="34"/>
  <c r="Z51" i="34"/>
  <c r="P51" i="34"/>
  <c r="Q47" i="38"/>
  <c r="W47" i="38"/>
  <c r="U47" i="38"/>
  <c r="S47" i="38"/>
  <c r="I47" i="38"/>
  <c r="O47" i="38"/>
  <c r="K47" i="38"/>
  <c r="G47" i="38"/>
  <c r="AA47" i="38"/>
  <c r="E47" i="38"/>
  <c r="M47" i="38"/>
  <c r="Y47" i="38"/>
  <c r="P39" i="34"/>
  <c r="Z39" i="34"/>
  <c r="X39" i="34"/>
  <c r="V39" i="34"/>
  <c r="F39" i="34"/>
  <c r="N39" i="34"/>
  <c r="R39" i="34"/>
  <c r="H39" i="34"/>
  <c r="L39" i="34"/>
  <c r="T39" i="34"/>
  <c r="J39" i="34"/>
  <c r="AB39" i="34"/>
  <c r="S45" i="38"/>
  <c r="K45" i="38"/>
  <c r="G45" i="38"/>
  <c r="Y45" i="38"/>
  <c r="M45" i="38"/>
  <c r="U45" i="38"/>
  <c r="O45" i="38"/>
  <c r="Q45" i="38"/>
  <c r="E45" i="38"/>
  <c r="AA45" i="38"/>
  <c r="I45" i="38"/>
  <c r="W45" i="38"/>
  <c r="T23" i="34"/>
  <c r="H23" i="34"/>
  <c r="R23" i="34"/>
  <c r="L23" i="34"/>
  <c r="J23" i="34"/>
  <c r="AB23" i="34"/>
  <c r="X23" i="34"/>
  <c r="Z23" i="34"/>
  <c r="F23" i="34"/>
  <c r="N23" i="34"/>
  <c r="P23" i="34"/>
  <c r="V23" i="34"/>
  <c r="K51" i="38"/>
  <c r="AA51" i="38"/>
  <c r="S51" i="38"/>
  <c r="E51" i="38"/>
  <c r="Y51" i="38"/>
  <c r="W51" i="38"/>
  <c r="G51" i="38"/>
  <c r="I51" i="38"/>
  <c r="M51" i="38"/>
  <c r="O51" i="38"/>
  <c r="Q51" i="38"/>
  <c r="U51" i="38"/>
  <c r="R29" i="34"/>
  <c r="Z29" i="34"/>
  <c r="T29" i="34"/>
  <c r="J29" i="34"/>
  <c r="H29" i="34"/>
  <c r="X29" i="34"/>
  <c r="L29" i="34"/>
  <c r="F29" i="34"/>
  <c r="V29" i="34"/>
  <c r="N29" i="34"/>
  <c r="P29" i="34"/>
  <c r="AB29" i="34"/>
  <c r="N47" i="34"/>
  <c r="P47" i="34"/>
  <c r="Z47" i="34"/>
  <c r="V47" i="34"/>
  <c r="X47" i="34"/>
  <c r="R47" i="34"/>
  <c r="F47" i="34"/>
  <c r="H47" i="34"/>
  <c r="AB47" i="34"/>
  <c r="T47" i="34"/>
  <c r="L47" i="34"/>
  <c r="J47" i="34"/>
  <c r="G30" i="15"/>
  <c r="G40" i="15"/>
  <c r="J45" i="34"/>
  <c r="F45" i="34"/>
  <c r="X45" i="34"/>
  <c r="P45" i="34"/>
  <c r="AB45" i="34"/>
  <c r="R45" i="34"/>
  <c r="H45" i="34"/>
  <c r="T45" i="34"/>
  <c r="Z45" i="34"/>
  <c r="V45" i="34"/>
  <c r="N45" i="34"/>
  <c r="L45" i="34"/>
  <c r="G24" i="15"/>
  <c r="Q92" i="45"/>
  <c r="T13" i="33"/>
  <c r="J54" i="15"/>
  <c r="R88" i="45"/>
  <c r="R89" i="45" s="1"/>
  <c r="G34" i="18"/>
  <c r="I35" i="37" s="1"/>
  <c r="G16" i="15"/>
  <c r="G18" i="15"/>
  <c r="G20" i="15"/>
  <c r="G46" i="15"/>
  <c r="M25" i="38"/>
  <c r="E25" i="38"/>
  <c r="Q25" i="38"/>
  <c r="U25" i="38"/>
  <c r="AA25" i="38"/>
  <c r="W25" i="38"/>
  <c r="I25" i="38"/>
  <c r="O25" i="38"/>
  <c r="G25" i="38"/>
  <c r="K25" i="38"/>
  <c r="S25" i="38"/>
  <c r="Y25" i="38"/>
  <c r="AB35" i="34"/>
  <c r="L35" i="34"/>
  <c r="R35" i="34"/>
  <c r="T35" i="34"/>
  <c r="Z35" i="34"/>
  <c r="X35" i="34"/>
  <c r="V35" i="34"/>
  <c r="F35" i="34"/>
  <c r="J35" i="34"/>
  <c r="N35" i="34"/>
  <c r="H35" i="34"/>
  <c r="P35" i="34"/>
  <c r="Z21" i="34"/>
  <c r="T21" i="34"/>
  <c r="V21" i="34"/>
  <c r="P21" i="34"/>
  <c r="F21" i="34"/>
  <c r="H21" i="34"/>
  <c r="L21" i="34"/>
  <c r="AB21" i="34"/>
  <c r="J21" i="34"/>
  <c r="X21" i="34"/>
  <c r="N21" i="34"/>
  <c r="R21" i="34"/>
  <c r="AC57" i="34"/>
  <c r="AD41" i="34" s="1"/>
  <c r="U31" i="38"/>
  <c r="Q31" i="38"/>
  <c r="G31" i="38"/>
  <c r="O31" i="38"/>
  <c r="K31" i="38"/>
  <c r="AA31" i="38"/>
  <c r="E31" i="38"/>
  <c r="S31" i="38"/>
  <c r="I31" i="38"/>
  <c r="M31" i="38"/>
  <c r="W31" i="38"/>
  <c r="Y31" i="38"/>
  <c r="P25" i="34"/>
  <c r="N25" i="34"/>
  <c r="F25" i="34"/>
  <c r="T25" i="34"/>
  <c r="R25" i="34"/>
  <c r="Z25" i="34"/>
  <c r="X25" i="34"/>
  <c r="AB25" i="34"/>
  <c r="L25" i="34"/>
  <c r="J25" i="34"/>
  <c r="H25" i="34"/>
  <c r="V25" i="34"/>
  <c r="Q35" i="38"/>
  <c r="O35" i="38"/>
  <c r="S35" i="38"/>
  <c r="M35" i="38"/>
  <c r="I35" i="38"/>
  <c r="E35" i="38"/>
  <c r="W35" i="38"/>
  <c r="U35" i="38"/>
  <c r="AA35" i="38"/>
  <c r="K35" i="38"/>
  <c r="Y35" i="38"/>
  <c r="G35" i="38"/>
  <c r="U21" i="38"/>
  <c r="G21" i="38"/>
  <c r="S21" i="38"/>
  <c r="O21" i="38"/>
  <c r="M21" i="38"/>
  <c r="E21" i="38"/>
  <c r="Q21" i="38"/>
  <c r="Y21" i="38"/>
  <c r="K21" i="38"/>
  <c r="AA21" i="38"/>
  <c r="I21" i="38"/>
  <c r="W21" i="38"/>
  <c r="AC53" i="38"/>
  <c r="AD33" i="38" s="1"/>
  <c r="R31" i="34"/>
  <c r="N31" i="34"/>
  <c r="L31" i="34"/>
  <c r="X31" i="34"/>
  <c r="AB31" i="34"/>
  <c r="V31" i="34"/>
  <c r="T31" i="34"/>
  <c r="F31" i="34"/>
  <c r="H31" i="34"/>
  <c r="P31" i="34"/>
  <c r="J31" i="34"/>
  <c r="Z31" i="34"/>
  <c r="G26" i="15"/>
  <c r="AF19" i="34" l="1"/>
  <c r="AF15" i="34"/>
  <c r="AF17" i="34"/>
  <c r="L15" i="38"/>
  <c r="K15" i="38" s="1"/>
  <c r="K53" i="38" s="1"/>
  <c r="L53" i="38" s="1"/>
  <c r="T15" i="38"/>
  <c r="S15" i="38" s="1"/>
  <c r="S53" i="38" s="1"/>
  <c r="T53" i="38" s="1"/>
  <c r="AF45" i="34"/>
  <c r="R15" i="38"/>
  <c r="Q15" i="38" s="1"/>
  <c r="Q53" i="38" s="1"/>
  <c r="R53" i="38" s="1"/>
  <c r="H15" i="38"/>
  <c r="G15" i="38" s="1"/>
  <c r="G53" i="38" s="1"/>
  <c r="H53" i="38" s="1"/>
  <c r="Z15" i="38"/>
  <c r="Y15" i="38" s="1"/>
  <c r="Y53" i="38" s="1"/>
  <c r="Z53" i="38" s="1"/>
  <c r="AF23" i="34"/>
  <c r="AF27" i="34"/>
  <c r="F15" i="38"/>
  <c r="E15" i="38" s="1"/>
  <c r="E53" i="38" s="1"/>
  <c r="AF43" i="34"/>
  <c r="T16" i="33"/>
  <c r="I13" i="33" s="1"/>
  <c r="AF47" i="34"/>
  <c r="AF29" i="34"/>
  <c r="AD43" i="38"/>
  <c r="AD49" i="38"/>
  <c r="L58" i="34"/>
  <c r="P57" i="34"/>
  <c r="L57" i="34"/>
  <c r="AC58" i="34"/>
  <c r="X58" i="34"/>
  <c r="AB57" i="34"/>
  <c r="N58" i="34"/>
  <c r="R57" i="34"/>
  <c r="P58" i="34"/>
  <c r="V58" i="34"/>
  <c r="T58" i="34"/>
  <c r="AD55" i="34"/>
  <c r="J58" i="34"/>
  <c r="H57" i="34"/>
  <c r="N57" i="34"/>
  <c r="H58" i="34"/>
  <c r="R58" i="34"/>
  <c r="AB58" i="34"/>
  <c r="V57" i="34"/>
  <c r="Z58" i="34"/>
  <c r="T57" i="34"/>
  <c r="J57" i="34"/>
  <c r="AD53" i="34"/>
  <c r="Z57" i="34"/>
  <c r="X57" i="34"/>
  <c r="F57" i="34"/>
  <c r="F58" i="34" s="1"/>
  <c r="AD15" i="34"/>
  <c r="AD57" i="34" s="1"/>
  <c r="AD58" i="34" s="1"/>
  <c r="AD17" i="34"/>
  <c r="AD19" i="34"/>
  <c r="AD39" i="34"/>
  <c r="AD51" i="34"/>
  <c r="AD27" i="34"/>
  <c r="AD21" i="34"/>
  <c r="AD45" i="34"/>
  <c r="AD47" i="38"/>
  <c r="AD23" i="38"/>
  <c r="AD37" i="34"/>
  <c r="AD37" i="38"/>
  <c r="AD25" i="34"/>
  <c r="AD35" i="38"/>
  <c r="AD31" i="38"/>
  <c r="N15" i="38"/>
  <c r="M15" i="38" s="1"/>
  <c r="M53" i="38" s="1"/>
  <c r="N53" i="38" s="1"/>
  <c r="AD29" i="38"/>
  <c r="P15" i="38"/>
  <c r="O15" i="38" s="1"/>
  <c r="O53" i="38" s="1"/>
  <c r="AD39" i="38"/>
  <c r="AD43" i="34"/>
  <c r="AD33" i="34"/>
  <c r="AF41" i="34"/>
  <c r="AF37" i="34"/>
  <c r="AD49" i="34"/>
  <c r="AD31" i="34"/>
  <c r="AD21" i="38"/>
  <c r="AD51" i="38"/>
  <c r="AD45" i="38"/>
  <c r="AF35" i="34"/>
  <c r="AD29" i="34"/>
  <c r="AF39" i="34"/>
  <c r="AF33" i="34"/>
  <c r="J8" i="9"/>
  <c r="G54" i="15"/>
  <c r="AD47" i="34"/>
  <c r="V15" i="38"/>
  <c r="U15" i="38" s="1"/>
  <c r="U53" i="38" s="1"/>
  <c r="AF25" i="34"/>
  <c r="AF21" i="34"/>
  <c r="AD25" i="38"/>
  <c r="AF51" i="34"/>
  <c r="AD41" i="38"/>
  <c r="AC54" i="38"/>
  <c r="AD15" i="38"/>
  <c r="AD17" i="38"/>
  <c r="AD19" i="38"/>
  <c r="J15" i="38"/>
  <c r="I15" i="38" s="1"/>
  <c r="I53" i="38" s="1"/>
  <c r="AD35" i="34"/>
  <c r="AD27" i="38"/>
  <c r="AF49" i="34"/>
  <c r="X15" i="38"/>
  <c r="W15" i="38" s="1"/>
  <c r="W53" i="38" s="1"/>
  <c r="AF31" i="34"/>
  <c r="AB15" i="38"/>
  <c r="AA15" i="38" s="1"/>
  <c r="AA53" i="38" s="1"/>
  <c r="AD23" i="34"/>
  <c r="K13" i="33" l="1"/>
  <c r="L13" i="33"/>
  <c r="P13" i="33" s="1"/>
  <c r="E54" i="38"/>
  <c r="F53" i="38"/>
  <c r="F54" i="38" s="1"/>
  <c r="G54" i="38"/>
  <c r="H54" i="38" s="1"/>
  <c r="AB53" i="38"/>
  <c r="P53" i="38"/>
  <c r="V53" i="38"/>
  <c r="J53" i="38"/>
  <c r="X53" i="38"/>
  <c r="AD53" i="38"/>
  <c r="AD54" i="38" s="1"/>
  <c r="I54" i="38" l="1"/>
  <c r="O13" i="33"/>
  <c r="Q13" i="33" s="1"/>
  <c r="M13" i="33"/>
  <c r="J54" i="38" l="1"/>
  <c r="K54" i="38"/>
  <c r="M54" i="38" l="1"/>
  <c r="L54" i="38"/>
  <c r="N54" i="38" l="1"/>
  <c r="O54" i="38"/>
  <c r="P54" i="38" l="1"/>
  <c r="Q54" i="38"/>
  <c r="R54" i="38" l="1"/>
  <c r="S54" i="38"/>
  <c r="T54" i="38" l="1"/>
  <c r="U54" i="38"/>
  <c r="V54" i="38" l="1"/>
  <c r="W54" i="38"/>
  <c r="X54" i="38" l="1"/>
  <c r="Y54" i="38"/>
  <c r="Z54" i="38" l="1"/>
  <c r="AA54" i="38"/>
  <c r="AB54" i="38" s="1"/>
</calcChain>
</file>

<file path=xl/sharedStrings.xml><?xml version="1.0" encoding="utf-8"?>
<sst xmlns="http://schemas.openxmlformats.org/spreadsheetml/2006/main" count="34351" uniqueCount="14648">
  <si>
    <t>M2</t>
  </si>
  <si>
    <t>1.0</t>
  </si>
  <si>
    <t>ASSOCIAÇÃO MATO-GROSSENSE
 DOS MUNICÍPIOS</t>
  </si>
  <si>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</si>
  <si>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</si>
  <si>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</si>
  <si>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</si>
  <si>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</si>
  <si>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</si>
  <si>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</si>
  <si>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</si>
  <si>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</si>
  <si>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</si>
  <si>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</si>
  <si>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</si>
  <si>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</si>
  <si>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</si>
  <si>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</si>
  <si>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</si>
  <si>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M3</t>
  </si>
  <si>
    <t>KG</t>
  </si>
  <si>
    <t>M</t>
  </si>
  <si>
    <t>UN</t>
  </si>
  <si>
    <t>Código</t>
  </si>
  <si>
    <t>Descrição</t>
  </si>
  <si>
    <t>Unidade</t>
  </si>
  <si>
    <t>Preço</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</si>
  <si>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</si>
  <si>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</si>
  <si>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</si>
  <si>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</si>
  <si>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</si>
  <si>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</si>
  <si>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</si>
  <si>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</si>
  <si>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</si>
  <si>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</si>
  <si>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</si>
  <si>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</si>
  <si>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</si>
  <si>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</si>
  <si>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</si>
  <si>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</si>
  <si>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</si>
  <si>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</si>
  <si>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</si>
  <si>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</si>
  <si>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</si>
  <si>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</si>
  <si>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</si>
  <si>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</si>
  <si>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</si>
  <si>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</si>
  <si>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</si>
  <si>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</si>
  <si>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</si>
  <si>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</si>
  <si>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74157/004</t>
  </si>
  <si>
    <t>TXKM</t>
  </si>
  <si>
    <t>T</t>
  </si>
  <si>
    <t>M3XKM</t>
  </si>
  <si>
    <t>L</t>
  </si>
  <si>
    <t>PENEIRAMENTO DE AREIA COM PENEIRA ELÉTRICA. AF_11/2015</t>
  </si>
  <si>
    <t>PENEIRAMENTO DE AREIA COM PENEIRA MANUAL. AF_11/2015</t>
  </si>
  <si>
    <t>ENSACAMENTO DE AREIA. AF_11/2015</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</si>
  <si>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</si>
  <si>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</si>
  <si>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</si>
  <si>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</si>
  <si>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</si>
  <si>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</si>
  <si>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</si>
  <si>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</si>
  <si>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</si>
  <si>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</si>
  <si>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</si>
  <si>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</si>
  <si>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</si>
  <si>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</si>
  <si>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</si>
  <si>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</si>
  <si>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</si>
  <si>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</si>
  <si>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</si>
  <si>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</si>
  <si>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</si>
  <si>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</si>
  <si>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</si>
  <si>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</si>
  <si>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</si>
  <si>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</si>
  <si>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</si>
  <si>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</si>
  <si>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</si>
  <si>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</si>
  <si>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</si>
  <si>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</si>
  <si>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</si>
  <si>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</si>
  <si>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</si>
  <si>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</si>
  <si>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</si>
  <si>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</si>
  <si>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</si>
  <si>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</si>
  <si>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</si>
  <si>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</si>
  <si>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</si>
  <si>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</si>
  <si>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</si>
  <si>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</si>
  <si>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</si>
  <si>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</si>
  <si>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</si>
  <si>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</si>
  <si>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</si>
  <si>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</si>
  <si>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</si>
  <si>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</si>
  <si>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</si>
  <si>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</si>
  <si>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</si>
  <si>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</si>
  <si>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</si>
  <si>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</si>
  <si>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</si>
  <si>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</si>
  <si>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</si>
  <si>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</si>
  <si>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</si>
  <si>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</si>
  <si>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</si>
  <si>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</si>
  <si>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</si>
  <si>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</si>
  <si>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</si>
  <si>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</si>
  <si>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</si>
  <si>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</si>
  <si>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</si>
  <si>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</si>
  <si>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</si>
  <si>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</si>
  <si>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</si>
  <si>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</si>
  <si>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</si>
  <si>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</si>
  <si>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</si>
  <si>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</si>
  <si>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</si>
  <si>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SC25KG</t>
  </si>
  <si>
    <t>1.1</t>
  </si>
  <si>
    <t>1.2</t>
  </si>
  <si>
    <t>1.3</t>
  </si>
  <si>
    <t>1.4</t>
  </si>
  <si>
    <t>M O V I M E N T O  D E   T E R R A</t>
  </si>
  <si>
    <t>F U N D A Ç Ã O</t>
  </si>
  <si>
    <t>P I S O S</t>
  </si>
  <si>
    <t xml:space="preserve">I N S T A L A Ç Õ E S   H I D R O S S A N I T Á R I A S </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</si>
  <si>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</si>
  <si>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</si>
  <si>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</si>
  <si>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</si>
  <si>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</si>
  <si>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</si>
  <si>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</si>
  <si>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</si>
  <si>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</si>
  <si>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</si>
  <si>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</si>
  <si>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</si>
  <si>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LASTRO DE SEIXO - INCLUSIVE LANÇAMENTO</t>
  </si>
  <si>
    <t xml:space="preserve"> </t>
  </si>
  <si>
    <t>SINAPI/SINFRA
ou Cot. De Mercado</t>
  </si>
  <si>
    <t>DATA</t>
  </si>
  <si>
    <t>NOME DA EMPRESA FORNECEDORA</t>
  </si>
  <si>
    <t>VALOR COTADO</t>
  </si>
  <si>
    <t>CNPJ</t>
  </si>
  <si>
    <t>TELEFONE</t>
  </si>
  <si>
    <t>CONTATO</t>
  </si>
  <si>
    <t>VALOR ACATADO MEDIANA</t>
  </si>
  <si>
    <t>COTAÇÃO</t>
  </si>
  <si>
    <t>PISO PODOTÁTIL 25X25 CM</t>
  </si>
  <si>
    <t>PISO PODOTÁTIL 25X25 CM (POR METRO QUADRADO)</t>
  </si>
  <si>
    <t>BOTANIC JARDIM</t>
  </si>
  <si>
    <t>06.276.241/0001-44</t>
  </si>
  <si>
    <t>Custos Unit. (R$)</t>
  </si>
  <si>
    <t>Custos Total (R$)</t>
  </si>
  <si>
    <t>01</t>
  </si>
  <si>
    <t>C O M P O S I Ç Ã O   D E   P R E Ç O S   /   E L É T R I C O S</t>
  </si>
  <si>
    <t>07.624.206/0001-31</t>
  </si>
  <si>
    <t>(65) 3027-9000</t>
  </si>
  <si>
    <t>(65) 3052-4200</t>
  </si>
  <si>
    <t>02</t>
  </si>
  <si>
    <t xml:space="preserve">FORNECIMENTO E INSTALAÇÃO DE SOLDA EXOTÉRMICA CABO-HASTE COM CARTUCHO Nº115 E MOLDE CABO 50mm²-  HASTE 5/8" </t>
  </si>
  <si>
    <t>(65) 3321-0009</t>
  </si>
  <si>
    <t>AMM PAI 001</t>
  </si>
  <si>
    <t>SINAPI ou Cot. De Mercado</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</si>
  <si>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</si>
  <si>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</si>
  <si>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</si>
  <si>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</si>
  <si>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</si>
  <si>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</si>
  <si>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</si>
  <si>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</si>
  <si>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</si>
  <si>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</si>
  <si>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</si>
  <si>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</si>
  <si>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</si>
  <si>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</si>
  <si>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</si>
  <si>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</si>
  <si>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</si>
  <si>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</si>
  <si>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</si>
  <si>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</si>
  <si>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</si>
  <si>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</si>
  <si>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</si>
  <si>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</si>
  <si>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</si>
  <si>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</si>
  <si>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</si>
  <si>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</si>
  <si>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</si>
  <si>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</si>
  <si>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</si>
  <si>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</si>
  <si>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</si>
  <si>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</si>
  <si>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</si>
  <si>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</si>
  <si>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</si>
  <si>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</si>
  <si>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</si>
  <si>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</si>
  <si>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</si>
  <si>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</si>
  <si>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</si>
  <si>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</si>
  <si>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</si>
  <si>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</si>
  <si>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</si>
  <si>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</si>
  <si>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</si>
  <si>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</si>
  <si>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</si>
  <si>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</si>
  <si>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</si>
  <si>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</si>
  <si>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</si>
  <si>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</si>
  <si>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</si>
  <si>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</si>
  <si>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</si>
  <si>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</si>
  <si>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</si>
  <si>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</si>
  <si>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</si>
  <si>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</si>
  <si>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</si>
  <si>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</si>
  <si>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</si>
  <si>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</si>
  <si>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</si>
  <si>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</si>
  <si>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</si>
  <si>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</si>
  <si>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</si>
  <si>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</si>
  <si>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</si>
  <si>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</si>
  <si>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</si>
  <si>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</si>
  <si>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</si>
  <si>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</si>
  <si>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</si>
  <si>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</si>
  <si>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</si>
  <si>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</si>
  <si>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</si>
  <si>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</si>
  <si>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</si>
  <si>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</si>
  <si>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</si>
  <si>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</si>
  <si>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</si>
  <si>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</si>
  <si>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</si>
  <si>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</si>
  <si>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</si>
  <si>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</si>
  <si>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</si>
  <si>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</si>
  <si>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</si>
  <si>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</si>
  <si>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</si>
  <si>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</si>
  <si>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</si>
  <si>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</si>
  <si>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</si>
  <si>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</si>
  <si>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</si>
  <si>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</si>
  <si>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</si>
  <si>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</si>
  <si>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</si>
  <si>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</si>
  <si>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</si>
  <si>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</si>
  <si>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ARGAMASSA PARA REVESTIMENTO DECORATIVO MONOCAMADA (MONOCAPA), MISTURA E PROJEÇÃO DE 2 M3/H DE ARGAMASSA. AF_06/2014</t>
  </si>
  <si>
    <t>ARGAMASSA INDUSTRIALIZADA PARA REVESTIMENTOS, MISTURA E PROJEÇÃO DE 2 M³/H DE ARGAMASSA. AF_06/2014</t>
  </si>
  <si>
    <t>OPERADOR DE DEMARCADORA DE FAIXAS COM ENCARGOS COMPLEMENTARES</t>
  </si>
  <si>
    <t>BLOCOS</t>
  </si>
  <si>
    <t>3.1</t>
  </si>
  <si>
    <t>3.2</t>
  </si>
  <si>
    <t>3.3</t>
  </si>
  <si>
    <t>3.4</t>
  </si>
  <si>
    <t>3.0</t>
  </si>
  <si>
    <t>E S Q U A D R I A S</t>
  </si>
  <si>
    <t>INSTALAÇÕES DE ÁGUA FRIA</t>
  </si>
  <si>
    <t>S P D A</t>
  </si>
  <si>
    <t>2.1</t>
  </si>
  <si>
    <t>COMPOSIÇÕES CIVIL</t>
  </si>
  <si>
    <t>COMPOSIÇÃO PAISAGISMO</t>
  </si>
  <si>
    <t>COMPOSIÇÕES HIDRO</t>
  </si>
  <si>
    <t>COMPOSIÇÕES INCÊNDIO</t>
  </si>
  <si>
    <t>2.0</t>
  </si>
  <si>
    <t>T O T A L   G E R A L</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</si>
  <si>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</si>
  <si>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</si>
  <si>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</si>
  <si>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</si>
  <si>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</si>
  <si>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</si>
  <si>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</si>
  <si>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</si>
  <si>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</si>
  <si>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</si>
  <si>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</si>
  <si>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</si>
  <si>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</si>
  <si>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</si>
  <si>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</si>
  <si>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</si>
  <si>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</si>
  <si>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</si>
  <si>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ADMINISTRAÇÃO DA OBRA</t>
  </si>
  <si>
    <t>LUCRO</t>
  </si>
  <si>
    <t>TRIBUTOS</t>
  </si>
  <si>
    <t>**ISS</t>
  </si>
  <si>
    <t>Cofins</t>
  </si>
  <si>
    <t>Pis</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</si>
  <si>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</si>
  <si>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</si>
  <si>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</si>
  <si>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</si>
  <si>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</si>
  <si>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</si>
  <si>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</si>
  <si>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</si>
  <si>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</si>
  <si>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</si>
  <si>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</si>
  <si>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</si>
  <si>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</si>
  <si>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</si>
  <si>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</si>
  <si>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</si>
  <si>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</si>
  <si>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</si>
  <si>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</si>
  <si>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GRUPO GERADOR REBOCÁVEL, POTÊNCIA 66 KVA, MOTOR A DIESEL - CHP DIURNO. AF_03/2016</t>
  </si>
  <si>
    <t>GRUPO GERADOR REBOCÁVEL, POTÊNCIA 66 KVA, MOTOR A DIESEL - CHI DIURNO. AF_03/2016</t>
  </si>
  <si>
    <t>GRUPO GERADOR REBOCÁVEL, POTÊNCIA 66 KVA, MOTOR A DIESEL - MANUTENÇÃO. AF_03/2016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</si>
  <si>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</si>
  <si>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</si>
  <si>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</si>
  <si>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</si>
  <si>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</si>
  <si>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</si>
  <si>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</si>
  <si>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REATERRO MANUAL DE VALAS COM COMPACTAÇÃO MECANIZADA. AF_04/2016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</si>
  <si>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</si>
  <si>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</si>
  <si>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</si>
  <si>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</si>
  <si>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</si>
  <si>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</si>
  <si>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</si>
  <si>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</si>
  <si>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</si>
  <si>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</si>
  <si>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</si>
  <si>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</si>
  <si>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</si>
  <si>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S E R V I Ç O S   I N I C I A I S</t>
  </si>
  <si>
    <t>A L V E N A R I A S ,   F E C H A M E N T O S   E   D I V I S Ó R I A S</t>
  </si>
  <si>
    <t>ALVENARIA</t>
  </si>
  <si>
    <t>C O B E R T U R A S</t>
  </si>
  <si>
    <t>P I N T U R A S</t>
  </si>
  <si>
    <t xml:space="preserve">S E R V I Ç O S   C O M P L E M E N T A R E S </t>
  </si>
  <si>
    <t>U R B A N I Z A Ç Ã O   E   S E R V I Ç O S   E X T E R N O S</t>
  </si>
  <si>
    <t>DECLARAÇÃO DE RESPONSABILIDADE</t>
  </si>
  <si>
    <t>ITENS RETIRADOS DA PLANILHA ORÇAMENTÁRIA</t>
  </si>
  <si>
    <t>ITENS ALTERADOS DA PLANILHA ORÇAMENTÁRIA</t>
  </si>
  <si>
    <t>EUNICE CRUZ</t>
  </si>
  <si>
    <t>JORGE</t>
  </si>
  <si>
    <t>OK</t>
  </si>
  <si>
    <t>(65) 3634-6949</t>
  </si>
  <si>
    <t>ADMINISTRAÇÃO LOCAL</t>
  </si>
  <si>
    <t>C O O R D E N A Ç Ã O   D E   P R O J E T O 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</si>
  <si>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</si>
  <si>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</si>
  <si>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</si>
  <si>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</si>
  <si>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</si>
  <si>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</si>
  <si>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</si>
  <si>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</si>
  <si>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</si>
  <si>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</si>
  <si>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</si>
  <si>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</si>
  <si>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</si>
  <si>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</si>
  <si>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</si>
  <si>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</si>
  <si>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</si>
  <si>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</si>
  <si>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</si>
  <si>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</si>
  <si>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</si>
  <si>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</si>
  <si>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</si>
  <si>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</si>
  <si>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</si>
  <si>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</si>
  <si>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</si>
  <si>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</si>
  <si>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</si>
  <si>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</si>
  <si>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</si>
  <si>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</si>
  <si>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</si>
  <si>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</si>
  <si>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</si>
  <si>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</si>
  <si>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</si>
  <si>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</si>
  <si>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</si>
  <si>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</si>
  <si>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</si>
  <si>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</si>
  <si>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</si>
  <si>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</si>
  <si>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</si>
  <si>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</si>
  <si>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</si>
  <si>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</si>
  <si>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</si>
  <si>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</si>
  <si>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</si>
  <si>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</si>
  <si>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</si>
  <si>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</si>
  <si>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</si>
  <si>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</si>
  <si>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</si>
  <si>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</si>
  <si>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</si>
  <si>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</si>
  <si>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</si>
  <si>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</si>
  <si>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</si>
  <si>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</si>
  <si>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</si>
  <si>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</si>
  <si>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</si>
  <si>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</si>
  <si>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</si>
  <si>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</si>
  <si>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</si>
  <si>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</si>
  <si>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</si>
  <si>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</si>
  <si>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</si>
  <si>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</si>
  <si>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</si>
  <si>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</si>
  <si>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COBERTURA EM POLICARBONATO, INCLUSIVE FIXAÇÃO</t>
  </si>
  <si>
    <t>VERDE QUE TE QUERO VERDE PAISAGISMO LTDA.</t>
  </si>
  <si>
    <t>01.920.495/0001-30</t>
  </si>
  <si>
    <t>(65)3322-6503</t>
  </si>
  <si>
    <t>VALDETE</t>
  </si>
  <si>
    <t>(65)3634-8947</t>
  </si>
  <si>
    <t>GRAÇAS PLANTAS E PAISAGISMO</t>
  </si>
  <si>
    <t>05.168.008/0001-85</t>
  </si>
  <si>
    <t>(65)3627-3515</t>
  </si>
  <si>
    <t>AMM CIV 001</t>
  </si>
  <si>
    <t>PIZZATTO</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</si>
  <si>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</si>
  <si>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</si>
  <si>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</si>
  <si>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</si>
  <si>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</si>
  <si>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</si>
  <si>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</si>
  <si>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</si>
  <si>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VALOR COTADO (R$)</t>
  </si>
  <si>
    <t>07.388.781/0001-82</t>
  </si>
  <si>
    <t>ELETROFIOS</t>
  </si>
  <si>
    <t>37.470.911/0001-92</t>
  </si>
  <si>
    <t>(65) 3618-2500</t>
  </si>
  <si>
    <t>PAULO</t>
  </si>
  <si>
    <t xml:space="preserve">C O M P O S I Ç Ã O   D E   P R E Ç O S   /   L Ó G I C A </t>
  </si>
  <si>
    <t>COMPOSIÇÕES ELE (LÓGICA)</t>
  </si>
  <si>
    <t>COMP. ELE (SPDA)</t>
  </si>
  <si>
    <t>COMP. ELÉTRICO</t>
  </si>
  <si>
    <t>HIDRÔMETRO DN 25 (¾ ), 5,0 M³/H FORNECIMENTO E INSTALAÇÃO.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</si>
  <si>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</si>
  <si>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</si>
  <si>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</si>
  <si>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01.426.365/0001-45</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</si>
  <si>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</si>
  <si>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</si>
  <si>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</si>
  <si>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</si>
  <si>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</si>
  <si>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</si>
  <si>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</si>
  <si>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</si>
  <si>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</si>
  <si>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</si>
  <si>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</si>
  <si>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</si>
  <si>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</si>
  <si>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A D M I N I S T R A Ç Ã O  O B R A</t>
  </si>
  <si>
    <t>RALO HEMISFÉRICO EM FERRO FUNDIDO, DN 100 MM, PARA LAJES/ CALHAS - FORNECIMENTO E INSTALAÇÃO</t>
  </si>
  <si>
    <t>FORNECIMENTO E INSTALAÇÃO DE LUMINÁRIA HERMÉTICA IP-65 PARA, COM DUAS LÂMPADAS TUBULARES DE LED DE 20W</t>
  </si>
  <si>
    <t>CADASTRISTA DE REDES DE AGUA E ESGOTO COM ENCARGOS COMPLEMENTARES</t>
  </si>
  <si>
    <t>BLOCO TERMINAL PARA TELEFONE 10 PARES - BLOCO M10</t>
  </si>
  <si>
    <t>ELETROCALHA PERFURADA GALVANIZADA DE 100 X 50 X 3000mm</t>
  </si>
  <si>
    <t>07.237.858/0001-13</t>
  </si>
  <si>
    <t>EMENDA INTERNA PARA ELETROCLHA PERFURADA GALVANIZADA DE 100 X 50 X 3000mm</t>
  </si>
  <si>
    <t>TERMINAL DE FECHAMENTO PARA ELETROCALHA PERFURADA GALVANIZADA DE 100 X 50 3000mm</t>
  </si>
  <si>
    <t>CENTRAL TELEFONICA PABX, CAPACIDADE DE 2 LINHAS E 8 RAMAIS</t>
  </si>
  <si>
    <t>GUIA DE CABOS HORIZONTAIS FECHADOS</t>
  </si>
  <si>
    <t xml:space="preserve">SWITCH COM 16 PORTAS DE 10/100/1000Mbps E CAPACIDADE DE ROUTING/SWITCHING DE 10 Gbps. SUPORTE AOS PROTOCOLOS  IEEE 802.3 10BASE-T, IEEE 802.3u 100BASE-TX e IEEE 802.3ab 1000BASE-T. </t>
  </si>
  <si>
    <t>TOMADA RJ45 DUPLA COM CAIXA DE PASSAGEM 4x2" PARA EMBUTIR NO PISO, COM ESPELHO CROMADO</t>
  </si>
  <si>
    <t>CANTONEIRA ZZ</t>
  </si>
  <si>
    <t>MINI RACK DE PAREDE COM UNIDADE DE VENTILAÇÃO, COM 12U PARA INSTALAÇÃO DE EQUIPAMENTOS</t>
  </si>
  <si>
    <t>ELETROCALHA PERFURADA GALVANIZADA DE 50 X 50 X 3000mm</t>
  </si>
  <si>
    <t>DIRCEU</t>
  </si>
  <si>
    <t>(65) 3046-4500</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</si>
  <si>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</si>
  <si>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</si>
  <si>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</si>
  <si>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</si>
  <si>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</si>
  <si>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</si>
  <si>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</si>
  <si>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</si>
  <si>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</si>
  <si>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</si>
  <si>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</si>
  <si>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</si>
  <si>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</si>
  <si>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</si>
  <si>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</si>
  <si>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</si>
  <si>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</si>
  <si>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</si>
  <si>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</si>
  <si>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</si>
  <si>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</si>
  <si>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</si>
  <si>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</si>
  <si>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</si>
  <si>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</si>
  <si>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</si>
  <si>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</si>
  <si>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</si>
  <si>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</si>
  <si>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</si>
  <si>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</si>
  <si>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</si>
  <si>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</si>
  <si>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</si>
  <si>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</si>
  <si>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</si>
  <si>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</si>
  <si>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RENATA CAMPOS</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</si>
  <si>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</si>
  <si>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</si>
  <si>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</si>
  <si>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</si>
  <si>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</si>
  <si>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</si>
  <si>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</si>
  <si>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</si>
  <si>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</si>
  <si>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</si>
  <si>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</si>
  <si>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</si>
  <si>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</si>
  <si>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</si>
  <si>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</si>
  <si>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</si>
  <si>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</si>
  <si>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</si>
  <si>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</si>
  <si>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</si>
  <si>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</si>
  <si>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</si>
  <si>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</si>
  <si>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</si>
  <si>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</si>
  <si>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</si>
  <si>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</si>
  <si>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</si>
  <si>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</si>
  <si>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</si>
  <si>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15.533.849/0001-06</t>
  </si>
  <si>
    <t>(44) 3222-4620</t>
  </si>
  <si>
    <t>FORNECIMENTO E INSTALAÇÃO - ALONGADOR</t>
  </si>
  <si>
    <t>FORNECIMENTO E INSTALAÇÃO - ROTAÇÃO DUPLA DIAGONAL</t>
  </si>
  <si>
    <t>FORNECIMENTO E INSTALAÇÃO - ROTAÇÃO VERTICAL DUPLA</t>
  </si>
  <si>
    <t>FORNECIMENTO E INSTALAÇÃO - SURF DUPLO</t>
  </si>
  <si>
    <t>FORNECIMENTO E INSTALAÇÃO - PRESSÃO DE PERNAS DUPLO</t>
  </si>
  <si>
    <t>FORNECIMENTO E INSTALAÇÃO - ESKI</t>
  </si>
  <si>
    <t>FORNECIMENTO E INSTALAÇÃO - SIMULADOR DE CAVALGADA</t>
  </si>
  <si>
    <t>FORNECIMENTO E INSTALAÇÃO - REMADA SENTADA</t>
  </si>
  <si>
    <t>FORNECIMENTO E INSTALAÇÃO - SIMULADOR DE CAMINHADA</t>
  </si>
  <si>
    <t>FORNECIMENTO E INSTALAÇÃO - MULTI EXERCITADOR</t>
  </si>
  <si>
    <t>FORNECIMENTO E INSTALAÇÃO - PLACA ORIENTATIVA</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</si>
  <si>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</si>
  <si>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</si>
  <si>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</si>
  <si>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</si>
  <si>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</si>
  <si>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</si>
  <si>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</si>
  <si>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</si>
  <si>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</si>
  <si>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</si>
  <si>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</si>
  <si>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</si>
  <si>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</si>
  <si>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</si>
  <si>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</si>
  <si>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</si>
  <si>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</si>
  <si>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</si>
  <si>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BASE PARA SUPORTE DOS EQUIPAMENTOS PARQUE INFANTIL - TIPO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</si>
  <si>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</si>
  <si>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</si>
  <si>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</si>
  <si>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</si>
  <si>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</si>
  <si>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</si>
  <si>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</si>
  <si>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</si>
  <si>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</si>
  <si>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</si>
  <si>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</si>
  <si>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</si>
  <si>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</si>
  <si>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</si>
  <si>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</si>
  <si>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</si>
  <si>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</si>
  <si>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</si>
  <si>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</si>
  <si>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</si>
  <si>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</si>
  <si>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PARQUE INFANTIL</t>
  </si>
  <si>
    <t xml:space="preserve">MODALIDADE: </t>
  </si>
  <si>
    <t xml:space="preserve">C O M P O S I Ç Ã O   D E   P R E Ç O S   - P L A Y G R O U N D </t>
  </si>
  <si>
    <t>CÁLCULO</t>
  </si>
  <si>
    <t>CONFORME PROJETO ARQUITETÔNICO</t>
  </si>
  <si>
    <t>PLAYGROUND</t>
  </si>
  <si>
    <t>ACADEMIA DA 3 IDADE</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</si>
  <si>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</si>
  <si>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</si>
  <si>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</si>
  <si>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</si>
  <si>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</si>
  <si>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</si>
  <si>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</si>
  <si>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</si>
  <si>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</si>
  <si>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</si>
  <si>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</si>
  <si>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</si>
  <si>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</si>
  <si>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</si>
  <si>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</si>
  <si>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</si>
  <si>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</si>
  <si>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</si>
  <si>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</si>
  <si>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</si>
  <si>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</si>
  <si>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</si>
  <si>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</si>
  <si>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</si>
  <si>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</si>
  <si>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</si>
  <si>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</si>
  <si>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</si>
  <si>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</si>
  <si>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</si>
  <si>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</si>
  <si>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</si>
  <si>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</si>
  <si>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</si>
  <si>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</si>
  <si>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</si>
  <si>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</si>
  <si>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</si>
  <si>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</si>
  <si>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</si>
  <si>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</si>
  <si>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</si>
  <si>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</si>
  <si>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</si>
  <si>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</si>
  <si>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</si>
  <si>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</si>
  <si>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</si>
  <si>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</si>
  <si>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</si>
  <si>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</si>
  <si>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</si>
  <si>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</si>
  <si>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</si>
  <si>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</si>
  <si>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</si>
  <si>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</si>
  <si>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</si>
  <si>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</si>
  <si>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</si>
  <si>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</si>
  <si>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</si>
  <si>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</si>
  <si>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</si>
  <si>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</si>
  <si>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</si>
  <si>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</si>
  <si>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</si>
  <si>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</si>
  <si>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</si>
  <si>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</si>
  <si>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</si>
  <si>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</si>
  <si>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</si>
  <si>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SANITÁRIO E VESTIÁRIO EM CANTEIRO DE OBRA EM CHAPA DE MADEIRA COMPENSADA, NÃO INCLUSO MOBILIÁRIO. AF_02/2016</t>
  </si>
  <si>
    <t>EXECUÇÃO DE DEPÓSITO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</si>
  <si>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</si>
  <si>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</si>
  <si>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</si>
  <si>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</si>
  <si>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</si>
  <si>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</si>
  <si>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</si>
  <si>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</si>
  <si>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</si>
  <si>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</si>
  <si>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</si>
  <si>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</si>
  <si>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</si>
  <si>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</si>
  <si>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</si>
  <si>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</si>
  <si>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</si>
  <si>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</si>
  <si>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</si>
  <si>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</si>
  <si>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</si>
  <si>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</si>
  <si>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</si>
  <si>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</si>
  <si>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</si>
  <si>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</si>
  <si>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</si>
  <si>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</si>
  <si>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</si>
  <si>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</si>
  <si>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</si>
  <si>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</si>
  <si>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</si>
  <si>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</si>
  <si>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</si>
  <si>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</si>
  <si>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</si>
  <si>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</si>
  <si>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</si>
  <si>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</si>
  <si>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</si>
  <si>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</si>
  <si>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</si>
  <si>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</si>
  <si>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</si>
  <si>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</si>
  <si>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</si>
  <si>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</si>
  <si>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</si>
  <si>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</si>
  <si>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</si>
  <si>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</si>
  <si>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</si>
  <si>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</si>
  <si>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</si>
  <si>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</si>
  <si>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</si>
  <si>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</si>
  <si>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</si>
  <si>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</si>
  <si>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</si>
  <si>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</si>
  <si>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</si>
  <si>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</si>
  <si>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</si>
  <si>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</si>
  <si>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</si>
  <si>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</si>
  <si>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</si>
  <si>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</si>
  <si>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</si>
  <si>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</si>
  <si>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</si>
  <si>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</si>
  <si>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</si>
  <si>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</si>
  <si>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</si>
  <si>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</si>
  <si>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</si>
  <si>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</si>
  <si>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</si>
  <si>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</si>
  <si>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</si>
  <si>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</si>
  <si>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</si>
  <si>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</si>
  <si>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</si>
  <si>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</si>
  <si>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</si>
  <si>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</si>
  <si>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</si>
  <si>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</si>
  <si>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</si>
  <si>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</si>
  <si>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</si>
  <si>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</si>
  <si>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</si>
  <si>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</si>
  <si>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</si>
  <si>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</si>
  <si>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</si>
  <si>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</si>
  <si>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</si>
  <si>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</si>
  <si>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</si>
  <si>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</si>
  <si>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</si>
  <si>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</si>
  <si>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</si>
  <si>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</si>
  <si>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</si>
  <si>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</si>
  <si>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</si>
  <si>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</si>
  <si>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</si>
  <si>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</si>
  <si>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</si>
  <si>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</si>
  <si>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</si>
  <si>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</si>
  <si>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</si>
  <si>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</si>
  <si>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</si>
  <si>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</si>
  <si>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</si>
  <si>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</si>
  <si>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</si>
  <si>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</si>
  <si>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</si>
  <si>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</si>
  <si>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</si>
  <si>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</si>
  <si>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</si>
  <si>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</si>
  <si>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</si>
  <si>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</si>
  <si>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</si>
  <si>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</si>
  <si>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</si>
  <si>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</si>
  <si>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</si>
  <si>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</si>
  <si>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</si>
  <si>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</si>
  <si>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</si>
  <si>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</si>
  <si>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</si>
  <si>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</si>
  <si>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</si>
  <si>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</si>
  <si>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</si>
  <si>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</si>
  <si>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</si>
  <si>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</si>
  <si>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</si>
  <si>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</si>
  <si>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</si>
  <si>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</si>
  <si>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</si>
  <si>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</si>
  <si>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</si>
  <si>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</si>
  <si>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</si>
  <si>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</si>
  <si>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</si>
  <si>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</si>
  <si>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</si>
  <si>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</si>
  <si>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</si>
  <si>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</si>
  <si>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</si>
  <si>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</si>
  <si>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</si>
  <si>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</si>
  <si>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</si>
  <si>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</si>
  <si>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</si>
  <si>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</si>
  <si>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</si>
  <si>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</si>
  <si>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</si>
  <si>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</si>
  <si>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</si>
  <si>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</si>
  <si>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</si>
  <si>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</si>
  <si>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</si>
  <si>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</si>
  <si>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</si>
  <si>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</si>
  <si>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</si>
  <si>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</si>
  <si>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</si>
  <si>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</si>
  <si>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</si>
  <si>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</si>
  <si>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</si>
  <si>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</si>
  <si>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</si>
  <si>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</si>
  <si>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</si>
  <si>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</si>
  <si>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</si>
  <si>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</si>
  <si>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</si>
  <si>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</si>
  <si>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</si>
  <si>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</si>
  <si>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</si>
  <si>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</si>
  <si>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</si>
  <si>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</si>
  <si>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</si>
  <si>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</si>
  <si>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</si>
  <si>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</si>
  <si>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</si>
  <si>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</si>
  <si>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</si>
  <si>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</si>
  <si>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</si>
  <si>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</si>
  <si>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</si>
  <si>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</si>
  <si>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</si>
  <si>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</si>
  <si>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</si>
  <si>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</si>
  <si>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</si>
  <si>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</si>
  <si>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</si>
  <si>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</si>
  <si>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</si>
  <si>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</si>
  <si>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</si>
  <si>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</si>
  <si>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</si>
  <si>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</si>
  <si>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</si>
  <si>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</si>
  <si>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</si>
  <si>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</si>
  <si>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</si>
  <si>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</si>
  <si>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</si>
  <si>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</si>
  <si>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</si>
  <si>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</si>
  <si>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</si>
  <si>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</si>
  <si>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</si>
  <si>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</si>
  <si>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</si>
  <si>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</si>
  <si>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</si>
  <si>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</si>
  <si>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</si>
  <si>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</si>
  <si>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</si>
  <si>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</si>
  <si>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</si>
  <si>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</si>
  <si>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</si>
  <si>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</si>
  <si>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</si>
  <si>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</si>
  <si>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</si>
  <si>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</si>
  <si>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</si>
  <si>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</si>
  <si>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</si>
  <si>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</si>
  <si>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</si>
  <si>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</si>
  <si>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</si>
  <si>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</si>
  <si>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</si>
  <si>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</si>
  <si>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</si>
  <si>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</si>
  <si>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</si>
  <si>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</si>
  <si>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</si>
  <si>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</si>
  <si>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</si>
  <si>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</si>
  <si>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</si>
  <si>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</si>
  <si>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</si>
  <si>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</si>
  <si>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</si>
  <si>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</si>
  <si>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</si>
  <si>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</si>
  <si>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</si>
  <si>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</si>
  <si>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</si>
  <si>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</si>
  <si>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</si>
  <si>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</si>
  <si>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</si>
  <si>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</si>
  <si>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</si>
  <si>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</si>
  <si>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</si>
  <si>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</si>
  <si>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</si>
  <si>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</si>
  <si>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</si>
  <si>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</si>
  <si>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</si>
  <si>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</si>
  <si>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</si>
  <si>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</si>
  <si>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</si>
  <si>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</si>
  <si>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</si>
  <si>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</si>
  <si>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</si>
  <si>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</si>
  <si>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</si>
  <si>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</si>
  <si>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</si>
  <si>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</si>
  <si>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</si>
  <si>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</si>
  <si>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</si>
  <si>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</si>
  <si>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</si>
  <si>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</si>
  <si>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</si>
  <si>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</si>
  <si>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</si>
  <si>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</si>
  <si>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</si>
  <si>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</si>
  <si>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</si>
  <si>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</si>
  <si>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</si>
  <si>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</si>
  <si>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</si>
  <si>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</si>
  <si>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</si>
  <si>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</si>
  <si>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</si>
  <si>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</si>
  <si>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</si>
  <si>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</si>
  <si>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</si>
  <si>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</si>
  <si>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</si>
  <si>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</si>
  <si>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</si>
  <si>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</si>
  <si>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</si>
  <si>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</si>
  <si>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</si>
  <si>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</si>
  <si>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</si>
  <si>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</si>
  <si>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</si>
  <si>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</si>
  <si>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</si>
  <si>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</si>
  <si>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</si>
  <si>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</si>
  <si>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</si>
  <si>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</si>
  <si>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</si>
  <si>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</si>
  <si>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</si>
  <si>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</si>
  <si>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</si>
  <si>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</si>
  <si>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</si>
  <si>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</si>
  <si>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</si>
  <si>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</si>
  <si>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</si>
  <si>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</si>
  <si>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</si>
  <si>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</si>
  <si>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</si>
  <si>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</si>
  <si>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</si>
  <si>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</si>
  <si>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</si>
  <si>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</si>
  <si>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</si>
  <si>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</si>
  <si>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</si>
  <si>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</si>
  <si>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</si>
  <si>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</si>
  <si>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</si>
  <si>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</si>
  <si>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</si>
  <si>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</si>
  <si>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</si>
  <si>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</si>
  <si>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</si>
  <si>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</si>
  <si>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</si>
  <si>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</si>
  <si>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</si>
  <si>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</si>
  <si>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</si>
  <si>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</si>
  <si>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</si>
  <si>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</si>
  <si>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</si>
  <si>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</si>
  <si>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</si>
  <si>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</si>
  <si>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</si>
  <si>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</si>
  <si>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</si>
  <si>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</si>
  <si>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</si>
  <si>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</si>
  <si>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</si>
  <si>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</si>
  <si>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</si>
  <si>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</si>
  <si>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</si>
  <si>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</si>
  <si>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</si>
  <si>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</si>
  <si>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</si>
  <si>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</si>
  <si>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</si>
  <si>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</si>
  <si>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</si>
  <si>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</si>
  <si>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</si>
  <si>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</si>
  <si>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</si>
  <si>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</si>
  <si>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</si>
  <si>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</si>
  <si>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</si>
  <si>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</si>
  <si>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</si>
  <si>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</si>
  <si>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</si>
  <si>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</si>
  <si>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</si>
  <si>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</si>
  <si>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</si>
  <si>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</si>
  <si>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</si>
  <si>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</si>
  <si>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</si>
  <si>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</si>
  <si>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</si>
  <si>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</si>
  <si>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</si>
  <si>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</si>
  <si>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</si>
  <si>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</si>
  <si>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</si>
  <si>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</si>
  <si>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</si>
  <si>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</si>
  <si>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</si>
  <si>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</si>
  <si>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</si>
  <si>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</si>
  <si>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</si>
  <si>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</si>
  <si>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</si>
  <si>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</si>
  <si>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</si>
  <si>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</si>
  <si>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</si>
  <si>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</si>
  <si>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</si>
  <si>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</si>
  <si>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</si>
  <si>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</si>
  <si>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</si>
  <si>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</si>
  <si>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</si>
  <si>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</si>
  <si>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</si>
  <si>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</si>
  <si>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</si>
  <si>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</si>
  <si>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</si>
  <si>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</si>
  <si>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</si>
  <si>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</si>
  <si>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</si>
  <si>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</si>
  <si>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</si>
  <si>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</si>
  <si>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</si>
  <si>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</si>
  <si>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</si>
  <si>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</si>
  <si>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</si>
  <si>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</si>
  <si>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</si>
  <si>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</si>
  <si>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</si>
  <si>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</si>
  <si>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</si>
  <si>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</si>
  <si>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</si>
  <si>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</si>
  <si>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</si>
  <si>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</si>
  <si>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</si>
  <si>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</si>
  <si>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</si>
  <si>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</si>
  <si>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</si>
  <si>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</si>
  <si>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</si>
  <si>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</si>
  <si>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</si>
  <si>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</si>
  <si>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</si>
  <si>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</si>
  <si>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</si>
  <si>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</si>
  <si>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</si>
  <si>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</si>
  <si>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</si>
  <si>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</si>
  <si>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</si>
  <si>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</si>
  <si>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</si>
  <si>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</si>
  <si>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</si>
  <si>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</si>
  <si>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</si>
  <si>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</si>
  <si>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</si>
  <si>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</si>
  <si>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</si>
  <si>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</si>
  <si>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</si>
  <si>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</si>
  <si>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</si>
  <si>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</si>
  <si>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</si>
  <si>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</si>
  <si>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</si>
  <si>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</si>
  <si>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</si>
  <si>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</si>
  <si>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</si>
  <si>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</si>
  <si>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</si>
  <si>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</si>
  <si>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</si>
  <si>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</si>
  <si>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</si>
  <si>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</si>
  <si>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</si>
  <si>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</si>
  <si>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</si>
  <si>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</si>
  <si>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</si>
  <si>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MONTAGEM E DESMONTAGEM DE FÔRMA DE VIGA, ESCORAMENTO METÁLICO, PÉ-DIREITO DUPLO, EM CHAPA DE MADEIRA RESINADA, 6 UTILIZAÇÕES. AF_12/2015</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</si>
  <si>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</si>
  <si>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</si>
  <si>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</si>
  <si>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</si>
  <si>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</si>
  <si>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</si>
  <si>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</si>
  <si>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</si>
  <si>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</si>
  <si>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</si>
  <si>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</si>
  <si>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</si>
  <si>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</si>
  <si>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</si>
  <si>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</si>
  <si>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</si>
  <si>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</si>
  <si>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</si>
  <si>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TERMINAL OU CONECTOR DE PRESSAO - PARA CABO 35MM2 - FORNECIMENTO E INSTALACAO</t>
  </si>
  <si>
    <t>TERMINAL OU CONECTOR DE PRESSAO - PARA CABO 50MM2 - FORNECIMENTO E INSTALACAO</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</si>
  <si>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</si>
  <si>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</si>
  <si>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</si>
  <si>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</si>
  <si>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ENTRADA PROVISORIA DE ENERGIA ELETRICA AEREA TRIFASICA 40A EM POSTE MADEIRA</t>
  </si>
  <si>
    <t>TUBO PVC, SÉRIE R, ÁGUA PLUVIAL, DN 150 MM, FORNECIDO E INSTALADO EM CONDUTORES VERTICAIS DE ÁGUAS PLUVIAIS. AF_12/2014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</si>
  <si>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</si>
  <si>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</si>
  <si>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</si>
  <si>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</si>
  <si>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</si>
  <si>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</si>
  <si>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</si>
  <si>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</si>
  <si>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</si>
  <si>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</si>
  <si>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</si>
  <si>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</si>
  <si>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</si>
  <si>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</si>
  <si>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</si>
  <si>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</si>
  <si>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</si>
  <si>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</si>
  <si>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</si>
  <si>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</si>
  <si>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</si>
  <si>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JOELHO 90 GRAUS, PVC, SERIE NORMAL, ESGOTO PREDIAL, DN 150 MM, JUNTA ELÁSTICA, FORNECIDO E INSTALADO EM SUBCOLETOR AÉREO DE ESGOTO SANITÁRIO.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</si>
  <si>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</si>
  <si>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</si>
  <si>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</si>
  <si>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</si>
  <si>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</si>
  <si>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</si>
  <si>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</si>
  <si>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</si>
  <si>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</si>
  <si>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</si>
  <si>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</si>
  <si>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</si>
  <si>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</si>
  <si>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</si>
  <si>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</si>
  <si>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</si>
  <si>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</si>
  <si>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</si>
  <si>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</si>
  <si>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</si>
  <si>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</si>
  <si>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</si>
  <si>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</si>
  <si>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</si>
  <si>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</si>
  <si>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</si>
  <si>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</si>
  <si>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</si>
  <si>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</si>
  <si>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</si>
  <si>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</si>
  <si>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</si>
  <si>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</si>
  <si>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</si>
  <si>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</si>
  <si>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</si>
  <si>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</si>
  <si>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</si>
  <si>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</si>
  <si>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</si>
  <si>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</si>
  <si>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</si>
  <si>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</si>
  <si>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</si>
  <si>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</si>
  <si>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</si>
  <si>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</si>
  <si>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</si>
  <si>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</si>
  <si>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</si>
  <si>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</si>
  <si>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</si>
  <si>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</si>
  <si>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</si>
  <si>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</si>
  <si>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</si>
  <si>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</si>
  <si>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</si>
  <si>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</si>
  <si>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</si>
  <si>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</si>
  <si>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</si>
  <si>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</si>
  <si>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</si>
  <si>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</si>
  <si>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</si>
  <si>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</si>
  <si>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</si>
  <si>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</si>
  <si>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</si>
  <si>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</si>
  <si>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</si>
  <si>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</si>
  <si>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</si>
  <si>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</si>
  <si>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</si>
  <si>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</si>
  <si>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</si>
  <si>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</si>
  <si>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</si>
  <si>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</si>
  <si>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</si>
  <si>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</si>
  <si>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</si>
  <si>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</si>
  <si>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</si>
  <si>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</si>
  <si>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</si>
  <si>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</si>
  <si>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</si>
  <si>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</si>
  <si>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</si>
  <si>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</si>
  <si>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</si>
  <si>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</si>
  <si>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</si>
  <si>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</si>
  <si>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</si>
  <si>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</si>
  <si>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</si>
  <si>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</si>
  <si>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</si>
  <si>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</si>
  <si>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</si>
  <si>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</si>
  <si>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</si>
  <si>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</si>
  <si>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</si>
  <si>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</si>
  <si>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</si>
  <si>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</si>
  <si>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</si>
  <si>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</si>
  <si>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</si>
  <si>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</si>
  <si>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</si>
  <si>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</si>
  <si>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</si>
  <si>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</si>
  <si>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</si>
  <si>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</si>
  <si>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</si>
  <si>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</si>
  <si>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</si>
  <si>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</si>
  <si>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</si>
  <si>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</si>
  <si>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</si>
  <si>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</si>
  <si>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</si>
  <si>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</si>
  <si>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</si>
  <si>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</si>
  <si>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</si>
  <si>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</si>
  <si>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</si>
  <si>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</si>
  <si>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</si>
  <si>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EXECUÇÃO DE PASSEIO (CALÇADA) OU PISO DE CONCRETO COM CONCRETO MOLDADO IN LOCO, FEITO EM OBRA, ACABAMENTO CONVENCIONAL, NÃO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</si>
  <si>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</si>
  <si>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</si>
  <si>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</si>
  <si>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</si>
  <si>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</si>
  <si>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</si>
  <si>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</si>
  <si>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</si>
  <si>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</si>
  <si>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</si>
  <si>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</si>
  <si>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</si>
  <si>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</si>
  <si>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</si>
  <si>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</si>
  <si>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</si>
  <si>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</si>
  <si>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</si>
  <si>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</si>
  <si>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</si>
  <si>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</si>
  <si>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</si>
  <si>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</si>
  <si>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</si>
  <si>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</si>
  <si>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</si>
  <si>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</si>
  <si>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</si>
  <si>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</si>
  <si>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</si>
  <si>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</si>
  <si>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</si>
  <si>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</si>
  <si>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</si>
  <si>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</si>
  <si>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</si>
  <si>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</si>
  <si>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</si>
  <si>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</si>
  <si>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</si>
  <si>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</si>
  <si>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</si>
  <si>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</si>
  <si>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</si>
  <si>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</si>
  <si>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</si>
  <si>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</si>
  <si>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</si>
  <si>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</si>
  <si>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</si>
  <si>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</si>
  <si>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</si>
  <si>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</si>
  <si>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</si>
  <si>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</si>
  <si>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</si>
  <si>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</si>
  <si>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</si>
  <si>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</si>
  <si>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</si>
  <si>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</si>
  <si>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</si>
  <si>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SERVIÇOS TÉCNICOS ESPECIALIZADOS PARA ACOMPANHAMENTO DE EXECUÇÃO DE FUNDAÇÕES PROFUNDAS E ESTRUTURAS DE CONTENÇÃO</t>
  </si>
  <si>
    <t>C O M P O S I Ç Ã O   D E   P R E Ç O S  /  E S T R U T U R A L</t>
  </si>
  <si>
    <t>AMM EST 001</t>
  </si>
  <si>
    <t>SITE: www.amm.org.br   -   e-mail: centraldeprojetosamm@gmail.com
 AV. RUBENS DE MENDONÇA Nº 3.920 - CEP: 78,000-070 - CUIABÁ - MT  
FONE: (65) 2123-1200  -  FAX: 2123-1251</t>
  </si>
  <si>
    <t>PERFURATRIZ ROTATIVA SOBRE ESTEIRA, TORQUE MAXIMO 2500 KGM, POTENCIA 110 HP, MOTOR DIESEL - MATERIAIS NA OPERAÇÃO. AF_05/2017</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</si>
  <si>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</si>
  <si>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</si>
  <si>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</si>
  <si>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</si>
  <si>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</si>
  <si>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</si>
  <si>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</si>
  <si>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</si>
  <si>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</si>
  <si>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</si>
  <si>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</si>
  <si>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</si>
  <si>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</si>
  <si>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</si>
  <si>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</si>
  <si>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</si>
  <si>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</si>
  <si>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</si>
  <si>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</si>
  <si>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</si>
  <si>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</si>
  <si>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</si>
  <si>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</si>
  <si>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</si>
  <si>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</si>
  <si>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</si>
  <si>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</si>
  <si>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</si>
  <si>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</si>
  <si>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</si>
  <si>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</si>
  <si>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</si>
  <si>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</si>
  <si>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</si>
  <si>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</si>
  <si>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</si>
  <si>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</si>
  <si>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</si>
  <si>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</si>
  <si>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</si>
  <si>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</si>
  <si>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</si>
  <si>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</si>
  <si>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</si>
  <si>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</si>
  <si>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</si>
  <si>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</si>
  <si>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</si>
  <si>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</si>
  <si>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</si>
  <si>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</si>
  <si>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</si>
  <si>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</si>
  <si>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</si>
  <si>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</si>
  <si>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</si>
  <si>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</si>
  <si>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</si>
  <si>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</si>
  <si>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</si>
  <si>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</si>
  <si>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</si>
  <si>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</si>
  <si>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</si>
  <si>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</si>
  <si>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</si>
  <si>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</si>
  <si>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</si>
  <si>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</si>
  <si>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</si>
  <si>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</si>
  <si>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</si>
  <si>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</si>
  <si>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</si>
  <si>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</si>
  <si>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</si>
  <si>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</si>
  <si>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</si>
  <si>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</si>
  <si>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</si>
  <si>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</si>
  <si>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</si>
  <si>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</si>
  <si>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</si>
  <si>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</si>
  <si>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</si>
  <si>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</si>
  <si>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</si>
  <si>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</si>
  <si>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</si>
  <si>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</si>
  <si>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</si>
  <si>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</si>
  <si>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</si>
  <si>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</si>
  <si>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</si>
  <si>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</si>
  <si>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</si>
  <si>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</si>
  <si>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</si>
  <si>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</si>
  <si>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</si>
  <si>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</si>
  <si>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</si>
  <si>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</si>
  <si>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</si>
  <si>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</si>
  <si>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</si>
  <si>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</si>
  <si>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</si>
  <si>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</si>
  <si>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</si>
  <si>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</si>
  <si>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</si>
  <si>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</si>
  <si>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</si>
  <si>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</si>
  <si>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</si>
  <si>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</si>
  <si>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</si>
  <si>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</si>
  <si>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</si>
  <si>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</si>
  <si>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</si>
  <si>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 COMPOSIÇÃO BASEADA NO MANUAL DE INSTALAÇÃO ABAIXO</t>
  </si>
  <si>
    <t>MEMORIA DE CÁLCULO</t>
  </si>
  <si>
    <t>MEMÓRIAL DE CÁLCULO (ALONGADOR)</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</si>
  <si>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</si>
  <si>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</si>
  <si>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</si>
  <si>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</si>
  <si>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</si>
  <si>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</si>
  <si>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</si>
  <si>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(ESKI INDIVIDUAL)</t>
  </si>
  <si>
    <t>(0,30*0,30*0,6)*2</t>
  </si>
  <si>
    <t>MEMÓRIAL DE CÁLCULO (SIMULADOR DE CAVALGADA)</t>
  </si>
  <si>
    <t>(0,30*0,30*0,60)*2</t>
  </si>
  <si>
    <t>MEMÓRIAL DE CÁLCULO (REMADA SENTADA)</t>
  </si>
  <si>
    <t>MEMÓRIAL DE CÁLCULO (SIMULADOR DE CAMINHADA)</t>
  </si>
  <si>
    <t>(0,30*0,30*0,30)*3</t>
  </si>
  <si>
    <t>(0,30*0,30*0,30)*4</t>
  </si>
  <si>
    <t>AMM EST 002</t>
  </si>
  <si>
    <t>PADRÃO DE ENTRADA DE ENERGIA CATEGORIA "T6" (ENERGISA)</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</si>
  <si>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</si>
  <si>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</si>
  <si>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</si>
  <si>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</si>
  <si>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</si>
  <si>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</si>
  <si>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</si>
  <si>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</si>
  <si>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</si>
  <si>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</si>
  <si>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10,0 MM - MONTAGEM. AF_12/2015</t>
  </si>
  <si>
    <t>AMM CIV 002</t>
  </si>
  <si>
    <t>AMM CIV 003</t>
  </si>
  <si>
    <t>AMM CIV 004</t>
  </si>
  <si>
    <t>AMM CIV 005</t>
  </si>
  <si>
    <t>AMM CIV 006</t>
  </si>
  <si>
    <t>AMM CIV 007</t>
  </si>
  <si>
    <t>AMM CIV 008</t>
  </si>
  <si>
    <t>AMM CIV 009</t>
  </si>
  <si>
    <t>FABRICAÇÃO DE FÔRMA PARA PILARES CIRCULARES, EM CHAPA DE MADEIRA COMPENSADA RESINADA. AF_06/2017</t>
  </si>
  <si>
    <t>FABRICAÇÃO, MONTAGEM E DESMONTAGEM DE FÔRMA PARA BLOCO DE COROAMENTO, EM MADEIRA SERRADA, E=25 MM, 4 UTILIZAÇÕES. AF_06/2017</t>
  </si>
  <si>
    <t>ARMAÇÃO DE BLOCO, VIGA BALDRAME E SAPATA UTILIZANDO AÇO CA-60 DE 5 MM - MONTAGEM.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</si>
  <si>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</si>
  <si>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</si>
  <si>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</si>
  <si>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</si>
  <si>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</si>
  <si>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</si>
  <si>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</si>
  <si>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</si>
  <si>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</si>
  <si>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</si>
  <si>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LASTRO DE CONCRETO MAGRO, APLICADO EM BLOCOS DE COROAMENTO OU SAPATAS, ESPESSURA DE 5 CM. AF_08/2017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</si>
  <si>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</si>
  <si>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</si>
  <si>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</si>
  <si>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</si>
  <si>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</si>
  <si>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</si>
  <si>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</si>
  <si>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</si>
  <si>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</si>
  <si>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</si>
  <si>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</si>
  <si>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</si>
  <si>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</si>
  <si>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</si>
  <si>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</si>
  <si>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</si>
  <si>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</si>
  <si>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</si>
  <si>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</si>
  <si>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</si>
  <si>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</si>
  <si>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</si>
  <si>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</si>
  <si>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</si>
  <si>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</si>
  <si>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</si>
  <si>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</si>
  <si>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</si>
  <si>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</si>
  <si>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</si>
  <si>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</si>
  <si>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</si>
  <si>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</si>
  <si>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</si>
  <si>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</si>
  <si>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</si>
  <si>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</si>
  <si>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</si>
  <si>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</si>
  <si>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</si>
  <si>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</si>
  <si>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</si>
  <si>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</si>
  <si>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</si>
  <si>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</si>
  <si>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</si>
  <si>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</si>
  <si>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08.374.053/0001-84</t>
  </si>
  <si>
    <t>(44) 3029-4410</t>
  </si>
  <si>
    <t>C O M P O S I Ç Ã O   D E   P R E Ç O S  /  H I D R O S S A N I T Á R I A S</t>
  </si>
  <si>
    <t>(65) 3025-4300</t>
  </si>
  <si>
    <t>FORNECIMENTO E INSTALAÇÃO DE SUSPENSÃO VERTICAL PARA ELETROCALHA PERFURADA 50 X 50 mm</t>
  </si>
  <si>
    <t>SUSPENSÃO VERTICAL PARA ELETROCALHA PERFURADA 50 X 50 mm</t>
  </si>
  <si>
    <t>T HORIZONTAL PARA ELETROCALHA PERFURADA GALVANIZADA DE 50 X 50 X 3000mm</t>
  </si>
  <si>
    <t>ELETROCALHA PERFURADA GALVANIZADA DE 200 X 100 X 3000mm</t>
  </si>
  <si>
    <t>MEMÓRIA DE CÁLCULO - ADMINISTRAÇÃO LOCAL</t>
  </si>
  <si>
    <t>PISO TÁTIL DIRECIONAL E/OU ALERTA, DE CONCRETO, COLORIDO, P/DEFICIENTES VISUAIS, DIMENSÕES 25X25CM, APLICADO COM ARGAMASSA  AC-II, REJUNTADO</t>
  </si>
  <si>
    <t>LIFE EQUIPAMENTOS</t>
  </si>
  <si>
    <t>15.059.145/0001-35</t>
  </si>
  <si>
    <t>(11)4021-1999</t>
  </si>
  <si>
    <t>ELEN</t>
  </si>
  <si>
    <t>TCM ESPORTES</t>
  </si>
  <si>
    <t>AMM SPDA 001</t>
  </si>
  <si>
    <t>AMM SPDA 002</t>
  </si>
  <si>
    <t>AMM SPDA 003</t>
  </si>
  <si>
    <t>AMM SPDA 004</t>
  </si>
  <si>
    <t>AMM SPDA 005</t>
  </si>
  <si>
    <t>AMM SPDA 006</t>
  </si>
  <si>
    <t>AMM SPDA 007</t>
  </si>
  <si>
    <t>AMM SPDA 008</t>
  </si>
  <si>
    <t>AMM SPDA 009</t>
  </si>
  <si>
    <t>AMM SPDA 010</t>
  </si>
  <si>
    <t>AMM SPDA 011</t>
  </si>
  <si>
    <t>SAPATA OU BLOCO</t>
  </si>
  <si>
    <t>RADIER</t>
  </si>
  <si>
    <t>**COMPOSIÇÃO BASEADA NAS TABELA CIDADES-MT (FEV/14) "CP0187"</t>
  </si>
  <si>
    <t>Mão de Obra do Eletricista e Auxiliar:</t>
  </si>
  <si>
    <t xml:space="preserve">C O M P O S I Ç Ã O   D E   P R E Ç O S   /   I L U M I N A Ç Ã O  P Ú B L I C A </t>
  </si>
  <si>
    <t>SINAPI/SINFRA ou Cot.
De Mercado</t>
  </si>
  <si>
    <t xml:space="preserve"> CAIXA DE PROTEÇÃO METÁLICA PARA COMANDO E PROTEÇÃO DA ILUMINAÇÃO PÚBLICA</t>
  </si>
  <si>
    <t>CONECTOR TIPO CUNHA CN13 VERMELHO</t>
  </si>
  <si>
    <t>CABO MULTIPLEXADO DE ALUMÍNIO QUADRIPLEX 3X1X16+16, COM ISOLAÇÃO XLPE (veias coloridas)</t>
  </si>
  <si>
    <t>FORNECIMENTO E INSTALAÇÃO DA ESTRUTURA N1-T-PR PARA POSTO DE TRANSFORMAÇÃO DE 15KVA, 13.8KV, 220/127V, EM POSTE DE CONCRETO DT 11/600 (EXCETO POSTE E TRANSFORMADOR)</t>
  </si>
  <si>
    <t>** COMPOSIÇÃO BASEADA NO BOLETIM SEDOP/PA (OUT/15) "170470"</t>
  </si>
  <si>
    <t>COT-01</t>
  </si>
  <si>
    <t>MÃO FRANCESA PLANA 619MM</t>
  </si>
  <si>
    <t>COT-02</t>
  </si>
  <si>
    <t xml:space="preserve">ISOLADOR PILAR 110KV; </t>
  </si>
  <si>
    <t>04.181.115/0001-80</t>
  </si>
  <si>
    <t>COT-03</t>
  </si>
  <si>
    <t xml:space="preserve"> PINO AUTO-TRAVANTE –140 MM PARA ISOLADOR PILAR; </t>
  </si>
  <si>
    <t>COT-04</t>
  </si>
  <si>
    <t>ELO FUSÍVEL DE ALTA TENSÃO 1H</t>
  </si>
  <si>
    <t>COT-05</t>
  </si>
  <si>
    <t>PARA RAIO DE PORCELANA 12KV</t>
  </si>
  <si>
    <t>COT-06</t>
  </si>
  <si>
    <t>PROTETOR DE BUCHA DE TRANSFORMADOR AT 15KV</t>
  </si>
  <si>
    <t>COT-07</t>
  </si>
  <si>
    <t>LAÇO PRE-FORMADO DE TOPO</t>
  </si>
  <si>
    <t>COT-08</t>
  </si>
  <si>
    <t>CONECTOR DERIVAÇÃO PARA LINHA VIVA 6-250</t>
  </si>
  <si>
    <t>COT-09</t>
  </si>
  <si>
    <t xml:space="preserve"> CONECTOR DERIVAÇÃO CUNHA ESTRIBO NORMAL 2-4 (VERMELHO);</t>
  </si>
  <si>
    <t>COT-10</t>
  </si>
  <si>
    <t>CONECTOR DERIVAÇÃO TIPO CUNHA - AMP TIPO II</t>
  </si>
  <si>
    <t>COMP-11</t>
  </si>
  <si>
    <t>CABO DE AÇO GALVANIZADO 6,4 MM</t>
  </si>
  <si>
    <t>COT-12</t>
  </si>
  <si>
    <t xml:space="preserve"> CARTUCHO PARA CONECTOR CUNHA VERMELHO; </t>
  </si>
  <si>
    <t>COT-13</t>
  </si>
  <si>
    <t>CABO DE ALUMÍNIO CA, COBERTO COM POLIETILENO RETICULADO (XLPE) 8,7/15kV, 16MM²</t>
  </si>
  <si>
    <t>AMANDA</t>
  </si>
  <si>
    <t>BRAÇO DE AÇO GALVANIZADO C= 3 M PARA ILUMINÇÃO PUBLICA</t>
  </si>
  <si>
    <t>FORNECIMENTO E INSTALAÇÃO DA ESTRUTURA N3-T-PR PARA POSTO DE TRANSFORMAÇÃO DE 15KVA, 13.8KV, 220/127V, EM POSTE DE CONCRETO DT 11/600 (EXCETO POSTE E TRANSFORMADOR)</t>
  </si>
  <si>
    <t>MANILHA SAPATILHA</t>
  </si>
  <si>
    <t>FORNECIMENTO E INSTALAÇÃO DA ESTRUTURA N1 (EXCLUSIVE POSTE)</t>
  </si>
  <si>
    <t>FORNECIMENTO E INSTALAÇÃO DA ESTRUTURA N3 (EXCLUSIVE POSTE)</t>
  </si>
  <si>
    <t>COT-14</t>
  </si>
  <si>
    <t>SAPATILHA</t>
  </si>
  <si>
    <t>FORNECIMENTO E INSTALAÇÃO DE  CABO DE COBRE PP 3 x 2,5 MM2  0,6/1 KV</t>
  </si>
  <si>
    <t>**COMPOSIÇÃO BASEADA NAS TABELAS SINAPI (OUT/17) "88544"</t>
  </si>
  <si>
    <t>UM</t>
  </si>
  <si>
    <t>CABO MULTIPLEXADO DE ALUMÍNIO QUADRIPLEX 3X1X25+25, COM ISOLAÇÃO XLPE (VEIAS COLORIDAS)</t>
  </si>
  <si>
    <t>**COMPOSIÇÃO DA MÃO DE OBRA BASEADA NO BOLETIM ORSE (SET/17) "83377"</t>
  </si>
  <si>
    <t>**COMPOSIÇÃO DA MÃO DE OBRA BASEADA NO BOLETIM  SINAPI (OUT/17) "83401"</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</si>
  <si>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</si>
  <si>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 COMPOSIÇÃO BASEADA NO BOLETIM SEDOP/PA (OUT/16) "170470"</t>
  </si>
  <si>
    <t>COMPOSIÇÕES ELE (LUMINAÇÃO PÚBLICA)</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</si>
  <si>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</si>
  <si>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</si>
  <si>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</si>
  <si>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</si>
  <si>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</si>
  <si>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</si>
  <si>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</si>
  <si>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</si>
  <si>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</si>
  <si>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</si>
  <si>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</si>
  <si>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</si>
  <si>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</si>
  <si>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</si>
  <si>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</si>
  <si>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</si>
  <si>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</si>
  <si>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</si>
  <si>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</si>
  <si>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</si>
  <si>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</si>
  <si>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</si>
  <si>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</si>
  <si>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</si>
  <si>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</si>
  <si>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</si>
  <si>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</si>
  <si>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</si>
  <si>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</si>
  <si>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</si>
  <si>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</si>
  <si>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</si>
  <si>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</si>
  <si>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</si>
  <si>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</si>
  <si>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</si>
  <si>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</si>
  <si>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</si>
  <si>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</si>
  <si>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</si>
  <si>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</si>
  <si>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</si>
  <si>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</si>
  <si>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</si>
  <si>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</si>
  <si>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</si>
  <si>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</si>
  <si>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</si>
  <si>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</si>
  <si>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</si>
  <si>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</si>
  <si>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</si>
  <si>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</si>
  <si>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</si>
  <si>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</si>
  <si>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</si>
  <si>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</si>
  <si>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</si>
  <si>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</si>
  <si>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</si>
  <si>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</si>
  <si>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</si>
  <si>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</si>
  <si>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</si>
  <si>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</si>
  <si>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</si>
  <si>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</si>
  <si>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</si>
  <si>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</si>
  <si>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</si>
  <si>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</si>
  <si>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</si>
  <si>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</si>
  <si>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</si>
  <si>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</si>
  <si>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</si>
  <si>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</si>
  <si>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</si>
  <si>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</si>
  <si>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</si>
  <si>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</si>
  <si>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</si>
  <si>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</si>
  <si>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</si>
  <si>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</si>
  <si>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</si>
  <si>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</si>
  <si>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</si>
  <si>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</si>
  <si>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</si>
  <si>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atualizado</t>
  </si>
  <si>
    <t>ATUALIZADO</t>
  </si>
  <si>
    <t>ATUALIZADA</t>
  </si>
  <si>
    <t>(65) 3051-7844</t>
  </si>
  <si>
    <t>DANIEL</t>
  </si>
  <si>
    <t>atualizada</t>
  </si>
  <si>
    <t>15.987.913/0001-10</t>
  </si>
  <si>
    <t>Recursos do Estado</t>
  </si>
  <si>
    <t>Contrapartida</t>
  </si>
  <si>
    <t>ARRENDODAR</t>
  </si>
  <si>
    <t>SPDA</t>
  </si>
  <si>
    <t>EXECUÇÃO DE RESERVATÓRIO ELEVADO DE ÁGUA (1000 LITROS) EM CANTEIRO DE OBRA, APOIADO EM ESTRUTURA DE MADEIRA. AF_02/2016</t>
  </si>
  <si>
    <t>FIXAÇÃO (ENCUNHAMENTO) DE ALVENARIA DE VEDAÇÃO COM ESPUMA DE POLIURETANO EXPANSIVA. AF_03/2016</t>
  </si>
  <si>
    <t>HASTE DE ATERRAMENTO 5/8  PARA SPDA - FORNECIMENTO E INSTALAÇÃO. AF_12/2017</t>
  </si>
  <si>
    <t>KIT CAVALETE PARA MEDIÇÃO DE ÁGUA - ENTRADA INDIVIDUALIZADA, EM PVC DN 25 (¾), PARA 1 MEDIDOR  FORNECIMENTO E INSTALAÇÃO (EXCLUSIVE HIDRÔMETRO). AF_11/2016</t>
  </si>
  <si>
    <t>MASSA ÚNICA, PARA RECEBIMENTO DE PINTURA OU CERÂMICA, ARGAMASSA INDUSTRIALIZADA, PREPARO MECÂNICO, APLICADO COM EQUIPAMENTO DE MISTURA E PROJEÇÃO DE 1,5 M3/H EM FACES INTERNAS DE PAREDES, ESPESSURA DE 5MM, SEM EXECUÇÃO DE TALISCAS. AF_06/2014</t>
  </si>
  <si>
    <t>PREVENTIVOS DE INCÊNDIO</t>
  </si>
  <si>
    <t>(0,30*0,30*0,60)+(0,3*0,3*0,30)</t>
  </si>
  <si>
    <t>MONTAGEM E DESMONTAGEM DE FÔRMA DE PILARES CIRCULARES, COM ÁREA MÉDIA DAS SEÇÕES MAIOR QUE 0,28 M², PÉ-DIREITO DUPLO, EM MADEIRA, 2 UTILIZAÇÕES.  AF_06/2017</t>
  </si>
  <si>
    <t>ELETROATIVA</t>
  </si>
  <si>
    <t>06.110.817/0002-80</t>
  </si>
  <si>
    <t>DESONERADO</t>
  </si>
  <si>
    <t>NÃO DESONERADO</t>
  </si>
  <si>
    <t>MÍNIMO</t>
  </si>
  <si>
    <t>MÉDIO</t>
  </si>
  <si>
    <t>PINTURA ANTICORROSIVA DE DUTO METÁLICO. AF_04/2018</t>
  </si>
  <si>
    <t>(65) 3648-5700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</si>
  <si>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</si>
  <si>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</si>
  <si>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</si>
  <si>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</si>
  <si>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</si>
  <si>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</si>
  <si>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</si>
  <si>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</si>
  <si>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</si>
  <si>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</si>
  <si>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</si>
  <si>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</si>
  <si>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</si>
  <si>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</si>
  <si>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</si>
  <si>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</si>
  <si>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</si>
  <si>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</si>
  <si>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</si>
  <si>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</si>
  <si>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</si>
  <si>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</si>
  <si>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</si>
  <si>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</si>
  <si>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</si>
  <si>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</si>
  <si>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</si>
  <si>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</si>
  <si>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</si>
  <si>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</si>
  <si>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</si>
  <si>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</si>
  <si>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</si>
  <si>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</si>
  <si>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</si>
  <si>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</si>
  <si>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</si>
  <si>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</si>
  <si>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</si>
  <si>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</si>
  <si>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</si>
  <si>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</si>
  <si>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</si>
  <si>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</si>
  <si>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</si>
  <si>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</si>
  <si>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</si>
  <si>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</si>
  <si>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</si>
  <si>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</si>
  <si>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</si>
  <si>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</si>
  <si>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</si>
  <si>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</si>
  <si>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</si>
  <si>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</si>
  <si>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</si>
  <si>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</si>
  <si>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 xml:space="preserve">ELETRICA PARANA </t>
  </si>
  <si>
    <t>08.139.615/0001-05</t>
  </si>
  <si>
    <t>(65) 3388-0800</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</si>
  <si>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</si>
  <si>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</si>
  <si>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</si>
  <si>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</si>
  <si>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</si>
  <si>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</si>
  <si>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</si>
  <si>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</si>
  <si>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</si>
  <si>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</si>
  <si>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</si>
  <si>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</si>
  <si>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</si>
  <si>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</si>
  <si>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</si>
  <si>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</si>
  <si>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</si>
  <si>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</si>
  <si>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</si>
  <si>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</si>
  <si>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</si>
  <si>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</si>
  <si>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</si>
  <si>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</si>
  <si>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</si>
  <si>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FLOREIRA OU VIGA BALDRAME COM ARGAMASSA DE CIMENTO E AREIA, COM ADITIVO IMPERMEABILIZANTE, E = 2 CM. AF_06/2018</t>
  </si>
  <si>
    <t>MEMÓRIAL DE CÁLCULO (PLACA ORIENTATIVA)</t>
  </si>
  <si>
    <t>MEMÓRIAL DE CÁLCULO (MULTI EXERCITADOR)</t>
  </si>
  <si>
    <t>STRONGFER</t>
  </si>
  <si>
    <t>15.203.120/0001-63</t>
  </si>
  <si>
    <t>(47) 3370-0242</t>
  </si>
  <si>
    <t>Cot. A         (LIFE)</t>
  </si>
  <si>
    <t>Cot. B              (TCM)</t>
  </si>
  <si>
    <t>Cot. C (STRONGFER)</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</si>
  <si>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</si>
  <si>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</si>
  <si>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</si>
  <si>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</si>
  <si>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</si>
  <si>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</si>
  <si>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</si>
  <si>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</si>
  <si>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</si>
  <si>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</si>
  <si>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</si>
  <si>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</si>
  <si>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</si>
  <si>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</si>
  <si>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</si>
  <si>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</si>
  <si>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</si>
  <si>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</si>
  <si>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</si>
  <si>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</si>
  <si>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</si>
  <si>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</si>
  <si>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</si>
  <si>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</si>
  <si>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</si>
  <si>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</si>
  <si>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</si>
  <si>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</si>
  <si>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</si>
  <si>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</si>
  <si>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</si>
  <si>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</si>
  <si>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</si>
  <si>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</si>
  <si>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</si>
  <si>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</si>
  <si>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</si>
  <si>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</si>
  <si>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</si>
  <si>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</si>
  <si>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</si>
  <si>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</si>
  <si>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</si>
  <si>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</si>
  <si>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</si>
  <si>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</si>
  <si>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</si>
  <si>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</si>
  <si>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</si>
  <si>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</si>
  <si>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</si>
  <si>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</si>
  <si>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</si>
  <si>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</si>
  <si>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</si>
  <si>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</si>
  <si>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GUARDA-CORPO EM LAJE PÓS-DESFÔRMA, PARA ESTRUTURAS EM CONCRETO, COM ESCORAS DE MADEIRA ESTRONCADAS NA ESTRUTURA, TRAVESSÕES DE MADEIRA PREGADOS E FECHAMENTO EM TELA DE POLIPROPILENO PARA EDIFICAÇÕES ACIMA DE 4 PAV. (2 MONTAGENS POR OBRA). AF_11/2017</t>
  </si>
  <si>
    <t>EQUIPAMENTO</t>
  </si>
  <si>
    <t>CAIXA</t>
  </si>
  <si>
    <t>OUTROS</t>
  </si>
  <si>
    <t>AMM EST 003</t>
  </si>
  <si>
    <t>COMPOSIÇÕES ESTRUTURAL</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</si>
  <si>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</si>
  <si>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</si>
  <si>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</si>
  <si>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</si>
  <si>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</si>
  <si>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BRANEL</t>
  </si>
  <si>
    <t>M2XMES</t>
  </si>
  <si>
    <t xml:space="preserve">MXMES </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</si>
  <si>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</si>
  <si>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</si>
  <si>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CABO DE COBRE NU 35MM2 - FORNECIMENTO E INSTALACAO</t>
  </si>
  <si>
    <t>CABO DE COBRE NU 50MM2 - FORNECIMENTO E INSTALACAO</t>
  </si>
  <si>
    <t xml:space="preserve">BDI DIFERENCIADO CONFORME ACÓRDÃO Nº 2622/2013 – TCU – Plenário </t>
  </si>
  <si>
    <t>ASSOCIAÇÃO MATO-GROSSENSE DOS MUNICÍPIOS</t>
  </si>
  <si>
    <t>COORDENAÇÃO DE PROJETOS</t>
  </si>
  <si>
    <t>SITE: amm.org.br   -   E-mail: pavimentacaoamm@gmail.com</t>
  </si>
  <si>
    <t>FONE: (65) 2123-1200  -  FAX: 2123-1251</t>
  </si>
  <si>
    <t>INVESTIMENTO</t>
  </si>
  <si>
    <t>CÁLCULO DO QUADRO DE COMPOSIÇÃO DE INVESTIMENTOS - Q.C.I</t>
  </si>
  <si>
    <t>MEMORIAL DE CÁLCULO</t>
  </si>
  <si>
    <t>AV. RUBENS DE MENDONÇA Nº 3.920 - CEP: 78.049-938 - CUIABÁ - MT</t>
  </si>
  <si>
    <t>CRONOGRAMA FÍSICO-FINANCEIRO</t>
  </si>
  <si>
    <t>FORNECIMENTO DE ESTRUTURA METÁLICA  COM UTILIZAÇÃO DE PERFIS EM AÇO ASTM A36</t>
  </si>
  <si>
    <t xml:space="preserve">MONTAGEM DE ESTRUTURA METÁLICA </t>
  </si>
  <si>
    <t xml:space="preserve">PLUG MAIS </t>
  </si>
  <si>
    <t>25.211.602/0001-19</t>
  </si>
  <si>
    <t>GUARDA-CORPO PANORÂMICO COM PERFIS DE ALUMÍNIO E VIDRO LAMINADO 8 MM, FIXADO COM CHUMBADOR MECÂNICO. AF_04/2019_P</t>
  </si>
  <si>
    <t>GRADIL EM FERRO FIXADO EM VÃOS DE JANELAS, FORMADO POR BARRAS CHATAS DE 25X4,8 MM. AF_04/2019</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</si>
  <si>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</si>
  <si>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</si>
  <si>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</si>
  <si>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</si>
  <si>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</si>
  <si>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</si>
  <si>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</si>
  <si>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</si>
  <si>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</si>
  <si>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</si>
  <si>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</si>
  <si>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</si>
  <si>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</si>
  <si>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</si>
  <si>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</si>
  <si>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</si>
  <si>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</si>
  <si>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</si>
  <si>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</si>
  <si>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</si>
  <si>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</si>
  <si>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</si>
  <si>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</si>
  <si>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</si>
  <si>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</si>
  <si>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</si>
  <si>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AV. RUBENS DE MENDONÇA Nº 3.920 - CEP: 78,000-070 - CUIABÁ - MT</t>
  </si>
  <si>
    <t xml:space="preserve">DATA: </t>
  </si>
  <si>
    <t>MOBILIZAÇÃO E DESMOBILIZAÇÃO DO BATE ESTACA</t>
  </si>
  <si>
    <t>EQUIPAMENTOS DE GRANDE PORTE</t>
  </si>
  <si>
    <t>ORIGEM</t>
  </si>
  <si>
    <t>DESTINO</t>
  </si>
  <si>
    <t>VIAGENS (K)</t>
  </si>
  <si>
    <t>DISTÂNCIA (DM)</t>
  </si>
  <si>
    <t>VELOCIDADE (V)</t>
  </si>
  <si>
    <t>QUANTIDADE</t>
  </si>
  <si>
    <t>FU</t>
  </si>
  <si>
    <t>CUSTO UNITÁRIO (CH)</t>
  </si>
  <si>
    <t>PREÇO TOTAL</t>
  </si>
  <si>
    <t>FONTE</t>
  </si>
  <si>
    <t>CÓDIGO EQUIPAMENTO</t>
  </si>
  <si>
    <t>TRANSPORTADOR</t>
  </si>
  <si>
    <t>BATE ESTACA HIDRÁULICO PARA DEFENSAS MONTADO EM CAMINHÃO GUINDAUTO COM CAPACIDADE DE 6 T - 136 KW</t>
  </si>
  <si>
    <t>CUIABÁ</t>
  </si>
  <si>
    <t>ITIQUIRA</t>
  </si>
  <si>
    <t>E9082</t>
  </si>
  <si>
    <t>Cavalo mecânico com semi-reboque com capacidade de 30 t - 265 kW (E9666) - EM ESTRADA PAVIMENTADA</t>
  </si>
  <si>
    <t>FÓRMULA</t>
  </si>
  <si>
    <t>OBS.01:</t>
  </si>
  <si>
    <r>
      <t xml:space="preserve">Neste campo será informado a distância entre o municipio detentor do quipamentos até o canteiro de obras. Lembrando que, de acordo com o Manual do DNIT, Volume 09  - Mobilização e Desmobilização, </t>
    </r>
    <r>
      <rPr>
        <b/>
        <sz val="12"/>
        <color indexed="8"/>
        <rFont val="Arial"/>
        <family val="2"/>
      </rPr>
      <t>a distância mínima de mobilização e de desmobilização será de 50 km</t>
    </r>
    <r>
      <rPr>
        <sz val="12"/>
        <color indexed="8"/>
        <rFont val="Arial"/>
        <family val="2"/>
      </rPr>
      <t>.</t>
    </r>
  </si>
  <si>
    <t>OBS.02:</t>
  </si>
  <si>
    <r>
      <t>Considerar as seguintes velocidades média para os veículos transportadores em</t>
    </r>
    <r>
      <rPr>
        <b/>
        <sz val="11"/>
        <color indexed="8"/>
        <rFont val="Arial"/>
        <family val="2"/>
      </rPr>
      <t xml:space="preserve"> rodovias pavimentadas</t>
    </r>
    <r>
      <rPr>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</si>
  <si>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t>29.289.487/0001-56</t>
  </si>
  <si>
    <t>TRAVE FUTEBOL CAMPO F.G. D=100MM REDE NYLON DUPLO</t>
  </si>
  <si>
    <t>DEMARCAÇÃO DE CAMPO DE FUTEBOL COM UTILIZAÇÃO DE CAL</t>
  </si>
  <si>
    <t xml:space="preserve">PAREDES </t>
  </si>
  <si>
    <t>PLANTIO  DE  ESPÉCIE  VEGETAL,  TIPO  COMIGO-NINGUÉM-PODE OU EQUIVALENTE, COM ALTURA DE MUDA MENOR OU IGUAL A 0,50 M. AF_05/2018</t>
  </si>
  <si>
    <t>PLANTA COMIGO-NINGUÉM-PODE  OU  EQUIVALENTE  DA REGIAO COM H=0,50M</t>
  </si>
  <si>
    <t>**COMPOSIÇÃO BASEADA NO CADERNOS TÉCNICOS DE COMPOSIÇÕES PARA PAISAGISMO - (SINAPI), LOTE 2 ,VERSÃO:001,VIGÊNCIA :05/2018, ÚLTIMA ATUALIZAÇÃO 05/2018 CÓD 02.URBA.PAIS.005/01 PAGINA 13.</t>
  </si>
  <si>
    <t>**COMPOSIÇÃO BASEADA NO CADERNOS TÉCNICOS DE COMPOSIÇÕES PARA PAISAGISMO - (SINAPI), LOTE 2 ,VERSÃO:001,VIGÊNCIA :05/2018, ÚLTIMA ATUALIZAÇÃO 05/2018 CÓD 02.URBA.PAIS.004/01 PAGINA 11.</t>
  </si>
  <si>
    <t>PLANTA COMIGO-NINGUÉM-PODE  OU  EQUIVALENTE  DA REGIAO COM H=1,00M</t>
  </si>
  <si>
    <t>COTAR</t>
  </si>
  <si>
    <t>PLANTA COMIGO-NINGUÉM-PODE OU EQUIVALENTE   DA REGIAO COM H=0,50 A 1,00 M</t>
  </si>
  <si>
    <t>**COMPOSIÇÃO BASEADA NO CADERNOS TÉCNICOS DE COMPOSIÇÕES PARA PAISAGISMO - (SINAPI), LOTE 2 ,VERSÃO:001,VIGÊNCIA :05/2018, ÚLTIMA ATUALIZAÇÃO 05/2018 CÓD 02.URBA.PAIS.006/01 PAGINA 15.</t>
  </si>
  <si>
    <t>PLANTIO DE ÁRVORE ORNAMENTAL COM ALTURA DE MUDA MAIOR QUE 4,00 M. AF_05/2018</t>
  </si>
  <si>
    <t xml:space="preserve">MUDA DE ARVORE ORNAMENTAL, OITI/AROEIRA SALSA/ANGICO/IPE/JACARANDA OU EQUIVALENTE DA   REGIAO, H= *5* </t>
  </si>
  <si>
    <t>**COMPOSIÇÃO BASEADA NO CADERNOS TÉCNICOS DE COMPOSIÇÕES PARA PAISAGISMO - (SINAPI), LOTE 2 ,VERSÃO:001,VIGÊNCIA :05/2018, ÚLTIMA ATUALIZAÇÃO 05/2018 CÓD 02.URBA.PAIS.010/01 PAGINA 23.</t>
  </si>
  <si>
    <t>PLANTIO DE ÁRVORE FRUTÍFERA COM ALTURA DE MUDA MENOR OU IGUAL A 2,00 M. AF_05/2018</t>
  </si>
  <si>
    <t>MUDA DE ARVORE FRUTÍFERA  JABOTICABEIRA OU EQUIVALENTE DA REGIAO, H= *1* M</t>
  </si>
  <si>
    <t>**COMPOSIÇÃO BASEADA NO CADERNOS TÉCNICOS DE COMPOSIÇÕES PARA PAISAGISMO - (SINAPI), LOTE 2 ,VERSÃO:001,VIGÊNCIA :05/2018, ÚLTIMA ATUALIZAÇÃO 05/2018 CÓD 02.URBA.PAIS.011/01 PAGINA 25.</t>
  </si>
  <si>
    <t>PLANTIO DE ÁRVORE FRUTÍFERA COM ALTURA DE MUDA MAIOR QUE 2,00 M E MENOR OU IGUAL A 4,00 M. AF_05/2018</t>
  </si>
  <si>
    <t>MUDA DE ARVORE FRUTÍFERA  JABOTICABEIRA OU EQUIVALENTE DA REGIAO, H= *3* M</t>
  </si>
  <si>
    <t>**COMPOSIÇÃO BASEADA NO CADERNOS TÉCNICOS DE COMPOSIÇÕES PARA PAISAGISMO - (SINAPI), LOTE 2 ,VERSÃO:001,VIGÊNCIA :05/2018, ÚLTIMA ATUALIZAÇÃO 05/2018 CÓD 02.URBA.PAIS.012/01 PAGINA 27.</t>
  </si>
  <si>
    <t>**COMPOSIÇÃO BASEADA NO CADERNOS TÉCNICOS DE COMPOSIÇÕES PARA PAISAGISMO - (SINAPI), LOTE 2 ,VERSÃO:001,VIGÊNCIA :05/2018, ÚLTIMA ATUALIZAÇÃO 05/2018 CÓD 02.URBA.PAIS.013/01 PAGINA 29.</t>
  </si>
  <si>
    <t>PLANTIO DE ÁRVORE FRUTÍFERA COM ALTURA DE MUDA MAIOR QUE 4,00 M. AF_05/2018</t>
  </si>
  <si>
    <t>PLANTIO DE PALMEIRA COM ALTURA DE MUDA MAIOR QUE 2,00 M E MENOR OU IGUAL A 4,00 M. AF_05/2018</t>
  </si>
  <si>
    <t>MUDA DE PALMEIRA, ARECA, H= *3,00* M</t>
  </si>
  <si>
    <t>**COMPOSIÇÃO BASEADA NO CADERNOS TÉCNICOS DE COMPOSIÇÕES PARA PAISAGISMO - (SINAPI), LOTE 2 ,VERSÃO:001,VIGÊNCIA :05/2018, ÚLTIMA ATUALIZAÇÃO 05/2018 CÓD 02.URBA.PAIS.015/01 PAGINA 33.</t>
  </si>
  <si>
    <t>PLANTIO  DE PALMEIRA COM ALTURA DE MUDA MAIOR QUE 4,00 M. AF_05/2018</t>
  </si>
  <si>
    <t>MUDA DE PALMEIRA, ARECA, H= *6,00* M</t>
  </si>
  <si>
    <t>**COMPOSIÇÃO BASEADA NO CADERNOS TÉCNICOS DE COMPOSIÇÕES PARA PAISAGISMO - (SINAPI), LOTE 2 ,VERSÃO:001,VIGÊNCIA :05/2018, ÚLTIMA ATUALIZAÇÃO 05/2018 CÓD 02.URBA.PAIS.016/01 PAGINA 35.</t>
  </si>
  <si>
    <t>LASTRO DE BRITA 0</t>
  </si>
  <si>
    <t>LASTRO DE BRITA 1</t>
  </si>
  <si>
    <t>LASTRO DE BRITA 3</t>
  </si>
  <si>
    <t>LASTRO DE BRITA 2</t>
  </si>
  <si>
    <t>PLANTIO DE PALMEIRA IMPERIAL COM ALTURA DE MUDA MAIOR QUE 2,00 M E MENOR OU IGUAL A 4,00 M. AF_05/2018</t>
  </si>
  <si>
    <t>MUDA DE PALMEIRA, IMPERIAL, H= *3,00* M</t>
  </si>
  <si>
    <r>
      <rPr>
        <b/>
        <sz val="12"/>
        <rFont val="Arial"/>
        <family val="2"/>
      </rPr>
      <t>SG -</t>
    </r>
    <r>
      <rPr>
        <sz val="12"/>
        <rFont val="Arial"/>
        <family val="2"/>
      </rPr>
      <t xml:space="preserve"> Seguro e Garantia</t>
    </r>
  </si>
  <si>
    <t>1º Quartil</t>
  </si>
  <si>
    <t>Médio</t>
  </si>
  <si>
    <t>3º Quartil</t>
  </si>
  <si>
    <t>CONSTRUÇÃO E REFORMA DE EDIFÍCIOS</t>
  </si>
  <si>
    <t>BDI SACID</t>
  </si>
  <si>
    <t>* PARA ISS 5,00 % E % 40 M.O</t>
  </si>
  <si>
    <t>* ALTERAR SOMENTE ISS DO MUN.</t>
  </si>
  <si>
    <t>BDI MINIMO</t>
  </si>
  <si>
    <t>FORNECIMENTO DE MATERIAIS E EQUIPAMENTOS (AQUISIÇÃO INDIRETA - EM CONJUNTO COM LICITAÇÃO DE OBRAS)</t>
  </si>
  <si>
    <t>BDI AQUISIÇÃO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</si>
  <si>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</si>
  <si>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</si>
  <si>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</si>
  <si>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</si>
  <si>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</si>
  <si>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</si>
  <si>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</si>
  <si>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</si>
  <si>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</si>
  <si>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</si>
  <si>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</si>
  <si>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</si>
  <si>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</si>
  <si>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</si>
  <si>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</si>
  <si>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</si>
  <si>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</si>
  <si>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</si>
  <si>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</si>
  <si>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</si>
  <si>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</si>
  <si>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</si>
  <si>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</si>
  <si>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</si>
  <si>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</si>
  <si>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</si>
  <si>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</si>
  <si>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</si>
  <si>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</si>
  <si>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</si>
  <si>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</si>
  <si>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</si>
  <si>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</si>
  <si>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</si>
  <si>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</si>
  <si>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</si>
  <si>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</si>
  <si>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</si>
  <si>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</si>
  <si>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</si>
  <si>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</si>
  <si>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</si>
  <si>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</si>
  <si>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</si>
  <si>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</si>
  <si>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</si>
  <si>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</si>
  <si>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</si>
  <si>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</si>
  <si>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</si>
  <si>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</si>
  <si>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</si>
  <si>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</si>
  <si>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</si>
  <si>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</si>
  <si>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</si>
  <si>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</si>
  <si>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</si>
  <si>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</si>
  <si>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</si>
  <si>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</si>
  <si>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</si>
  <si>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</si>
  <si>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</si>
  <si>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</si>
  <si>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</si>
  <si>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</si>
  <si>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</si>
  <si>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</si>
  <si>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</si>
  <si>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</si>
  <si>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</si>
  <si>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</si>
  <si>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</si>
  <si>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</si>
  <si>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</si>
  <si>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</si>
  <si>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</si>
  <si>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</si>
  <si>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</si>
  <si>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</si>
  <si>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</si>
  <si>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</si>
  <si>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</si>
  <si>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</si>
  <si>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</si>
  <si>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</si>
  <si>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</si>
  <si>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</si>
  <si>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</si>
  <si>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</si>
  <si>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</si>
  <si>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</si>
  <si>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</si>
  <si>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</si>
  <si>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</si>
  <si>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</si>
  <si>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</si>
  <si>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</si>
  <si>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</si>
  <si>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</si>
  <si>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</si>
  <si>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</si>
  <si>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</si>
  <si>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</si>
  <si>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</si>
  <si>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</si>
  <si>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</si>
  <si>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</si>
  <si>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</si>
  <si>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</si>
  <si>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</si>
  <si>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</si>
  <si>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</si>
  <si>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</si>
  <si>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</si>
  <si>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</si>
  <si>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</si>
  <si>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</si>
  <si>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</si>
  <si>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</si>
  <si>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</si>
  <si>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</si>
  <si>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</si>
  <si>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</si>
  <si>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</si>
  <si>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</si>
  <si>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</si>
  <si>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</si>
  <si>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</si>
  <si>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</si>
  <si>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</si>
  <si>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</si>
  <si>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</si>
  <si>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</si>
  <si>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</si>
  <si>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</si>
  <si>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</si>
  <si>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</si>
  <si>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</si>
  <si>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</si>
  <si>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</si>
  <si>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</si>
  <si>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</si>
  <si>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</si>
  <si>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</si>
  <si>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</si>
  <si>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</si>
  <si>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</si>
  <si>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</si>
  <si>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</si>
  <si>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</si>
  <si>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</si>
  <si>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</si>
  <si>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</si>
  <si>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</si>
  <si>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</si>
  <si>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</si>
  <si>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</si>
  <si>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</si>
  <si>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</si>
  <si>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</si>
  <si>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</si>
  <si>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</si>
  <si>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</si>
  <si>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</si>
  <si>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</si>
  <si>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</si>
  <si>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</si>
  <si>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</si>
  <si>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</si>
  <si>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</si>
  <si>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</si>
  <si>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</si>
  <si>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</si>
  <si>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</si>
  <si>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</si>
  <si>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</si>
  <si>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</si>
  <si>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</si>
  <si>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</si>
  <si>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</si>
  <si>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</si>
  <si>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</si>
  <si>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</si>
  <si>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</si>
  <si>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</si>
  <si>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</si>
  <si>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</si>
  <si>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</si>
  <si>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</si>
  <si>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</si>
  <si>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</si>
  <si>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</si>
  <si>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</si>
  <si>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</si>
  <si>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</si>
  <si>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</si>
  <si>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</si>
  <si>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</si>
  <si>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</si>
  <si>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</si>
  <si>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</si>
  <si>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</si>
  <si>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</si>
  <si>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</si>
  <si>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</si>
  <si>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</si>
  <si>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</si>
  <si>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</si>
  <si>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</si>
  <si>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</si>
  <si>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</si>
  <si>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</si>
  <si>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</si>
  <si>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</si>
  <si>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</si>
  <si>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</si>
  <si>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</si>
  <si>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</si>
  <si>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</si>
  <si>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</si>
  <si>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</si>
  <si>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</si>
  <si>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</si>
  <si>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</si>
  <si>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</si>
  <si>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</si>
  <si>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</si>
  <si>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</si>
  <si>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</si>
  <si>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</si>
  <si>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</si>
  <si>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</si>
  <si>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</si>
  <si>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</si>
  <si>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</si>
  <si>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</si>
  <si>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</si>
  <si>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</si>
  <si>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</si>
  <si>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</si>
  <si>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</si>
  <si>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</si>
  <si>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</si>
  <si>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</si>
  <si>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</si>
  <si>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</si>
  <si>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</si>
  <si>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</si>
  <si>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</si>
  <si>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 xml:space="preserve">CODIGO  </t>
  </si>
  <si>
    <t>DESCRICAO DO INSUMO</t>
  </si>
  <si>
    <t>UNIDADE</t>
  </si>
  <si>
    <t>ALIMENTAÇÃO</t>
  </si>
  <si>
    <t>PISO</t>
  </si>
  <si>
    <t>AMBIENTE</t>
  </si>
  <si>
    <t>ÁREA TOTAL LÍQUIDA</t>
  </si>
  <si>
    <t>PERÍMETRO</t>
  </si>
  <si>
    <t>DESCONTO</t>
  </si>
  <si>
    <t>ÁREA TOTAL RODAPÉ</t>
  </si>
  <si>
    <t>(m²)</t>
  </si>
  <si>
    <t>(m)</t>
  </si>
  <si>
    <t>CIMENTADO LISO</t>
  </si>
  <si>
    <t>S/RODAPÉ</t>
  </si>
  <si>
    <t>ANTIDERRAPANTE</t>
  </si>
  <si>
    <t>BRITA</t>
  </si>
  <si>
    <t>VÃO - 4 M</t>
  </si>
  <si>
    <t xml:space="preserve">ÁREA TOTAL </t>
  </si>
  <si>
    <t>RODAPÉ</t>
  </si>
  <si>
    <t>MEMORIAL DE CÁLCULO PARA PISO E RODAPÉ</t>
  </si>
  <si>
    <t>COLOCAR EXTRATO PROPOSTA</t>
  </si>
  <si>
    <t>COLOCAR TOTAL PLE</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</si>
  <si>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</si>
  <si>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</si>
  <si>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</si>
  <si>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</si>
  <si>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</si>
  <si>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</si>
  <si>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</si>
  <si>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</si>
  <si>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</si>
  <si>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</si>
  <si>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</si>
  <si>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</si>
  <si>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</si>
  <si>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</si>
  <si>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</si>
  <si>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</si>
  <si>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</si>
  <si>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</si>
  <si>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</si>
  <si>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</si>
  <si>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</si>
  <si>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</si>
  <si>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</si>
  <si>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</si>
  <si>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</si>
  <si>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</si>
  <si>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</si>
  <si>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</si>
  <si>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</si>
  <si>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</si>
  <si>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</si>
  <si>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</si>
  <si>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</si>
  <si>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</si>
  <si>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</si>
  <si>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</si>
  <si>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</si>
  <si>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</si>
  <si>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</si>
  <si>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</si>
  <si>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</si>
  <si>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</si>
  <si>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</si>
  <si>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</si>
  <si>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</si>
  <si>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</si>
  <si>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</si>
  <si>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</si>
  <si>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</si>
  <si>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</si>
  <si>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</si>
  <si>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</si>
  <si>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</si>
  <si>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</si>
  <si>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</si>
  <si>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</si>
  <si>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</si>
  <si>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</si>
  <si>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</si>
  <si>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</si>
  <si>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</si>
  <si>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</si>
  <si>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</si>
  <si>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</si>
  <si>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</si>
  <si>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</si>
  <si>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</si>
  <si>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</si>
  <si>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</si>
  <si>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</si>
  <si>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</si>
  <si>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</si>
  <si>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</si>
  <si>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</si>
  <si>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</si>
  <si>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</si>
  <si>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</si>
  <si>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</si>
  <si>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</si>
  <si>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</si>
  <si>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</si>
  <si>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</si>
  <si>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</si>
  <si>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</si>
  <si>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</si>
  <si>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</si>
  <si>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</si>
  <si>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</si>
  <si>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</si>
  <si>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</si>
  <si>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</si>
  <si>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</si>
  <si>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</si>
  <si>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</si>
  <si>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</si>
  <si>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</si>
  <si>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</si>
  <si>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</si>
  <si>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</si>
  <si>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</si>
  <si>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</si>
  <si>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</si>
  <si>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</si>
  <si>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</si>
  <si>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</si>
  <si>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</si>
  <si>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</si>
  <si>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</si>
  <si>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</si>
  <si>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</si>
  <si>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</si>
  <si>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</si>
  <si>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</si>
  <si>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</si>
  <si>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</si>
  <si>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</si>
  <si>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</si>
  <si>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</si>
  <si>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</si>
  <si>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</si>
  <si>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</si>
  <si>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</si>
  <si>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</si>
  <si>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</si>
  <si>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</si>
  <si>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</si>
  <si>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</si>
  <si>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</si>
  <si>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</si>
  <si>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</si>
  <si>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</si>
  <si>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</si>
  <si>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</si>
  <si>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</si>
  <si>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</si>
  <si>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</si>
  <si>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</si>
  <si>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</si>
  <si>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</si>
  <si>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</si>
  <si>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</si>
  <si>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</si>
  <si>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PRESSÃO DE PERNAS DUPLO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</si>
  <si>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</si>
  <si>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SIMULADOR DE CAVALGADA DUPLO EM TUBO DE ACO CARBONO, PINTURA NO PROCESSO ELETROSTATICO - EQUIPAMENTO DE GINASTICA PARA ACADEMIA AO AR LIVRE / ACADEMIA DA TERCEIRA IDADE - ATI</t>
  </si>
  <si>
    <t>ESQUI INDIVIDUAL EM TUBO DE ACO CARBONO, PINTURA NO PROCESSO ELETROSTATICO - EQUIPAMENTO DE GINASTICA PARA ACADEMIA AO AR LIVRE / ACADEMIA DA TERCEIRA IDADE - ATI</t>
  </si>
  <si>
    <t>SIMULADOR DE CAMINHADA INDIVIDUAL, EM TUBO DE ACO CARBONO, PINTURA NO PROCESSO ELETROSTATICO - EQUIPAMENTO DE GINASTICA PARA ACADEMIA AO AR LIVRE / ACADEMIA DA TERCEIRA IDADE - ATI</t>
  </si>
  <si>
    <t>COMPOSIÇÕES ACADEMIA CAIXA</t>
  </si>
  <si>
    <t>SIMULADOR DE CAVALGADA INDIVIDUAL EM TUBO DE ACO CARBONO, PINTURA NO PROCESSO ELETROSTATICO - EQUIPAMENTO DE GINASTICA PARA ACADEMIA AO AR LIVRE / ACADEMIA DA TERCEIRA IDADE - ATI</t>
  </si>
  <si>
    <t>COTELETRICA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</si>
  <si>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</si>
  <si>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</si>
  <si>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</si>
  <si>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</si>
  <si>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</si>
  <si>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</si>
  <si>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</si>
  <si>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</si>
  <si>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</si>
  <si>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</si>
  <si>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</si>
  <si>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</si>
  <si>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</si>
  <si>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</si>
  <si>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</si>
  <si>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</si>
  <si>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</si>
  <si>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</si>
  <si>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</si>
  <si>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</si>
  <si>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</si>
  <si>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</si>
  <si>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</si>
  <si>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</si>
  <si>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</si>
  <si>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</si>
  <si>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</si>
  <si>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</si>
  <si>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</si>
  <si>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</si>
  <si>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</si>
  <si>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</si>
  <si>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</si>
  <si>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</si>
  <si>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</si>
  <si>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</si>
  <si>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</si>
  <si>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</si>
  <si>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</si>
  <si>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</si>
  <si>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</si>
  <si>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</si>
  <si>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</si>
  <si>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</si>
  <si>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</si>
  <si>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</si>
  <si>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</si>
  <si>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</si>
  <si>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</si>
  <si>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</si>
  <si>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</si>
  <si>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</si>
  <si>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</si>
  <si>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</si>
  <si>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</si>
  <si>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</si>
  <si>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</si>
  <si>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</si>
  <si>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</si>
  <si>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</si>
  <si>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</si>
  <si>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</si>
  <si>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</si>
  <si>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</si>
  <si>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</si>
  <si>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</si>
  <si>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</si>
  <si>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</si>
  <si>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</si>
  <si>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</si>
  <si>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</si>
  <si>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</si>
  <si>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</si>
  <si>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</si>
  <si>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</si>
  <si>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</si>
  <si>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</si>
  <si>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</si>
  <si>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</si>
  <si>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</si>
  <si>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</si>
  <si>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</si>
  <si>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</si>
  <si>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</si>
  <si>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</si>
  <si>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</si>
  <si>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</si>
  <si>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</si>
  <si>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</si>
  <si>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</si>
  <si>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</si>
  <si>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</si>
  <si>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</si>
  <si>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</si>
  <si>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</si>
  <si>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</si>
  <si>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</si>
  <si>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</si>
  <si>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</si>
  <si>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</si>
  <si>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</si>
  <si>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</si>
  <si>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</si>
  <si>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</si>
  <si>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</si>
  <si>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</si>
  <si>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</si>
  <si>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</si>
  <si>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</si>
  <si>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</si>
  <si>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</si>
  <si>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</si>
  <si>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</si>
  <si>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</si>
  <si>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</si>
  <si>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</si>
  <si>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</si>
  <si>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</si>
  <si>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</si>
  <si>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</si>
  <si>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</si>
  <si>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</si>
  <si>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</si>
  <si>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</si>
  <si>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</si>
  <si>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</si>
  <si>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</si>
  <si>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</si>
  <si>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</si>
  <si>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GABRIEL</t>
  </si>
  <si>
    <t>CRISTIANE</t>
  </si>
  <si>
    <t>FERNANDO</t>
  </si>
  <si>
    <t xml:space="preserve">VERGALHÃO ROSCA TOTAL 5/16'' (TIRANTE) </t>
  </si>
  <si>
    <t>VERGALHÃO ROSCA TOTAL 5/16'' (TIRANTE) - EQUIVALENTE PARA 1 M</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</si>
  <si>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</si>
  <si>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</si>
  <si>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</si>
  <si>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</si>
  <si>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</si>
  <si>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</si>
  <si>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</si>
  <si>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</si>
  <si>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</si>
  <si>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</si>
  <si>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</si>
  <si>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</si>
  <si>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</si>
  <si>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</si>
  <si>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</si>
  <si>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</si>
  <si>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</si>
  <si>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</si>
  <si>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</si>
  <si>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</si>
  <si>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</si>
  <si>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</si>
  <si>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</si>
  <si>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</si>
  <si>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</si>
  <si>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</si>
  <si>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</si>
  <si>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</si>
  <si>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</si>
  <si>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</si>
  <si>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</si>
  <si>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</si>
  <si>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</si>
  <si>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</si>
  <si>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</si>
  <si>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</si>
  <si>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</si>
  <si>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</si>
  <si>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</si>
  <si>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</si>
  <si>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</si>
  <si>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</si>
  <si>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</si>
  <si>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</si>
  <si>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</si>
  <si>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</si>
  <si>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</si>
  <si>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</si>
  <si>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</si>
  <si>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</si>
  <si>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</si>
  <si>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</si>
  <si>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</si>
  <si>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</si>
  <si>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</si>
  <si>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</si>
  <si>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</si>
  <si>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</si>
  <si>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</si>
  <si>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</si>
  <si>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</si>
  <si>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</si>
  <si>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</si>
  <si>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</si>
  <si>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</si>
  <si>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</si>
  <si>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</si>
  <si>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</si>
  <si>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</si>
  <si>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</si>
  <si>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</si>
  <si>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</si>
  <si>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</si>
  <si>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</si>
  <si>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</si>
  <si>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</si>
  <si>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</si>
  <si>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</si>
  <si>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</si>
  <si>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</si>
  <si>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</si>
  <si>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</si>
  <si>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</si>
  <si>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</si>
  <si>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</si>
  <si>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</si>
  <si>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</si>
  <si>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</si>
  <si>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</si>
  <si>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</si>
  <si>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</si>
  <si>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</si>
  <si>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</si>
  <si>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</si>
  <si>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</si>
  <si>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</si>
  <si>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</si>
  <si>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</si>
  <si>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</si>
  <si>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</si>
  <si>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</si>
  <si>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</si>
  <si>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</si>
  <si>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</si>
  <si>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</si>
  <si>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</si>
  <si>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</si>
  <si>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</si>
  <si>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</si>
  <si>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</si>
  <si>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</si>
  <si>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</si>
  <si>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</si>
  <si>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</si>
  <si>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</si>
  <si>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</si>
  <si>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</si>
  <si>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</si>
  <si>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</si>
  <si>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</si>
  <si>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</si>
  <si>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</si>
  <si>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</si>
  <si>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</si>
  <si>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</si>
  <si>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</si>
  <si>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</si>
  <si>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</si>
  <si>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</si>
  <si>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</si>
  <si>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</si>
  <si>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</si>
  <si>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</si>
  <si>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</si>
  <si>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</si>
  <si>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</si>
  <si>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</si>
  <si>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D.R. RECIC.</t>
  </si>
  <si>
    <t>REFORMA</t>
  </si>
  <si>
    <t>AMPLIAÇÃO</t>
  </si>
  <si>
    <t>REVESTIMENTO CERÂMICO</t>
  </si>
  <si>
    <t>PINTURA</t>
  </si>
  <si>
    <t>**ÓCULO DE 0,8X0,8 M NOS AMBIENTES "ESTERILIZAÇÃO" E "EXPURGO"</t>
  </si>
  <si>
    <t>** AMBIENTES INDICADOS COM ALTURA DE PINTURA IGUAL A "0" POSSUEM REVESTIMENTO CERÂMICO ATÉ O FORRO</t>
  </si>
  <si>
    <t>D. R. COMUNS</t>
  </si>
  <si>
    <t>D. R. CONT.</t>
  </si>
  <si>
    <t>0,7*2,1</t>
  </si>
  <si>
    <t>D. R. RECIC.</t>
  </si>
  <si>
    <t>DEPÓSITOS RESÍDUOS</t>
  </si>
  <si>
    <t>1,3*1,15</t>
  </si>
  <si>
    <t>ABRIGO PARA GLP</t>
  </si>
  <si>
    <t>1,5*1,15</t>
  </si>
  <si>
    <t>COMPRESSOR DENTISTA</t>
  </si>
  <si>
    <t>7*0,9*2,1+3*0,8*2,1+1,25*2,9</t>
  </si>
  <si>
    <t>CIRC.</t>
  </si>
  <si>
    <t>0,9*2,1+1,2*1</t>
  </si>
  <si>
    <t>CURATIVOS</t>
  </si>
  <si>
    <t>IMUNIZAÇÃO</t>
  </si>
  <si>
    <t>CONS INDIFERENCIADO/ ACOLHIMENTO</t>
  </si>
  <si>
    <t>0,8*2,1+1,2*1+0,8*0,8</t>
  </si>
  <si>
    <t>EXPURGO</t>
  </si>
  <si>
    <t>0,8*2,1+0,6*0,6+0,8*0,8</t>
  </si>
  <si>
    <t>ESTERILIZAÇÃO</t>
  </si>
  <si>
    <t>2*0,8*2,1</t>
  </si>
  <si>
    <t>ANTECAMARA</t>
  </si>
  <si>
    <t>0,8*2,1+1,6*1</t>
  </si>
  <si>
    <t>SALA ADM/ GERÊNCIA</t>
  </si>
  <si>
    <t>6*0,8*2,1+0,1*2,1</t>
  </si>
  <si>
    <t>0,8*2,1+0,6*0,6</t>
  </si>
  <si>
    <t>BWC</t>
  </si>
  <si>
    <t>ALMOXARIFADO</t>
  </si>
  <si>
    <t>0,8*2,1+1,2*1</t>
  </si>
  <si>
    <t>DML</t>
  </si>
  <si>
    <t>COPA</t>
  </si>
  <si>
    <t>0,9*2,1+2*1</t>
  </si>
  <si>
    <t>CONSULTORIO ODONTOLOGICO</t>
  </si>
  <si>
    <t>0,9*2,1+0,6*0,6</t>
  </si>
  <si>
    <t>2*0,9*2,1</t>
  </si>
  <si>
    <t>OBSERVAÇÃO/PROCED./COLETA</t>
  </si>
  <si>
    <t>INALAÇÃO COLETIVA</t>
  </si>
  <si>
    <t>2*0,9*2,1+1,6*1</t>
  </si>
  <si>
    <t>CONSULTÓRIO</t>
  </si>
  <si>
    <t>PNE</t>
  </si>
  <si>
    <t>BLOCO REFORMA</t>
  </si>
  <si>
    <t>1,5*2,9+2*0,9*2,1</t>
  </si>
  <si>
    <t>0,9*2,1+1,6*1</t>
  </si>
  <si>
    <t>0,9*2,1+1,5*1,3</t>
  </si>
  <si>
    <t>FARMÁCIA</t>
  </si>
  <si>
    <t>0,9*2,1+3*1</t>
  </si>
  <si>
    <t>ATIVIDADE COLETIVA</t>
  </si>
  <si>
    <t>3*0,9*2,1+2*2,1+2*1,2+1,5*2,9+1,25*2,9</t>
  </si>
  <si>
    <t>RECEPÇÃO/ESPERA</t>
  </si>
  <si>
    <t>BLOCO AMPLIAÇÃO</t>
  </si>
  <si>
    <t>CERÂMICA</t>
  </si>
  <si>
    <t>MEMORIAL</t>
  </si>
  <si>
    <t>TOTAL (M2)</t>
  </si>
  <si>
    <t>ALTURA  (M)</t>
  </si>
  <si>
    <t>MEMORIAL DE CÁLCULO PARA REVESTIMENTO E PINTURA INTERNA</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</si>
  <si>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</si>
  <si>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</si>
  <si>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</si>
  <si>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</si>
  <si>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</si>
  <si>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</si>
  <si>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</si>
  <si>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</si>
  <si>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</si>
  <si>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</si>
  <si>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</si>
  <si>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</si>
  <si>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</si>
  <si>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</si>
  <si>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</si>
  <si>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</si>
  <si>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</si>
  <si>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</si>
  <si>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</si>
  <si>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</si>
  <si>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</si>
  <si>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</si>
  <si>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</si>
  <si>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</si>
  <si>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</si>
  <si>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</si>
  <si>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</si>
  <si>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</si>
  <si>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</si>
  <si>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</si>
  <si>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</si>
  <si>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</si>
  <si>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</si>
  <si>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</si>
  <si>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</si>
  <si>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</si>
  <si>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</si>
  <si>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</si>
  <si>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</si>
  <si>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</si>
  <si>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</si>
  <si>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</si>
  <si>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</si>
  <si>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</si>
  <si>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</si>
  <si>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</si>
  <si>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</si>
  <si>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</si>
  <si>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</si>
  <si>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</si>
  <si>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</si>
  <si>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</si>
  <si>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</si>
  <si>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</si>
  <si>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</si>
  <si>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</si>
  <si>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</si>
  <si>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</si>
  <si>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</si>
  <si>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</si>
  <si>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</si>
  <si>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</si>
  <si>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</si>
  <si>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</si>
  <si>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</si>
  <si>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</si>
  <si>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</si>
  <si>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</si>
  <si>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</si>
  <si>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</si>
  <si>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</si>
  <si>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</si>
  <si>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</si>
  <si>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</si>
  <si>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</si>
  <si>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</si>
  <si>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</si>
  <si>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</si>
  <si>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</si>
  <si>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</si>
  <si>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</si>
  <si>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</si>
  <si>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</si>
  <si>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</si>
  <si>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</si>
  <si>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</si>
  <si>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</si>
  <si>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</si>
  <si>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</si>
  <si>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</si>
  <si>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</si>
  <si>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</si>
  <si>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</si>
  <si>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</si>
  <si>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</si>
  <si>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</si>
  <si>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</si>
  <si>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</si>
  <si>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</si>
  <si>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</si>
  <si>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</si>
  <si>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</si>
  <si>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</si>
  <si>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</si>
  <si>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</si>
  <si>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</si>
  <si>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</si>
  <si>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</si>
  <si>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</si>
  <si>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</si>
  <si>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</si>
  <si>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</si>
  <si>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</si>
  <si>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</si>
  <si>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</si>
  <si>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</si>
  <si>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</si>
  <si>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</si>
  <si>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</si>
  <si>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</si>
  <si>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</si>
  <si>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</si>
  <si>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</si>
  <si>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</si>
  <si>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</si>
  <si>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</si>
  <si>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</si>
  <si>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</si>
  <si>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</si>
  <si>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 m - 0,0353 kg - 0,06 h                                                                                                                                                                                                                                                                                                                                                                                                                                                                                                                                                                                                                            1 m -  0,01 kg  - X                                                                                                                                                                                                                                                                                      X= 0,017 h</t>
  </si>
  <si>
    <t>SICRO JULHO/2019</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</si>
  <si>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</si>
  <si>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</si>
  <si>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</si>
  <si>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</si>
  <si>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</si>
  <si>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</si>
  <si>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</si>
  <si>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</si>
  <si>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</si>
  <si>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</si>
  <si>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</si>
  <si>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</si>
  <si>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</si>
  <si>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</si>
  <si>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</si>
  <si>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</si>
  <si>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</si>
  <si>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</si>
  <si>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</si>
  <si>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</si>
  <si>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</si>
  <si>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</si>
  <si>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</si>
  <si>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</si>
  <si>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</si>
  <si>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</si>
  <si>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</si>
  <si>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</si>
  <si>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</si>
  <si>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</si>
  <si>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</si>
  <si>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</si>
  <si>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</si>
  <si>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</si>
  <si>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</si>
  <si>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**COMPOSIÇÃO DA MÃO DE OBRA BASEADA NO BOLETIM SINAPI 74157/004 - JANEIRO/2020</t>
  </si>
  <si>
    <t>LANCAMENTO/APLICACAO MANUAL DE CONCRETO EM FUNDACOES</t>
  </si>
  <si>
    <t>**COMPOSIÇÃO DA MÃO DE OBRA BASEADA NO BOLETIM SINAPI 92970 (JAN/2020)</t>
  </si>
  <si>
    <t>E Q U I P A M E N T O</t>
  </si>
  <si>
    <t>DEMOLIÇÃO DE PAVIMENTAÇÃO ASFÁLTICA COM UTILIZAÇÃO DE MARTELO PERFURADOR, ESPESSURA ATÉ 15 CM, EXCLUSIVE CARGA E TRANSPORTE</t>
  </si>
  <si>
    <t>COMP. AUX 01</t>
  </si>
  <si>
    <t>SINAPI</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</si>
  <si>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</si>
  <si>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</si>
  <si>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</si>
  <si>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</si>
  <si>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</si>
  <si>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</si>
  <si>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</si>
  <si>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</si>
  <si>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</si>
  <si>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</si>
  <si>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</si>
  <si>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ARGAMASSA TRAÇO 1:1,93 (EM VOLUME DE CIMENTO E AREIA MÉDIA ÚMIDA), FCK 20 MPA, PREPARO MECÂNICO COM MISTURADOR DUPLO HORIZONTAL DE ALTA TURBULÊNCIA. AF_03/2020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</si>
  <si>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</si>
  <si>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</si>
  <si>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</si>
  <si>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</si>
  <si>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</si>
  <si>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</si>
  <si>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</si>
  <si>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</si>
  <si>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</si>
  <si>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</si>
  <si>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</si>
  <si>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</si>
  <si>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</si>
  <si>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</si>
  <si>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</si>
  <si>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</si>
  <si>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</si>
  <si>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</si>
  <si>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</si>
  <si>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</si>
  <si>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</si>
  <si>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</si>
  <si>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</si>
  <si>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</si>
  <si>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</si>
  <si>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</si>
  <si>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</si>
  <si>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</si>
  <si>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</si>
  <si>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</si>
  <si>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</si>
  <si>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</si>
  <si>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</si>
  <si>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</si>
  <si>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</si>
  <si>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</si>
  <si>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</si>
  <si>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</si>
  <si>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</si>
  <si>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</si>
  <si>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</si>
  <si>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PALMEIRA RABO DE RAPOSA COM ALTURA DE MUDA MAIOR QUE 2,00 M E MENOR OU IGUAL A 4,00 M. AF_05/2018</t>
  </si>
  <si>
    <t xml:space="preserve"> PALMEIRA RABO DE RAPOSA 3 METROS</t>
  </si>
  <si>
    <t>(65)3052-9098</t>
  </si>
  <si>
    <t>VIVEIROS CUIABA</t>
  </si>
  <si>
    <t>03.255.890/0001-70</t>
  </si>
  <si>
    <t>NOME</t>
  </si>
  <si>
    <t>PROF.</t>
  </si>
  <si>
    <t>CREA</t>
  </si>
  <si>
    <t>Eng. Civil</t>
  </si>
  <si>
    <t>Felipe da Silva Xavier</t>
  </si>
  <si>
    <t>Eng. Eletricista</t>
  </si>
  <si>
    <t>CREA-MT 041313</t>
  </si>
  <si>
    <t>Fábio Lopes de Araújo</t>
  </si>
  <si>
    <t>CREA 1200573099</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</si>
  <si>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</si>
  <si>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</si>
  <si>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</si>
  <si>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</si>
  <si>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</si>
  <si>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</si>
  <si>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</si>
  <si>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</si>
  <si>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</si>
  <si>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</si>
  <si>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</si>
  <si>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</si>
  <si>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</si>
  <si>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</si>
  <si>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</si>
  <si>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</si>
  <si>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</si>
  <si>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</si>
  <si>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</si>
  <si>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</si>
  <si>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</si>
  <si>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</si>
  <si>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</si>
  <si>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</si>
  <si>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</si>
  <si>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</si>
  <si>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</si>
  <si>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</si>
  <si>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</si>
  <si>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</si>
  <si>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</si>
  <si>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</si>
  <si>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</si>
  <si>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</si>
  <si>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</si>
  <si>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</si>
  <si>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</si>
  <si>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</si>
  <si>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</si>
  <si>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</si>
  <si>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</si>
  <si>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</si>
  <si>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</si>
  <si>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</si>
  <si>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</si>
  <si>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</si>
  <si>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</si>
  <si>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</si>
  <si>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</si>
  <si>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</si>
  <si>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</si>
  <si>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</si>
  <si>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</si>
  <si>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</si>
  <si>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</si>
  <si>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</si>
  <si>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</si>
  <si>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</si>
  <si>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</si>
  <si>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</si>
  <si>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</si>
  <si>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</si>
  <si>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</si>
  <si>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</si>
  <si>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</si>
  <si>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</si>
  <si>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</si>
  <si>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</si>
  <si>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</si>
  <si>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</si>
  <si>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</si>
  <si>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</si>
  <si>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</si>
  <si>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</si>
  <si>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</si>
  <si>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</si>
  <si>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</si>
  <si>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</si>
  <si>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</si>
  <si>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</si>
  <si>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</si>
  <si>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</si>
  <si>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</si>
  <si>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</si>
  <si>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</si>
  <si>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</si>
  <si>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</si>
  <si>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</si>
  <si>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</si>
  <si>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</si>
  <si>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</si>
  <si>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</si>
  <si>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</si>
  <si>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</si>
  <si>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</si>
  <si>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</si>
  <si>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</si>
  <si>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</si>
  <si>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</si>
  <si>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</si>
  <si>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</si>
  <si>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</si>
  <si>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</si>
  <si>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</si>
  <si>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</si>
  <si>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</si>
  <si>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</si>
  <si>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</si>
  <si>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</si>
  <si>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</si>
  <si>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</si>
  <si>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</si>
  <si>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</si>
  <si>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</si>
  <si>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</si>
  <si>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</si>
  <si>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</si>
  <si>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</si>
  <si>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</si>
  <si>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</si>
  <si>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ELETRICA PARANA</t>
  </si>
  <si>
    <t>PROTETOR DE BUCHA DE TRANSFORMADOR AT 15/34KV</t>
  </si>
  <si>
    <t>LAÇO PRE-FORMADO DE TOPO 15KV</t>
  </si>
  <si>
    <t>ISOLADOR PILAR 34,5KV - EQUIVALE A 170KV</t>
  </si>
  <si>
    <t>ZIOBER BRASIL</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</si>
  <si>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</si>
  <si>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</si>
  <si>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</si>
  <si>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</si>
  <si>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</si>
  <si>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</si>
  <si>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</si>
  <si>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</si>
  <si>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</si>
  <si>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</si>
  <si>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</si>
  <si>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</si>
  <si>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</si>
  <si>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</si>
  <si>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</si>
  <si>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</si>
  <si>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</si>
  <si>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</si>
  <si>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</si>
  <si>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</si>
  <si>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</si>
  <si>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</si>
  <si>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</si>
  <si>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</si>
  <si>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</si>
  <si>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</si>
  <si>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</si>
  <si>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</si>
  <si>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</si>
  <si>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</si>
  <si>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</si>
  <si>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</si>
  <si>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</si>
  <si>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</si>
  <si>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</si>
  <si>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</si>
  <si>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</si>
  <si>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</si>
  <si>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</si>
  <si>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</si>
  <si>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</si>
  <si>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</si>
  <si>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</si>
  <si>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</si>
  <si>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</si>
  <si>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</si>
  <si>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</si>
  <si>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</si>
  <si>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</si>
  <si>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</si>
  <si>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</si>
  <si>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</si>
  <si>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</si>
  <si>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</si>
  <si>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</si>
  <si>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</si>
  <si>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</si>
  <si>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</si>
  <si>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</si>
  <si>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</si>
  <si>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</si>
  <si>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</si>
  <si>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</si>
  <si>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</si>
  <si>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</si>
  <si>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</si>
  <si>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</si>
  <si>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</si>
  <si>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</si>
  <si>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</si>
  <si>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</si>
  <si>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</si>
  <si>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</si>
  <si>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</si>
  <si>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</si>
  <si>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</si>
  <si>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</si>
  <si>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</si>
  <si>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</si>
  <si>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</si>
  <si>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</si>
  <si>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</si>
  <si>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</si>
  <si>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</si>
  <si>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</si>
  <si>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</si>
  <si>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</si>
  <si>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</si>
  <si>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</si>
  <si>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</si>
  <si>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</si>
  <si>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</si>
  <si>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</si>
  <si>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</si>
  <si>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</si>
  <si>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</si>
  <si>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</si>
  <si>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</si>
  <si>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</si>
  <si>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</si>
  <si>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</si>
  <si>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</si>
  <si>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</si>
  <si>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</si>
  <si>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</si>
  <si>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</si>
  <si>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</si>
  <si>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</si>
  <si>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</si>
  <si>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</si>
  <si>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</si>
  <si>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</si>
  <si>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</si>
  <si>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</si>
  <si>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</si>
  <si>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</si>
  <si>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</si>
  <si>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</si>
  <si>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</si>
  <si>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</si>
  <si>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</si>
  <si>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</si>
  <si>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</si>
  <si>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</si>
  <si>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</si>
  <si>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</si>
  <si>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</si>
  <si>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</si>
  <si>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</si>
  <si>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</si>
  <si>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</si>
  <si>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</si>
  <si>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</si>
  <si>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</si>
  <si>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</si>
  <si>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</si>
  <si>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</si>
  <si>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</si>
  <si>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</si>
  <si>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</si>
  <si>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</si>
  <si>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</si>
  <si>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</si>
  <si>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</si>
  <si>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</si>
  <si>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</si>
  <si>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</si>
  <si>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</si>
  <si>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</si>
  <si>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</si>
  <si>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</si>
  <si>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</si>
  <si>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</si>
  <si>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</si>
  <si>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</si>
  <si>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</si>
  <si>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</si>
  <si>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</si>
  <si>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</si>
  <si>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</si>
  <si>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</si>
  <si>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</si>
  <si>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</si>
  <si>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</si>
  <si>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</si>
  <si>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</si>
  <si>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</si>
  <si>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</si>
  <si>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</si>
  <si>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</si>
  <si>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</si>
  <si>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</si>
  <si>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</si>
  <si>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</si>
  <si>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</si>
  <si>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</si>
  <si>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</si>
  <si>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</si>
  <si>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</si>
  <si>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</si>
  <si>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</si>
  <si>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</si>
  <si>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</si>
  <si>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</si>
  <si>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</si>
  <si>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</si>
  <si>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</si>
  <si>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</si>
  <si>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</si>
  <si>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</si>
  <si>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</si>
  <si>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</si>
  <si>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</si>
  <si>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</si>
  <si>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</si>
  <si>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</si>
  <si>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</si>
  <si>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</si>
  <si>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</si>
  <si>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</si>
  <si>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</si>
  <si>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</si>
  <si>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</si>
  <si>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</si>
  <si>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</si>
  <si>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</si>
  <si>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</si>
  <si>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</si>
  <si>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</si>
  <si>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</si>
  <si>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</si>
  <si>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</si>
  <si>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</si>
  <si>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</si>
  <si>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</si>
  <si>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</si>
  <si>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</si>
  <si>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</si>
  <si>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</si>
  <si>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</si>
  <si>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</si>
  <si>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</si>
  <si>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</si>
  <si>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</si>
  <si>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</si>
  <si>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</si>
  <si>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</si>
  <si>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</si>
  <si>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</si>
  <si>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</si>
  <si>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</si>
  <si>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</si>
  <si>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</si>
  <si>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</si>
  <si>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</si>
  <si>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</si>
  <si>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</si>
  <si>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</si>
  <si>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</si>
  <si>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</si>
  <si>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</si>
  <si>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</si>
  <si>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</si>
  <si>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</si>
  <si>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</si>
  <si>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</si>
  <si>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</si>
  <si>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</si>
  <si>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</si>
  <si>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</si>
  <si>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</si>
  <si>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</si>
  <si>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</si>
  <si>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</si>
  <si>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</si>
  <si>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</si>
  <si>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</si>
  <si>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</si>
  <si>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</si>
  <si>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</si>
  <si>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</si>
  <si>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</si>
  <si>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</si>
  <si>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</si>
  <si>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</si>
  <si>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</si>
  <si>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</si>
  <si>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</si>
  <si>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</si>
  <si>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</si>
  <si>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</si>
  <si>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</si>
  <si>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</si>
  <si>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</si>
  <si>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</si>
  <si>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</si>
  <si>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</si>
  <si>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</si>
  <si>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</si>
  <si>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</si>
  <si>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</si>
  <si>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</si>
  <si>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</si>
  <si>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</si>
  <si>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</si>
  <si>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</si>
  <si>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</si>
  <si>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</si>
  <si>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</si>
  <si>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</si>
  <si>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</si>
  <si>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</si>
  <si>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</si>
  <si>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</si>
  <si>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</si>
  <si>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</si>
  <si>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</si>
  <si>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</si>
  <si>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</si>
  <si>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</si>
  <si>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</si>
  <si>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</si>
  <si>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</si>
  <si>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</si>
  <si>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</si>
  <si>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</si>
  <si>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</si>
  <si>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</si>
  <si>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</si>
  <si>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</si>
  <si>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</si>
  <si>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</si>
  <si>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</si>
  <si>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</si>
  <si>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</si>
  <si>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</si>
  <si>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</si>
  <si>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</si>
  <si>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</si>
  <si>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</si>
  <si>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</si>
  <si>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</si>
  <si>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</si>
  <si>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</si>
  <si>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</si>
  <si>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</si>
  <si>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</si>
  <si>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</si>
  <si>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</si>
  <si>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</si>
  <si>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</si>
  <si>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</si>
  <si>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</si>
  <si>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</si>
  <si>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</si>
  <si>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</si>
  <si>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</si>
  <si>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</si>
  <si>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</si>
  <si>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</si>
  <si>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</si>
  <si>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</si>
  <si>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</si>
  <si>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</si>
  <si>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</si>
  <si>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</si>
  <si>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</si>
  <si>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</si>
  <si>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</si>
  <si>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</si>
  <si>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</si>
  <si>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</si>
  <si>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</si>
  <si>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</si>
  <si>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</si>
  <si>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</si>
  <si>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</si>
  <si>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</si>
  <si>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</si>
  <si>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</si>
  <si>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</si>
  <si>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</si>
  <si>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</si>
  <si>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</si>
  <si>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</si>
  <si>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</si>
  <si>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</si>
  <si>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</si>
  <si>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</si>
  <si>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</si>
  <si>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</si>
  <si>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</si>
  <si>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</si>
  <si>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</si>
  <si>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</si>
  <si>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</si>
  <si>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</si>
  <si>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</si>
  <si>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</si>
  <si>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</si>
  <si>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</si>
  <si>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</si>
  <si>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</si>
  <si>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</si>
  <si>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</si>
  <si>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</si>
  <si>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</si>
  <si>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</si>
  <si>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</si>
  <si>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</si>
  <si>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</si>
  <si>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</si>
  <si>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</si>
  <si>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</si>
  <si>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</si>
  <si>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</si>
  <si>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</si>
  <si>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</si>
  <si>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</si>
  <si>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</si>
  <si>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</si>
  <si>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</si>
  <si>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</si>
  <si>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</si>
  <si>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</si>
  <si>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</si>
  <si>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</si>
  <si>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</si>
  <si>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</si>
  <si>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</si>
  <si>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</si>
  <si>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</si>
  <si>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</si>
  <si>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</si>
  <si>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</si>
  <si>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</si>
  <si>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</si>
  <si>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</si>
  <si>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</si>
  <si>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</si>
  <si>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</si>
  <si>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</si>
  <si>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</si>
  <si>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</si>
  <si>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</si>
  <si>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</si>
  <si>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</si>
  <si>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DA MÃO DE OBRA BASEADA NO BOLETIM ORSE (AGO/20) CÓDIGO "11242". PALAVRA CHAVE: "CONECTOR RJ". OBS.: DEVIDO A FALTA DE PROFISSIONAL QUALIFICADO COMO CABISTA (COMO NA REFERÊNCIA DESCREVE), FOI UTILIZADO UMA MÃO DE OBRA COM SERVIÇO SEMELHANTE.</t>
  </si>
  <si>
    <t xml:space="preserve">  </t>
  </si>
  <si>
    <t xml:space="preserve">**COMPOSIÇÃO DA MÃO DE OBRA BASEADA NO BOLETIM SEDOP-PA (SET/2020) CÓDIGO "171056". </t>
  </si>
  <si>
    <t>**COMPOSIÇÃO DA MÃO DE OBRA BASEADA NO BOLETIM SINAPI (OUT/17) CÓDIGO "83377".</t>
  </si>
  <si>
    <t>**COMPOSIÇÃO DE MÃO DE OBRA BASEADA NAS TABELAS SINAPI  (SET/2020) CÓDIGO "72344".</t>
  </si>
  <si>
    <t>**COMPOSIÇÃO DE MÃO DE OBRA BASEADA NO BOLETIM "SEDOP-PA (SET/2020) CÓDIGO "170942".</t>
  </si>
  <si>
    <t>**COMPOSIÇÃO DE MÃO DE OBRA BASEADA NO BOLETIM "SEDOP-PA (SET/2020) CÓDIGO "170941".</t>
  </si>
  <si>
    <t>** COMPOSIÇÃO DE MÃO DE OBRA BASEADA NO BOLETIM SINAPI (OUT/2020) CÓDIGO "73857/7".</t>
  </si>
  <si>
    <t>** COMPOSIÇÃO DA MÃO DE OBRA BASEADA NO BOLETIM SEDOP/PA (OUT/2020) CÓDIGO "171152".</t>
  </si>
  <si>
    <t>**COMPOSIÇÃO BASEADA NO BOLETIM SEDOP/PA (SET/2020) CÓDIGO "170945".</t>
  </si>
  <si>
    <t>ESPELHO PARA CAIXA 4X2" COM DUAS SAIDAS RJ45 (FEMEA), CAT 6</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</si>
  <si>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</si>
  <si>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</si>
  <si>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</si>
  <si>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</si>
  <si>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</si>
  <si>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</si>
  <si>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</si>
  <si>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</si>
  <si>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</si>
  <si>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</si>
  <si>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</si>
  <si>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</si>
  <si>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</si>
  <si>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</si>
  <si>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</si>
  <si>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</si>
  <si>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</si>
  <si>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</si>
  <si>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</si>
  <si>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</si>
  <si>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</si>
  <si>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</si>
  <si>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</si>
  <si>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</si>
  <si>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</si>
  <si>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</si>
  <si>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</si>
  <si>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</si>
  <si>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</si>
  <si>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</si>
  <si>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</si>
  <si>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</si>
  <si>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</si>
  <si>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</si>
  <si>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</si>
  <si>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</si>
  <si>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</si>
  <si>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</si>
  <si>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</si>
  <si>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</si>
  <si>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</si>
  <si>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</si>
  <si>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</si>
  <si>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</si>
  <si>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</si>
  <si>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</si>
  <si>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</si>
  <si>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</si>
  <si>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</si>
  <si>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</si>
  <si>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</si>
  <si>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</si>
  <si>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</si>
  <si>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</si>
  <si>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</si>
  <si>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</si>
  <si>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</si>
  <si>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</si>
  <si>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</si>
  <si>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</si>
  <si>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</si>
  <si>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</si>
  <si>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</si>
  <si>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</si>
  <si>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</si>
  <si>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</si>
  <si>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</si>
  <si>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</si>
  <si>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</si>
  <si>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</si>
  <si>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</si>
  <si>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</si>
  <si>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</si>
  <si>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</si>
  <si>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</si>
  <si>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</si>
  <si>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</si>
  <si>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</si>
  <si>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</si>
  <si>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</si>
  <si>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</si>
  <si>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</si>
  <si>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</si>
  <si>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</si>
  <si>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</si>
  <si>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</si>
  <si>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</si>
  <si>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</si>
  <si>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</si>
  <si>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</si>
  <si>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</si>
  <si>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</si>
  <si>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</si>
  <si>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</si>
  <si>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</si>
  <si>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</si>
  <si>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</si>
  <si>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</si>
  <si>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</si>
  <si>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</si>
  <si>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</si>
  <si>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</si>
  <si>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</si>
  <si>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</si>
  <si>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</si>
  <si>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</si>
  <si>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</si>
  <si>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</si>
  <si>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</si>
  <si>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</si>
  <si>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</si>
  <si>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</si>
  <si>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</si>
  <si>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</si>
  <si>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</si>
  <si>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</si>
  <si>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</si>
  <si>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</si>
  <si>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</si>
  <si>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</si>
  <si>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</si>
  <si>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</si>
  <si>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</si>
  <si>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</si>
  <si>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</si>
  <si>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</si>
  <si>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</si>
  <si>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</si>
  <si>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</si>
  <si>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</si>
  <si>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</si>
  <si>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</si>
  <si>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</si>
  <si>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</si>
  <si>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</si>
  <si>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</si>
  <si>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</si>
  <si>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</si>
  <si>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</si>
  <si>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</si>
  <si>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</si>
  <si>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</si>
  <si>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</si>
  <si>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</si>
  <si>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</si>
  <si>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</si>
  <si>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</si>
  <si>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</si>
  <si>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</si>
  <si>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</si>
  <si>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</si>
  <si>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</si>
  <si>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</si>
  <si>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</si>
  <si>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</si>
  <si>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</si>
  <si>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</si>
  <si>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</si>
  <si>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</si>
  <si>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</si>
  <si>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</si>
  <si>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</si>
  <si>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</si>
  <si>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</si>
  <si>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</si>
  <si>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</si>
  <si>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</si>
  <si>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</si>
  <si>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</si>
  <si>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</si>
  <si>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</si>
  <si>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</si>
  <si>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</si>
  <si>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</si>
  <si>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</si>
  <si>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</si>
  <si>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</si>
  <si>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</si>
  <si>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</si>
  <si>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</si>
  <si>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</si>
  <si>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</si>
  <si>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</si>
  <si>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</si>
  <si>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</si>
  <si>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</si>
  <si>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</si>
  <si>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</si>
  <si>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</si>
  <si>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</si>
  <si>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</si>
  <si>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</si>
  <si>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</si>
  <si>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</si>
  <si>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</si>
  <si>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</si>
  <si>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</si>
  <si>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</si>
  <si>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</si>
  <si>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</si>
  <si>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</si>
  <si>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</si>
  <si>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</si>
  <si>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</si>
  <si>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</si>
  <si>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</si>
  <si>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</si>
  <si>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</si>
  <si>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</si>
  <si>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</si>
  <si>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</si>
  <si>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</si>
  <si>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</si>
  <si>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</si>
  <si>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</si>
  <si>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</si>
  <si>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</si>
  <si>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</si>
  <si>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</si>
  <si>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</si>
  <si>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</si>
  <si>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</si>
  <si>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</si>
  <si>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</si>
  <si>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</si>
  <si>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</si>
  <si>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</si>
  <si>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</si>
  <si>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</si>
  <si>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</si>
  <si>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</si>
  <si>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</si>
  <si>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</si>
  <si>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</si>
  <si>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</si>
  <si>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</si>
  <si>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</si>
  <si>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</si>
  <si>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</si>
  <si>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</si>
  <si>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</si>
  <si>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</si>
  <si>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</si>
  <si>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</si>
  <si>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</si>
  <si>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</si>
  <si>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</si>
  <si>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</si>
  <si>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</si>
  <si>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</si>
  <si>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</si>
  <si>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</si>
  <si>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</si>
  <si>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</si>
  <si>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</si>
  <si>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</si>
  <si>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</si>
  <si>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</si>
  <si>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</si>
  <si>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</si>
  <si>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</si>
  <si>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</si>
  <si>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</si>
  <si>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</si>
  <si>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</si>
  <si>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</si>
  <si>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</si>
  <si>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</si>
  <si>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</si>
  <si>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</si>
  <si>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</si>
  <si>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</si>
  <si>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</si>
  <si>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</si>
  <si>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</si>
  <si>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</si>
  <si>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</si>
  <si>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</si>
  <si>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</si>
  <si>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</si>
  <si>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</si>
  <si>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</si>
  <si>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</si>
  <si>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</si>
  <si>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</si>
  <si>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</si>
  <si>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</si>
  <si>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</si>
  <si>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</si>
  <si>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</si>
  <si>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</si>
  <si>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</si>
  <si>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</si>
  <si>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</si>
  <si>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</si>
  <si>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</si>
  <si>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</si>
  <si>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</si>
  <si>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</si>
  <si>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</si>
  <si>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</si>
  <si>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</si>
  <si>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</si>
  <si>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</si>
  <si>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</si>
  <si>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</si>
  <si>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</si>
  <si>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</si>
  <si>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</si>
  <si>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</si>
  <si>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</si>
  <si>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</si>
  <si>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</si>
  <si>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</si>
  <si>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</si>
  <si>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</si>
  <si>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</si>
  <si>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</si>
  <si>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</si>
  <si>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</si>
  <si>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</si>
  <si>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</si>
  <si>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</si>
  <si>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</si>
  <si>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</si>
  <si>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</si>
  <si>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</si>
  <si>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</si>
  <si>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</si>
  <si>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</si>
  <si>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</si>
  <si>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</si>
  <si>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</si>
  <si>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</si>
  <si>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</si>
  <si>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</si>
  <si>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</si>
  <si>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</si>
  <si>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</si>
  <si>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</si>
  <si>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</si>
  <si>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</si>
  <si>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</si>
  <si>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</si>
  <si>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</si>
  <si>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</si>
  <si>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</si>
  <si>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</si>
  <si>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</si>
  <si>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</si>
  <si>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</si>
  <si>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</si>
  <si>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</si>
  <si>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</si>
  <si>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</si>
  <si>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</si>
  <si>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</si>
  <si>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</si>
  <si>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</si>
  <si>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</si>
  <si>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</si>
  <si>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</si>
  <si>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</si>
  <si>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</si>
  <si>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</si>
  <si>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</si>
  <si>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</si>
  <si>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</si>
  <si>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</si>
  <si>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</si>
  <si>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</si>
  <si>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</si>
  <si>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</si>
  <si>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</si>
  <si>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</si>
  <si>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</si>
  <si>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</si>
  <si>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</si>
  <si>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</si>
  <si>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</si>
  <si>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</si>
  <si>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</si>
  <si>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</si>
  <si>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</si>
  <si>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</si>
  <si>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</si>
  <si>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</si>
  <si>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</si>
  <si>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</si>
  <si>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</si>
  <si>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</si>
  <si>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</si>
  <si>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</si>
  <si>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</si>
  <si>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</si>
  <si>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</si>
  <si>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</si>
  <si>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</si>
  <si>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</si>
  <si>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</si>
  <si>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</si>
  <si>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</si>
  <si>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</si>
  <si>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</si>
  <si>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</si>
  <si>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</si>
  <si>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</si>
  <si>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</si>
  <si>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</si>
  <si>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</si>
  <si>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</si>
  <si>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</si>
  <si>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</si>
  <si>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</si>
  <si>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</si>
  <si>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</si>
  <si>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</si>
  <si>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</si>
  <si>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</si>
  <si>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</si>
  <si>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</si>
  <si>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</si>
  <si>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</si>
  <si>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</si>
  <si>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</si>
  <si>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</si>
  <si>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</si>
  <si>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</si>
  <si>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</si>
  <si>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</si>
  <si>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</si>
  <si>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</si>
  <si>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</si>
  <si>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</si>
  <si>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</si>
  <si>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</si>
  <si>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</si>
  <si>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</si>
  <si>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</si>
  <si>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</si>
  <si>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</si>
  <si>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</si>
  <si>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</si>
  <si>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</si>
  <si>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</si>
  <si>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</si>
  <si>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</si>
  <si>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</si>
  <si>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</si>
  <si>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</si>
  <si>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</si>
  <si>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</si>
  <si>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</si>
  <si>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</si>
  <si>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</si>
  <si>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</si>
  <si>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</si>
  <si>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</si>
  <si>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</si>
  <si>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</si>
  <si>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</si>
  <si>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</si>
  <si>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P R E V E N Ç Ã O   E   C O M B A T E   A   I N C Ê N D I O</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</si>
  <si>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</si>
  <si>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</si>
  <si>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</si>
  <si>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</si>
  <si>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</si>
  <si>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</si>
  <si>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</si>
  <si>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</si>
  <si>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</si>
  <si>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</si>
  <si>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</si>
  <si>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</si>
  <si>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</si>
  <si>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</si>
  <si>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</si>
  <si>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</si>
  <si>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</si>
  <si>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</si>
  <si>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</si>
  <si>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</si>
  <si>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</si>
  <si>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</si>
  <si>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</si>
  <si>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</si>
  <si>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</si>
  <si>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</si>
  <si>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</si>
  <si>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</si>
  <si>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</si>
  <si>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</si>
  <si>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</si>
  <si>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</si>
  <si>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</si>
  <si>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</si>
  <si>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</si>
  <si>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</si>
  <si>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</si>
  <si>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</si>
  <si>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</si>
  <si>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</si>
  <si>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</si>
  <si>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</si>
  <si>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</si>
  <si>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</si>
  <si>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</si>
  <si>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</si>
  <si>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</si>
  <si>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</si>
  <si>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</si>
  <si>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</si>
  <si>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</si>
  <si>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</si>
  <si>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</si>
  <si>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</si>
  <si>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</si>
  <si>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</si>
  <si>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</si>
  <si>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</si>
  <si>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</si>
  <si>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</si>
  <si>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</si>
  <si>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</si>
  <si>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</si>
  <si>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</si>
  <si>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</si>
  <si>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</si>
  <si>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</si>
  <si>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</si>
  <si>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</si>
  <si>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</si>
  <si>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</si>
  <si>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</si>
  <si>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</si>
  <si>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</si>
  <si>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</si>
  <si>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</si>
  <si>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</si>
  <si>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</si>
  <si>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</si>
  <si>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</si>
  <si>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</si>
  <si>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</si>
  <si>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</si>
  <si>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</si>
  <si>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</si>
  <si>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</si>
  <si>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</si>
  <si>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</si>
  <si>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</si>
  <si>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</si>
  <si>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</si>
  <si>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</si>
  <si>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</si>
  <si>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</si>
  <si>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</si>
  <si>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</si>
  <si>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</si>
  <si>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</si>
  <si>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</si>
  <si>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</si>
  <si>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</si>
  <si>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</si>
  <si>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</si>
  <si>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</si>
  <si>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</si>
  <si>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</si>
  <si>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</si>
  <si>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</si>
  <si>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</si>
  <si>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</si>
  <si>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</si>
  <si>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</si>
  <si>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</si>
  <si>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</si>
  <si>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</si>
  <si>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</si>
  <si>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</si>
  <si>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</si>
  <si>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</si>
  <si>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</si>
  <si>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</si>
  <si>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</si>
  <si>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</si>
  <si>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</si>
  <si>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</si>
  <si>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</si>
  <si>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</si>
  <si>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</si>
  <si>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</si>
  <si>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</si>
  <si>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</si>
  <si>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</si>
  <si>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</si>
  <si>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</si>
  <si>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</si>
  <si>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</si>
  <si>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</si>
  <si>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</si>
  <si>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</si>
  <si>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</si>
  <si>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</si>
  <si>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</si>
  <si>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</si>
  <si>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</si>
  <si>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</si>
  <si>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</si>
  <si>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</si>
  <si>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</si>
  <si>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</si>
  <si>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</si>
  <si>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</si>
  <si>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</si>
  <si>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</si>
  <si>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</si>
  <si>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</si>
  <si>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</si>
  <si>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</si>
  <si>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</si>
  <si>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</si>
  <si>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</si>
  <si>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</si>
  <si>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</si>
  <si>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</si>
  <si>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</si>
  <si>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</si>
  <si>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</si>
  <si>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</si>
  <si>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</si>
  <si>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</si>
  <si>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</si>
  <si>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</si>
  <si>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</si>
  <si>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</si>
  <si>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</si>
  <si>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</si>
  <si>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</si>
  <si>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</si>
  <si>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</si>
  <si>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</si>
  <si>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</si>
  <si>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</si>
  <si>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</si>
  <si>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</si>
  <si>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</si>
  <si>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</si>
  <si>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</si>
  <si>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</si>
  <si>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</si>
  <si>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</si>
  <si>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</si>
  <si>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</si>
  <si>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</si>
  <si>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</si>
  <si>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</si>
  <si>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</si>
  <si>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</si>
  <si>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</si>
  <si>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</si>
  <si>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</si>
  <si>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</si>
  <si>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</si>
  <si>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</si>
  <si>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</si>
  <si>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</si>
  <si>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</si>
  <si>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</si>
  <si>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</si>
  <si>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</si>
  <si>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</si>
  <si>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</si>
  <si>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</si>
  <si>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</si>
  <si>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</si>
  <si>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</si>
  <si>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</si>
  <si>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</si>
  <si>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</si>
  <si>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</si>
  <si>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</si>
  <si>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</si>
  <si>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</si>
  <si>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</si>
  <si>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</si>
  <si>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</si>
  <si>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</si>
  <si>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</si>
  <si>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</si>
  <si>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</si>
  <si>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</si>
  <si>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</si>
  <si>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</si>
  <si>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</si>
  <si>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</si>
  <si>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</si>
  <si>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</si>
  <si>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</si>
  <si>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</si>
  <si>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</si>
  <si>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</si>
  <si>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</si>
  <si>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</si>
  <si>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</si>
  <si>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</si>
  <si>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</si>
  <si>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</si>
  <si>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</si>
  <si>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</si>
  <si>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</si>
  <si>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</si>
  <si>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</si>
  <si>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</si>
  <si>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</si>
  <si>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</si>
  <si>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</si>
  <si>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</si>
  <si>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</si>
  <si>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</si>
  <si>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</si>
  <si>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</si>
  <si>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</si>
  <si>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</si>
  <si>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</si>
  <si>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</si>
  <si>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</si>
  <si>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</si>
  <si>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</si>
  <si>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</si>
  <si>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</si>
  <si>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</si>
  <si>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</si>
  <si>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</si>
  <si>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</si>
  <si>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</si>
  <si>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</si>
  <si>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</si>
  <si>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</si>
  <si>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</si>
  <si>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</si>
  <si>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</si>
  <si>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</si>
  <si>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</si>
  <si>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ELETRO ATIVA</t>
  </si>
  <si>
    <t>LASTRO COM MATERIAL GRANULAR (PEDRA BRITADA N.3), APLICADO EM PISOS OU LAJES SOBRE SOLO, ESPESSURA DE *10 CM*. AF_07/2019</t>
  </si>
  <si>
    <t>LASTRO COM MATERIAL GRANULAR (AREIA MÉDIA), APLICADO EM PISOS OU LAJES SOBRE SOLO, ESPESSURA DE *10 CM*. AF_07/2019</t>
  </si>
  <si>
    <t>ESCAVAÇÃO MANUAL DE VALA COM PROFUNDIDADE MENOR OU IGUAL A 1,30 M.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</si>
  <si>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</si>
  <si>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</si>
  <si>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</si>
  <si>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</si>
  <si>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</si>
  <si>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</si>
  <si>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</si>
  <si>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PATRICIA</t>
  </si>
  <si>
    <t>VIVEIRO HOLANDES</t>
  </si>
  <si>
    <t>28.634.700/0001-57</t>
  </si>
  <si>
    <t>VIVEIRO SÃO FRANCISCO</t>
  </si>
  <si>
    <t>01.004.739/0001-34</t>
  </si>
  <si>
    <t>(65)3692-4735</t>
  </si>
  <si>
    <t>(65)3623-3451</t>
  </si>
  <si>
    <t>MARCELIA</t>
  </si>
  <si>
    <t>RAFAEL</t>
  </si>
  <si>
    <t>(45) 3113-5400</t>
  </si>
  <si>
    <t>07.140.524/0001-27</t>
  </si>
  <si>
    <t>GINAST</t>
  </si>
  <si>
    <t>(65) 3632-9300</t>
  </si>
  <si>
    <t>Yuri Miranda C. de Oliveira</t>
  </si>
  <si>
    <t>CREA-MT 49090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</si>
  <si>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</si>
  <si>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</si>
  <si>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</si>
  <si>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</si>
  <si>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</si>
  <si>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</si>
  <si>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</si>
  <si>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</si>
  <si>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</si>
  <si>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</si>
  <si>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</si>
  <si>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</si>
  <si>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</si>
  <si>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</si>
  <si>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</si>
  <si>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</si>
  <si>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</si>
  <si>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</si>
  <si>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</si>
  <si>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</si>
  <si>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</si>
  <si>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</si>
  <si>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</si>
  <si>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</si>
  <si>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</si>
  <si>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</si>
  <si>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</si>
  <si>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</si>
  <si>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</si>
  <si>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</si>
  <si>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</si>
  <si>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</si>
  <si>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</si>
  <si>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</si>
  <si>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</si>
  <si>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</si>
  <si>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</si>
  <si>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</si>
  <si>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</si>
  <si>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</si>
  <si>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</si>
  <si>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</si>
  <si>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</si>
  <si>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</si>
  <si>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</si>
  <si>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</si>
  <si>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</si>
  <si>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</si>
  <si>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</si>
  <si>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</si>
  <si>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</si>
  <si>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</si>
  <si>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</si>
  <si>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</si>
  <si>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</si>
  <si>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</si>
  <si>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</si>
  <si>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</si>
  <si>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</si>
  <si>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</si>
  <si>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</si>
  <si>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</si>
  <si>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</si>
  <si>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</si>
  <si>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</si>
  <si>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</si>
  <si>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</si>
  <si>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</si>
  <si>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</si>
  <si>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</si>
  <si>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</si>
  <si>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</si>
  <si>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</si>
  <si>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</si>
  <si>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</si>
  <si>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</si>
  <si>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</si>
  <si>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</si>
  <si>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</si>
  <si>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</si>
  <si>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</si>
  <si>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</si>
  <si>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</si>
  <si>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</si>
  <si>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</si>
  <si>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</si>
  <si>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</si>
  <si>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</si>
  <si>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</si>
  <si>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</si>
  <si>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</si>
  <si>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</si>
  <si>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</si>
  <si>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</si>
  <si>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</si>
  <si>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</si>
  <si>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</si>
  <si>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</si>
  <si>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</si>
  <si>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</si>
  <si>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</si>
  <si>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</si>
  <si>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</si>
  <si>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</si>
  <si>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</si>
  <si>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</si>
  <si>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</si>
  <si>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</si>
  <si>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</si>
  <si>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</si>
  <si>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</si>
  <si>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</si>
  <si>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</si>
  <si>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</si>
  <si>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</si>
  <si>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</si>
  <si>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</si>
  <si>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</si>
  <si>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</si>
  <si>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</si>
  <si>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</si>
  <si>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</si>
  <si>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</si>
  <si>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TERMINAL AÉREO EM AÇO GALVANIZADO COM BASE DE FIXAÇÃO H=30CM</t>
  </si>
  <si>
    <t>JANELAS EM ALUMÍNIO</t>
  </si>
  <si>
    <t>JANELAS EM CHAPA DE AÇO</t>
  </si>
  <si>
    <t>ESTRUTURA DE MADEIRA</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</si>
  <si>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</si>
  <si>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</si>
  <si>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</si>
  <si>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</si>
  <si>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</si>
  <si>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</si>
  <si>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</si>
  <si>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</si>
  <si>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</si>
  <si>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</si>
  <si>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</si>
  <si>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</si>
  <si>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</si>
  <si>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</si>
  <si>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</si>
  <si>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</si>
  <si>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</si>
  <si>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</si>
  <si>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</si>
  <si>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</si>
  <si>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</si>
  <si>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</si>
  <si>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</si>
  <si>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</si>
  <si>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</si>
  <si>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</si>
  <si>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</si>
  <si>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</si>
  <si>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</si>
  <si>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</si>
  <si>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</si>
  <si>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CARGA, MANOBRA E DESCARGA MANUAL DE TUBOS PLÁSTICOS, DN 150 MM, EM CAMINHÃO CARROCERIA 9T.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</si>
  <si>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</si>
  <si>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</si>
  <si>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</si>
  <si>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</si>
  <si>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</si>
  <si>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</si>
  <si>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</si>
  <si>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</si>
  <si>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</si>
  <si>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</si>
  <si>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</si>
  <si>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</si>
  <si>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</si>
  <si>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</si>
  <si>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</si>
  <si>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</si>
  <si>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</si>
  <si>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</si>
  <si>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</si>
  <si>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</si>
  <si>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</si>
  <si>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</si>
  <si>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</si>
  <si>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</si>
  <si>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</si>
  <si>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</si>
  <si>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</si>
  <si>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</si>
  <si>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</si>
  <si>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</si>
  <si>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</si>
  <si>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</si>
  <si>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</si>
  <si>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</si>
  <si>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</si>
  <si>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</si>
  <si>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</si>
  <si>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</si>
  <si>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</si>
  <si>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</si>
  <si>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</si>
  <si>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</si>
  <si>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</si>
  <si>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</si>
  <si>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</si>
  <si>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</si>
  <si>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</si>
  <si>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</si>
  <si>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</si>
  <si>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</si>
  <si>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</si>
  <si>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</si>
  <si>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</si>
  <si>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</si>
  <si>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</si>
  <si>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</si>
  <si>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</si>
  <si>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</si>
  <si>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</si>
  <si>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</si>
  <si>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</si>
  <si>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</si>
  <si>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</si>
  <si>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</si>
  <si>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</si>
  <si>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</si>
  <si>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</si>
  <si>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</si>
  <si>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</si>
  <si>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</si>
  <si>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</si>
  <si>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</si>
  <si>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</si>
  <si>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</si>
  <si>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</si>
  <si>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</si>
  <si>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</si>
  <si>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</si>
  <si>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</si>
  <si>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</si>
  <si>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</si>
  <si>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</si>
  <si>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</si>
  <si>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</si>
  <si>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</si>
  <si>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</si>
  <si>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</si>
  <si>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</si>
  <si>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</si>
  <si>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</si>
  <si>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</si>
  <si>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</si>
  <si>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</si>
  <si>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</si>
  <si>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</si>
  <si>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</si>
  <si>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</si>
  <si>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</si>
  <si>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</si>
  <si>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</si>
  <si>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</si>
  <si>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</si>
  <si>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</si>
  <si>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</si>
  <si>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</si>
  <si>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</si>
  <si>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</si>
  <si>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</si>
  <si>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</si>
  <si>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</si>
  <si>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</si>
  <si>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</si>
  <si>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</si>
  <si>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</si>
  <si>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</si>
  <si>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</si>
  <si>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</si>
  <si>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</si>
  <si>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</si>
  <si>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</si>
  <si>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</si>
  <si>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</si>
  <si>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</si>
  <si>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</si>
  <si>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</si>
  <si>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</si>
  <si>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</si>
  <si>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</si>
  <si>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</si>
  <si>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</si>
  <si>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</si>
  <si>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</si>
  <si>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</si>
  <si>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</si>
  <si>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</si>
  <si>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</si>
  <si>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</si>
  <si>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</si>
  <si>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</si>
  <si>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</si>
  <si>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</si>
  <si>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</si>
  <si>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</si>
  <si>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</si>
  <si>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</si>
  <si>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</si>
  <si>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</si>
  <si>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</si>
  <si>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</si>
  <si>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</si>
  <si>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</si>
  <si>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</si>
  <si>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</si>
  <si>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</si>
  <si>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</si>
  <si>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</si>
  <si>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</si>
  <si>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</si>
  <si>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</si>
  <si>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</si>
  <si>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</si>
  <si>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</si>
  <si>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</si>
  <si>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</si>
  <si>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</si>
  <si>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</si>
  <si>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</si>
  <si>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</si>
  <si>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</si>
  <si>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</si>
  <si>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</si>
  <si>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</si>
  <si>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</si>
  <si>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</si>
  <si>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</si>
  <si>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</si>
  <si>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</si>
  <si>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</si>
  <si>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</si>
  <si>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</si>
  <si>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</si>
  <si>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</si>
  <si>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</si>
  <si>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</si>
  <si>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</si>
  <si>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</si>
  <si>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</si>
  <si>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</si>
  <si>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</si>
  <si>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</si>
  <si>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</si>
  <si>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</si>
  <si>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</si>
  <si>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</si>
  <si>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</si>
  <si>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</si>
  <si>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</si>
  <si>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</si>
  <si>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</si>
  <si>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</si>
  <si>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</si>
  <si>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</si>
  <si>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</si>
  <si>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</si>
  <si>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</si>
  <si>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</si>
  <si>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</si>
  <si>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</si>
  <si>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</si>
  <si>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</si>
  <si>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</si>
  <si>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</si>
  <si>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</si>
  <si>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</si>
  <si>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</si>
  <si>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</si>
  <si>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</si>
  <si>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</si>
  <si>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</si>
  <si>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</si>
  <si>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</si>
  <si>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</si>
  <si>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</si>
  <si>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</si>
  <si>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</si>
  <si>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</si>
  <si>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</si>
  <si>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</si>
  <si>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</si>
  <si>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</si>
  <si>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</si>
  <si>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</si>
  <si>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</si>
  <si>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</si>
  <si>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</si>
  <si>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</si>
  <si>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</si>
  <si>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</si>
  <si>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</si>
  <si>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</si>
  <si>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</si>
  <si>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</si>
  <si>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</si>
  <si>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</si>
  <si>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</si>
  <si>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</si>
  <si>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</si>
  <si>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</si>
  <si>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</si>
  <si>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</si>
  <si>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</si>
  <si>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</si>
  <si>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</si>
  <si>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</si>
  <si>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</si>
  <si>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</si>
  <si>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</si>
  <si>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</si>
  <si>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</si>
  <si>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</si>
  <si>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</si>
  <si>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</si>
  <si>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</si>
  <si>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</si>
  <si>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</si>
  <si>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</si>
  <si>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</si>
  <si>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</si>
  <si>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</si>
  <si>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</si>
  <si>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</si>
  <si>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ESCAVAÇÃO MANUAL PARA BLOCO DE COROAMENTO OU SAPATA (INCLUINDO ESCAVAÇÃO PARA COLOCAÇÃO DE FÔRMAS). AF_06/2017</t>
  </si>
  <si>
    <t>RECOMPOSIÇÃO DE PAVIMENTO EM PISO INTERTRAVADO, COM REAPROVEITAMENTO DOS BLOCOS INTERTRAVADOS, PARA FECHAMENTO DE VALAS - INCLUSO RETIRADA E COLOCAÇÃO DO MATERIAL. AF_12/2020</t>
  </si>
  <si>
    <t>CARGA, MANOBRA E DESCARGA DE TUBOS PLÁSTICOS, DN 400 MM, EM CAMINHÃO CARROCERIA COM GUINDAUTO (MUNCK) 11,7 TM. AF_07/2020</t>
  </si>
  <si>
    <t>BANCO DE PRAÇA EM MADEIRA, PÉS METÁLICOS</t>
  </si>
  <si>
    <t>VIVEIRO CENTRO OESTE</t>
  </si>
  <si>
    <t>(65) 99224319</t>
  </si>
  <si>
    <t>AILTON</t>
  </si>
  <si>
    <t>(65) 992293724</t>
  </si>
  <si>
    <t>MARIA</t>
  </si>
  <si>
    <t>02.281.439/0001-65</t>
  </si>
  <si>
    <t>IMEPP</t>
  </si>
  <si>
    <t>22.039.083/0001-65</t>
  </si>
  <si>
    <t>(65) 3661-1866</t>
  </si>
  <si>
    <t>06.110.817/0004-41</t>
  </si>
  <si>
    <t>TUDO HIDRAULICA E ELETRICA</t>
  </si>
  <si>
    <t>AMANDA LISBOA</t>
  </si>
  <si>
    <t>COTELÉTRICA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</si>
  <si>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</si>
  <si>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</si>
  <si>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</si>
  <si>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</si>
  <si>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</si>
  <si>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</si>
  <si>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</si>
  <si>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</si>
  <si>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</si>
  <si>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</si>
  <si>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</si>
  <si>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</si>
  <si>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</si>
  <si>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</si>
  <si>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</si>
  <si>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</si>
  <si>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</si>
  <si>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</si>
  <si>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</si>
  <si>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</si>
  <si>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</si>
  <si>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</si>
  <si>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</si>
  <si>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</si>
  <si>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</si>
  <si>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</si>
  <si>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</si>
  <si>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</si>
  <si>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</si>
  <si>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</si>
  <si>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</si>
  <si>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</si>
  <si>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</si>
  <si>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</si>
  <si>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</si>
  <si>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</si>
  <si>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</si>
  <si>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</si>
  <si>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</si>
  <si>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</si>
  <si>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</si>
  <si>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</si>
  <si>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</si>
  <si>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</si>
  <si>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</si>
  <si>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</si>
  <si>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</si>
  <si>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</si>
  <si>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</si>
  <si>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</si>
  <si>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</si>
  <si>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</si>
  <si>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</si>
  <si>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</si>
  <si>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</si>
  <si>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</si>
  <si>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</si>
  <si>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</si>
  <si>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</si>
  <si>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</si>
  <si>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</si>
  <si>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</si>
  <si>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</si>
  <si>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</si>
  <si>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</si>
  <si>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</si>
  <si>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</si>
  <si>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</si>
  <si>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</si>
  <si>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</si>
  <si>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</si>
  <si>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</si>
  <si>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</si>
  <si>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</si>
  <si>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</si>
  <si>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</si>
  <si>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</si>
  <si>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</si>
  <si>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</si>
  <si>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</si>
  <si>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</si>
  <si>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</si>
  <si>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</si>
  <si>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</si>
  <si>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</si>
  <si>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</si>
  <si>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</si>
  <si>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</si>
  <si>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</si>
  <si>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</si>
  <si>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</si>
  <si>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</si>
  <si>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</si>
  <si>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</si>
  <si>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</si>
  <si>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</si>
  <si>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</si>
  <si>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</si>
  <si>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</si>
  <si>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</si>
  <si>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</si>
  <si>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</si>
  <si>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</si>
  <si>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</si>
  <si>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</si>
  <si>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</si>
  <si>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</si>
  <si>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</si>
  <si>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</si>
  <si>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</si>
  <si>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</si>
  <si>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</si>
  <si>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</si>
  <si>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</si>
  <si>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</si>
  <si>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</si>
  <si>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</si>
  <si>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</si>
  <si>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</si>
  <si>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</si>
  <si>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</si>
  <si>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</si>
  <si>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</si>
  <si>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</si>
  <si>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</si>
  <si>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ESTAÇÃO DA ALEGRIA</t>
  </si>
  <si>
    <t>26.174.910/0001-84</t>
  </si>
  <si>
    <t>(62) 3541-3651</t>
  </si>
  <si>
    <t>JAIR</t>
  </si>
  <si>
    <t>GOLONI</t>
  </si>
  <si>
    <t>04.019.684/0001-24</t>
  </si>
  <si>
    <t>(11) 3808-9000</t>
  </si>
  <si>
    <t>CARLA</t>
  </si>
  <si>
    <t>MILLA</t>
  </si>
  <si>
    <t>10.555.495/0001-79</t>
  </si>
  <si>
    <t>(19) 3363-1051</t>
  </si>
  <si>
    <t>TATIANA</t>
  </si>
  <si>
    <t>14.084.647/0001-53</t>
  </si>
  <si>
    <t>MICHELLE</t>
  </si>
  <si>
    <t>(11) 4098-1917</t>
  </si>
  <si>
    <t>SELVA EQUIPAMENTOS</t>
  </si>
  <si>
    <t>O FORNECEDOR ESTAÇÃO DA ALEGRIA APRESENTOU O FRETE SEPARADO, ENTÃO, FOI DIVIDIDO O VALOR TOTAL DO FRETE PELO NÚMERO DE EQUIPAMENTOS DA PROPOSTAS E ADICIONADO AO VALOR UNITÁRIO DE CADA EQUIPAMENTO.</t>
  </si>
  <si>
    <t>OS FORNECEDORES ESTAÇÃO DA ALEGRIA E SELVA EQUIPAMENTOS, APRESENTARAM O VALOR DO FRETE SEPARADO, ENTÃO, FOI DIVIDIDO O VALOR TOTAL DO FRETE PELO NÚMERO DE EQUIPAMENTOS DA PROPOSTA E ADICIONADO AO VALOR UNITÁRIO DE CADA EQUIPAMENTO.</t>
  </si>
  <si>
    <t>ELETRICA VARZEA GRANDE</t>
  </si>
  <si>
    <t>36.382.994/0001-03</t>
  </si>
  <si>
    <t>(65) 3927-5565</t>
  </si>
  <si>
    <t>YAKAO</t>
  </si>
  <si>
    <t>(65) 3648-3000</t>
  </si>
  <si>
    <t>MULTISEG</t>
  </si>
  <si>
    <t>09.029.376/0001-01</t>
  </si>
  <si>
    <t>MATHEUS</t>
  </si>
  <si>
    <t xml:space="preserve">ELETRO ATIVA </t>
  </si>
  <si>
    <t>DAMBROS</t>
  </si>
  <si>
    <t>11.113.763/0001-65</t>
  </si>
  <si>
    <t>(65) 3661-7232</t>
  </si>
  <si>
    <t>DEUZIMAR</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</si>
  <si>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</si>
  <si>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</si>
  <si>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</si>
  <si>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</si>
  <si>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</si>
  <si>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</si>
  <si>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</si>
  <si>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</si>
  <si>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</si>
  <si>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</si>
  <si>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</si>
  <si>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</si>
  <si>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</si>
  <si>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</si>
  <si>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</si>
  <si>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</si>
  <si>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</si>
  <si>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</si>
  <si>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</si>
  <si>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</si>
  <si>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</si>
  <si>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</si>
  <si>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</si>
  <si>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</si>
  <si>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</si>
  <si>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</si>
  <si>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</si>
  <si>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</si>
  <si>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</si>
  <si>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</si>
  <si>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</si>
  <si>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</si>
  <si>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</si>
  <si>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</si>
  <si>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</si>
  <si>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</si>
  <si>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</si>
  <si>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</si>
  <si>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</si>
  <si>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</si>
  <si>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</si>
  <si>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</si>
  <si>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</si>
  <si>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</si>
  <si>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</si>
  <si>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</si>
  <si>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</si>
  <si>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</si>
  <si>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</si>
  <si>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</si>
  <si>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</si>
  <si>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</si>
  <si>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</si>
  <si>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</si>
  <si>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</si>
  <si>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</si>
  <si>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</si>
  <si>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</si>
  <si>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</si>
  <si>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</si>
  <si>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</si>
  <si>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</si>
  <si>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</si>
  <si>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</si>
  <si>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</si>
  <si>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</si>
  <si>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</si>
  <si>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</si>
  <si>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</si>
  <si>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</si>
  <si>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</si>
  <si>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</si>
  <si>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</si>
  <si>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</si>
  <si>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</si>
  <si>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</si>
  <si>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</si>
  <si>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</si>
  <si>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</si>
  <si>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</si>
  <si>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</si>
  <si>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</si>
  <si>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</si>
  <si>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</si>
  <si>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</si>
  <si>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</si>
  <si>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</si>
  <si>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</si>
  <si>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</si>
  <si>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</si>
  <si>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</si>
  <si>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</si>
  <si>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</si>
  <si>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</si>
  <si>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</si>
  <si>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</si>
  <si>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</si>
  <si>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</si>
  <si>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</si>
  <si>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</si>
  <si>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</si>
  <si>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</si>
  <si>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</si>
  <si>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</si>
  <si>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</si>
  <si>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</si>
  <si>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</si>
  <si>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</si>
  <si>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MEMORIAL DE CALCULO DE MOVIMENTAÇÃO DE TERRA / FUNDAÇÕES</t>
  </si>
  <si>
    <t>S1</t>
  </si>
  <si>
    <t>COMPRIMENTO</t>
  </si>
  <si>
    <t>REATERRO</t>
  </si>
  <si>
    <t>V1</t>
  </si>
  <si>
    <t>V2</t>
  </si>
  <si>
    <t>V3</t>
  </si>
  <si>
    <t>V4</t>
  </si>
  <si>
    <t>V5</t>
  </si>
  <si>
    <t>V6</t>
  </si>
  <si>
    <t>V7</t>
  </si>
  <si>
    <t>V8</t>
  </si>
  <si>
    <t>V9</t>
  </si>
  <si>
    <t>V10</t>
  </si>
  <si>
    <t>V11</t>
  </si>
  <si>
    <t>V12</t>
  </si>
  <si>
    <t>V13</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</si>
  <si>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</si>
  <si>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</si>
  <si>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</si>
  <si>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</si>
  <si>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</si>
  <si>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</si>
  <si>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</si>
  <si>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</si>
  <si>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</si>
  <si>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</si>
  <si>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</si>
  <si>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</si>
  <si>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</si>
  <si>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</si>
  <si>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</si>
  <si>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</si>
  <si>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</si>
  <si>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</si>
  <si>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</si>
  <si>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</si>
  <si>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</si>
  <si>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</si>
  <si>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</si>
  <si>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</si>
  <si>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</si>
  <si>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</si>
  <si>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</si>
  <si>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</si>
  <si>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</si>
  <si>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**COMPOSIÇÃO BASEADA NA TABELA ORSE CÓD 10179 - (NOVEMBRO/2021)</t>
  </si>
  <si>
    <t>**COMPOSIÇÃO BASEADA NA TABELA ORSE CÓD 02656 - (NOVEMBRO/2021)</t>
  </si>
  <si>
    <t>**COMPOSIÇÃO BASEADA NA TABELA ORSE CÓD 02657- (NOVEMBRO/2021)</t>
  </si>
  <si>
    <t>**COMPOSIÇÃO BASEADA NA TABELA ORSE CÓD 02658 - (NOVEMBRO/2021)</t>
  </si>
  <si>
    <t>**COMPOSIÇÃO BASEADA NA TABELA ORSE CÓD 02241 - (NOVEMBRO/2021)</t>
  </si>
  <si>
    <r>
      <t>**</t>
    </r>
    <r>
      <rPr>
        <sz val="12"/>
        <color theme="1"/>
        <rFont val="Arial"/>
        <family val="2"/>
      </rPr>
      <t>COMPOSIÇÃO BASEADA NO CÓDIGO 09144</t>
    </r>
    <r>
      <rPr>
        <sz val="12"/>
        <rFont val="Arial"/>
        <family val="2"/>
      </rPr>
      <t>/ORSE - NOVEMBRO/2021 - FOI MULTIPLICADO POR X3 O COEFICIENTE DO INSUMO 94963- CONCRETO FCK = 15 MPA</t>
    </r>
  </si>
  <si>
    <r>
      <t>**</t>
    </r>
    <r>
      <rPr>
        <sz val="12"/>
        <color theme="1"/>
        <rFont val="Arial"/>
        <family val="2"/>
      </rPr>
      <t>COMPOSIÇÃO BASEADA NO CÓDIGO 11388</t>
    </r>
    <r>
      <rPr>
        <sz val="12"/>
        <rFont val="Arial"/>
        <family val="2"/>
      </rPr>
      <t>/ORSE - NOVEMBRO/2021</t>
    </r>
  </si>
  <si>
    <r>
      <t>**</t>
    </r>
    <r>
      <rPr>
        <sz val="12"/>
        <color theme="1"/>
        <rFont val="Arial"/>
        <family val="2"/>
      </rPr>
      <t>COMPOSIÇÃO BASEADA NO CÓDIGO 09148</t>
    </r>
    <r>
      <rPr>
        <sz val="12"/>
        <rFont val="Arial"/>
        <family val="2"/>
      </rPr>
      <t>/ORSE - NOVEMBRO/2021</t>
    </r>
  </si>
  <si>
    <r>
      <t>**</t>
    </r>
    <r>
      <rPr>
        <sz val="12"/>
        <color theme="1"/>
        <rFont val="Arial"/>
        <family val="2"/>
      </rPr>
      <t>COMPOSIÇÃO BASEADA NO CÓDIGO 09148</t>
    </r>
    <r>
      <rPr>
        <sz val="12"/>
        <rFont val="Arial"/>
        <family val="2"/>
      </rPr>
      <t>/ORSE - NOVEMBRO/2021, FOI DIVIDIDO POR X2 E MULTIPLICADO POR X3 O COEFICIENTE DO INSUMO 94963- CONCRETO FCK = 15 MPA</t>
    </r>
  </si>
  <si>
    <r>
      <t>**</t>
    </r>
    <r>
      <rPr>
        <sz val="12"/>
        <color theme="1"/>
        <rFont val="Arial"/>
        <family val="2"/>
      </rPr>
      <t>COMPOSIÇÃO BASEADA NO CÓDIGO 11387</t>
    </r>
    <r>
      <rPr>
        <sz val="12"/>
        <rFont val="Arial"/>
        <family val="2"/>
      </rPr>
      <t>/ORSE - NOVEMBRO/2021</t>
    </r>
  </si>
  <si>
    <r>
      <t>**</t>
    </r>
    <r>
      <rPr>
        <sz val="12"/>
        <color theme="1"/>
        <rFont val="Arial"/>
        <family val="2"/>
      </rPr>
      <t>COMPOSIÇÃO BASEADA NO CÓDIGO 09144</t>
    </r>
    <r>
      <rPr>
        <sz val="12"/>
        <rFont val="Arial"/>
        <family val="2"/>
      </rPr>
      <t>/ORSE - NOVEMBRO/2021</t>
    </r>
  </si>
  <si>
    <r>
      <t>**</t>
    </r>
    <r>
      <rPr>
        <sz val="12"/>
        <color theme="1"/>
        <rFont val="Arial"/>
        <family val="2"/>
      </rPr>
      <t>COMPOSIÇÃO BASEADA NO CÓDIGO 12447</t>
    </r>
    <r>
      <rPr>
        <sz val="12"/>
        <rFont val="Arial"/>
        <family val="2"/>
      </rPr>
      <t>/ORSE - NOVEMBRO/2021</t>
    </r>
  </si>
  <si>
    <r>
      <t>**</t>
    </r>
    <r>
      <rPr>
        <sz val="12"/>
        <color theme="1"/>
        <rFont val="Arial"/>
        <family val="2"/>
      </rPr>
      <t>COMPOSIÇÃO BASEADA NO CÓDIGO 09146</t>
    </r>
    <r>
      <rPr>
        <sz val="12"/>
        <rFont val="Arial"/>
        <family val="2"/>
      </rPr>
      <t>/ORSE - NOVEMBRO/2021</t>
    </r>
  </si>
  <si>
    <r>
      <t>**</t>
    </r>
    <r>
      <rPr>
        <sz val="12"/>
        <color theme="1"/>
        <rFont val="Arial"/>
        <family val="2"/>
      </rPr>
      <t>COMPOSIÇÃO BASEADA NO CÓDIGO 09143</t>
    </r>
    <r>
      <rPr>
        <sz val="12"/>
        <rFont val="Arial"/>
        <family val="2"/>
      </rPr>
      <t>/ORSE - NOVEMBRO/2021</t>
    </r>
  </si>
  <si>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</si>
  <si>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</si>
  <si>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</si>
  <si>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</si>
  <si>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</si>
  <si>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</si>
  <si>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</si>
  <si>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</si>
  <si>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</si>
  <si>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</si>
  <si>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</si>
  <si>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</si>
  <si>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</si>
  <si>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</si>
  <si>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</si>
  <si>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</si>
  <si>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</si>
  <si>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</si>
  <si>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</si>
  <si>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</si>
  <si>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</si>
  <si>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</si>
  <si>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</si>
  <si>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</si>
  <si>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</si>
  <si>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</si>
  <si>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</si>
  <si>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</si>
  <si>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</si>
  <si>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</si>
  <si>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</si>
  <si>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</si>
  <si>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</si>
  <si>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</si>
  <si>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</si>
  <si>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</si>
  <si>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</si>
  <si>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</si>
  <si>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</si>
  <si>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</si>
  <si>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</si>
  <si>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</si>
  <si>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</si>
  <si>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</si>
  <si>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</si>
  <si>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</si>
  <si>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</si>
  <si>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</si>
  <si>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</si>
  <si>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</si>
  <si>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</si>
  <si>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</si>
  <si>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</si>
  <si>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</si>
  <si>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</si>
  <si>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</si>
  <si>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</si>
  <si>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</si>
  <si>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</si>
  <si>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</si>
  <si>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</si>
  <si>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</si>
  <si>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</si>
  <si>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</si>
  <si>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</si>
  <si>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</si>
  <si>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</si>
  <si>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</si>
  <si>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</si>
  <si>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</si>
  <si>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</si>
  <si>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</si>
  <si>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</si>
  <si>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</si>
  <si>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</si>
  <si>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</si>
  <si>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</si>
  <si>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</si>
  <si>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</si>
  <si>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</si>
  <si>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</si>
  <si>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</si>
  <si>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</si>
  <si>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</si>
  <si>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</si>
  <si>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</si>
  <si>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</si>
  <si>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</si>
  <si>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</si>
  <si>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</si>
  <si>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</si>
  <si>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</si>
  <si>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</si>
  <si>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</si>
  <si>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</si>
  <si>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</si>
  <si>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</si>
  <si>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</si>
  <si>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</si>
  <si>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</si>
  <si>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</si>
  <si>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</si>
  <si>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</si>
  <si>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</si>
  <si>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</si>
  <si>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</si>
  <si>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</si>
  <si>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</si>
  <si>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</si>
  <si>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</si>
  <si>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</si>
  <si>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</si>
  <si>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</si>
  <si>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</si>
  <si>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</si>
  <si>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</si>
  <si>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</si>
  <si>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</si>
  <si>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</si>
  <si>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</si>
  <si>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</si>
  <si>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</si>
  <si>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</si>
  <si>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</si>
  <si>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</si>
  <si>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</si>
  <si>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</si>
  <si>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</si>
  <si>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</si>
  <si>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</si>
  <si>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</si>
  <si>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</si>
  <si>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ANDERSON</t>
  </si>
  <si>
    <t>GEOTÊXTIL NÃO TECIDO 100% POLIÉSTER, RESISTÊNCIA A TRAÇÃO DE 31 KN/M (RT-31), INSTALADO EM DRENO - FORNECIMENTO E INSTALAÇÃO. AF_07/2021</t>
  </si>
  <si>
    <t>APLICAÇÃO MASSA ACRÍLICA PARA MADEIRA, PARA PINTURA COM TINTA DE ACABAMENTO (PIGMENTADA). AF_01/2021</t>
  </si>
  <si>
    <t>ele</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</si>
  <si>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</si>
  <si>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</si>
  <si>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</si>
  <si>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</si>
  <si>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</si>
  <si>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</si>
  <si>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</si>
  <si>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</si>
  <si>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</si>
  <si>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</si>
  <si>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</si>
  <si>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</si>
  <si>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</si>
  <si>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</si>
  <si>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</si>
  <si>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</si>
  <si>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</si>
  <si>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</si>
  <si>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</si>
  <si>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</si>
  <si>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</si>
  <si>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</si>
  <si>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</si>
  <si>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</si>
  <si>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</si>
  <si>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</si>
  <si>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</si>
  <si>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CURVA ABC</t>
  </si>
  <si>
    <t xml:space="preserve">% </t>
  </si>
  <si>
    <t>% ACUM</t>
  </si>
  <si>
    <t>CURVA</t>
  </si>
  <si>
    <t xml:space="preserve">FORNECIMENTO E COLOCAÇÃO DE GRAMA SINTÉTICA 50 MM PARA CAMPO DE FUTEBOL </t>
  </si>
  <si>
    <t>PISO EM TÁBUA CORRIDA DE MADEIRA, RÉGUAS MACHO E FÊMEA 15 X 2 CM, SOBRE ESTRUTURA METÁLICA</t>
  </si>
  <si>
    <t>PILAR DE MADEIRA, D = 30 A 34 CM, EM EUCALIPTO OU EQUIVALENTE DA REGIÃO</t>
  </si>
  <si>
    <t>FORNECIMENTO E INSTALAÇÃO DE PÁRA-RAIO TIPO BANDEIRA, H = 3M</t>
  </si>
  <si>
    <t>FORNECIMENTO E INSTALAÇÃO DE CAIXA DE EQUALIZAÇÃO DE EMBUTIR, COM BARRAMENTO E 9 TERMINAIS, APROX. 26X26X10 CM</t>
  </si>
  <si>
    <t>FORNECIMENTO E INSTALAÇÃO DE SUPORTE ISOLADOR REFORCADO DIAMETRO NOMINAL 5/16", COM ROSCA SOBERBA E BUCHA</t>
  </si>
  <si>
    <t>FORNECIMENTO E INSTALAÇÃO DE SUPORTE ISOLADOR SIMPLES DIAMETRO NOMINAL 5/16", COM ROSCA SOBERBA E BUCHA</t>
  </si>
  <si>
    <t>FORNECIMENTO E INSTALAÇÃO DE CONECTOR DE MEDIÇÃO C/ 2 PARAFUSOS</t>
  </si>
  <si>
    <t>FORNECIMENTO E INSTALAÇÃO DE ABRACADEIRA EM ACO PARA AMARRACAO DE ELETRODUTOS, TIPO D, COM 1" E PARAFUSO DE FIXACAO</t>
  </si>
  <si>
    <t>TOTAL GERAL</t>
  </si>
  <si>
    <t>COTAÇÃO - 01</t>
  </si>
  <si>
    <t>COTAÇÃO - 02</t>
  </si>
  <si>
    <t>FAGNER</t>
  </si>
  <si>
    <t>HERICSON</t>
  </si>
  <si>
    <t>EMENDA INTERNA PARA ELETROCALHA PERFURADA GALVANIZADA DE 50 X 50 X 3000mm</t>
  </si>
  <si>
    <t>**COMPOSIÇÃO BASEADA NA TABELA SIURB - SP - CÓDIGO 15505 - JANEIRO/2022, COMPOSIÇÃO ANALÍTICA, OBS: O ITEM FUNDO CROMATO DE ZINCO FOI SUBSTITUIDO PELO ITEM FUNDO ANTICORROSIVOPARA METAIS FERROSOS (ZARCAO)</t>
  </si>
  <si>
    <t xml:space="preserve">**COMPOSIÇÃO BASEADA NA TABELA SIURB - SP - CÓDIGO 15512 - JANEIRO/2022, COMPOSIÇÃO ANALÍTICA </t>
  </si>
  <si>
    <t>FORNECIMENTO DE ESTRUTURA METÁLICA  COM UTILIZAÇÃO DE PERFIS EM AÇO ASTM A36, COM FUNDO ATINCORROSIVO (ZARÇÃO)</t>
  </si>
  <si>
    <t xml:space="preserve">D E M O L I Ç Ã O   E   R E T I R A D A S </t>
  </si>
  <si>
    <t xml:space="preserve"> 1 KG ----------- 0,002 M3
X ---------- 0,005 M3
x: 2,5 KG</t>
  </si>
  <si>
    <t>**COMPOSIÇÃO BASEADA NA TABELA ORSE NOVEMBRO/2021, CÓDIGO 10234/ORSE, OBS: ADUBO ORGANICO SUBSTITUIDO POR FERTILIZANTE ORGANICO, COMO O A UNIDADE DE MEDIDA É DIFERENTE DA COMPOSIÇÃO ORIGINAL, SEGUE MEMORIA DE CALCULO ABAIXO</t>
  </si>
  <si>
    <t xml:space="preserve"> 1 KG ----------- 0,002 M3
X ---------- 0,1 M3
x: 50 KG</t>
  </si>
  <si>
    <t xml:space="preserve">CONFORME OBSERVA-SE NO CADERNO DE ESPECIFICAÇÃO TÉCNICA DE INSUMO (ARQUIVO 1- INSUMO DE A  À G- 02/2022) A INDICAÇÃO DA CT/50 EMBRAPA AGROBIOLOGIA DE DEZ/2001 QUE PONTUA NO ITEM 5- DOSAGEM, A SEGUINTE INFORMAÇÃO: ''UM QUILO DE COMPOSTO EQUIVALE A MAIS OU MENOS 2 LITROS DESSE MESMO COMPOSTO''. COMO 2 LITROS EQUIVALEM A 0,002 M3, 1KG DO COMPOSTO EQUIVALE A 0,002M3. SE NA COMPOSIÇÃO SÃO DECESSÁRIOS 0,1M3 ESTE EQUIVALE A 50KG DO COMPOSTO. </t>
  </si>
  <si>
    <t xml:space="preserve">OBSERVA-SE NO CADERNO DE ESPECIFICAÇÃO TÉCNICA DE INSUMO (ARQUIVO 1- INSUMO DE A Á G 02/2022) A INDICAÇÃO DA CT/50 EMBRAPA AGROBIOLOGIA DE DEZ/2001 QUE PONTUA NO ITEM 5- DOSAGEM A SEGUINTE INFORMAÇÕES: ''UM QUILO DE COMPOSTO EQUIVALEM A MAIS OU MENOS 2 LITROS DESTE MESMO COMPOSTO'', COMO 2 LITROS EQUIVALEM A  0,002M3, 1KG DE COMPOSTO EQUIVALE A 0,002M3. </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</si>
  <si>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</si>
  <si>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</si>
  <si>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</si>
  <si>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</si>
  <si>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</si>
  <si>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</si>
  <si>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</si>
  <si>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</si>
  <si>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</si>
  <si>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</si>
  <si>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</si>
  <si>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</si>
  <si>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</si>
  <si>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</si>
  <si>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</si>
  <si>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</si>
  <si>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</si>
  <si>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</si>
  <si>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</si>
  <si>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</si>
  <si>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</si>
  <si>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</si>
  <si>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</si>
  <si>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</si>
  <si>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</si>
  <si>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</si>
  <si>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</si>
  <si>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</si>
  <si>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</si>
  <si>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</si>
  <si>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</si>
  <si>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</si>
  <si>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</si>
  <si>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</si>
  <si>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</si>
  <si>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</si>
  <si>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</si>
  <si>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</si>
  <si>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</si>
  <si>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</si>
  <si>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</si>
  <si>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</si>
  <si>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</si>
  <si>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</si>
  <si>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</si>
  <si>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</si>
  <si>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</si>
  <si>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</si>
  <si>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</si>
  <si>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</si>
  <si>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</si>
  <si>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</si>
  <si>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</si>
  <si>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</si>
  <si>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</si>
  <si>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</si>
  <si>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</si>
  <si>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</si>
  <si>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</si>
  <si>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</si>
  <si>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</si>
  <si>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</si>
  <si>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</si>
  <si>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</si>
  <si>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</si>
  <si>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</si>
  <si>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</si>
  <si>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</si>
  <si>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</si>
  <si>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</si>
  <si>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</si>
  <si>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</si>
  <si>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</si>
  <si>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</si>
  <si>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</si>
  <si>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</si>
  <si>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</si>
  <si>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</si>
  <si>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</si>
  <si>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</si>
  <si>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</si>
  <si>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</si>
  <si>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</si>
  <si>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</si>
  <si>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</si>
  <si>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</si>
  <si>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</si>
  <si>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</si>
  <si>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</si>
  <si>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</si>
  <si>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</si>
  <si>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</si>
  <si>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</si>
  <si>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</si>
  <si>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</si>
  <si>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</si>
  <si>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</si>
  <si>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</si>
  <si>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</si>
  <si>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</si>
  <si>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</si>
  <si>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</si>
  <si>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</si>
  <si>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</si>
  <si>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</si>
  <si>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</si>
  <si>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</si>
  <si>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</si>
  <si>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</si>
  <si>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</si>
  <si>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</si>
  <si>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</si>
  <si>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</si>
  <si>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</si>
  <si>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</si>
  <si>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</si>
  <si>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</si>
  <si>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</si>
  <si>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</si>
  <si>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</si>
  <si>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</si>
  <si>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</si>
  <si>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</si>
  <si>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</si>
  <si>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</si>
  <si>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</si>
  <si>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</si>
  <si>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</si>
  <si>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</si>
  <si>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</si>
  <si>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</si>
  <si>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</si>
  <si>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</si>
  <si>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</si>
  <si>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</si>
  <si>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</si>
  <si>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</si>
  <si>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</si>
  <si>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</si>
  <si>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</si>
  <si>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</si>
  <si>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</si>
  <si>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</si>
  <si>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</si>
  <si>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</si>
  <si>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</si>
  <si>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</si>
  <si>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</si>
  <si>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</si>
  <si>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</si>
  <si>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</si>
  <si>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</si>
  <si>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</si>
  <si>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</si>
  <si>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</si>
  <si>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</si>
  <si>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</si>
  <si>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</si>
  <si>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</si>
  <si>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</si>
  <si>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</si>
  <si>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</si>
  <si>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</si>
  <si>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</si>
  <si>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</si>
  <si>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</si>
  <si>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</si>
  <si>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</si>
  <si>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</si>
  <si>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</si>
  <si>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</si>
  <si>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</si>
  <si>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</si>
  <si>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</si>
  <si>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</si>
  <si>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</si>
  <si>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</si>
  <si>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</si>
  <si>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</si>
  <si>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</si>
  <si>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</si>
  <si>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</si>
  <si>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</si>
  <si>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</si>
  <si>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</si>
  <si>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</si>
  <si>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</si>
  <si>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</si>
  <si>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</si>
  <si>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</si>
  <si>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</si>
  <si>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</si>
  <si>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</si>
  <si>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</si>
  <si>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</si>
  <si>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</si>
  <si>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</si>
  <si>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</si>
  <si>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</si>
  <si>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</si>
  <si>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</si>
  <si>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</si>
  <si>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</si>
  <si>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</si>
  <si>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</si>
  <si>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</si>
  <si>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</si>
  <si>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</si>
  <si>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</si>
  <si>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</si>
  <si>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</si>
  <si>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</si>
  <si>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</si>
  <si>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</si>
  <si>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</si>
  <si>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</si>
  <si>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</si>
  <si>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</si>
  <si>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</si>
  <si>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</si>
  <si>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</si>
  <si>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</si>
  <si>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</si>
  <si>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</si>
  <si>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</si>
  <si>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</si>
  <si>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</si>
  <si>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</si>
  <si>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</si>
  <si>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</si>
  <si>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</si>
  <si>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</si>
  <si>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</si>
  <si>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</si>
  <si>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</si>
  <si>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</si>
  <si>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</si>
  <si>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</si>
  <si>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</si>
  <si>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</si>
  <si>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</si>
  <si>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</si>
  <si>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</si>
  <si>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</si>
  <si>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</si>
  <si>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</si>
  <si>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</si>
  <si>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</si>
  <si>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</si>
  <si>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</si>
  <si>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</si>
  <si>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</si>
  <si>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</si>
  <si>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</si>
  <si>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</si>
  <si>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</si>
  <si>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</si>
  <si>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</si>
  <si>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</si>
  <si>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</si>
  <si>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</si>
  <si>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</si>
  <si>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</si>
  <si>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</si>
  <si>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</si>
  <si>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</si>
  <si>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</si>
  <si>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</si>
  <si>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</si>
  <si>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</si>
  <si>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</si>
  <si>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</si>
  <si>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</si>
  <si>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**COMPOSIÇÃO DA MÃO DE OBRA BASEADA NAS TABELA SETOP, CÓDIGO ELE-PAD-115, MARÇO/2022</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</si>
  <si>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</si>
  <si>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</si>
  <si>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</si>
  <si>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</si>
  <si>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</si>
  <si>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</si>
  <si>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</si>
  <si>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</si>
  <si>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</si>
  <si>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</si>
  <si>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</si>
  <si>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</si>
  <si>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</si>
  <si>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</si>
  <si>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</si>
  <si>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</si>
  <si>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</si>
  <si>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TAMPA CIRCULAR PARA ESGOTO E DRENAGEM, EM CONCRETO PRÉ-MOLDADO, DIÂMETRO INTERNO = 0,60 M E ALTURA = 0,10 M. AF_12/2020</t>
  </si>
  <si>
    <t>PLANTIO DE GRAMA BATATAIS EM PLACAS. AF_05/2018</t>
  </si>
  <si>
    <t>PLANTIO DE GRAMA ESMERALDA OU SÃO CARLOS OU CURITIBANA, EM PLACAS. AF_05/2022</t>
  </si>
  <si>
    <t>PLÍNIO</t>
  </si>
  <si>
    <t>JEAN</t>
  </si>
  <si>
    <t>GENILDO</t>
  </si>
  <si>
    <t>GTECH</t>
  </si>
  <si>
    <t>22.079.367/0001-85</t>
  </si>
  <si>
    <t>(65) 3322-9238</t>
  </si>
  <si>
    <t>PIZATTO</t>
  </si>
  <si>
    <t>TUDO HIDRÁULICA E ELÉTRICA</t>
  </si>
  <si>
    <t> (65) 3054-5595</t>
  </si>
  <si>
    <t>ELÉTRICA UNIÃO</t>
  </si>
  <si>
    <t>MAYRA</t>
  </si>
  <si>
    <t>LEANDRO</t>
  </si>
  <si>
    <t>WALISSON</t>
  </si>
  <si>
    <t>UNXMES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</si>
  <si>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</si>
  <si>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</si>
  <si>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</si>
  <si>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</si>
  <si>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</si>
  <si>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</si>
  <si>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</si>
  <si>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</si>
  <si>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</si>
  <si>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</si>
  <si>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</si>
  <si>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</si>
  <si>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</si>
  <si>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</si>
  <si>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</si>
  <si>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</si>
  <si>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</si>
  <si>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</si>
  <si>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</si>
  <si>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</si>
  <si>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</si>
  <si>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</si>
  <si>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</si>
  <si>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</si>
  <si>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</si>
  <si>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</si>
  <si>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</si>
  <si>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</si>
  <si>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</si>
  <si>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</si>
  <si>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</si>
  <si>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</si>
  <si>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</si>
  <si>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</si>
  <si>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</si>
  <si>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</si>
  <si>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</si>
  <si>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</si>
  <si>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</si>
  <si>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</si>
  <si>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</si>
  <si>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</si>
  <si>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</si>
  <si>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</si>
  <si>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</si>
  <si>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</si>
  <si>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</si>
  <si>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</si>
  <si>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</si>
  <si>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</si>
  <si>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</si>
  <si>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</si>
  <si>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</si>
  <si>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</si>
  <si>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</si>
  <si>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</si>
  <si>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</si>
  <si>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</si>
  <si>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</si>
  <si>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</si>
  <si>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</si>
  <si>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</si>
  <si>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</si>
  <si>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</si>
  <si>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</si>
  <si>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</si>
  <si>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</si>
  <si>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</si>
  <si>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</si>
  <si>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</si>
  <si>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</si>
  <si>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</si>
  <si>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</si>
  <si>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</si>
  <si>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</si>
  <si>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</si>
  <si>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</si>
  <si>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</si>
  <si>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</si>
  <si>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</si>
  <si>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</si>
  <si>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</si>
  <si>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</si>
  <si>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</si>
  <si>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</si>
  <si>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</si>
  <si>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</si>
  <si>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</si>
  <si>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</si>
  <si>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</si>
  <si>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</si>
  <si>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</si>
  <si>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</si>
  <si>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</si>
  <si>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</si>
  <si>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</si>
  <si>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</si>
  <si>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</si>
  <si>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</si>
  <si>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</si>
  <si>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</si>
  <si>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</si>
  <si>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</si>
  <si>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</si>
  <si>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</si>
  <si>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</si>
  <si>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</si>
  <si>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</si>
  <si>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</si>
  <si>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</si>
  <si>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</si>
  <si>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</si>
  <si>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</si>
  <si>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</si>
  <si>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</si>
  <si>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</si>
  <si>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</si>
  <si>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</si>
  <si>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</si>
  <si>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</si>
  <si>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</si>
  <si>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</si>
  <si>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</si>
  <si>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</si>
  <si>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</si>
  <si>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</si>
  <si>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</si>
  <si>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</si>
  <si>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</si>
  <si>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</si>
  <si>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</si>
  <si>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</si>
  <si>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</si>
  <si>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</si>
  <si>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</si>
  <si>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</si>
  <si>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</si>
  <si>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</si>
  <si>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</si>
  <si>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</si>
  <si>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</si>
  <si>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</si>
  <si>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</si>
  <si>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</si>
  <si>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</si>
  <si>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</si>
  <si>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</si>
  <si>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</si>
  <si>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</si>
  <si>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</si>
  <si>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</si>
  <si>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</si>
  <si>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</si>
  <si>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</si>
  <si>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</si>
  <si>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</si>
  <si>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</si>
  <si>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</si>
  <si>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</si>
  <si>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</si>
  <si>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</si>
  <si>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</si>
  <si>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</si>
  <si>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</si>
  <si>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</si>
  <si>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</si>
  <si>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</si>
  <si>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</si>
  <si>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</si>
  <si>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</si>
  <si>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</si>
  <si>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</si>
  <si>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</si>
  <si>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</si>
  <si>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</si>
  <si>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</si>
  <si>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</si>
  <si>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</si>
  <si>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</si>
  <si>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</si>
  <si>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</si>
  <si>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</si>
  <si>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</si>
  <si>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</si>
  <si>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</si>
  <si>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</si>
  <si>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</si>
  <si>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</si>
  <si>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</si>
  <si>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</si>
  <si>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</si>
  <si>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</si>
  <si>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</si>
  <si>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</si>
  <si>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</si>
  <si>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</si>
  <si>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</si>
  <si>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</si>
  <si>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</si>
  <si>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</si>
  <si>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</si>
  <si>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</si>
  <si>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</si>
  <si>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</si>
  <si>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</si>
  <si>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</si>
  <si>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</si>
  <si>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</si>
  <si>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</si>
  <si>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</si>
  <si>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</si>
  <si>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</si>
  <si>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</si>
  <si>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</si>
  <si>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</si>
  <si>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</si>
  <si>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</si>
  <si>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</si>
  <si>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</si>
  <si>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</si>
  <si>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</si>
  <si>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</si>
  <si>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</si>
  <si>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</si>
  <si>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</si>
  <si>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</si>
  <si>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</si>
  <si>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</si>
  <si>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</si>
  <si>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</si>
  <si>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</si>
  <si>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</si>
  <si>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</si>
  <si>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</si>
  <si>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</si>
  <si>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</si>
  <si>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</si>
  <si>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</si>
  <si>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</si>
  <si>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</si>
  <si>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</si>
  <si>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</si>
  <si>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</si>
  <si>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</si>
  <si>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</si>
  <si>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</si>
  <si>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</si>
  <si>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</si>
  <si>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</si>
  <si>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</si>
  <si>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</si>
  <si>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</si>
  <si>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</si>
  <si>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</si>
  <si>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</si>
  <si>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</si>
  <si>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</si>
  <si>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</si>
  <si>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</si>
  <si>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</si>
  <si>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</si>
  <si>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</si>
  <si>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</si>
  <si>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</si>
  <si>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</si>
  <si>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</si>
  <si>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</si>
  <si>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</si>
  <si>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</si>
  <si>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</si>
  <si>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</si>
  <si>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</si>
  <si>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</si>
  <si>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</si>
  <si>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</si>
  <si>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</si>
  <si>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</si>
  <si>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</si>
  <si>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</si>
  <si>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</si>
  <si>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</si>
  <si>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</si>
  <si>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</si>
  <si>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</si>
  <si>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</si>
  <si>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</si>
  <si>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</si>
  <si>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</si>
  <si>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</si>
  <si>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</si>
  <si>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</si>
  <si>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</si>
  <si>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</si>
  <si>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</si>
  <si>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</si>
  <si>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</si>
  <si>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</si>
  <si>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</si>
  <si>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</si>
  <si>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</si>
  <si>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</si>
  <si>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</si>
  <si>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</si>
  <si>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</si>
  <si>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</si>
  <si>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</si>
  <si>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</si>
  <si>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</si>
  <si>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</si>
  <si>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</si>
  <si>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</si>
  <si>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</si>
  <si>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</si>
  <si>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</si>
  <si>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</si>
  <si>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</si>
  <si>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</si>
  <si>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</si>
  <si>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</si>
  <si>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</si>
  <si>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</si>
  <si>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</si>
  <si>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</si>
  <si>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</si>
  <si>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</si>
  <si>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</si>
  <si>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</si>
  <si>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</si>
  <si>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</si>
  <si>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</si>
  <si>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</si>
  <si>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</si>
  <si>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</si>
  <si>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</si>
  <si>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</si>
  <si>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</si>
  <si>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</si>
  <si>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</si>
  <si>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</si>
  <si>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</si>
  <si>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</si>
  <si>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</si>
  <si>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</si>
  <si>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</si>
  <si>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</si>
  <si>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</si>
  <si>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</si>
  <si>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</si>
  <si>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</si>
  <si>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</si>
  <si>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</si>
  <si>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</si>
  <si>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</si>
  <si>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</si>
  <si>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</si>
  <si>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</si>
  <si>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</si>
  <si>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</si>
  <si>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</si>
  <si>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</si>
  <si>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</si>
  <si>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</si>
  <si>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</si>
  <si>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</si>
  <si>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</si>
  <si>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</si>
  <si>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</si>
  <si>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</si>
  <si>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</si>
  <si>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</si>
  <si>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</si>
  <si>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</si>
  <si>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</si>
  <si>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</si>
  <si>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</si>
  <si>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</si>
  <si>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</si>
  <si>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</si>
  <si>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</si>
  <si>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</si>
  <si>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</si>
  <si>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</si>
  <si>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</si>
  <si>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</si>
  <si>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</si>
  <si>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</si>
  <si>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</si>
  <si>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</si>
  <si>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</si>
  <si>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</si>
  <si>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</si>
  <si>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</si>
  <si>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</si>
  <si>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</si>
  <si>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</si>
  <si>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</si>
  <si>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</si>
  <si>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</si>
  <si>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</si>
  <si>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</si>
  <si>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</si>
  <si>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</si>
  <si>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</si>
  <si>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</si>
  <si>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</si>
  <si>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</si>
  <si>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</si>
  <si>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</si>
  <si>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</si>
  <si>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</si>
  <si>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</si>
  <si>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</si>
  <si>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</si>
  <si>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</si>
  <si>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</si>
  <si>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</si>
  <si>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</si>
  <si>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</si>
  <si>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</si>
  <si>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</si>
  <si>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</si>
  <si>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</si>
  <si>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</si>
  <si>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</si>
  <si>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</si>
  <si>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</si>
  <si>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</si>
  <si>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</si>
  <si>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</si>
  <si>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</si>
  <si>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</si>
  <si>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</si>
  <si>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</si>
  <si>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</si>
  <si>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</si>
  <si>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</si>
  <si>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</si>
  <si>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</si>
  <si>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</si>
  <si>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</si>
  <si>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</si>
  <si>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</si>
  <si>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</si>
  <si>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</si>
  <si>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</si>
  <si>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</si>
  <si>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</si>
  <si>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</si>
  <si>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</si>
  <si>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</si>
  <si>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</si>
  <si>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</si>
  <si>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</si>
  <si>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</si>
  <si>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</si>
  <si>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</si>
  <si>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</si>
  <si>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</si>
  <si>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</si>
  <si>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</si>
  <si>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</si>
  <si>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</si>
  <si>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</si>
  <si>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</si>
  <si>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</si>
  <si>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</si>
  <si>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</si>
  <si>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</si>
  <si>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</si>
  <si>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</si>
  <si>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</si>
  <si>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</si>
  <si>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</si>
  <si>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</si>
  <si>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</si>
  <si>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</si>
  <si>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</si>
  <si>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</si>
  <si>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</si>
  <si>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</si>
  <si>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</si>
  <si>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</si>
  <si>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</si>
  <si>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</si>
  <si>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</si>
  <si>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</si>
  <si>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</si>
  <si>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</si>
  <si>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</si>
  <si>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</si>
  <si>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</si>
  <si>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</si>
  <si>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</si>
  <si>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</si>
  <si>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</si>
  <si>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</si>
  <si>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</si>
  <si>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</si>
  <si>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</si>
  <si>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</si>
  <si>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</si>
  <si>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</si>
  <si>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</si>
  <si>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</si>
  <si>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</si>
  <si>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</si>
  <si>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</si>
  <si>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</si>
  <si>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</si>
  <si>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</si>
  <si>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</si>
  <si>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</si>
  <si>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</si>
  <si>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</si>
  <si>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</si>
  <si>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</si>
  <si>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</si>
  <si>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</si>
  <si>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</si>
  <si>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</si>
  <si>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</si>
  <si>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</si>
  <si>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</si>
  <si>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</si>
  <si>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</si>
  <si>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</si>
  <si>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</si>
  <si>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</si>
  <si>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</si>
  <si>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</si>
  <si>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</si>
  <si>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</si>
  <si>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</si>
  <si>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</si>
  <si>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</si>
  <si>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</si>
  <si>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</si>
  <si>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</si>
  <si>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</si>
  <si>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</si>
  <si>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</si>
  <si>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</si>
  <si>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</si>
  <si>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</si>
  <si>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</si>
  <si>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</si>
  <si>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</si>
  <si>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</si>
  <si>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</si>
  <si>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 xml:space="preserve">PLANTIO DE GRAMA ESMERALDA EM PLACAS - INCLUSIVE TERRA VEGETAL </t>
  </si>
  <si>
    <t>LEIS SOCIAIS: HORISTA</t>
  </si>
  <si>
    <t>LEIS SOCIAIS: MENSALISTA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</si>
  <si>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</si>
  <si>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</si>
  <si>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</si>
  <si>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TUBO, CPVC, SOLDÁVEL, DN 42MM, INSTALADO EM RAMAL DE DISTRIBUIÇÃO DE ÁGUA - FORNECIMENTO E INSTALAÇÃO.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</si>
  <si>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</si>
  <si>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</si>
  <si>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</si>
  <si>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</si>
  <si>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</si>
  <si>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</si>
  <si>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</si>
  <si>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</si>
  <si>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</si>
  <si>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</si>
  <si>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</si>
  <si>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</si>
  <si>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</si>
  <si>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</si>
  <si>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</si>
  <si>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</si>
  <si>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</si>
  <si>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</si>
  <si>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</si>
  <si>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</si>
  <si>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</si>
  <si>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</si>
  <si>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</si>
  <si>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</si>
  <si>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</si>
  <si>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</si>
  <si>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</si>
  <si>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</si>
  <si>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</si>
  <si>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</si>
  <si>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</si>
  <si>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</si>
  <si>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FORNECIMENTO E ESPALHAMENTO DE TERRA VEGETAL PREPARADA</t>
  </si>
  <si>
    <t>**COMPOSIÇÃO DA MÃO DE OBRA BASEADA NO BOLETIM ORSE, CÓDIGO 12137, JUNHO/2022</t>
  </si>
  <si>
    <t>**COMPOSIÇÃO DA MÃO DE OBRA BASEADA NO BOLETIM ORSE, CÓDIGO 704, JUNHO/2022</t>
  </si>
  <si>
    <t>TRAMA DE AÇO COMPOSTA POR TERÇAS PARA TELHADOS DE ATÉ 2 ÁGUAS PARA TELHA ONDULADA DE FIBROCIMENTO, METÁLICA, PLÁSTICA OU TERMOACÚSTICA, INCLUSO TRANSPORTE VERTICAL (EM KG). AF_07/2019</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</si>
  <si>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</si>
  <si>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</si>
  <si>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</si>
  <si>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</si>
  <si>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</si>
  <si>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</si>
  <si>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</si>
  <si>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</si>
  <si>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</si>
  <si>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</si>
  <si>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</si>
  <si>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</si>
  <si>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</si>
  <si>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</si>
  <si>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</si>
  <si>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</si>
  <si>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</si>
  <si>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</si>
  <si>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</si>
  <si>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</si>
  <si>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</si>
  <si>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</si>
  <si>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</si>
  <si>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</si>
  <si>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</si>
  <si>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</si>
  <si>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</si>
  <si>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</si>
  <si>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</si>
  <si>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</si>
  <si>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</si>
  <si>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</si>
  <si>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</si>
  <si>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</si>
  <si>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</si>
  <si>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</si>
  <si>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</si>
  <si>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</si>
  <si>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</si>
  <si>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</si>
  <si>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</si>
  <si>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</si>
  <si>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</si>
  <si>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</si>
  <si>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</si>
  <si>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</si>
  <si>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</si>
  <si>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</si>
  <si>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</si>
  <si>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</si>
  <si>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</si>
  <si>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</si>
  <si>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</si>
  <si>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</si>
  <si>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</si>
  <si>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</si>
  <si>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</si>
  <si>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</si>
  <si>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</si>
  <si>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</si>
  <si>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</si>
  <si>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</si>
  <si>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</si>
  <si>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</si>
  <si>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</si>
  <si>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</si>
  <si>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</si>
  <si>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</si>
  <si>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</si>
  <si>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</si>
  <si>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</si>
  <si>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</si>
  <si>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</si>
  <si>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</si>
  <si>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</si>
  <si>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</si>
  <si>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</si>
  <si>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</si>
  <si>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</si>
  <si>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</si>
  <si>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</si>
  <si>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</si>
  <si>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</si>
  <si>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</si>
  <si>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</si>
  <si>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</si>
  <si>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</si>
  <si>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</si>
  <si>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</si>
  <si>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</si>
  <si>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</si>
  <si>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</si>
  <si>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</si>
  <si>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</si>
  <si>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</si>
  <si>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</si>
  <si>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</si>
  <si>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</si>
  <si>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</si>
  <si>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</si>
  <si>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</si>
  <si>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</si>
  <si>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</si>
  <si>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</si>
  <si>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</si>
  <si>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</si>
  <si>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</si>
  <si>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</si>
  <si>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</si>
  <si>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</si>
  <si>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</si>
  <si>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</si>
  <si>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</si>
  <si>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</si>
  <si>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</si>
  <si>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</si>
  <si>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</si>
  <si>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</si>
  <si>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</si>
  <si>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</si>
  <si>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</si>
  <si>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</si>
  <si>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</si>
  <si>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</si>
  <si>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</si>
  <si>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</si>
  <si>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</si>
  <si>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</si>
  <si>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</si>
  <si>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</si>
  <si>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</si>
  <si>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</si>
  <si>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</si>
  <si>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</si>
  <si>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</si>
  <si>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</si>
  <si>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</si>
  <si>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</si>
  <si>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</si>
  <si>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</si>
  <si>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</si>
  <si>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</si>
  <si>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</si>
  <si>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</si>
  <si>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</si>
  <si>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</si>
  <si>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</si>
  <si>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</si>
  <si>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</si>
  <si>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</si>
  <si>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</si>
  <si>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</si>
  <si>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</si>
  <si>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</si>
  <si>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</si>
  <si>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</si>
  <si>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</si>
  <si>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</si>
  <si>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</si>
  <si>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</si>
  <si>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</si>
  <si>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</si>
  <si>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</si>
  <si>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</si>
  <si>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</si>
  <si>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</si>
  <si>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</si>
  <si>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</si>
  <si>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</si>
  <si>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</si>
  <si>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</si>
  <si>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</si>
  <si>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</si>
  <si>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</si>
  <si>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</si>
  <si>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</si>
  <si>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</si>
  <si>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</si>
  <si>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</si>
  <si>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</si>
  <si>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</si>
  <si>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</si>
  <si>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</si>
  <si>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</si>
  <si>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</si>
  <si>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</si>
  <si>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</si>
  <si>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</si>
  <si>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</si>
  <si>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</si>
  <si>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</si>
  <si>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</si>
  <si>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</si>
  <si>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</si>
  <si>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</si>
  <si>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</si>
  <si>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</si>
  <si>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</si>
  <si>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</si>
  <si>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</si>
  <si>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</si>
  <si>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</si>
  <si>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</si>
  <si>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</si>
  <si>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</si>
  <si>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</si>
  <si>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</si>
  <si>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</si>
  <si>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</si>
  <si>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</si>
  <si>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</si>
  <si>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</si>
  <si>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</si>
  <si>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</si>
  <si>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</si>
  <si>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</si>
  <si>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</si>
  <si>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</si>
  <si>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</si>
  <si>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</si>
  <si>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</si>
  <si>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</si>
  <si>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</si>
  <si>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</si>
  <si>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</si>
  <si>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</si>
  <si>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</si>
  <si>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</si>
  <si>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</si>
  <si>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</si>
  <si>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</si>
  <si>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</si>
  <si>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</si>
  <si>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</si>
  <si>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</si>
  <si>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</si>
  <si>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</si>
  <si>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</si>
  <si>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</si>
  <si>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</si>
  <si>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</si>
  <si>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</si>
  <si>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</si>
  <si>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</si>
  <si>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</si>
  <si>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</si>
  <si>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</si>
  <si>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</si>
  <si>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</si>
  <si>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</si>
  <si>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</si>
  <si>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</si>
  <si>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</si>
  <si>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</si>
  <si>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</si>
  <si>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</si>
  <si>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</si>
  <si>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</si>
  <si>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</si>
  <si>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</si>
  <si>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</si>
  <si>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</si>
  <si>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</si>
  <si>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</si>
  <si>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</si>
  <si>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</si>
  <si>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</si>
  <si>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</si>
  <si>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</si>
  <si>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</si>
  <si>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</si>
  <si>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</si>
  <si>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</si>
  <si>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</si>
  <si>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</si>
  <si>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</si>
  <si>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</si>
  <si>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</si>
  <si>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</si>
  <si>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</si>
  <si>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</si>
  <si>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</si>
  <si>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</si>
  <si>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</si>
  <si>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</si>
  <si>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</si>
  <si>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</si>
  <si>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</si>
  <si>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</si>
  <si>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</si>
  <si>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</si>
  <si>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</si>
  <si>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</si>
  <si>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</si>
  <si>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</si>
  <si>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</si>
  <si>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</si>
  <si>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</si>
  <si>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</si>
  <si>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</si>
  <si>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</si>
  <si>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</si>
  <si>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</si>
  <si>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</si>
  <si>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</si>
  <si>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</si>
  <si>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</si>
  <si>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</si>
  <si>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</si>
  <si>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</si>
  <si>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</si>
  <si>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</si>
  <si>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</si>
  <si>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</si>
  <si>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</si>
  <si>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</si>
  <si>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</si>
  <si>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</si>
  <si>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</si>
  <si>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</si>
  <si>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</si>
  <si>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</si>
  <si>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</si>
  <si>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</si>
  <si>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</si>
  <si>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</si>
  <si>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</si>
  <si>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</si>
  <si>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</si>
  <si>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</si>
  <si>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Raiane Miriele Faria Silva</t>
  </si>
  <si>
    <t>CREA-MT 49462</t>
  </si>
  <si>
    <t>TELHAMENTO COM TELHA ESTRUTURAL DE FIBROCIMENTO E= 8 MM, COM ATÉ 2 ÁGUAS, INCLUSO IÇAMENTO. AF_07/2019_PS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</si>
  <si>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</si>
  <si>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</si>
  <si>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</si>
  <si>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</si>
  <si>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</si>
  <si>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</si>
  <si>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</si>
  <si>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</si>
  <si>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</si>
  <si>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</si>
  <si>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</si>
  <si>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</si>
  <si>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</si>
  <si>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</si>
  <si>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</si>
  <si>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</si>
  <si>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</si>
  <si>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</si>
  <si>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</si>
  <si>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</si>
  <si>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</si>
  <si>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</si>
  <si>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</si>
  <si>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</si>
  <si>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</si>
  <si>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</si>
  <si>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</si>
  <si>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</si>
  <si>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</si>
  <si>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</si>
  <si>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</si>
  <si>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</si>
  <si>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</si>
  <si>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</si>
  <si>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</si>
  <si>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</si>
  <si>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</si>
  <si>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</si>
  <si>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</si>
  <si>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</si>
  <si>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</si>
  <si>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</si>
  <si>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</si>
  <si>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</si>
  <si>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</si>
  <si>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</si>
  <si>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</si>
  <si>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</si>
  <si>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</si>
  <si>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</si>
  <si>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</si>
  <si>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</si>
  <si>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</si>
  <si>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</si>
  <si>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</si>
  <si>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</si>
  <si>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</si>
  <si>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</si>
  <si>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</si>
  <si>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</si>
  <si>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</si>
  <si>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</si>
  <si>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</si>
  <si>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</si>
  <si>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</si>
  <si>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</si>
  <si>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</si>
  <si>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</si>
  <si>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</si>
  <si>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</si>
  <si>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</si>
  <si>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</si>
  <si>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</si>
  <si>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</si>
  <si>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</si>
  <si>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</si>
  <si>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PISO PODOTÁTIL DE ALERTA OU DIRECIONAL, DE BORRACHA, ASSENTADO SOBRE ARGAMASSA. AF_05/2020</t>
  </si>
  <si>
    <t>BASE DE DADOS</t>
  </si>
  <si>
    <t>**COMPOSIÇÃO BASEADA NA TABELA ORSE CÓDIGO 07324/ORSE - AGOSTO/2022 - 16 PEÇAS/M².</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</si>
  <si>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</si>
  <si>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</si>
  <si>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</si>
  <si>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</si>
  <si>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</si>
  <si>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</si>
  <si>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</si>
  <si>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</si>
  <si>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</si>
  <si>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</si>
  <si>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</si>
  <si>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</si>
  <si>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</si>
  <si>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</si>
  <si>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</si>
  <si>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</si>
  <si>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</si>
  <si>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</si>
  <si>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</si>
  <si>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</si>
  <si>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</si>
  <si>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</si>
  <si>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</si>
  <si>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</si>
  <si>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</si>
  <si>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</si>
  <si>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</si>
  <si>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</si>
  <si>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</si>
  <si>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</si>
  <si>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</si>
  <si>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</si>
  <si>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</si>
  <si>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</si>
  <si>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</si>
  <si>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</si>
  <si>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</si>
  <si>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</si>
  <si>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</si>
  <si>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</si>
  <si>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</si>
  <si>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</si>
  <si>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</si>
  <si>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</si>
  <si>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</si>
  <si>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</si>
  <si>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</si>
  <si>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</si>
  <si>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</si>
  <si>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</si>
  <si>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</si>
  <si>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</si>
  <si>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</si>
  <si>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</si>
  <si>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</si>
  <si>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</si>
  <si>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</si>
  <si>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</si>
  <si>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</si>
  <si>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</si>
  <si>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</si>
  <si>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</si>
  <si>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</si>
  <si>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</si>
  <si>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</si>
  <si>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</si>
  <si>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</si>
  <si>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</si>
  <si>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</si>
  <si>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</si>
  <si>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</si>
  <si>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</si>
  <si>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</si>
  <si>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</si>
  <si>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</si>
  <si>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</si>
  <si>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</si>
  <si>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</si>
  <si>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</si>
  <si>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</si>
  <si>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</si>
  <si>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</si>
  <si>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</si>
  <si>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</si>
  <si>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</si>
  <si>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</si>
  <si>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</si>
  <si>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</si>
  <si>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</si>
  <si>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</si>
  <si>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</si>
  <si>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</si>
  <si>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</si>
  <si>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</si>
  <si>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</si>
  <si>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</si>
  <si>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</si>
  <si>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</si>
  <si>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</si>
  <si>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</si>
  <si>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</si>
  <si>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</si>
  <si>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</si>
  <si>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</si>
  <si>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</si>
  <si>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</si>
  <si>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</si>
  <si>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</si>
  <si>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</si>
  <si>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</si>
  <si>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</si>
  <si>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</si>
  <si>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</si>
  <si>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</si>
  <si>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</si>
  <si>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</si>
  <si>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</si>
  <si>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</si>
  <si>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</si>
  <si>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</si>
  <si>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</si>
  <si>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</si>
  <si>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</si>
  <si>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</si>
  <si>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</si>
  <si>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</si>
  <si>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</si>
  <si>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</si>
  <si>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</si>
  <si>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</si>
  <si>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</si>
  <si>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</si>
  <si>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</si>
  <si>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</si>
  <si>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</si>
  <si>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</si>
  <si>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</si>
  <si>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</si>
  <si>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</si>
  <si>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</si>
  <si>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</si>
  <si>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</si>
  <si>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</si>
  <si>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</si>
  <si>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</si>
  <si>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</si>
  <si>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</si>
  <si>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</si>
  <si>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</si>
  <si>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</si>
  <si>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</si>
  <si>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</si>
  <si>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</si>
  <si>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</si>
  <si>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</si>
  <si>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</si>
  <si>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</si>
  <si>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</si>
  <si>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</si>
  <si>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</si>
  <si>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</si>
  <si>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</si>
  <si>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</si>
  <si>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</si>
  <si>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</si>
  <si>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</si>
  <si>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</si>
  <si>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</si>
  <si>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</si>
  <si>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</si>
  <si>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</si>
  <si>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</si>
  <si>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</si>
  <si>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</si>
  <si>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</si>
  <si>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</si>
  <si>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</si>
  <si>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</si>
  <si>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</si>
  <si>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</si>
  <si>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</si>
  <si>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</si>
  <si>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</si>
  <si>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</si>
  <si>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</si>
  <si>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</si>
  <si>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</si>
  <si>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</si>
  <si>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</si>
  <si>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</si>
  <si>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</si>
  <si>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</si>
  <si>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</si>
  <si>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</si>
  <si>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</si>
  <si>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</si>
  <si>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</si>
  <si>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</si>
  <si>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</si>
  <si>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</si>
  <si>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</si>
  <si>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</si>
  <si>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</si>
  <si>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</si>
  <si>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</si>
  <si>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</si>
  <si>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</si>
  <si>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</si>
  <si>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</si>
  <si>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</si>
  <si>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</si>
  <si>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</si>
  <si>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</si>
  <si>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</si>
  <si>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</si>
  <si>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</si>
  <si>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</si>
  <si>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</si>
  <si>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</si>
  <si>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</si>
  <si>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</si>
  <si>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</si>
  <si>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</si>
  <si>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</si>
  <si>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DE CORRER, PVC, SOLDÁVEL, DN 40MM, INSTALADO EM RAMAL DE DISTRIBUIÇÃO DE ÁGUA 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</si>
  <si>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</si>
  <si>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</si>
  <si>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</si>
  <si>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</si>
  <si>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</si>
  <si>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</si>
  <si>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</si>
  <si>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</si>
  <si>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</si>
  <si>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</si>
  <si>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</si>
  <si>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</si>
  <si>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</si>
  <si>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</si>
  <si>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</si>
  <si>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</si>
  <si>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</si>
  <si>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</si>
  <si>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</si>
  <si>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</si>
  <si>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</si>
  <si>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</si>
  <si>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</si>
  <si>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</si>
  <si>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</si>
  <si>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</si>
  <si>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</si>
  <si>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</si>
  <si>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</si>
  <si>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</si>
  <si>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</si>
  <si>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</si>
  <si>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</si>
  <si>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</si>
  <si>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</si>
  <si>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</si>
  <si>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</si>
  <si>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</si>
  <si>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</si>
  <si>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</si>
  <si>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</si>
  <si>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</si>
  <si>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</si>
  <si>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</si>
  <si>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</si>
  <si>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</si>
  <si>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</si>
  <si>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</si>
  <si>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</si>
  <si>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</si>
  <si>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</si>
  <si>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</si>
  <si>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</si>
  <si>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</si>
  <si>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</si>
  <si>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</si>
  <si>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</si>
  <si>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</si>
  <si>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</si>
  <si>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</si>
  <si>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</si>
  <si>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</si>
  <si>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</si>
  <si>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</si>
  <si>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</si>
  <si>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</si>
  <si>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</si>
  <si>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</si>
  <si>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</si>
  <si>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</si>
  <si>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</si>
  <si>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</si>
  <si>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</si>
  <si>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</si>
  <si>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</si>
  <si>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</si>
  <si>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</si>
  <si>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</si>
  <si>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</si>
  <si>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</si>
  <si>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</si>
  <si>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</si>
  <si>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</si>
  <si>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</si>
  <si>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</si>
  <si>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</si>
  <si>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</si>
  <si>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</si>
  <si>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</si>
  <si>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</si>
  <si>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</si>
  <si>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</si>
  <si>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</si>
  <si>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</si>
  <si>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</si>
  <si>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</si>
  <si>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</si>
  <si>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</si>
  <si>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</si>
  <si>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</si>
  <si>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</si>
  <si>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</si>
  <si>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</si>
  <si>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</si>
  <si>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</si>
  <si>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</si>
  <si>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</si>
  <si>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</si>
  <si>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</si>
  <si>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</si>
  <si>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</si>
  <si>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</si>
  <si>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</si>
  <si>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</si>
  <si>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</si>
  <si>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</si>
  <si>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</si>
  <si>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</si>
  <si>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</si>
  <si>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</si>
  <si>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</si>
  <si>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</si>
  <si>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</si>
  <si>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</si>
  <si>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</si>
  <si>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</si>
  <si>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</si>
  <si>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</si>
  <si>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</si>
  <si>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</si>
  <si>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ESTRUTURA DE MADEIRA PROVISÓRIA PARA SUPORTE DE CAIXA D ÁGUA ELEVADA DE 1000 LITROS. AF_05/2018_PS</t>
  </si>
  <si>
    <t>ESTRUTURA DE MADEIRA PROVISÓRIA PARA SUPORTE DE CAIXA D ÁGUA ELEVADA DE 3000 LITROS. AF_05/2018_PS</t>
  </si>
  <si>
    <t>PILAR METÁLICO PERFIL LAMINADO OU SOLDADO EM AÇO ESTRUTURAL, COM CONEXÕES SOLDADAS, INCLUSOS MÃO DE OBRA, TRANSPORTE E IÇAMENTO UTILIZANDO GUINDASTE - FORNECIMENTO E INSTALAÇÃO. AF_01/2020_PA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</si>
  <si>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</si>
  <si>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</si>
  <si>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</si>
  <si>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</si>
  <si>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</si>
  <si>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</si>
  <si>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</si>
  <si>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</si>
  <si>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</si>
  <si>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</si>
  <si>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</si>
  <si>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</si>
  <si>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</si>
  <si>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</si>
  <si>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</si>
  <si>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</si>
  <si>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</si>
  <si>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</si>
  <si>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</si>
  <si>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</si>
  <si>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</si>
  <si>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</si>
  <si>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</si>
  <si>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</si>
  <si>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GLEITON</t>
  </si>
  <si>
    <t>**COMPOSIÇÃO DA MÃO DE OBRA BASEADA NO BOLETIM ORSE (OUT/22) "00707". PALAVRA CHAVE: "CAIXA DE PASSAGEM EM ALUMÍNIO".</t>
  </si>
  <si>
    <t>**COMPOSIÇÃO DA MÃO DE OBRA BASEADA NA TABELA SINAPI (OUT/2022) CÓDIGO "97585".</t>
  </si>
  <si>
    <t>**COMPOSIÇÃO BASEADA NO BOLETIM ORSE (SET/18), CÓDIGO "723", PALAVRA CHAVE " SAIDA HORIZONTAL"</t>
  </si>
  <si>
    <t xml:space="preserve"> SAÍDA HORIZONTAL PARA ELETRODUTO 1"</t>
  </si>
  <si>
    <t xml:space="preserve"> SAÍDA HORIZONTAL PARA ELETRODUTO 3/4"</t>
  </si>
  <si>
    <t xml:space="preserve"> SAÍDA HORIZONTAL PARA ELETRODUTO 1.1/4"</t>
  </si>
  <si>
    <t>SWITCH 24P 10/100/1000</t>
  </si>
  <si>
    <t>JÉSSICA</t>
  </si>
  <si>
    <t>LEILA</t>
  </si>
  <si>
    <t>SWITCH 48P 10/100/1000</t>
  </si>
  <si>
    <t>VOICE PAINEL 50 POSIÇÕES RJ45, CAT 6.</t>
  </si>
  <si>
    <t>VOICE PAINEL 30 POSIÇÕES RJ45, CAT 6.</t>
  </si>
  <si>
    <t>**COMPOSIÇÃO DA MÃO DE OBRA BASEADA NO BOLETIM ORSE (OUT/2022) "09669".</t>
  </si>
  <si>
    <t>**COMPOSIÇÃO DA MÃO DE OBRA BASEADA NO BOLETIM ORSE (OUT/2022) CÓDIGO "11420". PALAVRA CHAVE: "10 PARES".</t>
  </si>
  <si>
    <t>**COMPOSIÇÃO DA MÃO DE OBRA BASEADA NO BOLETIM ORSE (OUT/22) CÓDIGO "714". PALAVRA CHAVE: "ESPELHO PARA CAIXA".</t>
  </si>
  <si>
    <t>**COMPOSIÇÃO DA MÃO DE OBRA BASEADA NO BOLETIM ORSE (OUT/2022) CÓDIGO "720". PALAVRA CHAVE: "CONECTOR RJ". OBS.: DEVIDO A FALTA DE PROFISSIONAL QUALIFICADO COMO CABISTA (COMO NA REFERÊNCIA DESCREVE), FOI UTILIZADO UMA MÃO DE OBRA COM SERVIÇO SEMELHANTE.</t>
  </si>
  <si>
    <t>**COMPOSIÇÃO DA MÃO DE OBRA BASEADA NA TABELA ORSE (OUT/2022) CÓDIGO "13344".</t>
  </si>
  <si>
    <t>**COMPOSIÇÃO DA MÃO DE OBRA BASEADA NA TABELA ORSE (OUT/2022) CÓDIGO "11773".</t>
  </si>
  <si>
    <t>**COMPOSIÇÃO DA MÃO DE OBRA BASEADA NA TABELA ORSE (OUT/2022) CÓDIGO "07891".</t>
  </si>
  <si>
    <t>**COMPOSIÇÃO DA MÃO DE OBRA BASEADA NO BOLETIM ORSE (OUT/2022) CÓDIGO "10268". PALAVRA CHAVE: "PATCH". OBS.: DEVIDO A FALTA DE PROFISSIONAL QUALIFICADO COMO CABISTA (COMO NA REFERÊNCIA DESCREVE), FOI UTILIZADO UMA MÃO DE OBRA COM SERVIÇO SEMELHANTE.</t>
  </si>
  <si>
    <t>**COMPOSIÇÃO DA MÃO DE OBRA BASEADA NO BOLETIM ORSE (OUT/2022) CÓDIGO "11230". PALAVRA CHAVE: "PATCH". OBS.: DEVIDO A FALTA DE PROFISSIONAL QUALIFICADO COMO CABISTA (COMO NA REFERÊNCIA DESCREVE), FOI UTILIZADO UMA MÃO DE OBRA COM SERVIÇO SEMELHANTE.</t>
  </si>
  <si>
    <t>**COMPOSIÇÃO DA MÃO DE OBRA BASEADA NA TABELA ORSE (OUT/2022) CÓDIGO "12617". PALAVRA CHAVE "CURVA"</t>
  </si>
  <si>
    <t>**COMPOSIÇÃO DA MÃO DE OBRA BASEADA NA TABELA ORSE (OUT/2022) CÓDIGO "13364". PALAVRA CHAVE "LUVA"</t>
  </si>
  <si>
    <t>**COMPOSIÇÃO BASEADA NO BOLETIM ORSE (OUT/2022), CÓDIGO "724", PALAVRA CHAVE " SAIDA HORIZONTAL"</t>
  </si>
  <si>
    <t>**COMPOSIÇÃO BASEADA NO BOLETIM ORSE (SET/18), CÓDIGO "725", PALAVRA CHAVE " SAIDA HORIZONTAL"</t>
  </si>
  <si>
    <t>**COMPOSIÇÃO DA MÃO DE OBRA BASEADA NO BOLETIM ORSE (OUT/2022) CÓDIGO "8460". PALAVRA CHAVE: " MINI RACK". Obs.: Devido a falta de profissional qualificado como cabista (como na referência descreve), foi utilizado uma mão de obra com serviço semelhante.</t>
  </si>
  <si>
    <t>**COMPOSIÇÃO DA MÃO DE OBRA BASEADA NO BOLETIM ORSE (OUT2022) CÓDIGO "8460". PALAVRA CHAVE: " MINI RACK". Obs.: Devido a falta de profissional qualificado como cabista (como na referência descreve), foi utilizado uma mão de obra com serviço semelhante.</t>
  </si>
  <si>
    <t>**COMPOSIÇÃO DA MÃO DE OBRA BASEADA NO BOLETIM ORSE (OUT/2022) CÓDIGO "10727". PALAVRA CHAVE: "VOICE". Obs.: Devido a falta de profissional qualificado como cabista (como na referência descreve), foi utilizado uma mão de obra com serviço semelhante.</t>
  </si>
  <si>
    <t xml:space="preserve">**COMPOSIÇÃO DA MÃO DE OBRA BASEADA NO BOLETIM ORSE (OUT/22) CÓDIGO "00679". PALAVRA CHAVE: "PABX". </t>
  </si>
  <si>
    <t>**COMPOSIÇÃO DA MÃO DE OBRA BASEADA NO BOLETIM ORSE (OUT/2022) CÓDIGO "00520". PALAVRA CHAVE: "CABOS".</t>
  </si>
  <si>
    <t>**COMPOSIÇÃO DA MÃO DE OBRA BASEADA NA TABELA ORSE (OUT/2022) CÓDIGO "778". PALAVRA CHAVE: "TOMADA DE PISO".</t>
  </si>
  <si>
    <t>**COMPOSIÇÃO DA MÃO DE OBRA BASEADA NO BOLETIM ORSE (OUT/2022) EM ASSOCIAÇÃO DAS SEGUINTES COMPOSIÇÕES "07878". PALAVRA CHAVE: "EMENDA INTERNA".</t>
  </si>
  <si>
    <t>**COMPOSIÇÃO BASEADA NO BOELTIM ORSE (OUT/2022) CÓDIGO "12500". PALAVRA CHAVE: "CANTONEIRA".</t>
  </si>
  <si>
    <t>CURVA HORIZONTAL RETO 90 º PARA ELETROCALHA #50 X 50MM</t>
  </si>
  <si>
    <t>**COMPOSIÇÃO DA MÃO DE OBRA BASEADA NO BOLETIM ORSE (OUT/2022) "8689".  PALAVRA CHAVE: "CURVA HORIZONTAL".</t>
  </si>
  <si>
    <t>**COMPOSIÇÃO DA MÃO DE OBRA BASEADA NO BOLETIM ORSE (OUT/2022) "8686". PALAVRA CHAVE: "TÊ HORIZONTAL".</t>
  </si>
  <si>
    <t>**COMPOSIÇÃO DA MÃO DE OBRA BASEADA NO BOLETIM ORSE (OUT/2022)  EM ASSOCIAÇÃO DAS SEGUINTES COMPOSIÇÕES "7881"  - PALAVRA CHAVE: "SUPORTE".</t>
  </si>
  <si>
    <t>T VERTICAL PARA ELETROCALHA PERFURADA GALVANIZADA DE #50 X 50MM</t>
  </si>
  <si>
    <t>**COMPOSIÇÃO DA MÃO DE OBRA BASEADA NO BOLETIM ORSE (OUT/2022) "726". PALAVRA CHAVE: "TERMINAL".</t>
  </si>
  <si>
    <t>TERMINAL DE FECHAMENTO PARA ELETROCALHA PERFURADA GALVANIZADA DE #50 X 50MM</t>
  </si>
  <si>
    <t>**COMPOSIÇÃO DA MÃO DE OBRA BASEADA NO BOLETIM ORSE (OUT/2022)"7880". PALAVRA CHAVE: "INVERSÃO".</t>
  </si>
  <si>
    <t>CURVA DE INVERSÃO PARA ELETROCALHA DE #50 X 50MM</t>
  </si>
  <si>
    <t>**COMPOSIÇÃO DA MÃO DE OBRA BASEADA NO BOLETIM ORSE (OUT/2022) "8221". PALAVRA CHAVE: "CRUZETA".</t>
  </si>
  <si>
    <t>CRUZETA RETA 90º EM "X" PARA ELETROCALHA DE #50 X 50MM</t>
  </si>
  <si>
    <t>**COMPOSIÇÃO DA MÃO DE OBRA BASEADA NO BOLETIM ORSE (OUT/2022) CÓDIGO "762". Obs.: A REFERÊNCIA TRATA DO FORNECIMENTO E INSTALAÇÃO DE  UM METRO DO INSUMO EM QUESTÃO, QUE É VENDIDO APENAS EM BARRAS DE TRÊS METROS.</t>
  </si>
  <si>
    <t>**COMPOSIÇÃO DA MÃO DE OBRA BASEADA NO BOLETIM ORSE (OUT/2022) "8113". PALAVRA CHAVE: "TÊ HORIZONTAL".</t>
  </si>
  <si>
    <t>Tê HORIZONTAL PARA ELETROCALHA PERFURADA GALVANIZADA DE #100 X 50MM</t>
  </si>
  <si>
    <t>Tê VERTICAL PARA ELETROCALHA PERFURADA GALVANIZADA DE 100 X 50mm</t>
  </si>
  <si>
    <t>**COMPOSIÇÃO DA MÃO DE OBRA BASEADA NO BOLETIM ORSE (OUT/2022) "12531". PALAVRA CHAVE: "TÊ VERTICAL".</t>
  </si>
  <si>
    <t>**COMPOSIÇÃO DA MÃO DE OBRA BASEADA NO BOLETIM ORSE (OUT/2022)"7878". PALAVRA CHAVE: "EMENDA".</t>
  </si>
  <si>
    <t>**COMPOSIÇÃO DA MÃO DE OBRA BASEADA NO BOLETIM ORSE (OUT/2022) "8318". PALAVRA CHAVE: "TERMINAL".</t>
  </si>
  <si>
    <t>**COMPOSIÇÃO DA MÃO DE OBRA BASEADA NO BOLETIM ORSE (OUT/2022) "7879". PALAVRA CHAVE: "SUPORTE VERTICAL".</t>
  </si>
  <si>
    <t>SUSPENSÃO VERTICAL PARA ELETROCALHA PERFURADA #100 X 50 mm</t>
  </si>
  <si>
    <t>**COMPOSIÇÃO DA MÃO DE OBRA BASEADA NO BOLETIM ORSE (OUT/2022)"7877". PALAVRA CHAVE: "CURVA HORIZONTAL".</t>
  </si>
  <si>
    <t>CURVA HORIZONTAL  90º PARA ELETROCALHA PERFURADA #100 X 50MM</t>
  </si>
  <si>
    <t>**COMPOSIÇÃO DA MÃO DE OBRA BASEADA NO BOLETIM ORSE (OUT/2022) "4532". PALAVRA CHAVE: "CURVA DE INVERSÃO".</t>
  </si>
  <si>
    <t>CURVA DE INVERSÃO PARA ELETROCALHA DE #100 X 50MM</t>
  </si>
  <si>
    <t>CRUZETA RETA 90º EM "X" PARA ELETROCALHA DE #100 X 50MM</t>
  </si>
  <si>
    <t>REDUÇÃO CONCENTRICA PARA ELETROCALHA DE 100MM PARA 50MM</t>
  </si>
  <si>
    <t>**COMPOSIÇÃO DA MÃO DE OBRA BASEADA NO BOLETIM ORSE (OUT/2022) EM ASSOCIAÇÃO DAS SEGUINTES COMPOSIÇÕES "11831". PALAVRA CHAVE: "REDUÇÃO".</t>
  </si>
  <si>
    <t>**COMPOSIÇÃO DA MÃO DE OBRA BASEADA NO BOLETIM ORSE (OUT/2022) "3400". Obs.: A REFERÊNCIA TRATA DO FORNECIMENTO E INSTALAÇÃO DE  UM METRO DO INSUMO EM QUESTÃO, QUE É VENDIDO APENAS EM BARRAS DE TRÊS METROS.PALAVRA CHAVE: "ELETROCALHA".</t>
  </si>
  <si>
    <t>**COMPOSIÇÃO DA MÃO DE OBRA BASEADA NO BOLETIM ORSE (OUT/2022) "11295". PALAVRA CHAVE: "EMENDA INTERNA".</t>
  </si>
  <si>
    <t>EMENDA INTERNA PARA ELETROCALHA PERFURADA GALVANIZADA DE 200 X 100MM</t>
  </si>
  <si>
    <t>**COMPOSIÇÃO DA MÃO DE OBRA BASEADA NO BOLETIM ORSE (OUT/2022) "12959". PALAVRA CHAVE: "CURVA HORIZONTAL".</t>
  </si>
  <si>
    <t>CURVA HORIZONTAL #200 X 100MM PARA ELETROCALHA METALICA, COM ÂNGULO 90º</t>
  </si>
  <si>
    <t>SUPORTE VERTICAL 200 X 100 MM PARA FIXAÇÃO DE ELETROCALHA METÁLICA</t>
  </si>
  <si>
    <t>**COMPOSIÇÃO DA MÃO DE OBRA BASEADA NO BOLETIM ORSE (OUT/2022)"12968". PALAVRA CHAVE: "SUPORTE VERTICAL".</t>
  </si>
  <si>
    <t xml:space="preserve">**COMPOSIÇÃO DA MÃO DE OBRA BASEADA NO BOLETIM ORSE (OUT/22) "8353". </t>
  </si>
  <si>
    <t>REDUÇÃO CONCÊNTRICA PARA ELETROCALHA DE #200MM PARA #100MM</t>
  </si>
  <si>
    <t>TÊ HORIZONTAL 200 X 100 MM PARA ELETROCALHA METÁLICA</t>
  </si>
  <si>
    <t>**COMPOSIÇÃO DA MÃO DE OBRA BASEADA NO BOLETIM ORSE (OUT/2022)"11292". PALAVRA CHAVE: "TÊ HORIZONTAL".</t>
  </si>
  <si>
    <t>CURVA DE INVERSÃO 200 X 100 MM PARA ELETROCALHA METÁLICA</t>
  </si>
  <si>
    <t>**COMPOSIÇÃO DA MÃO DE OBRA BASEADA NO BOLETIM ORSE (OUT/2022)"12958". PALAVRA CHAVE: "CURVA DE INVERSÃO".</t>
  </si>
  <si>
    <t>CRUZETA 200 X 100 MM PARA ELETROCALHA METÁLICA LISA ZINCADA</t>
  </si>
  <si>
    <t>**COMPOSIÇÃO DA MÃO DE OBRA BASEADA NO BOLETIM ORSE (OUT/2022) "12679". PALAVRA CHAVE: "CRUZETA"</t>
  </si>
  <si>
    <t>**COMPOSIÇÃO DA MÃO DE OBRA BASEADA NO BOLETIM ORSE (OUT/2022) "8221". PALAVRA CHAVE: "CRUZETA"</t>
  </si>
  <si>
    <t>**COMPOSIÇÃO DA MÃO DE OBRA BASEADA NO BOLETIM ORSE  (OUT/2022) "12545" - PALAVRA CHAVE:  SERVIÇO : VERGALHÃO.</t>
  </si>
  <si>
    <t>CJ</t>
  </si>
  <si>
    <t>FORNECIMENTO E INSTALAÇÃO DE TOMADA PARA REDE LÓGICA, RJ45, COM CAIXA DE ALUMINIO SOBREPOR, APARENTE -  PARA SALA DE INFORMATICA</t>
  </si>
  <si>
    <t>**COMPOSIÇÃO DA MÃO DE OBRA BASEADA NO BOLETIM "ORSE" (OUT/2022) "00794"</t>
  </si>
  <si>
    <t>**COMPOSIÇÃO DA MÃO DE OBRA BASEADA NO BOLETIM ORSE (OUT/2022) "00762".</t>
  </si>
  <si>
    <t>ELETROCALHA PERFURADA GALVANIZADA DE 50 X 50 X 1000mm</t>
  </si>
  <si>
    <t>CONECTOR PERFURANTE CDP-120 - (D: 25mm²/150mm² x P: 25mm²/ 150mm²)</t>
  </si>
  <si>
    <t>CONECTOR PERFURANTE CDP-70 - (D: 1,5mm²/10mm² x P: 10mm²/ 95mm²)</t>
  </si>
  <si>
    <t>FORNECIMENTO E INSTALAÇÃO DE  CABO DE COBRE PP 3 x 1,5 MM2  0,6/1 KV</t>
  </si>
  <si>
    <t>FORNECIMENTO E INSTALAÇÃO DE  CABO DE COBRE PP 3 x 4 MM2  0,6/1 KV</t>
  </si>
  <si>
    <t>**COMPOSIÇÃO BASEADA NO BOLETIM ORSE (OUT/2022) "09043"</t>
  </si>
  <si>
    <t>**COMPOSIÇÃO BASEADA NO BOLETIM ORSE (OUT/2022) "7893"</t>
  </si>
  <si>
    <t>**COMPOSIÇÃO DA MÃO DE OBRA BASEADA NO BOLETIM ORSE (OUT/2022) CÓDIGO "8894". PALAVRA CHAVE: "DPS".</t>
  </si>
  <si>
    <t>**COMPOSIÇÃO DA MÃO DE OBRA BASEADA NO BOLETIM ORSE (OUT/2022) CÓDIGO "9045". PALAVRA CHAVE:"DUTO CORRUGADO".</t>
  </si>
  <si>
    <t>**COMPOSIÇÃO DA MÃO DE OBRA BASEADA NO BOLETIM ORSE (OUT/2022) CÓDIGO "3767". PALAVRA CHAVE:"DUTO CORRUGADO".</t>
  </si>
  <si>
    <t>**COMPOSIÇÃO DA MÃO DE OBRA BASEADA NO BOLETIM ORSE (OUT/2022) CÓDIGO "3770". PALAVRA CHAVE:"DUTO CORRUGADO".</t>
  </si>
  <si>
    <t>**COMPOSIÇÃO DA MÃO DE OBRA BASEADA NO BOLETIM ORSE (OUT/2022) CÓDIGO "11413". PALAVRA CHAVE: "CABO DE COBRE PP".</t>
  </si>
  <si>
    <t>**COMPOSIÇÃO DA MÃO DE OBRA BASEADA NO BOLETIM ORSE (OUT/2022) "03836". PALAVRA CHAVE: "QUADRO DE COMANDO".</t>
  </si>
  <si>
    <t>**COMPOSIÇÃO BASEADA NO BOLETIM ORSE (OUT/2022) "03431" - PALAVRA CHAVE: "FIO"</t>
  </si>
  <si>
    <t>**COMPOSIÇÃO BASEADA NO BOLETIM ORSE (OUT/2022) "13364"</t>
  </si>
  <si>
    <t>**COMPOSIÇÃO BASEADA NO BOLETIM ORSE (OUT/2022) "13365"</t>
  </si>
  <si>
    <t>**COMPOSIÇÃO BASEADA NA ORSE (OUTUBRO/2022)  - COD - 04283</t>
  </si>
  <si>
    <t xml:space="preserve">PORCETAGEM AD. DE OBRA </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</si>
  <si>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</si>
  <si>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</si>
  <si>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</si>
  <si>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</si>
  <si>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</si>
  <si>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</si>
  <si>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</si>
  <si>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</si>
  <si>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</si>
  <si>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</si>
  <si>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ENCARGOS SOCIAIS SOBRE A MÃO DE OBRA - VIGENTE APARTIR DE 12/2022</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</si>
  <si>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</si>
  <si>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</si>
  <si>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</si>
  <si>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</si>
  <si>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</si>
  <si>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</si>
  <si>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</si>
  <si>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</si>
  <si>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</si>
  <si>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</si>
  <si>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</si>
  <si>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</si>
  <si>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</si>
  <si>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</si>
  <si>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</si>
  <si>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</si>
  <si>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</si>
  <si>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</si>
  <si>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</si>
  <si>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</si>
  <si>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</si>
  <si>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</si>
  <si>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</si>
  <si>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</si>
  <si>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</si>
  <si>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</si>
  <si>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</si>
  <si>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</si>
  <si>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</si>
  <si>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</si>
  <si>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</si>
  <si>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</si>
  <si>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</si>
  <si>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</si>
  <si>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</si>
  <si>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</si>
  <si>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</si>
  <si>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</si>
  <si>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</si>
  <si>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</si>
  <si>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</si>
  <si>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</si>
  <si>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</si>
  <si>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</si>
  <si>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</si>
  <si>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</si>
  <si>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</si>
  <si>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</si>
  <si>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</si>
  <si>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</si>
  <si>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</si>
  <si>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</si>
  <si>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</si>
  <si>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</si>
  <si>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</si>
  <si>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</si>
  <si>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</si>
  <si>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</si>
  <si>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</si>
  <si>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</si>
  <si>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</si>
  <si>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</si>
  <si>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</si>
  <si>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</si>
  <si>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</si>
  <si>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</si>
  <si>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</si>
  <si>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</si>
  <si>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</si>
  <si>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</si>
  <si>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</si>
  <si>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</si>
  <si>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</si>
  <si>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</si>
  <si>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</si>
  <si>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</si>
  <si>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</si>
  <si>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</si>
  <si>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</si>
  <si>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</si>
  <si>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</si>
  <si>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</si>
  <si>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</si>
  <si>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</si>
  <si>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</si>
  <si>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</si>
  <si>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</si>
  <si>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</si>
  <si>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</si>
  <si>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</si>
  <si>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</si>
  <si>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</si>
  <si>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</si>
  <si>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</si>
  <si>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</si>
  <si>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</si>
  <si>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</si>
  <si>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</si>
  <si>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</si>
  <si>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</si>
  <si>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</si>
  <si>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</si>
  <si>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</si>
  <si>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</si>
  <si>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</si>
  <si>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</si>
  <si>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</si>
  <si>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</si>
  <si>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</si>
  <si>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</si>
  <si>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</si>
  <si>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</si>
  <si>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</si>
  <si>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</si>
  <si>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</si>
  <si>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</si>
  <si>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</si>
  <si>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</si>
  <si>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</si>
  <si>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</si>
  <si>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</si>
  <si>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</si>
  <si>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</si>
  <si>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</si>
  <si>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</si>
  <si>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</si>
  <si>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</si>
  <si>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</si>
  <si>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</si>
  <si>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</si>
  <si>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</si>
  <si>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</si>
  <si>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</si>
  <si>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</si>
  <si>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</si>
  <si>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</si>
  <si>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</si>
  <si>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</si>
  <si>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</si>
  <si>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</si>
  <si>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</si>
  <si>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</si>
  <si>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Lilian Nicoletti Staub</t>
  </si>
  <si>
    <t>CREA-MT 50866</t>
  </si>
  <si>
    <t>Werlla Marnym Silva Prata</t>
  </si>
  <si>
    <t>CREA-MT 54981</t>
  </si>
  <si>
    <t>Segundo o que determina a lei nº 14.133/21, admite-se fixar o percentual de BDI, dede que seguindo as técnicas da Engenharia e Custos.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</si>
  <si>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</si>
  <si>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</si>
  <si>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</si>
  <si>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</si>
  <si>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</si>
  <si>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</si>
  <si>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</si>
  <si>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</si>
  <si>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</si>
  <si>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</si>
  <si>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</si>
  <si>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</si>
  <si>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</si>
  <si>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</si>
  <si>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</si>
  <si>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</si>
  <si>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</si>
  <si>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</si>
  <si>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</si>
  <si>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</si>
  <si>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</si>
  <si>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</si>
  <si>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</si>
  <si>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</si>
  <si>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</si>
  <si>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</si>
  <si>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</si>
  <si>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</si>
  <si>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</si>
  <si>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</si>
  <si>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</si>
  <si>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</si>
  <si>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</si>
  <si>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</si>
  <si>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</si>
  <si>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</si>
  <si>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</si>
  <si>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</si>
  <si>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</si>
  <si>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</si>
  <si>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</si>
  <si>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</si>
  <si>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</si>
  <si>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</si>
  <si>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</si>
  <si>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</si>
  <si>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</si>
  <si>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</si>
  <si>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</si>
  <si>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</si>
  <si>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</si>
  <si>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</si>
  <si>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</si>
  <si>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</si>
  <si>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</si>
  <si>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</si>
  <si>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</si>
  <si>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</si>
  <si>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</si>
  <si>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</si>
  <si>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</si>
  <si>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</si>
  <si>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</si>
  <si>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</si>
  <si>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</si>
  <si>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</si>
  <si>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</si>
  <si>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</si>
  <si>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</si>
  <si>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</si>
  <si>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</si>
  <si>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</si>
  <si>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</si>
  <si>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</si>
  <si>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</si>
  <si>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</si>
  <si>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</si>
  <si>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</si>
  <si>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</si>
  <si>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</si>
  <si>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</si>
  <si>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</si>
  <si>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</si>
  <si>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</si>
  <si>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</si>
  <si>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</si>
  <si>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</si>
  <si>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</si>
  <si>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</si>
  <si>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</si>
  <si>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</si>
  <si>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</si>
  <si>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</si>
  <si>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</si>
  <si>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</si>
  <si>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</si>
  <si>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</si>
  <si>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</si>
  <si>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</si>
  <si>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</si>
  <si>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</si>
  <si>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</si>
  <si>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</si>
  <si>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</si>
  <si>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</si>
  <si>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</si>
  <si>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</si>
  <si>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</si>
  <si>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</si>
  <si>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</si>
  <si>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</si>
  <si>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</si>
  <si>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</si>
  <si>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</si>
  <si>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</si>
  <si>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</si>
  <si>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</si>
  <si>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</si>
  <si>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</si>
  <si>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</si>
  <si>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</si>
  <si>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</si>
  <si>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</si>
  <si>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</si>
  <si>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</si>
  <si>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</si>
  <si>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</si>
  <si>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</si>
  <si>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</si>
  <si>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</si>
  <si>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</si>
  <si>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</si>
  <si>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</si>
  <si>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</si>
  <si>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</si>
  <si>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</si>
  <si>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</si>
  <si>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</si>
  <si>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</si>
  <si>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</si>
  <si>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</si>
  <si>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</si>
  <si>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</si>
  <si>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</si>
  <si>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</si>
  <si>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</si>
  <si>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</si>
  <si>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</si>
  <si>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</si>
  <si>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</si>
  <si>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</si>
  <si>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</si>
  <si>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</si>
  <si>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</si>
  <si>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</si>
  <si>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</si>
  <si>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</si>
  <si>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</si>
  <si>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</si>
  <si>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</si>
  <si>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</si>
  <si>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</si>
  <si>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</si>
  <si>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</si>
  <si>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</si>
  <si>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</si>
  <si>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</si>
  <si>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</si>
  <si>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</si>
  <si>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</si>
  <si>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</si>
  <si>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</si>
  <si>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</si>
  <si>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</si>
  <si>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</si>
  <si>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</si>
  <si>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</si>
  <si>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</si>
  <si>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</si>
  <si>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</si>
  <si>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</si>
  <si>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</si>
  <si>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</si>
  <si>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</si>
  <si>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</si>
  <si>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</si>
  <si>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</si>
  <si>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</si>
  <si>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</si>
  <si>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</si>
  <si>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</si>
  <si>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</si>
  <si>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</si>
  <si>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</si>
  <si>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</si>
  <si>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</si>
  <si>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</si>
  <si>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</si>
  <si>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</si>
  <si>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</si>
  <si>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</si>
  <si>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</si>
  <si>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</si>
  <si>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</si>
  <si>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</si>
  <si>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</si>
  <si>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</si>
  <si>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</si>
  <si>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</si>
  <si>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</si>
  <si>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</si>
  <si>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</si>
  <si>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</si>
  <si>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</si>
  <si>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</si>
  <si>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</si>
  <si>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</si>
  <si>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</si>
  <si>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</si>
  <si>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</si>
  <si>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</si>
  <si>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</si>
  <si>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</si>
  <si>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</si>
  <si>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</si>
  <si>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</si>
  <si>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</si>
  <si>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</si>
  <si>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</si>
  <si>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</si>
  <si>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</si>
  <si>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</si>
  <si>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</si>
  <si>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</si>
  <si>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</si>
  <si>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</si>
  <si>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</si>
  <si>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</si>
  <si>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</si>
  <si>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</si>
  <si>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</si>
  <si>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</si>
  <si>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</si>
  <si>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</si>
  <si>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</si>
  <si>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</si>
  <si>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</si>
  <si>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</si>
  <si>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</si>
  <si>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</si>
  <si>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</si>
  <si>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</si>
  <si>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</si>
  <si>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</si>
  <si>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</si>
  <si>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</si>
  <si>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</si>
  <si>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</si>
  <si>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</si>
  <si>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</si>
  <si>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</si>
  <si>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</si>
  <si>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</si>
  <si>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</si>
  <si>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</si>
  <si>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</si>
  <si>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</si>
  <si>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</si>
  <si>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</si>
  <si>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</si>
  <si>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</si>
  <si>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</si>
  <si>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</si>
  <si>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</si>
  <si>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</si>
  <si>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</si>
  <si>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</si>
  <si>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</si>
  <si>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</si>
  <si>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</si>
  <si>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</si>
  <si>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</si>
  <si>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</si>
  <si>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</si>
  <si>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</si>
  <si>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</si>
  <si>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</si>
  <si>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</si>
  <si>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</si>
  <si>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</si>
  <si>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</si>
  <si>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</si>
  <si>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</si>
  <si>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</si>
  <si>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</si>
  <si>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</si>
  <si>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</si>
  <si>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</si>
  <si>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</si>
  <si>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</si>
  <si>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</si>
  <si>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</si>
  <si>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</si>
  <si>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</si>
  <si>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</si>
  <si>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</si>
  <si>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</si>
  <si>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</si>
  <si>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</si>
  <si>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</si>
  <si>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</si>
  <si>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</si>
  <si>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</si>
  <si>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</si>
  <si>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</si>
  <si>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</si>
  <si>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</si>
  <si>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</si>
  <si>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</si>
  <si>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</si>
  <si>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</si>
  <si>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</si>
  <si>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</si>
  <si>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</si>
  <si>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</si>
  <si>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</si>
  <si>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</si>
  <si>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</si>
  <si>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</si>
  <si>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</si>
  <si>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</si>
  <si>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</si>
  <si>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</si>
  <si>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</si>
  <si>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</si>
  <si>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</si>
  <si>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</si>
  <si>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</si>
  <si>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</si>
  <si>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</si>
  <si>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</si>
  <si>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</si>
  <si>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</si>
  <si>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</si>
  <si>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</si>
  <si>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</si>
  <si>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</si>
  <si>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</si>
  <si>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VER ITENS QUE VAI SER COTADO COM MÃO DE OBRA E COLOCAR BDI DIF</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</si>
  <si>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</si>
  <si>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</si>
  <si>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</si>
  <si>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</si>
  <si>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</si>
  <si>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</si>
  <si>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</si>
  <si>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</si>
  <si>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</si>
  <si>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</si>
  <si>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</si>
  <si>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</si>
  <si>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</si>
  <si>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</si>
  <si>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</si>
  <si>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</si>
  <si>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</si>
  <si>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</si>
  <si>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</si>
  <si>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</si>
  <si>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</si>
  <si>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</si>
  <si>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</si>
  <si>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</si>
  <si>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</si>
  <si>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</si>
  <si>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</si>
  <si>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</si>
  <si>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</si>
  <si>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</si>
  <si>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</si>
  <si>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</si>
  <si>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</si>
  <si>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</si>
  <si>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</si>
  <si>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</si>
  <si>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</si>
  <si>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</si>
  <si>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</si>
  <si>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</si>
  <si>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</si>
  <si>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</si>
  <si>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</si>
  <si>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</si>
  <si>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</si>
  <si>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</si>
  <si>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</si>
  <si>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</si>
  <si>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</si>
  <si>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</si>
  <si>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</si>
  <si>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</si>
  <si>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</si>
  <si>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</si>
  <si>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</si>
  <si>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</si>
  <si>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</si>
  <si>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</si>
  <si>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</si>
  <si>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</si>
  <si>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</si>
  <si>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</si>
  <si>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</si>
  <si>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</si>
  <si>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</si>
  <si>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</si>
  <si>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</si>
  <si>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</si>
  <si>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</si>
  <si>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</si>
  <si>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</si>
  <si>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</si>
  <si>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</si>
  <si>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</si>
  <si>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</si>
  <si>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</si>
  <si>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</si>
  <si>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</si>
  <si>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</si>
  <si>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</si>
  <si>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</si>
  <si>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</si>
  <si>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</si>
  <si>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</si>
  <si>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</si>
  <si>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</si>
  <si>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</si>
  <si>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</si>
  <si>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</si>
  <si>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</si>
  <si>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</si>
  <si>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</si>
  <si>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</si>
  <si>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</si>
  <si>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</si>
  <si>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</si>
  <si>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</si>
  <si>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</si>
  <si>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</si>
  <si>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</si>
  <si>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</si>
  <si>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</si>
  <si>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</si>
  <si>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</si>
  <si>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</si>
  <si>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</si>
  <si>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</si>
  <si>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</si>
  <si>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</si>
  <si>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</si>
  <si>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</si>
  <si>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</si>
  <si>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</si>
  <si>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</si>
  <si>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</si>
  <si>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</si>
  <si>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</si>
  <si>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</si>
  <si>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</si>
  <si>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</si>
  <si>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</si>
  <si>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</si>
  <si>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</si>
  <si>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</si>
  <si>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</si>
  <si>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</si>
  <si>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</si>
  <si>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</si>
  <si>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</si>
  <si>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</si>
  <si>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</si>
  <si>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</si>
  <si>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</si>
  <si>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</si>
  <si>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</si>
  <si>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</si>
  <si>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</si>
  <si>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</si>
  <si>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</si>
  <si>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</si>
  <si>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</si>
  <si>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</si>
  <si>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</si>
  <si>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</si>
  <si>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</si>
  <si>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</si>
  <si>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</si>
  <si>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</si>
  <si>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</si>
  <si>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</si>
  <si>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</si>
  <si>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</si>
  <si>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</si>
  <si>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</si>
  <si>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</si>
  <si>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</si>
  <si>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</si>
  <si>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</si>
  <si>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</si>
  <si>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</si>
  <si>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</si>
  <si>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</si>
  <si>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</si>
  <si>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</si>
  <si>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</si>
  <si>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</si>
  <si>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</si>
  <si>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</si>
  <si>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</si>
  <si>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</si>
  <si>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</si>
  <si>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</si>
  <si>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</si>
  <si>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</si>
  <si>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</si>
  <si>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</si>
  <si>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</si>
  <si>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</si>
  <si>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</si>
  <si>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</si>
  <si>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</si>
  <si>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</si>
  <si>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</si>
  <si>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</si>
  <si>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</si>
  <si>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</si>
  <si>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</si>
  <si>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</si>
  <si>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</si>
  <si>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</si>
  <si>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</si>
  <si>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</si>
  <si>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</si>
  <si>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</si>
  <si>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</si>
  <si>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</si>
  <si>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</si>
  <si>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</si>
  <si>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</si>
  <si>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</si>
  <si>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</si>
  <si>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</si>
  <si>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</si>
  <si>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</si>
  <si>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</si>
  <si>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</si>
  <si>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ALVENARIA DE BLOCOS DE CONCRETO ESTRUTURAL 14X19X29 CM (ESPESSURA 14 CM), FBK = 14,0 MPA, UTILIZANDO PALHETA. AF_10/2022</t>
  </si>
  <si>
    <t>PISO PODOTÁTIL DE ALERTA OU DIRECIONAL, DE CONCRETO, ASSENTADO SOBRE ARGAMASSA.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</si>
  <si>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</si>
  <si>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</si>
  <si>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</si>
  <si>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</si>
  <si>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</si>
  <si>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</si>
  <si>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</si>
  <si>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</si>
  <si>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</si>
  <si>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</si>
  <si>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</si>
  <si>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</si>
  <si>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</si>
  <si>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</si>
  <si>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</si>
  <si>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</si>
  <si>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</si>
  <si>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</si>
  <si>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</si>
  <si>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</si>
  <si>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</si>
  <si>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</si>
  <si>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</si>
  <si>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</si>
  <si>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</si>
  <si>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</si>
  <si>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</si>
  <si>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</si>
  <si>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</si>
  <si>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</si>
  <si>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</si>
  <si>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</si>
  <si>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</si>
  <si>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</si>
  <si>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</si>
  <si>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</si>
  <si>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</si>
  <si>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</si>
  <si>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</si>
  <si>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</si>
  <si>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</si>
  <si>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</si>
  <si>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</si>
  <si>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</si>
  <si>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</si>
  <si>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</si>
  <si>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</si>
  <si>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</si>
  <si>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</si>
  <si>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</si>
  <si>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</si>
  <si>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</si>
  <si>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</si>
  <si>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</si>
  <si>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</si>
  <si>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</si>
  <si>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</si>
  <si>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</si>
  <si>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</si>
  <si>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UNXPAV</t>
  </si>
  <si>
    <t>M2XPAV</t>
  </si>
  <si>
    <t>1,25*2,5 OU 5*2,5</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</si>
  <si>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</si>
  <si>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</si>
  <si>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</si>
  <si>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</si>
  <si>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</si>
  <si>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</si>
  <si>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</si>
  <si>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</si>
  <si>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</si>
  <si>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</si>
  <si>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</si>
  <si>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</si>
  <si>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</si>
  <si>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</si>
  <si>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</si>
  <si>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</si>
  <si>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</si>
  <si>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</si>
  <si>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</si>
  <si>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</si>
  <si>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</si>
  <si>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</si>
  <si>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</si>
  <si>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</si>
  <si>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</si>
  <si>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</si>
  <si>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</si>
  <si>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</si>
  <si>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</si>
  <si>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</si>
  <si>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</si>
  <si>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</si>
  <si>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</si>
  <si>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</si>
  <si>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</si>
  <si>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</si>
  <si>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</si>
  <si>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</si>
  <si>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</si>
  <si>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</si>
  <si>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</si>
  <si>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</si>
  <si>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</si>
  <si>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</si>
  <si>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</si>
  <si>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</si>
  <si>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</si>
  <si>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</si>
  <si>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</si>
  <si>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</si>
  <si>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</si>
  <si>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</si>
  <si>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</si>
  <si>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</si>
  <si>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</si>
  <si>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</si>
  <si>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</si>
  <si>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</si>
  <si>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</si>
  <si>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</si>
  <si>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</si>
  <si>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</si>
  <si>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</si>
  <si>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</si>
  <si>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</si>
  <si>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</si>
  <si>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</si>
  <si>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CHUMBADOR PARABOLT -  COM PORCA E ARRUELA P/FIXAÇÃO PEÇA ESTRUTURAL ACO/CONCRETO</t>
  </si>
  <si>
    <t>**COMPOSIÇÃO BASEADA NO INFORMATIVOS SBC - CÓDIGO 40132 - ABRIL/2023 - OBS O CHUMBADOR FOI ADEQUADO DE ACORDO COM PROJETO DE ESTRUTURA METÁLICA</t>
  </si>
  <si>
    <t>ELETROCALHA PERFURADA GALVANIZADA DE #100 X 50mm</t>
  </si>
  <si>
    <t>ELETROCALHA PERFURADA GALVANIZADA DE 200 X 100mm</t>
  </si>
  <si>
    <t>ELETROCALHA PERFURADA GALVANIZADA DE #200 X 100MM</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</si>
  <si>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</si>
  <si>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</si>
  <si>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</si>
  <si>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</si>
  <si>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</si>
  <si>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</si>
  <si>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</si>
  <si>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</si>
  <si>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</si>
  <si>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</si>
  <si>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</si>
  <si>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</si>
  <si>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</si>
  <si>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</si>
  <si>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</si>
  <si>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</si>
  <si>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</si>
  <si>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</si>
  <si>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</si>
  <si>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</si>
  <si>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</si>
  <si>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</si>
  <si>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</si>
  <si>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</si>
  <si>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</si>
  <si>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</si>
  <si>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</si>
  <si>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</si>
  <si>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</si>
  <si>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</si>
  <si>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</si>
  <si>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</si>
  <si>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</si>
  <si>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</si>
  <si>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</si>
  <si>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</si>
  <si>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</si>
  <si>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</si>
  <si>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</si>
  <si>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</si>
  <si>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</si>
  <si>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</si>
  <si>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</si>
  <si>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</si>
  <si>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</si>
  <si>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</si>
  <si>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</si>
  <si>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</si>
  <si>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</si>
  <si>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</si>
  <si>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</si>
  <si>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</si>
  <si>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</si>
  <si>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</si>
  <si>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</si>
  <si>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</si>
  <si>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</si>
  <si>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</si>
  <si>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</si>
  <si>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</si>
  <si>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</si>
  <si>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</si>
  <si>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</si>
  <si>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</si>
  <si>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</si>
  <si>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</si>
  <si>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</si>
  <si>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</si>
  <si>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</si>
  <si>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</si>
  <si>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</si>
  <si>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</si>
  <si>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</si>
  <si>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</si>
  <si>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</si>
  <si>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</si>
  <si>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</si>
  <si>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</si>
  <si>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</si>
  <si>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</si>
  <si>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</si>
  <si>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</si>
  <si>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</si>
  <si>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</si>
  <si>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</si>
  <si>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</si>
  <si>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</si>
  <si>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</si>
  <si>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</si>
  <si>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</si>
  <si>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</si>
  <si>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</si>
  <si>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</si>
  <si>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</si>
  <si>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</si>
  <si>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</si>
  <si>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</si>
  <si>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</si>
  <si>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</si>
  <si>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</si>
  <si>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</si>
  <si>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</si>
  <si>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</si>
  <si>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</si>
  <si>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</si>
  <si>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</si>
  <si>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</si>
  <si>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</si>
  <si>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</si>
  <si>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</si>
  <si>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</si>
  <si>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</si>
  <si>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</si>
  <si>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</si>
  <si>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</si>
  <si>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</si>
  <si>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</si>
  <si>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</si>
  <si>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</si>
  <si>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</si>
  <si>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</si>
  <si>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</si>
  <si>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</si>
  <si>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</si>
  <si>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</si>
  <si>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</si>
  <si>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</si>
  <si>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</si>
  <si>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</si>
  <si>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</si>
  <si>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</si>
  <si>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</si>
  <si>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</si>
  <si>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</si>
  <si>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</si>
  <si>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</si>
  <si>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</si>
  <si>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</si>
  <si>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</si>
  <si>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</si>
  <si>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</si>
  <si>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</si>
  <si>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</si>
  <si>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</si>
  <si>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</si>
  <si>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</si>
  <si>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</si>
  <si>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</si>
  <si>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</si>
  <si>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</si>
  <si>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</si>
  <si>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</si>
  <si>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</si>
  <si>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</si>
  <si>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</si>
  <si>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</si>
  <si>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</si>
  <si>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</si>
  <si>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</si>
  <si>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</si>
  <si>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</si>
  <si>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</si>
  <si>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</si>
  <si>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</si>
  <si>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</si>
  <si>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</si>
  <si>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</si>
  <si>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</si>
  <si>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</si>
  <si>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</si>
  <si>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</si>
  <si>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</si>
  <si>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TE DE REDUÇÃO, CPVC, SOLDÁVEL, DN 28 X 22 MM, INSTALADO EM RAMAL DE DISTRIBUIÇÃO DE ÁGUA - FORNECIMENTO E INSTALAÇÃO. AF_06/2022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</si>
  <si>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</si>
  <si>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</si>
  <si>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</si>
  <si>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</si>
  <si>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</si>
  <si>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</si>
  <si>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</si>
  <si>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</si>
  <si>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</si>
  <si>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</si>
  <si>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</si>
  <si>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</si>
  <si>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</si>
  <si>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</si>
  <si>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</si>
  <si>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</si>
  <si>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</si>
  <si>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</si>
  <si>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</si>
  <si>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</si>
  <si>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</si>
  <si>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</si>
  <si>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</si>
  <si>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</si>
  <si>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</si>
  <si>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</si>
  <si>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</si>
  <si>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</si>
  <si>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</si>
  <si>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</si>
  <si>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</si>
  <si>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</si>
  <si>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</si>
  <si>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</si>
  <si>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</si>
  <si>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</si>
  <si>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</si>
  <si>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</si>
  <si>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</si>
  <si>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</si>
  <si>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</si>
  <si>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</si>
  <si>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</si>
  <si>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</si>
  <si>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</si>
  <si>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</si>
  <si>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</si>
  <si>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</si>
  <si>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</si>
  <si>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</si>
  <si>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</si>
  <si>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</si>
  <si>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</si>
  <si>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</si>
  <si>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</si>
  <si>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</si>
  <si>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</si>
  <si>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</si>
  <si>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</si>
  <si>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</si>
  <si>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</si>
  <si>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</si>
  <si>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</si>
  <si>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</si>
  <si>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</si>
  <si>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</si>
  <si>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</si>
  <si>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</si>
  <si>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</si>
  <si>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</si>
  <si>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</si>
  <si>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</si>
  <si>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</si>
  <si>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</si>
  <si>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</si>
  <si>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</si>
  <si>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</si>
  <si>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</si>
  <si>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</si>
  <si>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</si>
  <si>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</si>
  <si>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</si>
  <si>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</si>
  <si>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</si>
  <si>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</si>
  <si>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</si>
  <si>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</si>
  <si>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</si>
  <si>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</si>
  <si>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</si>
  <si>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</si>
  <si>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</si>
  <si>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</si>
  <si>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</si>
  <si>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</si>
  <si>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</si>
  <si>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</si>
  <si>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</si>
  <si>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</si>
  <si>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</si>
  <si>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</si>
  <si>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</si>
  <si>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</si>
  <si>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</si>
  <si>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</si>
  <si>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</si>
  <si>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</si>
  <si>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</si>
  <si>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</si>
  <si>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</si>
  <si>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</si>
  <si>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</si>
  <si>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</si>
  <si>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</si>
  <si>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</si>
  <si>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</si>
  <si>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</si>
  <si>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</si>
  <si>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</si>
  <si>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</si>
  <si>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</si>
  <si>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</si>
  <si>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</si>
  <si>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</si>
  <si>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</si>
  <si>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</si>
  <si>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</si>
  <si>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</si>
  <si>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</si>
  <si>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</si>
  <si>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</si>
  <si>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</si>
  <si>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</si>
  <si>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</si>
  <si>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</si>
  <si>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</si>
  <si>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</si>
  <si>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</si>
  <si>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</si>
  <si>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</si>
  <si>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</si>
  <si>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</si>
  <si>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</si>
  <si>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</si>
  <si>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</si>
  <si>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</si>
  <si>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</si>
  <si>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</si>
  <si>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</si>
  <si>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</si>
  <si>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</si>
  <si>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</si>
  <si>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</si>
  <si>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</si>
  <si>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</si>
  <si>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</si>
  <si>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</si>
  <si>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</si>
  <si>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</si>
  <si>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</si>
  <si>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</si>
  <si>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</si>
  <si>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</si>
  <si>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</si>
  <si>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</si>
  <si>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</si>
  <si>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</si>
  <si>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</si>
  <si>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</si>
  <si>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</si>
  <si>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</si>
  <si>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</si>
  <si>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</si>
  <si>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</si>
  <si>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</si>
  <si>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</si>
  <si>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</si>
  <si>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</si>
  <si>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</si>
  <si>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</si>
  <si>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</si>
  <si>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</si>
  <si>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</si>
  <si>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</si>
  <si>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</si>
  <si>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</si>
  <si>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</si>
  <si>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</si>
  <si>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</si>
  <si>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</si>
  <si>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</si>
  <si>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</si>
  <si>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</si>
  <si>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</si>
  <si>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</si>
  <si>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</si>
  <si>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</si>
  <si>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</si>
  <si>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</si>
  <si>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</si>
  <si>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</si>
  <si>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</si>
  <si>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</si>
  <si>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</si>
  <si>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</si>
  <si>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</si>
  <si>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</si>
  <si>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</si>
  <si>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</si>
  <si>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</si>
  <si>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</si>
  <si>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</si>
  <si>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</si>
  <si>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</si>
  <si>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</si>
  <si>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</si>
  <si>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</si>
  <si>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</si>
  <si>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</si>
  <si>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</si>
  <si>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</si>
  <si>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</si>
  <si>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</si>
  <si>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</si>
  <si>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</si>
  <si>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</si>
  <si>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</si>
  <si>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</si>
  <si>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</si>
  <si>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</si>
  <si>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</si>
  <si>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</si>
  <si>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</si>
  <si>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</si>
  <si>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</si>
  <si>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</si>
  <si>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</si>
  <si>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</si>
  <si>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</si>
  <si>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</si>
  <si>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</si>
  <si>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</si>
  <si>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</si>
  <si>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</si>
  <si>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</si>
  <si>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</si>
  <si>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</si>
  <si>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</si>
  <si>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</si>
  <si>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</si>
  <si>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</si>
  <si>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</si>
  <si>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</si>
  <si>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</si>
  <si>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</si>
  <si>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</si>
  <si>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</si>
  <si>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</si>
  <si>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</si>
  <si>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</si>
  <si>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</si>
  <si>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</si>
  <si>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</si>
  <si>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</si>
  <si>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</si>
  <si>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</si>
  <si>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</si>
  <si>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</si>
  <si>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</si>
  <si>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</si>
  <si>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</si>
  <si>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</si>
  <si>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</si>
  <si>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</si>
  <si>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</si>
  <si>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</si>
  <si>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</si>
  <si>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</si>
  <si>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</si>
  <si>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</si>
  <si>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</si>
  <si>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</si>
  <si>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</si>
  <si>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</si>
  <si>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</si>
  <si>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</si>
  <si>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</si>
  <si>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</si>
  <si>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</si>
  <si>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</si>
  <si>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</si>
  <si>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</si>
  <si>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</si>
  <si>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</si>
  <si>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</si>
  <si>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</si>
  <si>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</si>
  <si>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</si>
  <si>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</si>
  <si>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</si>
  <si>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</si>
  <si>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</si>
  <si>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</si>
  <si>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</si>
  <si>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</si>
  <si>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</si>
  <si>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</si>
  <si>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</si>
  <si>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</si>
  <si>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</si>
  <si>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</si>
  <si>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</si>
  <si>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</si>
  <si>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</si>
  <si>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</si>
  <si>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</si>
  <si>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</si>
  <si>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</si>
  <si>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</si>
  <si>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</si>
  <si>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</si>
  <si>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</si>
  <si>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</si>
  <si>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</si>
  <si>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</si>
  <si>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</si>
  <si>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</si>
  <si>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</si>
  <si>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</si>
  <si>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</si>
  <si>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</si>
  <si>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</si>
  <si>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</si>
  <si>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</si>
  <si>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</si>
  <si>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</si>
  <si>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</si>
  <si>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</si>
  <si>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</si>
  <si>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</si>
  <si>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</si>
  <si>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</si>
  <si>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</si>
  <si>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</si>
  <si>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</si>
  <si>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</si>
  <si>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</si>
  <si>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</si>
  <si>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</si>
  <si>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</si>
  <si>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</si>
  <si>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</si>
  <si>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</si>
  <si>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</si>
  <si>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</si>
  <si>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</si>
  <si>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</si>
  <si>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</si>
  <si>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</si>
  <si>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</si>
  <si>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</si>
  <si>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</si>
  <si>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</si>
  <si>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</si>
  <si>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</si>
  <si>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</si>
  <si>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</si>
  <si>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</si>
  <si>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</si>
  <si>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</si>
  <si>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</si>
  <si>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</si>
  <si>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</si>
  <si>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</si>
  <si>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</si>
  <si>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</si>
  <si>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</si>
  <si>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</si>
  <si>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</si>
  <si>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</si>
  <si>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</si>
  <si>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</si>
  <si>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</si>
  <si>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</si>
  <si>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</si>
  <si>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</si>
  <si>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</si>
  <si>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</si>
  <si>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</si>
  <si>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</si>
  <si>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</si>
  <si>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</si>
  <si>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</si>
  <si>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</si>
  <si>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</si>
  <si>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</si>
  <si>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</si>
  <si>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</si>
  <si>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</si>
  <si>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</si>
  <si>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</si>
  <si>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</si>
  <si>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</si>
  <si>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</si>
  <si>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</si>
  <si>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</si>
  <si>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</si>
  <si>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</si>
  <si>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</si>
  <si>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</si>
  <si>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</si>
  <si>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</si>
  <si>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</si>
  <si>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</si>
  <si>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</si>
  <si>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</si>
  <si>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</si>
  <si>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</si>
  <si>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</si>
  <si>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</si>
  <si>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</si>
  <si>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</si>
  <si>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</si>
  <si>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</si>
  <si>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</si>
  <si>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</si>
  <si>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</si>
  <si>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</si>
  <si>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</si>
  <si>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</si>
  <si>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</si>
  <si>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</si>
  <si>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</si>
  <si>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</si>
  <si>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</si>
  <si>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</si>
  <si>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</si>
  <si>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</si>
  <si>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</si>
  <si>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</si>
  <si>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</si>
  <si>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</si>
  <si>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</si>
  <si>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</si>
  <si>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</si>
  <si>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</si>
  <si>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</si>
  <si>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</si>
  <si>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</si>
  <si>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</si>
  <si>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</si>
  <si>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</si>
  <si>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</si>
  <si>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</si>
  <si>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</si>
  <si>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</si>
  <si>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</si>
  <si>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</si>
  <si>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</si>
  <si>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</si>
  <si>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</si>
  <si>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</si>
  <si>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</si>
  <si>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</si>
  <si>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</si>
  <si>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</si>
  <si>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</si>
  <si>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</si>
  <si>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</si>
  <si>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</si>
  <si>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</si>
  <si>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</si>
  <si>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</si>
  <si>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</si>
  <si>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</si>
  <si>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</si>
  <si>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</si>
  <si>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</si>
  <si>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</si>
  <si>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</si>
  <si>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</si>
  <si>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</si>
  <si>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</si>
  <si>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</si>
  <si>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</si>
  <si>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</si>
  <si>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</si>
  <si>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</si>
  <si>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</si>
  <si>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</si>
  <si>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</si>
  <si>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</si>
  <si>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</si>
  <si>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</si>
  <si>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</si>
  <si>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</si>
  <si>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</si>
  <si>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</si>
  <si>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</si>
  <si>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</si>
  <si>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</si>
  <si>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</si>
  <si>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</si>
  <si>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</si>
  <si>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</si>
  <si>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</si>
  <si>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</si>
  <si>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</si>
  <si>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</si>
  <si>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</si>
  <si>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</si>
  <si>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</si>
  <si>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</si>
  <si>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</si>
  <si>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</si>
  <si>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</si>
  <si>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</si>
  <si>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</si>
  <si>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</si>
  <si>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</si>
  <si>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</si>
  <si>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</si>
  <si>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</si>
  <si>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</si>
  <si>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</si>
  <si>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</si>
  <si>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</si>
  <si>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</si>
  <si>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</si>
  <si>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</si>
  <si>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</si>
  <si>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</si>
  <si>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</si>
  <si>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</si>
  <si>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</si>
  <si>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</si>
  <si>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</si>
  <si>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</si>
  <si>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</si>
  <si>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</si>
  <si>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</si>
  <si>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</si>
  <si>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</si>
  <si>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</si>
  <si>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</si>
  <si>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</si>
  <si>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</si>
  <si>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</si>
  <si>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</si>
  <si>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</si>
  <si>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</si>
  <si>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</si>
  <si>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</si>
  <si>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</si>
  <si>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</si>
  <si>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</si>
  <si>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</si>
  <si>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</si>
  <si>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</si>
  <si>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</si>
  <si>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</si>
  <si>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</si>
  <si>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</si>
  <si>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</si>
  <si>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</si>
  <si>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</si>
  <si>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</si>
  <si>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</si>
  <si>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</si>
  <si>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</si>
  <si>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</si>
  <si>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</si>
  <si>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</si>
  <si>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</si>
  <si>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</si>
  <si>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</si>
  <si>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</si>
  <si>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</si>
  <si>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</si>
  <si>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</si>
  <si>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</si>
  <si>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</si>
  <si>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</si>
  <si>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</si>
  <si>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</si>
  <si>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</si>
  <si>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</si>
  <si>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</si>
  <si>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</si>
  <si>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</si>
  <si>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</si>
  <si>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</si>
  <si>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</si>
  <si>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</si>
  <si>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</si>
  <si>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</si>
  <si>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</si>
  <si>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</si>
  <si>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</si>
  <si>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</si>
  <si>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</si>
  <si>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</si>
  <si>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</si>
  <si>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</si>
  <si>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</si>
  <si>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</si>
  <si>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</si>
  <si>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</si>
  <si>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</si>
  <si>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</si>
  <si>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</si>
  <si>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</si>
  <si>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</si>
  <si>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</si>
  <si>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</si>
  <si>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</si>
  <si>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</si>
  <si>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</si>
  <si>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</si>
  <si>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</si>
  <si>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</si>
  <si>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</si>
  <si>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</si>
  <si>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</si>
  <si>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</si>
  <si>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</si>
  <si>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</si>
  <si>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</si>
  <si>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</si>
  <si>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</si>
  <si>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</si>
  <si>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</si>
  <si>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</si>
  <si>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</si>
  <si>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</si>
  <si>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</si>
  <si>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</si>
  <si>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</si>
  <si>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</si>
  <si>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</si>
  <si>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</si>
  <si>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</si>
  <si>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</si>
  <si>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</si>
  <si>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</si>
  <si>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</si>
  <si>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</si>
  <si>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</si>
  <si>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</si>
  <si>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</si>
  <si>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</si>
  <si>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</si>
  <si>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</si>
  <si>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</si>
  <si>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</si>
  <si>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</si>
  <si>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</si>
  <si>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</si>
  <si>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</si>
  <si>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</si>
  <si>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</si>
  <si>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</si>
  <si>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</si>
  <si>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</si>
  <si>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</si>
  <si>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</si>
  <si>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</si>
  <si>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</si>
  <si>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</si>
  <si>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</si>
  <si>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</si>
  <si>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</si>
  <si>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</si>
  <si>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</si>
  <si>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</si>
  <si>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</si>
  <si>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</si>
  <si>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</si>
  <si>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</si>
  <si>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</si>
  <si>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</si>
  <si>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</si>
  <si>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</si>
  <si>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</si>
  <si>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</si>
  <si>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</si>
  <si>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</si>
  <si>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</si>
  <si>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</si>
  <si>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</si>
  <si>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</si>
  <si>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</si>
  <si>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</si>
  <si>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</si>
  <si>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</si>
  <si>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</si>
  <si>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</si>
  <si>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</si>
  <si>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</si>
  <si>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</si>
  <si>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</si>
  <si>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</si>
  <si>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</si>
  <si>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</si>
  <si>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</si>
  <si>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</si>
  <si>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</si>
  <si>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</si>
  <si>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</si>
  <si>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</si>
  <si>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</si>
  <si>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</si>
  <si>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</si>
  <si>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</si>
  <si>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</si>
  <si>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</si>
  <si>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</si>
  <si>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</si>
  <si>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</si>
  <si>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</si>
  <si>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</si>
  <si>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</si>
  <si>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</si>
  <si>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</si>
  <si>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</si>
  <si>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</si>
  <si>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</si>
  <si>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</si>
  <si>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</si>
  <si>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</si>
  <si>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</si>
  <si>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</si>
  <si>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</si>
  <si>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</si>
  <si>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</si>
  <si>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</si>
  <si>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</si>
  <si>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</si>
  <si>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</si>
  <si>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</si>
  <si>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</si>
  <si>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</si>
  <si>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</si>
  <si>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</si>
  <si>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</si>
  <si>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</si>
  <si>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</si>
  <si>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</si>
  <si>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</si>
  <si>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</si>
  <si>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</si>
  <si>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</si>
  <si>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</si>
  <si>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</si>
  <si>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</si>
  <si>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</si>
  <si>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</si>
  <si>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</si>
  <si>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</si>
  <si>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</si>
  <si>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</si>
  <si>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</si>
  <si>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</si>
  <si>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</si>
  <si>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</si>
  <si>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</si>
  <si>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</si>
  <si>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</si>
  <si>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</si>
  <si>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</si>
  <si>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</si>
  <si>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</si>
  <si>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</si>
  <si>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</si>
  <si>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</si>
  <si>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</si>
  <si>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</si>
  <si>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</si>
  <si>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</si>
  <si>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</si>
  <si>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</si>
  <si>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</si>
  <si>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</si>
  <si>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</si>
  <si>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</si>
  <si>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</si>
  <si>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</si>
  <si>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</si>
  <si>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</si>
  <si>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</si>
  <si>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</si>
  <si>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</si>
  <si>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</si>
  <si>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</si>
  <si>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</si>
  <si>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</si>
  <si>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</si>
  <si>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</si>
  <si>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</si>
  <si>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</si>
  <si>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</si>
  <si>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</si>
  <si>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</si>
  <si>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</si>
  <si>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</si>
  <si>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</si>
  <si>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</si>
  <si>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</si>
  <si>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</si>
  <si>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</si>
  <si>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</si>
  <si>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</si>
  <si>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</si>
  <si>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</si>
  <si>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</si>
  <si>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</si>
  <si>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</si>
  <si>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</si>
  <si>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</si>
  <si>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</si>
  <si>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</si>
  <si>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</si>
  <si>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</si>
  <si>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</si>
  <si>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</si>
  <si>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</si>
  <si>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</si>
  <si>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</si>
  <si>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</si>
  <si>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</si>
  <si>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</si>
  <si>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</si>
  <si>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</si>
  <si>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</si>
  <si>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</si>
  <si>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</si>
  <si>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</si>
  <si>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</si>
  <si>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</si>
  <si>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</si>
  <si>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</si>
  <si>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</si>
  <si>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</si>
  <si>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</si>
  <si>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</si>
  <si>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</si>
  <si>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</si>
  <si>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</si>
  <si>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</si>
  <si>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</si>
  <si>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</si>
  <si>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</si>
  <si>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</si>
  <si>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</si>
  <si>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</si>
  <si>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</si>
  <si>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</si>
  <si>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</si>
  <si>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</si>
  <si>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</si>
  <si>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</si>
  <si>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</si>
  <si>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</si>
  <si>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</si>
  <si>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</si>
  <si>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</si>
  <si>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</si>
  <si>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</si>
  <si>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</si>
  <si>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</si>
  <si>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</si>
  <si>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</si>
  <si>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</si>
  <si>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</si>
  <si>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</si>
  <si>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</si>
  <si>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</si>
  <si>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</si>
  <si>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</si>
  <si>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</si>
  <si>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</si>
  <si>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</si>
  <si>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</si>
  <si>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</si>
  <si>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</si>
  <si>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</si>
  <si>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</si>
  <si>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</si>
  <si>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</si>
  <si>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</si>
  <si>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</si>
  <si>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</si>
  <si>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</si>
  <si>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</si>
  <si>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</si>
  <si>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</si>
  <si>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</si>
  <si>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</si>
  <si>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</si>
  <si>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</si>
  <si>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</si>
  <si>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</si>
  <si>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</si>
  <si>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</si>
  <si>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</si>
  <si>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</si>
  <si>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</si>
  <si>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</si>
  <si>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</si>
  <si>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</si>
  <si>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</si>
  <si>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</si>
  <si>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</si>
  <si>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</si>
  <si>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</si>
  <si>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</si>
  <si>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</si>
  <si>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</si>
  <si>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</si>
  <si>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</si>
  <si>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</si>
  <si>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</si>
  <si>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</si>
  <si>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</si>
  <si>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</si>
  <si>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</si>
  <si>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</si>
  <si>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</si>
  <si>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</si>
  <si>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</si>
  <si>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</si>
  <si>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</si>
  <si>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</si>
  <si>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</si>
  <si>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</si>
  <si>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</si>
  <si>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</si>
  <si>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</si>
  <si>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</si>
  <si>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</si>
  <si>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</si>
  <si>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</si>
  <si>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</si>
  <si>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</si>
  <si>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</si>
  <si>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</si>
  <si>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</si>
  <si>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</si>
  <si>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</si>
  <si>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</si>
  <si>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</si>
  <si>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</si>
  <si>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</si>
  <si>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</si>
  <si>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</si>
  <si>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</si>
  <si>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</si>
  <si>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</si>
  <si>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</si>
  <si>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</si>
  <si>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</si>
  <si>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</si>
  <si>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</si>
  <si>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</si>
  <si>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</si>
  <si>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</si>
  <si>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</si>
  <si>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</si>
  <si>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</si>
  <si>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</si>
  <si>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</si>
  <si>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</si>
  <si>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</si>
  <si>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</si>
  <si>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</si>
  <si>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</si>
  <si>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</si>
  <si>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</si>
  <si>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</si>
  <si>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</si>
  <si>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</si>
  <si>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</si>
  <si>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</si>
  <si>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</si>
  <si>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</si>
  <si>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</si>
  <si>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</si>
  <si>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</si>
  <si>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</si>
  <si>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</si>
  <si>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</si>
  <si>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</si>
  <si>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</si>
  <si>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</si>
  <si>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</si>
  <si>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</si>
  <si>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</si>
  <si>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</si>
  <si>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</si>
  <si>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</si>
  <si>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</si>
  <si>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</si>
  <si>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</si>
  <si>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</si>
  <si>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</si>
  <si>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</si>
  <si>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</si>
  <si>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</si>
  <si>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</si>
  <si>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</si>
  <si>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</si>
  <si>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</si>
  <si>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</si>
  <si>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</si>
  <si>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</si>
  <si>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</si>
  <si>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</si>
  <si>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</si>
  <si>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</si>
  <si>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</si>
  <si>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</si>
  <si>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</si>
  <si>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</si>
  <si>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</si>
  <si>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</si>
  <si>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</si>
  <si>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</si>
  <si>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</si>
  <si>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</si>
  <si>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</si>
  <si>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</si>
  <si>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</si>
  <si>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</si>
  <si>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</si>
  <si>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</si>
  <si>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</si>
  <si>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</si>
  <si>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</si>
  <si>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</si>
  <si>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</si>
  <si>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</si>
  <si>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</si>
  <si>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</si>
  <si>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</si>
  <si>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</si>
  <si>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</si>
  <si>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</si>
  <si>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</si>
  <si>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</si>
  <si>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</si>
  <si>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</si>
  <si>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</si>
  <si>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</si>
  <si>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</si>
  <si>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</si>
  <si>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</si>
  <si>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</si>
  <si>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</si>
  <si>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</si>
  <si>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</si>
  <si>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</si>
  <si>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</si>
  <si>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</si>
  <si>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</si>
  <si>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</si>
  <si>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</si>
  <si>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</si>
  <si>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</si>
  <si>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</si>
  <si>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</si>
  <si>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</si>
  <si>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</si>
  <si>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</si>
  <si>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</si>
  <si>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</si>
  <si>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</si>
  <si>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</si>
  <si>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</si>
  <si>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</si>
  <si>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</si>
  <si>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</si>
  <si>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</si>
  <si>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</si>
  <si>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</si>
  <si>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</si>
  <si>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</si>
  <si>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</si>
  <si>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</si>
  <si>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</si>
  <si>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</si>
  <si>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</si>
  <si>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</si>
  <si>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</si>
  <si>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</si>
  <si>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</si>
  <si>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</si>
  <si>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</si>
  <si>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</si>
  <si>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</si>
  <si>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</si>
  <si>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</si>
  <si>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</si>
  <si>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</si>
  <si>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</si>
  <si>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</si>
  <si>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</si>
  <si>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</si>
  <si>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</si>
  <si>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</si>
  <si>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</si>
  <si>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</si>
  <si>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</si>
  <si>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</si>
  <si>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</si>
  <si>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</si>
  <si>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</si>
  <si>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</si>
  <si>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</si>
  <si>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</si>
  <si>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</si>
  <si>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</si>
  <si>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</si>
  <si>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</si>
  <si>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</si>
  <si>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</si>
  <si>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</si>
  <si>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</si>
  <si>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</si>
  <si>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</si>
  <si>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</si>
  <si>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</si>
  <si>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</si>
  <si>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</si>
  <si>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</si>
  <si>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</si>
  <si>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</si>
  <si>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</si>
  <si>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</si>
  <si>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</si>
  <si>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</si>
  <si>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</si>
  <si>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</si>
  <si>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</si>
  <si>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</si>
  <si>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</si>
  <si>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</si>
  <si>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</si>
  <si>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</si>
  <si>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</si>
  <si>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</si>
  <si>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</si>
  <si>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</si>
  <si>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</si>
  <si>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</si>
  <si>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</si>
  <si>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</si>
  <si>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</si>
  <si>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</si>
  <si>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</si>
  <si>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</si>
  <si>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</si>
  <si>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</si>
  <si>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</si>
  <si>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</si>
  <si>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</si>
  <si>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</si>
  <si>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</si>
  <si>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</si>
  <si>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</si>
  <si>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</si>
  <si>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</si>
  <si>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</si>
  <si>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</si>
  <si>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</si>
  <si>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</si>
  <si>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</si>
  <si>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</si>
  <si>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</si>
  <si>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</si>
  <si>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</si>
  <si>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</si>
  <si>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</si>
  <si>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</si>
  <si>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</si>
  <si>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</si>
  <si>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</si>
  <si>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</si>
  <si>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</si>
  <si>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</si>
  <si>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</si>
  <si>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</si>
  <si>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</si>
  <si>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</si>
  <si>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</si>
  <si>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</si>
  <si>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</si>
  <si>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</si>
  <si>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</si>
  <si>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</si>
  <si>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</si>
  <si>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</si>
  <si>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</si>
  <si>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</si>
  <si>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</si>
  <si>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</si>
  <si>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</si>
  <si>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</si>
  <si>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</si>
  <si>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</si>
  <si>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</si>
  <si>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</si>
  <si>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</si>
  <si>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</si>
  <si>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</si>
  <si>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</si>
  <si>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</si>
  <si>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</si>
  <si>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</si>
  <si>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</si>
  <si>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</si>
  <si>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</si>
  <si>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</si>
  <si>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</si>
  <si>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</si>
  <si>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</si>
  <si>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</si>
  <si>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</si>
  <si>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</si>
  <si>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</si>
  <si>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</si>
  <si>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</si>
  <si>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</si>
  <si>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</si>
  <si>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</si>
  <si>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</si>
  <si>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</si>
  <si>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</si>
  <si>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</si>
  <si>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</si>
  <si>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</si>
  <si>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</si>
  <si>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</si>
  <si>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</si>
  <si>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</si>
  <si>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</si>
  <si>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</si>
  <si>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</si>
  <si>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</si>
  <si>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</si>
  <si>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</si>
  <si>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</si>
  <si>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</si>
  <si>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</si>
  <si>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</si>
  <si>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</si>
  <si>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</si>
  <si>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</si>
  <si>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</si>
  <si>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</si>
  <si>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</si>
  <si>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</si>
  <si>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</si>
  <si>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</si>
  <si>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</si>
  <si>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</si>
  <si>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</si>
  <si>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</si>
  <si>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</si>
  <si>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</si>
  <si>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</si>
  <si>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</si>
  <si>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</si>
  <si>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</si>
  <si>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</si>
  <si>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</si>
  <si>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</si>
  <si>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</si>
  <si>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</si>
  <si>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</si>
  <si>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</si>
  <si>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</si>
  <si>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</si>
  <si>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</si>
  <si>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</si>
  <si>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</si>
  <si>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</si>
  <si>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</si>
  <si>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</si>
  <si>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</si>
  <si>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</si>
  <si>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</si>
  <si>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</si>
  <si>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</si>
  <si>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</si>
  <si>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</si>
  <si>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</si>
  <si>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</si>
  <si>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</si>
  <si>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</si>
  <si>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</si>
  <si>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</si>
  <si>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</si>
  <si>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</si>
  <si>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</si>
  <si>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</si>
  <si>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</si>
  <si>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</si>
  <si>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</si>
  <si>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</si>
  <si>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</si>
  <si>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</si>
  <si>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</si>
  <si>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</si>
  <si>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</si>
  <si>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</si>
  <si>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</si>
  <si>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</si>
  <si>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</si>
  <si>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</si>
  <si>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</si>
  <si>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</si>
  <si>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</si>
  <si>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</si>
  <si>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</si>
  <si>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</si>
  <si>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</si>
  <si>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</si>
  <si>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</si>
  <si>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</si>
  <si>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</si>
  <si>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</si>
  <si>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</si>
  <si>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</si>
  <si>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</si>
  <si>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</si>
  <si>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</si>
  <si>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</si>
  <si>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</si>
  <si>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</si>
  <si>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</si>
  <si>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</si>
  <si>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</si>
  <si>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</si>
  <si>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</si>
  <si>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</si>
  <si>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</si>
  <si>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</si>
  <si>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</si>
  <si>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</si>
  <si>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</si>
  <si>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</si>
  <si>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</si>
  <si>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</si>
  <si>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</si>
  <si>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</si>
  <si>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</si>
  <si>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</si>
  <si>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</si>
  <si>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</si>
  <si>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</si>
  <si>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</si>
  <si>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</si>
  <si>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</si>
  <si>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</si>
  <si>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</si>
  <si>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</si>
  <si>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</si>
  <si>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</si>
  <si>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</si>
  <si>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</si>
  <si>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</si>
  <si>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</si>
  <si>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</si>
  <si>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</si>
  <si>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</si>
  <si>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</si>
  <si>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</si>
  <si>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</si>
  <si>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</si>
  <si>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</si>
  <si>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</si>
  <si>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</si>
  <si>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</si>
  <si>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</si>
  <si>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</si>
  <si>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</si>
  <si>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</si>
  <si>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</si>
  <si>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</si>
  <si>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</si>
  <si>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</si>
  <si>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</si>
  <si>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</si>
  <si>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</si>
  <si>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</si>
  <si>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</si>
  <si>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</si>
  <si>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</si>
  <si>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</si>
  <si>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</si>
  <si>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</si>
  <si>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</si>
  <si>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</si>
  <si>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</si>
  <si>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</si>
  <si>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</si>
  <si>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</si>
  <si>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</si>
  <si>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</si>
  <si>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</si>
  <si>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</si>
  <si>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</si>
  <si>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</si>
  <si>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</si>
  <si>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</si>
  <si>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</si>
  <si>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</si>
  <si>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</si>
  <si>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</si>
  <si>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</si>
  <si>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</si>
  <si>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</si>
  <si>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</si>
  <si>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</si>
  <si>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</si>
  <si>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</si>
  <si>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</si>
  <si>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</si>
  <si>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</si>
  <si>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</si>
  <si>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</si>
  <si>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</si>
  <si>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</si>
  <si>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</si>
  <si>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</si>
  <si>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</si>
  <si>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</si>
  <si>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</si>
  <si>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</si>
  <si>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</si>
  <si>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</si>
  <si>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</si>
  <si>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</si>
  <si>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</si>
  <si>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</si>
  <si>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</si>
  <si>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</si>
  <si>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</si>
  <si>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</si>
  <si>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</si>
  <si>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</si>
  <si>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</si>
  <si>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</si>
  <si>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</si>
  <si>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</si>
  <si>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</si>
  <si>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</si>
  <si>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</si>
  <si>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</si>
  <si>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</si>
  <si>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</si>
  <si>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</si>
  <si>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</si>
  <si>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</si>
  <si>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</si>
  <si>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</si>
  <si>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</si>
  <si>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</si>
  <si>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</si>
  <si>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</si>
  <si>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</si>
  <si>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</si>
  <si>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</si>
  <si>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</si>
  <si>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</si>
  <si>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</si>
  <si>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</si>
  <si>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</si>
  <si>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</si>
  <si>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</si>
  <si>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</si>
  <si>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</si>
  <si>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</si>
  <si>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</si>
  <si>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</si>
  <si>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</si>
  <si>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</si>
  <si>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</si>
  <si>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</si>
  <si>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</si>
  <si>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</si>
  <si>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</si>
  <si>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</si>
  <si>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</si>
  <si>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</si>
  <si>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</si>
  <si>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</si>
  <si>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</si>
  <si>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</si>
  <si>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</si>
  <si>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</si>
  <si>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</si>
  <si>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</si>
  <si>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</si>
  <si>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</si>
  <si>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</si>
  <si>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</si>
  <si>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</si>
  <si>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</si>
  <si>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</si>
  <si>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</si>
  <si>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</si>
  <si>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</si>
  <si>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</si>
  <si>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</si>
  <si>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</si>
  <si>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</si>
  <si>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</si>
  <si>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</si>
  <si>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</si>
  <si>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</si>
  <si>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</si>
  <si>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</si>
  <si>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</si>
  <si>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</si>
  <si>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</si>
  <si>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</si>
  <si>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</si>
  <si>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</si>
  <si>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</si>
  <si>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</si>
  <si>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</si>
  <si>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</si>
  <si>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</si>
  <si>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</si>
  <si>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</si>
  <si>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</si>
  <si>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</si>
  <si>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</si>
  <si>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</si>
  <si>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</si>
  <si>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</si>
  <si>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</si>
  <si>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</si>
  <si>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</si>
  <si>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</si>
  <si>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</si>
  <si>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</si>
  <si>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</si>
  <si>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</si>
  <si>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</si>
  <si>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</si>
  <si>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</si>
  <si>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</si>
  <si>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</si>
  <si>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</si>
  <si>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</si>
  <si>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</si>
  <si>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</si>
  <si>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</si>
  <si>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</si>
  <si>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</si>
  <si>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</si>
  <si>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</si>
  <si>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</si>
  <si>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</si>
  <si>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</si>
  <si>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</si>
  <si>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</si>
  <si>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</si>
  <si>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</si>
  <si>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</si>
  <si>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</si>
  <si>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</si>
  <si>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</si>
  <si>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</si>
  <si>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</si>
  <si>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</si>
  <si>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</si>
  <si>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</si>
  <si>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</si>
  <si>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</si>
  <si>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</si>
  <si>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</si>
  <si>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</si>
  <si>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</si>
  <si>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</si>
  <si>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</si>
  <si>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</si>
  <si>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</si>
  <si>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</si>
  <si>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</si>
  <si>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</si>
  <si>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</si>
  <si>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</si>
  <si>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</si>
  <si>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</si>
  <si>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</si>
  <si>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</si>
  <si>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</si>
  <si>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</si>
  <si>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</si>
  <si>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</si>
  <si>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</si>
  <si>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</si>
  <si>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</si>
  <si>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</si>
  <si>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</si>
  <si>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</si>
  <si>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</si>
  <si>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</si>
  <si>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</si>
  <si>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</si>
  <si>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</si>
  <si>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</si>
  <si>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</si>
  <si>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</si>
  <si>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</si>
  <si>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</si>
  <si>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</si>
  <si>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</si>
  <si>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</si>
  <si>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</si>
  <si>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</si>
  <si>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</si>
  <si>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</si>
  <si>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</si>
  <si>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</si>
  <si>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</si>
  <si>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</si>
  <si>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</si>
  <si>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</si>
  <si>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</si>
  <si>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</si>
  <si>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</si>
  <si>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</si>
  <si>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</si>
  <si>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</si>
  <si>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</si>
  <si>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</si>
  <si>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</si>
  <si>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</si>
  <si>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</si>
  <si>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</si>
  <si>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</si>
  <si>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</si>
  <si>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</si>
  <si>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</si>
  <si>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</si>
  <si>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</si>
  <si>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</si>
  <si>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</si>
  <si>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</si>
  <si>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</si>
  <si>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</si>
  <si>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</si>
  <si>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</si>
  <si>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</si>
  <si>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</si>
  <si>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</si>
  <si>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</si>
  <si>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</si>
  <si>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</si>
  <si>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</si>
  <si>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</si>
  <si>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</si>
  <si>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</si>
  <si>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</si>
  <si>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</si>
  <si>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</si>
  <si>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</si>
  <si>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</si>
  <si>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</si>
  <si>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</si>
  <si>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</si>
  <si>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</si>
  <si>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</si>
  <si>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</si>
  <si>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</si>
  <si>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</si>
  <si>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</si>
  <si>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</si>
  <si>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</si>
  <si>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</si>
  <si>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</si>
  <si>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</si>
  <si>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</si>
  <si>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</si>
  <si>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</si>
  <si>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</si>
  <si>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</si>
  <si>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</si>
  <si>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</si>
  <si>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</si>
  <si>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</si>
  <si>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</si>
  <si>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</si>
  <si>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</si>
  <si>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</si>
  <si>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</si>
  <si>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</si>
  <si>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</si>
  <si>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</si>
  <si>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</si>
  <si>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</si>
  <si>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</si>
  <si>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</si>
  <si>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</si>
  <si>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</si>
  <si>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</si>
  <si>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</si>
  <si>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</si>
  <si>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</si>
  <si>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</si>
  <si>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</si>
  <si>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</si>
  <si>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</si>
  <si>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</si>
  <si>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</si>
  <si>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</si>
  <si>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</si>
  <si>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</si>
  <si>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</si>
  <si>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</si>
  <si>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</si>
  <si>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</si>
  <si>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</si>
  <si>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</si>
  <si>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</si>
  <si>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</si>
  <si>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</si>
  <si>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</si>
  <si>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</si>
  <si>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</si>
  <si>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</si>
  <si>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</si>
  <si>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</si>
  <si>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</si>
  <si>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</si>
  <si>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</si>
  <si>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</si>
  <si>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</si>
  <si>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</si>
  <si>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</si>
  <si>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</si>
  <si>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</si>
  <si>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</si>
  <si>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</si>
  <si>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</si>
  <si>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</si>
  <si>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</si>
  <si>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</si>
  <si>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</si>
  <si>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</si>
  <si>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</si>
  <si>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</si>
  <si>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</si>
  <si>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</si>
  <si>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</si>
  <si>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</si>
  <si>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</si>
  <si>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</si>
  <si>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</si>
  <si>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</si>
  <si>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</si>
  <si>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</si>
  <si>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</si>
  <si>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</si>
  <si>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</si>
  <si>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</si>
  <si>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</si>
  <si>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</si>
  <si>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</si>
  <si>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</si>
  <si>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</si>
  <si>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</si>
  <si>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</si>
  <si>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</si>
  <si>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</si>
  <si>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</si>
  <si>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</si>
  <si>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</si>
  <si>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</si>
  <si>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</si>
  <si>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</si>
  <si>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</si>
  <si>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</si>
  <si>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</si>
  <si>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</si>
  <si>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</si>
  <si>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</si>
  <si>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</si>
  <si>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</si>
  <si>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</si>
  <si>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</si>
  <si>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</si>
  <si>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</si>
  <si>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</si>
  <si>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</si>
  <si>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</si>
  <si>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</si>
  <si>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</si>
  <si>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</si>
  <si>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</si>
  <si>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</si>
  <si>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</si>
  <si>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</si>
  <si>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</si>
  <si>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</si>
  <si>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</si>
  <si>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</si>
  <si>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</si>
  <si>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</si>
  <si>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</si>
  <si>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</si>
  <si>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</si>
  <si>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</si>
  <si>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</si>
  <si>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</si>
  <si>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</si>
  <si>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</si>
  <si>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</si>
  <si>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</si>
  <si>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</si>
  <si>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</si>
  <si>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</si>
  <si>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</si>
  <si>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</si>
  <si>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</si>
  <si>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</si>
  <si>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</si>
  <si>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</si>
  <si>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</si>
  <si>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</si>
  <si>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</si>
  <si>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</si>
  <si>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</si>
  <si>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</si>
  <si>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</si>
  <si>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</si>
  <si>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</si>
  <si>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</si>
  <si>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</si>
  <si>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</si>
  <si>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</si>
  <si>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</si>
  <si>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</si>
  <si>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</si>
  <si>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</si>
  <si>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</si>
  <si>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</si>
  <si>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</si>
  <si>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</si>
  <si>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</si>
  <si>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</si>
  <si>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</si>
  <si>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</si>
  <si>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</si>
  <si>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</si>
  <si>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</si>
  <si>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</si>
  <si>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</si>
  <si>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</si>
  <si>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</si>
  <si>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</si>
  <si>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</si>
  <si>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</si>
  <si>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</si>
  <si>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</si>
  <si>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</si>
  <si>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</si>
  <si>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</si>
  <si>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</si>
  <si>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</si>
  <si>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</si>
  <si>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</si>
  <si>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</si>
  <si>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</si>
  <si>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</si>
  <si>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</si>
  <si>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</si>
  <si>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</si>
  <si>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</si>
  <si>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</si>
  <si>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</si>
  <si>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</si>
  <si>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</si>
  <si>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</si>
  <si>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</si>
  <si>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</si>
  <si>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</si>
  <si>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</si>
  <si>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</si>
  <si>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</si>
  <si>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</si>
  <si>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</si>
  <si>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</si>
  <si>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</si>
  <si>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</si>
  <si>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</si>
  <si>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</si>
  <si>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</si>
  <si>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</si>
  <si>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</si>
  <si>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</si>
  <si>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</si>
  <si>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</si>
  <si>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</si>
  <si>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</si>
  <si>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</si>
  <si>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</si>
  <si>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</si>
  <si>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</si>
  <si>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</si>
  <si>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</si>
  <si>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</si>
  <si>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</si>
  <si>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</si>
  <si>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</si>
  <si>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</si>
  <si>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</si>
  <si>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</si>
  <si>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</si>
  <si>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</si>
  <si>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</si>
  <si>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</si>
  <si>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</si>
  <si>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</si>
  <si>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</si>
  <si>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</si>
  <si>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</si>
  <si>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</si>
  <si>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</si>
  <si>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</si>
  <si>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</si>
  <si>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</si>
  <si>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</si>
  <si>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</si>
  <si>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</si>
  <si>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</si>
  <si>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</si>
  <si>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</si>
  <si>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</si>
  <si>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</si>
  <si>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</si>
  <si>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</si>
  <si>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</si>
  <si>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</si>
  <si>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</si>
  <si>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</si>
  <si>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</si>
  <si>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</si>
  <si>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</si>
  <si>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</si>
  <si>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</si>
  <si>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</si>
  <si>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</si>
  <si>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</si>
  <si>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</si>
  <si>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</si>
  <si>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</si>
  <si>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</si>
  <si>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</si>
  <si>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</si>
  <si>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</si>
  <si>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</si>
  <si>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</si>
  <si>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</si>
  <si>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</si>
  <si>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</si>
  <si>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</si>
  <si>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</si>
  <si>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</si>
  <si>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</si>
  <si>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</si>
  <si>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</si>
  <si>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</si>
  <si>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</si>
  <si>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</si>
  <si>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</si>
  <si>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</si>
  <si>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</si>
  <si>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</si>
  <si>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</si>
  <si>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</si>
  <si>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</si>
  <si>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</si>
  <si>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</si>
  <si>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</si>
  <si>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</si>
  <si>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</si>
  <si>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</si>
  <si>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</si>
  <si>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</si>
  <si>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</si>
  <si>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</si>
  <si>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</si>
  <si>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</si>
  <si>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</si>
  <si>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</si>
  <si>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</si>
  <si>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</si>
  <si>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</si>
  <si>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</si>
  <si>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</si>
  <si>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</si>
  <si>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</si>
  <si>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</si>
  <si>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</si>
  <si>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</si>
  <si>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</si>
  <si>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</si>
  <si>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</si>
  <si>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</si>
  <si>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</si>
  <si>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</si>
  <si>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</si>
  <si>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</si>
  <si>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</si>
  <si>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</si>
  <si>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</si>
  <si>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</si>
  <si>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</si>
  <si>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</si>
  <si>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</si>
  <si>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</si>
  <si>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</si>
  <si>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</si>
  <si>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</si>
  <si>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</si>
  <si>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</si>
  <si>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</si>
  <si>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</si>
  <si>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</si>
  <si>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</si>
  <si>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</si>
  <si>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</si>
  <si>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</si>
  <si>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</si>
  <si>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</si>
  <si>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</si>
  <si>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</si>
  <si>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</si>
  <si>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</si>
  <si>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</si>
  <si>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</si>
  <si>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</si>
  <si>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</si>
  <si>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</si>
  <si>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</si>
  <si>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</si>
  <si>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</si>
  <si>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</si>
  <si>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</si>
  <si>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</si>
  <si>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</si>
  <si>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</si>
  <si>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</si>
  <si>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</si>
  <si>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</si>
  <si>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</si>
  <si>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</si>
  <si>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</si>
  <si>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</si>
  <si>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</si>
  <si>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</si>
  <si>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</si>
  <si>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</si>
  <si>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</si>
  <si>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</si>
  <si>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</si>
  <si>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</si>
  <si>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</si>
  <si>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</si>
  <si>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</si>
  <si>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</si>
  <si>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</si>
  <si>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</si>
  <si>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</si>
  <si>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</si>
  <si>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</si>
  <si>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</si>
  <si>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</si>
  <si>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</si>
  <si>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</si>
  <si>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</si>
  <si>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</si>
  <si>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</si>
  <si>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</si>
  <si>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</si>
  <si>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</si>
  <si>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</si>
  <si>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</si>
  <si>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</si>
  <si>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</si>
  <si>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</si>
  <si>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</si>
  <si>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</si>
  <si>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</si>
  <si>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</si>
  <si>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</si>
  <si>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</si>
  <si>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</si>
  <si>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</si>
  <si>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</si>
  <si>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</si>
  <si>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</si>
  <si>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</si>
  <si>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</si>
  <si>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</si>
  <si>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</si>
  <si>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</si>
  <si>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</si>
  <si>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</si>
  <si>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</si>
  <si>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</si>
  <si>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</si>
  <si>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</si>
  <si>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</si>
  <si>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</si>
  <si>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</si>
  <si>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</si>
  <si>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</si>
  <si>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</si>
  <si>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</si>
  <si>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</si>
  <si>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</si>
  <si>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</si>
  <si>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</si>
  <si>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</si>
  <si>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</si>
  <si>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</si>
  <si>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</si>
  <si>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</si>
  <si>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</si>
  <si>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</si>
  <si>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</si>
  <si>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</si>
  <si>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</si>
  <si>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</si>
  <si>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</si>
  <si>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</si>
  <si>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</si>
  <si>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</si>
  <si>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</si>
  <si>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</si>
  <si>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</si>
  <si>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</si>
  <si>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</si>
  <si>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</si>
  <si>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</si>
  <si>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</si>
  <si>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</si>
  <si>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</si>
  <si>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</si>
  <si>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</si>
  <si>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</si>
  <si>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</si>
  <si>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</si>
  <si>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</si>
  <si>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</si>
  <si>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</si>
  <si>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</si>
  <si>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</si>
  <si>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</si>
  <si>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</si>
  <si>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</si>
  <si>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</si>
  <si>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</si>
  <si>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</si>
  <si>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</si>
  <si>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</si>
  <si>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</si>
  <si>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</si>
  <si>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</si>
  <si>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</si>
  <si>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</si>
  <si>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</si>
  <si>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</si>
  <si>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</si>
  <si>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</si>
  <si>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</si>
  <si>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</si>
  <si>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</si>
  <si>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</si>
  <si>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</si>
  <si>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</si>
  <si>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</si>
  <si>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</si>
  <si>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</si>
  <si>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</si>
  <si>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</si>
  <si>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</si>
  <si>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</si>
  <si>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</si>
  <si>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</si>
  <si>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</si>
  <si>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</si>
  <si>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</si>
  <si>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</si>
  <si>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</si>
  <si>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</si>
  <si>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</si>
  <si>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</si>
  <si>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</si>
  <si>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</si>
  <si>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</si>
  <si>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</si>
  <si>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</si>
  <si>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</si>
  <si>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</si>
  <si>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</si>
  <si>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</si>
  <si>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</si>
  <si>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</si>
  <si>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</si>
  <si>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</si>
  <si>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</si>
  <si>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</si>
  <si>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</si>
  <si>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</si>
  <si>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</si>
  <si>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</si>
  <si>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</si>
  <si>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</si>
  <si>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</si>
  <si>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</si>
  <si>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</si>
  <si>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</si>
  <si>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</si>
  <si>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</si>
  <si>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</si>
  <si>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</si>
  <si>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</si>
  <si>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</si>
  <si>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</si>
  <si>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</si>
  <si>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</si>
  <si>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</si>
  <si>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</si>
  <si>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</si>
  <si>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</si>
  <si>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</si>
  <si>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</si>
  <si>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</si>
  <si>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</si>
  <si>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</si>
  <si>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</si>
  <si>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</si>
  <si>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</si>
  <si>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</si>
  <si>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</si>
  <si>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</si>
  <si>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</si>
  <si>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</si>
  <si>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</si>
  <si>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</si>
  <si>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</si>
  <si>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</si>
  <si>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</si>
  <si>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</si>
  <si>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</si>
  <si>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</si>
  <si>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</si>
  <si>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</si>
  <si>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</si>
  <si>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</si>
  <si>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</si>
  <si>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</si>
  <si>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</si>
  <si>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</si>
  <si>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</si>
  <si>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</si>
  <si>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</si>
  <si>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</si>
  <si>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</si>
  <si>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</si>
  <si>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</si>
  <si>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</si>
  <si>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</si>
  <si>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</si>
  <si>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</si>
  <si>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</si>
  <si>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</si>
  <si>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</si>
  <si>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</si>
  <si>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</si>
  <si>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</si>
  <si>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</si>
  <si>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</si>
  <si>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</si>
  <si>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</si>
  <si>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</si>
  <si>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</si>
  <si>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</si>
  <si>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</si>
  <si>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</si>
  <si>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</si>
  <si>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</si>
  <si>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</si>
  <si>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</si>
  <si>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</si>
  <si>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</si>
  <si>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</si>
  <si>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</si>
  <si>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</si>
  <si>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</si>
  <si>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</si>
  <si>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</si>
  <si>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</si>
  <si>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</si>
  <si>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</si>
  <si>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</si>
  <si>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</si>
  <si>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</si>
  <si>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</si>
  <si>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</si>
  <si>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</si>
  <si>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</si>
  <si>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</si>
  <si>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</si>
  <si>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</si>
  <si>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</si>
  <si>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</si>
  <si>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</si>
  <si>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</si>
  <si>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</si>
  <si>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</si>
  <si>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</si>
  <si>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</si>
  <si>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</si>
  <si>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</si>
  <si>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</si>
  <si>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</si>
  <si>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</si>
  <si>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</si>
  <si>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</si>
  <si>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</si>
  <si>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</si>
  <si>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</si>
  <si>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</si>
  <si>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</si>
  <si>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</si>
  <si>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</si>
  <si>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</si>
  <si>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</si>
  <si>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</si>
  <si>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</si>
  <si>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</si>
  <si>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</si>
  <si>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</si>
  <si>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</si>
  <si>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</si>
  <si>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</si>
  <si>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</si>
  <si>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</si>
  <si>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</si>
  <si>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</si>
  <si>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</si>
  <si>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</si>
  <si>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</si>
  <si>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</si>
  <si>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</si>
  <si>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</si>
  <si>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</si>
  <si>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</si>
  <si>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</si>
  <si>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</si>
  <si>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</si>
  <si>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</si>
  <si>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</si>
  <si>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</si>
  <si>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</si>
  <si>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</si>
  <si>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</si>
  <si>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</si>
  <si>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</si>
  <si>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</si>
  <si>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</si>
  <si>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</si>
  <si>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</si>
  <si>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</si>
  <si>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</si>
  <si>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</si>
  <si>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</si>
  <si>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</si>
  <si>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</si>
  <si>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</si>
  <si>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</si>
  <si>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</si>
  <si>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</si>
  <si>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</si>
  <si>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</si>
  <si>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</si>
  <si>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</si>
  <si>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</si>
  <si>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</si>
  <si>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</si>
  <si>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</si>
  <si>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</si>
  <si>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</si>
  <si>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</si>
  <si>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</si>
  <si>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</si>
  <si>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</si>
  <si>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</si>
  <si>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</si>
  <si>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</si>
  <si>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</si>
  <si>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</si>
  <si>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</si>
  <si>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</si>
  <si>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</si>
  <si>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</si>
  <si>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</si>
  <si>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</si>
  <si>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</si>
  <si>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</si>
  <si>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</si>
  <si>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</si>
  <si>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</si>
  <si>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</si>
  <si>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</si>
  <si>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</si>
  <si>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</si>
  <si>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</si>
  <si>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</si>
  <si>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</si>
  <si>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</si>
  <si>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</si>
  <si>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</si>
  <si>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</si>
  <si>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</si>
  <si>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</si>
  <si>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</si>
  <si>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</si>
  <si>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</si>
  <si>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</si>
  <si>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</si>
  <si>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</si>
  <si>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</si>
  <si>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</si>
  <si>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</si>
  <si>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</si>
  <si>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</si>
  <si>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</si>
  <si>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</si>
  <si>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</si>
  <si>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</si>
  <si>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</si>
  <si>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</si>
  <si>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</si>
  <si>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</si>
  <si>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</si>
  <si>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</si>
  <si>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</si>
  <si>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</si>
  <si>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</si>
  <si>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</si>
  <si>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</si>
  <si>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</si>
  <si>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</si>
  <si>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</si>
  <si>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</si>
  <si>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</si>
  <si>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</si>
  <si>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</si>
  <si>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</si>
  <si>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</si>
  <si>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</si>
  <si>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</si>
  <si>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</si>
  <si>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</si>
  <si>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</si>
  <si>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</si>
  <si>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</si>
  <si>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</si>
  <si>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</si>
  <si>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</si>
  <si>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</si>
  <si>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</si>
  <si>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</si>
  <si>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</si>
  <si>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</si>
  <si>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</si>
  <si>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</si>
  <si>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</si>
  <si>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</si>
  <si>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</si>
  <si>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</si>
  <si>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</si>
  <si>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</si>
  <si>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</si>
  <si>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</si>
  <si>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</si>
  <si>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</si>
  <si>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</si>
  <si>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</si>
  <si>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</si>
  <si>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</si>
  <si>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</si>
  <si>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</si>
  <si>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</si>
  <si>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</si>
  <si>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</si>
  <si>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</si>
  <si>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</si>
  <si>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</si>
  <si>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</si>
  <si>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</si>
  <si>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</si>
  <si>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</si>
  <si>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</si>
  <si>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</si>
  <si>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</si>
  <si>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</si>
  <si>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</si>
  <si>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</si>
  <si>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</si>
  <si>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</si>
  <si>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</si>
  <si>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</si>
  <si>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</si>
  <si>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</si>
  <si>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</si>
  <si>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</si>
  <si>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</si>
  <si>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</si>
  <si>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</si>
  <si>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</si>
  <si>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</si>
  <si>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</si>
  <si>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</si>
  <si>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</si>
  <si>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</si>
  <si>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</si>
  <si>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</si>
  <si>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</si>
  <si>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</si>
  <si>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</si>
  <si>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</si>
  <si>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</si>
  <si>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</si>
  <si>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</si>
  <si>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</si>
  <si>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</si>
  <si>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</si>
  <si>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</si>
  <si>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</si>
  <si>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</si>
  <si>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</si>
  <si>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</si>
  <si>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</si>
  <si>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</si>
  <si>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</si>
  <si>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</si>
  <si>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</si>
  <si>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</si>
  <si>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</si>
  <si>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</si>
  <si>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</si>
  <si>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</si>
  <si>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</si>
  <si>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</si>
  <si>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</si>
  <si>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</si>
  <si>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</si>
  <si>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</si>
  <si>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</si>
  <si>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</si>
  <si>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</si>
  <si>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</si>
  <si>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</si>
  <si>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</si>
  <si>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</si>
  <si>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</si>
  <si>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</si>
  <si>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</si>
  <si>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</si>
  <si>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</si>
  <si>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</si>
  <si>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</si>
  <si>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</si>
  <si>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</si>
  <si>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</si>
  <si>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</si>
  <si>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</si>
  <si>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</si>
  <si>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</si>
  <si>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</si>
  <si>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</si>
  <si>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</si>
  <si>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</si>
  <si>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</si>
  <si>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</si>
  <si>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</si>
  <si>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</si>
  <si>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</si>
  <si>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</si>
  <si>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</si>
  <si>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</si>
  <si>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</si>
  <si>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</si>
  <si>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</si>
  <si>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</si>
  <si>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</si>
  <si>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</si>
  <si>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</si>
  <si>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</si>
  <si>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</si>
  <si>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</si>
  <si>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</si>
  <si>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</si>
  <si>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</si>
  <si>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</si>
  <si>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</si>
  <si>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</si>
  <si>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</si>
  <si>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</si>
  <si>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</si>
  <si>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</si>
  <si>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</si>
  <si>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</si>
  <si>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</si>
  <si>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</si>
  <si>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</si>
  <si>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</si>
  <si>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</si>
  <si>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</si>
  <si>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</si>
  <si>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</si>
  <si>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</si>
  <si>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</si>
  <si>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</si>
  <si>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</si>
  <si>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</si>
  <si>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</si>
  <si>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</si>
  <si>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</si>
  <si>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</si>
  <si>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</si>
  <si>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</si>
  <si>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</si>
  <si>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</si>
  <si>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</si>
  <si>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</si>
  <si>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</si>
  <si>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</si>
  <si>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</si>
  <si>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</si>
  <si>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</si>
  <si>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</si>
  <si>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</si>
  <si>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</si>
  <si>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</si>
  <si>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</si>
  <si>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</si>
  <si>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</si>
  <si>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</si>
  <si>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</si>
  <si>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</si>
  <si>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</si>
  <si>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</si>
  <si>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</si>
  <si>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</si>
  <si>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</si>
  <si>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</si>
  <si>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</si>
  <si>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</si>
  <si>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</si>
  <si>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</si>
  <si>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</si>
  <si>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</si>
  <si>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</si>
  <si>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</si>
  <si>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</si>
  <si>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</si>
  <si>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</si>
  <si>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</si>
  <si>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</si>
  <si>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</si>
  <si>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</si>
  <si>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</si>
  <si>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</si>
  <si>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</si>
  <si>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</si>
  <si>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</si>
  <si>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</si>
  <si>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</si>
  <si>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</si>
  <si>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</si>
  <si>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</si>
  <si>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</si>
  <si>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</si>
  <si>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</si>
  <si>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</si>
  <si>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</si>
  <si>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</si>
  <si>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</si>
  <si>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</si>
  <si>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</si>
  <si>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</si>
  <si>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</si>
  <si>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</si>
  <si>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</si>
  <si>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</si>
  <si>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</si>
  <si>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</si>
  <si>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</si>
  <si>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</si>
  <si>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</si>
  <si>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</si>
  <si>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</si>
  <si>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</si>
  <si>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</si>
  <si>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</si>
  <si>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</si>
  <si>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</si>
  <si>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</si>
  <si>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</si>
  <si>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</si>
  <si>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</si>
  <si>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</si>
  <si>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</si>
  <si>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</si>
  <si>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</si>
  <si>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</si>
  <si>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</si>
  <si>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</si>
  <si>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</si>
  <si>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</si>
  <si>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</si>
  <si>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</si>
  <si>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</si>
  <si>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</si>
  <si>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</si>
  <si>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</si>
  <si>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</si>
  <si>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</si>
  <si>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</si>
  <si>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</si>
  <si>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</si>
  <si>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</si>
  <si>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</si>
  <si>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</si>
  <si>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</si>
  <si>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</si>
  <si>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</si>
  <si>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</si>
  <si>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</si>
  <si>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</si>
  <si>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</si>
  <si>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</si>
  <si>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</si>
  <si>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</si>
  <si>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</si>
  <si>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</si>
  <si>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</si>
  <si>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</si>
  <si>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</si>
  <si>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</si>
  <si>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</si>
  <si>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</si>
  <si>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</si>
  <si>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</si>
  <si>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</si>
  <si>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</si>
  <si>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</si>
  <si>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</si>
  <si>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</si>
  <si>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</si>
  <si>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</si>
  <si>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</si>
  <si>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</si>
  <si>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</si>
  <si>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</si>
  <si>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</si>
  <si>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</si>
  <si>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</si>
  <si>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</si>
  <si>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</si>
  <si>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</si>
  <si>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</si>
  <si>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</si>
  <si>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</si>
  <si>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</si>
  <si>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</si>
  <si>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</si>
  <si>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</si>
  <si>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</si>
  <si>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</si>
  <si>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</si>
  <si>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</si>
  <si>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</si>
  <si>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</si>
  <si>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</si>
  <si>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</si>
  <si>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</si>
  <si>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</si>
  <si>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</si>
  <si>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</si>
  <si>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</si>
  <si>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</si>
  <si>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</si>
  <si>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</si>
  <si>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</si>
  <si>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</si>
  <si>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</si>
  <si>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</si>
  <si>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</si>
  <si>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</si>
  <si>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</si>
  <si>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</si>
  <si>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</si>
  <si>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</si>
  <si>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</si>
  <si>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</si>
  <si>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</si>
  <si>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</si>
  <si>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</si>
  <si>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</si>
  <si>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</si>
  <si>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</si>
  <si>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</si>
  <si>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</si>
  <si>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</si>
  <si>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</si>
  <si>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</si>
  <si>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</si>
  <si>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</si>
  <si>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</si>
  <si>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</si>
  <si>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</si>
  <si>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</si>
  <si>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</si>
  <si>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</si>
  <si>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</si>
  <si>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</si>
  <si>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</si>
  <si>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</si>
  <si>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</si>
  <si>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</si>
  <si>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</si>
  <si>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</si>
  <si>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</si>
  <si>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</si>
  <si>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</si>
  <si>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</si>
  <si>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</si>
  <si>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</si>
  <si>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</si>
  <si>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</si>
  <si>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</si>
  <si>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</si>
  <si>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</si>
  <si>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</si>
  <si>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</si>
  <si>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</si>
  <si>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</si>
  <si>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</si>
  <si>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</si>
  <si>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</si>
  <si>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</si>
  <si>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</si>
  <si>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</si>
  <si>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</si>
  <si>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</si>
  <si>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</si>
  <si>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</si>
  <si>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</si>
  <si>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</si>
  <si>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</si>
  <si>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</si>
  <si>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</si>
  <si>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</si>
  <si>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</si>
  <si>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</si>
  <si>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</si>
  <si>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</si>
  <si>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</si>
  <si>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</si>
  <si>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</si>
  <si>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</si>
  <si>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</si>
  <si>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</si>
  <si>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</si>
  <si>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</si>
  <si>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</si>
  <si>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</si>
  <si>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</si>
  <si>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</si>
  <si>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</si>
  <si>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</si>
  <si>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</si>
  <si>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</si>
  <si>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</si>
  <si>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</si>
  <si>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</si>
  <si>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</si>
  <si>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</si>
  <si>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</si>
  <si>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</si>
  <si>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</si>
  <si>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</si>
  <si>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</si>
  <si>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</si>
  <si>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</si>
  <si>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</si>
  <si>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</si>
  <si>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</si>
  <si>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</si>
  <si>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</si>
  <si>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</si>
  <si>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</si>
  <si>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</si>
  <si>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</si>
  <si>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</si>
  <si>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</si>
  <si>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</si>
  <si>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</si>
  <si>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</si>
  <si>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</si>
  <si>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</si>
  <si>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</si>
  <si>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</si>
  <si>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</si>
  <si>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</si>
  <si>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</si>
  <si>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</si>
  <si>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</si>
  <si>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</si>
  <si>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</si>
  <si>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</si>
  <si>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</si>
  <si>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</si>
  <si>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</si>
  <si>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</si>
  <si>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</si>
  <si>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</si>
  <si>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</si>
  <si>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</si>
  <si>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</si>
  <si>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</si>
  <si>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</si>
  <si>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</si>
  <si>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</si>
  <si>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</si>
  <si>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</si>
  <si>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</si>
  <si>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</si>
  <si>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</si>
  <si>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</si>
  <si>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</si>
  <si>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</si>
  <si>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</si>
  <si>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</si>
  <si>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</si>
  <si>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</si>
  <si>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</si>
  <si>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</si>
  <si>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</si>
  <si>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</si>
  <si>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</si>
  <si>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</si>
  <si>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</si>
  <si>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</si>
  <si>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</si>
  <si>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</si>
  <si>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</si>
  <si>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</si>
  <si>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</si>
  <si>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</si>
  <si>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</si>
  <si>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</si>
  <si>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</si>
  <si>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</si>
  <si>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</si>
  <si>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</si>
  <si>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</si>
  <si>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</si>
  <si>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</si>
  <si>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</si>
  <si>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</si>
  <si>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</si>
  <si>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</si>
  <si>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</si>
  <si>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</si>
  <si>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</si>
  <si>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</si>
  <si>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</si>
  <si>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</si>
  <si>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</si>
  <si>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</si>
  <si>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</si>
  <si>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</si>
  <si>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</si>
  <si>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</si>
  <si>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</si>
  <si>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</si>
  <si>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</si>
  <si>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</si>
  <si>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</si>
  <si>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</si>
  <si>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</si>
  <si>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</si>
  <si>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</si>
  <si>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</si>
  <si>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</si>
  <si>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</si>
  <si>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</si>
  <si>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</si>
  <si>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</si>
  <si>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</si>
  <si>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</si>
  <si>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</si>
  <si>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</si>
  <si>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</si>
  <si>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</si>
  <si>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</si>
  <si>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</si>
  <si>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</si>
  <si>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</si>
  <si>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</si>
  <si>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</si>
  <si>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</si>
  <si>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</si>
  <si>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</si>
  <si>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</si>
  <si>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</si>
  <si>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</si>
  <si>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</si>
  <si>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</si>
  <si>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</si>
  <si>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</si>
  <si>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</si>
  <si>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</si>
  <si>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</si>
  <si>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</si>
  <si>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</si>
  <si>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</si>
  <si>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</si>
  <si>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</si>
  <si>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</si>
  <si>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</si>
  <si>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</si>
  <si>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</si>
  <si>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</si>
  <si>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</si>
  <si>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</si>
  <si>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</si>
  <si>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</si>
  <si>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</si>
  <si>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</si>
  <si>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</si>
  <si>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</si>
  <si>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</si>
  <si>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</si>
  <si>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</si>
  <si>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</si>
  <si>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</si>
  <si>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</si>
  <si>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</si>
  <si>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</si>
  <si>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</si>
  <si>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</si>
  <si>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</si>
  <si>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</si>
  <si>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</si>
  <si>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</si>
  <si>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</si>
  <si>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</si>
  <si>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</si>
  <si>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</si>
  <si>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</si>
  <si>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</si>
  <si>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</si>
  <si>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</si>
  <si>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</si>
  <si>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</si>
  <si>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</si>
  <si>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</si>
  <si>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</si>
  <si>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</si>
  <si>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</si>
  <si>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</si>
  <si>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</si>
  <si>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</si>
  <si>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</si>
  <si>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</si>
  <si>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</si>
  <si>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</si>
  <si>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</si>
  <si>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</si>
  <si>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</si>
  <si>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</si>
  <si>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</si>
  <si>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</si>
  <si>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</si>
  <si>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</si>
  <si>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</si>
  <si>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</si>
  <si>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</si>
  <si>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</si>
  <si>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</si>
  <si>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</si>
  <si>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</si>
  <si>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</si>
  <si>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</si>
  <si>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</si>
  <si>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</si>
  <si>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</si>
  <si>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</si>
  <si>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</si>
  <si>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</si>
  <si>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</si>
  <si>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</si>
  <si>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</si>
  <si>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</si>
  <si>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</si>
  <si>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</si>
  <si>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</si>
  <si>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</si>
  <si>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</si>
  <si>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</si>
  <si>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</si>
  <si>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</si>
  <si>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</si>
  <si>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</si>
  <si>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</si>
  <si>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</si>
  <si>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</si>
  <si>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</si>
  <si>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</si>
  <si>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</si>
  <si>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</si>
  <si>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</si>
  <si>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</si>
  <si>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</si>
  <si>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</si>
  <si>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</si>
  <si>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</si>
  <si>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</si>
  <si>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</si>
  <si>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</si>
  <si>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</si>
  <si>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</si>
  <si>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</si>
  <si>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</si>
  <si>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</si>
  <si>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</si>
  <si>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</si>
  <si>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</si>
  <si>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</si>
  <si>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</si>
  <si>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</si>
  <si>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</si>
  <si>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</si>
  <si>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</si>
  <si>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</si>
  <si>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</si>
  <si>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</si>
  <si>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</si>
  <si>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</si>
  <si>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</si>
  <si>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</si>
  <si>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</si>
  <si>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</si>
  <si>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</si>
  <si>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</si>
  <si>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</si>
  <si>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</si>
  <si>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</si>
  <si>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</si>
  <si>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</si>
  <si>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</si>
  <si>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</si>
  <si>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</si>
  <si>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</si>
  <si>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</si>
  <si>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</si>
  <si>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</si>
  <si>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</si>
  <si>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</si>
  <si>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</si>
  <si>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</si>
  <si>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</si>
  <si>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</si>
  <si>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</si>
  <si>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</si>
  <si>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</si>
  <si>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</si>
  <si>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</si>
  <si>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</si>
  <si>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</si>
  <si>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</si>
  <si>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</si>
  <si>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</si>
  <si>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</si>
  <si>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</si>
  <si>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</si>
  <si>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</si>
  <si>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</si>
  <si>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</si>
  <si>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</si>
  <si>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</si>
  <si>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</si>
  <si>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</si>
  <si>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</si>
  <si>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</si>
  <si>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</si>
  <si>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</si>
  <si>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</si>
  <si>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</si>
  <si>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</si>
  <si>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</si>
  <si>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</si>
  <si>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</si>
  <si>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</si>
  <si>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</si>
  <si>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</si>
  <si>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</si>
  <si>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</si>
  <si>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</si>
  <si>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</si>
  <si>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</si>
  <si>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</si>
  <si>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</si>
  <si>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</si>
  <si>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</si>
  <si>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</si>
  <si>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</si>
  <si>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</si>
  <si>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</si>
  <si>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</si>
  <si>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</si>
  <si>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</si>
  <si>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</si>
  <si>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</si>
  <si>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</si>
  <si>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</si>
  <si>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</si>
  <si>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</si>
  <si>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</si>
  <si>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</si>
  <si>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</si>
  <si>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</si>
  <si>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</si>
  <si>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</si>
  <si>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</si>
  <si>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</si>
  <si>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</si>
  <si>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</si>
  <si>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</si>
  <si>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</si>
  <si>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</si>
  <si>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</si>
  <si>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</si>
  <si>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</si>
  <si>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</si>
  <si>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</si>
  <si>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</si>
  <si>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</si>
  <si>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</si>
  <si>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</si>
  <si>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</si>
  <si>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</si>
  <si>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</si>
  <si>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</si>
  <si>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</si>
  <si>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</si>
  <si>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</si>
  <si>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</si>
  <si>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</si>
  <si>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</si>
  <si>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</si>
  <si>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</si>
  <si>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</si>
  <si>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</si>
  <si>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</si>
  <si>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</si>
  <si>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</si>
  <si>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</si>
  <si>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</si>
  <si>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</si>
  <si>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</si>
  <si>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</si>
  <si>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</si>
  <si>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</si>
  <si>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</si>
  <si>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</si>
  <si>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</si>
  <si>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</si>
  <si>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</si>
  <si>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</si>
  <si>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</si>
  <si>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</si>
  <si>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</si>
  <si>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</si>
  <si>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</si>
  <si>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</si>
  <si>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</si>
  <si>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</si>
  <si>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</si>
  <si>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</si>
  <si>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</si>
  <si>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</si>
  <si>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</si>
  <si>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</si>
  <si>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</si>
  <si>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</si>
  <si>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</si>
  <si>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</si>
  <si>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</si>
  <si>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</si>
  <si>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</si>
  <si>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</si>
  <si>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</si>
  <si>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</si>
  <si>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</si>
  <si>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</si>
  <si>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</si>
  <si>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</si>
  <si>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</si>
  <si>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</si>
  <si>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</si>
  <si>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</si>
  <si>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</si>
  <si>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</si>
  <si>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</si>
  <si>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</si>
  <si>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</si>
  <si>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</si>
  <si>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</si>
  <si>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</si>
  <si>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</si>
  <si>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</si>
  <si>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</si>
  <si>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</si>
  <si>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</si>
  <si>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</si>
  <si>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</si>
  <si>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</si>
  <si>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</si>
  <si>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</si>
  <si>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</si>
  <si>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</si>
  <si>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</si>
  <si>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</si>
  <si>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</si>
  <si>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</si>
  <si>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</si>
  <si>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</si>
  <si>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</si>
  <si>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</si>
  <si>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</si>
  <si>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</si>
  <si>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</si>
  <si>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</si>
  <si>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</si>
  <si>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</si>
  <si>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</si>
  <si>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</si>
  <si>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</si>
  <si>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</si>
  <si>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</si>
  <si>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</si>
  <si>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</si>
  <si>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</si>
  <si>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</si>
  <si>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</si>
  <si>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</si>
  <si>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</si>
  <si>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</si>
  <si>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</si>
  <si>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</si>
  <si>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</si>
  <si>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</si>
  <si>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</si>
  <si>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</si>
  <si>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</si>
  <si>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</si>
  <si>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</si>
  <si>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</si>
  <si>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</si>
  <si>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</si>
  <si>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</si>
  <si>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</si>
  <si>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</si>
  <si>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</si>
  <si>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</si>
  <si>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</si>
  <si>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</si>
  <si>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</si>
  <si>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</si>
  <si>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</si>
  <si>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</si>
  <si>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</si>
  <si>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</si>
  <si>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</si>
  <si>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</si>
  <si>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</si>
  <si>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</si>
  <si>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</si>
  <si>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</si>
  <si>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</si>
  <si>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</si>
  <si>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</si>
  <si>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</si>
  <si>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</si>
  <si>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</si>
  <si>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</si>
  <si>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</si>
  <si>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</si>
  <si>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</si>
  <si>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</si>
  <si>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</si>
  <si>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</si>
  <si>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</si>
  <si>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</si>
  <si>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</si>
  <si>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</si>
  <si>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</si>
  <si>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</si>
  <si>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</si>
  <si>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</si>
  <si>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</si>
  <si>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</si>
  <si>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</si>
  <si>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</si>
  <si>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</si>
  <si>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</si>
  <si>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</si>
  <si>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</si>
  <si>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</si>
  <si>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</si>
  <si>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</si>
  <si>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</si>
  <si>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</si>
  <si>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</si>
  <si>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</si>
  <si>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</si>
  <si>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</si>
  <si>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</si>
  <si>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</si>
  <si>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</si>
  <si>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</si>
  <si>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</si>
  <si>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</si>
  <si>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</si>
  <si>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</si>
  <si>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</si>
  <si>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</si>
  <si>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</si>
  <si>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</si>
  <si>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</si>
  <si>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</si>
  <si>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</si>
  <si>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</si>
  <si>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</si>
  <si>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</si>
  <si>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</si>
  <si>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</si>
  <si>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</si>
  <si>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</si>
  <si>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</si>
  <si>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</si>
  <si>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</si>
  <si>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</si>
  <si>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</si>
  <si>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</si>
  <si>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</si>
  <si>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</si>
  <si>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</si>
  <si>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</si>
  <si>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</si>
  <si>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</si>
  <si>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</si>
  <si>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</si>
  <si>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</si>
  <si>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</si>
  <si>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</si>
  <si>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</si>
  <si>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</si>
  <si>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</si>
  <si>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</si>
  <si>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</si>
  <si>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</si>
  <si>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</si>
  <si>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</si>
  <si>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</si>
  <si>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</si>
  <si>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</si>
  <si>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</si>
  <si>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</si>
  <si>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</si>
  <si>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</si>
  <si>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</si>
  <si>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</si>
  <si>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</si>
  <si>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</si>
  <si>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</si>
  <si>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</si>
  <si>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</si>
  <si>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</si>
  <si>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</si>
  <si>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</si>
  <si>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</si>
  <si>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</si>
  <si>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</si>
  <si>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</si>
  <si>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</si>
  <si>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</si>
  <si>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</si>
  <si>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</si>
  <si>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</si>
  <si>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</si>
  <si>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</si>
  <si>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</si>
  <si>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</si>
  <si>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</si>
  <si>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</si>
  <si>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</si>
  <si>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</si>
  <si>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</si>
  <si>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</si>
  <si>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</si>
  <si>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</si>
  <si>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</si>
  <si>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</si>
  <si>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</si>
  <si>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</si>
  <si>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</si>
  <si>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</si>
  <si>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</si>
  <si>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</si>
  <si>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</si>
  <si>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</si>
  <si>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</si>
  <si>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</si>
  <si>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</si>
  <si>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</si>
  <si>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</si>
  <si>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</si>
  <si>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</si>
  <si>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</si>
  <si>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</si>
  <si>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</si>
  <si>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</si>
  <si>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</si>
  <si>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</si>
  <si>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</si>
  <si>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</si>
  <si>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</si>
  <si>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</si>
  <si>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</si>
  <si>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</si>
  <si>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</si>
  <si>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</si>
  <si>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</si>
  <si>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</si>
  <si>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</si>
  <si>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</si>
  <si>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</si>
  <si>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</si>
  <si>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</si>
  <si>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</si>
  <si>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</si>
  <si>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</si>
  <si>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</si>
  <si>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</si>
  <si>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</si>
  <si>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</si>
  <si>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</si>
  <si>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</si>
  <si>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</si>
  <si>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</si>
  <si>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</si>
  <si>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</si>
  <si>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</si>
  <si>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</si>
  <si>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</si>
  <si>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</si>
  <si>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</si>
  <si>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</si>
  <si>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</si>
  <si>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</si>
  <si>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</si>
  <si>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</si>
  <si>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</si>
  <si>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</si>
  <si>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</si>
  <si>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</si>
  <si>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</si>
  <si>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</si>
  <si>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</si>
  <si>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</si>
  <si>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</si>
  <si>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</si>
  <si>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</si>
  <si>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</si>
  <si>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</si>
  <si>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</si>
  <si>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</si>
  <si>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</si>
  <si>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</si>
  <si>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</si>
  <si>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</si>
  <si>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</si>
  <si>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</si>
  <si>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</si>
  <si>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</si>
  <si>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</si>
  <si>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</si>
  <si>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</si>
  <si>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</si>
  <si>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</si>
  <si>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</si>
  <si>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</si>
  <si>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</si>
  <si>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</si>
  <si>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</si>
  <si>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</si>
  <si>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</si>
  <si>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</si>
  <si>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</si>
  <si>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</si>
  <si>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</si>
  <si>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</si>
  <si>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</si>
  <si>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</si>
  <si>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</si>
  <si>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</si>
  <si>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</si>
  <si>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</si>
  <si>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</si>
  <si>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</si>
  <si>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</si>
  <si>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</si>
  <si>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</si>
  <si>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</si>
  <si>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</si>
  <si>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</si>
  <si>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</si>
  <si>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</si>
  <si>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</si>
  <si>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</si>
  <si>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</si>
  <si>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</si>
  <si>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</si>
  <si>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</si>
  <si>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</si>
  <si>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</si>
  <si>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</si>
  <si>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</si>
  <si>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</si>
  <si>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</si>
  <si>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</si>
  <si>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</si>
  <si>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</si>
  <si>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</si>
  <si>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</si>
  <si>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</si>
  <si>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</si>
  <si>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</si>
  <si>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</si>
  <si>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</si>
  <si>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</si>
  <si>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</si>
  <si>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</si>
  <si>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</si>
  <si>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</si>
  <si>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</si>
  <si>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</si>
  <si>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</si>
  <si>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</si>
  <si>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</si>
  <si>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</si>
  <si>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</si>
  <si>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</si>
  <si>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</si>
  <si>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</si>
  <si>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</si>
  <si>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</si>
  <si>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</si>
  <si>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</si>
  <si>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</si>
  <si>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</si>
  <si>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</si>
  <si>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</si>
  <si>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</si>
  <si>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</si>
  <si>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</si>
  <si>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</si>
  <si>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</si>
  <si>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</si>
  <si>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</si>
  <si>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</si>
  <si>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</si>
  <si>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</si>
  <si>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</si>
  <si>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</si>
  <si>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</si>
  <si>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</si>
  <si>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</si>
  <si>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</si>
  <si>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</si>
  <si>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</si>
  <si>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</si>
  <si>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</si>
  <si>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</si>
  <si>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</si>
  <si>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</si>
  <si>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</si>
  <si>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</si>
  <si>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</si>
  <si>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</si>
  <si>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</si>
  <si>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</si>
  <si>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</si>
  <si>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</si>
  <si>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</si>
  <si>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</si>
  <si>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</si>
  <si>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</si>
  <si>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</si>
  <si>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</si>
  <si>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</si>
  <si>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</si>
  <si>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</si>
  <si>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</si>
  <si>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</si>
  <si>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</si>
  <si>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</si>
  <si>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</si>
  <si>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</si>
  <si>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</si>
  <si>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</si>
  <si>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</si>
  <si>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</si>
  <si>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</si>
  <si>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</si>
  <si>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</si>
  <si>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</si>
  <si>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</si>
  <si>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</si>
  <si>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</si>
  <si>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</si>
  <si>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</si>
  <si>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</si>
  <si>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</si>
  <si>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</si>
  <si>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</si>
  <si>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</si>
  <si>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</si>
  <si>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</si>
  <si>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</si>
  <si>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</si>
  <si>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</si>
  <si>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</si>
  <si>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</si>
  <si>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</si>
  <si>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</si>
  <si>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</si>
  <si>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</si>
  <si>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</si>
  <si>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</si>
  <si>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</si>
  <si>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</si>
  <si>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</si>
  <si>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</si>
  <si>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</si>
  <si>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</si>
  <si>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</si>
  <si>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</si>
  <si>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</si>
  <si>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</si>
  <si>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</si>
  <si>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</si>
  <si>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</si>
  <si>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</si>
  <si>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</si>
  <si>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</si>
  <si>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</si>
  <si>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</si>
  <si>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</si>
  <si>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</si>
  <si>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</si>
  <si>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</si>
  <si>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</si>
  <si>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</si>
  <si>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</si>
  <si>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</si>
  <si>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</si>
  <si>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</si>
  <si>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</si>
  <si>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</si>
  <si>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</si>
  <si>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</si>
  <si>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</si>
  <si>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</si>
  <si>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</si>
  <si>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</si>
  <si>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</si>
  <si>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</si>
  <si>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</si>
  <si>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</si>
  <si>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</si>
  <si>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</si>
  <si>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</si>
  <si>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</si>
  <si>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</si>
  <si>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</si>
  <si>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</si>
  <si>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</si>
  <si>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</si>
  <si>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</si>
  <si>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</si>
  <si>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</si>
  <si>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</si>
  <si>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</si>
  <si>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</si>
  <si>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</si>
  <si>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</si>
  <si>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</si>
  <si>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</si>
  <si>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</si>
  <si>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</si>
  <si>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</si>
  <si>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</si>
  <si>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</si>
  <si>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</si>
  <si>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</si>
  <si>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</si>
  <si>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</si>
  <si>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</si>
  <si>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</si>
  <si>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</si>
  <si>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</si>
  <si>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</si>
  <si>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</si>
  <si>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</si>
  <si>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</si>
  <si>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</si>
  <si>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</si>
  <si>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</si>
  <si>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</si>
  <si>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</si>
  <si>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</si>
  <si>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</si>
  <si>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</si>
  <si>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</si>
  <si>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</si>
  <si>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</si>
  <si>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</si>
  <si>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</si>
  <si>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</si>
  <si>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</si>
  <si>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</si>
  <si>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</si>
  <si>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</si>
  <si>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</si>
  <si>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</si>
  <si>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</si>
  <si>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</si>
  <si>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</si>
  <si>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</si>
  <si>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</si>
  <si>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</si>
  <si>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</si>
  <si>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</si>
  <si>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</si>
  <si>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</si>
  <si>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</si>
  <si>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</si>
  <si>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</si>
  <si>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</si>
  <si>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</si>
  <si>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</si>
  <si>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</si>
  <si>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</si>
  <si>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</si>
  <si>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</si>
  <si>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</si>
  <si>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</si>
  <si>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</si>
  <si>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</si>
  <si>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</si>
  <si>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</si>
  <si>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</si>
  <si>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</si>
  <si>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</si>
  <si>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</si>
  <si>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</si>
  <si>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</si>
  <si>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</si>
  <si>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</si>
  <si>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</si>
  <si>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</si>
  <si>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</si>
  <si>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</si>
  <si>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</si>
  <si>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</si>
  <si>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</si>
  <si>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</si>
  <si>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</si>
  <si>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</si>
  <si>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</si>
  <si>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</si>
  <si>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</si>
  <si>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</si>
  <si>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</si>
  <si>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</si>
  <si>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</si>
  <si>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</si>
  <si>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</si>
  <si>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</si>
  <si>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</si>
  <si>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</si>
  <si>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</si>
  <si>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</si>
  <si>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</si>
  <si>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</si>
  <si>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</si>
  <si>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</si>
  <si>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</si>
  <si>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</si>
  <si>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</si>
  <si>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</si>
  <si>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</si>
  <si>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</si>
  <si>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</si>
  <si>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</si>
  <si>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</si>
  <si>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</si>
  <si>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</si>
  <si>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</si>
  <si>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</si>
  <si>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</si>
  <si>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</si>
  <si>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</si>
  <si>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</si>
  <si>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</si>
  <si>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</si>
  <si>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</si>
  <si>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</si>
  <si>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</si>
  <si>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</si>
  <si>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</si>
  <si>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</si>
  <si>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</si>
  <si>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</si>
  <si>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</si>
  <si>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</si>
  <si>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</si>
  <si>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</si>
  <si>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</si>
  <si>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</si>
  <si>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</si>
  <si>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</si>
  <si>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</si>
  <si>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</si>
  <si>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</si>
  <si>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</si>
  <si>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</si>
  <si>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</si>
  <si>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</si>
  <si>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</si>
  <si>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</si>
  <si>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</si>
  <si>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</si>
  <si>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</si>
  <si>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</si>
  <si>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</si>
  <si>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</si>
  <si>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</si>
  <si>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</si>
  <si>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</si>
  <si>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</si>
  <si>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</si>
  <si>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</si>
  <si>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</si>
  <si>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</si>
  <si>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</si>
  <si>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</si>
  <si>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</si>
  <si>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</si>
  <si>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</si>
  <si>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</si>
  <si>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</si>
  <si>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</si>
  <si>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</si>
  <si>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</si>
  <si>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</si>
  <si>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</si>
  <si>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</si>
  <si>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</si>
  <si>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</si>
  <si>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</si>
  <si>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</si>
  <si>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</si>
  <si>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</si>
  <si>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</si>
  <si>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</si>
  <si>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</si>
  <si>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</si>
  <si>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</si>
  <si>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</si>
  <si>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</si>
  <si>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</si>
  <si>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</si>
  <si>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</si>
  <si>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</si>
  <si>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</si>
  <si>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</si>
  <si>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</si>
  <si>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</si>
  <si>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</si>
  <si>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</si>
  <si>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</si>
  <si>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</si>
  <si>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</si>
  <si>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</si>
  <si>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</si>
  <si>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</si>
  <si>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</si>
  <si>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</si>
  <si>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</si>
  <si>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</si>
  <si>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</si>
  <si>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</si>
  <si>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</si>
  <si>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</si>
  <si>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</si>
  <si>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</si>
  <si>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</si>
  <si>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</si>
  <si>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</si>
  <si>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</si>
  <si>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</si>
  <si>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</si>
  <si>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</si>
  <si>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</si>
  <si>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</si>
  <si>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</si>
  <si>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</si>
  <si>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</si>
  <si>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</si>
  <si>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</si>
  <si>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</si>
  <si>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</si>
  <si>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</si>
  <si>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</si>
  <si>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</si>
  <si>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</si>
  <si>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</si>
  <si>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</si>
  <si>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</si>
  <si>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</si>
  <si>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</si>
  <si>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</si>
  <si>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</si>
  <si>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</si>
  <si>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</si>
  <si>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</si>
  <si>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</si>
  <si>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</si>
  <si>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</si>
  <si>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</si>
  <si>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</si>
  <si>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</si>
  <si>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</si>
  <si>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</si>
  <si>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</si>
  <si>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</si>
  <si>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</si>
  <si>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</si>
  <si>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</si>
  <si>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</si>
  <si>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</si>
  <si>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</si>
  <si>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</si>
  <si>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</si>
  <si>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</si>
  <si>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</si>
  <si>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</si>
  <si>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</si>
  <si>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</si>
  <si>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</si>
  <si>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</si>
  <si>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</si>
  <si>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</si>
  <si>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</si>
  <si>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</si>
  <si>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</si>
  <si>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</si>
  <si>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</si>
  <si>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</si>
  <si>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</si>
  <si>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</si>
  <si>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</si>
  <si>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</si>
  <si>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</si>
  <si>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</si>
  <si>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</si>
  <si>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</si>
  <si>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</si>
  <si>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</si>
  <si>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</si>
  <si>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</si>
  <si>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</si>
  <si>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</si>
  <si>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</si>
  <si>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</si>
  <si>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</si>
  <si>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</si>
  <si>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</si>
  <si>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</si>
  <si>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</si>
  <si>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</si>
  <si>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</si>
  <si>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</si>
  <si>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</si>
  <si>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</si>
  <si>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</si>
  <si>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</si>
  <si>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</si>
  <si>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</si>
  <si>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</si>
  <si>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</si>
  <si>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</si>
  <si>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</si>
  <si>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</si>
  <si>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</si>
  <si>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</si>
  <si>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</si>
  <si>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</si>
  <si>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</si>
  <si>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</si>
  <si>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</si>
  <si>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</si>
  <si>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</si>
  <si>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</si>
  <si>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</si>
  <si>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</si>
  <si>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</si>
  <si>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</si>
  <si>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</si>
  <si>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</si>
  <si>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</si>
  <si>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</si>
  <si>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</si>
  <si>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</si>
  <si>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</si>
  <si>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</si>
  <si>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</si>
  <si>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</si>
  <si>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</si>
  <si>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</si>
  <si>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</si>
  <si>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</si>
  <si>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</si>
  <si>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</si>
  <si>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</si>
  <si>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</si>
  <si>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</si>
  <si>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</si>
  <si>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</si>
  <si>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</si>
  <si>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</si>
  <si>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</si>
  <si>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</si>
  <si>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</si>
  <si>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</si>
  <si>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</si>
  <si>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</si>
  <si>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</si>
  <si>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</si>
  <si>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</si>
  <si>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</si>
  <si>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</si>
  <si>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</si>
  <si>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</si>
  <si>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</si>
  <si>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</si>
  <si>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</si>
  <si>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</si>
  <si>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</si>
  <si>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</si>
  <si>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</si>
  <si>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</si>
  <si>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</si>
  <si>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</si>
  <si>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</si>
  <si>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</si>
  <si>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</si>
  <si>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</si>
  <si>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</si>
  <si>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</si>
  <si>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</si>
  <si>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</si>
  <si>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</si>
  <si>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</si>
  <si>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</si>
  <si>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</si>
  <si>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</si>
  <si>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</si>
  <si>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</si>
  <si>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</si>
  <si>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</si>
  <si>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</si>
  <si>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</si>
  <si>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</si>
  <si>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</si>
  <si>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</si>
  <si>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</si>
  <si>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</si>
  <si>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</si>
  <si>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</si>
  <si>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</si>
  <si>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</si>
  <si>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</si>
  <si>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</si>
  <si>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</si>
  <si>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</si>
  <si>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</si>
  <si>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</si>
  <si>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</si>
  <si>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</si>
  <si>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</si>
  <si>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</si>
  <si>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</si>
  <si>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</si>
  <si>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</si>
  <si>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</si>
  <si>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</si>
  <si>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</si>
  <si>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</si>
  <si>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</si>
  <si>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</si>
  <si>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</si>
  <si>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</si>
  <si>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</si>
  <si>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</si>
  <si>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</si>
  <si>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</si>
  <si>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</si>
  <si>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</si>
  <si>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</si>
  <si>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</si>
  <si>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</si>
  <si>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</si>
  <si>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</si>
  <si>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</si>
  <si>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</si>
  <si>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</si>
  <si>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</si>
  <si>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</si>
  <si>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</si>
  <si>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</si>
  <si>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</si>
  <si>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</si>
  <si>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</si>
  <si>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</si>
  <si>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</si>
  <si>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</si>
  <si>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</si>
  <si>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</si>
  <si>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</si>
  <si>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</si>
  <si>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</si>
  <si>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</si>
  <si>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</si>
  <si>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</si>
  <si>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</si>
  <si>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</si>
  <si>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</si>
  <si>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</si>
  <si>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</si>
  <si>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</si>
  <si>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</si>
  <si>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</si>
  <si>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</si>
  <si>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</si>
  <si>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</si>
  <si>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</si>
  <si>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</si>
  <si>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</si>
  <si>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</si>
  <si>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</si>
  <si>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</si>
  <si>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</si>
  <si>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</si>
  <si>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</si>
  <si>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</si>
  <si>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</si>
  <si>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</si>
  <si>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</si>
  <si>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</si>
  <si>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</si>
  <si>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</si>
  <si>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</si>
  <si>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</si>
  <si>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</si>
  <si>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</si>
  <si>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</si>
  <si>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</si>
  <si>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</si>
  <si>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</si>
  <si>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</si>
  <si>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</si>
  <si>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</si>
  <si>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</si>
  <si>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</si>
  <si>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</si>
  <si>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</si>
  <si>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</si>
  <si>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</si>
  <si>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</si>
  <si>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</si>
  <si>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</si>
  <si>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</si>
  <si>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</si>
  <si>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</si>
  <si>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</si>
  <si>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</si>
  <si>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</si>
  <si>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</si>
  <si>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</si>
  <si>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</si>
  <si>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</si>
  <si>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</si>
  <si>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</si>
  <si>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</si>
  <si>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</si>
  <si>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</si>
  <si>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</si>
  <si>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</si>
  <si>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</si>
  <si>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</si>
  <si>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</si>
  <si>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</si>
  <si>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</si>
  <si>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</si>
  <si>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</si>
  <si>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</si>
  <si>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</si>
  <si>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</si>
  <si>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</si>
  <si>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</si>
  <si>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</si>
  <si>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</si>
  <si>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</si>
  <si>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</si>
  <si>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</si>
  <si>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</si>
  <si>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</si>
  <si>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</si>
  <si>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</si>
  <si>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</si>
  <si>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</si>
  <si>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</si>
  <si>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</si>
  <si>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</si>
  <si>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</si>
  <si>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</si>
  <si>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</si>
  <si>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</si>
  <si>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</si>
  <si>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</si>
  <si>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</si>
  <si>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</si>
  <si>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</si>
  <si>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</si>
  <si>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</si>
  <si>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</si>
  <si>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</si>
  <si>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</si>
  <si>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</si>
  <si>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</si>
  <si>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</si>
  <si>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</si>
  <si>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</si>
  <si>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</si>
  <si>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</si>
  <si>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</si>
  <si>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</si>
  <si>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</si>
  <si>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</si>
  <si>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</si>
  <si>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</si>
  <si>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</si>
  <si>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</si>
  <si>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</si>
  <si>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</si>
  <si>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</si>
  <si>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</si>
  <si>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</si>
  <si>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</si>
  <si>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</si>
  <si>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</si>
  <si>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</si>
  <si>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</si>
  <si>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</si>
  <si>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</si>
  <si>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</si>
  <si>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</si>
  <si>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</si>
  <si>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</si>
  <si>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</si>
  <si>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</si>
  <si>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</si>
  <si>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</si>
  <si>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</si>
  <si>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</si>
  <si>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</si>
  <si>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</si>
  <si>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</si>
  <si>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</si>
  <si>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</si>
  <si>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</si>
  <si>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</si>
  <si>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</si>
  <si>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</si>
  <si>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</si>
  <si>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</si>
  <si>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</si>
  <si>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</si>
  <si>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</si>
  <si>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</si>
  <si>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</si>
  <si>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</si>
  <si>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</si>
  <si>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</si>
  <si>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</si>
  <si>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</si>
  <si>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</si>
  <si>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</si>
  <si>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</si>
  <si>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</si>
  <si>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</si>
  <si>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</si>
  <si>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</si>
  <si>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</si>
  <si>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</si>
  <si>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</si>
  <si>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</si>
  <si>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</si>
  <si>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</si>
  <si>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</si>
  <si>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</si>
  <si>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</si>
  <si>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</si>
  <si>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</si>
  <si>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</si>
  <si>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</si>
  <si>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</si>
  <si>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</si>
  <si>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</si>
  <si>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</si>
  <si>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</si>
  <si>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</si>
  <si>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</si>
  <si>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</si>
  <si>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</si>
  <si>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</si>
  <si>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</si>
  <si>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</si>
  <si>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</si>
  <si>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</si>
  <si>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</si>
  <si>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</si>
  <si>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</si>
  <si>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</si>
  <si>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</si>
  <si>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</si>
  <si>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</si>
  <si>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</si>
  <si>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</si>
  <si>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</si>
  <si>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</si>
  <si>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</si>
  <si>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</si>
  <si>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</si>
  <si>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</si>
  <si>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</si>
  <si>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</si>
  <si>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</si>
  <si>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</si>
  <si>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</si>
  <si>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</si>
  <si>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</si>
  <si>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</si>
  <si>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</si>
  <si>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</si>
  <si>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</si>
  <si>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</si>
  <si>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</si>
  <si>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</si>
  <si>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</si>
  <si>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</si>
  <si>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</si>
  <si>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</si>
  <si>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</si>
  <si>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</si>
  <si>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</si>
  <si>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</si>
  <si>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</si>
  <si>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</si>
  <si>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</si>
  <si>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</si>
  <si>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</si>
  <si>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</si>
  <si>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</si>
  <si>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</si>
  <si>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</si>
  <si>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</si>
  <si>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</si>
  <si>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</si>
  <si>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</si>
  <si>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</si>
  <si>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</si>
  <si>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</si>
  <si>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</si>
  <si>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</si>
  <si>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</si>
  <si>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</si>
  <si>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</si>
  <si>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</si>
  <si>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</si>
  <si>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</si>
  <si>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</si>
  <si>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</si>
  <si>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</si>
  <si>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</si>
  <si>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</si>
  <si>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</si>
  <si>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</si>
  <si>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</si>
  <si>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</si>
  <si>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</si>
  <si>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</si>
  <si>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</si>
  <si>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</si>
  <si>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</si>
  <si>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</si>
  <si>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</si>
  <si>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</si>
  <si>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</si>
  <si>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</si>
  <si>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</si>
  <si>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</si>
  <si>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</si>
  <si>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</si>
  <si>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</si>
  <si>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</si>
  <si>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</si>
  <si>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</si>
  <si>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</si>
  <si>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</si>
  <si>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</si>
  <si>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</si>
  <si>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</si>
  <si>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</si>
  <si>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</si>
  <si>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</si>
  <si>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</si>
  <si>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</si>
  <si>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</si>
  <si>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</si>
  <si>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</si>
  <si>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</si>
  <si>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</si>
  <si>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</si>
  <si>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</si>
  <si>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</si>
  <si>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</si>
  <si>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</si>
  <si>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</si>
  <si>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</si>
  <si>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</si>
  <si>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</si>
  <si>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</si>
  <si>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</si>
  <si>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</si>
  <si>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</si>
  <si>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</si>
  <si>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</si>
  <si>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</si>
  <si>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</si>
  <si>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</si>
  <si>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</si>
  <si>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</si>
  <si>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</si>
  <si>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</si>
  <si>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</si>
  <si>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</si>
  <si>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</si>
  <si>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</si>
  <si>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</si>
  <si>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</si>
  <si>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</si>
  <si>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</si>
  <si>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</si>
  <si>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</si>
  <si>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</si>
  <si>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</si>
  <si>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</si>
  <si>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</si>
  <si>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</si>
  <si>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</si>
  <si>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</si>
  <si>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</si>
  <si>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</si>
  <si>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</si>
  <si>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</si>
  <si>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</si>
  <si>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</si>
  <si>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</si>
  <si>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</si>
  <si>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</si>
  <si>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</si>
  <si>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</si>
  <si>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</si>
  <si>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</si>
  <si>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</si>
  <si>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</si>
  <si>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</si>
  <si>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</si>
  <si>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</si>
  <si>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</si>
  <si>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</si>
  <si>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</si>
  <si>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</si>
  <si>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</si>
  <si>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</si>
  <si>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</si>
  <si>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</si>
  <si>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</si>
  <si>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</si>
  <si>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</si>
  <si>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</si>
  <si>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</si>
  <si>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</si>
  <si>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</si>
  <si>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</si>
  <si>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</si>
  <si>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</si>
  <si>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</si>
  <si>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</si>
  <si>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</si>
  <si>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</si>
  <si>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</si>
  <si>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</si>
  <si>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</si>
  <si>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</si>
  <si>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</si>
  <si>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</si>
  <si>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</si>
  <si>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</si>
  <si>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</si>
  <si>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</si>
  <si>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</si>
  <si>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</si>
  <si>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</si>
  <si>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</si>
  <si>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</si>
  <si>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</si>
  <si>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</si>
  <si>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</si>
  <si>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</si>
  <si>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</si>
  <si>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</si>
  <si>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</si>
  <si>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</si>
  <si>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</si>
  <si>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</si>
  <si>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</si>
  <si>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</si>
  <si>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</si>
  <si>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</si>
  <si>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</si>
  <si>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</si>
  <si>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</si>
  <si>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</si>
  <si>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</si>
  <si>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</si>
  <si>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</si>
  <si>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</si>
  <si>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</si>
  <si>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</si>
  <si>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</si>
  <si>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</si>
  <si>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</si>
  <si>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</si>
  <si>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</si>
  <si>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</si>
  <si>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</si>
  <si>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</si>
  <si>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</si>
  <si>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</si>
  <si>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</si>
  <si>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</si>
  <si>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</si>
  <si>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</si>
  <si>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</si>
  <si>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</si>
  <si>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</si>
  <si>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</si>
  <si>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</si>
  <si>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</si>
  <si>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</si>
  <si>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</si>
  <si>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</si>
  <si>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</si>
  <si>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</si>
  <si>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</si>
  <si>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</si>
  <si>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</si>
  <si>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</si>
  <si>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</si>
  <si>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</si>
  <si>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</si>
  <si>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</si>
  <si>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</si>
  <si>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</si>
  <si>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</si>
  <si>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</si>
  <si>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</si>
  <si>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</si>
  <si>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</si>
  <si>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</si>
  <si>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</si>
  <si>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</si>
  <si>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</si>
  <si>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</si>
  <si>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</si>
  <si>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</si>
  <si>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</si>
  <si>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</si>
  <si>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</si>
  <si>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</si>
  <si>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</si>
  <si>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</si>
  <si>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</si>
  <si>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</si>
  <si>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</si>
  <si>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</si>
  <si>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</si>
  <si>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</si>
  <si>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</si>
  <si>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</si>
  <si>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</si>
  <si>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</si>
  <si>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</si>
  <si>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</si>
  <si>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</si>
  <si>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</si>
  <si>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</si>
  <si>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</si>
  <si>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</si>
  <si>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</si>
  <si>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</si>
  <si>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</si>
  <si>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</si>
  <si>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</si>
  <si>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</si>
  <si>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</si>
  <si>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</si>
  <si>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</si>
  <si>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</si>
  <si>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</si>
  <si>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</si>
  <si>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</si>
  <si>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</si>
  <si>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</si>
  <si>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</si>
  <si>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</si>
  <si>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</si>
  <si>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</si>
  <si>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</si>
  <si>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</si>
  <si>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</si>
  <si>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</si>
  <si>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</si>
  <si>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</si>
  <si>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</si>
  <si>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</si>
  <si>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</si>
  <si>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</si>
  <si>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</si>
  <si>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</si>
  <si>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</si>
  <si>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</si>
  <si>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</si>
  <si>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</si>
  <si>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</si>
  <si>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</si>
  <si>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</si>
  <si>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</si>
  <si>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</si>
  <si>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</si>
  <si>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</si>
  <si>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</si>
  <si>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</si>
  <si>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</si>
  <si>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</si>
  <si>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</si>
  <si>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</si>
  <si>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</si>
  <si>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</si>
  <si>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</si>
  <si>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</si>
  <si>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</si>
  <si>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</si>
  <si>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</si>
  <si>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</si>
  <si>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</si>
  <si>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</si>
  <si>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</si>
  <si>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</si>
  <si>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</si>
  <si>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</si>
  <si>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</si>
  <si>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</si>
  <si>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</si>
  <si>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</si>
  <si>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</si>
  <si>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</si>
  <si>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</si>
  <si>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</si>
  <si>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</si>
  <si>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</si>
  <si>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</si>
  <si>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</si>
  <si>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</si>
  <si>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</si>
  <si>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</si>
  <si>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</si>
  <si>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</si>
  <si>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</si>
  <si>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</si>
  <si>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</si>
  <si>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</si>
  <si>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</si>
  <si>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</si>
  <si>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</si>
  <si>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</si>
  <si>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</si>
  <si>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</si>
  <si>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</si>
  <si>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</si>
  <si>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</si>
  <si>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</si>
  <si>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</si>
  <si>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</si>
  <si>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</si>
  <si>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</si>
  <si>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</si>
  <si>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</si>
  <si>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</si>
  <si>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</si>
  <si>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</si>
  <si>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</si>
  <si>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</si>
  <si>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</si>
  <si>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</si>
  <si>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</si>
  <si>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</si>
  <si>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</si>
  <si>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</si>
  <si>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</si>
  <si>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</si>
  <si>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</si>
  <si>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</si>
  <si>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</si>
  <si>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</si>
  <si>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</si>
  <si>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</si>
  <si>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</si>
  <si>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</si>
  <si>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</si>
  <si>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</si>
  <si>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</si>
  <si>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</si>
  <si>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</si>
  <si>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</si>
  <si>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</si>
  <si>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</si>
  <si>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</si>
  <si>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</si>
  <si>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</si>
  <si>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</si>
  <si>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</si>
  <si>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</si>
  <si>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</si>
  <si>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</si>
  <si>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</si>
  <si>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</si>
  <si>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</si>
  <si>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</si>
  <si>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</si>
  <si>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</si>
  <si>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</si>
  <si>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</si>
  <si>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</si>
  <si>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</si>
  <si>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</si>
  <si>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</si>
  <si>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</si>
  <si>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</si>
  <si>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</si>
  <si>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</si>
  <si>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</si>
  <si>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</si>
  <si>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</si>
  <si>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</si>
  <si>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</si>
  <si>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</si>
  <si>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</si>
  <si>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</si>
  <si>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</si>
  <si>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</si>
  <si>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</si>
  <si>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</si>
  <si>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</si>
  <si>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</si>
  <si>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</si>
  <si>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</si>
  <si>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</si>
  <si>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</si>
  <si>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</si>
  <si>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</si>
  <si>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</si>
  <si>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</si>
  <si>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</si>
  <si>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</si>
  <si>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</si>
  <si>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</si>
  <si>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</si>
  <si>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</si>
  <si>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</si>
  <si>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</si>
  <si>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**COMPOSIÇÃO BASEADA NA TABELA ORSE - (NOVEMBRO/2021), CÓDIGO 02394/ORSE - PALAVRA CHAVE "TERRA VEGETAL", OBS: ADUBO ORGANICO SUBSTITUIDO POR FERTILIZANTE ORGANICO, COMO O A UNIDADE DE MEDIDA É DIFERENTE DA COMPOSIÇÃO ORIGINAL, SEGUE MEMORIA DE CALCULO ABAIXO</t>
  </si>
  <si>
    <t>É CONCRETO</t>
  </si>
  <si>
    <t>31.627.333/0001-79</t>
  </si>
  <si>
    <t>(65) 3055-1510</t>
  </si>
  <si>
    <t>ELEONAI</t>
  </si>
  <si>
    <t>(65) 3026-5290</t>
  </si>
  <si>
    <t>(65) 3634-3194</t>
  </si>
  <si>
    <t>MARCO</t>
  </si>
  <si>
    <t>(65) 30466965</t>
  </si>
  <si>
    <t>EVANDRO</t>
  </si>
  <si>
    <t>IGOR</t>
  </si>
  <si>
    <t>07.388.781/0007-78</t>
  </si>
  <si>
    <t>REDE LOJA</t>
  </si>
  <si>
    <t>48.591.308/0001-85</t>
  </si>
  <si>
    <t>(65) 3648-3007</t>
  </si>
  <si>
    <t>MANOEL</t>
  </si>
  <si>
    <t>YAKAO.COM</t>
  </si>
  <si>
    <t>01.426.365/0001-65</t>
  </si>
  <si>
    <t>RÉGUA DE TOMADAS PARA RACK - 8 TOMADAS 2P+T 10A - 1U</t>
  </si>
  <si>
    <t>CUIABÁ TEM</t>
  </si>
  <si>
    <t>31.183.168/0001-03</t>
  </si>
  <si>
    <t> (65) 98112-6151</t>
  </si>
  <si>
    <t>cuiabátem.com</t>
  </si>
  <si>
    <t>RUBENS</t>
  </si>
  <si>
    <t>HARLEY</t>
  </si>
  <si>
    <t>ELÉTRICA PARANÁ</t>
  </si>
  <si>
    <t xml:space="preserve">CONFORME O PROJETO </t>
  </si>
  <si>
    <t xml:space="preserve">META                                                                Projetos e Administração de Obras </t>
  </si>
  <si>
    <t xml:space="preserve">  E-mail: meta@metaprojetoseobras.com
 Hill Office - Rua I, 105, Edifício Eldorado, Sala 56 - Alvorada, Cuiabá- MT 78048-832 
FONE: (65) 99912-3697</t>
  </si>
  <si>
    <t xml:space="preserve"> E-mail: meta@metaprojetoseobras.com
 Hill Office - Rua I, 105, Edifício Eldorado, Sala 56 - Alvorada, Cuiabá- MT 78048-832 
FONE: (65) 99912-3697</t>
  </si>
  <si>
    <t>C E N T R A L   D E   P R O J E T O S</t>
  </si>
  <si>
    <t xml:space="preserve">META                                                                                               Projetos e Administração de Obras </t>
  </si>
  <si>
    <t>SITE: MET.org.br   -   E-mail: pavimentacaoMET@gmail.com</t>
  </si>
  <si>
    <t>CPU CIV 001</t>
  </si>
  <si>
    <t>CPU EST 001</t>
  </si>
  <si>
    <t>CPU PLAY 001</t>
  </si>
  <si>
    <t>CPU PLAY 002</t>
  </si>
  <si>
    <t>CPU PLAY 003</t>
  </si>
  <si>
    <t>CPU PLAY 004</t>
  </si>
  <si>
    <t>CPU PLAY 005</t>
  </si>
  <si>
    <t>CPU PLAY 006</t>
  </si>
  <si>
    <t>CPU PAI</t>
  </si>
  <si>
    <t>CPU PAI 001</t>
  </si>
  <si>
    <t>CPU PAI 002</t>
  </si>
  <si>
    <t>CPU PAI 003</t>
  </si>
  <si>
    <t>CPU PAI 004</t>
  </si>
  <si>
    <t>CPU PAI 005</t>
  </si>
  <si>
    <t>CPU PAI 006</t>
  </si>
  <si>
    <t>CPU PAI 007</t>
  </si>
  <si>
    <t>CPU PAI 008</t>
  </si>
  <si>
    <t>CPU PAI 009</t>
  </si>
  <si>
    <t>CPU PAI 010</t>
  </si>
  <si>
    <t>CPU PAI 011</t>
  </si>
  <si>
    <t>CPU PAI 012</t>
  </si>
  <si>
    <t>CPU PAI 013</t>
  </si>
  <si>
    <t>CPU PAI 014</t>
  </si>
  <si>
    <t>CPU PAI 015</t>
  </si>
  <si>
    <t>CPU PAI 016</t>
  </si>
  <si>
    <t>CPU PAI 017</t>
  </si>
  <si>
    <t>CPU PAI 018</t>
  </si>
  <si>
    <t>CPU PAI 019</t>
  </si>
  <si>
    <t>CPU PAI 020</t>
  </si>
  <si>
    <t>CPU PAI 021</t>
  </si>
  <si>
    <t>CPU PAI 022</t>
  </si>
  <si>
    <t>CPU PAI 023</t>
  </si>
  <si>
    <t>CPU PAI 024</t>
  </si>
  <si>
    <t>CPU PAI 025</t>
  </si>
  <si>
    <t>CPU PAI 026</t>
  </si>
  <si>
    <t>CPU PAI 027</t>
  </si>
  <si>
    <t>CPU PAI 028</t>
  </si>
  <si>
    <t>CPU CIV</t>
  </si>
  <si>
    <t>CPU CIV 002</t>
  </si>
  <si>
    <t>CPU CIV 003</t>
  </si>
  <si>
    <t>CPU CIV 004</t>
  </si>
  <si>
    <t>CPU CIV 005</t>
  </si>
  <si>
    <t>CPU CIV 006</t>
  </si>
  <si>
    <t>CPU CIV 007</t>
  </si>
  <si>
    <t>CPU CIV 008</t>
  </si>
  <si>
    <t>CPU CIV 009</t>
  </si>
  <si>
    <t>CPU CIV 010</t>
  </si>
  <si>
    <t>CPU CIV 011</t>
  </si>
  <si>
    <t>CPU CIV 012</t>
  </si>
  <si>
    <t>CPU CIV 013</t>
  </si>
  <si>
    <t>CPU CIV 014</t>
  </si>
  <si>
    <t>CPU CIV 015</t>
  </si>
  <si>
    <t>CPU CIV 016</t>
  </si>
  <si>
    <t>CPU CIV 017</t>
  </si>
  <si>
    <t>CPU CIV 018</t>
  </si>
  <si>
    <t>CPU CIV 019</t>
  </si>
  <si>
    <t>CPU CIV 020</t>
  </si>
  <si>
    <t>CPU CIV 021</t>
  </si>
  <si>
    <t>CPU CIV 022</t>
  </si>
  <si>
    <t>CPU CIV 023</t>
  </si>
  <si>
    <t>CPU CIV 024</t>
  </si>
  <si>
    <t>CPU CIV 025</t>
  </si>
  <si>
    <t>CPU CIV 026</t>
  </si>
  <si>
    <t>CPU CIV 027</t>
  </si>
  <si>
    <t>CPU CIV 028</t>
  </si>
  <si>
    <t>CPU CIV 029</t>
  </si>
  <si>
    <t>CPU CIV 030</t>
  </si>
  <si>
    <t>CPU CIV 031</t>
  </si>
  <si>
    <t>CPU CIV 032</t>
  </si>
  <si>
    <t>CPU CIV 033</t>
  </si>
  <si>
    <t>CPU CIV 034</t>
  </si>
  <si>
    <t>CPU CIV 035</t>
  </si>
  <si>
    <t>CPU CIV 036</t>
  </si>
  <si>
    <t>CPU CIV 037</t>
  </si>
  <si>
    <t>CPU CIV 038</t>
  </si>
  <si>
    <t>CPU CIV 039</t>
  </si>
  <si>
    <t>CPU CIV 040</t>
  </si>
  <si>
    <t>CPU CIV 041</t>
  </si>
  <si>
    <t>CPU CIV 042</t>
  </si>
  <si>
    <t>CPU CIV 043</t>
  </si>
  <si>
    <t>CPU CIV 044</t>
  </si>
  <si>
    <t>CPU CIV 045</t>
  </si>
  <si>
    <t>CPU CIV 046</t>
  </si>
  <si>
    <t>CPU CIV 047</t>
  </si>
  <si>
    <t>CPU CIV 048</t>
  </si>
  <si>
    <t>CPU CIV 049</t>
  </si>
  <si>
    <t>CPU CIV 050</t>
  </si>
  <si>
    <t>CPU CIV 051</t>
  </si>
  <si>
    <t>CPU CIV 052</t>
  </si>
  <si>
    <t>CPU CIV 053</t>
  </si>
  <si>
    <t>CPU CIV 054</t>
  </si>
  <si>
    <t>CPU CIV 055</t>
  </si>
  <si>
    <t>CPU CIV 056</t>
  </si>
  <si>
    <t>CPU CIV 057</t>
  </si>
  <si>
    <t>CPU CIV 058</t>
  </si>
  <si>
    <t>CPU CIV 059</t>
  </si>
  <si>
    <t>CPU CIV 060</t>
  </si>
  <si>
    <t>CPU CIV 061</t>
  </si>
  <si>
    <t>CPU CIV 062</t>
  </si>
  <si>
    <t>CPU CIV 063</t>
  </si>
  <si>
    <t>CPU CIV 064</t>
  </si>
  <si>
    <t>CPU CIV 065</t>
  </si>
  <si>
    <t>CPU CIV 066</t>
  </si>
  <si>
    <t>CPU CIV 067</t>
  </si>
  <si>
    <t>CPU CIV 068</t>
  </si>
  <si>
    <t>CPU CIV 069</t>
  </si>
  <si>
    <t>CPU CIV 070</t>
  </si>
  <si>
    <t>CPU CIV 071</t>
  </si>
  <si>
    <t>CPU CIV 072</t>
  </si>
  <si>
    <t>CPU CIV 073</t>
  </si>
  <si>
    <t>CPU CIV 074</t>
  </si>
  <si>
    <t>CPU CIV 075</t>
  </si>
  <si>
    <t>CPU CIV 076</t>
  </si>
  <si>
    <t>CPU CIV 077</t>
  </si>
  <si>
    <t>CPU CIV 078</t>
  </si>
  <si>
    <t>CPU CIV 079</t>
  </si>
  <si>
    <t>CPU CIV 080</t>
  </si>
  <si>
    <t>CPU CIV 081</t>
  </si>
  <si>
    <t>CPU CIV 082</t>
  </si>
  <si>
    <t>CPU CIV 083</t>
  </si>
  <si>
    <t>CPU CIV 084</t>
  </si>
  <si>
    <t>CPU CIV 085</t>
  </si>
  <si>
    <t>CPU CIV 086</t>
  </si>
  <si>
    <t>CPU CIV 087</t>
  </si>
  <si>
    <t>CPU CIV 088</t>
  </si>
  <si>
    <t>CPU CIV 089</t>
  </si>
  <si>
    <t>CPU CIV 090</t>
  </si>
  <si>
    <t>CPU CIV 091</t>
  </si>
  <si>
    <t>CPU CIV 092</t>
  </si>
  <si>
    <t>CPU CIV 093</t>
  </si>
  <si>
    <t>CPU CIV 094</t>
  </si>
  <si>
    <t>CPU CIV 095</t>
  </si>
  <si>
    <t>CPU CIV 096</t>
  </si>
  <si>
    <t>CPU CIV 097</t>
  </si>
  <si>
    <t>CPU CIV 098</t>
  </si>
  <si>
    <t>CPU CIV 099</t>
  </si>
  <si>
    <t>CPU CIV 0100</t>
  </si>
  <si>
    <t>CPU CIV 0101</t>
  </si>
  <si>
    <t>CPU CIV 0102</t>
  </si>
  <si>
    <t>CPU CIV 0103</t>
  </si>
  <si>
    <t>CPU CIV 0104</t>
  </si>
  <si>
    <t>CPU CIV 0105</t>
  </si>
  <si>
    <t>CPU CIV 0106</t>
  </si>
  <si>
    <t>CPU CIV 0107</t>
  </si>
  <si>
    <t>CPU CIV 0108</t>
  </si>
  <si>
    <t>CPU CIV 0109</t>
  </si>
  <si>
    <t>CPU CIV 0110</t>
  </si>
  <si>
    <t>CPU CIV 0111</t>
  </si>
  <si>
    <t>CPU CIV 0112</t>
  </si>
  <si>
    <t>CPU CIV 0113</t>
  </si>
  <si>
    <t>CPU CIV 0114</t>
  </si>
  <si>
    <t>CPU CIV 0115</t>
  </si>
  <si>
    <t>CPU CIV 0116</t>
  </si>
  <si>
    <t>CPU CIV 0117</t>
  </si>
  <si>
    <t>CPU CIV 0118</t>
  </si>
  <si>
    <t>CPU CIV 0119</t>
  </si>
  <si>
    <t>CPU CIV 0120</t>
  </si>
  <si>
    <t>CPU CIV 0121</t>
  </si>
  <si>
    <t xml:space="preserve">CPU HID </t>
  </si>
  <si>
    <t>CPU HID 001</t>
  </si>
  <si>
    <t>CPU HID 002</t>
  </si>
  <si>
    <t>CPU HID 003</t>
  </si>
  <si>
    <t>CPU HID 004</t>
  </si>
  <si>
    <t>CPU HID 005</t>
  </si>
  <si>
    <t>CPU HID 006</t>
  </si>
  <si>
    <t>CPU HID 007</t>
  </si>
  <si>
    <t>CPU HID 008</t>
  </si>
  <si>
    <t>CPU HID 009</t>
  </si>
  <si>
    <t>CPU HID 010</t>
  </si>
  <si>
    <t>CPU HID 011</t>
  </si>
  <si>
    <t>CPU HID 012</t>
  </si>
  <si>
    <t>CPU HID 013</t>
  </si>
  <si>
    <t>CPU HID 014</t>
  </si>
  <si>
    <t>CPU HID 015</t>
  </si>
  <si>
    <t>CPU HID 016</t>
  </si>
  <si>
    <t>CPU HID 017</t>
  </si>
  <si>
    <t>CPU HID 018</t>
  </si>
  <si>
    <t>CPU HID 019</t>
  </si>
  <si>
    <t>CPU HID 020</t>
  </si>
  <si>
    <t>CPU HID 021</t>
  </si>
  <si>
    <t>CPU HID 022</t>
  </si>
  <si>
    <t>CPU HID 023</t>
  </si>
  <si>
    <t>CPU HID 024</t>
  </si>
  <si>
    <t>CPU HID 025</t>
  </si>
  <si>
    <t>CPU HID 026</t>
  </si>
  <si>
    <t>CPU HID 027</t>
  </si>
  <si>
    <t>CPU HID 028</t>
  </si>
  <si>
    <t>CPU HID 029</t>
  </si>
  <si>
    <t>CPU HID 030</t>
  </si>
  <si>
    <t>CPU HID 031</t>
  </si>
  <si>
    <t>CPU HID 032</t>
  </si>
  <si>
    <t>CPU HID 033</t>
  </si>
  <si>
    <t>CPU HID 034</t>
  </si>
  <si>
    <t>CPU HID 035</t>
  </si>
  <si>
    <t>CPU HID 036</t>
  </si>
  <si>
    <t>CPU HID 037</t>
  </si>
  <si>
    <t>CPU HID 038</t>
  </si>
  <si>
    <t>CPU HID 039</t>
  </si>
  <si>
    <t>CPU HID 040</t>
  </si>
  <si>
    <t>CPU HID 041</t>
  </si>
  <si>
    <t>CPU HID 042</t>
  </si>
  <si>
    <t>CPU HID 043</t>
  </si>
  <si>
    <t>CPU HID 044</t>
  </si>
  <si>
    <t>CPU HID 045</t>
  </si>
  <si>
    <t>CPU HID 046</t>
  </si>
  <si>
    <t>CPU HID 047</t>
  </si>
  <si>
    <t>CPU HID 048</t>
  </si>
  <si>
    <t>CPU HID 049</t>
  </si>
  <si>
    <t>CPU HID 050</t>
  </si>
  <si>
    <t>CPU HID 051</t>
  </si>
  <si>
    <t>CPU HID 052</t>
  </si>
  <si>
    <t>CPU HID 053</t>
  </si>
  <si>
    <t>CPU HID 054</t>
  </si>
  <si>
    <t>CPU HID 055</t>
  </si>
  <si>
    <t>CPU HID 056</t>
  </si>
  <si>
    <t>CPU HID 057</t>
  </si>
  <si>
    <t>CPU HID 058</t>
  </si>
  <si>
    <t>CPU HID 059</t>
  </si>
  <si>
    <t>CPU HID 060</t>
  </si>
  <si>
    <t>CPU HID 061</t>
  </si>
  <si>
    <t>CPU HID 062</t>
  </si>
  <si>
    <t>CPU HID 063</t>
  </si>
  <si>
    <t>CPU HID 064</t>
  </si>
  <si>
    <t>CPU HID 065</t>
  </si>
  <si>
    <t>CPU HID 066</t>
  </si>
  <si>
    <t>CPU HID 067</t>
  </si>
  <si>
    <t>CPU HID 068</t>
  </si>
  <si>
    <t>CPU HID 069</t>
  </si>
  <si>
    <t>CPU HID 070</t>
  </si>
  <si>
    <t>CPU HID 071</t>
  </si>
  <si>
    <t>CPU HID 072</t>
  </si>
  <si>
    <t>CPU HID 073</t>
  </si>
  <si>
    <t>CPU HID 074</t>
  </si>
  <si>
    <t>CPU HID 075</t>
  </si>
  <si>
    <t>CPU HID 076</t>
  </si>
  <si>
    <t>CPU HID 077</t>
  </si>
  <si>
    <t>CPU HID 078</t>
  </si>
  <si>
    <t>CPU HID 079</t>
  </si>
  <si>
    <t>CPU HID 080</t>
  </si>
  <si>
    <t>CPU HID 081</t>
  </si>
  <si>
    <t>CPU HID 082</t>
  </si>
  <si>
    <t>CPU HID 083</t>
  </si>
  <si>
    <t>CPU HID 084</t>
  </si>
  <si>
    <t>CPU HID 085</t>
  </si>
  <si>
    <t>CPU HID 086</t>
  </si>
  <si>
    <t>CPU HID 087</t>
  </si>
  <si>
    <t>CPU HID 088</t>
  </si>
  <si>
    <t>CPU HID 089</t>
  </si>
  <si>
    <t>CPU HID 090</t>
  </si>
  <si>
    <t>CPU HID 091</t>
  </si>
  <si>
    <t>CPU HID 092</t>
  </si>
  <si>
    <t>CPU HID 093</t>
  </si>
  <si>
    <t>CPU HID 094</t>
  </si>
  <si>
    <t>CPU HID 095</t>
  </si>
  <si>
    <t>CPU HID 096</t>
  </si>
  <si>
    <t>CPU HID 097</t>
  </si>
  <si>
    <t>CPU HID 098</t>
  </si>
  <si>
    <t>CPU HID 099</t>
  </si>
  <si>
    <t>CPU HID 0100</t>
  </si>
  <si>
    <t>CPU HID 0101</t>
  </si>
  <si>
    <t>CPU HID 0102</t>
  </si>
  <si>
    <t>CPU HID 0103</t>
  </si>
  <si>
    <t>CPU HID 0104</t>
  </si>
  <si>
    <t>CPU ELE</t>
  </si>
  <si>
    <t>CPU ELE 001</t>
  </si>
  <si>
    <t>CPU ELE 002</t>
  </si>
  <si>
    <t>CPU ELE 003</t>
  </si>
  <si>
    <t>CPU ELE 004</t>
  </si>
  <si>
    <t>CPU ELE 005</t>
  </si>
  <si>
    <t>CPU ELE 006</t>
  </si>
  <si>
    <t>CPU ELE 007</t>
  </si>
  <si>
    <t>CPU ELE 008</t>
  </si>
  <si>
    <t>CPU ELE 009</t>
  </si>
  <si>
    <t>CPU ELE 010</t>
  </si>
  <si>
    <t>CPU ELE 011</t>
  </si>
  <si>
    <t>CPU ELE 012</t>
  </si>
  <si>
    <t>CPU ELE 013</t>
  </si>
  <si>
    <t>CPU ELE 014</t>
  </si>
  <si>
    <t>CPU ELE 015</t>
  </si>
  <si>
    <t>CPU ELE 016</t>
  </si>
  <si>
    <t>CPU ELE 017</t>
  </si>
  <si>
    <t>CPU ELE 018</t>
  </si>
  <si>
    <t>CPU ELE 019</t>
  </si>
  <si>
    <t>CPU ELE 020</t>
  </si>
  <si>
    <t>CPU ELE 021</t>
  </si>
  <si>
    <t>CPU ELE 022</t>
  </si>
  <si>
    <t>CPU ELE 023</t>
  </si>
  <si>
    <t>CPU ELE 024</t>
  </si>
  <si>
    <t>CPU ELE 025</t>
  </si>
  <si>
    <t>CPU ELE 026</t>
  </si>
  <si>
    <t>CPU ELE 027</t>
  </si>
  <si>
    <t>CPU ELE 028</t>
  </si>
  <si>
    <t>CPU ELE 029</t>
  </si>
  <si>
    <t>CPU ELE 030</t>
  </si>
  <si>
    <t>CPU ELE 031</t>
  </si>
  <si>
    <t>CPU ELE 032</t>
  </si>
  <si>
    <t>CPU ELE 033</t>
  </si>
  <si>
    <t>CPU ELE 034</t>
  </si>
  <si>
    <t>CPU ELE 035</t>
  </si>
  <si>
    <t>CPU ELE 036</t>
  </si>
  <si>
    <t>CPU ELE 037</t>
  </si>
  <si>
    <t>CPU ELE 038</t>
  </si>
  <si>
    <t>CPU ELE 039</t>
  </si>
  <si>
    <t>CPU ELE 040</t>
  </si>
  <si>
    <t>CPU ELE 041</t>
  </si>
  <si>
    <t>CPU ELE 042</t>
  </si>
  <si>
    <t>CPU ELE 043</t>
  </si>
  <si>
    <t>CPU ELE 044</t>
  </si>
  <si>
    <t>CPU ELE 045</t>
  </si>
  <si>
    <t>CPU ELE 046</t>
  </si>
  <si>
    <t>CPU ELE 047</t>
  </si>
  <si>
    <t>CPU ELE 048</t>
  </si>
  <si>
    <t>CPU ELE 049</t>
  </si>
  <si>
    <t>CPU ELE 050</t>
  </si>
  <si>
    <t>CPU ELE 051</t>
  </si>
  <si>
    <t>CPU ELE 052</t>
  </si>
  <si>
    <t>CPU ELE 053</t>
  </si>
  <si>
    <t>CPU ELE 054</t>
  </si>
  <si>
    <t>CPU ELE 055</t>
  </si>
  <si>
    <t>CPU ELE 056</t>
  </si>
  <si>
    <t>CPU ELE 057</t>
  </si>
  <si>
    <t>CPU ELE 058</t>
  </si>
  <si>
    <t>CPU ELE 059</t>
  </si>
  <si>
    <t>CPU ELE 060</t>
  </si>
  <si>
    <t>CPU ELE 061</t>
  </si>
  <si>
    <t>CPU ELE 062</t>
  </si>
  <si>
    <t>CPU ELE 063</t>
  </si>
  <si>
    <t>CPU ELE 064</t>
  </si>
  <si>
    <t>CPU ELE 065</t>
  </si>
  <si>
    <t>CPU ELE 066</t>
  </si>
  <si>
    <t>CPU ELE 067</t>
  </si>
  <si>
    <t>CPU ELE 068</t>
  </si>
  <si>
    <t>CPU ELE 069</t>
  </si>
  <si>
    <t>CPU ELE 070</t>
  </si>
  <si>
    <t>CPU ELE 071</t>
  </si>
  <si>
    <t>CPU ELE 072</t>
  </si>
  <si>
    <t>CPU ELE 073</t>
  </si>
  <si>
    <t>CPU ELE 074</t>
  </si>
  <si>
    <t>CPU ELE 075</t>
  </si>
  <si>
    <t>CPU ELE 076</t>
  </si>
  <si>
    <t>CPU ELE 077</t>
  </si>
  <si>
    <t>CPU ELE 078</t>
  </si>
  <si>
    <t>CPU ELE 079</t>
  </si>
  <si>
    <t>CPU ELE 080</t>
  </si>
  <si>
    <t>CPU ELE 081</t>
  </si>
  <si>
    <t>CPU ELE 082</t>
  </si>
  <si>
    <t>CPU ELE 083</t>
  </si>
  <si>
    <t>CPU ELE 084</t>
  </si>
  <si>
    <t>CPU ELE 085</t>
  </si>
  <si>
    <t>CPU ELE 086</t>
  </si>
  <si>
    <t>CPU ELE 087</t>
  </si>
  <si>
    <t>CPU ELE 088</t>
  </si>
  <si>
    <t>CPU ELE 089</t>
  </si>
  <si>
    <t>CPU ELE 090</t>
  </si>
  <si>
    <t>CPU ELE 091</t>
  </si>
  <si>
    <t>CPU SPDA</t>
  </si>
  <si>
    <t>CPU SPDA 001</t>
  </si>
  <si>
    <t>CPU SPDA 002</t>
  </si>
  <si>
    <t>CPU SPDA 003</t>
  </si>
  <si>
    <t>CPU SPDA 004</t>
  </si>
  <si>
    <t>CPU SPDA 005</t>
  </si>
  <si>
    <t>CPU SPDA 006</t>
  </si>
  <si>
    <t>CPU SPDA 007</t>
  </si>
  <si>
    <t>CPU SPDA 008</t>
  </si>
  <si>
    <t>CPU SPDA 009</t>
  </si>
  <si>
    <t>CPU SPDA 010</t>
  </si>
  <si>
    <t>CPU SPDA 011</t>
  </si>
  <si>
    <t>CPU SPDA 012</t>
  </si>
  <si>
    <t>CPU SPDA 013</t>
  </si>
  <si>
    <t>CPU SPDA 014</t>
  </si>
  <si>
    <t>CPU SPDA 015</t>
  </si>
  <si>
    <t>CPU SPDA 016</t>
  </si>
  <si>
    <t>CPU SPDA 017</t>
  </si>
  <si>
    <t>CPU SPDA 018</t>
  </si>
  <si>
    <t>CPU SPDA 019</t>
  </si>
  <si>
    <t>CPU SPDA 020</t>
  </si>
  <si>
    <t>CPU SPDA 021</t>
  </si>
  <si>
    <t>CPU SPDA 022</t>
  </si>
  <si>
    <t>CPU SPDA 023</t>
  </si>
  <si>
    <t>CPU SPDA 024</t>
  </si>
  <si>
    <t>CPU SPDA 025</t>
  </si>
  <si>
    <t>CPU SPDA 026</t>
  </si>
  <si>
    <t>CPU SPDA 027</t>
  </si>
  <si>
    <t>CPU SPDA 028</t>
  </si>
  <si>
    <t>CPU SPDA 029</t>
  </si>
  <si>
    <t>CPU SPDA 030</t>
  </si>
  <si>
    <t>CPU SPDA 031</t>
  </si>
  <si>
    <t>CPU SPDA 032</t>
  </si>
  <si>
    <t>CPU SPDA 033</t>
  </si>
  <si>
    <t>CPU SPDA 034</t>
  </si>
  <si>
    <t>CPU SPDA 035</t>
  </si>
  <si>
    <t>CPU SPDA 036</t>
  </si>
  <si>
    <t>CPU SPDA 037</t>
  </si>
  <si>
    <t>CPU SPDA 038</t>
  </si>
  <si>
    <t>CPU SPDA 039</t>
  </si>
  <si>
    <t>CPU SPDA 040</t>
  </si>
  <si>
    <t>CPU SPDA 041</t>
  </si>
  <si>
    <t>CPU SPDA 042</t>
  </si>
  <si>
    <t>CPU SPDA 043</t>
  </si>
  <si>
    <t>CPU SPDA 044</t>
  </si>
  <si>
    <t>CPU SPDA 045</t>
  </si>
  <si>
    <t>CPU SPDA 046</t>
  </si>
  <si>
    <t>CPU SPDA 047</t>
  </si>
  <si>
    <t>CPU SPDA 048</t>
  </si>
  <si>
    <t>CPU SPDA 049</t>
  </si>
  <si>
    <t>CPU SPDA 050</t>
  </si>
  <si>
    <t>CPU SPDA 051</t>
  </si>
  <si>
    <t>CPU SPDA 052</t>
  </si>
  <si>
    <t>CPU SPDA 053</t>
  </si>
  <si>
    <t>CPU SPDA 054</t>
  </si>
  <si>
    <t>CPU LOG</t>
  </si>
  <si>
    <t>CPU LOG 001</t>
  </si>
  <si>
    <t>CPU LOG 002</t>
  </si>
  <si>
    <t>CPU LOG 003</t>
  </si>
  <si>
    <t>CPU LOG 004</t>
  </si>
  <si>
    <t>CPU LOG 005</t>
  </si>
  <si>
    <t>CPU LOG 006</t>
  </si>
  <si>
    <t>CPU LOG 007</t>
  </si>
  <si>
    <t>CPU LOG 008</t>
  </si>
  <si>
    <t>CPU LOG 009</t>
  </si>
  <si>
    <t>CPU LOG 010</t>
  </si>
  <si>
    <t>CPU LOG 011</t>
  </si>
  <si>
    <t>CPU LOG 012</t>
  </si>
  <si>
    <t>CPU LOG 013</t>
  </si>
  <si>
    <t>CPU LOG 014</t>
  </si>
  <si>
    <t>CPU LOG 015</t>
  </si>
  <si>
    <t>CPU LOG 016</t>
  </si>
  <si>
    <t>CPU LOG 017</t>
  </si>
  <si>
    <t>CPU LOG 018</t>
  </si>
  <si>
    <t>CPU LOG 019</t>
  </si>
  <si>
    <t>CPU LOG 020</t>
  </si>
  <si>
    <t>CPU LOG 021</t>
  </si>
  <si>
    <t>CPU LOG 022</t>
  </si>
  <si>
    <t>CPU LOG 023</t>
  </si>
  <si>
    <t>CPU LOG 024</t>
  </si>
  <si>
    <t>CPU LOG 025</t>
  </si>
  <si>
    <t>CPU LOG 026</t>
  </si>
  <si>
    <t>CPU LOG 027</t>
  </si>
  <si>
    <t>CPU LOG 028</t>
  </si>
  <si>
    <t>CPU LOG 029</t>
  </si>
  <si>
    <t>CPU LOG 030</t>
  </si>
  <si>
    <t>CPU LOG 031</t>
  </si>
  <si>
    <t>CPU LOG 032</t>
  </si>
  <si>
    <t>CPU LOG 033</t>
  </si>
  <si>
    <t>CPU LOG 034</t>
  </si>
  <si>
    <t>CPU LOG 035</t>
  </si>
  <si>
    <t>CPU LOG 036</t>
  </si>
  <si>
    <t>CPU LOG 037</t>
  </si>
  <si>
    <t>CPU LOG 038</t>
  </si>
  <si>
    <t>CPU LOG 039</t>
  </si>
  <si>
    <t>CPU LOG 040</t>
  </si>
  <si>
    <t>CPU LOG 041</t>
  </si>
  <si>
    <t>CPU LOG 042</t>
  </si>
  <si>
    <t>CPU LOG 043</t>
  </si>
  <si>
    <t>CPU LOG 044</t>
  </si>
  <si>
    <t>CPU LOG 045</t>
  </si>
  <si>
    <t>CPU LOG 046</t>
  </si>
  <si>
    <t>CPU LOG 047</t>
  </si>
  <si>
    <t>CPU LOG 048</t>
  </si>
  <si>
    <t>CPU LOG 049</t>
  </si>
  <si>
    <t>CPU LOG 050</t>
  </si>
  <si>
    <t>CPU LOG 051</t>
  </si>
  <si>
    <t>CPU LOG 052</t>
  </si>
  <si>
    <t>CPU LOG 053</t>
  </si>
  <si>
    <t>CPU LOG 054</t>
  </si>
  <si>
    <t>CPU LOG 055</t>
  </si>
  <si>
    <t>CPU LOG 056</t>
  </si>
  <si>
    <t>CPU LOG 057</t>
  </si>
  <si>
    <t>CPU LOG 058</t>
  </si>
  <si>
    <t>CPU LOG 059</t>
  </si>
  <si>
    <t>CPU LOG 060</t>
  </si>
  <si>
    <t>CPU LOG 061</t>
  </si>
  <si>
    <t>CPU LOG 062</t>
  </si>
  <si>
    <t>CPU LOG 063</t>
  </si>
  <si>
    <t>CPU LOG 064</t>
  </si>
  <si>
    <t>CPU LOG 065</t>
  </si>
  <si>
    <t>CPU LOG 066</t>
  </si>
  <si>
    <t>CPU LOG 067</t>
  </si>
  <si>
    <t>CPU LOG 068</t>
  </si>
  <si>
    <t>CPU LOG 069</t>
  </si>
  <si>
    <t>CPU LOG 070</t>
  </si>
  <si>
    <t>CPU IP</t>
  </si>
  <si>
    <t>CPU IP 001</t>
  </si>
  <si>
    <t>CPU IP 002</t>
  </si>
  <si>
    <t>CPU IP 003</t>
  </si>
  <si>
    <t>CPU IP 004</t>
  </si>
  <si>
    <t>CPU IP 005</t>
  </si>
  <si>
    <t>CPU IP 006</t>
  </si>
  <si>
    <t>CPU IP 007</t>
  </si>
  <si>
    <t>CPU IP 008</t>
  </si>
  <si>
    <t>CPU IP 009</t>
  </si>
  <si>
    <t>CPU IP 010</t>
  </si>
  <si>
    <t>CPU IP 011</t>
  </si>
  <si>
    <t>CPU IP 012</t>
  </si>
  <si>
    <t>CPU IP 013</t>
  </si>
  <si>
    <t>CPU IP 014</t>
  </si>
  <si>
    <t>CPU IP 015</t>
  </si>
  <si>
    <t>CPU IP 016</t>
  </si>
  <si>
    <t>CPU IP 017</t>
  </si>
  <si>
    <t>CPU IP 018</t>
  </si>
  <si>
    <t>CPU IP 019</t>
  </si>
  <si>
    <t>CPU IP 020</t>
  </si>
  <si>
    <t>CPU IP 021</t>
  </si>
  <si>
    <t>CPU IP 022</t>
  </si>
  <si>
    <t>CPU IP 023</t>
  </si>
  <si>
    <t>CPU IP 024</t>
  </si>
  <si>
    <t>CPU IP 025</t>
  </si>
  <si>
    <t>CPU IP 026</t>
  </si>
  <si>
    <t>CPU IP 027</t>
  </si>
  <si>
    <t>CPU IP 028</t>
  </si>
  <si>
    <t>CPU IP 029</t>
  </si>
  <si>
    <t>CPU IP 030</t>
  </si>
  <si>
    <t>CPU IP 031</t>
  </si>
  <si>
    <t>CPU IP 032</t>
  </si>
  <si>
    <t>CPU IP 033</t>
  </si>
  <si>
    <t>CPU IP 034</t>
  </si>
  <si>
    <t>CPU IP 035</t>
  </si>
  <si>
    <t>CPU IP 036</t>
  </si>
  <si>
    <t>CPU IP 037</t>
  </si>
  <si>
    <t>CPU IP 038</t>
  </si>
  <si>
    <t>CPU IP 039</t>
  </si>
  <si>
    <t>CPU IP 040</t>
  </si>
  <si>
    <t>CPU IP 041</t>
  </si>
  <si>
    <t>CPU IP 042</t>
  </si>
  <si>
    <t>CPU IP 043</t>
  </si>
  <si>
    <t>CPU IP 044</t>
  </si>
  <si>
    <t>CPU IP 045</t>
  </si>
  <si>
    <t>CPU IP 046</t>
  </si>
  <si>
    <t>CPU IP 047</t>
  </si>
  <si>
    <t>CPU IP 048</t>
  </si>
  <si>
    <t>CPU IP 049</t>
  </si>
  <si>
    <t>CPU INC</t>
  </si>
  <si>
    <t>CPU INC 001</t>
  </si>
  <si>
    <t>CPU INC 002</t>
  </si>
  <si>
    <t>CPU INC 003</t>
  </si>
  <si>
    <t>CPU INC 004</t>
  </si>
  <si>
    <t>CPU INC 005</t>
  </si>
  <si>
    <t>CPU INC 006</t>
  </si>
  <si>
    <t>CPU INC 007</t>
  </si>
  <si>
    <t>CPU INC 008</t>
  </si>
  <si>
    <t>CPU INC 009</t>
  </si>
  <si>
    <t>CPU INC 010</t>
  </si>
  <si>
    <t>CPU INC 011</t>
  </si>
  <si>
    <t>CPU INC 012</t>
  </si>
  <si>
    <t>CPU INC 013</t>
  </si>
  <si>
    <t>CPU INC 014</t>
  </si>
  <si>
    <t>CPU INC 015</t>
  </si>
  <si>
    <t>CPU INC 016</t>
  </si>
  <si>
    <t>CPU INC 017</t>
  </si>
  <si>
    <t>CPU INC 018</t>
  </si>
  <si>
    <t>CPU INC 019</t>
  </si>
  <si>
    <t>CPU INC 020</t>
  </si>
  <si>
    <t>CPU INC 021</t>
  </si>
  <si>
    <t>CPU INC 022</t>
  </si>
  <si>
    <t>CPU INC 023</t>
  </si>
  <si>
    <t>CPU INC 024</t>
  </si>
  <si>
    <t>CPU INC 025</t>
  </si>
  <si>
    <t>CPU INC 026</t>
  </si>
  <si>
    <t>CPU INC 027</t>
  </si>
  <si>
    <t>CPU INC 028</t>
  </si>
  <si>
    <t>CPU INC 029</t>
  </si>
  <si>
    <t>CPU INC 030</t>
  </si>
  <si>
    <t>CPU INC 031</t>
  </si>
  <si>
    <t>CPU INC 032</t>
  </si>
  <si>
    <t>CPU INC 033</t>
  </si>
  <si>
    <t>CPU INC 034</t>
  </si>
  <si>
    <t>CPU INC 035</t>
  </si>
  <si>
    <t>CPU INC 036</t>
  </si>
  <si>
    <t>CPU INC 037</t>
  </si>
  <si>
    <t>CPU INC 038</t>
  </si>
  <si>
    <t>CPU EST</t>
  </si>
  <si>
    <t>CPU EST 002</t>
  </si>
  <si>
    <t>CPU EST 003</t>
  </si>
  <si>
    <t>CPU EST 004</t>
  </si>
  <si>
    <t>CPU EST 005</t>
  </si>
  <si>
    <t>CPU EST 006</t>
  </si>
  <si>
    <t>CPU EST 007</t>
  </si>
  <si>
    <t>CPU EST 008</t>
  </si>
  <si>
    <t>CPU EST 009</t>
  </si>
  <si>
    <t>CPU EST 010</t>
  </si>
  <si>
    <t>CPU EST 011</t>
  </si>
  <si>
    <t>CPU EST 012</t>
  </si>
  <si>
    <t>CPU EST 013</t>
  </si>
  <si>
    <t>CPU EST 014</t>
  </si>
  <si>
    <t>CPU EST 015</t>
  </si>
  <si>
    <t>CPU EST 016</t>
  </si>
  <si>
    <t>CPU EST 017</t>
  </si>
  <si>
    <t>CPU EST 018</t>
  </si>
  <si>
    <t>CPU EST 019</t>
  </si>
  <si>
    <t>CPU EST 020</t>
  </si>
  <si>
    <t>CPU EST 021</t>
  </si>
  <si>
    <t>CPU EST 022</t>
  </si>
  <si>
    <t>CPU EST 023</t>
  </si>
  <si>
    <t>CPU EST 024</t>
  </si>
  <si>
    <t>CPU EST 025</t>
  </si>
  <si>
    <t>CPU EST 026</t>
  </si>
  <si>
    <t>CPU EST 027</t>
  </si>
  <si>
    <t>CPU EST 028</t>
  </si>
  <si>
    <t>CPU EST 029</t>
  </si>
  <si>
    <t>CPU EST 030</t>
  </si>
  <si>
    <t>CPU EST 031</t>
  </si>
  <si>
    <t>CPU EST 032</t>
  </si>
  <si>
    <t>CPU ACAD 001</t>
  </si>
  <si>
    <t>CPU ACAD 002</t>
  </si>
  <si>
    <t>CPU ACAD 003</t>
  </si>
  <si>
    <t>CPU ACAD 004</t>
  </si>
  <si>
    <t>CPU ACAD 005</t>
  </si>
  <si>
    <t>CPU ACAD 006</t>
  </si>
  <si>
    <t>CPU ACAD 007</t>
  </si>
  <si>
    <t>CPU ACAD 008</t>
  </si>
  <si>
    <t>CPU ACAD 009</t>
  </si>
  <si>
    <t>CPU ACAD 010</t>
  </si>
  <si>
    <t>CPU ACAD 011</t>
  </si>
  <si>
    <t>CPU ACAD 012</t>
  </si>
  <si>
    <t>CPU ACAD 013</t>
  </si>
  <si>
    <t>CPU ACAD 014</t>
  </si>
  <si>
    <t>CPU ACAD 015</t>
  </si>
  <si>
    <t>CPU ACAD 016</t>
  </si>
  <si>
    <t>CPU ACAD 017</t>
  </si>
  <si>
    <t>CPU ACAD 018</t>
  </si>
  <si>
    <t>CPU ACAD 019</t>
  </si>
  <si>
    <t>CPU ACAD 020</t>
  </si>
  <si>
    <t>CPU EQUIP 01</t>
  </si>
  <si>
    <t>CPU EQUIP 02</t>
  </si>
  <si>
    <t>CPU EQUIP 03</t>
  </si>
  <si>
    <t>CPU EQUIP 04</t>
  </si>
  <si>
    <t>CPU EQUIP 05</t>
  </si>
  <si>
    <t>CPU EQUIP 06</t>
  </si>
  <si>
    <t>CPU EQUIP 07</t>
  </si>
  <si>
    <t>CPU EQUIP 08</t>
  </si>
  <si>
    <t>CPU EQUIP 09</t>
  </si>
  <si>
    <t>CPU EQUIP 10</t>
  </si>
  <si>
    <t>CPU EQUIP 11</t>
  </si>
  <si>
    <t>CPU ACADEMIA 001</t>
  </si>
  <si>
    <t>CPU BASE 004</t>
  </si>
  <si>
    <t>CPU BASE 003</t>
  </si>
  <si>
    <t>CPU BASE 005</t>
  </si>
  <si>
    <t>CPU ACADEMIA 01</t>
  </si>
  <si>
    <t>CPU INFANTIL 01</t>
  </si>
  <si>
    <t xml:space="preserve">META </t>
  </si>
  <si>
    <t xml:space="preserve">Projetos e Administração de Obras </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</si>
  <si>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</si>
  <si>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</si>
  <si>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</si>
  <si>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</si>
  <si>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</si>
  <si>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</si>
  <si>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</si>
  <si>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</si>
  <si>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 xml:space="preserve">ESCOLA MUNICIPAL DOMINGOS AZZOLINI </t>
  </si>
  <si>
    <t>SANTO ANTONIO DO LESTE</t>
  </si>
  <si>
    <t>REMOÇÃO DE ELETRODUTOS, DE FORMA MANUAL, SEM REAPROVEITAMENTO.</t>
  </si>
  <si>
    <t>**COMPOSIÇÃO BASEADA NO BANCO AGETOP CIVIL - CÓDIGO 020166 - (JUNHO/2023)</t>
  </si>
  <si>
    <t>PILARES</t>
  </si>
  <si>
    <t>IMPERMEABILIZAÇÃO - VIGAS BALDRAMES</t>
  </si>
  <si>
    <t>E S T R U T U R A  - M E T Á L I C O</t>
  </si>
  <si>
    <t>SANITÁRIO</t>
  </si>
  <si>
    <t>VALVULA DE RETENCAO HORIZONTAL, EM PVC, 100MM - FORNECIMENTO E INSTALAÇÃO</t>
  </si>
  <si>
    <t>VALVULA DE RETENCAO HORIZONTAL, EM PVC, 100MM</t>
  </si>
  <si>
    <t>FERPAM</t>
  </si>
  <si>
    <t>01.040.887/0001-04</t>
  </si>
  <si>
    <t>ZIG FERRAMENTAS</t>
  </si>
  <si>
    <t>15.430.669/0001-90</t>
  </si>
  <si>
    <t>HIDRAU CONEX</t>
  </si>
  <si>
    <t>21.951.873/0001-50</t>
  </si>
  <si>
    <t>**COMPOSIÇÃO BASEADA NO BANCO IOPES - (160656) - MAIO/2023</t>
  </si>
  <si>
    <t>PLUVIAL</t>
  </si>
  <si>
    <t>CAIXA DE INSPECAO PVC SUSPENSA PARA ATERRAMENTO</t>
  </si>
  <si>
    <t>10 498 304/0001-84</t>
  </si>
  <si>
    <t>SERPAL</t>
  </si>
  <si>
    <t>*REFERENCIA SBC 078031 SETEMBRO/23</t>
  </si>
  <si>
    <t>TERMINAL AÉREO EM AÇO GALVANIZADO COM BASE DE FIXAÇÃO H=60CM</t>
  </si>
  <si>
    <t xml:space="preserve">**REFERENCIA CPOS 42.01.098 </t>
  </si>
  <si>
    <t>(47) 3426-121</t>
  </si>
  <si>
    <t>LOJA AGROMETAL</t>
  </si>
  <si>
    <t>48.539.548/0001-30</t>
  </si>
  <si>
    <t>(14) 3311-5800</t>
  </si>
  <si>
    <t>TEKY</t>
  </si>
  <si>
    <t>22.193.309/0001-88</t>
  </si>
  <si>
    <t>-</t>
  </si>
  <si>
    <t>G L P</t>
  </si>
  <si>
    <t>TAMPAO / CAP, ROSCA MACHO, PARA TUBO PEX, DN 1/2" - FORNECIMENTO E INSTALAÇÃO</t>
  </si>
  <si>
    <t>**COMPOSIÇÃO BASEADA EM ORSE - COD - (971) - MAIO/2023</t>
  </si>
  <si>
    <t>VALVULA PARA MANGUEIRA DE GAS - FORNECIMENTO E INSTALAÇÃO</t>
  </si>
  <si>
    <t>VALVULA PARA MANGUEIRA DE GAS</t>
  </si>
  <si>
    <t>REFERENRECIA SBC 55847</t>
  </si>
  <si>
    <t>VALVULA DE ESFERA - FORNECIMENTO E INSTALAÇÃO</t>
  </si>
  <si>
    <t>VALVULA ESFERA 1/2</t>
  </si>
  <si>
    <t>REFERENCIA SUDECAP 10.50.20</t>
  </si>
  <si>
    <t>CAIXA DE PASSAGEM ELETRICA DE PAREDE, DE EMBUTIR, EM PVC, COM TAMPA APARAFUSADA, DIMENSOES 120 X 120 X *75* MM - FORNECIMENTO E INSTALAÇÃO</t>
  </si>
  <si>
    <t>**COMPOSIÇÃO DA MÃO DE OBRA BASEADA NO BANCO  AGESUL JANEIRO/2023 "1201005416"</t>
  </si>
  <si>
    <t>ESPELHO / PLACA CEGA 4" X 2", PARA INSTALACAO DE TOMADAS E INTERRUPTORES - FORNECIMENTO E INSTALAÇÃO</t>
  </si>
  <si>
    <t>**COMPOSIÇÃO DA MÃO DE OBRA BASEADA NO BANCO ORSE MARÇO/2023  "12984 "</t>
  </si>
  <si>
    <t>INSTALAÇÃO DE BALANÇO DE 3 LUGARES COM ESTRUTURA METÁLICA EM TUBOS DE AÇO CARBONO, INSTALADO SOBRE PISO DE CONCRETO EXISTENTE AF_10/2021</t>
  </si>
  <si>
    <t>BALANÇO 3 LUGARES</t>
  </si>
  <si>
    <t>(19) 3113-5400</t>
  </si>
  <si>
    <t>REFERENCIA SIURB 181415</t>
  </si>
  <si>
    <t>INSTALAÇÃO DE BALANÇO FRONTAL PARA CADEIRANTES COM ESTRUTURA METÁLICA EM TUBOS DE AÇO CARBONO, INSTALADO SOBRE PISO DE CONCRETO EXISTENTE AF_10/2021</t>
  </si>
  <si>
    <t>BALANÇO FRONTAL PARA CADEIRANTES</t>
  </si>
  <si>
    <t>REFERENCIA SIURB 181416</t>
  </si>
  <si>
    <t>INSTALAÇÃO DE ESCORREGADOR 2 METROS METÁLICO EM TUBOS E CHAPAS DE AÇO CARBONO, INSTALADO SOBRE PISO DE CONCRETO EXISTENTE.</t>
  </si>
  <si>
    <t>ESCORREGADOR 2 METROS</t>
  </si>
  <si>
    <t>REFERENCIA SIURB 181408</t>
  </si>
  <si>
    <t>INSTALAÇÃO DE GAIOLA LABIRINTO METÁLICA EM TUBOS DE AÇO CARBONO, INSTALADA SOBRE PISO DE CONCRETO EXISTENTE. AF_10/2021</t>
  </si>
  <si>
    <t>LABIRINTO</t>
  </si>
  <si>
    <t>REFERENCIA SIURB 181424</t>
  </si>
  <si>
    <t>INSTALAÇÃO DE GANGORRA TRIPLA METÁLICA EM TUBOS DE AÇO CARBONO, INSTALADA SOBRE PISO DE CONCRETO EXISTENTE. AF_10/2021</t>
  </si>
  <si>
    <t>GANGORRA TRIPLA</t>
  </si>
  <si>
    <t>REFERENCIA SIURB 181411</t>
  </si>
  <si>
    <t>INSTALAÇÃO DE GIRA-GIRA METÁLICO EM TUBOS DE AÇO CARBONO, INSTALADO SOBRE PISO DE CONCRETO EXISTENTE. AF_10/2021</t>
  </si>
  <si>
    <t>P L A Y G R O U N D</t>
  </si>
  <si>
    <t>CPU PLAY 007</t>
  </si>
  <si>
    <t>CPU PLAY 008</t>
  </si>
  <si>
    <t>CPU PLAY 009</t>
  </si>
  <si>
    <t>CPU PLAY 010</t>
  </si>
  <si>
    <t>CPU PLAY 011</t>
  </si>
  <si>
    <t>CPU PLAY 012</t>
  </si>
  <si>
    <t>FORNECIMENTO E INSTALAÇÃO DE BARRA CHATA 7/8X1/8</t>
  </si>
  <si>
    <t>CONFORME A NORMA, O INSUMO É 0,55 KG/M
O COEFICIENTE ORIGINAL É 1,0375 PARA UMA BARRA
TRANSFORMANDO PARA KG, FICA X=0,55/1,0375 X = 0,5301</t>
  </si>
  <si>
    <t>CODIGO REFERENCIA 42.05.440 CPOS FEVEREIRO/2022</t>
  </si>
  <si>
    <t>MAPA TÁTIL EM ACRÍLICO DIMENSÕES 60X90CM, COM PEDESTAL EM AÇO BASE PARAFUSADA, COM PINTURA ELETROSTÁTICA. - FORNECIMENTO E INSTALAÇÃO.</t>
  </si>
  <si>
    <t>**COMPOSIÇÃO BASEADA NO ORSE 2401002085 (JANEIRO/23)</t>
  </si>
  <si>
    <t>TOTAL ACESSIBILIDADE</t>
  </si>
  <si>
    <t>TAYNARA</t>
  </si>
  <si>
    <t>43.781.989/0001-20</t>
  </si>
  <si>
    <t>(65) 99602-8303</t>
  </si>
  <si>
    <t>VITOR</t>
  </si>
  <si>
    <t>PLACA TÁTIL EM ACRILICO BORDAS ARREDONDADAS, COM LETRAS EM ALTO RELEVO, DIM. 30X10CM, PARA AS PAREDES E PORTAS - FORNECIMENTO E COLOCACAO</t>
  </si>
  <si>
    <t>COMPOSIÇÃO REFERENCIAL: 202109 SBC - JULHO /2023</t>
  </si>
  <si>
    <t>FERRAMENTAS GERAIS</t>
  </si>
  <si>
    <t>92.664.028/0001-41</t>
  </si>
  <si>
    <t>FERRAMENTAS KENNEDY</t>
  </si>
  <si>
    <t>08.858.579/0015-35</t>
  </si>
  <si>
    <t>(41) 3314/1853</t>
  </si>
  <si>
    <t>PLACA TÁTIL EM ACRILICO BORDAS ARREDONDADAS, COM LETRAS EM VINIL, DIM. 30X10CM, PARA AS PAREDES E PORTAS - FORNECIMENTO E COLOCACAO</t>
  </si>
  <si>
    <t xml:space="preserve">QUADRO BRANCO COM MOLDURA 3,00X1,2 </t>
  </si>
  <si>
    <t>LOUSAS BRASIL</t>
  </si>
  <si>
    <t>40.801.863/0001-82</t>
  </si>
  <si>
    <t>(41) 3334-2061</t>
  </si>
  <si>
    <t>LUMINA ARTE</t>
  </si>
  <si>
    <t>11.278.225/0001-20</t>
  </si>
  <si>
    <t>(11) 2651-4553</t>
  </si>
  <si>
    <t>LOUSA TEC</t>
  </si>
  <si>
    <t>23.042.258/0001-56</t>
  </si>
  <si>
    <t>(41) 3039-8855</t>
  </si>
  <si>
    <t>REFERENTE SEDOP 251520 MAIO/23</t>
  </si>
  <si>
    <t>35,1353+3,10+3,10+3,10+3,10</t>
  </si>
  <si>
    <t>CONFORME ESTIMATIVA DO PROJETO ELETRICO</t>
  </si>
  <si>
    <t>CONFORME MEMORIAL DE CALCULO COBERTURA</t>
  </si>
  <si>
    <t>CONFORME MEMORIAL DE CALCULO FUNDAÇÃO</t>
  </si>
  <si>
    <t>CONFORME PROJETO ESTRUTURAL</t>
  </si>
  <si>
    <t>CONFORME MEMORIAL DE CALCULO DE ESTRUTURA METALICA</t>
  </si>
  <si>
    <t>CONFORME MEMORIAL DE CALCULO DE ALVENARIA</t>
  </si>
  <si>
    <t>CONFORME MEMORIAL DE CALCULO PINTURA</t>
  </si>
  <si>
    <t>CONFORME MEMORIAL DE CALCULO PISOS E CONTRAPISOS</t>
  </si>
  <si>
    <t>CONFORME MEMORIAL DE CALCULO ESQUADRIAS</t>
  </si>
  <si>
    <t>ATERRAMENTO</t>
  </si>
  <si>
    <t>CABOS</t>
  </si>
  <si>
    <t xml:space="preserve">CAIXA DE PASSAGEM </t>
  </si>
  <si>
    <t>DISPOSITIVO ELÉTRICO</t>
  </si>
  <si>
    <t>DISPOSITIVO DE PROTEÇÃO</t>
  </si>
  <si>
    <t>**COMPOSIÇÃO DA MÃO DE OBRA BASEADA NO BANCO ORSE  8484 MAIO/23</t>
  </si>
  <si>
    <t>DISJUNTOR TERMOMAGNETICO BIPOLAR DE 10 A DIN- FORNECIMENTO E INSTALAÇÃO</t>
  </si>
  <si>
    <t>FORNECIMENTO E INSTALAÇÃO DE DISPOSITIVO DPS CLASSE II, 1 POLO, TENSÃO MAXIMA DE 175 V, CORRENTE MAXIMA DE 45 KA (TIPO AC)</t>
  </si>
  <si>
    <t>**COMPOSIÇÃO DA MÃO DE OBRA BASEADA NO BOLETIM EMOP (ABRIL/2022) CÓDIGO "15.007.0642-A"</t>
  </si>
  <si>
    <t>DISPOSITIVO DR, 4 POLOS, SENSIBILIDADE DE 30 MA, CORRENTE DE 25 A, TIPO AC - FORNECIMENTO E INSTALAÇÃO</t>
  </si>
  <si>
    <t>**REFERENCIA ORSE 1201005165</t>
  </si>
  <si>
    <t>DISPOSITIVO DR, 4 POLOS, SENSIBILIDADE DE 30 MA, CORRENTE DE 40 A, TIPO AC - FORNECIMENTO E INSTALAÇÃO</t>
  </si>
  <si>
    <t>**CODIGO REFERENCIA 90472 SIURB JANEIRO/2023</t>
  </si>
  <si>
    <t>CPU ELE 092</t>
  </si>
  <si>
    <t>CPU ELE 093</t>
  </si>
  <si>
    <t>CPU ELE 094</t>
  </si>
  <si>
    <t>CPU ELE 095</t>
  </si>
  <si>
    <t>CPU ELE 096</t>
  </si>
  <si>
    <t>CPU ELE 097</t>
  </si>
  <si>
    <t>CPU ELE 098</t>
  </si>
  <si>
    <t>CPU ELE 099</t>
  </si>
  <si>
    <t>CPU ELE 0100</t>
  </si>
  <si>
    <t>ELETRODUTO</t>
  </si>
  <si>
    <t xml:space="preserve">LUMINARIA DE EMERGÊNCIA </t>
  </si>
  <si>
    <t>LUMINARIA LUZ EMERGENCIA LED  12 V</t>
  </si>
  <si>
    <t>**CODIGO REFERENCIA SBC 060418</t>
  </si>
  <si>
    <t>LUMINÁRIA E ACESSÓRIOS</t>
  </si>
  <si>
    <t>LUMINÁRIA PARA 1 LAMPADA LED DE 18W, BASE G13, EM CHAPA DE AÇO, INCLUSO LAMPADA. INSTALAÇÃO E FORNECIMENTO.</t>
  </si>
  <si>
    <t>**CODIGO REFERENCIA 171530 SEDOP MAIO/2023</t>
  </si>
  <si>
    <t>QUADRO DE MEDIÇÃO</t>
  </si>
  <si>
    <t xml:space="preserve">QUADRO DE DISTRIBUIÇÃO </t>
  </si>
  <si>
    <t>QUADRO DE DISTRIBUIÇÃO TRIFÁSICO, EM PVC, PARA 36 DISJUNTORES DIN, SOBREPOR. INSTALAÇÃO E FORNECIMENTO.</t>
  </si>
  <si>
    <t>**CODIGO REFERENCIA 2070310 CAERN NOVEMBRO/2022</t>
  </si>
  <si>
    <t>QUADRO DE DISTRIBUIÇÃO TRIFÁSICO, EM PVC, PARA 46 DISJUNTORES DIN, SOBREPOR. INSTALAÇÃO E FORNECIMENTO.</t>
  </si>
  <si>
    <t>2HR*2DIAS*4SEMANAS*3MESES</t>
  </si>
  <si>
    <t>12HR*7DIAS*4SEMANAS*12MESES</t>
  </si>
  <si>
    <t>OBJETO</t>
  </si>
  <si>
    <t>LARGURA</t>
  </si>
  <si>
    <t>ALTURA</t>
  </si>
  <si>
    <t>ACRÉSCIMO**</t>
  </si>
  <si>
    <t>LASTRO / PREPARO DE FUNDO - M2</t>
  </si>
  <si>
    <t>ESCAVAÇÃO - M3</t>
  </si>
  <si>
    <t>VESTIÁRIO</t>
  </si>
  <si>
    <t>S1=S2=S3=S4=S5=S8</t>
  </si>
  <si>
    <t>S6=S7</t>
  </si>
  <si>
    <t>ENTRADA</t>
  </si>
  <si>
    <t>S1=S2=S3=S4=S5=S6=S7=S8</t>
  </si>
  <si>
    <t>DEPÓSITO</t>
  </si>
  <si>
    <t>S1=S2</t>
  </si>
  <si>
    <t>SALA</t>
  </si>
  <si>
    <t>BANHEIRO</t>
  </si>
  <si>
    <t>**ACRÉSCIMO DE 0,20M PARA CADA LADO PARA MONTAGEM DA FORMA</t>
  </si>
  <si>
    <t>VIGAS</t>
  </si>
  <si>
    <t>VB1</t>
  </si>
  <si>
    <t>VB2</t>
  </si>
  <si>
    <t>VB3</t>
  </si>
  <si>
    <t>ESCAVAÇÃO</t>
  </si>
  <si>
    <t>LASTRO **</t>
  </si>
  <si>
    <t>CONCRETO</t>
  </si>
  <si>
    <t>SAPATA - PILARES</t>
  </si>
  <si>
    <t>**EM M³, CALCULADO COM 0,05 M DE ALTURA</t>
  </si>
  <si>
    <t>IMPERMEABILIZAÇÃO</t>
  </si>
  <si>
    <t>COMPRIMENTO*</t>
  </si>
  <si>
    <t>ALTURA*</t>
  </si>
  <si>
    <t>vest</t>
  </si>
  <si>
    <t>viga vest</t>
  </si>
  <si>
    <t>entrada</t>
  </si>
  <si>
    <t>viga ent</t>
  </si>
  <si>
    <t>depos</t>
  </si>
  <si>
    <t>viga dep</t>
  </si>
  <si>
    <t>sala</t>
  </si>
  <si>
    <t>ban</t>
  </si>
  <si>
    <t>7,42 **</t>
  </si>
  <si>
    <t>5,37 **</t>
  </si>
  <si>
    <t>0,93 **</t>
  </si>
  <si>
    <t>*valores retirados do projeto estrutural</t>
  </si>
  <si>
    <t>** valor retirado da parte de cima das vigas baldrames</t>
  </si>
  <si>
    <t>Rasgos e chumbamentos</t>
  </si>
  <si>
    <t>Ambiente</t>
  </si>
  <si>
    <t>Altura</t>
  </si>
  <si>
    <t>Biblioteca</t>
  </si>
  <si>
    <t>Sala dos professores</t>
  </si>
  <si>
    <t>Secretaria</t>
  </si>
  <si>
    <t>Coordenação</t>
  </si>
  <si>
    <t>Apoio</t>
  </si>
  <si>
    <t>WC</t>
  </si>
  <si>
    <t>Sala dentista</t>
  </si>
  <si>
    <t>WC PNE</t>
  </si>
  <si>
    <t>Deposito</t>
  </si>
  <si>
    <t>Sala informatica</t>
  </si>
  <si>
    <t>Sala de aula 01</t>
  </si>
  <si>
    <t>Sala de aula 02</t>
  </si>
  <si>
    <t>Sala de aula 03</t>
  </si>
  <si>
    <t>Sala de aula 04</t>
  </si>
  <si>
    <t>Sala de aula 05</t>
  </si>
  <si>
    <t>Sala de aula 06</t>
  </si>
  <si>
    <t>Sala de aula 07</t>
  </si>
  <si>
    <t>Sala de aula 08</t>
  </si>
  <si>
    <t>Sala de aula 09</t>
  </si>
  <si>
    <t>Varanda</t>
  </si>
  <si>
    <t>Banheiro fem</t>
  </si>
  <si>
    <t>Sala de aula 10</t>
  </si>
  <si>
    <t>Sala de aula 11</t>
  </si>
  <si>
    <t>Sala de aula 12</t>
  </si>
  <si>
    <t>Sala de aula 13</t>
  </si>
  <si>
    <t>Sala de aula 14</t>
  </si>
  <si>
    <t>Sala de aula 15</t>
  </si>
  <si>
    <t>Banheiro masc</t>
  </si>
  <si>
    <t>Patio</t>
  </si>
  <si>
    <t>Total (m)</t>
  </si>
  <si>
    <t>MEMÓRIA DE CALCULO DE REMOÇÃO DE ELETRODUTOS ANTIGOS</t>
  </si>
  <si>
    <t>MEMORIAL DE CALCULO / PINTURA</t>
  </si>
  <si>
    <t>ÁREA À CONSTRUIR E REFORMAR</t>
  </si>
  <si>
    <t>MASSA EXTERNA</t>
  </si>
  <si>
    <t>SELADOR EXTERNO</t>
  </si>
  <si>
    <t>PINTURA EXTERNA</t>
  </si>
  <si>
    <t>MASSA INTERNA</t>
  </si>
  <si>
    <t>SELADOR INTERNO</t>
  </si>
  <si>
    <t>PINTURA INTERNA</t>
  </si>
  <si>
    <t>PINTURA EM PISO</t>
  </si>
  <si>
    <t>LOCAL</t>
  </si>
  <si>
    <t>CONSTRUÇÃO</t>
  </si>
  <si>
    <t>EXTENSÃO (m)</t>
  </si>
  <si>
    <t>ALTURA (m)</t>
  </si>
  <si>
    <t>ÁREA (m²)</t>
  </si>
  <si>
    <t>SALA 01</t>
  </si>
  <si>
    <t>X</t>
  </si>
  <si>
    <t>SALA 02</t>
  </si>
  <si>
    <t>SALA 03</t>
  </si>
  <si>
    <t>SALA 04</t>
  </si>
  <si>
    <t>SALA 05</t>
  </si>
  <si>
    <t>SALA 06</t>
  </si>
  <si>
    <t>SALA 07</t>
  </si>
  <si>
    <t>SALA 08</t>
  </si>
  <si>
    <t>SALA 09</t>
  </si>
  <si>
    <t>SALA 10</t>
  </si>
  <si>
    <t>SALA 11</t>
  </si>
  <si>
    <t>SALA 12</t>
  </si>
  <si>
    <t>SALA 13</t>
  </si>
  <si>
    <t>SALA 14</t>
  </si>
  <si>
    <t>SALA 15</t>
  </si>
  <si>
    <t>BANHEIRO MASCULINO</t>
  </si>
  <si>
    <t>CANTINA</t>
  </si>
  <si>
    <t>BANHEIRO FEMININO</t>
  </si>
  <si>
    <t>SALA DENTISTA</t>
  </si>
  <si>
    <t>SALA APOIO</t>
  </si>
  <si>
    <t>COORDENAÇÃO E DIREÇÃO</t>
  </si>
  <si>
    <t>SECRETARIA</t>
  </si>
  <si>
    <t>SALA DOS PROFESSORES</t>
  </si>
  <si>
    <t>SALA DE INFORMÁTICA</t>
  </si>
  <si>
    <t>BIBLIOTECA</t>
  </si>
  <si>
    <t>PILARES DAS PASSARELAS, VARANDA E CIRCULAÇÃO</t>
  </si>
  <si>
    <t>REFEITÓRIO</t>
  </si>
  <si>
    <t>COZINHA</t>
  </si>
  <si>
    <t>D.M.L.</t>
  </si>
  <si>
    <t>D.E.</t>
  </si>
  <si>
    <t>D.A.B.</t>
  </si>
  <si>
    <t>PLATIBANDA</t>
  </si>
  <si>
    <t>VESTIÁRIO FEM</t>
  </si>
  <si>
    <t>VESTIÁRIO MASC</t>
  </si>
  <si>
    <t>PALCO</t>
  </si>
  <si>
    <t>RAMPAS</t>
  </si>
  <si>
    <t>CONTRAPISO</t>
  </si>
  <si>
    <t>DADOS COLETADOS EM PROJETO ARQUITETÔNICO</t>
  </si>
  <si>
    <t>TOTAL SELADOR (INTERNO E EXTERNO)</t>
  </si>
  <si>
    <t>TOTAL MASSA ACRÍLICA (EXTERNO)</t>
  </si>
  <si>
    <t>TOTAL MASSA LÁTEX (INTERNO)</t>
  </si>
  <si>
    <t>TOTAL PINTURA (INTERNO E EXTERNO)</t>
  </si>
  <si>
    <t xml:space="preserve">TOTAL PINTURA PARA PISO </t>
  </si>
  <si>
    <t>TOTAL LIXAMENTO DAS PAREDES - ÁREA REFORMADA (INTERNO E EXTERNO)</t>
  </si>
  <si>
    <t>PERÍMETRO (m)</t>
  </si>
  <si>
    <t>ÁREA DE ALVENARIA (m²)</t>
  </si>
  <si>
    <t>VESTIÁRIO MASCULINO</t>
  </si>
  <si>
    <t>VESTIÁRIO FEMININO</t>
  </si>
  <si>
    <t>CHAPISCO (INTERNO E EXTERNO)</t>
  </si>
  <si>
    <t>ÁREA DE CHAPISCO (m²)</t>
  </si>
  <si>
    <t>EMBOÇO/REBOCO (INTERNO E EXTERNO)</t>
  </si>
  <si>
    <t>ÁREA DE EMBOÇO (m²)</t>
  </si>
  <si>
    <t>OBS: PARA O CHAPISCO E O REBOCO, FOI CONSIDERADO DUAS VEZES O QUANTITATIVO DE ALVENARIA, PARA ATENDER AS ÁREAS INTERNAS E EXTERNAS.</t>
  </si>
  <si>
    <t>MEMORIAL DE CÁLCULO / SISTEMA DE VEDAÇÃO (ALVENARIA)</t>
  </si>
  <si>
    <t>AMBIENTES A SEREM REFORMADOS</t>
  </si>
  <si>
    <t>ESQUADRIAS - JANELAS</t>
  </si>
  <si>
    <t>QTD</t>
  </si>
  <si>
    <t>M²</t>
  </si>
  <si>
    <t>DADOS COLETADOS NO PROJETO ARQUITETÔNICO</t>
  </si>
  <si>
    <t>REMOÇÃO DE ESQUADRIAS - JANELAS</t>
  </si>
  <si>
    <t>ESQUADRIAS - PORTAS</t>
  </si>
  <si>
    <t>REMOÇÃO DE ESQUADRIAS - PORTAS</t>
  </si>
  <si>
    <t>MEMORIAL DE CALCULO / ESQUADRIAS</t>
  </si>
  <si>
    <t>REMOÇÃO E EXECUÇÃO CONTRAPISO</t>
  </si>
  <si>
    <t>PATIO</t>
  </si>
  <si>
    <t>DADOS COLETADOS EM PROJETOS ARQUITETÔNICOS</t>
  </si>
  <si>
    <t>GRANILITE / REMOÇÃO</t>
  </si>
  <si>
    <t>SALA DE AULA</t>
  </si>
  <si>
    <t xml:space="preserve">SALA DE AULA </t>
  </si>
  <si>
    <t>SALA INFORMÁTICA</t>
  </si>
  <si>
    <t>APOIO</t>
  </si>
  <si>
    <t>DAB</t>
  </si>
  <si>
    <t xml:space="preserve">D E </t>
  </si>
  <si>
    <t>REFEITORIO</t>
  </si>
  <si>
    <t>PATIO COBERTO</t>
  </si>
  <si>
    <t>PASSARELA</t>
  </si>
  <si>
    <t>PASSARELA 1</t>
  </si>
  <si>
    <t>VARANDA</t>
  </si>
  <si>
    <t>CIRCULAÇÃO</t>
  </si>
  <si>
    <t>CERÂMICA (ÁREAS MOLHADAS)</t>
  </si>
  <si>
    <t>VESTIARIO FEM.</t>
  </si>
  <si>
    <t>VESTIARIO MASC.</t>
  </si>
  <si>
    <t>Obs.: para o quantitativo de piso cerâmico, foram considerados os ambientes de áreas molhadas, todo o piso e 2 metros de altura das paredes.</t>
  </si>
  <si>
    <t>PISO TÁTIL ALERTA OU DIRECIONAL</t>
  </si>
  <si>
    <t>ENTORNO DA ESCOLA</t>
  </si>
  <si>
    <t>MEMORIAL DE CALCULO / PISOS E CONTRAPISOS</t>
  </si>
  <si>
    <t>COBERTURA</t>
  </si>
  <si>
    <t>CALHA (M)</t>
  </si>
  <si>
    <t>RUFO (M)</t>
  </si>
  <si>
    <t>PINGADEIRA (M)</t>
  </si>
  <si>
    <t>TELHADO (M²)</t>
  </si>
  <si>
    <t xml:space="preserve">DADOS COLETADOS </t>
  </si>
  <si>
    <t>FORRO</t>
  </si>
  <si>
    <t>RAMPA</t>
  </si>
  <si>
    <t>MEMORIAL DE CALCULO / SISTEMA DE COBERTURA</t>
  </si>
  <si>
    <t>BLOCO A</t>
  </si>
  <si>
    <t>BANCO</t>
  </si>
  <si>
    <t>CODIGO</t>
  </si>
  <si>
    <t>PESO</t>
  </si>
  <si>
    <t>COEFICIENTE</t>
  </si>
  <si>
    <t>PRÓPRIO</t>
  </si>
  <si>
    <t>PERFIL CHAPA 11</t>
  </si>
  <si>
    <t>PERFIL CHAPA 14</t>
  </si>
  <si>
    <t>PLACA BASE CORTADO 1/4</t>
  </si>
  <si>
    <t>CHUMBADOR DE AÇO 1/2</t>
  </si>
  <si>
    <t>JATEAMENTO ABRASIVO</t>
  </si>
  <si>
    <t>PESO TOTAL</t>
  </si>
  <si>
    <t>BLOCO B</t>
  </si>
  <si>
    <t>PERFIL CHAPA 12</t>
  </si>
  <si>
    <t>BLOCO C</t>
  </si>
  <si>
    <t>PERFIL CHAPA 09</t>
  </si>
  <si>
    <t>PERFIL CHAPA 10</t>
  </si>
  <si>
    <t>PERFIL CHAPA 13</t>
  </si>
  <si>
    <t>PERFIL CHAPA 16</t>
  </si>
  <si>
    <t>BLOCO D</t>
  </si>
  <si>
    <t>BLOCO E</t>
  </si>
  <si>
    <t>BLOCO F</t>
  </si>
  <si>
    <t>BLOCO G</t>
  </si>
  <si>
    <t>BLOCO H</t>
  </si>
  <si>
    <t>BLOCO I</t>
  </si>
  <si>
    <t>BLOCO J</t>
  </si>
  <si>
    <t>BLOCO K</t>
  </si>
  <si>
    <t>MEMORIAL DE CALCULO / ESTRUTURA METÁLICA</t>
  </si>
  <si>
    <t>TAMANHO</t>
  </si>
  <si>
    <t>LOGRADOURO</t>
  </si>
  <si>
    <t>PESO DOS MATERIAIS</t>
  </si>
  <si>
    <t>DMT PAVIMENTADA (km)</t>
  </si>
  <si>
    <t>MOMENTO DE TRANSPORTE PAVIMENTADO ( t.km )</t>
  </si>
  <si>
    <t>TOTAL &gt;&gt;&gt;</t>
  </si>
  <si>
    <t>MATERIAL A SER TRANSPORTADO = 25,08298 TON (ESTRUTURA METÁLICA BLOCO A AO K) + 4,254 TON (PISO TATIL DE CONCRETO)</t>
  </si>
  <si>
    <t>MOMENTO DE TRANSPORTE DO MATERIAL, SENDO A QUANTIDADE DE MATERIAL MULTIPLICADO PELO PESO DO MATERIAL TRANSPORTADO MULTIPLICADO PELA DISTÂNCIA MÉDIA DE TRANSPORTE (DMT), ATÉ 30 KM.</t>
  </si>
  <si>
    <t>*TRANSPORTE SAINDO DO MUNICÍPIO DE CUIABÁ-MT</t>
  </si>
  <si>
    <t>MEMÓRIA DE CÁLCULO DE TRANSPORTE</t>
  </si>
  <si>
    <t>MOMENTO DE TRANSPORTE DO MATERIAL, SENDO A QUANTIDADE DE MATERIAL MULTIPLICADO PELO PESO DO MATERIAL TRANSPORTADO MULTIPLICADO PELA DISTÂNCIA MÉDIA DE TRANSPORTE (DMT), EXCEDENTE A  30 KM.</t>
  </si>
  <si>
    <t xml:space="preserve">CONFORME O MEMORIAL </t>
  </si>
  <si>
    <t xml:space="preserve">03.938.818/0001-48 </t>
  </si>
  <si>
    <t>66) 3411-9600</t>
  </si>
  <si>
    <t>(47) 3426-1212</t>
  </si>
  <si>
    <t>LOTUS</t>
  </si>
  <si>
    <t xml:space="preserve"> 08.729.173/0001-57</t>
  </si>
  <si>
    <t>(43) 3347-0003</t>
  </si>
  <si>
    <t>HIDROJÁ</t>
  </si>
  <si>
    <t>22.740.220/0001-94</t>
  </si>
  <si>
    <t>(11) 5990-0357</t>
  </si>
  <si>
    <t>MESTREHIDRO</t>
  </si>
  <si>
    <t>29.209.062/0001-90</t>
  </si>
  <si>
    <t>(51) 98983-3056</t>
  </si>
  <si>
    <t>PISO PODOTÁTIL 25X25 CM (ONLINE)</t>
  </si>
  <si>
    <t xml:space="preserve">BLOCOS BRASIL </t>
  </si>
  <si>
    <t>05.221.826/0001-02</t>
  </si>
  <si>
    <t>(65) 99338-7700</t>
  </si>
  <si>
    <t>DENIS</t>
  </si>
  <si>
    <t>CASA DO PISO</t>
  </si>
  <si>
    <t>3.160.422/0001-76</t>
  </si>
  <si>
    <t>(65) 992459732</t>
  </si>
  <si>
    <t>ISRAEL</t>
  </si>
  <si>
    <t xml:space="preserve">SOLUÇÃO ACESSIVEL </t>
  </si>
  <si>
    <t>12.059.644/0001-34</t>
  </si>
  <si>
    <t>(62) 6230912512</t>
  </si>
  <si>
    <t>MOVER ACESSIBILIDADE</t>
  </si>
  <si>
    <t>45.204.244/0001-24</t>
  </si>
  <si>
    <t>65) 4063-1740</t>
  </si>
  <si>
    <t>JESUS</t>
  </si>
  <si>
    <t>FITA DUPLA FACE 12MMX20M (ONLINE)</t>
  </si>
  <si>
    <t>PLACA TATIL EM ACRÍLICO COM LETRAS EM VINIL DIM. 30X10CM (ONLINE)</t>
  </si>
  <si>
    <t>PLACA TATIL EM ACRÍLICO COM LETRAS EM RELEVO/BRAILE DIM. 30X10CM (ONLINE)</t>
  </si>
  <si>
    <t>MAPA TATIL COMPLETO (ONLINE)</t>
  </si>
  <si>
    <t>QUADRO BRANCO COM MOLDURA (ONLINE)</t>
  </si>
  <si>
    <t>COPAL</t>
  </si>
  <si>
    <t>89.580.310/0001-36</t>
  </si>
  <si>
    <t>(51) 3472-4642</t>
  </si>
  <si>
    <t>LUMINARIA DE EMERGENCIA LED 200 LUMENS 2 FAROIS (ONLINE)</t>
  </si>
  <si>
    <t>copalparafusos.com</t>
  </si>
  <si>
    <t>SHOPTIME</t>
  </si>
  <si>
    <t>00.776.574/0006-60</t>
  </si>
  <si>
    <t>shoptime.com.br</t>
  </si>
  <si>
    <t>TELHANORTE</t>
  </si>
  <si>
    <t>03.840.986/0056-70</t>
  </si>
  <si>
    <t>(11) 3434-3610</t>
  </si>
  <si>
    <t>telhanorte.com.br</t>
  </si>
  <si>
    <t>GIRA - GIRA - 8 LUGARES</t>
  </si>
  <si>
    <t>KIT DE PARA INSTALAÇÃO DE TV</t>
  </si>
  <si>
    <t xml:space="preserve">CABO HDMI 15M BLINDADO 2.0 ETHERNET 4K ULTRA HD 3D 2160P FORNECIMENTO E INSTALAÇÃO </t>
  </si>
  <si>
    <t>CABO HDMI 15M BLINDADO 2.0 ETHERNET 4K ULTRA HD 3D 2160P</t>
  </si>
  <si>
    <t>CABO HDMI 15M BLINDADO 2.0 ETHERNET 4K ULTRA HD 3D 2160P (ONLINE)</t>
  </si>
  <si>
    <t>REFERENCIA ORSE 12394</t>
  </si>
  <si>
    <t>CABO HDMI 2.0 BLINDADO - 2,0 M</t>
  </si>
  <si>
    <t xml:space="preserve">CABO HDMI 2.0 BLINDADO - 2,0 M FORNECIMENTO E INSTALAÇÃO </t>
  </si>
  <si>
    <t>UPPERSEG</t>
  </si>
  <si>
    <t>17.354.683/0001-88</t>
  </si>
  <si>
    <t>ATACADO DA INFORMATICA</t>
  </si>
  <si>
    <t>04.790.426/0001-47</t>
  </si>
  <si>
    <t>CABO USB 2.0 MACHO- 2,0 M</t>
  </si>
  <si>
    <t xml:space="preserve">CABO USB 2.0 MACHO  FORNECIMENTO E INSTALAÇÃO </t>
  </si>
  <si>
    <t>ZHIYUN DO BRASIL</t>
  </si>
  <si>
    <t>48.777.562/0001-72</t>
  </si>
  <si>
    <t>HAYLOU</t>
  </si>
  <si>
    <t>46.921.713/0001-99</t>
  </si>
  <si>
    <t>REFERENCIA SBC 79610</t>
  </si>
  <si>
    <t>ADAPTADOR HDMI EM L</t>
  </si>
  <si>
    <t xml:space="preserve">ADAPTADOR HDMI EM L  FORNECIMENTO E INSTALAÇÃO </t>
  </si>
  <si>
    <t>KABUM</t>
  </si>
  <si>
    <t>05.570.714/0001-59</t>
  </si>
  <si>
    <t>SOLUÇÕES CABOS</t>
  </si>
  <si>
    <t>00.559.915/0001-31</t>
  </si>
  <si>
    <t>ELETROINFO</t>
  </si>
  <si>
    <t>16.605.464/0001-61</t>
  </si>
  <si>
    <t>ELETRONICA SANTANA</t>
  </si>
  <si>
    <t>60.717.899/0001-90</t>
  </si>
  <si>
    <t>MIXTOU</t>
  </si>
  <si>
    <t>57.464.530.0004-91</t>
  </si>
  <si>
    <t xml:space="preserve">ADAPTADOR USB EM L  FORNECIMENTO E INSTALAÇÃO </t>
  </si>
  <si>
    <t>TOMADA BAIXA DE EMBUTIR (2 MÓDULOS), 2P+T 10 A + MODULO HDMI E USB, SEM SUPORTE E SEM PLACA - FORNECIMENTO E INSTALAÇÃO.</t>
  </si>
  <si>
    <t>Composições Auxiliares - INEL 129</t>
  </si>
  <si>
    <t>INEL 129</t>
  </si>
  <si>
    <t>MODULO HDMI</t>
  </si>
  <si>
    <t>MODULO USB</t>
  </si>
  <si>
    <t>REFERENCIA SINAPI 92018</t>
  </si>
  <si>
    <t>DE ROSSO DECOR</t>
  </si>
  <si>
    <t>31.796.706/0001-35</t>
  </si>
  <si>
    <t>derossodecor.com</t>
  </si>
  <si>
    <t>RIMAD</t>
  </si>
  <si>
    <t>(19) 3573-6800</t>
  </si>
  <si>
    <t>03.988.811/0001-30.</t>
  </si>
  <si>
    <t xml:space="preserve">rimad.com </t>
  </si>
  <si>
    <t xml:space="preserve">ELETRONICA SANTANA </t>
  </si>
  <si>
    <t>60717899/0001-90</t>
  </si>
  <si>
    <t>(11) 2823-7066</t>
  </si>
  <si>
    <t>eletronicasantana.com</t>
  </si>
  <si>
    <t>ELETRONICA AREA</t>
  </si>
  <si>
    <t>MIGUILOJA</t>
  </si>
  <si>
    <t>THE LIGHT</t>
  </si>
  <si>
    <t>45.814.125/0002-74</t>
  </si>
  <si>
    <t>thelight.com</t>
  </si>
  <si>
    <t>05.017.939/0001-82</t>
  </si>
  <si>
    <t>miguiloja.com</t>
  </si>
  <si>
    <t>21.520.050/0001-70</t>
  </si>
  <si>
    <t>eletronicaarea.com</t>
  </si>
  <si>
    <t>**REFERENCIA SINAPI 92019</t>
  </si>
  <si>
    <t>VALOR POR/ M²</t>
  </si>
  <si>
    <t>TERMINAL AEREO EM ACO GALVANIZADO COM BASE DE FIXACAO H = 600 MM</t>
  </si>
  <si>
    <t>JC CABOS</t>
  </si>
  <si>
    <t xml:space="preserve">CASA SUPORTE </t>
  </si>
  <si>
    <t>35.119.805/0001-33</t>
  </si>
  <si>
    <t>(11) 99646-3990</t>
  </si>
  <si>
    <t xml:space="preserve">10.446.053/0001-94 </t>
  </si>
  <si>
    <t>SECURIS</t>
  </si>
  <si>
    <t>23.646.087/0001-74</t>
  </si>
  <si>
    <t>ELETRÔNICA CUIABÁ</t>
  </si>
  <si>
    <t>14.924.088/0001-42</t>
  </si>
  <si>
    <t>eletronicacuiaba.com</t>
  </si>
  <si>
    <t>BEAR</t>
  </si>
  <si>
    <t>46.283.604/0001-93</t>
  </si>
  <si>
    <t>VISUAL PLACAS</t>
  </si>
  <si>
    <t>23.622.227/0001-75</t>
  </si>
  <si>
    <t>(65)99647-4462</t>
  </si>
  <si>
    <t>JEFFERSON</t>
  </si>
  <si>
    <t xml:space="preserve">ESTAÇÃO ALEGRIA </t>
  </si>
  <si>
    <t>(62) 99227-7169</t>
  </si>
  <si>
    <t>FERNANDA</t>
  </si>
  <si>
    <t>DESENHO</t>
  </si>
  <si>
    <t>65 99602-8303</t>
  </si>
  <si>
    <t>FRANCIS</t>
  </si>
  <si>
    <t>4HR*5DIAS*4SEMANAS*12MESES</t>
  </si>
  <si>
    <t xml:space="preserve">META
Projetos e Administração de Obras </t>
  </si>
  <si>
    <t>PLACA DE SINALIZAÇÃO</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</si>
  <si>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</si>
  <si>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</si>
  <si>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</si>
  <si>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</si>
  <si>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</si>
  <si>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</si>
  <si>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</si>
  <si>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</si>
  <si>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</si>
  <si>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</si>
  <si>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</si>
  <si>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</si>
  <si>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</si>
  <si>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</si>
  <si>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</si>
  <si>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</si>
  <si>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</si>
  <si>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</si>
  <si>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</si>
  <si>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</si>
  <si>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</si>
  <si>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</si>
  <si>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</si>
  <si>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</si>
  <si>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</si>
  <si>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</si>
  <si>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</si>
  <si>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</si>
  <si>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</si>
  <si>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</si>
  <si>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</si>
  <si>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</si>
  <si>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</si>
  <si>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</si>
  <si>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</si>
  <si>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</si>
  <si>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</si>
  <si>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</si>
  <si>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</si>
  <si>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</si>
  <si>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</si>
  <si>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</si>
  <si>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</si>
  <si>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</si>
  <si>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</si>
  <si>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</si>
  <si>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</si>
  <si>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</si>
  <si>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</si>
  <si>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</si>
  <si>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</si>
  <si>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</si>
  <si>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</si>
  <si>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</si>
  <si>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</si>
  <si>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</si>
  <si>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</si>
  <si>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</si>
  <si>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</si>
  <si>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</si>
  <si>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</si>
  <si>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</si>
  <si>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</si>
  <si>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</si>
  <si>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</si>
  <si>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</si>
  <si>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</si>
  <si>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</si>
  <si>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</si>
  <si>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</si>
  <si>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</si>
  <si>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</si>
  <si>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</si>
  <si>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</si>
  <si>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</si>
  <si>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</si>
  <si>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</si>
  <si>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</si>
  <si>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</si>
  <si>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</si>
  <si>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</si>
  <si>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</si>
  <si>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</si>
  <si>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</si>
  <si>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</si>
  <si>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</si>
  <si>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</si>
  <si>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</si>
  <si>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</si>
  <si>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</si>
  <si>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</si>
  <si>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</si>
  <si>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</si>
  <si>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</si>
  <si>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</si>
  <si>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</si>
  <si>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</si>
  <si>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</si>
  <si>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</si>
  <si>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</si>
  <si>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</si>
  <si>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</si>
  <si>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</si>
  <si>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</si>
  <si>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</si>
  <si>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</si>
  <si>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</si>
  <si>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</si>
  <si>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</si>
  <si>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</si>
  <si>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</si>
  <si>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 xml:space="preserve">ADITIVO IMPERMEABILIZANTE CRISTALIZANTE PARA CONCRETO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</si>
  <si>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</si>
  <si>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</si>
  <si>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</si>
  <si>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</si>
  <si>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</si>
  <si>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</si>
  <si>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</si>
  <si>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</si>
  <si>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</si>
  <si>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</si>
  <si>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</si>
  <si>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</si>
  <si>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LOJA DO MECÂNICO</t>
  </si>
  <si>
    <t>29.302.348/0001-15</t>
  </si>
  <si>
    <t>(11) 3508-9979</t>
  </si>
  <si>
    <t>Ref.: Tabela de Serviços
SINAPI (JANEIRO/2024)</t>
  </si>
  <si>
    <t>08.139.615/0002-96</t>
  </si>
  <si>
    <t>TRYANON</t>
  </si>
  <si>
    <t>(19) 3016-4553</t>
  </si>
  <si>
    <t>GISELE</t>
  </si>
  <si>
    <t>Não incide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</si>
</sst>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8" formatCode="&quot;R$&quot;\ #,##0.00;[Red]\-&quot;R$&quot;\ #,##0.00"/>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R$ &quot;* #,##0.00_);_(&quot;R$ &quot;* \(#,##0.00\);_(&quot;R$ &quot;* &quot;-&quot;??_);_(@_)"/>
    <numFmt numFmtId="169" formatCode="0.000"/>
    <numFmt numFmtId="170" formatCode="0.0000"/>
    <numFmt numFmtId="171" formatCode="0.00000"/>
    <numFmt numFmtId="172" formatCode="0.0000000"/>
    <numFmt numFmtId="173" formatCode="_-* #,##0.00\ _€_-;\-* #,##0.00\ _€_-;_-* &quot;-&quot;??\ _€_-;_-@_-"/>
    <numFmt numFmtId="174" formatCode="#\,##0."/>
    <numFmt numFmtId="175" formatCode="\$#."/>
    <numFmt numFmtId="176" formatCode="#,##0.00&quot; &quot;;&quot; (&quot;#,##0.00&quot;)&quot;;&quot; -&quot;#&quot; &quot;;@&quot; &quot;"/>
    <numFmt numFmtId="177" formatCode="#,##0.00&quot; &quot;;&quot;-&quot;#,##0.00&quot; &quot;;&quot; -&quot;#&quot; &quot;;@&quot; &quot;"/>
    <numFmt numFmtId="178" formatCode="#.00"/>
    <numFmt numFmtId="179" formatCode="0.00_)"/>
    <numFmt numFmtId="180" formatCode="%#.00"/>
    <numFmt numFmtId="181" formatCode="#\,##0.00"/>
    <numFmt numFmtId="182" formatCode="[$R$-416]&quot; &quot;#,##0.00;[Red]&quot;-&quot;[$R$-416]&quot; &quot;#,##0.00"/>
    <numFmt numFmtId="183" formatCode="#,"/>
    <numFmt numFmtId="184" formatCode="_([$€-2]* #,##0.00_);_([$€-2]* \(#,##0.00\);_([$€-2]* &quot;-&quot;??_)"/>
    <numFmt numFmtId="185" formatCode="&quot;Verdadeiro&quot;;&quot;Verdadeiro&quot;;&quot;Falso&quot;"/>
    <numFmt numFmtId="186" formatCode="[$€]#,##0.00_);[Red]\([$€]#,##0.00\)"/>
    <numFmt numFmtId="187" formatCode="#,##0.000_);\(#,##0.000\)"/>
    <numFmt numFmtId="188" formatCode="[$R$ -416]#,##0.00"/>
    <numFmt numFmtId="189" formatCode="&quot;R$&quot;\ #,##0.00"/>
    <numFmt numFmtId="190" formatCode="_(* #,##0.0000000000_);_(* \(#,##0.0000000000\);_(* &quot;-&quot;??_);_(@_)"/>
    <numFmt numFmtId="191" formatCode="&quot;R$ &quot;#,##0.00"/>
    <numFmt numFmtId="192" formatCode="&quot;R$ &quot;#,##0.000"/>
    <numFmt numFmtId="193" formatCode="0.0%"/>
    <numFmt numFmtId="194" formatCode="_(* #,##0.00_);_(* \(#,##0.00\);_(* \-??_);_(@_)"/>
    <numFmt numFmtId="195" formatCode="_-&quot;$&quot;\ * #,##0.00_-;\-&quot;$&quot;\ * #,##0.00_-;_-&quot;$&quot;\ * &quot;-&quot;??_-;_-@_-"/>
    <numFmt numFmtId="196" formatCode="0.0"/>
    <numFmt numFmtId="197" formatCode="_-[$R$-416]\ * #,##0.00_-;\-[$R$-416]\ * #,##0.00_-;_-[$R$-416]\ * &quot;-&quot;??_-;_-@_-"/>
    <numFmt numFmtId="198" formatCode="#,###\ &quot;dias&quot;"/>
    <numFmt numFmtId="199" formatCode="0.0000%"/>
    <numFmt numFmtId="200" formatCode="0.00000%"/>
  </numFmts>
  <fonts count="187">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sz val="4"/>
      <color indexed="50"/>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sz val="12"/>
      <color rgb="FF000000"/>
      <name val="Arial"/>
      <family val="2"/>
    </font>
    <font>
      <i/>
      <sz val="12"/>
      <color indexed="8"/>
      <name val="Arial"/>
      <family val="2"/>
    </font>
    <font>
      <b/>
      <i/>
      <sz val="12"/>
      <color indexed="8"/>
      <name val="Arial"/>
      <family val="2"/>
    </font>
    <font>
      <b/>
      <sz val="16"/>
      <color rgb="FFFFFFFF"/>
      <name val="Arial"/>
      <family val="2"/>
    </font>
    <font>
      <b/>
      <sz val="12"/>
      <color rgb="FF000000"/>
      <name val="Arial"/>
      <family val="2"/>
    </font>
    <font>
      <b/>
      <sz val="12"/>
      <color rgb="FFFFFFFF"/>
      <name val="Arial"/>
      <family val="2"/>
    </font>
    <font>
      <sz val="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2"/>
      <color theme="1"/>
      <name val="Calibri"/>
      <family val="2"/>
      <scheme val="minor"/>
    </font>
    <font>
      <b/>
      <sz val="10"/>
      <color rgb="FFFF0000"/>
      <name val="Arial"/>
      <family val="2"/>
    </font>
    <font>
      <b/>
      <sz val="1"/>
      <color theme="0"/>
      <name val="Arial"/>
      <family val="2"/>
    </font>
    <font>
      <sz val="11"/>
      <color theme="1"/>
      <name val="Arial"/>
      <family val="2"/>
    </font>
    <font>
      <b/>
      <sz val="14"/>
      <color indexed="9"/>
      <name val="Arial"/>
      <family val="2"/>
    </font>
    <font>
      <b/>
      <sz val="14"/>
      <color rgb="FFFF0000"/>
      <name val="Arial"/>
      <family val="2"/>
    </font>
    <font>
      <b/>
      <sz val="16"/>
      <color rgb="FFFF0000"/>
      <name val="Arial"/>
      <family val="2"/>
    </font>
    <font>
      <sz val="2"/>
      <name val="Arial"/>
      <family val="2"/>
    </font>
    <font>
      <sz val="20"/>
      <name val="Arial"/>
      <family val="2"/>
    </font>
    <font>
      <b/>
      <sz val="2"/>
      <name val="Arial"/>
      <family val="2"/>
    </font>
    <font>
      <sz val="1"/>
      <color theme="9" tint="-0.499984740745262"/>
      <name val="Arial"/>
      <family val="2"/>
    </font>
    <font>
      <sz val="10"/>
      <color theme="9" tint="-0.499984740745262"/>
      <name val="Arial"/>
      <family val="2"/>
    </font>
    <font>
      <u/>
      <sz val="11"/>
      <color theme="10"/>
      <name val="Calibri"/>
      <family val="2"/>
    </font>
    <font>
      <b/>
      <sz val="13"/>
      <name val="Arial"/>
      <family val="2"/>
    </font>
    <font>
      <b/>
      <sz val="11"/>
      <color theme="1"/>
      <name val="Arial"/>
      <family val="2"/>
    </font>
    <font>
      <sz val="30"/>
      <color rgb="FFFF0000"/>
      <name val="Arial"/>
      <family val="2"/>
    </font>
    <font>
      <b/>
      <sz val="14"/>
      <name val="Cambria"/>
      <family val="1"/>
      <scheme val="major"/>
    </font>
    <font>
      <b/>
      <sz val="11"/>
      <name val="Cambria"/>
      <family val="1"/>
      <scheme val="major"/>
    </font>
    <font>
      <sz val="8"/>
      <name val="Cambria"/>
      <family val="1"/>
      <scheme val="major"/>
    </font>
    <font>
      <sz val="10"/>
      <name val="Cambria"/>
      <family val="1"/>
      <scheme val="major"/>
    </font>
    <font>
      <sz val="11"/>
      <name val="Cambria"/>
      <family val="1"/>
      <scheme val="major"/>
    </font>
    <font>
      <b/>
      <sz val="12"/>
      <name val="Cambria"/>
      <family val="1"/>
      <scheme val="major"/>
    </font>
    <font>
      <b/>
      <sz val="20"/>
      <color theme="1"/>
      <name val="Arial"/>
      <family val="2"/>
    </font>
    <font>
      <sz val="12"/>
      <name val="Arial Rounded MT Bold"/>
      <family val="2"/>
    </font>
    <font>
      <b/>
      <sz val="20"/>
      <name val="Cambria"/>
      <family val="1"/>
      <scheme val="major"/>
    </font>
    <font>
      <sz val="18"/>
      <name val="Calibri"/>
      <family val="2"/>
      <scheme val="minor"/>
    </font>
    <font>
      <sz val="12"/>
      <name val="Calibri"/>
      <family val="2"/>
      <scheme val="minor"/>
    </font>
    <font>
      <b/>
      <sz val="11"/>
      <color theme="0"/>
      <name val="Arial"/>
      <family val="2"/>
    </font>
    <font>
      <b/>
      <sz val="11"/>
      <color indexed="8"/>
      <name val="Arial"/>
      <family val="2"/>
    </font>
    <font>
      <b/>
      <sz val="10"/>
      <color indexed="8"/>
      <name val="Arial"/>
      <family val="2"/>
    </font>
    <font>
      <b/>
      <sz val="11"/>
      <color indexed="8"/>
      <name val="Calibri"/>
      <family val="2"/>
      <scheme val="minor"/>
    </font>
    <font>
      <b/>
      <sz val="28"/>
      <name val="Arial"/>
      <family val="2"/>
    </font>
    <font>
      <sz val="10"/>
      <name val="Arial"/>
      <family val="2"/>
    </font>
    <font>
      <sz val="10"/>
      <name val="Arial"/>
      <family val="2"/>
    </font>
    <font>
      <b/>
      <sz val="36"/>
      <name val="Arial"/>
      <family val="2"/>
    </font>
    <font>
      <sz val="10"/>
      <name val="Arial"/>
      <family val="2"/>
    </font>
    <font>
      <sz val="8"/>
      <name val="Cambria"/>
      <family val="1"/>
    </font>
    <font>
      <sz val="11"/>
      <color theme="1"/>
      <name val="Calibri"/>
      <family val="2"/>
    </font>
    <font>
      <sz val="10"/>
      <name val="Arial"/>
      <family val="2"/>
    </font>
    <font>
      <sz val="30"/>
      <color theme="1"/>
      <name val="Arial"/>
      <family val="2"/>
    </font>
    <font>
      <sz val="3"/>
      <color theme="1"/>
      <name val="Arial"/>
      <family val="2"/>
    </font>
    <font>
      <sz val="16"/>
      <name val="Arial"/>
      <family val="2"/>
    </font>
    <font>
      <b/>
      <sz val="12"/>
      <color theme="0"/>
      <name val="Arial"/>
      <family val="2"/>
    </font>
    <font>
      <sz val="10"/>
      <name val="Arial"/>
      <family val="2"/>
    </font>
    <font>
      <sz val="12"/>
      <name val="Cambria"/>
      <family val="1"/>
      <scheme val="major"/>
    </font>
    <font>
      <sz val="10"/>
      <name val="Arial"/>
      <family val="2"/>
    </font>
    <font>
      <sz val="10"/>
      <name val="Arial"/>
      <family val="2"/>
    </font>
    <font>
      <sz val="14"/>
      <color rgb="FFFF0000"/>
      <name val="Arial"/>
      <family val="2"/>
    </font>
    <font>
      <sz val="3"/>
      <color rgb="FFFF0000"/>
      <name val="Arial"/>
      <family val="2"/>
    </font>
    <font>
      <sz val="1"/>
      <color rgb="FFFF0000"/>
      <name val="Arial"/>
      <family val="2"/>
    </font>
    <font>
      <sz val="12"/>
      <color rgb="FFFF0000"/>
      <name val="Arial"/>
      <family val="2"/>
    </font>
    <font>
      <b/>
      <sz val="12"/>
      <color rgb="FFFFFF00"/>
      <name val="Arial"/>
      <family val="2"/>
    </font>
    <font>
      <sz val="1"/>
      <color theme="9" tint="-0.249977111117893"/>
      <name val="Arial"/>
      <family val="2"/>
    </font>
    <font>
      <sz val="11"/>
      <color theme="1"/>
      <name val="Cambria"/>
      <family val="2"/>
      <scheme val="major"/>
    </font>
    <font>
      <b/>
      <sz val="11"/>
      <color theme="0"/>
      <name val="Calibri"/>
      <family val="2"/>
      <scheme val="minor"/>
    </font>
    <font>
      <b/>
      <sz val="16"/>
      <color theme="1"/>
      <name val="Calibri"/>
      <family val="2"/>
      <scheme val="minor"/>
    </font>
    <font>
      <b/>
      <sz val="11"/>
      <name val="Calibri"/>
      <family val="2"/>
      <scheme val="minor"/>
    </font>
    <font>
      <b/>
      <sz val="10"/>
      <color theme="0"/>
      <name val="Arial"/>
      <family val="2"/>
    </font>
    <font>
      <sz val="10"/>
      <color rgb="FF000000"/>
      <name val="Arial"/>
      <family val="2"/>
    </font>
    <font>
      <sz val="10"/>
      <color rgb="FF000000"/>
      <name val="Calibri"/>
      <family val="2"/>
      <scheme val="minor"/>
    </font>
    <font>
      <b/>
      <sz val="10"/>
      <color theme="1"/>
      <name val="Arial"/>
      <family val="2"/>
    </font>
    <font>
      <b/>
      <sz val="12"/>
      <color theme="0"/>
      <name val="Calibri"/>
      <family val="2"/>
      <scheme val="minor"/>
    </font>
    <font>
      <b/>
      <sz val="12"/>
      <name val="Calibri"/>
      <family val="2"/>
      <scheme val="minor"/>
    </font>
  </fonts>
  <fills count="87">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5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0"/>
        <bgColor indexed="64"/>
      </patternFill>
    </fill>
    <fill>
      <patternFill patternType="solid">
        <fgColor indexed="51"/>
        <bgColor indexed="64"/>
      </patternFill>
    </fill>
    <fill>
      <patternFill patternType="solid">
        <fgColor theme="4" tint="0.79998168889431442"/>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3" tint="0.79998168889431442"/>
        <bgColor indexed="64"/>
      </patternFill>
    </fill>
    <fill>
      <patternFill patternType="solid">
        <fgColor theme="0" tint="-0.34998626667073579"/>
        <bgColor indexed="64"/>
      </patternFill>
    </fill>
    <fill>
      <patternFill patternType="solid">
        <fgColor theme="1"/>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3"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4"/>
        <bgColor theme="4"/>
      </patternFill>
    </fill>
    <fill>
      <patternFill patternType="solid">
        <fgColor rgb="FFB4C6E7"/>
        <bgColor rgb="FFB4C6E7"/>
      </patternFill>
    </fill>
    <fill>
      <patternFill patternType="solid">
        <fgColor rgb="FF44546A"/>
        <bgColor rgb="FF44546A"/>
      </patternFill>
    </fill>
  </fills>
  <borders count="24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double">
        <color indexed="64"/>
      </top>
      <bottom style="hair">
        <color indexed="64"/>
      </bottom>
      <diagonal/>
    </border>
    <border>
      <left/>
      <right/>
      <top style="mediumDashDot">
        <color theme="4" tint="-0.24994659260841701"/>
      </top>
      <bottom style="mediumDashDot">
        <color theme="4" tint="-0.24994659260841701"/>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bottom style="hair">
        <color indexed="64"/>
      </bottom>
      <diagonal/>
    </border>
    <border>
      <left style="medium">
        <color indexed="64"/>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diagonal/>
    </border>
    <border>
      <left/>
      <right/>
      <top style="thin">
        <color auto="1"/>
      </top>
      <bottom style="thin">
        <color indexed="64"/>
      </bottom>
      <diagonal/>
    </border>
    <border>
      <left/>
      <right/>
      <top style="thin">
        <color indexed="64"/>
      </top>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s>
  <cellStyleXfs count="23844">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7"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3" fontId="7" fillId="0" borderId="0" applyFont="0" applyFill="0" applyBorder="0" applyAlignment="0" applyProtection="0"/>
    <xf numFmtId="174" fontId="41" fillId="0" borderId="0">
      <protection locked="0"/>
    </xf>
    <xf numFmtId="0" fontId="18" fillId="14" borderId="42" applyFill="0" applyBorder="0" applyAlignment="0" applyProtection="0">
      <alignment vertical="center"/>
      <protection locked="0"/>
    </xf>
    <xf numFmtId="164" fontId="7" fillId="0" borderId="0" applyFont="0" applyFill="0" applyBorder="0" applyAlignment="0" applyProtection="0"/>
    <xf numFmtId="166" fontId="7" fillId="0" borderId="0" applyFont="0" applyFill="0" applyBorder="0" applyAlignment="0" applyProtection="0"/>
    <xf numFmtId="175" fontId="41" fillId="0" borderId="0">
      <protection locked="0"/>
    </xf>
    <xf numFmtId="0" fontId="41" fillId="0" borderId="0">
      <protection locked="0"/>
    </xf>
    <xf numFmtId="0" fontId="41" fillId="0" borderId="0">
      <protection locked="0"/>
    </xf>
    <xf numFmtId="176" fontId="40" fillId="0" borderId="0" applyBorder="0" applyProtection="0"/>
    <xf numFmtId="176"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7" fontId="42" fillId="0" borderId="0" applyBorder="0" applyProtection="0"/>
    <xf numFmtId="178" fontId="41" fillId="0" borderId="0">
      <protection locked="0"/>
    </xf>
    <xf numFmtId="178" fontId="41" fillId="0" borderId="0">
      <protection locked="0"/>
    </xf>
    <xf numFmtId="0" fontId="43" fillId="0" borderId="0" applyNumberFormat="0" applyFill="0" applyBorder="0" applyAlignment="0" applyProtection="0">
      <alignment vertical="top"/>
      <protection locked="0"/>
    </xf>
    <xf numFmtId="38" fontId="36" fillId="8"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5" borderId="13" applyNumberFormat="0" applyBorder="0" applyAlignment="0" applyProtection="0"/>
    <xf numFmtId="0" fontId="7" fillId="0" borderId="0">
      <alignment horizontal="centerContinuous" vertical="justify"/>
    </xf>
    <xf numFmtId="0" fontId="47" fillId="0" borderId="0" applyAlignment="0">
      <alignment horizontal="center"/>
    </xf>
    <xf numFmtId="168" fontId="7" fillId="0" borderId="0" applyFont="0" applyFill="0" applyBorder="0" applyAlignment="0" applyProtection="0"/>
    <xf numFmtId="44" fontId="48" fillId="0" borderId="0" applyFont="0" applyFill="0" applyBorder="0" applyAlignment="0" applyProtection="0"/>
    <xf numFmtId="168"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79"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2" applyBorder="0">
      <alignment horizontal="left" vertical="center" wrapText="1" indent="2"/>
      <protection locked="0"/>
    </xf>
    <xf numFmtId="0" fontId="36" fillId="0" borderId="42" applyBorder="0">
      <alignment horizontal="left" vertical="center" wrapText="1" indent="3"/>
      <protection locked="0"/>
    </xf>
    <xf numFmtId="10" fontId="7" fillId="0" borderId="0" applyFont="0" applyFill="0" applyBorder="0" applyAlignment="0" applyProtection="0"/>
    <xf numFmtId="180" fontId="41" fillId="0" borderId="0">
      <protection locked="0"/>
    </xf>
    <xf numFmtId="180" fontId="41" fillId="0" borderId="0">
      <protection locked="0"/>
    </xf>
    <xf numFmtId="181"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2" fontId="52" fillId="0" borderId="0" applyBorder="0" applyProtection="0"/>
    <xf numFmtId="38" fontId="53" fillId="0" borderId="0" applyFont="0" applyFill="0" applyBorder="0" applyAlignment="0" applyProtection="0"/>
    <xf numFmtId="183" fontId="54" fillId="0" borderId="0">
      <protection locked="0"/>
    </xf>
    <xf numFmtId="167" fontId="49" fillId="0" borderId="0" applyFont="0" applyFill="0" applyBorder="0" applyAlignment="0" applyProtection="0"/>
    <xf numFmtId="167" fontId="2" fillId="0" borderId="0" applyFont="0" applyFill="0" applyBorder="0" applyAlignment="0" applyProtection="0"/>
    <xf numFmtId="176" fontId="40" fillId="0" borderId="0" applyBorder="0" applyProtection="0"/>
    <xf numFmtId="165"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66" fontId="7"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1" fillId="0" borderId="0" applyFont="0" applyFill="0" applyBorder="0" applyAlignment="0" applyProtection="0"/>
    <xf numFmtId="0" fontId="7"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1"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57" fillId="28" borderId="0" applyNumberFormat="0" applyBorder="0" applyAlignment="0" applyProtection="0"/>
    <xf numFmtId="0" fontId="57" fillId="23"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57" fillId="31" borderId="0" applyNumberFormat="0" applyBorder="0" applyAlignment="0" applyProtection="0"/>
    <xf numFmtId="0" fontId="57" fillId="20" borderId="0" applyNumberFormat="0" applyBorder="0" applyAlignment="0" applyProtection="0"/>
    <xf numFmtId="0" fontId="57" fillId="32" borderId="0" applyNumberFormat="0" applyBorder="0" applyAlignment="0" applyProtection="0"/>
    <xf numFmtId="0" fontId="57" fillId="2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3"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57" fillId="32" borderId="0" applyNumberFormat="0" applyBorder="0" applyAlignment="0" applyProtection="0"/>
    <xf numFmtId="0" fontId="63" fillId="17" borderId="0" applyNumberFormat="0" applyBorder="0" applyAlignment="0" applyProtection="0"/>
    <xf numFmtId="0" fontId="58" fillId="20" borderId="0" applyNumberFormat="0" applyBorder="0" applyAlignment="0" applyProtection="0"/>
    <xf numFmtId="0" fontId="59" fillId="36" borderId="49" applyNumberFormat="0" applyAlignment="0" applyProtection="0"/>
    <xf numFmtId="0" fontId="73" fillId="37" borderId="49" applyNumberFormat="0" applyAlignment="0" applyProtection="0"/>
    <xf numFmtId="0" fontId="60" fillId="38" borderId="50" applyNumberFormat="0" applyAlignment="0" applyProtection="0"/>
    <xf numFmtId="0" fontId="66" fillId="0" borderId="52" applyNumberFormat="0" applyFill="0" applyAlignment="0" applyProtection="0"/>
    <xf numFmtId="0" fontId="60" fillId="38" borderId="50" applyNumberFormat="0" applyAlignment="0" applyProtection="0"/>
    <xf numFmtId="0" fontId="57" fillId="39" borderId="0" applyNumberFormat="0" applyBorder="0" applyAlignment="0" applyProtection="0"/>
    <xf numFmtId="0" fontId="57" fillId="32" borderId="0" applyNumberFormat="0" applyBorder="0" applyAlignment="0" applyProtection="0"/>
    <xf numFmtId="0" fontId="57" fillId="26" borderId="0" applyNumberFormat="0" applyBorder="0" applyAlignment="0" applyProtection="0"/>
    <xf numFmtId="0" fontId="57" fillId="40" borderId="0" applyNumberFormat="0" applyBorder="0" applyAlignment="0" applyProtection="0"/>
    <xf numFmtId="0" fontId="57" fillId="30" borderId="0" applyNumberFormat="0" applyBorder="0" applyAlignment="0" applyProtection="0"/>
    <xf numFmtId="0" fontId="57" fillId="34" borderId="0" applyNumberFormat="0" applyBorder="0" applyAlignment="0" applyProtection="0"/>
    <xf numFmtId="0" fontId="62" fillId="27" borderId="49" applyNumberFormat="0" applyAlignment="0" applyProtection="0"/>
    <xf numFmtId="0" fontId="67" fillId="0" borderId="0" applyNumberFormat="0" applyFill="0" applyBorder="0" applyAlignment="0" applyProtection="0"/>
    <xf numFmtId="0" fontId="58" fillId="18" borderId="0" applyNumberFormat="0" applyBorder="0" applyAlignment="0" applyProtection="0"/>
    <xf numFmtId="0" fontId="69" fillId="0" borderId="53" applyNumberFormat="0" applyFill="0" applyAlignment="0" applyProtection="0"/>
    <xf numFmtId="0" fontId="70" fillId="0" borderId="54" applyNumberFormat="0" applyFill="0" applyAlignment="0" applyProtection="0"/>
    <xf numFmtId="0" fontId="71" fillId="0" borderId="55"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19" borderId="0" applyNumberFormat="0" applyBorder="0" applyAlignment="0" applyProtection="0"/>
    <xf numFmtId="0" fontId="62" fillId="21" borderId="49" applyNumberFormat="0" applyAlignment="0" applyProtection="0"/>
    <xf numFmtId="0" fontId="61" fillId="0" borderId="51" applyNumberFormat="0" applyFill="0" applyAlignment="0" applyProtection="0"/>
    <xf numFmtId="168" fontId="7" fillId="0" borderId="0" applyFont="0" applyFill="0" applyBorder="0" applyAlignment="0" applyProtection="0"/>
    <xf numFmtId="0" fontId="74" fillId="27" borderId="0" applyNumberFormat="0" applyBorder="0" applyAlignment="0" applyProtection="0"/>
    <xf numFmtId="0" fontId="64" fillId="27" borderId="0" applyNumberFormat="0" applyBorder="0" applyAlignment="0" applyProtection="0"/>
    <xf numFmtId="0" fontId="7" fillId="24" borderId="56" applyNumberFormat="0" applyFont="0" applyAlignment="0" applyProtection="0"/>
    <xf numFmtId="0" fontId="6" fillId="24" borderId="56" applyNumberFormat="0" applyFont="0" applyAlignment="0" applyProtection="0"/>
    <xf numFmtId="0" fontId="65" fillId="36" borderId="57" applyNumberFormat="0" applyAlignment="0" applyProtection="0"/>
    <xf numFmtId="0" fontId="65" fillId="37" borderId="57"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58" applyNumberFormat="0" applyFill="0" applyAlignment="0" applyProtection="0"/>
    <xf numFmtId="0" fontId="77" fillId="0" borderId="59" applyNumberFormat="0" applyFill="0" applyAlignment="0" applyProtection="0"/>
    <xf numFmtId="0" fontId="78" fillId="0" borderId="60"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61" applyNumberFormat="0" applyFill="0" applyAlignment="0" applyProtection="0"/>
    <xf numFmtId="0" fontId="7" fillId="0" borderId="0"/>
    <xf numFmtId="0" fontId="66" fillId="0" borderId="0" applyNumberForma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0" fontId="5" fillId="0" borderId="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alignment horizontal="centerContinuous" vertical="justify"/>
    </xf>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8" fontId="5" fillId="0" borderId="0" applyFont="0" applyFill="0" applyBorder="0" applyAlignment="0" applyProtection="0"/>
    <xf numFmtId="0" fontId="5" fillId="24" borderId="56" applyNumberFormat="0" applyFont="0" applyAlignment="0" applyProtection="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1" fillId="0" borderId="0" applyFont="0" applyFill="0" applyBorder="0" applyAlignment="0" applyProtection="0"/>
    <xf numFmtId="0" fontId="5" fillId="0" borderId="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4"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56" applyNumberFormat="0" applyFont="0" applyAlignment="0" applyProtection="0"/>
    <xf numFmtId="0" fontId="5" fillId="24" borderId="56" applyNumberFormat="0" applyFont="0" applyAlignment="0" applyProtection="0"/>
    <xf numFmtId="167" fontId="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5" fillId="0" borderId="0"/>
    <xf numFmtId="0" fontId="38" fillId="0" borderId="0" applyNumberFormat="0" applyFill="0" applyBorder="0" applyAlignment="0" applyProtection="0"/>
    <xf numFmtId="168"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1"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8" fontId="5" fillId="0" borderId="0" applyFont="0" applyFill="0" applyBorder="0" applyAlignment="0" applyProtection="0"/>
    <xf numFmtId="44" fontId="4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101"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168" fontId="5" fillId="0" borderId="0" applyFont="0" applyFill="0" applyBorder="0" applyAlignment="0" applyProtection="0"/>
    <xf numFmtId="168" fontId="101"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1" fillId="0" borderId="0"/>
    <xf numFmtId="0" fontId="101" fillId="0" borderId="0"/>
    <xf numFmtId="0" fontId="10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1" fillId="0" borderId="0"/>
    <xf numFmtId="0" fontId="5" fillId="0" borderId="0"/>
    <xf numFmtId="0" fontId="1" fillId="0" borderId="0"/>
    <xf numFmtId="0" fontId="5" fillId="0" borderId="0"/>
    <xf numFmtId="0" fontId="5" fillId="0" borderId="0"/>
    <xf numFmtId="0" fontId="1" fillId="0" borderId="0"/>
    <xf numFmtId="0" fontId="101" fillId="0" borderId="0"/>
    <xf numFmtId="0" fontId="10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1" fillId="0" borderId="0"/>
    <xf numFmtId="0" fontId="1" fillId="0" borderId="0"/>
    <xf numFmtId="0" fontId="5" fillId="0" borderId="0"/>
    <xf numFmtId="0" fontId="101" fillId="0" borderId="0"/>
    <xf numFmtId="0" fontId="10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51" fillId="0" borderId="0"/>
    <xf numFmtId="0" fontId="101" fillId="0" borderId="0"/>
    <xf numFmtId="0" fontId="5"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5"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10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10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1"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01" fillId="0" borderId="0"/>
    <xf numFmtId="0" fontId="1" fillId="0" borderId="0"/>
    <xf numFmtId="0" fontId="101" fillId="0" borderId="0"/>
    <xf numFmtId="0" fontId="1" fillId="0" borderId="0"/>
    <xf numFmtId="0" fontId="101" fillId="0" borderId="0"/>
    <xf numFmtId="0" fontId="1" fillId="0" borderId="0"/>
    <xf numFmtId="0" fontId="10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01"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1" fillId="0" borderId="0"/>
    <xf numFmtId="0" fontId="1" fillId="0" borderId="0"/>
    <xf numFmtId="0" fontId="101" fillId="0" borderId="0"/>
    <xf numFmtId="0" fontId="101" fillId="0" borderId="0"/>
    <xf numFmtId="0" fontId="5" fillId="0" borderId="0"/>
    <xf numFmtId="0" fontId="101" fillId="0" borderId="0"/>
    <xf numFmtId="0" fontId="101" fillId="0" borderId="0"/>
    <xf numFmtId="0" fontId="101" fillId="0" borderId="0"/>
    <xf numFmtId="0" fontId="5" fillId="0" borderId="0"/>
    <xf numFmtId="0" fontId="10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49"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43" fontId="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10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1" fillId="0" borderId="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4" fontId="5" fillId="0" borderId="0" applyFont="0" applyFill="0" applyBorder="0" applyAlignment="0" applyProtection="0"/>
    <xf numFmtId="185" fontId="5" fillId="0" borderId="0" applyFont="0" applyBorder="0">
      <alignment horizontal="center"/>
    </xf>
    <xf numFmtId="172" fontId="5" fillId="0" borderId="0">
      <alignment horizontal="center" vertical="top"/>
    </xf>
    <xf numFmtId="167" fontId="36" fillId="0" borderId="0"/>
    <xf numFmtId="0" fontId="104"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9" borderId="0" applyNumberFormat="0" applyBorder="0" applyAlignment="0" applyProtection="0"/>
    <xf numFmtId="0" fontId="104"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04" fillId="23" borderId="0" applyNumberFormat="0" applyBorder="0" applyAlignment="0" applyProtection="0"/>
    <xf numFmtId="0" fontId="104" fillId="25"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26" borderId="0" applyNumberFormat="0" applyBorder="0" applyAlignment="0" applyProtection="0"/>
    <xf numFmtId="0" fontId="105" fillId="28" borderId="0" applyNumberFormat="0" applyBorder="0" applyAlignment="0" applyProtection="0"/>
    <xf numFmtId="0" fontId="105" fillId="23" borderId="0" applyNumberFormat="0" applyBorder="0" applyAlignment="0" applyProtection="0"/>
    <xf numFmtId="0" fontId="105" fillId="25" borderId="0" applyNumberFormat="0" applyBorder="0" applyAlignment="0" applyProtection="0"/>
    <xf numFmtId="0" fontId="105" fillId="29" borderId="0" applyNumberFormat="0" applyBorder="0" applyAlignment="0" applyProtection="0"/>
    <xf numFmtId="0" fontId="105" fillId="30" borderId="0" applyNumberFormat="0" applyBorder="0" applyAlignment="0" applyProtection="0"/>
    <xf numFmtId="0" fontId="105" fillId="31" borderId="0" applyNumberFormat="0" applyBorder="0" applyAlignment="0" applyProtection="0"/>
    <xf numFmtId="0" fontId="106" fillId="18" borderId="0" applyNumberFormat="0" applyBorder="0" applyAlignment="0" applyProtection="0"/>
    <xf numFmtId="0" fontId="107" fillId="36" borderId="49" applyNumberFormat="0" applyAlignment="0" applyProtection="0"/>
    <xf numFmtId="0" fontId="108" fillId="38" borderId="50" applyNumberFormat="0" applyAlignment="0" applyProtection="0"/>
    <xf numFmtId="0" fontId="109" fillId="0" borderId="51" applyNumberFormat="0" applyFill="0" applyAlignment="0" applyProtection="0"/>
    <xf numFmtId="0" fontId="105" fillId="33" borderId="0" applyNumberFormat="0" applyBorder="0" applyAlignment="0" applyProtection="0"/>
    <xf numFmtId="0" fontId="105" fillId="34" borderId="0" applyNumberFormat="0" applyBorder="0" applyAlignment="0" applyProtection="0"/>
    <xf numFmtId="0" fontId="105" fillId="35" borderId="0" applyNumberFormat="0" applyBorder="0" applyAlignment="0" applyProtection="0"/>
    <xf numFmtId="0" fontId="105" fillId="29" borderId="0" applyNumberFormat="0" applyBorder="0" applyAlignment="0" applyProtection="0"/>
    <xf numFmtId="0" fontId="105" fillId="30" borderId="0" applyNumberFormat="0" applyBorder="0" applyAlignment="0" applyProtection="0"/>
    <xf numFmtId="0" fontId="105" fillId="32" borderId="0" applyNumberFormat="0" applyBorder="0" applyAlignment="0" applyProtection="0"/>
    <xf numFmtId="0" fontId="110" fillId="21" borderId="49" applyNumberFormat="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0" fontId="111" fillId="0" borderId="0" applyNumberFormat="0" applyFill="0" applyBorder="0" applyAlignment="0" applyProtection="0">
      <alignment vertical="top"/>
      <protection locked="0"/>
    </xf>
    <xf numFmtId="0" fontId="112" fillId="17" borderId="0" applyNumberFormat="0" applyBorder="0" applyAlignment="0" applyProtection="0"/>
    <xf numFmtId="0" fontId="5" fillId="0" borderId="0"/>
    <xf numFmtId="168"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13" fillId="27" borderId="0" applyNumberFormat="0" applyBorder="0" applyAlignment="0" applyProtection="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0" fontId="5" fillId="0" borderId="0"/>
    <xf numFmtId="0" fontId="114" fillId="0" borderId="0"/>
    <xf numFmtId="0" fontId="5" fillId="24" borderId="56" applyNumberFormat="0" applyFont="0" applyAlignment="0" applyProtection="0"/>
    <xf numFmtId="9" fontId="5" fillId="0" borderId="40"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5" fillId="0" borderId="0" applyFont="0" applyFill="0" applyBorder="0" applyAlignment="0" applyProtection="0"/>
    <xf numFmtId="9" fontId="6" fillId="0" borderId="0" applyFont="0" applyFill="0" applyBorder="0" applyAlignment="0" applyProtection="0"/>
    <xf numFmtId="0" fontId="116" fillId="36" borderId="57" applyNumberFormat="0" applyAlignment="0" applyProtection="0"/>
    <xf numFmtId="166" fontId="5" fillId="0" borderId="0" applyFont="0" applyFill="0" applyBorder="0" applyAlignment="0" applyProtection="0"/>
    <xf numFmtId="40" fontId="53" fillId="0" borderId="0" applyFont="0" applyFill="0" applyBorder="0" applyAlignment="0" applyProtection="0"/>
    <xf numFmtId="167" fontId="6" fillId="0" borderId="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88"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43" fontId="103" fillId="0" borderId="87"/>
    <xf numFmtId="0" fontId="117" fillId="0" borderId="0" applyNumberFormat="0" applyFill="0" applyBorder="0" applyAlignment="0" applyProtection="0"/>
    <xf numFmtId="0" fontId="118" fillId="0" borderId="0" applyNumberFormat="0" applyFill="0" applyBorder="0" applyAlignment="0" applyProtection="0"/>
    <xf numFmtId="0" fontId="69" fillId="0" borderId="53" applyNumberFormat="0" applyFill="0" applyAlignment="0" applyProtection="0"/>
    <xf numFmtId="0" fontId="119" fillId="0" borderId="53" applyNumberFormat="0" applyFill="0" applyAlignment="0" applyProtection="0"/>
    <xf numFmtId="0" fontId="120" fillId="0" borderId="54" applyNumberFormat="0" applyFill="0" applyAlignment="0" applyProtection="0"/>
    <xf numFmtId="0" fontId="121" fillId="0" borderId="55" applyNumberFormat="0" applyFill="0" applyAlignment="0" applyProtection="0"/>
    <xf numFmtId="0" fontId="121" fillId="0" borderId="0" applyNumberFormat="0" applyFill="0" applyBorder="0" applyAlignment="0" applyProtection="0"/>
    <xf numFmtId="0" fontId="68" fillId="0" borderId="0" applyNumberFormat="0" applyFill="0" applyBorder="0" applyAlignment="0" applyProtection="0"/>
    <xf numFmtId="0" fontId="122" fillId="0" borderId="61" applyNumberFormat="0" applyFill="0" applyAlignment="0" applyProtection="0"/>
    <xf numFmtId="40" fontId="53" fillId="0" borderId="0" applyFont="0" applyFill="0" applyBorder="0" applyAlignment="0" applyProtection="0"/>
    <xf numFmtId="168"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123"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03" fillId="0" borderId="87"/>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0" fontId="73" fillId="37" borderId="92" applyNumberFormat="0" applyAlignment="0" applyProtection="0"/>
    <xf numFmtId="0" fontId="122" fillId="0" borderId="95" applyNumberFormat="0" applyFill="0" applyAlignment="0" applyProtection="0"/>
    <xf numFmtId="0" fontId="62" fillId="27" borderId="92" applyNumberFormat="0" applyAlignment="0" applyProtection="0"/>
    <xf numFmtId="0" fontId="5" fillId="24" borderId="93" applyNumberFormat="0" applyFont="0" applyAlignment="0" applyProtection="0"/>
    <xf numFmtId="0" fontId="6" fillId="24" borderId="93" applyNumberFormat="0" applyFont="0" applyAlignment="0" applyProtection="0"/>
    <xf numFmtId="10" fontId="36" fillId="15" borderId="90" applyNumberFormat="0" applyBorder="0" applyAlignment="0" applyProtection="0"/>
    <xf numFmtId="0" fontId="62" fillId="21" borderId="92" applyNumberFormat="0" applyAlignment="0" applyProtection="0"/>
    <xf numFmtId="0" fontId="107" fillId="36" borderId="92" applyNumberFormat="0" applyAlignment="0" applyProtection="0"/>
    <xf numFmtId="0" fontId="65" fillId="37" borderId="94" applyNumberFormat="0" applyAlignment="0" applyProtection="0"/>
    <xf numFmtId="0" fontId="5" fillId="24" borderId="93" applyNumberFormat="0" applyFont="0" applyAlignment="0" applyProtection="0"/>
    <xf numFmtId="0" fontId="65" fillId="36" borderId="94" applyNumberFormat="0" applyAlignment="0" applyProtection="0"/>
    <xf numFmtId="0" fontId="36" fillId="0" borderId="91" applyBorder="0">
      <alignment horizontal="left" vertical="center" wrapText="1" indent="2"/>
      <protection locked="0"/>
    </xf>
    <xf numFmtId="0" fontId="18" fillId="14" borderId="91" applyFill="0" applyBorder="0" applyAlignment="0" applyProtection="0">
      <alignment vertical="center"/>
      <protection locked="0"/>
    </xf>
    <xf numFmtId="0" fontId="110" fillId="21" borderId="92" applyNumberFormat="0" applyAlignment="0" applyProtection="0"/>
    <xf numFmtId="0" fontId="59" fillId="36" borderId="92" applyNumberFormat="0" applyAlignment="0" applyProtection="0"/>
    <xf numFmtId="0" fontId="5" fillId="24" borderId="93" applyNumberFormat="0" applyFont="0" applyAlignment="0" applyProtection="0"/>
    <xf numFmtId="0" fontId="5" fillId="24" borderId="93" applyNumberFormat="0" applyFont="0" applyAlignment="0" applyProtection="0"/>
    <xf numFmtId="0" fontId="5" fillId="24" borderId="93" applyNumberFormat="0" applyFont="0" applyAlignment="0" applyProtection="0"/>
    <xf numFmtId="0" fontId="72" fillId="0" borderId="95" applyNumberFormat="0" applyFill="0" applyAlignment="0" applyProtection="0"/>
    <xf numFmtId="0" fontId="62" fillId="21" borderId="92" applyNumberFormat="0" applyAlignment="0" applyProtection="0"/>
    <xf numFmtId="0" fontId="116" fillId="36" borderId="94" applyNumberFormat="0" applyAlignment="0" applyProtection="0"/>
    <xf numFmtId="0" fontId="36" fillId="0" borderId="91"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1" borderId="92"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0" fontId="36" fillId="0" borderId="118" applyBorder="0">
      <alignment horizontal="left" vertical="center" wrapText="1" indent="3"/>
      <protection locked="0"/>
    </xf>
    <xf numFmtId="0" fontId="5" fillId="24" borderId="139" applyNumberFormat="0" applyFont="0" applyAlignment="0" applyProtection="0"/>
    <xf numFmtId="0" fontId="65" fillId="36" borderId="109" applyNumberFormat="0" applyAlignment="0" applyProtection="0"/>
    <xf numFmtId="0" fontId="5" fillId="24" borderId="126" applyNumberFormat="0" applyFont="0" applyAlignment="0" applyProtection="0"/>
    <xf numFmtId="0" fontId="122" fillId="0" borderId="107" applyNumberFormat="0" applyFill="0" applyAlignment="0" applyProtection="0"/>
    <xf numFmtId="0" fontId="73" fillId="37" borderId="119" applyNumberFormat="0" applyAlignment="0" applyProtection="0"/>
    <xf numFmtId="10" fontId="36" fillId="15" borderId="117" applyNumberFormat="0" applyBorder="0" applyAlignment="0" applyProtection="0"/>
    <xf numFmtId="0" fontId="5" fillId="24" borderId="139" applyNumberFormat="0" applyFont="0" applyAlignment="0" applyProtection="0"/>
    <xf numFmtId="0" fontId="65" fillId="37" borderId="115" applyNumberFormat="0" applyAlignment="0" applyProtection="0"/>
    <xf numFmtId="0" fontId="65" fillId="37" borderId="121" applyNumberFormat="0" applyAlignment="0" applyProtection="0"/>
    <xf numFmtId="0" fontId="116" fillId="36" borderId="136" applyNumberFormat="0" applyAlignment="0" applyProtection="0"/>
    <xf numFmtId="0" fontId="18" fillId="14" borderId="97" applyFill="0" applyBorder="0" applyAlignment="0" applyProtection="0">
      <alignment vertical="center"/>
      <protection locked="0"/>
    </xf>
    <xf numFmtId="10" fontId="36" fillId="15" borderId="96" applyNumberFormat="0" applyBorder="0" applyAlignment="0" applyProtection="0"/>
    <xf numFmtId="0" fontId="62" fillId="27" borderId="134" applyNumberFormat="0" applyAlignment="0" applyProtection="0"/>
    <xf numFmtId="0" fontId="62" fillId="21" borderId="113" applyNumberFormat="0" applyAlignment="0" applyProtection="0"/>
    <xf numFmtId="0" fontId="72" fillId="0" borderId="141" applyNumberFormat="0" applyFill="0" applyAlignment="0" applyProtection="0"/>
    <xf numFmtId="0" fontId="5" fillId="24" borderId="120" applyNumberFormat="0" applyFont="0" applyAlignment="0" applyProtection="0"/>
    <xf numFmtId="0" fontId="110" fillId="21" borderId="138" applyNumberFormat="0" applyAlignment="0" applyProtection="0"/>
    <xf numFmtId="0" fontId="36" fillId="0" borderId="97" applyBorder="0">
      <alignment horizontal="left" vertical="center" wrapText="1" indent="2"/>
      <protection locked="0"/>
    </xf>
    <xf numFmtId="0" fontId="36" fillId="0" borderId="97" applyBorder="0">
      <alignment horizontal="left" vertical="center" wrapText="1" indent="3"/>
      <protection locked="0"/>
    </xf>
    <xf numFmtId="0" fontId="59" fillId="36" borderId="98" applyNumberFormat="0" applyAlignment="0" applyProtection="0"/>
    <xf numFmtId="0" fontId="73" fillId="37" borderId="98" applyNumberFormat="0" applyAlignment="0" applyProtection="0"/>
    <xf numFmtId="0" fontId="62" fillId="27" borderId="98" applyNumberFormat="0" applyAlignment="0" applyProtection="0"/>
    <xf numFmtId="0" fontId="62" fillId="21" borderId="98" applyNumberFormat="0" applyAlignment="0" applyProtection="0"/>
    <xf numFmtId="0" fontId="5" fillId="24" borderId="99" applyNumberFormat="0" applyFont="0" applyAlignment="0" applyProtection="0"/>
    <xf numFmtId="0" fontId="6" fillId="24" borderId="99" applyNumberFormat="0" applyFont="0" applyAlignment="0" applyProtection="0"/>
    <xf numFmtId="0" fontId="65" fillId="36" borderId="100" applyNumberFormat="0" applyAlignment="0" applyProtection="0"/>
    <xf numFmtId="0" fontId="65" fillId="37" borderId="100" applyNumberFormat="0" applyAlignment="0" applyProtection="0"/>
    <xf numFmtId="0" fontId="72" fillId="0" borderId="101" applyNumberFormat="0" applyFill="0" applyAlignment="0" applyProtection="0"/>
    <xf numFmtId="0" fontId="5" fillId="24" borderId="105" applyNumberFormat="0" applyFont="0" applyAlignment="0" applyProtection="0"/>
    <xf numFmtId="0" fontId="110" fillId="21" borderId="125" applyNumberFormat="0" applyAlignment="0" applyProtection="0"/>
    <xf numFmtId="0" fontId="107" fillId="36" borderId="138" applyNumberFormat="0" applyAlignment="0" applyProtection="0"/>
    <xf numFmtId="0" fontId="62" fillId="27" borderId="138" applyNumberFormat="0" applyAlignment="0" applyProtection="0"/>
    <xf numFmtId="0" fontId="107" fillId="36" borderId="125" applyNumberFormat="0" applyAlignment="0" applyProtection="0"/>
    <xf numFmtId="0" fontId="5" fillId="24" borderId="120" applyNumberFormat="0" applyFont="0" applyAlignment="0" applyProtection="0"/>
    <xf numFmtId="0" fontId="116" fillId="36" borderId="121" applyNumberFormat="0" applyAlignment="0" applyProtection="0"/>
    <xf numFmtId="0" fontId="36" fillId="0" borderId="124" applyBorder="0">
      <alignment horizontal="left" vertical="center" wrapText="1" indent="3"/>
      <protection locked="0"/>
    </xf>
    <xf numFmtId="0" fontId="110" fillId="21" borderId="138" applyNumberFormat="0" applyAlignment="0" applyProtection="0"/>
    <xf numFmtId="0" fontId="5" fillId="24" borderId="135" applyNumberFormat="0" applyFont="0" applyAlignment="0" applyProtection="0"/>
    <xf numFmtId="0" fontId="5" fillId="24" borderId="99" applyNumberFormat="0" applyFont="0" applyAlignment="0" applyProtection="0"/>
    <xf numFmtId="0" fontId="65" fillId="37" borderId="127" applyNumberFormat="0" applyAlignment="0" applyProtection="0"/>
    <xf numFmtId="0" fontId="59" fillId="36" borderId="138" applyNumberFormat="0" applyAlignment="0" applyProtection="0"/>
    <xf numFmtId="0" fontId="36" fillId="0" borderId="118" applyBorder="0">
      <alignment horizontal="left" vertical="center" wrapText="1" indent="2"/>
      <protection locked="0"/>
    </xf>
    <xf numFmtId="0" fontId="5" fillId="24" borderId="135" applyNumberFormat="0" applyFont="0" applyAlignment="0" applyProtection="0"/>
    <xf numFmtId="0" fontId="5" fillId="24" borderId="99" applyNumberFormat="0" applyFont="0" applyAlignment="0" applyProtection="0"/>
    <xf numFmtId="0" fontId="5" fillId="24" borderId="99" applyNumberFormat="0" applyFont="0" applyAlignment="0" applyProtection="0"/>
    <xf numFmtId="0" fontId="73" fillId="37" borderId="138" applyNumberFormat="0" applyAlignment="0" applyProtection="0"/>
    <xf numFmtId="10" fontId="36" fillId="15" borderId="132" applyNumberFormat="0" applyBorder="0" applyAlignment="0" applyProtection="0"/>
    <xf numFmtId="0" fontId="62" fillId="21" borderId="134" applyNumberFormat="0" applyAlignment="0" applyProtection="0"/>
    <xf numFmtId="0" fontId="59" fillId="36" borderId="134" applyNumberFormat="0" applyAlignment="0" applyProtection="0"/>
    <xf numFmtId="0" fontId="72" fillId="0" borderId="122" applyNumberFormat="0" applyFill="0" applyAlignment="0" applyProtection="0"/>
    <xf numFmtId="0" fontId="36" fillId="0" borderId="124" applyBorder="0">
      <alignment horizontal="left" vertical="center" wrapText="1" indent="2"/>
      <protection locked="0"/>
    </xf>
    <xf numFmtId="0" fontId="5" fillId="24" borderId="126" applyNumberFormat="0" applyFont="0" applyAlignment="0" applyProtection="0"/>
    <xf numFmtId="0" fontId="72" fillId="0" borderId="116" applyNumberFormat="0" applyFill="0" applyAlignment="0" applyProtection="0"/>
    <xf numFmtId="0" fontId="5" fillId="24" borderId="120" applyNumberFormat="0" applyFont="0" applyAlignment="0" applyProtection="0"/>
    <xf numFmtId="0" fontId="5" fillId="24" borderId="120" applyNumberFormat="0" applyFont="0" applyAlignment="0" applyProtection="0"/>
    <xf numFmtId="0" fontId="5" fillId="24" borderId="105" applyNumberFormat="0" applyFont="0" applyAlignment="0" applyProtection="0"/>
    <xf numFmtId="0" fontId="110" fillId="21" borderId="113" applyNumberFormat="0" applyAlignment="0" applyProtection="0"/>
    <xf numFmtId="0" fontId="73" fillId="37" borderId="138" applyNumberFormat="0" applyAlignment="0" applyProtection="0"/>
    <xf numFmtId="0" fontId="5" fillId="24" borderId="120" applyNumberFormat="0" applyFont="0" applyAlignment="0" applyProtection="0"/>
    <xf numFmtId="0" fontId="6" fillId="24" borderId="120" applyNumberFormat="0" applyFont="0" applyAlignment="0" applyProtection="0"/>
    <xf numFmtId="0" fontId="59" fillId="36" borderId="119" applyNumberFormat="0" applyAlignment="0" applyProtection="0"/>
    <xf numFmtId="0" fontId="73" fillId="37" borderId="125" applyNumberFormat="0" applyAlignment="0" applyProtection="0"/>
    <xf numFmtId="0" fontId="65" fillId="36" borderId="136" applyNumberFormat="0" applyAlignment="0" applyProtection="0"/>
    <xf numFmtId="0" fontId="5" fillId="24" borderId="135" applyNumberFormat="0" applyFont="0" applyAlignment="0" applyProtection="0"/>
    <xf numFmtId="0" fontId="65" fillId="36" borderId="106" applyNumberFormat="0" applyAlignment="0" applyProtection="0"/>
    <xf numFmtId="0" fontId="116" fillId="36" borderId="115" applyNumberFormat="0" applyAlignment="0" applyProtection="0"/>
    <xf numFmtId="0" fontId="5" fillId="24" borderId="105" applyNumberFormat="0" applyFont="0" applyAlignment="0" applyProtection="0"/>
    <xf numFmtId="0" fontId="65" fillId="37" borderId="109" applyNumberFormat="0" applyAlignment="0" applyProtection="0"/>
    <xf numFmtId="0" fontId="65" fillId="36" borderId="140" applyNumberFormat="0" applyAlignment="0" applyProtection="0"/>
    <xf numFmtId="0" fontId="62" fillId="21" borderId="92" applyNumberFormat="0" applyAlignment="0" applyProtection="0"/>
    <xf numFmtId="0" fontId="36" fillId="0" borderId="112" applyBorder="0">
      <alignment horizontal="left" vertical="center" wrapText="1" indent="3"/>
      <protection locked="0"/>
    </xf>
    <xf numFmtId="0" fontId="5" fillId="24" borderId="120" applyNumberFormat="0" applyFont="0" applyAlignment="0" applyProtection="0"/>
    <xf numFmtId="0" fontId="73" fillId="37" borderId="119" applyNumberFormat="0" applyAlignment="0" applyProtection="0"/>
    <xf numFmtId="0" fontId="5" fillId="24" borderId="105" applyNumberFormat="0" applyFont="0" applyAlignment="0" applyProtection="0"/>
    <xf numFmtId="0" fontId="6" fillId="24" borderId="105" applyNumberFormat="0" applyFont="0" applyAlignment="0" applyProtection="0"/>
    <xf numFmtId="0" fontId="5" fillId="24" borderId="139" applyNumberFormat="0" applyFont="0" applyAlignment="0" applyProtection="0"/>
    <xf numFmtId="0" fontId="62" fillId="27" borderId="113" applyNumberFormat="0" applyAlignment="0" applyProtection="0"/>
    <xf numFmtId="0" fontId="5" fillId="24" borderId="108" applyNumberFormat="0" applyFont="0" applyAlignment="0" applyProtection="0"/>
    <xf numFmtId="0" fontId="5" fillId="24" borderId="126" applyNumberFormat="0" applyFont="0" applyAlignment="0" applyProtection="0"/>
    <xf numFmtId="0" fontId="5" fillId="24" borderId="114" applyNumberFormat="0" applyFont="0" applyAlignment="0" applyProtection="0"/>
    <xf numFmtId="0" fontId="72" fillId="0" borderId="137" applyNumberFormat="0" applyFill="0" applyAlignment="0" applyProtection="0"/>
    <xf numFmtId="0" fontId="122" fillId="0" borderId="137" applyNumberFormat="0" applyFill="0" applyAlignment="0" applyProtection="0"/>
    <xf numFmtId="0" fontId="5" fillId="24" borderId="120" applyNumberFormat="0" applyFont="0" applyAlignment="0" applyProtection="0"/>
    <xf numFmtId="0" fontId="59" fillId="36" borderId="119" applyNumberFormat="0" applyAlignment="0" applyProtection="0"/>
    <xf numFmtId="0" fontId="6" fillId="24" borderId="114" applyNumberFormat="0" applyFont="0" applyAlignment="0" applyProtection="0"/>
    <xf numFmtId="0" fontId="5" fillId="24" borderId="114" applyNumberFormat="0" applyFont="0" applyAlignment="0" applyProtection="0"/>
    <xf numFmtId="0" fontId="62" fillId="21" borderId="138" applyNumberFormat="0" applyAlignment="0" applyProtection="0"/>
    <xf numFmtId="0" fontId="59" fillId="36" borderId="113" applyNumberFormat="0" applyAlignment="0" applyProtection="0"/>
    <xf numFmtId="0" fontId="122" fillId="0" borderId="141" applyNumberFormat="0" applyFill="0" applyAlignment="0" applyProtection="0"/>
    <xf numFmtId="0" fontId="72" fillId="0" borderId="107" applyNumberFormat="0" applyFill="0" applyAlignment="0" applyProtection="0"/>
    <xf numFmtId="0" fontId="18" fillId="14" borderId="118" applyFill="0" applyBorder="0" applyAlignment="0" applyProtection="0">
      <alignment vertical="center"/>
      <protection locked="0"/>
    </xf>
    <xf numFmtId="0" fontId="62" fillId="21" borderId="119" applyNumberFormat="0" applyAlignment="0" applyProtection="0"/>
    <xf numFmtId="0" fontId="110" fillId="21" borderId="119" applyNumberFormat="0" applyAlignment="0" applyProtection="0"/>
    <xf numFmtId="0" fontId="73" fillId="37" borderId="113" applyNumberFormat="0" applyAlignment="0" applyProtection="0"/>
    <xf numFmtId="0" fontId="72" fillId="0" borderId="141" applyNumberFormat="0" applyFill="0" applyAlignment="0" applyProtection="0"/>
    <xf numFmtId="0" fontId="6" fillId="24" borderId="108" applyNumberFormat="0" applyFont="0" applyAlignment="0" applyProtection="0"/>
    <xf numFmtId="0" fontId="62" fillId="21" borderId="119" applyNumberFormat="0" applyAlignment="0" applyProtection="0"/>
    <xf numFmtId="0" fontId="5" fillId="24" borderId="126" applyNumberFormat="0" applyFont="0" applyAlignment="0" applyProtection="0"/>
    <xf numFmtId="0" fontId="122" fillId="0" borderId="116" applyNumberFormat="0" applyFill="0" applyAlignment="0" applyProtection="0"/>
    <xf numFmtId="0" fontId="116" fillId="36" borderId="127" applyNumberFormat="0" applyAlignment="0" applyProtection="0"/>
    <xf numFmtId="0" fontId="59" fillId="36" borderId="138" applyNumberFormat="0" applyAlignment="0" applyProtection="0"/>
    <xf numFmtId="0" fontId="65" fillId="37" borderId="106" applyNumberFormat="0" applyAlignment="0" applyProtection="0"/>
    <xf numFmtId="0" fontId="62" fillId="21" borderId="138" applyNumberFormat="0" applyAlignment="0" applyProtection="0"/>
    <xf numFmtId="0" fontId="5" fillId="24" borderId="139" applyNumberFormat="0" applyFont="0" applyAlignment="0" applyProtection="0"/>
    <xf numFmtId="0" fontId="122" fillId="0" borderId="122" applyNumberFormat="0" applyFill="0" applyAlignment="0" applyProtection="0"/>
    <xf numFmtId="0" fontId="73" fillId="37" borderId="134" applyNumberFormat="0" applyAlignment="0" applyProtection="0"/>
    <xf numFmtId="0" fontId="5" fillId="24" borderId="114" applyNumberFormat="0" applyFont="0" applyAlignment="0" applyProtection="0"/>
    <xf numFmtId="0" fontId="18" fillId="14" borderId="124" applyFill="0" applyBorder="0" applyAlignment="0" applyProtection="0">
      <alignment vertical="center"/>
      <protection locked="0"/>
    </xf>
    <xf numFmtId="0" fontId="36" fillId="0" borderId="118" applyBorder="0">
      <alignment horizontal="left" vertical="center" wrapText="1" indent="2"/>
      <protection locked="0"/>
    </xf>
    <xf numFmtId="0" fontId="65" fillId="37" borderId="140" applyNumberFormat="0" applyAlignment="0" applyProtection="0"/>
    <xf numFmtId="0" fontId="65" fillId="37" borderId="121" applyNumberFormat="0" applyAlignment="0" applyProtection="0"/>
    <xf numFmtId="0" fontId="72" fillId="0" borderId="128" applyNumberFormat="0" applyFill="0" applyAlignment="0" applyProtection="0"/>
    <xf numFmtId="0" fontId="110" fillId="21" borderId="119" applyNumberFormat="0" applyAlignment="0" applyProtection="0"/>
    <xf numFmtId="0" fontId="62" fillId="27" borderId="125" applyNumberFormat="0" applyAlignment="0" applyProtection="0"/>
    <xf numFmtId="0" fontId="5" fillId="24" borderId="120" applyNumberFormat="0" applyFont="0" applyAlignment="0" applyProtection="0"/>
    <xf numFmtId="0" fontId="6" fillId="24" borderId="139" applyNumberFormat="0" applyFont="0" applyAlignment="0" applyProtection="0"/>
    <xf numFmtId="0" fontId="107" fillId="36" borderId="98" applyNumberFormat="0" applyAlignment="0" applyProtection="0"/>
    <xf numFmtId="0" fontId="110" fillId="21" borderId="98" applyNumberFormat="0" applyAlignment="0" applyProtection="0"/>
    <xf numFmtId="0" fontId="5" fillId="24" borderId="99" applyNumberFormat="0" applyFont="0" applyAlignment="0" applyProtection="0"/>
    <xf numFmtId="0" fontId="116" fillId="36" borderId="100" applyNumberFormat="0" applyAlignment="0" applyProtection="0"/>
    <xf numFmtId="0" fontId="5" fillId="24" borderId="139" applyNumberFormat="0" applyFont="0" applyAlignment="0" applyProtection="0"/>
    <xf numFmtId="0" fontId="122" fillId="0" borderId="101" applyNumberFormat="0" applyFill="0" applyAlignment="0" applyProtection="0"/>
    <xf numFmtId="0" fontId="62" fillId="21" borderId="134" applyNumberFormat="0" applyAlignment="0" applyProtection="0"/>
    <xf numFmtId="0" fontId="6" fillId="24" borderId="120" applyNumberFormat="0" applyFont="0" applyAlignment="0" applyProtection="0"/>
    <xf numFmtId="0" fontId="65" fillId="36" borderId="121" applyNumberFormat="0" applyAlignment="0" applyProtection="0"/>
    <xf numFmtId="0" fontId="62" fillId="21" borderId="134" applyNumberFormat="0" applyAlignment="0" applyProtection="0"/>
    <xf numFmtId="0" fontId="62" fillId="27" borderId="138" applyNumberFormat="0" applyAlignment="0" applyProtection="0"/>
    <xf numFmtId="0" fontId="62" fillId="21" borderId="98" applyNumberFormat="0" applyAlignment="0" applyProtection="0"/>
    <xf numFmtId="0" fontId="62" fillId="21" borderId="134" applyNumberFormat="0" applyAlignment="0" applyProtection="0"/>
    <xf numFmtId="0" fontId="62" fillId="21" borderId="119" applyNumberFormat="0" applyAlignment="0" applyProtection="0"/>
    <xf numFmtId="0" fontId="65" fillId="37" borderId="140" applyNumberFormat="0" applyAlignment="0" applyProtection="0"/>
    <xf numFmtId="0" fontId="36" fillId="0" borderId="133" applyBorder="0">
      <alignment horizontal="left" vertical="center" wrapText="1" indent="3"/>
      <protection locked="0"/>
    </xf>
    <xf numFmtId="0" fontId="59" fillId="36" borderId="125" applyNumberFormat="0" applyAlignment="0" applyProtection="0"/>
    <xf numFmtId="0" fontId="122" fillId="0" borderId="122" applyNumberFormat="0" applyFill="0" applyAlignment="0" applyProtection="0"/>
    <xf numFmtId="0" fontId="62" fillId="21" borderId="113" applyNumberFormat="0" applyAlignment="0" applyProtection="0"/>
    <xf numFmtId="0" fontId="65" fillId="36" borderId="140" applyNumberFormat="0" applyAlignment="0" applyProtection="0"/>
    <xf numFmtId="0" fontId="5" fillId="24" borderId="135" applyNumberFormat="0" applyFont="0" applyAlignment="0" applyProtection="0"/>
    <xf numFmtId="0" fontId="122" fillId="0" borderId="110" applyNumberFormat="0" applyFill="0" applyAlignment="0" applyProtection="0"/>
    <xf numFmtId="0" fontId="62" fillId="27" borderId="119" applyNumberFormat="0" applyAlignment="0" applyProtection="0"/>
    <xf numFmtId="0" fontId="18" fillId="14" borderId="112" applyFill="0" applyBorder="0" applyAlignment="0" applyProtection="0">
      <alignment vertical="center"/>
      <protection locked="0"/>
    </xf>
    <xf numFmtId="0" fontId="5" fillId="24" borderId="139" applyNumberFormat="0" applyFont="0" applyAlignment="0" applyProtection="0"/>
    <xf numFmtId="0" fontId="5" fillId="24" borderId="139" applyNumberFormat="0" applyFont="0" applyAlignment="0" applyProtection="0"/>
    <xf numFmtId="10" fontId="36" fillId="15" borderId="117" applyNumberFormat="0" applyBorder="0" applyAlignment="0" applyProtection="0"/>
    <xf numFmtId="0" fontId="36" fillId="0" borderId="112" applyBorder="0">
      <alignment horizontal="left" vertical="center" wrapText="1" indent="2"/>
      <protection locked="0"/>
    </xf>
    <xf numFmtId="0" fontId="6" fillId="24" borderId="126" applyNumberFormat="0" applyFont="0" applyAlignment="0" applyProtection="0"/>
    <xf numFmtId="0" fontId="72" fillId="0" borderId="122" applyNumberFormat="0" applyFill="0" applyAlignment="0" applyProtection="0"/>
    <xf numFmtId="0" fontId="107" fillId="36" borderId="119" applyNumberFormat="0" applyAlignment="0" applyProtection="0"/>
    <xf numFmtId="0" fontId="62" fillId="21" borderId="125" applyNumberFormat="0" applyAlignment="0" applyProtection="0"/>
    <xf numFmtId="0" fontId="5" fillId="24" borderId="108" applyNumberFormat="0" applyFont="0" applyAlignment="0" applyProtection="0"/>
    <xf numFmtId="0" fontId="116" fillId="36" borderId="140" applyNumberFormat="0" applyAlignment="0" applyProtection="0"/>
    <xf numFmtId="0" fontId="116" fillId="36" borderId="106" applyNumberFormat="0" applyAlignment="0" applyProtection="0"/>
    <xf numFmtId="10" fontId="36" fillId="15" borderId="123" applyNumberFormat="0" applyBorder="0" applyAlignment="0" applyProtection="0"/>
    <xf numFmtId="0" fontId="107" fillId="36" borderId="138" applyNumberFormat="0" applyAlignment="0" applyProtection="0"/>
    <xf numFmtId="0" fontId="122" fillId="0" borderId="128" applyNumberFormat="0" applyFill="0" applyAlignment="0" applyProtection="0"/>
    <xf numFmtId="0" fontId="18" fillId="14" borderId="118" applyFill="0" applyBorder="0" applyAlignment="0" applyProtection="0">
      <alignment vertical="center"/>
      <protection locked="0"/>
    </xf>
    <xf numFmtId="0" fontId="110" fillId="21" borderId="134" applyNumberFormat="0" applyAlignment="0" applyProtection="0"/>
    <xf numFmtId="0" fontId="107" fillId="36" borderId="119" applyNumberFormat="0" applyAlignment="0" applyProtection="0"/>
    <xf numFmtId="0" fontId="6" fillId="24" borderId="135" applyNumberFormat="0" applyFont="0" applyAlignment="0" applyProtection="0"/>
    <xf numFmtId="0" fontId="62" fillId="27" borderId="119" applyNumberFormat="0" applyAlignment="0" applyProtection="0"/>
    <xf numFmtId="0" fontId="116" fillId="36" borderId="121" applyNumberFormat="0" applyAlignment="0" applyProtection="0"/>
    <xf numFmtId="0" fontId="5" fillId="24" borderId="139" applyNumberFormat="0" applyFont="0" applyAlignment="0" applyProtection="0"/>
    <xf numFmtId="0" fontId="5" fillId="24" borderId="120" applyNumberFormat="0" applyFont="0" applyAlignment="0" applyProtection="0"/>
    <xf numFmtId="0" fontId="65" fillId="36" borderId="115" applyNumberFormat="0" applyAlignment="0" applyProtection="0"/>
    <xf numFmtId="0" fontId="107" fillId="36" borderId="134" applyNumberFormat="0" applyAlignment="0" applyProtection="0"/>
    <xf numFmtId="0" fontId="5" fillId="24" borderId="139" applyNumberFormat="0" applyFont="0" applyAlignment="0" applyProtection="0"/>
    <xf numFmtId="0" fontId="36" fillId="0" borderId="133" applyBorder="0">
      <alignment horizontal="left" vertical="center" wrapText="1" indent="2"/>
      <protection locked="0"/>
    </xf>
    <xf numFmtId="0" fontId="5" fillId="24" borderId="114" applyNumberFormat="0" applyFont="0" applyAlignment="0" applyProtection="0"/>
    <xf numFmtId="0" fontId="5" fillId="24" borderId="114" applyNumberFormat="0" applyFont="0" applyAlignment="0" applyProtection="0"/>
    <xf numFmtId="0" fontId="65" fillId="37" borderId="136" applyNumberFormat="0" applyAlignment="0" applyProtection="0"/>
    <xf numFmtId="10" fontId="36" fillId="15" borderId="111" applyNumberFormat="0" applyBorder="0" applyAlignment="0" applyProtection="0"/>
    <xf numFmtId="0" fontId="18" fillId="14" borderId="133" applyFill="0" applyBorder="0" applyAlignment="0" applyProtection="0">
      <alignment vertical="center"/>
      <protection locked="0"/>
    </xf>
    <xf numFmtId="0" fontId="65" fillId="36" borderId="127" applyNumberFormat="0" applyAlignment="0" applyProtection="0"/>
    <xf numFmtId="0" fontId="107" fillId="36" borderId="113" applyNumberFormat="0" applyAlignment="0" applyProtection="0"/>
    <xf numFmtId="0" fontId="62" fillId="21" borderId="138" applyNumberFormat="0" applyAlignment="0" applyProtection="0"/>
    <xf numFmtId="0" fontId="5" fillId="24" borderId="105" applyNumberFormat="0" applyFont="0" applyAlignment="0" applyProtection="0"/>
    <xf numFmtId="0" fontId="5" fillId="24" borderId="139" applyNumberFormat="0" applyFont="0" applyAlignment="0" applyProtection="0"/>
    <xf numFmtId="0" fontId="65" fillId="36" borderId="121" applyNumberFormat="0" applyAlignment="0" applyProtection="0"/>
    <xf numFmtId="0" fontId="62" fillId="21" borderId="138" applyNumberFormat="0" applyAlignment="0" applyProtection="0"/>
    <xf numFmtId="0" fontId="5" fillId="24" borderId="126" applyNumberFormat="0" applyFont="0" applyAlignment="0" applyProtection="0"/>
    <xf numFmtId="0" fontId="73" fillId="37" borderId="98" applyNumberFormat="0" applyAlignment="0" applyProtection="0"/>
    <xf numFmtId="0" fontId="122" fillId="0" borderId="104" applyNumberFormat="0" applyFill="0" applyAlignment="0" applyProtection="0"/>
    <xf numFmtId="0" fontId="62" fillId="27" borderId="98" applyNumberFormat="0" applyAlignment="0" applyProtection="0"/>
    <xf numFmtId="0" fontId="5" fillId="24" borderId="102" applyNumberFormat="0" applyFont="0" applyAlignment="0" applyProtection="0"/>
    <xf numFmtId="0" fontId="6" fillId="24" borderId="102" applyNumberFormat="0" applyFont="0" applyAlignment="0" applyProtection="0"/>
    <xf numFmtId="10" fontId="36" fillId="15" borderId="96" applyNumberFormat="0" applyBorder="0" applyAlignment="0" applyProtection="0"/>
    <xf numFmtId="0" fontId="62" fillId="21" borderId="98" applyNumberFormat="0" applyAlignment="0" applyProtection="0"/>
    <xf numFmtId="0" fontId="107" fillId="36" borderId="98" applyNumberFormat="0" applyAlignment="0" applyProtection="0"/>
    <xf numFmtId="0" fontId="65" fillId="37" borderId="103" applyNumberFormat="0" applyAlignment="0" applyProtection="0"/>
    <xf numFmtId="0" fontId="5" fillId="24" borderId="102" applyNumberFormat="0" applyFont="0" applyAlignment="0" applyProtection="0"/>
    <xf numFmtId="0" fontId="65" fillId="36" borderId="103" applyNumberFormat="0" applyAlignment="0" applyProtection="0"/>
    <xf numFmtId="0" fontId="36" fillId="0" borderId="97" applyBorder="0">
      <alignment horizontal="left" vertical="center" wrapText="1" indent="2"/>
      <protection locked="0"/>
    </xf>
    <xf numFmtId="0" fontId="18" fillId="14" borderId="97" applyFill="0" applyBorder="0" applyAlignment="0" applyProtection="0">
      <alignment vertical="center"/>
      <protection locked="0"/>
    </xf>
    <xf numFmtId="0" fontId="110" fillId="21" borderId="98" applyNumberFormat="0" applyAlignment="0" applyProtection="0"/>
    <xf numFmtId="0" fontId="59" fillId="36" borderId="98" applyNumberFormat="0" applyAlignment="0" applyProtection="0"/>
    <xf numFmtId="0" fontId="5" fillId="24" borderId="102" applyNumberFormat="0" applyFont="0" applyAlignment="0" applyProtection="0"/>
    <xf numFmtId="0" fontId="5" fillId="24" borderId="102" applyNumberFormat="0" applyFont="0" applyAlignment="0" applyProtection="0"/>
    <xf numFmtId="0" fontId="5" fillId="24" borderId="102" applyNumberFormat="0" applyFont="0" applyAlignment="0" applyProtection="0"/>
    <xf numFmtId="0" fontId="72" fillId="0" borderId="104" applyNumberFormat="0" applyFill="0" applyAlignment="0" applyProtection="0"/>
    <xf numFmtId="0" fontId="62" fillId="21" borderId="98" applyNumberFormat="0" applyAlignment="0" applyProtection="0"/>
    <xf numFmtId="0" fontId="116" fillId="36" borderId="103" applyNumberFormat="0" applyAlignment="0" applyProtection="0"/>
    <xf numFmtId="0" fontId="36" fillId="0" borderId="97" applyBorder="0">
      <alignment horizontal="left" vertical="center" wrapText="1" indent="3"/>
      <protection locked="0"/>
    </xf>
    <xf numFmtId="0" fontId="6" fillId="24" borderId="139" applyNumberFormat="0" applyFont="0" applyAlignment="0" applyProtection="0"/>
    <xf numFmtId="0" fontId="122" fillId="0" borderId="101" applyNumberFormat="0" applyFill="0" applyAlignment="0" applyProtection="0"/>
    <xf numFmtId="0" fontId="65" fillId="37" borderId="100" applyNumberFormat="0" applyAlignment="0" applyProtection="0"/>
    <xf numFmtId="0" fontId="65" fillId="36" borderId="100" applyNumberFormat="0" applyAlignment="0" applyProtection="0"/>
    <xf numFmtId="0" fontId="72" fillId="0" borderId="101" applyNumberFormat="0" applyFill="0" applyAlignment="0" applyProtection="0"/>
    <xf numFmtId="0" fontId="116" fillId="36" borderId="100" applyNumberFormat="0" applyAlignment="0" applyProtection="0"/>
    <xf numFmtId="0" fontId="5" fillId="24" borderId="108" applyNumberFormat="0" applyFont="0" applyAlignment="0" applyProtection="0"/>
    <xf numFmtId="0" fontId="5" fillId="24" borderId="108" applyNumberFormat="0" applyFont="0" applyAlignment="0" applyProtection="0"/>
    <xf numFmtId="0" fontId="5" fillId="24" borderId="108" applyNumberFormat="0" applyFont="0" applyAlignment="0" applyProtection="0"/>
    <xf numFmtId="0" fontId="72" fillId="0" borderId="110" applyNumberFormat="0" applyFill="0" applyAlignment="0" applyProtection="0"/>
    <xf numFmtId="0" fontId="116" fillId="36" borderId="109" applyNumberFormat="0" applyAlignment="0" applyProtection="0"/>
    <xf numFmtId="0" fontId="73" fillId="37" borderId="113" applyNumberFormat="0" applyAlignment="0" applyProtection="0"/>
    <xf numFmtId="0" fontId="122" fillId="0" borderId="116" applyNumberFormat="0" applyFill="0" applyAlignment="0" applyProtection="0"/>
    <xf numFmtId="0" fontId="62" fillId="27" borderId="113" applyNumberFormat="0" applyAlignment="0" applyProtection="0"/>
    <xf numFmtId="0" fontId="5" fillId="24" borderId="114" applyNumberFormat="0" applyFont="0" applyAlignment="0" applyProtection="0"/>
    <xf numFmtId="0" fontId="6" fillId="24" borderId="114" applyNumberFormat="0" applyFont="0" applyAlignment="0" applyProtection="0"/>
    <xf numFmtId="10" fontId="36" fillId="15" borderId="111" applyNumberFormat="0" applyBorder="0" applyAlignment="0" applyProtection="0"/>
    <xf numFmtId="0" fontId="62" fillId="21" borderId="113" applyNumberFormat="0" applyAlignment="0" applyProtection="0"/>
    <xf numFmtId="0" fontId="107" fillId="36" borderId="113" applyNumberFormat="0" applyAlignment="0" applyProtection="0"/>
    <xf numFmtId="0" fontId="65" fillId="37" borderId="115" applyNumberFormat="0" applyAlignment="0" applyProtection="0"/>
    <xf numFmtId="0" fontId="5" fillId="24" borderId="114" applyNumberFormat="0" applyFont="0" applyAlignment="0" applyProtection="0"/>
    <xf numFmtId="0" fontId="65" fillId="36" borderId="115" applyNumberFormat="0" applyAlignment="0" applyProtection="0"/>
    <xf numFmtId="0" fontId="36" fillId="0" borderId="112" applyBorder="0">
      <alignment horizontal="left" vertical="center" wrapText="1" indent="2"/>
      <protection locked="0"/>
    </xf>
    <xf numFmtId="0" fontId="18" fillId="14" borderId="112" applyFill="0" applyBorder="0" applyAlignment="0" applyProtection="0">
      <alignment vertical="center"/>
      <protection locked="0"/>
    </xf>
    <xf numFmtId="0" fontId="110" fillId="21" borderId="113" applyNumberFormat="0" applyAlignment="0" applyProtection="0"/>
    <xf numFmtId="0" fontId="59" fillId="36" borderId="113" applyNumberFormat="0" applyAlignment="0" applyProtection="0"/>
    <xf numFmtId="0" fontId="5" fillId="24" borderId="114" applyNumberFormat="0" applyFont="0" applyAlignment="0" applyProtection="0"/>
    <xf numFmtId="0" fontId="5" fillId="24" borderId="114" applyNumberFormat="0" applyFont="0" applyAlignment="0" applyProtection="0"/>
    <xf numFmtId="0" fontId="5" fillId="24" borderId="114" applyNumberFormat="0" applyFont="0" applyAlignment="0" applyProtection="0"/>
    <xf numFmtId="0" fontId="72" fillId="0" borderId="116" applyNumberFormat="0" applyFill="0" applyAlignment="0" applyProtection="0"/>
    <xf numFmtId="0" fontId="62" fillId="21" borderId="113" applyNumberFormat="0" applyAlignment="0" applyProtection="0"/>
    <xf numFmtId="0" fontId="116" fillId="36" borderId="115" applyNumberFormat="0" applyAlignment="0" applyProtection="0"/>
    <xf numFmtId="0" fontId="36" fillId="0" borderId="112" applyBorder="0">
      <alignment horizontal="left" vertical="center" wrapText="1" indent="3"/>
      <protection locked="0"/>
    </xf>
    <xf numFmtId="0" fontId="5" fillId="24" borderId="120" applyNumberFormat="0" applyFont="0" applyAlignment="0" applyProtection="0"/>
    <xf numFmtId="0" fontId="5" fillId="24" borderId="135" applyNumberFormat="0" applyFont="0" applyAlignment="0" applyProtection="0"/>
    <xf numFmtId="0" fontId="36" fillId="0" borderId="118" applyBorder="0">
      <alignment horizontal="left" vertical="center" wrapText="1" indent="3"/>
      <protection locked="0"/>
    </xf>
    <xf numFmtId="0" fontId="73" fillId="37" borderId="125" applyNumberFormat="0" applyAlignment="0" applyProtection="0"/>
    <xf numFmtId="0" fontId="122" fillId="0" borderId="131" applyNumberFormat="0" applyFill="0" applyAlignment="0" applyProtection="0"/>
    <xf numFmtId="0" fontId="62" fillId="27" borderId="125" applyNumberFormat="0" applyAlignment="0" applyProtection="0"/>
    <xf numFmtId="0" fontId="5" fillId="24" borderId="129" applyNumberFormat="0" applyFont="0" applyAlignment="0" applyProtection="0"/>
    <xf numFmtId="0" fontId="6" fillId="24" borderId="129" applyNumberFormat="0" applyFont="0" applyAlignment="0" applyProtection="0"/>
    <xf numFmtId="10" fontId="36" fillId="15" borderId="123" applyNumberFormat="0" applyBorder="0" applyAlignment="0" applyProtection="0"/>
    <xf numFmtId="0" fontId="62" fillId="21" borderId="125" applyNumberFormat="0" applyAlignment="0" applyProtection="0"/>
    <xf numFmtId="0" fontId="107" fillId="36" borderId="125" applyNumberFormat="0" applyAlignment="0" applyProtection="0"/>
    <xf numFmtId="0" fontId="65" fillId="37" borderId="130" applyNumberFormat="0" applyAlignment="0" applyProtection="0"/>
    <xf numFmtId="0" fontId="5" fillId="24" borderId="129" applyNumberFormat="0" applyFont="0" applyAlignment="0" applyProtection="0"/>
    <xf numFmtId="0" fontId="65" fillId="36" borderId="130" applyNumberFormat="0" applyAlignment="0" applyProtection="0"/>
    <xf numFmtId="0" fontId="36" fillId="0" borderId="124" applyBorder="0">
      <alignment horizontal="left" vertical="center" wrapText="1" indent="2"/>
      <protection locked="0"/>
    </xf>
    <xf numFmtId="0" fontId="18" fillId="14" borderId="124" applyFill="0" applyBorder="0" applyAlignment="0" applyProtection="0">
      <alignment vertical="center"/>
      <protection locked="0"/>
    </xf>
    <xf numFmtId="0" fontId="110" fillId="21" borderId="125" applyNumberFormat="0" applyAlignment="0" applyProtection="0"/>
    <xf numFmtId="0" fontId="59" fillId="36" borderId="125" applyNumberFormat="0" applyAlignment="0" applyProtection="0"/>
    <xf numFmtId="0" fontId="5" fillId="24" borderId="129" applyNumberFormat="0" applyFont="0" applyAlignment="0" applyProtection="0"/>
    <xf numFmtId="0" fontId="5" fillId="24" borderId="129" applyNumberFormat="0" applyFont="0" applyAlignment="0" applyProtection="0"/>
    <xf numFmtId="0" fontId="5" fillId="24" borderId="129" applyNumberFormat="0" applyFont="0" applyAlignment="0" applyProtection="0"/>
    <xf numFmtId="0" fontId="72" fillId="0" borderId="131" applyNumberFormat="0" applyFill="0" applyAlignment="0" applyProtection="0"/>
    <xf numFmtId="0" fontId="62" fillId="21" borderId="125" applyNumberFormat="0" applyAlignment="0" applyProtection="0"/>
    <xf numFmtId="0" fontId="116" fillId="36" borderId="130" applyNumberFormat="0" applyAlignment="0" applyProtection="0"/>
    <xf numFmtId="0" fontId="36" fillId="0" borderId="124" applyBorder="0">
      <alignment horizontal="left" vertical="center" wrapText="1" indent="3"/>
      <protection locked="0"/>
    </xf>
    <xf numFmtId="0" fontId="73" fillId="37" borderId="134" applyNumberFormat="0" applyAlignment="0" applyProtection="0"/>
    <xf numFmtId="0" fontId="122" fillId="0" borderId="137" applyNumberFormat="0" applyFill="0" applyAlignment="0" applyProtection="0"/>
    <xf numFmtId="0" fontId="62" fillId="27" borderId="134" applyNumberFormat="0" applyAlignment="0" applyProtection="0"/>
    <xf numFmtId="0" fontId="5" fillId="24" borderId="135" applyNumberFormat="0" applyFont="0" applyAlignment="0" applyProtection="0"/>
    <xf numFmtId="0" fontId="6" fillId="24" borderId="135" applyNumberFormat="0" applyFont="0" applyAlignment="0" applyProtection="0"/>
    <xf numFmtId="10" fontId="36" fillId="15" borderId="132" applyNumberFormat="0" applyBorder="0" applyAlignment="0" applyProtection="0"/>
    <xf numFmtId="0" fontId="62" fillId="21" borderId="134" applyNumberFormat="0" applyAlignment="0" applyProtection="0"/>
    <xf numFmtId="0" fontId="107" fillId="36" borderId="134" applyNumberFormat="0" applyAlignment="0" applyProtection="0"/>
    <xf numFmtId="0" fontId="65" fillId="37" borderId="136" applyNumberFormat="0" applyAlignment="0" applyProtection="0"/>
    <xf numFmtId="0" fontId="5" fillId="24" borderId="135" applyNumberFormat="0" applyFont="0" applyAlignment="0" applyProtection="0"/>
    <xf numFmtId="0" fontId="65" fillId="36" borderId="136" applyNumberFormat="0" applyAlignment="0" applyProtection="0"/>
    <xf numFmtId="0" fontId="36" fillId="0" borderId="133" applyBorder="0">
      <alignment horizontal="left" vertical="center" wrapText="1" indent="2"/>
      <protection locked="0"/>
    </xf>
    <xf numFmtId="0" fontId="18" fillId="14" borderId="133" applyFill="0" applyBorder="0" applyAlignment="0" applyProtection="0">
      <alignment vertical="center"/>
      <protection locked="0"/>
    </xf>
    <xf numFmtId="0" fontId="110" fillId="21" borderId="134" applyNumberFormat="0" applyAlignment="0" applyProtection="0"/>
    <xf numFmtId="0" fontId="59" fillId="36" borderId="134" applyNumberFormat="0" applyAlignment="0" applyProtection="0"/>
    <xf numFmtId="0" fontId="5" fillId="24" borderId="135" applyNumberFormat="0" applyFont="0" applyAlignment="0" applyProtection="0"/>
    <xf numFmtId="0" fontId="5" fillId="24" borderId="135" applyNumberFormat="0" applyFont="0" applyAlignment="0" applyProtection="0"/>
    <xf numFmtId="0" fontId="5" fillId="24" borderId="135" applyNumberFormat="0" applyFont="0" applyAlignment="0" applyProtection="0"/>
    <xf numFmtId="0" fontId="72" fillId="0" borderId="137" applyNumberFormat="0" applyFill="0" applyAlignment="0" applyProtection="0"/>
    <xf numFmtId="0" fontId="62" fillId="21" borderId="134" applyNumberFormat="0" applyAlignment="0" applyProtection="0"/>
    <xf numFmtId="0" fontId="116" fillId="36" borderId="136" applyNumberFormat="0" applyAlignment="0" applyProtection="0"/>
    <xf numFmtId="0" fontId="36" fillId="0" borderId="133" applyBorder="0">
      <alignment horizontal="left" vertical="center" wrapText="1" indent="3"/>
      <protection locked="0"/>
    </xf>
    <xf numFmtId="0" fontId="122" fillId="0" borderId="141" applyNumberFormat="0" applyFill="0" applyAlignment="0" applyProtection="0"/>
    <xf numFmtId="0" fontId="116" fillId="36" borderId="140" applyNumberFormat="0" applyAlignment="0" applyProtection="0"/>
    <xf numFmtId="0" fontId="5" fillId="0" borderId="0"/>
    <xf numFmtId="167" fontId="5" fillId="0" borderId="0" applyFont="0" applyFill="0" applyBorder="0" applyAlignment="0" applyProtection="0"/>
    <xf numFmtId="185" fontId="5" fillId="0" borderId="0" applyFont="0" applyBorder="0">
      <alignment horizontal="center"/>
    </xf>
    <xf numFmtId="172"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4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46" fillId="0" borderId="0"/>
    <xf numFmtId="187"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46" fillId="0" borderId="0"/>
    <xf numFmtId="187"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14" fillId="0" borderId="0"/>
    <xf numFmtId="0" fontId="1" fillId="0" borderId="0"/>
    <xf numFmtId="0" fontId="5" fillId="0" borderId="0"/>
    <xf numFmtId="0" fontId="114" fillId="0" borderId="0"/>
    <xf numFmtId="0" fontId="5" fillId="0" borderId="0"/>
    <xf numFmtId="0" fontId="114"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8" fillId="14" borderId="146" applyFill="0" applyBorder="0" applyAlignment="0" applyProtection="0">
      <alignment vertical="center"/>
      <protection locked="0"/>
    </xf>
    <xf numFmtId="10" fontId="36" fillId="15" borderId="145" applyNumberFormat="0" applyBorder="0" applyAlignment="0" applyProtection="0"/>
    <xf numFmtId="0" fontId="36" fillId="0" borderId="146" applyBorder="0">
      <alignment horizontal="left" vertical="center" wrapText="1" indent="2"/>
      <protection locked="0"/>
    </xf>
    <xf numFmtId="0" fontId="36" fillId="0" borderId="146" applyBorder="0">
      <alignment horizontal="left" vertical="center" wrapText="1" indent="3"/>
      <protection locked="0"/>
    </xf>
    <xf numFmtId="0" fontId="62" fillId="21" borderId="138" applyNumberFormat="0" applyAlignment="0" applyProtection="0"/>
    <xf numFmtId="10" fontId="36" fillId="15" borderId="145" applyNumberFormat="0" applyBorder="0" applyAlignment="0" applyProtection="0"/>
    <xf numFmtId="0" fontId="36" fillId="0" borderId="146" applyBorder="0">
      <alignment horizontal="left" vertical="center" wrapText="1" indent="2"/>
      <protection locked="0"/>
    </xf>
    <xf numFmtId="0" fontId="18" fillId="14" borderId="146" applyFill="0" applyBorder="0" applyAlignment="0" applyProtection="0">
      <alignment vertical="center"/>
      <protection locked="0"/>
    </xf>
    <xf numFmtId="0" fontId="36" fillId="0" borderId="146" applyBorder="0">
      <alignment horizontal="left" vertical="center" wrapText="1" indent="3"/>
      <protection locked="0"/>
    </xf>
    <xf numFmtId="0" fontId="62" fillId="21" borderId="138" applyNumberFormat="0" applyAlignment="0" applyProtection="0"/>
    <xf numFmtId="0" fontId="36" fillId="0" borderId="146" applyBorder="0">
      <alignment horizontal="left" vertical="center" wrapText="1" indent="3"/>
      <protection locked="0"/>
    </xf>
    <xf numFmtId="0" fontId="65" fillId="36" borderId="140" applyNumberFormat="0" applyAlignment="0" applyProtection="0"/>
    <xf numFmtId="0" fontId="5" fillId="24" borderId="139" applyNumberFormat="0" applyFont="0" applyAlignment="0" applyProtection="0"/>
    <xf numFmtId="0" fontId="122" fillId="0" borderId="141" applyNumberFormat="0" applyFill="0" applyAlignment="0" applyProtection="0"/>
    <xf numFmtId="0" fontId="73" fillId="37" borderId="138" applyNumberFormat="0" applyAlignment="0" applyProtection="0"/>
    <xf numFmtId="10" fontId="36" fillId="15" borderId="145" applyNumberFormat="0" applyBorder="0" applyAlignment="0" applyProtection="0"/>
    <xf numFmtId="0" fontId="65" fillId="37" borderId="140" applyNumberFormat="0" applyAlignment="0" applyProtection="0"/>
    <xf numFmtId="0" fontId="65" fillId="37" borderId="140" applyNumberFormat="0" applyAlignment="0" applyProtection="0"/>
    <xf numFmtId="0" fontId="116" fillId="36" borderId="140" applyNumberFormat="0" applyAlignment="0" applyProtection="0"/>
    <xf numFmtId="0" fontId="18" fillId="14" borderId="146" applyFill="0" applyBorder="0" applyAlignment="0" applyProtection="0">
      <alignment vertical="center"/>
      <protection locked="0"/>
    </xf>
    <xf numFmtId="10" fontId="36" fillId="15" borderId="145" applyNumberFormat="0" applyBorder="0" applyAlignment="0" applyProtection="0"/>
    <xf numFmtId="0" fontId="62" fillId="27" borderId="138" applyNumberFormat="0" applyAlignment="0" applyProtection="0"/>
    <xf numFmtId="0" fontId="62" fillId="21" borderId="138" applyNumberFormat="0" applyAlignment="0" applyProtection="0"/>
    <xf numFmtId="0" fontId="5" fillId="24" borderId="139" applyNumberFormat="0" applyFont="0" applyAlignment="0" applyProtection="0"/>
    <xf numFmtId="0" fontId="36" fillId="0" borderId="146" applyBorder="0">
      <alignment horizontal="left" vertical="center" wrapText="1" indent="2"/>
      <protection locked="0"/>
    </xf>
    <xf numFmtId="0" fontId="36" fillId="0" borderId="146" applyBorder="0">
      <alignment horizontal="left" vertical="center" wrapText="1" indent="3"/>
      <protection locked="0"/>
    </xf>
    <xf numFmtId="0" fontId="59" fillId="36" borderId="138" applyNumberFormat="0" applyAlignment="0" applyProtection="0"/>
    <xf numFmtId="0" fontId="73" fillId="37" borderId="138" applyNumberFormat="0" applyAlignment="0" applyProtection="0"/>
    <xf numFmtId="0" fontId="62" fillId="27" borderId="138" applyNumberFormat="0" applyAlignment="0" applyProtection="0"/>
    <xf numFmtId="0" fontId="62" fillId="21"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0" fontId="65" fillId="36"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5" fillId="24" borderId="139" applyNumberFormat="0" applyFont="0" applyAlignment="0" applyProtection="0"/>
    <xf numFmtId="0" fontId="110" fillId="21" borderId="138" applyNumberFormat="0" applyAlignment="0" applyProtection="0"/>
    <xf numFmtId="0" fontId="107" fillId="36" borderId="138" applyNumberFormat="0" applyAlignment="0" applyProtection="0"/>
    <xf numFmtId="0" fontId="5" fillId="24" borderId="139" applyNumberFormat="0" applyFont="0" applyAlignment="0" applyProtection="0"/>
    <xf numFmtId="0" fontId="116" fillId="36" borderId="140" applyNumberFormat="0" applyAlignment="0" applyProtection="0"/>
    <xf numFmtId="0" fontId="36" fillId="0" borderId="146" applyBorder="0">
      <alignment horizontal="left" vertical="center" wrapText="1" indent="3"/>
      <protection locked="0"/>
    </xf>
    <xf numFmtId="0" fontId="5" fillId="24" borderId="139" applyNumberFormat="0" applyFont="0" applyAlignment="0" applyProtection="0"/>
    <xf numFmtId="0" fontId="5" fillId="24" borderId="139" applyNumberFormat="0" applyFont="0" applyAlignment="0" applyProtection="0"/>
    <xf numFmtId="0" fontId="65" fillId="37" borderId="140" applyNumberFormat="0" applyAlignment="0" applyProtection="0"/>
    <xf numFmtId="0" fontId="36" fillId="0" borderId="146" applyBorder="0">
      <alignment horizontal="left" vertical="center" wrapText="1" indent="2"/>
      <protection locked="0"/>
    </xf>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10" fontId="36" fillId="15" borderId="145" applyNumberFormat="0" applyBorder="0" applyAlignment="0" applyProtection="0"/>
    <xf numFmtId="0" fontId="62" fillId="21" borderId="138" applyNumberFormat="0" applyAlignment="0" applyProtection="0"/>
    <xf numFmtId="0" fontId="59" fillId="36" borderId="138" applyNumberFormat="0" applyAlignment="0" applyProtection="0"/>
    <xf numFmtId="0" fontId="72" fillId="0" borderId="141" applyNumberFormat="0" applyFill="0" applyAlignment="0" applyProtection="0"/>
    <xf numFmtId="0" fontId="36" fillId="0" borderId="146" applyBorder="0">
      <alignment horizontal="left" vertical="center" wrapText="1" indent="2"/>
      <protection locked="0"/>
    </xf>
    <xf numFmtId="0" fontId="5" fillId="24" borderId="139" applyNumberFormat="0" applyFont="0" applyAlignment="0" applyProtection="0"/>
    <xf numFmtId="0" fontId="72" fillId="0" borderId="141" applyNumberFormat="0" applyFill="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110" fillId="21"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0" fontId="59" fillId="36" borderId="138" applyNumberFormat="0" applyAlignment="0" applyProtection="0"/>
    <xf numFmtId="0" fontId="73" fillId="37" borderId="138" applyNumberFormat="0" applyAlignment="0" applyProtection="0"/>
    <xf numFmtId="0" fontId="65" fillId="36" borderId="140" applyNumberFormat="0" applyAlignment="0" applyProtection="0"/>
    <xf numFmtId="0" fontId="5" fillId="24" borderId="139" applyNumberFormat="0" applyFont="0" applyAlignment="0" applyProtection="0"/>
    <xf numFmtId="0" fontId="65" fillId="36" borderId="140" applyNumberFormat="0" applyAlignment="0" applyProtection="0"/>
    <xf numFmtId="0" fontId="116" fillId="36" borderId="140" applyNumberFormat="0" applyAlignment="0" applyProtection="0"/>
    <xf numFmtId="0" fontId="5" fillId="24" borderId="139" applyNumberFormat="0" applyFont="0" applyAlignment="0" applyProtection="0"/>
    <xf numFmtId="0" fontId="65" fillId="37" borderId="140" applyNumberFormat="0" applyAlignment="0" applyProtection="0"/>
    <xf numFmtId="0" fontId="62" fillId="21" borderId="138" applyNumberFormat="0" applyAlignment="0" applyProtection="0"/>
    <xf numFmtId="0" fontId="36" fillId="0" borderId="146" applyBorder="0">
      <alignment horizontal="left" vertical="center" wrapText="1" indent="3"/>
      <protection locked="0"/>
    </xf>
    <xf numFmtId="0" fontId="5" fillId="24" borderId="139" applyNumberFormat="0" applyFont="0" applyAlignment="0" applyProtection="0"/>
    <xf numFmtId="0" fontId="73" fillId="37"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0" fontId="62" fillId="27" borderId="138" applyNumberFormat="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72" fillId="0" borderId="141" applyNumberFormat="0" applyFill="0" applyAlignment="0" applyProtection="0"/>
    <xf numFmtId="0" fontId="122" fillId="0" borderId="141" applyNumberFormat="0" applyFill="0" applyAlignment="0" applyProtection="0"/>
    <xf numFmtId="0" fontId="5" fillId="24" borderId="139" applyNumberFormat="0" applyFont="0" applyAlignment="0" applyProtection="0"/>
    <xf numFmtId="0" fontId="59" fillId="36" borderId="138" applyNumberFormat="0" applyAlignment="0" applyProtection="0"/>
    <xf numFmtId="0" fontId="6" fillId="24" borderId="139" applyNumberFormat="0" applyFont="0" applyAlignment="0" applyProtection="0"/>
    <xf numFmtId="0" fontId="5" fillId="24" borderId="139" applyNumberFormat="0" applyFont="0" applyAlignment="0" applyProtection="0"/>
    <xf numFmtId="0" fontId="59" fillId="36" borderId="138" applyNumberFormat="0" applyAlignment="0" applyProtection="0"/>
    <xf numFmtId="0" fontId="72" fillId="0" borderId="141" applyNumberFormat="0" applyFill="0" applyAlignment="0" applyProtection="0"/>
    <xf numFmtId="0" fontId="18" fillId="14" borderId="146" applyFill="0" applyBorder="0" applyAlignment="0" applyProtection="0">
      <alignment vertical="center"/>
      <protection locked="0"/>
    </xf>
    <xf numFmtId="0" fontId="62" fillId="21" borderId="138" applyNumberFormat="0" applyAlignment="0" applyProtection="0"/>
    <xf numFmtId="0" fontId="110" fillId="21" borderId="138" applyNumberFormat="0" applyAlignment="0" applyProtection="0"/>
    <xf numFmtId="0" fontId="73" fillId="37" borderId="138" applyNumberFormat="0" applyAlignment="0" applyProtection="0"/>
    <xf numFmtId="0" fontId="6" fillId="24" borderId="139" applyNumberFormat="0" applyFont="0" applyAlignment="0" applyProtection="0"/>
    <xf numFmtId="0" fontId="62" fillId="21" borderId="138" applyNumberFormat="0" applyAlignment="0" applyProtection="0"/>
    <xf numFmtId="0" fontId="5" fillId="24" borderId="139" applyNumberFormat="0" applyFont="0" applyAlignment="0" applyProtection="0"/>
    <xf numFmtId="0" fontId="122" fillId="0" borderId="141" applyNumberFormat="0" applyFill="0" applyAlignment="0" applyProtection="0"/>
    <xf numFmtId="0" fontId="116" fillId="36" borderId="140" applyNumberFormat="0" applyAlignment="0" applyProtection="0"/>
    <xf numFmtId="0" fontId="65" fillId="37" borderId="140" applyNumberFormat="0" applyAlignment="0" applyProtection="0"/>
    <xf numFmtId="0" fontId="122" fillId="0" borderId="141" applyNumberFormat="0" applyFill="0" applyAlignment="0" applyProtection="0"/>
    <xf numFmtId="0" fontId="73" fillId="37" borderId="138" applyNumberFormat="0" applyAlignment="0" applyProtection="0"/>
    <xf numFmtId="0" fontId="5" fillId="24" borderId="139" applyNumberFormat="0" applyFont="0" applyAlignment="0" applyProtection="0"/>
    <xf numFmtId="0" fontId="18" fillId="14" borderId="146" applyFill="0" applyBorder="0" applyAlignment="0" applyProtection="0">
      <alignment vertical="center"/>
      <protection locked="0"/>
    </xf>
    <xf numFmtId="0" fontId="36" fillId="0" borderId="146" applyBorder="0">
      <alignment horizontal="left" vertical="center" wrapText="1" indent="2"/>
      <protection locked="0"/>
    </xf>
    <xf numFmtId="0" fontId="65" fillId="37" borderId="140" applyNumberFormat="0" applyAlignment="0" applyProtection="0"/>
    <xf numFmtId="0" fontId="72" fillId="0" borderId="141" applyNumberFormat="0" applyFill="0" applyAlignment="0" applyProtection="0"/>
    <xf numFmtId="0" fontId="110" fillId="21" borderId="138" applyNumberFormat="0" applyAlignment="0" applyProtection="0"/>
    <xf numFmtId="0" fontId="62" fillId="27" borderId="138" applyNumberFormat="0" applyAlignment="0" applyProtection="0"/>
    <xf numFmtId="0" fontId="5" fillId="24" borderId="139" applyNumberFormat="0" applyFont="0" applyAlignment="0" applyProtection="0"/>
    <xf numFmtId="0" fontId="107" fillId="36" borderId="138" applyNumberFormat="0" applyAlignment="0" applyProtection="0"/>
    <xf numFmtId="0" fontId="110" fillId="21" borderId="138" applyNumberFormat="0" applyAlignment="0" applyProtection="0"/>
    <xf numFmtId="0" fontId="5" fillId="24" borderId="139" applyNumberFormat="0" applyFont="0" applyAlignment="0" applyProtection="0"/>
    <xf numFmtId="0" fontId="116" fillId="36" borderId="140" applyNumberFormat="0" applyAlignment="0" applyProtection="0"/>
    <xf numFmtId="0" fontId="122" fillId="0" borderId="141" applyNumberFormat="0" applyFill="0" applyAlignment="0" applyProtection="0"/>
    <xf numFmtId="0" fontId="62" fillId="21" borderId="138" applyNumberFormat="0" applyAlignment="0" applyProtection="0"/>
    <xf numFmtId="0" fontId="6" fillId="24" borderId="139" applyNumberFormat="0" applyFont="0" applyAlignment="0" applyProtection="0"/>
    <xf numFmtId="0" fontId="65" fillId="36" borderId="140" applyNumberFormat="0" applyAlignment="0" applyProtection="0"/>
    <xf numFmtId="0" fontId="62" fillId="21" borderId="138" applyNumberFormat="0" applyAlignment="0" applyProtection="0"/>
    <xf numFmtId="0" fontId="62" fillId="21" borderId="138" applyNumberFormat="0" applyAlignment="0" applyProtection="0"/>
    <xf numFmtId="0" fontId="62" fillId="21" borderId="138" applyNumberFormat="0" applyAlignment="0" applyProtection="0"/>
    <xf numFmtId="0" fontId="62" fillId="21" borderId="138" applyNumberFormat="0" applyAlignment="0" applyProtection="0"/>
    <xf numFmtId="0" fontId="36" fillId="0" borderId="146" applyBorder="0">
      <alignment horizontal="left" vertical="center" wrapText="1" indent="3"/>
      <protection locked="0"/>
    </xf>
    <xf numFmtId="0" fontId="59" fillId="36" borderId="138" applyNumberFormat="0" applyAlignment="0" applyProtection="0"/>
    <xf numFmtId="0" fontId="122" fillId="0" borderId="141" applyNumberFormat="0" applyFill="0" applyAlignment="0" applyProtection="0"/>
    <xf numFmtId="0" fontId="62" fillId="21" borderId="138" applyNumberFormat="0" applyAlignment="0" applyProtection="0"/>
    <xf numFmtId="0" fontId="5" fillId="24" borderId="139" applyNumberFormat="0" applyFont="0" applyAlignment="0" applyProtection="0"/>
    <xf numFmtId="0" fontId="122" fillId="0" borderId="141" applyNumberFormat="0" applyFill="0" applyAlignment="0" applyProtection="0"/>
    <xf numFmtId="0" fontId="62" fillId="27" borderId="138" applyNumberFormat="0" applyAlignment="0" applyProtection="0"/>
    <xf numFmtId="0" fontId="18" fillId="14" borderId="146" applyFill="0" applyBorder="0" applyAlignment="0" applyProtection="0">
      <alignment vertical="center"/>
      <protection locked="0"/>
    </xf>
    <xf numFmtId="10" fontId="36" fillId="15" borderId="145" applyNumberFormat="0" applyBorder="0" applyAlignment="0" applyProtection="0"/>
    <xf numFmtId="0" fontId="36" fillId="0" borderId="146" applyBorder="0">
      <alignment horizontal="left" vertical="center" wrapText="1" indent="2"/>
      <protection locked="0"/>
    </xf>
    <xf numFmtId="0" fontId="6" fillId="24" borderId="139" applyNumberFormat="0" applyFont="0" applyAlignment="0" applyProtection="0"/>
    <xf numFmtId="0" fontId="72" fillId="0" borderId="141" applyNumberFormat="0" applyFill="0" applyAlignment="0" applyProtection="0"/>
    <xf numFmtId="0" fontId="107" fillId="36" borderId="138" applyNumberFormat="0" applyAlignment="0" applyProtection="0"/>
    <xf numFmtId="0" fontId="62" fillId="21" borderId="138" applyNumberFormat="0" applyAlignment="0" applyProtection="0"/>
    <xf numFmtId="0" fontId="5" fillId="24" borderId="139" applyNumberFormat="0" applyFont="0" applyAlignment="0" applyProtection="0"/>
    <xf numFmtId="0" fontId="116" fillId="36" borderId="140" applyNumberFormat="0" applyAlignment="0" applyProtection="0"/>
    <xf numFmtId="10" fontId="36" fillId="15" borderId="145" applyNumberFormat="0" applyBorder="0" applyAlignment="0" applyProtection="0"/>
    <xf numFmtId="0" fontId="122" fillId="0" borderId="141" applyNumberFormat="0" applyFill="0" applyAlignment="0" applyProtection="0"/>
    <xf numFmtId="0" fontId="18" fillId="14" borderId="146" applyFill="0" applyBorder="0" applyAlignment="0" applyProtection="0">
      <alignment vertical="center"/>
      <protection locked="0"/>
    </xf>
    <xf numFmtId="0" fontId="110" fillId="21" borderId="138" applyNumberFormat="0" applyAlignment="0" applyProtection="0"/>
    <xf numFmtId="0" fontId="107" fillId="36" borderId="138" applyNumberFormat="0" applyAlignment="0" applyProtection="0"/>
    <xf numFmtId="0" fontId="6" fillId="24" borderId="139" applyNumberFormat="0" applyFont="0" applyAlignment="0" applyProtection="0"/>
    <xf numFmtId="0" fontId="62" fillId="27" borderId="138" applyNumberFormat="0" applyAlignment="0" applyProtection="0"/>
    <xf numFmtId="0" fontId="116" fillId="36" borderId="140" applyNumberFormat="0" applyAlignment="0" applyProtection="0"/>
    <xf numFmtId="0" fontId="5" fillId="24" borderId="139" applyNumberFormat="0" applyFont="0" applyAlignment="0" applyProtection="0"/>
    <xf numFmtId="0" fontId="65" fillId="36" borderId="140" applyNumberFormat="0" applyAlignment="0" applyProtection="0"/>
    <xf numFmtId="0" fontId="107" fillId="36" borderId="138" applyNumberFormat="0" applyAlignment="0" applyProtection="0"/>
    <xf numFmtId="0" fontId="36" fillId="0" borderId="146" applyBorder="0">
      <alignment horizontal="left" vertical="center" wrapText="1" indent="2"/>
      <protection locked="0"/>
    </xf>
    <xf numFmtId="0" fontId="5" fillId="24" borderId="139" applyNumberFormat="0" applyFont="0" applyAlignment="0" applyProtection="0"/>
    <xf numFmtId="0" fontId="5" fillId="24" borderId="139" applyNumberFormat="0" applyFont="0" applyAlignment="0" applyProtection="0"/>
    <xf numFmtId="0" fontId="65" fillId="37" borderId="140" applyNumberFormat="0" applyAlignment="0" applyProtection="0"/>
    <xf numFmtId="10" fontId="36" fillId="15" borderId="145" applyNumberFormat="0" applyBorder="0" applyAlignment="0" applyProtection="0"/>
    <xf numFmtId="0" fontId="18" fillId="14" borderId="146" applyFill="0" applyBorder="0" applyAlignment="0" applyProtection="0">
      <alignment vertical="center"/>
      <protection locked="0"/>
    </xf>
    <xf numFmtId="0" fontId="65" fillId="36" borderId="140" applyNumberFormat="0" applyAlignment="0" applyProtection="0"/>
    <xf numFmtId="0" fontId="107" fillId="36" borderId="138" applyNumberFormat="0" applyAlignment="0" applyProtection="0"/>
    <xf numFmtId="0" fontId="5" fillId="24" borderId="139" applyNumberFormat="0" applyFont="0" applyAlignment="0" applyProtection="0"/>
    <xf numFmtId="0" fontId="65" fillId="36" borderId="140" applyNumberFormat="0" applyAlignment="0" applyProtection="0"/>
    <xf numFmtId="0" fontId="5" fillId="24" borderId="139" applyNumberFormat="0" applyFont="0" applyAlignment="0" applyProtection="0"/>
    <xf numFmtId="0" fontId="73" fillId="37" borderId="138" applyNumberFormat="0" applyAlignment="0" applyProtection="0"/>
    <xf numFmtId="0" fontId="122" fillId="0" borderId="141" applyNumberFormat="0" applyFill="0" applyAlignment="0" applyProtection="0"/>
    <xf numFmtId="0" fontId="62" fillId="27"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10" fontId="36" fillId="15" borderId="145" applyNumberFormat="0" applyBorder="0" applyAlignment="0" applyProtection="0"/>
    <xf numFmtId="0" fontId="62" fillId="21" borderId="138" applyNumberFormat="0" applyAlignment="0" applyProtection="0"/>
    <xf numFmtId="0" fontId="107" fillId="36" borderId="138" applyNumberFormat="0" applyAlignment="0" applyProtection="0"/>
    <xf numFmtId="0" fontId="65" fillId="37" borderId="140" applyNumberFormat="0" applyAlignment="0" applyProtection="0"/>
    <xf numFmtId="0" fontId="5" fillId="24" borderId="139" applyNumberFormat="0" applyFont="0" applyAlignment="0" applyProtection="0"/>
    <xf numFmtId="0" fontId="65" fillId="36" borderId="140" applyNumberFormat="0" applyAlignment="0" applyProtection="0"/>
    <xf numFmtId="0" fontId="36" fillId="0" borderId="146" applyBorder="0">
      <alignment horizontal="left" vertical="center" wrapText="1" indent="2"/>
      <protection locked="0"/>
    </xf>
    <xf numFmtId="0" fontId="18" fillId="14" borderId="146" applyFill="0" applyBorder="0" applyAlignment="0" applyProtection="0">
      <alignment vertical="center"/>
      <protection locked="0"/>
    </xf>
    <xf numFmtId="0" fontId="110" fillId="21" borderId="138" applyNumberFormat="0" applyAlignment="0" applyProtection="0"/>
    <xf numFmtId="0" fontId="59" fillId="36" borderId="138" applyNumberFormat="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72" fillId="0" borderId="141" applyNumberFormat="0" applyFill="0" applyAlignment="0" applyProtection="0"/>
    <xf numFmtId="0" fontId="62" fillId="21" borderId="138" applyNumberFormat="0" applyAlignment="0" applyProtection="0"/>
    <xf numFmtId="0" fontId="116" fillId="36" borderId="140" applyNumberFormat="0" applyAlignment="0" applyProtection="0"/>
    <xf numFmtId="0" fontId="36" fillId="0" borderId="146" applyBorder="0">
      <alignment horizontal="left" vertical="center" wrapText="1" indent="3"/>
      <protection locked="0"/>
    </xf>
    <xf numFmtId="0" fontId="122" fillId="0" borderId="141" applyNumberFormat="0" applyFill="0" applyAlignment="0" applyProtection="0"/>
    <xf numFmtId="0" fontId="65" fillId="37" borderId="140" applyNumberFormat="0" applyAlignment="0" applyProtection="0"/>
    <xf numFmtId="0" fontId="65"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72" fillId="0" borderId="141" applyNumberFormat="0" applyFill="0" applyAlignment="0" applyProtection="0"/>
    <xf numFmtId="0" fontId="116" fillId="36" borderId="140" applyNumberFormat="0" applyAlignment="0" applyProtection="0"/>
    <xf numFmtId="0" fontId="73" fillId="37" borderId="138" applyNumberFormat="0" applyAlignment="0" applyProtection="0"/>
    <xf numFmtId="0" fontId="122" fillId="0" borderId="141" applyNumberFormat="0" applyFill="0" applyAlignment="0" applyProtection="0"/>
    <xf numFmtId="0" fontId="62" fillId="27"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10" fontId="36" fillId="15" borderId="145" applyNumberFormat="0" applyBorder="0" applyAlignment="0" applyProtection="0"/>
    <xf numFmtId="0" fontId="62" fillId="21" borderId="138" applyNumberFormat="0" applyAlignment="0" applyProtection="0"/>
    <xf numFmtId="0" fontId="107" fillId="36" borderId="138" applyNumberFormat="0" applyAlignment="0" applyProtection="0"/>
    <xf numFmtId="0" fontId="65" fillId="37" borderId="140" applyNumberFormat="0" applyAlignment="0" applyProtection="0"/>
    <xf numFmtId="0" fontId="5" fillId="24" borderId="139" applyNumberFormat="0" applyFont="0" applyAlignment="0" applyProtection="0"/>
    <xf numFmtId="0" fontId="65" fillId="36" borderId="140" applyNumberFormat="0" applyAlignment="0" applyProtection="0"/>
    <xf numFmtId="0" fontId="36" fillId="0" borderId="146" applyBorder="0">
      <alignment horizontal="left" vertical="center" wrapText="1" indent="2"/>
      <protection locked="0"/>
    </xf>
    <xf numFmtId="0" fontId="18" fillId="14" borderId="146" applyFill="0" applyBorder="0" applyAlignment="0" applyProtection="0">
      <alignment vertical="center"/>
      <protection locked="0"/>
    </xf>
    <xf numFmtId="0" fontId="110" fillId="21" borderId="138" applyNumberFormat="0" applyAlignment="0" applyProtection="0"/>
    <xf numFmtId="0" fontId="59" fillId="36" borderId="138" applyNumberFormat="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72" fillId="0" borderId="141" applyNumberFormat="0" applyFill="0" applyAlignment="0" applyProtection="0"/>
    <xf numFmtId="0" fontId="62" fillId="21" borderId="138" applyNumberFormat="0" applyAlignment="0" applyProtection="0"/>
    <xf numFmtId="0" fontId="116" fillId="36" borderId="140" applyNumberFormat="0" applyAlignment="0" applyProtection="0"/>
    <xf numFmtId="0" fontId="36" fillId="0" borderId="146" applyBorder="0">
      <alignment horizontal="left" vertical="center" wrapText="1" indent="3"/>
      <protection locked="0"/>
    </xf>
    <xf numFmtId="0" fontId="5" fillId="24" borderId="139" applyNumberFormat="0" applyFont="0" applyAlignment="0" applyProtection="0"/>
    <xf numFmtId="0" fontId="5" fillId="24" borderId="139" applyNumberFormat="0" applyFont="0" applyAlignment="0" applyProtection="0"/>
    <xf numFmtId="0" fontId="36" fillId="0" borderId="146" applyBorder="0">
      <alignment horizontal="left" vertical="center" wrapText="1" indent="3"/>
      <protection locked="0"/>
    </xf>
    <xf numFmtId="0" fontId="73" fillId="37" borderId="138" applyNumberFormat="0" applyAlignment="0" applyProtection="0"/>
    <xf numFmtId="0" fontId="122" fillId="0" borderId="141" applyNumberFormat="0" applyFill="0" applyAlignment="0" applyProtection="0"/>
    <xf numFmtId="0" fontId="62" fillId="27"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10" fontId="36" fillId="15" borderId="145" applyNumberFormat="0" applyBorder="0" applyAlignment="0" applyProtection="0"/>
    <xf numFmtId="0" fontId="62" fillId="21" borderId="138" applyNumberFormat="0" applyAlignment="0" applyProtection="0"/>
    <xf numFmtId="0" fontId="107" fillId="36" borderId="138" applyNumberFormat="0" applyAlignment="0" applyProtection="0"/>
    <xf numFmtId="0" fontId="65" fillId="37" borderId="140" applyNumberFormat="0" applyAlignment="0" applyProtection="0"/>
    <xf numFmtId="0" fontId="5" fillId="24" borderId="139" applyNumberFormat="0" applyFont="0" applyAlignment="0" applyProtection="0"/>
    <xf numFmtId="0" fontId="65" fillId="36" borderId="140" applyNumberFormat="0" applyAlignment="0" applyProtection="0"/>
    <xf numFmtId="0" fontId="36" fillId="0" borderId="146" applyBorder="0">
      <alignment horizontal="left" vertical="center" wrapText="1" indent="2"/>
      <protection locked="0"/>
    </xf>
    <xf numFmtId="0" fontId="18" fillId="14" borderId="146" applyFill="0" applyBorder="0" applyAlignment="0" applyProtection="0">
      <alignment vertical="center"/>
      <protection locked="0"/>
    </xf>
    <xf numFmtId="0" fontId="110" fillId="21" borderId="138" applyNumberFormat="0" applyAlignment="0" applyProtection="0"/>
    <xf numFmtId="0" fontId="59" fillId="36" borderId="138" applyNumberFormat="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72" fillId="0" borderId="141" applyNumberFormat="0" applyFill="0" applyAlignment="0" applyProtection="0"/>
    <xf numFmtId="0" fontId="62" fillId="21" borderId="138" applyNumberFormat="0" applyAlignment="0" applyProtection="0"/>
    <xf numFmtId="0" fontId="116" fillId="36" borderId="140" applyNumberFormat="0" applyAlignment="0" applyProtection="0"/>
    <xf numFmtId="0" fontId="36" fillId="0" borderId="146" applyBorder="0">
      <alignment horizontal="left" vertical="center" wrapText="1" indent="3"/>
      <protection locked="0"/>
    </xf>
    <xf numFmtId="0" fontId="73" fillId="37" borderId="138" applyNumberFormat="0" applyAlignment="0" applyProtection="0"/>
    <xf numFmtId="0" fontId="122" fillId="0" borderId="141" applyNumberFormat="0" applyFill="0" applyAlignment="0" applyProtection="0"/>
    <xf numFmtId="0" fontId="62" fillId="27" borderId="138" applyNumberFormat="0" applyAlignment="0" applyProtection="0"/>
    <xf numFmtId="0" fontId="5" fillId="24" borderId="139" applyNumberFormat="0" applyFont="0" applyAlignment="0" applyProtection="0"/>
    <xf numFmtId="0" fontId="6" fillId="24" borderId="139" applyNumberFormat="0" applyFont="0" applyAlignment="0" applyProtection="0"/>
    <xf numFmtId="10" fontId="36" fillId="15" borderId="145" applyNumberFormat="0" applyBorder="0" applyAlignment="0" applyProtection="0"/>
    <xf numFmtId="0" fontId="62" fillId="21" borderId="138" applyNumberFormat="0" applyAlignment="0" applyProtection="0"/>
    <xf numFmtId="0" fontId="107" fillId="36" borderId="138" applyNumberFormat="0" applyAlignment="0" applyProtection="0"/>
    <xf numFmtId="0" fontId="65" fillId="37" borderId="140" applyNumberFormat="0" applyAlignment="0" applyProtection="0"/>
    <xf numFmtId="0" fontId="5" fillId="24" borderId="139" applyNumberFormat="0" applyFont="0" applyAlignment="0" applyProtection="0"/>
    <xf numFmtId="0" fontId="65" fillId="36" borderId="140" applyNumberFormat="0" applyAlignment="0" applyProtection="0"/>
    <xf numFmtId="0" fontId="36" fillId="0" borderId="146" applyBorder="0">
      <alignment horizontal="left" vertical="center" wrapText="1" indent="2"/>
      <protection locked="0"/>
    </xf>
    <xf numFmtId="0" fontId="18" fillId="14" borderId="146" applyFill="0" applyBorder="0" applyAlignment="0" applyProtection="0">
      <alignment vertical="center"/>
      <protection locked="0"/>
    </xf>
    <xf numFmtId="0" fontId="110" fillId="21" borderId="138" applyNumberFormat="0" applyAlignment="0" applyProtection="0"/>
    <xf numFmtId="0" fontId="59" fillId="36" borderId="138" applyNumberFormat="0" applyAlignment="0" applyProtection="0"/>
    <xf numFmtId="0" fontId="5" fillId="24" borderId="139" applyNumberFormat="0" applyFont="0" applyAlignment="0" applyProtection="0"/>
    <xf numFmtId="0" fontId="5" fillId="24" borderId="139" applyNumberFormat="0" applyFont="0" applyAlignment="0" applyProtection="0"/>
    <xf numFmtId="0" fontId="5" fillId="24" borderId="139" applyNumberFormat="0" applyFont="0" applyAlignment="0" applyProtection="0"/>
    <xf numFmtId="0" fontId="72" fillId="0" borderId="141" applyNumberFormat="0" applyFill="0" applyAlignment="0" applyProtection="0"/>
    <xf numFmtId="0" fontId="62" fillId="21" borderId="138" applyNumberFormat="0" applyAlignment="0" applyProtection="0"/>
    <xf numFmtId="0" fontId="116" fillId="36" borderId="140" applyNumberFormat="0" applyAlignment="0" applyProtection="0"/>
    <xf numFmtId="0" fontId="36" fillId="0" borderId="146" applyBorder="0">
      <alignment horizontal="left" vertical="center" wrapText="1" indent="3"/>
      <protection locked="0"/>
    </xf>
    <xf numFmtId="0" fontId="48" fillId="0" borderId="0"/>
    <xf numFmtId="10" fontId="36" fillId="15" borderId="142"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7"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54"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57" fillId="61" borderId="0" applyNumberFormat="0" applyBorder="0" applyAlignment="0" applyProtection="0"/>
    <xf numFmtId="0" fontId="57" fillId="58" borderId="0" applyNumberFormat="0" applyBorder="0" applyAlignment="0" applyProtection="0"/>
    <xf numFmtId="0" fontId="57" fillId="59"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8" fillId="53" borderId="0" applyNumberFormat="0" applyBorder="0" applyAlignment="0" applyProtection="0"/>
    <xf numFmtId="0" fontId="59" fillId="65" borderId="156" applyNumberFormat="0" applyAlignment="0" applyProtection="0"/>
    <xf numFmtId="0" fontId="60" fillId="66" borderId="50" applyNumberFormat="0" applyAlignment="0" applyProtection="0"/>
    <xf numFmtId="0" fontId="61" fillId="0" borderId="51" applyNumberFormat="0" applyFill="0" applyAlignment="0" applyProtection="0"/>
    <xf numFmtId="0" fontId="57" fillId="67"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70" borderId="0" applyNumberFormat="0" applyBorder="0" applyAlignment="0" applyProtection="0"/>
    <xf numFmtId="0" fontId="62" fillId="56" borderId="156" applyNumberFormat="0" applyAlignment="0" applyProtection="0"/>
    <xf numFmtId="0" fontId="63" fillId="52" borderId="0" applyNumberFormat="0" applyBorder="0" applyAlignment="0" applyProtection="0"/>
    <xf numFmtId="0" fontId="64" fillId="71" borderId="0" applyNumberFormat="0" applyBorder="0" applyAlignment="0" applyProtection="0"/>
    <xf numFmtId="0" fontId="1" fillId="0" borderId="0"/>
    <xf numFmtId="0" fontId="53" fillId="0" borderId="0"/>
    <xf numFmtId="0" fontId="5" fillId="72" borderId="157" applyNumberFormat="0" applyAlignment="0" applyProtection="0"/>
    <xf numFmtId="0" fontId="65" fillId="65" borderId="158" applyNumberFormat="0" applyAlignment="0" applyProtection="0"/>
    <xf numFmtId="0" fontId="69" fillId="0" borderId="53" applyNumberFormat="0" applyFill="0" applyAlignment="0" applyProtection="0"/>
    <xf numFmtId="0" fontId="70" fillId="0" borderId="54" applyNumberFormat="0" applyFill="0" applyAlignment="0" applyProtection="0"/>
    <xf numFmtId="0" fontId="71" fillId="0" borderId="55" applyNumberFormat="0" applyFill="0" applyAlignment="0" applyProtection="0"/>
    <xf numFmtId="0" fontId="71" fillId="0" borderId="0" applyNumberFormat="0" applyFill="0" applyBorder="0" applyAlignment="0" applyProtection="0"/>
    <xf numFmtId="194"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2" fillId="27" borderId="163" applyNumberFormat="0" applyAlignment="0" applyProtection="0"/>
    <xf numFmtId="0" fontId="65" fillId="36" borderId="165" applyNumberFormat="0" applyAlignment="0" applyProtection="0"/>
    <xf numFmtId="0" fontId="5" fillId="24" borderId="164" applyNumberFormat="0" applyFont="0" applyAlignment="0" applyProtection="0"/>
    <xf numFmtId="0" fontId="62" fillId="27" borderId="163"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07" fillId="36" borderId="163" applyNumberFormat="0" applyAlignment="0" applyProtection="0"/>
    <xf numFmtId="0" fontId="5" fillId="0" borderId="0"/>
    <xf numFmtId="0" fontId="5" fillId="24" borderId="157" applyNumberFormat="0" applyFont="0" applyAlignment="0" applyProtection="0"/>
    <xf numFmtId="43" fontId="5" fillId="0" borderId="0" applyFont="0" applyFill="0" applyBorder="0" applyAlignment="0" applyProtection="0"/>
    <xf numFmtId="0" fontId="107" fillId="36" borderId="163" applyNumberFormat="0" applyAlignment="0" applyProtection="0"/>
    <xf numFmtId="0" fontId="5" fillId="0" borderId="0"/>
    <xf numFmtId="0" fontId="5" fillId="0" borderId="0"/>
    <xf numFmtId="0" fontId="5" fillId="0" borderId="0"/>
    <xf numFmtId="0" fontId="5" fillId="0" borderId="0"/>
    <xf numFmtId="0" fontId="65" fillId="36" borderId="165" applyNumberFormat="0" applyAlignment="0" applyProtection="0"/>
    <xf numFmtId="0" fontId="5" fillId="24" borderId="157" applyNumberFormat="0" applyFont="0" applyAlignment="0" applyProtection="0"/>
    <xf numFmtId="167" fontId="5" fillId="0" borderId="0" applyFont="0" applyFill="0" applyBorder="0" applyAlignment="0" applyProtection="0"/>
    <xf numFmtId="0" fontId="5" fillId="24" borderId="157" applyNumberFormat="0" applyFon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1" borderId="16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5" fillId="0" borderId="0" applyFont="0" applyFill="0" applyBorder="0" applyAlignment="0" applyProtection="0"/>
    <xf numFmtId="0" fontId="5" fillId="24" borderId="164" applyNumberFormat="0" applyFont="0" applyAlignment="0" applyProtection="0"/>
    <xf numFmtId="0" fontId="6" fillId="24" borderId="164"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10" fillId="21" borderId="163" applyNumberFormat="0" applyAlignment="0" applyProtection="0"/>
    <xf numFmtId="167" fontId="5"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22" fillId="0" borderId="166" applyNumberFormat="0" applyFill="0" applyAlignment="0" applyProtection="0"/>
    <xf numFmtId="0" fontId="62" fillId="27" borderId="163" applyNumberFormat="0" applyAlignment="0" applyProtection="0"/>
    <xf numFmtId="0" fontId="6" fillId="24" borderId="164"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62" fillId="21" borderId="163"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36" borderId="159" applyNumberFormat="0" applyAlignment="0" applyProtection="0"/>
    <xf numFmtId="0" fontId="73" fillId="37" borderId="15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7" borderId="159" applyNumberFormat="0" applyAlignment="0" applyProtection="0"/>
    <xf numFmtId="0" fontId="5" fillId="0" borderId="0"/>
    <xf numFmtId="0" fontId="5" fillId="0" borderId="0"/>
    <xf numFmtId="0" fontId="62" fillId="21" borderId="159" applyNumberFormat="0" applyAlignment="0" applyProtection="0"/>
    <xf numFmtId="43" fontId="35" fillId="0" borderId="0" applyFont="0" applyFill="0" applyBorder="0" applyAlignment="0" applyProtection="0"/>
    <xf numFmtId="167" fontId="5" fillId="0" borderId="0" applyFont="0" applyFill="0" applyBorder="0" applyAlignment="0" applyProtection="0"/>
    <xf numFmtId="0" fontId="5" fillId="24" borderId="160" applyNumberFormat="0" applyFont="0" applyAlignment="0" applyProtection="0"/>
    <xf numFmtId="0" fontId="6" fillId="24" borderId="160" applyNumberFormat="0" applyFont="0" applyAlignment="0" applyProtection="0"/>
    <xf numFmtId="0" fontId="65" fillId="36" borderId="161" applyNumberFormat="0" applyAlignment="0" applyProtection="0"/>
    <xf numFmtId="0" fontId="65" fillId="37" borderId="161" applyNumberFormat="0" applyAlignment="0" applyProtection="0"/>
    <xf numFmtId="0" fontId="72" fillId="0" borderId="162" applyNumberFormat="0" applyFill="0" applyAlignment="0" applyProtection="0"/>
    <xf numFmtId="0" fontId="5" fillId="24" borderId="164" applyNumberFormat="0" applyFont="0" applyAlignment="0" applyProtection="0"/>
    <xf numFmtId="0" fontId="65" fillId="36" borderId="16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4" borderId="157" applyNumberFormat="0" applyFont="0" applyAlignment="0" applyProtection="0"/>
    <xf numFmtId="0" fontId="5" fillId="24" borderId="15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2" fillId="0" borderId="166"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0" fontId="116" fillId="36" borderId="165" applyNumberFormat="0" applyAlignment="0" applyProtection="0"/>
    <xf numFmtId="43" fontId="5" fillId="0" borderId="0" applyFont="0" applyFill="0" applyBorder="0" applyAlignment="0" applyProtection="0"/>
    <xf numFmtId="0" fontId="122" fillId="0" borderId="166" applyNumberFormat="0" applyFill="0" applyAlignment="0" applyProtection="0"/>
    <xf numFmtId="0" fontId="116" fillId="36" borderId="165" applyNumberFormat="0" applyAlignment="0" applyProtection="0"/>
    <xf numFmtId="0" fontId="5" fillId="0" borderId="0"/>
    <xf numFmtId="9"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35" fillId="0" borderId="0" applyFont="0" applyFill="0" applyBorder="0" applyAlignment="0" applyProtection="0"/>
    <xf numFmtId="0" fontId="62" fillId="21" borderId="163" applyNumberForma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35"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0" borderId="0"/>
    <xf numFmtId="167" fontId="5" fillId="0" borderId="0" applyFont="0" applyFill="0" applyBorder="0" applyAlignment="0" applyProtection="0"/>
    <xf numFmtId="0" fontId="73" fillId="37" borderId="163" applyNumberFormat="0" applyAlignment="0" applyProtection="0"/>
    <xf numFmtId="0" fontId="72" fillId="0" borderId="166"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167" fontId="5" fillId="0" borderId="0" applyFont="0" applyFill="0" applyBorder="0" applyAlignment="0" applyProtection="0"/>
    <xf numFmtId="0" fontId="62" fillId="21" borderId="163" applyNumberFormat="0" applyAlignment="0" applyProtection="0"/>
    <xf numFmtId="43" fontId="1" fillId="0" borderId="0" applyFont="0" applyFill="0" applyBorder="0" applyAlignment="0" applyProtection="0"/>
    <xf numFmtId="0" fontId="73" fillId="37" borderId="163"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6" fillId="24" borderId="157" applyNumberFormat="0" applyFont="0" applyAlignment="0" applyProtection="0"/>
    <xf numFmtId="0" fontId="110" fillId="21" borderId="163" applyNumberFormat="0" applyAlignment="0" applyProtection="0"/>
    <xf numFmtId="0" fontId="59" fillId="36" borderId="16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2" fillId="21" borderId="163" applyNumberFormat="0" applyAlignment="0" applyProtection="0"/>
    <xf numFmtId="0" fontId="5" fillId="24" borderId="164"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07" fillId="36" borderId="163"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2" fillId="0" borderId="166" applyNumberFormat="0" applyFill="0" applyAlignment="0" applyProtection="0"/>
    <xf numFmtId="0" fontId="5" fillId="0" borderId="0"/>
    <xf numFmtId="0" fontId="5" fillId="0" borderId="0"/>
    <xf numFmtId="167" fontId="5" fillId="0" borderId="0" applyFont="0" applyFill="0" applyBorder="0" applyAlignment="0" applyProtection="0"/>
    <xf numFmtId="0" fontId="5" fillId="0" borderId="0"/>
    <xf numFmtId="43" fontId="1" fillId="0" borderId="0" applyFont="0" applyFill="0" applyBorder="0" applyAlignment="0" applyProtection="0"/>
    <xf numFmtId="0" fontId="6" fillId="24" borderId="157" applyNumberFormat="0" applyFont="0" applyAlignment="0" applyProtection="0"/>
    <xf numFmtId="167"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43"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4" borderId="157" applyNumberFormat="0" applyFont="0" applyAlignment="0" applyProtection="0"/>
    <xf numFmtId="167" fontId="5" fillId="0" borderId="0" applyFont="0" applyFill="0" applyBorder="0" applyAlignment="0" applyProtection="0"/>
    <xf numFmtId="0" fontId="5" fillId="24" borderId="160" applyNumberFormat="0" applyFont="0" applyAlignment="0" applyProtection="0"/>
    <xf numFmtId="0" fontId="5" fillId="24" borderId="164" applyNumberFormat="0" applyFont="0" applyAlignment="0" applyProtection="0"/>
    <xf numFmtId="0" fontId="5" fillId="0" borderId="0"/>
    <xf numFmtId="43" fontId="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16" fillId="36" borderId="165" applyNumberFormat="0" applyAlignment="0" applyProtection="0"/>
    <xf numFmtId="19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7" borderId="163" applyNumberFormat="0" applyAlignment="0" applyProtection="0"/>
    <xf numFmtId="0" fontId="5" fillId="0" borderId="0"/>
    <xf numFmtId="167"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4" borderId="164" applyNumberFormat="0" applyFont="0" applyAlignment="0" applyProtection="0"/>
    <xf numFmtId="0" fontId="1" fillId="0" borderId="0"/>
    <xf numFmtId="43" fontId="115" fillId="0" borderId="0" applyFont="0" applyFill="0" applyBorder="0" applyAlignment="0" applyProtection="0"/>
    <xf numFmtId="167" fontId="5" fillId="0" borderId="0" applyFont="0" applyFill="0" applyBorder="0" applyAlignment="0" applyProtection="0"/>
    <xf numFmtId="0" fontId="1" fillId="0" borderId="0"/>
    <xf numFmtId="168" fontId="5" fillId="0" borderId="0" applyFont="0" applyFill="0" applyBorder="0" applyAlignment="0" applyProtection="0"/>
    <xf numFmtId="0" fontId="5" fillId="0" borderId="0"/>
    <xf numFmtId="0" fontId="5" fillId="0" borderId="0"/>
    <xf numFmtId="0" fontId="5" fillId="0" borderId="0"/>
    <xf numFmtId="43"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2" fillId="0" borderId="166" applyNumberFormat="0" applyFill="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4" borderId="160" applyNumberFormat="0" applyFont="0" applyAlignment="0" applyProtection="0"/>
    <xf numFmtId="0" fontId="5" fillId="24" borderId="160" applyNumberFormat="0" applyFont="0" applyAlignment="0" applyProtection="0"/>
    <xf numFmtId="43" fontId="5" fillId="0" borderId="0" applyFont="0" applyFill="0" applyBorder="0" applyAlignment="0" applyProtection="0"/>
    <xf numFmtId="9" fontId="11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46"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116" fillId="36" borderId="165" applyNumberFormat="0" applyAlignment="0" applyProtection="0"/>
    <xf numFmtId="0" fontId="110" fillId="21" borderId="163" applyNumberFormat="0" applyAlignment="0" applyProtection="0"/>
    <xf numFmtId="0" fontId="5" fillId="24" borderId="164" applyNumberFormat="0" applyFont="0" applyAlignment="0" applyProtection="0"/>
    <xf numFmtId="0" fontId="73" fillId="37" borderId="163" applyNumberFormat="0" applyAlignment="0" applyProtection="0"/>
    <xf numFmtId="0" fontId="59" fillId="36" borderId="163" applyNumberFormat="0" applyAlignment="0" applyProtection="0"/>
    <xf numFmtId="0" fontId="73" fillId="37" borderId="163" applyNumberFormat="0" applyAlignment="0" applyProtection="0"/>
    <xf numFmtId="0" fontId="5" fillId="24" borderId="164" applyNumberFormat="0" applyFont="0" applyAlignment="0" applyProtection="0"/>
    <xf numFmtId="0" fontId="62" fillId="21" borderId="163" applyNumberFormat="0" applyAlignment="0" applyProtection="0"/>
    <xf numFmtId="0" fontId="65" fillId="36" borderId="165" applyNumberFormat="0" applyAlignment="0" applyProtection="0"/>
    <xf numFmtId="0" fontId="59" fillId="36" borderId="163" applyNumberFormat="0" applyAlignment="0" applyProtection="0"/>
    <xf numFmtId="0" fontId="116" fillId="36" borderId="165" applyNumberFormat="0" applyAlignment="0" applyProtection="0"/>
    <xf numFmtId="0" fontId="122" fillId="0" borderId="166" applyNumberFormat="0" applyFill="0" applyAlignment="0" applyProtection="0"/>
    <xf numFmtId="0" fontId="107" fillId="36" borderId="163" applyNumberFormat="0" applyAlignment="0" applyProtection="0"/>
    <xf numFmtId="0" fontId="62" fillId="27"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65" applyNumberFormat="0" applyAlignment="0" applyProtection="0"/>
    <xf numFmtId="0" fontId="5" fillId="24" borderId="164" applyNumberFormat="0" applyFont="0" applyAlignment="0" applyProtection="0"/>
    <xf numFmtId="0" fontId="62" fillId="21" borderId="163" applyNumberFormat="0" applyAlignment="0" applyProtection="0"/>
    <xf numFmtId="0" fontId="62" fillId="21" borderId="163" applyNumberFormat="0" applyAlignment="0" applyProtection="0"/>
    <xf numFmtId="0" fontId="65" fillId="36" borderId="165" applyNumberFormat="0" applyAlignment="0" applyProtection="0"/>
    <xf numFmtId="0" fontId="72" fillId="0" borderId="166" applyNumberFormat="0" applyFill="0" applyAlignment="0" applyProtection="0"/>
    <xf numFmtId="0" fontId="116" fillId="36" borderId="165" applyNumberFormat="0" applyAlignment="0" applyProtection="0"/>
    <xf numFmtId="0" fontId="72" fillId="0" borderId="166" applyNumberFormat="0" applyFill="0" applyAlignment="0" applyProtection="0"/>
    <xf numFmtId="0" fontId="6" fillId="24" borderId="164" applyNumberFormat="0" applyFont="0" applyAlignment="0" applyProtection="0"/>
    <xf numFmtId="0" fontId="5" fillId="24" borderId="164" applyNumberFormat="0" applyFont="0" applyAlignment="0" applyProtection="0"/>
    <xf numFmtId="0" fontId="65" fillId="37" borderId="165" applyNumberFormat="0" applyAlignment="0" applyProtection="0"/>
    <xf numFmtId="0" fontId="110" fillId="21" borderId="163" applyNumberFormat="0" applyAlignment="0" applyProtection="0"/>
    <xf numFmtId="0" fontId="73" fillId="3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5" fillId="37" borderId="165" applyNumberFormat="0" applyAlignment="0" applyProtection="0"/>
    <xf numFmtId="0" fontId="59" fillId="36" borderId="163" applyNumberFormat="0" applyAlignment="0" applyProtection="0"/>
    <xf numFmtId="0" fontId="5" fillId="24" borderId="164" applyNumberFormat="0" applyFont="0" applyAlignment="0" applyProtection="0"/>
    <xf numFmtId="0" fontId="110" fillId="21" borderId="163" applyNumberFormat="0" applyAlignment="0" applyProtection="0"/>
    <xf numFmtId="0" fontId="5" fillId="24" borderId="16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2" fillId="21" borderId="163"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166" applyNumberFormat="0" applyFill="0" applyAlignment="0" applyProtection="0"/>
    <xf numFmtId="167" fontId="5" fillId="0" borderId="0" applyFont="0" applyFill="0" applyBorder="0" applyAlignment="0" applyProtection="0"/>
    <xf numFmtId="0" fontId="6" fillId="24" borderId="164" applyNumberFormat="0" applyFont="0" applyAlignment="0" applyProtection="0"/>
    <xf numFmtId="0" fontId="65" fillId="36" borderId="165" applyNumberForma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07" fillId="36" borderId="163" applyNumberFormat="0" applyAlignment="0" applyProtection="0"/>
    <xf numFmtId="0" fontId="5" fillId="0" borderId="0"/>
    <xf numFmtId="167"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6" fillId="0" borderId="0"/>
    <xf numFmtId="43" fontId="5"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10" fillId="21" borderId="163" applyNumberFormat="0" applyAlignment="0" applyProtection="0"/>
    <xf numFmtId="0" fontId="5" fillId="24" borderId="164" applyNumberFormat="0" applyFont="0" applyAlignment="0" applyProtection="0"/>
    <xf numFmtId="0" fontId="65" fillId="37" borderId="165" applyNumberFormat="0" applyAlignment="0" applyProtection="0"/>
    <xf numFmtId="0" fontId="65" fillId="37" borderId="165" applyNumberFormat="0" applyAlignment="0" applyProtection="0"/>
    <xf numFmtId="43"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3" fillId="37" borderId="163"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168"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4" borderId="164" applyNumberFormat="0" applyFont="0" applyAlignment="0" applyProtection="0"/>
    <xf numFmtId="0" fontId="107" fillId="36" borderId="163" applyNumberFormat="0" applyAlignment="0" applyProtection="0"/>
    <xf numFmtId="0" fontId="5" fillId="24" borderId="164"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2" fillId="21" borderId="163"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7" borderId="165" applyNumberFormat="0" applyAlignment="0" applyProtection="0"/>
    <xf numFmtId="0" fontId="5" fillId="24" borderId="164" applyNumberFormat="0" applyFont="0" applyAlignment="0" applyProtection="0"/>
    <xf numFmtId="0" fontId="65" fillId="37" borderId="165" applyNumberFormat="0" applyAlignment="0" applyProtection="0"/>
    <xf numFmtId="0" fontId="65" fillId="36" borderId="165" applyNumberFormat="0" applyAlignment="0" applyProtection="0"/>
    <xf numFmtId="0" fontId="62" fillId="21" borderId="163" applyNumberFormat="0" applyAlignment="0" applyProtection="0"/>
    <xf numFmtId="0" fontId="65" fillId="37" borderId="165" applyNumberFormat="0" applyAlignment="0" applyProtection="0"/>
    <xf numFmtId="0" fontId="5" fillId="24" borderId="164" applyNumberFormat="0" applyFont="0" applyAlignment="0" applyProtection="0"/>
    <xf numFmtId="0" fontId="65" fillId="36" borderId="165" applyNumberForma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107" fillId="36" borderId="163" applyNumberFormat="0" applyAlignment="0" applyProtection="0"/>
    <xf numFmtId="168" fontId="5" fillId="0" borderId="0" applyFont="0" applyFill="0" applyBorder="0" applyAlignment="0" applyProtection="0"/>
    <xf numFmtId="0" fontId="5" fillId="24" borderId="157" applyNumberFormat="0" applyFont="0" applyAlignment="0" applyProtection="0"/>
    <xf numFmtId="167" fontId="49"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65" applyNumberFormat="0" applyAlignment="0" applyProtection="0"/>
    <xf numFmtId="0" fontId="5" fillId="24" borderId="164" applyNumberFormat="0" applyFon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24" borderId="164" applyNumberFormat="0" applyFont="0" applyAlignment="0" applyProtection="0"/>
    <xf numFmtId="0" fontId="62" fillId="27" borderId="163" applyNumberFormat="0" applyAlignment="0" applyProtection="0"/>
    <xf numFmtId="0" fontId="6" fillId="24" borderId="164" applyNumberFormat="0" applyFont="0" applyAlignment="0" applyProtection="0"/>
    <xf numFmtId="0" fontId="122" fillId="0" borderId="166" applyNumberFormat="0" applyFill="0" applyAlignment="0" applyProtection="0"/>
    <xf numFmtId="0" fontId="65" fillId="36" borderId="165" applyNumberFormat="0" applyAlignment="0" applyProtection="0"/>
    <xf numFmtId="0" fontId="72" fillId="0" borderId="166" applyNumberFormat="0" applyFill="0" applyAlignment="0" applyProtection="0"/>
    <xf numFmtId="0" fontId="107" fillId="36" borderId="163" applyNumberFormat="0" applyAlignment="0" applyProtection="0"/>
    <xf numFmtId="0" fontId="5" fillId="24" borderId="164" applyNumberFormat="0" applyFont="0" applyAlignment="0" applyProtection="0"/>
    <xf numFmtId="0" fontId="59" fillId="36" borderId="163" applyNumberFormat="0" applyAlignment="0" applyProtection="0"/>
    <xf numFmtId="0" fontId="5" fillId="0" borderId="0"/>
    <xf numFmtId="0" fontId="5" fillId="24" borderId="164" applyNumberFormat="0" applyFont="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0" fontId="62" fillId="21" borderId="163" applyNumberFormat="0" applyAlignment="0" applyProtection="0"/>
    <xf numFmtId="0" fontId="107" fillId="36" borderId="163" applyNumberFormat="0" applyAlignment="0" applyProtection="0"/>
    <xf numFmtId="0" fontId="62" fillId="21" borderId="163" applyNumberFormat="0" applyAlignment="0" applyProtection="0"/>
    <xf numFmtId="0" fontId="73" fillId="37" borderId="163" applyNumberFormat="0" applyAlignment="0" applyProtection="0"/>
    <xf numFmtId="0" fontId="5" fillId="24" borderId="157" applyNumberFormat="0" applyFont="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4" borderId="164" applyNumberFormat="0" applyFont="0" applyAlignment="0" applyProtection="0"/>
    <xf numFmtId="0" fontId="5" fillId="0" borderId="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0" borderId="0"/>
    <xf numFmtId="0" fontId="62" fillId="21" borderId="163" applyNumberFormat="0" applyAlignment="0" applyProtection="0"/>
    <xf numFmtId="0" fontId="5" fillId="0" borderId="0"/>
    <xf numFmtId="0" fontId="5" fillId="0" borderId="0"/>
    <xf numFmtId="43" fontId="5" fillId="0" borderId="0" applyFont="0" applyFill="0" applyBorder="0" applyAlignment="0" applyProtection="0"/>
    <xf numFmtId="0" fontId="73" fillId="37" borderId="163" applyNumberFormat="0" applyAlignment="0" applyProtection="0"/>
    <xf numFmtId="167" fontId="5" fillId="0" borderId="0" applyFont="0" applyFill="0" applyBorder="0" applyAlignment="0" applyProtection="0"/>
    <xf numFmtId="0" fontId="5" fillId="0" borderId="0"/>
    <xf numFmtId="0" fontId="5" fillId="24" borderId="157" applyNumberFormat="0" applyFont="0" applyAlignment="0" applyProtection="0"/>
    <xf numFmtId="0" fontId="59" fillId="36" borderId="163" applyNumberFormat="0" applyAlignment="0" applyProtection="0"/>
    <xf numFmtId="0" fontId="5" fillId="0" borderId="0"/>
    <xf numFmtId="167" fontId="49" fillId="0" borderId="0" applyFont="0" applyFill="0" applyBorder="0" applyAlignment="0" applyProtection="0"/>
    <xf numFmtId="43" fontId="6"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0" fontId="110" fillId="21" borderId="163" applyNumberFormat="0" applyAlignment="0" applyProtection="0"/>
    <xf numFmtId="43" fontId="49" fillId="0" borderId="0" applyFont="0" applyFill="0" applyBorder="0" applyAlignment="0" applyProtection="0"/>
    <xf numFmtId="43" fontId="1"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0" fontId="65" fillId="36" borderId="165" applyNumberFormat="0" applyAlignment="0" applyProtection="0"/>
    <xf numFmtId="0" fontId="5" fillId="24" borderId="164" applyNumberFormat="0" applyFont="0" applyAlignment="0" applyProtection="0"/>
    <xf numFmtId="0" fontId="62" fillId="21" borderId="163" applyNumberFormat="0" applyAlignment="0" applyProtection="0"/>
    <xf numFmtId="0" fontId="62" fillId="21" borderId="163"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8" fontId="5" fillId="0" borderId="0" applyFont="0" applyFill="0" applyBorder="0" applyAlignment="0" applyProtection="0"/>
    <xf numFmtId="43" fontId="6"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4" borderId="164" applyNumberFormat="0" applyFont="0" applyAlignment="0" applyProtection="0"/>
    <xf numFmtId="43" fontId="49" fillId="0" borderId="0" applyFont="0" applyFill="0" applyBorder="0" applyAlignment="0" applyProtection="0"/>
    <xf numFmtId="0" fontId="62" fillId="27" borderId="163" applyNumberFormat="0" applyAlignment="0" applyProtection="0"/>
    <xf numFmtId="44" fontId="49"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0" fontId="5" fillId="0" borderId="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0" fontId="1" fillId="0" borderId="0"/>
    <xf numFmtId="0" fontId="5" fillId="24" borderId="164" applyNumberFormat="0" applyFont="0" applyAlignment="0" applyProtection="0"/>
    <xf numFmtId="0" fontId="5" fillId="0" borderId="0"/>
    <xf numFmtId="0" fontId="62" fillId="27" borderId="163" applyNumberFormat="0" applyAlignment="0" applyProtection="0"/>
    <xf numFmtId="167" fontId="5" fillId="0" borderId="0" applyFont="0" applyFill="0" applyBorder="0" applyAlignment="0" applyProtection="0"/>
    <xf numFmtId="0" fontId="59" fillId="36" borderId="163" applyNumberFormat="0" applyAlignment="0" applyProtection="0"/>
    <xf numFmtId="43" fontId="6" fillId="0" borderId="0" applyFont="0" applyFill="0" applyBorder="0" applyAlignment="0" applyProtection="0"/>
    <xf numFmtId="0" fontId="65" fillId="37" borderId="165" applyNumberFormat="0" applyAlignment="0" applyProtection="0"/>
    <xf numFmtId="44" fontId="1" fillId="0" borderId="0" applyFont="0" applyFill="0" applyBorder="0" applyAlignment="0" applyProtection="0"/>
    <xf numFmtId="0" fontId="62" fillId="21" borderId="163" applyNumberFormat="0" applyAlignment="0" applyProtection="0"/>
    <xf numFmtId="0" fontId="65" fillId="36" borderId="165" applyNumberFormat="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6" fillId="0" borderId="0" applyNumberFormat="0" applyFill="0" applyBorder="0" applyAlignment="0" applyProtection="0">
      <alignment vertical="top"/>
      <protection locked="0"/>
    </xf>
    <xf numFmtId="0" fontId="5" fillId="0" borderId="0"/>
    <xf numFmtId="0" fontId="5" fillId="0" borderId="0"/>
    <xf numFmtId="0" fontId="107" fillId="36" borderId="15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21" borderId="15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1" borderId="163" applyNumberFormat="0" applyAlignment="0" applyProtection="0"/>
    <xf numFmtId="0" fontId="107" fillId="36" borderId="163" applyNumberFormat="0" applyAlignment="0" applyProtection="0"/>
    <xf numFmtId="0" fontId="116" fillId="36" borderId="165" applyNumberFormat="0" applyAlignment="0" applyProtection="0"/>
    <xf numFmtId="0" fontId="5" fillId="24" borderId="160" applyNumberFormat="0" applyFont="0" applyAlignment="0" applyProtection="0"/>
    <xf numFmtId="0" fontId="116" fillId="36" borderId="161" applyNumberFormat="0" applyAlignment="0" applyProtection="0"/>
    <xf numFmtId="0" fontId="65" fillId="36" borderId="165" applyNumberFormat="0" applyAlignment="0" applyProtection="0"/>
    <xf numFmtId="0" fontId="122" fillId="0" borderId="162" applyNumberFormat="0" applyFill="0" applyAlignment="0" applyProtection="0"/>
    <xf numFmtId="0" fontId="72" fillId="0" borderId="166"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167" fontId="49" fillId="0" borderId="0" applyFont="0" applyFill="0" applyBorder="0" applyAlignment="0" applyProtection="0"/>
    <xf numFmtId="43" fontId="53"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6" fillId="24" borderId="164" applyNumberFormat="0" applyFont="0" applyAlignment="0" applyProtection="0"/>
    <xf numFmtId="43"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0" fontId="122" fillId="0" borderId="166" applyNumberFormat="0" applyFill="0" applyAlignment="0" applyProtection="0"/>
    <xf numFmtId="0" fontId="5" fillId="24" borderId="157" applyNumberFormat="0" applyFont="0" applyAlignment="0" applyProtection="0"/>
    <xf numFmtId="0" fontId="5" fillId="24" borderId="164" applyNumberFormat="0" applyFont="0" applyAlignment="0" applyProtection="0"/>
    <xf numFmtId="43" fontId="6" fillId="0" borderId="0" applyFont="0" applyFill="0" applyBorder="0" applyAlignment="0" applyProtection="0"/>
    <xf numFmtId="0" fontId="65" fillId="36" borderId="165"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0" fontId="62" fillId="21" borderId="159"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64" applyNumberFormat="0" applyFont="0" applyAlignment="0" applyProtection="0"/>
    <xf numFmtId="0" fontId="122" fillId="0" borderId="166" applyNumberFormat="0" applyFill="0" applyAlignment="0" applyProtection="0"/>
    <xf numFmtId="0" fontId="5" fillId="24" borderId="164" applyNumberFormat="0" applyFont="0" applyAlignment="0" applyProtection="0"/>
    <xf numFmtId="167" fontId="5" fillId="0" borderId="0" applyFont="0" applyFill="0" applyBorder="0" applyAlignment="0" applyProtection="0"/>
    <xf numFmtId="167" fontId="49" fillId="0" borderId="0" applyFont="0" applyFill="0" applyBorder="0" applyAlignment="0" applyProtection="0"/>
    <xf numFmtId="44" fontId="48" fillId="0" borderId="0" applyFont="0" applyFill="0" applyBorder="0" applyAlignment="0" applyProtection="0"/>
    <xf numFmtId="167" fontId="5" fillId="0" borderId="0" applyFont="0" applyFill="0" applyBorder="0" applyAlignment="0" applyProtection="0"/>
    <xf numFmtId="0" fontId="65" fillId="37" borderId="165" applyNumberFormat="0" applyAlignment="0" applyProtection="0"/>
    <xf numFmtId="0" fontId="122" fillId="0" borderId="166" applyNumberFormat="0" applyFill="0" applyAlignment="0" applyProtection="0"/>
    <xf numFmtId="0" fontId="6" fillId="24" borderId="164" applyNumberFormat="0" applyFont="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16" fillId="36" borderId="165" applyNumberFormat="0" applyAlignment="0" applyProtection="0"/>
    <xf numFmtId="0" fontId="62" fillId="21" borderId="163" applyNumberFormat="0" applyAlignment="0" applyProtection="0"/>
    <xf numFmtId="0" fontId="116" fillId="36" borderId="165" applyNumberFormat="0" applyAlignment="0" applyProtection="0"/>
    <xf numFmtId="0" fontId="116" fillId="36" borderId="165" applyNumberFormat="0" applyAlignment="0" applyProtection="0"/>
    <xf numFmtId="0" fontId="5" fillId="24" borderId="164" applyNumberFormat="0" applyFont="0" applyAlignment="0" applyProtection="0"/>
    <xf numFmtId="167" fontId="5" fillId="0" borderId="0" applyFont="0" applyFill="0" applyBorder="0" applyAlignment="0" applyProtection="0"/>
    <xf numFmtId="0" fontId="5" fillId="24" borderId="164" applyNumberFormat="0" applyFont="0" applyAlignment="0" applyProtection="0"/>
    <xf numFmtId="0" fontId="62" fillId="21" borderId="163" applyNumberFormat="0" applyAlignment="0" applyProtection="0"/>
    <xf numFmtId="43" fontId="5" fillId="0" borderId="0" applyFont="0" applyFill="0" applyBorder="0" applyAlignment="0" applyProtection="0"/>
    <xf numFmtId="0" fontId="5" fillId="24" borderId="157" applyNumberFormat="0" applyFont="0" applyAlignment="0" applyProtection="0"/>
    <xf numFmtId="0" fontId="122" fillId="0" borderId="166" applyNumberFormat="0" applyFill="0" applyAlignment="0" applyProtection="0"/>
    <xf numFmtId="0" fontId="65" fillId="37" borderId="165" applyNumberFormat="0" applyAlignment="0" applyProtection="0"/>
    <xf numFmtId="0" fontId="72" fillId="0" borderId="166" applyNumberFormat="0" applyFill="0" applyAlignment="0" applyProtection="0"/>
    <xf numFmtId="167" fontId="5" fillId="0" borderId="0" applyFont="0" applyFill="0" applyBorder="0" applyAlignment="0" applyProtection="0"/>
    <xf numFmtId="0" fontId="5" fillId="24" borderId="164" applyNumberFormat="0" applyFont="0" applyAlignment="0" applyProtection="0"/>
    <xf numFmtId="0" fontId="107" fillId="36" borderId="163" applyNumberFormat="0" applyAlignment="0" applyProtection="0"/>
    <xf numFmtId="43" fontId="6" fillId="0" borderId="0" applyFont="0" applyFill="0" applyBorder="0" applyAlignment="0" applyProtection="0"/>
    <xf numFmtId="0" fontId="72" fillId="0" borderId="166" applyNumberFormat="0" applyFill="0" applyAlignment="0" applyProtection="0"/>
    <xf numFmtId="0" fontId="5" fillId="24" borderId="164" applyNumberFormat="0" applyFont="0" applyAlignment="0" applyProtection="0"/>
    <xf numFmtId="0" fontId="122" fillId="0" borderId="166" applyNumberFormat="0" applyFill="0" applyAlignment="0" applyProtection="0"/>
    <xf numFmtId="0" fontId="5" fillId="24" borderId="164" applyNumberFormat="0" applyFont="0" applyAlignment="0" applyProtection="0"/>
    <xf numFmtId="43" fontId="35" fillId="0" borderId="0" applyFont="0" applyFill="0" applyBorder="0" applyAlignment="0" applyProtection="0"/>
    <xf numFmtId="43" fontId="1" fillId="0" borderId="0" applyFont="0" applyFill="0" applyBorder="0" applyAlignment="0" applyProtection="0"/>
    <xf numFmtId="0" fontId="73" fillId="37"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6" borderId="165" applyNumberFormat="0" applyAlignment="0" applyProtection="0"/>
    <xf numFmtId="0" fontId="114" fillId="0" borderId="0"/>
    <xf numFmtId="0" fontId="5" fillId="24" borderId="164" applyNumberFormat="0" applyFont="0" applyAlignment="0" applyProtection="0"/>
    <xf numFmtId="0" fontId="65" fillId="36" borderId="165"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43" fontId="49" fillId="0" borderId="0" applyFont="0" applyFill="0" applyBorder="0" applyAlignment="0" applyProtection="0"/>
    <xf numFmtId="0" fontId="5" fillId="24" borderId="164" applyNumberFormat="0" applyFont="0" applyAlignment="0" applyProtection="0"/>
    <xf numFmtId="0" fontId="1" fillId="0" borderId="0"/>
    <xf numFmtId="0" fontId="5" fillId="24" borderId="16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157" applyNumberFormat="0" applyFont="0" applyAlignment="0" applyProtection="0"/>
    <xf numFmtId="0" fontId="5" fillId="0" borderId="0"/>
    <xf numFmtId="167" fontId="5" fillId="0" borderId="0" applyFont="0" applyFill="0" applyBorder="0" applyAlignment="0" applyProtection="0"/>
    <xf numFmtId="0" fontId="122" fillId="0" borderId="166" applyNumberFormat="0" applyFill="0" applyAlignment="0" applyProtection="0"/>
    <xf numFmtId="0" fontId="62" fillId="27" borderId="16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2" fillId="27" borderId="16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5" fillId="0" borderId="0"/>
    <xf numFmtId="43" fontId="5" fillId="0" borderId="0" applyFont="0" applyFill="0" applyBorder="0" applyAlignment="0" applyProtection="0"/>
    <xf numFmtId="0" fontId="62" fillId="21" borderId="163" applyNumberFormat="0" applyAlignment="0" applyProtection="0"/>
    <xf numFmtId="167" fontId="2" fillId="0" borderId="0" applyFont="0" applyFill="0" applyBorder="0" applyAlignment="0" applyProtection="0"/>
    <xf numFmtId="43" fontId="5" fillId="0" borderId="0" applyFont="0" applyFill="0" applyBorder="0" applyAlignment="0" applyProtection="0"/>
    <xf numFmtId="0" fontId="62" fillId="27" borderId="163" applyNumberFormat="0" applyAlignment="0" applyProtection="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2" fillId="0" borderId="166" applyNumberFormat="0" applyFill="0" applyAlignment="0" applyProtection="0"/>
    <xf numFmtId="0" fontId="6" fillId="24" borderId="164"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5" fillId="37" borderId="165" applyNumberFormat="0" applyAlignment="0" applyProtection="0"/>
    <xf numFmtId="9" fontId="6" fillId="0" borderId="0" applyFont="0" applyFill="0" applyBorder="0" applyAlignment="0" applyProtection="0"/>
    <xf numFmtId="0" fontId="65" fillId="36" borderId="165"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49" fillId="0" borderId="0" applyFont="0" applyFill="0" applyBorder="0" applyAlignment="0" applyProtection="0"/>
    <xf numFmtId="0" fontId="5" fillId="0" borderId="0"/>
    <xf numFmtId="0" fontId="59" fillId="36" borderId="163" applyNumberFormat="0" applyAlignment="0" applyProtection="0"/>
    <xf numFmtId="43" fontId="1" fillId="0" borderId="0" applyFont="0" applyFill="0" applyBorder="0" applyAlignment="0" applyProtection="0"/>
    <xf numFmtId="0" fontId="65" fillId="37" borderId="165" applyNumberFormat="0" applyAlignment="0" applyProtection="0"/>
    <xf numFmtId="0" fontId="62" fillId="21" borderId="163" applyNumberFormat="0" applyAlignment="0" applyProtection="0"/>
    <xf numFmtId="0" fontId="73" fillId="37" borderId="163" applyNumberFormat="0" applyAlignment="0" applyProtection="0"/>
    <xf numFmtId="0" fontId="62" fillId="21" borderId="163" applyNumberFormat="0" applyAlignment="0" applyProtection="0"/>
    <xf numFmtId="43" fontId="5"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0" fontId="107" fillId="36" borderId="163" applyNumberFormat="0" applyAlignment="0" applyProtection="0"/>
    <xf numFmtId="167"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0" fontId="5" fillId="24" borderId="164" applyNumberFormat="0" applyFont="0" applyAlignment="0" applyProtection="0"/>
    <xf numFmtId="0" fontId="72" fillId="0" borderId="166"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4" borderId="164" applyNumberFormat="0" applyFont="0" applyAlignment="0" applyProtection="0"/>
    <xf numFmtId="43" fontId="5" fillId="0" borderId="0" applyFont="0" applyFill="0" applyBorder="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65" fillId="37" borderId="165" applyNumberFormat="0" applyAlignment="0" applyProtection="0"/>
    <xf numFmtId="0" fontId="62" fillId="27" borderId="163" applyNumberFormat="0" applyAlignment="0" applyProtection="0"/>
    <xf numFmtId="0" fontId="6" fillId="24" borderId="164" applyNumberFormat="0" applyFont="0" applyAlignment="0" applyProtection="0"/>
    <xf numFmtId="0" fontId="59" fillId="36" borderId="163" applyNumberFormat="0" applyAlignment="0" applyProtection="0"/>
    <xf numFmtId="0" fontId="5" fillId="24" borderId="164"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59" fillId="36" borderId="163" applyNumberFormat="0" applyAlignment="0" applyProtection="0"/>
    <xf numFmtId="0" fontId="6" fillId="24" borderId="164" applyNumberFormat="0" applyFont="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62" fillId="21" borderId="163" applyNumberFormat="0" applyAlignment="0" applyProtection="0"/>
    <xf numFmtId="0" fontId="110" fillId="21" borderId="163" applyNumberFormat="0" applyAlignment="0" applyProtection="0"/>
    <xf numFmtId="0" fontId="72" fillId="0" borderId="166" applyNumberFormat="0" applyFill="0" applyAlignment="0" applyProtection="0"/>
    <xf numFmtId="0" fontId="62" fillId="21" borderId="163" applyNumberFormat="0" applyAlignment="0" applyProtection="0"/>
    <xf numFmtId="0" fontId="116" fillId="36" borderId="165" applyNumberFormat="0" applyAlignment="0" applyProtection="0"/>
    <xf numFmtId="0" fontId="5" fillId="0" borderId="0"/>
    <xf numFmtId="43" fontId="6" fillId="0" borderId="0" applyFont="0" applyFill="0" applyBorder="0" applyAlignment="0" applyProtection="0"/>
    <xf numFmtId="0" fontId="5" fillId="0" borderId="0"/>
    <xf numFmtId="43" fontId="35" fillId="0" borderId="0" applyFont="0" applyFill="0" applyBorder="0" applyAlignment="0" applyProtection="0"/>
    <xf numFmtId="0" fontId="65" fillId="36" borderId="165" applyNumberFormat="0" applyAlignment="0" applyProtection="0"/>
    <xf numFmtId="0" fontId="5" fillId="24" borderId="164"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43" fontId="1" fillId="0" borderId="0" applyFont="0" applyFill="0" applyBorder="0" applyAlignment="0" applyProtection="0"/>
    <xf numFmtId="0" fontId="5" fillId="0" borderId="0"/>
    <xf numFmtId="0" fontId="72" fillId="0" borderId="166" applyNumberFormat="0" applyFill="0" applyAlignment="0" applyProtection="0"/>
    <xf numFmtId="0" fontId="62" fillId="21" borderId="163" applyNumberFormat="0" applyAlignment="0" applyProtection="0"/>
    <xf numFmtId="0" fontId="73" fillId="37" borderId="163" applyNumberFormat="0" applyAlignment="0" applyProtection="0"/>
    <xf numFmtId="0" fontId="116" fillId="36" borderId="165" applyNumberFormat="0" applyAlignment="0" applyProtection="0"/>
    <xf numFmtId="0" fontId="5" fillId="24" borderId="164" applyNumberFormat="0" applyFont="0" applyAlignment="0" applyProtection="0"/>
    <xf numFmtId="0" fontId="116" fillId="36" borderId="165" applyNumberFormat="0" applyAlignment="0" applyProtection="0"/>
    <xf numFmtId="0" fontId="6" fillId="24" borderId="164" applyNumberFormat="0" applyFont="0" applyAlignment="0" applyProtection="0"/>
    <xf numFmtId="0" fontId="107" fillId="36" borderId="163" applyNumberFormat="0" applyAlignment="0" applyProtection="0"/>
    <xf numFmtId="44" fontId="48" fillId="0" borderId="0" applyFont="0" applyFill="0" applyBorder="0" applyAlignment="0" applyProtection="0"/>
    <xf numFmtId="0" fontId="122" fillId="0" borderId="166" applyNumberFormat="0" applyFill="0" applyAlignment="0" applyProtection="0"/>
    <xf numFmtId="0" fontId="73" fillId="37" borderId="163"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0" fontId="62" fillId="21" borderId="163" applyNumberForma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0" borderId="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43" fontId="5" fillId="0" borderId="0" applyFont="0" applyFill="0" applyBorder="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0" fontId="62" fillId="21" borderId="159" applyNumberFormat="0" applyAlignment="0" applyProtection="0"/>
    <xf numFmtId="43" fontId="11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0" fontId="107" fillId="36" borderId="163"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16" fillId="36" borderId="165" applyNumberFormat="0" applyAlignment="0" applyProtection="0"/>
    <xf numFmtId="0" fontId="5" fillId="24" borderId="16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10" fillId="21" borderId="163" applyNumberFormat="0" applyAlignment="0" applyProtection="0"/>
    <xf numFmtId="0" fontId="5" fillId="0" borderId="0"/>
    <xf numFmtId="0" fontId="116" fillId="36" borderId="165" applyNumberFormat="0" applyAlignment="0" applyProtection="0"/>
    <xf numFmtId="167" fontId="5" fillId="0" borderId="0" applyFont="0" applyFill="0" applyBorder="0" applyAlignment="0" applyProtection="0"/>
    <xf numFmtId="0" fontId="5" fillId="24" borderId="164"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4" borderId="164" applyNumberFormat="0" applyFont="0" applyAlignment="0" applyProtection="0"/>
    <xf numFmtId="0" fontId="65" fillId="36" borderId="165" applyNumberFormat="0" applyAlignment="0" applyProtection="0"/>
    <xf numFmtId="0" fontId="5" fillId="24" borderId="164" applyNumberFormat="0" applyFont="0" applyAlignment="0" applyProtection="0"/>
    <xf numFmtId="167"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37" borderId="165" applyNumberFormat="0" applyAlignment="0" applyProtection="0"/>
    <xf numFmtId="0" fontId="122" fillId="0" borderId="166" applyNumberFormat="0" applyFill="0" applyAlignment="0" applyProtection="0"/>
    <xf numFmtId="0" fontId="65" fillId="37" borderId="165" applyNumberFormat="0" applyAlignment="0" applyProtection="0"/>
    <xf numFmtId="43" fontId="5" fillId="0" borderId="0" applyFont="0" applyFill="0" applyBorder="0" applyAlignment="0" applyProtection="0"/>
    <xf numFmtId="0" fontId="62" fillId="27" borderId="163" applyNumberFormat="0" applyAlignment="0" applyProtection="0"/>
    <xf numFmtId="0" fontId="72" fillId="0" borderId="166"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65" fillId="37" borderId="165" applyNumberFormat="0" applyAlignment="0" applyProtection="0"/>
    <xf numFmtId="0" fontId="6" fillId="24" borderId="157" applyNumberFormat="0" applyFont="0" applyAlignment="0" applyProtection="0"/>
    <xf numFmtId="0" fontId="5" fillId="0" borderId="0"/>
    <xf numFmtId="0" fontId="5" fillId="24" borderId="164" applyNumberFormat="0" applyFont="0" applyAlignment="0" applyProtection="0"/>
    <xf numFmtId="43" fontId="1" fillId="0" borderId="0" applyFont="0" applyFill="0" applyBorder="0" applyAlignment="0" applyProtection="0"/>
    <xf numFmtId="0" fontId="5" fillId="24" borderId="16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6" fillId="24" borderId="164" applyNumberFormat="0" applyFont="0" applyAlignment="0" applyProtection="0"/>
    <xf numFmtId="0" fontId="72" fillId="0" borderId="166" applyNumberFormat="0" applyFill="0" applyAlignment="0" applyProtection="0"/>
    <xf numFmtId="0" fontId="6" fillId="24" borderId="164" applyNumberFormat="0" applyFont="0" applyAlignment="0" applyProtection="0"/>
    <xf numFmtId="167" fontId="35" fillId="0" borderId="0" applyFont="0" applyFill="0" applyBorder="0" applyAlignment="0" applyProtection="0"/>
    <xf numFmtId="0" fontId="107" fillId="36" borderId="163" applyNumberFormat="0" applyAlignment="0" applyProtection="0"/>
    <xf numFmtId="167" fontId="5" fillId="0" borderId="0" applyFont="0" applyFill="0" applyBorder="0" applyAlignment="0" applyProtection="0"/>
    <xf numFmtId="0" fontId="59" fillId="36" borderId="163" applyNumberFormat="0" applyAlignment="0" applyProtection="0"/>
    <xf numFmtId="0" fontId="116" fillId="36" borderId="165"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57" applyNumberFormat="0" applyFont="0" applyAlignment="0" applyProtection="0"/>
    <xf numFmtId="167"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7" fontId="5" fillId="0" borderId="0" applyFont="0" applyFill="0" applyBorder="0" applyAlignment="0" applyProtection="0"/>
    <xf numFmtId="0" fontId="62" fillId="21" borderId="163" applyNumberFormat="0" applyAlignment="0" applyProtection="0"/>
    <xf numFmtId="0" fontId="110" fillId="21" borderId="163" applyNumberFormat="0" applyAlignment="0" applyProtection="0"/>
    <xf numFmtId="0" fontId="5" fillId="24" borderId="164" applyNumberFormat="0" applyFont="0" applyAlignment="0" applyProtection="0"/>
    <xf numFmtId="168" fontId="5" fillId="0" borderId="0" applyFont="0" applyFill="0" applyBorder="0" applyAlignment="0" applyProtection="0"/>
    <xf numFmtId="0" fontId="5" fillId="24" borderId="164"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0" fontId="6" fillId="24" borderId="164"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2" fillId="0" borderId="166" applyNumberFormat="0" applyFill="0" applyAlignment="0" applyProtection="0"/>
    <xf numFmtId="0" fontId="65" fillId="37" borderId="165" applyNumberFormat="0" applyAlignment="0" applyProtection="0"/>
    <xf numFmtId="167" fontId="35" fillId="0" borderId="0" applyFont="0" applyFill="0" applyBorder="0" applyAlignment="0" applyProtection="0"/>
    <xf numFmtId="0" fontId="5" fillId="0" borderId="0"/>
    <xf numFmtId="0" fontId="122" fillId="0" borderId="166" applyNumberFormat="0" applyFill="0" applyAlignment="0" applyProtection="0"/>
    <xf numFmtId="167" fontId="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65" applyNumberFormat="0" applyAlignment="0" applyProtection="0"/>
    <xf numFmtId="0" fontId="62" fillId="21" borderId="163" applyNumberFormat="0" applyAlignment="0" applyProtection="0"/>
    <xf numFmtId="0" fontId="59" fillId="36" borderId="163" applyNumberFormat="0" applyAlignment="0" applyProtection="0"/>
    <xf numFmtId="0" fontId="5" fillId="0" borderId="0"/>
    <xf numFmtId="0" fontId="59" fillId="36" borderId="163" applyNumberFormat="0" applyAlignment="0" applyProtection="0"/>
    <xf numFmtId="0" fontId="62" fillId="27" borderId="163" applyNumberFormat="0" applyAlignment="0" applyProtection="0"/>
    <xf numFmtId="0" fontId="5" fillId="24" borderId="164" applyNumberFormat="0" applyFont="0" applyAlignment="0" applyProtection="0"/>
    <xf numFmtId="0" fontId="62" fillId="21" borderId="163" applyNumberFormat="0" applyAlignment="0" applyProtection="0"/>
    <xf numFmtId="43" fontId="5" fillId="0" borderId="0" applyFont="0" applyFill="0" applyBorder="0" applyAlignment="0" applyProtection="0"/>
    <xf numFmtId="0" fontId="110" fillId="21" borderId="163"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65" fillId="37" borderId="165"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49" fillId="0" borderId="0" applyFont="0" applyFill="0" applyBorder="0" applyAlignment="0" applyProtection="0"/>
    <xf numFmtId="0" fontId="65" fillId="36" borderId="165"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7" borderId="165" applyNumberFormat="0" applyAlignment="0" applyProtection="0"/>
    <xf numFmtId="0" fontId="59" fillId="36" borderId="163" applyNumberFormat="0" applyAlignment="0" applyProtection="0"/>
    <xf numFmtId="0" fontId="65" fillId="36" borderId="165"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65" fillId="37" borderId="165" applyNumberFormat="0" applyAlignment="0" applyProtection="0"/>
    <xf numFmtId="0" fontId="59" fillId="36" borderId="163" applyNumberFormat="0" applyAlignment="0" applyProtection="0"/>
    <xf numFmtId="0" fontId="122" fillId="0" borderId="166" applyNumberFormat="0" applyFill="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107" fillId="36" borderId="163" applyNumberFormat="0" applyAlignment="0" applyProtection="0"/>
    <xf numFmtId="0" fontId="5" fillId="24" borderId="164" applyNumberFormat="0" applyFont="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6" borderId="163" applyNumberFormat="0" applyAlignment="0" applyProtection="0"/>
    <xf numFmtId="43" fontId="6" fillId="0" borderId="0" applyFont="0" applyFill="0" applyBorder="0" applyAlignment="0" applyProtection="0"/>
    <xf numFmtId="0" fontId="5" fillId="24" borderId="157"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167" fontId="35" fillId="0" borderId="0" applyFont="0" applyFill="0" applyBorder="0" applyAlignment="0" applyProtection="0"/>
    <xf numFmtId="0" fontId="1" fillId="0" borderId="0"/>
    <xf numFmtId="0" fontId="122" fillId="0" borderId="166" applyNumberFormat="0" applyFill="0" applyAlignment="0" applyProtection="0"/>
    <xf numFmtId="0" fontId="5" fillId="24" borderId="164" applyNumberFormat="0" applyFont="0" applyAlignment="0" applyProtection="0"/>
    <xf numFmtId="168" fontId="5"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36" fillId="0" borderId="0"/>
    <xf numFmtId="0" fontId="110" fillId="21" borderId="163" applyNumberFormat="0" applyAlignment="0" applyProtection="0"/>
    <xf numFmtId="0" fontId="62" fillId="21" borderId="163" applyNumberFormat="0" applyAlignment="0" applyProtection="0"/>
    <xf numFmtId="0" fontId="62" fillId="21" borderId="163" applyNumberFormat="0" applyAlignment="0" applyProtection="0"/>
    <xf numFmtId="0" fontId="73" fillId="37" borderId="163" applyNumberFormat="0" applyAlignment="0" applyProtection="0"/>
    <xf numFmtId="43" fontId="35" fillId="0" borderId="0" applyFont="0" applyFill="0" applyBorder="0" applyAlignment="0" applyProtection="0"/>
    <xf numFmtId="0" fontId="122" fillId="0" borderId="166" applyNumberFormat="0" applyFill="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24" borderId="164"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62" fillId="27" borderId="163"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167" fontId="35" fillId="0" borderId="0" applyFont="0" applyFill="0" applyBorder="0" applyAlignment="0" applyProtection="0"/>
    <xf numFmtId="43" fontId="6" fillId="0" borderId="0" applyFont="0" applyFill="0" applyBorder="0" applyAlignment="0" applyProtection="0"/>
    <xf numFmtId="167" fontId="53" fillId="0" borderId="0" applyFont="0" applyFill="0" applyBorder="0" applyAlignment="0" applyProtection="0"/>
    <xf numFmtId="0" fontId="5" fillId="24" borderId="164"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37" borderId="163" applyNumberFormat="0" applyAlignment="0" applyProtection="0"/>
    <xf numFmtId="0" fontId="5" fillId="24" borderId="164" applyNumberFormat="0" applyFont="0" applyAlignment="0" applyProtection="0"/>
    <xf numFmtId="0" fontId="62" fillId="27" borderId="163" applyNumberFormat="0" applyAlignment="0" applyProtection="0"/>
    <xf numFmtId="0" fontId="72" fillId="0" borderId="166" applyNumberFormat="0" applyFill="0" applyAlignment="0" applyProtection="0"/>
    <xf numFmtId="0" fontId="110" fillId="21" borderId="163" applyNumberFormat="0" applyAlignment="0" applyProtection="0"/>
    <xf numFmtId="167"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3" fillId="37" borderId="163" applyNumberFormat="0" applyAlignment="0" applyProtection="0"/>
    <xf numFmtId="0" fontId="59" fillId="36" borderId="163" applyNumberFormat="0" applyAlignment="0" applyProtection="0"/>
    <xf numFmtId="0" fontId="6" fillId="0" borderId="0"/>
    <xf numFmtId="43" fontId="49" fillId="0" borderId="0" applyFont="0" applyFill="0" applyBorder="0" applyAlignment="0" applyProtection="0"/>
    <xf numFmtId="43" fontId="5" fillId="0" borderId="0" applyFont="0" applyFill="0" applyBorder="0" applyAlignment="0" applyProtection="0"/>
    <xf numFmtId="0" fontId="59" fillId="36" borderId="16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1" borderId="163" applyNumberFormat="0" applyAlignment="0" applyProtection="0"/>
    <xf numFmtId="43" fontId="2" fillId="0" borderId="0" applyFont="0" applyFill="0" applyBorder="0" applyAlignment="0" applyProtection="0"/>
    <xf numFmtId="43" fontId="49"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4" borderId="164" applyNumberFormat="0" applyFont="0" applyAlignment="0" applyProtection="0"/>
    <xf numFmtId="0" fontId="5" fillId="24" borderId="164" applyNumberFormat="0" applyFont="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07" fillId="36" borderId="163" applyNumberFormat="0" applyAlignment="0" applyProtection="0"/>
    <xf numFmtId="0" fontId="5" fillId="0" borderId="0"/>
    <xf numFmtId="43" fontId="5" fillId="0" borderId="0" applyFont="0" applyFill="0" applyBorder="0" applyAlignment="0" applyProtection="0"/>
    <xf numFmtId="0" fontId="5" fillId="24" borderId="164" applyNumberFormat="0" applyFont="0" applyAlignment="0" applyProtection="0"/>
    <xf numFmtId="0" fontId="5" fillId="24" borderId="160" applyNumberFormat="0" applyFont="0" applyAlignment="0" applyProtection="0"/>
    <xf numFmtId="0" fontId="65" fillId="36" borderId="161"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73" fillId="37" borderId="159" applyNumberFormat="0" applyAlignment="0" applyProtection="0"/>
    <xf numFmtId="10" fontId="36" fillId="15" borderId="142" applyNumberFormat="0" applyBorder="0" applyAlignment="0" applyProtection="0"/>
    <xf numFmtId="0" fontId="5" fillId="24" borderId="160" applyNumberFormat="0" applyFont="0" applyAlignment="0" applyProtection="0"/>
    <xf numFmtId="0" fontId="65" fillId="37" borderId="161" applyNumberFormat="0" applyAlignment="0" applyProtection="0"/>
    <xf numFmtId="0" fontId="65" fillId="37" borderId="161" applyNumberFormat="0" applyAlignment="0" applyProtection="0"/>
    <xf numFmtId="0" fontId="116" fillId="36" borderId="161" applyNumberFormat="0" applyAlignment="0" applyProtection="0"/>
    <xf numFmtId="0" fontId="5" fillId="0" borderId="0"/>
    <xf numFmtId="10" fontId="36" fillId="15" borderId="142" applyNumberFormat="0" applyBorder="0" applyAlignment="0" applyProtection="0"/>
    <xf numFmtId="0" fontId="62" fillId="27" borderId="159" applyNumberFormat="0" applyAlignment="0" applyProtection="0"/>
    <xf numFmtId="0" fontId="62" fillId="21" borderId="159" applyNumberFormat="0" applyAlignment="0" applyProtection="0"/>
    <xf numFmtId="0" fontId="72" fillId="0" borderId="162" applyNumberFormat="0" applyFill="0" applyAlignment="0" applyProtection="0"/>
    <xf numFmtId="0" fontId="5" fillId="24" borderId="160" applyNumberFormat="0" applyFont="0" applyAlignment="0" applyProtection="0"/>
    <xf numFmtId="0" fontId="110" fillId="21" borderId="159" applyNumberFormat="0" applyAlignment="0" applyProtection="0"/>
    <xf numFmtId="0" fontId="59" fillId="36" borderId="159" applyNumberFormat="0" applyAlignment="0" applyProtection="0"/>
    <xf numFmtId="0" fontId="73" fillId="37" borderId="159" applyNumberFormat="0" applyAlignment="0" applyProtection="0"/>
    <xf numFmtId="0" fontId="62" fillId="27"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65" fillId="36" borderId="161" applyNumberFormat="0" applyAlignment="0" applyProtection="0"/>
    <xf numFmtId="0" fontId="65" fillId="37" borderId="161" applyNumberFormat="0" applyAlignment="0" applyProtection="0"/>
    <xf numFmtId="0" fontId="72" fillId="0" borderId="162" applyNumberFormat="0" applyFill="0" applyAlignment="0" applyProtection="0"/>
    <xf numFmtId="0" fontId="5" fillId="24" borderId="160" applyNumberFormat="0" applyFont="0" applyAlignment="0" applyProtection="0"/>
    <xf numFmtId="0" fontId="110" fillId="21" borderId="159" applyNumberFormat="0" applyAlignment="0" applyProtection="0"/>
    <xf numFmtId="0" fontId="107" fillId="36" borderId="159" applyNumberFormat="0" applyAlignment="0" applyProtection="0"/>
    <xf numFmtId="0" fontId="62" fillId="27" borderId="159" applyNumberFormat="0" applyAlignment="0" applyProtection="0"/>
    <xf numFmtId="0" fontId="107" fillId="36" borderId="159" applyNumberFormat="0" applyAlignment="0" applyProtection="0"/>
    <xf numFmtId="0" fontId="5" fillId="24" borderId="160" applyNumberFormat="0" applyFont="0" applyAlignment="0" applyProtection="0"/>
    <xf numFmtId="0" fontId="116" fillId="36" borderId="161" applyNumberFormat="0" applyAlignment="0" applyProtection="0"/>
    <xf numFmtId="0" fontId="110" fillId="21"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65" fillId="37" borderId="161"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3" fillId="37" borderId="159" applyNumberFormat="0" applyAlignment="0" applyProtection="0"/>
    <xf numFmtId="10" fontId="36" fillId="15" borderId="142" applyNumberFormat="0" applyBorder="0" applyAlignment="0" applyProtection="0"/>
    <xf numFmtId="0" fontId="62" fillId="21" borderId="159" applyNumberFormat="0" applyAlignment="0" applyProtection="0"/>
    <xf numFmtId="0" fontId="59" fillId="36" borderId="159" applyNumberFormat="0" applyAlignment="0" applyProtection="0"/>
    <xf numFmtId="0" fontId="72" fillId="0" borderId="162" applyNumberFormat="0" applyFill="0" applyAlignment="0" applyProtection="0"/>
    <xf numFmtId="0" fontId="5" fillId="24" borderId="160" applyNumberFormat="0" applyFont="0" applyAlignment="0" applyProtection="0"/>
    <xf numFmtId="0" fontId="72" fillId="0" borderId="162" applyNumberFormat="0" applyFill="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110" fillId="21" borderId="159" applyNumberFormat="0" applyAlignment="0" applyProtection="0"/>
    <xf numFmtId="0" fontId="73" fillId="3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59" fillId="36" borderId="159" applyNumberFormat="0" applyAlignment="0" applyProtection="0"/>
    <xf numFmtId="0" fontId="73" fillId="37" borderId="159" applyNumberFormat="0" applyAlignment="0" applyProtection="0"/>
    <xf numFmtId="0" fontId="65" fillId="36"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116" fillId="36" borderId="161" applyNumberFormat="0" applyAlignment="0" applyProtection="0"/>
    <xf numFmtId="0" fontId="5" fillId="24" borderId="160" applyNumberFormat="0" applyFont="0" applyAlignment="0" applyProtection="0"/>
    <xf numFmtId="0" fontId="65" fillId="37" borderId="161" applyNumberFormat="0" applyAlignment="0" applyProtection="0"/>
    <xf numFmtId="0" fontId="65" fillId="36" borderId="161" applyNumberFormat="0" applyAlignment="0" applyProtection="0"/>
    <xf numFmtId="0" fontId="62" fillId="21" borderId="159" applyNumberFormat="0" applyAlignment="0" applyProtection="0"/>
    <xf numFmtId="0" fontId="5" fillId="24" borderId="160" applyNumberFormat="0" applyFont="0" applyAlignment="0" applyProtection="0"/>
    <xf numFmtId="0" fontId="73" fillId="3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5" fillId="24" borderId="160" applyNumberFormat="0" applyFont="0" applyAlignment="0" applyProtection="0"/>
    <xf numFmtId="0" fontId="62" fillId="27"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122" fillId="0" borderId="162" applyNumberFormat="0" applyFill="0" applyAlignment="0" applyProtection="0"/>
    <xf numFmtId="0" fontId="5" fillId="24" borderId="160" applyNumberFormat="0" applyFont="0" applyAlignment="0" applyProtection="0"/>
    <xf numFmtId="0" fontId="59" fillId="36" borderId="159" applyNumberFormat="0" applyAlignment="0" applyProtection="0"/>
    <xf numFmtId="0" fontId="6" fillId="24" borderId="160" applyNumberFormat="0" applyFont="0" applyAlignment="0" applyProtection="0"/>
    <xf numFmtId="0" fontId="5" fillId="24" borderId="160" applyNumberFormat="0" applyFont="0" applyAlignment="0" applyProtection="0"/>
    <xf numFmtId="0" fontId="62" fillId="21" borderId="159" applyNumberFormat="0" applyAlignment="0" applyProtection="0"/>
    <xf numFmtId="0" fontId="59" fillId="36" borderId="159" applyNumberFormat="0" applyAlignment="0" applyProtection="0"/>
    <xf numFmtId="0" fontId="122" fillId="0" borderId="162" applyNumberFormat="0" applyFill="0" applyAlignment="0" applyProtection="0"/>
    <xf numFmtId="0" fontId="72" fillId="0" borderId="162" applyNumberFormat="0" applyFill="0" applyAlignment="0" applyProtection="0"/>
    <xf numFmtId="0" fontId="5" fillId="0" borderId="0"/>
    <xf numFmtId="0" fontId="62" fillId="21" borderId="159" applyNumberFormat="0" applyAlignment="0" applyProtection="0"/>
    <xf numFmtId="0" fontId="110" fillId="21" borderId="159" applyNumberFormat="0" applyAlignment="0" applyProtection="0"/>
    <xf numFmtId="0" fontId="73" fillId="37" borderId="159" applyNumberFormat="0" applyAlignment="0" applyProtection="0"/>
    <xf numFmtId="0" fontId="72" fillId="0" borderId="162" applyNumberFormat="0" applyFill="0" applyAlignment="0" applyProtection="0"/>
    <xf numFmtId="0" fontId="6" fillId="24" borderId="160" applyNumberFormat="0" applyFont="0" applyAlignment="0" applyProtection="0"/>
    <xf numFmtId="0" fontId="62" fillId="21" borderId="159"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116" fillId="36" borderId="161" applyNumberFormat="0" applyAlignment="0" applyProtection="0"/>
    <xf numFmtId="0" fontId="59" fillId="36" borderId="159" applyNumberFormat="0" applyAlignment="0" applyProtection="0"/>
    <xf numFmtId="0" fontId="65" fillId="37" borderId="161" applyNumberFormat="0" applyAlignment="0" applyProtection="0"/>
    <xf numFmtId="0" fontId="62" fillId="21" borderId="159"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73" fillId="37" borderId="159" applyNumberFormat="0" applyAlignment="0" applyProtection="0"/>
    <xf numFmtId="0" fontId="5" fillId="24" borderId="160" applyNumberFormat="0" applyFont="0" applyAlignment="0" applyProtection="0"/>
    <xf numFmtId="0" fontId="5" fillId="0" borderId="0"/>
    <xf numFmtId="0" fontId="65" fillId="37" borderId="161" applyNumberFormat="0" applyAlignment="0" applyProtection="0"/>
    <xf numFmtId="0" fontId="65" fillId="37" borderId="161" applyNumberFormat="0" applyAlignment="0" applyProtection="0"/>
    <xf numFmtId="0" fontId="72" fillId="0" borderId="162" applyNumberFormat="0" applyFill="0" applyAlignment="0" applyProtection="0"/>
    <xf numFmtId="0" fontId="110" fillId="21" borderId="159" applyNumberFormat="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107" fillId="36" borderId="159" applyNumberFormat="0" applyAlignment="0" applyProtection="0"/>
    <xf numFmtId="0" fontId="110" fillId="21" borderId="159" applyNumberFormat="0" applyAlignment="0" applyProtection="0"/>
    <xf numFmtId="0" fontId="5" fillId="24" borderId="160" applyNumberFormat="0" applyFont="0" applyAlignment="0" applyProtection="0"/>
    <xf numFmtId="0" fontId="116" fillId="36" borderId="161"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62" fillId="21" borderId="159" applyNumberFormat="0" applyAlignment="0" applyProtection="0"/>
    <xf numFmtId="0" fontId="6" fillId="24" borderId="160" applyNumberFormat="0" applyFont="0" applyAlignment="0" applyProtection="0"/>
    <xf numFmtId="0" fontId="65" fillId="36" borderId="161" applyNumberFormat="0" applyAlignment="0" applyProtection="0"/>
    <xf numFmtId="0" fontId="62" fillId="21" borderId="159" applyNumberFormat="0" applyAlignment="0" applyProtection="0"/>
    <xf numFmtId="0" fontId="62" fillId="27" borderId="159" applyNumberFormat="0" applyAlignment="0" applyProtection="0"/>
    <xf numFmtId="0" fontId="62" fillId="21" borderId="159" applyNumberFormat="0" applyAlignment="0" applyProtection="0"/>
    <xf numFmtId="0" fontId="62" fillId="21" borderId="159" applyNumberFormat="0" applyAlignment="0" applyProtection="0"/>
    <xf numFmtId="0" fontId="62" fillId="21" borderId="159" applyNumberFormat="0" applyAlignment="0" applyProtection="0"/>
    <xf numFmtId="0" fontId="65" fillId="37" borderId="161" applyNumberFormat="0" applyAlignment="0" applyProtection="0"/>
    <xf numFmtId="0" fontId="59" fillId="36" borderId="159" applyNumberFormat="0" applyAlignment="0" applyProtection="0"/>
    <xf numFmtId="0" fontId="122" fillId="0" borderId="162" applyNumberFormat="0" applyFill="0" applyAlignment="0" applyProtection="0"/>
    <xf numFmtId="0" fontId="62" fillId="21" borderId="159" applyNumberFormat="0" applyAlignment="0" applyProtection="0"/>
    <xf numFmtId="0" fontId="65" fillId="36" borderId="161"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62" fillId="27" borderId="159" applyNumberFormat="0" applyAlignment="0" applyProtection="0"/>
    <xf numFmtId="0" fontId="5" fillId="0" borderId="0"/>
    <xf numFmtId="0" fontId="5" fillId="24" borderId="160" applyNumberFormat="0" applyFont="0" applyAlignment="0" applyProtection="0"/>
    <xf numFmtId="0" fontId="5" fillId="24" borderId="160" applyNumberFormat="0" applyFont="0" applyAlignment="0" applyProtection="0"/>
    <xf numFmtId="10" fontId="36" fillId="15" borderId="142" applyNumberFormat="0" applyBorder="0" applyAlignment="0" applyProtection="0"/>
    <xf numFmtId="0" fontId="6" fillId="24" borderId="160" applyNumberFormat="0" applyFont="0" applyAlignment="0" applyProtection="0"/>
    <xf numFmtId="0" fontId="72" fillId="0" borderId="162" applyNumberFormat="0" applyFill="0" applyAlignment="0" applyProtection="0"/>
    <xf numFmtId="0" fontId="107" fillId="36"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116" fillId="36" borderId="161" applyNumberFormat="0" applyAlignment="0" applyProtection="0"/>
    <xf numFmtId="0" fontId="116" fillId="36" borderId="161" applyNumberFormat="0" applyAlignment="0" applyProtection="0"/>
    <xf numFmtId="10" fontId="36" fillId="15" borderId="142" applyNumberFormat="0" applyBorder="0" applyAlignment="0" applyProtection="0"/>
    <xf numFmtId="0" fontId="107" fillId="36" borderId="159" applyNumberFormat="0" applyAlignment="0" applyProtection="0"/>
    <xf numFmtId="0" fontId="122" fillId="0" borderId="162" applyNumberFormat="0" applyFill="0" applyAlignment="0" applyProtection="0"/>
    <xf numFmtId="0" fontId="110" fillId="21" borderId="159" applyNumberFormat="0" applyAlignment="0" applyProtection="0"/>
    <xf numFmtId="0" fontId="107" fillId="36" borderId="159" applyNumberFormat="0" applyAlignment="0" applyProtection="0"/>
    <xf numFmtId="0" fontId="6" fillId="24" borderId="160" applyNumberFormat="0" applyFont="0" applyAlignment="0" applyProtection="0"/>
    <xf numFmtId="0" fontId="62" fillId="27" borderId="159" applyNumberFormat="0" applyAlignment="0" applyProtection="0"/>
    <xf numFmtId="0" fontId="116" fillId="36" borderId="161"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65" fillId="36" borderId="161" applyNumberFormat="0" applyAlignment="0" applyProtection="0"/>
    <xf numFmtId="0" fontId="107"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65" fillId="37" borderId="161" applyNumberFormat="0" applyAlignment="0" applyProtection="0"/>
    <xf numFmtId="10" fontId="36" fillId="15" borderId="142" applyNumberFormat="0" applyBorder="0" applyAlignment="0" applyProtection="0"/>
    <xf numFmtId="0" fontId="5" fillId="0" borderId="0"/>
    <xf numFmtId="0" fontId="65" fillId="36" borderId="161" applyNumberFormat="0" applyAlignment="0" applyProtection="0"/>
    <xf numFmtId="0" fontId="107" fillId="36"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65" fillId="36" borderId="161" applyNumberFormat="0" applyAlignment="0" applyProtection="0"/>
    <xf numFmtId="0" fontId="62" fillId="21" borderId="159" applyNumberFormat="0" applyAlignment="0" applyProtection="0"/>
    <xf numFmtId="0" fontId="5" fillId="24" borderId="160" applyNumberFormat="0" applyFon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0" borderId="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6" fillId="24" borderId="160" applyNumberFormat="0" applyFont="0" applyAlignment="0" applyProtection="0"/>
    <xf numFmtId="0" fontId="122" fillId="0" borderId="162" applyNumberFormat="0" applyFill="0" applyAlignment="0" applyProtection="0"/>
    <xf numFmtId="0" fontId="65" fillId="37" borderId="161" applyNumberFormat="0" applyAlignment="0" applyProtection="0"/>
    <xf numFmtId="0" fontId="65" fillId="36" borderId="161" applyNumberFormat="0" applyAlignment="0" applyProtection="0"/>
    <xf numFmtId="0" fontId="72" fillId="0" borderId="162" applyNumberFormat="0" applyFill="0" applyAlignment="0" applyProtection="0"/>
    <xf numFmtId="0" fontId="116" fillId="36" borderId="161"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116" fillId="36" borderId="161" applyNumberForma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24" borderId="164" applyNumberFormat="0" applyFont="0" applyAlignment="0" applyProtection="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0" borderId="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122" fillId="0" borderId="162" applyNumberFormat="0" applyFill="0" applyAlignment="0" applyProtection="0"/>
    <xf numFmtId="0" fontId="116" fillId="36" borderId="161"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46"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7" fillId="36" borderId="163" applyNumberFormat="0" applyAlignment="0" applyProtection="0"/>
    <xf numFmtId="0" fontId="116" fillId="36" borderId="165" applyNumberFormat="0" applyAlignment="0" applyProtection="0"/>
    <xf numFmtId="0" fontId="110" fillId="21" borderId="163" applyNumberFormat="0" applyAlignment="0" applyProtection="0"/>
    <xf numFmtId="0" fontId="65" fillId="37" borderId="165" applyNumberFormat="0" applyAlignment="0" applyProtection="0"/>
    <xf numFmtId="0" fontId="62" fillId="27" borderId="163" applyNumberFormat="0" applyAlignment="0" applyProtection="0"/>
    <xf numFmtId="0" fontId="122" fillId="0" borderId="166" applyNumberFormat="0" applyFill="0" applyAlignment="0" applyProtection="0"/>
    <xf numFmtId="0" fontId="5" fillId="24" borderId="164" applyNumberFormat="0" applyFont="0" applyAlignment="0" applyProtection="0"/>
    <xf numFmtId="0" fontId="122" fillId="0" borderId="166" applyNumberFormat="0" applyFill="0" applyAlignment="0" applyProtection="0"/>
    <xf numFmtId="0" fontId="5" fillId="24" borderId="164" applyNumberFormat="0" applyFont="0" applyAlignment="0" applyProtection="0"/>
    <xf numFmtId="0" fontId="107" fillId="36" borderId="163" applyNumberFormat="0" applyAlignment="0" applyProtection="0"/>
    <xf numFmtId="0" fontId="62" fillId="21" borderId="163" applyNumberFormat="0" applyAlignment="0" applyProtection="0"/>
    <xf numFmtId="0" fontId="72" fillId="0" borderId="166" applyNumberFormat="0" applyFill="0" applyAlignment="0" applyProtection="0"/>
    <xf numFmtId="0" fontId="122" fillId="0" borderId="166" applyNumberFormat="0" applyFill="0" applyAlignment="0" applyProtection="0"/>
    <xf numFmtId="43" fontId="6" fillId="0" borderId="0" applyFont="0" applyFill="0" applyBorder="0" applyAlignment="0" applyProtection="0"/>
    <xf numFmtId="0" fontId="62" fillId="21" borderId="163"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7" fontId="49" fillId="0" borderId="0" applyFont="0" applyFill="0" applyBorder="0" applyAlignment="0" applyProtection="0"/>
    <xf numFmtId="0" fontId="65" fillId="37" borderId="165"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6" borderId="163"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4" borderId="164" applyNumberFormat="0" applyFon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0" fontId="5" fillId="24" borderId="164" applyNumberFormat="0" applyFont="0" applyAlignment="0" applyProtection="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4" borderId="16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24" borderId="164"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16" fillId="36" borderId="165" applyNumberFormat="0" applyAlignment="0" applyProtection="0"/>
    <xf numFmtId="167" fontId="5" fillId="0" borderId="0" applyFont="0" applyFill="0" applyBorder="0" applyAlignment="0" applyProtection="0"/>
    <xf numFmtId="0" fontId="1" fillId="0" borderId="0"/>
    <xf numFmtId="0" fontId="72" fillId="0" borderId="166" applyNumberFormat="0" applyFill="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0" borderId="0"/>
    <xf numFmtId="167"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4" borderId="164" applyNumberFormat="0" applyFont="0" applyAlignment="0" applyProtection="0"/>
    <xf numFmtId="0" fontId="59" fillId="36" borderId="163" applyNumberFormat="0" applyAlignment="0" applyProtection="0"/>
    <xf numFmtId="0" fontId="5" fillId="24" borderId="164" applyNumberFormat="0" applyFont="0" applyAlignment="0" applyProtection="0"/>
    <xf numFmtId="0" fontId="62" fillId="21" borderId="163" applyNumberFormat="0" applyAlignment="0" applyProtection="0"/>
    <xf numFmtId="0" fontId="122" fillId="0" borderId="166" applyNumberFormat="0" applyFill="0" applyAlignment="0" applyProtection="0"/>
    <xf numFmtId="0" fontId="62" fillId="27" borderId="163" applyNumberFormat="0" applyAlignment="0" applyProtection="0"/>
    <xf numFmtId="0" fontId="59" fillId="36" borderId="163" applyNumberFormat="0" applyAlignment="0" applyProtection="0"/>
    <xf numFmtId="0" fontId="72" fillId="0" borderId="166" applyNumberFormat="0" applyFill="0" applyAlignment="0" applyProtection="0"/>
    <xf numFmtId="0" fontId="116" fillId="36" borderId="165" applyNumberFormat="0" applyAlignment="0" applyProtection="0"/>
    <xf numFmtId="0" fontId="65" fillId="36" borderId="165" applyNumberFormat="0" applyAlignment="0" applyProtection="0"/>
    <xf numFmtId="0" fontId="5" fillId="24" borderId="164" applyNumberFormat="0" applyFont="0" applyAlignment="0" applyProtection="0"/>
    <xf numFmtId="0" fontId="116" fillId="36" borderId="165" applyNumberFormat="0" applyAlignment="0" applyProtection="0"/>
    <xf numFmtId="0" fontId="5" fillId="24" borderId="164" applyNumberFormat="0" applyFont="0" applyAlignment="0" applyProtection="0"/>
    <xf numFmtId="0" fontId="73" fillId="3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72" fillId="0" borderId="166" applyNumberFormat="0" applyFill="0" applyAlignment="0" applyProtection="0"/>
    <xf numFmtId="0" fontId="107" fillId="36" borderId="163" applyNumberFormat="0" applyAlignment="0" applyProtection="0"/>
    <xf numFmtId="0" fontId="6" fillId="24" borderId="164" applyNumberFormat="0" applyFont="0" applyAlignment="0" applyProtection="0"/>
    <xf numFmtId="0" fontId="62" fillId="27" borderId="163" applyNumberFormat="0" applyAlignment="0" applyProtection="0"/>
    <xf numFmtId="0" fontId="116" fillId="36" borderId="165" applyNumberFormat="0" applyAlignment="0" applyProtection="0"/>
    <xf numFmtId="0" fontId="5" fillId="24" borderId="164" applyNumberFormat="0" applyFont="0" applyAlignment="0" applyProtection="0"/>
    <xf numFmtId="0" fontId="65" fillId="36" borderId="165" applyNumberFormat="0" applyAlignment="0" applyProtection="0"/>
    <xf numFmtId="0" fontId="5" fillId="24" borderId="164" applyNumberFormat="0" applyFont="0" applyAlignment="0" applyProtection="0"/>
    <xf numFmtId="0" fontId="73" fillId="37" borderId="163" applyNumberFormat="0" applyAlignment="0" applyProtection="0"/>
    <xf numFmtId="0" fontId="122" fillId="0" borderId="166" applyNumberFormat="0" applyFill="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66" applyNumberFormat="0" applyFill="0" applyAlignment="0" applyProtection="0"/>
    <xf numFmtId="0" fontId="116" fillId="36" borderId="165" applyNumberFormat="0" applyAlignment="0" applyProtection="0"/>
    <xf numFmtId="0" fontId="110" fillId="21" borderId="163" applyNumberForma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72" fillId="0" borderId="166" applyNumberFormat="0" applyFill="0" applyAlignment="0" applyProtection="0"/>
    <xf numFmtId="0" fontId="65" fillId="37" borderId="165" applyNumberFormat="0" applyAlignment="0" applyProtection="0"/>
    <xf numFmtId="0" fontId="122" fillId="0" borderId="166" applyNumberFormat="0" applyFill="0" applyAlignment="0" applyProtection="0"/>
    <xf numFmtId="0" fontId="107" fillId="36" borderId="163" applyNumberFormat="0" applyAlignment="0" applyProtection="0"/>
    <xf numFmtId="0" fontId="110" fillId="21" borderId="163" applyNumberFormat="0" applyAlignment="0" applyProtection="0"/>
    <xf numFmtId="0" fontId="62" fillId="21" borderId="163" applyNumberFormat="0" applyAlignment="0" applyProtection="0"/>
    <xf numFmtId="168" fontId="5" fillId="0" borderId="0" applyFont="0" applyFill="0" applyBorder="0" applyAlignment="0" applyProtection="0"/>
    <xf numFmtId="0" fontId="110" fillId="21" borderId="163" applyNumberFormat="0" applyAlignment="0" applyProtection="0"/>
    <xf numFmtId="0" fontId="65" fillId="37" borderId="165" applyNumberFormat="0" applyAlignment="0" applyProtection="0"/>
    <xf numFmtId="0" fontId="62" fillId="27" borderId="163" applyNumberFormat="0" applyAlignment="0" applyProtection="0"/>
    <xf numFmtId="0" fontId="110" fillId="21" borderId="163" applyNumberFormat="0" applyAlignment="0" applyProtection="0"/>
    <xf numFmtId="0" fontId="62" fillId="21" borderId="163" applyNumberFormat="0" applyAlignment="0" applyProtection="0"/>
    <xf numFmtId="44" fontId="49" fillId="0" borderId="0" applyFont="0" applyFill="0" applyBorder="0" applyAlignment="0" applyProtection="0"/>
    <xf numFmtId="0" fontId="5" fillId="24" borderId="164"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6" borderId="165"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7" fontId="5" fillId="0" borderId="0" applyFont="0" applyFill="0" applyBorder="0" applyAlignment="0" applyProtection="0"/>
    <xf numFmtId="0" fontId="65" fillId="36" borderId="165" applyNumberFormat="0" applyAlignment="0" applyProtection="0"/>
    <xf numFmtId="0" fontId="122" fillId="0" borderId="166" applyNumberFormat="0" applyFill="0" applyAlignment="0" applyProtection="0"/>
    <xf numFmtId="0" fontId="5" fillId="0" borderId="0"/>
    <xf numFmtId="10" fontId="36" fillId="15" borderId="142" applyNumberFormat="0" applyBorder="0" applyAlignment="0" applyProtection="0"/>
    <xf numFmtId="0" fontId="62" fillId="21" borderId="159" applyNumberFormat="0" applyAlignment="0" applyProtection="0"/>
    <xf numFmtId="10" fontId="36" fillId="15" borderId="142" applyNumberFormat="0" applyBorder="0" applyAlignment="0" applyProtection="0"/>
    <xf numFmtId="0" fontId="5" fillId="0" borderId="0"/>
    <xf numFmtId="0" fontId="62" fillId="21" borderId="159" applyNumberFormat="0" applyAlignment="0" applyProtection="0"/>
    <xf numFmtId="0" fontId="65" fillId="36" borderId="161"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73" fillId="37" borderId="159" applyNumberFormat="0" applyAlignment="0" applyProtection="0"/>
    <xf numFmtId="10" fontId="36" fillId="15" borderId="142" applyNumberFormat="0" applyBorder="0" applyAlignment="0" applyProtection="0"/>
    <xf numFmtId="0" fontId="65" fillId="37" borderId="161" applyNumberFormat="0" applyAlignment="0" applyProtection="0"/>
    <xf numFmtId="0" fontId="65" fillId="37" borderId="161" applyNumberFormat="0" applyAlignment="0" applyProtection="0"/>
    <xf numFmtId="0" fontId="116" fillId="36" borderId="161" applyNumberFormat="0" applyAlignment="0" applyProtection="0"/>
    <xf numFmtId="0" fontId="5" fillId="0" borderId="0"/>
    <xf numFmtId="10" fontId="36" fillId="15" borderId="142" applyNumberFormat="0" applyBorder="0" applyAlignment="0" applyProtection="0"/>
    <xf numFmtId="0" fontId="62" fillId="27"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59" fillId="36" borderId="159" applyNumberFormat="0" applyAlignment="0" applyProtection="0"/>
    <xf numFmtId="0" fontId="73" fillId="37" borderId="159" applyNumberFormat="0" applyAlignment="0" applyProtection="0"/>
    <xf numFmtId="0" fontId="62" fillId="27"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65" fillId="36" borderId="161" applyNumberFormat="0" applyAlignment="0" applyProtection="0"/>
    <xf numFmtId="0" fontId="65" fillId="37" borderId="161" applyNumberFormat="0" applyAlignment="0" applyProtection="0"/>
    <xf numFmtId="0" fontId="72" fillId="0" borderId="162" applyNumberFormat="0" applyFill="0" applyAlignment="0" applyProtection="0"/>
    <xf numFmtId="0" fontId="5" fillId="24" borderId="160" applyNumberFormat="0" applyFont="0" applyAlignment="0" applyProtection="0"/>
    <xf numFmtId="0" fontId="110" fillId="21" borderId="159" applyNumberFormat="0" applyAlignment="0" applyProtection="0"/>
    <xf numFmtId="0" fontId="107" fillId="36" borderId="159" applyNumberFormat="0" applyAlignment="0" applyProtection="0"/>
    <xf numFmtId="0" fontId="5" fillId="24" borderId="160" applyNumberFormat="0" applyFont="0" applyAlignment="0" applyProtection="0"/>
    <xf numFmtId="0" fontId="116" fillId="36" borderId="161"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65" fillId="37" borderId="161" applyNumberFormat="0" applyAlignment="0" applyProtection="0"/>
    <xf numFmtId="0" fontId="1" fillId="0" borderId="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59" fillId="36" borderId="159" applyNumberFormat="0" applyAlignment="0" applyProtection="0"/>
    <xf numFmtId="0" fontId="72" fillId="0" borderId="162" applyNumberFormat="0" applyFill="0" applyAlignment="0" applyProtection="0"/>
    <xf numFmtId="0" fontId="5" fillId="24" borderId="160" applyNumberFormat="0" applyFont="0" applyAlignment="0" applyProtection="0"/>
    <xf numFmtId="0" fontId="72" fillId="0" borderId="162" applyNumberFormat="0" applyFill="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110" fillId="21"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59" fillId="36" borderId="159" applyNumberFormat="0" applyAlignment="0" applyProtection="0"/>
    <xf numFmtId="0" fontId="73" fillId="37" borderId="159" applyNumberFormat="0" applyAlignment="0" applyProtection="0"/>
    <xf numFmtId="0" fontId="65" fillId="36"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116" fillId="36" borderId="161" applyNumberFormat="0" applyAlignment="0" applyProtection="0"/>
    <xf numFmtId="0" fontId="5" fillId="24" borderId="160" applyNumberFormat="0" applyFont="0" applyAlignment="0" applyProtection="0"/>
    <xf numFmtId="0" fontId="65" fillId="37" borderId="161" applyNumberFormat="0" applyAlignment="0" applyProtection="0"/>
    <xf numFmtId="0" fontId="62" fillId="21" borderId="159" applyNumberFormat="0" applyAlignment="0" applyProtection="0"/>
    <xf numFmtId="0" fontId="5" fillId="24" borderId="160" applyNumberFormat="0" applyFont="0" applyAlignment="0" applyProtection="0"/>
    <xf numFmtId="0" fontId="73" fillId="3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62" fillId="27"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122" fillId="0" borderId="162" applyNumberFormat="0" applyFill="0" applyAlignment="0" applyProtection="0"/>
    <xf numFmtId="0" fontId="5" fillId="24" borderId="160" applyNumberFormat="0" applyFont="0" applyAlignment="0" applyProtection="0"/>
    <xf numFmtId="0" fontId="59" fillId="36" borderId="159" applyNumberFormat="0" applyAlignment="0" applyProtection="0"/>
    <xf numFmtId="0" fontId="6" fillId="24" borderId="160" applyNumberFormat="0" applyFont="0" applyAlignment="0" applyProtection="0"/>
    <xf numFmtId="0" fontId="5" fillId="24" borderId="160" applyNumberFormat="0" applyFont="0" applyAlignment="0" applyProtection="0"/>
    <xf numFmtId="0" fontId="59" fillId="36" borderId="159" applyNumberFormat="0" applyAlignment="0" applyProtection="0"/>
    <xf numFmtId="0" fontId="72" fillId="0" borderId="162" applyNumberFormat="0" applyFill="0" applyAlignment="0" applyProtection="0"/>
    <xf numFmtId="0" fontId="5" fillId="0" borderId="0"/>
    <xf numFmtId="0" fontId="62" fillId="21" borderId="159" applyNumberFormat="0" applyAlignment="0" applyProtection="0"/>
    <xf numFmtId="0" fontId="110" fillId="21" borderId="159" applyNumberFormat="0" applyAlignment="0" applyProtection="0"/>
    <xf numFmtId="0" fontId="73" fillId="37" borderId="159" applyNumberFormat="0" applyAlignment="0" applyProtection="0"/>
    <xf numFmtId="0" fontId="6" fillId="24" borderId="160" applyNumberFormat="0" applyFont="0" applyAlignment="0" applyProtection="0"/>
    <xf numFmtId="0" fontId="62" fillId="21" borderId="159"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116" fillId="36" borderId="161" applyNumberFormat="0" applyAlignment="0" applyProtection="0"/>
    <xf numFmtId="0" fontId="65" fillId="37" borderId="161" applyNumberFormat="0" applyAlignment="0" applyProtection="0"/>
    <xf numFmtId="0" fontId="122" fillId="0" borderId="162" applyNumberFormat="0" applyFill="0" applyAlignment="0" applyProtection="0"/>
    <xf numFmtId="0" fontId="73" fillId="37" borderId="159" applyNumberFormat="0" applyAlignment="0" applyProtection="0"/>
    <xf numFmtId="0" fontId="5" fillId="24" borderId="160" applyNumberFormat="0" applyFont="0" applyAlignment="0" applyProtection="0"/>
    <xf numFmtId="0" fontId="5" fillId="0" borderId="0"/>
    <xf numFmtId="0" fontId="65" fillId="37" borderId="161" applyNumberFormat="0" applyAlignment="0" applyProtection="0"/>
    <xf numFmtId="0" fontId="72" fillId="0" borderId="162" applyNumberFormat="0" applyFill="0" applyAlignment="0" applyProtection="0"/>
    <xf numFmtId="0" fontId="110" fillId="21" borderId="159" applyNumberFormat="0" applyAlignment="0" applyProtection="0"/>
    <xf numFmtId="0" fontId="62" fillId="27" borderId="159" applyNumberFormat="0" applyAlignment="0" applyProtection="0"/>
    <xf numFmtId="0" fontId="5" fillId="24" borderId="160" applyNumberFormat="0" applyFont="0" applyAlignment="0" applyProtection="0"/>
    <xf numFmtId="0" fontId="107" fillId="36" borderId="159" applyNumberFormat="0" applyAlignment="0" applyProtection="0"/>
    <xf numFmtId="0" fontId="110" fillId="21" borderId="159" applyNumberFormat="0" applyAlignment="0" applyProtection="0"/>
    <xf numFmtId="0" fontId="5" fillId="24" borderId="160" applyNumberFormat="0" applyFont="0" applyAlignment="0" applyProtection="0"/>
    <xf numFmtId="0" fontId="116" fillId="36" borderId="161" applyNumberFormat="0" applyAlignment="0" applyProtection="0"/>
    <xf numFmtId="0" fontId="122" fillId="0" borderId="162" applyNumberFormat="0" applyFill="0" applyAlignment="0" applyProtection="0"/>
    <xf numFmtId="0" fontId="62" fillId="21" borderId="159" applyNumberFormat="0" applyAlignment="0" applyProtection="0"/>
    <xf numFmtId="0" fontId="6" fillId="24" borderId="160" applyNumberFormat="0" applyFont="0" applyAlignment="0" applyProtection="0"/>
    <xf numFmtId="0" fontId="65" fillId="36" borderId="161" applyNumberFormat="0" applyAlignment="0" applyProtection="0"/>
    <xf numFmtId="0" fontId="62" fillId="21" borderId="159" applyNumberFormat="0" applyAlignment="0" applyProtection="0"/>
    <xf numFmtId="0" fontId="62" fillId="21" borderId="159" applyNumberFormat="0" applyAlignment="0" applyProtection="0"/>
    <xf numFmtId="0" fontId="62" fillId="21" borderId="159" applyNumberFormat="0" applyAlignment="0" applyProtection="0"/>
    <xf numFmtId="0" fontId="62" fillId="21" borderId="159" applyNumberFormat="0" applyAlignment="0" applyProtection="0"/>
    <xf numFmtId="0" fontId="59" fillId="36" borderId="159" applyNumberFormat="0" applyAlignment="0" applyProtection="0"/>
    <xf numFmtId="0" fontId="122" fillId="0" borderId="162" applyNumberFormat="0" applyFill="0" applyAlignment="0" applyProtection="0"/>
    <xf numFmtId="0" fontId="62" fillId="21" borderId="159" applyNumberFormat="0" applyAlignment="0" applyProtection="0"/>
    <xf numFmtId="0" fontId="5" fillId="24" borderId="160" applyNumberFormat="0" applyFont="0" applyAlignment="0" applyProtection="0"/>
    <xf numFmtId="0" fontId="122" fillId="0" borderId="162" applyNumberFormat="0" applyFill="0" applyAlignment="0" applyProtection="0"/>
    <xf numFmtId="0" fontId="62" fillId="27" borderId="159" applyNumberFormat="0" applyAlignment="0" applyProtection="0"/>
    <xf numFmtId="0" fontId="5" fillId="0" borderId="0"/>
    <xf numFmtId="10" fontId="36" fillId="15" borderId="142" applyNumberFormat="0" applyBorder="0" applyAlignment="0" applyProtection="0"/>
    <xf numFmtId="0" fontId="6" fillId="24" borderId="160" applyNumberFormat="0" applyFont="0" applyAlignment="0" applyProtection="0"/>
    <xf numFmtId="0" fontId="72" fillId="0" borderId="162" applyNumberFormat="0" applyFill="0" applyAlignment="0" applyProtection="0"/>
    <xf numFmtId="0" fontId="107" fillId="36"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116" fillId="36" borderId="161" applyNumberFormat="0" applyAlignment="0" applyProtection="0"/>
    <xf numFmtId="10" fontId="36" fillId="15" borderId="142" applyNumberFormat="0" applyBorder="0" applyAlignment="0" applyProtection="0"/>
    <xf numFmtId="0" fontId="122" fillId="0" borderId="162" applyNumberFormat="0" applyFill="0" applyAlignment="0" applyProtection="0"/>
    <xf numFmtId="43" fontId="5" fillId="0" borderId="0" applyFont="0" applyFill="0" applyBorder="0" applyAlignment="0" applyProtection="0"/>
    <xf numFmtId="0" fontId="110" fillId="21" borderId="159" applyNumberFormat="0" applyAlignment="0" applyProtection="0"/>
    <xf numFmtId="0" fontId="107" fillId="36" borderId="159" applyNumberFormat="0" applyAlignment="0" applyProtection="0"/>
    <xf numFmtId="0" fontId="6" fillId="24" borderId="160" applyNumberFormat="0" applyFont="0" applyAlignment="0" applyProtection="0"/>
    <xf numFmtId="0" fontId="62" fillId="27" borderId="159" applyNumberFormat="0" applyAlignment="0" applyProtection="0"/>
    <xf numFmtId="0" fontId="116" fillId="36"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107"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65" fillId="37" borderId="161" applyNumberFormat="0" applyAlignment="0" applyProtection="0"/>
    <xf numFmtId="10" fontId="36" fillId="15" borderId="142" applyNumberFormat="0" applyBorder="0" applyAlignment="0" applyProtection="0"/>
    <xf numFmtId="0" fontId="5" fillId="0" borderId="0"/>
    <xf numFmtId="0" fontId="65" fillId="36" borderId="161" applyNumberFormat="0" applyAlignment="0" applyProtection="0"/>
    <xf numFmtId="0" fontId="107" fillId="36" borderId="159"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24" borderId="160" applyNumberFormat="0" applyFon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0" borderId="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122" fillId="0" borderId="162" applyNumberFormat="0" applyFill="0" applyAlignment="0" applyProtection="0"/>
    <xf numFmtId="0" fontId="65" fillId="37" borderId="161" applyNumberFormat="0" applyAlignment="0" applyProtection="0"/>
    <xf numFmtId="0" fontId="65" fillId="36" borderId="161" applyNumberFormat="0" applyAlignment="0" applyProtection="0"/>
    <xf numFmtId="0" fontId="72" fillId="0" borderId="162" applyNumberFormat="0" applyFill="0" applyAlignment="0" applyProtection="0"/>
    <xf numFmtId="0" fontId="116" fillId="36" borderId="161"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116" fillId="36" borderId="161" applyNumberForma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0" borderId="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73" fillId="37" borderId="159" applyNumberFormat="0" applyAlignment="0" applyProtection="0"/>
    <xf numFmtId="0" fontId="122" fillId="0" borderId="162" applyNumberFormat="0" applyFill="0" applyAlignment="0" applyProtection="0"/>
    <xf numFmtId="0" fontId="62" fillId="27"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10" fontId="36" fillId="15" borderId="142" applyNumberFormat="0" applyBorder="0" applyAlignment="0" applyProtection="0"/>
    <xf numFmtId="0" fontId="62" fillId="21" borderId="159" applyNumberFormat="0" applyAlignment="0" applyProtection="0"/>
    <xf numFmtId="0" fontId="107" fillId="36" borderId="159" applyNumberFormat="0" applyAlignment="0" applyProtection="0"/>
    <xf numFmtId="0" fontId="65" fillId="37" borderId="161" applyNumberFormat="0" applyAlignment="0" applyProtection="0"/>
    <xf numFmtId="0" fontId="5" fillId="24" borderId="160" applyNumberFormat="0" applyFont="0" applyAlignment="0" applyProtection="0"/>
    <xf numFmtId="0" fontId="65" fillId="36" borderId="161" applyNumberFormat="0" applyAlignment="0" applyProtection="0"/>
    <xf numFmtId="0" fontId="5" fillId="0" borderId="0"/>
    <xf numFmtId="0" fontId="110" fillId="21" borderId="159" applyNumberFormat="0" applyAlignment="0" applyProtection="0"/>
    <xf numFmtId="0" fontId="59" fillId="36" borderId="159" applyNumberFormat="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72" fillId="0" borderId="162" applyNumberFormat="0" applyFill="0" applyAlignment="0" applyProtection="0"/>
    <xf numFmtId="0" fontId="62" fillId="21" borderId="159" applyNumberFormat="0" applyAlignment="0" applyProtection="0"/>
    <xf numFmtId="0" fontId="116" fillId="36" borderId="161" applyNumberFormat="0" applyAlignment="0" applyProtection="0"/>
    <xf numFmtId="0" fontId="5" fillId="24" borderId="157" applyNumberFormat="0" applyFont="0" applyAlignment="0" applyProtection="0"/>
    <xf numFmtId="0" fontId="73" fillId="37" borderId="163" applyNumberFormat="0" applyAlignment="0" applyProtection="0"/>
    <xf numFmtId="0" fontId="122" fillId="0" borderId="166" applyNumberFormat="0" applyFill="0" applyAlignment="0" applyProtection="0"/>
    <xf numFmtId="0" fontId="5" fillId="24" borderId="157" applyNumberFormat="0" applyFont="0" applyAlignment="0" applyProtection="0"/>
    <xf numFmtId="0" fontId="5" fillId="24" borderId="157" applyNumberFormat="0" applyFont="0" applyAlignment="0" applyProtection="0"/>
    <xf numFmtId="0" fontId="122" fillId="0" borderId="166" applyNumberFormat="0" applyFill="0" applyAlignment="0" applyProtection="0"/>
    <xf numFmtId="167" fontId="5" fillId="0" borderId="0" applyFont="0" applyFill="0" applyBorder="0" applyAlignment="0" applyProtection="0"/>
    <xf numFmtId="0" fontId="122" fillId="0" borderId="166" applyNumberFormat="0" applyFill="0" applyAlignment="0" applyProtection="0"/>
    <xf numFmtId="0" fontId="1" fillId="0" borderId="0"/>
    <xf numFmtId="0" fontId="5" fillId="24" borderId="157" applyNumberFormat="0" applyFont="0" applyAlignment="0" applyProtection="0"/>
    <xf numFmtId="0" fontId="73" fillId="37" borderId="163" applyNumberFormat="0" applyAlignment="0" applyProtection="0"/>
    <xf numFmtId="0" fontId="5" fillId="24" borderId="157" applyNumberFormat="0" applyFont="0" applyAlignment="0" applyProtection="0"/>
    <xf numFmtId="0" fontId="5" fillId="24" borderId="157" applyNumberFormat="0" applyFont="0" applyAlignment="0" applyProtection="0"/>
    <xf numFmtId="0" fontId="1" fillId="0" borderId="0"/>
    <xf numFmtId="0" fontId="5" fillId="24" borderId="164" applyNumberFormat="0" applyFont="0" applyAlignment="0" applyProtection="0"/>
    <xf numFmtId="0" fontId="62" fillId="21" borderId="163" applyNumberFormat="0" applyAlignment="0" applyProtection="0"/>
    <xf numFmtId="0" fontId="116" fillId="36" borderId="165" applyNumberFormat="0" applyAlignment="0" applyProtection="0"/>
    <xf numFmtId="0" fontId="5" fillId="24" borderId="157" applyNumberFormat="0" applyFont="0" applyAlignment="0" applyProtection="0"/>
    <xf numFmtId="0" fontId="5" fillId="24" borderId="164" applyNumberFormat="0" applyFont="0" applyAlignment="0" applyProtection="0"/>
    <xf numFmtId="43" fontId="6" fillId="0" borderId="0" applyFont="0" applyFill="0" applyBorder="0" applyAlignment="0" applyProtection="0"/>
    <xf numFmtId="167" fontId="5" fillId="0" borderId="0" applyFont="0" applyFill="0" applyBorder="0" applyAlignment="0" applyProtection="0"/>
    <xf numFmtId="0" fontId="5" fillId="24" borderId="157" applyNumberFormat="0" applyFont="0" applyAlignment="0" applyProtection="0"/>
    <xf numFmtId="0" fontId="72" fillId="0" borderId="166" applyNumberFormat="0" applyFill="0" applyAlignment="0" applyProtection="0"/>
    <xf numFmtId="0" fontId="65" fillId="37" borderId="165" applyNumberFormat="0" applyAlignment="0" applyProtection="0"/>
    <xf numFmtId="0" fontId="5" fillId="24" borderId="157" applyNumberFormat="0" applyFont="0" applyAlignment="0" applyProtection="0"/>
    <xf numFmtId="0" fontId="6" fillId="24" borderId="157" applyNumberFormat="0" applyFont="0" applyAlignment="0" applyProtection="0"/>
    <xf numFmtId="0" fontId="62" fillId="21" borderId="163" applyNumberFormat="0" applyAlignment="0" applyProtection="0"/>
    <xf numFmtId="43" fontId="6"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73" fillId="37" borderId="163" applyNumberFormat="0" applyAlignment="0" applyProtection="0"/>
    <xf numFmtId="167"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4" borderId="157" applyNumberFormat="0" applyFont="0" applyAlignment="0" applyProtection="0"/>
    <xf numFmtId="44"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4" borderId="157" applyNumberFormat="0" applyFont="0" applyAlignment="0" applyProtection="0"/>
    <xf numFmtId="0" fontId="62" fillId="27" borderId="163" applyNumberFormat="0" applyAlignment="0" applyProtection="0"/>
    <xf numFmtId="0" fontId="5" fillId="24" borderId="164" applyNumberFormat="0" applyFont="0" applyAlignment="0" applyProtection="0"/>
    <xf numFmtId="0" fontId="1" fillId="0" borderId="0"/>
    <xf numFmtId="0" fontId="72" fillId="0" borderId="166" applyNumberFormat="0" applyFill="0" applyAlignment="0" applyProtection="0"/>
    <xf numFmtId="0" fontId="5" fillId="0" borderId="0"/>
    <xf numFmtId="44" fontId="48"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0" fontId="5" fillId="24" borderId="157" applyNumberFormat="0" applyFont="0" applyAlignment="0" applyProtection="0"/>
    <xf numFmtId="43" fontId="49" fillId="0" borderId="0" applyFont="0" applyFill="0" applyBorder="0" applyAlignment="0" applyProtection="0"/>
    <xf numFmtId="0" fontId="5" fillId="24" borderId="164" applyNumberFormat="0" applyFont="0" applyAlignment="0" applyProtection="0"/>
    <xf numFmtId="0" fontId="5" fillId="0" borderId="0"/>
    <xf numFmtId="0" fontId="1" fillId="0" borderId="0"/>
    <xf numFmtId="167" fontId="5" fillId="0" borderId="0" applyFont="0" applyFill="0" applyBorder="0" applyAlignment="0" applyProtection="0"/>
    <xf numFmtId="0" fontId="5" fillId="24" borderId="164" applyNumberFormat="0" applyFont="0" applyAlignment="0" applyProtection="0"/>
    <xf numFmtId="43" fontId="6" fillId="0" borderId="0" applyFont="0" applyFill="0" applyBorder="0" applyAlignment="0" applyProtection="0"/>
    <xf numFmtId="0" fontId="116" fillId="36" borderId="165" applyNumberFormat="0" applyAlignment="0" applyProtection="0"/>
    <xf numFmtId="0" fontId="62" fillId="27" borderId="163" applyNumberFormat="0" applyAlignment="0" applyProtection="0"/>
    <xf numFmtId="43" fontId="5" fillId="0" borderId="0" applyFont="0" applyFill="0" applyBorder="0" applyAlignment="0" applyProtection="0"/>
    <xf numFmtId="0" fontId="5" fillId="0" borderId="0"/>
    <xf numFmtId="0" fontId="5" fillId="0" borderId="0"/>
    <xf numFmtId="0" fontId="65" fillId="37" borderId="165" applyNumberFormat="0" applyAlignment="0" applyProtection="0"/>
    <xf numFmtId="0" fontId="5" fillId="0" borderId="0"/>
    <xf numFmtId="167" fontId="5" fillId="0" borderId="0" applyFont="0" applyFill="0" applyBorder="0" applyAlignment="0" applyProtection="0"/>
    <xf numFmtId="0" fontId="5" fillId="24" borderId="164"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64" applyNumberFormat="0" applyFont="0" applyAlignment="0" applyProtection="0"/>
    <xf numFmtId="43" fontId="1" fillId="0" borderId="0" applyFont="0" applyFill="0" applyBorder="0" applyAlignment="0" applyProtection="0"/>
    <xf numFmtId="44" fontId="49" fillId="0" borderId="0" applyFont="0" applyFill="0" applyBorder="0" applyAlignment="0" applyProtection="0"/>
    <xf numFmtId="167"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5" fillId="36" borderId="165" applyNumberFormat="0" applyAlignment="0" applyProtection="0"/>
    <xf numFmtId="0" fontId="5" fillId="24" borderId="164"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64" applyNumberFormat="0" applyFont="0" applyAlignment="0" applyProtection="0"/>
    <xf numFmtId="43" fontId="35" fillId="0" borderId="0" applyFont="0" applyFill="0" applyBorder="0" applyAlignment="0" applyProtection="0"/>
    <xf numFmtId="43" fontId="115"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4" borderId="164" applyNumberFormat="0" applyFont="0" applyAlignment="0" applyProtection="0"/>
    <xf numFmtId="0" fontId="5" fillId="0" borderId="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0" borderId="0"/>
    <xf numFmtId="0" fontId="59" fillId="36" borderId="163" applyNumberFormat="0" applyAlignment="0" applyProtection="0"/>
    <xf numFmtId="167" fontId="5" fillId="0" borderId="0" applyFont="0" applyFill="0" applyBorder="0" applyAlignment="0" applyProtection="0"/>
    <xf numFmtId="0" fontId="1" fillId="0" borderId="0"/>
    <xf numFmtId="0" fontId="62" fillId="21" borderId="163" applyNumberFormat="0" applyAlignment="0" applyProtection="0"/>
    <xf numFmtId="0" fontId="5" fillId="24" borderId="164" applyNumberFormat="0" applyFont="0" applyAlignment="0" applyProtection="0"/>
    <xf numFmtId="43" fontId="35" fillId="0" borderId="0" applyFont="0" applyFill="0" applyBorder="0" applyAlignment="0" applyProtection="0"/>
    <xf numFmtId="167" fontId="5" fillId="0" borderId="0" applyFont="0" applyFill="0" applyBorder="0" applyAlignment="0" applyProtection="0"/>
    <xf numFmtId="0" fontId="62" fillId="21" borderId="163" applyNumberFormat="0" applyAlignment="0" applyProtection="0"/>
    <xf numFmtId="40" fontId="53" fillId="0" borderId="0" applyFont="0" applyFill="0" applyBorder="0" applyAlignment="0" applyProtection="0"/>
    <xf numFmtId="0" fontId="1" fillId="0" borderId="0"/>
    <xf numFmtId="167" fontId="5" fillId="0" borderId="0" applyFont="0" applyFill="0" applyBorder="0" applyAlignment="0" applyProtection="0"/>
    <xf numFmtId="167" fontId="5" fillId="0" borderId="0" applyFont="0" applyFill="0" applyBorder="0" applyAlignment="0" applyProtection="0"/>
    <xf numFmtId="0" fontId="73" fillId="37" borderId="163" applyNumberFormat="0" applyAlignment="0" applyProtection="0"/>
    <xf numFmtId="0" fontId="62" fillId="21" borderId="163" applyNumberFormat="0" applyAlignment="0" applyProtection="0"/>
    <xf numFmtId="168" fontId="5" fillId="0" borderId="0" applyFont="0" applyFill="0" applyBorder="0" applyAlignment="0" applyProtection="0"/>
    <xf numFmtId="0" fontId="65" fillId="36" borderId="165" applyNumberFormat="0" applyAlignment="0" applyProtection="0"/>
    <xf numFmtId="0" fontId="72" fillId="0" borderId="166" applyNumberFormat="0" applyFill="0" applyAlignment="0" applyProtection="0"/>
    <xf numFmtId="0" fontId="116" fillId="36" borderId="165" applyNumberFormat="0" applyAlignment="0" applyProtection="0"/>
    <xf numFmtId="0" fontId="1" fillId="0" borderId="0"/>
    <xf numFmtId="43" fontId="6" fillId="0" borderId="0" applyFont="0" applyFill="0" applyBorder="0" applyAlignment="0" applyProtection="0"/>
    <xf numFmtId="0" fontId="5" fillId="24" borderId="157" applyNumberFormat="0" applyFont="0" applyAlignment="0" applyProtection="0"/>
    <xf numFmtId="0" fontId="5" fillId="24" borderId="164" applyNumberFormat="0" applyFont="0" applyAlignment="0" applyProtection="0"/>
    <xf numFmtId="0" fontId="73" fillId="37" borderId="163" applyNumberFormat="0" applyAlignment="0" applyProtection="0"/>
    <xf numFmtId="0" fontId="5" fillId="24" borderId="157" applyNumberFormat="0" applyFont="0" applyAlignment="0" applyProtection="0"/>
    <xf numFmtId="43" fontId="5" fillId="0" borderId="0" applyFont="0" applyFill="0" applyBorder="0" applyAlignment="0" applyProtection="0"/>
    <xf numFmtId="0" fontId="5" fillId="24" borderId="164"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0" fillId="21" borderId="163" applyNumberFormat="0" applyAlignment="0" applyProtection="0"/>
    <xf numFmtId="0" fontId="62" fillId="21" borderId="163" applyNumberFormat="0" applyAlignment="0" applyProtection="0"/>
    <xf numFmtId="168" fontId="5"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0" fontId="110" fillId="21" borderId="163" applyNumberFormat="0" applyAlignment="0" applyProtection="0"/>
    <xf numFmtId="0" fontId="62" fillId="21" borderId="163" applyNumberFormat="0" applyAlignment="0" applyProtection="0"/>
    <xf numFmtId="0" fontId="5" fillId="24" borderId="157" applyNumberFormat="0" applyFont="0" applyAlignment="0" applyProtection="0"/>
    <xf numFmtId="0" fontId="107" fillId="36" borderId="163" applyNumberFormat="0" applyAlignment="0" applyProtection="0"/>
    <xf numFmtId="168" fontId="5" fillId="0" borderId="0" applyFont="0" applyFill="0" applyBorder="0" applyAlignment="0" applyProtection="0"/>
    <xf numFmtId="43" fontId="49"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24" borderId="157" applyNumberFormat="0" applyFont="0" applyAlignment="0" applyProtection="0"/>
    <xf numFmtId="43" fontId="5"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7" fontId="35" fillId="0" borderId="0" applyFont="0" applyFill="0" applyBorder="0" applyAlignment="0" applyProtection="0"/>
    <xf numFmtId="0" fontId="1" fillId="0" borderId="0"/>
    <xf numFmtId="43" fontId="5" fillId="0" borderId="0" applyFont="0" applyFill="0" applyBorder="0" applyAlignment="0" applyProtection="0"/>
    <xf numFmtId="0" fontId="6" fillId="24" borderId="15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4" borderId="164" applyNumberFormat="0" applyFont="0" applyAlignment="0" applyProtection="0"/>
    <xf numFmtId="0" fontId="1" fillId="0" borderId="0"/>
    <xf numFmtId="0" fontId="5" fillId="24" borderId="164" applyNumberFormat="0" applyFont="0" applyAlignment="0" applyProtection="0"/>
    <xf numFmtId="0" fontId="59" fillId="36" borderId="163" applyNumberForma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73" fillId="37" borderId="163" applyNumberForma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2" fillId="21" borderId="163" applyNumberFormat="0" applyAlignment="0" applyProtection="0"/>
    <xf numFmtId="166"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5" fillId="37" borderId="165" applyNumberFormat="0" applyAlignment="0" applyProtection="0"/>
    <xf numFmtId="167" fontId="5" fillId="0" borderId="0" applyFont="0" applyFill="0" applyBorder="0" applyAlignment="0" applyProtection="0"/>
    <xf numFmtId="0" fontId="5" fillId="0" borderId="0"/>
    <xf numFmtId="0" fontId="62" fillId="21" borderId="163" applyNumberFormat="0" applyAlignment="0" applyProtection="0"/>
    <xf numFmtId="0" fontId="1" fillId="0" borderId="0"/>
    <xf numFmtId="0" fontId="1" fillId="0" borderId="0"/>
    <xf numFmtId="0" fontId="122" fillId="0" borderId="166" applyNumberFormat="0" applyFill="0" applyAlignment="0" applyProtection="0"/>
    <xf numFmtId="0" fontId="59" fillId="36" borderId="163"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0" fontId="110" fillId="21" borderId="163" applyNumberFormat="0" applyAlignment="0" applyProtection="0"/>
    <xf numFmtId="0" fontId="5" fillId="0" borderId="0"/>
    <xf numFmtId="167"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4" borderId="164"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7" fontId="5" fillId="0" borderId="0" applyFont="0" applyFill="0" applyBorder="0" applyAlignment="0" applyProtection="0"/>
    <xf numFmtId="0" fontId="116" fillId="36" borderId="165" applyNumberFormat="0" applyAlignment="0" applyProtection="0"/>
    <xf numFmtId="0" fontId="62" fillId="27" borderId="163" applyNumberFormat="0" applyAlignment="0" applyProtection="0"/>
    <xf numFmtId="168" fontId="5" fillId="0" borderId="0" applyFont="0" applyFill="0" applyBorder="0" applyAlignment="0" applyProtection="0"/>
    <xf numFmtId="0" fontId="1" fillId="0" borderId="0"/>
    <xf numFmtId="0" fontId="1"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4" borderId="164" applyNumberFormat="0" applyFont="0" applyAlignment="0" applyProtection="0"/>
    <xf numFmtId="0" fontId="65" fillId="36" borderId="165"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0" fontId="1" fillId="0" borderId="0"/>
    <xf numFmtId="167" fontId="5" fillId="0" borderId="0" applyFont="0" applyFill="0" applyBorder="0" applyAlignment="0" applyProtection="0"/>
    <xf numFmtId="0" fontId="62" fillId="21" borderId="163" applyNumberFormat="0" applyAlignment="0" applyProtection="0"/>
    <xf numFmtId="0" fontId="1" fillId="0" borderId="0"/>
    <xf numFmtId="0" fontId="1" fillId="0" borderId="0"/>
    <xf numFmtId="43" fontId="1"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5" fillId="37" borderId="165" applyNumberFormat="0" applyAlignment="0" applyProtection="0"/>
    <xf numFmtId="0" fontId="73" fillId="37" borderId="163" applyNumberFormat="0" applyAlignment="0" applyProtection="0"/>
    <xf numFmtId="0" fontId="65" fillId="37" borderId="165" applyNumberFormat="0" applyAlignment="0" applyProtection="0"/>
    <xf numFmtId="0" fontId="65" fillId="36" borderId="165" applyNumberFormat="0" applyAlignment="0" applyProtection="0"/>
    <xf numFmtId="0" fontId="62" fillId="21" borderId="163" applyNumberFormat="0" applyAlignment="0" applyProtection="0"/>
    <xf numFmtId="0" fontId="62" fillId="21" borderId="163" applyNumberFormat="0" applyAlignment="0" applyProtection="0"/>
    <xf numFmtId="0" fontId="122" fillId="0" borderId="166" applyNumberFormat="0" applyFill="0" applyAlignment="0" applyProtection="0"/>
    <xf numFmtId="0" fontId="116" fillId="36" borderId="165" applyNumberFormat="0" applyAlignment="0" applyProtection="0"/>
    <xf numFmtId="0" fontId="5" fillId="24" borderId="164" applyNumberFormat="0" applyFont="0" applyAlignment="0" applyProtection="0"/>
    <xf numFmtId="0" fontId="65" fillId="36" borderId="165"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168"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2" fillId="0" borderId="166" applyNumberFormat="0" applyFill="0" applyAlignment="0" applyProtection="0"/>
    <xf numFmtId="167" fontId="5" fillId="0" borderId="0" applyFont="0" applyFill="0" applyBorder="0" applyAlignment="0" applyProtection="0"/>
    <xf numFmtId="0" fontId="110" fillId="21" borderId="163" applyNumberFormat="0" applyAlignment="0" applyProtection="0"/>
    <xf numFmtId="0" fontId="5" fillId="24" borderId="164" applyNumberFormat="0" applyFon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2" fillId="0" borderId="0" applyFont="0" applyFill="0" applyBorder="0" applyAlignment="0" applyProtection="0"/>
    <xf numFmtId="0" fontId="72" fillId="0" borderId="166" applyNumberFormat="0" applyFill="0" applyAlignment="0" applyProtection="0"/>
    <xf numFmtId="43" fontId="5" fillId="0" borderId="0" applyFont="0" applyFill="0" applyBorder="0" applyAlignment="0" applyProtection="0"/>
    <xf numFmtId="0" fontId="59" fillId="36" borderId="163"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107" fillId="36" borderId="163" applyNumberFormat="0" applyAlignment="0" applyProtection="0"/>
    <xf numFmtId="0" fontId="62" fillId="21" borderId="163" applyNumberFormat="0" applyAlignment="0" applyProtection="0"/>
    <xf numFmtId="43" fontId="5" fillId="0" borderId="0" applyFont="0" applyFill="0" applyBorder="0" applyAlignment="0" applyProtection="0"/>
    <xf numFmtId="0" fontId="6" fillId="24" borderId="164" applyNumberFormat="0" applyFont="0" applyAlignment="0" applyProtection="0"/>
    <xf numFmtId="0" fontId="5" fillId="24" borderId="164" applyNumberFormat="0" applyFont="0" applyAlignment="0" applyProtection="0"/>
    <xf numFmtId="9" fontId="49"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24" borderId="16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65" borderId="15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56" borderId="159" applyNumberFormat="0" applyAlignment="0" applyProtection="0"/>
    <xf numFmtId="0" fontId="62" fillId="27" borderId="163" applyNumberFormat="0" applyAlignment="0" applyProtection="0"/>
    <xf numFmtId="0" fontId="5" fillId="72" borderId="160" applyNumberFormat="0" applyAlignment="0" applyProtection="0"/>
    <xf numFmtId="0" fontId="65" fillId="65" borderId="161" applyNumberFormat="0" applyAlignment="0" applyProtection="0"/>
    <xf numFmtId="43" fontId="5"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62" fillId="27" borderId="163"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0" fontId="6" fillId="24" borderId="157" applyNumberFormat="0" applyFont="0" applyAlignment="0" applyProtection="0"/>
    <xf numFmtId="0" fontId="5" fillId="24" borderId="157" applyNumberFormat="0" applyFont="0" applyAlignment="0" applyProtection="0"/>
    <xf numFmtId="0" fontId="62" fillId="21" borderId="163" applyNumberFormat="0" applyAlignment="0" applyProtection="0"/>
    <xf numFmtId="0" fontId="110" fillId="21" borderId="163" applyNumberFormat="0" applyAlignment="0" applyProtection="0"/>
    <xf numFmtId="167" fontId="5" fillId="0" borderId="0" applyFont="0" applyFill="0" applyBorder="0" applyAlignment="0" applyProtection="0"/>
    <xf numFmtId="0" fontId="62" fillId="21" borderId="163" applyNumberFormat="0" applyAlignment="0" applyProtection="0"/>
    <xf numFmtId="0" fontId="6" fillId="24" borderId="157" applyNumberFormat="0" applyFont="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5" fillId="24" borderId="157" applyNumberFormat="0" applyFont="0" applyAlignment="0" applyProtection="0"/>
    <xf numFmtId="43" fontId="2" fillId="0" borderId="0" applyFont="0" applyFill="0" applyBorder="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3" fontId="6" fillId="0" borderId="0" applyFont="0" applyFill="0" applyBorder="0" applyAlignment="0" applyProtection="0"/>
    <xf numFmtId="167" fontId="5" fillId="0" borderId="0" applyFont="0" applyFill="0" applyBorder="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168" fontId="5" fillId="0" borderId="0" applyFont="0" applyFill="0" applyBorder="0" applyAlignment="0" applyProtection="0"/>
    <xf numFmtId="0" fontId="1" fillId="0" borderId="0"/>
    <xf numFmtId="0" fontId="6" fillId="24" borderId="164" applyNumberFormat="0" applyFont="0" applyAlignment="0" applyProtection="0"/>
    <xf numFmtId="167" fontId="5" fillId="0" borderId="0" applyFont="0" applyFill="0" applyBorder="0" applyAlignment="0" applyProtection="0"/>
    <xf numFmtId="43" fontId="6" fillId="0" borderId="0" applyFont="0" applyFill="0" applyBorder="0" applyAlignment="0" applyProtection="0"/>
    <xf numFmtId="0" fontId="65" fillId="36" borderId="165" applyNumberForma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0" borderId="0"/>
    <xf numFmtId="0" fontId="18" fillId="14" borderId="146" applyFill="0" applyBorder="0" applyAlignment="0" applyProtection="0">
      <alignment vertical="center"/>
      <protection locked="0"/>
    </xf>
    <xf numFmtId="10" fontId="36" fillId="15" borderId="142" applyNumberFormat="0" applyBorder="0" applyAlignment="0" applyProtection="0"/>
    <xf numFmtId="0" fontId="36" fillId="0" borderId="146" applyBorder="0">
      <alignment horizontal="left" vertical="center" wrapText="1" indent="2"/>
      <protection locked="0"/>
    </xf>
    <xf numFmtId="0" fontId="36" fillId="0" borderId="146" applyBorder="0">
      <alignment horizontal="left" vertical="center" wrapText="1" indent="3"/>
      <protection locked="0"/>
    </xf>
    <xf numFmtId="0" fontId="59" fillId="36" borderId="159" applyNumberFormat="0" applyAlignment="0" applyProtection="0"/>
    <xf numFmtId="0" fontId="73" fillId="37" borderId="159" applyNumberFormat="0" applyAlignment="0" applyProtection="0"/>
    <xf numFmtId="0" fontId="62" fillId="27" borderId="159" applyNumberFormat="0" applyAlignment="0" applyProtection="0"/>
    <xf numFmtId="0" fontId="62" fillId="21" borderId="159" applyNumberFormat="0" applyAlignment="0" applyProtection="0"/>
    <xf numFmtId="0" fontId="5" fillId="24" borderId="160" applyNumberFormat="0" applyFont="0" applyAlignment="0" applyProtection="0"/>
    <xf numFmtId="0" fontId="6" fillId="24" borderId="160" applyNumberFormat="0" applyFont="0" applyAlignment="0" applyProtection="0"/>
    <xf numFmtId="0" fontId="65" fillId="36" borderId="161" applyNumberFormat="0" applyAlignment="0" applyProtection="0"/>
    <xf numFmtId="0" fontId="65" fillId="37" borderId="161" applyNumberFormat="0" applyAlignment="0" applyProtection="0"/>
    <xf numFmtId="0" fontId="72" fillId="0" borderId="162" applyNumberFormat="0" applyFill="0" applyAlignment="0" applyProtection="0"/>
    <xf numFmtId="0" fontId="5" fillId="24" borderId="160" applyNumberFormat="0" applyFont="0" applyAlignment="0" applyProtection="0"/>
    <xf numFmtId="0" fontId="5" fillId="24" borderId="160" applyNumberFormat="0" applyFont="0" applyAlignment="0" applyProtection="0"/>
    <xf numFmtId="0" fontId="5" fillId="24" borderId="160" applyNumberFormat="0" applyFont="0" applyAlignment="0" applyProtection="0"/>
    <xf numFmtId="0" fontId="107" fillId="36" borderId="159" applyNumberFormat="0" applyAlignment="0" applyProtection="0"/>
    <xf numFmtId="0" fontId="110" fillId="21" borderId="159" applyNumberFormat="0" applyAlignment="0" applyProtection="0"/>
    <xf numFmtId="0" fontId="5" fillId="24" borderId="160" applyNumberFormat="0" applyFont="0" applyAlignment="0" applyProtection="0"/>
    <xf numFmtId="0" fontId="116" fillId="36" borderId="161" applyNumberFormat="0" applyAlignment="0" applyProtection="0"/>
    <xf numFmtId="0" fontId="122" fillId="0" borderId="162"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5" fillId="24" borderId="164" applyNumberFormat="0" applyFont="0" applyAlignment="0" applyProtection="0"/>
    <xf numFmtId="0" fontId="72" fillId="0" borderId="166" applyNumberFormat="0" applyFill="0" applyAlignment="0" applyProtection="0"/>
    <xf numFmtId="0" fontId="65" fillId="37" borderId="165" applyNumberFormat="0" applyAlignment="0" applyProtection="0"/>
    <xf numFmtId="0" fontId="62" fillId="21" borderId="163" applyNumberFormat="0" applyAlignment="0" applyProtection="0"/>
    <xf numFmtId="0" fontId="5" fillId="24" borderId="164" applyNumberFormat="0" applyFont="0" applyAlignment="0" applyProtection="0"/>
    <xf numFmtId="0" fontId="110"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65"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37" borderId="163" applyNumberFormat="0" applyAlignment="0" applyProtection="0"/>
    <xf numFmtId="0" fontId="5" fillId="24" borderId="164"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35" fillId="0" borderId="0" applyFont="0" applyFill="0" applyBorder="0" applyAlignment="0" applyProtection="0"/>
    <xf numFmtId="0" fontId="72" fillId="0" borderId="166"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62" fillId="21" borderId="163" applyNumberFormat="0" applyAlignment="0" applyProtection="0"/>
    <xf numFmtId="0" fontId="122" fillId="0" borderId="166" applyNumberFormat="0" applyFill="0" applyAlignment="0" applyProtection="0"/>
    <xf numFmtId="0" fontId="5" fillId="24" borderId="164" applyNumberFormat="0" applyFont="0" applyAlignment="0" applyProtection="0"/>
    <xf numFmtId="43" fontId="1"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116" fillId="36" borderId="165" applyNumberFormat="0" applyAlignment="0" applyProtection="0"/>
    <xf numFmtId="0" fontId="5" fillId="24" borderId="164" applyNumberFormat="0" applyFont="0" applyAlignment="0" applyProtection="0"/>
    <xf numFmtId="167" fontId="5" fillId="0" borderId="0" applyFont="0" applyFill="0" applyBorder="0" applyAlignment="0" applyProtection="0"/>
    <xf numFmtId="0" fontId="72" fillId="0" borderId="166"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102" fillId="0" borderId="0"/>
    <xf numFmtId="167" fontId="5" fillId="0" borderId="0" applyFont="0" applyFill="0" applyBorder="0" applyAlignment="0" applyProtection="0"/>
    <xf numFmtId="167" fontId="5" fillId="0" borderId="0" applyFont="0" applyFill="0" applyBorder="0" applyAlignment="0" applyProtection="0"/>
    <xf numFmtId="0" fontId="107" fillId="36" borderId="163" applyNumberFormat="0" applyAlignment="0" applyProtection="0"/>
    <xf numFmtId="167"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6" borderId="165" applyNumberFormat="0" applyAlignment="0" applyProtection="0"/>
    <xf numFmtId="0" fontId="110" fillId="21" borderId="163" applyNumberFormat="0" applyAlignment="0" applyProtection="0"/>
    <xf numFmtId="0" fontId="5" fillId="24" borderId="164"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24" borderId="164"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167" fontId="35" fillId="0" borderId="0" applyFont="0" applyFill="0" applyBorder="0" applyAlignment="0" applyProtection="0"/>
    <xf numFmtId="0" fontId="107" fillId="36" borderId="163" applyNumberFormat="0" applyAlignment="0" applyProtection="0"/>
    <xf numFmtId="0" fontId="73" fillId="37" borderId="163"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72" fillId="0" borderId="166" applyNumberFormat="0" applyFill="0" applyAlignment="0" applyProtection="0"/>
    <xf numFmtId="0" fontId="59" fillId="36" borderId="163" applyNumberFormat="0" applyAlignment="0" applyProtection="0"/>
    <xf numFmtId="167" fontId="5" fillId="0" borderId="0" applyFont="0" applyFill="0" applyBorder="0" applyAlignment="0" applyProtection="0"/>
    <xf numFmtId="0" fontId="65" fillId="37" borderId="165"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1" fillId="0" borderId="0" applyFont="0" applyFill="0" applyBorder="0" applyAlignment="0" applyProtection="0"/>
    <xf numFmtId="167" fontId="5" fillId="0" borderId="0" applyFont="0" applyFill="0" applyBorder="0" applyAlignment="0" applyProtection="0"/>
    <xf numFmtId="0" fontId="65" fillId="36" borderId="165" applyNumberFormat="0" applyAlignment="0" applyProtection="0"/>
    <xf numFmtId="0" fontId="5" fillId="24" borderId="157" applyNumberFormat="0" applyFont="0" applyAlignment="0" applyProtection="0"/>
    <xf numFmtId="0" fontId="6"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0" fontId="5" fillId="24" borderId="15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65" borderId="163" applyNumberFormat="0" applyAlignment="0" applyProtection="0"/>
    <xf numFmtId="0" fontId="62" fillId="56" borderId="163" applyNumberFormat="0" applyAlignment="0" applyProtection="0"/>
    <xf numFmtId="0" fontId="5" fillId="72" borderId="164" applyNumberFormat="0" applyAlignment="0" applyProtection="0"/>
    <xf numFmtId="0" fontId="65" fillId="65" borderId="16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59" fillId="36" borderId="170" applyNumberFormat="0" applyAlignment="0" applyProtection="0"/>
    <xf numFmtId="0" fontId="73" fillId="37" borderId="170" applyNumberFormat="0" applyAlignment="0" applyProtection="0"/>
    <xf numFmtId="0" fontId="62" fillId="27" borderId="170" applyNumberFormat="0" applyAlignment="0" applyProtection="0"/>
    <xf numFmtId="0" fontId="62" fillId="21"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0" fontId="65" fillId="36" borderId="172" applyNumberFormat="0" applyAlignment="0" applyProtection="0"/>
    <xf numFmtId="0" fontId="65" fillId="37" borderId="172" applyNumberFormat="0" applyAlignment="0" applyProtection="0"/>
    <xf numFmtId="0" fontId="72" fillId="0" borderId="173" applyNumberFormat="0" applyFill="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1" fillId="0" borderId="0"/>
    <xf numFmtId="167" fontId="2"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07" fillId="36" borderId="170" applyNumberFormat="0" applyAlignment="0" applyProtection="0"/>
    <xf numFmtId="0" fontId="110" fillId="21" borderId="170" applyNumberFormat="0" applyAlignment="0" applyProtection="0"/>
    <xf numFmtId="168" fontId="5" fillId="0" borderId="0" applyFont="0" applyFill="0" applyBorder="0" applyAlignment="0" applyProtection="0"/>
    <xf numFmtId="0" fontId="1" fillId="0" borderId="0"/>
    <xf numFmtId="0" fontId="1" fillId="0" borderId="0"/>
    <xf numFmtId="0" fontId="1" fillId="0" borderId="0"/>
    <xf numFmtId="0" fontId="1" fillId="0" borderId="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9" fontId="5" fillId="0" borderId="0" applyFont="0" applyFill="0" applyBorder="0" applyAlignment="0" applyProtection="0"/>
    <xf numFmtId="0" fontId="116" fillId="36" borderId="172"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22" fillId="0" borderId="173"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4" fontId="4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8" fillId="0" borderId="0"/>
    <xf numFmtId="0" fontId="48" fillId="0" borderId="0"/>
    <xf numFmtId="0" fontId="1" fillId="0" borderId="0"/>
    <xf numFmtId="0" fontId="5" fillId="0" borderId="0"/>
    <xf numFmtId="0" fontId="1" fillId="0" borderId="0"/>
    <xf numFmtId="0" fontId="1" fillId="0" borderId="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0" fontId="1" fillId="0" borderId="0"/>
    <xf numFmtId="44" fontId="5" fillId="0" borderId="0" applyFont="0" applyFill="0" applyBorder="0" applyAlignment="0" applyProtection="0"/>
    <xf numFmtId="187" fontId="4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7" fontId="46" fillId="0" borderId="0"/>
    <xf numFmtId="0" fontId="114" fillId="0" borderId="0"/>
    <xf numFmtId="9"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6" fillId="0" borderId="0" applyFont="0" applyFill="0" applyBorder="0" applyAlignment="0" applyProtection="0"/>
    <xf numFmtId="43" fontId="11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5" fontId="49" fillId="0" borderId="0" applyFont="0" applyFill="0" applyBorder="0" applyAlignment="0" applyProtection="0"/>
    <xf numFmtId="195" fontId="48" fillId="0" borderId="0" applyFont="0" applyFill="0" applyBorder="0" applyAlignment="0" applyProtection="0"/>
    <xf numFmtId="195" fontId="5" fillId="0" borderId="0" applyFont="0" applyFill="0" applyBorder="0" applyAlignment="0" applyProtection="0"/>
    <xf numFmtId="43" fontId="6"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1"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49" fillId="0" borderId="0" applyFont="0" applyFill="0" applyBorder="0" applyAlignment="0" applyProtection="0"/>
    <xf numFmtId="195" fontId="1"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48" fillId="0" borderId="0" applyFont="0" applyFill="0" applyBorder="0" applyAlignment="0" applyProtection="0"/>
    <xf numFmtId="195"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43" fontId="1" fillId="0" borderId="0" applyFont="0" applyFill="0" applyBorder="0" applyAlignment="0" applyProtection="0"/>
    <xf numFmtId="0" fontId="62" fillId="21" borderId="17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6" fillId="0" borderId="169" applyBorder="0">
      <alignment horizontal="left" vertical="center" wrapText="1" indent="3"/>
      <protection locked="0"/>
    </xf>
    <xf numFmtId="0" fontId="5" fillId="24" borderId="171" applyNumberFormat="0" applyFont="0" applyAlignment="0" applyProtection="0"/>
    <xf numFmtId="0" fontId="65" fillId="36" borderId="172"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73" fillId="37" borderId="170" applyNumberFormat="0" applyAlignment="0" applyProtection="0"/>
    <xf numFmtId="10" fontId="36" fillId="15" borderId="167" applyNumberFormat="0" applyBorder="0" applyAlignment="0" applyProtection="0"/>
    <xf numFmtId="0" fontId="5" fillId="24" borderId="171" applyNumberFormat="0" applyFont="0" applyAlignment="0" applyProtection="0"/>
    <xf numFmtId="0" fontId="65" fillId="37" borderId="172" applyNumberFormat="0" applyAlignment="0" applyProtection="0"/>
    <xf numFmtId="0" fontId="65" fillId="37" borderId="172" applyNumberFormat="0" applyAlignment="0" applyProtection="0"/>
    <xf numFmtId="0" fontId="116" fillId="36" borderId="172" applyNumberFormat="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62" fillId="27" borderId="170" applyNumberFormat="0" applyAlignment="0" applyProtection="0"/>
    <xf numFmtId="0" fontId="62" fillId="21" borderId="170" applyNumberFormat="0" applyAlignment="0" applyProtection="0"/>
    <xf numFmtId="0" fontId="72" fillId="0" borderId="173" applyNumberFormat="0" applyFill="0" applyAlignment="0" applyProtection="0"/>
    <xf numFmtId="0" fontId="5" fillId="24" borderId="171" applyNumberFormat="0" applyFont="0" applyAlignment="0" applyProtection="0"/>
    <xf numFmtId="0" fontId="110" fillId="21" borderId="170" applyNumberFormat="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59" fillId="36" borderId="170" applyNumberFormat="0" applyAlignment="0" applyProtection="0"/>
    <xf numFmtId="0" fontId="73" fillId="37" borderId="170" applyNumberFormat="0" applyAlignment="0" applyProtection="0"/>
    <xf numFmtId="0" fontId="62" fillId="27" borderId="170" applyNumberFormat="0" applyAlignment="0" applyProtection="0"/>
    <xf numFmtId="0" fontId="62" fillId="21" borderId="170" applyNumberFormat="0" applyAlignment="0" applyProtection="0"/>
    <xf numFmtId="0" fontId="6" fillId="24" borderId="171" applyNumberFormat="0" applyFont="0" applyAlignment="0" applyProtection="0"/>
    <xf numFmtId="0" fontId="65" fillId="36" borderId="172" applyNumberFormat="0" applyAlignment="0" applyProtection="0"/>
    <xf numFmtId="0" fontId="65" fillId="37" borderId="172" applyNumberFormat="0" applyAlignment="0" applyProtection="0"/>
    <xf numFmtId="0" fontId="72" fillId="0" borderId="173" applyNumberFormat="0" applyFill="0" applyAlignment="0" applyProtection="0"/>
    <xf numFmtId="0" fontId="110" fillId="21" borderId="170" applyNumberFormat="0" applyAlignment="0" applyProtection="0"/>
    <xf numFmtId="0" fontId="107" fillId="36" borderId="170" applyNumberFormat="0" applyAlignment="0" applyProtection="0"/>
    <xf numFmtId="0" fontId="62" fillId="27" borderId="170" applyNumberFormat="0" applyAlignment="0" applyProtection="0"/>
    <xf numFmtId="0" fontId="107" fillId="36" borderId="170" applyNumberFormat="0" applyAlignment="0" applyProtection="0"/>
    <xf numFmtId="0" fontId="5" fillId="24" borderId="171" applyNumberFormat="0" applyFon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110" fillId="21"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65" fillId="37" borderId="172" applyNumberFormat="0" applyAlignment="0" applyProtection="0"/>
    <xf numFmtId="0" fontId="59" fillId="36" borderId="170" applyNumberFormat="0" applyAlignment="0" applyProtection="0"/>
    <xf numFmtId="0" fontId="36" fillId="0" borderId="169" applyBorder="0">
      <alignment horizontal="left" vertical="center" wrapText="1" indent="2"/>
      <protection locked="0"/>
    </xf>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3" fillId="37" borderId="170" applyNumberFormat="0" applyAlignment="0" applyProtection="0"/>
    <xf numFmtId="10" fontId="36" fillId="15" borderId="167" applyNumberFormat="0" applyBorder="0" applyAlignment="0" applyProtection="0"/>
    <xf numFmtId="0" fontId="62" fillId="21" borderId="170" applyNumberFormat="0" applyAlignment="0" applyProtection="0"/>
    <xf numFmtId="0" fontId="59" fillId="36" borderId="170" applyNumberFormat="0" applyAlignment="0" applyProtection="0"/>
    <xf numFmtId="0" fontId="72" fillId="0" borderId="173" applyNumberFormat="0" applyFill="0" applyAlignment="0" applyProtection="0"/>
    <xf numFmtId="0" fontId="36" fillId="0" borderId="169" applyBorder="0">
      <alignment horizontal="left" vertical="center" wrapText="1" indent="2"/>
      <protection locked="0"/>
    </xf>
    <xf numFmtId="0" fontId="5" fillId="24" borderId="171" applyNumberFormat="0" applyFont="0" applyAlignment="0" applyProtection="0"/>
    <xf numFmtId="0" fontId="72" fillId="0" borderId="173" applyNumberFormat="0" applyFill="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110" fillId="21" borderId="170" applyNumberFormat="0" applyAlignment="0" applyProtection="0"/>
    <xf numFmtId="0" fontId="73" fillId="37" borderId="170" applyNumberFormat="0" applyAlignment="0" applyProtection="0"/>
    <xf numFmtId="0" fontId="6" fillId="24" borderId="171" applyNumberFormat="0" applyFont="0" applyAlignment="0" applyProtection="0"/>
    <xf numFmtId="0" fontId="59" fillId="36" borderId="170" applyNumberFormat="0" applyAlignment="0" applyProtection="0"/>
    <xf numFmtId="0" fontId="73" fillId="37" borderId="170" applyNumberFormat="0" applyAlignment="0" applyProtection="0"/>
    <xf numFmtId="0" fontId="65" fillId="36"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116" fillId="36" borderId="172" applyNumberFormat="0" applyAlignment="0" applyProtection="0"/>
    <xf numFmtId="0" fontId="5" fillId="24" borderId="171" applyNumberFormat="0" applyFont="0" applyAlignment="0" applyProtection="0"/>
    <xf numFmtId="0" fontId="65" fillId="37" borderId="172" applyNumberFormat="0" applyAlignment="0" applyProtection="0"/>
    <xf numFmtId="0" fontId="65" fillId="36" borderId="172" applyNumberFormat="0" applyAlignment="0" applyProtection="0"/>
    <xf numFmtId="0" fontId="62" fillId="21" borderId="170" applyNumberFormat="0" applyAlignment="0" applyProtection="0"/>
    <xf numFmtId="0" fontId="36" fillId="0" borderId="169" applyBorder="0">
      <alignment horizontal="left" vertical="center" wrapText="1" indent="3"/>
      <protection locked="0"/>
    </xf>
    <xf numFmtId="0" fontId="5" fillId="24" borderId="171" applyNumberFormat="0" applyFont="0" applyAlignment="0" applyProtection="0"/>
    <xf numFmtId="0" fontId="73" fillId="3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0" fontId="5" fillId="24" borderId="171" applyNumberFormat="0" applyFont="0" applyAlignment="0" applyProtection="0"/>
    <xf numFmtId="0" fontId="62" fillId="27" borderId="170" applyNumberFormat="0" applyAlignment="0" applyProtection="0"/>
    <xf numFmtId="0" fontId="5" fillId="24" borderId="171" applyNumberFormat="0" applyFont="0" applyAlignment="0" applyProtection="0"/>
    <xf numFmtId="0" fontId="72" fillId="0" borderId="173" applyNumberFormat="0" applyFill="0" applyAlignment="0" applyProtection="0"/>
    <xf numFmtId="0" fontId="122" fillId="0" borderId="173" applyNumberFormat="0" applyFill="0" applyAlignment="0" applyProtection="0"/>
    <xf numFmtId="0" fontId="5" fillId="24" borderId="171" applyNumberFormat="0" applyFont="0" applyAlignment="0" applyProtection="0"/>
    <xf numFmtId="0" fontId="59" fillId="36" borderId="170" applyNumberFormat="0" applyAlignment="0" applyProtection="0"/>
    <xf numFmtId="0" fontId="6" fillId="24" borderId="171" applyNumberFormat="0" applyFont="0" applyAlignment="0" applyProtection="0"/>
    <xf numFmtId="0" fontId="5" fillId="24" borderId="171" applyNumberFormat="0" applyFont="0" applyAlignment="0" applyProtection="0"/>
    <xf numFmtId="0" fontId="62" fillId="21" borderId="170" applyNumberFormat="0" applyAlignment="0" applyProtection="0"/>
    <xf numFmtId="0" fontId="59" fillId="36" borderId="170" applyNumberFormat="0" applyAlignment="0" applyProtection="0"/>
    <xf numFmtId="0" fontId="122" fillId="0" borderId="173" applyNumberFormat="0" applyFill="0" applyAlignment="0" applyProtection="0"/>
    <xf numFmtId="0" fontId="72" fillId="0" borderId="173" applyNumberFormat="0" applyFill="0" applyAlignment="0" applyProtection="0"/>
    <xf numFmtId="0" fontId="18" fillId="14" borderId="169" applyFill="0" applyBorder="0" applyAlignment="0" applyProtection="0">
      <alignment vertical="center"/>
      <protection locked="0"/>
    </xf>
    <xf numFmtId="0" fontId="62" fillId="21" borderId="170" applyNumberFormat="0" applyAlignment="0" applyProtection="0"/>
    <xf numFmtId="0" fontId="110" fillId="21" borderId="170" applyNumberFormat="0" applyAlignment="0" applyProtection="0"/>
    <xf numFmtId="0" fontId="73" fillId="37" borderId="170" applyNumberFormat="0" applyAlignment="0" applyProtection="0"/>
    <xf numFmtId="0" fontId="72" fillId="0" borderId="173" applyNumberFormat="0" applyFill="0" applyAlignment="0" applyProtection="0"/>
    <xf numFmtId="0" fontId="6" fillId="24" borderId="171" applyNumberFormat="0" applyFont="0" applyAlignment="0" applyProtection="0"/>
    <xf numFmtId="0" fontId="62" fillId="21" borderId="170"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116" fillId="36" borderId="172" applyNumberFormat="0" applyAlignment="0" applyProtection="0"/>
    <xf numFmtId="0" fontId="59" fillId="36" borderId="170" applyNumberFormat="0" applyAlignment="0" applyProtection="0"/>
    <xf numFmtId="0" fontId="65" fillId="37" borderId="172" applyNumberFormat="0" applyAlignment="0" applyProtection="0"/>
    <xf numFmtId="0" fontId="62" fillId="21" borderId="170"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73" fillId="37" borderId="170" applyNumberFormat="0" applyAlignment="0" applyProtection="0"/>
    <xf numFmtId="0" fontId="5" fillId="24" borderId="171" applyNumberFormat="0" applyFont="0" applyAlignment="0" applyProtection="0"/>
    <xf numFmtId="0" fontId="18" fillId="14" borderId="169" applyFill="0" applyBorder="0" applyAlignment="0" applyProtection="0">
      <alignment vertical="center"/>
      <protection locked="0"/>
    </xf>
    <xf numFmtId="0" fontId="36" fillId="0" borderId="169" applyBorder="0">
      <alignment horizontal="left" vertical="center" wrapText="1" indent="2"/>
      <protection locked="0"/>
    </xf>
    <xf numFmtId="0" fontId="65" fillId="37" borderId="172" applyNumberFormat="0" applyAlignment="0" applyProtection="0"/>
    <xf numFmtId="0" fontId="65" fillId="37" borderId="172" applyNumberFormat="0" applyAlignment="0" applyProtection="0"/>
    <xf numFmtId="0" fontId="72" fillId="0" borderId="173" applyNumberFormat="0" applyFill="0" applyAlignment="0" applyProtection="0"/>
    <xf numFmtId="0" fontId="110" fillId="21" borderId="170" applyNumberFormat="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0" fontId="107" fillId="36" borderId="170" applyNumberFormat="0" applyAlignment="0" applyProtection="0"/>
    <xf numFmtId="0" fontId="110" fillId="21" borderId="170" applyNumberFormat="0" applyAlignment="0" applyProtection="0"/>
    <xf numFmtId="0" fontId="5" fillId="24" borderId="171" applyNumberFormat="0" applyFont="0" applyAlignment="0" applyProtection="0"/>
    <xf numFmtId="0" fontId="116" fillId="36" borderId="172"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62" fillId="21" borderId="170" applyNumberFormat="0" applyAlignment="0" applyProtection="0"/>
    <xf numFmtId="0" fontId="6" fillId="24" borderId="171" applyNumberFormat="0" applyFont="0" applyAlignment="0" applyProtection="0"/>
    <xf numFmtId="0" fontId="65" fillId="36" borderId="172" applyNumberFormat="0" applyAlignment="0" applyProtection="0"/>
    <xf numFmtId="0" fontId="62" fillId="21" borderId="170" applyNumberFormat="0" applyAlignment="0" applyProtection="0"/>
    <xf numFmtId="0" fontId="62" fillId="27" borderId="170" applyNumberFormat="0" applyAlignment="0" applyProtection="0"/>
    <xf numFmtId="0" fontId="62" fillId="21" borderId="170" applyNumberFormat="0" applyAlignment="0" applyProtection="0"/>
    <xf numFmtId="0" fontId="62" fillId="21" borderId="170" applyNumberFormat="0" applyAlignment="0" applyProtection="0"/>
    <xf numFmtId="0" fontId="62" fillId="21" borderId="170" applyNumberFormat="0" applyAlignment="0" applyProtection="0"/>
    <xf numFmtId="0" fontId="65" fillId="37" borderId="172" applyNumberFormat="0" applyAlignment="0" applyProtection="0"/>
    <xf numFmtId="0" fontId="36" fillId="0" borderId="169" applyBorder="0">
      <alignment horizontal="left" vertical="center" wrapText="1" indent="3"/>
      <protection locked="0"/>
    </xf>
    <xf numFmtId="0" fontId="59" fillId="36" borderId="170" applyNumberFormat="0" applyAlignment="0" applyProtection="0"/>
    <xf numFmtId="0" fontId="122" fillId="0" borderId="173" applyNumberFormat="0" applyFill="0" applyAlignment="0" applyProtection="0"/>
    <xf numFmtId="0" fontId="62" fillId="21" borderId="170" applyNumberFormat="0" applyAlignment="0" applyProtection="0"/>
    <xf numFmtId="0" fontId="65" fillId="36" borderId="172"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62" fillId="27" borderId="170" applyNumberFormat="0" applyAlignment="0" applyProtection="0"/>
    <xf numFmtId="0" fontId="18" fillId="14" borderId="169" applyFill="0" applyBorder="0" applyAlignment="0" applyProtection="0">
      <alignment vertical="center"/>
      <protection locked="0"/>
    </xf>
    <xf numFmtId="0" fontId="5" fillId="24" borderId="171" applyNumberFormat="0" applyFont="0" applyAlignment="0" applyProtection="0"/>
    <xf numFmtId="0" fontId="5" fillId="24" borderId="171" applyNumberFormat="0" applyFont="0" applyAlignment="0" applyProtection="0"/>
    <xf numFmtId="10" fontId="36" fillId="15" borderId="167" applyNumberFormat="0" applyBorder="0" applyAlignment="0" applyProtection="0"/>
    <xf numFmtId="0" fontId="36" fillId="0" borderId="169" applyBorder="0">
      <alignment horizontal="left" vertical="center" wrapText="1" indent="2"/>
      <protection locked="0"/>
    </xf>
    <xf numFmtId="0" fontId="6" fillId="24" borderId="171" applyNumberFormat="0" applyFont="0" applyAlignment="0" applyProtection="0"/>
    <xf numFmtId="0" fontId="72" fillId="0" borderId="173" applyNumberFormat="0" applyFill="0" applyAlignment="0" applyProtection="0"/>
    <xf numFmtId="0" fontId="107" fillId="36" borderId="170" applyNumberFormat="0" applyAlignment="0" applyProtection="0"/>
    <xf numFmtId="0" fontId="62" fillId="21" borderId="170" applyNumberFormat="0" applyAlignment="0" applyProtection="0"/>
    <xf numFmtId="0" fontId="116" fillId="36" borderId="172" applyNumberFormat="0" applyAlignment="0" applyProtection="0"/>
    <xf numFmtId="0" fontId="116" fillId="36" borderId="172" applyNumberFormat="0" applyAlignment="0" applyProtection="0"/>
    <xf numFmtId="10" fontId="36" fillId="15" borderId="167" applyNumberFormat="0" applyBorder="0" applyAlignment="0" applyProtection="0"/>
    <xf numFmtId="0" fontId="107" fillId="36" borderId="170" applyNumberFormat="0" applyAlignment="0" applyProtection="0"/>
    <xf numFmtId="0" fontId="122" fillId="0" borderId="173" applyNumberFormat="0" applyFill="0" applyAlignment="0" applyProtection="0"/>
    <xf numFmtId="0" fontId="18" fillId="14" borderId="169" applyFill="0" applyBorder="0" applyAlignment="0" applyProtection="0">
      <alignment vertical="center"/>
      <protection locked="0"/>
    </xf>
    <xf numFmtId="0" fontId="110" fillId="21" borderId="170" applyNumberFormat="0" applyAlignment="0" applyProtection="0"/>
    <xf numFmtId="0" fontId="107" fillId="36" borderId="170" applyNumberFormat="0" applyAlignment="0" applyProtection="0"/>
    <xf numFmtId="0" fontId="6" fillId="24" borderId="171" applyNumberFormat="0" applyFont="0" applyAlignment="0" applyProtection="0"/>
    <xf numFmtId="0" fontId="62" fillId="27" borderId="170" applyNumberFormat="0" applyAlignment="0" applyProtection="0"/>
    <xf numFmtId="0" fontId="116" fillId="36" borderId="172"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65" fillId="36" borderId="172" applyNumberFormat="0" applyAlignment="0" applyProtection="0"/>
    <xf numFmtId="0" fontId="107" fillId="36" borderId="170" applyNumberFormat="0" applyAlignment="0" applyProtection="0"/>
    <xf numFmtId="0" fontId="5" fillId="24" borderId="171" applyNumberFormat="0" applyFont="0" applyAlignment="0" applyProtection="0"/>
    <xf numFmtId="0" fontId="36" fillId="0" borderId="169" applyBorder="0">
      <alignment horizontal="left" vertical="center" wrapText="1" indent="2"/>
      <protection locked="0"/>
    </xf>
    <xf numFmtId="0" fontId="5" fillId="24" borderId="171" applyNumberFormat="0" applyFont="0" applyAlignment="0" applyProtection="0"/>
    <xf numFmtId="0" fontId="5" fillId="24" borderId="171" applyNumberFormat="0" applyFont="0" applyAlignment="0" applyProtection="0"/>
    <xf numFmtId="0" fontId="65" fillId="37" borderId="172" applyNumberFormat="0" applyAlignment="0" applyProtection="0"/>
    <xf numFmtId="10" fontId="36" fillId="15" borderId="167" applyNumberFormat="0" applyBorder="0" applyAlignment="0" applyProtection="0"/>
    <xf numFmtId="0" fontId="18" fillId="14" borderId="169" applyFill="0" applyBorder="0" applyAlignment="0" applyProtection="0">
      <alignment vertical="center"/>
      <protection locked="0"/>
    </xf>
    <xf numFmtId="0" fontId="65" fillId="36" borderId="172" applyNumberFormat="0" applyAlignment="0" applyProtection="0"/>
    <xf numFmtId="0" fontId="107" fillId="36" borderId="170" applyNumberFormat="0" applyAlignment="0" applyProtection="0"/>
    <xf numFmtId="0" fontId="62" fillId="21"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65" fillId="36" borderId="172" applyNumberFormat="0" applyAlignment="0" applyProtection="0"/>
    <xf numFmtId="0" fontId="62" fillId="21" borderId="170" applyNumberFormat="0" applyAlignment="0" applyProtection="0"/>
    <xf numFmtId="0" fontId="5" fillId="24" borderId="171" applyNumberFormat="0" applyFont="0" applyAlignment="0" applyProtection="0"/>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6" fillId="24" borderId="171" applyNumberFormat="0" applyFont="0" applyAlignment="0" applyProtection="0"/>
    <xf numFmtId="0" fontId="122" fillId="0" borderId="173" applyNumberFormat="0" applyFill="0" applyAlignment="0" applyProtection="0"/>
    <xf numFmtId="0" fontId="65" fillId="37" borderId="172" applyNumberFormat="0" applyAlignment="0" applyProtection="0"/>
    <xf numFmtId="0" fontId="65" fillId="36" borderId="172" applyNumberFormat="0" applyAlignment="0" applyProtection="0"/>
    <xf numFmtId="0" fontId="72" fillId="0" borderId="173" applyNumberFormat="0" applyFill="0" applyAlignment="0" applyProtection="0"/>
    <xf numFmtId="0" fontId="116" fillId="36" borderId="172"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116" fillId="36" borderId="172" applyNumberFormat="0" applyAlignment="0" applyProtection="0"/>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5" fillId="24" borderId="171" applyNumberFormat="0" applyFont="0" applyAlignment="0" applyProtection="0"/>
    <xf numFmtId="0" fontId="5" fillId="24" borderId="171" applyNumberFormat="0" applyFont="0" applyAlignment="0" applyProtection="0"/>
    <xf numFmtId="0" fontId="36" fillId="0" borderId="169" applyBorder="0">
      <alignment horizontal="left" vertical="center" wrapText="1" indent="3"/>
      <protection locked="0"/>
    </xf>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122" fillId="0" borderId="173" applyNumberFormat="0" applyFill="0" applyAlignment="0" applyProtection="0"/>
    <xf numFmtId="0" fontId="116" fillId="36" borderId="172" applyNumberFormat="0" applyAlignment="0" applyProtection="0"/>
    <xf numFmtId="0" fontId="5" fillId="0" borderId="0"/>
    <xf numFmtId="43" fontId="2" fillId="0" borderId="0" applyFont="0" applyFill="0" applyBorder="0" applyAlignment="0" applyProtection="0"/>
    <xf numFmtId="43" fontId="35" fillId="0" borderId="0" applyFont="0" applyFill="0" applyBorder="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62" fillId="21" borderId="170" applyNumberFormat="0" applyAlignment="0" applyProtection="0"/>
    <xf numFmtId="10" fontId="36" fillId="15" borderId="167" applyNumberFormat="0" applyBorder="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36" fillId="0" borderId="169" applyBorder="0">
      <alignment horizontal="left" vertical="center" wrapText="1" indent="3"/>
      <protection locked="0"/>
    </xf>
    <xf numFmtId="0" fontId="62" fillId="21" borderId="170" applyNumberFormat="0" applyAlignment="0" applyProtection="0"/>
    <xf numFmtId="0" fontId="36" fillId="0" borderId="169" applyBorder="0">
      <alignment horizontal="left" vertical="center" wrapText="1" indent="3"/>
      <protection locked="0"/>
    </xf>
    <xf numFmtId="0" fontId="65" fillId="36" borderId="172"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73" fillId="37" borderId="170" applyNumberFormat="0" applyAlignment="0" applyProtection="0"/>
    <xf numFmtId="10" fontId="36" fillId="15" borderId="167" applyNumberFormat="0" applyBorder="0" applyAlignment="0" applyProtection="0"/>
    <xf numFmtId="0" fontId="65" fillId="37" borderId="172" applyNumberFormat="0" applyAlignment="0" applyProtection="0"/>
    <xf numFmtId="0" fontId="65" fillId="37" borderId="172" applyNumberFormat="0" applyAlignment="0" applyProtection="0"/>
    <xf numFmtId="0" fontId="116" fillId="36" borderId="172" applyNumberFormat="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62" fillId="27" borderId="170" applyNumberFormat="0" applyAlignment="0" applyProtection="0"/>
    <xf numFmtId="0" fontId="62" fillId="21" borderId="170" applyNumberFormat="0" applyAlignment="0" applyProtection="0"/>
    <xf numFmtId="0" fontId="5" fillId="24" borderId="171" applyNumberFormat="0" applyFont="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59" fillId="36" borderId="170" applyNumberFormat="0" applyAlignment="0" applyProtection="0"/>
    <xf numFmtId="0" fontId="73" fillId="37" borderId="170" applyNumberFormat="0" applyAlignment="0" applyProtection="0"/>
    <xf numFmtId="0" fontId="62" fillId="27" borderId="170" applyNumberFormat="0" applyAlignment="0" applyProtection="0"/>
    <xf numFmtId="0" fontId="62" fillId="21"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0" fontId="65" fillId="36" borderId="172" applyNumberFormat="0" applyAlignment="0" applyProtection="0"/>
    <xf numFmtId="0" fontId="65" fillId="37" borderId="172" applyNumberFormat="0" applyAlignment="0" applyProtection="0"/>
    <xf numFmtId="0" fontId="72" fillId="0" borderId="173" applyNumberFormat="0" applyFill="0" applyAlignment="0" applyProtection="0"/>
    <xf numFmtId="0" fontId="5" fillId="24" borderId="171" applyNumberFormat="0" applyFont="0" applyAlignment="0" applyProtection="0"/>
    <xf numFmtId="0" fontId="110" fillId="21" borderId="170" applyNumberFormat="0" applyAlignment="0" applyProtection="0"/>
    <xf numFmtId="0" fontId="107" fillId="36" borderId="170" applyNumberFormat="0" applyAlignment="0" applyProtection="0"/>
    <xf numFmtId="0" fontId="5" fillId="24" borderId="171" applyNumberFormat="0" applyFon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5" fillId="24" borderId="171" applyNumberFormat="0" applyFont="0" applyAlignment="0" applyProtection="0"/>
    <xf numFmtId="0" fontId="5" fillId="24" borderId="171" applyNumberFormat="0" applyFont="0" applyAlignment="0" applyProtection="0"/>
    <xf numFmtId="0" fontId="65" fillId="37" borderId="172" applyNumberFormat="0" applyAlignment="0" applyProtection="0"/>
    <xf numFmtId="0" fontId="36" fillId="0" borderId="169" applyBorder="0">
      <alignment horizontal="left" vertical="center" wrapText="1" indent="2"/>
      <protection locked="0"/>
    </xf>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59" fillId="36" borderId="170" applyNumberFormat="0" applyAlignment="0" applyProtection="0"/>
    <xf numFmtId="0" fontId="72" fillId="0" borderId="173" applyNumberFormat="0" applyFill="0" applyAlignment="0" applyProtection="0"/>
    <xf numFmtId="0" fontId="36" fillId="0" borderId="169" applyBorder="0">
      <alignment horizontal="left" vertical="center" wrapText="1" indent="2"/>
      <protection locked="0"/>
    </xf>
    <xf numFmtId="0" fontId="5" fillId="24" borderId="171" applyNumberFormat="0" applyFont="0" applyAlignment="0" applyProtection="0"/>
    <xf numFmtId="0" fontId="72" fillId="0" borderId="173" applyNumberFormat="0" applyFill="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110" fillId="21"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0" fontId="59" fillId="36" borderId="170" applyNumberFormat="0" applyAlignment="0" applyProtection="0"/>
    <xf numFmtId="0" fontId="73" fillId="37" borderId="170" applyNumberFormat="0" applyAlignment="0" applyProtection="0"/>
    <xf numFmtId="0" fontId="65" fillId="36"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116" fillId="36" borderId="172" applyNumberFormat="0" applyAlignment="0" applyProtection="0"/>
    <xf numFmtId="0" fontId="5" fillId="24" borderId="171" applyNumberFormat="0" applyFont="0" applyAlignment="0" applyProtection="0"/>
    <xf numFmtId="0" fontId="65" fillId="37" borderId="172" applyNumberFormat="0" applyAlignment="0" applyProtection="0"/>
    <xf numFmtId="0" fontId="62" fillId="21" borderId="170" applyNumberFormat="0" applyAlignment="0" applyProtection="0"/>
    <xf numFmtId="0" fontId="36" fillId="0" borderId="169" applyBorder="0">
      <alignment horizontal="left" vertical="center" wrapText="1" indent="3"/>
      <protection locked="0"/>
    </xf>
    <xf numFmtId="0" fontId="5" fillId="24" borderId="171" applyNumberFormat="0" applyFont="0" applyAlignment="0" applyProtection="0"/>
    <xf numFmtId="0" fontId="73" fillId="3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0" fontId="62" fillId="27"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122" fillId="0" borderId="173" applyNumberFormat="0" applyFill="0" applyAlignment="0" applyProtection="0"/>
    <xf numFmtId="0" fontId="5" fillId="24" borderId="171" applyNumberFormat="0" applyFont="0" applyAlignment="0" applyProtection="0"/>
    <xf numFmtId="0" fontId="59" fillId="36" borderId="170" applyNumberFormat="0" applyAlignment="0" applyProtection="0"/>
    <xf numFmtId="0" fontId="6" fillId="24" borderId="171" applyNumberFormat="0" applyFont="0" applyAlignment="0" applyProtection="0"/>
    <xf numFmtId="0" fontId="5" fillId="24" borderId="171" applyNumberFormat="0" applyFont="0" applyAlignment="0" applyProtection="0"/>
    <xf numFmtId="0" fontId="59" fillId="36" borderId="170" applyNumberFormat="0" applyAlignment="0" applyProtection="0"/>
    <xf numFmtId="0" fontId="72" fillId="0" borderId="173" applyNumberFormat="0" applyFill="0" applyAlignment="0" applyProtection="0"/>
    <xf numFmtId="0" fontId="18" fillId="14" borderId="169" applyFill="0" applyBorder="0" applyAlignment="0" applyProtection="0">
      <alignment vertical="center"/>
      <protection locked="0"/>
    </xf>
    <xf numFmtId="0" fontId="62" fillId="21" borderId="170" applyNumberFormat="0" applyAlignment="0" applyProtection="0"/>
    <xf numFmtId="0" fontId="110" fillId="21" borderId="170" applyNumberFormat="0" applyAlignment="0" applyProtection="0"/>
    <xf numFmtId="0" fontId="73" fillId="37" borderId="170" applyNumberFormat="0" applyAlignment="0" applyProtection="0"/>
    <xf numFmtId="0" fontId="6" fillId="24" borderId="171" applyNumberFormat="0" applyFont="0" applyAlignment="0" applyProtection="0"/>
    <xf numFmtId="0" fontId="62" fillId="21" borderId="170"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116" fillId="36" borderId="172" applyNumberFormat="0" applyAlignment="0" applyProtection="0"/>
    <xf numFmtId="0" fontId="65" fillId="37" borderId="172" applyNumberFormat="0" applyAlignment="0" applyProtection="0"/>
    <xf numFmtId="0" fontId="122" fillId="0" borderId="173" applyNumberFormat="0" applyFill="0" applyAlignment="0" applyProtection="0"/>
    <xf numFmtId="0" fontId="73" fillId="37" borderId="170" applyNumberFormat="0" applyAlignment="0" applyProtection="0"/>
    <xf numFmtId="0" fontId="5" fillId="24" borderId="171" applyNumberFormat="0" applyFont="0" applyAlignment="0" applyProtection="0"/>
    <xf numFmtId="0" fontId="18" fillId="14" borderId="169" applyFill="0" applyBorder="0" applyAlignment="0" applyProtection="0">
      <alignment vertical="center"/>
      <protection locked="0"/>
    </xf>
    <xf numFmtId="0" fontId="36" fillId="0" borderId="169" applyBorder="0">
      <alignment horizontal="left" vertical="center" wrapText="1" indent="2"/>
      <protection locked="0"/>
    </xf>
    <xf numFmtId="0" fontId="65" fillId="37" borderId="172" applyNumberFormat="0" applyAlignment="0" applyProtection="0"/>
    <xf numFmtId="0" fontId="72" fillId="0" borderId="173" applyNumberFormat="0" applyFill="0" applyAlignment="0" applyProtection="0"/>
    <xf numFmtId="0" fontId="110" fillId="21" borderId="170" applyNumberFormat="0" applyAlignment="0" applyProtection="0"/>
    <xf numFmtId="0" fontId="62" fillId="27" borderId="170" applyNumberFormat="0" applyAlignment="0" applyProtection="0"/>
    <xf numFmtId="0" fontId="5" fillId="24" borderId="171" applyNumberFormat="0" applyFont="0" applyAlignment="0" applyProtection="0"/>
    <xf numFmtId="0" fontId="107" fillId="36" borderId="170" applyNumberFormat="0" applyAlignment="0" applyProtection="0"/>
    <xf numFmtId="0" fontId="110" fillId="21" borderId="170" applyNumberFormat="0" applyAlignment="0" applyProtection="0"/>
    <xf numFmtId="0" fontId="5" fillId="24" borderId="171" applyNumberFormat="0" applyFont="0" applyAlignment="0" applyProtection="0"/>
    <xf numFmtId="0" fontId="116" fillId="36" borderId="172" applyNumberFormat="0" applyAlignment="0" applyProtection="0"/>
    <xf numFmtId="0" fontId="122" fillId="0" borderId="173" applyNumberFormat="0" applyFill="0" applyAlignment="0" applyProtection="0"/>
    <xf numFmtId="0" fontId="62" fillId="21" borderId="170" applyNumberFormat="0" applyAlignment="0" applyProtection="0"/>
    <xf numFmtId="0" fontId="6" fillId="24" borderId="171" applyNumberFormat="0" applyFont="0" applyAlignment="0" applyProtection="0"/>
    <xf numFmtId="0" fontId="65" fillId="36" borderId="172" applyNumberFormat="0" applyAlignment="0" applyProtection="0"/>
    <xf numFmtId="0" fontId="62" fillId="21" borderId="170" applyNumberFormat="0" applyAlignment="0" applyProtection="0"/>
    <xf numFmtId="0" fontId="62" fillId="21" borderId="170" applyNumberFormat="0" applyAlignment="0" applyProtection="0"/>
    <xf numFmtId="0" fontId="62" fillId="21" borderId="170" applyNumberFormat="0" applyAlignment="0" applyProtection="0"/>
    <xf numFmtId="0" fontId="62" fillId="21" borderId="170" applyNumberFormat="0" applyAlignment="0" applyProtection="0"/>
    <xf numFmtId="0" fontId="36" fillId="0" borderId="169" applyBorder="0">
      <alignment horizontal="left" vertical="center" wrapText="1" indent="3"/>
      <protection locked="0"/>
    </xf>
    <xf numFmtId="0" fontId="59" fillId="36" borderId="170" applyNumberFormat="0" applyAlignment="0" applyProtection="0"/>
    <xf numFmtId="0" fontId="122" fillId="0" borderId="173" applyNumberFormat="0" applyFill="0" applyAlignment="0" applyProtection="0"/>
    <xf numFmtId="0" fontId="62" fillId="21" borderId="170" applyNumberFormat="0" applyAlignment="0" applyProtection="0"/>
    <xf numFmtId="0" fontId="5" fillId="24" borderId="171" applyNumberFormat="0" applyFont="0" applyAlignment="0" applyProtection="0"/>
    <xf numFmtId="0" fontId="122" fillId="0" borderId="173" applyNumberFormat="0" applyFill="0" applyAlignment="0" applyProtection="0"/>
    <xf numFmtId="0" fontId="62" fillId="27" borderId="170" applyNumberFormat="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36" fillId="0" borderId="169" applyBorder="0">
      <alignment horizontal="left" vertical="center" wrapText="1" indent="2"/>
      <protection locked="0"/>
    </xf>
    <xf numFmtId="0" fontId="6" fillId="24" borderId="171" applyNumberFormat="0" applyFont="0" applyAlignment="0" applyProtection="0"/>
    <xf numFmtId="0" fontId="72" fillId="0" borderId="173" applyNumberFormat="0" applyFill="0" applyAlignment="0" applyProtection="0"/>
    <xf numFmtId="0" fontId="107" fillId="36" borderId="170" applyNumberFormat="0" applyAlignment="0" applyProtection="0"/>
    <xf numFmtId="0" fontId="62" fillId="21" borderId="170" applyNumberFormat="0" applyAlignment="0" applyProtection="0"/>
    <xf numFmtId="0" fontId="5" fillId="24" borderId="171" applyNumberFormat="0" applyFont="0" applyAlignment="0" applyProtection="0"/>
    <xf numFmtId="0" fontId="116" fillId="36" borderId="172" applyNumberFormat="0" applyAlignment="0" applyProtection="0"/>
    <xf numFmtId="10" fontId="36" fillId="15" borderId="167" applyNumberFormat="0" applyBorder="0" applyAlignment="0" applyProtection="0"/>
    <xf numFmtId="0" fontId="122" fillId="0" borderId="173" applyNumberFormat="0" applyFill="0" applyAlignment="0" applyProtection="0"/>
    <xf numFmtId="0" fontId="18" fillId="14" borderId="169" applyFill="0" applyBorder="0" applyAlignment="0" applyProtection="0">
      <alignment vertical="center"/>
      <protection locked="0"/>
    </xf>
    <xf numFmtId="0" fontId="110" fillId="21" borderId="170" applyNumberFormat="0" applyAlignment="0" applyProtection="0"/>
    <xf numFmtId="0" fontId="107" fillId="36" borderId="170" applyNumberFormat="0" applyAlignment="0" applyProtection="0"/>
    <xf numFmtId="0" fontId="6" fillId="24" borderId="171" applyNumberFormat="0" applyFont="0" applyAlignment="0" applyProtection="0"/>
    <xf numFmtId="0" fontId="62" fillId="27" borderId="170" applyNumberFormat="0" applyAlignment="0" applyProtection="0"/>
    <xf numFmtId="0" fontId="116" fillId="36"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107" fillId="36" borderId="170" applyNumberFormat="0" applyAlignment="0" applyProtection="0"/>
    <xf numFmtId="0" fontId="36" fillId="0" borderId="169" applyBorder="0">
      <alignment horizontal="left" vertical="center" wrapText="1" indent="2"/>
      <protection locked="0"/>
    </xf>
    <xf numFmtId="0" fontId="5" fillId="24" borderId="171" applyNumberFormat="0" applyFont="0" applyAlignment="0" applyProtection="0"/>
    <xf numFmtId="0" fontId="5" fillId="24" borderId="171" applyNumberFormat="0" applyFont="0" applyAlignment="0" applyProtection="0"/>
    <xf numFmtId="0" fontId="65" fillId="37" borderId="172" applyNumberFormat="0" applyAlignment="0" applyProtection="0"/>
    <xf numFmtId="10" fontId="36" fillId="15" borderId="167" applyNumberFormat="0" applyBorder="0" applyAlignment="0" applyProtection="0"/>
    <xf numFmtId="0" fontId="18" fillId="14" borderId="169" applyFill="0" applyBorder="0" applyAlignment="0" applyProtection="0">
      <alignment vertical="center"/>
      <protection locked="0"/>
    </xf>
    <xf numFmtId="0" fontId="65" fillId="36" borderId="172" applyNumberFormat="0" applyAlignment="0" applyProtection="0"/>
    <xf numFmtId="0" fontId="107" fillId="36" borderId="170" applyNumberFormat="0" applyAlignment="0" applyProtection="0"/>
    <xf numFmtId="0" fontId="5" fillId="24" borderId="171" applyNumberFormat="0" applyFont="0" applyAlignment="0" applyProtection="0"/>
    <xf numFmtId="0" fontId="65" fillId="36" borderId="172" applyNumberFormat="0" applyAlignment="0" applyProtection="0"/>
    <xf numFmtId="0" fontId="5" fillId="24" borderId="171" applyNumberFormat="0" applyFont="0" applyAlignment="0" applyProtection="0"/>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122" fillId="0" borderId="173" applyNumberFormat="0" applyFill="0" applyAlignment="0" applyProtection="0"/>
    <xf numFmtId="0" fontId="65" fillId="37" borderId="172" applyNumberFormat="0" applyAlignment="0" applyProtection="0"/>
    <xf numFmtId="0" fontId="65" fillId="36" borderId="172" applyNumberFormat="0" applyAlignment="0" applyProtection="0"/>
    <xf numFmtId="0" fontId="72" fillId="0" borderId="173" applyNumberFormat="0" applyFill="0" applyAlignment="0" applyProtection="0"/>
    <xf numFmtId="0" fontId="116" fillId="36" borderId="172"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116" fillId="36" borderId="172" applyNumberFormat="0" applyAlignment="0" applyProtection="0"/>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5" fillId="24" borderId="171" applyNumberFormat="0" applyFont="0" applyAlignment="0" applyProtection="0"/>
    <xf numFmtId="0" fontId="5" fillId="24" borderId="171" applyNumberFormat="0" applyFont="0" applyAlignment="0" applyProtection="0"/>
    <xf numFmtId="0" fontId="36" fillId="0" borderId="169" applyBorder="0">
      <alignment horizontal="left" vertical="center" wrapText="1" indent="3"/>
      <protection locked="0"/>
    </xf>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73" fillId="37" borderId="170" applyNumberFormat="0" applyAlignment="0" applyProtection="0"/>
    <xf numFmtId="0" fontId="122" fillId="0" borderId="173" applyNumberFormat="0" applyFill="0" applyAlignment="0" applyProtection="0"/>
    <xf numFmtId="0" fontId="62" fillId="27" borderId="170" applyNumberFormat="0" applyAlignment="0" applyProtection="0"/>
    <xf numFmtId="0" fontId="5" fillId="24" borderId="171" applyNumberFormat="0" applyFont="0" applyAlignment="0" applyProtection="0"/>
    <xf numFmtId="0" fontId="6" fillId="24" borderId="171" applyNumberFormat="0" applyFont="0" applyAlignment="0" applyProtection="0"/>
    <xf numFmtId="10" fontId="36" fillId="15" borderId="167" applyNumberFormat="0" applyBorder="0" applyAlignment="0" applyProtection="0"/>
    <xf numFmtId="0" fontId="62" fillId="21" borderId="170" applyNumberFormat="0" applyAlignment="0" applyProtection="0"/>
    <xf numFmtId="0" fontId="107" fillId="36" borderId="170" applyNumberFormat="0" applyAlignment="0" applyProtection="0"/>
    <xf numFmtId="0" fontId="65" fillId="37" borderId="172" applyNumberFormat="0" applyAlignment="0" applyProtection="0"/>
    <xf numFmtId="0" fontId="5" fillId="24" borderId="171" applyNumberFormat="0" applyFont="0" applyAlignment="0" applyProtection="0"/>
    <xf numFmtId="0" fontId="65" fillId="36" borderId="172" applyNumberForma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10" fillId="21" borderId="170" applyNumberFormat="0" applyAlignment="0" applyProtection="0"/>
    <xf numFmtId="0" fontId="59" fillId="36" borderId="170" applyNumberFormat="0" applyAlignment="0" applyProtection="0"/>
    <xf numFmtId="0" fontId="5" fillId="24" borderId="171" applyNumberFormat="0" applyFont="0" applyAlignment="0" applyProtection="0"/>
    <xf numFmtId="0" fontId="5" fillId="24" borderId="171" applyNumberFormat="0" applyFont="0" applyAlignment="0" applyProtection="0"/>
    <xf numFmtId="0" fontId="5" fillId="24" borderId="171" applyNumberFormat="0" applyFont="0" applyAlignment="0" applyProtection="0"/>
    <xf numFmtId="0" fontId="72" fillId="0" borderId="173" applyNumberFormat="0" applyFill="0" applyAlignment="0" applyProtection="0"/>
    <xf numFmtId="0" fontId="62" fillId="21" borderId="170" applyNumberFormat="0" applyAlignment="0" applyProtection="0"/>
    <xf numFmtId="0" fontId="116" fillId="36" borderId="172" applyNumberFormat="0" applyAlignment="0" applyProtection="0"/>
    <xf numFmtId="0" fontId="36" fillId="0" borderId="169" applyBorder="0">
      <alignment horizontal="left" vertical="center" wrapText="1" indent="3"/>
      <protection locked="0"/>
    </xf>
    <xf numFmtId="0" fontId="36" fillId="0" borderId="133" applyBorder="0">
      <alignment horizontal="left" vertical="center" wrapText="1" indent="2"/>
      <protection locked="0"/>
    </xf>
    <xf numFmtId="0" fontId="65" fillId="36" borderId="140" applyNumberFormat="0" applyAlignment="0" applyProtection="0"/>
    <xf numFmtId="10" fontId="36" fillId="15" borderId="142" applyNumberFormat="0" applyBorder="0" applyAlignment="0" applyProtection="0"/>
    <xf numFmtId="0" fontId="72" fillId="0" borderId="141" applyNumberFormat="0" applyFill="0" applyAlignment="0" applyProtection="0"/>
    <xf numFmtId="0" fontId="18" fillId="14" borderId="133" applyFill="0" applyBorder="0" applyAlignment="0" applyProtection="0">
      <alignment vertical="center"/>
      <protection locked="0"/>
    </xf>
    <xf numFmtId="0" fontId="59" fillId="36"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62" fillId="21" borderId="163" applyNumberFormat="0" applyAlignment="0" applyProtection="0"/>
    <xf numFmtId="0" fontId="62" fillId="27" borderId="163" applyNumberFormat="0" applyAlignment="0" applyProtection="0"/>
    <xf numFmtId="0" fontId="122" fillId="0" borderId="141" applyNumberFormat="0" applyFill="0" applyAlignment="0" applyProtection="0"/>
    <xf numFmtId="0" fontId="65" fillId="37" borderId="140" applyNumberFormat="0" applyAlignment="0" applyProtection="0"/>
    <xf numFmtId="0" fontId="65" fillId="36" borderId="140" applyNumberFormat="0" applyAlignment="0" applyProtection="0"/>
    <xf numFmtId="0" fontId="65" fillId="36" borderId="140" applyNumberFormat="0" applyAlignment="0" applyProtection="0"/>
    <xf numFmtId="0" fontId="62" fillId="27" borderId="163" applyNumberFormat="0" applyAlignment="0" applyProtection="0"/>
    <xf numFmtId="0" fontId="62" fillId="21" borderId="163" applyNumberFormat="0" applyAlignment="0" applyProtection="0"/>
    <xf numFmtId="0" fontId="110" fillId="21"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36" fillId="0" borderId="133" applyBorder="0">
      <alignment horizontal="left" vertical="center" wrapText="1" indent="2"/>
      <protection locked="0"/>
    </xf>
    <xf numFmtId="0" fontId="65" fillId="36" borderId="140"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36" fillId="0" borderId="133" applyBorder="0">
      <alignment horizontal="left" vertical="center" wrapText="1" indent="2"/>
      <protection locked="0"/>
    </xf>
    <xf numFmtId="0" fontId="18" fillId="14" borderId="133" applyFill="0" applyBorder="0" applyAlignment="0" applyProtection="0">
      <alignment vertical="center"/>
      <protection locked="0"/>
    </xf>
    <xf numFmtId="0" fontId="62" fillId="27" borderId="163" applyNumberFormat="0" applyAlignment="0" applyProtection="0"/>
    <xf numFmtId="0" fontId="5" fillId="24" borderId="164" applyNumberFormat="0" applyFont="0" applyAlignment="0" applyProtection="0"/>
    <xf numFmtId="0" fontId="62" fillId="21" borderId="163" applyNumberFormat="0" applyAlignment="0" applyProtection="0"/>
    <xf numFmtId="0" fontId="122" fillId="0" borderId="141" applyNumberFormat="0" applyFill="0" applyAlignment="0" applyProtection="0"/>
    <xf numFmtId="0" fontId="36" fillId="0" borderId="133" applyBorder="0">
      <alignment horizontal="left" vertical="center" wrapText="1" indent="3"/>
      <protection locked="0"/>
    </xf>
    <xf numFmtId="0" fontId="62" fillId="21" borderId="163" applyNumberFormat="0" applyAlignment="0" applyProtection="0"/>
    <xf numFmtId="0" fontId="62" fillId="21" borderId="163" applyNumberFormat="0" applyAlignment="0" applyProtection="0"/>
    <xf numFmtId="0" fontId="62" fillId="21" borderId="163" applyNumberFormat="0" applyAlignment="0" applyProtection="0"/>
    <xf numFmtId="0" fontId="65" fillId="36" borderId="140" applyNumberFormat="0" applyAlignment="0" applyProtection="0"/>
    <xf numFmtId="0" fontId="6" fillId="24" borderId="164" applyNumberFormat="0" applyFont="0" applyAlignment="0" applyProtection="0"/>
    <xf numFmtId="0" fontId="116" fillId="36" borderId="140" applyNumberFormat="0" applyAlignment="0" applyProtection="0"/>
    <xf numFmtId="0" fontId="62" fillId="27" borderId="163" applyNumberFormat="0" applyAlignment="0" applyProtection="0"/>
    <xf numFmtId="0" fontId="65" fillId="37" borderId="140" applyNumberFormat="0" applyAlignment="0" applyProtection="0"/>
    <xf numFmtId="0" fontId="36" fillId="0" borderId="133" applyBorder="0">
      <alignment horizontal="left" vertical="center" wrapText="1" indent="2"/>
      <protection locked="0"/>
    </xf>
    <xf numFmtId="0" fontId="73" fillId="37" borderId="163" applyNumberFormat="0" applyAlignment="0" applyProtection="0"/>
    <xf numFmtId="0" fontId="62" fillId="21" borderId="163" applyNumberFormat="0" applyAlignment="0" applyProtection="0"/>
    <xf numFmtId="0" fontId="36" fillId="0" borderId="133" applyBorder="0">
      <alignment horizontal="left" vertical="center" wrapText="1" indent="2"/>
      <protection locked="0"/>
    </xf>
    <xf numFmtId="0" fontId="65" fillId="37" borderId="140" applyNumberFormat="0" applyAlignment="0" applyProtection="0"/>
    <xf numFmtId="0" fontId="73" fillId="37" borderId="163" applyNumberFormat="0" applyAlignment="0" applyProtection="0"/>
    <xf numFmtId="0" fontId="36" fillId="0" borderId="133" applyBorder="0">
      <alignment horizontal="left" vertical="center" wrapText="1" indent="2"/>
      <protection locked="0"/>
    </xf>
    <xf numFmtId="0" fontId="62" fillId="21" borderId="163" applyNumberFormat="0" applyAlignment="0" applyProtection="0"/>
    <xf numFmtId="0" fontId="110"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07" fillId="36" borderId="163" applyNumberFormat="0" applyAlignment="0" applyProtection="0"/>
    <xf numFmtId="10" fontId="36" fillId="15" borderId="142" applyNumberFormat="0" applyBorder="0" applyAlignment="0" applyProtection="0"/>
    <xf numFmtId="0" fontId="65" fillId="37" borderId="140" applyNumberFormat="0" applyAlignment="0" applyProtection="0"/>
    <xf numFmtId="0" fontId="62" fillId="21" borderId="163" applyNumberFormat="0" applyAlignment="0" applyProtection="0"/>
    <xf numFmtId="0" fontId="6" fillId="24" borderId="164" applyNumberFormat="0" applyFont="0" applyAlignment="0" applyProtection="0"/>
    <xf numFmtId="0" fontId="62" fillId="27" borderId="163" applyNumberFormat="0" applyAlignment="0" applyProtection="0"/>
    <xf numFmtId="0" fontId="73" fillId="37"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9" fillId="36" borderId="163" applyNumberFormat="0" applyAlignment="0" applyProtection="0"/>
    <xf numFmtId="0" fontId="62" fillId="21"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107"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2" fillId="21" borderId="163" applyNumberFormat="0" applyAlignment="0" applyProtection="0"/>
    <xf numFmtId="0" fontId="110" fillId="21" borderId="163" applyNumberFormat="0" applyAlignment="0" applyProtection="0"/>
    <xf numFmtId="0" fontId="36" fillId="0" borderId="133" applyBorder="0">
      <alignment horizontal="left" vertical="center" wrapText="1" indent="3"/>
      <protection locked="0"/>
    </xf>
    <xf numFmtId="0" fontId="73" fillId="37" borderId="163" applyNumberFormat="0" applyAlignment="0" applyProtection="0"/>
    <xf numFmtId="0" fontId="65" fillId="37" borderId="140" applyNumberFormat="0" applyAlignment="0" applyProtection="0"/>
    <xf numFmtId="0" fontId="73" fillId="37" borderId="163" applyNumberFormat="0" applyAlignment="0" applyProtection="0"/>
    <xf numFmtId="0" fontId="73" fillId="37" borderId="163" applyNumberFormat="0" applyAlignment="0" applyProtection="0"/>
    <xf numFmtId="0" fontId="7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3" fillId="37"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5" fillId="37" borderId="140" applyNumberFormat="0" applyAlignment="0" applyProtection="0"/>
    <xf numFmtId="0" fontId="65" fillId="37" borderId="140" applyNumberFormat="0" applyAlignment="0" applyProtection="0"/>
    <xf numFmtId="0" fontId="107" fillId="36" borderId="163" applyNumberFormat="0" applyAlignment="0" applyProtection="0"/>
    <xf numFmtId="0" fontId="107" fillId="36"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116"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73" fillId="37" borderId="163" applyNumberFormat="0" applyAlignment="0" applyProtection="0"/>
    <xf numFmtId="0" fontId="62" fillId="21" borderId="163" applyNumberFormat="0" applyAlignment="0" applyProtection="0"/>
    <xf numFmtId="0" fontId="72" fillId="0" borderId="141" applyNumberFormat="0" applyFill="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10" fontId="36" fillId="15" borderId="142" applyNumberFormat="0" applyBorder="0" applyAlignment="0" applyProtection="0"/>
    <xf numFmtId="0" fontId="73" fillId="37"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18" fillId="14" borderId="133" applyFill="0" applyBorder="0" applyAlignment="0" applyProtection="0">
      <alignment vertical="center"/>
      <protection locked="0"/>
    </xf>
    <xf numFmtId="0" fontId="12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40" applyNumberFormat="0" applyAlignment="0" applyProtection="0"/>
    <xf numFmtId="0" fontId="5" fillId="24" borderId="164" applyNumberFormat="0" applyFont="0" applyAlignment="0" applyProtection="0"/>
    <xf numFmtId="0" fontId="62" fillId="27" borderId="163" applyNumberFormat="0" applyAlignment="0" applyProtection="0"/>
    <xf numFmtId="0" fontId="107" fillId="36" borderId="163" applyNumberFormat="0" applyAlignment="0" applyProtection="0"/>
    <xf numFmtId="0" fontId="5" fillId="24" borderId="164" applyNumberFormat="0" applyFont="0" applyAlignment="0" applyProtection="0"/>
    <xf numFmtId="0" fontId="72" fillId="0" borderId="141" applyNumberFormat="0" applyFill="0" applyAlignment="0" applyProtection="0"/>
    <xf numFmtId="0" fontId="73" fillId="37" borderId="163" applyNumberFormat="0" applyAlignment="0" applyProtection="0"/>
    <xf numFmtId="0" fontId="59" fillId="36" borderId="163" applyNumberFormat="0" applyAlignment="0" applyProtection="0"/>
    <xf numFmtId="0" fontId="110" fillId="21" borderId="163" applyNumberFormat="0" applyAlignment="0" applyProtection="0"/>
    <xf numFmtId="0" fontId="72" fillId="0" borderId="141" applyNumberFormat="0" applyFill="0" applyAlignment="0" applyProtection="0"/>
    <xf numFmtId="0" fontId="62" fillId="21" borderId="163"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5" fillId="24" borderId="164" applyNumberFormat="0" applyFont="0" applyAlignment="0" applyProtection="0"/>
    <xf numFmtId="0" fontId="116" fillId="36" borderId="140" applyNumberFormat="0" applyAlignment="0" applyProtection="0"/>
    <xf numFmtId="0" fontId="6" fillId="24" borderId="164" applyNumberFormat="0" applyFont="0" applyAlignment="0" applyProtection="0"/>
    <xf numFmtId="0" fontId="6" fillId="24" borderId="164" applyNumberFormat="0" applyFont="0" applyAlignment="0" applyProtection="0"/>
    <xf numFmtId="0" fontId="59" fillId="36"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73" fillId="37" borderId="163" applyNumberFormat="0" applyAlignment="0" applyProtection="0"/>
    <xf numFmtId="0" fontId="122" fillId="0" borderId="141" applyNumberFormat="0" applyFill="0" applyAlignment="0" applyProtection="0"/>
    <xf numFmtId="0" fontId="65" fillId="37" borderId="140" applyNumberFormat="0" applyAlignment="0" applyProtection="0"/>
    <xf numFmtId="0" fontId="116" fillId="36" borderId="140" applyNumberFormat="0" applyAlignment="0" applyProtection="0"/>
    <xf numFmtId="0" fontId="62" fillId="21" borderId="163" applyNumberFormat="0" applyAlignment="0" applyProtection="0"/>
    <xf numFmtId="0" fontId="5" fillId="24" borderId="164" applyNumberFormat="0" applyFont="0" applyAlignment="0" applyProtection="0"/>
    <xf numFmtId="0" fontId="110" fillId="21" borderId="163" applyNumberFormat="0" applyAlignment="0" applyProtection="0"/>
    <xf numFmtId="0" fontId="62" fillId="21"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62" fillId="27" borderId="163" applyNumberFormat="0" applyAlignment="0" applyProtection="0"/>
    <xf numFmtId="0" fontId="122" fillId="0" borderId="141" applyNumberFormat="0" applyFill="0" applyAlignment="0" applyProtection="0"/>
    <xf numFmtId="0" fontId="73" fillId="37" borderId="163" applyNumberFormat="0" applyAlignment="0" applyProtection="0"/>
    <xf numFmtId="0" fontId="116" fillId="36" borderId="140" applyNumberFormat="0" applyAlignment="0" applyProtection="0"/>
    <xf numFmtId="0" fontId="62" fillId="21"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0" fillId="21" borderId="163" applyNumberFormat="0" applyAlignment="0" applyProtection="0"/>
    <xf numFmtId="0" fontId="62" fillId="21"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62" fillId="27" borderId="163" applyNumberFormat="0" applyAlignment="0" applyProtection="0"/>
    <xf numFmtId="0" fontId="122" fillId="0" borderId="141" applyNumberFormat="0" applyFill="0" applyAlignment="0" applyProtection="0"/>
    <xf numFmtId="0" fontId="73" fillId="37" borderId="163" applyNumberFormat="0" applyAlignment="0" applyProtection="0"/>
    <xf numFmtId="0" fontId="116" fillId="36" borderId="140" applyNumberFormat="0" applyAlignment="0" applyProtection="0"/>
    <xf numFmtId="0" fontId="62" fillId="21"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9" fillId="36" borderId="163" applyNumberFormat="0" applyAlignment="0" applyProtection="0"/>
    <xf numFmtId="0" fontId="107" fillId="36"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40" applyNumberFormat="0" applyAlignment="0" applyProtection="0"/>
    <xf numFmtId="0" fontId="72" fillId="0" borderId="141" applyNumberFormat="0" applyFill="0" applyAlignment="0" applyProtection="0"/>
    <xf numFmtId="0" fontId="65" fillId="36" borderId="140" applyNumberFormat="0" applyAlignment="0" applyProtection="0"/>
    <xf numFmtId="0" fontId="122" fillId="0" borderId="141" applyNumberFormat="0" applyFill="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110" fillId="21" borderId="163" applyNumberFormat="0" applyAlignment="0" applyProtection="0"/>
    <xf numFmtId="0" fontId="65" fillId="36" borderId="140" applyNumberFormat="0" applyAlignment="0" applyProtection="0"/>
    <xf numFmtId="0" fontId="122" fillId="0" borderId="141" applyNumberFormat="0" applyFill="0" applyAlignment="0" applyProtection="0"/>
    <xf numFmtId="0" fontId="6" fillId="24" borderId="164" applyNumberFormat="0" applyFont="0" applyAlignment="0" applyProtection="0"/>
    <xf numFmtId="0" fontId="62" fillId="27" borderId="163" applyNumberFormat="0" applyAlignment="0" applyProtection="0"/>
    <xf numFmtId="0" fontId="5" fillId="24" borderId="164" applyNumberFormat="0" applyFont="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2" fillId="21" borderId="163" applyNumberFormat="0" applyAlignment="0" applyProtection="0"/>
    <xf numFmtId="0" fontId="65" fillId="36" borderId="140" applyNumberFormat="0" applyAlignment="0" applyProtection="0"/>
    <xf numFmtId="0" fontId="116" fillId="36" borderId="140" applyNumberFormat="0" applyAlignment="0" applyProtection="0"/>
    <xf numFmtId="0" fontId="107" fillId="36" borderId="163" applyNumberFormat="0" applyAlignment="0" applyProtection="0"/>
    <xf numFmtId="0" fontId="110" fillId="21" borderId="163" applyNumberFormat="0" applyAlignment="0" applyProtection="0"/>
    <xf numFmtId="0" fontId="122" fillId="0" borderId="141" applyNumberFormat="0" applyFill="0" applyAlignment="0" applyProtection="0"/>
    <xf numFmtId="0" fontId="107" fillId="36" borderId="163" applyNumberFormat="0" applyAlignment="0" applyProtection="0"/>
    <xf numFmtId="0" fontId="116" fillId="36" borderId="140" applyNumberFormat="0" applyAlignment="0" applyProtection="0"/>
    <xf numFmtId="0" fontId="116" fillId="36" borderId="140" applyNumberFormat="0" applyAlignment="0" applyProtection="0"/>
    <xf numFmtId="0" fontId="5" fillId="24" borderId="164" applyNumberFormat="0" applyFont="0" applyAlignment="0" applyProtection="0"/>
    <xf numFmtId="0" fontId="107" fillId="36"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5" fillId="24" borderId="164" applyNumberFormat="0" applyFont="0" applyAlignment="0" applyProtection="0"/>
    <xf numFmtId="0" fontId="62" fillId="21" borderId="163" applyNumberFormat="0" applyAlignment="0" applyProtection="0"/>
    <xf numFmtId="0" fontId="62" fillId="21" borderId="163" applyNumberFormat="0" applyAlignment="0" applyProtection="0"/>
    <xf numFmtId="0" fontId="62" fillId="21" borderId="163" applyNumberFormat="0" applyAlignment="0" applyProtection="0"/>
    <xf numFmtId="0" fontId="62" fillId="27" borderId="163" applyNumberFormat="0" applyAlignment="0" applyProtection="0"/>
    <xf numFmtId="0" fontId="62" fillId="21" borderId="163" applyNumberFormat="0" applyAlignment="0" applyProtection="0"/>
    <xf numFmtId="0" fontId="65" fillId="36" borderId="140"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110" fillId="21" borderId="163" applyNumberFormat="0" applyAlignment="0" applyProtection="0"/>
    <xf numFmtId="0" fontId="107" fillId="36"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62" fillId="27" borderId="163" applyNumberFormat="0" applyAlignment="0" applyProtection="0"/>
    <xf numFmtId="0" fontId="110" fillId="21" borderId="163" applyNumberFormat="0" applyAlignment="0" applyProtection="0"/>
    <xf numFmtId="0" fontId="65" fillId="37" borderId="140"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7" borderId="140" applyNumberFormat="0" applyAlignment="0" applyProtection="0"/>
    <xf numFmtId="0" fontId="59" fillId="36" borderId="163" applyNumberFormat="0" applyAlignment="0" applyProtection="0"/>
    <xf numFmtId="0" fontId="116" fillId="36" borderId="140" applyNumberFormat="0" applyAlignment="0" applyProtection="0"/>
    <xf numFmtId="0" fontId="122" fillId="0" borderId="141" applyNumberFormat="0" applyFill="0" applyAlignment="0" applyProtection="0"/>
    <xf numFmtId="0" fontId="5" fillId="24" borderId="164" applyNumberFormat="0" applyFont="0" applyAlignment="0" applyProtection="0"/>
    <xf numFmtId="0" fontId="62" fillId="21" borderId="163" applyNumberFormat="0" applyAlignment="0" applyProtection="0"/>
    <xf numFmtId="0" fontId="6" fillId="24" borderId="164" applyNumberFormat="0" applyFont="0" applyAlignment="0" applyProtection="0"/>
    <xf numFmtId="0" fontId="73" fillId="37" borderId="163" applyNumberFormat="0" applyAlignment="0" applyProtection="0"/>
    <xf numFmtId="0" fontId="5" fillId="24" borderId="164" applyNumberFormat="0" applyFont="0" applyAlignment="0" applyProtection="0"/>
    <xf numFmtId="0" fontId="73" fillId="37" borderId="163" applyNumberFormat="0" applyAlignment="0" applyProtection="0"/>
    <xf numFmtId="0" fontId="65" fillId="36" borderId="140" applyNumberFormat="0" applyAlignment="0" applyProtection="0"/>
    <xf numFmtId="0" fontId="65" fillId="36" borderId="140" applyNumberFormat="0" applyAlignment="0" applyProtection="0"/>
    <xf numFmtId="0" fontId="59" fillId="36" borderId="163" applyNumberFormat="0" applyAlignment="0" applyProtection="0"/>
    <xf numFmtId="0" fontId="5" fillId="24" borderId="164" applyNumberFormat="0" applyFont="0" applyAlignment="0" applyProtection="0"/>
    <xf numFmtId="0" fontId="110"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110" fillId="21" borderId="163" applyNumberFormat="0" applyAlignment="0" applyProtection="0"/>
    <xf numFmtId="0" fontId="65" fillId="36" borderId="140" applyNumberFormat="0" applyAlignment="0" applyProtection="0"/>
    <xf numFmtId="0" fontId="62" fillId="27" borderId="163" applyNumberFormat="0" applyAlignment="0" applyProtection="0"/>
    <xf numFmtId="0" fontId="65" fillId="36" borderId="140" applyNumberFormat="0" applyAlignment="0" applyProtection="0"/>
    <xf numFmtId="0" fontId="62" fillId="21" borderId="163" applyNumberFormat="0" applyAlignment="0" applyProtection="0"/>
    <xf numFmtId="0" fontId="116" fillId="36" borderId="140" applyNumberFormat="0" applyAlignment="0" applyProtection="0"/>
    <xf numFmtId="0" fontId="110" fillId="21" borderId="163" applyNumberFormat="0" applyAlignment="0" applyProtection="0"/>
    <xf numFmtId="0" fontId="73" fillId="37"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62" fillId="27"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7" borderId="140" applyNumberFormat="0" applyAlignment="0" applyProtection="0"/>
    <xf numFmtId="0" fontId="110" fillId="21" borderId="163" applyNumberFormat="0" applyAlignment="0" applyProtection="0"/>
    <xf numFmtId="0" fontId="62" fillId="21" borderId="163" applyNumberFormat="0" applyAlignment="0" applyProtection="0"/>
    <xf numFmtId="0" fontId="116" fillId="36" borderId="140" applyNumberFormat="0" applyAlignment="0" applyProtection="0"/>
    <xf numFmtId="0" fontId="62" fillId="27"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2" fillId="21"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5" fillId="37" borderId="140" applyNumberFormat="0" applyAlignment="0" applyProtection="0"/>
    <xf numFmtId="0" fontId="62" fillId="21" borderId="163" applyNumberFormat="0" applyAlignment="0" applyProtection="0"/>
    <xf numFmtId="0" fontId="107" fillId="36" borderId="163" applyNumberFormat="0" applyAlignment="0" applyProtection="0"/>
    <xf numFmtId="10" fontId="36" fillId="15" borderId="142" applyNumberFormat="0" applyBorder="0" applyAlignment="0" applyProtection="0"/>
    <xf numFmtId="0" fontId="5" fillId="24" borderId="164" applyNumberFormat="0" applyFont="0" applyAlignment="0" applyProtection="0"/>
    <xf numFmtId="0" fontId="12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122" fillId="0" borderId="141" applyNumberFormat="0" applyFill="0" applyAlignment="0" applyProtection="0"/>
    <xf numFmtId="10" fontId="36" fillId="15" borderId="142" applyNumberFormat="0" applyBorder="0" applyAlignment="0" applyProtection="0"/>
    <xf numFmtId="0" fontId="116" fillId="36" borderId="140" applyNumberFormat="0" applyAlignment="0" applyProtection="0"/>
    <xf numFmtId="0" fontId="5" fillId="24" borderId="164" applyNumberFormat="0" applyFont="0" applyAlignment="0" applyProtection="0"/>
    <xf numFmtId="0" fontId="62" fillId="21" borderId="163" applyNumberFormat="0" applyAlignment="0" applyProtection="0"/>
    <xf numFmtId="0" fontId="107" fillId="36"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9" fillId="36" borderId="163" applyNumberFormat="0" applyAlignment="0" applyProtection="0"/>
    <xf numFmtId="0" fontId="5" fillId="24" borderId="164" applyNumberFormat="0" applyFont="0" applyAlignment="0" applyProtection="0"/>
    <xf numFmtId="0" fontId="62" fillId="21" borderId="163" applyNumberFormat="0" applyAlignment="0" applyProtection="0"/>
    <xf numFmtId="0" fontId="6" fillId="24" borderId="164" applyNumberFormat="0" applyFont="0" applyAlignment="0" applyProtection="0"/>
    <xf numFmtId="0" fontId="72" fillId="0" borderId="141" applyNumberFormat="0" applyFill="0" applyAlignment="0" applyProtection="0"/>
    <xf numFmtId="0" fontId="59" fillId="36" borderId="163" applyNumberFormat="0" applyAlignment="0" applyProtection="0"/>
    <xf numFmtId="0" fontId="110" fillId="21"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72" fillId="0" borderId="141" applyNumberFormat="0" applyFill="0" applyAlignment="0" applyProtection="0"/>
    <xf numFmtId="0" fontId="5" fillId="24" borderId="164" applyNumberFormat="0" applyFont="0" applyAlignment="0" applyProtection="0"/>
    <xf numFmtId="0" fontId="62" fillId="21" borderId="163" applyNumberFormat="0" applyAlignment="0" applyProtection="0"/>
    <xf numFmtId="0" fontId="18" fillId="14" borderId="133" applyFill="0" applyBorder="0" applyAlignment="0" applyProtection="0">
      <alignment vertical="center"/>
      <protection locked="0"/>
    </xf>
    <xf numFmtId="0" fontId="5" fillId="24" borderId="164" applyNumberFormat="0" applyFont="0" applyAlignment="0" applyProtection="0"/>
    <xf numFmtId="0" fontId="18" fillId="14" borderId="133" applyFill="0" applyBorder="0" applyAlignment="0" applyProtection="0">
      <alignment vertical="center"/>
      <protection locked="0"/>
    </xf>
    <xf numFmtId="0" fontId="59" fillId="36" borderId="163" applyNumberFormat="0" applyAlignment="0" applyProtection="0"/>
    <xf numFmtId="0" fontId="62" fillId="27" borderId="163" applyNumberFormat="0" applyAlignment="0" applyProtection="0"/>
    <xf numFmtId="0" fontId="116" fillId="36" borderId="140" applyNumberFormat="0" applyAlignment="0" applyProtection="0"/>
    <xf numFmtId="0" fontId="62" fillId="21" borderId="163" applyNumberFormat="0" applyAlignment="0" applyProtection="0"/>
    <xf numFmtId="10" fontId="36" fillId="15" borderId="142" applyNumberFormat="0" applyBorder="0" applyAlignment="0" applyProtection="0"/>
    <xf numFmtId="0" fontId="107" fillId="36" borderId="163" applyNumberFormat="0" applyAlignment="0" applyProtection="0"/>
    <xf numFmtId="0" fontId="5" fillId="24" borderId="164" applyNumberFormat="0" applyFont="0" applyAlignment="0" applyProtection="0"/>
    <xf numFmtId="0" fontId="18" fillId="14" borderId="133" applyFill="0" applyBorder="0" applyAlignment="0" applyProtection="0">
      <alignment vertical="center"/>
      <protection locked="0"/>
    </xf>
    <xf numFmtId="0" fontId="5" fillId="24" borderId="164" applyNumberFormat="0" applyFont="0" applyAlignment="0" applyProtection="0"/>
    <xf numFmtId="0" fontId="62" fillId="2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107" fillId="36" borderId="163" applyNumberFormat="0" applyAlignment="0" applyProtection="0"/>
    <xf numFmtId="0" fontId="65" fillId="36" borderId="140" applyNumberFormat="0" applyAlignment="0" applyProtection="0"/>
    <xf numFmtId="0" fontId="59" fillId="36" borderId="163" applyNumberFormat="0" applyAlignment="0" applyProtection="0"/>
    <xf numFmtId="0" fontId="5" fillId="24" borderId="164" applyNumberFormat="0" applyFont="0" applyAlignment="0" applyProtection="0"/>
    <xf numFmtId="0" fontId="73" fillId="37" borderId="163" applyNumberFormat="0" applyAlignment="0" applyProtection="0"/>
    <xf numFmtId="0" fontId="116" fillId="36" borderId="140" applyNumberFormat="0" applyAlignment="0" applyProtection="0"/>
    <xf numFmtId="0" fontId="6" fillId="24" borderId="164" applyNumberFormat="0" applyFont="0" applyAlignment="0" applyProtection="0"/>
    <xf numFmtId="0" fontId="110" fillId="21" borderId="163" applyNumberFormat="0" applyAlignment="0" applyProtection="0"/>
    <xf numFmtId="0" fontId="107" fillId="36" borderId="163" applyNumberFormat="0" applyAlignment="0" applyProtection="0"/>
    <xf numFmtId="0" fontId="5" fillId="24" borderId="164" applyNumberFormat="0" applyFont="0" applyAlignment="0" applyProtection="0"/>
    <xf numFmtId="0" fontId="36" fillId="0" borderId="133" applyBorder="0">
      <alignment horizontal="left" vertical="center" wrapText="1" indent="3"/>
      <protection locked="0"/>
    </xf>
    <xf numFmtId="0" fontId="5" fillId="24" borderId="164" applyNumberFormat="0" applyFont="0" applyAlignment="0" applyProtection="0"/>
    <xf numFmtId="0" fontId="6" fillId="24" borderId="164" applyNumberFormat="0" applyFont="0" applyAlignment="0" applyProtection="0"/>
    <xf numFmtId="0" fontId="73" fillId="37" borderId="163" applyNumberFormat="0" applyAlignment="0" applyProtection="0"/>
    <xf numFmtId="0" fontId="6" fillId="24" borderId="164" applyNumberFormat="0" applyFont="0" applyAlignment="0" applyProtection="0"/>
    <xf numFmtId="0" fontId="73" fillId="37"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110" fillId="21"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18" fillId="14" borderId="133" applyFill="0" applyBorder="0" applyAlignment="0" applyProtection="0">
      <alignment vertical="center"/>
      <protection locked="0"/>
    </xf>
    <xf numFmtId="0" fontId="5" fillId="24" borderId="164" applyNumberFormat="0" applyFont="0" applyAlignment="0" applyProtection="0"/>
    <xf numFmtId="0" fontId="36" fillId="0" borderId="133" applyBorder="0">
      <alignment horizontal="left" vertical="center" wrapText="1" indent="3"/>
      <protection locked="0"/>
    </xf>
    <xf numFmtId="0" fontId="18" fillId="14" borderId="133" applyFill="0" applyBorder="0" applyAlignment="0" applyProtection="0">
      <alignment vertical="center"/>
      <protection locked="0"/>
    </xf>
    <xf numFmtId="0" fontId="122" fillId="0" borderId="141" applyNumberFormat="0" applyFill="0" applyAlignment="0" applyProtection="0"/>
    <xf numFmtId="0" fontId="5" fillId="24" borderId="164" applyNumberFormat="0" applyFont="0" applyAlignment="0" applyProtection="0"/>
    <xf numFmtId="0" fontId="6" fillId="24" borderId="164" applyNumberFormat="0" applyFont="0" applyAlignment="0" applyProtection="0"/>
    <xf numFmtId="0" fontId="72" fillId="0" borderId="141" applyNumberFormat="0" applyFill="0" applyAlignment="0" applyProtection="0"/>
    <xf numFmtId="0" fontId="36" fillId="0" borderId="133" applyBorder="0">
      <alignment horizontal="left" vertical="center" wrapText="1" indent="2"/>
      <protection locked="0"/>
    </xf>
    <xf numFmtId="0" fontId="59" fillId="36"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36" fillId="0" borderId="133" applyBorder="0">
      <alignment horizontal="left" vertical="center" wrapText="1" indent="3"/>
      <protection locked="0"/>
    </xf>
    <xf numFmtId="0" fontId="116" fillId="36" borderId="140" applyNumberFormat="0" applyAlignment="0" applyProtection="0"/>
    <xf numFmtId="0" fontId="36" fillId="0" borderId="133" applyBorder="0">
      <alignment horizontal="left" vertical="center" wrapText="1" indent="2"/>
      <protection locked="0"/>
    </xf>
    <xf numFmtId="0" fontId="65" fillId="36" borderId="140" applyNumberFormat="0" applyAlignment="0" applyProtection="0"/>
    <xf numFmtId="0" fontId="59" fillId="36" borderId="163" applyNumberFormat="0" applyAlignment="0" applyProtection="0"/>
    <xf numFmtId="0" fontId="72" fillId="0" borderId="141" applyNumberFormat="0" applyFill="0" applyAlignment="0" applyProtection="0"/>
    <xf numFmtId="0" fontId="65" fillId="36" borderId="140" applyNumberFormat="0" applyAlignment="0" applyProtection="0"/>
    <xf numFmtId="0" fontId="116" fillId="36" borderId="140" applyNumberFormat="0" applyAlignment="0" applyProtection="0"/>
    <xf numFmtId="10" fontId="36" fillId="15" borderId="167" applyNumberFormat="0" applyBorder="0" applyAlignment="0" applyProtection="0"/>
    <xf numFmtId="0" fontId="59" fillId="36" borderId="163" applyNumberFormat="0" applyAlignment="0" applyProtection="0"/>
    <xf numFmtId="0" fontId="116" fillId="36" borderId="140" applyNumberFormat="0" applyAlignment="0" applyProtection="0"/>
    <xf numFmtId="0" fontId="73" fillId="37" borderId="163" applyNumberFormat="0" applyAlignment="0" applyProtection="0"/>
    <xf numFmtId="0" fontId="110" fillId="21" borderId="163" applyNumberFormat="0" applyAlignment="0" applyProtection="0"/>
    <xf numFmtId="0" fontId="65" fillId="37" borderId="140" applyNumberFormat="0" applyAlignment="0" applyProtection="0"/>
    <xf numFmtId="0" fontId="65" fillId="37" borderId="140" applyNumberFormat="0" applyAlignment="0" applyProtection="0"/>
    <xf numFmtId="0" fontId="5" fillId="24" borderId="164" applyNumberFormat="0" applyFont="0" applyAlignment="0" applyProtection="0"/>
    <xf numFmtId="0" fontId="62" fillId="21" borderId="163" applyNumberFormat="0" applyAlignment="0" applyProtection="0"/>
    <xf numFmtId="0" fontId="65" fillId="36" borderId="140" applyNumberFormat="0" applyAlignment="0" applyProtection="0"/>
    <xf numFmtId="0" fontId="116" fillId="36" borderId="140" applyNumberFormat="0" applyAlignment="0" applyProtection="0"/>
    <xf numFmtId="0" fontId="72" fillId="0" borderId="141" applyNumberFormat="0" applyFill="0" applyAlignment="0" applyProtection="0"/>
    <xf numFmtId="0" fontId="6" fillId="24" borderId="164" applyNumberFormat="0" applyFont="0" applyAlignment="0" applyProtection="0"/>
    <xf numFmtId="0" fontId="5" fillId="24" borderId="164" applyNumberFormat="0" applyFont="0" applyAlignment="0" applyProtection="0"/>
    <xf numFmtId="0" fontId="36" fillId="0" borderId="133" applyBorder="0">
      <alignment horizontal="left" vertical="center" wrapText="1" indent="3"/>
      <protection locked="0"/>
    </xf>
    <xf numFmtId="0" fontId="62" fillId="21" borderId="163" applyNumberFormat="0" applyAlignment="0" applyProtection="0"/>
    <xf numFmtId="0" fontId="62" fillId="21"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5" fillId="24" borderId="164" applyNumberFormat="0" applyFont="0" applyAlignment="0" applyProtection="0"/>
    <xf numFmtId="0" fontId="36" fillId="0" borderId="133" applyBorder="0">
      <alignment horizontal="left" vertical="center" wrapText="1" indent="3"/>
      <protection locked="0"/>
    </xf>
    <xf numFmtId="0" fontId="5" fillId="24" borderId="164" applyNumberFormat="0" applyFont="0" applyAlignment="0" applyProtection="0"/>
    <xf numFmtId="0" fontId="5" fillId="24" borderId="164" applyNumberFormat="0" applyFont="0" applyAlignment="0" applyProtection="0"/>
    <xf numFmtId="0" fontId="36" fillId="0" borderId="133" applyBorder="0">
      <alignment horizontal="left" vertical="center" wrapText="1" indent="2"/>
      <protection locked="0"/>
    </xf>
    <xf numFmtId="0" fontId="62" fillId="27" borderId="163" applyNumberFormat="0" applyAlignment="0" applyProtection="0"/>
    <xf numFmtId="0" fontId="72" fillId="0" borderId="141" applyNumberFormat="0" applyFill="0" applyAlignment="0" applyProtection="0"/>
    <xf numFmtId="0" fontId="6" fillId="24" borderId="164" applyNumberFormat="0" applyFont="0" applyAlignment="0" applyProtection="0"/>
    <xf numFmtId="0" fontId="122" fillId="0" borderId="141" applyNumberFormat="0" applyFill="0" applyAlignment="0" applyProtection="0"/>
    <xf numFmtId="0" fontId="72" fillId="0" borderId="141" applyNumberFormat="0" applyFill="0" applyAlignment="0" applyProtection="0"/>
    <xf numFmtId="10" fontId="36" fillId="15" borderId="142" applyNumberFormat="0" applyBorder="0" applyAlignment="0" applyProtection="0"/>
    <xf numFmtId="0" fontId="5" fillId="24" borderId="164" applyNumberFormat="0" applyFont="0" applyAlignment="0" applyProtection="0"/>
    <xf numFmtId="0" fontId="73" fillId="37" borderId="163" applyNumberFormat="0" applyAlignment="0" applyProtection="0"/>
    <xf numFmtId="0" fontId="59" fillId="36" borderId="163" applyNumberFormat="0" applyAlignment="0" applyProtection="0"/>
    <xf numFmtId="0" fontId="110" fillId="21" borderId="163" applyNumberFormat="0" applyAlignment="0" applyProtection="0"/>
    <xf numFmtId="0" fontId="73" fillId="37" borderId="163" applyNumberFormat="0" applyAlignment="0" applyProtection="0"/>
    <xf numFmtId="0" fontId="65" fillId="37" borderId="140" applyNumberFormat="0" applyAlignment="0" applyProtection="0"/>
    <xf numFmtId="0" fontId="5" fillId="24" borderId="164" applyNumberFormat="0" applyFont="0" applyAlignment="0" applyProtection="0"/>
    <xf numFmtId="10" fontId="36" fillId="15" borderId="142" applyNumberFormat="0" applyBorder="0" applyAlignment="0" applyProtection="0"/>
    <xf numFmtId="0" fontId="107" fillId="36" borderId="163" applyNumberFormat="0" applyAlignment="0" applyProtection="0"/>
    <xf numFmtId="0" fontId="6" fillId="24" borderId="164" applyNumberFormat="0" applyFont="0" applyAlignment="0" applyProtection="0"/>
    <xf numFmtId="0" fontId="72" fillId="0" borderId="141" applyNumberFormat="0" applyFill="0" applyAlignment="0" applyProtection="0"/>
    <xf numFmtId="0" fontId="5" fillId="24" borderId="164" applyNumberFormat="0" applyFont="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18" fillId="14" borderId="133" applyFill="0" applyBorder="0" applyAlignment="0" applyProtection="0">
      <alignment vertical="center"/>
      <protection locked="0"/>
    </xf>
    <xf numFmtId="0" fontId="59" fillId="36" borderId="163" applyNumberFormat="0" applyAlignment="0" applyProtection="0"/>
    <xf numFmtId="0" fontId="36" fillId="0" borderId="133" applyBorder="0">
      <alignment horizontal="left" vertical="center" wrapText="1" indent="2"/>
      <protection locked="0"/>
    </xf>
    <xf numFmtId="0" fontId="5" fillId="24" borderId="164" applyNumberFormat="0" applyFont="0" applyAlignment="0" applyProtection="0"/>
    <xf numFmtId="0" fontId="5" fillId="24" borderId="164" applyNumberFormat="0" applyFont="0" applyAlignment="0" applyProtection="0"/>
    <xf numFmtId="0" fontId="36" fillId="0" borderId="133" applyBorder="0">
      <alignment horizontal="left" vertical="center" wrapText="1" indent="3"/>
      <protection locked="0"/>
    </xf>
    <xf numFmtId="0" fontId="122" fillId="0" borderId="141" applyNumberFormat="0" applyFill="0" applyAlignment="0" applyProtection="0"/>
    <xf numFmtId="0" fontId="110" fillId="21" borderId="163" applyNumberFormat="0" applyAlignment="0" applyProtection="0"/>
    <xf numFmtId="0" fontId="122" fillId="0" borderId="141" applyNumberFormat="0" applyFill="0" applyAlignment="0" applyProtection="0"/>
    <xf numFmtId="0" fontId="62" fillId="21" borderId="163" applyNumberFormat="0" applyAlignment="0" applyProtection="0"/>
    <xf numFmtId="0" fontId="62" fillId="27" borderId="163" applyNumberFormat="0" applyAlignment="0" applyProtection="0"/>
    <xf numFmtId="10" fontId="36" fillId="15" borderId="142" applyNumberFormat="0" applyBorder="0" applyAlignment="0" applyProtection="0"/>
    <xf numFmtId="0" fontId="18" fillId="14" borderId="133" applyFill="0" applyBorder="0" applyAlignment="0" applyProtection="0">
      <alignment vertical="center"/>
      <protection locked="0"/>
    </xf>
    <xf numFmtId="0" fontId="116" fillId="36" borderId="140"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36" fillId="0" borderId="133" applyBorder="0">
      <alignment horizontal="left" vertical="center" wrapText="1" indent="3"/>
      <protection locked="0"/>
    </xf>
    <xf numFmtId="0" fontId="62" fillId="21" borderId="163" applyNumberFormat="0" applyAlignment="0" applyProtection="0"/>
    <xf numFmtId="0" fontId="36" fillId="0" borderId="133" applyBorder="0">
      <alignment horizontal="left" vertical="center" wrapText="1" indent="3"/>
      <protection locked="0"/>
    </xf>
    <xf numFmtId="0" fontId="18" fillId="14" borderId="133" applyFill="0" applyBorder="0" applyAlignment="0" applyProtection="0">
      <alignment vertical="center"/>
      <protection locked="0"/>
    </xf>
    <xf numFmtId="0" fontId="36" fillId="0" borderId="133" applyBorder="0">
      <alignment horizontal="left" vertical="center" wrapText="1" indent="3"/>
      <protection locked="0"/>
    </xf>
    <xf numFmtId="0" fontId="36" fillId="0" borderId="133" applyBorder="0">
      <alignment horizontal="left" vertical="center" wrapText="1" indent="2"/>
      <protection locked="0"/>
    </xf>
    <xf numFmtId="10" fontId="36" fillId="15" borderId="142" applyNumberFormat="0" applyBorder="0" applyAlignment="0" applyProtection="0"/>
    <xf numFmtId="0" fontId="18" fillId="14" borderId="133" applyFill="0" applyBorder="0" applyAlignment="0" applyProtection="0">
      <alignment vertical="center"/>
      <protection locked="0"/>
    </xf>
    <xf numFmtId="0" fontId="122" fillId="0" borderId="141" applyNumberFormat="0" applyFill="0" applyAlignment="0" applyProtection="0"/>
    <xf numFmtId="0" fontId="116" fillId="36"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5" fillId="24" borderId="164" applyNumberFormat="0" applyFont="0" applyAlignment="0" applyProtection="0"/>
    <xf numFmtId="0" fontId="65" fillId="37" borderId="140" applyNumberFormat="0" applyAlignment="0" applyProtection="0"/>
    <xf numFmtId="0" fontId="5" fillId="24" borderId="164" applyNumberFormat="0" applyFont="0" applyAlignment="0" applyProtection="0"/>
    <xf numFmtId="0" fontId="110" fillId="21"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62" fillId="21"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73" fillId="37" borderId="163" applyNumberFormat="0" applyAlignment="0" applyProtection="0"/>
    <xf numFmtId="0" fontId="116" fillId="36"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9" fillId="36" borderId="163" applyNumberFormat="0" applyAlignment="0" applyProtection="0"/>
    <xf numFmtId="0" fontId="65" fillId="37" borderId="140" applyNumberFormat="0" applyAlignment="0" applyProtection="0"/>
    <xf numFmtId="0" fontId="107" fillId="36" borderId="163" applyNumberFormat="0" applyAlignment="0" applyProtection="0"/>
    <xf numFmtId="0" fontId="5" fillId="24" borderId="164" applyNumberFormat="0" applyFont="0" applyAlignment="0" applyProtection="0"/>
    <xf numFmtId="0" fontId="65" fillId="36" borderId="140" applyNumberFormat="0" applyAlignment="0" applyProtection="0"/>
    <xf numFmtId="0" fontId="107"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107" fillId="36"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62" fillId="27" borderId="163" applyNumberFormat="0" applyAlignment="0" applyProtection="0"/>
    <xf numFmtId="0" fontId="62" fillId="21"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65" fillId="36" borderId="140" applyNumberFormat="0" applyAlignment="0" applyProtection="0"/>
    <xf numFmtId="0" fontId="62" fillId="21" borderId="163" applyNumberFormat="0" applyAlignment="0" applyProtection="0"/>
    <xf numFmtId="0" fontId="59" fillId="36" borderId="163" applyNumberFormat="0" applyAlignment="0" applyProtection="0"/>
    <xf numFmtId="0" fontId="122" fillId="0" borderId="141" applyNumberFormat="0" applyFill="0" applyAlignment="0" applyProtection="0"/>
    <xf numFmtId="0" fontId="5" fillId="24" borderId="164" applyNumberFormat="0" applyFont="0" applyAlignment="0" applyProtection="0"/>
    <xf numFmtId="0" fontId="122" fillId="0" borderId="141" applyNumberFormat="0" applyFill="0" applyAlignment="0" applyProtection="0"/>
    <xf numFmtId="0" fontId="5" fillId="24" borderId="164" applyNumberFormat="0" applyFont="0" applyAlignment="0" applyProtection="0"/>
    <xf numFmtId="0" fontId="72" fillId="0" borderId="141" applyNumberFormat="0" applyFill="0" applyAlignment="0" applyProtection="0"/>
    <xf numFmtId="0" fontId="122" fillId="0" borderId="141" applyNumberFormat="0" applyFill="0" applyAlignment="0" applyProtection="0"/>
    <xf numFmtId="0" fontId="59" fillId="36"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59" fillId="36" borderId="163"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72" fillId="0" borderId="141" applyNumberFormat="0" applyFill="0" applyAlignment="0" applyProtection="0"/>
    <xf numFmtId="0" fontId="5" fillId="24" borderId="164" applyNumberFormat="0" applyFont="0" applyAlignment="0" applyProtection="0"/>
    <xf numFmtId="0" fontId="72" fillId="0" borderId="141" applyNumberFormat="0" applyFill="0" applyAlignment="0" applyProtection="0"/>
    <xf numFmtId="0" fontId="59" fillId="36" borderId="163" applyNumberFormat="0" applyAlignment="0" applyProtection="0"/>
    <xf numFmtId="0" fontId="62" fillId="21" borderId="163" applyNumberFormat="0" applyAlignment="0" applyProtection="0"/>
    <xf numFmtId="0" fontId="65" fillId="37" borderId="140" applyNumberFormat="0" applyAlignment="0" applyProtection="0"/>
    <xf numFmtId="0" fontId="65" fillId="36" borderId="140" applyNumberFormat="0" applyAlignment="0" applyProtection="0"/>
    <xf numFmtId="0" fontId="65" fillId="37" borderId="140" applyNumberFormat="0" applyAlignment="0" applyProtection="0"/>
    <xf numFmtId="0" fontId="107" fillId="36" borderId="163" applyNumberFormat="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73" fillId="37" borderId="163" applyNumberFormat="0" applyAlignment="0" applyProtection="0"/>
    <xf numFmtId="10" fontId="36" fillId="15" borderId="167" applyNumberFormat="0" applyBorder="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36" fillId="0" borderId="169" applyBorder="0">
      <alignment horizontal="left" vertical="center" wrapText="1" indent="3"/>
      <protection locked="0"/>
    </xf>
    <xf numFmtId="0" fontId="110" fillId="21" borderId="163" applyNumberFormat="0" applyAlignment="0" applyProtection="0"/>
    <xf numFmtId="0" fontId="36" fillId="0" borderId="169" applyBorder="0">
      <alignment horizontal="left" vertical="center" wrapText="1" indent="3"/>
      <protection locked="0"/>
    </xf>
    <xf numFmtId="0" fontId="62" fillId="21" borderId="163" applyNumberFormat="0" applyAlignment="0" applyProtection="0"/>
    <xf numFmtId="10" fontId="36" fillId="15" borderId="167" applyNumberFormat="0" applyBorder="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107" fillId="36" borderId="163" applyNumberFormat="0" applyAlignment="0" applyProtection="0"/>
    <xf numFmtId="0" fontId="59" fillId="36" borderId="163" applyNumberFormat="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36" fillId="0" borderId="133" applyBorder="0">
      <alignment horizontal="left" vertical="center" wrapText="1" indent="3"/>
      <protection locked="0"/>
    </xf>
    <xf numFmtId="0" fontId="5" fillId="24" borderId="164" applyNumberFormat="0" applyFont="0" applyAlignment="0" applyProtection="0"/>
    <xf numFmtId="0" fontId="72" fillId="0" borderId="141" applyNumberFormat="0" applyFill="0" applyAlignment="0" applyProtection="0"/>
    <xf numFmtId="0" fontId="107" fillId="36" borderId="163" applyNumberFormat="0" applyAlignment="0" applyProtection="0"/>
    <xf numFmtId="0" fontId="5" fillId="24" borderId="164" applyNumberFormat="0" applyFont="0" applyAlignment="0" applyProtection="0"/>
    <xf numFmtId="0" fontId="36" fillId="0" borderId="169" applyBorder="0">
      <alignment horizontal="left" vertical="center" wrapText="1" indent="3"/>
      <protection locked="0"/>
    </xf>
    <xf numFmtId="0" fontId="36" fillId="0" borderId="169" applyBorder="0">
      <alignment horizontal="left" vertical="center" wrapText="1" indent="2"/>
      <protection locked="0"/>
    </xf>
    <xf numFmtId="10" fontId="36" fillId="15" borderId="167" applyNumberFormat="0" applyBorder="0" applyAlignment="0" applyProtection="0"/>
    <xf numFmtId="0" fontId="62" fillId="21" borderId="163" applyNumberFormat="0" applyAlignment="0" applyProtection="0"/>
    <xf numFmtId="0" fontId="36" fillId="0" borderId="169" applyBorder="0">
      <alignment horizontal="left" vertical="center" wrapText="1" indent="2"/>
      <protection locked="0"/>
    </xf>
    <xf numFmtId="0" fontId="36" fillId="0" borderId="133" applyBorder="0">
      <alignment horizontal="left" vertical="center" wrapText="1" indent="2"/>
      <protection locked="0"/>
    </xf>
    <xf numFmtId="0" fontId="5" fillId="24" borderId="164" applyNumberFormat="0" applyFont="0" applyAlignment="0" applyProtection="0"/>
    <xf numFmtId="0" fontId="5" fillId="24" borderId="164" applyNumberFormat="0" applyFont="0" applyAlignment="0" applyProtection="0"/>
    <xf numFmtId="0" fontId="36" fillId="0" borderId="169" applyBorder="0">
      <alignment horizontal="left" vertical="center" wrapText="1" indent="3"/>
      <protection locked="0"/>
    </xf>
    <xf numFmtId="0" fontId="5" fillId="24" borderId="164" applyNumberFormat="0" applyFont="0" applyAlignment="0" applyProtection="0"/>
    <xf numFmtId="0" fontId="107" fillId="36" borderId="163" applyNumberFormat="0" applyAlignment="0" applyProtection="0"/>
    <xf numFmtId="0" fontId="18" fillId="14" borderId="169" applyFill="0" applyBorder="0" applyAlignment="0" applyProtection="0">
      <alignment vertical="center"/>
      <protection locked="0"/>
    </xf>
    <xf numFmtId="0" fontId="5" fillId="24" borderId="164" applyNumberFormat="0" applyFont="0" applyAlignment="0" applyProtection="0"/>
    <xf numFmtId="0" fontId="116" fillId="36" borderId="140" applyNumberFormat="0" applyAlignment="0" applyProtection="0"/>
    <xf numFmtId="0" fontId="62" fillId="21" borderId="163" applyNumberFormat="0" applyAlignment="0" applyProtection="0"/>
    <xf numFmtId="0" fontId="65" fillId="37" borderId="140" applyNumberFormat="0" applyAlignment="0" applyProtection="0"/>
    <xf numFmtId="0" fontId="110" fillId="21" borderId="163" applyNumberFormat="0" applyAlignment="0" applyProtection="0"/>
    <xf numFmtId="0" fontId="18" fillId="14" borderId="169" applyFill="0" applyBorder="0" applyAlignment="0" applyProtection="0">
      <alignment vertical="center"/>
      <protection locked="0"/>
    </xf>
    <xf numFmtId="0" fontId="36" fillId="0" borderId="169" applyBorder="0">
      <alignment horizontal="left" vertical="center" wrapText="1" indent="2"/>
      <protection locked="0"/>
    </xf>
    <xf numFmtId="0" fontId="5" fillId="24" borderId="164" applyNumberFormat="0" applyFont="0" applyAlignment="0" applyProtection="0"/>
    <xf numFmtId="0" fontId="62" fillId="27" borderId="163" applyNumberFormat="0" applyAlignment="0" applyProtection="0"/>
    <xf numFmtId="0" fontId="110" fillId="21"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5" fillId="24" borderId="164" applyNumberFormat="0" applyFont="0" applyAlignment="0" applyProtection="0"/>
    <xf numFmtId="0" fontId="62" fillId="27" borderId="163" applyNumberFormat="0" applyAlignment="0" applyProtection="0"/>
    <xf numFmtId="0" fontId="36" fillId="0" borderId="169" applyBorder="0">
      <alignment horizontal="left" vertical="center" wrapText="1" indent="3"/>
      <protection locked="0"/>
    </xf>
    <xf numFmtId="0" fontId="62" fillId="27" borderId="163" applyNumberFormat="0" applyAlignment="0" applyProtection="0"/>
    <xf numFmtId="0" fontId="5" fillId="24" borderId="164" applyNumberFormat="0" applyFont="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36" fillId="0" borderId="169" applyBorder="0">
      <alignment horizontal="left" vertical="center" wrapText="1" indent="2"/>
      <protection locked="0"/>
    </xf>
    <xf numFmtId="0" fontId="5" fillId="24" borderId="164" applyNumberFormat="0" applyFont="0" applyAlignment="0" applyProtection="0"/>
    <xf numFmtId="10" fontId="36" fillId="15" borderId="167" applyNumberFormat="0" applyBorder="0" applyAlignment="0" applyProtection="0"/>
    <xf numFmtId="0" fontId="18" fillId="14" borderId="169" applyFill="0" applyBorder="0" applyAlignment="0" applyProtection="0">
      <alignment vertical="center"/>
      <protection locked="0"/>
    </xf>
    <xf numFmtId="10" fontId="36" fillId="15" borderId="142" applyNumberFormat="0" applyBorder="0" applyAlignment="0" applyProtection="0"/>
    <xf numFmtId="0" fontId="72" fillId="0" borderId="141" applyNumberFormat="0" applyFill="0" applyAlignment="0" applyProtection="0"/>
    <xf numFmtId="0" fontId="5" fillId="24" borderId="164" applyNumberFormat="0" applyFont="0" applyAlignment="0" applyProtection="0"/>
    <xf numFmtId="0" fontId="59" fillId="36" borderId="163" applyNumberFormat="0" applyAlignment="0" applyProtection="0"/>
    <xf numFmtId="0" fontId="36" fillId="0" borderId="169" applyBorder="0">
      <alignment horizontal="left" vertical="center" wrapText="1" indent="2"/>
      <protection locked="0"/>
    </xf>
    <xf numFmtId="10" fontId="36" fillId="15" borderId="167" applyNumberFormat="0" applyBorder="0" applyAlignment="0" applyProtection="0"/>
    <xf numFmtId="0" fontId="18" fillId="14" borderId="169" applyFill="0" applyBorder="0" applyAlignment="0" applyProtection="0">
      <alignment vertical="center"/>
      <protection locked="0"/>
    </xf>
    <xf numFmtId="0" fontId="116" fillId="36" borderId="140" applyNumberFormat="0" applyAlignment="0" applyProtection="0"/>
    <xf numFmtId="0" fontId="65" fillId="36" borderId="140" applyNumberFormat="0" applyAlignment="0" applyProtection="0"/>
    <xf numFmtId="0" fontId="122" fillId="0" borderId="141" applyNumberFormat="0" applyFill="0" applyAlignment="0" applyProtection="0"/>
    <xf numFmtId="10" fontId="36" fillId="15" borderId="167" applyNumberFormat="0" applyBorder="0" applyAlignment="0" applyProtection="0"/>
    <xf numFmtId="0" fontId="5" fillId="24" borderId="164" applyNumberFormat="0" applyFon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65" fillId="36" borderId="140" applyNumberFormat="0" applyAlignment="0" applyProtection="0"/>
    <xf numFmtId="0" fontId="5" fillId="24" borderId="164" applyNumberFormat="0" applyFont="0" applyAlignment="0" applyProtection="0"/>
    <xf numFmtId="0" fontId="36" fillId="0" borderId="169" applyBorder="0">
      <alignment horizontal="left" vertical="center" wrapText="1" indent="3"/>
      <protection locked="0"/>
    </xf>
    <xf numFmtId="0" fontId="65" fillId="37" borderId="140" applyNumberFormat="0" applyAlignment="0" applyProtection="0"/>
    <xf numFmtId="0" fontId="5" fillId="24" borderId="164" applyNumberFormat="0" applyFont="0" applyAlignment="0" applyProtection="0"/>
    <xf numFmtId="10" fontId="36" fillId="15" borderId="167" applyNumberFormat="0" applyBorder="0" applyAlignment="0" applyProtection="0"/>
    <xf numFmtId="0" fontId="5" fillId="24" borderId="164" applyNumberFormat="0" applyFon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122" fillId="0" borderId="141" applyNumberFormat="0" applyFill="0" applyAlignment="0" applyProtection="0"/>
    <xf numFmtId="0" fontId="5" fillId="24" borderId="164" applyNumberFormat="0" applyFont="0" applyAlignment="0" applyProtection="0"/>
    <xf numFmtId="0" fontId="36" fillId="0" borderId="169" applyBorder="0">
      <alignment horizontal="left" vertical="center" wrapText="1" indent="3"/>
      <protection locked="0"/>
    </xf>
    <xf numFmtId="0" fontId="36" fillId="0" borderId="169" applyBorder="0">
      <alignment horizontal="left" vertical="center" wrapText="1" indent="3"/>
      <protection locked="0"/>
    </xf>
    <xf numFmtId="0" fontId="6" fillId="24" borderId="164" applyNumberFormat="0" applyFont="0" applyAlignment="0" applyProtection="0"/>
    <xf numFmtId="0" fontId="65" fillId="36" borderId="140" applyNumberFormat="0" applyAlignment="0" applyProtection="0"/>
    <xf numFmtId="10" fontId="36" fillId="15" borderId="167" applyNumberFormat="0" applyBorder="0" applyAlignment="0" applyProtection="0"/>
    <xf numFmtId="0" fontId="5" fillId="24" borderId="164" applyNumberFormat="0" applyFont="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72" fillId="0" borderId="141" applyNumberFormat="0" applyFill="0" applyAlignment="0" applyProtection="0"/>
    <xf numFmtId="0" fontId="5" fillId="24" borderId="164" applyNumberFormat="0" applyFont="0" applyAlignment="0" applyProtection="0"/>
    <xf numFmtId="0" fontId="36" fillId="0" borderId="169" applyBorder="0">
      <alignment horizontal="left" vertical="center" wrapText="1" indent="3"/>
      <protection locked="0"/>
    </xf>
    <xf numFmtId="0" fontId="62" fillId="27" borderId="163" applyNumberFormat="0" applyAlignment="0" applyProtection="0"/>
    <xf numFmtId="10" fontId="36" fillId="15" borderId="142" applyNumberFormat="0" applyBorder="0" applyAlignment="0" applyProtection="0"/>
    <xf numFmtId="10" fontId="36" fillId="15" borderId="167" applyNumberFormat="0" applyBorder="0" applyAlignment="0" applyProtection="0"/>
    <xf numFmtId="0" fontId="72" fillId="0" borderId="141" applyNumberFormat="0" applyFill="0" applyAlignment="0" applyProtection="0"/>
    <xf numFmtId="0" fontId="36" fillId="0" borderId="169" applyBorder="0">
      <alignment horizontal="left" vertical="center" wrapText="1" indent="2"/>
      <protection locked="0"/>
    </xf>
    <xf numFmtId="0" fontId="18" fillId="14" borderId="169" applyFill="0" applyBorder="0" applyAlignment="0" applyProtection="0">
      <alignment vertical="center"/>
      <protection locked="0"/>
    </xf>
    <xf numFmtId="0" fontId="5" fillId="24" borderId="164" applyNumberFormat="0" applyFont="0" applyAlignment="0" applyProtection="0"/>
    <xf numFmtId="0" fontId="116" fillId="36" borderId="140" applyNumberFormat="0" applyAlignment="0" applyProtection="0"/>
    <xf numFmtId="0" fontId="36" fillId="0" borderId="169" applyBorder="0">
      <alignment horizontal="left" vertical="center" wrapText="1" indent="3"/>
      <protection locked="0"/>
    </xf>
    <xf numFmtId="10" fontId="36" fillId="15" borderId="167" applyNumberFormat="0" applyBorder="0" applyAlignment="0" applyProtection="0"/>
    <xf numFmtId="43" fontId="1" fillId="0" borderId="0" applyFont="0" applyFill="0" applyBorder="0" applyAlignment="0" applyProtection="0"/>
    <xf numFmtId="166"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65" borderId="1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36"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43" fontId="5"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59" fillId="36" borderId="163" applyNumberFormat="0" applyAlignment="0" applyProtection="0"/>
    <xf numFmtId="0" fontId="73" fillId="37" borderId="163" applyNumberFormat="0" applyAlignment="0" applyProtection="0"/>
    <xf numFmtId="0" fontId="62" fillId="27"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5" fillId="36"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65" fillId="36" borderId="140"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116" fillId="36" borderId="140" applyNumberFormat="0" applyAlignment="0" applyProtection="0"/>
    <xf numFmtId="0" fontId="12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 fillId="24" borderId="164" applyNumberFormat="0" applyFont="0" applyAlignment="0" applyProtection="0"/>
    <xf numFmtId="0" fontId="72" fillId="0" borderId="141" applyNumberFormat="0" applyFill="0" applyAlignment="0" applyProtection="0"/>
    <xf numFmtId="0" fontId="6"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116" fillId="36" borderId="140" applyNumberFormat="0" applyAlignment="0" applyProtection="0"/>
    <xf numFmtId="43" fontId="5" fillId="0" borderId="0" applyFont="0" applyFill="0" applyBorder="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9" fontId="115" fillId="0" borderId="0" applyFont="0" applyFill="0" applyBorder="0" applyAlignment="0" applyProtection="0"/>
    <xf numFmtId="43" fontId="5" fillId="0" borderId="0" applyFont="0" applyFill="0" applyBorder="0" applyAlignment="0" applyProtection="0"/>
    <xf numFmtId="0" fontId="116" fillId="36" borderId="140" applyNumberFormat="0" applyAlignment="0" applyProtection="0"/>
    <xf numFmtId="0" fontId="65" fillId="36" borderId="140" applyNumberFormat="0" applyAlignment="0" applyProtection="0"/>
    <xf numFmtId="0" fontId="116" fillId="36" borderId="140" applyNumberFormat="0" applyAlignment="0" applyProtection="0"/>
    <xf numFmtId="0" fontId="122" fillId="0" borderId="141" applyNumberFormat="0" applyFill="0" applyAlignment="0" applyProtection="0"/>
    <xf numFmtId="0" fontId="116" fillId="36" borderId="140" applyNumberFormat="0" applyAlignment="0" applyProtection="0"/>
    <xf numFmtId="0" fontId="65"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72" fillId="0" borderId="141" applyNumberFormat="0" applyFill="0" applyAlignment="0" applyProtection="0"/>
    <xf numFmtId="0" fontId="65" fillId="37"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65" fillId="36" borderId="14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7" borderId="140" applyNumberFormat="0" applyAlignment="0" applyProtection="0"/>
    <xf numFmtId="0" fontId="65" fillId="37" borderId="140" applyNumberFormat="0" applyAlignment="0" applyProtection="0"/>
    <xf numFmtId="43" fontId="35" fillId="0" borderId="0" applyFont="0" applyFill="0" applyBorder="0" applyAlignment="0" applyProtection="0"/>
    <xf numFmtId="9" fontId="6"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65" fillId="37" borderId="140" applyNumberFormat="0" applyAlignment="0" applyProtection="0"/>
    <xf numFmtId="0" fontId="65" fillId="36" borderId="140" applyNumberFormat="0" applyAlignment="0" applyProtection="0"/>
    <xf numFmtId="0" fontId="65" fillId="37" borderId="140" applyNumberForma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40" applyNumberFormat="0" applyAlignment="0" applyProtection="0"/>
    <xf numFmtId="0" fontId="122" fillId="0" borderId="141" applyNumberFormat="0" applyFill="0" applyAlignment="0" applyProtection="0"/>
    <xf numFmtId="0" fontId="65" fillId="36"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5" fillId="36" borderId="140" applyNumberFormat="0" applyAlignment="0" applyProtection="0"/>
    <xf numFmtId="43" fontId="35" fillId="0" borderId="0" applyFont="0" applyFill="0" applyBorder="0" applyAlignment="0" applyProtection="0"/>
    <xf numFmtId="0" fontId="65" fillId="37" borderId="140" applyNumberFormat="0" applyAlignment="0" applyProtection="0"/>
    <xf numFmtId="0" fontId="65" fillId="36" borderId="140" applyNumberFormat="0" applyAlignment="0" applyProtection="0"/>
    <xf numFmtId="43" fontId="6" fillId="0" borderId="0" applyFont="0" applyFill="0" applyBorder="0" applyAlignment="0" applyProtection="0"/>
    <xf numFmtId="0" fontId="107" fillId="36" borderId="163" applyNumberFormat="0" applyAlignment="0" applyProtection="0"/>
    <xf numFmtId="0" fontId="110" fillId="21"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116" fillId="36" borderId="140" applyNumberFormat="0" applyAlignment="0" applyProtection="0"/>
    <xf numFmtId="0" fontId="65" fillId="36" borderId="140" applyNumberFormat="0" applyAlignment="0" applyProtection="0"/>
    <xf numFmtId="0" fontId="122" fillId="0" borderId="141" applyNumberFormat="0" applyFill="0" applyAlignment="0" applyProtection="0"/>
    <xf numFmtId="0" fontId="72" fillId="0" borderId="141" applyNumberFormat="0" applyFill="0" applyAlignment="0" applyProtection="0"/>
    <xf numFmtId="0" fontId="122" fillId="0" borderId="141" applyNumberFormat="0" applyFill="0" applyAlignment="0" applyProtection="0"/>
    <xf numFmtId="0" fontId="5" fillId="24" borderId="164" applyNumberFormat="0" applyFont="0" applyAlignment="0" applyProtection="0"/>
    <xf numFmtId="0" fontId="65" fillId="36" borderId="140" applyNumberFormat="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167" fontId="49" fillId="0" borderId="0" applyFont="0" applyFill="0" applyBorder="0" applyAlignment="0" applyProtection="0"/>
    <xf numFmtId="0" fontId="65" fillId="37" borderId="140" applyNumberFormat="0" applyAlignment="0" applyProtection="0"/>
    <xf numFmtId="0" fontId="122" fillId="0" borderId="141" applyNumberFormat="0" applyFill="0" applyAlignment="0" applyProtection="0"/>
    <xf numFmtId="0" fontId="116" fillId="36" borderId="140" applyNumberFormat="0" applyAlignment="0" applyProtection="0"/>
    <xf numFmtId="0" fontId="116" fillId="36" borderId="140" applyNumberFormat="0" applyAlignment="0" applyProtection="0"/>
    <xf numFmtId="0" fontId="116"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65" fillId="37" borderId="140" applyNumberFormat="0" applyAlignment="0" applyProtection="0"/>
    <xf numFmtId="0" fontId="72" fillId="0" borderId="141" applyNumberFormat="0" applyFill="0" applyAlignment="0" applyProtection="0"/>
    <xf numFmtId="0" fontId="72" fillId="0" borderId="141" applyNumberFormat="0" applyFill="0" applyAlignment="0" applyProtection="0"/>
    <xf numFmtId="0" fontId="122" fillId="0" borderId="141" applyNumberFormat="0" applyFill="0" applyAlignment="0" applyProtection="0"/>
    <xf numFmtId="0" fontId="65" fillId="36" borderId="140" applyNumberFormat="0" applyAlignment="0" applyProtection="0"/>
    <xf numFmtId="0" fontId="65"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122" fillId="0" borderId="141" applyNumberFormat="0" applyFill="0" applyAlignment="0" applyProtection="0"/>
    <xf numFmtId="0" fontId="65" fillId="37" borderId="140" applyNumberFormat="0" applyAlignment="0" applyProtection="0"/>
    <xf numFmtId="9" fontId="6" fillId="0" borderId="0" applyFont="0" applyFill="0" applyBorder="0" applyAlignment="0" applyProtection="0"/>
    <xf numFmtId="0" fontId="65" fillId="36"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65" fillId="37" borderId="140" applyNumberFormat="0" applyAlignment="0" applyProtection="0"/>
    <xf numFmtId="0" fontId="5" fillId="0" borderId="0"/>
    <xf numFmtId="0" fontId="72" fillId="0" borderId="141" applyNumberFormat="0" applyFill="0" applyAlignment="0" applyProtection="0"/>
    <xf numFmtId="0" fontId="116" fillId="36" borderId="140" applyNumberFormat="0" applyAlignment="0" applyProtection="0"/>
    <xf numFmtId="0" fontId="65"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116" fillId="36" borderId="140" applyNumberFormat="0" applyAlignment="0" applyProtection="0"/>
    <xf numFmtId="0" fontId="122" fillId="0" borderId="141" applyNumberFormat="0" applyFill="0" applyAlignment="0" applyProtection="0"/>
    <xf numFmtId="0" fontId="122" fillId="0" borderId="141" applyNumberFormat="0" applyFill="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5" fillId="37" borderId="140" applyNumberFormat="0" applyAlignment="0" applyProtection="0"/>
    <xf numFmtId="0" fontId="65" fillId="36" borderId="140" applyNumberFormat="0" applyAlignment="0" applyProtection="0"/>
    <xf numFmtId="0" fontId="5" fillId="24" borderId="164" applyNumberFormat="0" applyFont="0" applyAlignment="0" applyProtection="0"/>
    <xf numFmtId="0" fontId="72" fillId="0" borderId="141" applyNumberFormat="0" applyFill="0" applyAlignment="0" applyProtection="0"/>
    <xf numFmtId="0" fontId="116" fillId="36" borderId="140" applyNumberFormat="0" applyAlignment="0" applyProtection="0"/>
    <xf numFmtId="0" fontId="116" fillId="36" borderId="140" applyNumberFormat="0" applyAlignment="0" applyProtection="0"/>
    <xf numFmtId="43" fontId="5" fillId="0" borderId="0" applyFont="0" applyFill="0" applyBorder="0" applyAlignment="0" applyProtection="0"/>
    <xf numFmtId="0" fontId="116" fillId="36" borderId="140" applyNumberFormat="0" applyAlignment="0" applyProtection="0"/>
    <xf numFmtId="0" fontId="65" fillId="36" borderId="140" applyNumberFormat="0" applyAlignment="0" applyProtection="0"/>
    <xf numFmtId="167" fontId="35" fillId="0" borderId="0" applyFont="0" applyFill="0" applyBorder="0" applyAlignment="0" applyProtection="0"/>
    <xf numFmtId="43" fontId="6" fillId="0" borderId="0" applyFont="0" applyFill="0" applyBorder="0" applyAlignment="0" applyProtection="0"/>
    <xf numFmtId="0" fontId="65" fillId="37" borderId="140" applyNumberFormat="0" applyAlignment="0" applyProtection="0"/>
    <xf numFmtId="0" fontId="122" fillId="0" borderId="141" applyNumberFormat="0" applyFill="0" applyAlignment="0" applyProtection="0"/>
    <xf numFmtId="0" fontId="65" fillId="37" borderId="140" applyNumberFormat="0" applyAlignment="0" applyProtection="0"/>
    <xf numFmtId="0" fontId="72" fillId="0" borderId="141" applyNumberFormat="0" applyFill="0" applyAlignment="0" applyProtection="0"/>
    <xf numFmtId="167" fontId="5" fillId="0" borderId="0" applyFont="0" applyFill="0" applyBorder="0" applyAlignment="0" applyProtection="0"/>
    <xf numFmtId="0" fontId="65" fillId="37" borderId="140" applyNumberFormat="0" applyAlignment="0" applyProtection="0"/>
    <xf numFmtId="0" fontId="6" fillId="24" borderId="164" applyNumberFormat="0" applyFont="0" applyAlignment="0" applyProtection="0"/>
    <xf numFmtId="0" fontId="7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43" fontId="5" fillId="0" borderId="0" applyFont="0" applyFill="0" applyBorder="0" applyAlignment="0" applyProtection="0"/>
    <xf numFmtId="0" fontId="72" fillId="0" borderId="141" applyNumberFormat="0" applyFill="0" applyAlignment="0" applyProtection="0"/>
    <xf numFmtId="0" fontId="65" fillId="37" borderId="140" applyNumberFormat="0" applyAlignment="0" applyProtection="0"/>
    <xf numFmtId="0" fontId="122" fillId="0" borderId="141" applyNumberFormat="0" applyFill="0" applyAlignment="0" applyProtection="0"/>
    <xf numFmtId="0" fontId="116" fillId="36" borderId="140" applyNumberFormat="0" applyAlignment="0" applyProtection="0"/>
    <xf numFmtId="43" fontId="5" fillId="0" borderId="0" applyFont="0" applyFill="0" applyBorder="0" applyAlignment="0" applyProtection="0"/>
    <xf numFmtId="0" fontId="65" fillId="37" borderId="140" applyNumberFormat="0" applyAlignment="0" applyProtection="0"/>
    <xf numFmtId="0" fontId="65" fillId="36" borderId="140" applyNumberFormat="0" applyAlignment="0" applyProtection="0"/>
    <xf numFmtId="0" fontId="65" fillId="37" borderId="140" applyNumberFormat="0" applyAlignment="0" applyProtection="0"/>
    <xf numFmtId="0" fontId="65" fillId="36" borderId="140" applyNumberFormat="0" applyAlignment="0" applyProtection="0"/>
    <xf numFmtId="0" fontId="65" fillId="37" borderId="140" applyNumberFormat="0" applyAlignment="0" applyProtection="0"/>
    <xf numFmtId="0" fontId="122" fillId="0" borderId="141" applyNumberFormat="0" applyFill="0" applyAlignment="0" applyProtection="0"/>
    <xf numFmtId="0" fontId="5" fillId="24" borderId="164" applyNumberFormat="0" applyFont="0" applyAlignment="0" applyProtection="0"/>
    <xf numFmtId="0" fontId="122" fillId="0" borderId="141" applyNumberFormat="0" applyFill="0" applyAlignment="0" applyProtection="0"/>
    <xf numFmtId="0" fontId="122" fillId="0" borderId="141" applyNumberFormat="0" applyFill="0" applyAlignment="0" applyProtection="0"/>
    <xf numFmtId="43" fontId="6" fillId="0" borderId="0" applyFont="0" applyFill="0" applyBorder="0" applyAlignment="0" applyProtection="0"/>
    <xf numFmtId="0" fontId="72" fillId="0" borderId="141" applyNumberFormat="0" applyFill="0" applyAlignment="0" applyProtection="0"/>
    <xf numFmtId="43" fontId="5" fillId="0" borderId="0" applyFont="0" applyFill="0" applyBorder="0" applyAlignment="0" applyProtection="0"/>
    <xf numFmtId="0" fontId="5" fillId="24" borderId="164" applyNumberFormat="0" applyFont="0" applyAlignment="0" applyProtection="0"/>
    <xf numFmtId="0" fontId="65"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73" fillId="37" borderId="163" applyNumberFormat="0" applyAlignment="0" applyProtection="0"/>
    <xf numFmtId="10" fontId="36" fillId="15" borderId="167" applyNumberFormat="0" applyBorder="0" applyAlignment="0" applyProtection="0"/>
    <xf numFmtId="0" fontId="5" fillId="24" borderId="164" applyNumberFormat="0" applyFont="0" applyAlignment="0" applyProtection="0"/>
    <xf numFmtId="0" fontId="65" fillId="37" borderId="140" applyNumberFormat="0" applyAlignment="0" applyProtection="0"/>
    <xf numFmtId="0" fontId="65" fillId="37" borderId="140" applyNumberFormat="0" applyAlignment="0" applyProtection="0"/>
    <xf numFmtId="0" fontId="116" fillId="36" borderId="140" applyNumberFormat="0" applyAlignment="0" applyProtection="0"/>
    <xf numFmtId="10" fontId="36" fillId="15" borderId="167" applyNumberFormat="0" applyBorder="0" applyAlignment="0" applyProtection="0"/>
    <xf numFmtId="0" fontId="62" fillId="27" borderId="163" applyNumberFormat="0" applyAlignment="0" applyProtection="0"/>
    <xf numFmtId="0" fontId="62" fillId="21"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110" fillId="21"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65" fillId="36"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110" fillId="21" borderId="163" applyNumberFormat="0" applyAlignment="0" applyProtection="0"/>
    <xf numFmtId="0" fontId="107" fillId="36" borderId="163" applyNumberFormat="0" applyAlignment="0" applyProtection="0"/>
    <xf numFmtId="0" fontId="62" fillId="27" borderId="163" applyNumberFormat="0" applyAlignment="0" applyProtection="0"/>
    <xf numFmtId="0" fontId="107" fillId="36"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110"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3" fillId="37" borderId="163" applyNumberFormat="0" applyAlignment="0" applyProtection="0"/>
    <xf numFmtId="10" fontId="36" fillId="15" borderId="167" applyNumberFormat="0" applyBorder="0" applyAlignment="0" applyProtection="0"/>
    <xf numFmtId="0" fontId="62" fillId="21" borderId="163" applyNumberFormat="0" applyAlignment="0" applyProtection="0"/>
    <xf numFmtId="0" fontId="59" fillId="36"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0" fillId="21" borderId="163" applyNumberFormat="0" applyAlignment="0" applyProtection="0"/>
    <xf numFmtId="0" fontId="73" fillId="3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59" fillId="36" borderId="163" applyNumberFormat="0" applyAlignment="0" applyProtection="0"/>
    <xf numFmtId="0" fontId="73" fillId="37"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6" fillId="36" borderId="140" applyNumberFormat="0" applyAlignment="0" applyProtection="0"/>
    <xf numFmtId="0" fontId="5" fillId="24" borderId="164" applyNumberFormat="0" applyFont="0" applyAlignment="0" applyProtection="0"/>
    <xf numFmtId="0" fontId="65" fillId="37" borderId="140" applyNumberFormat="0" applyAlignment="0" applyProtection="0"/>
    <xf numFmtId="0" fontId="65" fillId="36" borderId="140" applyNumberFormat="0" applyAlignment="0" applyProtection="0"/>
    <xf numFmtId="0" fontId="62" fillId="21" borderId="163" applyNumberFormat="0" applyAlignment="0" applyProtection="0"/>
    <xf numFmtId="0" fontId="5" fillId="24" borderId="164" applyNumberFormat="0" applyFont="0" applyAlignment="0" applyProtection="0"/>
    <xf numFmtId="0" fontId="73" fillId="3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2" fillId="27"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122" fillId="0" borderId="141" applyNumberFormat="0" applyFill="0" applyAlignment="0" applyProtection="0"/>
    <xf numFmtId="0" fontId="5" fillId="24" borderId="164" applyNumberFormat="0" applyFont="0" applyAlignment="0" applyProtection="0"/>
    <xf numFmtId="0" fontId="59" fillId="36"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62" fillId="21" borderId="163" applyNumberFormat="0" applyAlignment="0" applyProtection="0"/>
    <xf numFmtId="0" fontId="59" fillId="36" borderId="163" applyNumberFormat="0" applyAlignment="0" applyProtection="0"/>
    <xf numFmtId="0" fontId="122" fillId="0" borderId="141" applyNumberFormat="0" applyFill="0" applyAlignment="0" applyProtection="0"/>
    <xf numFmtId="0" fontId="72" fillId="0" borderId="141" applyNumberFormat="0" applyFill="0" applyAlignment="0" applyProtection="0"/>
    <xf numFmtId="0" fontId="62" fillId="21" borderId="163" applyNumberFormat="0" applyAlignment="0" applyProtection="0"/>
    <xf numFmtId="0" fontId="110" fillId="21" borderId="163" applyNumberFormat="0" applyAlignment="0" applyProtection="0"/>
    <xf numFmtId="0" fontId="73" fillId="37" borderId="163" applyNumberFormat="0" applyAlignment="0" applyProtection="0"/>
    <xf numFmtId="0" fontId="72" fillId="0" borderId="141" applyNumberFormat="0" applyFill="0" applyAlignment="0" applyProtection="0"/>
    <xf numFmtId="0" fontId="6" fillId="24" borderId="164" applyNumberFormat="0" applyFont="0" applyAlignment="0" applyProtection="0"/>
    <xf numFmtId="0" fontId="62" fillId="21" borderId="163"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116" fillId="36" borderId="140" applyNumberFormat="0" applyAlignment="0" applyProtection="0"/>
    <xf numFmtId="0" fontId="59" fillId="36" borderId="163" applyNumberFormat="0" applyAlignment="0" applyProtection="0"/>
    <xf numFmtId="0" fontId="65" fillId="37" borderId="140" applyNumberFormat="0" applyAlignment="0" applyProtection="0"/>
    <xf numFmtId="0" fontId="62" fillId="21" borderId="163"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73" fillId="37" borderId="163" applyNumberFormat="0" applyAlignment="0" applyProtection="0"/>
    <xf numFmtId="0" fontId="5" fillId="24" borderId="164" applyNumberFormat="0" applyFont="0" applyAlignment="0" applyProtection="0"/>
    <xf numFmtId="0" fontId="65" fillId="37"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110" fillId="21" borderId="163" applyNumberFormat="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107" fillId="36" borderId="163" applyNumberFormat="0" applyAlignment="0" applyProtection="0"/>
    <xf numFmtId="0" fontId="110" fillId="21"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62" fillId="21" borderId="163" applyNumberFormat="0" applyAlignment="0" applyProtection="0"/>
    <xf numFmtId="0" fontId="6" fillId="24" borderId="164" applyNumberFormat="0" applyFont="0" applyAlignment="0" applyProtection="0"/>
    <xf numFmtId="0" fontId="65" fillId="36" borderId="140" applyNumberFormat="0" applyAlignment="0" applyProtection="0"/>
    <xf numFmtId="0" fontId="62" fillId="21" borderId="163" applyNumberFormat="0" applyAlignment="0" applyProtection="0"/>
    <xf numFmtId="0" fontId="62" fillId="27" borderId="163" applyNumberFormat="0" applyAlignment="0" applyProtection="0"/>
    <xf numFmtId="0" fontId="62" fillId="21" borderId="163" applyNumberFormat="0" applyAlignment="0" applyProtection="0"/>
    <xf numFmtId="0" fontId="62" fillId="21" borderId="163" applyNumberFormat="0" applyAlignment="0" applyProtection="0"/>
    <xf numFmtId="0" fontId="62" fillId="21" borderId="163" applyNumberFormat="0" applyAlignment="0" applyProtection="0"/>
    <xf numFmtId="0" fontId="65" fillId="37" borderId="140" applyNumberFormat="0" applyAlignment="0" applyProtection="0"/>
    <xf numFmtId="0" fontId="59" fillId="36" borderId="163" applyNumberFormat="0" applyAlignment="0" applyProtection="0"/>
    <xf numFmtId="0" fontId="122" fillId="0" borderId="141" applyNumberFormat="0" applyFill="0" applyAlignment="0" applyProtection="0"/>
    <xf numFmtId="0" fontId="62" fillId="21"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10" fontId="36" fillId="15" borderId="167" applyNumberFormat="0" applyBorder="0" applyAlignment="0" applyProtection="0"/>
    <xf numFmtId="0" fontId="6" fillId="24" borderId="164" applyNumberFormat="0" applyFont="0" applyAlignment="0" applyProtection="0"/>
    <xf numFmtId="0" fontId="72" fillId="0" borderId="141" applyNumberFormat="0" applyFill="0" applyAlignment="0" applyProtection="0"/>
    <xf numFmtId="0" fontId="107" fillId="36"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116" fillId="36" borderId="140" applyNumberFormat="0" applyAlignment="0" applyProtection="0"/>
    <xf numFmtId="10" fontId="36" fillId="15" borderId="167" applyNumberFormat="0" applyBorder="0" applyAlignment="0" applyProtection="0"/>
    <xf numFmtId="0" fontId="107" fillId="36" borderId="163" applyNumberFormat="0" applyAlignment="0" applyProtection="0"/>
    <xf numFmtId="0" fontId="122" fillId="0" borderId="141" applyNumberFormat="0" applyFill="0" applyAlignment="0" applyProtection="0"/>
    <xf numFmtId="0" fontId="110" fillId="21" borderId="163" applyNumberFormat="0" applyAlignment="0" applyProtection="0"/>
    <xf numFmtId="0" fontId="107" fillId="36" borderId="163" applyNumberFormat="0" applyAlignment="0" applyProtection="0"/>
    <xf numFmtId="0" fontId="6" fillId="24" borderId="164" applyNumberFormat="0" applyFont="0" applyAlignment="0" applyProtection="0"/>
    <xf numFmtId="0" fontId="62" fillId="27"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6" borderId="140" applyNumberFormat="0" applyAlignment="0" applyProtection="0"/>
    <xf numFmtId="0" fontId="107"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10" fontId="36" fillId="15" borderId="167" applyNumberFormat="0" applyBorder="0" applyAlignment="0" applyProtection="0"/>
    <xf numFmtId="0" fontId="65" fillId="36" borderId="140" applyNumberFormat="0" applyAlignment="0" applyProtection="0"/>
    <xf numFmtId="0" fontId="107" fillId="36"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6" borderId="140" applyNumberFormat="0" applyAlignment="0" applyProtection="0"/>
    <xf numFmtId="0" fontId="62" fillId="21" borderId="163" applyNumberFormat="0" applyAlignment="0" applyProtection="0"/>
    <xf numFmtId="0" fontId="5" fillId="24" borderId="164" applyNumberFormat="0" applyFon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6" fillId="24" borderId="164" applyNumberFormat="0" applyFont="0" applyAlignment="0" applyProtection="0"/>
    <xf numFmtId="0" fontId="122" fillId="0" borderId="141" applyNumberFormat="0" applyFill="0" applyAlignment="0" applyProtection="0"/>
    <xf numFmtId="0" fontId="65" fillId="37" borderId="140" applyNumberFormat="0" applyAlignment="0" applyProtection="0"/>
    <xf numFmtId="0" fontId="65"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116" fillId="36" borderId="140" applyNumberForma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122" fillId="0" borderId="141" applyNumberFormat="0" applyFill="0" applyAlignment="0" applyProtection="0"/>
    <xf numFmtId="0" fontId="116" fillId="36" borderId="140"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16" fillId="36" borderId="140" applyNumberFormat="0" applyAlignment="0" applyProtection="0"/>
    <xf numFmtId="0" fontId="65" fillId="37" borderId="140" applyNumberFormat="0" applyAlignment="0" applyProtection="0"/>
    <xf numFmtId="0" fontId="122" fillId="0" borderId="141" applyNumberFormat="0" applyFill="0" applyAlignment="0" applyProtection="0"/>
    <xf numFmtId="0" fontId="122" fillId="0" borderId="141" applyNumberFormat="0" applyFill="0" applyAlignment="0" applyProtection="0"/>
    <xf numFmtId="0" fontId="72" fillId="0" borderId="141" applyNumberFormat="0" applyFill="0" applyAlignment="0" applyProtection="0"/>
    <xf numFmtId="0" fontId="122" fillId="0" borderId="141" applyNumberFormat="0" applyFill="0" applyAlignment="0" applyProtection="0"/>
    <xf numFmtId="43" fontId="5" fillId="0" borderId="0" applyFont="0" applyFill="0" applyBorder="0" applyAlignment="0" applyProtection="0"/>
    <xf numFmtId="0" fontId="65" fillId="37" borderId="14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7" fontId="5" fillId="0" borderId="0" applyFont="0" applyFill="0" applyBorder="0" applyAlignment="0" applyProtection="0"/>
    <xf numFmtId="0" fontId="116" fillId="36"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72" fillId="0" borderId="141" applyNumberFormat="0" applyFill="0" applyAlignment="0" applyProtection="0"/>
    <xf numFmtId="0" fontId="116" fillId="36" borderId="140" applyNumberFormat="0" applyAlignment="0" applyProtection="0"/>
    <xf numFmtId="0" fontId="65" fillId="36" borderId="140" applyNumberFormat="0" applyAlignment="0" applyProtection="0"/>
    <xf numFmtId="0" fontId="116"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65" fillId="36" borderId="140" applyNumberFormat="0" applyAlignment="0" applyProtection="0"/>
    <xf numFmtId="0" fontId="122" fillId="0" borderId="141" applyNumberFormat="0" applyFill="0" applyAlignment="0" applyProtection="0"/>
    <xf numFmtId="0" fontId="7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5" fillId="37" borderId="140" applyNumberFormat="0" applyAlignment="0" applyProtection="0"/>
    <xf numFmtId="0" fontId="122" fillId="0" borderId="141" applyNumberFormat="0" applyFill="0" applyAlignment="0" applyProtection="0"/>
    <xf numFmtId="0" fontId="65" fillId="37" borderId="140" applyNumberFormat="0" applyAlignment="0" applyProtection="0"/>
    <xf numFmtId="44" fontId="49" fillId="0" borderId="0" applyFont="0" applyFill="0" applyBorder="0" applyAlignment="0" applyProtection="0"/>
    <xf numFmtId="0" fontId="65" fillId="36" borderId="140" applyNumberFormat="0" applyAlignment="0" applyProtection="0"/>
    <xf numFmtId="43" fontId="5" fillId="0" borderId="0" applyFont="0" applyFill="0" applyBorder="0" applyAlignment="0" applyProtection="0"/>
    <xf numFmtId="0" fontId="65" fillId="36" borderId="140" applyNumberFormat="0" applyAlignment="0" applyProtection="0"/>
    <xf numFmtId="0" fontId="122" fillId="0" borderId="141" applyNumberFormat="0" applyFill="0" applyAlignment="0" applyProtection="0"/>
    <xf numFmtId="10" fontId="36" fillId="15" borderId="167" applyNumberFormat="0" applyBorder="0" applyAlignment="0" applyProtection="0"/>
    <xf numFmtId="0" fontId="62" fillId="21" borderId="163" applyNumberFormat="0" applyAlignment="0" applyProtection="0"/>
    <xf numFmtId="10" fontId="36" fillId="15" borderId="167" applyNumberFormat="0" applyBorder="0" applyAlignment="0" applyProtection="0"/>
    <xf numFmtId="0" fontId="62" fillId="21"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73" fillId="37" borderId="163" applyNumberFormat="0" applyAlignment="0" applyProtection="0"/>
    <xf numFmtId="10" fontId="36" fillId="15" borderId="167" applyNumberFormat="0" applyBorder="0" applyAlignment="0" applyProtection="0"/>
    <xf numFmtId="0" fontId="65" fillId="37" borderId="140" applyNumberFormat="0" applyAlignment="0" applyProtection="0"/>
    <xf numFmtId="0" fontId="65" fillId="37" borderId="140" applyNumberFormat="0" applyAlignment="0" applyProtection="0"/>
    <xf numFmtId="0" fontId="116" fillId="36" borderId="140" applyNumberFormat="0" applyAlignment="0" applyProtection="0"/>
    <xf numFmtId="10" fontId="36" fillId="15" borderId="167" applyNumberFormat="0" applyBorder="0" applyAlignment="0" applyProtection="0"/>
    <xf numFmtId="0" fontId="62" fillId="27"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59" fillId="36" borderId="163" applyNumberFormat="0" applyAlignment="0" applyProtection="0"/>
    <xf numFmtId="0" fontId="73" fillId="37" borderId="163" applyNumberFormat="0" applyAlignment="0" applyProtection="0"/>
    <xf numFmtId="0" fontId="62" fillId="27"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5" fillId="36"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110" fillId="21" borderId="163" applyNumberFormat="0" applyAlignment="0" applyProtection="0"/>
    <xf numFmtId="0" fontId="107" fillId="36"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59" fillId="36" borderId="163"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0" fillId="21"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59" fillId="36" borderId="163" applyNumberFormat="0" applyAlignment="0" applyProtection="0"/>
    <xf numFmtId="0" fontId="73" fillId="37" borderId="163" applyNumberFormat="0" applyAlignment="0" applyProtection="0"/>
    <xf numFmtId="0" fontId="65" fillId="36"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6" fillId="36" borderId="140" applyNumberFormat="0" applyAlignment="0" applyProtection="0"/>
    <xf numFmtId="0" fontId="5" fillId="24" borderId="164" applyNumberFormat="0" applyFont="0" applyAlignment="0" applyProtection="0"/>
    <xf numFmtId="0" fontId="65" fillId="37" borderId="140" applyNumberFormat="0" applyAlignment="0" applyProtection="0"/>
    <xf numFmtId="0" fontId="62" fillId="21" borderId="163" applyNumberFormat="0" applyAlignment="0" applyProtection="0"/>
    <xf numFmtId="0" fontId="5" fillId="24" borderId="164" applyNumberFormat="0" applyFont="0" applyAlignment="0" applyProtection="0"/>
    <xf numFmtId="0" fontId="73" fillId="3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2" fillId="27"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122" fillId="0" borderId="141" applyNumberFormat="0" applyFill="0" applyAlignment="0" applyProtection="0"/>
    <xf numFmtId="0" fontId="5" fillId="24" borderId="164" applyNumberFormat="0" applyFont="0" applyAlignment="0" applyProtection="0"/>
    <xf numFmtId="0" fontId="59" fillId="36" borderId="163" applyNumberFormat="0" applyAlignment="0" applyProtection="0"/>
    <xf numFmtId="0" fontId="6" fillId="24" borderId="164" applyNumberFormat="0" applyFont="0" applyAlignment="0" applyProtection="0"/>
    <xf numFmtId="0" fontId="5" fillId="24" borderId="164" applyNumberFormat="0" applyFont="0" applyAlignment="0" applyProtection="0"/>
    <xf numFmtId="0" fontId="59" fillId="36" borderId="163" applyNumberFormat="0" applyAlignment="0" applyProtection="0"/>
    <xf numFmtId="0" fontId="72" fillId="0" borderId="141" applyNumberFormat="0" applyFill="0" applyAlignment="0" applyProtection="0"/>
    <xf numFmtId="0" fontId="62" fillId="21" borderId="163" applyNumberFormat="0" applyAlignment="0" applyProtection="0"/>
    <xf numFmtId="0" fontId="110" fillId="21" borderId="163" applyNumberFormat="0" applyAlignment="0" applyProtection="0"/>
    <xf numFmtId="0" fontId="73" fillId="37" borderId="163" applyNumberFormat="0" applyAlignment="0" applyProtection="0"/>
    <xf numFmtId="0" fontId="6" fillId="24" borderId="164" applyNumberFormat="0" applyFont="0" applyAlignment="0" applyProtection="0"/>
    <xf numFmtId="0" fontId="62" fillId="21" borderId="163"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116" fillId="36" borderId="140" applyNumberFormat="0" applyAlignment="0" applyProtection="0"/>
    <xf numFmtId="0" fontId="65" fillId="37" borderId="140" applyNumberFormat="0" applyAlignment="0" applyProtection="0"/>
    <xf numFmtId="0" fontId="122" fillId="0" borderId="141" applyNumberFormat="0" applyFill="0" applyAlignment="0" applyProtection="0"/>
    <xf numFmtId="0" fontId="73" fillId="37" borderId="163" applyNumberFormat="0" applyAlignment="0" applyProtection="0"/>
    <xf numFmtId="0" fontId="5" fillId="24" borderId="164" applyNumberFormat="0" applyFont="0" applyAlignment="0" applyProtection="0"/>
    <xf numFmtId="0" fontId="65" fillId="37" borderId="140" applyNumberFormat="0" applyAlignment="0" applyProtection="0"/>
    <xf numFmtId="0" fontId="72" fillId="0" borderId="141" applyNumberFormat="0" applyFill="0" applyAlignment="0" applyProtection="0"/>
    <xf numFmtId="0" fontId="110" fillId="21" borderId="163" applyNumberFormat="0" applyAlignment="0" applyProtection="0"/>
    <xf numFmtId="0" fontId="62" fillId="27" borderId="163" applyNumberFormat="0" applyAlignment="0" applyProtection="0"/>
    <xf numFmtId="0" fontId="5" fillId="24" borderId="164" applyNumberFormat="0" applyFont="0" applyAlignment="0" applyProtection="0"/>
    <xf numFmtId="0" fontId="107" fillId="36" borderId="163" applyNumberFormat="0" applyAlignment="0" applyProtection="0"/>
    <xf numFmtId="0" fontId="110" fillId="21"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122" fillId="0" borderId="141" applyNumberFormat="0" applyFill="0" applyAlignment="0" applyProtection="0"/>
    <xf numFmtId="0" fontId="62" fillId="21" borderId="163" applyNumberFormat="0" applyAlignment="0" applyProtection="0"/>
    <xf numFmtId="0" fontId="6" fillId="24" borderId="164" applyNumberFormat="0" applyFont="0" applyAlignment="0" applyProtection="0"/>
    <xf numFmtId="0" fontId="65" fillId="36" borderId="140" applyNumberFormat="0" applyAlignment="0" applyProtection="0"/>
    <xf numFmtId="0" fontId="62" fillId="21" borderId="163" applyNumberFormat="0" applyAlignment="0" applyProtection="0"/>
    <xf numFmtId="0" fontId="62" fillId="21" borderId="163" applyNumberFormat="0" applyAlignment="0" applyProtection="0"/>
    <xf numFmtId="0" fontId="62" fillId="21" borderId="163" applyNumberFormat="0" applyAlignment="0" applyProtection="0"/>
    <xf numFmtId="0" fontId="62" fillId="21" borderId="163" applyNumberFormat="0" applyAlignment="0" applyProtection="0"/>
    <xf numFmtId="0" fontId="59" fillId="36" borderId="163" applyNumberFormat="0" applyAlignment="0" applyProtection="0"/>
    <xf numFmtId="0" fontId="122" fillId="0" borderId="141" applyNumberFormat="0" applyFill="0" applyAlignment="0" applyProtection="0"/>
    <xf numFmtId="0" fontId="62" fillId="21" borderId="163"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62" fillId="27" borderId="163" applyNumberFormat="0" applyAlignment="0" applyProtection="0"/>
    <xf numFmtId="10" fontId="36" fillId="15" borderId="167" applyNumberFormat="0" applyBorder="0" applyAlignment="0" applyProtection="0"/>
    <xf numFmtId="0" fontId="6" fillId="24" borderId="164" applyNumberFormat="0" applyFont="0" applyAlignment="0" applyProtection="0"/>
    <xf numFmtId="0" fontId="72" fillId="0" borderId="141" applyNumberFormat="0" applyFill="0" applyAlignment="0" applyProtection="0"/>
    <xf numFmtId="0" fontId="107" fillId="36" borderId="163" applyNumberFormat="0" applyAlignment="0" applyProtection="0"/>
    <xf numFmtId="0" fontId="62" fillId="21" borderId="163" applyNumberFormat="0" applyAlignment="0" applyProtection="0"/>
    <xf numFmtId="0" fontId="5" fillId="24" borderId="164" applyNumberFormat="0" applyFont="0" applyAlignment="0" applyProtection="0"/>
    <xf numFmtId="0" fontId="116" fillId="36" borderId="140" applyNumberFormat="0" applyAlignment="0" applyProtection="0"/>
    <xf numFmtId="10" fontId="36" fillId="15" borderId="167" applyNumberFormat="0" applyBorder="0" applyAlignment="0" applyProtection="0"/>
    <xf numFmtId="0" fontId="122" fillId="0" borderId="141" applyNumberFormat="0" applyFill="0" applyAlignment="0" applyProtection="0"/>
    <xf numFmtId="0" fontId="110" fillId="21" borderId="163" applyNumberFormat="0" applyAlignment="0" applyProtection="0"/>
    <xf numFmtId="0" fontId="107" fillId="36" borderId="163" applyNumberFormat="0" applyAlignment="0" applyProtection="0"/>
    <xf numFmtId="0" fontId="6" fillId="24" borderId="164" applyNumberFormat="0" applyFont="0" applyAlignment="0" applyProtection="0"/>
    <xf numFmtId="0" fontId="62" fillId="27"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07"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10" fontId="36" fillId="15" borderId="167" applyNumberFormat="0" applyBorder="0" applyAlignment="0" applyProtection="0"/>
    <xf numFmtId="0" fontId="65" fillId="36" borderId="140" applyNumberFormat="0" applyAlignment="0" applyProtection="0"/>
    <xf numFmtId="0" fontId="107" fillId="36" borderId="163" applyNumberFormat="0" applyAlignment="0" applyProtection="0"/>
    <xf numFmtId="0" fontId="5" fillId="24" borderId="164" applyNumberFormat="0" applyFont="0" applyAlignment="0" applyProtection="0"/>
    <xf numFmtId="0" fontId="65" fillId="36" borderId="140" applyNumberFormat="0" applyAlignment="0" applyProtection="0"/>
    <xf numFmtId="0" fontId="5" fillId="24" borderId="164" applyNumberFormat="0" applyFon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122" fillId="0" borderId="141" applyNumberFormat="0" applyFill="0" applyAlignment="0" applyProtection="0"/>
    <xf numFmtId="0" fontId="65" fillId="37" borderId="140" applyNumberFormat="0" applyAlignment="0" applyProtection="0"/>
    <xf numFmtId="0" fontId="65"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116" fillId="36" borderId="140" applyNumberForma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73" fillId="37" borderId="163" applyNumberFormat="0" applyAlignment="0" applyProtection="0"/>
    <xf numFmtId="0" fontId="122" fillId="0" borderId="141" applyNumberFormat="0" applyFill="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10" fontId="36" fillId="15" borderId="167" applyNumberFormat="0" applyBorder="0" applyAlignment="0" applyProtection="0"/>
    <xf numFmtId="0" fontId="62" fillId="21" borderId="163" applyNumberFormat="0" applyAlignment="0" applyProtection="0"/>
    <xf numFmtId="0" fontId="107" fillId="36" borderId="163" applyNumberFormat="0" applyAlignment="0" applyProtection="0"/>
    <xf numFmtId="0" fontId="65" fillId="37" borderId="140" applyNumberFormat="0" applyAlignment="0" applyProtection="0"/>
    <xf numFmtId="0" fontId="5" fillId="24" borderId="164" applyNumberFormat="0" applyFont="0" applyAlignment="0" applyProtection="0"/>
    <xf numFmtId="0" fontId="65" fillId="36" borderId="140" applyNumberFormat="0" applyAlignment="0" applyProtection="0"/>
    <xf numFmtId="0" fontId="110" fillId="21" borderId="163" applyNumberFormat="0" applyAlignment="0" applyProtection="0"/>
    <xf numFmtId="0" fontId="59" fillId="36" borderId="163"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116" fillId="36" borderId="140" applyNumberFormat="0" applyAlignment="0" applyProtection="0"/>
    <xf numFmtId="0" fontId="5" fillId="24" borderId="164" applyNumberFormat="0" applyFont="0" applyAlignment="0" applyProtection="0"/>
    <xf numFmtId="0" fontId="12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122" fillId="0" borderId="141" applyNumberFormat="0" applyFill="0" applyAlignment="0" applyProtection="0"/>
    <xf numFmtId="0" fontId="12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65" fillId="37" borderId="140"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 fillId="24" borderId="164" applyNumberFormat="0" applyFont="0" applyAlignment="0" applyProtection="0"/>
    <xf numFmtId="43" fontId="35" fillId="0" borderId="0" applyFont="0" applyFill="0" applyBorder="0" applyAlignment="0" applyProtection="0"/>
    <xf numFmtId="0" fontId="5" fillId="24" borderId="164" applyNumberFormat="0" applyFont="0" applyAlignment="0" applyProtection="0"/>
    <xf numFmtId="0" fontId="72" fillId="0" borderId="141" applyNumberFormat="0" applyFill="0" applyAlignment="0" applyProtection="0"/>
    <xf numFmtId="0" fontId="62" fillId="21"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65" fillId="37" borderId="140" applyNumberFormat="0" applyAlignment="0" applyProtection="0"/>
    <xf numFmtId="43" fontId="5" fillId="0" borderId="0" applyFont="0" applyFill="0" applyBorder="0" applyAlignment="0" applyProtection="0"/>
    <xf numFmtId="0" fontId="5" fillId="24" borderId="164" applyNumberFormat="0" applyFont="0" applyAlignment="0" applyProtection="0"/>
    <xf numFmtId="0" fontId="5" fillId="24" borderId="164" applyNumberFormat="0" applyFon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168" fontId="5" fillId="0" borderId="0" applyFont="0" applyFill="0" applyBorder="0" applyAlignment="0" applyProtection="0"/>
    <xf numFmtId="0" fontId="65" fillId="36" borderId="140" applyNumberFormat="0" applyAlignment="0" applyProtection="0"/>
    <xf numFmtId="0" fontId="72" fillId="0" borderId="141" applyNumberFormat="0" applyFill="0" applyAlignment="0" applyProtection="0"/>
    <xf numFmtId="0" fontId="116"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122" fillId="0" borderId="141" applyNumberFormat="0" applyFill="0" applyAlignment="0" applyProtection="0"/>
    <xf numFmtId="0" fontId="116" fillId="36" borderId="140" applyNumberForma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5" fillId="37" borderId="140" applyNumberFormat="0" applyAlignment="0" applyProtection="0"/>
    <xf numFmtId="0" fontId="65" fillId="37" borderId="140" applyNumberFormat="0" applyAlignment="0" applyProtection="0"/>
    <xf numFmtId="0" fontId="65" fillId="36" borderId="140" applyNumberFormat="0" applyAlignment="0" applyProtection="0"/>
    <xf numFmtId="0" fontId="122" fillId="0" borderId="141" applyNumberFormat="0" applyFill="0" applyAlignment="0" applyProtection="0"/>
    <xf numFmtId="0" fontId="116" fillId="36" borderId="140" applyNumberForma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72" fillId="0" borderId="141" applyNumberFormat="0" applyFill="0" applyAlignment="0" applyProtection="0"/>
    <xf numFmtId="0" fontId="72" fillId="0" borderId="141" applyNumberFormat="0" applyFill="0" applyAlignment="0" applyProtection="0"/>
    <xf numFmtId="9" fontId="49" fillId="0" borderId="0" applyFont="0" applyFill="0" applyBorder="0" applyAlignment="0" applyProtection="0"/>
    <xf numFmtId="0" fontId="59" fillId="65" borderId="163" applyNumberFormat="0" applyAlignment="0" applyProtection="0"/>
    <xf numFmtId="0" fontId="62" fillId="56" borderId="163" applyNumberFormat="0" applyAlignment="0" applyProtection="0"/>
    <xf numFmtId="0" fontId="5" fillId="72" borderId="164" applyNumberFormat="0" applyAlignment="0" applyProtection="0"/>
    <xf numFmtId="0" fontId="65" fillId="65"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5" fillId="36" borderId="140" applyNumberForma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8" fillId="14" borderId="169" applyFill="0" applyBorder="0" applyAlignment="0" applyProtection="0">
      <alignment vertical="center"/>
      <protection locked="0"/>
    </xf>
    <xf numFmtId="10" fontId="36" fillId="15" borderId="167" applyNumberFormat="0" applyBorder="0" applyAlignment="0" applyProtection="0"/>
    <xf numFmtId="0" fontId="36" fillId="0" borderId="169" applyBorder="0">
      <alignment horizontal="left" vertical="center" wrapText="1" indent="2"/>
      <protection locked="0"/>
    </xf>
    <xf numFmtId="0" fontId="36" fillId="0" borderId="169" applyBorder="0">
      <alignment horizontal="left" vertical="center" wrapText="1" indent="3"/>
      <protection locked="0"/>
    </xf>
    <xf numFmtId="0" fontId="59" fillId="36" borderId="163" applyNumberFormat="0" applyAlignment="0" applyProtection="0"/>
    <xf numFmtId="0" fontId="73" fillId="37" borderId="163" applyNumberFormat="0" applyAlignment="0" applyProtection="0"/>
    <xf numFmtId="0" fontId="62" fillId="27" borderId="163"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65" fillId="36"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107" fillId="36" borderId="163" applyNumberFormat="0" applyAlignment="0" applyProtection="0"/>
    <xf numFmtId="0" fontId="110" fillId="21" borderId="163" applyNumberFormat="0" applyAlignment="0" applyProtection="0"/>
    <xf numFmtId="0" fontId="5" fillId="24" borderId="164" applyNumberFormat="0" applyFont="0" applyAlignment="0" applyProtection="0"/>
    <xf numFmtId="0" fontId="116" fillId="36" borderId="140" applyNumberFormat="0" applyAlignment="0" applyProtection="0"/>
    <xf numFmtId="0" fontId="122" fillId="0" borderId="141" applyNumberFormat="0" applyFill="0" applyAlignment="0" applyProtection="0"/>
    <xf numFmtId="0" fontId="72" fillId="0" borderId="141" applyNumberFormat="0" applyFill="0" applyAlignment="0" applyProtection="0"/>
    <xf numFmtId="0" fontId="65" fillId="37" borderId="140" applyNumberFormat="0" applyAlignment="0" applyProtection="0"/>
    <xf numFmtId="0" fontId="65" fillId="37" borderId="140" applyNumberFormat="0" applyAlignment="0" applyProtection="0"/>
    <xf numFmtId="0" fontId="72" fillId="0" borderId="141" applyNumberFormat="0" applyFill="0" applyAlignment="0" applyProtection="0"/>
    <xf numFmtId="0" fontId="122" fillId="0" borderId="141" applyNumberFormat="0" applyFill="0" applyAlignment="0" applyProtection="0"/>
    <xf numFmtId="0" fontId="116" fillId="36" borderId="140" applyNumberFormat="0" applyAlignment="0" applyProtection="0"/>
    <xf numFmtId="0" fontId="72" fillId="0" borderId="141" applyNumberFormat="0" applyFill="0" applyAlignment="0" applyProtection="0"/>
    <xf numFmtId="0" fontId="65" fillId="36" borderId="140" applyNumberFormat="0" applyAlignment="0" applyProtection="0"/>
    <xf numFmtId="43" fontId="5" fillId="0" borderId="0" applyFont="0" applyFill="0" applyBorder="0" applyAlignment="0" applyProtection="0"/>
    <xf numFmtId="0" fontId="72" fillId="0" borderId="141" applyNumberFormat="0" applyFill="0" applyAlignment="0" applyProtection="0"/>
    <xf numFmtId="0" fontId="65" fillId="37" borderId="140" applyNumberFormat="0" applyAlignment="0" applyProtection="0"/>
    <xf numFmtId="0" fontId="65" fillId="36" borderId="140" applyNumberFormat="0" applyAlignment="0" applyProtection="0"/>
    <xf numFmtId="0" fontId="5" fillId="24" borderId="164" applyNumberFormat="0" applyFont="0" applyAlignment="0" applyProtection="0"/>
    <xf numFmtId="0" fontId="6"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5" fillId="24" borderId="164" applyNumberFormat="0" applyFont="0" applyAlignment="0" applyProtection="0"/>
    <xf numFmtId="0" fontId="65" fillId="65" borderId="140" applyNumberFormat="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10" fontId="36" fillId="15" borderId="167" applyNumberFormat="0" applyBorder="0" applyAlignment="0" applyProtection="0"/>
    <xf numFmtId="0" fontId="18" fillId="14" borderId="133" applyFill="0" applyBorder="0" applyAlignment="0" applyProtection="0">
      <alignment vertical="center"/>
      <protection locked="0"/>
    </xf>
    <xf numFmtId="10" fontId="36" fillId="15" borderId="167" applyNumberFormat="0" applyBorder="0" applyAlignment="0" applyProtection="0"/>
    <xf numFmtId="0" fontId="36" fillId="0" borderId="133" applyBorder="0">
      <alignment horizontal="left" vertical="center" wrapText="1" indent="2"/>
      <protection locked="0"/>
    </xf>
    <xf numFmtId="0" fontId="36" fillId="0" borderId="133" applyBorder="0">
      <alignment horizontal="left" vertical="center" wrapText="1" indent="3"/>
      <protection locked="0"/>
    </xf>
    <xf numFmtId="0" fontId="156" fillId="0" borderId="0"/>
    <xf numFmtId="0" fontId="156" fillId="0" borderId="0"/>
    <xf numFmtId="0" fontId="157" fillId="0" borderId="0"/>
    <xf numFmtId="0" fontId="157" fillId="0" borderId="0"/>
    <xf numFmtId="0" fontId="5" fillId="0" borderId="0"/>
    <xf numFmtId="0" fontId="159" fillId="0" borderId="0"/>
    <xf numFmtId="0" fontId="162" fillId="0" borderId="0"/>
    <xf numFmtId="0" fontId="162" fillId="0" borderId="0"/>
    <xf numFmtId="0" fontId="162" fillId="0" borderId="0"/>
    <xf numFmtId="0" fontId="162" fillId="0" borderId="0"/>
    <xf numFmtId="43" fontId="1" fillId="0" borderId="0" applyFont="0" applyFill="0" applyBorder="0" applyAlignment="0" applyProtection="0"/>
    <xf numFmtId="43" fontId="6" fillId="0" borderId="0" applyFont="0" applyFill="0" applyBorder="0" applyAlignment="0" applyProtection="0"/>
    <xf numFmtId="0" fontId="18" fillId="14" borderId="186" applyFill="0" applyBorder="0" applyAlignment="0" applyProtection="0">
      <alignment vertical="center"/>
      <protection locked="0"/>
    </xf>
    <xf numFmtId="10" fontId="36" fillId="15" borderId="200" applyNumberFormat="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0" fontId="36" fillId="0" borderId="186" applyBorder="0">
      <alignment horizontal="left" vertical="center" wrapText="1" indent="2"/>
      <protection locked="0"/>
    </xf>
    <xf numFmtId="0" fontId="36" fillId="0" borderId="186" applyBorder="0">
      <alignment horizontal="left" vertical="center" wrapText="1" indent="3"/>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36" borderId="219" applyNumberFormat="0" applyAlignment="0" applyProtection="0"/>
    <xf numFmtId="0" fontId="73" fillId="37" borderId="219" applyNumberFormat="0" applyAlignment="0" applyProtection="0"/>
    <xf numFmtId="0" fontId="62" fillId="27" borderId="219" applyNumberFormat="0" applyAlignment="0" applyProtection="0"/>
    <xf numFmtId="0" fontId="62" fillId="21" borderId="219" applyNumberFormat="0" applyAlignment="0" applyProtection="0"/>
    <xf numFmtId="0" fontId="5" fillId="24" borderId="220" applyNumberFormat="0" applyFont="0" applyAlignment="0" applyProtection="0"/>
    <xf numFmtId="0" fontId="6" fillId="24" borderId="220" applyNumberFormat="0" applyFont="0" applyAlignment="0" applyProtection="0"/>
    <xf numFmtId="0" fontId="65" fillId="36" borderId="221" applyNumberFormat="0" applyAlignment="0" applyProtection="0"/>
    <xf numFmtId="0" fontId="65" fillId="37" borderId="221" applyNumberFormat="0" applyAlignment="0" applyProtection="0"/>
    <xf numFmtId="0" fontId="72" fillId="0" borderId="222" applyNumberFormat="0" applyFill="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0" fontId="5" fillId="24" borderId="220" applyNumberFormat="0" applyFont="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0" fontId="5" fillId="24" borderId="220" applyNumberFormat="0" applyFont="0" applyAlignment="0" applyProtection="0"/>
    <xf numFmtId="0" fontId="5" fillId="24" borderId="22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0" fontId="107" fillId="36" borderId="219" applyNumberFormat="0" applyAlignment="0" applyProtection="0"/>
    <xf numFmtId="0" fontId="110" fillId="21" borderId="219" applyNumberFormat="0" applyAlignment="0" applyProtection="0"/>
    <xf numFmtId="0" fontId="5" fillId="24" borderId="220" applyNumberFormat="0" applyFont="0" applyAlignment="0" applyProtection="0"/>
    <xf numFmtId="0" fontId="116" fillId="36" borderId="221" applyNumberFormat="0" applyAlignment="0" applyProtection="0"/>
    <xf numFmtId="43" fontId="5" fillId="0" borderId="0" applyFont="0" applyFill="0" applyBorder="0" applyAlignment="0" applyProtection="0"/>
    <xf numFmtId="43" fontId="103" fillId="0" borderId="87"/>
    <xf numFmtId="0" fontId="122" fillId="0" borderId="222"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03" fillId="0" borderId="87"/>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0" fontId="73" fillId="37" borderId="219" applyNumberFormat="0" applyAlignment="0" applyProtection="0"/>
    <xf numFmtId="0" fontId="122" fillId="0" borderId="222" applyNumberFormat="0" applyFill="0" applyAlignment="0" applyProtection="0"/>
    <xf numFmtId="0" fontId="62" fillId="27" borderId="219" applyNumberFormat="0" applyAlignment="0" applyProtection="0"/>
    <xf numFmtId="0" fontId="5" fillId="24" borderId="220" applyNumberFormat="0" applyFont="0" applyAlignment="0" applyProtection="0"/>
    <xf numFmtId="0" fontId="6" fillId="24" borderId="220" applyNumberFormat="0" applyFont="0" applyAlignment="0" applyProtection="0"/>
    <xf numFmtId="10" fontId="36" fillId="15" borderId="224" applyNumberFormat="0" applyBorder="0" applyAlignment="0" applyProtection="0"/>
    <xf numFmtId="0" fontId="62" fillId="21" borderId="219" applyNumberFormat="0" applyAlignment="0" applyProtection="0"/>
    <xf numFmtId="0" fontId="107" fillId="36" borderId="219" applyNumberFormat="0" applyAlignment="0" applyProtection="0"/>
    <xf numFmtId="0" fontId="65" fillId="37" borderId="221" applyNumberFormat="0" applyAlignment="0" applyProtection="0"/>
    <xf numFmtId="0" fontId="5" fillId="24" borderId="220" applyNumberFormat="0" applyFont="0" applyAlignment="0" applyProtection="0"/>
    <xf numFmtId="0" fontId="65" fillId="36" borderId="221" applyNumberFormat="0" applyAlignment="0" applyProtection="0"/>
    <xf numFmtId="0" fontId="36" fillId="0" borderId="225" applyBorder="0">
      <alignment horizontal="left" vertical="center" wrapText="1" indent="2"/>
      <protection locked="0"/>
    </xf>
    <xf numFmtId="0" fontId="18" fillId="14" borderId="225" applyFill="0" applyBorder="0" applyAlignment="0" applyProtection="0">
      <alignment vertical="center"/>
      <protection locked="0"/>
    </xf>
    <xf numFmtId="0" fontId="110" fillId="21" borderId="219" applyNumberFormat="0" applyAlignment="0" applyProtection="0"/>
    <xf numFmtId="0" fontId="59" fillId="36" borderId="219" applyNumberFormat="0" applyAlignment="0" applyProtection="0"/>
    <xf numFmtId="0" fontId="5" fillId="24" borderId="220" applyNumberFormat="0" applyFont="0" applyAlignment="0" applyProtection="0"/>
    <xf numFmtId="0" fontId="5" fillId="24" borderId="220" applyNumberFormat="0" applyFont="0" applyAlignment="0" applyProtection="0"/>
    <xf numFmtId="0" fontId="5" fillId="24" borderId="220" applyNumberFormat="0" applyFont="0" applyAlignment="0" applyProtection="0"/>
    <xf numFmtId="0" fontId="72" fillId="0" borderId="222" applyNumberFormat="0" applyFill="0" applyAlignment="0" applyProtection="0"/>
    <xf numFmtId="0" fontId="62" fillId="21" borderId="219" applyNumberFormat="0" applyAlignment="0" applyProtection="0"/>
    <xf numFmtId="0" fontId="116" fillId="36" borderId="221" applyNumberFormat="0" applyAlignment="0" applyProtection="0"/>
    <xf numFmtId="0" fontId="36" fillId="0" borderId="225"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1" borderId="219"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1" borderId="219"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03" fillId="0" borderId="87"/>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03" fillId="0" borderId="87"/>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0" fontId="167" fillId="0" borderId="0"/>
    <xf numFmtId="0" fontId="169" fillId="0" borderId="0"/>
    <xf numFmtId="0" fontId="170" fillId="0" borderId="0"/>
    <xf numFmtId="0" fontId="170" fillId="0" borderId="0"/>
    <xf numFmtId="0" fontId="5" fillId="0" borderId="0"/>
  </cellStyleXfs>
  <cellXfs count="2799">
    <xf numFmtId="0" fontId="0" fillId="0" borderId="0" xfId="0"/>
    <xf numFmtId="0" fontId="20" fillId="0" borderId="0" xfId="1" applyFont="1" applyAlignment="1">
      <alignment vertical="center"/>
    </xf>
    <xf numFmtId="0" fontId="18" fillId="5" borderId="0" xfId="1" applyFont="1" applyFill="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7" fillId="0" borderId="0" xfId="1" applyFont="1" applyAlignment="1">
      <alignment horizontal="center" vertical="center"/>
    </xf>
    <xf numFmtId="0" fontId="23" fillId="0" borderId="0" xfId="1" applyFont="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12" fillId="5" borderId="0" xfId="1" applyFont="1" applyFill="1" applyAlignment="1">
      <alignment horizontal="right" vertical="center"/>
    </xf>
    <xf numFmtId="0" fontId="12" fillId="5" borderId="0" xfId="1" applyFont="1" applyFill="1" applyAlignment="1">
      <alignment horizontal="center" vertical="center" wrapText="1"/>
    </xf>
    <xf numFmtId="0" fontId="13" fillId="0" borderId="0" xfId="1" applyFont="1" applyAlignment="1">
      <alignment vertical="center"/>
    </xf>
    <xf numFmtId="0" fontId="14" fillId="5" borderId="0" xfId="1" applyFont="1" applyFill="1" applyAlignment="1">
      <alignment horizontal="right" vertical="center"/>
    </xf>
    <xf numFmtId="0" fontId="19" fillId="5" borderId="0" xfId="1" applyFont="1" applyFill="1" applyAlignment="1">
      <alignment horizontal="center" vertical="center" wrapText="1"/>
    </xf>
    <xf numFmtId="0" fontId="13" fillId="5" borderId="0" xfId="1" applyFont="1" applyFill="1" applyAlignment="1">
      <alignment vertical="center"/>
    </xf>
    <xf numFmtId="14" fontId="7" fillId="5" borderId="0" xfId="1" applyNumberFormat="1" applyFont="1" applyFill="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Font="1" applyFill="1" applyAlignment="1">
      <alignment horizontal="center" vertical="center" wrapText="1"/>
    </xf>
    <xf numFmtId="0" fontId="17" fillId="6" borderId="2" xfId="1" applyFont="1" applyFill="1" applyBorder="1" applyAlignment="1">
      <alignment horizontal="center" vertical="center" wrapText="1"/>
    </xf>
    <xf numFmtId="0" fontId="17" fillId="6" borderId="3" xfId="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Alignment="1">
      <alignment horizontal="center" vertical="center"/>
    </xf>
    <xf numFmtId="0" fontId="11" fillId="0" borderId="0" xfId="1" applyFont="1" applyAlignment="1">
      <alignment vertical="center"/>
    </xf>
    <xf numFmtId="0" fontId="27" fillId="5" borderId="0" xfId="1" applyFont="1" applyFill="1" applyAlignment="1">
      <alignment horizontal="right" vertical="center"/>
    </xf>
    <xf numFmtId="0" fontId="27" fillId="0" borderId="5" xfId="1" applyFont="1" applyBorder="1" applyAlignment="1">
      <alignment vertical="center"/>
    </xf>
    <xf numFmtId="0" fontId="27" fillId="0" borderId="7" xfId="1" applyFont="1" applyBorder="1" applyAlignment="1">
      <alignment vertical="center"/>
    </xf>
    <xf numFmtId="0" fontId="27" fillId="0" borderId="6" xfId="1" applyFont="1" applyBorder="1" applyAlignment="1">
      <alignment vertical="center"/>
    </xf>
    <xf numFmtId="0" fontId="27" fillId="5" borderId="0" xfId="1" applyFont="1" applyFill="1" applyAlignment="1">
      <alignment horizontal="center" vertical="center"/>
    </xf>
    <xf numFmtId="0" fontId="11" fillId="5" borderId="0" xfId="1" applyFont="1" applyFill="1" applyAlignment="1">
      <alignment vertical="center"/>
    </xf>
    <xf numFmtId="4" fontId="11" fillId="5" borderId="0" xfId="1" applyNumberFormat="1" applyFont="1" applyFill="1" applyAlignment="1">
      <alignment vertical="center"/>
    </xf>
    <xf numFmtId="168" fontId="28" fillId="5" borderId="0" xfId="8" applyFont="1" applyFill="1" applyBorder="1" applyAlignment="1">
      <alignment horizontal="center" vertical="center"/>
    </xf>
    <xf numFmtId="4" fontId="27" fillId="5" borderId="0" xfId="1" applyNumberFormat="1" applyFont="1" applyFill="1" applyAlignment="1">
      <alignment horizontal="right" vertical="center"/>
    </xf>
    <xf numFmtId="0" fontId="27" fillId="5" borderId="9" xfId="1" applyFont="1" applyFill="1" applyBorder="1" applyAlignment="1">
      <alignment vertical="center" wrapText="1"/>
    </xf>
    <xf numFmtId="0" fontId="27" fillId="5" borderId="0" xfId="1" applyFont="1" applyFill="1" applyAlignment="1">
      <alignment horizontal="center" vertical="center" wrapText="1"/>
    </xf>
    <xf numFmtId="0" fontId="7" fillId="0" borderId="0" xfId="1" applyFont="1" applyAlignment="1">
      <alignment vertical="center" wrapText="1"/>
    </xf>
    <xf numFmtId="0" fontId="7" fillId="0" borderId="0" xfId="23" applyAlignment="1">
      <alignment vertical="center"/>
    </xf>
    <xf numFmtId="0" fontId="7" fillId="0" borderId="0" xfId="23" applyAlignment="1">
      <alignment horizontal="center" vertical="center"/>
    </xf>
    <xf numFmtId="0" fontId="7" fillId="0" borderId="0" xfId="23" applyAlignment="1">
      <alignment vertical="center" wrapText="1"/>
    </xf>
    <xf numFmtId="4" fontId="7" fillId="0" borderId="0" xfId="23" applyNumberFormat="1" applyAlignment="1">
      <alignment horizontal="center" vertical="center"/>
    </xf>
    <xf numFmtId="4" fontId="7" fillId="0" borderId="0" xfId="23" applyNumberFormat="1" applyAlignment="1">
      <alignment vertical="center"/>
    </xf>
    <xf numFmtId="0" fontId="11" fillId="0" borderId="0" xfId="23" applyFont="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0" fillId="0" borderId="0" xfId="23" applyFont="1" applyAlignment="1">
      <alignment vertical="center"/>
    </xf>
    <xf numFmtId="0" fontId="13" fillId="0" borderId="0" xfId="23" applyFont="1" applyAlignment="1">
      <alignment vertical="center"/>
    </xf>
    <xf numFmtId="49" fontId="7" fillId="0" borderId="0" xfId="23" applyNumberFormat="1" applyAlignment="1">
      <alignment horizontal="center"/>
    </xf>
    <xf numFmtId="49" fontId="18" fillId="5" borderId="0" xfId="23" applyNumberFormat="1" applyFont="1" applyFill="1" applyAlignment="1">
      <alignment horizontal="center" wrapText="1"/>
    </xf>
    <xf numFmtId="0" fontId="32" fillId="0" borderId="0" xfId="23" applyFont="1" applyAlignment="1">
      <alignment vertical="center" wrapText="1"/>
    </xf>
    <xf numFmtId="168" fontId="18" fillId="5" borderId="0" xfId="9" applyFont="1" applyFill="1" applyBorder="1" applyAlignment="1">
      <alignment horizontal="right"/>
    </xf>
    <xf numFmtId="168"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Alignment="1">
      <alignment vertical="center" wrapText="1"/>
    </xf>
    <xf numFmtId="0" fontId="34" fillId="12" borderId="0" xfId="23" applyFont="1" applyFill="1"/>
    <xf numFmtId="0" fontId="7" fillId="0" borderId="0" xfId="23"/>
    <xf numFmtId="10" fontId="18" fillId="0" borderId="0" xfId="36" applyNumberFormat="1" applyFont="1" applyAlignment="1">
      <alignment vertical="center"/>
    </xf>
    <xf numFmtId="49" fontId="33" fillId="5" borderId="40" xfId="23" applyNumberFormat="1" applyFont="1" applyFill="1" applyBorder="1" applyAlignment="1">
      <alignment vertical="center" wrapText="1"/>
    </xf>
    <xf numFmtId="0" fontId="7" fillId="5" borderId="48" xfId="23" applyFill="1" applyBorder="1" applyAlignment="1">
      <alignment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29" fillId="7" borderId="1" xfId="0" applyFont="1" applyFill="1" applyBorder="1" applyAlignment="1">
      <alignment horizontal="center" vertical="center"/>
    </xf>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5" fillId="3" borderId="7" xfId="1" applyFont="1" applyFill="1" applyBorder="1" applyAlignment="1">
      <alignment vertical="center" wrapText="1"/>
    </xf>
    <xf numFmtId="0" fontId="7" fillId="0" borderId="0" xfId="431" applyAlignment="1">
      <alignment horizontal="center" vertical="center"/>
    </xf>
    <xf numFmtId="0" fontId="7" fillId="0" borderId="0" xfId="431" applyAlignment="1">
      <alignment vertical="center" wrapText="1"/>
    </xf>
    <xf numFmtId="4" fontId="7" fillId="0" borderId="0" xfId="431" applyNumberFormat="1" applyAlignment="1">
      <alignment horizontal="center" vertical="center"/>
    </xf>
    <xf numFmtId="4" fontId="7" fillId="0" borderId="0" xfId="431" applyNumberFormat="1" applyAlignment="1">
      <alignment vertical="center"/>
    </xf>
    <xf numFmtId="0" fontId="7" fillId="0" borderId="0" xfId="43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Font="1" applyAlignment="1">
      <alignment vertical="center"/>
    </xf>
    <xf numFmtId="0" fontId="12" fillId="0" borderId="1" xfId="431" applyFont="1" applyBorder="1" applyAlignment="1">
      <alignment horizontal="center" vertical="center"/>
    </xf>
    <xf numFmtId="0" fontId="13" fillId="0" borderId="0" xfId="431" applyFont="1" applyAlignment="1">
      <alignment vertical="center"/>
    </xf>
    <xf numFmtId="0" fontId="7" fillId="6" borderId="0" xfId="431" applyFill="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87" fillId="0" borderId="0" xfId="23" applyFont="1"/>
    <xf numFmtId="2" fontId="88" fillId="0" borderId="0" xfId="31" applyNumberFormat="1" applyFont="1" applyAlignment="1">
      <alignment horizontal="center" vertical="center"/>
    </xf>
    <xf numFmtId="10" fontId="87" fillId="0" borderId="0" xfId="36" applyNumberFormat="1" applyFont="1"/>
    <xf numFmtId="0" fontId="7" fillId="0" borderId="18" xfId="23" applyBorder="1"/>
    <xf numFmtId="0" fontId="7" fillId="0" borderId="19" xfId="23" applyBorder="1"/>
    <xf numFmtId="0" fontId="72" fillId="0" borderId="0" xfId="23" applyFont="1" applyAlignment="1">
      <alignment horizontal="right" vertical="center"/>
    </xf>
    <xf numFmtId="40" fontId="7" fillId="0" borderId="0" xfId="23" applyNumberFormat="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7" fillId="0" borderId="0" xfId="23" applyAlignment="1">
      <alignment horizontal="left" vertical="center"/>
    </xf>
    <xf numFmtId="0" fontId="11" fillId="0" borderId="9" xfId="23" applyFont="1" applyBorder="1"/>
    <xf numFmtId="0" fontId="7" fillId="0" borderId="14" xfId="23" applyBorder="1"/>
    <xf numFmtId="0" fontId="89"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4" fillId="0" borderId="11" xfId="23" applyFont="1" applyBorder="1" applyAlignment="1">
      <alignment horizontal="center"/>
    </xf>
    <xf numFmtId="0" fontId="4" fillId="0" borderId="30" xfId="23" applyFont="1" applyBorder="1" applyAlignment="1">
      <alignment horizontal="center"/>
    </xf>
    <xf numFmtId="10" fontId="4" fillId="0" borderId="5" xfId="23" applyNumberFormat="1" applyFont="1" applyBorder="1" applyAlignment="1">
      <alignment horizontal="center" vertical="center"/>
    </xf>
    <xf numFmtId="0" fontId="4" fillId="0" borderId="0" xfId="23" applyFont="1"/>
    <xf numFmtId="0" fontId="4" fillId="0" borderId="0" xfId="23" applyFont="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167" fontId="3" fillId="11" borderId="8" xfId="52" applyFont="1" applyFill="1" applyBorder="1" applyAlignment="1">
      <alignment horizontal="right" vertical="center"/>
    </xf>
    <xf numFmtId="168" fontId="3" fillId="11" borderId="10" xfId="10" applyFont="1" applyFill="1" applyBorder="1" applyAlignment="1">
      <alignment horizontal="right" vertical="center"/>
    </xf>
    <xf numFmtId="167" fontId="3" fillId="11" borderId="8" xfId="50" applyFont="1" applyFill="1" applyBorder="1" applyAlignment="1">
      <alignment horizontal="right" vertical="center"/>
    </xf>
    <xf numFmtId="168" fontId="3" fillId="11"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Border="1" applyAlignment="1">
      <alignment vertical="center"/>
    </xf>
    <xf numFmtId="4" fontId="27" fillId="5" borderId="9" xfId="1" applyNumberFormat="1" applyFont="1" applyFill="1" applyBorder="1" applyAlignment="1">
      <alignment vertical="center" wrapText="1"/>
    </xf>
    <xf numFmtId="0" fontId="27" fillId="5" borderId="0" xfId="431" applyFont="1" applyFill="1" applyAlignment="1">
      <alignment vertical="center" wrapText="1"/>
    </xf>
    <xf numFmtId="0" fontId="3" fillId="8" borderId="14" xfId="23"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8" borderId="16" xfId="23" applyNumberFormat="1" applyFont="1" applyFill="1" applyBorder="1" applyAlignment="1">
      <alignment vertical="center" wrapText="1"/>
    </xf>
    <xf numFmtId="4" fontId="4" fillId="8" borderId="16" xfId="23" applyNumberFormat="1" applyFont="1" applyFill="1" applyBorder="1" applyAlignment="1">
      <alignment horizontal="center" vertical="center"/>
    </xf>
    <xf numFmtId="4" fontId="4" fillId="8" borderId="16" xfId="46" applyNumberFormat="1" applyFont="1" applyFill="1" applyBorder="1" applyAlignment="1">
      <alignment vertical="center"/>
    </xf>
    <xf numFmtId="4" fontId="4" fillId="8" borderId="16" xfId="23" applyNumberFormat="1" applyFont="1" applyFill="1" applyBorder="1" applyAlignment="1">
      <alignment vertical="center"/>
    </xf>
    <xf numFmtId="4" fontId="3" fillId="8" borderId="15" xfId="46" applyNumberFormat="1" applyFont="1" applyFill="1" applyBorder="1" applyAlignment="1">
      <alignment vertical="center"/>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8" borderId="5" xfId="23"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8" borderId="7" xfId="23" applyNumberFormat="1" applyFont="1" applyFill="1" applyBorder="1" applyAlignment="1">
      <alignment vertical="center" wrapText="1"/>
    </xf>
    <xf numFmtId="4" fontId="4" fillId="8" borderId="7" xfId="23" applyNumberFormat="1" applyFont="1" applyFill="1" applyBorder="1" applyAlignment="1">
      <alignment horizontal="center" vertical="center"/>
    </xf>
    <xf numFmtId="4" fontId="4" fillId="8" borderId="7" xfId="46" applyNumberFormat="1" applyFont="1" applyFill="1" applyBorder="1" applyAlignment="1">
      <alignment vertical="center"/>
    </xf>
    <xf numFmtId="4" fontId="4" fillId="8" borderId="7" xfId="23" applyNumberFormat="1" applyFont="1" applyFill="1" applyBorder="1" applyAlignment="1">
      <alignment vertical="center"/>
    </xf>
    <xf numFmtId="4" fontId="3" fillId="8" borderId="6" xfId="46" applyNumberFormat="1" applyFont="1" applyFill="1" applyBorder="1" applyAlignment="1">
      <alignment vertical="center"/>
    </xf>
    <xf numFmtId="0" fontId="3" fillId="5" borderId="0" xfId="1" applyFont="1" applyFill="1" applyAlignment="1">
      <alignment vertical="center" wrapText="1"/>
    </xf>
    <xf numFmtId="4" fontId="3" fillId="5" borderId="0" xfId="1" applyNumberFormat="1" applyFont="1" applyFill="1" applyAlignment="1">
      <alignment vertical="center" wrapText="1"/>
    </xf>
    <xf numFmtId="0" fontId="3" fillId="8" borderId="68" xfId="23" applyFont="1" applyFill="1" applyBorder="1" applyAlignment="1">
      <alignment horizontal="center" vertical="center" wrapText="1"/>
    </xf>
    <xf numFmtId="4" fontId="4" fillId="2" borderId="69" xfId="23" applyNumberFormat="1" applyFont="1" applyFill="1" applyBorder="1" applyAlignment="1">
      <alignment horizontal="center" vertical="center" wrapText="1"/>
    </xf>
    <xf numFmtId="4" fontId="3" fillId="8" borderId="69" xfId="23" applyNumberFormat="1" applyFont="1" applyFill="1" applyBorder="1" applyAlignment="1">
      <alignment vertical="center" wrapText="1"/>
    </xf>
    <xf numFmtId="4" fontId="4" fillId="8" borderId="69" xfId="23" applyNumberFormat="1" applyFont="1" applyFill="1" applyBorder="1" applyAlignment="1">
      <alignment horizontal="center" vertical="center"/>
    </xf>
    <xf numFmtId="4" fontId="4" fillId="8" borderId="69" xfId="46" applyNumberFormat="1" applyFont="1" applyFill="1" applyBorder="1" applyAlignment="1">
      <alignment vertical="center"/>
    </xf>
    <xf numFmtId="4" fontId="4" fillId="8" borderId="69" xfId="23" applyNumberFormat="1" applyFont="1" applyFill="1" applyBorder="1" applyAlignment="1">
      <alignment vertical="center"/>
    </xf>
    <xf numFmtId="4" fontId="3" fillId="8" borderId="16" xfId="0" applyNumberFormat="1" applyFont="1" applyFill="1" applyBorder="1" applyAlignment="1">
      <alignment vertical="center" wrapText="1"/>
    </xf>
    <xf numFmtId="0" fontId="4" fillId="42" borderId="5" xfId="0" applyFont="1" applyFill="1" applyBorder="1" applyAlignment="1">
      <alignment horizontal="center" vertical="center" wrapText="1"/>
    </xf>
    <xf numFmtId="4" fontId="4" fillId="42" borderId="7" xfId="0" applyNumberFormat="1" applyFont="1" applyFill="1" applyBorder="1" applyAlignment="1">
      <alignment horizontal="center" vertical="center" wrapText="1"/>
    </xf>
    <xf numFmtId="4" fontId="3" fillId="42" borderId="7" xfId="0" applyNumberFormat="1" applyFont="1" applyFill="1" applyBorder="1" applyAlignment="1">
      <alignment vertical="center" wrapText="1"/>
    </xf>
    <xf numFmtId="4" fontId="4" fillId="42" borderId="7" xfId="0" applyNumberFormat="1" applyFont="1" applyFill="1" applyBorder="1" applyAlignment="1">
      <alignment horizontal="center" vertical="center"/>
    </xf>
    <xf numFmtId="4" fontId="4" fillId="42" borderId="7" xfId="46" applyNumberFormat="1" applyFont="1" applyFill="1" applyBorder="1" applyAlignment="1">
      <alignment vertical="center"/>
    </xf>
    <xf numFmtId="4" fontId="4" fillId="42" borderId="7" xfId="0" applyNumberFormat="1" applyFont="1" applyFill="1" applyBorder="1" applyAlignment="1">
      <alignment vertical="center"/>
    </xf>
    <xf numFmtId="4" fontId="4" fillId="42" borderId="6" xfId="46" applyNumberFormat="1" applyFont="1" applyFill="1" applyBorder="1" applyAlignment="1">
      <alignment vertical="center"/>
    </xf>
    <xf numFmtId="0" fontId="4" fillId="0" borderId="26" xfId="0" applyFont="1" applyBorder="1" applyAlignment="1">
      <alignment horizontal="center" vertical="center" wrapText="1"/>
    </xf>
    <xf numFmtId="4" fontId="4" fillId="0" borderId="39" xfId="46" applyNumberFormat="1" applyFont="1" applyFill="1" applyBorder="1" applyAlignment="1">
      <alignment vertical="center"/>
    </xf>
    <xf numFmtId="4" fontId="4" fillId="8" borderId="16" xfId="23" applyNumberFormat="1" applyFont="1" applyFill="1" applyBorder="1" applyAlignment="1">
      <alignment horizontal="center" vertical="center" wrapText="1"/>
    </xf>
    <xf numFmtId="0" fontId="3" fillId="2" borderId="16" xfId="0" applyFont="1" applyFill="1" applyBorder="1" applyAlignment="1">
      <alignment vertical="center"/>
    </xf>
    <xf numFmtId="0" fontId="4" fillId="5" borderId="11" xfId="43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Alignment="1">
      <alignment vertical="center"/>
    </xf>
    <xf numFmtId="0" fontId="3" fillId="6" borderId="22" xfId="431" applyFont="1" applyFill="1" applyBorder="1" applyAlignment="1">
      <alignment vertical="center"/>
    </xf>
    <xf numFmtId="0" fontId="3" fillId="6" borderId="23" xfId="431" applyFont="1" applyFill="1" applyBorder="1" applyAlignment="1">
      <alignment vertical="center"/>
    </xf>
    <xf numFmtId="0" fontId="3" fillId="6" borderId="24" xfId="431" applyFont="1" applyFill="1" applyBorder="1" applyAlignment="1">
      <alignment vertical="center"/>
    </xf>
    <xf numFmtId="0" fontId="4" fillId="6" borderId="0" xfId="431" applyFont="1" applyFill="1" applyAlignment="1">
      <alignment vertical="center"/>
    </xf>
    <xf numFmtId="4" fontId="4" fillId="0" borderId="0" xfId="431" applyNumberFormat="1" applyFont="1" applyAlignment="1">
      <alignment vertical="center"/>
    </xf>
    <xf numFmtId="3" fontId="4" fillId="0" borderId="0" xfId="431" applyNumberFormat="1" applyFont="1" applyAlignment="1">
      <alignment vertical="center"/>
    </xf>
    <xf numFmtId="0" fontId="3" fillId="0" borderId="14" xfId="431" applyFont="1" applyBorder="1" applyAlignment="1">
      <alignment vertical="center" wrapText="1"/>
    </xf>
    <xf numFmtId="0" fontId="3" fillId="0" borderId="16" xfId="431" applyFont="1" applyBorder="1" applyAlignment="1">
      <alignment vertical="center"/>
    </xf>
    <xf numFmtId="0" fontId="3" fillId="0" borderId="16" xfId="431" applyFont="1" applyBorder="1" applyAlignment="1">
      <alignment horizontal="center" vertical="center"/>
    </xf>
    <xf numFmtId="0" fontId="3" fillId="0" borderId="16" xfId="431" applyFont="1" applyBorder="1" applyAlignment="1">
      <alignment horizontal="right" vertical="center" wrapText="1"/>
    </xf>
    <xf numFmtId="14" fontId="4" fillId="0" borderId="15" xfId="431" applyNumberFormat="1" applyFont="1" applyBorder="1" applyAlignment="1">
      <alignment horizontal="right" vertical="center"/>
    </xf>
    <xf numFmtId="0" fontId="3" fillId="0" borderId="8" xfId="431" applyFont="1" applyBorder="1" applyAlignment="1">
      <alignment vertical="center" wrapText="1"/>
    </xf>
    <xf numFmtId="0" fontId="4" fillId="0" borderId="9" xfId="431" applyFont="1" applyBorder="1" applyAlignment="1">
      <alignment vertical="center"/>
    </xf>
    <xf numFmtId="0" fontId="3" fillId="0" borderId="9" xfId="431" applyFont="1" applyBorder="1" applyAlignment="1">
      <alignment vertical="center" wrapText="1"/>
    </xf>
    <xf numFmtId="0" fontId="3" fillId="0" borderId="9" xfId="431" applyFont="1" applyBorder="1" applyAlignment="1">
      <alignment vertical="center"/>
    </xf>
    <xf numFmtId="0" fontId="3" fillId="0" borderId="9" xfId="431" applyFont="1" applyBorder="1" applyAlignment="1">
      <alignment horizontal="center" vertical="center"/>
    </xf>
    <xf numFmtId="0" fontId="3" fillId="0" borderId="9" xfId="431" applyFont="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78" xfId="1" applyFont="1" applyFill="1" applyBorder="1" applyAlignment="1">
      <alignment horizontal="center" vertical="center" wrapText="1"/>
    </xf>
    <xf numFmtId="0" fontId="3" fillId="6" borderId="79" xfId="1" applyFont="1" applyFill="1" applyBorder="1" applyAlignment="1">
      <alignment horizontal="center" vertical="center" wrapText="1"/>
    </xf>
    <xf numFmtId="4" fontId="3" fillId="6" borderId="79" xfId="1" applyNumberFormat="1" applyFont="1" applyFill="1" applyBorder="1" applyAlignment="1">
      <alignment horizontal="center" vertical="center" wrapText="1"/>
    </xf>
    <xf numFmtId="4" fontId="3" fillId="6" borderId="80"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Border="1" applyAlignment="1">
      <alignment vertical="center" wrapText="1"/>
    </xf>
    <xf numFmtId="0" fontId="3" fillId="0" borderId="16" xfId="23" applyFont="1" applyBorder="1" applyAlignment="1">
      <alignment horizontal="right" vertical="center" wrapText="1"/>
    </xf>
    <xf numFmtId="14" fontId="4" fillId="0" borderId="15" xfId="23" applyNumberFormat="1" applyFont="1" applyBorder="1" applyAlignment="1">
      <alignment horizontal="right" vertical="center"/>
    </xf>
    <xf numFmtId="0" fontId="3" fillId="0" borderId="18" xfId="23" applyFont="1" applyBorder="1" applyAlignment="1">
      <alignment vertical="center" wrapText="1"/>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Border="1" applyAlignment="1">
      <alignment horizontal="center" vertical="center" wrapText="1"/>
    </xf>
    <xf numFmtId="49" fontId="4" fillId="0" borderId="11" xfId="0" applyNumberFormat="1" applyFont="1" applyBorder="1" applyAlignment="1">
      <alignment horizontal="center"/>
    </xf>
    <xf numFmtId="0" fontId="4" fillId="5" borderId="11" xfId="0" applyFont="1" applyFill="1" applyBorder="1" applyAlignment="1">
      <alignment horizontal="center"/>
    </xf>
    <xf numFmtId="2" fontId="4" fillId="5" borderId="13" xfId="0" applyNumberFormat="1" applyFont="1" applyFill="1" applyBorder="1" applyAlignment="1">
      <alignment horizontal="right"/>
    </xf>
    <xf numFmtId="0" fontId="4" fillId="0" borderId="0" xfId="24" applyFont="1"/>
    <xf numFmtId="49" fontId="4" fillId="0" borderId="0" xfId="24" applyNumberFormat="1" applyFont="1" applyAlignment="1">
      <alignment horizont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49" fontId="4" fillId="5" borderId="13" xfId="32" applyNumberFormat="1" applyFont="1" applyFill="1" applyBorder="1" applyAlignment="1">
      <alignment horizontal="left" vertical="center" wrapText="1"/>
    </xf>
    <xf numFmtId="0" fontId="4" fillId="0" borderId="0" xfId="23" applyFont="1" applyAlignment="1">
      <alignment vertical="center"/>
    </xf>
    <xf numFmtId="0" fontId="3" fillId="4" borderId="33" xfId="23" applyFont="1" applyFill="1" applyBorder="1" applyAlignment="1">
      <alignment horizontal="center" vertical="center"/>
    </xf>
    <xf numFmtId="167" fontId="4" fillId="0" borderId="0" xfId="50" applyFont="1" applyFill="1" applyBorder="1" applyAlignment="1">
      <alignment horizontal="center"/>
    </xf>
    <xf numFmtId="169" fontId="4" fillId="0" borderId="0" xfId="23" applyNumberFormat="1" applyFont="1" applyAlignment="1">
      <alignment horizontal="right"/>
    </xf>
    <xf numFmtId="49" fontId="4" fillId="0" borderId="0" xfId="0" applyNumberFormat="1" applyFont="1" applyAlignment="1">
      <alignment vertical="top"/>
    </xf>
    <xf numFmtId="4" fontId="4" fillId="0" borderId="31" xfId="23" applyNumberFormat="1" applyFont="1" applyBorder="1" applyAlignment="1">
      <alignment horizontal="right"/>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2" fillId="0" borderId="0" xfId="0" applyNumberFormat="1" applyFont="1"/>
    <xf numFmtId="167" fontId="3" fillId="11" borderId="81" xfId="50" applyFont="1" applyFill="1" applyBorder="1" applyAlignment="1">
      <alignment horizontal="right" vertical="center"/>
    </xf>
    <xf numFmtId="168" fontId="3" fillId="11" borderId="82" xfId="8" applyFont="1" applyFill="1" applyBorder="1" applyAlignment="1">
      <alignment horizontal="right" vertical="center"/>
    </xf>
    <xf numFmtId="4" fontId="3" fillId="41" borderId="16" xfId="98" applyNumberFormat="1" applyFont="1" applyFill="1" applyBorder="1" applyAlignment="1">
      <alignment horizontal="right" wrapText="1"/>
    </xf>
    <xf numFmtId="4" fontId="3" fillId="41" borderId="15" xfId="46" applyNumberFormat="1" applyFont="1" applyFill="1" applyBorder="1" applyAlignment="1"/>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167" fontId="3" fillId="11" borderId="81" xfId="637" applyFont="1" applyFill="1" applyBorder="1" applyAlignment="1">
      <alignment horizontal="right" vertical="center"/>
    </xf>
    <xf numFmtId="0" fontId="56" fillId="7" borderId="78" xfId="0" applyFont="1" applyFill="1" applyBorder="1" applyAlignment="1">
      <alignment horizontal="center"/>
    </xf>
    <xf numFmtId="0" fontId="56" fillId="7" borderId="79" xfId="0" applyFont="1" applyFill="1" applyBorder="1" applyAlignment="1">
      <alignment horizontal="center" wrapText="1"/>
    </xf>
    <xf numFmtId="0" fontId="29" fillId="7" borderId="79" xfId="0" applyFont="1" applyFill="1" applyBorder="1" applyAlignment="1">
      <alignment horizontal="center" vertical="center"/>
    </xf>
    <xf numFmtId="0" fontId="29" fillId="7" borderId="80" xfId="0" applyFont="1" applyFill="1" applyBorder="1" applyAlignment="1">
      <alignment horizontal="center" vertical="center"/>
    </xf>
    <xf numFmtId="4" fontId="3" fillId="4" borderId="33" xfId="640" applyNumberFormat="1" applyFont="1" applyFill="1" applyBorder="1" applyAlignment="1">
      <alignment horizontal="center" vertical="center" wrapText="1"/>
    </xf>
    <xf numFmtId="49" fontId="4" fillId="5" borderId="0" xfId="0" applyNumberFormat="1" applyFont="1" applyFill="1" applyAlignment="1">
      <alignment horizontal="left" vertical="top" wrapText="1"/>
    </xf>
    <xf numFmtId="0" fontId="3" fillId="0" borderId="0" xfId="23" applyFont="1" applyAlignment="1">
      <alignment vertical="center"/>
    </xf>
    <xf numFmtId="0" fontId="3" fillId="7" borderId="0" xfId="23" applyFont="1" applyFill="1" applyAlignment="1">
      <alignment vertical="center"/>
    </xf>
    <xf numFmtId="4" fontId="5" fillId="0" borderId="0" xfId="23" applyNumberFormat="1" applyFont="1" applyAlignment="1">
      <alignment vertical="center"/>
    </xf>
    <xf numFmtId="0" fontId="2" fillId="0" borderId="0" xfId="0" applyFont="1"/>
    <xf numFmtId="167" fontId="3" fillId="11" borderId="81" xfId="52" applyFont="1" applyFill="1" applyBorder="1" applyAlignment="1">
      <alignment horizontal="right" vertical="center"/>
    </xf>
    <xf numFmtId="168" fontId="3" fillId="11" borderId="82" xfId="10" applyFont="1" applyFill="1" applyBorder="1" applyAlignment="1">
      <alignment horizontal="right" vertical="center"/>
    </xf>
    <xf numFmtId="0" fontId="4" fillId="7" borderId="0" xfId="23" applyFont="1" applyFill="1" applyAlignment="1">
      <alignment vertical="center"/>
    </xf>
    <xf numFmtId="0" fontId="4" fillId="0" borderId="0" xfId="0" applyFont="1" applyAlignment="1">
      <alignment vertical="center"/>
    </xf>
    <xf numFmtId="4" fontId="4" fillId="0" borderId="0" xfId="640" applyNumberFormat="1" applyFont="1" applyAlignment="1">
      <alignment horizontal="center" vertical="center"/>
    </xf>
    <xf numFmtId="49" fontId="4" fillId="0" borderId="0" xfId="640" applyNumberFormat="1" applyFont="1"/>
    <xf numFmtId="0" fontId="5" fillId="0" borderId="0" xfId="640"/>
    <xf numFmtId="0" fontId="34" fillId="12" borderId="0" xfId="640" applyFont="1" applyFill="1"/>
    <xf numFmtId="167" fontId="3" fillId="0" borderId="0" xfId="641" applyFont="1" applyFill="1" applyBorder="1" applyAlignment="1">
      <alignment horizontal="right" vertical="center"/>
    </xf>
    <xf numFmtId="168" fontId="3" fillId="0" borderId="0" xfId="642" applyFont="1" applyFill="1" applyBorder="1" applyAlignment="1">
      <alignment horizontal="right" vertical="center"/>
    </xf>
    <xf numFmtId="167" fontId="3" fillId="11" borderId="8" xfId="641" applyFont="1" applyFill="1" applyBorder="1" applyAlignment="1">
      <alignment horizontal="right" vertical="center"/>
    </xf>
    <xf numFmtId="168" fontId="3" fillId="11" borderId="10" xfId="642" applyFont="1" applyFill="1" applyBorder="1" applyAlignment="1">
      <alignment horizontal="right" vertical="center"/>
    </xf>
    <xf numFmtId="0" fontId="5" fillId="0" borderId="0" xfId="640" applyAlignment="1">
      <alignment vertical="center"/>
    </xf>
    <xf numFmtId="49" fontId="18" fillId="5" borderId="0" xfId="640" applyNumberFormat="1" applyFont="1" applyFill="1" applyAlignment="1">
      <alignment horizontal="center" wrapText="1"/>
    </xf>
    <xf numFmtId="0" fontId="32" fillId="0" borderId="0" xfId="640" applyFont="1" applyAlignment="1">
      <alignment vertical="center" wrapText="1"/>
    </xf>
    <xf numFmtId="168" fontId="18" fillId="5" borderId="0" xfId="644" applyFont="1" applyFill="1" applyBorder="1" applyAlignment="1">
      <alignment horizontal="right"/>
    </xf>
    <xf numFmtId="168" fontId="18" fillId="5" borderId="0" xfId="784" applyFont="1" applyFill="1" applyBorder="1" applyAlignment="1">
      <alignment horizontal="right" wrapText="1"/>
    </xf>
    <xf numFmtId="8" fontId="18" fillId="5" borderId="0" xfId="644" applyNumberFormat="1" applyFont="1" applyFill="1" applyBorder="1" applyAlignment="1">
      <alignment horizontal="right"/>
    </xf>
    <xf numFmtId="0" fontId="4" fillId="0" borderId="0" xfId="640" applyFont="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Font="1" applyAlignment="1">
      <alignment vertical="center"/>
    </xf>
    <xf numFmtId="0" fontId="30" fillId="0" borderId="0" xfId="640" applyFont="1" applyAlignment="1">
      <alignment vertical="center"/>
    </xf>
    <xf numFmtId="10" fontId="12" fillId="0" borderId="1" xfId="645" applyNumberFormat="1" applyFont="1" applyFill="1" applyBorder="1" applyAlignment="1">
      <alignment horizontal="center" vertical="center" wrapText="1"/>
    </xf>
    <xf numFmtId="0" fontId="13" fillId="0" borderId="0" xfId="640" applyFont="1" applyAlignment="1">
      <alignment vertical="center"/>
    </xf>
    <xf numFmtId="0" fontId="5" fillId="5" borderId="0" xfId="640" applyFill="1" applyAlignment="1">
      <alignment vertical="center" wrapText="1"/>
    </xf>
    <xf numFmtId="0" fontId="2" fillId="0" borderId="0" xfId="0" applyFont="1" applyAlignment="1">
      <alignment horizontal="center"/>
    </xf>
    <xf numFmtId="0" fontId="5" fillId="5" borderId="0" xfId="1" applyFill="1" applyAlignment="1">
      <alignment vertical="center"/>
    </xf>
    <xf numFmtId="0" fontId="5" fillId="0" borderId="0" xfId="1" applyAlignment="1">
      <alignment vertical="center"/>
    </xf>
    <xf numFmtId="14" fontId="5" fillId="5" borderId="0" xfId="1" applyNumberFormat="1" applyFill="1" applyAlignment="1">
      <alignment horizontal="right" vertical="center"/>
    </xf>
    <xf numFmtId="10" fontId="5" fillId="5" borderId="0" xfId="645" applyNumberFormat="1" applyFont="1" applyFill="1" applyBorder="1" applyAlignment="1">
      <alignment horizontal="right" vertical="center" wrapText="1"/>
    </xf>
    <xf numFmtId="0" fontId="95" fillId="0" borderId="85" xfId="0" applyFont="1" applyBorder="1" applyAlignment="1">
      <alignment horizontal="left" vertical="center"/>
    </xf>
    <xf numFmtId="10" fontId="95" fillId="0" borderId="85" xfId="924" applyNumberFormat="1" applyFont="1" applyBorder="1" applyAlignment="1">
      <alignment horizontal="center" vertical="center" wrapText="1"/>
    </xf>
    <xf numFmtId="0" fontId="95" fillId="46" borderId="85" xfId="0" applyFont="1" applyFill="1" applyBorder="1" applyAlignment="1">
      <alignment horizontal="left" vertical="center" wrapText="1"/>
    </xf>
    <xf numFmtId="10" fontId="95" fillId="46" borderId="85" xfId="924" applyNumberFormat="1" applyFont="1" applyFill="1" applyBorder="1" applyAlignment="1">
      <alignment horizontal="center" vertical="center" wrapText="1"/>
    </xf>
    <xf numFmtId="0" fontId="95" fillId="0" borderId="85" xfId="0" applyFont="1" applyBorder="1" applyAlignment="1">
      <alignment horizontal="left" vertical="center" wrapText="1"/>
    </xf>
    <xf numFmtId="0" fontId="95" fillId="46" borderId="85" xfId="0" applyFont="1" applyFill="1" applyBorder="1" applyAlignment="1">
      <alignment horizontal="left" vertical="center"/>
    </xf>
    <xf numFmtId="10" fontId="95" fillId="0" borderId="85" xfId="924" applyNumberFormat="1" applyFont="1" applyBorder="1" applyAlignment="1">
      <alignment horizontal="center" vertical="center"/>
    </xf>
    <xf numFmtId="10" fontId="95" fillId="46" borderId="85" xfId="924" applyNumberFormat="1" applyFont="1" applyFill="1" applyBorder="1" applyAlignment="1">
      <alignment horizontal="center" vertical="center"/>
    </xf>
    <xf numFmtId="0" fontId="99" fillId="46" borderId="85" xfId="0" applyFont="1" applyFill="1" applyBorder="1" applyAlignment="1">
      <alignment horizontal="center" vertical="center" wrapText="1"/>
    </xf>
    <xf numFmtId="10" fontId="99" fillId="46" borderId="85" xfId="924" applyNumberFormat="1" applyFont="1" applyFill="1" applyBorder="1" applyAlignment="1">
      <alignment horizontal="center" vertical="center" wrapText="1"/>
    </xf>
    <xf numFmtId="10" fontId="99" fillId="0" borderId="85" xfId="924" applyNumberFormat="1" applyFont="1" applyBorder="1" applyAlignment="1">
      <alignment horizontal="center" vertical="center" wrapText="1"/>
    </xf>
    <xf numFmtId="0" fontId="3" fillId="4" borderId="32" xfId="635" applyFont="1" applyFill="1" applyBorder="1" applyAlignment="1">
      <alignment horizontal="center" vertical="center"/>
    </xf>
    <xf numFmtId="167"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7" fontId="4" fillId="0" borderId="0" xfId="641" applyFont="1" applyFill="1" applyBorder="1" applyAlignment="1">
      <alignment horizontal="center"/>
    </xf>
    <xf numFmtId="169" fontId="4" fillId="0" borderId="0" xfId="640" applyNumberFormat="1" applyFont="1" applyAlignment="1">
      <alignment horizontal="right"/>
    </xf>
    <xf numFmtId="49" fontId="33" fillId="5" borderId="40" xfId="640" applyNumberFormat="1" applyFont="1" applyFill="1" applyBorder="1" applyAlignment="1">
      <alignment vertical="center" wrapText="1"/>
    </xf>
    <xf numFmtId="0" fontId="5" fillId="5" borderId="48" xfId="640" applyFill="1" applyBorder="1" applyAlignment="1">
      <alignment vertical="center" wrapText="1"/>
    </xf>
    <xf numFmtId="49" fontId="4" fillId="0" borderId="0" xfId="640" applyNumberFormat="1" applyFont="1" applyAlignment="1">
      <alignment vertical="top"/>
    </xf>
    <xf numFmtId="0" fontId="4" fillId="0" borderId="0" xfId="640" applyFont="1"/>
    <xf numFmtId="0" fontId="4" fillId="0" borderId="20" xfId="1" applyFont="1" applyBorder="1" applyAlignment="1">
      <alignment wrapText="1"/>
    </xf>
    <xf numFmtId="0" fontId="4" fillId="0" borderId="20" xfId="1" applyFont="1" applyBorder="1" applyAlignment="1">
      <alignment horizontal="center" wrapText="1"/>
    </xf>
    <xf numFmtId="4" fontId="4" fillId="0" borderId="20" xfId="1" applyNumberFormat="1" applyFont="1" applyBorder="1" applyAlignment="1">
      <alignment horizontal="right" wrapText="1"/>
    </xf>
    <xf numFmtId="167" fontId="3" fillId="11" borderId="5" xfId="641" applyFont="1" applyFill="1" applyBorder="1" applyAlignment="1">
      <alignment horizontal="right" vertical="center"/>
    </xf>
    <xf numFmtId="168" fontId="3" fillId="11" borderId="6" xfId="642" applyFont="1" applyFill="1" applyBorder="1" applyAlignment="1">
      <alignment horizontal="right" vertical="center"/>
    </xf>
    <xf numFmtId="0" fontId="0" fillId="0" borderId="20" xfId="0" applyBorder="1" applyAlignment="1">
      <alignment wrapText="1"/>
    </xf>
    <xf numFmtId="0" fontId="0" fillId="0" borderId="20" xfId="0" applyBorder="1"/>
    <xf numFmtId="0" fontId="4" fillId="0" borderId="13" xfId="1" applyFont="1" applyBorder="1" applyAlignment="1">
      <alignment horizontal="center" wrapText="1"/>
    </xf>
    <xf numFmtId="0" fontId="4" fillId="0" borderId="13" xfId="1" applyFont="1" applyBorder="1" applyAlignment="1">
      <alignment wrapText="1"/>
    </xf>
    <xf numFmtId="0" fontId="4" fillId="0" borderId="21" xfId="1" applyFont="1" applyBorder="1" applyAlignment="1">
      <alignment wrapText="1"/>
    </xf>
    <xf numFmtId="0" fontId="4" fillId="0" borderId="21" xfId="1" applyFont="1" applyBorder="1" applyAlignment="1">
      <alignment horizontal="center" wrapText="1"/>
    </xf>
    <xf numFmtId="2" fontId="4" fillId="0" borderId="13" xfId="1" applyNumberFormat="1" applyFont="1" applyBorder="1" applyAlignment="1">
      <alignment horizontal="right" wrapText="1"/>
    </xf>
    <xf numFmtId="2" fontId="4" fillId="0" borderId="21" xfId="1" applyNumberFormat="1" applyFont="1" applyBorder="1" applyAlignment="1">
      <alignment horizontal="right" wrapText="1"/>
    </xf>
    <xf numFmtId="0" fontId="4" fillId="0" borderId="13" xfId="0" applyFont="1" applyBorder="1" applyAlignment="1">
      <alignment horizontal="center"/>
    </xf>
    <xf numFmtId="2" fontId="2" fillId="0" borderId="21" xfId="0" applyNumberFormat="1" applyFont="1" applyBorder="1" applyAlignment="1">
      <alignment horizontal="right"/>
    </xf>
    <xf numFmtId="4" fontId="2" fillId="0" borderId="12" xfId="0" applyNumberFormat="1" applyFont="1" applyBorder="1" applyAlignment="1">
      <alignment horizontal="right"/>
    </xf>
    <xf numFmtId="167" fontId="3" fillId="11" borderId="81" xfId="641" applyFont="1" applyFill="1" applyBorder="1" applyAlignment="1">
      <alignment horizontal="right" vertical="center"/>
    </xf>
    <xf numFmtId="168" fontId="3" fillId="11" borderId="82" xfId="642" applyFont="1" applyFill="1" applyBorder="1" applyAlignment="1">
      <alignment horizontal="right" vertical="center"/>
    </xf>
    <xf numFmtId="167" fontId="3" fillId="5" borderId="0" xfId="643" applyFont="1" applyFill="1" applyBorder="1" applyAlignment="1">
      <alignment horizontal="right" vertical="center"/>
    </xf>
    <xf numFmtId="168" fontId="3" fillId="5" borderId="0" xfId="644" applyFont="1" applyFill="1" applyBorder="1" applyAlignment="1">
      <alignment horizontal="right" vertical="center"/>
    </xf>
    <xf numFmtId="49" fontId="3" fillId="0" borderId="0" xfId="640" applyNumberFormat="1" applyFont="1" applyAlignment="1">
      <alignment vertical="center" wrapText="1"/>
    </xf>
    <xf numFmtId="167" fontId="3" fillId="11" borderId="2" xfId="641" applyFont="1" applyFill="1" applyBorder="1" applyAlignment="1">
      <alignment horizontal="right" vertical="center"/>
    </xf>
    <xf numFmtId="0" fontId="4" fillId="0" borderId="11" xfId="0" applyFont="1" applyBorder="1" applyAlignment="1">
      <alignment horizontal="center"/>
    </xf>
    <xf numFmtId="4" fontId="2" fillId="0" borderId="31" xfId="0" applyNumberFormat="1" applyFont="1" applyBorder="1" applyAlignment="1">
      <alignment horizontal="right"/>
    </xf>
    <xf numFmtId="0" fontId="3" fillId="0" borderId="0" xfId="640" applyFont="1" applyAlignment="1">
      <alignment vertical="center"/>
    </xf>
    <xf numFmtId="167" fontId="3" fillId="5" borderId="0" xfId="641" applyFont="1" applyFill="1" applyBorder="1" applyAlignment="1">
      <alignment horizontal="right" vertical="center"/>
    </xf>
    <xf numFmtId="0" fontId="4" fillId="0" borderId="0" xfId="636" applyFont="1"/>
    <xf numFmtId="0" fontId="35" fillId="0" borderId="30" xfId="124" applyFont="1" applyBorder="1" applyAlignment="1">
      <alignment horizontal="center" vertical="center" wrapText="1"/>
    </xf>
    <xf numFmtId="4" fontId="93" fillId="5" borderId="0" xfId="45" applyNumberFormat="1" applyFont="1" applyFill="1" applyBorder="1" applyAlignment="1">
      <alignment horizontal="left" vertical="center"/>
    </xf>
    <xf numFmtId="0" fontId="4" fillId="0" borderId="0" xfId="1" applyFont="1" applyAlignment="1">
      <alignment vertical="center"/>
    </xf>
    <xf numFmtId="0" fontId="3" fillId="5" borderId="0" xfId="1" applyFont="1" applyFill="1" applyAlignment="1">
      <alignment horizontal="right" vertical="center"/>
    </xf>
    <xf numFmtId="2" fontId="4" fillId="5" borderId="0" xfId="1" applyNumberFormat="1" applyFont="1" applyFill="1" applyAlignment="1">
      <alignment vertical="center"/>
    </xf>
    <xf numFmtId="0" fontId="4" fillId="5" borderId="0" xfId="1" applyFont="1" applyFill="1" applyAlignment="1">
      <alignment vertical="center"/>
    </xf>
    <xf numFmtId="4" fontId="3" fillId="5" borderId="0" xfId="1" applyNumberFormat="1" applyFont="1" applyFill="1" applyAlignment="1">
      <alignment horizontal="right" vertical="center"/>
    </xf>
    <xf numFmtId="0" fontId="3" fillId="5" borderId="0" xfId="1" applyFont="1" applyFill="1" applyAlignment="1">
      <alignment horizontal="center" vertical="center" wrapText="1"/>
    </xf>
    <xf numFmtId="4" fontId="4" fillId="5" borderId="0" xfId="1" applyNumberFormat="1" applyFont="1" applyFill="1" applyAlignment="1">
      <alignment vertical="center"/>
    </xf>
    <xf numFmtId="0" fontId="4" fillId="0" borderId="23" xfId="1" applyFont="1" applyBorder="1" applyAlignment="1">
      <alignment vertical="center"/>
    </xf>
    <xf numFmtId="4" fontId="4" fillId="5" borderId="0" xfId="0" applyNumberFormat="1" applyFont="1" applyFill="1" applyAlignment="1">
      <alignment vertical="center"/>
    </xf>
    <xf numFmtId="0" fontId="3" fillId="13" borderId="0" xfId="0" applyFont="1" applyFill="1" applyAlignment="1">
      <alignment horizontal="right" vertical="center"/>
    </xf>
    <xf numFmtId="4" fontId="4" fillId="13" borderId="0" xfId="0" applyNumberFormat="1" applyFont="1" applyFill="1" applyAlignment="1">
      <alignment vertical="center"/>
    </xf>
    <xf numFmtId="0" fontId="4" fillId="13" borderId="0" xfId="0" applyFont="1" applyFill="1" applyAlignment="1">
      <alignment vertical="center"/>
    </xf>
    <xf numFmtId="4" fontId="4" fillId="10" borderId="31" xfId="0" applyNumberFormat="1" applyFont="1" applyFill="1" applyBorder="1" applyAlignment="1">
      <alignment vertical="center"/>
    </xf>
    <xf numFmtId="0" fontId="3" fillId="8" borderId="18" xfId="23" applyFont="1" applyFill="1" applyBorder="1" applyAlignment="1">
      <alignment horizontal="center" vertical="center" wrapText="1"/>
    </xf>
    <xf numFmtId="4" fontId="4" fillId="2" borderId="0" xfId="23" applyNumberFormat="1" applyFont="1" applyFill="1" applyAlignment="1">
      <alignment horizontal="center" vertical="center" wrapText="1"/>
    </xf>
    <xf numFmtId="4" fontId="3" fillId="8" borderId="0" xfId="23" applyNumberFormat="1" applyFont="1" applyFill="1" applyAlignment="1">
      <alignment vertical="center" wrapText="1"/>
    </xf>
    <xf numFmtId="4" fontId="4" fillId="8" borderId="0" xfId="23" applyNumberFormat="1" applyFont="1" applyFill="1" applyAlignment="1">
      <alignment horizontal="center" vertical="center"/>
    </xf>
    <xf numFmtId="4" fontId="4" fillId="8" borderId="0" xfId="46" applyNumberFormat="1" applyFont="1" applyFill="1" applyBorder="1" applyAlignment="1">
      <alignment vertical="center"/>
    </xf>
    <xf numFmtId="4" fontId="4" fillId="8" borderId="0" xfId="23" applyNumberFormat="1" applyFont="1" applyFill="1" applyAlignment="1">
      <alignment vertical="center"/>
    </xf>
    <xf numFmtId="4" fontId="3" fillId="8" borderId="19" xfId="46" applyNumberFormat="1" applyFont="1" applyFill="1" applyBorder="1" applyAlignment="1">
      <alignment vertical="center"/>
    </xf>
    <xf numFmtId="0" fontId="3" fillId="0" borderId="18" xfId="1" applyFont="1" applyBorder="1" applyAlignment="1">
      <alignment vertical="center" wrapText="1"/>
    </xf>
    <xf numFmtId="0" fontId="5" fillId="0" borderId="0" xfId="640" applyAlignment="1">
      <alignment horizontal="center" vertical="center"/>
    </xf>
    <xf numFmtId="0" fontId="5" fillId="0" borderId="0" xfId="640" applyAlignment="1">
      <alignment vertical="center" wrapText="1"/>
    </xf>
    <xf numFmtId="4" fontId="5" fillId="0" borderId="0" xfId="640" applyNumberFormat="1" applyAlignment="1">
      <alignment horizontal="center" vertical="center"/>
    </xf>
    <xf numFmtId="10" fontId="18" fillId="0" borderId="0" xfId="645" applyNumberFormat="1" applyFont="1" applyAlignment="1">
      <alignment vertical="center"/>
    </xf>
    <xf numFmtId="4" fontId="5" fillId="0" borderId="0" xfId="640" applyNumberFormat="1" applyAlignment="1">
      <alignment vertical="center"/>
    </xf>
    <xf numFmtId="0" fontId="4" fillId="7" borderId="0" xfId="640" applyFont="1" applyFill="1"/>
    <xf numFmtId="0" fontId="5" fillId="7" borderId="0" xfId="640" applyFill="1"/>
    <xf numFmtId="0" fontId="3" fillId="0" borderId="11" xfId="640" applyFont="1" applyBorder="1" applyAlignment="1">
      <alignment horizontal="center" vertical="center" wrapText="1"/>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4" fontId="4" fillId="0" borderId="33" xfId="45" applyNumberFormat="1" applyFont="1" applyFill="1" applyBorder="1" applyAlignment="1"/>
    <xf numFmtId="0" fontId="82" fillId="8" borderId="5" xfId="0" applyFont="1" applyFill="1" applyBorder="1" applyAlignment="1">
      <alignment horizontal="right" vertical="center"/>
    </xf>
    <xf numFmtId="0" fontId="82" fillId="8" borderId="7" xfId="0" applyFont="1" applyFill="1" applyBorder="1" applyAlignment="1">
      <alignment horizontal="right" vertical="center"/>
    </xf>
    <xf numFmtId="4" fontId="22" fillId="0" borderId="0" xfId="1" applyNumberFormat="1" applyFont="1" applyAlignment="1">
      <alignment vertical="center" wrapText="1"/>
    </xf>
    <xf numFmtId="4" fontId="3" fillId="41" borderId="0" xfId="98" applyNumberFormat="1" applyFont="1" applyFill="1" applyAlignment="1">
      <alignment horizontal="right" wrapText="1"/>
    </xf>
    <xf numFmtId="4" fontId="3" fillId="41" borderId="19" xfId="46" applyNumberFormat="1" applyFont="1" applyFill="1" applyBorder="1" applyAlignment="1"/>
    <xf numFmtId="0" fontId="4" fillId="5" borderId="0" xfId="0" applyFont="1" applyFill="1" applyAlignment="1">
      <alignment vertical="center"/>
    </xf>
    <xf numFmtId="14" fontId="2" fillId="0" borderId="41" xfId="0" applyNumberFormat="1" applyFont="1" applyBorder="1" applyAlignment="1">
      <alignment vertical="center"/>
    </xf>
    <xf numFmtId="0" fontId="3" fillId="4" borderId="32" xfId="3017" applyFont="1" applyFill="1" applyBorder="1" applyAlignment="1">
      <alignment horizontal="center" vertical="center"/>
    </xf>
    <xf numFmtId="10" fontId="12" fillId="0" borderId="10" xfId="36" applyNumberFormat="1" applyFont="1" applyFill="1" applyBorder="1" applyAlignment="1">
      <alignment horizontal="center" vertical="center" wrapText="1"/>
    </xf>
    <xf numFmtId="0" fontId="12" fillId="0" borderId="8" xfId="0" applyFont="1" applyBorder="1" applyAlignment="1">
      <alignment horizontal="center" vertical="center"/>
    </xf>
    <xf numFmtId="49" fontId="5" fillId="0" borderId="0" xfId="640" applyNumberFormat="1" applyAlignment="1">
      <alignment horizontal="center"/>
    </xf>
    <xf numFmtId="0" fontId="5" fillId="0" borderId="0" xfId="646"/>
    <xf numFmtId="0" fontId="11" fillId="0" borderId="0" xfId="33" applyFont="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0" fillId="0" borderId="0" xfId="33" applyFont="1" applyAlignment="1">
      <alignment vertical="center"/>
    </xf>
    <xf numFmtId="0" fontId="5" fillId="0" borderId="18" xfId="33" applyFont="1" applyBorder="1" applyAlignment="1">
      <alignment vertical="center"/>
    </xf>
    <xf numFmtId="0" fontId="16" fillId="0" borderId="7" xfId="33" applyFont="1" applyBorder="1" applyAlignment="1">
      <alignment vertical="center"/>
    </xf>
    <xf numFmtId="0" fontId="16" fillId="0" borderId="6" xfId="33" applyFont="1" applyBorder="1" applyAlignment="1">
      <alignment vertical="center"/>
    </xf>
    <xf numFmtId="0" fontId="5" fillId="0" borderId="0" xfId="33" applyFont="1" applyAlignment="1">
      <alignment vertical="center"/>
    </xf>
    <xf numFmtId="0" fontId="13" fillId="0" borderId="0" xfId="33" applyFont="1" applyAlignment="1">
      <alignment vertical="center"/>
    </xf>
    <xf numFmtId="0" fontId="13" fillId="0" borderId="8" xfId="33" applyFont="1" applyBorder="1" applyAlignment="1">
      <alignment vertical="center"/>
    </xf>
    <xf numFmtId="0" fontId="3" fillId="0" borderId="14" xfId="33" applyFont="1" applyBorder="1" applyAlignment="1">
      <alignment vertical="center"/>
    </xf>
    <xf numFmtId="0" fontId="3" fillId="0" borderId="16" xfId="33" applyFont="1" applyBorder="1" applyAlignment="1">
      <alignment horizontal="left" vertical="center"/>
    </xf>
    <xf numFmtId="14" fontId="4" fillId="0" borderId="16" xfId="33" applyNumberFormat="1" applyFont="1" applyBorder="1" applyAlignment="1">
      <alignment horizontal="left" vertical="center" wrapText="1"/>
    </xf>
    <xf numFmtId="14" fontId="4" fillId="0" borderId="15" xfId="33" applyNumberFormat="1" applyFont="1" applyBorder="1" applyAlignment="1">
      <alignment horizontal="right" vertical="center"/>
    </xf>
    <xf numFmtId="10" fontId="4" fillId="0" borderId="9" xfId="33" applyNumberFormat="1" applyFont="1" applyBorder="1" applyAlignment="1">
      <alignment horizontal="left" vertical="center"/>
    </xf>
    <xf numFmtId="0" fontId="1" fillId="0" borderId="0" xfId="33"/>
    <xf numFmtId="49" fontId="1" fillId="0" borderId="0" xfId="33" applyNumberFormat="1" applyAlignment="1">
      <alignment horizontal="center"/>
    </xf>
    <xf numFmtId="0" fontId="4" fillId="47" borderId="5" xfId="33" applyFont="1" applyFill="1" applyBorder="1"/>
    <xf numFmtId="0" fontId="4" fillId="47" borderId="7" xfId="33" applyFont="1" applyFill="1" applyBorder="1" applyAlignment="1">
      <alignment horizontal="center"/>
    </xf>
    <xf numFmtId="0" fontId="124" fillId="47" borderId="7" xfId="33" applyFont="1" applyFill="1" applyBorder="1"/>
    <xf numFmtId="14" fontId="4" fillId="47" borderId="7" xfId="33" applyNumberFormat="1" applyFont="1" applyFill="1" applyBorder="1" applyAlignment="1">
      <alignment horizontal="right"/>
    </xf>
    <xf numFmtId="0" fontId="124" fillId="47" borderId="6" xfId="33" applyFont="1" applyFill="1" applyBorder="1"/>
    <xf numFmtId="0" fontId="32" fillId="0" borderId="0" xfId="33" applyFont="1" applyAlignment="1">
      <alignment vertical="center"/>
    </xf>
    <xf numFmtId="49" fontId="3" fillId="5" borderId="32" xfId="33" applyNumberFormat="1" applyFont="1" applyFill="1" applyBorder="1" applyAlignment="1">
      <alignment horizontal="center" wrapText="1"/>
    </xf>
    <xf numFmtId="189" fontId="4" fillId="47" borderId="34" xfId="996" applyNumberFormat="1" applyFont="1" applyFill="1" applyBorder="1" applyAlignment="1">
      <alignment horizontal="center"/>
    </xf>
    <xf numFmtId="189" fontId="2" fillId="48" borderId="34" xfId="685" applyNumberFormat="1" applyFont="1" applyFill="1" applyBorder="1" applyAlignment="1">
      <alignment horizontal="center" vertical="center" wrapText="1"/>
    </xf>
    <xf numFmtId="189" fontId="4" fillId="11"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0" fontId="125" fillId="0" borderId="0" xfId="33" applyFont="1" applyAlignment="1">
      <alignment vertical="center"/>
    </xf>
    <xf numFmtId="49" fontId="3" fillId="5" borderId="30" xfId="33" applyNumberFormat="1" applyFont="1" applyFill="1" applyBorder="1" applyAlignment="1">
      <alignment horizontal="center" wrapText="1"/>
    </xf>
    <xf numFmtId="189" fontId="4" fillId="47" borderId="21" xfId="996" applyNumberFormat="1" applyFont="1" applyFill="1" applyBorder="1" applyAlignment="1">
      <alignment horizontal="center"/>
    </xf>
    <xf numFmtId="189" fontId="2" fillId="48" borderId="21" xfId="685" applyNumberFormat="1" applyFont="1" applyFill="1" applyBorder="1" applyAlignment="1">
      <alignment horizontal="center" vertical="center" wrapText="1"/>
    </xf>
    <xf numFmtId="189" fontId="4" fillId="11" borderId="31" xfId="996" applyNumberFormat="1" applyFont="1" applyFill="1" applyBorder="1" applyAlignment="1">
      <alignment horizontal="center"/>
    </xf>
    <xf numFmtId="168" fontId="3" fillId="5" borderId="8" xfId="996" applyFont="1" applyFill="1" applyBorder="1" applyAlignment="1">
      <alignment horizontal="center"/>
    </xf>
    <xf numFmtId="168" fontId="3" fillId="5" borderId="64"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xf numFmtId="49" fontId="11" fillId="0" borderId="0" xfId="845" applyNumberFormat="1" applyFont="1" applyAlignment="1">
      <alignment horizontal="center"/>
    </xf>
    <xf numFmtId="0" fontId="5" fillId="0" borderId="0" xfId="646"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Border="1" applyAlignment="1">
      <alignment horizontal="center" vertical="center" wrapText="1"/>
    </xf>
    <xf numFmtId="0" fontId="4" fillId="0" borderId="13" xfId="33" applyFont="1" applyBorder="1" applyAlignment="1">
      <alignment horizontal="center"/>
    </xf>
    <xf numFmtId="167" fontId="4" fillId="0" borderId="12" xfId="1084" applyFont="1" applyFill="1" applyBorder="1" applyAlignment="1">
      <alignment horizontal="left"/>
    </xf>
    <xf numFmtId="0" fontId="4" fillId="0" borderId="11" xfId="33" applyFont="1" applyBorder="1" applyAlignment="1">
      <alignment horizontal="center"/>
    </xf>
    <xf numFmtId="0" fontId="4" fillId="0" borderId="30" xfId="33" applyFont="1" applyBorder="1" applyAlignment="1">
      <alignment horizontal="center"/>
    </xf>
    <xf numFmtId="167" fontId="4" fillId="0" borderId="31" xfId="1084" applyFont="1" applyFill="1" applyBorder="1" applyAlignment="1">
      <alignment horizontal="left"/>
    </xf>
    <xf numFmtId="49" fontId="4" fillId="0" borderId="0" xfId="646" applyNumberFormat="1" applyFont="1" applyAlignment="1">
      <alignment vertical="top"/>
    </xf>
    <xf numFmtId="0" fontId="1" fillId="0" borderId="0" xfId="33" applyAlignment="1">
      <alignment horizontal="left"/>
    </xf>
    <xf numFmtId="0" fontId="1" fillId="0" borderId="0" xfId="33" applyAlignment="1">
      <alignment horizontal="center"/>
    </xf>
    <xf numFmtId="0" fontId="1" fillId="0" borderId="0" xfId="33" applyAlignment="1">
      <alignment horizontal="right"/>
    </xf>
    <xf numFmtId="167" fontId="3" fillId="11" borderId="8" xfId="1084" applyFont="1" applyFill="1" applyBorder="1" applyAlignment="1">
      <alignment horizontal="right" vertical="center"/>
    </xf>
    <xf numFmtId="4" fontId="3" fillId="11"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26" fillId="5" borderId="0" xfId="845" applyFont="1" applyFill="1" applyAlignment="1">
      <alignment horizontal="center" vertical="center"/>
    </xf>
    <xf numFmtId="0" fontId="126"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Font="1" applyBorder="1" applyAlignment="1">
      <alignment horizontal="center"/>
    </xf>
    <xf numFmtId="0" fontId="4" fillId="0" borderId="13" xfId="33" applyFont="1" applyBorder="1" applyAlignment="1">
      <alignment horizontal="left" wrapText="1"/>
    </xf>
    <xf numFmtId="167" fontId="4" fillId="5" borderId="13" xfId="1084" applyFont="1" applyFill="1" applyBorder="1" applyAlignment="1">
      <alignment horizontal="right"/>
    </xf>
    <xf numFmtId="4" fontId="2" fillId="0" borderId="13" xfId="33" applyNumberFormat="1" applyFont="1" applyBorder="1" applyAlignment="1">
      <alignment horizontal="right"/>
    </xf>
    <xf numFmtId="0" fontId="3" fillId="0" borderId="30" xfId="33" applyFont="1" applyBorder="1" applyAlignment="1">
      <alignment horizontal="center"/>
    </xf>
    <xf numFmtId="0" fontId="4" fillId="0" borderId="21" xfId="33" applyFont="1" applyBorder="1" applyAlignment="1">
      <alignment horizontal="left" wrapText="1"/>
    </xf>
    <xf numFmtId="0" fontId="4" fillId="0" borderId="21" xfId="33" applyFont="1" applyBorder="1" applyAlignment="1">
      <alignment horizontal="center"/>
    </xf>
    <xf numFmtId="167" fontId="4" fillId="5" borderId="21" xfId="1084" applyFont="1" applyFill="1" applyBorder="1" applyAlignment="1">
      <alignment horizontal="right"/>
    </xf>
    <xf numFmtId="4" fontId="2" fillId="0" borderId="21" xfId="33" applyNumberFormat="1" applyFont="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47" borderId="5" xfId="33" applyFont="1" applyFill="1" applyBorder="1"/>
    <xf numFmtId="0" fontId="1" fillId="47" borderId="7" xfId="33" applyFill="1" applyBorder="1"/>
    <xf numFmtId="14" fontId="5" fillId="47" borderId="7" xfId="33" applyNumberFormat="1" applyFont="1" applyFill="1" applyBorder="1" applyAlignment="1">
      <alignment horizontal="right"/>
    </xf>
    <xf numFmtId="0" fontId="1" fillId="47" borderId="6" xfId="33" applyFill="1" applyBorder="1"/>
    <xf numFmtId="4" fontId="18" fillId="2" borderId="38" xfId="33" applyNumberFormat="1" applyFont="1" applyFill="1" applyBorder="1" applyAlignment="1">
      <alignment horizontal="center"/>
    </xf>
    <xf numFmtId="49" fontId="18" fillId="5" borderId="78" xfId="33" applyNumberFormat="1" applyFont="1" applyFill="1" applyBorder="1" applyAlignment="1">
      <alignment horizontal="center" wrapText="1"/>
    </xf>
    <xf numFmtId="0" fontId="5" fillId="0" borderId="34" xfId="33" applyFont="1" applyBorder="1" applyAlignment="1">
      <alignment wrapText="1"/>
    </xf>
    <xf numFmtId="189" fontId="5" fillId="47" borderId="34" xfId="996" applyNumberFormat="1" applyFont="1" applyFill="1" applyBorder="1" applyAlignment="1">
      <alignment horizontal="left"/>
    </xf>
    <xf numFmtId="189" fontId="102" fillId="48" borderId="34" xfId="685" applyNumberFormat="1" applyFont="1" applyFill="1" applyBorder="1" applyAlignment="1">
      <alignment horizontal="left" vertical="center" wrapText="1"/>
    </xf>
    <xf numFmtId="189" fontId="5" fillId="11" borderId="34" xfId="996" applyNumberFormat="1" applyFont="1" applyFill="1" applyBorder="1" applyAlignment="1">
      <alignment horizontal="left"/>
    </xf>
    <xf numFmtId="168"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47" borderId="25" xfId="996" applyNumberFormat="1" applyFont="1" applyFill="1" applyBorder="1" applyAlignment="1">
      <alignment horizontal="left"/>
    </xf>
    <xf numFmtId="189" fontId="102" fillId="48" borderId="13" xfId="685" applyNumberFormat="1" applyFont="1" applyFill="1" applyBorder="1" applyAlignment="1">
      <alignment horizontal="left" vertical="center" wrapText="1"/>
    </xf>
    <xf numFmtId="189" fontId="5" fillId="11" borderId="13" xfId="996" applyNumberFormat="1" applyFont="1" applyFill="1" applyBorder="1" applyAlignment="1">
      <alignment horizontal="left"/>
    </xf>
    <xf numFmtId="49" fontId="18" fillId="5" borderId="63" xfId="33" applyNumberFormat="1" applyFont="1" applyFill="1" applyBorder="1" applyAlignment="1">
      <alignment horizontal="center" wrapText="1"/>
    </xf>
    <xf numFmtId="189" fontId="102" fillId="48" borderId="25" xfId="685" applyNumberFormat="1" applyFont="1" applyFill="1" applyBorder="1" applyAlignment="1">
      <alignment horizontal="left" vertical="center" wrapText="1"/>
    </xf>
    <xf numFmtId="189" fontId="5" fillId="11"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5" xfId="33" applyFont="1" applyBorder="1" applyAlignment="1">
      <alignment wrapText="1"/>
    </xf>
    <xf numFmtId="189" fontId="5" fillId="47" borderId="21" xfId="996" applyNumberFormat="1" applyFont="1" applyFill="1" applyBorder="1" applyAlignment="1">
      <alignment horizontal="left"/>
    </xf>
    <xf numFmtId="189" fontId="102" fillId="48" borderId="21" xfId="685" applyNumberFormat="1" applyFont="1" applyFill="1" applyBorder="1" applyAlignment="1">
      <alignment horizontal="left" vertical="center" wrapText="1"/>
    </xf>
    <xf numFmtId="189" fontId="5" fillId="11" borderId="21" xfId="996" applyNumberFormat="1" applyFont="1" applyFill="1" applyBorder="1" applyAlignment="1">
      <alignment horizontal="left"/>
    </xf>
    <xf numFmtId="168" fontId="18" fillId="5" borderId="31" xfId="996" applyFont="1" applyFill="1" applyBorder="1" applyAlignment="1">
      <alignment horizontal="left"/>
    </xf>
    <xf numFmtId="0" fontId="27" fillId="5" borderId="0" xfId="845" applyFont="1" applyFill="1" applyAlignment="1">
      <alignment horizontal="center" vertical="center"/>
    </xf>
    <xf numFmtId="0" fontId="27" fillId="5" borderId="0" xfId="845" applyFont="1" applyFill="1" applyAlignment="1">
      <alignment vertical="center"/>
    </xf>
    <xf numFmtId="167" fontId="27" fillId="5" borderId="0" xfId="1084" applyFont="1" applyFill="1" applyBorder="1" applyAlignment="1">
      <alignment horizontal="right" vertical="center"/>
    </xf>
    <xf numFmtId="168" fontId="27" fillId="5" borderId="0" xfId="996" applyFont="1" applyFill="1" applyBorder="1" applyAlignment="1">
      <alignment horizontal="right" vertical="center"/>
    </xf>
    <xf numFmtId="189" fontId="5" fillId="48" borderId="34" xfId="996" applyNumberFormat="1" applyFont="1" applyFill="1" applyBorder="1" applyAlignment="1">
      <alignment horizontal="left"/>
    </xf>
    <xf numFmtId="189" fontId="5" fillId="48" borderId="25" xfId="996" applyNumberFormat="1" applyFont="1" applyFill="1" applyBorder="1" applyAlignment="1">
      <alignment horizontal="left"/>
    </xf>
    <xf numFmtId="189" fontId="5" fillId="48"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1" xfId="845" applyFont="1" applyBorder="1" applyAlignment="1">
      <alignment horizontal="center" vertical="center" wrapText="1"/>
    </xf>
    <xf numFmtId="0" fontId="18" fillId="5" borderId="77" xfId="33" applyFont="1" applyFill="1" applyBorder="1" applyAlignment="1">
      <alignment horizontal="center" vertical="center"/>
    </xf>
    <xf numFmtId="0" fontId="18" fillId="5" borderId="77" xfId="33" applyFont="1" applyFill="1" applyBorder="1" applyAlignment="1">
      <alignment horizontal="center" vertical="center" wrapText="1"/>
    </xf>
    <xf numFmtId="4" fontId="18" fillId="5" borderId="82"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02" fillId="0" borderId="34" xfId="33" applyNumberFormat="1" applyFont="1" applyBorder="1" applyAlignment="1">
      <alignment horizontal="right"/>
    </xf>
    <xf numFmtId="167"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Border="1" applyAlignment="1">
      <alignment horizontal="left" wrapText="1"/>
    </xf>
    <xf numFmtId="4" fontId="5" fillId="0" borderId="21" xfId="33" applyNumberFormat="1" applyFont="1" applyBorder="1" applyAlignment="1">
      <alignment horizontal="center"/>
    </xf>
    <xf numFmtId="2" fontId="1" fillId="5" borderId="21" xfId="33" applyNumberFormat="1" applyFill="1" applyBorder="1" applyAlignment="1">
      <alignment horizontal="right"/>
    </xf>
    <xf numFmtId="4" fontId="3" fillId="11"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Border="1" applyAlignment="1">
      <alignment horizontal="left" wrapText="1"/>
    </xf>
    <xf numFmtId="4" fontId="5" fillId="0" borderId="13" xfId="33" applyNumberFormat="1" applyFont="1" applyBorder="1" applyAlignment="1">
      <alignment horizontal="center"/>
    </xf>
    <xf numFmtId="2" fontId="1" fillId="5" borderId="13" xfId="33" applyNumberFormat="1" applyFill="1" applyBorder="1" applyAlignment="1">
      <alignment horizontal="right"/>
    </xf>
    <xf numFmtId="49" fontId="18" fillId="0" borderId="81" xfId="33" applyNumberFormat="1" applyFont="1" applyBorder="1" applyAlignment="1">
      <alignment horizontal="center"/>
    </xf>
    <xf numFmtId="0" fontId="5" fillId="0" borderId="77" xfId="33" applyFont="1" applyBorder="1" applyAlignment="1">
      <alignment horizontal="left" wrapText="1"/>
    </xf>
    <xf numFmtId="4" fontId="5" fillId="0" borderId="77" xfId="33" applyNumberFormat="1" applyFont="1" applyBorder="1" applyAlignment="1">
      <alignment horizontal="center"/>
    </xf>
    <xf numFmtId="2" fontId="1" fillId="5" borderId="77" xfId="33" applyNumberFormat="1" applyFill="1" applyBorder="1" applyAlignment="1">
      <alignment horizontal="right"/>
    </xf>
    <xf numFmtId="167" fontId="5" fillId="0" borderId="39" xfId="1084" applyFont="1" applyFill="1" applyBorder="1" applyAlignment="1">
      <alignment horizontal="left"/>
    </xf>
    <xf numFmtId="0" fontId="5" fillId="0" borderId="0" xfId="646" applyAlignment="1">
      <alignment vertical="center" wrapText="1"/>
    </xf>
    <xf numFmtId="0" fontId="11" fillId="7" borderId="88" xfId="845" applyFont="1" applyFill="1" applyBorder="1" applyAlignment="1">
      <alignment vertical="center" wrapText="1"/>
    </xf>
    <xf numFmtId="49" fontId="27" fillId="7" borderId="88" xfId="845" applyNumberFormat="1" applyFont="1" applyFill="1" applyBorder="1" applyAlignment="1">
      <alignment vertical="center" wrapText="1"/>
    </xf>
    <xf numFmtId="0" fontId="11" fillId="7" borderId="0" xfId="845" applyFont="1" applyFill="1" applyAlignment="1">
      <alignment vertical="center" wrapText="1"/>
    </xf>
    <xf numFmtId="0" fontId="5" fillId="0" borderId="0" xfId="845"/>
    <xf numFmtId="49" fontId="27" fillId="5" borderId="0" xfId="845" applyNumberFormat="1" applyFont="1" applyFill="1" applyAlignment="1">
      <alignment vertical="center" wrapText="1"/>
    </xf>
    <xf numFmtId="0" fontId="11" fillId="5" borderId="0" xfId="845" applyFont="1" applyFill="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Font="1" applyBorder="1" applyAlignment="1">
      <alignment horizontal="center"/>
    </xf>
    <xf numFmtId="0" fontId="5" fillId="0" borderId="13" xfId="33" applyFont="1" applyBorder="1" applyAlignment="1">
      <alignment horizontal="center"/>
    </xf>
    <xf numFmtId="167" fontId="5" fillId="5" borderId="13" xfId="1084" applyFont="1" applyFill="1" applyBorder="1" applyAlignment="1">
      <alignment horizontal="right"/>
    </xf>
    <xf numFmtId="4" fontId="102" fillId="0" borderId="13" xfId="33" applyNumberFormat="1" applyFont="1" applyBorder="1" applyAlignment="1">
      <alignment horizontal="right"/>
    </xf>
    <xf numFmtId="4" fontId="1" fillId="5" borderId="13" xfId="33" applyNumberFormat="1" applyFill="1" applyBorder="1" applyAlignment="1">
      <alignment horizontal="right"/>
    </xf>
    <xf numFmtId="0" fontId="18" fillId="0" borderId="30" xfId="33" applyFont="1" applyBorder="1" applyAlignment="1">
      <alignment horizontal="center"/>
    </xf>
    <xf numFmtId="0" fontId="5" fillId="0" borderId="21" xfId="33" applyFont="1" applyBorder="1" applyAlignment="1">
      <alignment horizontal="center"/>
    </xf>
    <xf numFmtId="167" fontId="5" fillId="5" borderId="21" xfId="1084" applyFont="1" applyFill="1" applyBorder="1" applyAlignment="1">
      <alignment horizontal="right"/>
    </xf>
    <xf numFmtId="4" fontId="1" fillId="5" borderId="21" xfId="33" applyNumberFormat="1" applyFill="1" applyBorder="1" applyAlignment="1">
      <alignment horizontal="right"/>
    </xf>
    <xf numFmtId="167" fontId="5" fillId="0" borderId="31" xfId="1084" applyFont="1" applyFill="1" applyBorder="1" applyAlignment="1">
      <alignment horizontal="left"/>
    </xf>
    <xf numFmtId="167" fontId="4" fillId="0" borderId="12" xfId="637" applyFont="1" applyFill="1" applyBorder="1" applyAlignment="1">
      <alignment horizontal="left"/>
    </xf>
    <xf numFmtId="4" fontId="3" fillId="2" borderId="33" xfId="720" applyNumberFormat="1" applyFont="1" applyFill="1" applyBorder="1" applyAlignment="1">
      <alignment horizontal="center" vertical="center"/>
    </xf>
    <xf numFmtId="0" fontId="3" fillId="0" borderId="18" xfId="33" applyFont="1" applyBorder="1" applyAlignment="1">
      <alignment vertical="center"/>
    </xf>
    <xf numFmtId="0" fontId="3" fillId="0" borderId="0" xfId="33" applyFont="1" applyAlignment="1">
      <alignment horizontal="left" vertical="center"/>
    </xf>
    <xf numFmtId="10" fontId="4" fillId="0" borderId="0" xfId="33" applyNumberFormat="1" applyFont="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Font="1" applyBorder="1" applyAlignment="1">
      <alignment vertical="center"/>
    </xf>
    <xf numFmtId="0" fontId="3" fillId="0" borderId="9" xfId="33" applyFont="1" applyBorder="1" applyAlignment="1">
      <alignment vertical="center"/>
    </xf>
    <xf numFmtId="0" fontId="3" fillId="0" borderId="9" xfId="33" applyFont="1" applyBorder="1" applyAlignment="1">
      <alignment horizontal="left" vertical="center"/>
    </xf>
    <xf numFmtId="0" fontId="3" fillId="0" borderId="10" xfId="33" applyFont="1" applyBorder="1" applyAlignment="1">
      <alignment vertical="center"/>
    </xf>
    <xf numFmtId="0" fontId="11" fillId="0" borderId="0" xfId="640" applyFont="1"/>
    <xf numFmtId="49" fontId="11" fillId="0" borderId="0" xfId="640" applyNumberFormat="1" applyFont="1" applyAlignment="1">
      <alignment horizontal="center"/>
    </xf>
    <xf numFmtId="0" fontId="3" fillId="13" borderId="13" xfId="33" applyFont="1" applyFill="1" applyBorder="1" applyAlignment="1">
      <alignment horizontal="center" vertical="center"/>
    </xf>
    <xf numFmtId="0" fontId="3" fillId="13" borderId="13" xfId="33" applyFont="1" applyFill="1" applyBorder="1" applyAlignment="1">
      <alignment horizontal="center" vertical="center" wrapText="1"/>
    </xf>
    <xf numFmtId="4" fontId="3" fillId="13" borderId="12" xfId="33" applyNumberFormat="1" applyFont="1" applyFill="1" applyBorder="1" applyAlignment="1">
      <alignment horizontal="center" vertical="center" wrapText="1"/>
    </xf>
    <xf numFmtId="2" fontId="35" fillId="0" borderId="13" xfId="33" applyNumberFormat="1" applyFont="1" applyBorder="1" applyAlignment="1">
      <alignment horizontal="right"/>
    </xf>
    <xf numFmtId="0" fontId="3" fillId="5" borderId="13" xfId="495" applyFont="1" applyFill="1" applyBorder="1" applyAlignment="1">
      <alignment horizontal="center" vertical="center"/>
    </xf>
    <xf numFmtId="2" fontId="124" fillId="13" borderId="13" xfId="33" applyNumberFormat="1" applyFont="1" applyFill="1" applyBorder="1" applyAlignment="1">
      <alignment horizontal="right"/>
    </xf>
    <xf numFmtId="169" fontId="124" fillId="13"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4" fontId="3" fillId="8" borderId="70" xfId="46" applyNumberFormat="1" applyFont="1" applyFill="1" applyBorder="1" applyAlignment="1">
      <alignment vertical="center"/>
    </xf>
    <xf numFmtId="0" fontId="93" fillId="0" borderId="0" xfId="640" applyFont="1"/>
    <xf numFmtId="0" fontId="18" fillId="2" borderId="37" xfId="33" applyFont="1" applyFill="1" applyBorder="1" applyAlignment="1">
      <alignment horizontal="center"/>
    </xf>
    <xf numFmtId="0" fontId="5" fillId="47" borderId="7" xfId="33" applyFont="1" applyFill="1" applyBorder="1" applyAlignment="1">
      <alignment horizontal="center"/>
    </xf>
    <xf numFmtId="0" fontId="4" fillId="0" borderId="0" xfId="33" applyFont="1" applyAlignment="1">
      <alignment vertical="center"/>
    </xf>
    <xf numFmtId="0" fontId="3" fillId="0" borderId="16" xfId="33" applyFont="1" applyBorder="1" applyAlignment="1">
      <alignment vertical="center"/>
    </xf>
    <xf numFmtId="0" fontId="3" fillId="0" borderId="0" xfId="33" applyFont="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Border="1" applyAlignment="1">
      <alignment horizontal="center"/>
    </xf>
    <xf numFmtId="0" fontId="4" fillId="0" borderId="21" xfId="0" applyFont="1" applyBorder="1" applyAlignment="1">
      <alignment horizontal="center"/>
    </xf>
    <xf numFmtId="49" fontId="4" fillId="0" borderId="32" xfId="33" applyNumberFormat="1" applyFont="1" applyBorder="1" applyAlignment="1">
      <alignment horizontal="center"/>
    </xf>
    <xf numFmtId="0" fontId="3" fillId="0" borderId="34" xfId="1" applyFont="1" applyBorder="1" applyAlignment="1">
      <alignment wrapText="1"/>
    </xf>
    <xf numFmtId="0" fontId="4" fillId="0" borderId="34" xfId="33" applyFont="1" applyBorder="1" applyAlignment="1">
      <alignment horizontal="center"/>
    </xf>
    <xf numFmtId="2" fontId="2" fillId="0" borderId="34" xfId="33" applyNumberFormat="1" applyFont="1" applyBorder="1" applyAlignment="1">
      <alignment horizontal="right"/>
    </xf>
    <xf numFmtId="167" fontId="4" fillId="0" borderId="33" xfId="1084" applyFont="1" applyFill="1" applyBorder="1" applyAlignment="1">
      <alignment horizontal="left"/>
    </xf>
    <xf numFmtId="0" fontId="3" fillId="0" borderId="26" xfId="845" applyFont="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9" fontId="2" fillId="5" borderId="13" xfId="33" applyNumberFormat="1" applyFont="1" applyFill="1" applyBorder="1" applyAlignment="1">
      <alignment horizontal="right"/>
    </xf>
    <xf numFmtId="169" fontId="2" fillId="5" borderId="21" xfId="33" applyNumberFormat="1" applyFont="1" applyFill="1" applyBorder="1" applyAlignment="1">
      <alignment horizontal="right"/>
    </xf>
    <xf numFmtId="0" fontId="4" fillId="0" borderId="34" xfId="0" applyFont="1" applyBorder="1" applyAlignment="1">
      <alignment horizontal="center"/>
    </xf>
    <xf numFmtId="0" fontId="4" fillId="0" borderId="0" xfId="640" applyFont="1" applyAlignment="1">
      <alignment horizontal="center" vertical="center"/>
    </xf>
    <xf numFmtId="0" fontId="3" fillId="4" borderId="33" xfId="640" quotePrefix="1" applyFont="1" applyFill="1" applyBorder="1" applyAlignment="1">
      <alignment horizontal="center" vertical="center" wrapText="1"/>
    </xf>
    <xf numFmtId="168" fontId="2" fillId="0" borderId="0" xfId="0" applyNumberFormat="1" applyFont="1"/>
    <xf numFmtId="168" fontId="4" fillId="0" borderId="0" xfId="23" applyNumberFormat="1" applyFont="1" applyAlignment="1">
      <alignment vertical="center"/>
    </xf>
    <xf numFmtId="168" fontId="4" fillId="0" borderId="0" xfId="640" applyNumberFormat="1" applyFont="1" applyAlignment="1">
      <alignment vertical="center"/>
    </xf>
    <xf numFmtId="168" fontId="4" fillId="7" borderId="0" xfId="23" applyNumberFormat="1" applyFont="1" applyFill="1" applyAlignment="1">
      <alignment vertical="center"/>
    </xf>
    <xf numFmtId="168" fontId="5" fillId="0" borderId="0" xfId="640" applyNumberFormat="1" applyAlignment="1">
      <alignment vertical="center"/>
    </xf>
    <xf numFmtId="189" fontId="5" fillId="0" borderId="0" xfId="33" applyNumberFormat="1" applyFont="1" applyAlignment="1">
      <alignment vertical="center"/>
    </xf>
    <xf numFmtId="0" fontId="3" fillId="41" borderId="16" xfId="98" applyFont="1" applyFill="1" applyBorder="1" applyAlignment="1">
      <alignment wrapText="1"/>
    </xf>
    <xf numFmtId="0" fontId="124" fillId="0" borderId="0" xfId="0" applyFont="1"/>
    <xf numFmtId="168" fontId="3" fillId="11" borderId="4" xfId="642" applyFont="1" applyFill="1" applyBorder="1" applyAlignment="1">
      <alignment horizontal="right" vertical="center"/>
    </xf>
    <xf numFmtId="0" fontId="4" fillId="5" borderId="0" xfId="640" applyFont="1" applyFill="1"/>
    <xf numFmtId="2" fontId="2" fillId="0" borderId="13" xfId="0" applyNumberFormat="1" applyFont="1" applyBorder="1" applyAlignment="1">
      <alignment horizontal="right"/>
    </xf>
    <xf numFmtId="4" fontId="3" fillId="5" borderId="12" xfId="0" applyNumberFormat="1" applyFont="1" applyFill="1" applyBorder="1" applyAlignment="1">
      <alignment horizontal="center" vertical="center" wrapText="1"/>
    </xf>
    <xf numFmtId="168" fontId="4" fillId="0" borderId="0" xfId="640" applyNumberFormat="1" applyFont="1"/>
    <xf numFmtId="0" fontId="0" fillId="0" borderId="13" xfId="0" applyBorder="1" applyAlignment="1">
      <alignment horizontal="center"/>
    </xf>
    <xf numFmtId="0" fontId="0" fillId="0" borderId="13" xfId="0" applyBorder="1" applyAlignment="1">
      <alignment wrapText="1"/>
    </xf>
    <xf numFmtId="0" fontId="0" fillId="0" borderId="13" xfId="0" applyBorder="1"/>
    <xf numFmtId="168" fontId="5" fillId="0" borderId="0" xfId="640" applyNumberFormat="1"/>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0" fontId="4" fillId="10" borderId="30" xfId="0"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4" fillId="0" borderId="30" xfId="640" applyFont="1" applyBorder="1" applyAlignment="1">
      <alignment horizontal="center"/>
    </xf>
    <xf numFmtId="4" fontId="4" fillId="0" borderId="31" xfId="640" applyNumberFormat="1" applyFont="1" applyBorder="1" applyAlignment="1">
      <alignment horizontal="right"/>
    </xf>
    <xf numFmtId="10" fontId="95" fillId="0" borderId="89" xfId="924" applyNumberFormat="1" applyFont="1" applyBorder="1" applyAlignment="1">
      <alignment horizontal="center" vertical="center"/>
    </xf>
    <xf numFmtId="10" fontId="95" fillId="46" borderId="89" xfId="924" applyNumberFormat="1" applyFont="1" applyFill="1" applyBorder="1" applyAlignment="1">
      <alignment horizontal="center" vertical="center"/>
    </xf>
    <xf numFmtId="10" fontId="95" fillId="46" borderId="89" xfId="924" applyNumberFormat="1" applyFont="1" applyFill="1" applyBorder="1" applyAlignment="1">
      <alignment horizontal="center" vertical="center" wrapText="1"/>
    </xf>
    <xf numFmtId="10" fontId="95" fillId="0" borderId="89" xfId="924" applyNumberFormat="1" applyFont="1" applyBorder="1" applyAlignment="1">
      <alignment horizontal="center" vertical="center" wrapText="1"/>
    </xf>
    <xf numFmtId="0" fontId="3" fillId="41" borderId="0" xfId="98" applyFont="1" applyFill="1" applyAlignment="1">
      <alignment wrapText="1"/>
    </xf>
    <xf numFmtId="0" fontId="2" fillId="0" borderId="11" xfId="641" applyNumberFormat="1" applyFont="1" applyFill="1" applyBorder="1" applyAlignment="1" applyProtection="1">
      <alignment horizontal="center"/>
    </xf>
    <xf numFmtId="0" fontId="7" fillId="0" borderId="0" xfId="23" applyAlignment="1">
      <alignment wrapText="1"/>
    </xf>
    <xf numFmtId="0" fontId="11" fillId="0" borderId="0" xfId="431" applyFont="1" applyAlignment="1">
      <alignment vertical="center" wrapText="1"/>
    </xf>
    <xf numFmtId="0" fontId="30" fillId="0" borderId="0" xfId="23" applyFont="1" applyAlignment="1">
      <alignment wrapText="1"/>
    </xf>
    <xf numFmtId="0" fontId="11" fillId="0" borderId="0" xfId="23" applyFont="1" applyAlignment="1">
      <alignment wrapText="1"/>
    </xf>
    <xf numFmtId="0" fontId="4" fillId="0" borderId="0" xfId="23" applyFont="1" applyAlignment="1">
      <alignment horizontal="center" wrapText="1"/>
    </xf>
    <xf numFmtId="1" fontId="4" fillId="0" borderId="0" xfId="23" applyNumberFormat="1" applyFont="1" applyAlignment="1">
      <alignment wrapText="1"/>
    </xf>
    <xf numFmtId="4" fontId="4" fillId="0" borderId="0" xfId="23" applyNumberFormat="1" applyFont="1" applyAlignment="1">
      <alignment horizontal="center" vertical="center" wrapText="1"/>
    </xf>
    <xf numFmtId="4" fontId="4" fillId="0" borderId="0" xfId="23" applyNumberFormat="1" applyFont="1" applyAlignment="1">
      <alignment horizontal="right" wrapText="1"/>
    </xf>
    <xf numFmtId="0" fontId="81" fillId="0" borderId="0" xfId="23" applyFont="1" applyAlignment="1">
      <alignment wrapText="1"/>
    </xf>
    <xf numFmtId="0" fontId="11" fillId="3" borderId="0" xfId="431" applyFont="1" applyFill="1" applyAlignment="1">
      <alignment horizontal="center" vertical="center" wrapText="1"/>
    </xf>
    <xf numFmtId="0" fontId="11" fillId="3" borderId="0" xfId="431" applyFont="1" applyFill="1" applyAlignment="1">
      <alignment vertical="center" wrapText="1"/>
    </xf>
    <xf numFmtId="4" fontId="11" fillId="3" borderId="0" xfId="431" applyNumberFormat="1" applyFont="1" applyFill="1" applyAlignment="1">
      <alignment vertical="center" wrapText="1"/>
    </xf>
    <xf numFmtId="0" fontId="27" fillId="0" borderId="0" xfId="431" applyFont="1" applyAlignment="1">
      <alignment vertical="center" wrapText="1"/>
    </xf>
    <xf numFmtId="0" fontId="4" fillId="5" borderId="0" xfId="23" applyFont="1" applyFill="1" applyAlignment="1">
      <alignment horizontal="center" wrapText="1"/>
    </xf>
    <xf numFmtId="1" fontId="4" fillId="5" borderId="0" xfId="23" applyNumberFormat="1" applyFont="1" applyFill="1" applyAlignment="1">
      <alignment wrapText="1"/>
    </xf>
    <xf numFmtId="4" fontId="4" fillId="5" borderId="0" xfId="23" applyNumberFormat="1" applyFont="1" applyFill="1" applyAlignment="1">
      <alignment horizontal="center" vertical="center" wrapText="1"/>
    </xf>
    <xf numFmtId="4" fontId="4" fillId="5" borderId="0" xfId="23" applyNumberFormat="1" applyFont="1" applyFill="1" applyAlignment="1">
      <alignment horizontal="right" wrapText="1"/>
    </xf>
    <xf numFmtId="168" fontId="4" fillId="0" borderId="0" xfId="23" applyNumberFormat="1" applyFont="1"/>
    <xf numFmtId="168" fontId="7" fillId="0" borderId="0" xfId="23" applyNumberFormat="1"/>
    <xf numFmtId="0" fontId="4" fillId="0" borderId="37" xfId="1" applyFont="1" applyBorder="1" applyAlignment="1">
      <alignment horizontal="center" wrapText="1"/>
    </xf>
    <xf numFmtId="4" fontId="4" fillId="0" borderId="37" xfId="1" applyNumberFormat="1" applyFont="1" applyBorder="1" applyAlignment="1">
      <alignment horizontal="right" wrapText="1"/>
    </xf>
    <xf numFmtId="4" fontId="4" fillId="0" borderId="38" xfId="45" applyNumberFormat="1" applyFont="1" applyFill="1" applyBorder="1" applyAlignment="1"/>
    <xf numFmtId="0" fontId="4" fillId="0" borderId="83" xfId="1" applyFont="1" applyBorder="1" applyAlignment="1">
      <alignment horizontal="center" wrapText="1"/>
    </xf>
    <xf numFmtId="0" fontId="4" fillId="0" borderId="37" xfId="1" applyFont="1" applyBorder="1" applyAlignment="1">
      <alignment wrapText="1"/>
    </xf>
    <xf numFmtId="4" fontId="4" fillId="0" borderId="37" xfId="1" applyNumberFormat="1" applyFont="1" applyBorder="1" applyAlignment="1">
      <alignment wrapText="1"/>
    </xf>
    <xf numFmtId="0" fontId="3" fillId="41" borderId="14" xfId="0" applyFont="1" applyFill="1" applyBorder="1" applyAlignment="1">
      <alignment horizontal="center" wrapText="1"/>
    </xf>
    <xf numFmtId="4" fontId="3" fillId="41" borderId="16" xfId="0" applyNumberFormat="1" applyFont="1" applyFill="1" applyBorder="1" applyAlignment="1">
      <alignment horizontal="center" wrapText="1"/>
    </xf>
    <xf numFmtId="0" fontId="3" fillId="41" borderId="16" xfId="0" applyFont="1" applyFill="1" applyBorder="1" applyAlignment="1">
      <alignment horizontal="center" wrapText="1"/>
    </xf>
    <xf numFmtId="4" fontId="3" fillId="41" borderId="16" xfId="0" applyNumberFormat="1" applyFont="1" applyFill="1" applyBorder="1" applyAlignment="1">
      <alignment wrapText="1"/>
    </xf>
    <xf numFmtId="0" fontId="93" fillId="5" borderId="0" xfId="1" applyFont="1" applyFill="1" applyAlignment="1">
      <alignment horizontal="right" vertical="center" wrapText="1"/>
    </xf>
    <xf numFmtId="0" fontId="3" fillId="41" borderId="18" xfId="0" applyFont="1" applyFill="1" applyBorder="1" applyAlignment="1">
      <alignment horizontal="center" wrapText="1"/>
    </xf>
    <xf numFmtId="4" fontId="3" fillId="41" borderId="0" xfId="0" applyNumberFormat="1" applyFont="1" applyFill="1" applyAlignment="1">
      <alignment horizontal="center" wrapText="1"/>
    </xf>
    <xf numFmtId="0" fontId="3" fillId="41" borderId="0" xfId="0" applyFont="1" applyFill="1" applyAlignment="1">
      <alignment horizontal="center" wrapText="1"/>
    </xf>
    <xf numFmtId="4" fontId="3" fillId="41" borderId="0" xfId="0" applyNumberFormat="1" applyFont="1" applyFill="1" applyAlignment="1">
      <alignment wrapText="1"/>
    </xf>
    <xf numFmtId="0" fontId="4" fillId="13" borderId="32" xfId="0" applyFont="1" applyFill="1" applyBorder="1" applyAlignment="1">
      <alignment horizontal="center" wrapText="1"/>
    </xf>
    <xf numFmtId="0" fontId="4" fillId="0" borderId="19" xfId="640" applyFont="1" applyBorder="1"/>
    <xf numFmtId="49" fontId="4" fillId="5" borderId="0" xfId="640" applyNumberFormat="1" applyFont="1" applyFill="1" applyAlignment="1">
      <alignment horizontal="left" vertical="top" wrapText="1"/>
    </xf>
    <xf numFmtId="49" fontId="4" fillId="5" borderId="0" xfId="0" applyNumberFormat="1" applyFont="1" applyFill="1" applyAlignment="1">
      <alignment horizontal="left" vertical="top"/>
    </xf>
    <xf numFmtId="169" fontId="5" fillId="0" borderId="0" xfId="640" applyNumberFormat="1"/>
    <xf numFmtId="168" fontId="3" fillId="5" borderId="19" xfId="642" applyFont="1" applyFill="1" applyBorder="1" applyAlignment="1">
      <alignment horizontal="right" vertical="center"/>
    </xf>
    <xf numFmtId="168" fontId="5" fillId="5" borderId="0" xfId="640" applyNumberFormat="1" applyFill="1"/>
    <xf numFmtId="10" fontId="3" fillId="4" borderId="33" xfId="645" applyNumberFormat="1" applyFont="1" applyFill="1" applyBorder="1" applyAlignment="1">
      <alignment horizontal="center" vertical="center"/>
    </xf>
    <xf numFmtId="14" fontId="2" fillId="0" borderId="0" xfId="0" applyNumberFormat="1" applyFont="1" applyAlignment="1">
      <alignment vertical="center"/>
    </xf>
    <xf numFmtId="0" fontId="3" fillId="10" borderId="0" xfId="409" applyFont="1" applyFill="1" applyBorder="1" applyAlignment="1" applyProtection="1">
      <alignment horizontal="center" vertical="center" wrapText="1"/>
    </xf>
    <xf numFmtId="0" fontId="0" fillId="0" borderId="0" xfId="0" applyAlignment="1">
      <alignment horizontal="center"/>
    </xf>
    <xf numFmtId="0" fontId="130" fillId="0" borderId="0" xfId="23" applyFont="1" applyAlignment="1">
      <alignment vertical="center"/>
    </xf>
    <xf numFmtId="0" fontId="129" fillId="0" borderId="0" xfId="0" applyFont="1"/>
    <xf numFmtId="0" fontId="129" fillId="0" borderId="0" xfId="640" applyFont="1"/>
    <xf numFmtId="0" fontId="93" fillId="0" borderId="0" xfId="640" applyFont="1" applyAlignment="1">
      <alignment vertical="center"/>
    </xf>
    <xf numFmtId="0" fontId="4" fillId="0" borderId="18" xfId="640" applyFont="1" applyBorder="1"/>
    <xf numFmtId="0" fontId="125" fillId="0" borderId="0" xfId="640" applyFont="1"/>
    <xf numFmtId="0" fontId="130" fillId="0" borderId="0" xfId="640" applyFont="1"/>
    <xf numFmtId="0" fontId="3" fillId="5" borderId="145" xfId="0" applyFont="1" applyFill="1" applyBorder="1" applyAlignment="1">
      <alignment horizontal="center" vertical="center"/>
    </xf>
    <xf numFmtId="0" fontId="3" fillId="5" borderId="145" xfId="0" applyFont="1" applyFill="1" applyBorder="1" applyAlignment="1">
      <alignment horizontal="center" vertical="center" wrapText="1"/>
    </xf>
    <xf numFmtId="4" fontId="3" fillId="5" borderId="147" xfId="0" applyNumberFormat="1" applyFont="1" applyFill="1" applyBorder="1" applyAlignment="1">
      <alignment horizontal="center" vertical="center" wrapText="1"/>
    </xf>
    <xf numFmtId="0" fontId="5" fillId="0" borderId="18" xfId="640" applyBorder="1"/>
    <xf numFmtId="0" fontId="5" fillId="0" borderId="19" xfId="640" applyBorder="1"/>
    <xf numFmtId="0" fontId="131" fillId="0" borderId="0" xfId="640" applyFont="1"/>
    <xf numFmtId="0" fontId="132" fillId="0" borderId="0" xfId="640" applyFont="1"/>
    <xf numFmtId="0" fontId="131" fillId="0" borderId="0" xfId="640" applyFont="1" applyAlignment="1">
      <alignment horizontal="center"/>
    </xf>
    <xf numFmtId="0" fontId="131" fillId="5" borderId="0" xfId="640" applyFont="1" applyFill="1" applyAlignment="1">
      <alignment horizontal="center" vertical="center"/>
    </xf>
    <xf numFmtId="190" fontId="36" fillId="0" borderId="0" xfId="640" applyNumberFormat="1" applyFont="1"/>
    <xf numFmtId="0" fontId="131" fillId="0" borderId="0" xfId="640" applyFont="1" applyAlignment="1">
      <alignment horizontal="center" vertical="center"/>
    </xf>
    <xf numFmtId="167" fontId="5" fillId="0" borderId="0" xfId="7158" applyFont="1"/>
    <xf numFmtId="4" fontId="133" fillId="5" borderId="0" xfId="640" applyNumberFormat="1" applyFont="1" applyFill="1" applyAlignment="1">
      <alignment horizontal="center"/>
    </xf>
    <xf numFmtId="191" fontId="134" fillId="0" borderId="0" xfId="640" applyNumberFormat="1" applyFont="1"/>
    <xf numFmtId="192" fontId="134" fillId="0" borderId="0" xfId="640" applyNumberFormat="1" applyFont="1"/>
    <xf numFmtId="191" fontId="131" fillId="5" borderId="0" xfId="640" applyNumberFormat="1" applyFont="1" applyFill="1" applyAlignment="1">
      <alignment horizontal="left"/>
    </xf>
    <xf numFmtId="191" fontId="135" fillId="0" borderId="0" xfId="640" applyNumberFormat="1" applyFont="1" applyAlignment="1">
      <alignment horizontal="left"/>
    </xf>
    <xf numFmtId="193" fontId="135" fillId="0" borderId="0" xfId="645" applyNumberFormat="1" applyFont="1" applyFill="1"/>
    <xf numFmtId="192" fontId="135" fillId="0" borderId="145" xfId="640" applyNumberFormat="1" applyFont="1" applyBorder="1" applyAlignment="1">
      <alignment horizontal="right"/>
    </xf>
    <xf numFmtId="192" fontId="135" fillId="0" borderId="145" xfId="7158" applyNumberFormat="1" applyFont="1" applyBorder="1" applyAlignment="1">
      <alignment horizontal="right"/>
    </xf>
    <xf numFmtId="191" fontId="135" fillId="0" borderId="0" xfId="640" applyNumberFormat="1" applyFont="1"/>
    <xf numFmtId="4" fontId="135" fillId="0" borderId="3" xfId="640" applyNumberFormat="1" applyFont="1" applyBorder="1"/>
    <xf numFmtId="4" fontId="135" fillId="0" borderId="4" xfId="640" applyNumberFormat="1" applyFont="1" applyBorder="1"/>
    <xf numFmtId="191" fontId="133" fillId="5" borderId="0" xfId="640" applyNumberFormat="1" applyFont="1" applyFill="1" applyAlignment="1">
      <alignment horizontal="center" vertical="center"/>
    </xf>
    <xf numFmtId="191" fontId="5" fillId="0" borderId="0" xfId="640" applyNumberFormat="1"/>
    <xf numFmtId="191" fontId="133" fillId="0" borderId="0" xfId="640" applyNumberFormat="1" applyFont="1" applyAlignment="1">
      <alignment horizontal="center"/>
    </xf>
    <xf numFmtId="191" fontId="18" fillId="7" borderId="0" xfId="640" applyNumberFormat="1" applyFont="1" applyFill="1" applyAlignment="1">
      <alignment horizontal="center"/>
    </xf>
    <xf numFmtId="191" fontId="18" fillId="7" borderId="0" xfId="640" applyNumberFormat="1" applyFont="1" applyFill="1" applyAlignment="1">
      <alignment horizontal="center" vertical="center"/>
    </xf>
    <xf numFmtId="191" fontId="133" fillId="7" borderId="0" xfId="640" applyNumberFormat="1" applyFont="1" applyFill="1" applyAlignment="1">
      <alignment horizontal="center"/>
    </xf>
    <xf numFmtId="0" fontId="5" fillId="7" borderId="5" xfId="640" applyFill="1" applyBorder="1"/>
    <xf numFmtId="0" fontId="5" fillId="7" borderId="6" xfId="640" applyFill="1" applyBorder="1"/>
    <xf numFmtId="191" fontId="18" fillId="0" borderId="0" xfId="640" applyNumberFormat="1" applyFont="1" applyAlignment="1">
      <alignment horizontal="center"/>
    </xf>
    <xf numFmtId="191" fontId="18" fillId="0" borderId="0" xfId="640" applyNumberFormat="1" applyFont="1" applyAlignment="1">
      <alignment horizontal="center" vertical="center"/>
    </xf>
    <xf numFmtId="4" fontId="125" fillId="0" borderId="0" xfId="640" applyNumberFormat="1" applyFont="1" applyAlignment="1">
      <alignment horizontal="left"/>
    </xf>
    <xf numFmtId="4" fontId="125" fillId="0" borderId="0" xfId="640" applyNumberFormat="1" applyFont="1"/>
    <xf numFmtId="0" fontId="131" fillId="7" borderId="0" xfId="640" applyFont="1" applyFill="1"/>
    <xf numFmtId="0" fontId="5" fillId="0" borderId="149" xfId="640" applyBorder="1"/>
    <xf numFmtId="0" fontId="5" fillId="50" borderId="0" xfId="640" applyFill="1"/>
    <xf numFmtId="0" fontId="5" fillId="50" borderId="0" xfId="640" applyFill="1" applyAlignment="1">
      <alignment vertical="center" wrapText="1"/>
    </xf>
    <xf numFmtId="0" fontId="131" fillId="50" borderId="0" xfId="640" applyFont="1" applyFill="1"/>
    <xf numFmtId="0" fontId="5" fillId="50" borderId="144" xfId="640" applyFill="1" applyBorder="1"/>
    <xf numFmtId="0" fontId="5" fillId="0" borderId="145" xfId="640" applyBorder="1"/>
    <xf numFmtId="0" fontId="131" fillId="0" borderId="145" xfId="640" applyFont="1" applyBorder="1"/>
    <xf numFmtId="0" fontId="4" fillId="0" borderId="150" xfId="1" applyFont="1" applyBorder="1" applyAlignment="1">
      <alignment wrapText="1"/>
    </xf>
    <xf numFmtId="0" fontId="4" fillId="0" borderId="154" xfId="1" applyFont="1" applyBorder="1" applyAlignment="1">
      <alignment horizontal="center" wrapText="1"/>
    </xf>
    <xf numFmtId="2" fontId="35" fillId="13" borderId="34" xfId="0" applyNumberFormat="1" applyFont="1" applyFill="1" applyBorder="1" applyAlignment="1">
      <alignment wrapText="1"/>
    </xf>
    <xf numFmtId="0" fontId="4" fillId="0" borderId="154" xfId="1" applyFont="1" applyBorder="1" applyAlignment="1">
      <alignment wrapText="1"/>
    </xf>
    <xf numFmtId="0" fontId="4" fillId="0" borderId="150" xfId="1" applyFont="1" applyBorder="1" applyAlignment="1">
      <alignment horizontal="center" wrapText="1"/>
    </xf>
    <xf numFmtId="0" fontId="0" fillId="0" borderId="0" xfId="0" applyAlignment="1">
      <alignment wrapText="1"/>
    </xf>
    <xf numFmtId="0" fontId="0" fillId="0" borderId="20" xfId="0" applyBorder="1" applyAlignment="1">
      <alignment horizontal="center"/>
    </xf>
    <xf numFmtId="0" fontId="4" fillId="0" borderId="32" xfId="0" applyFont="1" applyBorder="1" applyAlignment="1">
      <alignment horizont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9" borderId="0" xfId="0" applyFill="1" applyAlignment="1">
      <alignment horizontal="center"/>
    </xf>
    <xf numFmtId="0" fontId="0" fillId="9" borderId="0" xfId="0" applyFill="1" applyAlignment="1">
      <alignment wrapText="1"/>
    </xf>
    <xf numFmtId="2" fontId="0" fillId="9" borderId="0" xfId="0" applyNumberFormat="1" applyFill="1"/>
    <xf numFmtId="0" fontId="4" fillId="0" borderId="79" xfId="0" applyFont="1" applyBorder="1" applyAlignment="1">
      <alignment horizontal="center" wrapText="1"/>
    </xf>
    <xf numFmtId="0" fontId="4" fillId="0" borderId="79" xfId="1" applyFont="1" applyBorder="1" applyAlignment="1">
      <alignment wrapText="1"/>
    </xf>
    <xf numFmtId="0" fontId="4" fillId="0" borderId="79" xfId="1" applyFont="1" applyBorder="1" applyAlignment="1">
      <alignment horizontal="center" wrapText="1"/>
    </xf>
    <xf numFmtId="4" fontId="4" fillId="0" borderId="79" xfId="1" applyNumberFormat="1" applyFont="1" applyBorder="1" applyAlignment="1">
      <alignment wrapText="1"/>
    </xf>
    <xf numFmtId="4" fontId="4" fillId="0" borderId="79" xfId="1" applyNumberFormat="1" applyFont="1" applyBorder="1" applyAlignment="1">
      <alignment horizontal="right" wrapText="1"/>
    </xf>
    <xf numFmtId="4" fontId="4" fillId="0" borderId="79" xfId="0" applyNumberFormat="1" applyFont="1" applyBorder="1" applyAlignment="1">
      <alignment wrapText="1"/>
    </xf>
    <xf numFmtId="4" fontId="4" fillId="0" borderId="80" xfId="45" applyNumberFormat="1" applyFont="1" applyFill="1" applyBorder="1" applyAlignment="1"/>
    <xf numFmtId="0" fontId="4" fillId="0" borderId="153" xfId="1" applyFont="1" applyBorder="1" applyAlignment="1">
      <alignment horizontal="center" wrapText="1"/>
    </xf>
    <xf numFmtId="0" fontId="3" fillId="0" borderId="152" xfId="640" applyFont="1" applyBorder="1" applyAlignment="1">
      <alignment horizontal="center" vertical="center" wrapText="1"/>
    </xf>
    <xf numFmtId="0" fontId="3" fillId="5" borderId="150" xfId="0" applyFont="1" applyFill="1" applyBorder="1" applyAlignment="1">
      <alignment horizontal="center" vertical="center"/>
    </xf>
    <xf numFmtId="0" fontId="3" fillId="5" borderId="150" xfId="0" applyFont="1" applyFill="1" applyBorder="1" applyAlignment="1">
      <alignment horizontal="center" vertical="center" wrapText="1"/>
    </xf>
    <xf numFmtId="4" fontId="3" fillId="5" borderId="151" xfId="0" applyNumberFormat="1" applyFont="1" applyFill="1" applyBorder="1" applyAlignment="1">
      <alignment horizontal="center" vertical="center" wrapText="1"/>
    </xf>
    <xf numFmtId="0" fontId="4" fillId="0" borderId="152" xfId="0" applyFont="1" applyBorder="1" applyAlignment="1">
      <alignment horizontal="center"/>
    </xf>
    <xf numFmtId="2" fontId="4" fillId="0" borderId="150" xfId="1" applyNumberFormat="1" applyFont="1" applyBorder="1" applyAlignment="1">
      <alignment horizontal="right" wrapText="1"/>
    </xf>
    <xf numFmtId="0" fontId="4" fillId="0" borderId="153" xfId="0" applyFont="1" applyBorder="1" applyAlignment="1">
      <alignment horizontal="center"/>
    </xf>
    <xf numFmtId="2" fontId="4" fillId="0" borderId="154" xfId="1" applyNumberFormat="1" applyFont="1" applyBorder="1" applyAlignment="1">
      <alignment horizontal="right" wrapText="1"/>
    </xf>
    <xf numFmtId="0" fontId="3" fillId="10" borderId="154" xfId="0" applyFont="1" applyFill="1" applyBorder="1" applyAlignment="1">
      <alignment horizontal="center" vertical="center"/>
    </xf>
    <xf numFmtId="4" fontId="3" fillId="10" borderId="154" xfId="0" applyNumberFormat="1" applyFont="1" applyFill="1" applyBorder="1" applyAlignment="1">
      <alignment vertical="center" wrapText="1"/>
    </xf>
    <xf numFmtId="4" fontId="4" fillId="10" borderId="154" xfId="0" applyNumberFormat="1" applyFont="1" applyFill="1" applyBorder="1" applyAlignment="1">
      <alignment horizontal="center" vertical="center"/>
    </xf>
    <xf numFmtId="0" fontId="5" fillId="0" borderId="0" xfId="787"/>
    <xf numFmtId="0" fontId="15" fillId="0" borderId="0" xfId="787" applyFont="1" applyAlignment="1">
      <alignment vertical="center"/>
    </xf>
    <xf numFmtId="0" fontId="24" fillId="5" borderId="0" xfId="787" applyFont="1" applyFill="1" applyAlignment="1">
      <alignment horizontal="right" vertical="center"/>
    </xf>
    <xf numFmtId="0" fontId="5" fillId="0" borderId="0" xfId="787" applyAlignment="1">
      <alignment vertical="center"/>
    </xf>
    <xf numFmtId="0" fontId="18" fillId="5" borderId="0" xfId="787" applyFont="1" applyFill="1" applyAlignment="1">
      <alignment horizontal="right" vertical="center"/>
    </xf>
    <xf numFmtId="4" fontId="11" fillId="5" borderId="0" xfId="787" applyNumberFormat="1" applyFont="1" applyFill="1" applyAlignment="1">
      <alignment vertical="center"/>
    </xf>
    <xf numFmtId="4" fontId="27" fillId="5" borderId="0" xfId="787" applyNumberFormat="1" applyFont="1" applyFill="1" applyAlignment="1">
      <alignment horizontal="right" vertical="center"/>
    </xf>
    <xf numFmtId="0" fontId="11" fillId="0" borderId="0" xfId="787" applyFont="1"/>
    <xf numFmtId="167" fontId="86" fillId="4" borderId="144" xfId="641" applyFont="1" applyFill="1" applyBorder="1"/>
    <xf numFmtId="43" fontId="31" fillId="0" borderId="0" xfId="640" applyNumberFormat="1" applyFont="1"/>
    <xf numFmtId="0" fontId="5" fillId="0" borderId="0" xfId="787" applyAlignment="1">
      <alignment horizontal="center" vertical="center"/>
    </xf>
    <xf numFmtId="167" fontId="96" fillId="43" borderId="20" xfId="641" applyFont="1" applyFill="1" applyBorder="1"/>
    <xf numFmtId="0" fontId="3" fillId="5" borderId="0" xfId="1" applyFont="1" applyFill="1" applyAlignment="1">
      <alignment vertical="center"/>
    </xf>
    <xf numFmtId="4" fontId="13" fillId="5" borderId="168" xfId="1" applyNumberFormat="1" applyFont="1" applyFill="1" applyBorder="1" applyAlignment="1">
      <alignment vertical="center"/>
    </xf>
    <xf numFmtId="4" fontId="13" fillId="5" borderId="1" xfId="1" applyNumberFormat="1" applyFont="1" applyFill="1" applyBorder="1" applyAlignment="1">
      <alignment vertical="center"/>
    </xf>
    <xf numFmtId="0" fontId="3" fillId="5" borderId="1" xfId="1" applyFont="1" applyFill="1" applyBorder="1" applyAlignment="1">
      <alignment vertical="center"/>
    </xf>
    <xf numFmtId="0" fontId="138" fillId="0" borderId="1" xfId="0" applyFont="1" applyBorder="1" applyAlignment="1">
      <alignment horizontal="center"/>
    </xf>
    <xf numFmtId="0" fontId="5" fillId="0" borderId="0" xfId="23" applyFont="1"/>
    <xf numFmtId="0" fontId="82" fillId="0" borderId="0" xfId="23" applyFont="1" applyAlignment="1">
      <alignment horizontal="center" vertical="center"/>
    </xf>
    <xf numFmtId="0" fontId="130" fillId="0" borderId="0" xfId="23" applyFont="1" applyAlignment="1">
      <alignment horizontal="center" vertical="center"/>
    </xf>
    <xf numFmtId="0" fontId="4" fillId="0" borderId="30" xfId="0" applyFont="1" applyBorder="1" applyAlignment="1">
      <alignment horizontal="center"/>
    </xf>
    <xf numFmtId="0" fontId="4" fillId="0" borderId="34" xfId="1" applyFont="1" applyBorder="1" applyAlignment="1">
      <alignment horizontal="center" wrapText="1"/>
    </xf>
    <xf numFmtId="0" fontId="4" fillId="0" borderId="32" xfId="1" applyFont="1" applyBorder="1" applyAlignment="1">
      <alignment horizontal="center" wrapText="1"/>
    </xf>
    <xf numFmtId="0" fontId="4" fillId="0" borderId="34" xfId="1" applyFont="1" applyBorder="1" applyAlignment="1">
      <alignment wrapText="1"/>
    </xf>
    <xf numFmtId="4" fontId="4" fillId="0" borderId="34" xfId="1" applyNumberFormat="1" applyFont="1" applyBorder="1" applyAlignment="1">
      <alignment horizontal="right" wrapText="1"/>
    </xf>
    <xf numFmtId="0" fontId="4" fillId="0" borderId="34" xfId="495" applyFont="1" applyBorder="1" applyAlignment="1">
      <alignment horizontal="center"/>
    </xf>
    <xf numFmtId="0" fontId="4" fillId="13" borderId="0" xfId="0" applyFont="1" applyFill="1" applyAlignment="1">
      <alignment horizontal="center" vertical="center"/>
    </xf>
    <xf numFmtId="0" fontId="3" fillId="13" borderId="0" xfId="0" applyFont="1" applyFill="1" applyAlignment="1">
      <alignment vertical="center" wrapText="1"/>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0" fontId="4" fillId="0" borderId="142" xfId="646" applyFont="1" applyBorder="1" applyAlignment="1">
      <alignment horizontal="center" vertical="center"/>
    </xf>
    <xf numFmtId="10" fontId="4" fillId="0" borderId="142" xfId="691" applyNumberFormat="1" applyFont="1" applyBorder="1" applyAlignment="1">
      <alignment vertical="center" wrapText="1"/>
    </xf>
    <xf numFmtId="4" fontId="4" fillId="0" borderId="143" xfId="409" applyNumberFormat="1" applyFont="1" applyBorder="1" applyAlignment="1" applyProtection="1">
      <alignment vertical="center" wrapText="1"/>
    </xf>
    <xf numFmtId="0" fontId="3" fillId="2" borderId="37" xfId="33" applyFont="1" applyFill="1" applyBorder="1" applyAlignment="1">
      <alignment horizontal="center" wrapText="1"/>
    </xf>
    <xf numFmtId="189" fontId="4" fillId="47" borderId="142" xfId="996" applyNumberFormat="1" applyFont="1" applyFill="1" applyBorder="1" applyAlignment="1">
      <alignment horizontal="center"/>
    </xf>
    <xf numFmtId="189" fontId="2" fillId="48" borderId="142" xfId="996" applyNumberFormat="1" applyFont="1" applyFill="1" applyBorder="1" applyAlignment="1">
      <alignment horizontal="center"/>
    </xf>
    <xf numFmtId="189" fontId="4" fillId="11" borderId="143" xfId="996" applyNumberFormat="1" applyFont="1" applyFill="1" applyBorder="1" applyAlignment="1">
      <alignment horizontal="center"/>
    </xf>
    <xf numFmtId="189" fontId="2" fillId="48" borderId="142" xfId="685" applyNumberFormat="1" applyFont="1" applyFill="1" applyBorder="1" applyAlignment="1">
      <alignment horizontal="center" vertical="center" wrapText="1"/>
    </xf>
    <xf numFmtId="189" fontId="2" fillId="47" borderId="142" xfId="685" applyNumberFormat="1" applyFont="1" applyFill="1" applyBorder="1" applyAlignment="1">
      <alignment horizontal="center" vertical="center" wrapText="1"/>
    </xf>
    <xf numFmtId="189" fontId="2" fillId="11" borderId="143" xfId="685" applyNumberFormat="1" applyFont="1" applyFill="1" applyBorder="1" applyAlignment="1">
      <alignment horizontal="center" vertical="center" wrapText="1"/>
    </xf>
    <xf numFmtId="0" fontId="3" fillId="0" borderId="174" xfId="640" applyFont="1" applyBorder="1" applyAlignment="1">
      <alignment horizontal="center" vertical="center" wrapText="1"/>
    </xf>
    <xf numFmtId="0" fontId="4" fillId="0" borderId="175" xfId="1" applyFont="1" applyBorder="1" applyAlignment="1">
      <alignment wrapText="1"/>
    </xf>
    <xf numFmtId="0" fontId="4" fillId="0" borderId="175" xfId="1" applyFont="1" applyBorder="1" applyAlignment="1">
      <alignment horizontal="center" wrapText="1"/>
    </xf>
    <xf numFmtId="2" fontId="4" fillId="0" borderId="175" xfId="1" applyNumberFormat="1" applyFont="1" applyBorder="1" applyAlignment="1">
      <alignment horizontal="right" wrapText="1"/>
    </xf>
    <xf numFmtId="168" fontId="4" fillId="7" borderId="0" xfId="640" applyNumberFormat="1" applyFont="1" applyFill="1" applyAlignment="1">
      <alignment vertical="center"/>
    </xf>
    <xf numFmtId="4" fontId="5" fillId="5" borderId="0" xfId="1" applyNumberFormat="1" applyFill="1" applyAlignment="1">
      <alignment vertical="center"/>
    </xf>
    <xf numFmtId="0" fontId="139" fillId="0" borderId="1" xfId="1" applyFont="1" applyBorder="1" applyAlignment="1">
      <alignment vertical="center"/>
    </xf>
    <xf numFmtId="167" fontId="4" fillId="0" borderId="151" xfId="641" applyFont="1" applyFill="1" applyBorder="1" applyAlignment="1">
      <alignment horizontal="left"/>
    </xf>
    <xf numFmtId="0" fontId="3" fillId="0" borderId="152" xfId="0" applyFont="1" applyBorder="1" applyAlignment="1">
      <alignment horizontal="center" vertical="center"/>
    </xf>
    <xf numFmtId="0" fontId="3" fillId="0" borderId="150" xfId="0" applyFont="1" applyBorder="1" applyAlignment="1">
      <alignment horizontal="center" vertical="center"/>
    </xf>
    <xf numFmtId="0" fontId="3" fillId="0" borderId="150" xfId="0" applyFont="1" applyBorder="1" applyAlignment="1">
      <alignment horizontal="center" vertical="center" wrapText="1"/>
    </xf>
    <xf numFmtId="4" fontId="3" fillId="0" borderId="150" xfId="0" applyNumberFormat="1" applyFont="1" applyBorder="1" applyAlignment="1">
      <alignment horizontal="center" vertical="center"/>
    </xf>
    <xf numFmtId="10" fontId="3" fillId="0" borderId="150" xfId="639" applyNumberFormat="1" applyFont="1" applyBorder="1" applyAlignment="1">
      <alignment horizontal="center" vertical="center"/>
    </xf>
    <xf numFmtId="4" fontId="3" fillId="0" borderId="151" xfId="0" applyNumberFormat="1" applyFont="1" applyBorder="1" applyAlignment="1">
      <alignment horizontal="center" vertical="center"/>
    </xf>
    <xf numFmtId="10" fontId="3" fillId="10" borderId="154" xfId="639" applyNumberFormat="1" applyFont="1" applyFill="1" applyBorder="1" applyAlignment="1">
      <alignment vertical="center"/>
    </xf>
    <xf numFmtId="169" fontId="4" fillId="0" borderId="150" xfId="1" applyNumberFormat="1" applyFont="1" applyBorder="1" applyAlignment="1">
      <alignment horizontal="right" wrapText="1"/>
    </xf>
    <xf numFmtId="2" fontId="4" fillId="0" borderId="150" xfId="23" applyNumberFormat="1" applyFont="1" applyBorder="1" applyAlignment="1">
      <alignment horizontal="right"/>
    </xf>
    <xf numFmtId="2" fontId="2" fillId="5" borderId="150" xfId="0" applyNumberFormat="1" applyFont="1" applyFill="1" applyBorder="1" applyAlignment="1">
      <alignment horizontal="right"/>
    </xf>
    <xf numFmtId="169" fontId="4" fillId="0" borderId="150" xfId="640" applyNumberFormat="1" applyFont="1" applyBorder="1" applyAlignment="1">
      <alignment horizontal="right"/>
    </xf>
    <xf numFmtId="0" fontId="3" fillId="0" borderId="152" xfId="23" applyFont="1" applyBorder="1" applyAlignment="1">
      <alignment horizontal="center" vertical="center" wrapText="1"/>
    </xf>
    <xf numFmtId="0" fontId="4" fillId="0" borderId="152" xfId="23" applyFont="1" applyBorder="1" applyAlignment="1">
      <alignment horizontal="center"/>
    </xf>
    <xf numFmtId="167" fontId="4" fillId="0" borderId="151" xfId="50" applyFont="1" applyFill="1" applyBorder="1" applyAlignment="1">
      <alignment horizontal="left"/>
    </xf>
    <xf numFmtId="2" fontId="4" fillId="0" borderId="154" xfId="23" applyNumberFormat="1" applyFont="1" applyBorder="1" applyAlignment="1">
      <alignment horizontal="right"/>
    </xf>
    <xf numFmtId="2" fontId="2" fillId="5" borderId="154" xfId="0" applyNumberFormat="1" applyFont="1" applyFill="1" applyBorder="1" applyAlignment="1">
      <alignment horizontal="right"/>
    </xf>
    <xf numFmtId="0" fontId="3" fillId="5" borderId="150" xfId="640" applyFont="1" applyFill="1" applyBorder="1" applyAlignment="1">
      <alignment horizontal="center" vertical="center"/>
    </xf>
    <xf numFmtId="0" fontId="3" fillId="5" borderId="150" xfId="640" applyFont="1" applyFill="1" applyBorder="1" applyAlignment="1">
      <alignment horizontal="center" vertical="center" wrapText="1"/>
    </xf>
    <xf numFmtId="0" fontId="4" fillId="0" borderId="150" xfId="1" applyFont="1" applyBorder="1" applyAlignment="1">
      <alignment horizontal="center" vertical="center" wrapText="1"/>
    </xf>
    <xf numFmtId="0" fontId="4" fillId="0" borderId="150" xfId="1" applyFont="1" applyBorder="1" applyAlignment="1">
      <alignment vertical="center" wrapText="1"/>
    </xf>
    <xf numFmtId="2" fontId="4" fillId="0" borderId="150" xfId="1" applyNumberFormat="1" applyFont="1" applyBorder="1" applyAlignment="1">
      <alignment horizontal="right" vertical="center" wrapText="1"/>
    </xf>
    <xf numFmtId="2" fontId="4" fillId="0" borderId="150" xfId="640" applyNumberFormat="1" applyFont="1" applyBorder="1" applyAlignment="1">
      <alignment horizontal="right" vertical="center"/>
    </xf>
    <xf numFmtId="4" fontId="3" fillId="5" borderId="151" xfId="640" applyNumberFormat="1" applyFont="1" applyFill="1" applyBorder="1" applyAlignment="1">
      <alignment horizontal="center" vertical="center" wrapText="1"/>
    </xf>
    <xf numFmtId="4" fontId="4" fillId="0" borderId="151" xfId="640" applyNumberFormat="1" applyFont="1" applyBorder="1" applyAlignment="1">
      <alignment horizontal="right" vertical="center"/>
    </xf>
    <xf numFmtId="0" fontId="4" fillId="0" borderId="154" xfId="1" applyFont="1" applyBorder="1" applyAlignment="1">
      <alignment vertical="center" wrapText="1"/>
    </xf>
    <xf numFmtId="169" fontId="4" fillId="0" borderId="150" xfId="640" applyNumberFormat="1" applyFont="1" applyBorder="1" applyAlignment="1">
      <alignment horizontal="right" vertical="center"/>
    </xf>
    <xf numFmtId="0" fontId="4" fillId="0" borderId="152" xfId="640" applyFont="1" applyBorder="1" applyAlignment="1">
      <alignment horizontal="center" vertical="center"/>
    </xf>
    <xf numFmtId="10" fontId="3" fillId="0" borderId="150" xfId="645" applyNumberFormat="1" applyFont="1" applyBorder="1" applyAlignment="1">
      <alignment horizontal="center" vertical="center"/>
    </xf>
    <xf numFmtId="2" fontId="4" fillId="5" borderId="150" xfId="640" applyNumberFormat="1" applyFont="1" applyFill="1" applyBorder="1" applyAlignment="1">
      <alignment horizontal="right"/>
    </xf>
    <xf numFmtId="2" fontId="4" fillId="0" borderId="150" xfId="640" applyNumberFormat="1" applyFont="1" applyBorder="1" applyAlignment="1">
      <alignment horizontal="right"/>
    </xf>
    <xf numFmtId="4" fontId="4" fillId="0" borderId="151" xfId="640" applyNumberFormat="1" applyFont="1" applyBorder="1" applyAlignment="1">
      <alignment horizontal="right"/>
    </xf>
    <xf numFmtId="0" fontId="4" fillId="0" borderId="152" xfId="640" applyFont="1" applyBorder="1" applyAlignment="1">
      <alignment horizontal="center"/>
    </xf>
    <xf numFmtId="2" fontId="4" fillId="0" borderId="154" xfId="640" applyNumberFormat="1" applyFont="1" applyBorder="1" applyAlignment="1">
      <alignment horizontal="right"/>
    </xf>
    <xf numFmtId="0" fontId="4" fillId="0" borderId="150" xfId="635" applyFont="1" applyBorder="1" applyAlignment="1">
      <alignment horizontal="left" wrapText="1"/>
    </xf>
    <xf numFmtId="167" fontId="2" fillId="0" borderId="150" xfId="781" applyFont="1" applyFill="1" applyBorder="1" applyAlignment="1">
      <alignment horizontal="center"/>
    </xf>
    <xf numFmtId="49" fontId="4" fillId="0" borderId="152" xfId="640" applyNumberFormat="1" applyFont="1" applyBorder="1" applyAlignment="1">
      <alignment horizontal="center"/>
    </xf>
    <xf numFmtId="2" fontId="2" fillId="0" borderId="150" xfId="0" applyNumberFormat="1" applyFont="1" applyBorder="1" applyAlignment="1">
      <alignment horizontal="right"/>
    </xf>
    <xf numFmtId="0" fontId="4" fillId="5" borderId="152" xfId="640" applyFont="1" applyFill="1" applyBorder="1" applyAlignment="1">
      <alignment horizontal="center"/>
    </xf>
    <xf numFmtId="4" fontId="2" fillId="0" borderId="151" xfId="0" applyNumberFormat="1" applyFont="1" applyBorder="1" applyAlignment="1">
      <alignment horizontal="right"/>
    </xf>
    <xf numFmtId="2" fontId="4" fillId="5" borderId="154" xfId="640" applyNumberFormat="1" applyFont="1" applyFill="1" applyBorder="1" applyAlignment="1">
      <alignment horizontal="right"/>
    </xf>
    <xf numFmtId="169" fontId="4" fillId="0" borderId="154" xfId="640" applyNumberFormat="1" applyFont="1" applyBorder="1" applyAlignment="1">
      <alignment horizontal="right"/>
    </xf>
    <xf numFmtId="0" fontId="4" fillId="5" borderId="150" xfId="1" applyFont="1" applyFill="1" applyBorder="1" applyAlignment="1">
      <alignment wrapText="1"/>
    </xf>
    <xf numFmtId="0" fontId="4" fillId="0" borderId="150" xfId="0" applyFont="1" applyBorder="1" applyAlignment="1">
      <alignment horizontal="left" wrapText="1"/>
    </xf>
    <xf numFmtId="0" fontId="4" fillId="0" borderId="150" xfId="0" applyFont="1" applyBorder="1" applyAlignment="1">
      <alignment horizontal="center"/>
    </xf>
    <xf numFmtId="4" fontId="3" fillId="5" borderId="150" xfId="0" applyNumberFormat="1" applyFont="1" applyFill="1" applyBorder="1" applyAlignment="1">
      <alignment horizontal="center" vertical="center"/>
    </xf>
    <xf numFmtId="10" fontId="3" fillId="5" borderId="150" xfId="645" applyNumberFormat="1" applyFont="1" applyFill="1" applyBorder="1" applyAlignment="1">
      <alignment horizontal="center" vertical="center"/>
    </xf>
    <xf numFmtId="49" fontId="4" fillId="0" borderId="152" xfId="0" applyNumberFormat="1" applyFont="1" applyBorder="1" applyAlignment="1">
      <alignment horizontal="center" vertical="center"/>
    </xf>
    <xf numFmtId="0" fontId="3" fillId="5" borderId="152" xfId="0" applyFont="1" applyFill="1" applyBorder="1" applyAlignment="1">
      <alignment horizontal="center" vertical="center"/>
    </xf>
    <xf numFmtId="4" fontId="3" fillId="5" borderId="151" xfId="0" applyNumberFormat="1" applyFont="1" applyFill="1" applyBorder="1" applyAlignment="1">
      <alignment horizontal="center" vertical="center"/>
    </xf>
    <xf numFmtId="4" fontId="4" fillId="0" borderId="150" xfId="0" applyNumberFormat="1" applyFont="1" applyBorder="1" applyAlignment="1">
      <alignment horizontal="center"/>
    </xf>
    <xf numFmtId="4" fontId="4" fillId="0" borderId="150" xfId="640" applyNumberFormat="1" applyFont="1" applyBorder="1" applyAlignment="1">
      <alignment horizontal="center"/>
    </xf>
    <xf numFmtId="4" fontId="4" fillId="0" borderId="150" xfId="1" applyNumberFormat="1" applyFont="1" applyBorder="1" applyAlignment="1">
      <alignment horizontal="center" wrapText="1"/>
    </xf>
    <xf numFmtId="169" fontId="4" fillId="5" borderId="150" xfId="640" applyNumberFormat="1" applyFont="1" applyFill="1" applyBorder="1" applyAlignment="1">
      <alignment horizontal="right"/>
    </xf>
    <xf numFmtId="0" fontId="4" fillId="5" borderId="30" xfId="640" applyFont="1" applyFill="1" applyBorder="1" applyAlignment="1">
      <alignment horizontal="center"/>
    </xf>
    <xf numFmtId="169" fontId="4" fillId="5" borderId="154" xfId="640" applyNumberFormat="1" applyFont="1" applyFill="1" applyBorder="1" applyAlignment="1">
      <alignment horizontal="right"/>
    </xf>
    <xf numFmtId="43" fontId="3" fillId="11" borderId="81" xfId="3097" applyFont="1" applyFill="1" applyBorder="1" applyAlignment="1">
      <alignment horizontal="right" vertical="center"/>
    </xf>
    <xf numFmtId="170" fontId="4" fillId="5" borderId="150" xfId="640" applyNumberFormat="1" applyFont="1" applyFill="1" applyBorder="1" applyAlignment="1">
      <alignment horizontal="right"/>
    </xf>
    <xf numFmtId="170" fontId="4" fillId="5" borderId="154" xfId="640" applyNumberFormat="1" applyFont="1" applyFill="1" applyBorder="1" applyAlignment="1">
      <alignment horizontal="right"/>
    </xf>
    <xf numFmtId="0" fontId="4" fillId="5" borderId="150" xfId="640" applyFont="1" applyFill="1" applyBorder="1"/>
    <xf numFmtId="10" fontId="4" fillId="0" borderId="150" xfId="1" applyNumberFormat="1" applyFont="1" applyBorder="1" applyAlignment="1">
      <alignment horizontal="center" wrapText="1"/>
    </xf>
    <xf numFmtId="0" fontId="4" fillId="5" borderId="150" xfId="1" applyFont="1" applyFill="1" applyBorder="1" applyAlignment="1">
      <alignment horizontal="center" wrapText="1"/>
    </xf>
    <xf numFmtId="2" fontId="4" fillId="5" borderId="150" xfId="1" applyNumberFormat="1" applyFont="1" applyFill="1" applyBorder="1" applyAlignment="1">
      <alignment horizontal="right" wrapText="1"/>
    </xf>
    <xf numFmtId="0" fontId="4" fillId="5" borderId="150" xfId="640" applyFont="1" applyFill="1" applyBorder="1" applyAlignment="1">
      <alignment wrapText="1"/>
    </xf>
    <xf numFmtId="1" fontId="4" fillId="5" borderId="152" xfId="0" applyNumberFormat="1" applyFont="1" applyFill="1" applyBorder="1" applyAlignment="1">
      <alignment horizontal="center"/>
    </xf>
    <xf numFmtId="4" fontId="2" fillId="5" borderId="151" xfId="0" applyNumberFormat="1" applyFont="1" applyFill="1" applyBorder="1" applyAlignment="1">
      <alignment horizontal="right"/>
    </xf>
    <xf numFmtId="1" fontId="4" fillId="0" borderId="152" xfId="0" applyNumberFormat="1" applyFont="1" applyBorder="1" applyAlignment="1">
      <alignment horizontal="center" vertical="center"/>
    </xf>
    <xf numFmtId="1" fontId="4" fillId="0" borderId="152" xfId="0" applyNumberFormat="1" applyFont="1" applyBorder="1" applyAlignment="1">
      <alignment horizontal="center"/>
    </xf>
    <xf numFmtId="0" fontId="4" fillId="5" borderId="152" xfId="0" applyFont="1" applyFill="1" applyBorder="1" applyAlignment="1">
      <alignment horizontal="center" vertical="center" wrapText="1"/>
    </xf>
    <xf numFmtId="1" fontId="4" fillId="5" borderId="152" xfId="640" applyNumberFormat="1" applyFont="1" applyFill="1" applyBorder="1" applyAlignment="1">
      <alignment horizontal="center" vertical="center" wrapText="1"/>
    </xf>
    <xf numFmtId="4" fontId="4" fillId="5" borderId="150" xfId="1" applyNumberFormat="1" applyFont="1" applyFill="1" applyBorder="1" applyAlignment="1">
      <alignment horizontal="center" wrapText="1"/>
    </xf>
    <xf numFmtId="1" fontId="4" fillId="5" borderId="152" xfId="0" applyNumberFormat="1" applyFont="1" applyFill="1" applyBorder="1" applyAlignment="1">
      <alignment horizontal="center" vertical="center"/>
    </xf>
    <xf numFmtId="0" fontId="4" fillId="0" borderId="152" xfId="840" applyFont="1" applyBorder="1" applyAlignment="1">
      <alignment horizontal="center" vertical="center"/>
    </xf>
    <xf numFmtId="0" fontId="95" fillId="0" borderId="150" xfId="0" applyFont="1" applyBorder="1" applyAlignment="1">
      <alignment horizontal="left" wrapText="1"/>
    </xf>
    <xf numFmtId="0" fontId="4" fillId="0" borderId="152" xfId="0" applyFont="1" applyBorder="1" applyAlignment="1">
      <alignment horizontal="center" vertical="center"/>
    </xf>
    <xf numFmtId="0" fontId="35" fillId="0" borderId="150" xfId="124" applyFont="1" applyBorder="1" applyAlignment="1">
      <alignment horizontal="right" vertical="center" wrapText="1"/>
    </xf>
    <xf numFmtId="0" fontId="35" fillId="0" borderId="152" xfId="124" applyFont="1" applyBorder="1" applyAlignment="1">
      <alignment horizontal="center" vertical="center" wrapText="1"/>
    </xf>
    <xf numFmtId="0" fontId="35" fillId="0" borderId="154" xfId="124" applyFont="1" applyBorder="1" applyAlignment="1">
      <alignment horizontal="right" vertical="center" wrapText="1"/>
    </xf>
    <xf numFmtId="0" fontId="4" fillId="0" borderId="0" xfId="640" applyFont="1" applyAlignment="1">
      <alignment horizontal="left" vertical="center"/>
    </xf>
    <xf numFmtId="0" fontId="5" fillId="0" borderId="71" xfId="640" applyBorder="1"/>
    <xf numFmtId="0" fontId="87" fillId="0" borderId="0" xfId="640" applyFont="1"/>
    <xf numFmtId="0" fontId="5" fillId="0" borderId="72" xfId="640" applyBorder="1"/>
    <xf numFmtId="0" fontId="26" fillId="13" borderId="73" xfId="640" applyFont="1" applyFill="1" applyBorder="1" applyAlignment="1">
      <alignment horizontal="center" vertical="center"/>
    </xf>
    <xf numFmtId="0" fontId="82" fillId="0" borderId="0" xfId="640" applyFont="1" applyAlignment="1">
      <alignment horizontal="center" vertical="center"/>
    </xf>
    <xf numFmtId="0" fontId="130" fillId="0" borderId="0" xfId="640" applyFont="1" applyAlignment="1">
      <alignment horizontal="center" vertical="center"/>
    </xf>
    <xf numFmtId="0" fontId="26" fillId="13" borderId="74" xfId="640" applyFont="1" applyFill="1" applyBorder="1" applyAlignment="1">
      <alignment horizontal="center" vertical="center"/>
    </xf>
    <xf numFmtId="0" fontId="4" fillId="0" borderId="153" xfId="640" applyFont="1" applyBorder="1" applyAlignment="1">
      <alignment horizontal="center"/>
    </xf>
    <xf numFmtId="10" fontId="5" fillId="0" borderId="0" xfId="645" applyNumberFormat="1"/>
    <xf numFmtId="0" fontId="5" fillId="0" borderId="14" xfId="640" applyBorder="1"/>
    <xf numFmtId="0" fontId="89" fillId="0" borderId="16" xfId="640" applyFont="1" applyBorder="1" applyAlignment="1">
      <alignment vertical="center" wrapText="1"/>
    </xf>
    <xf numFmtId="0" fontId="5" fillId="0" borderId="16" xfId="640" applyBorder="1"/>
    <xf numFmtId="0" fontId="5" fillId="0" borderId="15" xfId="640" applyBorder="1"/>
    <xf numFmtId="0" fontId="5" fillId="0" borderId="8" xfId="640" applyBorder="1"/>
    <xf numFmtId="0" fontId="5" fillId="0" borderId="9" xfId="640" applyBorder="1" applyAlignment="1">
      <alignment horizontal="left" vertical="center"/>
    </xf>
    <xf numFmtId="0" fontId="5" fillId="0" borderId="9" xfId="640" applyBorder="1"/>
    <xf numFmtId="0" fontId="5" fillId="0" borderId="10" xfId="640" applyBorder="1"/>
    <xf numFmtId="0" fontId="3" fillId="0" borderId="18" xfId="640" applyFont="1" applyBorder="1" applyAlignment="1">
      <alignment horizontal="left" vertical="center"/>
    </xf>
    <xf numFmtId="0" fontId="3" fillId="0" borderId="0" xfId="640" applyFont="1" applyAlignment="1">
      <alignment horizontal="right"/>
    </xf>
    <xf numFmtId="14" fontId="4" fillId="0" borderId="0" xfId="640" applyNumberFormat="1" applyFont="1" applyAlignment="1">
      <alignment horizontal="left" vertical="center" wrapText="1"/>
    </xf>
    <xf numFmtId="0" fontId="4" fillId="5" borderId="153" xfId="640" applyFont="1" applyFill="1" applyBorder="1" applyAlignment="1">
      <alignment horizontal="center" vertical="center" wrapText="1"/>
    </xf>
    <xf numFmtId="4" fontId="4" fillId="0" borderId="154" xfId="640" applyNumberFormat="1" applyFont="1" applyBorder="1" applyAlignment="1">
      <alignment horizontal="left" wrapText="1"/>
    </xf>
    <xf numFmtId="4" fontId="27" fillId="0" borderId="0" xfId="640" applyNumberFormat="1" applyFont="1"/>
    <xf numFmtId="191" fontId="14" fillId="4" borderId="2" xfId="640" applyNumberFormat="1" applyFont="1" applyFill="1" applyBorder="1" applyAlignment="1">
      <alignment horizontal="center" vertical="center"/>
    </xf>
    <xf numFmtId="191" fontId="14" fillId="4" borderId="3" xfId="640" applyNumberFormat="1" applyFont="1" applyFill="1" applyBorder="1" applyAlignment="1">
      <alignment horizontal="center" vertical="center"/>
    </xf>
    <xf numFmtId="191" fontId="14" fillId="4" borderId="4" xfId="640" applyNumberFormat="1" applyFont="1" applyFill="1" applyBorder="1" applyAlignment="1">
      <alignment horizontal="center" vertical="center"/>
    </xf>
    <xf numFmtId="191" fontId="4" fillId="0" borderId="154" xfId="640" applyNumberFormat="1" applyFont="1" applyBorder="1" applyAlignment="1">
      <alignment horizontal="center" vertical="center"/>
    </xf>
    <xf numFmtId="191" fontId="4" fillId="0" borderId="155" xfId="640" applyNumberFormat="1" applyFont="1" applyBorder="1" applyAlignment="1">
      <alignment horizontal="center" vertical="center"/>
    </xf>
    <xf numFmtId="14" fontId="4" fillId="0" borderId="19" xfId="640" applyNumberFormat="1" applyFont="1" applyBorder="1" applyAlignment="1">
      <alignment horizontal="left"/>
    </xf>
    <xf numFmtId="0" fontId="17" fillId="4" borderId="177" xfId="640" applyFont="1" applyFill="1" applyBorder="1" applyAlignment="1">
      <alignment horizontal="center"/>
    </xf>
    <xf numFmtId="0" fontId="17" fillId="4" borderId="177" xfId="640" applyFont="1" applyFill="1" applyBorder="1" applyAlignment="1">
      <alignment horizontal="center" wrapText="1"/>
    </xf>
    <xf numFmtId="0" fontId="17" fillId="4" borderId="178" xfId="640" applyFont="1" applyFill="1" applyBorder="1" applyAlignment="1">
      <alignment horizontal="center"/>
    </xf>
    <xf numFmtId="0" fontId="135" fillId="0" borderId="36" xfId="640" applyFont="1" applyBorder="1" applyAlignment="1">
      <alignment horizontal="center"/>
    </xf>
    <xf numFmtId="191" fontId="5" fillId="0" borderId="2" xfId="640" applyNumberFormat="1" applyBorder="1"/>
    <xf numFmtId="191" fontId="5" fillId="0" borderId="3" xfId="640" applyNumberFormat="1" applyBorder="1"/>
    <xf numFmtId="191" fontId="135" fillId="0" borderId="4" xfId="640" applyNumberFormat="1" applyFont="1" applyBorder="1" applyAlignment="1">
      <alignment horizontal="left"/>
    </xf>
    <xf numFmtId="0" fontId="145" fillId="5" borderId="0" xfId="811" applyFont="1" applyFill="1" applyAlignment="1">
      <alignment vertical="center"/>
    </xf>
    <xf numFmtId="0" fontId="143" fillId="5" borderId="0" xfId="811" applyFont="1" applyFill="1" applyAlignment="1">
      <alignment vertical="center"/>
    </xf>
    <xf numFmtId="0" fontId="142" fillId="5" borderId="0" xfId="811" applyFont="1" applyFill="1" applyAlignment="1">
      <alignment vertical="center"/>
    </xf>
    <xf numFmtId="0" fontId="4" fillId="5" borderId="5" xfId="23" applyFont="1" applyFill="1" applyBorder="1" applyAlignment="1">
      <alignment horizontal="center" wrapText="1"/>
    </xf>
    <xf numFmtId="1" fontId="4" fillId="5" borderId="7" xfId="23" applyNumberFormat="1" applyFont="1" applyFill="1" applyBorder="1" applyAlignment="1">
      <alignment wrapText="1"/>
    </xf>
    <xf numFmtId="4" fontId="4" fillId="5" borderId="7" xfId="23" applyNumberFormat="1" applyFont="1" applyFill="1" applyBorder="1" applyAlignment="1">
      <alignment horizontal="center" vertical="center" wrapText="1"/>
    </xf>
    <xf numFmtId="4" fontId="4" fillId="5" borderId="7" xfId="23" applyNumberFormat="1" applyFont="1" applyFill="1" applyBorder="1" applyAlignment="1">
      <alignment horizontal="right" wrapText="1"/>
    </xf>
    <xf numFmtId="4" fontId="4" fillId="5" borderId="6" xfId="23" applyNumberFormat="1" applyFont="1" applyFill="1" applyBorder="1" applyAlignment="1">
      <alignment horizontal="right" wrapText="1"/>
    </xf>
    <xf numFmtId="167" fontId="86" fillId="4" borderId="179" xfId="641" applyFont="1" applyFill="1" applyBorder="1"/>
    <xf numFmtId="4" fontId="47" fillId="5" borderId="20" xfId="640" applyNumberFormat="1" applyFont="1" applyFill="1" applyBorder="1" applyAlignment="1">
      <alignment wrapText="1"/>
    </xf>
    <xf numFmtId="167" fontId="96" fillId="5" borderId="20" xfId="641" applyFont="1" applyFill="1" applyBorder="1"/>
    <xf numFmtId="4" fontId="85" fillId="4" borderId="144" xfId="640" applyNumberFormat="1" applyFont="1" applyFill="1" applyBorder="1" applyAlignment="1">
      <alignment wrapText="1"/>
    </xf>
    <xf numFmtId="167" fontId="86" fillId="4" borderId="180" xfId="641" applyFont="1" applyFill="1" applyBorder="1"/>
    <xf numFmtId="4" fontId="85" fillId="4" borderId="169" xfId="640" applyNumberFormat="1" applyFont="1" applyFill="1" applyBorder="1" applyAlignment="1">
      <alignment wrapText="1"/>
    </xf>
    <xf numFmtId="4" fontId="4" fillId="4" borderId="169" xfId="640" applyNumberFormat="1" applyFont="1" applyFill="1" applyBorder="1" applyAlignment="1">
      <alignment wrapText="1"/>
    </xf>
    <xf numFmtId="4" fontId="85" fillId="4" borderId="181" xfId="640" applyNumberFormat="1" applyFont="1" applyFill="1" applyBorder="1" applyAlignment="1">
      <alignment wrapText="1"/>
    </xf>
    <xf numFmtId="4" fontId="85" fillId="4" borderId="179" xfId="640" applyNumberFormat="1" applyFont="1" applyFill="1" applyBorder="1" applyAlignment="1">
      <alignment wrapText="1"/>
    </xf>
    <xf numFmtId="167" fontId="86" fillId="4" borderId="182" xfId="641" applyFont="1" applyFill="1" applyBorder="1"/>
    <xf numFmtId="0" fontId="15" fillId="3" borderId="0" xfId="787" applyFont="1" applyFill="1" applyAlignment="1">
      <alignment horizontal="center" vertical="center"/>
    </xf>
    <xf numFmtId="0" fontId="15" fillId="3" borderId="0" xfId="787" applyFont="1" applyFill="1" applyAlignment="1">
      <alignment vertical="center" wrapText="1"/>
    </xf>
    <xf numFmtId="4" fontId="15" fillId="3" borderId="0" xfId="787" applyNumberFormat="1" applyFont="1" applyFill="1" applyAlignment="1">
      <alignment vertical="center"/>
    </xf>
    <xf numFmtId="4" fontId="27" fillId="5" borderId="14" xfId="787" applyNumberFormat="1" applyFont="1" applyFill="1" applyBorder="1" applyAlignment="1">
      <alignment horizontal="right" vertical="center"/>
    </xf>
    <xf numFmtId="0" fontId="27" fillId="5" borderId="16" xfId="787" applyFont="1" applyFill="1" applyBorder="1" applyAlignment="1">
      <alignment vertical="center" wrapText="1"/>
    </xf>
    <xf numFmtId="0" fontId="27" fillId="5" borderId="16" xfId="787" applyFont="1" applyFill="1" applyBorder="1" applyAlignment="1">
      <alignment horizontal="center" vertical="center" wrapText="1"/>
    </xf>
    <xf numFmtId="4" fontId="11" fillId="5" borderId="16" xfId="787" applyNumberFormat="1" applyFont="1" applyFill="1" applyBorder="1" applyAlignment="1">
      <alignment vertical="center"/>
    </xf>
    <xf numFmtId="4" fontId="11" fillId="5" borderId="15" xfId="787" applyNumberFormat="1" applyFont="1" applyFill="1" applyBorder="1" applyAlignment="1">
      <alignment vertical="center"/>
    </xf>
    <xf numFmtId="0" fontId="18" fillId="0" borderId="177" xfId="787" applyFont="1" applyBorder="1" applyAlignment="1">
      <alignment horizontal="center"/>
    </xf>
    <xf numFmtId="0" fontId="84" fillId="0" borderId="177" xfId="640" applyFont="1" applyBorder="1" applyAlignment="1">
      <alignment horizontal="center"/>
    </xf>
    <xf numFmtId="167" fontId="97" fillId="4" borderId="177" xfId="641" applyFont="1" applyFill="1" applyBorder="1"/>
    <xf numFmtId="0" fontId="147" fillId="5" borderId="18" xfId="1627" applyFont="1" applyFill="1" applyBorder="1" applyAlignment="1">
      <alignment horizontal="left" vertical="center"/>
    </xf>
    <xf numFmtId="0" fontId="147" fillId="5" borderId="8" xfId="1627" applyFont="1" applyFill="1" applyBorder="1" applyAlignment="1">
      <alignment horizontal="left" vertical="center"/>
    </xf>
    <xf numFmtId="0" fontId="3" fillId="5" borderId="183" xfId="0" applyFont="1" applyFill="1" applyBorder="1" applyAlignment="1">
      <alignment horizontal="center" vertical="center"/>
    </xf>
    <xf numFmtId="0" fontId="3" fillId="5" borderId="183" xfId="0" applyFont="1" applyFill="1" applyBorder="1" applyAlignment="1">
      <alignment horizontal="center" vertical="center" wrapText="1"/>
    </xf>
    <xf numFmtId="4" fontId="3" fillId="5" borderId="184" xfId="0" applyNumberFormat="1" applyFont="1" applyFill="1" applyBorder="1" applyAlignment="1">
      <alignment horizontal="center" vertical="center" wrapText="1"/>
    </xf>
    <xf numFmtId="0" fontId="4" fillId="0" borderId="174" xfId="676" applyFont="1" applyBorder="1" applyAlignment="1">
      <alignment horizontal="center" vertical="center"/>
    </xf>
    <xf numFmtId="0" fontId="4" fillId="0" borderId="183" xfId="1" applyFont="1" applyBorder="1" applyAlignment="1">
      <alignment wrapText="1"/>
    </xf>
    <xf numFmtId="0" fontId="4" fillId="0" borderId="183" xfId="1" applyFont="1" applyBorder="1" applyAlignment="1">
      <alignment horizontal="center" wrapText="1"/>
    </xf>
    <xf numFmtId="170" fontId="4" fillId="0" borderId="183" xfId="676" applyNumberFormat="1" applyFont="1" applyBorder="1" applyAlignment="1">
      <alignment horizontal="right"/>
    </xf>
    <xf numFmtId="2" fontId="4" fillId="0" borderId="183" xfId="1" applyNumberFormat="1" applyFont="1" applyBorder="1" applyAlignment="1">
      <alignment horizontal="right" wrapText="1"/>
    </xf>
    <xf numFmtId="167" fontId="4" fillId="0" borderId="184" xfId="641" applyFont="1" applyFill="1" applyBorder="1" applyAlignment="1">
      <alignment horizontal="left"/>
    </xf>
    <xf numFmtId="169" fontId="4" fillId="0" borderId="183" xfId="676" applyNumberFormat="1" applyFont="1" applyBorder="1" applyAlignment="1">
      <alignment horizontal="right"/>
    </xf>
    <xf numFmtId="0" fontId="4" fillId="0" borderId="153" xfId="676" applyFont="1" applyBorder="1" applyAlignment="1">
      <alignment horizontal="center" vertical="center"/>
    </xf>
    <xf numFmtId="169" fontId="4" fillId="0" borderId="175" xfId="676" applyNumberFormat="1" applyFont="1" applyBorder="1" applyAlignment="1">
      <alignment horizontal="right" vertical="center"/>
    </xf>
    <xf numFmtId="167" fontId="4" fillId="0" borderId="155" xfId="641" applyFont="1" applyFill="1" applyBorder="1" applyAlignment="1">
      <alignment horizontal="left"/>
    </xf>
    <xf numFmtId="4" fontId="2" fillId="0" borderId="186" xfId="0" applyNumberFormat="1" applyFont="1" applyBorder="1" applyAlignment="1">
      <alignment vertical="center"/>
    </xf>
    <xf numFmtId="49" fontId="33" fillId="5" borderId="18" xfId="640" applyNumberFormat="1" applyFont="1" applyFill="1" applyBorder="1" applyAlignment="1">
      <alignment vertical="center" wrapText="1"/>
    </xf>
    <xf numFmtId="0" fontId="5" fillId="5" borderId="19" xfId="640" applyFill="1" applyBorder="1" applyAlignment="1">
      <alignment vertical="center" wrapText="1"/>
    </xf>
    <xf numFmtId="0" fontId="4" fillId="0" borderId="185" xfId="1" applyFont="1" applyBorder="1" applyAlignment="1">
      <alignment wrapText="1"/>
    </xf>
    <xf numFmtId="0" fontId="4" fillId="0" borderId="185" xfId="1" applyFont="1" applyBorder="1" applyAlignment="1">
      <alignment horizontal="center" wrapText="1"/>
    </xf>
    <xf numFmtId="2" fontId="4" fillId="0" borderId="185" xfId="1" applyNumberFormat="1" applyFont="1" applyBorder="1" applyAlignment="1">
      <alignment horizontal="right" wrapText="1"/>
    </xf>
    <xf numFmtId="2" fontId="4" fillId="0" borderId="188" xfId="1" applyNumberFormat="1" applyFont="1" applyBorder="1" applyAlignment="1">
      <alignment horizontal="right" wrapText="1"/>
    </xf>
    <xf numFmtId="4" fontId="4" fillId="0" borderId="189" xfId="640" applyNumberFormat="1" applyFont="1" applyBorder="1" applyAlignment="1">
      <alignment horizontal="right"/>
    </xf>
    <xf numFmtId="0" fontId="3" fillId="8" borderId="14" xfId="640" applyFont="1" applyFill="1" applyBorder="1" applyAlignment="1">
      <alignment horizontal="center" vertical="center" wrapText="1"/>
    </xf>
    <xf numFmtId="0" fontId="125" fillId="0" borderId="0" xfId="431" applyFont="1" applyAlignment="1">
      <alignment vertical="center"/>
    </xf>
    <xf numFmtId="0" fontId="0" fillId="0" borderId="0" xfId="0" applyProtection="1">
      <protection locked="0"/>
    </xf>
    <xf numFmtId="0" fontId="0" fillId="0" borderId="0" xfId="0" applyAlignment="1" applyProtection="1">
      <alignment vertical="center" wrapText="1"/>
      <protection locked="0"/>
    </xf>
    <xf numFmtId="197" fontId="0" fillId="0" borderId="0" xfId="0" applyNumberFormat="1" applyAlignment="1" applyProtection="1">
      <alignment vertical="center" wrapText="1"/>
      <protection locked="0"/>
    </xf>
    <xf numFmtId="197" fontId="0" fillId="0" borderId="0" xfId="0" applyNumberFormat="1" applyProtection="1">
      <protection locked="0"/>
    </xf>
    <xf numFmtId="0" fontId="0" fillId="0" borderId="0" xfId="0" applyAlignment="1" applyProtection="1">
      <alignment horizontal="center" vertical="center" wrapText="1"/>
      <protection locked="0"/>
    </xf>
    <xf numFmtId="167" fontId="4" fillId="0" borderId="155" xfId="50" applyFont="1" applyFill="1" applyBorder="1" applyAlignment="1">
      <alignment horizontal="left"/>
    </xf>
    <xf numFmtId="170" fontId="4" fillId="0" borderId="150" xfId="1" applyNumberFormat="1" applyFont="1" applyBorder="1" applyAlignment="1">
      <alignment horizontal="right" wrapText="1"/>
    </xf>
    <xf numFmtId="170" fontId="4" fillId="0" borderId="154" xfId="1" applyNumberFormat="1" applyFont="1" applyBorder="1" applyAlignment="1">
      <alignment horizontal="right" wrapText="1"/>
    </xf>
    <xf numFmtId="0" fontId="3" fillId="41" borderId="32" xfId="0" applyFont="1" applyFill="1" applyBorder="1" applyAlignment="1">
      <alignment horizontal="center" wrapText="1"/>
    </xf>
    <xf numFmtId="4" fontId="3" fillId="41" borderId="34" xfId="0" applyNumberFormat="1" applyFont="1" applyFill="1" applyBorder="1" applyAlignment="1">
      <alignment horizontal="center" wrapText="1"/>
    </xf>
    <xf numFmtId="0" fontId="3" fillId="41" borderId="34" xfId="98" applyFont="1" applyFill="1" applyBorder="1" applyAlignment="1">
      <alignment vertical="center" wrapText="1"/>
    </xf>
    <xf numFmtId="0" fontId="3" fillId="41" borderId="34" xfId="0" applyFont="1" applyFill="1" applyBorder="1" applyAlignment="1">
      <alignment horizontal="center" wrapText="1"/>
    </xf>
    <xf numFmtId="4" fontId="3" fillId="41" borderId="34" xfId="0" applyNumberFormat="1" applyFont="1" applyFill="1" applyBorder="1" applyAlignment="1">
      <alignment wrapText="1"/>
    </xf>
    <xf numFmtId="4" fontId="3" fillId="41" borderId="34" xfId="98" applyNumberFormat="1" applyFont="1" applyFill="1" applyBorder="1" applyAlignment="1">
      <alignment horizontal="right" wrapText="1"/>
    </xf>
    <xf numFmtId="4" fontId="3" fillId="41" borderId="33" xfId="46" applyNumberFormat="1" applyFont="1" applyFill="1" applyBorder="1" applyAlignment="1"/>
    <xf numFmtId="2" fontId="4" fillId="0" borderId="183" xfId="676" applyNumberFormat="1" applyFont="1" applyBorder="1" applyAlignment="1">
      <alignment horizontal="right"/>
    </xf>
    <xf numFmtId="2" fontId="4" fillId="0" borderId="175" xfId="676" applyNumberFormat="1" applyFont="1" applyBorder="1" applyAlignment="1">
      <alignment horizontal="right" vertical="center"/>
    </xf>
    <xf numFmtId="0" fontId="4" fillId="13" borderId="152" xfId="23" applyFont="1" applyFill="1" applyBorder="1" applyAlignment="1">
      <alignment horizontal="center"/>
    </xf>
    <xf numFmtId="0" fontId="4" fillId="13" borderId="153" xfId="23" applyFont="1" applyFill="1" applyBorder="1" applyAlignment="1">
      <alignment horizontal="center"/>
    </xf>
    <xf numFmtId="0" fontId="3" fillId="5" borderId="185" xfId="33" applyFont="1" applyFill="1" applyBorder="1" applyAlignment="1">
      <alignment horizontal="center" vertical="center"/>
    </xf>
    <xf numFmtId="0" fontId="3" fillId="5" borderId="185" xfId="33" applyFont="1" applyFill="1" applyBorder="1" applyAlignment="1">
      <alignment horizontal="center" vertical="center" wrapText="1"/>
    </xf>
    <xf numFmtId="0" fontId="3" fillId="0" borderId="185" xfId="1" applyFont="1" applyBorder="1" applyAlignment="1">
      <alignment wrapText="1"/>
    </xf>
    <xf numFmtId="0" fontId="4" fillId="0" borderId="185" xfId="33" applyFont="1" applyBorder="1" applyAlignment="1">
      <alignment horizontal="center"/>
    </xf>
    <xf numFmtId="2" fontId="2" fillId="5" borderId="185" xfId="33" applyNumberFormat="1" applyFont="1" applyFill="1" applyBorder="1" applyAlignment="1">
      <alignment horizontal="right"/>
    </xf>
    <xf numFmtId="2" fontId="2" fillId="0" borderId="185" xfId="33" applyNumberFormat="1" applyFont="1" applyBorder="1" applyAlignment="1">
      <alignment horizontal="right"/>
    </xf>
    <xf numFmtId="169" fontId="2" fillId="5" borderId="185" xfId="33" applyNumberFormat="1" applyFont="1" applyFill="1" applyBorder="1" applyAlignment="1">
      <alignment horizontal="right"/>
    </xf>
    <xf numFmtId="0" fontId="3" fillId="0" borderId="174" xfId="845" applyFont="1" applyBorder="1" applyAlignment="1">
      <alignment horizontal="center" vertical="center" wrapText="1"/>
    </xf>
    <xf numFmtId="4" fontId="3" fillId="5" borderId="184" xfId="33" applyNumberFormat="1" applyFont="1" applyFill="1" applyBorder="1" applyAlignment="1">
      <alignment horizontal="center" vertical="center" wrapText="1"/>
    </xf>
    <xf numFmtId="49" fontId="4" fillId="0" borderId="174" xfId="33" applyNumberFormat="1" applyFont="1" applyBorder="1" applyAlignment="1">
      <alignment horizontal="center"/>
    </xf>
    <xf numFmtId="167" fontId="4" fillId="0" borderId="184" xfId="1084" applyFont="1" applyFill="1" applyBorder="1" applyAlignment="1">
      <alignment horizontal="left"/>
    </xf>
    <xf numFmtId="0" fontId="4" fillId="0" borderId="174" xfId="33" applyFont="1" applyBorder="1" applyAlignment="1">
      <alignment horizontal="center"/>
    </xf>
    <xf numFmtId="0" fontId="4" fillId="0" borderId="153" xfId="33" applyFont="1" applyBorder="1" applyAlignment="1">
      <alignment horizontal="center"/>
    </xf>
    <xf numFmtId="169" fontId="2" fillId="5" borderId="175" xfId="33" applyNumberFormat="1" applyFont="1" applyFill="1" applyBorder="1" applyAlignment="1">
      <alignment horizontal="right"/>
    </xf>
    <xf numFmtId="167" fontId="4" fillId="0" borderId="176" xfId="1084" applyFont="1" applyFill="1" applyBorder="1" applyAlignment="1">
      <alignment horizontal="left"/>
    </xf>
    <xf numFmtId="0" fontId="99" fillId="0" borderId="89" xfId="0" applyFont="1" applyBorder="1" applyAlignment="1">
      <alignment horizontal="center" vertical="center" wrapText="1"/>
    </xf>
    <xf numFmtId="0" fontId="95" fillId="0" borderId="193" xfId="0" applyFont="1" applyBorder="1" applyAlignment="1">
      <alignment horizontal="center" vertical="center" wrapText="1"/>
    </xf>
    <xf numFmtId="0" fontId="95" fillId="46" borderId="193" xfId="0" applyFont="1" applyFill="1" applyBorder="1" applyAlignment="1">
      <alignment horizontal="center" vertical="center" wrapText="1"/>
    </xf>
    <xf numFmtId="0" fontId="99" fillId="46" borderId="193" xfId="0" applyFont="1" applyFill="1" applyBorder="1" applyAlignment="1">
      <alignment horizontal="center" vertical="center"/>
    </xf>
    <xf numFmtId="10" fontId="99" fillId="46" borderId="89" xfId="924" applyNumberFormat="1" applyFont="1" applyFill="1" applyBorder="1" applyAlignment="1">
      <alignment horizontal="center" vertical="center" wrapText="1"/>
    </xf>
    <xf numFmtId="0" fontId="95" fillId="0" borderId="193" xfId="0" applyFont="1" applyBorder="1" applyAlignment="1">
      <alignment horizontal="center" vertical="center"/>
    </xf>
    <xf numFmtId="0" fontId="95" fillId="46" borderId="193" xfId="0" applyFont="1" applyFill="1" applyBorder="1" applyAlignment="1">
      <alignment horizontal="center" vertical="center"/>
    </xf>
    <xf numFmtId="0" fontId="99" fillId="0" borderId="193" xfId="0" applyFont="1" applyBorder="1" applyAlignment="1">
      <alignment horizontal="center" vertical="center"/>
    </xf>
    <xf numFmtId="10" fontId="99" fillId="0" borderId="89" xfId="924" applyNumberFormat="1" applyFont="1" applyBorder="1" applyAlignment="1">
      <alignment horizontal="center" vertical="center" wrapText="1"/>
    </xf>
    <xf numFmtId="10" fontId="100" fillId="44" borderId="195" xfId="0" applyNumberFormat="1" applyFont="1" applyFill="1" applyBorder="1" applyAlignment="1">
      <alignment horizontal="center" vertical="center" wrapText="1"/>
    </xf>
    <xf numFmtId="10" fontId="100" fillId="44" borderId="196" xfId="0" applyNumberFormat="1" applyFont="1" applyFill="1" applyBorder="1" applyAlignment="1">
      <alignment horizontal="center" vertical="center" wrapText="1"/>
    </xf>
    <xf numFmtId="10" fontId="7" fillId="0" borderId="0" xfId="924" applyNumberFormat="1" applyFont="1"/>
    <xf numFmtId="0" fontId="7" fillId="0" borderId="185" xfId="23" applyBorder="1"/>
    <xf numFmtId="10" fontId="7" fillId="0" borderId="184" xfId="924" applyNumberFormat="1" applyFont="1" applyBorder="1"/>
    <xf numFmtId="10" fontId="7" fillId="0" borderId="176" xfId="924" applyNumberFormat="1" applyFont="1" applyBorder="1"/>
    <xf numFmtId="0" fontId="7" fillId="0" borderId="174" xfId="23" applyBorder="1" applyAlignment="1">
      <alignment vertical="center"/>
    </xf>
    <xf numFmtId="0" fontId="7" fillId="0" borderId="185" xfId="23" applyBorder="1" applyAlignment="1">
      <alignment vertical="center"/>
    </xf>
    <xf numFmtId="0" fontId="7" fillId="0" borderId="184" xfId="23" applyBorder="1" applyAlignment="1">
      <alignment vertical="center"/>
    </xf>
    <xf numFmtId="10" fontId="7" fillId="0" borderId="174" xfId="924" applyNumberFormat="1" applyFont="1" applyBorder="1" applyAlignment="1">
      <alignment vertical="center"/>
    </xf>
    <xf numFmtId="10" fontId="7" fillId="0" borderId="185" xfId="924" applyNumberFormat="1" applyFont="1" applyBorder="1" applyAlignment="1">
      <alignment vertical="center"/>
    </xf>
    <xf numFmtId="10" fontId="7" fillId="0" borderId="184" xfId="924" applyNumberFormat="1" applyFont="1" applyBorder="1" applyAlignment="1">
      <alignment vertical="center"/>
    </xf>
    <xf numFmtId="10" fontId="7" fillId="0" borderId="153" xfId="924" applyNumberFormat="1" applyFont="1" applyBorder="1" applyAlignment="1">
      <alignment vertical="center"/>
    </xf>
    <xf numFmtId="10" fontId="7" fillId="0" borderId="175" xfId="924" applyNumberFormat="1" applyFont="1" applyBorder="1" applyAlignment="1">
      <alignment vertical="center"/>
    </xf>
    <xf numFmtId="10" fontId="7" fillId="0" borderId="176" xfId="924" applyNumberFormat="1" applyFont="1" applyBorder="1" applyAlignment="1">
      <alignment vertical="center"/>
    </xf>
    <xf numFmtId="0" fontId="5" fillId="0" borderId="174" xfId="23" applyFont="1" applyBorder="1"/>
    <xf numFmtId="0" fontId="5" fillId="0" borderId="153" xfId="23" applyFont="1" applyBorder="1"/>
    <xf numFmtId="0" fontId="7" fillId="0" borderId="175" xfId="23" applyBorder="1"/>
    <xf numFmtId="0" fontId="7" fillId="0" borderId="176" xfId="23" applyBorder="1"/>
    <xf numFmtId="0" fontId="7" fillId="0" borderId="26" xfId="23" applyBorder="1" applyAlignment="1">
      <alignment vertical="center"/>
    </xf>
    <xf numFmtId="0" fontId="7" fillId="0" borderId="20" xfId="23" applyBorder="1" applyAlignment="1">
      <alignment vertical="center"/>
    </xf>
    <xf numFmtId="0" fontId="7" fillId="0" borderId="39" xfId="23" applyBorder="1" applyAlignment="1">
      <alignment vertical="center"/>
    </xf>
    <xf numFmtId="10" fontId="7" fillId="0" borderId="2" xfId="924" applyNumberFormat="1" applyFont="1" applyBorder="1" applyAlignment="1">
      <alignment vertical="center"/>
    </xf>
    <xf numFmtId="10" fontId="7" fillId="0" borderId="3" xfId="924" applyNumberFormat="1" applyFont="1" applyBorder="1" applyAlignment="1">
      <alignment vertical="center"/>
    </xf>
    <xf numFmtId="10" fontId="7" fillId="0" borderId="4" xfId="924" applyNumberFormat="1" applyFont="1" applyBorder="1" applyAlignment="1">
      <alignment vertical="center"/>
    </xf>
    <xf numFmtId="0" fontId="4" fillId="0" borderId="174" xfId="640" applyFont="1" applyBorder="1" applyAlignment="1">
      <alignment horizontal="center"/>
    </xf>
    <xf numFmtId="0" fontId="72" fillId="0" borderId="9" xfId="640" applyFont="1" applyBorder="1" applyAlignment="1">
      <alignment horizontal="right" vertical="center"/>
    </xf>
    <xf numFmtId="40" fontId="5" fillId="0" borderId="9" xfId="640" applyNumberFormat="1" applyBorder="1" applyAlignment="1">
      <alignment horizontal="center" vertical="center"/>
    </xf>
    <xf numFmtId="0" fontId="93" fillId="0" borderId="0" xfId="640" applyFont="1" applyAlignment="1">
      <alignment horizontal="center" vertical="center"/>
    </xf>
    <xf numFmtId="168" fontId="4" fillId="47" borderId="0" xfId="640" applyNumberFormat="1" applyFont="1" applyFill="1" applyAlignment="1">
      <alignment horizontal="center" vertical="center"/>
    </xf>
    <xf numFmtId="0" fontId="127" fillId="0" borderId="0" xfId="0" applyFont="1"/>
    <xf numFmtId="0" fontId="5" fillId="5" borderId="18" xfId="1627" applyFill="1" applyBorder="1" applyAlignment="1">
      <alignment horizontal="left" vertical="center"/>
    </xf>
    <xf numFmtId="17" fontId="5" fillId="5" borderId="0" xfId="1633" applyNumberFormat="1" applyFill="1" applyAlignment="1">
      <alignment vertical="center"/>
    </xf>
    <xf numFmtId="0" fontId="18" fillId="5" borderId="0" xfId="1633" applyFont="1" applyFill="1" applyAlignment="1">
      <alignment vertical="center"/>
    </xf>
    <xf numFmtId="0" fontId="18" fillId="5" borderId="19" xfId="1633" applyFont="1" applyFill="1" applyBorder="1" applyAlignment="1">
      <alignment vertical="center"/>
    </xf>
    <xf numFmtId="0" fontId="5" fillId="5" borderId="8" xfId="1627" applyFill="1" applyBorder="1" applyAlignment="1">
      <alignment horizontal="left" vertical="center"/>
    </xf>
    <xf numFmtId="14" fontId="5" fillId="5" borderId="9" xfId="1633" applyNumberFormat="1" applyFill="1" applyBorder="1" applyAlignment="1">
      <alignment horizontal="left" vertical="center"/>
    </xf>
    <xf numFmtId="14" fontId="18" fillId="5" borderId="9" xfId="1633" applyNumberFormat="1" applyFont="1" applyFill="1" applyBorder="1" applyAlignment="1">
      <alignment vertical="center"/>
    </xf>
    <xf numFmtId="14" fontId="18" fillId="5" borderId="10" xfId="1633" applyNumberFormat="1" applyFont="1" applyFill="1" applyBorder="1" applyAlignment="1">
      <alignment vertical="center"/>
    </xf>
    <xf numFmtId="0" fontId="84" fillId="76" borderId="0" xfId="640" applyFont="1" applyFill="1"/>
    <xf numFmtId="0" fontId="102" fillId="0" borderId="0" xfId="0" applyFont="1"/>
    <xf numFmtId="198" fontId="153" fillId="4" borderId="200" xfId="1633" applyNumberFormat="1" applyFont="1" applyFill="1" applyBorder="1" applyAlignment="1">
      <alignment horizontal="center" vertical="center"/>
    </xf>
    <xf numFmtId="198" fontId="153" fillId="4" borderId="200" xfId="1633" applyNumberFormat="1" applyFont="1" applyFill="1" applyBorder="1" applyAlignment="1">
      <alignment horizontal="center" vertical="center" wrapText="1"/>
    </xf>
    <xf numFmtId="198" fontId="153" fillId="4" borderId="201" xfId="1633" applyNumberFormat="1" applyFont="1" applyFill="1" applyBorder="1" applyAlignment="1">
      <alignment horizontal="center" vertical="center" wrapText="1"/>
    </xf>
    <xf numFmtId="198" fontId="153" fillId="4" borderId="201" xfId="1633" applyNumberFormat="1" applyFont="1" applyFill="1" applyBorder="1" applyAlignment="1">
      <alignment horizontal="center" vertical="center"/>
    </xf>
    <xf numFmtId="0" fontId="37" fillId="0" borderId="199" xfId="640" applyFont="1" applyBorder="1" applyAlignment="1">
      <alignment horizontal="center" vertical="center"/>
    </xf>
    <xf numFmtId="2" fontId="5" fillId="43" borderId="200" xfId="640" applyNumberFormat="1" applyFill="1" applyBorder="1" applyAlignment="1">
      <alignment horizontal="center" vertical="center" wrapText="1"/>
    </xf>
    <xf numFmtId="2" fontId="37" fillId="0" borderId="200" xfId="640" applyNumberFormat="1" applyFont="1" applyBorder="1" applyAlignment="1">
      <alignment horizontal="center" vertical="center"/>
    </xf>
    <xf numFmtId="2" fontId="37" fillId="0" borderId="200" xfId="640" applyNumberFormat="1" applyFont="1" applyBorder="1" applyAlignment="1">
      <alignment horizontal="center" vertical="center" wrapText="1"/>
    </xf>
    <xf numFmtId="2" fontId="37" fillId="0" borderId="201" xfId="640" applyNumberFormat="1" applyFont="1" applyBorder="1" applyAlignment="1">
      <alignment horizontal="center" vertical="center"/>
    </xf>
    <xf numFmtId="2" fontId="37" fillId="0" borderId="0" xfId="640" applyNumberFormat="1" applyFont="1" applyAlignment="1">
      <alignment horizontal="center" vertical="center"/>
    </xf>
    <xf numFmtId="2" fontId="37" fillId="0" borderId="0" xfId="640" applyNumberFormat="1" applyFont="1" applyAlignment="1">
      <alignment horizontal="center" vertical="center" wrapText="1"/>
    </xf>
    <xf numFmtId="2" fontId="102" fillId="0" borderId="0" xfId="0" applyNumberFormat="1" applyFont="1"/>
    <xf numFmtId="0" fontId="153" fillId="0" borderId="78" xfId="640" applyFont="1" applyBorder="1" applyAlignment="1">
      <alignment horizontal="center" vertical="center"/>
    </xf>
    <xf numFmtId="0" fontId="153" fillId="0" borderId="79" xfId="640" applyFont="1" applyBorder="1" applyAlignment="1">
      <alignment horizontal="center" vertical="center"/>
    </xf>
    <xf numFmtId="2" fontId="152" fillId="0" borderId="80" xfId="640" applyNumberFormat="1" applyFont="1" applyBorder="1" applyAlignment="1">
      <alignment horizontal="center" vertical="center"/>
    </xf>
    <xf numFmtId="0" fontId="153" fillId="0" borderId="0" xfId="640" applyFont="1" applyAlignment="1">
      <alignment horizontal="center" vertical="center"/>
    </xf>
    <xf numFmtId="2" fontId="152" fillId="0" borderId="0" xfId="640" applyNumberFormat="1" applyFont="1" applyAlignment="1">
      <alignment horizontal="center" vertical="center"/>
    </xf>
    <xf numFmtId="0" fontId="153" fillId="0" borderId="32" xfId="640" applyFont="1" applyBorder="1" applyAlignment="1">
      <alignment horizontal="center" vertical="center"/>
    </xf>
    <xf numFmtId="0" fontId="153" fillId="0" borderId="34" xfId="640" applyFont="1" applyBorder="1" applyAlignment="1">
      <alignment horizontal="center" vertical="center" wrapText="1"/>
    </xf>
    <xf numFmtId="0" fontId="153" fillId="0" borderId="34" xfId="640" applyFont="1" applyBorder="1" applyAlignment="1">
      <alignment horizontal="center" vertical="center"/>
    </xf>
    <xf numFmtId="0" fontId="153" fillId="0" borderId="33" xfId="640" applyFont="1" applyBorder="1" applyAlignment="1">
      <alignment horizontal="center" vertical="center"/>
    </xf>
    <xf numFmtId="0" fontId="153" fillId="0" borderId="199" xfId="640" applyFont="1" applyBorder="1" applyAlignment="1">
      <alignment horizontal="center" vertical="center"/>
    </xf>
    <xf numFmtId="0" fontId="153" fillId="0" borderId="200" xfId="640" applyFont="1" applyBorder="1" applyAlignment="1">
      <alignment horizontal="center" vertical="center"/>
    </xf>
    <xf numFmtId="0" fontId="153" fillId="0" borderId="201" xfId="640" applyFont="1" applyBorder="1" applyAlignment="1">
      <alignment horizontal="center" vertical="center"/>
    </xf>
    <xf numFmtId="0" fontId="153" fillId="0" borderId="202" xfId="640" applyFont="1" applyBorder="1" applyAlignment="1">
      <alignment horizontal="center" vertical="center"/>
    </xf>
    <xf numFmtId="0" fontId="153" fillId="0" borderId="203" xfId="640" applyFont="1" applyBorder="1" applyAlignment="1">
      <alignment horizontal="center" vertical="center"/>
    </xf>
    <xf numFmtId="0" fontId="153" fillId="0" borderId="204" xfId="640" applyFont="1" applyBorder="1" applyAlignment="1">
      <alignment horizontal="center" vertical="center"/>
    </xf>
    <xf numFmtId="14" fontId="31" fillId="0" borderId="0" xfId="1" applyNumberFormat="1" applyFont="1" applyAlignment="1">
      <alignment horizontal="left" vertical="center"/>
    </xf>
    <xf numFmtId="0" fontId="5" fillId="5" borderId="14" xfId="1627" applyFill="1" applyBorder="1" applyAlignment="1">
      <alignment horizontal="left" vertical="center"/>
    </xf>
    <xf numFmtId="0" fontId="127" fillId="0" borderId="16" xfId="0" applyFont="1" applyBorder="1"/>
    <xf numFmtId="0" fontId="127" fillId="0" borderId="15" xfId="0" applyFont="1" applyBorder="1"/>
    <xf numFmtId="0" fontId="3" fillId="0" borderId="199" xfId="640" applyFont="1" applyBorder="1" applyAlignment="1">
      <alignment horizontal="center" vertical="center" wrapText="1"/>
    </xf>
    <xf numFmtId="0" fontId="3" fillId="5" borderId="200" xfId="0" applyFont="1" applyFill="1" applyBorder="1" applyAlignment="1">
      <alignment horizontal="center" vertical="center"/>
    </xf>
    <xf numFmtId="0" fontId="3" fillId="5" borderId="200" xfId="0" applyFont="1" applyFill="1" applyBorder="1" applyAlignment="1">
      <alignment horizontal="center" vertical="center" wrapText="1"/>
    </xf>
    <xf numFmtId="4" fontId="3" fillId="5" borderId="201" xfId="0" applyNumberFormat="1" applyFont="1" applyFill="1" applyBorder="1" applyAlignment="1">
      <alignment horizontal="center" vertical="center" wrapText="1"/>
    </xf>
    <xf numFmtId="0" fontId="4" fillId="0" borderId="199" xfId="0" applyFont="1" applyBorder="1" applyAlignment="1">
      <alignment horizontal="center"/>
    </xf>
    <xf numFmtId="0" fontId="4" fillId="0" borderId="200" xfId="1" applyFont="1" applyBorder="1" applyAlignment="1">
      <alignment wrapText="1"/>
    </xf>
    <xf numFmtId="0" fontId="4" fillId="0" borderId="200" xfId="1" applyFont="1" applyBorder="1" applyAlignment="1">
      <alignment horizontal="center" wrapText="1"/>
    </xf>
    <xf numFmtId="169" fontId="4" fillId="0" borderId="200" xfId="1" applyNumberFormat="1" applyFont="1" applyBorder="1" applyAlignment="1">
      <alignment horizontal="right" wrapText="1"/>
    </xf>
    <xf numFmtId="167" fontId="4" fillId="0" borderId="201" xfId="641" applyFont="1" applyFill="1" applyBorder="1" applyAlignment="1">
      <alignment horizontal="left"/>
    </xf>
    <xf numFmtId="2" fontId="4" fillId="0" borderId="200" xfId="640" applyNumberFormat="1" applyFont="1" applyBorder="1" applyAlignment="1">
      <alignment horizontal="right"/>
    </xf>
    <xf numFmtId="0" fontId="4" fillId="0" borderId="203" xfId="1" applyFont="1" applyBorder="1" applyAlignment="1">
      <alignment wrapText="1"/>
    </xf>
    <xf numFmtId="0" fontId="4" fillId="0" borderId="203" xfId="1" applyFont="1" applyBorder="1" applyAlignment="1">
      <alignment horizontal="center" wrapText="1"/>
    </xf>
    <xf numFmtId="2" fontId="4" fillId="0" borderId="203" xfId="1" applyNumberFormat="1" applyFont="1" applyBorder="1" applyAlignment="1">
      <alignment horizontal="right" wrapText="1"/>
    </xf>
    <xf numFmtId="167" fontId="4" fillId="0" borderId="204" xfId="641" applyFont="1" applyFill="1" applyBorder="1" applyAlignment="1">
      <alignment horizontal="left"/>
    </xf>
    <xf numFmtId="0" fontId="3" fillId="0" borderId="199" xfId="0" applyFont="1" applyBorder="1" applyAlignment="1">
      <alignment horizontal="center" vertical="center"/>
    </xf>
    <xf numFmtId="0" fontId="3" fillId="0" borderId="200" xfId="0" applyFont="1" applyBorder="1" applyAlignment="1">
      <alignment horizontal="center" vertical="center"/>
    </xf>
    <xf numFmtId="0" fontId="3" fillId="0" borderId="200" xfId="0" applyFont="1" applyBorder="1" applyAlignment="1">
      <alignment horizontal="center" vertical="center" wrapText="1"/>
    </xf>
    <xf numFmtId="4" fontId="3" fillId="0" borderId="200" xfId="0" applyNumberFormat="1" applyFont="1" applyBorder="1" applyAlignment="1">
      <alignment horizontal="center" vertical="center"/>
    </xf>
    <xf numFmtId="10" fontId="3" fillId="0" borderId="200" xfId="645" applyNumberFormat="1" applyFont="1" applyBorder="1" applyAlignment="1">
      <alignment horizontal="center" vertical="center"/>
    </xf>
    <xf numFmtId="4" fontId="3" fillId="0" borderId="201" xfId="0" applyNumberFormat="1" applyFont="1" applyBorder="1" applyAlignment="1">
      <alignment horizontal="center" vertical="center"/>
    </xf>
    <xf numFmtId="14" fontId="2" fillId="0" borderId="199" xfId="0" applyNumberFormat="1" applyFont="1" applyBorder="1" applyAlignment="1">
      <alignment horizontal="center" vertical="center"/>
    </xf>
    <xf numFmtId="0" fontId="2" fillId="0" borderId="200" xfId="0" applyFont="1" applyBorder="1" applyAlignment="1">
      <alignment horizontal="center" vertical="center"/>
    </xf>
    <xf numFmtId="4" fontId="2" fillId="0" borderId="200" xfId="0" applyNumberFormat="1" applyFont="1" applyBorder="1" applyAlignment="1">
      <alignment vertical="center" wrapText="1"/>
    </xf>
    <xf numFmtId="10" fontId="2" fillId="0" borderId="200" xfId="645" applyNumberFormat="1" applyFont="1" applyBorder="1" applyAlignment="1">
      <alignment vertical="center"/>
    </xf>
    <xf numFmtId="4" fontId="2" fillId="0" borderId="201" xfId="0" applyNumberFormat="1" applyFont="1" applyBorder="1" applyAlignment="1">
      <alignment vertical="center"/>
    </xf>
    <xf numFmtId="2" fontId="4" fillId="0" borderId="200" xfId="23" applyNumberFormat="1" applyFont="1" applyBorder="1" applyAlignment="1">
      <alignment horizontal="right"/>
    </xf>
    <xf numFmtId="2" fontId="4" fillId="0" borderId="203" xfId="23" applyNumberFormat="1" applyFont="1" applyBorder="1" applyAlignment="1">
      <alignment horizontal="right"/>
    </xf>
    <xf numFmtId="170" fontId="4" fillId="0" borderId="200" xfId="1" applyNumberFormat="1" applyFont="1" applyBorder="1" applyAlignment="1">
      <alignment horizontal="right" wrapText="1"/>
    </xf>
    <xf numFmtId="0" fontId="13" fillId="0" borderId="0" xfId="640" applyFont="1"/>
    <xf numFmtId="191" fontId="14" fillId="0" borderId="0" xfId="640" applyNumberFormat="1" applyFont="1" applyAlignment="1">
      <alignment horizontal="center"/>
    </xf>
    <xf numFmtId="4" fontId="13" fillId="0" borderId="0" xfId="640" applyNumberFormat="1" applyFont="1"/>
    <xf numFmtId="191" fontId="129" fillId="0" borderId="1" xfId="640" applyNumberFormat="1" applyFont="1" applyBorder="1" applyAlignment="1">
      <alignment horizontal="center"/>
    </xf>
    <xf numFmtId="191" fontId="129" fillId="0" borderId="47" xfId="640" applyNumberFormat="1" applyFont="1" applyBorder="1" applyAlignment="1">
      <alignment horizontal="center"/>
    </xf>
    <xf numFmtId="191" fontId="91" fillId="0" borderId="82" xfId="640" applyNumberFormat="1" applyFont="1" applyBorder="1" applyAlignment="1">
      <alignment horizontal="center"/>
    </xf>
    <xf numFmtId="0" fontId="125" fillId="0" borderId="0" xfId="787" applyFont="1"/>
    <xf numFmtId="0" fontId="130" fillId="0" borderId="0" xfId="787" applyFont="1"/>
    <xf numFmtId="0" fontId="130" fillId="0" borderId="5" xfId="787" applyFont="1" applyBorder="1"/>
    <xf numFmtId="0" fontId="130" fillId="0" borderId="7" xfId="787" applyFont="1" applyBorder="1"/>
    <xf numFmtId="0" fontId="125" fillId="0" borderId="7" xfId="787" applyFont="1" applyBorder="1"/>
    <xf numFmtId="0" fontId="125" fillId="0" borderId="6" xfId="787" applyFont="1" applyBorder="1"/>
    <xf numFmtId="2" fontId="125" fillId="0" borderId="1" xfId="787" applyNumberFormat="1" applyFont="1" applyBorder="1"/>
    <xf numFmtId="49" fontId="3" fillId="0" borderId="16" xfId="772" applyNumberFormat="1" applyFont="1" applyBorder="1" applyAlignment="1">
      <alignment vertical="center"/>
    </xf>
    <xf numFmtId="14" fontId="2" fillId="0" borderId="180" xfId="0" applyNumberFormat="1" applyFont="1" applyBorder="1" applyAlignment="1">
      <alignment vertical="center"/>
    </xf>
    <xf numFmtId="4" fontId="2" fillId="5" borderId="200" xfId="0" applyNumberFormat="1" applyFont="1" applyFill="1" applyBorder="1" applyAlignment="1">
      <alignment vertical="center" wrapText="1"/>
    </xf>
    <xf numFmtId="14" fontId="2" fillId="0" borderId="200" xfId="0" applyNumberFormat="1" applyFont="1" applyBorder="1" applyAlignment="1">
      <alignment horizontal="center" vertical="center"/>
    </xf>
    <xf numFmtId="4" fontId="2" fillId="0" borderId="200" xfId="0" applyNumberFormat="1" applyFont="1" applyBorder="1" applyAlignment="1">
      <alignment horizontal="center" vertical="center"/>
    </xf>
    <xf numFmtId="10" fontId="2" fillId="0" borderId="200" xfId="645" applyNumberFormat="1" applyFont="1" applyFill="1" applyBorder="1" applyAlignment="1">
      <alignment vertical="center"/>
    </xf>
    <xf numFmtId="0" fontId="3" fillId="0" borderId="199" xfId="845" applyFont="1" applyBorder="1" applyAlignment="1">
      <alignment horizontal="center" vertical="center" wrapText="1"/>
    </xf>
    <xf numFmtId="0" fontId="3" fillId="5" borderId="200" xfId="33" applyFont="1" applyFill="1" applyBorder="1" applyAlignment="1">
      <alignment horizontal="center" vertical="center"/>
    </xf>
    <xf numFmtId="0" fontId="3" fillId="5" borderId="200" xfId="33" applyFont="1" applyFill="1" applyBorder="1" applyAlignment="1">
      <alignment horizontal="center" vertical="center" wrapText="1"/>
    </xf>
    <xf numFmtId="4" fontId="3" fillId="5" borderId="201" xfId="33" applyNumberFormat="1" applyFont="1" applyFill="1" applyBorder="1" applyAlignment="1">
      <alignment horizontal="center" vertical="center" wrapText="1"/>
    </xf>
    <xf numFmtId="0" fontId="4" fillId="0" borderId="199" xfId="33" applyFont="1" applyBorder="1" applyAlignment="1">
      <alignment horizontal="center"/>
    </xf>
    <xf numFmtId="2" fontId="2" fillId="5" borderId="200" xfId="33" applyNumberFormat="1" applyFont="1" applyFill="1" applyBorder="1" applyAlignment="1">
      <alignment horizontal="right"/>
    </xf>
    <xf numFmtId="2" fontId="4" fillId="0" borderId="200" xfId="1" applyNumberFormat="1" applyFont="1" applyBorder="1" applyAlignment="1">
      <alignment horizontal="right" wrapText="1"/>
    </xf>
    <xf numFmtId="167" fontId="4" fillId="0" borderId="201" xfId="1084" applyFont="1" applyFill="1" applyBorder="1" applyAlignment="1">
      <alignment horizontal="left"/>
    </xf>
    <xf numFmtId="169" fontId="2" fillId="5" borderId="200" xfId="33" applyNumberFormat="1" applyFont="1" applyFill="1" applyBorder="1" applyAlignment="1">
      <alignment horizontal="right"/>
    </xf>
    <xf numFmtId="0" fontId="4" fillId="0" borderId="202" xfId="33" applyFont="1" applyBorder="1" applyAlignment="1">
      <alignment horizontal="center"/>
    </xf>
    <xf numFmtId="169" fontId="2" fillId="5" borderId="203" xfId="33" applyNumberFormat="1" applyFont="1" applyFill="1" applyBorder="1" applyAlignment="1">
      <alignment horizontal="right"/>
    </xf>
    <xf numFmtId="167" fontId="4" fillId="0" borderId="204" xfId="1084" applyFont="1" applyFill="1" applyBorder="1" applyAlignment="1">
      <alignment horizontal="left"/>
    </xf>
    <xf numFmtId="0" fontId="3" fillId="5" borderId="200" xfId="720" applyFont="1" applyFill="1" applyBorder="1" applyAlignment="1">
      <alignment horizontal="center" vertical="center"/>
    </xf>
    <xf numFmtId="0" fontId="4" fillId="0" borderId="200" xfId="0" applyFont="1" applyBorder="1" applyAlignment="1">
      <alignment horizontal="center"/>
    </xf>
    <xf numFmtId="0" fontId="3" fillId="7" borderId="0" xfId="640" applyFont="1" applyFill="1" applyAlignment="1">
      <alignment vertical="center"/>
    </xf>
    <xf numFmtId="0" fontId="3" fillId="4" borderId="33" xfId="640" applyFont="1" applyFill="1" applyBorder="1" applyAlignment="1">
      <alignment horizontal="center" vertical="center"/>
    </xf>
    <xf numFmtId="0" fontId="4" fillId="7" borderId="0" xfId="640" applyFont="1" applyFill="1" applyAlignment="1">
      <alignment vertical="center"/>
    </xf>
    <xf numFmtId="0" fontId="3" fillId="13" borderId="200" xfId="0" applyFont="1" applyFill="1" applyBorder="1" applyAlignment="1">
      <alignment horizontal="center" vertical="center"/>
    </xf>
    <xf numFmtId="0" fontId="3" fillId="13" borderId="200" xfId="0" applyFont="1" applyFill="1" applyBorder="1" applyAlignment="1">
      <alignment horizontal="center" vertical="center" wrapText="1"/>
    </xf>
    <xf numFmtId="4" fontId="3" fillId="13" borderId="201" xfId="0" applyNumberFormat="1" applyFont="1" applyFill="1" applyBorder="1" applyAlignment="1">
      <alignment horizontal="center" vertical="center" wrapText="1"/>
    </xf>
    <xf numFmtId="49" fontId="4" fillId="0" borderId="199" xfId="0" applyNumberFormat="1" applyFont="1" applyBorder="1" applyAlignment="1">
      <alignment horizontal="center"/>
    </xf>
    <xf numFmtId="4" fontId="4" fillId="0" borderId="200" xfId="0" applyNumberFormat="1" applyFont="1" applyBorder="1" applyAlignment="1">
      <alignment horizontal="center"/>
    </xf>
    <xf numFmtId="2" fontId="2" fillId="13" borderId="200" xfId="0" applyNumberFormat="1" applyFont="1" applyFill="1" applyBorder="1" applyAlignment="1">
      <alignment horizontal="right"/>
    </xf>
    <xf numFmtId="4" fontId="2" fillId="0" borderId="200" xfId="0" applyNumberFormat="1" applyFont="1" applyBorder="1" applyAlignment="1">
      <alignment horizontal="right"/>
    </xf>
    <xf numFmtId="4" fontId="2" fillId="0" borderId="201" xfId="0" applyNumberFormat="1" applyFont="1" applyBorder="1" applyAlignment="1">
      <alignment horizontal="right"/>
    </xf>
    <xf numFmtId="169" fontId="2" fillId="13" borderId="200" xfId="0" applyNumberFormat="1" applyFont="1" applyFill="1" applyBorder="1" applyAlignment="1">
      <alignment horizontal="right"/>
    </xf>
    <xf numFmtId="0" fontId="4" fillId="13" borderId="199" xfId="0" applyFont="1" applyFill="1" applyBorder="1" applyAlignment="1">
      <alignment horizontal="center"/>
    </xf>
    <xf numFmtId="2" fontId="4" fillId="13" borderId="200" xfId="0" applyNumberFormat="1" applyFont="1" applyFill="1" applyBorder="1" applyAlignment="1">
      <alignment horizontal="right"/>
    </xf>
    <xf numFmtId="0" fontId="4" fillId="13" borderId="202" xfId="0" applyFont="1" applyFill="1" applyBorder="1" applyAlignment="1">
      <alignment horizontal="center"/>
    </xf>
    <xf numFmtId="2" fontId="4" fillId="13" borderId="203" xfId="0" applyNumberFormat="1" applyFont="1" applyFill="1" applyBorder="1" applyAlignment="1">
      <alignment horizontal="right"/>
    </xf>
    <xf numFmtId="4" fontId="2" fillId="0" borderId="204" xfId="0" applyNumberFormat="1" applyFont="1" applyBorder="1" applyAlignment="1">
      <alignment horizontal="right"/>
    </xf>
    <xf numFmtId="167" fontId="3" fillId="11" borderId="81" xfId="2180" applyFont="1" applyFill="1" applyBorder="1" applyAlignment="1">
      <alignment horizontal="right" vertical="center"/>
    </xf>
    <xf numFmtId="168" fontId="3" fillId="11" borderId="82" xfId="1108" applyFont="1" applyFill="1" applyBorder="1" applyAlignment="1">
      <alignment horizontal="right" vertical="center"/>
    </xf>
    <xf numFmtId="0" fontId="129" fillId="0" borderId="0" xfId="640" applyFont="1" applyAlignment="1">
      <alignment vertical="center"/>
    </xf>
    <xf numFmtId="14" fontId="4" fillId="0" borderId="199" xfId="0" applyNumberFormat="1" applyFont="1" applyBorder="1" applyAlignment="1">
      <alignment horizontal="center" vertical="center"/>
    </xf>
    <xf numFmtId="4" fontId="2" fillId="5" borderId="200" xfId="0" applyNumberFormat="1" applyFont="1" applyFill="1" applyBorder="1" applyAlignment="1">
      <alignment horizontal="center" vertical="center"/>
    </xf>
    <xf numFmtId="14" fontId="4" fillId="0" borderId="0" xfId="640" applyNumberFormat="1" applyFont="1" applyAlignment="1">
      <alignment vertical="center"/>
    </xf>
    <xf numFmtId="14" fontId="2" fillId="5" borderId="199" xfId="0" applyNumberFormat="1" applyFont="1" applyFill="1" applyBorder="1" applyAlignment="1">
      <alignment horizontal="center" vertical="center"/>
    </xf>
    <xf numFmtId="4" fontId="4" fillId="0" borderId="200" xfId="1" applyNumberFormat="1" applyFont="1" applyBorder="1" applyAlignment="1">
      <alignment horizontal="center" wrapText="1"/>
    </xf>
    <xf numFmtId="170" fontId="2" fillId="13" borderId="200" xfId="0" applyNumberFormat="1" applyFont="1" applyFill="1" applyBorder="1" applyAlignment="1">
      <alignment horizontal="right"/>
    </xf>
    <xf numFmtId="189" fontId="125" fillId="0" borderId="0" xfId="33" applyNumberFormat="1" applyFont="1" applyAlignment="1">
      <alignment vertical="center"/>
    </xf>
    <xf numFmtId="10" fontId="3" fillId="0" borderId="200" xfId="645" applyNumberFormat="1" applyFont="1" applyFill="1" applyBorder="1" applyAlignment="1">
      <alignment horizontal="center" vertical="center"/>
    </xf>
    <xf numFmtId="14" fontId="4" fillId="5" borderId="199" xfId="0" applyNumberFormat="1" applyFont="1" applyFill="1" applyBorder="1" applyAlignment="1">
      <alignment horizontal="center" vertical="center"/>
    </xf>
    <xf numFmtId="0" fontId="3" fillId="5" borderId="199" xfId="0" applyFont="1" applyFill="1" applyBorder="1" applyAlignment="1">
      <alignment horizontal="center" vertical="center"/>
    </xf>
    <xf numFmtId="2" fontId="4" fillId="0" borderId="203" xfId="640" applyNumberFormat="1" applyFont="1" applyBorder="1" applyAlignment="1">
      <alignment horizontal="right"/>
    </xf>
    <xf numFmtId="0" fontId="92" fillId="0" borderId="200" xfId="0" applyFont="1" applyBorder="1" applyAlignment="1">
      <alignment horizontal="center" vertical="center" wrapText="1"/>
    </xf>
    <xf numFmtId="169" fontId="2" fillId="0" borderId="200" xfId="0" applyNumberFormat="1" applyFont="1" applyBorder="1" applyAlignment="1">
      <alignment horizontal="right"/>
    </xf>
    <xf numFmtId="170" fontId="4" fillId="0" borderId="200" xfId="0" applyNumberFormat="1" applyFont="1" applyBorder="1" applyAlignment="1">
      <alignment horizontal="right"/>
    </xf>
    <xf numFmtId="0" fontId="4" fillId="0" borderId="199" xfId="0" applyFont="1" applyBorder="1" applyAlignment="1">
      <alignment horizontal="center" wrapText="1"/>
    </xf>
    <xf numFmtId="2" fontId="35" fillId="13" borderId="200" xfId="0" applyNumberFormat="1" applyFont="1" applyFill="1" applyBorder="1" applyAlignment="1">
      <alignment wrapText="1"/>
    </xf>
    <xf numFmtId="4" fontId="4" fillId="0" borderId="200" xfId="1" applyNumberFormat="1" applyFont="1" applyBorder="1" applyAlignment="1">
      <alignment horizontal="right" wrapText="1"/>
    </xf>
    <xf numFmtId="4" fontId="4" fillId="0" borderId="201" xfId="45" applyNumberFormat="1" applyFont="1" applyFill="1" applyBorder="1" applyAlignment="1"/>
    <xf numFmtId="0" fontId="4" fillId="0" borderId="200" xfId="0" applyFont="1" applyBorder="1" applyAlignment="1">
      <alignment horizontal="center" vertical="center" wrapText="1"/>
    </xf>
    <xf numFmtId="2" fontId="4" fillId="13" borderId="200" xfId="0" applyNumberFormat="1" applyFont="1" applyFill="1" applyBorder="1" applyAlignment="1">
      <alignment wrapText="1"/>
    </xf>
    <xf numFmtId="0" fontId="3" fillId="5" borderId="200" xfId="640" applyFont="1" applyFill="1" applyBorder="1" applyAlignment="1">
      <alignment horizontal="center" vertical="center"/>
    </xf>
    <xf numFmtId="0" fontId="3" fillId="5" borderId="200" xfId="640" applyFont="1" applyFill="1" applyBorder="1" applyAlignment="1">
      <alignment horizontal="center" vertical="center" wrapText="1"/>
    </xf>
    <xf numFmtId="4" fontId="3" fillId="5" borderId="201" xfId="640" applyNumberFormat="1" applyFont="1" applyFill="1" applyBorder="1" applyAlignment="1">
      <alignment horizontal="center" vertical="center" wrapText="1"/>
    </xf>
    <xf numFmtId="0" fontId="4" fillId="0" borderId="199" xfId="640" applyFont="1" applyBorder="1" applyAlignment="1">
      <alignment horizontal="center" vertical="center"/>
    </xf>
    <xf numFmtId="2" fontId="4" fillId="5" borderId="200" xfId="640" applyNumberFormat="1" applyFont="1" applyFill="1" applyBorder="1" applyAlignment="1">
      <alignment horizontal="right"/>
    </xf>
    <xf numFmtId="4" fontId="4" fillId="0" borderId="201" xfId="640" applyNumberFormat="1" applyFont="1" applyBorder="1" applyAlignment="1">
      <alignment horizontal="right"/>
    </xf>
    <xf numFmtId="0" fontId="4" fillId="0" borderId="199" xfId="640" applyFont="1" applyBorder="1" applyAlignment="1">
      <alignment horizontal="center"/>
    </xf>
    <xf numFmtId="0" fontId="4" fillId="0" borderId="202" xfId="640" applyFont="1" applyBorder="1" applyAlignment="1">
      <alignment horizontal="center"/>
    </xf>
    <xf numFmtId="4" fontId="4" fillId="0" borderId="204" xfId="640" applyNumberFormat="1" applyFont="1" applyBorder="1" applyAlignment="1">
      <alignment horizontal="right"/>
    </xf>
    <xf numFmtId="49" fontId="4" fillId="0" borderId="199" xfId="640" applyNumberFormat="1" applyFont="1" applyBorder="1" applyAlignment="1">
      <alignment horizontal="center"/>
    </xf>
    <xf numFmtId="0" fontId="4" fillId="0" borderId="200" xfId="635" applyFont="1" applyBorder="1" applyAlignment="1">
      <alignment horizontal="left" wrapText="1"/>
    </xf>
    <xf numFmtId="14" fontId="2" fillId="0" borderId="199" xfId="0" applyNumberFormat="1" applyFont="1" applyBorder="1" applyAlignment="1">
      <alignment vertical="center"/>
    </xf>
    <xf numFmtId="14" fontId="2" fillId="0" borderId="202" xfId="0" applyNumberFormat="1" applyFont="1" applyBorder="1" applyAlignment="1">
      <alignment vertical="center"/>
    </xf>
    <xf numFmtId="167" fontId="2" fillId="0" borderId="200" xfId="781" applyFont="1" applyFill="1" applyBorder="1" applyAlignment="1">
      <alignment horizontal="center"/>
    </xf>
    <xf numFmtId="2" fontId="2" fillId="0" borderId="200" xfId="0" applyNumberFormat="1" applyFont="1" applyBorder="1" applyAlignment="1">
      <alignment horizontal="right"/>
    </xf>
    <xf numFmtId="2" fontId="2" fillId="0" borderId="203" xfId="0" applyNumberFormat="1" applyFont="1" applyBorder="1" applyAlignment="1">
      <alignment horizontal="right"/>
    </xf>
    <xf numFmtId="169" fontId="4" fillId="0" borderId="200" xfId="640" applyNumberFormat="1" applyFont="1" applyBorder="1" applyAlignment="1">
      <alignment horizontal="right"/>
    </xf>
    <xf numFmtId="169" fontId="4" fillId="0" borderId="203" xfId="640" applyNumberFormat="1" applyFont="1" applyBorder="1" applyAlignment="1">
      <alignment horizontal="right"/>
    </xf>
    <xf numFmtId="0" fontId="4" fillId="5" borderId="199" xfId="0" applyFont="1" applyFill="1" applyBorder="1" applyAlignment="1">
      <alignment horizontal="center"/>
    </xf>
    <xf numFmtId="49" fontId="4" fillId="0" borderId="199" xfId="0" applyNumberFormat="1" applyFont="1" applyBorder="1" applyAlignment="1">
      <alignment horizontal="center" vertical="center"/>
    </xf>
    <xf numFmtId="0" fontId="4" fillId="0" borderId="200" xfId="0" applyFont="1" applyBorder="1" applyAlignment="1">
      <alignment horizontal="left" wrapText="1"/>
    </xf>
    <xf numFmtId="0" fontId="4" fillId="0" borderId="200" xfId="1" applyFont="1" applyBorder="1" applyAlignment="1">
      <alignment horizontal="center" vertical="center" wrapText="1"/>
    </xf>
    <xf numFmtId="2" fontId="4" fillId="0" borderId="200" xfId="1" applyNumberFormat="1" applyFont="1" applyBorder="1" applyAlignment="1">
      <alignment horizontal="right" vertical="center" wrapText="1"/>
    </xf>
    <xf numFmtId="4" fontId="4" fillId="0" borderId="201" xfId="640" applyNumberFormat="1" applyFont="1" applyBorder="1" applyAlignment="1">
      <alignment horizontal="right" vertical="center"/>
    </xf>
    <xf numFmtId="170" fontId="4" fillId="0" borderId="200" xfId="640" applyNumberFormat="1" applyFont="1" applyBorder="1" applyAlignment="1">
      <alignment horizontal="right"/>
    </xf>
    <xf numFmtId="2" fontId="4" fillId="0" borderId="200" xfId="0" applyNumberFormat="1" applyFont="1" applyBorder="1" applyAlignment="1">
      <alignment wrapText="1"/>
    </xf>
    <xf numFmtId="0" fontId="4" fillId="5" borderId="200" xfId="0" applyFont="1" applyFill="1" applyBorder="1" applyAlignment="1">
      <alignment horizontal="center" vertical="center" wrapText="1"/>
    </xf>
    <xf numFmtId="4" fontId="4" fillId="0" borderId="201" xfId="46" applyNumberFormat="1" applyFont="1" applyFill="1" applyBorder="1" applyAlignment="1"/>
    <xf numFmtId="0" fontId="4" fillId="0" borderId="200" xfId="1" applyFont="1" applyBorder="1" applyAlignment="1">
      <alignment vertical="center" wrapText="1"/>
    </xf>
    <xf numFmtId="0" fontId="4" fillId="0" borderId="199" xfId="1" applyFont="1" applyBorder="1" applyAlignment="1">
      <alignment horizontal="center" wrapText="1"/>
    </xf>
    <xf numFmtId="0" fontId="4" fillId="0" borderId="200" xfId="0" applyFont="1" applyBorder="1" applyAlignment="1">
      <alignment horizontal="center" wrapText="1"/>
    </xf>
    <xf numFmtId="0" fontId="3" fillId="41" borderId="199" xfId="0" applyFont="1" applyFill="1" applyBorder="1" applyAlignment="1">
      <alignment horizontal="center" wrapText="1"/>
    </xf>
    <xf numFmtId="4" fontId="3" fillId="41" borderId="200" xfId="0" applyNumberFormat="1" applyFont="1" applyFill="1" applyBorder="1" applyAlignment="1">
      <alignment horizontal="center" wrapText="1"/>
    </xf>
    <xf numFmtId="0" fontId="3" fillId="41" borderId="200" xfId="0" applyFont="1" applyFill="1" applyBorder="1" applyAlignment="1">
      <alignment horizontal="center" wrapText="1"/>
    </xf>
    <xf numFmtId="4" fontId="3" fillId="41" borderId="200" xfId="0" applyNumberFormat="1" applyFont="1" applyFill="1" applyBorder="1" applyAlignment="1">
      <alignment wrapText="1"/>
    </xf>
    <xf numFmtId="4" fontId="4" fillId="0" borderId="200" xfId="1" applyNumberFormat="1" applyFont="1" applyBorder="1" applyAlignment="1">
      <alignment wrapText="1"/>
    </xf>
    <xf numFmtId="2" fontId="4" fillId="0" borderId="200" xfId="640" applyNumberFormat="1" applyFont="1" applyBorder="1" applyAlignment="1">
      <alignment horizontal="right" vertical="center"/>
    </xf>
    <xf numFmtId="2" fontId="2" fillId="5" borderId="200" xfId="0" applyNumberFormat="1" applyFont="1" applyFill="1" applyBorder="1" applyAlignment="1">
      <alignment horizontal="right"/>
    </xf>
    <xf numFmtId="2" fontId="0" fillId="0" borderId="201" xfId="0" applyNumberFormat="1" applyBorder="1"/>
    <xf numFmtId="2" fontId="0" fillId="0" borderId="200" xfId="0" applyNumberFormat="1" applyBorder="1"/>
    <xf numFmtId="0" fontId="0" fillId="0" borderId="200" xfId="0" applyBorder="1"/>
    <xf numFmtId="0" fontId="0" fillId="0" borderId="199" xfId="0" applyBorder="1" applyAlignment="1">
      <alignment horizontal="center"/>
    </xf>
    <xf numFmtId="0" fontId="0" fillId="0" borderId="200" xfId="0" applyBorder="1" applyAlignment="1">
      <alignment horizontal="left" wrapText="1"/>
    </xf>
    <xf numFmtId="0" fontId="56" fillId="2" borderId="33" xfId="0" applyFont="1" applyFill="1" applyBorder="1" applyAlignment="1">
      <alignment horizontal="center"/>
    </xf>
    <xf numFmtId="0" fontId="56" fillId="2" borderId="34" xfId="0" applyFont="1" applyFill="1" applyBorder="1" applyAlignment="1">
      <alignment horizontal="center"/>
    </xf>
    <xf numFmtId="0" fontId="56" fillId="2" borderId="32" xfId="0" applyFont="1" applyFill="1" applyBorder="1" applyAlignment="1">
      <alignment horizontal="center"/>
    </xf>
    <xf numFmtId="0" fontId="0" fillId="0" borderId="0" xfId="0" applyAlignment="1">
      <alignment vertical="center"/>
    </xf>
    <xf numFmtId="2" fontId="0" fillId="0" borderId="204" xfId="0" applyNumberFormat="1" applyBorder="1" applyAlignment="1">
      <alignment horizontal="center" vertical="center"/>
    </xf>
    <xf numFmtId="2" fontId="0" fillId="0" borderId="203" xfId="0" applyNumberFormat="1" applyBorder="1" applyAlignment="1">
      <alignment horizontal="center" vertical="center"/>
    </xf>
    <xf numFmtId="0" fontId="0" fillId="0" borderId="203" xfId="0" applyBorder="1" applyAlignment="1">
      <alignment horizontal="center" vertical="center"/>
    </xf>
    <xf numFmtId="0" fontId="0" fillId="0" borderId="203" xfId="0" applyBorder="1" applyAlignment="1">
      <alignment horizontal="left" vertical="center" wrapText="1"/>
    </xf>
    <xf numFmtId="0" fontId="0" fillId="0" borderId="202" xfId="0" applyBorder="1" applyAlignment="1">
      <alignment horizontal="center" vertical="center"/>
    </xf>
    <xf numFmtId="2" fontId="0" fillId="0" borderId="201" xfId="0" applyNumberFormat="1" applyBorder="1" applyAlignment="1">
      <alignment horizontal="center" vertical="center"/>
    </xf>
    <xf numFmtId="2" fontId="0" fillId="0" borderId="200" xfId="0" applyNumberFormat="1" applyBorder="1" applyAlignment="1">
      <alignment horizontal="center" vertical="center"/>
    </xf>
    <xf numFmtId="0" fontId="0" fillId="0" borderId="200" xfId="0" applyBorder="1" applyAlignment="1">
      <alignment horizontal="center" vertical="center"/>
    </xf>
    <xf numFmtId="0" fontId="0" fillId="0" borderId="200" xfId="0" applyBorder="1" applyAlignment="1">
      <alignment horizontal="left" vertical="center" wrapText="1"/>
    </xf>
    <xf numFmtId="0" fontId="0" fillId="0" borderId="199" xfId="0" applyBorder="1" applyAlignment="1">
      <alignment horizontal="center" vertical="center"/>
    </xf>
    <xf numFmtId="0" fontId="56" fillId="2" borderId="189" xfId="0" applyFont="1" applyFill="1" applyBorder="1" applyAlignment="1">
      <alignment horizontal="center" vertical="center"/>
    </xf>
    <xf numFmtId="0" fontId="56" fillId="2" borderId="188" xfId="0" applyFont="1" applyFill="1" applyBorder="1" applyAlignment="1">
      <alignment horizontal="center" vertical="center"/>
    </xf>
    <xf numFmtId="0" fontId="56" fillId="2" borderId="188" xfId="0" applyFont="1" applyFill="1" applyBorder="1" applyAlignment="1">
      <alignment horizontal="center" vertical="center" wrapText="1"/>
    </xf>
    <xf numFmtId="0" fontId="56" fillId="2" borderId="188" xfId="0" applyFont="1" applyFill="1" applyBorder="1" applyAlignment="1">
      <alignment vertical="center" wrapText="1"/>
    </xf>
    <xf numFmtId="0" fontId="56" fillId="2" borderId="34" xfId="0" applyFont="1" applyFill="1" applyBorder="1" applyAlignment="1">
      <alignment horizontal="center" vertical="center"/>
    </xf>
    <xf numFmtId="0" fontId="3" fillId="5" borderId="27" xfId="1627" applyFont="1" applyFill="1" applyBorder="1" applyAlignment="1">
      <alignment horizontal="left" vertical="center"/>
    </xf>
    <xf numFmtId="0" fontId="151" fillId="75" borderId="199" xfId="0" applyFont="1" applyFill="1" applyBorder="1" applyAlignment="1">
      <alignment horizontal="center" vertical="center" wrapText="1"/>
    </xf>
    <xf numFmtId="0" fontId="151" fillId="75" borderId="200" xfId="0" applyFont="1" applyFill="1" applyBorder="1" applyAlignment="1">
      <alignment horizontal="center" vertical="center" wrapText="1"/>
    </xf>
    <xf numFmtId="197" fontId="151" fillId="75" borderId="200" xfId="0" applyNumberFormat="1" applyFont="1" applyFill="1" applyBorder="1" applyAlignment="1">
      <alignment horizontal="center" vertical="center" wrapText="1"/>
    </xf>
    <xf numFmtId="0" fontId="151" fillId="75" borderId="201" xfId="0" applyFont="1" applyFill="1" applyBorder="1" applyAlignment="1">
      <alignment horizontal="center" vertical="center" wrapText="1"/>
    </xf>
    <xf numFmtId="0" fontId="127" fillId="0" borderId="199" xfId="0" applyFont="1" applyBorder="1" applyAlignment="1">
      <alignment horizontal="center" vertical="center" wrapText="1"/>
    </xf>
    <xf numFmtId="0" fontId="127" fillId="0" borderId="200" xfId="0" applyFont="1" applyBorder="1" applyAlignment="1">
      <alignment vertical="center" wrapText="1"/>
    </xf>
    <xf numFmtId="0" fontId="127" fillId="43" borderId="200" xfId="0" applyFont="1" applyFill="1" applyBorder="1" applyAlignment="1" applyProtection="1">
      <alignment horizontal="center" vertical="center" wrapText="1"/>
      <protection locked="0"/>
    </xf>
    <xf numFmtId="2" fontId="127" fillId="43" borderId="200" xfId="0" applyNumberFormat="1" applyFont="1" applyFill="1" applyBorder="1" applyAlignment="1" applyProtection="1">
      <alignment horizontal="center" vertical="center" wrapText="1"/>
      <protection locked="0"/>
    </xf>
    <xf numFmtId="196" fontId="127" fillId="0" borderId="200" xfId="0" applyNumberFormat="1" applyFont="1" applyBorder="1" applyAlignment="1">
      <alignment horizontal="center" vertical="center" wrapText="1"/>
    </xf>
    <xf numFmtId="197" fontId="127" fillId="0" borderId="200" xfId="0" applyNumberFormat="1" applyFont="1" applyBorder="1" applyAlignment="1">
      <alignment horizontal="center" vertical="center" wrapText="1"/>
    </xf>
    <xf numFmtId="0" fontId="127" fillId="0" borderId="200" xfId="0" applyFont="1" applyBorder="1" applyAlignment="1">
      <alignment horizontal="center" vertical="center" wrapText="1"/>
    </xf>
    <xf numFmtId="0" fontId="127" fillId="0" borderId="201" xfId="0" applyFont="1" applyBorder="1" applyAlignment="1">
      <alignment vertical="center" wrapText="1"/>
    </xf>
    <xf numFmtId="197" fontId="138" fillId="0" borderId="200" xfId="0" applyNumberFormat="1" applyFont="1" applyBorder="1" applyAlignment="1">
      <alignment horizontal="center" vertical="center" wrapText="1"/>
    </xf>
    <xf numFmtId="0" fontId="138" fillId="0" borderId="208" xfId="0" applyFont="1" applyBorder="1" applyAlignment="1">
      <alignment horizontal="center" vertical="center" wrapText="1"/>
    </xf>
    <xf numFmtId="0" fontId="138" fillId="0" borderId="210" xfId="0" applyFont="1" applyBorder="1" applyAlignment="1" applyProtection="1">
      <alignment horizontal="left" vertical="center" wrapText="1"/>
      <protection locked="0"/>
    </xf>
    <xf numFmtId="0" fontId="138" fillId="0" borderId="212" xfId="0" applyFont="1" applyBorder="1" applyAlignment="1" applyProtection="1">
      <alignment horizontal="left" vertical="center" wrapText="1"/>
      <protection locked="0"/>
    </xf>
    <xf numFmtId="49" fontId="5" fillId="0" borderId="0" xfId="23" applyNumberFormat="1" applyFont="1" applyAlignment="1">
      <alignment horizontal="center"/>
    </xf>
    <xf numFmtId="0" fontId="4" fillId="0" borderId="199" xfId="676" applyFont="1" applyBorder="1" applyAlignment="1">
      <alignment horizontal="center" vertical="center"/>
    </xf>
    <xf numFmtId="2" fontId="4" fillId="0" borderId="200" xfId="676" applyNumberFormat="1" applyFont="1" applyBorder="1" applyAlignment="1">
      <alignment horizontal="right"/>
    </xf>
    <xf numFmtId="170" fontId="127" fillId="43" borderId="200" xfId="0" applyNumberFormat="1" applyFont="1" applyFill="1" applyBorder="1" applyAlignment="1">
      <alignment horizontal="center" vertical="center" wrapText="1"/>
    </xf>
    <xf numFmtId="0" fontId="2" fillId="7" borderId="200" xfId="0" applyFont="1" applyFill="1" applyBorder="1" applyAlignment="1">
      <alignment horizontal="center" vertical="center"/>
    </xf>
    <xf numFmtId="4" fontId="2" fillId="7" borderId="200" xfId="0" applyNumberFormat="1" applyFont="1" applyFill="1" applyBorder="1" applyAlignment="1">
      <alignment vertical="center" wrapText="1"/>
    </xf>
    <xf numFmtId="14" fontId="4" fillId="5" borderId="200" xfId="0" applyNumberFormat="1" applyFont="1" applyFill="1" applyBorder="1" applyAlignment="1">
      <alignment horizontal="center" vertical="center"/>
    </xf>
    <xf numFmtId="10" fontId="2" fillId="7" borderId="200" xfId="645" applyNumberFormat="1" applyFont="1" applyFill="1" applyBorder="1" applyAlignment="1">
      <alignment vertical="center"/>
    </xf>
    <xf numFmtId="14" fontId="2" fillId="7" borderId="199" xfId="0" applyNumberFormat="1" applyFont="1" applyFill="1" applyBorder="1" applyAlignment="1">
      <alignment horizontal="center" vertical="center"/>
    </xf>
    <xf numFmtId="14" fontId="2" fillId="5" borderId="200" xfId="0" applyNumberFormat="1" applyFont="1" applyFill="1" applyBorder="1" applyAlignment="1">
      <alignment horizontal="center" vertical="center"/>
    </xf>
    <xf numFmtId="14" fontId="2" fillId="7" borderId="152" xfId="0" applyNumberFormat="1" applyFont="1" applyFill="1" applyBorder="1" applyAlignment="1">
      <alignment horizontal="center" vertical="center"/>
    </xf>
    <xf numFmtId="0" fontId="2" fillId="7" borderId="150" xfId="0" applyFont="1" applyFill="1" applyBorder="1" applyAlignment="1">
      <alignment horizontal="center" vertical="center"/>
    </xf>
    <xf numFmtId="4" fontId="2" fillId="7" borderId="150" xfId="0" applyNumberFormat="1" applyFont="1" applyFill="1" applyBorder="1" applyAlignment="1">
      <alignment vertical="center" wrapText="1"/>
    </xf>
    <xf numFmtId="4" fontId="2" fillId="7" borderId="151" xfId="0" applyNumberFormat="1" applyFont="1" applyFill="1" applyBorder="1" applyAlignment="1">
      <alignment vertical="center" wrapText="1"/>
    </xf>
    <xf numFmtId="10" fontId="2" fillId="7" borderId="150" xfId="639" applyNumberFormat="1" applyFont="1" applyFill="1" applyBorder="1" applyAlignment="1">
      <alignment vertical="center"/>
    </xf>
    <xf numFmtId="0" fontId="92" fillId="7" borderId="150" xfId="0" applyFont="1" applyFill="1" applyBorder="1" applyAlignment="1">
      <alignment horizontal="center" vertical="center" wrapText="1"/>
    </xf>
    <xf numFmtId="2" fontId="4" fillId="0" borderId="203" xfId="676" applyNumberFormat="1" applyFont="1" applyBorder="1" applyAlignment="1">
      <alignment horizontal="right"/>
    </xf>
    <xf numFmtId="0" fontId="4" fillId="0" borderId="0" xfId="0" applyFont="1" applyAlignment="1">
      <alignment horizontal="center"/>
    </xf>
    <xf numFmtId="4" fontId="4" fillId="0" borderId="201" xfId="0" applyNumberFormat="1" applyFont="1" applyBorder="1" applyAlignment="1">
      <alignment horizontal="right"/>
    </xf>
    <xf numFmtId="170" fontId="4" fillId="0" borderId="200" xfId="676" applyNumberFormat="1" applyFont="1" applyBorder="1" applyAlignment="1">
      <alignment horizontal="right"/>
    </xf>
    <xf numFmtId="170" fontId="4" fillId="0" borderId="200" xfId="676" applyNumberFormat="1" applyFont="1" applyBorder="1" applyAlignment="1">
      <alignment horizontal="right" vertical="center"/>
    </xf>
    <xf numFmtId="170" fontId="4" fillId="0" borderId="203" xfId="676" applyNumberFormat="1" applyFont="1" applyBorder="1" applyAlignment="1">
      <alignment horizontal="right" vertical="center"/>
    </xf>
    <xf numFmtId="4" fontId="3" fillId="0" borderId="186" xfId="0" applyNumberFormat="1" applyFont="1" applyBorder="1" applyAlignment="1">
      <alignment horizontal="center" vertical="center"/>
    </xf>
    <xf numFmtId="10" fontId="2" fillId="0" borderId="200" xfId="639" applyNumberFormat="1" applyFont="1" applyFill="1" applyBorder="1" applyAlignment="1">
      <alignment vertical="center"/>
    </xf>
    <xf numFmtId="0" fontId="4" fillId="0" borderId="200" xfId="0" applyFont="1" applyBorder="1" applyAlignment="1">
      <alignment horizontal="center" vertical="center"/>
    </xf>
    <xf numFmtId="10" fontId="4" fillId="0" borderId="200" xfId="645" applyNumberFormat="1" applyFont="1" applyFill="1" applyBorder="1" applyAlignment="1">
      <alignment vertical="center"/>
    </xf>
    <xf numFmtId="14" fontId="4" fillId="0" borderId="200" xfId="0" applyNumberFormat="1" applyFont="1" applyBorder="1" applyAlignment="1">
      <alignment horizontal="center" vertical="center"/>
    </xf>
    <xf numFmtId="0" fontId="2" fillId="5" borderId="200" xfId="0" applyFont="1" applyFill="1" applyBorder="1" applyAlignment="1">
      <alignment horizontal="center" vertical="center"/>
    </xf>
    <xf numFmtId="10" fontId="2" fillId="5" borderId="200" xfId="645" applyNumberFormat="1" applyFont="1" applyFill="1" applyBorder="1" applyAlignment="1">
      <alignment vertical="center"/>
    </xf>
    <xf numFmtId="4" fontId="2" fillId="5" borderId="201" xfId="0" applyNumberFormat="1" applyFont="1" applyFill="1" applyBorder="1" applyAlignment="1">
      <alignment vertical="center"/>
    </xf>
    <xf numFmtId="0" fontId="4" fillId="0" borderId="199" xfId="1" applyFont="1" applyBorder="1" applyAlignment="1">
      <alignment horizontal="center" vertical="center" wrapText="1"/>
    </xf>
    <xf numFmtId="2" fontId="2" fillId="0" borderId="200" xfId="781" applyNumberFormat="1" applyFont="1" applyFill="1" applyBorder="1" applyAlignment="1" applyProtection="1">
      <alignment horizontal="right" vertical="center"/>
    </xf>
    <xf numFmtId="0" fontId="4" fillId="0" borderId="200" xfId="0" applyFont="1" applyBorder="1"/>
    <xf numFmtId="0" fontId="4" fillId="5" borderId="200" xfId="0" applyFont="1" applyFill="1" applyBorder="1" applyAlignment="1">
      <alignment horizontal="center" vertical="center"/>
    </xf>
    <xf numFmtId="170" fontId="4" fillId="0" borderId="203" xfId="1" applyNumberFormat="1" applyFont="1" applyBorder="1" applyAlignment="1">
      <alignment horizontal="right" wrapText="1"/>
    </xf>
    <xf numFmtId="4" fontId="2" fillId="0" borderId="201" xfId="0" applyNumberFormat="1" applyFont="1" applyBorder="1" applyAlignment="1">
      <alignment vertical="center" wrapText="1"/>
    </xf>
    <xf numFmtId="4" fontId="35" fillId="5" borderId="200" xfId="0" applyNumberFormat="1" applyFont="1" applyFill="1" applyBorder="1" applyAlignment="1">
      <alignment vertical="center" wrapText="1"/>
    </xf>
    <xf numFmtId="4" fontId="4" fillId="5" borderId="200" xfId="0" applyNumberFormat="1" applyFont="1" applyFill="1" applyBorder="1" applyAlignment="1">
      <alignment vertical="center" wrapText="1"/>
    </xf>
    <xf numFmtId="0" fontId="92" fillId="5" borderId="200" xfId="0" applyFont="1" applyFill="1" applyBorder="1" applyAlignment="1">
      <alignment horizontal="center" vertical="center" wrapText="1"/>
    </xf>
    <xf numFmtId="4" fontId="2" fillId="5" borderId="186" xfId="0" applyNumberFormat="1" applyFont="1" applyFill="1" applyBorder="1" applyAlignment="1">
      <alignment vertical="center"/>
    </xf>
    <xf numFmtId="10" fontId="4" fillId="0" borderId="200" xfId="645" applyNumberFormat="1" applyFont="1" applyBorder="1" applyAlignment="1">
      <alignment vertical="center"/>
    </xf>
    <xf numFmtId="4" fontId="4" fillId="0" borderId="39" xfId="45" applyNumberFormat="1" applyFont="1" applyFill="1" applyBorder="1" applyAlignment="1"/>
    <xf numFmtId="0" fontId="0" fillId="0" borderId="0" xfId="0" applyAlignment="1">
      <alignment horizontal="center" vertical="center"/>
    </xf>
    <xf numFmtId="0" fontId="0" fillId="0" borderId="0" xfId="0" applyAlignment="1">
      <alignment horizontal="left"/>
    </xf>
    <xf numFmtId="10" fontId="12" fillId="0" borderId="6" xfId="36" applyNumberFormat="1" applyFont="1" applyFill="1" applyBorder="1" applyAlignment="1">
      <alignment horizontal="center" vertical="center" wrapText="1"/>
    </xf>
    <xf numFmtId="10" fontId="12" fillId="0" borderId="5" xfId="36" applyNumberFormat="1" applyFont="1" applyFill="1" applyBorder="1" applyAlignment="1">
      <alignment vertical="center" wrapText="1"/>
    </xf>
    <xf numFmtId="10" fontId="12" fillId="0" borderId="1" xfId="36" applyNumberFormat="1" applyFont="1" applyFill="1" applyBorder="1" applyAlignment="1">
      <alignment vertical="center" wrapText="1"/>
    </xf>
    <xf numFmtId="0" fontId="15" fillId="3" borderId="14" xfId="1" applyFont="1" applyFill="1" applyBorder="1" applyAlignment="1">
      <alignment horizontal="center" vertical="center"/>
    </xf>
    <xf numFmtId="0" fontId="11" fillId="3" borderId="16" xfId="640" applyFont="1" applyFill="1" applyBorder="1" applyAlignment="1">
      <alignment vertical="center" wrapText="1"/>
    </xf>
    <xf numFmtId="0" fontId="11" fillId="3" borderId="16" xfId="640" applyFont="1" applyFill="1" applyBorder="1" applyAlignment="1">
      <alignment horizontal="center" vertical="center"/>
    </xf>
    <xf numFmtId="4" fontId="11" fillId="3" borderId="16" xfId="640" applyNumberFormat="1" applyFont="1" applyFill="1" applyBorder="1" applyAlignment="1">
      <alignment vertical="center"/>
    </xf>
    <xf numFmtId="0" fontId="12" fillId="0" borderId="5" xfId="0" applyFont="1" applyBorder="1" applyAlignment="1">
      <alignment horizontal="center" vertical="center"/>
    </xf>
    <xf numFmtId="10" fontId="12" fillId="0" borderId="6" xfId="645" applyNumberFormat="1" applyFont="1" applyFill="1" applyBorder="1" applyAlignment="1">
      <alignment horizontal="center" vertical="center" wrapText="1"/>
    </xf>
    <xf numFmtId="0" fontId="12" fillId="0" borderId="5" xfId="1" applyFont="1" applyBorder="1" applyAlignment="1">
      <alignment horizontal="center" vertical="center"/>
    </xf>
    <xf numFmtId="10" fontId="12" fillId="0" borderId="6" xfId="1" applyNumberFormat="1" applyFont="1" applyBorder="1" applyAlignment="1">
      <alignment horizontal="center" vertical="center"/>
    </xf>
    <xf numFmtId="10" fontId="2" fillId="0" borderId="200" xfId="645" applyNumberFormat="1" applyFont="1" applyFill="1" applyBorder="1" applyAlignment="1">
      <alignment horizontal="left" vertical="center"/>
    </xf>
    <xf numFmtId="4" fontId="2" fillId="0" borderId="186" xfId="0" applyNumberFormat="1" applyFont="1" applyBorder="1" applyAlignment="1">
      <alignment horizontal="left" vertical="center"/>
    </xf>
    <xf numFmtId="4" fontId="35" fillId="0" borderId="200" xfId="0" applyNumberFormat="1" applyFont="1" applyBorder="1" applyAlignment="1">
      <alignment vertical="center" wrapText="1"/>
    </xf>
    <xf numFmtId="10" fontId="4" fillId="5" borderId="200" xfId="645" applyNumberFormat="1" applyFont="1" applyFill="1" applyBorder="1" applyAlignment="1">
      <alignment vertical="center"/>
    </xf>
    <xf numFmtId="4" fontId="4" fillId="0" borderId="201" xfId="0" applyNumberFormat="1" applyFont="1" applyBorder="1" applyAlignment="1">
      <alignment vertical="center"/>
    </xf>
    <xf numFmtId="4" fontId="4" fillId="0" borderId="200" xfId="0" applyNumberFormat="1" applyFont="1" applyBorder="1" applyAlignment="1">
      <alignment vertical="center" wrapText="1"/>
    </xf>
    <xf numFmtId="4" fontId="35" fillId="0" borderId="201" xfId="0" applyNumberFormat="1" applyFont="1" applyBorder="1" applyAlignment="1">
      <alignment vertical="center"/>
    </xf>
    <xf numFmtId="4" fontId="4" fillId="5" borderId="186" xfId="0" applyNumberFormat="1" applyFont="1" applyFill="1" applyBorder="1" applyAlignment="1">
      <alignment vertical="center"/>
    </xf>
    <xf numFmtId="0" fontId="2" fillId="7" borderId="150" xfId="0" applyFont="1" applyFill="1" applyBorder="1"/>
    <xf numFmtId="4" fontId="4" fillId="7" borderId="151" xfId="127" applyNumberFormat="1" applyFont="1" applyFill="1" applyBorder="1" applyAlignment="1">
      <alignment vertical="center" wrapText="1"/>
    </xf>
    <xf numFmtId="0" fontId="35" fillId="0" borderId="200" xfId="0" applyFont="1" applyBorder="1" applyAlignment="1">
      <alignment horizontal="center" vertical="center"/>
    </xf>
    <xf numFmtId="4" fontId="4" fillId="0" borderId="200" xfId="0" applyNumberFormat="1" applyFont="1" applyBorder="1" applyAlignment="1">
      <alignment horizontal="center" vertical="center"/>
    </xf>
    <xf numFmtId="10" fontId="4" fillId="0" borderId="201" xfId="645" applyNumberFormat="1" applyFont="1" applyFill="1" applyBorder="1" applyAlignment="1">
      <alignment vertical="center"/>
    </xf>
    <xf numFmtId="4" fontId="4" fillId="0" borderId="150" xfId="0" applyNumberFormat="1" applyFont="1" applyBorder="1" applyAlignment="1">
      <alignment horizontal="center" vertical="center"/>
    </xf>
    <xf numFmtId="14" fontId="35" fillId="0" borderId="199" xfId="2536" applyNumberFormat="1" applyFont="1" applyBorder="1" applyAlignment="1">
      <alignment horizontal="center" vertical="center"/>
    </xf>
    <xf numFmtId="4" fontId="35" fillId="0" borderId="200" xfId="0" applyNumberFormat="1" applyFont="1" applyBorder="1" applyAlignment="1">
      <alignment horizontal="right" vertical="center" wrapText="1"/>
    </xf>
    <xf numFmtId="10" fontId="35" fillId="0" borderId="200" xfId="645" applyNumberFormat="1" applyFont="1" applyFill="1" applyBorder="1" applyAlignment="1">
      <alignment vertical="center"/>
    </xf>
    <xf numFmtId="2" fontId="2" fillId="0" borderId="200" xfId="0" applyNumberFormat="1" applyFont="1" applyBorder="1" applyAlignment="1">
      <alignment horizontal="right" vertical="center"/>
    </xf>
    <xf numFmtId="4" fontId="2" fillId="0" borderId="201" xfId="0" applyNumberFormat="1" applyFont="1" applyBorder="1" applyAlignment="1">
      <alignment horizontal="right" vertical="center"/>
    </xf>
    <xf numFmtId="169" fontId="4" fillId="0" borderId="200" xfId="640" applyNumberFormat="1" applyFont="1" applyBorder="1" applyAlignment="1">
      <alignment horizontal="right" vertical="center"/>
    </xf>
    <xf numFmtId="2" fontId="2" fillId="0" borderId="200" xfId="0" applyNumberFormat="1" applyFont="1" applyBorder="1" applyAlignment="1">
      <alignment vertical="center"/>
    </xf>
    <xf numFmtId="2" fontId="4" fillId="0" borderId="200" xfId="1" applyNumberFormat="1" applyFont="1" applyBorder="1" applyAlignment="1">
      <alignment vertical="center" wrapText="1"/>
    </xf>
    <xf numFmtId="0" fontId="4" fillId="0" borderId="150" xfId="0" applyFont="1" applyBorder="1" applyAlignment="1">
      <alignment horizontal="left" vertical="center" wrapText="1"/>
    </xf>
    <xf numFmtId="2" fontId="2" fillId="0" borderId="150" xfId="0" applyNumberFormat="1" applyFont="1" applyBorder="1" applyAlignment="1">
      <alignment horizontal="right" vertical="center"/>
    </xf>
    <xf numFmtId="4" fontId="2" fillId="0" borderId="151" xfId="0" applyNumberFormat="1" applyFont="1" applyBorder="1" applyAlignment="1">
      <alignment horizontal="right" vertical="center"/>
    </xf>
    <xf numFmtId="0" fontId="4" fillId="0" borderId="26" xfId="0" applyFont="1" applyBorder="1" applyAlignment="1">
      <alignment horizontal="center" wrapText="1"/>
    </xf>
    <xf numFmtId="14" fontId="2" fillId="7" borderId="200" xfId="0" applyNumberFormat="1" applyFont="1" applyFill="1" applyBorder="1" applyAlignment="1">
      <alignment horizontal="center" vertical="center"/>
    </xf>
    <xf numFmtId="4" fontId="4" fillId="0" borderId="155" xfId="640" applyNumberFormat="1" applyFont="1" applyBorder="1" applyAlignment="1">
      <alignment horizontal="right"/>
    </xf>
    <xf numFmtId="167" fontId="2" fillId="0" borderId="200" xfId="781" applyFont="1" applyFill="1" applyBorder="1" applyAlignment="1" applyProtection="1">
      <alignment horizontal="right" vertical="center"/>
    </xf>
    <xf numFmtId="0" fontId="3" fillId="0" borderId="0" xfId="640" applyFont="1" applyAlignment="1">
      <alignment vertical="center" wrapText="1"/>
    </xf>
    <xf numFmtId="170" fontId="2" fillId="0" borderId="200" xfId="781" applyNumberFormat="1" applyFont="1" applyFill="1" applyBorder="1" applyAlignment="1" applyProtection="1">
      <alignment horizontal="right" vertical="center"/>
    </xf>
    <xf numFmtId="0" fontId="3" fillId="0" borderId="199" xfId="23" applyFont="1" applyBorder="1" applyAlignment="1">
      <alignment horizontal="center" vertical="center" wrapText="1"/>
    </xf>
    <xf numFmtId="14" fontId="4" fillId="0" borderId="199" xfId="646" applyNumberFormat="1" applyFont="1" applyBorder="1" applyAlignment="1">
      <alignment horizontal="center" vertical="center"/>
    </xf>
    <xf numFmtId="10" fontId="4" fillId="0" borderId="200" xfId="691" applyNumberFormat="1" applyFont="1" applyFill="1" applyBorder="1" applyAlignment="1">
      <alignment vertical="center" wrapText="1"/>
    </xf>
    <xf numFmtId="4" fontId="4" fillId="0" borderId="201" xfId="409" applyNumberFormat="1" applyFont="1" applyFill="1" applyBorder="1" applyAlignment="1" applyProtection="1">
      <alignment vertical="center" wrapText="1"/>
    </xf>
    <xf numFmtId="14" fontId="4" fillId="7" borderId="200" xfId="0" applyNumberFormat="1" applyFont="1" applyFill="1" applyBorder="1" applyAlignment="1">
      <alignment horizontal="center" vertical="center"/>
    </xf>
    <xf numFmtId="4" fontId="4" fillId="0" borderId="186" xfId="0" applyNumberFormat="1" applyFont="1" applyBorder="1" applyAlignment="1">
      <alignment vertical="center"/>
    </xf>
    <xf numFmtId="10" fontId="2" fillId="0" borderId="200" xfId="645" applyNumberFormat="1" applyFont="1" applyFill="1" applyBorder="1" applyAlignment="1">
      <alignment horizontal="center" vertical="center"/>
    </xf>
    <xf numFmtId="4" fontId="2" fillId="0" borderId="200" xfId="0" applyNumberFormat="1" applyFont="1" applyBorder="1" applyAlignment="1">
      <alignment horizontal="center" vertical="center" wrapText="1"/>
    </xf>
    <xf numFmtId="4" fontId="4" fillId="5" borderId="200" xfId="0" applyNumberFormat="1" applyFont="1" applyFill="1" applyBorder="1" applyAlignment="1">
      <alignment horizontal="center" vertical="center"/>
    </xf>
    <xf numFmtId="10" fontId="2" fillId="0" borderId="200" xfId="639" applyNumberFormat="1" applyFont="1" applyBorder="1" applyAlignment="1">
      <alignment vertical="center"/>
    </xf>
    <xf numFmtId="4" fontId="2" fillId="0" borderId="189" xfId="0" applyNumberFormat="1" applyFont="1" applyBorder="1" applyAlignment="1">
      <alignment horizontal="right"/>
    </xf>
    <xf numFmtId="4" fontId="93" fillId="5" borderId="0" xfId="2092" applyNumberFormat="1" applyFont="1" applyFill="1" applyBorder="1" applyAlignment="1">
      <alignment horizontal="left" vertical="center"/>
    </xf>
    <xf numFmtId="4" fontId="4" fillId="0" borderId="33" xfId="2092" applyNumberFormat="1" applyFont="1" applyFill="1" applyBorder="1" applyAlignment="1"/>
    <xf numFmtId="4" fontId="4" fillId="0" borderId="201" xfId="2092" applyNumberFormat="1" applyFont="1" applyFill="1" applyBorder="1" applyAlignment="1"/>
    <xf numFmtId="0" fontId="3" fillId="41" borderId="200" xfId="988" applyFont="1" applyFill="1" applyBorder="1" applyAlignment="1">
      <alignment vertical="center" wrapText="1"/>
    </xf>
    <xf numFmtId="4" fontId="3" fillId="41" borderId="200" xfId="988" applyNumberFormat="1" applyFont="1" applyFill="1" applyBorder="1" applyAlignment="1">
      <alignment horizontal="right" wrapText="1"/>
    </xf>
    <xf numFmtId="4" fontId="3" fillId="41" borderId="201" xfId="2095" applyNumberFormat="1" applyFont="1" applyFill="1" applyBorder="1" applyAlignment="1"/>
    <xf numFmtId="4" fontId="93" fillId="0" borderId="0" xfId="2092" applyNumberFormat="1" applyFont="1" applyFill="1" applyBorder="1" applyAlignment="1">
      <alignment horizontal="left" vertical="center"/>
    </xf>
    <xf numFmtId="2" fontId="4" fillId="0" borderId="0" xfId="1" applyNumberFormat="1" applyFont="1" applyAlignment="1">
      <alignment vertical="center"/>
    </xf>
    <xf numFmtId="4" fontId="4" fillId="0" borderId="203" xfId="1" applyNumberFormat="1" applyFont="1" applyBorder="1" applyAlignment="1">
      <alignment horizontal="right" wrapText="1"/>
    </xf>
    <xf numFmtId="0" fontId="3" fillId="41" borderId="34" xfId="988" applyFont="1" applyFill="1" applyBorder="1" applyAlignment="1">
      <alignment vertical="center" wrapText="1"/>
    </xf>
    <xf numFmtId="4" fontId="3" fillId="41" borderId="34" xfId="988" applyNumberFormat="1" applyFont="1" applyFill="1" applyBorder="1" applyAlignment="1">
      <alignment horizontal="right" wrapText="1"/>
    </xf>
    <xf numFmtId="4" fontId="3" fillId="41" borderId="33" xfId="2095" applyNumberFormat="1" applyFont="1" applyFill="1" applyBorder="1" applyAlignment="1"/>
    <xf numFmtId="0" fontId="3" fillId="41" borderId="16" xfId="988" applyFont="1" applyFill="1" applyBorder="1" applyAlignment="1">
      <alignment vertical="center" wrapText="1"/>
    </xf>
    <xf numFmtId="4" fontId="3" fillId="41" borderId="16" xfId="988" applyNumberFormat="1" applyFont="1" applyFill="1" applyBorder="1" applyAlignment="1">
      <alignment horizontal="right" wrapText="1"/>
    </xf>
    <xf numFmtId="4" fontId="3" fillId="41" borderId="15" xfId="2095" applyNumberFormat="1" applyFont="1" applyFill="1" applyBorder="1" applyAlignment="1"/>
    <xf numFmtId="10" fontId="12" fillId="0" borderId="10" xfId="645" applyNumberFormat="1" applyFont="1" applyFill="1" applyBorder="1" applyAlignment="1">
      <alignment horizontal="center" vertical="center" wrapText="1"/>
    </xf>
    <xf numFmtId="0" fontId="12" fillId="0" borderId="7" xfId="0" applyFont="1" applyBorder="1" applyAlignment="1">
      <alignment horizontal="center" vertical="center"/>
    </xf>
    <xf numFmtId="0" fontId="11" fillId="3" borderId="16" xfId="23" applyFont="1" applyFill="1" applyBorder="1" applyAlignment="1">
      <alignment vertical="center" wrapText="1"/>
    </xf>
    <xf numFmtId="0" fontId="0" fillId="3" borderId="16" xfId="640" applyFont="1" applyFill="1" applyBorder="1" applyAlignment="1">
      <alignment vertical="center" wrapText="1"/>
    </xf>
    <xf numFmtId="0" fontId="12" fillId="0" borderId="7" xfId="1" applyFont="1" applyBorder="1" applyAlignment="1">
      <alignment horizontal="center" vertical="center"/>
    </xf>
    <xf numFmtId="0" fontId="1" fillId="0" borderId="0" xfId="0" applyFont="1"/>
    <xf numFmtId="49" fontId="4" fillId="0" borderId="0" xfId="640" applyNumberFormat="1" applyFont="1" applyAlignment="1">
      <alignment horizontal="center"/>
    </xf>
    <xf numFmtId="14" fontId="4" fillId="7" borderId="199" xfId="646" applyNumberFormat="1" applyFont="1" applyFill="1" applyBorder="1" applyAlignment="1">
      <alignment horizontal="center" vertical="center"/>
    </xf>
    <xf numFmtId="4" fontId="2" fillId="7" borderId="200" xfId="0" applyNumberFormat="1" applyFont="1" applyFill="1" applyBorder="1" applyAlignment="1">
      <alignment horizontal="center" wrapText="1"/>
    </xf>
    <xf numFmtId="10" fontId="2" fillId="7" borderId="201" xfId="645" applyNumberFormat="1" applyFont="1" applyFill="1" applyBorder="1" applyAlignment="1">
      <alignment vertical="center"/>
    </xf>
    <xf numFmtId="4" fontId="2" fillId="0" borderId="200" xfId="0" applyNumberFormat="1" applyFont="1" applyBorder="1" applyAlignment="1">
      <alignment horizontal="center" wrapText="1"/>
    </xf>
    <xf numFmtId="10" fontId="2" fillId="0" borderId="201" xfId="645" applyNumberFormat="1" applyFont="1" applyFill="1" applyBorder="1" applyAlignment="1">
      <alignment vertical="center"/>
    </xf>
    <xf numFmtId="4" fontId="4" fillId="0" borderId="150" xfId="640" applyNumberFormat="1" applyFont="1" applyBorder="1" applyAlignment="1">
      <alignment horizontal="center" vertical="center"/>
    </xf>
    <xf numFmtId="0" fontId="3" fillId="0" borderId="32" xfId="1" applyFont="1" applyBorder="1" applyAlignment="1">
      <alignment vertical="center" wrapText="1"/>
    </xf>
    <xf numFmtId="0" fontId="0" fillId="0" borderId="200" xfId="0" applyBorder="1" applyAlignment="1">
      <alignment horizontal="center"/>
    </xf>
    <xf numFmtId="2" fontId="0" fillId="0" borderId="200" xfId="0" applyNumberFormat="1" applyBorder="1" applyAlignment="1">
      <alignment horizontal="center"/>
    </xf>
    <xf numFmtId="10" fontId="2" fillId="5" borderId="201" xfId="645" applyNumberFormat="1" applyFont="1" applyFill="1" applyBorder="1" applyAlignment="1">
      <alignment vertical="center"/>
    </xf>
    <xf numFmtId="4" fontId="0" fillId="0" borderId="0" xfId="0" applyNumberFormat="1"/>
    <xf numFmtId="4" fontId="2" fillId="0" borderId="186" xfId="0" applyNumberFormat="1" applyFont="1" applyBorder="1" applyAlignment="1">
      <alignment horizontal="center" vertical="center"/>
    </xf>
    <xf numFmtId="4" fontId="4" fillId="0" borderId="186" xfId="640" applyNumberFormat="1" applyFont="1" applyBorder="1" applyAlignment="1">
      <alignment horizontal="center" vertical="center"/>
    </xf>
    <xf numFmtId="2" fontId="0" fillId="0" borderId="0" xfId="0" applyNumberFormat="1" applyAlignment="1">
      <alignment horizontal="right"/>
    </xf>
    <xf numFmtId="2" fontId="0" fillId="9" borderId="0" xfId="0" applyNumberFormat="1" applyFill="1" applyAlignment="1">
      <alignment horizontal="right"/>
    </xf>
    <xf numFmtId="0" fontId="4" fillId="0" borderId="16" xfId="1" applyFont="1" applyBorder="1" applyAlignment="1">
      <alignment horizontal="left" vertical="center"/>
    </xf>
    <xf numFmtId="0" fontId="5" fillId="0" borderId="0" xfId="1" applyAlignment="1">
      <alignment horizontal="center" vertical="center"/>
    </xf>
    <xf numFmtId="0" fontId="5" fillId="0" borderId="0" xfId="1" applyAlignment="1">
      <alignment vertical="center" wrapText="1"/>
    </xf>
    <xf numFmtId="4" fontId="5" fillId="0" borderId="0" xfId="1" applyNumberFormat="1" applyAlignment="1">
      <alignment vertical="center"/>
    </xf>
    <xf numFmtId="4" fontId="102" fillId="5" borderId="0" xfId="1" applyNumberFormat="1" applyFont="1" applyFill="1" applyAlignment="1">
      <alignment vertical="center"/>
    </xf>
    <xf numFmtId="199" fontId="5" fillId="5" borderId="0" xfId="1" applyNumberFormat="1" applyFill="1" applyAlignment="1">
      <alignment vertical="center"/>
    </xf>
    <xf numFmtId="0" fontId="163" fillId="0" borderId="0" xfId="1" applyFont="1" applyAlignment="1">
      <alignment vertical="center"/>
    </xf>
    <xf numFmtId="199" fontId="20" fillId="0" borderId="0" xfId="1" applyNumberFormat="1" applyFont="1" applyAlignment="1">
      <alignment vertical="center"/>
    </xf>
    <xf numFmtId="4" fontId="164" fillId="3" borderId="7" xfId="1" applyNumberFormat="1" applyFont="1" applyFill="1" applyBorder="1" applyAlignment="1">
      <alignment vertical="center"/>
    </xf>
    <xf numFmtId="199" fontId="15" fillId="3" borderId="7" xfId="1" applyNumberFormat="1" applyFont="1" applyFill="1" applyBorder="1" applyAlignment="1">
      <alignment vertical="center"/>
    </xf>
    <xf numFmtId="4" fontId="164" fillId="3" borderId="6" xfId="1" applyNumberFormat="1" applyFont="1" applyFill="1" applyBorder="1" applyAlignment="1">
      <alignment vertical="center"/>
    </xf>
    <xf numFmtId="0" fontId="12" fillId="0" borderId="8" xfId="1" applyFont="1" applyBorder="1" applyAlignment="1">
      <alignment horizontal="center" vertical="center"/>
    </xf>
    <xf numFmtId="4" fontId="2" fillId="0" borderId="0" xfId="1" applyNumberFormat="1" applyFont="1" applyAlignment="1">
      <alignment vertical="center" wrapText="1"/>
    </xf>
    <xf numFmtId="199" fontId="3" fillId="0" borderId="0" xfId="1" applyNumberFormat="1" applyFont="1" applyAlignment="1">
      <alignment horizontal="right" vertical="center" wrapText="1"/>
    </xf>
    <xf numFmtId="14" fontId="2" fillId="0" borderId="19" xfId="1" applyNumberFormat="1" applyFont="1" applyBorder="1" applyAlignment="1">
      <alignment horizontal="right" vertical="center"/>
    </xf>
    <xf numFmtId="10" fontId="2" fillId="0" borderId="19" xfId="645" applyNumberFormat="1" applyFont="1" applyFill="1" applyBorder="1" applyAlignment="1">
      <alignment horizontal="right" vertical="center" wrapText="1"/>
    </xf>
    <xf numFmtId="0" fontId="3" fillId="0" borderId="5" xfId="1" applyFont="1" applyBorder="1" applyAlignment="1">
      <alignment vertical="center" wrapText="1"/>
    </xf>
    <xf numFmtId="17" fontId="4" fillId="0" borderId="7" xfId="1" applyNumberFormat="1" applyFont="1" applyBorder="1" applyAlignment="1">
      <alignment horizontal="left" vertical="center"/>
    </xf>
    <xf numFmtId="0" fontId="4" fillId="0" borderId="7" xfId="1" applyFont="1" applyBorder="1" applyAlignment="1">
      <alignment horizontal="left" vertical="center"/>
    </xf>
    <xf numFmtId="0" fontId="3" fillId="0" borderId="7" xfId="1" applyFont="1" applyBorder="1" applyAlignment="1">
      <alignment horizontal="right" vertical="center"/>
    </xf>
    <xf numFmtId="10" fontId="4" fillId="0" borderId="7" xfId="645" applyNumberFormat="1" applyFont="1" applyFill="1" applyBorder="1" applyAlignment="1">
      <alignment horizontal="right" vertical="center" wrapText="1"/>
    </xf>
    <xf numFmtId="10" fontId="102" fillId="5" borderId="7" xfId="645" applyNumberFormat="1" applyFont="1" applyFill="1" applyBorder="1" applyAlignment="1">
      <alignment horizontal="right" vertical="center" wrapText="1"/>
    </xf>
    <xf numFmtId="199" fontId="5" fillId="5" borderId="7" xfId="645" applyNumberFormat="1" applyFont="1" applyFill="1" applyBorder="1" applyAlignment="1">
      <alignment horizontal="right" vertical="center" wrapText="1"/>
    </xf>
    <xf numFmtId="10" fontId="102" fillId="5" borderId="6" xfId="645" applyNumberFormat="1" applyFont="1" applyFill="1" applyBorder="1" applyAlignment="1">
      <alignment horizontal="right" vertical="center" wrapText="1"/>
    </xf>
    <xf numFmtId="0" fontId="3" fillId="0" borderId="14" xfId="1" applyFont="1" applyBorder="1" applyAlignment="1">
      <alignment vertical="center" wrapText="1"/>
    </xf>
    <xf numFmtId="17" fontId="4" fillId="0" borderId="16" xfId="1" applyNumberFormat="1" applyFont="1" applyBorder="1" applyAlignment="1">
      <alignment horizontal="left" vertical="center"/>
    </xf>
    <xf numFmtId="0" fontId="3" fillId="0" borderId="16" xfId="1" applyFont="1" applyBorder="1" applyAlignment="1">
      <alignment horizontal="right" vertical="center"/>
    </xf>
    <xf numFmtId="10" fontId="4" fillId="0" borderId="16" xfId="645" applyNumberFormat="1" applyFont="1" applyFill="1" applyBorder="1" applyAlignment="1">
      <alignment horizontal="right" vertical="center" wrapText="1"/>
    </xf>
    <xf numFmtId="10" fontId="102" fillId="5" borderId="16" xfId="645" applyNumberFormat="1" applyFont="1" applyFill="1" applyBorder="1" applyAlignment="1">
      <alignment horizontal="right" vertical="center" wrapText="1"/>
    </xf>
    <xf numFmtId="199" fontId="5" fillId="5" borderId="16" xfId="645" applyNumberFormat="1" applyFont="1" applyFill="1" applyBorder="1" applyAlignment="1">
      <alignment horizontal="right" vertical="center" wrapText="1"/>
    </xf>
    <xf numFmtId="10" fontId="102" fillId="5" borderId="15" xfId="645" applyNumberFormat="1" applyFont="1" applyFill="1" applyBorder="1" applyAlignment="1">
      <alignment horizontal="right" vertical="center" wrapText="1"/>
    </xf>
    <xf numFmtId="0" fontId="17" fillId="76" borderId="14" xfId="1" applyFont="1" applyFill="1" applyBorder="1" applyAlignment="1">
      <alignment horizontal="center" vertical="center" wrapText="1"/>
    </xf>
    <xf numFmtId="0" fontId="17" fillId="76" borderId="16" xfId="1" applyFont="1" applyFill="1" applyBorder="1" applyAlignment="1">
      <alignment horizontal="center" vertical="center" wrapText="1"/>
    </xf>
    <xf numFmtId="4" fontId="17" fillId="76" borderId="16" xfId="1" applyNumberFormat="1" applyFont="1" applyFill="1" applyBorder="1" applyAlignment="1">
      <alignment horizontal="center" vertical="center" wrapText="1"/>
    </xf>
    <xf numFmtId="4" fontId="138" fillId="76" borderId="16" xfId="1" applyNumberFormat="1" applyFont="1" applyFill="1" applyBorder="1" applyAlignment="1">
      <alignment horizontal="center" vertical="center" wrapText="1"/>
    </xf>
    <xf numFmtId="199" fontId="17" fillId="76" borderId="16" xfId="1" applyNumberFormat="1" applyFont="1" applyFill="1" applyBorder="1" applyAlignment="1">
      <alignment horizontal="center" vertical="center" wrapText="1"/>
    </xf>
    <xf numFmtId="4" fontId="138" fillId="76" borderId="15" xfId="1" applyNumberFormat="1" applyFont="1" applyFill="1" applyBorder="1" applyAlignment="1">
      <alignment horizontal="center" vertical="center" wrapText="1"/>
    </xf>
    <xf numFmtId="4" fontId="17" fillId="76" borderId="0" xfId="1" applyNumberFormat="1" applyFont="1" applyFill="1" applyAlignment="1">
      <alignment horizontal="center" vertical="center" wrapText="1"/>
    </xf>
    <xf numFmtId="199" fontId="94" fillId="0" borderId="200" xfId="924" applyNumberFormat="1" applyFont="1" applyFill="1" applyBorder="1" applyAlignment="1">
      <alignment horizontal="left" vertical="center"/>
    </xf>
    <xf numFmtId="199" fontId="94" fillId="0" borderId="200" xfId="924" applyNumberFormat="1" applyFont="1" applyFill="1" applyBorder="1" applyAlignment="1">
      <alignment horizontal="center" vertical="center"/>
    </xf>
    <xf numFmtId="4" fontId="94" fillId="49" borderId="200" xfId="2092" applyNumberFormat="1" applyFont="1" applyFill="1" applyBorder="1" applyAlignment="1">
      <alignment horizontal="center" vertical="center"/>
    </xf>
    <xf numFmtId="0" fontId="4" fillId="0" borderId="200" xfId="640" applyFont="1" applyBorder="1" applyAlignment="1">
      <alignment horizontal="center" wrapText="1"/>
    </xf>
    <xf numFmtId="3" fontId="94" fillId="79" borderId="200" xfId="2092" applyNumberFormat="1" applyFont="1" applyFill="1" applyBorder="1" applyAlignment="1">
      <alignment horizontal="center" vertical="center"/>
    </xf>
    <xf numFmtId="44" fontId="93" fillId="5" borderId="0" xfId="839" applyFont="1" applyFill="1" applyBorder="1" applyAlignment="1">
      <alignment horizontal="left" vertical="center"/>
    </xf>
    <xf numFmtId="4" fontId="94" fillId="80" borderId="200" xfId="0" applyNumberFormat="1" applyFont="1" applyFill="1" applyBorder="1" applyAlignment="1">
      <alignment horizontal="center" vertical="center"/>
    </xf>
    <xf numFmtId="0" fontId="35" fillId="0" borderId="200" xfId="0" applyFont="1" applyBorder="1" applyAlignment="1">
      <alignment horizontal="center" vertical="center" wrapText="1"/>
    </xf>
    <xf numFmtId="199" fontId="0" fillId="0" borderId="0" xfId="0" applyNumberFormat="1"/>
    <xf numFmtId="43" fontId="0" fillId="0" borderId="0" xfId="0" applyNumberFormat="1"/>
    <xf numFmtId="4" fontId="2" fillId="5" borderId="0" xfId="1" applyNumberFormat="1" applyFont="1" applyFill="1" applyAlignment="1">
      <alignment vertical="center"/>
    </xf>
    <xf numFmtId="199" fontId="4" fillId="5" borderId="0" xfId="1" applyNumberFormat="1" applyFont="1" applyFill="1" applyAlignment="1">
      <alignment vertical="center"/>
    </xf>
    <xf numFmtId="10" fontId="4" fillId="5" borderId="200" xfId="645" applyNumberFormat="1" applyFont="1" applyFill="1" applyBorder="1" applyAlignment="1">
      <alignment horizontal="center" vertical="center"/>
    </xf>
    <xf numFmtId="10" fontId="3" fillId="0" borderId="200" xfId="36" applyNumberFormat="1" applyFont="1" applyBorder="1" applyAlignment="1">
      <alignment horizontal="center" vertical="center"/>
    </xf>
    <xf numFmtId="4" fontId="4" fillId="5" borderId="201" xfId="0" applyNumberFormat="1" applyFont="1" applyFill="1" applyBorder="1" applyAlignment="1">
      <alignment vertical="center"/>
    </xf>
    <xf numFmtId="169" fontId="4" fillId="0" borderId="200" xfId="0" applyNumberFormat="1" applyFont="1" applyBorder="1" applyAlignment="1">
      <alignment horizontal="right"/>
    </xf>
    <xf numFmtId="10" fontId="4" fillId="0" borderId="200" xfId="645" applyNumberFormat="1" applyFont="1" applyFill="1" applyBorder="1" applyAlignment="1">
      <alignment horizontal="center" vertical="center"/>
    </xf>
    <xf numFmtId="4" fontId="4" fillId="2" borderId="16" xfId="640" applyNumberFormat="1" applyFont="1" applyFill="1" applyBorder="1" applyAlignment="1">
      <alignment horizontal="center" vertical="center" wrapText="1"/>
    </xf>
    <xf numFmtId="4" fontId="3" fillId="8" borderId="16" xfId="640" applyNumberFormat="1" applyFont="1" applyFill="1" applyBorder="1" applyAlignment="1">
      <alignment vertical="center" wrapText="1"/>
    </xf>
    <xf numFmtId="4" fontId="4" fillId="8" borderId="16" xfId="640" applyNumberFormat="1" applyFont="1" applyFill="1" applyBorder="1" applyAlignment="1">
      <alignment horizontal="center" vertical="center"/>
    </xf>
    <xf numFmtId="4" fontId="4" fillId="8" borderId="16" xfId="2095" applyNumberFormat="1" applyFont="1" applyFill="1" applyBorder="1" applyAlignment="1">
      <alignment vertical="center"/>
    </xf>
    <xf numFmtId="4" fontId="4" fillId="8" borderId="16" xfId="640" applyNumberFormat="1" applyFont="1" applyFill="1" applyBorder="1" applyAlignment="1">
      <alignment vertical="center"/>
    </xf>
    <xf numFmtId="4" fontId="3" fillId="8" borderId="15" xfId="2095" applyNumberFormat="1" applyFont="1" applyFill="1" applyBorder="1" applyAlignment="1">
      <alignment vertical="center"/>
    </xf>
    <xf numFmtId="171" fontId="2" fillId="0" borderId="200" xfId="0" applyNumberFormat="1" applyFont="1" applyBorder="1" applyAlignment="1">
      <alignment horizontal="right"/>
    </xf>
    <xf numFmtId="171" fontId="4" fillId="0" borderId="200" xfId="640" applyNumberFormat="1" applyFont="1" applyBorder="1" applyAlignment="1">
      <alignment horizontal="right"/>
    </xf>
    <xf numFmtId="171" fontId="4" fillId="0" borderId="203" xfId="640" applyNumberFormat="1" applyFont="1" applyBorder="1" applyAlignment="1">
      <alignment horizontal="right"/>
    </xf>
    <xf numFmtId="49" fontId="4" fillId="0" borderId="153" xfId="0" applyNumberFormat="1" applyFont="1" applyBorder="1" applyAlignment="1">
      <alignment horizontal="center" vertical="center"/>
    </xf>
    <xf numFmtId="0" fontId="4" fillId="0" borderId="203" xfId="0" applyFont="1" applyBorder="1" applyAlignment="1">
      <alignment horizontal="left" wrapText="1"/>
    </xf>
    <xf numFmtId="4" fontId="4" fillId="0" borderId="203" xfId="0" applyNumberFormat="1" applyFont="1" applyBorder="1" applyAlignment="1">
      <alignment horizontal="center"/>
    </xf>
    <xf numFmtId="14" fontId="4" fillId="7" borderId="199" xfId="0" applyNumberFormat="1" applyFont="1" applyFill="1" applyBorder="1" applyAlignment="1">
      <alignment horizontal="center" vertical="center"/>
    </xf>
    <xf numFmtId="1" fontId="29" fillId="0" borderId="1" xfId="0" applyNumberFormat="1" applyFont="1" applyBorder="1" applyAlignment="1">
      <alignment horizontal="center" vertical="center"/>
    </xf>
    <xf numFmtId="1" fontId="0" fillId="0" borderId="0" xfId="0" applyNumberFormat="1" applyAlignment="1">
      <alignment horizontal="center"/>
    </xf>
    <xf numFmtId="0" fontId="0" fillId="4" borderId="0" xfId="0" applyFill="1" applyAlignment="1">
      <alignment horizontal="center"/>
    </xf>
    <xf numFmtId="0" fontId="3" fillId="0" borderId="16" xfId="1" applyFont="1" applyBorder="1" applyAlignment="1">
      <alignment horizontal="right" vertical="center" wrapText="1"/>
    </xf>
    <xf numFmtId="14" fontId="4" fillId="0" borderId="15" xfId="1" applyNumberFormat="1" applyFont="1" applyBorder="1" applyAlignment="1">
      <alignment horizontal="right" vertical="center"/>
    </xf>
    <xf numFmtId="0" fontId="3" fillId="0" borderId="0" xfId="431" applyFont="1" applyAlignment="1">
      <alignment horizontal="center" vertical="center"/>
    </xf>
    <xf numFmtId="0" fontId="3" fillId="0" borderId="0" xfId="431" applyFont="1" applyAlignment="1">
      <alignment horizontal="right" vertical="center"/>
    </xf>
    <xf numFmtId="0" fontId="3" fillId="0" borderId="18" xfId="431" applyFont="1" applyBorder="1" applyAlignment="1">
      <alignment vertical="center" wrapText="1"/>
    </xf>
    <xf numFmtId="0" fontId="3" fillId="0" borderId="199" xfId="1" applyFont="1" applyBorder="1" applyAlignment="1">
      <alignment vertical="center" wrapText="1"/>
    </xf>
    <xf numFmtId="0" fontId="165" fillId="0" borderId="0" xfId="431" applyFont="1" applyAlignment="1">
      <alignment vertical="center"/>
    </xf>
    <xf numFmtId="4" fontId="4" fillId="0" borderId="201" xfId="23" applyNumberFormat="1" applyFont="1" applyBorder="1" applyAlignment="1">
      <alignment horizontal="right"/>
    </xf>
    <xf numFmtId="0" fontId="4" fillId="0" borderId="32" xfId="1" applyFont="1" applyBorder="1" applyAlignment="1">
      <alignment horizontal="center" vertical="center" wrapText="1"/>
    </xf>
    <xf numFmtId="4" fontId="4" fillId="0" borderId="34" xfId="1" applyNumberFormat="1" applyFont="1" applyBorder="1" applyAlignment="1">
      <alignment horizontal="right" vertical="center" wrapText="1"/>
    </xf>
    <xf numFmtId="4" fontId="4" fillId="0" borderId="200" xfId="1" applyNumberFormat="1" applyFont="1" applyBorder="1" applyAlignment="1">
      <alignment vertical="center" wrapText="1"/>
    </xf>
    <xf numFmtId="4" fontId="4" fillId="0" borderId="200" xfId="1" applyNumberFormat="1" applyFont="1" applyBorder="1" applyAlignment="1">
      <alignment horizontal="right" vertical="center" wrapText="1"/>
    </xf>
    <xf numFmtId="4" fontId="4" fillId="0" borderId="201" xfId="45" applyNumberFormat="1" applyFont="1" applyFill="1" applyBorder="1" applyAlignment="1">
      <alignment vertical="center"/>
    </xf>
    <xf numFmtId="0" fontId="4" fillId="0" borderId="187" xfId="1" applyFont="1" applyBorder="1" applyAlignment="1">
      <alignment horizontal="center" vertical="center" wrapText="1"/>
    </xf>
    <xf numFmtId="0" fontId="4" fillId="0" borderId="188" xfId="1" applyFont="1" applyBorder="1" applyAlignment="1">
      <alignment horizontal="center" vertical="center" wrapText="1"/>
    </xf>
    <xf numFmtId="0" fontId="4" fillId="0" borderId="188" xfId="1" applyFont="1" applyBorder="1" applyAlignment="1">
      <alignment vertical="center" wrapText="1"/>
    </xf>
    <xf numFmtId="4" fontId="4" fillId="0" borderId="188" xfId="1" applyNumberFormat="1" applyFont="1" applyBorder="1" applyAlignment="1">
      <alignment horizontal="right" vertical="center" wrapText="1"/>
    </xf>
    <xf numFmtId="4" fontId="4" fillId="0" borderId="189" xfId="45" applyNumberFormat="1" applyFont="1" applyFill="1" applyBorder="1" applyAlignment="1">
      <alignment vertical="center"/>
    </xf>
    <xf numFmtId="4" fontId="4" fillId="0" borderId="33" xfId="2092" applyNumberFormat="1" applyFont="1" applyFill="1" applyBorder="1" applyAlignment="1">
      <alignment vertical="center"/>
    </xf>
    <xf numFmtId="4" fontId="4" fillId="0" borderId="1" xfId="1" applyNumberFormat="1" applyFont="1" applyBorder="1" applyAlignment="1">
      <alignment vertical="center"/>
    </xf>
    <xf numFmtId="4" fontId="4" fillId="0" borderId="201" xfId="2092" applyNumberFormat="1" applyFont="1" applyFill="1" applyBorder="1" applyAlignment="1">
      <alignment vertical="center"/>
    </xf>
    <xf numFmtId="0" fontId="99" fillId="0" borderId="85" xfId="0" applyFont="1" applyBorder="1" applyAlignment="1">
      <alignment horizontal="center" vertical="center" wrapText="1"/>
    </xf>
    <xf numFmtId="0" fontId="4" fillId="13" borderId="200" xfId="0" applyFont="1" applyFill="1" applyBorder="1" applyAlignment="1">
      <alignment horizontal="center" wrapText="1"/>
    </xf>
    <xf numFmtId="0" fontId="27" fillId="5" borderId="8" xfId="1" applyFont="1" applyFill="1" applyBorder="1" applyAlignment="1">
      <alignment vertical="center" wrapText="1"/>
    </xf>
    <xf numFmtId="0" fontId="27" fillId="5" borderId="10" xfId="1" applyFont="1" applyFill="1" applyBorder="1" applyAlignment="1">
      <alignment vertical="center" wrapText="1"/>
    </xf>
    <xf numFmtId="4" fontId="4" fillId="0" borderId="203" xfId="1" quotePrefix="1" applyNumberFormat="1" applyFont="1" applyBorder="1" applyAlignment="1">
      <alignment wrapText="1"/>
    </xf>
    <xf numFmtId="4" fontId="4" fillId="0" borderId="204" xfId="45" applyNumberFormat="1" applyFont="1" applyFill="1" applyBorder="1" applyAlignment="1"/>
    <xf numFmtId="0" fontId="4" fillId="13" borderId="199" xfId="0" applyFont="1" applyFill="1" applyBorder="1" applyAlignment="1">
      <alignment horizontal="center" wrapText="1"/>
    </xf>
    <xf numFmtId="4" fontId="4" fillId="13" borderId="200" xfId="0" applyNumberFormat="1" applyFont="1" applyFill="1" applyBorder="1" applyAlignment="1">
      <alignment wrapText="1"/>
    </xf>
    <xf numFmtId="4" fontId="4" fillId="13" borderId="201" xfId="46" applyNumberFormat="1" applyFont="1" applyFill="1" applyBorder="1" applyAlignment="1"/>
    <xf numFmtId="0" fontId="3" fillId="5" borderId="18" xfId="1" applyFont="1" applyFill="1" applyBorder="1" applyAlignment="1">
      <alignment vertical="center" wrapText="1"/>
    </xf>
    <xf numFmtId="0" fontId="3" fillId="5" borderId="19" xfId="1" applyFont="1" applyFill="1" applyBorder="1" applyAlignment="1">
      <alignment vertical="center" wrapText="1"/>
    </xf>
    <xf numFmtId="4" fontId="4" fillId="0" borderId="201" xfId="46" applyNumberFormat="1" applyFont="1" applyFill="1" applyBorder="1" applyAlignment="1">
      <alignment vertical="center"/>
    </xf>
    <xf numFmtId="0" fontId="4" fillId="0" borderId="199" xfId="0" applyFont="1" applyBorder="1" applyAlignment="1">
      <alignment horizontal="center" vertical="center" wrapText="1"/>
    </xf>
    <xf numFmtId="0" fontId="4" fillId="0" borderId="187" xfId="0" applyFont="1" applyBorder="1" applyAlignment="1">
      <alignment horizontal="center" wrapText="1"/>
    </xf>
    <xf numFmtId="0" fontId="4" fillId="3" borderId="5" xfId="640" applyFont="1" applyFill="1" applyBorder="1" applyAlignment="1">
      <alignment horizontal="center" vertical="center"/>
    </xf>
    <xf numFmtId="0" fontId="4" fillId="3" borderId="7" xfId="640" applyFont="1" applyFill="1" applyBorder="1" applyAlignment="1">
      <alignment vertical="center" wrapText="1"/>
    </xf>
    <xf numFmtId="0" fontId="4" fillId="3" borderId="7" xfId="640" applyFont="1" applyFill="1" applyBorder="1" applyAlignment="1">
      <alignment horizontal="center" vertical="center"/>
    </xf>
    <xf numFmtId="4" fontId="4" fillId="3" borderId="7" xfId="640" applyNumberFormat="1" applyFont="1" applyFill="1" applyBorder="1" applyAlignment="1">
      <alignment vertical="center"/>
    </xf>
    <xf numFmtId="4" fontId="4" fillId="3" borderId="6" xfId="640" applyNumberFormat="1" applyFont="1" applyFill="1" applyBorder="1" applyAlignment="1">
      <alignment vertical="center"/>
    </xf>
    <xf numFmtId="169" fontId="4" fillId="0" borderId="228" xfId="640" applyNumberFormat="1" applyFont="1" applyBorder="1" applyAlignment="1">
      <alignment horizontal="right"/>
    </xf>
    <xf numFmtId="0" fontId="4" fillId="0" borderId="227" xfId="640" applyFont="1" applyBorder="1" applyAlignment="1">
      <alignment horizontal="center" vertical="center"/>
    </xf>
    <xf numFmtId="4" fontId="4" fillId="0" borderId="229" xfId="640" applyNumberFormat="1" applyFont="1" applyBorder="1" applyAlignment="1">
      <alignment horizontal="right"/>
    </xf>
    <xf numFmtId="0" fontId="4" fillId="0" borderId="228" xfId="1" applyFont="1" applyBorder="1" applyAlignment="1">
      <alignment horizontal="center" wrapText="1"/>
    </xf>
    <xf numFmtId="0" fontId="4" fillId="0" borderId="228" xfId="1" applyFont="1" applyBorder="1" applyAlignment="1">
      <alignment wrapText="1"/>
    </xf>
    <xf numFmtId="0" fontId="4" fillId="0" borderId="227" xfId="640" applyFont="1" applyBorder="1" applyAlignment="1">
      <alignment horizontal="center"/>
    </xf>
    <xf numFmtId="0" fontId="3" fillId="0" borderId="226" xfId="0" applyFont="1" applyBorder="1" applyAlignment="1">
      <alignment horizontal="center" vertical="center"/>
    </xf>
    <xf numFmtId="2" fontId="4" fillId="0" borderId="228" xfId="1" applyNumberFormat="1" applyFont="1" applyBorder="1" applyAlignment="1">
      <alignment horizontal="right" wrapText="1"/>
    </xf>
    <xf numFmtId="14" fontId="2" fillId="0" borderId="224" xfId="0" applyNumberFormat="1" applyFont="1" applyBorder="1" applyAlignment="1">
      <alignment horizontal="center" vertical="center"/>
    </xf>
    <xf numFmtId="2" fontId="2" fillId="0" borderId="224" xfId="0" applyNumberFormat="1" applyFont="1" applyBorder="1" applyAlignment="1">
      <alignment horizontal="right" vertical="center"/>
    </xf>
    <xf numFmtId="2" fontId="4" fillId="0" borderId="228" xfId="640" applyNumberFormat="1" applyFont="1" applyBorder="1" applyAlignment="1">
      <alignment horizontal="right"/>
    </xf>
    <xf numFmtId="0" fontId="3" fillId="0" borderId="224" xfId="0" applyFont="1" applyBorder="1" applyAlignment="1">
      <alignment horizontal="center" vertical="center" wrapText="1"/>
    </xf>
    <xf numFmtId="4" fontId="3" fillId="0" borderId="224" xfId="0" applyNumberFormat="1" applyFont="1" applyBorder="1" applyAlignment="1">
      <alignment horizontal="center" vertical="center"/>
    </xf>
    <xf numFmtId="10" fontId="3" fillId="0" borderId="224" xfId="645" applyNumberFormat="1" applyFont="1" applyBorder="1" applyAlignment="1">
      <alignment horizontal="center" vertical="center"/>
    </xf>
    <xf numFmtId="4" fontId="3" fillId="0" borderId="223" xfId="0" applyNumberFormat="1" applyFont="1" applyBorder="1" applyAlignment="1">
      <alignment horizontal="center" vertical="center"/>
    </xf>
    <xf numFmtId="0" fontId="3" fillId="0" borderId="224" xfId="0" applyFont="1" applyBorder="1" applyAlignment="1">
      <alignment horizontal="center" vertical="center"/>
    </xf>
    <xf numFmtId="14" fontId="4" fillId="0" borderId="224" xfId="0" applyNumberFormat="1" applyFont="1" applyBorder="1" applyAlignment="1">
      <alignment horizontal="center" vertical="center"/>
    </xf>
    <xf numFmtId="2" fontId="4" fillId="0" borderId="34" xfId="1" applyNumberFormat="1" applyFont="1" applyBorder="1" applyAlignment="1">
      <alignment horizontal="right" wrapText="1"/>
    </xf>
    <xf numFmtId="0" fontId="2" fillId="5" borderId="200" xfId="0" applyFont="1" applyFill="1" applyBorder="1" applyAlignment="1">
      <alignment horizontal="left" vertical="center"/>
    </xf>
    <xf numFmtId="14" fontId="35" fillId="5" borderId="199" xfId="2536" applyNumberFormat="1" applyFont="1" applyFill="1" applyBorder="1" applyAlignment="1">
      <alignment horizontal="center" vertical="center"/>
    </xf>
    <xf numFmtId="0" fontId="95" fillId="5" borderId="200" xfId="0" applyFont="1" applyFill="1" applyBorder="1" applyAlignment="1">
      <alignment horizontal="center" vertical="center" wrapText="1"/>
    </xf>
    <xf numFmtId="0" fontId="95" fillId="5" borderId="200" xfId="0" applyFont="1" applyFill="1" applyBorder="1" applyAlignment="1">
      <alignment vertical="center"/>
    </xf>
    <xf numFmtId="170" fontId="4" fillId="0" borderId="150" xfId="640" applyNumberFormat="1" applyFont="1" applyBorder="1" applyAlignment="1">
      <alignment horizontal="right"/>
    </xf>
    <xf numFmtId="0" fontId="4" fillId="0" borderId="203" xfId="0" applyFont="1" applyBorder="1" applyAlignment="1">
      <alignment horizontal="left" vertical="center" wrapText="1"/>
    </xf>
    <xf numFmtId="4" fontId="4" fillId="0" borderId="203" xfId="0" applyNumberFormat="1" applyFont="1" applyBorder="1" applyAlignment="1">
      <alignment horizontal="center" vertical="center"/>
    </xf>
    <xf numFmtId="2" fontId="2" fillId="0" borderId="203" xfId="0" applyNumberFormat="1" applyFont="1" applyBorder="1" applyAlignment="1">
      <alignment horizontal="right" vertical="center"/>
    </xf>
    <xf numFmtId="4" fontId="2" fillId="0" borderId="204" xfId="0" applyNumberFormat="1" applyFont="1" applyBorder="1" applyAlignment="1">
      <alignment horizontal="right" vertical="center"/>
    </xf>
    <xf numFmtId="0" fontId="3" fillId="2" borderId="33" xfId="640" applyFont="1" applyFill="1" applyBorder="1" applyAlignment="1">
      <alignment horizontal="center" vertical="center" wrapText="1"/>
    </xf>
    <xf numFmtId="4" fontId="4" fillId="0" borderId="200" xfId="45" applyNumberFormat="1" applyFont="1" applyFill="1" applyBorder="1" applyAlignment="1"/>
    <xf numFmtId="4" fontId="4" fillId="0" borderId="200" xfId="46" applyNumberFormat="1" applyFont="1" applyFill="1" applyBorder="1" applyAlignment="1"/>
    <xf numFmtId="0" fontId="4" fillId="5" borderId="150" xfId="1" applyFont="1" applyFill="1" applyBorder="1" applyAlignment="1">
      <alignment vertical="center" wrapText="1"/>
    </xf>
    <xf numFmtId="0" fontId="4" fillId="5" borderId="150" xfId="1" applyFont="1" applyFill="1" applyBorder="1" applyAlignment="1">
      <alignment horizontal="center" vertical="center" wrapText="1"/>
    </xf>
    <xf numFmtId="2" fontId="2" fillId="5" borderId="150" xfId="0" applyNumberFormat="1" applyFont="1" applyFill="1" applyBorder="1" applyAlignment="1">
      <alignment horizontal="right" vertical="center"/>
    </xf>
    <xf numFmtId="2" fontId="4" fillId="5" borderId="188" xfId="1" applyNumberFormat="1" applyFont="1" applyFill="1" applyBorder="1" applyAlignment="1">
      <alignment horizontal="right" vertical="center" wrapText="1"/>
    </xf>
    <xf numFmtId="4" fontId="2" fillId="5" borderId="189" xfId="0" applyNumberFormat="1" applyFont="1" applyFill="1" applyBorder="1" applyAlignment="1">
      <alignment horizontal="right" vertical="center"/>
    </xf>
    <xf numFmtId="0" fontId="4" fillId="5" borderId="200" xfId="0" applyFont="1" applyFill="1" applyBorder="1"/>
    <xf numFmtId="170" fontId="4" fillId="0" borderId="150" xfId="640" applyNumberFormat="1" applyFont="1" applyBorder="1" applyAlignment="1">
      <alignment horizontal="right" vertical="center"/>
    </xf>
    <xf numFmtId="49" fontId="4" fillId="0" borderId="152" xfId="640" applyNumberFormat="1" applyFont="1" applyBorder="1" applyAlignment="1">
      <alignment horizontal="center" vertical="center"/>
    </xf>
    <xf numFmtId="0" fontId="4" fillId="0" borderId="150" xfId="635" applyFont="1" applyBorder="1" applyAlignment="1">
      <alignment horizontal="left" vertical="center" wrapText="1"/>
    </xf>
    <xf numFmtId="167" fontId="2" fillId="0" borderId="150" xfId="781" applyFont="1" applyFill="1" applyBorder="1" applyAlignment="1">
      <alignment horizontal="center" vertical="center"/>
    </xf>
    <xf numFmtId="0" fontId="4" fillId="0" borderId="199" xfId="0" applyFont="1" applyBorder="1" applyAlignment="1">
      <alignment horizontal="center" vertical="center"/>
    </xf>
    <xf numFmtId="0" fontId="4" fillId="0" borderId="32" xfId="0" applyFont="1" applyBorder="1" applyAlignment="1">
      <alignment horizontal="center"/>
    </xf>
    <xf numFmtId="2" fontId="2" fillId="0" borderId="34" xfId="0" applyNumberFormat="1" applyFont="1" applyBorder="1" applyAlignment="1">
      <alignment horizontal="right"/>
    </xf>
    <xf numFmtId="4" fontId="2" fillId="0" borderId="33" xfId="0" applyNumberFormat="1" applyFont="1" applyBorder="1" applyAlignment="1">
      <alignment horizontal="right"/>
    </xf>
    <xf numFmtId="170" fontId="4" fillId="0" borderId="228" xfId="640" applyNumberFormat="1" applyFont="1" applyBorder="1" applyAlignment="1">
      <alignment horizontal="right"/>
    </xf>
    <xf numFmtId="0" fontId="4" fillId="10" borderId="0" xfId="640" applyFont="1" applyFill="1" applyAlignment="1">
      <alignment vertical="center"/>
    </xf>
    <xf numFmtId="0" fontId="4" fillId="10" borderId="0" xfId="640" applyFont="1" applyFill="1"/>
    <xf numFmtId="14" fontId="2" fillId="10" borderId="180" xfId="0" applyNumberFormat="1" applyFont="1" applyFill="1" applyBorder="1" applyAlignment="1">
      <alignment vertical="center"/>
    </xf>
    <xf numFmtId="0" fontId="130" fillId="10" borderId="0" xfId="640" applyFont="1" applyFill="1"/>
    <xf numFmtId="0" fontId="5" fillId="10" borderId="0" xfId="640" applyFill="1"/>
    <xf numFmtId="0" fontId="4" fillId="0" borderId="81" xfId="640" applyFont="1" applyBorder="1" applyAlignment="1">
      <alignment horizontal="center"/>
    </xf>
    <xf numFmtId="0" fontId="93" fillId="10" borderId="0" xfId="640" applyFont="1" applyFill="1"/>
    <xf numFmtId="49" fontId="4" fillId="0" borderId="16" xfId="0" applyNumberFormat="1" applyFont="1" applyBorder="1" applyAlignment="1">
      <alignment horizontal="center" vertical="center" wrapText="1"/>
    </xf>
    <xf numFmtId="0" fontId="3" fillId="0" borderId="14" xfId="640" applyFont="1" applyBorder="1" applyAlignment="1">
      <alignment vertical="center" wrapText="1"/>
    </xf>
    <xf numFmtId="0" fontId="3" fillId="0" borderId="16" xfId="640" applyFont="1" applyBorder="1" applyAlignment="1">
      <alignment horizontal="right" vertical="center" wrapText="1"/>
    </xf>
    <xf numFmtId="14" fontId="4" fillId="0" borderId="15" xfId="640" applyNumberFormat="1" applyFont="1" applyBorder="1" applyAlignment="1">
      <alignment horizontal="right" vertical="center"/>
    </xf>
    <xf numFmtId="0" fontId="3" fillId="0" borderId="8" xfId="640" applyFont="1" applyBorder="1" applyAlignment="1">
      <alignment vertical="center" wrapText="1"/>
    </xf>
    <xf numFmtId="10" fontId="4" fillId="0" borderId="10" xfId="645" applyNumberFormat="1" applyFont="1" applyFill="1" applyBorder="1" applyAlignment="1">
      <alignment horizontal="right" vertical="center" wrapText="1"/>
    </xf>
    <xf numFmtId="0" fontId="4" fillId="0" borderId="228" xfId="1" applyFont="1" applyBorder="1" applyAlignment="1">
      <alignment vertical="center" wrapText="1"/>
    </xf>
    <xf numFmtId="0" fontId="4" fillId="0" borderId="228" xfId="1" applyFont="1" applyBorder="1" applyAlignment="1">
      <alignment horizontal="center" vertical="center" wrapText="1"/>
    </xf>
    <xf numFmtId="2" fontId="4" fillId="0" borderId="228" xfId="640" applyNumberFormat="1" applyFont="1" applyBorder="1" applyAlignment="1">
      <alignment horizontal="right" vertical="center"/>
    </xf>
    <xf numFmtId="2" fontId="4" fillId="0" borderId="228" xfId="1" applyNumberFormat="1" applyFont="1" applyBorder="1" applyAlignment="1">
      <alignment horizontal="right" vertical="center" wrapText="1"/>
    </xf>
    <xf numFmtId="4" fontId="4" fillId="0" borderId="229" xfId="640" applyNumberFormat="1" applyFont="1" applyBorder="1" applyAlignment="1">
      <alignment horizontal="right" vertical="center"/>
    </xf>
    <xf numFmtId="0" fontId="4" fillId="0" borderId="200" xfId="640" applyFont="1" applyBorder="1" applyAlignment="1">
      <alignment horizontal="center" vertical="center"/>
    </xf>
    <xf numFmtId="167" fontId="4" fillId="0" borderId="229" xfId="641" applyFont="1" applyFill="1" applyBorder="1" applyAlignment="1">
      <alignment horizontal="left"/>
    </xf>
    <xf numFmtId="4" fontId="2" fillId="0" borderId="201" xfId="0" applyNumberFormat="1" applyFont="1" applyBorder="1" applyAlignment="1">
      <alignment horizontal="center" vertical="center"/>
    </xf>
    <xf numFmtId="0" fontId="4" fillId="5" borderId="83" xfId="0" applyFont="1" applyFill="1" applyBorder="1" applyAlignment="1">
      <alignment horizontal="center" vertical="center"/>
    </xf>
    <xf numFmtId="0" fontId="3" fillId="5" borderId="37" xfId="0" applyFont="1" applyFill="1" applyBorder="1" applyAlignment="1">
      <alignment horizontal="center" vertical="center"/>
    </xf>
    <xf numFmtId="4" fontId="3" fillId="5" borderId="37" xfId="0" applyNumberFormat="1" applyFont="1" applyFill="1" applyBorder="1" applyAlignment="1">
      <alignment vertical="center" wrapText="1"/>
    </xf>
    <xf numFmtId="4" fontId="4" fillId="5" borderId="37" xfId="0" applyNumberFormat="1" applyFont="1" applyFill="1" applyBorder="1" applyAlignment="1">
      <alignment horizontal="center" vertical="center"/>
    </xf>
    <xf numFmtId="10" fontId="3" fillId="5" borderId="37" xfId="645" applyNumberFormat="1" applyFont="1" applyFill="1" applyBorder="1" applyAlignment="1">
      <alignment vertical="center"/>
    </xf>
    <xf numFmtId="4" fontId="4" fillId="5" borderId="38" xfId="0" applyNumberFormat="1" applyFont="1" applyFill="1" applyBorder="1" applyAlignment="1">
      <alignment vertical="center"/>
    </xf>
    <xf numFmtId="10" fontId="4" fillId="0" borderId="0" xfId="645" applyNumberFormat="1" applyFont="1" applyFill="1" applyBorder="1" applyAlignment="1">
      <alignment horizontal="right" vertical="center" wrapText="1"/>
    </xf>
    <xf numFmtId="0" fontId="5" fillId="0" borderId="0" xfId="23" applyFont="1" applyAlignment="1">
      <alignment vertical="center"/>
    </xf>
    <xf numFmtId="10" fontId="4" fillId="0" borderId="0" xfId="23" applyNumberFormat="1" applyFont="1" applyAlignment="1">
      <alignment vertical="center"/>
    </xf>
    <xf numFmtId="49" fontId="4" fillId="0" borderId="16" xfId="772" applyNumberFormat="1" applyFont="1" applyBorder="1" applyAlignment="1">
      <alignment vertical="center"/>
    </xf>
    <xf numFmtId="2" fontId="4" fillId="5" borderId="228" xfId="640" applyNumberFormat="1" applyFont="1" applyFill="1" applyBorder="1" applyAlignment="1">
      <alignment horizontal="right"/>
    </xf>
    <xf numFmtId="0" fontId="3" fillId="0" borderId="0" xfId="1" applyFont="1" applyAlignment="1">
      <alignment horizontal="right" vertical="center"/>
    </xf>
    <xf numFmtId="0" fontId="3" fillId="0" borderId="9" xfId="1" applyFont="1" applyBorder="1" applyAlignment="1">
      <alignment horizontal="right" vertical="center"/>
    </xf>
    <xf numFmtId="14" fontId="4" fillId="5" borderId="0" xfId="1" applyNumberFormat="1" applyFont="1" applyFill="1" applyAlignment="1">
      <alignment horizontal="right" vertical="center"/>
    </xf>
    <xf numFmtId="10" fontId="4" fillId="5" borderId="0" xfId="36" applyNumberFormat="1" applyFont="1" applyFill="1" applyBorder="1" applyAlignment="1">
      <alignment horizontal="right" vertical="center" wrapText="1"/>
    </xf>
    <xf numFmtId="0" fontId="3" fillId="0" borderId="8" xfId="1" applyFont="1" applyBorder="1" applyAlignment="1">
      <alignment vertical="center" wrapText="1"/>
    </xf>
    <xf numFmtId="0" fontId="4" fillId="0" borderId="9" xfId="1" applyFont="1" applyBorder="1" applyAlignment="1">
      <alignment vertical="center"/>
    </xf>
    <xf numFmtId="10" fontId="4" fillId="0" borderId="19" xfId="645" applyNumberFormat="1" applyFont="1" applyFill="1" applyBorder="1" applyAlignment="1">
      <alignment horizontal="right" vertical="center" wrapText="1"/>
    </xf>
    <xf numFmtId="10" fontId="4" fillId="5" borderId="0" xfId="645" applyNumberFormat="1" applyFont="1" applyFill="1" applyBorder="1" applyAlignment="1">
      <alignment horizontal="right" vertical="center" wrapText="1"/>
    </xf>
    <xf numFmtId="44" fontId="3" fillId="0" borderId="16" xfId="839" applyFont="1" applyFill="1" applyBorder="1" applyAlignment="1">
      <alignment horizontal="right" vertical="center" wrapText="1"/>
    </xf>
    <xf numFmtId="14" fontId="4" fillId="0" borderId="15" xfId="839" applyNumberFormat="1" applyFont="1" applyFill="1" applyBorder="1" applyAlignment="1">
      <alignment vertical="center" wrapText="1"/>
    </xf>
    <xf numFmtId="10" fontId="4" fillId="0" borderId="19" xfId="924" applyNumberFormat="1" applyFont="1" applyFill="1" applyBorder="1" applyAlignment="1">
      <alignment vertical="center"/>
    </xf>
    <xf numFmtId="10" fontId="4" fillId="0" borderId="10" xfId="924" applyNumberFormat="1" applyFont="1" applyFill="1" applyBorder="1" applyAlignment="1">
      <alignment vertical="center"/>
    </xf>
    <xf numFmtId="0" fontId="4" fillId="0" borderId="227" xfId="0" applyFont="1" applyBorder="1" applyAlignment="1">
      <alignment horizontal="center"/>
    </xf>
    <xf numFmtId="0" fontId="16" fillId="0" borderId="15" xfId="23" applyFont="1" applyBorder="1" applyAlignment="1">
      <alignment vertical="center" wrapText="1"/>
    </xf>
    <xf numFmtId="0" fontId="16" fillId="0" borderId="10" xfId="23" applyFont="1" applyBorder="1" applyAlignment="1">
      <alignment vertical="center" wrapText="1"/>
    </xf>
    <xf numFmtId="0" fontId="16" fillId="0" borderId="17" xfId="23" applyFont="1" applyBorder="1" applyAlignment="1">
      <alignment vertical="center" wrapText="1"/>
    </xf>
    <xf numFmtId="0" fontId="16" fillId="0" borderId="64" xfId="23" applyFont="1" applyBorder="1" applyAlignment="1">
      <alignment vertical="center" wrapText="1"/>
    </xf>
    <xf numFmtId="0" fontId="16" fillId="0" borderId="15" xfId="640" applyFont="1" applyBorder="1" applyAlignment="1">
      <alignment vertical="center" wrapText="1"/>
    </xf>
    <xf numFmtId="0" fontId="16" fillId="0" borderId="10" xfId="640" applyFont="1" applyBorder="1" applyAlignment="1">
      <alignment vertical="center" wrapText="1"/>
    </xf>
    <xf numFmtId="0" fontId="3" fillId="0" borderId="15" xfId="640" applyFont="1" applyBorder="1" applyAlignment="1">
      <alignment vertical="center" wrapText="1"/>
    </xf>
    <xf numFmtId="0" fontId="3" fillId="0" borderId="10" xfId="640" applyFont="1" applyBorder="1" applyAlignment="1">
      <alignment vertical="center" wrapText="1"/>
    </xf>
    <xf numFmtId="0" fontId="16" fillId="0" borderId="15" xfId="0" applyFont="1" applyBorder="1" applyAlignment="1">
      <alignment vertical="center" wrapText="1"/>
    </xf>
    <xf numFmtId="0" fontId="16" fillId="0" borderId="10" xfId="0" applyFont="1" applyBorder="1" applyAlignment="1">
      <alignment vertical="center" wrapText="1"/>
    </xf>
    <xf numFmtId="2" fontId="2" fillId="5" borderId="228" xfId="0" applyNumberFormat="1" applyFont="1" applyFill="1" applyBorder="1" applyAlignment="1">
      <alignment horizontal="right"/>
    </xf>
    <xf numFmtId="0" fontId="32" fillId="0" borderId="0" xfId="1" applyFont="1" applyAlignment="1">
      <alignment vertical="center"/>
    </xf>
    <xf numFmtId="0" fontId="171" fillId="0" borderId="0" xfId="1" applyFont="1" applyAlignment="1">
      <alignment vertical="center"/>
    </xf>
    <xf numFmtId="0" fontId="172" fillId="0" borderId="0" xfId="1" applyFont="1" applyAlignment="1">
      <alignment vertical="center"/>
    </xf>
    <xf numFmtId="0" fontId="173" fillId="0" borderId="0" xfId="1" applyFont="1" applyAlignment="1">
      <alignment vertical="center"/>
    </xf>
    <xf numFmtId="4" fontId="32" fillId="0" borderId="0" xfId="1" applyNumberFormat="1" applyFont="1" applyAlignment="1">
      <alignment vertical="center"/>
    </xf>
    <xf numFmtId="4" fontId="173" fillId="5" borderId="0" xfId="1" applyNumberFormat="1" applyFont="1" applyFill="1" applyAlignment="1">
      <alignment vertical="center"/>
    </xf>
    <xf numFmtId="0" fontId="174" fillId="0" borderId="0" xfId="1" applyFont="1" applyAlignment="1">
      <alignment vertical="center"/>
    </xf>
    <xf numFmtId="4" fontId="174" fillId="5" borderId="0" xfId="1" applyNumberFormat="1" applyFont="1" applyFill="1" applyAlignment="1">
      <alignment vertical="center"/>
    </xf>
    <xf numFmtId="2" fontId="174" fillId="5" borderId="0" xfId="1" applyNumberFormat="1" applyFont="1" applyFill="1" applyAlignment="1">
      <alignment vertical="center"/>
    </xf>
    <xf numFmtId="0" fontId="174" fillId="0" borderId="0" xfId="0" applyFont="1" applyAlignment="1">
      <alignment vertical="center"/>
    </xf>
    <xf numFmtId="0" fontId="174" fillId="13" borderId="0" xfId="0" applyFont="1" applyFill="1" applyAlignment="1">
      <alignment vertical="center"/>
    </xf>
    <xf numFmtId="0" fontId="3" fillId="5" borderId="16" xfId="1" applyFont="1" applyFill="1" applyBorder="1" applyAlignment="1">
      <alignment vertical="center"/>
    </xf>
    <xf numFmtId="4" fontId="175" fillId="5" borderId="0" xfId="45" applyNumberFormat="1" applyFont="1" applyFill="1" applyBorder="1" applyAlignment="1">
      <alignment horizontal="left" vertical="center"/>
    </xf>
    <xf numFmtId="10" fontId="82" fillId="0" borderId="6" xfId="36" applyNumberFormat="1" applyFont="1" applyFill="1" applyBorder="1" applyAlignment="1">
      <alignment vertical="center" wrapText="1"/>
    </xf>
    <xf numFmtId="4" fontId="4" fillId="0" borderId="200" xfId="45" applyNumberFormat="1" applyFont="1" applyFill="1" applyBorder="1" applyAlignment="1">
      <alignment vertical="center"/>
    </xf>
    <xf numFmtId="0" fontId="4" fillId="0" borderId="202" xfId="676" applyFont="1" applyBorder="1" applyAlignment="1">
      <alignment horizontal="center" vertical="center"/>
    </xf>
    <xf numFmtId="4" fontId="4" fillId="13" borderId="200" xfId="46" applyNumberFormat="1" applyFont="1" applyFill="1" applyBorder="1" applyAlignment="1"/>
    <xf numFmtId="0" fontId="31" fillId="0" borderId="8" xfId="1" applyFont="1" applyBorder="1" applyAlignment="1">
      <alignment horizontal="center" vertical="center" wrapText="1"/>
    </xf>
    <xf numFmtId="0" fontId="31" fillId="0" borderId="5" xfId="1" applyFont="1" applyBorder="1" applyAlignment="1">
      <alignment horizontal="center" vertical="center" wrapText="1"/>
    </xf>
    <xf numFmtId="0" fontId="176" fillId="82" borderId="9" xfId="431" applyFont="1" applyFill="1" applyBorder="1" applyAlignment="1">
      <alignment vertical="center" wrapText="1"/>
    </xf>
    <xf numFmtId="0" fontId="11" fillId="82" borderId="5" xfId="431" applyFont="1" applyFill="1" applyBorder="1" applyAlignment="1">
      <alignment horizontal="center" vertical="center"/>
    </xf>
    <xf numFmtId="0" fontId="11" fillId="82" borderId="7" xfId="431" applyFont="1" applyFill="1" applyBorder="1" applyAlignment="1">
      <alignment horizontal="center" vertical="center"/>
    </xf>
    <xf numFmtId="0" fontId="11" fillId="82" borderId="7" xfId="431" applyFont="1" applyFill="1" applyBorder="1" applyAlignment="1">
      <alignment vertical="center" wrapText="1"/>
    </xf>
    <xf numFmtId="4" fontId="11" fillId="82" borderId="7" xfId="431" applyNumberFormat="1" applyFont="1" applyFill="1" applyBorder="1" applyAlignment="1">
      <alignment vertical="center"/>
    </xf>
    <xf numFmtId="4" fontId="11" fillId="82" borderId="6" xfId="431" applyNumberFormat="1" applyFont="1" applyFill="1" applyBorder="1" applyAlignment="1">
      <alignment vertical="center"/>
    </xf>
    <xf numFmtId="0" fontId="11" fillId="82" borderId="8" xfId="431" applyFont="1" applyFill="1" applyBorder="1" applyAlignment="1">
      <alignment horizontal="center" vertical="center"/>
    </xf>
    <xf numFmtId="0" fontId="11" fillId="82" borderId="9" xfId="431" applyFont="1" applyFill="1" applyBorder="1" applyAlignment="1">
      <alignment horizontal="center" vertical="center"/>
    </xf>
    <xf numFmtId="4" fontId="11" fillId="82" borderId="9" xfId="431" applyNumberFormat="1" applyFont="1" applyFill="1" applyBorder="1" applyAlignment="1">
      <alignment vertical="center"/>
    </xf>
    <xf numFmtId="4" fontId="11" fillId="82" borderId="10" xfId="431" applyNumberFormat="1" applyFont="1" applyFill="1" applyBorder="1" applyAlignment="1">
      <alignment vertical="center"/>
    </xf>
    <xf numFmtId="0" fontId="11" fillId="82" borderId="8" xfId="1" applyFont="1" applyFill="1" applyBorder="1" applyAlignment="1">
      <alignment horizontal="center" vertical="center"/>
    </xf>
    <xf numFmtId="0" fontId="11" fillId="82" borderId="9" xfId="1" applyFont="1" applyFill="1" applyBorder="1" applyAlignment="1">
      <alignment horizontal="center" vertical="center"/>
    </xf>
    <xf numFmtId="0" fontId="11" fillId="82" borderId="9" xfId="1" applyFont="1" applyFill="1" applyBorder="1" applyAlignment="1">
      <alignment vertical="center" wrapText="1"/>
    </xf>
    <xf numFmtId="4" fontId="11" fillId="82" borderId="9" xfId="1" applyNumberFormat="1" applyFont="1" applyFill="1" applyBorder="1" applyAlignment="1">
      <alignment vertical="center"/>
    </xf>
    <xf numFmtId="4" fontId="11" fillId="82" borderId="10" xfId="1" applyNumberFormat="1" applyFont="1" applyFill="1" applyBorder="1" applyAlignment="1">
      <alignment vertical="center"/>
    </xf>
    <xf numFmtId="0" fontId="11" fillId="82" borderId="5" xfId="1" applyFont="1" applyFill="1" applyBorder="1" applyAlignment="1">
      <alignment horizontal="center" vertical="center"/>
    </xf>
    <xf numFmtId="0" fontId="11" fillId="82" borderId="7" xfId="1" applyFont="1" applyFill="1" applyBorder="1" applyAlignment="1">
      <alignment horizontal="center" vertical="center"/>
    </xf>
    <xf numFmtId="0" fontId="11" fillId="82" borderId="7" xfId="1" applyFont="1" applyFill="1" applyBorder="1" applyAlignment="1">
      <alignment vertical="center" wrapText="1"/>
    </xf>
    <xf numFmtId="4" fontId="11" fillId="82" borderId="7" xfId="1" applyNumberFormat="1" applyFont="1" applyFill="1" applyBorder="1" applyAlignment="1">
      <alignment vertical="center"/>
    </xf>
    <xf numFmtId="4" fontId="11" fillId="82" borderId="6" xfId="1" applyNumberFormat="1" applyFont="1" applyFill="1" applyBorder="1" applyAlignment="1">
      <alignment vertical="center"/>
    </xf>
    <xf numFmtId="0" fontId="11" fillId="82" borderId="5" xfId="23" applyFont="1" applyFill="1" applyBorder="1" applyAlignment="1">
      <alignment horizontal="center" vertical="center"/>
    </xf>
    <xf numFmtId="0" fontId="11" fillId="82" borderId="7" xfId="23" applyFont="1" applyFill="1" applyBorder="1" applyAlignment="1">
      <alignment vertical="center" wrapText="1"/>
    </xf>
    <xf numFmtId="0" fontId="11" fillId="82" borderId="7" xfId="23" applyFont="1" applyFill="1" applyBorder="1" applyAlignment="1">
      <alignment horizontal="center" vertical="center"/>
    </xf>
    <xf numFmtId="4" fontId="11" fillId="82" borderId="7" xfId="23" applyNumberFormat="1" applyFont="1" applyFill="1" applyBorder="1" applyAlignment="1">
      <alignment vertical="center"/>
    </xf>
    <xf numFmtId="4" fontId="11" fillId="82" borderId="6" xfId="23" applyNumberFormat="1" applyFont="1" applyFill="1" applyBorder="1" applyAlignment="1">
      <alignment vertical="center"/>
    </xf>
    <xf numFmtId="0" fontId="11" fillId="82" borderId="5" xfId="640" applyFont="1" applyFill="1" applyBorder="1" applyAlignment="1">
      <alignment horizontal="center" vertical="center"/>
    </xf>
    <xf numFmtId="0" fontId="11" fillId="82" borderId="7" xfId="640" applyFont="1" applyFill="1" applyBorder="1" applyAlignment="1">
      <alignment vertical="center" wrapText="1"/>
    </xf>
    <xf numFmtId="0" fontId="11" fillId="82" borderId="7" xfId="640" applyFont="1" applyFill="1" applyBorder="1" applyAlignment="1">
      <alignment horizontal="center" vertical="center"/>
    </xf>
    <xf numFmtId="4" fontId="11" fillId="82" borderId="7" xfId="640" applyNumberFormat="1" applyFont="1" applyFill="1" applyBorder="1" applyAlignment="1">
      <alignment vertical="center"/>
    </xf>
    <xf numFmtId="4" fontId="11" fillId="82" borderId="6" xfId="640" applyNumberFormat="1" applyFont="1" applyFill="1" applyBorder="1" applyAlignment="1">
      <alignment vertical="center"/>
    </xf>
    <xf numFmtId="0" fontId="3" fillId="73" borderId="203" xfId="0" applyFont="1" applyFill="1" applyBorder="1" applyAlignment="1">
      <alignment horizontal="center" vertical="center"/>
    </xf>
    <xf numFmtId="0" fontId="3" fillId="73" borderId="32" xfId="0" applyFont="1" applyFill="1" applyBorder="1" applyAlignment="1">
      <alignment horizontal="center" vertical="center"/>
    </xf>
    <xf numFmtId="4" fontId="3" fillId="73" borderId="33" xfId="0" applyNumberFormat="1" applyFont="1" applyFill="1" applyBorder="1" applyAlignment="1">
      <alignment horizontal="center" vertical="center"/>
    </xf>
    <xf numFmtId="4" fontId="4" fillId="73" borderId="204" xfId="0" applyNumberFormat="1" applyFont="1" applyFill="1" applyBorder="1" applyAlignment="1">
      <alignment vertical="center"/>
    </xf>
    <xf numFmtId="0" fontId="4" fillId="73" borderId="153" xfId="0" applyFont="1" applyFill="1" applyBorder="1" applyAlignment="1">
      <alignment horizontal="center" vertical="center"/>
    </xf>
    <xf numFmtId="4" fontId="3" fillId="73" borderId="203" xfId="0" applyNumberFormat="1" applyFont="1" applyFill="1" applyBorder="1" applyAlignment="1">
      <alignment vertical="center" wrapText="1"/>
    </xf>
    <xf numFmtId="4" fontId="4" fillId="73" borderId="203" xfId="0" applyNumberFormat="1" applyFont="1" applyFill="1" applyBorder="1" applyAlignment="1">
      <alignment horizontal="center" vertical="center"/>
    </xf>
    <xf numFmtId="10" fontId="3" fillId="73" borderId="203" xfId="645" applyNumberFormat="1" applyFont="1" applyFill="1" applyBorder="1" applyAlignment="1">
      <alignment vertical="center"/>
    </xf>
    <xf numFmtId="10" fontId="3" fillId="73" borderId="33" xfId="645" applyNumberFormat="1" applyFont="1" applyFill="1" applyBorder="1" applyAlignment="1">
      <alignment horizontal="center" vertical="center"/>
    </xf>
    <xf numFmtId="10" fontId="3" fillId="73" borderId="203" xfId="36" applyNumberFormat="1" applyFont="1" applyFill="1" applyBorder="1" applyAlignment="1">
      <alignment vertical="center"/>
    </xf>
    <xf numFmtId="0" fontId="4" fillId="73" borderId="227" xfId="0" applyFont="1" applyFill="1" applyBorder="1" applyAlignment="1">
      <alignment horizontal="center" vertical="center"/>
    </xf>
    <xf numFmtId="0" fontId="3" fillId="73" borderId="228" xfId="0" applyFont="1" applyFill="1" applyBorder="1" applyAlignment="1">
      <alignment horizontal="center" vertical="center"/>
    </xf>
    <xf numFmtId="4" fontId="3" fillId="73" borderId="228" xfId="0" applyNumberFormat="1" applyFont="1" applyFill="1" applyBorder="1" applyAlignment="1">
      <alignment vertical="center" wrapText="1"/>
    </xf>
    <xf numFmtId="4" fontId="4" fillId="73" borderId="228" xfId="0" applyNumberFormat="1" applyFont="1" applyFill="1" applyBorder="1" applyAlignment="1">
      <alignment horizontal="center" vertical="center"/>
    </xf>
    <xf numFmtId="4" fontId="4" fillId="73" borderId="229" xfId="0" applyNumberFormat="1" applyFont="1" applyFill="1" applyBorder="1" applyAlignment="1">
      <alignment vertical="center"/>
    </xf>
    <xf numFmtId="10" fontId="3" fillId="73" borderId="228" xfId="645" applyNumberFormat="1" applyFont="1" applyFill="1" applyBorder="1" applyAlignment="1">
      <alignment vertical="center"/>
    </xf>
    <xf numFmtId="4" fontId="11" fillId="82" borderId="10" xfId="640" applyNumberFormat="1" applyFont="1" applyFill="1" applyBorder="1" applyAlignment="1">
      <alignment vertical="center"/>
    </xf>
    <xf numFmtId="4" fontId="11" fillId="82" borderId="9" xfId="640" applyNumberFormat="1" applyFont="1" applyFill="1" applyBorder="1" applyAlignment="1">
      <alignment vertical="center"/>
    </xf>
    <xf numFmtId="0" fontId="11" fillId="82" borderId="9" xfId="640" applyFont="1" applyFill="1" applyBorder="1" applyAlignment="1">
      <alignment horizontal="center" vertical="center"/>
    </xf>
    <xf numFmtId="0" fontId="11" fillId="82" borderId="9" xfId="640" applyFont="1" applyFill="1" applyBorder="1" applyAlignment="1">
      <alignment vertical="center" wrapText="1"/>
    </xf>
    <xf numFmtId="0" fontId="11" fillId="82" borderId="8" xfId="640" applyFont="1" applyFill="1" applyBorder="1" applyAlignment="1">
      <alignment horizontal="center" vertical="center"/>
    </xf>
    <xf numFmtId="4" fontId="11" fillId="82" borderId="9" xfId="33" applyNumberFormat="1" applyFont="1" applyFill="1" applyBorder="1" applyAlignment="1">
      <alignment vertical="center"/>
    </xf>
    <xf numFmtId="4" fontId="11" fillId="82" borderId="10" xfId="33" applyNumberFormat="1" applyFont="1" applyFill="1" applyBorder="1" applyAlignment="1">
      <alignment vertical="center"/>
    </xf>
    <xf numFmtId="0" fontId="11" fillId="82" borderId="9" xfId="33" applyFont="1" applyFill="1" applyBorder="1" applyAlignment="1">
      <alignment horizontal="center" vertical="center"/>
    </xf>
    <xf numFmtId="0" fontId="11" fillId="82" borderId="9" xfId="33" applyFont="1" applyFill="1" applyBorder="1" applyAlignment="1">
      <alignment vertical="center" wrapText="1"/>
    </xf>
    <xf numFmtId="0" fontId="11" fillId="82" borderId="8" xfId="33" applyFont="1" applyFill="1" applyBorder="1" applyAlignment="1">
      <alignment horizontal="center" vertical="center"/>
    </xf>
    <xf numFmtId="0" fontId="11" fillId="82" borderId="5" xfId="33" applyFont="1" applyFill="1" applyBorder="1" applyAlignment="1">
      <alignment horizontal="center" vertical="center"/>
    </xf>
    <xf numFmtId="0" fontId="11" fillId="82" borderId="7" xfId="33" applyFont="1" applyFill="1" applyBorder="1" applyAlignment="1">
      <alignment vertical="center" wrapText="1"/>
    </xf>
    <xf numFmtId="0" fontId="11" fillId="82" borderId="7" xfId="33" applyFont="1" applyFill="1" applyBorder="1" applyAlignment="1">
      <alignment horizontal="center" vertical="center"/>
    </xf>
    <xf numFmtId="4" fontId="11" fillId="82" borderId="7" xfId="33" applyNumberFormat="1" applyFont="1" applyFill="1" applyBorder="1" applyAlignment="1">
      <alignment vertical="center"/>
    </xf>
    <xf numFmtId="4" fontId="11" fillId="82" borderId="6" xfId="33" applyNumberFormat="1" applyFont="1" applyFill="1" applyBorder="1" applyAlignment="1">
      <alignment vertical="center"/>
    </xf>
    <xf numFmtId="0" fontId="3" fillId="73" borderId="32" xfId="646" applyFont="1" applyFill="1" applyBorder="1" applyAlignment="1">
      <alignment horizontal="center" vertical="center"/>
    </xf>
    <xf numFmtId="0" fontId="3" fillId="73" borderId="34" xfId="646" applyFont="1" applyFill="1" applyBorder="1" applyAlignment="1">
      <alignment horizontal="center" vertical="center"/>
    </xf>
    <xf numFmtId="0" fontId="3" fillId="73" borderId="34" xfId="646" applyFont="1" applyFill="1" applyBorder="1" applyAlignment="1">
      <alignment horizontal="center" vertical="center" wrapText="1"/>
    </xf>
    <xf numFmtId="4" fontId="3" fillId="73" borderId="34" xfId="646" applyNumberFormat="1" applyFont="1" applyFill="1" applyBorder="1" applyAlignment="1">
      <alignment horizontal="center" vertical="center"/>
    </xf>
    <xf numFmtId="10" fontId="3" fillId="73" borderId="34" xfId="691" applyNumberFormat="1" applyFont="1" applyFill="1" applyBorder="1" applyAlignment="1">
      <alignment vertical="center"/>
    </xf>
    <xf numFmtId="4" fontId="4" fillId="73" borderId="33" xfId="646" applyNumberFormat="1" applyFont="1" applyFill="1" applyBorder="1" applyAlignment="1">
      <alignment vertical="center"/>
    </xf>
    <xf numFmtId="0" fontId="4" fillId="73" borderId="30" xfId="646" applyFont="1" applyFill="1" applyBorder="1" applyAlignment="1">
      <alignment horizontal="center" vertical="center"/>
    </xf>
    <xf numFmtId="0" fontId="3" fillId="73" borderId="21" xfId="646" applyFont="1" applyFill="1" applyBorder="1" applyAlignment="1">
      <alignment horizontal="center" vertical="center"/>
    </xf>
    <xf numFmtId="2" fontId="3" fillId="73" borderId="21" xfId="646" applyNumberFormat="1" applyFont="1" applyFill="1" applyBorder="1" applyAlignment="1">
      <alignment vertical="center" wrapText="1"/>
    </xf>
    <xf numFmtId="4" fontId="4" fillId="73" borderId="21" xfId="646" applyNumberFormat="1" applyFont="1" applyFill="1" applyBorder="1" applyAlignment="1">
      <alignment horizontal="center" vertical="center"/>
    </xf>
    <xf numFmtId="10" fontId="3" fillId="73" borderId="21" xfId="691" applyNumberFormat="1" applyFont="1" applyFill="1" applyBorder="1" applyAlignment="1">
      <alignment vertical="center"/>
    </xf>
    <xf numFmtId="4" fontId="4" fillId="73" borderId="31" xfId="646" applyNumberFormat="1" applyFont="1" applyFill="1" applyBorder="1" applyAlignment="1">
      <alignment vertical="center"/>
    </xf>
    <xf numFmtId="0" fontId="4" fillId="73" borderId="202" xfId="0" applyFont="1" applyFill="1" applyBorder="1" applyAlignment="1">
      <alignment horizontal="center" vertical="center"/>
    </xf>
    <xf numFmtId="0" fontId="11" fillId="82" borderId="35" xfId="640" applyFont="1" applyFill="1" applyBorder="1" applyAlignment="1">
      <alignment horizontal="center" vertical="center"/>
    </xf>
    <xf numFmtId="4" fontId="11" fillId="82" borderId="36" xfId="640" applyNumberFormat="1" applyFont="1" applyFill="1" applyBorder="1" applyAlignment="1">
      <alignment vertical="center"/>
    </xf>
    <xf numFmtId="0" fontId="3" fillId="73" borderId="32" xfId="127" applyFont="1" applyFill="1" applyBorder="1" applyAlignment="1">
      <alignment horizontal="center" vertical="center"/>
    </xf>
    <xf numFmtId="4" fontId="3" fillId="73" borderId="33" xfId="127" applyNumberFormat="1" applyFont="1" applyFill="1" applyBorder="1" applyAlignment="1">
      <alignment horizontal="center" vertical="center"/>
    </xf>
    <xf numFmtId="0" fontId="4" fillId="82" borderId="35" xfId="640" applyFont="1" applyFill="1" applyBorder="1" applyAlignment="1">
      <alignment horizontal="center" vertical="center"/>
    </xf>
    <xf numFmtId="0" fontId="4" fillId="82" borderId="7" xfId="640" applyFont="1" applyFill="1" applyBorder="1" applyAlignment="1">
      <alignment vertical="center" wrapText="1"/>
    </xf>
    <xf numFmtId="0" fontId="4" fillId="82" borderId="7" xfId="640" applyFont="1" applyFill="1" applyBorder="1" applyAlignment="1">
      <alignment horizontal="center" vertical="center"/>
    </xf>
    <xf numFmtId="4" fontId="4" fillId="82" borderId="7" xfId="640" applyNumberFormat="1" applyFont="1" applyFill="1" applyBorder="1" applyAlignment="1">
      <alignment vertical="center"/>
    </xf>
    <xf numFmtId="4" fontId="4" fillId="82" borderId="36" xfId="640" applyNumberFormat="1" applyFont="1" applyFill="1" applyBorder="1" applyAlignment="1">
      <alignment vertical="center"/>
    </xf>
    <xf numFmtId="0" fontId="3" fillId="73" borderId="200" xfId="0" applyFont="1" applyFill="1" applyBorder="1" applyAlignment="1">
      <alignment horizontal="center" vertical="center"/>
    </xf>
    <xf numFmtId="0" fontId="94" fillId="73" borderId="200" xfId="127" applyFont="1" applyFill="1" applyBorder="1" applyAlignment="1">
      <alignment horizontal="center" vertical="center" wrapText="1"/>
    </xf>
    <xf numFmtId="0" fontId="3" fillId="73" borderId="200" xfId="0" applyFont="1" applyFill="1" applyBorder="1" applyAlignment="1">
      <alignment horizontal="center" vertical="center" wrapText="1"/>
    </xf>
    <xf numFmtId="4" fontId="3" fillId="73" borderId="200" xfId="0" applyNumberFormat="1" applyFont="1" applyFill="1" applyBorder="1" applyAlignment="1">
      <alignment horizontal="center" vertical="center"/>
    </xf>
    <xf numFmtId="10" fontId="3" fillId="73" borderId="200" xfId="645" applyNumberFormat="1" applyFont="1" applyFill="1" applyBorder="1" applyAlignment="1">
      <alignment horizontal="center" vertical="center"/>
    </xf>
    <xf numFmtId="0" fontId="4" fillId="73" borderId="200" xfId="0" applyFont="1" applyFill="1" applyBorder="1" applyAlignment="1">
      <alignment horizontal="center" vertical="center"/>
    </xf>
    <xf numFmtId="4" fontId="3" fillId="73" borderId="200" xfId="0" applyNumberFormat="1" applyFont="1" applyFill="1" applyBorder="1" applyAlignment="1">
      <alignment vertical="center" wrapText="1"/>
    </xf>
    <xf numFmtId="4" fontId="4" fillId="73" borderId="200" xfId="0" applyNumberFormat="1" applyFont="1" applyFill="1" applyBorder="1" applyAlignment="1">
      <alignment horizontal="center" vertical="center"/>
    </xf>
    <xf numFmtId="10" fontId="3" fillId="73" borderId="200" xfId="645" applyNumberFormat="1" applyFont="1" applyFill="1" applyBorder="1" applyAlignment="1">
      <alignment vertical="center"/>
    </xf>
    <xf numFmtId="4" fontId="4" fillId="73" borderId="200" xfId="0" applyNumberFormat="1" applyFont="1" applyFill="1" applyBorder="1" applyAlignment="1">
      <alignment vertical="center"/>
    </xf>
    <xf numFmtId="0" fontId="4" fillId="73" borderId="188" xfId="0" applyFont="1" applyFill="1" applyBorder="1" applyAlignment="1">
      <alignment horizontal="center" vertical="center"/>
    </xf>
    <xf numFmtId="0" fontId="3" fillId="73" borderId="188" xfId="0" applyFont="1" applyFill="1" applyBorder="1" applyAlignment="1">
      <alignment horizontal="center" vertical="center"/>
    </xf>
    <xf numFmtId="4" fontId="3" fillId="73" borderId="188" xfId="0" applyNumberFormat="1" applyFont="1" applyFill="1" applyBorder="1" applyAlignment="1">
      <alignment vertical="center" wrapText="1"/>
    </xf>
    <xf numFmtId="4" fontId="4" fillId="73" borderId="188" xfId="0" applyNumberFormat="1" applyFont="1" applyFill="1" applyBorder="1" applyAlignment="1">
      <alignment horizontal="center" vertical="center"/>
    </xf>
    <xf numFmtId="10" fontId="3" fillId="73" borderId="188" xfId="645" applyNumberFormat="1" applyFont="1" applyFill="1" applyBorder="1" applyAlignment="1">
      <alignment vertical="center"/>
    </xf>
    <xf numFmtId="4" fontId="4" fillId="73" borderId="188" xfId="0" applyNumberFormat="1" applyFont="1" applyFill="1" applyBorder="1" applyAlignment="1">
      <alignment vertical="center"/>
    </xf>
    <xf numFmtId="4" fontId="3" fillId="73" borderId="154" xfId="0" applyNumberFormat="1" applyFont="1" applyFill="1" applyBorder="1" applyAlignment="1">
      <alignment vertical="center" wrapText="1"/>
    </xf>
    <xf numFmtId="0" fontId="4" fillId="73" borderId="30" xfId="0" applyFont="1" applyFill="1" applyBorder="1" applyAlignment="1">
      <alignment horizontal="center" vertical="center"/>
    </xf>
    <xf numFmtId="0" fontId="3" fillId="73" borderId="154" xfId="0" applyFont="1" applyFill="1" applyBorder="1" applyAlignment="1">
      <alignment horizontal="center" vertical="center"/>
    </xf>
    <xf numFmtId="4" fontId="4" fillId="73" borderId="154" xfId="0" applyNumberFormat="1" applyFont="1" applyFill="1" applyBorder="1" applyAlignment="1">
      <alignment horizontal="center" vertical="center"/>
    </xf>
    <xf numFmtId="10" fontId="3" fillId="73" borderId="154" xfId="645" applyNumberFormat="1" applyFont="1" applyFill="1" applyBorder="1" applyAlignment="1">
      <alignment vertical="center"/>
    </xf>
    <xf numFmtId="4" fontId="4" fillId="73" borderId="31" xfId="0" applyNumberFormat="1" applyFont="1" applyFill="1" applyBorder="1" applyAlignment="1">
      <alignment vertical="center"/>
    </xf>
    <xf numFmtId="0" fontId="93" fillId="73" borderId="0" xfId="640" applyFont="1" applyFill="1"/>
    <xf numFmtId="49" fontId="3" fillId="73" borderId="32" xfId="0" applyNumberFormat="1" applyFont="1" applyFill="1" applyBorder="1" applyAlignment="1">
      <alignment horizontal="center" vertical="center"/>
    </xf>
    <xf numFmtId="49" fontId="3" fillId="73" borderId="200" xfId="0" applyNumberFormat="1" applyFont="1" applyFill="1" applyBorder="1" applyAlignment="1">
      <alignment horizontal="center" vertical="center"/>
    </xf>
    <xf numFmtId="0" fontId="3" fillId="73" borderId="34" xfId="127" applyFont="1" applyFill="1" applyBorder="1" applyAlignment="1">
      <alignment horizontal="center" vertical="center" wrapText="1"/>
    </xf>
    <xf numFmtId="0" fontId="3" fillId="73" borderId="34" xfId="0" applyFont="1" applyFill="1" applyBorder="1" applyAlignment="1">
      <alignment horizontal="center" vertical="center" wrapText="1"/>
    </xf>
    <xf numFmtId="4" fontId="3" fillId="73" borderId="34" xfId="0" applyNumberFormat="1" applyFont="1" applyFill="1" applyBorder="1" applyAlignment="1">
      <alignment horizontal="center" vertical="center"/>
    </xf>
    <xf numFmtId="10" fontId="3" fillId="73" borderId="34" xfId="645" applyNumberFormat="1" applyFont="1" applyFill="1" applyBorder="1" applyAlignment="1">
      <alignment horizontal="center" vertical="center"/>
    </xf>
    <xf numFmtId="49" fontId="4" fillId="73" borderId="0" xfId="0" applyNumberFormat="1" applyFont="1" applyFill="1" applyAlignment="1">
      <alignment horizontal="left" vertical="top"/>
    </xf>
    <xf numFmtId="0" fontId="3" fillId="73" borderId="34" xfId="409" applyFont="1" applyFill="1" applyBorder="1" applyAlignment="1" applyProtection="1">
      <alignment horizontal="center" vertical="center" wrapText="1"/>
    </xf>
    <xf numFmtId="10" fontId="3" fillId="73" borderId="154" xfId="639" applyNumberFormat="1" applyFont="1" applyFill="1" applyBorder="1" applyAlignment="1">
      <alignment vertical="center"/>
    </xf>
    <xf numFmtId="0" fontId="3" fillId="73" borderId="11" xfId="23" applyFont="1" applyFill="1" applyBorder="1" applyAlignment="1">
      <alignment horizontal="center"/>
    </xf>
    <xf numFmtId="0" fontId="3" fillId="73" borderId="32" xfId="23" applyFont="1" applyFill="1" applyBorder="1" applyAlignment="1">
      <alignment horizontal="center"/>
    </xf>
    <xf numFmtId="0" fontId="3" fillId="73" borderId="174" xfId="640" applyFont="1" applyFill="1" applyBorder="1" applyAlignment="1">
      <alignment horizontal="center"/>
    </xf>
    <xf numFmtId="0" fontId="3" fillId="73" borderId="32" xfId="640" applyFont="1" applyFill="1" applyBorder="1" applyAlignment="1">
      <alignment horizontal="center"/>
    </xf>
    <xf numFmtId="4" fontId="4" fillId="0" borderId="200" xfId="2092" applyNumberFormat="1" applyFont="1" applyFill="1" applyBorder="1" applyAlignment="1"/>
    <xf numFmtId="0" fontId="102" fillId="0" borderId="200" xfId="0" applyFont="1" applyBorder="1" applyAlignment="1">
      <alignment horizontal="center" vertical="center"/>
    </xf>
    <xf numFmtId="10" fontId="102" fillId="0" borderId="200" xfId="645" applyNumberFormat="1" applyFont="1" applyBorder="1" applyAlignment="1">
      <alignment horizontal="center" vertical="center"/>
    </xf>
    <xf numFmtId="10" fontId="102" fillId="0" borderId="200" xfId="639" applyNumberFormat="1" applyFont="1" applyBorder="1" applyAlignment="1">
      <alignment horizontal="center" vertical="center"/>
    </xf>
    <xf numFmtId="169" fontId="4" fillId="0" borderId="228" xfId="640" applyNumberFormat="1" applyFont="1" applyBorder="1" applyAlignment="1">
      <alignment horizontal="right" vertical="center"/>
    </xf>
    <xf numFmtId="189" fontId="177" fillId="0" borderId="200" xfId="22" applyNumberFormat="1" applyFont="1" applyBorder="1" applyAlignment="1">
      <alignment horizontal="center" vertical="center"/>
    </xf>
    <xf numFmtId="0" fontId="3" fillId="5" borderId="200" xfId="23" applyFont="1" applyFill="1" applyBorder="1" applyAlignment="1">
      <alignment horizontal="center" vertical="center"/>
    </xf>
    <xf numFmtId="0" fontId="3" fillId="5" borderId="200" xfId="23" applyFont="1" applyFill="1" applyBorder="1" applyAlignment="1">
      <alignment horizontal="center" vertical="center" wrapText="1"/>
    </xf>
    <xf numFmtId="4" fontId="3" fillId="5" borderId="201" xfId="23" applyNumberFormat="1" applyFont="1" applyFill="1" applyBorder="1" applyAlignment="1">
      <alignment horizontal="center" vertical="center" wrapText="1"/>
    </xf>
    <xf numFmtId="169" fontId="4" fillId="5" borderId="200" xfId="23" applyNumberFormat="1" applyFont="1" applyFill="1" applyBorder="1" applyAlignment="1">
      <alignment horizontal="right"/>
    </xf>
    <xf numFmtId="2" fontId="4" fillId="5" borderId="200" xfId="23" applyNumberFormat="1" applyFont="1" applyFill="1" applyBorder="1" applyAlignment="1">
      <alignment horizontal="right"/>
    </xf>
    <xf numFmtId="170" fontId="4" fillId="0" borderId="228" xfId="23" applyNumberFormat="1" applyFont="1" applyBorder="1" applyAlignment="1">
      <alignment horizontal="right"/>
    </xf>
    <xf numFmtId="2" fontId="4" fillId="0" borderId="228" xfId="23" applyNumberFormat="1" applyFont="1" applyBorder="1" applyAlignment="1">
      <alignment horizontal="right"/>
    </xf>
    <xf numFmtId="4" fontId="4" fillId="0" borderId="229" xfId="23" applyNumberFormat="1" applyFont="1" applyBorder="1" applyAlignment="1">
      <alignment horizontal="right"/>
    </xf>
    <xf numFmtId="0" fontId="4" fillId="0" borderId="34" xfId="0" applyFont="1" applyBorder="1" applyAlignment="1">
      <alignment horizontal="center" wrapText="1"/>
    </xf>
    <xf numFmtId="0" fontId="138" fillId="0" borderId="200" xfId="0" applyFont="1" applyBorder="1" applyAlignment="1">
      <alignment horizontal="center" vertical="center" wrapText="1"/>
    </xf>
    <xf numFmtId="0" fontId="138" fillId="0" borderId="200" xfId="924" applyNumberFormat="1" applyFont="1" applyBorder="1" applyAlignment="1">
      <alignment horizontal="center" vertical="center"/>
    </xf>
    <xf numFmtId="0" fontId="138" fillId="0" borderId="200" xfId="0" applyFont="1" applyBorder="1" applyAlignment="1">
      <alignment horizontal="center" vertical="center"/>
    </xf>
    <xf numFmtId="0" fontId="138" fillId="0" borderId="200" xfId="0" quotePrefix="1" applyFont="1" applyBorder="1" applyAlignment="1">
      <alignment horizontal="center" vertical="center"/>
    </xf>
    <xf numFmtId="0" fontId="127" fillId="0" borderId="0" xfId="0" applyFont="1" applyAlignment="1">
      <alignment horizontal="center" vertical="center"/>
    </xf>
    <xf numFmtId="2" fontId="127" fillId="0" borderId="200" xfId="924" applyNumberFormat="1" applyFont="1" applyBorder="1" applyAlignment="1">
      <alignment horizontal="center" vertical="center"/>
    </xf>
    <xf numFmtId="2" fontId="127" fillId="0" borderId="200" xfId="0" applyNumberFormat="1" applyFont="1" applyBorder="1" applyAlignment="1">
      <alignment horizontal="center" vertical="center"/>
    </xf>
    <xf numFmtId="169" fontId="127" fillId="0" borderId="200" xfId="0" applyNumberFormat="1" applyFont="1" applyBorder="1" applyAlignment="1">
      <alignment horizontal="center" vertical="center"/>
    </xf>
    <xf numFmtId="2" fontId="138" fillId="0" borderId="200" xfId="0" applyNumberFormat="1" applyFont="1" applyBorder="1" applyAlignment="1">
      <alignment horizontal="center" vertical="center"/>
    </xf>
    <xf numFmtId="0" fontId="138" fillId="0" borderId="200" xfId="0" applyFont="1" applyBorder="1" applyAlignment="1">
      <alignment horizontal="right" vertical="center"/>
    </xf>
    <xf numFmtId="169" fontId="138" fillId="0" borderId="200" xfId="0" applyNumberFormat="1" applyFont="1" applyBorder="1" applyAlignment="1">
      <alignment horizontal="center" vertical="center"/>
    </xf>
    <xf numFmtId="0" fontId="127" fillId="0" borderId="200" xfId="924" applyNumberFormat="1" applyFont="1" applyBorder="1" applyAlignment="1">
      <alignment horizontal="center" vertical="center"/>
    </xf>
    <xf numFmtId="0" fontId="138" fillId="0" borderId="186" xfId="0" applyFont="1" applyBorder="1" applyAlignment="1">
      <alignment horizontal="center" vertical="center" wrapText="1"/>
    </xf>
    <xf numFmtId="0" fontId="138" fillId="0" borderId="216" xfId="0" applyFont="1" applyBorder="1" applyAlignment="1">
      <alignment horizontal="center" vertical="center" wrapText="1"/>
    </xf>
    <xf numFmtId="0" fontId="138" fillId="0" borderId="216" xfId="924" applyNumberFormat="1" applyFont="1" applyBorder="1" applyAlignment="1">
      <alignment horizontal="center" vertical="center"/>
    </xf>
    <xf numFmtId="0" fontId="138" fillId="0" borderId="216" xfId="0" applyFont="1" applyBorder="1" applyAlignment="1">
      <alignment horizontal="center" vertical="center"/>
    </xf>
    <xf numFmtId="0" fontId="138" fillId="0" borderId="180" xfId="0" applyFont="1" applyBorder="1" applyAlignment="1">
      <alignment horizontal="center" vertical="center"/>
    </xf>
    <xf numFmtId="0" fontId="138" fillId="0" borderId="0" xfId="0" applyFont="1" applyAlignment="1">
      <alignment vertical="center" wrapText="1"/>
    </xf>
    <xf numFmtId="169" fontId="127" fillId="0" borderId="200" xfId="0" applyNumberFormat="1" applyFont="1" applyBorder="1" applyAlignment="1">
      <alignment horizontal="center" vertical="center" wrapText="1"/>
    </xf>
    <xf numFmtId="169" fontId="127" fillId="0" borderId="200" xfId="924" applyNumberFormat="1" applyFont="1" applyBorder="1" applyAlignment="1">
      <alignment horizontal="center" vertical="center"/>
    </xf>
    <xf numFmtId="0" fontId="127" fillId="0" borderId="181" xfId="0" applyFont="1" applyBorder="1" applyAlignment="1">
      <alignment horizontal="center" vertical="center" wrapText="1"/>
    </xf>
    <xf numFmtId="0" fontId="127" fillId="0" borderId="217" xfId="0" applyFont="1" applyBorder="1" applyAlignment="1">
      <alignment horizontal="center" vertical="center" wrapText="1"/>
    </xf>
    <xf numFmtId="0" fontId="127" fillId="0" borderId="217" xfId="924" applyNumberFormat="1" applyFont="1" applyBorder="1" applyAlignment="1">
      <alignment horizontal="center" vertical="center"/>
    </xf>
    <xf numFmtId="0" fontId="127" fillId="0" borderId="217" xfId="0" applyFont="1" applyBorder="1" applyAlignment="1">
      <alignment horizontal="center" vertical="center"/>
    </xf>
    <xf numFmtId="0" fontId="127" fillId="0" borderId="182" xfId="0" applyFont="1" applyBorder="1" applyAlignment="1">
      <alignment horizontal="center" vertical="center"/>
    </xf>
    <xf numFmtId="0" fontId="127" fillId="0" borderId="40" xfId="0" applyFont="1" applyBorder="1" applyAlignment="1">
      <alignment horizontal="center" vertical="center" wrapText="1"/>
    </xf>
    <xf numFmtId="0" fontId="127" fillId="0" borderId="0" xfId="0" applyFont="1" applyAlignment="1">
      <alignment horizontal="center" vertical="center" wrapText="1"/>
    </xf>
    <xf numFmtId="0" fontId="127" fillId="0" borderId="48" xfId="0" applyFont="1" applyBorder="1" applyAlignment="1">
      <alignment horizontal="center" vertical="center"/>
    </xf>
    <xf numFmtId="0" fontId="127" fillId="0" borderId="0" xfId="924" applyNumberFormat="1" applyFont="1" applyBorder="1" applyAlignment="1">
      <alignment horizontal="center" vertical="center"/>
    </xf>
    <xf numFmtId="2" fontId="127" fillId="0" borderId="200" xfId="0" applyNumberFormat="1" applyFont="1" applyBorder="1" applyAlignment="1">
      <alignment horizontal="center" vertical="center" wrapText="1"/>
    </xf>
    <xf numFmtId="2" fontId="127" fillId="0" borderId="186" xfId="0" applyNumberFormat="1" applyFont="1" applyBorder="1" applyAlignment="1">
      <alignment horizontal="center" vertical="center" wrapText="1"/>
    </xf>
    <xf numFmtId="2" fontId="127" fillId="0" borderId="180" xfId="0" applyNumberFormat="1" applyFont="1" applyBorder="1" applyAlignment="1">
      <alignment horizontal="center" vertical="center" wrapText="1"/>
    </xf>
    <xf numFmtId="0" fontId="127" fillId="0" borderId="0" xfId="0" applyFont="1" applyAlignment="1">
      <alignment vertical="center" wrapText="1"/>
    </xf>
    <xf numFmtId="0" fontId="127" fillId="0" borderId="43" xfId="0" applyFont="1" applyBorder="1" applyAlignment="1">
      <alignment horizontal="center" vertical="center" wrapText="1"/>
    </xf>
    <xf numFmtId="0" fontId="127" fillId="0" borderId="28" xfId="0" applyFont="1" applyBorder="1" applyAlignment="1">
      <alignment horizontal="center" vertical="center" wrapText="1"/>
    </xf>
    <xf numFmtId="0" fontId="127" fillId="0" borderId="28" xfId="924" applyNumberFormat="1" applyFont="1" applyBorder="1" applyAlignment="1">
      <alignment horizontal="center" vertical="center"/>
    </xf>
    <xf numFmtId="0" fontId="127" fillId="0" borderId="28" xfId="0" applyFont="1" applyBorder="1" applyAlignment="1">
      <alignment horizontal="center" vertical="center"/>
    </xf>
    <xf numFmtId="0" fontId="127" fillId="0" borderId="231" xfId="0" applyFont="1" applyBorder="1" applyAlignment="1">
      <alignment horizontal="center" vertical="center"/>
    </xf>
    <xf numFmtId="0" fontId="127" fillId="0" borderId="200" xfId="0" applyFont="1" applyBorder="1" applyAlignment="1">
      <alignment horizontal="center" vertical="center"/>
    </xf>
    <xf numFmtId="0" fontId="127" fillId="0" borderId="200" xfId="0" applyFont="1" applyBorder="1"/>
    <xf numFmtId="0" fontId="127" fillId="0" borderId="200" xfId="0" applyFont="1" applyBorder="1" applyAlignment="1">
      <alignment horizontal="center"/>
    </xf>
    <xf numFmtId="2" fontId="0" fillId="0" borderId="199" xfId="0" applyNumberFormat="1" applyBorder="1" applyAlignment="1">
      <alignment horizontal="center" vertical="center"/>
    </xf>
    <xf numFmtId="0" fontId="56" fillId="0" borderId="0" xfId="0" applyFont="1"/>
    <xf numFmtId="0" fontId="178" fillId="0" borderId="0" xfId="0" applyFont="1" applyAlignment="1">
      <alignment horizontal="center"/>
    </xf>
    <xf numFmtId="2" fontId="0" fillId="0" borderId="0" xfId="0" applyNumberFormat="1" applyAlignment="1">
      <alignment horizontal="center"/>
    </xf>
    <xf numFmtId="0" fontId="0" fillId="0" borderId="0" xfId="0" applyAlignment="1">
      <alignment horizontal="right"/>
    </xf>
    <xf numFmtId="0" fontId="178" fillId="75" borderId="20" xfId="0" applyFont="1" applyFill="1" applyBorder="1" applyAlignment="1">
      <alignment horizontal="center"/>
    </xf>
    <xf numFmtId="0" fontId="178" fillId="75" borderId="0" xfId="0" applyFont="1" applyFill="1" applyAlignment="1">
      <alignment horizontal="center"/>
    </xf>
    <xf numFmtId="0" fontId="56" fillId="0" borderId="200" xfId="0" applyFont="1" applyBorder="1"/>
    <xf numFmtId="2" fontId="56" fillId="0" borderId="200" xfId="0" applyNumberFormat="1" applyFont="1" applyBorder="1" applyAlignment="1">
      <alignment horizontal="center"/>
    </xf>
    <xf numFmtId="0" fontId="56" fillId="0" borderId="200" xfId="0" applyFont="1" applyBorder="1" applyAlignment="1">
      <alignment horizontal="center"/>
    </xf>
    <xf numFmtId="0" fontId="178" fillId="75" borderId="200" xfId="0" applyFont="1" applyFill="1" applyBorder="1" applyAlignment="1">
      <alignment horizontal="center"/>
    </xf>
    <xf numFmtId="0" fontId="180" fillId="5" borderId="200" xfId="0" applyFont="1" applyFill="1" applyBorder="1" applyAlignment="1">
      <alignment horizontal="center"/>
    </xf>
    <xf numFmtId="0" fontId="56" fillId="0" borderId="200" xfId="0" applyFont="1" applyBorder="1" applyAlignment="1">
      <alignment horizontal="right"/>
    </xf>
    <xf numFmtId="2" fontId="56" fillId="0" borderId="200" xfId="0" applyNumberFormat="1" applyFont="1" applyBorder="1" applyAlignment="1">
      <alignment horizontal="right"/>
    </xf>
    <xf numFmtId="0" fontId="17" fillId="0" borderId="200" xfId="0" applyFont="1" applyBorder="1" applyAlignment="1">
      <alignment horizontal="center" vertical="center"/>
    </xf>
    <xf numFmtId="170" fontId="127" fillId="0" borderId="200" xfId="0" applyNumberFormat="1" applyFont="1" applyBorder="1" applyAlignment="1">
      <alignment horizontal="center" vertical="center"/>
    </xf>
    <xf numFmtId="170" fontId="127" fillId="0" borderId="0" xfId="0" applyNumberFormat="1" applyFont="1"/>
    <xf numFmtId="0" fontId="17" fillId="0" borderId="200" xfId="0" applyFont="1" applyBorder="1" applyAlignment="1">
      <alignment horizontal="right" vertical="center"/>
    </xf>
    <xf numFmtId="170" fontId="127" fillId="0" borderId="200" xfId="0" applyNumberFormat="1" applyFont="1" applyBorder="1" applyAlignment="1">
      <alignment vertical="center"/>
    </xf>
    <xf numFmtId="170" fontId="127" fillId="0" borderId="200" xfId="0" applyNumberFormat="1" applyFont="1" applyBorder="1" applyAlignment="1">
      <alignment horizontal="right" vertical="center"/>
    </xf>
    <xf numFmtId="0" fontId="0" fillId="0" borderId="1" xfId="0" applyBorder="1"/>
    <xf numFmtId="0" fontId="179" fillId="0" borderId="0" xfId="0" applyFont="1" applyAlignment="1">
      <alignment horizontal="center" vertical="center"/>
    </xf>
    <xf numFmtId="169" fontId="0" fillId="0" borderId="200" xfId="0" applyNumberFormat="1" applyBorder="1" applyAlignment="1">
      <alignment horizontal="center"/>
    </xf>
    <xf numFmtId="0" fontId="2" fillId="0" borderId="0" xfId="31"/>
    <xf numFmtId="0" fontId="181" fillId="84" borderId="200" xfId="31" applyFont="1" applyFill="1" applyBorder="1" applyAlignment="1">
      <alignment horizontal="center" vertical="center"/>
    </xf>
    <xf numFmtId="198" fontId="181" fillId="84" borderId="200" xfId="31" applyNumberFormat="1" applyFont="1" applyFill="1" applyBorder="1" applyAlignment="1">
      <alignment horizontal="center" vertical="center" wrapText="1"/>
    </xf>
    <xf numFmtId="0" fontId="99" fillId="85" borderId="0" xfId="31" applyFont="1" applyFill="1"/>
    <xf numFmtId="0" fontId="127" fillId="0" borderId="0" xfId="31" applyFont="1"/>
    <xf numFmtId="0" fontId="182" fillId="0" borderId="200" xfId="31" applyFont="1" applyBorder="1" applyAlignment="1">
      <alignment horizontal="center" vertical="center"/>
    </xf>
    <xf numFmtId="169" fontId="182" fillId="0" borderId="200" xfId="31" applyNumberFormat="1" applyFont="1" applyBorder="1" applyAlignment="1">
      <alignment horizontal="center" vertical="center"/>
    </xf>
    <xf numFmtId="2" fontId="182" fillId="0" borderId="200" xfId="31" applyNumberFormat="1" applyFont="1" applyBorder="1" applyAlignment="1">
      <alignment horizontal="center" vertical="center"/>
    </xf>
    <xf numFmtId="4" fontId="182" fillId="0" borderId="200" xfId="31" applyNumberFormat="1" applyFont="1" applyBorder="1" applyAlignment="1">
      <alignment horizontal="center" vertical="center"/>
    </xf>
    <xf numFmtId="0" fontId="102" fillId="0" borderId="0" xfId="31" applyFont="1"/>
    <xf numFmtId="49" fontId="166" fillId="84" borderId="200" xfId="31" applyNumberFormat="1" applyFont="1" applyFill="1" applyBorder="1" applyAlignment="1">
      <alignment vertical="center"/>
    </xf>
    <xf numFmtId="4" fontId="166" fillId="84" borderId="200" xfId="31" applyNumberFormat="1" applyFont="1" applyFill="1" applyBorder="1" applyAlignment="1">
      <alignment horizontal="center" vertical="center"/>
    </xf>
    <xf numFmtId="0" fontId="183" fillId="0" borderId="0" xfId="31" applyFont="1" applyAlignment="1">
      <alignment vertical="center"/>
    </xf>
    <xf numFmtId="0" fontId="183" fillId="0" borderId="0" xfId="31" applyFont="1"/>
    <xf numFmtId="0" fontId="184" fillId="0" borderId="0" xfId="31" applyFont="1" applyAlignment="1">
      <alignment vertical="center"/>
    </xf>
    <xf numFmtId="191" fontId="184" fillId="0" borderId="0" xfId="31" applyNumberFormat="1" applyFont="1" applyAlignment="1">
      <alignment vertical="center"/>
    </xf>
    <xf numFmtId="49" fontId="184" fillId="0" borderId="0" xfId="31" applyNumberFormat="1" applyFont="1" applyAlignment="1">
      <alignment vertical="center"/>
    </xf>
    <xf numFmtId="2" fontId="99" fillId="85" borderId="0" xfId="31" applyNumberFormat="1" applyFont="1" applyFill="1"/>
    <xf numFmtId="0" fontId="161" fillId="0" borderId="0" xfId="31" applyFont="1"/>
    <xf numFmtId="0" fontId="4" fillId="5" borderId="200" xfId="23" applyFont="1" applyFill="1" applyBorder="1" applyAlignment="1">
      <alignment horizontal="center" wrapText="1"/>
    </xf>
    <xf numFmtId="14" fontId="102" fillId="0" borderId="199" xfId="0" applyNumberFormat="1" applyFont="1" applyBorder="1" applyAlignment="1">
      <alignment horizontal="center" vertical="center"/>
    </xf>
    <xf numFmtId="0" fontId="4" fillId="0" borderId="236" xfId="1" applyFont="1" applyBorder="1" applyAlignment="1">
      <alignment wrapText="1"/>
    </xf>
    <xf numFmtId="0" fontId="4" fillId="0" borderId="236" xfId="1" applyFont="1" applyBorder="1" applyAlignment="1">
      <alignment horizontal="center" wrapText="1"/>
    </xf>
    <xf numFmtId="2" fontId="2" fillId="5" borderId="236" xfId="0" applyNumberFormat="1" applyFont="1" applyFill="1" applyBorder="1" applyAlignment="1">
      <alignment horizontal="right"/>
    </xf>
    <xf numFmtId="2" fontId="4" fillId="0" borderId="236" xfId="640" applyNumberFormat="1" applyFont="1" applyBorder="1" applyAlignment="1">
      <alignment horizontal="right"/>
    </xf>
    <xf numFmtId="0" fontId="4" fillId="0" borderId="237" xfId="1" applyFont="1" applyBorder="1" applyAlignment="1">
      <alignment wrapText="1"/>
    </xf>
    <xf numFmtId="0" fontId="4" fillId="0" borderId="237" xfId="1" applyFont="1" applyBorder="1" applyAlignment="1">
      <alignment horizontal="center" wrapText="1"/>
    </xf>
    <xf numFmtId="2" fontId="2" fillId="5" borderId="237" xfId="0" applyNumberFormat="1" applyFont="1" applyFill="1" applyBorder="1" applyAlignment="1">
      <alignment horizontal="right"/>
    </xf>
    <xf numFmtId="2" fontId="4" fillId="0" borderId="237" xfId="640" applyNumberFormat="1" applyFont="1" applyBorder="1" applyAlignment="1">
      <alignment horizontal="right"/>
    </xf>
    <xf numFmtId="167" fontId="4" fillId="0" borderId="238" xfId="641" applyFont="1" applyFill="1" applyBorder="1" applyAlignment="1">
      <alignment horizontal="left"/>
    </xf>
    <xf numFmtId="4" fontId="4" fillId="0" borderId="236" xfId="1" applyNumberFormat="1" applyFont="1" applyBorder="1" applyAlignment="1">
      <alignment horizontal="center" wrapText="1"/>
    </xf>
    <xf numFmtId="2" fontId="4" fillId="0" borderId="236" xfId="1" applyNumberFormat="1" applyFont="1" applyBorder="1" applyAlignment="1">
      <alignment horizontal="right" wrapText="1"/>
    </xf>
    <xf numFmtId="0" fontId="3" fillId="0" borderId="239" xfId="640" applyFont="1" applyBorder="1" applyAlignment="1">
      <alignment horizontal="center" vertical="center" wrapText="1"/>
    </xf>
    <xf numFmtId="0" fontId="3" fillId="5" borderId="236" xfId="0" applyFont="1" applyFill="1" applyBorder="1" applyAlignment="1">
      <alignment horizontal="center" vertical="center"/>
    </xf>
    <xf numFmtId="0" fontId="3" fillId="5" borderId="236" xfId="0" applyFont="1" applyFill="1" applyBorder="1" applyAlignment="1">
      <alignment horizontal="center" vertical="center" wrapText="1"/>
    </xf>
    <xf numFmtId="4" fontId="3" fillId="5" borderId="240" xfId="0" applyNumberFormat="1" applyFont="1" applyFill="1" applyBorder="1" applyAlignment="1">
      <alignment horizontal="center" vertical="center" wrapText="1"/>
    </xf>
    <xf numFmtId="0" fontId="4" fillId="0" borderId="239" xfId="0" applyFont="1" applyBorder="1" applyAlignment="1">
      <alignment horizontal="center"/>
    </xf>
    <xf numFmtId="167" fontId="4" fillId="0" borderId="240" xfId="641" applyFont="1" applyFill="1" applyBorder="1" applyAlignment="1">
      <alignment horizontal="left"/>
    </xf>
    <xf numFmtId="2" fontId="2" fillId="0" borderId="200" xfId="645" applyNumberFormat="1" applyFont="1" applyBorder="1" applyAlignment="1">
      <alignment vertical="center"/>
    </xf>
    <xf numFmtId="0" fontId="3" fillId="73" borderId="13" xfId="0" applyFont="1" applyFill="1" applyBorder="1" applyAlignment="1">
      <alignment horizontal="center" vertical="center"/>
    </xf>
    <xf numFmtId="14" fontId="2" fillId="5" borderId="236" xfId="0" applyNumberFormat="1" applyFont="1" applyFill="1" applyBorder="1" applyAlignment="1">
      <alignment horizontal="center" vertical="center"/>
    </xf>
    <xf numFmtId="0" fontId="2" fillId="0" borderId="236" xfId="0" applyFont="1" applyBorder="1" applyAlignment="1">
      <alignment horizontal="center" vertical="center"/>
    </xf>
    <xf numFmtId="4" fontId="2" fillId="0" borderId="236" xfId="0" applyNumberFormat="1" applyFont="1" applyBorder="1" applyAlignment="1">
      <alignment vertical="center" wrapText="1"/>
    </xf>
    <xf numFmtId="0" fontId="4" fillId="0" borderId="236" xfId="0" applyFont="1" applyBorder="1" applyAlignment="1">
      <alignment horizontal="left" vertical="center" wrapText="1"/>
    </xf>
    <xf numFmtId="10" fontId="4" fillId="0" borderId="236" xfId="645" applyNumberFormat="1" applyFont="1" applyFill="1" applyBorder="1" applyAlignment="1">
      <alignment horizontal="left" vertical="center"/>
    </xf>
    <xf numFmtId="4" fontId="4" fillId="0" borderId="241" xfId="0" applyNumberFormat="1" applyFont="1" applyBorder="1" applyAlignment="1">
      <alignment horizontal="left" vertical="center"/>
    </xf>
    <xf numFmtId="14" fontId="2" fillId="0" borderId="236" xfId="0" applyNumberFormat="1" applyFont="1" applyBorder="1" applyAlignment="1">
      <alignment horizontal="center" vertical="center"/>
    </xf>
    <xf numFmtId="4" fontId="2" fillId="0" borderId="236" xfId="0" applyNumberFormat="1" applyFont="1" applyBorder="1" applyAlignment="1">
      <alignment horizontal="right" vertical="center" wrapText="1"/>
    </xf>
    <xf numFmtId="4" fontId="4" fillId="5" borderId="236" xfId="0" applyNumberFormat="1" applyFont="1" applyFill="1" applyBorder="1" applyAlignment="1">
      <alignment horizontal="left" vertical="center"/>
    </xf>
    <xf numFmtId="10" fontId="4" fillId="5" borderId="236" xfId="645" applyNumberFormat="1" applyFont="1" applyFill="1" applyBorder="1" applyAlignment="1">
      <alignment horizontal="left" vertical="center"/>
    </xf>
    <xf numFmtId="14" fontId="4" fillId="0" borderId="236" xfId="0" applyNumberFormat="1" applyFont="1" applyBorder="1" applyAlignment="1">
      <alignment horizontal="center" vertical="center"/>
    </xf>
    <xf numFmtId="0" fontId="4" fillId="0" borderId="236" xfId="0" applyFont="1" applyBorder="1" applyAlignment="1">
      <alignment horizontal="center" vertical="center"/>
    </xf>
    <xf numFmtId="4" fontId="4" fillId="0" borderId="236" xfId="0" applyNumberFormat="1" applyFont="1" applyBorder="1" applyAlignment="1">
      <alignment vertical="center" wrapText="1"/>
    </xf>
    <xf numFmtId="0" fontId="4" fillId="0" borderId="236" xfId="0" applyFont="1" applyBorder="1" applyAlignment="1">
      <alignment horizontal="left" vertical="center"/>
    </xf>
    <xf numFmtId="14" fontId="4" fillId="5" borderId="236" xfId="0" applyNumberFormat="1" applyFont="1" applyFill="1" applyBorder="1" applyAlignment="1">
      <alignment horizontal="center" vertical="center"/>
    </xf>
    <xf numFmtId="0" fontId="4" fillId="5" borderId="236" xfId="0" applyFont="1" applyFill="1" applyBorder="1" applyAlignment="1">
      <alignment horizontal="center" vertical="center"/>
    </xf>
    <xf numFmtId="4" fontId="4" fillId="5" borderId="236" xfId="0" applyNumberFormat="1" applyFont="1" applyFill="1" applyBorder="1" applyAlignment="1">
      <alignment horizontal="right" vertical="center" wrapText="1"/>
    </xf>
    <xf numFmtId="0" fontId="4" fillId="0" borderId="236" xfId="0" applyFont="1" applyBorder="1" applyAlignment="1">
      <alignment horizontal="left"/>
    </xf>
    <xf numFmtId="4" fontId="4" fillId="5" borderId="241" xfId="640" applyNumberFormat="1" applyFont="1" applyFill="1" applyBorder="1" applyAlignment="1">
      <alignment horizontal="left" vertical="center"/>
    </xf>
    <xf numFmtId="0" fontId="4" fillId="0" borderId="236" xfId="0" applyFont="1" applyBorder="1" applyAlignment="1">
      <alignment horizontal="center"/>
    </xf>
    <xf numFmtId="2" fontId="4" fillId="13" borderId="236" xfId="0" applyNumberFormat="1" applyFont="1" applyFill="1" applyBorder="1" applyAlignment="1">
      <alignment horizontal="right"/>
    </xf>
    <xf numFmtId="2" fontId="4" fillId="0" borderId="236" xfId="23" applyNumberFormat="1" applyFont="1" applyBorder="1" applyAlignment="1">
      <alignment horizontal="right"/>
    </xf>
    <xf numFmtId="167" fontId="4" fillId="0" borderId="236" xfId="50" applyFont="1" applyFill="1" applyBorder="1" applyAlignment="1">
      <alignment horizontal="left"/>
    </xf>
    <xf numFmtId="0" fontId="4" fillId="0" borderId="236" xfId="495" applyFont="1" applyBorder="1" applyAlignment="1">
      <alignment horizontal="center"/>
    </xf>
    <xf numFmtId="0" fontId="185" fillId="75" borderId="78" xfId="0" applyFont="1" applyFill="1" applyBorder="1" applyAlignment="1">
      <alignment horizontal="center"/>
    </xf>
    <xf numFmtId="0" fontId="185" fillId="75" borderId="46" xfId="0" applyFont="1" applyFill="1" applyBorder="1" applyAlignment="1">
      <alignment horizontal="center"/>
    </xf>
    <xf numFmtId="0" fontId="185" fillId="75" borderId="79" xfId="0" applyFont="1" applyFill="1" applyBorder="1" applyAlignment="1">
      <alignment horizontal="center" vertical="center"/>
    </xf>
    <xf numFmtId="0" fontId="185" fillId="75" borderId="16" xfId="0" applyFont="1" applyFill="1" applyBorder="1" applyAlignment="1">
      <alignment horizontal="center" vertical="center"/>
    </xf>
    <xf numFmtId="0" fontId="185" fillId="75" borderId="15" xfId="0" applyFont="1" applyFill="1" applyBorder="1" applyAlignment="1">
      <alignment horizontal="center" vertical="center"/>
    </xf>
    <xf numFmtId="0" fontId="124" fillId="0" borderId="32" xfId="0" applyFont="1" applyBorder="1"/>
    <xf numFmtId="0" fontId="124" fillId="0" borderId="76" xfId="0" applyFont="1" applyBorder="1" applyAlignment="1">
      <alignment horizontal="center" vertical="center"/>
    </xf>
    <xf numFmtId="0" fontId="124" fillId="0" borderId="69" xfId="0" applyFont="1" applyBorder="1" applyAlignment="1">
      <alignment horizontal="center" vertical="center"/>
    </xf>
    <xf numFmtId="2" fontId="124" fillId="0" borderId="32" xfId="0" applyNumberFormat="1" applyFont="1" applyBorder="1" applyAlignment="1">
      <alignment horizontal="center" vertical="center"/>
    </xf>
    <xf numFmtId="2" fontId="124" fillId="0" borderId="34" xfId="0" applyNumberFormat="1" applyFont="1" applyBorder="1" applyAlignment="1">
      <alignment horizontal="center" vertical="center"/>
    </xf>
    <xf numFmtId="2" fontId="124" fillId="0" borderId="33" xfId="0" applyNumberFormat="1" applyFont="1" applyBorder="1" applyAlignment="1">
      <alignment horizontal="center" vertical="center"/>
    </xf>
    <xf numFmtId="2" fontId="124" fillId="0" borderId="75" xfId="0" applyNumberFormat="1" applyFont="1" applyBorder="1" applyAlignment="1">
      <alignment horizontal="center" vertical="center"/>
    </xf>
    <xf numFmtId="2" fontId="124" fillId="0" borderId="70" xfId="0" applyNumberFormat="1" applyFont="1" applyBorder="1" applyAlignment="1">
      <alignment horizontal="center" vertical="center"/>
    </xf>
    <xf numFmtId="0" fontId="124" fillId="0" borderId="199" xfId="0" applyFont="1" applyBorder="1"/>
    <xf numFmtId="0" fontId="124" fillId="0" borderId="180" xfId="0" applyFont="1" applyBorder="1" applyAlignment="1">
      <alignment horizontal="center" vertical="center"/>
    </xf>
    <xf numFmtId="0" fontId="124" fillId="0" borderId="216" xfId="0" applyFont="1" applyBorder="1" applyAlignment="1">
      <alignment horizontal="center" vertical="center"/>
    </xf>
    <xf numFmtId="2" fontId="124" fillId="0" borderId="199" xfId="0" applyNumberFormat="1" applyFont="1" applyBorder="1" applyAlignment="1">
      <alignment horizontal="center" vertical="center"/>
    </xf>
    <xf numFmtId="2" fontId="124" fillId="0" borderId="200" xfId="0" applyNumberFormat="1" applyFont="1" applyBorder="1" applyAlignment="1">
      <alignment horizontal="center" vertical="center"/>
    </xf>
    <xf numFmtId="2" fontId="124" fillId="0" borderId="201" xfId="0" applyNumberFormat="1" applyFont="1" applyBorder="1" applyAlignment="1">
      <alignment horizontal="center" vertical="center"/>
    </xf>
    <xf numFmtId="2" fontId="124" fillId="0" borderId="186" xfId="0" applyNumberFormat="1" applyFont="1" applyBorder="1" applyAlignment="1">
      <alignment horizontal="center" vertical="center"/>
    </xf>
    <xf numFmtId="2" fontId="124" fillId="0" borderId="205" xfId="0" applyNumberFormat="1" applyFont="1" applyBorder="1" applyAlignment="1">
      <alignment horizontal="center" vertical="center"/>
    </xf>
    <xf numFmtId="0" fontId="124" fillId="0" borderId="199" xfId="0" applyFont="1" applyBorder="1" applyAlignment="1">
      <alignment wrapText="1"/>
    </xf>
    <xf numFmtId="0" fontId="124" fillId="0" borderId="180" xfId="0" applyFont="1" applyBorder="1" applyAlignment="1">
      <alignment horizontal="center" vertical="center" wrapText="1"/>
    </xf>
    <xf numFmtId="0" fontId="124" fillId="0" borderId="216" xfId="0" applyFont="1" applyBorder="1" applyAlignment="1">
      <alignment horizontal="center" vertical="center" wrapText="1"/>
    </xf>
    <xf numFmtId="2" fontId="124" fillId="0" borderId="180" xfId="0" applyNumberFormat="1" applyFont="1" applyBorder="1" applyAlignment="1">
      <alignment horizontal="center" vertical="center"/>
    </xf>
    <xf numFmtId="0" fontId="124" fillId="0" borderId="187" xfId="0" applyFont="1" applyBorder="1"/>
    <xf numFmtId="0" fontId="124" fillId="0" borderId="182" xfId="0" applyFont="1" applyBorder="1" applyAlignment="1">
      <alignment horizontal="center" vertical="center"/>
    </xf>
    <xf numFmtId="0" fontId="124" fillId="0" borderId="217" xfId="0" applyFont="1" applyBorder="1" applyAlignment="1">
      <alignment horizontal="center" vertical="center"/>
    </xf>
    <xf numFmtId="0" fontId="124" fillId="0" borderId="227" xfId="0" applyFont="1" applyBorder="1"/>
    <xf numFmtId="0" fontId="124" fillId="0" borderId="232" xfId="0" applyFont="1" applyBorder="1" applyAlignment="1">
      <alignment horizontal="center" vertical="center"/>
    </xf>
    <xf numFmtId="0" fontId="124" fillId="0" borderId="233" xfId="0" applyFont="1" applyBorder="1" applyAlignment="1">
      <alignment horizontal="center" vertical="center"/>
    </xf>
    <xf numFmtId="2" fontId="124" fillId="0" borderId="227" xfId="0" applyNumberFormat="1" applyFont="1" applyBorder="1" applyAlignment="1">
      <alignment horizontal="center" vertical="center"/>
    </xf>
    <xf numFmtId="2" fontId="124" fillId="0" borderId="228" xfId="0" applyNumberFormat="1" applyFont="1" applyBorder="1" applyAlignment="1">
      <alignment horizontal="center" vertical="center"/>
    </xf>
    <xf numFmtId="2" fontId="124" fillId="0" borderId="229" xfId="0" applyNumberFormat="1" applyFont="1" applyBorder="1" applyAlignment="1">
      <alignment horizontal="center" vertical="center"/>
    </xf>
    <xf numFmtId="2" fontId="124" fillId="0" borderId="232" xfId="0" applyNumberFormat="1" applyFont="1" applyBorder="1" applyAlignment="1">
      <alignment horizontal="center" vertical="center"/>
    </xf>
    <xf numFmtId="2" fontId="124" fillId="0" borderId="234" xfId="0" applyNumberFormat="1" applyFont="1" applyBorder="1" applyAlignment="1">
      <alignment horizontal="center" vertical="center"/>
    </xf>
    <xf numFmtId="2" fontId="124" fillId="0" borderId="235" xfId="0" applyNumberFormat="1" applyFont="1" applyBorder="1" applyAlignment="1">
      <alignment horizontal="center" vertical="center"/>
    </xf>
    <xf numFmtId="2" fontId="29" fillId="0" borderId="10" xfId="0" applyNumberFormat="1" applyFont="1" applyBorder="1" applyAlignment="1">
      <alignment horizontal="center" vertical="center"/>
    </xf>
    <xf numFmtId="2" fontId="29" fillId="0" borderId="33" xfId="0" applyNumberFormat="1" applyFont="1" applyBorder="1"/>
    <xf numFmtId="2" fontId="186" fillId="0" borderId="201" xfId="0" applyNumberFormat="1" applyFont="1" applyBorder="1"/>
    <xf numFmtId="2" fontId="186" fillId="0" borderId="229" xfId="0" applyNumberFormat="1" applyFont="1" applyBorder="1"/>
    <xf numFmtId="0" fontId="127" fillId="0" borderId="200" xfId="0" applyFont="1" applyBorder="1" applyAlignment="1">
      <alignment vertical="center"/>
    </xf>
    <xf numFmtId="0" fontId="3" fillId="0" borderId="68" xfId="1" applyFont="1" applyBorder="1" applyAlignment="1">
      <alignment vertical="center" wrapText="1"/>
    </xf>
    <xf numFmtId="0" fontId="3" fillId="0" borderId="206" xfId="1" applyFont="1" applyBorder="1" applyAlignment="1">
      <alignment vertical="center" wrapText="1"/>
    </xf>
    <xf numFmtId="0" fontId="3" fillId="0" borderId="236" xfId="1" applyFont="1" applyBorder="1" applyAlignment="1">
      <alignment vertical="center" wrapText="1"/>
    </xf>
    <xf numFmtId="0" fontId="11" fillId="3" borderId="236" xfId="431" applyFont="1" applyFill="1" applyBorder="1" applyAlignment="1">
      <alignment horizontal="center" vertical="center" wrapText="1"/>
    </xf>
    <xf numFmtId="0" fontId="11" fillId="3" borderId="236" xfId="431" applyFont="1" applyFill="1" applyBorder="1" applyAlignment="1">
      <alignment vertical="center" wrapText="1"/>
    </xf>
    <xf numFmtId="4" fontId="11" fillId="3" borderId="236" xfId="431" applyNumberFormat="1" applyFont="1" applyFill="1" applyBorder="1" applyAlignment="1">
      <alignment vertical="center" wrapText="1"/>
    </xf>
    <xf numFmtId="4" fontId="3" fillId="0" borderId="236" xfId="23" applyNumberFormat="1" applyFont="1" applyBorder="1" applyAlignment="1">
      <alignment wrapText="1"/>
    </xf>
    <xf numFmtId="0" fontId="27" fillId="0" borderId="236" xfId="431" applyFont="1" applyBorder="1" applyAlignment="1">
      <alignment vertical="center" wrapText="1"/>
    </xf>
    <xf numFmtId="0" fontId="0" fillId="7" borderId="0" xfId="0" applyFill="1" applyAlignment="1">
      <alignment horizontal="center"/>
    </xf>
    <xf numFmtId="0" fontId="0" fillId="7" borderId="0" xfId="0" applyFill="1" applyAlignment="1">
      <alignment wrapText="1"/>
    </xf>
    <xf numFmtId="2" fontId="0" fillId="7" borderId="0" xfId="0" applyNumberFormat="1" applyFill="1"/>
    <xf numFmtId="0" fontId="0" fillId="7" borderId="0" xfId="0" applyFill="1"/>
    <xf numFmtId="2" fontId="0" fillId="7" borderId="0" xfId="0" applyNumberFormat="1" applyFill="1" applyAlignment="1">
      <alignment horizontal="right"/>
    </xf>
    <xf numFmtId="4" fontId="4" fillId="0" borderId="241" xfId="640" applyNumberFormat="1" applyFont="1" applyBorder="1" applyAlignment="1">
      <alignment horizontal="left" vertical="top"/>
    </xf>
    <xf numFmtId="0" fontId="140" fillId="5" borderId="0" xfId="811" applyFont="1" applyFill="1" applyAlignment="1">
      <alignment horizontal="left" vertical="center"/>
    </xf>
    <xf numFmtId="14" fontId="140" fillId="5" borderId="9" xfId="811" applyNumberFormat="1" applyFont="1" applyFill="1" applyBorder="1" applyAlignment="1">
      <alignment horizontal="left" vertical="center"/>
    </xf>
    <xf numFmtId="0" fontId="140" fillId="5" borderId="0" xfId="811" applyFont="1" applyFill="1" applyAlignment="1">
      <alignment vertical="center"/>
    </xf>
    <xf numFmtId="0" fontId="140" fillId="5" borderId="19" xfId="811" applyFont="1" applyFill="1" applyBorder="1" applyAlignment="1">
      <alignment vertical="center"/>
    </xf>
    <xf numFmtId="14" fontId="140" fillId="5" borderId="9" xfId="811" applyNumberFormat="1" applyFont="1" applyFill="1" applyBorder="1" applyAlignment="1">
      <alignment vertical="center"/>
    </xf>
    <xf numFmtId="14" fontId="140" fillId="5" borderId="10" xfId="811" applyNumberFormat="1" applyFont="1" applyFill="1" applyBorder="1" applyAlignment="1">
      <alignment vertical="center"/>
    </xf>
    <xf numFmtId="0" fontId="158" fillId="5" borderId="0" xfId="811" applyFont="1" applyFill="1" applyAlignment="1">
      <alignment vertical="center" wrapText="1"/>
    </xf>
    <xf numFmtId="0" fontId="140" fillId="5" borderId="14" xfId="1633" applyFont="1" applyFill="1" applyBorder="1" applyAlignment="1">
      <alignment horizontal="center" vertical="center"/>
    </xf>
    <xf numFmtId="0" fontId="140" fillId="5" borderId="16" xfId="1633" applyFont="1" applyFill="1" applyBorder="1" applyAlignment="1">
      <alignment horizontal="center" vertical="center"/>
    </xf>
    <xf numFmtId="0" fontId="140" fillId="5" borderId="15" xfId="1633" applyFont="1" applyFill="1" applyBorder="1" applyAlignment="1">
      <alignment horizontal="center" vertical="center"/>
    </xf>
    <xf numFmtId="0" fontId="141" fillId="5" borderId="18" xfId="1633" applyFont="1" applyFill="1" applyBorder="1" applyAlignment="1">
      <alignment horizontal="center" vertical="center"/>
    </xf>
    <xf numFmtId="0" fontId="141" fillId="5" borderId="0" xfId="1633" applyFont="1" applyFill="1" applyAlignment="1">
      <alignment horizontal="center" vertical="center"/>
    </xf>
    <xf numFmtId="0" fontId="141" fillId="5" borderId="19" xfId="1633" applyFont="1" applyFill="1" applyBorder="1" applyAlignment="1">
      <alignment horizontal="center" vertical="center"/>
    </xf>
    <xf numFmtId="0" fontId="144" fillId="5" borderId="18" xfId="1633" applyFont="1" applyFill="1" applyBorder="1" applyAlignment="1">
      <alignment horizontal="center" vertical="center"/>
    </xf>
    <xf numFmtId="0" fontId="144" fillId="5" borderId="0" xfId="1633" applyFont="1" applyFill="1" applyAlignment="1">
      <alignment horizontal="center" vertical="center"/>
    </xf>
    <xf numFmtId="0" fontId="144" fillId="5" borderId="19" xfId="1633" applyFont="1" applyFill="1" applyBorder="1" applyAlignment="1">
      <alignment horizontal="center" vertical="center"/>
    </xf>
    <xf numFmtId="0" fontId="5" fillId="0" borderId="14" xfId="640" applyBorder="1" applyAlignment="1">
      <alignment horizontal="center"/>
    </xf>
    <xf numFmtId="0" fontId="5" fillId="0" borderId="16" xfId="640" applyBorder="1" applyAlignment="1">
      <alignment horizontal="center"/>
    </xf>
    <xf numFmtId="0" fontId="5" fillId="0" borderId="15" xfId="640" applyBorder="1" applyAlignment="1">
      <alignment horizontal="center"/>
    </xf>
    <xf numFmtId="0" fontId="14" fillId="0" borderId="0" xfId="640" applyFont="1" applyAlignment="1">
      <alignment horizontal="right" vertical="center"/>
    </xf>
    <xf numFmtId="0" fontId="91" fillId="73" borderId="152" xfId="7157" applyFont="1" applyFill="1" applyBorder="1" applyAlignment="1">
      <alignment horizontal="center" vertical="center"/>
    </xf>
    <xf numFmtId="0" fontId="91" fillId="73" borderId="177" xfId="7157" applyFont="1" applyFill="1" applyBorder="1" applyAlignment="1">
      <alignment horizontal="center" vertical="center"/>
    </xf>
    <xf numFmtId="0" fontId="91" fillId="73" borderId="178" xfId="7157" applyFont="1" applyFill="1" applyBorder="1" applyAlignment="1">
      <alignment horizontal="center" vertical="center"/>
    </xf>
    <xf numFmtId="0" fontId="4" fillId="0" borderId="0" xfId="640" applyFont="1" applyAlignment="1">
      <alignment horizontal="left" vertical="center" wrapText="1"/>
    </xf>
    <xf numFmtId="0" fontId="3" fillId="4" borderId="32" xfId="640" applyFont="1" applyFill="1" applyBorder="1" applyAlignment="1">
      <alignment horizontal="center" vertical="center" wrapText="1"/>
    </xf>
    <xf numFmtId="0" fontId="3" fillId="4" borderId="34" xfId="640" applyFont="1" applyFill="1" applyBorder="1" applyAlignment="1">
      <alignment horizontal="center" vertical="center" wrapText="1"/>
    </xf>
    <xf numFmtId="0" fontId="3" fillId="4" borderId="152" xfId="640" applyFont="1" applyFill="1" applyBorder="1" applyAlignment="1">
      <alignment horizontal="center" vertical="center" wrapText="1"/>
    </xf>
    <xf numFmtId="0" fontId="3" fillId="4" borderId="177" xfId="640" applyFont="1" applyFill="1" applyBorder="1" applyAlignment="1">
      <alignment horizontal="center" vertical="center" wrapText="1"/>
    </xf>
    <xf numFmtId="0" fontId="138" fillId="4" borderId="34" xfId="640" applyFont="1" applyFill="1" applyBorder="1" applyAlignment="1">
      <alignment horizontal="center" vertical="center"/>
    </xf>
    <xf numFmtId="0" fontId="138" fillId="4" borderId="33" xfId="640"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5" fillId="5" borderId="8" xfId="431" applyFont="1" applyFill="1" applyBorder="1" applyAlignment="1">
      <alignment horizontal="right" vertical="center" wrapText="1"/>
    </xf>
    <xf numFmtId="0" fontId="25" fillId="5" borderId="9" xfId="431" applyFont="1" applyFill="1" applyBorder="1" applyAlignment="1">
      <alignment horizontal="right" vertical="center" wrapText="1"/>
    </xf>
    <xf numFmtId="0" fontId="25" fillId="5" borderId="47" xfId="431" applyFont="1" applyFill="1" applyBorder="1" applyAlignment="1">
      <alignment horizontal="right" vertical="center" wrapText="1"/>
    </xf>
    <xf numFmtId="168" fontId="25" fillId="5" borderId="44" xfId="8" applyFont="1" applyFill="1" applyBorder="1" applyAlignment="1">
      <alignment horizontal="center" vertical="center"/>
    </xf>
    <xf numFmtId="168" fontId="25" fillId="5" borderId="10" xfId="8" applyFont="1" applyFill="1" applyBorder="1" applyAlignment="1">
      <alignment horizontal="center" vertical="center"/>
    </xf>
    <xf numFmtId="0" fontId="3" fillId="4" borderId="5" xfId="431" applyFont="1" applyFill="1" applyBorder="1" applyAlignment="1">
      <alignment horizontal="center" vertical="center" wrapText="1"/>
    </xf>
    <xf numFmtId="0" fontId="4" fillId="4" borderId="7" xfId="431" applyFont="1" applyFill="1" applyBorder="1" applyAlignment="1">
      <alignment horizontal="center" vertical="center" wrapText="1"/>
    </xf>
    <xf numFmtId="0" fontId="4" fillId="4" borderId="6" xfId="431" applyFont="1" applyFill="1" applyBorder="1" applyAlignment="1">
      <alignment horizontal="center" vertical="center" wrapText="1"/>
    </xf>
    <xf numFmtId="0" fontId="91" fillId="0" borderId="5" xfId="431" applyFont="1" applyBorder="1" applyAlignment="1">
      <alignment horizontal="center" vertical="center"/>
    </xf>
    <xf numFmtId="0" fontId="28" fillId="0" borderId="7" xfId="431" applyFont="1" applyBorder="1" applyAlignment="1">
      <alignment horizontal="center" vertical="center"/>
    </xf>
    <xf numFmtId="0" fontId="28" fillId="0" borderId="6" xfId="431" applyFont="1" applyBorder="1" applyAlignment="1">
      <alignment horizontal="center" vertical="center"/>
    </xf>
    <xf numFmtId="0" fontId="7" fillId="0" borderId="14" xfId="431" applyBorder="1" applyAlignment="1">
      <alignment horizontal="center" vertical="center"/>
    </xf>
    <xf numFmtId="0" fontId="7" fillId="0" borderId="15" xfId="431" applyBorder="1" applyAlignment="1">
      <alignment horizontal="center" vertical="center"/>
    </xf>
    <xf numFmtId="0" fontId="7" fillId="0" borderId="8" xfId="431" applyBorder="1" applyAlignment="1">
      <alignment horizontal="center" vertical="center"/>
    </xf>
    <xf numFmtId="0" fontId="7" fillId="0" borderId="10" xfId="431" applyBorder="1" applyAlignment="1">
      <alignment horizontal="center" vertical="center"/>
    </xf>
    <xf numFmtId="0" fontId="5" fillId="0" borderId="14" xfId="431" applyFont="1" applyBorder="1" applyAlignment="1">
      <alignment horizontal="center" vertical="center" wrapText="1"/>
    </xf>
    <xf numFmtId="0" fontId="5" fillId="0" borderId="15" xfId="431" applyFont="1" applyBorder="1" applyAlignment="1">
      <alignment horizontal="center" vertical="center" wrapText="1"/>
    </xf>
    <xf numFmtId="0" fontId="16" fillId="0" borderId="14" xfId="431" applyFont="1" applyBorder="1" applyAlignment="1">
      <alignment horizontal="center" vertical="center" wrapText="1"/>
    </xf>
    <xf numFmtId="0" fontId="16" fillId="0" borderId="16" xfId="431" applyFont="1" applyBorder="1" applyAlignment="1">
      <alignment horizontal="center" vertical="center" wrapText="1"/>
    </xf>
    <xf numFmtId="0" fontId="16" fillId="0" borderId="15" xfId="431" applyFont="1" applyBorder="1" applyAlignment="1">
      <alignment horizontal="center" vertical="center" wrapText="1"/>
    </xf>
    <xf numFmtId="0" fontId="7" fillId="0" borderId="8" xfId="431" applyBorder="1" applyAlignment="1">
      <alignment horizontal="center" vertical="center" wrapText="1"/>
    </xf>
    <xf numFmtId="0" fontId="7" fillId="0" borderId="9" xfId="431" applyBorder="1" applyAlignment="1">
      <alignment horizontal="center" vertical="center" wrapText="1"/>
    </xf>
    <xf numFmtId="0" fontId="7" fillId="0" borderId="10" xfId="431" applyBorder="1" applyAlignment="1">
      <alignment horizontal="center" vertical="center" wrapText="1"/>
    </xf>
    <xf numFmtId="0" fontId="82" fillId="0" borderId="5" xfId="431" applyFont="1" applyBorder="1" applyAlignment="1">
      <alignment horizontal="center" vertical="center" wrapText="1"/>
    </xf>
    <xf numFmtId="0" fontId="82" fillId="0" borderId="7" xfId="431" applyFont="1" applyBorder="1" applyAlignment="1">
      <alignment horizontal="center" vertical="center" wrapText="1"/>
    </xf>
    <xf numFmtId="0" fontId="82" fillId="0" borderId="6" xfId="431" applyFont="1" applyBorder="1" applyAlignment="1">
      <alignment horizontal="center" vertical="center" wrapText="1"/>
    </xf>
    <xf numFmtId="0" fontId="4" fillId="0" borderId="218" xfId="431" applyFont="1" applyBorder="1" applyAlignment="1">
      <alignment horizontal="center" vertical="center" wrapText="1"/>
    </xf>
    <xf numFmtId="0" fontId="4" fillId="0" borderId="64" xfId="431" applyFont="1" applyBorder="1" applyAlignment="1">
      <alignment horizontal="center" vertical="center" wrapText="1"/>
    </xf>
    <xf numFmtId="0" fontId="7" fillId="0" borderId="17" xfId="431" applyBorder="1" applyAlignment="1">
      <alignment horizontal="center" vertical="center"/>
    </xf>
    <xf numFmtId="0" fontId="7" fillId="0" borderId="218" xfId="431" applyBorder="1" applyAlignment="1">
      <alignment horizontal="center" vertical="center"/>
    </xf>
    <xf numFmtId="0" fontId="7" fillId="0" borderId="64" xfId="431" applyBorder="1" applyAlignment="1">
      <alignment horizontal="center" vertical="center"/>
    </xf>
    <xf numFmtId="0" fontId="16" fillId="0" borderId="0" xfId="431" applyFont="1" applyAlignment="1">
      <alignment horizontal="center" vertical="center" wrapText="1"/>
    </xf>
    <xf numFmtId="0" fontId="16" fillId="0" borderId="19" xfId="431" applyFont="1" applyBorder="1" applyAlignment="1">
      <alignment horizontal="center" vertical="center" wrapText="1"/>
    </xf>
    <xf numFmtId="0" fontId="16" fillId="0" borderId="9" xfId="431" applyFont="1" applyBorder="1" applyAlignment="1">
      <alignment horizontal="center" vertical="center" wrapText="1"/>
    </xf>
    <xf numFmtId="0" fontId="16" fillId="0" borderId="10" xfId="431" applyFont="1" applyBorder="1" applyAlignment="1">
      <alignment horizontal="center" vertical="center" wrapText="1"/>
    </xf>
    <xf numFmtId="0" fontId="14" fillId="0" borderId="16" xfId="431" applyFont="1" applyBorder="1" applyAlignment="1">
      <alignment horizontal="center" vertical="center"/>
    </xf>
    <xf numFmtId="0" fontId="3" fillId="0" borderId="5" xfId="431" applyFont="1" applyBorder="1" applyAlignment="1">
      <alignment horizontal="center" vertical="center" wrapText="1"/>
    </xf>
    <xf numFmtId="0" fontId="3" fillId="0" borderId="6" xfId="431" applyFont="1" applyBorder="1" applyAlignment="1">
      <alignment horizontal="center" vertical="center" wrapText="1"/>
    </xf>
    <xf numFmtId="0" fontId="137" fillId="0" borderId="5" xfId="431" applyFont="1" applyBorder="1" applyAlignment="1">
      <alignment horizontal="center" vertical="center" wrapText="1"/>
    </xf>
    <xf numFmtId="0" fontId="137" fillId="0" borderId="6" xfId="431" applyFont="1" applyBorder="1" applyAlignment="1">
      <alignment horizontal="center" vertical="center" wrapText="1"/>
    </xf>
    <xf numFmtId="0" fontId="25" fillId="5" borderId="45" xfId="431" applyFont="1" applyFill="1" applyBorder="1" applyAlignment="1">
      <alignment horizontal="right" vertical="center" wrapText="1"/>
    </xf>
    <xf numFmtId="0" fontId="25" fillId="5" borderId="65" xfId="431" applyFont="1" applyFill="1" applyBorder="1" applyAlignment="1">
      <alignment horizontal="right" vertical="center" wrapText="1"/>
    </xf>
    <xf numFmtId="168" fontId="25" fillId="5" borderId="66" xfId="8" applyFont="1" applyFill="1" applyBorder="1" applyAlignment="1">
      <alignment horizontal="center" vertical="center"/>
    </xf>
    <xf numFmtId="168" fontId="25" fillId="5" borderId="67" xfId="8" applyFont="1" applyFill="1" applyBorder="1" applyAlignment="1">
      <alignment horizontal="center" vertical="center"/>
    </xf>
    <xf numFmtId="0" fontId="28" fillId="81" borderId="5" xfId="431" applyFont="1" applyFill="1" applyBorder="1" applyAlignment="1">
      <alignment horizontal="center" vertical="center"/>
    </xf>
    <xf numFmtId="0" fontId="28" fillId="81" borderId="7" xfId="431" applyFont="1" applyFill="1" applyBorder="1" applyAlignment="1">
      <alignment horizontal="center" vertical="center"/>
    </xf>
    <xf numFmtId="0" fontId="28" fillId="81" borderId="6" xfId="431" applyFont="1" applyFill="1" applyBorder="1" applyAlignment="1">
      <alignment horizontal="center" vertical="center"/>
    </xf>
    <xf numFmtId="0" fontId="14" fillId="6" borderId="26" xfId="431" applyFont="1" applyFill="1" applyBorder="1" applyAlignment="1">
      <alignment horizontal="center" vertical="center"/>
    </xf>
    <xf numFmtId="0" fontId="14" fillId="6" borderId="20" xfId="431" applyFont="1" applyFill="1" applyBorder="1" applyAlignment="1">
      <alignment horizontal="center" vertical="center"/>
    </xf>
    <xf numFmtId="0" fontId="14" fillId="6" borderId="37" xfId="431" applyFont="1" applyFill="1" applyBorder="1" applyAlignment="1">
      <alignment horizontal="center" vertical="center"/>
    </xf>
    <xf numFmtId="0" fontId="14" fillId="6" borderId="38" xfId="431" applyFont="1" applyFill="1" applyBorder="1" applyAlignment="1">
      <alignment horizontal="center" vertical="center"/>
    </xf>
    <xf numFmtId="0" fontId="4" fillId="0" borderId="16" xfId="431" applyFont="1" applyBorder="1" applyAlignment="1">
      <alignment horizontal="left" vertical="center"/>
    </xf>
    <xf numFmtId="0" fontId="4" fillId="0" borderId="0" xfId="431" applyFont="1" applyAlignment="1">
      <alignment horizontal="left" vertical="center" wrapText="1"/>
    </xf>
    <xf numFmtId="0" fontId="4" fillId="0" borderId="9" xfId="431" applyFont="1" applyBorder="1" applyAlignment="1">
      <alignment horizontal="center" vertical="center"/>
    </xf>
    <xf numFmtId="0" fontId="16" fillId="0" borderId="17" xfId="431" applyFont="1" applyBorder="1" applyAlignment="1">
      <alignment horizontal="center" vertical="center" wrapText="1"/>
    </xf>
    <xf numFmtId="0" fontId="16" fillId="0" borderId="218" xfId="431" applyFont="1" applyBorder="1" applyAlignment="1">
      <alignment horizontal="center" vertical="center" wrapText="1"/>
    </xf>
    <xf numFmtId="0" fontId="84" fillId="43" borderId="18" xfId="640" applyFont="1" applyFill="1" applyBorder="1" applyAlignment="1">
      <alignment horizontal="center" vertical="center"/>
    </xf>
    <xf numFmtId="0" fontId="84" fillId="43" borderId="0" xfId="640" applyFont="1" applyFill="1" applyAlignment="1">
      <alignment horizontal="center" vertical="center"/>
    </xf>
    <xf numFmtId="0" fontId="84" fillId="43" borderId="19" xfId="640" applyFont="1" applyFill="1" applyBorder="1" applyAlignment="1">
      <alignment horizontal="center" vertical="center"/>
    </xf>
    <xf numFmtId="0" fontId="153" fillId="4" borderId="199" xfId="640" applyFont="1" applyFill="1" applyBorder="1" applyAlignment="1">
      <alignment horizontal="center" vertical="center"/>
    </xf>
    <xf numFmtId="198" fontId="153" fillId="4" borderId="200" xfId="1633" applyNumberFormat="1" applyFont="1" applyFill="1" applyBorder="1" applyAlignment="1">
      <alignment horizontal="center" vertical="center"/>
    </xf>
    <xf numFmtId="0" fontId="142" fillId="5" borderId="18" xfId="1633" applyFont="1" applyFill="1" applyBorder="1" applyAlignment="1">
      <alignment horizontal="center" vertical="center"/>
    </xf>
    <xf numFmtId="0" fontId="142" fillId="5" borderId="0" xfId="1633" applyFont="1" applyFill="1" applyAlignment="1">
      <alignment horizontal="center" vertical="center"/>
    </xf>
    <xf numFmtId="0" fontId="142" fillId="5" borderId="19" xfId="1633" applyFont="1" applyFill="1" applyBorder="1" applyAlignment="1">
      <alignment horizontal="center" vertical="center"/>
    </xf>
    <xf numFmtId="0" fontId="5" fillId="5" borderId="16" xfId="1633" applyFill="1" applyBorder="1" applyAlignment="1">
      <alignment horizontal="left" vertical="center"/>
    </xf>
    <xf numFmtId="0" fontId="5" fillId="5" borderId="15" xfId="1633" applyFill="1" applyBorder="1" applyAlignment="1">
      <alignment horizontal="left" vertical="center"/>
    </xf>
    <xf numFmtId="0" fontId="154" fillId="43" borderId="32" xfId="640" applyFont="1" applyFill="1" applyBorder="1" applyAlignment="1">
      <alignment horizontal="center" vertical="center"/>
    </xf>
    <xf numFmtId="0" fontId="154" fillId="43" borderId="34" xfId="640" applyFont="1" applyFill="1" applyBorder="1" applyAlignment="1">
      <alignment horizontal="center" vertical="center"/>
    </xf>
    <xf numFmtId="0" fontId="154" fillId="43" borderId="33" xfId="640" applyFont="1" applyFill="1" applyBorder="1" applyAlignment="1">
      <alignment horizontal="center" vertical="center"/>
    </xf>
    <xf numFmtId="0" fontId="154" fillId="43" borderId="199" xfId="640" applyFont="1" applyFill="1" applyBorder="1" applyAlignment="1">
      <alignment horizontal="center" vertical="center"/>
    </xf>
    <xf numFmtId="0" fontId="154" fillId="43" borderId="200" xfId="640" applyFont="1" applyFill="1" applyBorder="1" applyAlignment="1">
      <alignment horizontal="center" vertical="center"/>
    </xf>
    <xf numFmtId="0" fontId="154" fillId="43" borderId="201" xfId="640" applyFont="1" applyFill="1" applyBorder="1" applyAlignment="1">
      <alignment horizontal="center" vertical="center"/>
    </xf>
    <xf numFmtId="0" fontId="0" fillId="0" borderId="0" xfId="0" applyAlignment="1">
      <alignment horizontal="left" vertical="center"/>
    </xf>
    <xf numFmtId="14" fontId="31" fillId="0" borderId="0" xfId="1" applyNumberFormat="1" applyFont="1" applyAlignment="1">
      <alignment horizontal="left" vertical="center"/>
    </xf>
    <xf numFmtId="14" fontId="31" fillId="0" borderId="19" xfId="1" applyNumberFormat="1" applyFont="1" applyBorder="1" applyAlignment="1">
      <alignment horizontal="left" vertical="center"/>
    </xf>
    <xf numFmtId="14" fontId="5" fillId="5" borderId="9" xfId="1633" applyNumberFormat="1" applyFill="1" applyBorder="1" applyAlignment="1">
      <alignment horizontal="left" vertical="center"/>
    </xf>
    <xf numFmtId="14" fontId="5" fillId="5" borderId="10" xfId="1633" applyNumberFormat="1" applyFill="1" applyBorder="1" applyAlignment="1">
      <alignment horizontal="left" vertical="center"/>
    </xf>
    <xf numFmtId="0" fontId="84" fillId="43" borderId="8" xfId="640" applyFont="1" applyFill="1" applyBorder="1" applyAlignment="1">
      <alignment horizontal="center" vertical="center"/>
    </xf>
    <xf numFmtId="0" fontId="84" fillId="43" borderId="9" xfId="640" applyFont="1" applyFill="1" applyBorder="1" applyAlignment="1">
      <alignment horizontal="center" vertical="center"/>
    </xf>
    <xf numFmtId="0" fontId="84" fillId="43" borderId="10" xfId="640" applyFont="1" applyFill="1" applyBorder="1" applyAlignment="1">
      <alignment horizontal="center" vertical="center"/>
    </xf>
    <xf numFmtId="0" fontId="56" fillId="2" borderId="32" xfId="0" applyFont="1" applyFill="1" applyBorder="1" applyAlignment="1">
      <alignment horizontal="center" vertical="center"/>
    </xf>
    <xf numFmtId="0" fontId="56" fillId="2" borderId="187"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88" xfId="0" applyFont="1" applyFill="1" applyBorder="1" applyAlignment="1">
      <alignment horizontal="center" vertical="center"/>
    </xf>
    <xf numFmtId="0" fontId="56" fillId="2" borderId="34" xfId="0" applyFont="1" applyFill="1" applyBorder="1" applyAlignment="1">
      <alignment horizontal="center" vertical="center" wrapText="1"/>
    </xf>
    <xf numFmtId="0" fontId="56" fillId="2" borderId="76" xfId="0" applyFont="1" applyFill="1" applyBorder="1" applyAlignment="1">
      <alignment horizontal="center" vertical="center" wrapText="1"/>
    </xf>
    <xf numFmtId="0" fontId="56" fillId="2" borderId="75" xfId="0" applyFont="1" applyFill="1" applyBorder="1" applyAlignment="1">
      <alignment horizontal="center" vertical="center"/>
    </xf>
    <xf numFmtId="0" fontId="56" fillId="2" borderId="70" xfId="0" applyFont="1" applyFill="1" applyBorder="1" applyAlignment="1">
      <alignment horizontal="center" vertical="center"/>
    </xf>
    <xf numFmtId="0" fontId="4" fillId="0" borderId="14" xfId="1" applyFont="1" applyBorder="1" applyAlignment="1">
      <alignment horizontal="center" vertical="center" wrapText="1"/>
    </xf>
    <xf numFmtId="0" fontId="4" fillId="0" borderId="16"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8"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0" xfId="1" applyFont="1" applyBorder="1" applyAlignment="1">
      <alignment horizontal="center" vertical="center" wrapText="1"/>
    </xf>
    <xf numFmtId="0" fontId="7" fillId="0" borderId="14" xfId="1" applyFont="1" applyBorder="1" applyAlignment="1">
      <alignment horizontal="center" vertical="center"/>
    </xf>
    <xf numFmtId="0" fontId="7" fillId="0" borderId="15"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25" fillId="0" borderId="5"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3" fillId="0" borderId="9" xfId="1" applyFont="1" applyBorder="1" applyAlignment="1">
      <alignment horizontal="right" vertical="center"/>
    </xf>
    <xf numFmtId="0" fontId="3" fillId="0" borderId="8" xfId="1" applyFont="1" applyBorder="1" applyAlignment="1">
      <alignment horizontal="center" vertical="center" wrapText="1"/>
    </xf>
    <xf numFmtId="0" fontId="3" fillId="0" borderId="9" xfId="1" applyFont="1" applyBorder="1" applyAlignment="1">
      <alignment horizontal="center" vertical="center" wrapText="1"/>
    </xf>
    <xf numFmtId="0" fontId="155" fillId="0" borderId="14" xfId="1" applyFont="1" applyBorder="1" applyAlignment="1">
      <alignment horizontal="center" vertical="center" wrapText="1"/>
    </xf>
    <xf numFmtId="0" fontId="155" fillId="0" borderId="15" xfId="1" applyFont="1" applyBorder="1" applyAlignment="1">
      <alignment horizontal="center" vertical="center" wrapText="1"/>
    </xf>
    <xf numFmtId="0" fontId="155" fillId="0" borderId="18" xfId="1" applyFont="1" applyBorder="1" applyAlignment="1">
      <alignment horizontal="center" vertical="center" wrapText="1"/>
    </xf>
    <xf numFmtId="0" fontId="155" fillId="0" borderId="19" xfId="1" applyFont="1" applyBorder="1" applyAlignment="1">
      <alignment horizontal="center" vertical="center" wrapText="1"/>
    </xf>
    <xf numFmtId="0" fontId="155" fillId="0" borderId="8" xfId="1" applyFont="1" applyBorder="1" applyAlignment="1">
      <alignment horizontal="center" vertical="center" wrapText="1"/>
    </xf>
    <xf numFmtId="0" fontId="155" fillId="0" borderId="10" xfId="1" applyFont="1" applyBorder="1" applyAlignment="1">
      <alignment horizontal="center" vertical="center" wrapText="1"/>
    </xf>
    <xf numFmtId="0" fontId="4" fillId="0" borderId="16" xfId="1" applyFont="1" applyBorder="1" applyAlignment="1">
      <alignment horizontal="left" vertical="center"/>
    </xf>
    <xf numFmtId="168" fontId="83" fillId="8" borderId="7" xfId="463" applyFont="1" applyFill="1" applyBorder="1" applyAlignment="1">
      <alignment horizontal="center" vertical="center"/>
    </xf>
    <xf numFmtId="168" fontId="83" fillId="8" borderId="6" xfId="463" applyFont="1" applyFill="1" applyBorder="1" applyAlignment="1">
      <alignment horizontal="center" vertical="center"/>
    </xf>
    <xf numFmtId="0" fontId="17" fillId="0" borderId="5"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Font="1" applyBorder="1" applyAlignment="1">
      <alignment horizontal="center" vertical="center" wrapText="1"/>
    </xf>
    <xf numFmtId="0" fontId="28" fillId="81" borderId="8" xfId="1" applyFont="1" applyFill="1" applyBorder="1" applyAlignment="1">
      <alignment horizontal="center" vertical="center"/>
    </xf>
    <xf numFmtId="0" fontId="28" fillId="81" borderId="9" xfId="1" applyFont="1" applyFill="1" applyBorder="1" applyAlignment="1">
      <alignment horizontal="center" vertical="center"/>
    </xf>
    <xf numFmtId="168" fontId="28" fillId="81" borderId="9" xfId="642" applyFont="1" applyFill="1" applyBorder="1" applyAlignment="1">
      <alignment horizontal="center" vertical="center"/>
    </xf>
    <xf numFmtId="168" fontId="28" fillId="81" borderId="10" xfId="642" applyFont="1" applyFill="1" applyBorder="1" applyAlignment="1">
      <alignment horizontal="center" vertical="center"/>
    </xf>
    <xf numFmtId="0" fontId="3" fillId="4" borderId="5" xfId="1" applyFont="1" applyFill="1" applyBorder="1" applyAlignment="1">
      <alignment horizontal="center" vertical="center" wrapText="1"/>
    </xf>
    <xf numFmtId="0" fontId="4" fillId="4" borderId="7"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137" fillId="0" borderId="14" xfId="1" applyFont="1" applyBorder="1" applyAlignment="1">
      <alignment horizontal="center" vertical="center"/>
    </xf>
    <xf numFmtId="0" fontId="137" fillId="0" borderId="15" xfId="1" applyFont="1" applyBorder="1" applyAlignment="1">
      <alignment horizontal="center" vertical="center"/>
    </xf>
    <xf numFmtId="0" fontId="12" fillId="0" borderId="5" xfId="1" applyFont="1" applyBorder="1" applyAlignment="1">
      <alignment horizontal="center" vertical="center"/>
    </xf>
    <xf numFmtId="0" fontId="12" fillId="0" borderId="7" xfId="1" applyFont="1" applyBorder="1" applyAlignment="1">
      <alignment horizontal="center" vertical="center"/>
    </xf>
    <xf numFmtId="17" fontId="4" fillId="0" borderId="0" xfId="1" applyNumberFormat="1" applyFont="1" applyAlignment="1">
      <alignment horizontal="left" vertical="center" wrapText="1"/>
    </xf>
    <xf numFmtId="0" fontId="155" fillId="0" borderId="16" xfId="1" applyFont="1" applyBorder="1" applyAlignment="1">
      <alignment horizontal="center" vertical="center" wrapText="1"/>
    </xf>
    <xf numFmtId="0" fontId="155" fillId="0" borderId="0" xfId="1" applyFont="1" applyAlignment="1">
      <alignment horizontal="center" vertical="center" wrapText="1"/>
    </xf>
    <xf numFmtId="0" fontId="3" fillId="0" borderId="0" xfId="1" applyFont="1" applyAlignment="1">
      <alignment horizontal="right" vertical="center"/>
    </xf>
    <xf numFmtId="0" fontId="5" fillId="0" borderId="14" xfId="1" applyBorder="1" applyAlignment="1">
      <alignment horizontal="center" vertical="center"/>
    </xf>
    <xf numFmtId="0" fontId="5" fillId="0" borderId="15" xfId="1" applyBorder="1" applyAlignment="1">
      <alignment horizontal="center" vertical="center"/>
    </xf>
    <xf numFmtId="0" fontId="5" fillId="0" borderId="18" xfId="1" applyBorder="1" applyAlignment="1">
      <alignment horizontal="center" vertical="center"/>
    </xf>
    <xf numFmtId="0" fontId="5" fillId="0" borderId="19" xfId="1" applyBorder="1" applyAlignment="1">
      <alignment horizontal="center" vertical="center"/>
    </xf>
    <xf numFmtId="0" fontId="5" fillId="0" borderId="8" xfId="1" applyBorder="1" applyAlignment="1">
      <alignment horizontal="center" vertical="center"/>
    </xf>
    <xf numFmtId="0" fontId="5" fillId="0" borderId="10" xfId="1" applyBorder="1" applyAlignment="1">
      <alignment horizontal="center" vertical="center"/>
    </xf>
    <xf numFmtId="0" fontId="3" fillId="4" borderId="14" xfId="1" applyFont="1" applyFill="1" applyBorder="1" applyAlignment="1">
      <alignment horizontal="center" vertical="center" wrapText="1"/>
    </xf>
    <xf numFmtId="0" fontId="3" fillId="4" borderId="16" xfId="1" applyFont="1" applyFill="1" applyBorder="1" applyAlignment="1">
      <alignment horizontal="center" vertical="center" wrapText="1"/>
    </xf>
    <xf numFmtId="0" fontId="3" fillId="4" borderId="15" xfId="1" applyFont="1" applyFill="1" applyBorder="1" applyAlignment="1">
      <alignment horizontal="center" vertical="center" wrapText="1"/>
    </xf>
    <xf numFmtId="0" fontId="12" fillId="78" borderId="18" xfId="1" applyFont="1" applyFill="1" applyBorder="1" applyAlignment="1">
      <alignment horizontal="center" vertical="center"/>
    </xf>
    <xf numFmtId="0" fontId="12" fillId="78" borderId="0" xfId="1" applyFont="1" applyFill="1" applyAlignment="1">
      <alignment horizontal="center" vertical="center"/>
    </xf>
    <xf numFmtId="0" fontId="12" fillId="78" borderId="19" xfId="1" applyFont="1" applyFill="1" applyBorder="1" applyAlignment="1">
      <alignment horizontal="center" vertical="center"/>
    </xf>
    <xf numFmtId="17" fontId="4" fillId="0" borderId="9" xfId="1" applyNumberFormat="1" applyFont="1" applyBorder="1" applyAlignment="1">
      <alignment horizontal="left" vertical="center"/>
    </xf>
    <xf numFmtId="0" fontId="16" fillId="0" borderId="14" xfId="1" applyFont="1" applyBorder="1" applyAlignment="1">
      <alignment horizontal="center" vertical="center" wrapText="1"/>
    </xf>
    <xf numFmtId="0" fontId="16" fillId="0" borderId="16" xfId="1" applyFont="1" applyBorder="1" applyAlignment="1">
      <alignment horizontal="center" vertical="center" wrapText="1"/>
    </xf>
    <xf numFmtId="0" fontId="16" fillId="0" borderId="15" xfId="1" applyFont="1" applyBorder="1" applyAlignment="1">
      <alignment horizontal="center" vertical="center" wrapText="1"/>
    </xf>
    <xf numFmtId="0" fontId="16" fillId="0" borderId="18" xfId="1" applyFont="1" applyBorder="1" applyAlignment="1">
      <alignment horizontal="center" vertical="center" wrapText="1"/>
    </xf>
    <xf numFmtId="0" fontId="16" fillId="0" borderId="0" xfId="1" applyFont="1" applyAlignment="1">
      <alignment horizontal="center" vertical="center" wrapText="1"/>
    </xf>
    <xf numFmtId="0" fontId="16" fillId="0" borderId="19" xfId="1" applyFont="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200" fontId="5" fillId="0" borderId="14" xfId="1" applyNumberFormat="1" applyBorder="1" applyAlignment="1">
      <alignment horizontal="center" vertical="center"/>
    </xf>
    <xf numFmtId="200" fontId="5" fillId="0" borderId="15" xfId="1" applyNumberFormat="1" applyBorder="1" applyAlignment="1">
      <alignment horizontal="center" vertical="center"/>
    </xf>
    <xf numFmtId="200" fontId="5" fillId="0" borderId="18" xfId="1" applyNumberFormat="1" applyBorder="1" applyAlignment="1">
      <alignment horizontal="center" vertical="center"/>
    </xf>
    <xf numFmtId="200" fontId="5" fillId="0" borderId="19" xfId="1" applyNumberFormat="1" applyBorder="1" applyAlignment="1">
      <alignment horizontal="center" vertical="center"/>
    </xf>
    <xf numFmtId="200" fontId="5" fillId="0" borderId="8" xfId="1" applyNumberFormat="1" applyBorder="1" applyAlignment="1">
      <alignment horizontal="center" vertical="center"/>
    </xf>
    <xf numFmtId="200" fontId="5" fillId="0" borderId="10" xfId="1" applyNumberFormat="1" applyBorder="1" applyAlignment="1">
      <alignment horizontal="center" vertical="center"/>
    </xf>
    <xf numFmtId="0" fontId="137" fillId="0" borderId="5" xfId="1" applyFont="1" applyBorder="1" applyAlignment="1">
      <alignment horizontal="center" vertical="center" wrapText="1"/>
    </xf>
    <xf numFmtId="0" fontId="137" fillId="0" borderId="7" xfId="1" applyFont="1" applyBorder="1" applyAlignment="1">
      <alignment horizontal="center" vertical="center" wrapText="1"/>
    </xf>
    <xf numFmtId="0" fontId="137" fillId="0" borderId="6" xfId="1" applyFont="1" applyBorder="1" applyAlignment="1">
      <alignment horizontal="center" vertical="center" wrapText="1"/>
    </xf>
    <xf numFmtId="0" fontId="5" fillId="0" borderId="8" xfId="1" applyBorder="1" applyAlignment="1">
      <alignment horizontal="center" vertical="center" wrapText="1"/>
    </xf>
    <xf numFmtId="0" fontId="5" fillId="0" borderId="9" xfId="1" applyBorder="1" applyAlignment="1">
      <alignment horizontal="center" vertical="center" wrapText="1"/>
    </xf>
    <xf numFmtId="0" fontId="5" fillId="0" borderId="10" xfId="1" applyBorder="1" applyAlignment="1">
      <alignment horizontal="center" vertical="center" wrapText="1"/>
    </xf>
    <xf numFmtId="10" fontId="12" fillId="0" borderId="47" xfId="645" applyNumberFormat="1" applyFont="1" applyFill="1" applyBorder="1" applyAlignment="1">
      <alignment horizontal="center" vertical="center" wrapText="1"/>
    </xf>
    <xf numFmtId="10" fontId="12" fillId="0" borderId="82" xfId="645" applyNumberFormat="1" applyFont="1" applyFill="1" applyBorder="1" applyAlignment="1">
      <alignment horizontal="center" vertical="center" wrapText="1"/>
    </xf>
    <xf numFmtId="0" fontId="3" fillId="73" borderId="75" xfId="127" applyFont="1" applyFill="1" applyBorder="1" applyAlignment="1">
      <alignment horizontal="center" vertical="center" wrapText="1"/>
    </xf>
    <xf numFmtId="0" fontId="3" fillId="73" borderId="69" xfId="127" applyFont="1" applyFill="1" applyBorder="1" applyAlignment="1">
      <alignment horizontal="center" vertical="center" wrapText="1"/>
    </xf>
    <xf numFmtId="0" fontId="3" fillId="73" borderId="76" xfId="127" applyFont="1" applyFill="1" applyBorder="1" applyAlignment="1">
      <alignment horizontal="center" vertical="center" wrapText="1"/>
    </xf>
    <xf numFmtId="49" fontId="4" fillId="0" borderId="16"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0" fontId="3" fillId="73" borderId="239" xfId="640" applyFont="1" applyFill="1" applyBorder="1" applyAlignment="1">
      <alignment horizontal="center"/>
    </xf>
    <xf numFmtId="0" fontId="3" fillId="73" borderId="236" xfId="640" applyFont="1" applyFill="1" applyBorder="1" applyAlignment="1">
      <alignment horizontal="center"/>
    </xf>
    <xf numFmtId="0" fontId="3" fillId="73" borderId="240" xfId="640" applyFont="1" applyFill="1" applyBorder="1" applyAlignment="1">
      <alignment horizontal="center"/>
    </xf>
    <xf numFmtId="0" fontId="4" fillId="0" borderId="40" xfId="640" applyFont="1" applyBorder="1" applyAlignment="1">
      <alignment horizontal="left" vertical="center"/>
    </xf>
    <xf numFmtId="0" fontId="4" fillId="0" borderId="0" xfId="640" applyFont="1" applyAlignment="1">
      <alignment horizontal="left" vertical="center"/>
    </xf>
    <xf numFmtId="0" fontId="3" fillId="4" borderId="75" xfId="640" applyFont="1" applyFill="1" applyBorder="1" applyAlignment="1">
      <alignment horizontal="left" vertical="center" wrapText="1"/>
    </xf>
    <xf numFmtId="0" fontId="3" fillId="4" borderId="69" xfId="640" applyFont="1" applyFill="1" applyBorder="1" applyAlignment="1">
      <alignment horizontal="left" vertical="center" wrapText="1"/>
    </xf>
    <xf numFmtId="0" fontId="3" fillId="4" borderId="76" xfId="640" applyFont="1" applyFill="1" applyBorder="1" applyAlignment="1">
      <alignment horizontal="left" vertical="center" wrapText="1"/>
    </xf>
    <xf numFmtId="0" fontId="3" fillId="73" borderId="206" xfId="640" applyFont="1" applyFill="1" applyBorder="1" applyAlignment="1">
      <alignment horizontal="center"/>
    </xf>
    <xf numFmtId="0" fontId="3" fillId="73" borderId="216" xfId="640" applyFont="1" applyFill="1" applyBorder="1" applyAlignment="1">
      <alignment horizontal="center"/>
    </xf>
    <xf numFmtId="0" fontId="3" fillId="73" borderId="205" xfId="640" applyFont="1" applyFill="1" applyBorder="1" applyAlignment="1">
      <alignment horizontal="center"/>
    </xf>
    <xf numFmtId="0" fontId="3" fillId="4" borderId="34" xfId="640" applyFont="1" applyFill="1" applyBorder="1" applyAlignment="1">
      <alignment horizontal="left" vertical="center" wrapText="1"/>
    </xf>
    <xf numFmtId="0" fontId="2" fillId="0" borderId="34" xfId="0" applyFont="1" applyBorder="1" applyAlignment="1">
      <alignment horizontal="left" vertical="center" wrapText="1"/>
    </xf>
    <xf numFmtId="0" fontId="3" fillId="4" borderId="5" xfId="23" applyFont="1" applyFill="1" applyBorder="1" applyAlignment="1">
      <alignment horizontal="center" vertical="center" wrapText="1"/>
    </xf>
    <xf numFmtId="0" fontId="3" fillId="4" borderId="9" xfId="23" applyFont="1" applyFill="1" applyBorder="1" applyAlignment="1">
      <alignment horizontal="center" vertical="center" wrapText="1"/>
    </xf>
    <xf numFmtId="0" fontId="3" fillId="4" borderId="7" xfId="23" applyFont="1" applyFill="1" applyBorder="1" applyAlignment="1">
      <alignment horizontal="center" vertical="center" wrapText="1"/>
    </xf>
    <xf numFmtId="0" fontId="3" fillId="4" borderId="6" xfId="23" applyFont="1" applyFill="1" applyBorder="1" applyAlignment="1">
      <alignment horizontal="center" vertical="center" wrapText="1"/>
    </xf>
    <xf numFmtId="0" fontId="3" fillId="0" borderId="9" xfId="23" applyFont="1" applyBorder="1" applyAlignment="1">
      <alignment horizontal="right" vertical="center"/>
    </xf>
    <xf numFmtId="0" fontId="3" fillId="0" borderId="8" xfId="23" applyFont="1" applyBorder="1" applyAlignment="1">
      <alignment horizontal="center" vertical="center" wrapText="1"/>
    </xf>
    <xf numFmtId="0" fontId="3" fillId="0" borderId="9" xfId="23" applyFont="1" applyBorder="1" applyAlignment="1">
      <alignment horizontal="center" vertical="center" wrapText="1"/>
    </xf>
    <xf numFmtId="0" fontId="16" fillId="0" borderId="14" xfId="23" applyFont="1" applyBorder="1" applyAlignment="1">
      <alignment horizontal="center" vertical="center" wrapText="1"/>
    </xf>
    <xf numFmtId="0" fontId="16" fillId="0" borderId="15" xfId="23" applyFont="1" applyBorder="1" applyAlignment="1">
      <alignment horizontal="center" vertical="center" wrapText="1"/>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3" fillId="73" borderId="206" xfId="636" applyFont="1" applyFill="1" applyBorder="1" applyAlignment="1">
      <alignment horizontal="center"/>
    </xf>
    <xf numFmtId="0" fontId="3" fillId="73" borderId="216" xfId="636" applyFont="1" applyFill="1" applyBorder="1" applyAlignment="1">
      <alignment horizontal="center"/>
    </xf>
    <xf numFmtId="0" fontId="3" fillId="73" borderId="205" xfId="636" applyFont="1" applyFill="1" applyBorder="1" applyAlignment="1">
      <alignment horizontal="center"/>
    </xf>
    <xf numFmtId="0" fontId="3" fillId="13" borderId="186" xfId="495" applyFont="1" applyFill="1" applyBorder="1" applyAlignment="1">
      <alignment horizontal="center" vertical="center"/>
    </xf>
    <xf numFmtId="0" fontId="3" fillId="13" borderId="216" xfId="495" applyFont="1" applyFill="1" applyBorder="1" applyAlignment="1">
      <alignment horizontal="center" vertical="center"/>
    </xf>
    <xf numFmtId="0" fontId="3" fillId="13" borderId="205" xfId="495" applyFont="1" applyFill="1" applyBorder="1" applyAlignment="1">
      <alignment horizontal="center" vertical="center"/>
    </xf>
    <xf numFmtId="0" fontId="3" fillId="73" borderId="215" xfId="636" applyFont="1" applyFill="1" applyBorder="1" applyAlignment="1">
      <alignment horizontal="center"/>
    </xf>
    <xf numFmtId="0" fontId="3" fillId="73" borderId="217" xfId="636" applyFont="1" applyFill="1" applyBorder="1" applyAlignment="1">
      <alignment horizontal="center"/>
    </xf>
    <xf numFmtId="0" fontId="3" fillId="73" borderId="207" xfId="636" applyFont="1" applyFill="1" applyBorder="1" applyAlignment="1">
      <alignment horizontal="center"/>
    </xf>
    <xf numFmtId="0" fontId="4" fillId="0" borderId="32" xfId="495" applyFont="1" applyBorder="1" applyAlignment="1">
      <alignment horizontal="center" wrapText="1"/>
    </xf>
    <xf numFmtId="0" fontId="4" fillId="0" borderId="34" xfId="495" applyFont="1" applyBorder="1" applyAlignment="1">
      <alignment horizontal="center" wrapText="1"/>
    </xf>
    <xf numFmtId="0" fontId="3" fillId="2" borderId="68" xfId="495" applyFont="1" applyFill="1" applyBorder="1" applyAlignment="1">
      <alignment horizontal="center" vertical="center"/>
    </xf>
    <xf numFmtId="0" fontId="3" fillId="2" borderId="69" xfId="495" applyFont="1" applyFill="1" applyBorder="1" applyAlignment="1">
      <alignment horizontal="center" vertical="center"/>
    </xf>
    <xf numFmtId="0" fontId="3" fillId="2" borderId="70" xfId="495" applyFont="1" applyFill="1" applyBorder="1" applyAlignment="1">
      <alignment horizontal="center" vertical="center"/>
    </xf>
    <xf numFmtId="0" fontId="4" fillId="0" borderId="239" xfId="495" applyFont="1" applyBorder="1" applyAlignment="1">
      <alignment horizontal="center" wrapText="1"/>
    </xf>
    <xf numFmtId="0" fontId="4" fillId="0" borderId="236" xfId="495" applyFont="1" applyBorder="1" applyAlignment="1">
      <alignment horizontal="center" wrapText="1"/>
    </xf>
    <xf numFmtId="2" fontId="4" fillId="0" borderId="236" xfId="495" applyNumberFormat="1" applyFont="1" applyBorder="1" applyAlignment="1">
      <alignment horizontal="center"/>
    </xf>
    <xf numFmtId="2" fontId="4" fillId="0" borderId="240" xfId="495" applyNumberFormat="1" applyFont="1" applyBorder="1" applyAlignment="1">
      <alignment horizontal="center"/>
    </xf>
    <xf numFmtId="0" fontId="7" fillId="0" borderId="14" xfId="23" applyBorder="1" applyAlignment="1">
      <alignment horizontal="center" vertical="center"/>
    </xf>
    <xf numFmtId="0" fontId="7" fillId="0" borderId="8" xfId="23" applyBorder="1" applyAlignment="1">
      <alignment horizontal="center" vertical="center"/>
    </xf>
    <xf numFmtId="0" fontId="4" fillId="0" borderId="0" xfId="23" applyFont="1" applyAlignment="1">
      <alignment horizontal="left" vertical="center" wrapText="1"/>
    </xf>
    <xf numFmtId="0" fontId="3" fillId="0" borderId="0" xfId="23" applyFont="1" applyAlignment="1">
      <alignment horizontal="right" vertical="center"/>
    </xf>
    <xf numFmtId="0" fontId="4" fillId="0" borderId="16" xfId="23" applyFont="1" applyBorder="1" applyAlignment="1">
      <alignment horizontal="left" vertical="center"/>
    </xf>
    <xf numFmtId="0" fontId="3" fillId="13" borderId="206" xfId="495" applyFont="1" applyFill="1" applyBorder="1" applyAlignment="1">
      <alignment horizontal="center" vertical="center"/>
    </xf>
    <xf numFmtId="0" fontId="3" fillId="13" borderId="180" xfId="495" applyFont="1" applyFill="1" applyBorder="1" applyAlignment="1">
      <alignment horizontal="center" vertical="center"/>
    </xf>
    <xf numFmtId="2" fontId="4" fillId="0" borderId="34" xfId="495" applyNumberFormat="1" applyFont="1" applyBorder="1" applyAlignment="1">
      <alignment horizontal="center"/>
    </xf>
    <xf numFmtId="2" fontId="4" fillId="0" borderId="33" xfId="495" applyNumberFormat="1" applyFont="1" applyBorder="1" applyAlignment="1">
      <alignment horizontal="center"/>
    </xf>
    <xf numFmtId="0" fontId="28" fillId="81" borderId="5" xfId="23" applyFont="1" applyFill="1" applyBorder="1" applyAlignment="1">
      <alignment horizontal="center" vertical="center"/>
    </xf>
    <xf numFmtId="0" fontId="28" fillId="81" borderId="7" xfId="23" applyFont="1" applyFill="1" applyBorder="1" applyAlignment="1">
      <alignment horizontal="center" vertical="center"/>
    </xf>
    <xf numFmtId="0" fontId="28" fillId="81" borderId="6" xfId="23" applyFont="1" applyFill="1" applyBorder="1" applyAlignment="1">
      <alignment horizontal="center" vertical="center"/>
    </xf>
    <xf numFmtId="0" fontId="3" fillId="4" borderId="75" xfId="23" applyFont="1" applyFill="1" applyBorder="1" applyAlignment="1">
      <alignment horizontal="left" vertical="center" wrapText="1"/>
    </xf>
    <xf numFmtId="0" fontId="3" fillId="4" borderId="69" xfId="23" applyFont="1" applyFill="1" applyBorder="1" applyAlignment="1">
      <alignment horizontal="left" vertical="center" wrapText="1"/>
    </xf>
    <xf numFmtId="0" fontId="3" fillId="4" borderId="76" xfId="23" applyFont="1" applyFill="1" applyBorder="1" applyAlignment="1">
      <alignment horizontal="left" vertical="center" wrapText="1"/>
    </xf>
    <xf numFmtId="49" fontId="3" fillId="0" borderId="0" xfId="0" applyNumberFormat="1" applyFont="1" applyAlignment="1">
      <alignment horizontal="left" vertical="top" wrapText="1"/>
    </xf>
    <xf numFmtId="49" fontId="3" fillId="0" borderId="19" xfId="0" applyNumberFormat="1" applyFont="1" applyBorder="1" applyAlignment="1">
      <alignment horizontal="left" vertical="top" wrapText="1"/>
    </xf>
    <xf numFmtId="0" fontId="4" fillId="0" borderId="0" xfId="23" applyFont="1" applyAlignment="1">
      <alignment horizontal="left"/>
    </xf>
    <xf numFmtId="0" fontId="4" fillId="0" borderId="19" xfId="23" applyFont="1" applyBorder="1" applyAlignment="1">
      <alignment horizontal="left"/>
    </xf>
    <xf numFmtId="0" fontId="4" fillId="0" borderId="0" xfId="640" applyFont="1" applyAlignment="1">
      <alignment horizontal="left" wrapText="1"/>
    </xf>
    <xf numFmtId="0" fontId="4" fillId="0" borderId="19" xfId="640" applyFont="1" applyBorder="1" applyAlignment="1">
      <alignment horizontal="left" wrapText="1"/>
    </xf>
    <xf numFmtId="0" fontId="3" fillId="43" borderId="206" xfId="640" applyFont="1" applyFill="1" applyBorder="1" applyAlignment="1">
      <alignment horizontal="center"/>
    </xf>
    <xf numFmtId="0" fontId="3" fillId="43" borderId="216" xfId="640" applyFont="1" applyFill="1" applyBorder="1" applyAlignment="1">
      <alignment horizontal="center"/>
    </xf>
    <xf numFmtId="0" fontId="3" fillId="43" borderId="205" xfId="640" applyFont="1" applyFill="1" applyBorder="1" applyAlignment="1">
      <alignment horizontal="center"/>
    </xf>
    <xf numFmtId="0" fontId="3" fillId="43" borderId="199" xfId="640" applyFont="1" applyFill="1" applyBorder="1" applyAlignment="1">
      <alignment horizontal="center"/>
    </xf>
    <xf numFmtId="0" fontId="3" fillId="43" borderId="200" xfId="640" applyFont="1" applyFill="1" applyBorder="1" applyAlignment="1">
      <alignment horizontal="center"/>
    </xf>
    <xf numFmtId="0" fontId="3" fillId="43" borderId="201" xfId="640" applyFont="1" applyFill="1" applyBorder="1" applyAlignment="1">
      <alignment horizontal="center"/>
    </xf>
    <xf numFmtId="0" fontId="4" fillId="0" borderId="16" xfId="640" applyFont="1" applyBorder="1" applyAlignment="1">
      <alignment horizontal="left"/>
    </xf>
    <xf numFmtId="0" fontId="4" fillId="0" borderId="15" xfId="640" applyFont="1" applyBorder="1" applyAlignment="1">
      <alignment horizontal="left"/>
    </xf>
    <xf numFmtId="0" fontId="4" fillId="0" borderId="16" xfId="640" applyFont="1" applyBorder="1" applyAlignment="1">
      <alignment horizontal="left" vertical="center" wrapText="1"/>
    </xf>
    <xf numFmtId="0" fontId="4" fillId="0" borderId="15" xfId="640" applyFont="1" applyBorder="1" applyAlignment="1">
      <alignment horizontal="left" vertical="center" wrapText="1"/>
    </xf>
    <xf numFmtId="0" fontId="3" fillId="4" borderId="5" xfId="640" applyFont="1" applyFill="1" applyBorder="1" applyAlignment="1">
      <alignment horizontal="center" vertical="center" wrapText="1"/>
    </xf>
    <xf numFmtId="0" fontId="3" fillId="4" borderId="7" xfId="640" applyFont="1" applyFill="1" applyBorder="1" applyAlignment="1">
      <alignment horizontal="center" vertical="center" wrapText="1"/>
    </xf>
    <xf numFmtId="0" fontId="3" fillId="4" borderId="6" xfId="640" applyFont="1" applyFill="1" applyBorder="1" applyAlignment="1">
      <alignment horizontal="center" vertical="center" wrapText="1"/>
    </xf>
    <xf numFmtId="0" fontId="28" fillId="81" borderId="5" xfId="640" applyFont="1" applyFill="1" applyBorder="1" applyAlignment="1">
      <alignment horizontal="center" vertical="center"/>
    </xf>
    <xf numFmtId="0" fontId="28" fillId="81" borderId="7" xfId="640" applyFont="1" applyFill="1" applyBorder="1" applyAlignment="1">
      <alignment horizontal="center" vertical="center"/>
    </xf>
    <xf numFmtId="0" fontId="28" fillId="81" borderId="6" xfId="640" applyFont="1" applyFill="1" applyBorder="1" applyAlignment="1">
      <alignment horizontal="center" vertical="center"/>
    </xf>
    <xf numFmtId="0" fontId="5" fillId="0" borderId="17" xfId="640" applyBorder="1" applyAlignment="1">
      <alignment horizontal="center" vertical="center"/>
    </xf>
    <xf numFmtId="0" fontId="5" fillId="0" borderId="64" xfId="640" applyBorder="1" applyAlignment="1">
      <alignment horizontal="center" vertical="center"/>
    </xf>
    <xf numFmtId="0" fontId="16" fillId="0" borderId="14" xfId="640" applyFont="1" applyBorder="1" applyAlignment="1">
      <alignment horizontal="center" vertical="center" wrapText="1"/>
    </xf>
    <xf numFmtId="0" fontId="16" fillId="0" borderId="15" xfId="640" applyFont="1" applyBorder="1" applyAlignment="1">
      <alignment horizontal="center" vertical="center" wrapText="1"/>
    </xf>
    <xf numFmtId="0" fontId="56" fillId="0" borderId="179" xfId="0" applyFont="1" applyBorder="1" applyAlignment="1" applyProtection="1">
      <alignment horizontal="left" vertical="center"/>
      <protection locked="0"/>
    </xf>
    <xf numFmtId="0" fontId="56" fillId="0" borderId="207" xfId="0" applyFont="1" applyBorder="1" applyAlignment="1" applyProtection="1">
      <alignment horizontal="left" vertical="center"/>
      <protection locked="0"/>
    </xf>
    <xf numFmtId="0" fontId="148" fillId="0" borderId="14" xfId="0" applyFont="1" applyBorder="1" applyAlignment="1" applyProtection="1">
      <alignment horizontal="center" vertical="center"/>
      <protection locked="0"/>
    </xf>
    <xf numFmtId="0" fontId="148" fillId="0" borderId="16" xfId="0" applyFont="1" applyBorder="1" applyAlignment="1" applyProtection="1">
      <alignment horizontal="center" vertical="center"/>
      <protection locked="0"/>
    </xf>
    <xf numFmtId="0" fontId="148" fillId="0" borderId="15" xfId="0" applyFont="1" applyBorder="1" applyAlignment="1" applyProtection="1">
      <alignment horizontal="center" vertical="center"/>
      <protection locked="0"/>
    </xf>
    <xf numFmtId="0" fontId="149" fillId="0" borderId="18" xfId="0" applyFont="1" applyBorder="1" applyAlignment="1" applyProtection="1">
      <alignment horizontal="center" vertical="center"/>
      <protection locked="0"/>
    </xf>
    <xf numFmtId="0" fontId="149" fillId="0" borderId="0" xfId="0" applyFont="1" applyAlignment="1" applyProtection="1">
      <alignment horizontal="center" vertical="center"/>
      <protection locked="0"/>
    </xf>
    <xf numFmtId="0" fontId="149" fillId="0" borderId="19" xfId="0" applyFont="1" applyBorder="1" applyAlignment="1" applyProtection="1">
      <alignment horizontal="center" vertical="center"/>
      <protection locked="0"/>
    </xf>
    <xf numFmtId="0" fontId="150" fillId="0" borderId="18" xfId="0" applyFont="1" applyBorder="1" applyAlignment="1" applyProtection="1">
      <alignment horizontal="center" vertical="center"/>
      <protection locked="0"/>
    </xf>
    <xf numFmtId="0" fontId="150" fillId="0" borderId="0" xfId="0" applyFont="1" applyAlignment="1" applyProtection="1">
      <alignment horizontal="center" vertical="center"/>
      <protection locked="0"/>
    </xf>
    <xf numFmtId="0" fontId="150" fillId="0" borderId="19" xfId="0" applyFont="1" applyBorder="1" applyAlignment="1" applyProtection="1">
      <alignment horizontal="center" vertical="center"/>
      <protection locked="0"/>
    </xf>
    <xf numFmtId="0" fontId="150" fillId="0" borderId="27" xfId="0" applyFont="1" applyBorder="1" applyAlignment="1" applyProtection="1">
      <alignment horizontal="center" vertical="center"/>
      <protection locked="0"/>
    </xf>
    <xf numFmtId="0" fontId="150" fillId="0" borderId="28" xfId="0" applyFont="1" applyBorder="1" applyAlignment="1" applyProtection="1">
      <alignment horizontal="center" vertical="center"/>
      <protection locked="0"/>
    </xf>
    <xf numFmtId="0" fontId="150" fillId="0" borderId="29" xfId="0" applyFont="1" applyBorder="1" applyAlignment="1" applyProtection="1">
      <alignment horizontal="center" vertical="center"/>
      <protection locked="0"/>
    </xf>
    <xf numFmtId="0" fontId="2" fillId="0" borderId="213" xfId="0" applyFont="1" applyBorder="1" applyAlignment="1" applyProtection="1">
      <alignment horizontal="left" vertical="center" wrapText="1"/>
      <protection locked="0"/>
    </xf>
    <xf numFmtId="0" fontId="2" fillId="0" borderId="214" xfId="0" applyFont="1" applyBorder="1" applyAlignment="1" applyProtection="1">
      <alignment horizontal="left" vertical="center" wrapText="1"/>
      <protection locked="0"/>
    </xf>
    <xf numFmtId="14" fontId="56" fillId="0" borderId="0" xfId="0" applyNumberFormat="1" applyFont="1" applyAlignment="1" applyProtection="1">
      <alignment horizontal="left" vertical="center"/>
      <protection locked="0"/>
    </xf>
    <xf numFmtId="14" fontId="56" fillId="0" borderId="19" xfId="0" applyNumberFormat="1" applyFont="1" applyBorder="1" applyAlignment="1" applyProtection="1">
      <alignment horizontal="left" vertical="center"/>
      <protection locked="0"/>
    </xf>
    <xf numFmtId="0" fontId="91" fillId="74" borderId="199" xfId="0" applyFont="1" applyFill="1" applyBorder="1" applyAlignment="1">
      <alignment horizontal="center" vertical="center"/>
    </xf>
    <xf numFmtId="0" fontId="91" fillId="74" borderId="200" xfId="0" applyFont="1" applyFill="1" applyBorder="1" applyAlignment="1">
      <alignment horizontal="center" vertical="center"/>
    </xf>
    <xf numFmtId="0" fontId="91" fillId="74" borderId="201" xfId="0" applyFont="1" applyFill="1" applyBorder="1" applyAlignment="1">
      <alignment horizontal="center" vertical="center"/>
    </xf>
    <xf numFmtId="0" fontId="138" fillId="0" borderId="199" xfId="0" applyFont="1" applyBorder="1" applyAlignment="1">
      <alignment horizontal="center" vertical="center" wrapText="1"/>
    </xf>
    <xf numFmtId="0" fontId="127" fillId="0" borderId="200" xfId="0" applyFont="1" applyBorder="1" applyAlignment="1">
      <alignment horizontal="center" vertical="center" wrapText="1"/>
    </xf>
    <xf numFmtId="0" fontId="127" fillId="0" borderId="190" xfId="0" applyFont="1" applyBorder="1" applyAlignment="1">
      <alignment horizontal="center" vertical="center" wrapText="1"/>
    </xf>
    <xf numFmtId="0" fontId="127" fillId="0" borderId="209" xfId="0" applyFont="1" applyBorder="1" applyAlignment="1">
      <alignment horizontal="center" vertical="center" wrapText="1"/>
    </xf>
    <xf numFmtId="0" fontId="2" fillId="0" borderId="86" xfId="0" applyFont="1" applyBorder="1" applyAlignment="1" applyProtection="1">
      <alignment horizontal="left" vertical="center" wrapText="1"/>
      <protection locked="0"/>
    </xf>
    <xf numFmtId="0" fontId="2" fillId="0" borderId="211" xfId="0" applyFont="1" applyBorder="1" applyAlignment="1" applyProtection="1">
      <alignment horizontal="left" vertical="center" wrapText="1"/>
      <protection locked="0"/>
    </xf>
    <xf numFmtId="0" fontId="3" fillId="43" borderId="199" xfId="640" applyFont="1" applyFill="1" applyBorder="1" applyAlignment="1">
      <alignment horizontal="center" vertical="center"/>
    </xf>
    <xf numFmtId="0" fontId="3" fillId="43" borderId="200" xfId="640" applyFont="1" applyFill="1" applyBorder="1" applyAlignment="1">
      <alignment horizontal="center" vertical="center"/>
    </xf>
    <xf numFmtId="0" fontId="3" fillId="43" borderId="201" xfId="640" applyFont="1" applyFill="1" applyBorder="1" applyAlignment="1">
      <alignment horizontal="center" vertical="center"/>
    </xf>
    <xf numFmtId="17" fontId="4" fillId="0" borderId="9" xfId="640" applyNumberFormat="1" applyFont="1" applyBorder="1" applyAlignment="1">
      <alignment horizontal="left" vertical="center"/>
    </xf>
    <xf numFmtId="0" fontId="3" fillId="0" borderId="9" xfId="640" applyFont="1" applyBorder="1" applyAlignment="1">
      <alignment horizontal="right" vertical="center"/>
    </xf>
    <xf numFmtId="0" fontId="3" fillId="2" borderId="34" xfId="640" applyFont="1" applyFill="1" applyBorder="1" applyAlignment="1">
      <alignment horizontal="left" vertical="center" wrapText="1"/>
    </xf>
    <xf numFmtId="0" fontId="5" fillId="0" borderId="14" xfId="640" applyBorder="1" applyAlignment="1">
      <alignment horizontal="center" vertical="center"/>
    </xf>
    <xf numFmtId="0" fontId="5" fillId="0" borderId="8" xfId="640" applyBorder="1" applyAlignment="1">
      <alignment horizontal="center" vertical="center"/>
    </xf>
    <xf numFmtId="0" fontId="3" fillId="0" borderId="7" xfId="1" applyFont="1" applyBorder="1" applyAlignment="1">
      <alignment horizontal="center" vertical="center" wrapText="1"/>
    </xf>
    <xf numFmtId="0" fontId="3" fillId="4" borderId="9" xfId="640" applyFont="1" applyFill="1" applyBorder="1" applyAlignment="1">
      <alignment horizontal="center" vertical="center" wrapText="1"/>
    </xf>
    <xf numFmtId="0" fontId="4" fillId="0" borderId="16" xfId="640" applyFont="1" applyBorder="1" applyAlignment="1">
      <alignment horizontal="left" vertical="center"/>
    </xf>
    <xf numFmtId="17" fontId="4" fillId="0" borderId="0" xfId="640" applyNumberFormat="1" applyFont="1" applyAlignment="1">
      <alignment horizontal="left" vertical="center"/>
    </xf>
    <xf numFmtId="0" fontId="3" fillId="0" borderId="0" xfId="640" applyFont="1" applyAlignment="1">
      <alignment horizontal="right" vertical="center"/>
    </xf>
    <xf numFmtId="0" fontId="3" fillId="73" borderId="206" xfId="640" applyFont="1" applyFill="1" applyBorder="1" applyAlignment="1">
      <alignment horizontal="center" vertical="center"/>
    </xf>
    <xf numFmtId="0" fontId="3" fillId="73" borderId="216" xfId="640" applyFont="1" applyFill="1" applyBorder="1" applyAlignment="1">
      <alignment horizontal="center" vertical="center"/>
    </xf>
    <xf numFmtId="0" fontId="3" fillId="73" borderId="205" xfId="640" applyFont="1" applyFill="1" applyBorder="1" applyAlignment="1">
      <alignment horizontal="center" vertical="center"/>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3" fillId="2" borderId="75" xfId="640" applyFont="1" applyFill="1" applyBorder="1" applyAlignment="1">
      <alignment horizontal="left" vertical="center" wrapText="1"/>
    </xf>
    <xf numFmtId="0" fontId="3" fillId="2" borderId="69" xfId="640" applyFont="1" applyFill="1" applyBorder="1" applyAlignment="1">
      <alignment horizontal="left" vertical="center" wrapText="1"/>
    </xf>
    <xf numFmtId="0" fontId="3" fillId="2" borderId="76" xfId="640" applyFont="1" applyFill="1" applyBorder="1" applyAlignment="1">
      <alignment horizontal="left" vertical="center" wrapText="1"/>
    </xf>
    <xf numFmtId="0" fontId="3" fillId="73" borderId="199" xfId="640" applyFont="1" applyFill="1" applyBorder="1" applyAlignment="1">
      <alignment horizontal="center"/>
    </xf>
    <xf numFmtId="0" fontId="3" fillId="73" borderId="200" xfId="640" applyFont="1" applyFill="1" applyBorder="1" applyAlignment="1">
      <alignment horizontal="center"/>
    </xf>
    <xf numFmtId="0" fontId="3" fillId="73" borderId="201" xfId="640" applyFont="1" applyFill="1" applyBorder="1" applyAlignment="1">
      <alignment horizontal="center"/>
    </xf>
    <xf numFmtId="49" fontId="4" fillId="0" borderId="0" xfId="772" applyNumberFormat="1" applyFont="1" applyAlignment="1">
      <alignment horizontal="left" vertical="center" wrapText="1"/>
    </xf>
    <xf numFmtId="0" fontId="18" fillId="49" borderId="11" xfId="845" applyFont="1" applyFill="1" applyBorder="1" applyAlignment="1">
      <alignment horizontal="center" vertical="center"/>
    </xf>
    <xf numFmtId="0" fontId="18" fillId="49" borderId="13" xfId="845" applyFont="1" applyFill="1" applyBorder="1" applyAlignment="1">
      <alignment horizontal="center" vertical="center"/>
    </xf>
    <xf numFmtId="0" fontId="18" fillId="49" borderId="12" xfId="845" applyFont="1" applyFill="1" applyBorder="1" applyAlignment="1">
      <alignment horizontal="center" vertical="center"/>
    </xf>
    <xf numFmtId="0" fontId="18" fillId="2" borderId="83" xfId="33" applyFont="1" applyFill="1" applyBorder="1" applyAlignment="1">
      <alignment horizontal="center"/>
    </xf>
    <xf numFmtId="0" fontId="18" fillId="2" borderId="37" xfId="33" applyFont="1" applyFill="1" applyBorder="1" applyAlignment="1">
      <alignment horizontal="center"/>
    </xf>
    <xf numFmtId="0" fontId="18" fillId="49" borderId="2" xfId="845" applyFont="1" applyFill="1" applyBorder="1" applyAlignment="1">
      <alignment horizontal="center" vertical="center"/>
    </xf>
    <xf numFmtId="0" fontId="18" fillId="49" borderId="3" xfId="845" applyFont="1" applyFill="1" applyBorder="1" applyAlignment="1">
      <alignment horizontal="center" vertical="center"/>
    </xf>
    <xf numFmtId="0" fontId="18" fillId="49" borderId="4" xfId="845" applyFont="1" applyFill="1" applyBorder="1" applyAlignment="1">
      <alignment horizontal="center" vertical="center"/>
    </xf>
    <xf numFmtId="0" fontId="3" fillId="73" borderId="11" xfId="845" applyFont="1" applyFill="1" applyBorder="1" applyAlignment="1">
      <alignment horizontal="center" vertical="center"/>
    </xf>
    <xf numFmtId="0" fontId="3" fillId="73" borderId="13" xfId="845" applyFont="1" applyFill="1" applyBorder="1" applyAlignment="1">
      <alignment horizontal="center" vertical="center"/>
    </xf>
    <xf numFmtId="0" fontId="3" fillId="73" borderId="12" xfId="845" applyFont="1" applyFill="1" applyBorder="1" applyAlignment="1">
      <alignment horizontal="center" vertical="center"/>
    </xf>
    <xf numFmtId="0" fontId="5" fillId="47" borderId="5" xfId="33" applyFont="1" applyFill="1" applyBorder="1" applyAlignment="1">
      <alignment horizontal="center"/>
    </xf>
    <xf numFmtId="0" fontId="5" fillId="47" borderId="7" xfId="33" applyFont="1" applyFill="1" applyBorder="1" applyAlignment="1">
      <alignment horizontal="center"/>
    </xf>
    <xf numFmtId="0" fontId="5" fillId="47" borderId="6" xfId="33" applyFont="1" applyFill="1" applyBorder="1" applyAlignment="1">
      <alignment horizontal="center"/>
    </xf>
    <xf numFmtId="0" fontId="4" fillId="0" borderId="26" xfId="0" applyFont="1" applyBorder="1" applyAlignment="1">
      <alignment horizontal="left" wrapText="1"/>
    </xf>
    <xf numFmtId="0" fontId="4" fillId="0" borderId="20" xfId="0" applyFont="1" applyBorder="1" applyAlignment="1">
      <alignment horizontal="left" wrapText="1"/>
    </xf>
    <xf numFmtId="2" fontId="2" fillId="0" borderId="13" xfId="0" applyNumberFormat="1" applyFont="1" applyBorder="1" applyAlignment="1">
      <alignment horizontal="center"/>
    </xf>
    <xf numFmtId="2" fontId="2" fillId="0" borderId="12" xfId="0" applyNumberFormat="1" applyFont="1" applyBorder="1" applyAlignment="1">
      <alignment horizontal="center"/>
    </xf>
    <xf numFmtId="0" fontId="3" fillId="73" borderId="63" xfId="845" applyFont="1" applyFill="1" applyBorder="1" applyAlignment="1">
      <alignment horizontal="center" vertical="center"/>
    </xf>
    <xf numFmtId="0" fontId="3" fillId="73" borderId="25" xfId="845" applyFont="1" applyFill="1" applyBorder="1" applyAlignment="1">
      <alignment horizontal="center" vertical="center"/>
    </xf>
    <xf numFmtId="0" fontId="3" fillId="73" borderId="62" xfId="845" applyFont="1" applyFill="1" applyBorder="1" applyAlignment="1">
      <alignment horizontal="center" vertical="center"/>
    </xf>
    <xf numFmtId="49" fontId="4" fillId="0" borderId="0" xfId="646" applyNumberFormat="1" applyFont="1" applyAlignment="1">
      <alignment horizontal="center" vertical="top"/>
    </xf>
    <xf numFmtId="49" fontId="4" fillId="0" borderId="9" xfId="646" applyNumberFormat="1" applyFont="1" applyBorder="1" applyAlignment="1">
      <alignment horizontal="center" vertical="top"/>
    </xf>
    <xf numFmtId="0" fontId="3" fillId="2" borderId="75" xfId="720" applyFont="1" applyFill="1" applyBorder="1" applyAlignment="1">
      <alignment horizontal="center" vertical="center"/>
    </xf>
    <xf numFmtId="0" fontId="3" fillId="2" borderId="69" xfId="720" applyFont="1" applyFill="1" applyBorder="1" applyAlignment="1">
      <alignment horizontal="center" vertical="center"/>
    </xf>
    <xf numFmtId="0" fontId="3" fillId="2" borderId="76"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0" fontId="3" fillId="73" borderId="11" xfId="0" applyFont="1" applyFill="1" applyBorder="1" applyAlignment="1">
      <alignment horizontal="center"/>
    </xf>
    <xf numFmtId="0" fontId="3" fillId="73" borderId="13" xfId="0" applyFont="1" applyFill="1" applyBorder="1" applyAlignment="1">
      <alignment horizontal="center"/>
    </xf>
    <xf numFmtId="0" fontId="3" fillId="73" borderId="12" xfId="0" applyFont="1" applyFill="1" applyBorder="1" applyAlignment="1">
      <alignment horizontal="center"/>
    </xf>
    <xf numFmtId="2" fontId="124" fillId="0" borderId="13" xfId="0" applyNumberFormat="1" applyFont="1" applyBorder="1" applyAlignment="1">
      <alignment horizontal="center"/>
    </xf>
    <xf numFmtId="2" fontId="124" fillId="0" borderId="12" xfId="0" applyNumberFormat="1" applyFont="1" applyBorder="1" applyAlignment="1">
      <alignment horizontal="center"/>
    </xf>
    <xf numFmtId="2" fontId="124" fillId="0" borderId="20" xfId="0" applyNumberFormat="1" applyFont="1" applyBorder="1" applyAlignment="1">
      <alignment horizontal="center"/>
    </xf>
    <xf numFmtId="2" fontId="124" fillId="0" borderId="39" xfId="0" applyNumberFormat="1" applyFont="1" applyBorder="1" applyAlignment="1">
      <alignment horizontal="center"/>
    </xf>
    <xf numFmtId="2" fontId="2" fillId="0" borderId="20" xfId="0" applyNumberFormat="1" applyFont="1" applyBorder="1" applyAlignment="1">
      <alignment horizontal="center"/>
    </xf>
    <xf numFmtId="2" fontId="2" fillId="0" borderId="39" xfId="0" applyNumberFormat="1" applyFont="1" applyBorder="1" applyAlignment="1">
      <alignment horizontal="center"/>
    </xf>
    <xf numFmtId="0" fontId="4" fillId="0" borderId="32" xfId="0" applyFont="1" applyBorder="1" applyAlignment="1">
      <alignment horizontal="left" wrapText="1"/>
    </xf>
    <xf numFmtId="0" fontId="4" fillId="0" borderId="34" xfId="0" applyFont="1" applyBorder="1" applyAlignment="1">
      <alignment horizontal="left" wrapText="1"/>
    </xf>
    <xf numFmtId="0" fontId="4" fillId="0" borderId="11" xfId="0" applyFont="1" applyBorder="1" applyAlignment="1">
      <alignment horizontal="left" wrapText="1"/>
    </xf>
    <xf numFmtId="0" fontId="4" fillId="0" borderId="13" xfId="0" applyFont="1" applyBorder="1" applyAlignment="1">
      <alignment horizontal="left" wrapText="1"/>
    </xf>
    <xf numFmtId="0" fontId="4" fillId="0" borderId="30" xfId="0" applyFont="1" applyBorder="1" applyAlignment="1">
      <alignment horizontal="left" wrapText="1"/>
    </xf>
    <xf numFmtId="0" fontId="4" fillId="0" borderId="21" xfId="0" applyFont="1" applyBorder="1" applyAlignment="1">
      <alignment horizontal="left" wrapText="1"/>
    </xf>
    <xf numFmtId="2" fontId="2" fillId="0" borderId="21" xfId="0" applyNumberFormat="1" applyFont="1" applyBorder="1" applyAlignment="1">
      <alignment horizontal="center"/>
    </xf>
    <xf numFmtId="2" fontId="2" fillId="0" borderId="31" xfId="0" applyNumberFormat="1" applyFont="1" applyBorder="1" applyAlignment="1">
      <alignment horizontal="center"/>
    </xf>
    <xf numFmtId="0" fontId="3" fillId="73" borderId="63" xfId="0" applyFont="1" applyFill="1" applyBorder="1" applyAlignment="1">
      <alignment horizontal="center"/>
    </xf>
    <xf numFmtId="0" fontId="3" fillId="73" borderId="25" xfId="0" applyFont="1" applyFill="1" applyBorder="1" applyAlignment="1">
      <alignment horizontal="center"/>
    </xf>
    <xf numFmtId="0" fontId="3" fillId="73" borderId="62" xfId="0" applyFont="1" applyFill="1" applyBorder="1" applyAlignment="1">
      <alignment horizontal="center"/>
    </xf>
    <xf numFmtId="2" fontId="2" fillId="0" borderId="34" xfId="0" applyNumberFormat="1" applyFont="1" applyBorder="1" applyAlignment="1">
      <alignment horizontal="center"/>
    </xf>
    <xf numFmtId="2" fontId="2" fillId="0" borderId="33" xfId="0" applyNumberFormat="1" applyFont="1" applyBorder="1" applyAlignment="1">
      <alignment horizontal="center"/>
    </xf>
    <xf numFmtId="0" fontId="5" fillId="5" borderId="0" xfId="33" applyFont="1" applyFill="1" applyAlignment="1">
      <alignment horizontal="center"/>
    </xf>
    <xf numFmtId="0" fontId="5" fillId="5" borderId="9" xfId="33"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4" fontId="4" fillId="0" borderId="146" xfId="646" applyNumberFormat="1" applyFont="1" applyBorder="1" applyAlignment="1">
      <alignment horizontal="center" vertical="center"/>
    </xf>
    <xf numFmtId="4" fontId="4" fillId="0" borderId="148" xfId="646" applyNumberFormat="1" applyFont="1" applyBorder="1" applyAlignment="1">
      <alignment horizontal="center" vertical="center"/>
    </xf>
    <xf numFmtId="0" fontId="3" fillId="73" borderId="174" xfId="845" applyFont="1" applyFill="1" applyBorder="1" applyAlignment="1">
      <alignment horizontal="center" vertical="center"/>
    </xf>
    <xf numFmtId="0" fontId="3" fillId="73" borderId="185" xfId="845" applyFont="1" applyFill="1" applyBorder="1" applyAlignment="1">
      <alignment horizontal="center" vertical="center"/>
    </xf>
    <xf numFmtId="0" fontId="3" fillId="73" borderId="184" xfId="845" applyFont="1" applyFill="1" applyBorder="1" applyAlignment="1">
      <alignment horizontal="center" vertical="center"/>
    </xf>
    <xf numFmtId="0" fontId="3" fillId="73" borderId="26" xfId="0" applyFont="1" applyFill="1" applyBorder="1" applyAlignment="1">
      <alignment horizontal="center" vertical="center"/>
    </xf>
    <xf numFmtId="0" fontId="3" fillId="73" borderId="20" xfId="0" applyFont="1" applyFill="1" applyBorder="1" applyAlignment="1">
      <alignment horizontal="center" vertical="center"/>
    </xf>
    <xf numFmtId="0" fontId="3" fillId="73" borderId="43" xfId="0" applyFont="1" applyFill="1" applyBorder="1" applyAlignment="1">
      <alignment horizontal="center" vertical="center"/>
    </xf>
    <xf numFmtId="0" fontId="3" fillId="73" borderId="2" xfId="0" applyFont="1" applyFill="1" applyBorder="1" applyAlignment="1">
      <alignment horizontal="center" vertical="center"/>
    </xf>
    <xf numFmtId="0" fontId="3" fillId="73" borderId="3" xfId="0" applyFont="1" applyFill="1" applyBorder="1" applyAlignment="1">
      <alignment horizontal="center" vertical="center"/>
    </xf>
    <xf numFmtId="0" fontId="3" fillId="73" borderId="4" xfId="0" applyFont="1" applyFill="1" applyBorder="1" applyAlignment="1">
      <alignment horizontal="center" vertical="center"/>
    </xf>
    <xf numFmtId="189" fontId="94" fillId="0" borderId="77" xfId="685" applyNumberFormat="1" applyFont="1" applyFill="1" applyBorder="1" applyAlignment="1">
      <alignment horizontal="center" vertical="center" wrapText="1"/>
    </xf>
    <xf numFmtId="189" fontId="94" fillId="0" borderId="82" xfId="685" applyNumberFormat="1" applyFont="1" applyFill="1" applyBorder="1" applyAlignment="1">
      <alignment horizontal="center" vertical="center" wrapText="1"/>
    </xf>
    <xf numFmtId="0" fontId="4" fillId="0" borderId="13" xfId="33" applyFont="1" applyBorder="1" applyAlignment="1">
      <alignment horizontal="left" wrapText="1"/>
    </xf>
    <xf numFmtId="0" fontId="16" fillId="0" borderId="5" xfId="33" applyFont="1" applyBorder="1" applyAlignment="1">
      <alignment horizontal="center" vertical="center"/>
    </xf>
    <xf numFmtId="0" fontId="16" fillId="0" borderId="7" xfId="33" applyFont="1" applyBorder="1" applyAlignment="1">
      <alignment horizontal="center" vertical="center"/>
    </xf>
    <xf numFmtId="0" fontId="3" fillId="4" borderId="5" xfId="33" applyFont="1" applyFill="1" applyBorder="1" applyAlignment="1">
      <alignment horizontal="center" vertical="center" wrapText="1"/>
    </xf>
    <xf numFmtId="0" fontId="3" fillId="4" borderId="7" xfId="33" applyFont="1" applyFill="1" applyBorder="1" applyAlignment="1">
      <alignment horizontal="center" vertical="center" wrapText="1"/>
    </xf>
    <xf numFmtId="0" fontId="3" fillId="4" borderId="6" xfId="33" applyFont="1" applyFill="1" applyBorder="1" applyAlignment="1">
      <alignment horizontal="center" vertical="center" wrapText="1"/>
    </xf>
    <xf numFmtId="0" fontId="28" fillId="81" borderId="5" xfId="33" applyFont="1" applyFill="1" applyBorder="1" applyAlignment="1">
      <alignment horizontal="center" vertical="center"/>
    </xf>
    <xf numFmtId="0" fontId="28" fillId="81" borderId="7" xfId="33" applyFont="1" applyFill="1" applyBorder="1" applyAlignment="1">
      <alignment horizontal="center" vertical="center"/>
    </xf>
    <xf numFmtId="0" fontId="28" fillId="81" borderId="6" xfId="33"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6" xfId="33" applyFont="1" applyFill="1" applyBorder="1" applyAlignment="1">
      <alignment horizontal="center"/>
    </xf>
    <xf numFmtId="0" fontId="4" fillId="0" borderId="34" xfId="33" applyFont="1" applyBorder="1" applyAlignment="1">
      <alignment horizontal="left" wrapText="1"/>
    </xf>
    <xf numFmtId="0" fontId="4" fillId="0" borderId="21" xfId="33" applyFont="1" applyBorder="1" applyAlignment="1">
      <alignment horizontal="left" wrapText="1"/>
    </xf>
    <xf numFmtId="0" fontId="3" fillId="73" borderId="199" xfId="0" applyFont="1" applyFill="1" applyBorder="1" applyAlignment="1">
      <alignment horizontal="center"/>
    </xf>
    <xf numFmtId="0" fontId="3" fillId="73" borderId="200" xfId="0" applyFont="1" applyFill="1" applyBorder="1" applyAlignment="1">
      <alignment horizontal="center"/>
    </xf>
    <xf numFmtId="0" fontId="3" fillId="73" borderId="201" xfId="0" applyFont="1" applyFill="1" applyBorder="1" applyAlignment="1">
      <alignment horizontal="center"/>
    </xf>
    <xf numFmtId="0" fontId="4" fillId="5" borderId="0" xfId="640" applyFont="1" applyFill="1" applyAlignment="1">
      <alignment horizontal="left" vertical="center"/>
    </xf>
    <xf numFmtId="49" fontId="4" fillId="5" borderId="16" xfId="0" applyNumberFormat="1" applyFont="1" applyFill="1" applyBorder="1" applyAlignment="1">
      <alignment horizontal="left" vertical="top" wrapText="1"/>
    </xf>
    <xf numFmtId="49" fontId="4" fillId="5" borderId="0" xfId="0" applyNumberFormat="1" applyFont="1" applyFill="1" applyAlignment="1">
      <alignment horizontal="left" vertical="top" wrapText="1"/>
    </xf>
    <xf numFmtId="0" fontId="3" fillId="4" borderId="2" xfId="640" applyFont="1" applyFill="1" applyBorder="1" applyAlignment="1">
      <alignment horizontal="center" vertical="center" wrapText="1"/>
    </xf>
    <xf numFmtId="0" fontId="3" fillId="4" borderId="77" xfId="640" applyFont="1" applyFill="1" applyBorder="1" applyAlignment="1">
      <alignment horizontal="center" vertical="center" wrapText="1"/>
    </xf>
    <xf numFmtId="0" fontId="3" fillId="4" borderId="3" xfId="640" applyFont="1" applyFill="1" applyBorder="1" applyAlignment="1">
      <alignment horizontal="center" vertical="center" wrapText="1"/>
    </xf>
    <xf numFmtId="0" fontId="3" fillId="4" borderId="82" xfId="640" applyFont="1" applyFill="1" applyBorder="1" applyAlignment="1">
      <alignment horizontal="center" vertical="center" wrapText="1"/>
    </xf>
    <xf numFmtId="0" fontId="94" fillId="73" borderId="75" xfId="127" applyFont="1" applyFill="1" applyBorder="1" applyAlignment="1">
      <alignment horizontal="center" vertical="center" wrapText="1"/>
    </xf>
    <xf numFmtId="0" fontId="94" fillId="73" borderId="69" xfId="127" applyFont="1" applyFill="1" applyBorder="1" applyAlignment="1">
      <alignment horizontal="center" vertical="center" wrapText="1"/>
    </xf>
    <xf numFmtId="0" fontId="94" fillId="73" borderId="76" xfId="127" applyFont="1" applyFill="1" applyBorder="1" applyAlignment="1">
      <alignment horizontal="center" vertical="center" wrapText="1"/>
    </xf>
    <xf numFmtId="0" fontId="28" fillId="81" borderId="35" xfId="640" applyFont="1" applyFill="1" applyBorder="1" applyAlignment="1">
      <alignment horizontal="center" vertical="center"/>
    </xf>
    <xf numFmtId="0" fontId="28" fillId="81" borderId="36" xfId="640" applyFont="1" applyFill="1" applyBorder="1" applyAlignment="1">
      <alignment horizontal="center" vertical="center"/>
    </xf>
    <xf numFmtId="49" fontId="4" fillId="5" borderId="0" xfId="640" applyNumberFormat="1" applyFont="1" applyFill="1" applyAlignment="1">
      <alignment horizontal="left" vertical="top" wrapText="1"/>
    </xf>
    <xf numFmtId="49" fontId="4" fillId="5" borderId="0" xfId="640" applyNumberFormat="1" applyFont="1" applyFill="1" applyAlignment="1">
      <alignment horizontal="left" vertical="center" wrapText="1"/>
    </xf>
    <xf numFmtId="0" fontId="5" fillId="0" borderId="0" xfId="640" applyAlignment="1">
      <alignment horizontal="center" vertical="center" wrapText="1"/>
    </xf>
    <xf numFmtId="0" fontId="4" fillId="0" borderId="15" xfId="640" applyFont="1" applyBorder="1" applyAlignment="1">
      <alignment horizontal="left" vertical="center"/>
    </xf>
    <xf numFmtId="0" fontId="3" fillId="73" borderId="152" xfId="0" applyFont="1" applyFill="1" applyBorder="1" applyAlignment="1">
      <alignment horizontal="center"/>
    </xf>
    <xf numFmtId="0" fontId="3" fillId="73" borderId="150" xfId="0" applyFont="1" applyFill="1" applyBorder="1" applyAlignment="1">
      <alignment horizontal="center"/>
    </xf>
    <xf numFmtId="0" fontId="3" fillId="73" borderId="151" xfId="0" applyFont="1" applyFill="1" applyBorder="1" applyAlignment="1">
      <alignment horizontal="center"/>
    </xf>
    <xf numFmtId="0" fontId="4" fillId="5" borderId="40" xfId="0" applyFont="1" applyFill="1" applyBorder="1" applyAlignment="1">
      <alignment horizontal="center" vertical="center"/>
    </xf>
    <xf numFmtId="0" fontId="4" fillId="5" borderId="0" xfId="0" applyFont="1" applyFill="1" applyAlignment="1">
      <alignment horizontal="center" vertical="center"/>
    </xf>
    <xf numFmtId="0" fontId="4" fillId="5" borderId="48" xfId="0" applyFont="1" applyFill="1" applyBorder="1" applyAlignment="1">
      <alignment horizontal="center" vertical="center"/>
    </xf>
    <xf numFmtId="49" fontId="4" fillId="5" borderId="18" xfId="640" applyNumberFormat="1" applyFont="1" applyFill="1" applyBorder="1" applyAlignment="1">
      <alignment horizontal="left" vertical="top" wrapText="1"/>
    </xf>
    <xf numFmtId="0" fontId="4" fillId="0" borderId="34" xfId="0" applyFont="1" applyBorder="1" applyAlignment="1">
      <alignment horizontal="left" vertical="center" wrapText="1"/>
    </xf>
    <xf numFmtId="0" fontId="3" fillId="73" borderId="75" xfId="0" applyFont="1" applyFill="1" applyBorder="1" applyAlignment="1">
      <alignment horizontal="center" vertical="center" wrapText="1"/>
    </xf>
    <xf numFmtId="0" fontId="3" fillId="73" borderId="69" xfId="0" applyFont="1" applyFill="1" applyBorder="1" applyAlignment="1">
      <alignment horizontal="center" vertical="center" wrapText="1"/>
    </xf>
    <xf numFmtId="0" fontId="3" fillId="73" borderId="76" xfId="0" applyFont="1" applyFill="1" applyBorder="1" applyAlignment="1">
      <alignment horizontal="center" vertical="center" wrapText="1"/>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49" fontId="4" fillId="5" borderId="19" xfId="640" applyNumberFormat="1" applyFont="1" applyFill="1" applyBorder="1" applyAlignment="1">
      <alignment horizontal="left" vertical="top" wrapText="1"/>
    </xf>
    <xf numFmtId="0" fontId="2" fillId="2" borderId="34" xfId="0" applyFont="1" applyFill="1" applyBorder="1" applyAlignment="1">
      <alignment horizontal="left" vertical="center" wrapText="1"/>
    </xf>
    <xf numFmtId="0" fontId="4" fillId="73" borderId="40" xfId="0" applyFont="1" applyFill="1" applyBorder="1" applyAlignment="1">
      <alignment horizontal="center" vertical="center"/>
    </xf>
    <xf numFmtId="0" fontId="4" fillId="73" borderId="0" xfId="0" applyFont="1" applyFill="1" applyAlignment="1">
      <alignment horizontal="center" vertical="center"/>
    </xf>
    <xf numFmtId="0" fontId="4" fillId="73" borderId="48" xfId="0" applyFont="1" applyFill="1" applyBorder="1" applyAlignment="1">
      <alignment horizontal="center" vertical="center"/>
    </xf>
    <xf numFmtId="0" fontId="4" fillId="0" borderId="17" xfId="640" applyFont="1" applyBorder="1" applyAlignment="1">
      <alignment horizontal="center" vertical="center"/>
    </xf>
    <xf numFmtId="0" fontId="4" fillId="0" borderId="64" xfId="640" applyFont="1" applyBorder="1" applyAlignment="1">
      <alignment horizontal="center" vertical="center"/>
    </xf>
    <xf numFmtId="0" fontId="3" fillId="73" borderId="206" xfId="0" applyFont="1" applyFill="1" applyBorder="1" applyAlignment="1">
      <alignment horizontal="center"/>
    </xf>
    <xf numFmtId="0" fontId="3" fillId="73" borderId="216" xfId="0" applyFont="1" applyFill="1" applyBorder="1" applyAlignment="1">
      <alignment horizontal="center"/>
    </xf>
    <xf numFmtId="0" fontId="3" fillId="73" borderId="205" xfId="0" applyFont="1" applyFill="1" applyBorder="1" applyAlignment="1">
      <alignment horizontal="center"/>
    </xf>
    <xf numFmtId="0" fontId="4" fillId="0" borderId="5" xfId="640" applyFont="1" applyBorder="1" applyAlignment="1">
      <alignment horizontal="center"/>
    </xf>
    <xf numFmtId="0" fontId="4" fillId="0" borderId="7" xfId="640" applyFont="1" applyBorder="1" applyAlignment="1">
      <alignment horizontal="center"/>
    </xf>
    <xf numFmtId="0" fontId="4" fillId="0" borderId="6" xfId="640" applyFont="1" applyBorder="1" applyAlignment="1">
      <alignment horizontal="center"/>
    </xf>
    <xf numFmtId="0" fontId="166" fillId="81" borderId="35" xfId="640" applyFont="1" applyFill="1" applyBorder="1" applyAlignment="1">
      <alignment horizontal="center" vertical="center"/>
    </xf>
    <xf numFmtId="0" fontId="166" fillId="81" borderId="7" xfId="640" applyFont="1" applyFill="1" applyBorder="1" applyAlignment="1">
      <alignment horizontal="center" vertical="center"/>
    </xf>
    <xf numFmtId="0" fontId="166" fillId="81" borderId="36" xfId="640" applyFont="1" applyFill="1" applyBorder="1" applyAlignment="1">
      <alignment horizontal="center" vertical="center"/>
    </xf>
    <xf numFmtId="49" fontId="4" fillId="5" borderId="16" xfId="640" applyNumberFormat="1" applyFont="1" applyFill="1" applyBorder="1" applyAlignment="1">
      <alignment horizontal="left" vertical="center" wrapText="1"/>
    </xf>
    <xf numFmtId="49" fontId="4" fillId="5" borderId="15" xfId="640" applyNumberFormat="1" applyFont="1" applyFill="1" applyBorder="1" applyAlignment="1">
      <alignment horizontal="left" vertical="center" wrapText="1"/>
    </xf>
    <xf numFmtId="0" fontId="3" fillId="4" borderId="34" xfId="23" applyFont="1" applyFill="1" applyBorder="1" applyAlignment="1">
      <alignment horizontal="left" vertical="center" wrapText="1"/>
    </xf>
    <xf numFmtId="49" fontId="4" fillId="0" borderId="0" xfId="23" applyNumberFormat="1" applyFont="1" applyAlignment="1">
      <alignment horizontal="left" vertical="top" wrapText="1"/>
    </xf>
    <xf numFmtId="0" fontId="3" fillId="4" borderId="2" xfId="23" applyFont="1" applyFill="1" applyBorder="1" applyAlignment="1">
      <alignment horizontal="center" vertical="center" wrapText="1"/>
    </xf>
    <xf numFmtId="0" fontId="3" fillId="4" borderId="77" xfId="23" applyFont="1" applyFill="1" applyBorder="1" applyAlignment="1">
      <alignment horizontal="center" vertical="center" wrapText="1"/>
    </xf>
    <xf numFmtId="0" fontId="3" fillId="4" borderId="3" xfId="23" applyFont="1" applyFill="1" applyBorder="1" applyAlignment="1">
      <alignment horizontal="center" vertical="center" wrapText="1"/>
    </xf>
    <xf numFmtId="0" fontId="3" fillId="4" borderId="82" xfId="23" applyFont="1" applyFill="1" applyBorder="1" applyAlignment="1">
      <alignment horizontal="center" vertical="center" wrapText="1"/>
    </xf>
    <xf numFmtId="0" fontId="3" fillId="73" borderId="152" xfId="640" applyFont="1" applyFill="1" applyBorder="1" applyAlignment="1">
      <alignment horizontal="center"/>
    </xf>
    <xf numFmtId="0" fontId="3" fillId="73" borderId="150" xfId="640" applyFont="1" applyFill="1" applyBorder="1" applyAlignment="1">
      <alignment horizontal="center"/>
    </xf>
    <xf numFmtId="0" fontId="3" fillId="73" borderId="151" xfId="640" applyFont="1" applyFill="1" applyBorder="1" applyAlignment="1">
      <alignment horizontal="center"/>
    </xf>
    <xf numFmtId="49" fontId="4" fillId="5" borderId="19" xfId="0" applyNumberFormat="1" applyFont="1" applyFill="1" applyBorder="1" applyAlignment="1">
      <alignment horizontal="left" vertical="top" wrapText="1"/>
    </xf>
    <xf numFmtId="49" fontId="4" fillId="5" borderId="0" xfId="0" applyNumberFormat="1" applyFont="1" applyFill="1" applyAlignment="1">
      <alignment horizontal="left" vertical="top"/>
    </xf>
    <xf numFmtId="0" fontId="3" fillId="73" borderId="225" xfId="127" applyFont="1" applyFill="1" applyBorder="1" applyAlignment="1">
      <alignment horizontal="center" vertical="center" wrapText="1"/>
    </xf>
    <xf numFmtId="0" fontId="3" fillId="73" borderId="216" xfId="127" applyFont="1" applyFill="1" applyBorder="1" applyAlignment="1">
      <alignment horizontal="center" vertical="center" wrapText="1"/>
    </xf>
    <xf numFmtId="0" fontId="3" fillId="73" borderId="230" xfId="127" applyFont="1" applyFill="1" applyBorder="1" applyAlignment="1">
      <alignment horizontal="center" vertical="center" wrapText="1"/>
    </xf>
    <xf numFmtId="0" fontId="3" fillId="73" borderId="215" xfId="0" applyFont="1" applyFill="1" applyBorder="1" applyAlignment="1">
      <alignment horizontal="center"/>
    </xf>
    <xf numFmtId="0" fontId="3" fillId="73" borderId="217" xfId="0" applyFont="1" applyFill="1" applyBorder="1" applyAlignment="1">
      <alignment horizontal="center"/>
    </xf>
    <xf numFmtId="0" fontId="3" fillId="73" borderId="207" xfId="0" applyFont="1" applyFill="1" applyBorder="1" applyAlignment="1">
      <alignment horizontal="center"/>
    </xf>
    <xf numFmtId="0" fontId="4" fillId="5" borderId="0" xfId="636" applyFont="1" applyFill="1" applyAlignment="1">
      <alignment horizontal="left" vertical="top" wrapText="1"/>
    </xf>
    <xf numFmtId="49" fontId="4" fillId="5" borderId="19" xfId="0" applyNumberFormat="1" applyFont="1" applyFill="1" applyBorder="1" applyAlignment="1">
      <alignment horizontal="left" vertical="top"/>
    </xf>
    <xf numFmtId="0" fontId="4" fillId="0" borderId="0" xfId="640" applyFont="1" applyAlignment="1">
      <alignment horizontal="center" wrapText="1"/>
    </xf>
    <xf numFmtId="0" fontId="3" fillId="0" borderId="0" xfId="640" applyFont="1" applyAlignment="1">
      <alignment horizontal="left"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4" fillId="0" borderId="0" xfId="640" applyFont="1" applyAlignment="1">
      <alignment horizontal="center" vertical="center" wrapText="1"/>
    </xf>
    <xf numFmtId="0" fontId="4" fillId="0" borderId="0" xfId="640" applyFont="1" applyAlignment="1">
      <alignment horizontal="center" vertical="center"/>
    </xf>
    <xf numFmtId="0" fontId="4" fillId="0" borderId="0" xfId="640" applyFont="1" applyAlignment="1">
      <alignment horizontal="left"/>
    </xf>
    <xf numFmtId="0" fontId="80" fillId="0" borderId="14" xfId="640" applyFont="1" applyBorder="1" applyAlignment="1">
      <alignment horizontal="center" vertical="center"/>
    </xf>
    <xf numFmtId="0" fontId="80" fillId="0" borderId="8" xfId="640" applyFont="1" applyBorder="1" applyAlignment="1">
      <alignment horizontal="center" vertical="center"/>
    </xf>
    <xf numFmtId="0" fontId="3" fillId="4" borderId="4" xfId="640" applyFont="1" applyFill="1" applyBorder="1" applyAlignment="1">
      <alignment horizontal="center" vertical="center" wrapText="1"/>
    </xf>
    <xf numFmtId="0" fontId="3" fillId="4" borderId="4" xfId="23" applyFont="1" applyFill="1" applyBorder="1" applyAlignment="1">
      <alignment horizontal="center" vertical="center" wrapText="1"/>
    </xf>
    <xf numFmtId="2" fontId="2" fillId="0" borderId="200" xfId="0" applyNumberFormat="1" applyFont="1" applyBorder="1" applyAlignment="1">
      <alignment horizontal="center"/>
    </xf>
    <xf numFmtId="2" fontId="2" fillId="0" borderId="201" xfId="0" applyNumberFormat="1" applyFont="1" applyBorder="1" applyAlignment="1">
      <alignment horizontal="center"/>
    </xf>
    <xf numFmtId="49" fontId="4" fillId="0" borderId="16" xfId="0" applyNumberFormat="1" applyFont="1" applyBorder="1" applyAlignment="1">
      <alignment horizontal="left" vertical="top"/>
    </xf>
    <xf numFmtId="49" fontId="4" fillId="0" borderId="15" xfId="0" applyNumberFormat="1" applyFont="1" applyBorder="1" applyAlignment="1">
      <alignment horizontal="left" vertical="top"/>
    </xf>
    <xf numFmtId="0" fontId="3" fillId="5" borderId="186" xfId="720" applyFont="1" applyFill="1" applyBorder="1" applyAlignment="1">
      <alignment horizontal="center" vertical="center"/>
    </xf>
    <xf numFmtId="0" fontId="3" fillId="5" borderId="144" xfId="720" applyFont="1" applyFill="1" applyBorder="1" applyAlignment="1">
      <alignment horizontal="center" vertical="center"/>
    </xf>
    <xf numFmtId="0" fontId="3" fillId="5" borderId="205" xfId="720" applyFont="1" applyFill="1" applyBorder="1" applyAlignment="1">
      <alignment horizontal="center" vertical="center"/>
    </xf>
    <xf numFmtId="2" fontId="124" fillId="0" borderId="200" xfId="0" applyNumberFormat="1" applyFont="1" applyBorder="1" applyAlignment="1">
      <alignment horizontal="center"/>
    </xf>
    <xf numFmtId="2" fontId="124" fillId="0" borderId="201" xfId="0" applyNumberFormat="1" applyFont="1" applyBorder="1" applyAlignment="1">
      <alignment horizontal="center"/>
    </xf>
    <xf numFmtId="49" fontId="4" fillId="0" borderId="16" xfId="0"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7" xfId="0" applyNumberFormat="1" applyFont="1" applyBorder="1" applyAlignment="1">
      <alignment horizontal="center" vertical="center" wrapText="1"/>
    </xf>
    <xf numFmtId="0" fontId="128" fillId="83" borderId="5" xfId="33" applyFont="1" applyFill="1" applyBorder="1" applyAlignment="1">
      <alignment horizontal="center" vertical="center"/>
    </xf>
    <xf numFmtId="0" fontId="128" fillId="83" borderId="7" xfId="33" applyFont="1" applyFill="1" applyBorder="1" applyAlignment="1">
      <alignment horizontal="center" vertical="center"/>
    </xf>
    <xf numFmtId="0" fontId="128" fillId="83" borderId="6" xfId="33" applyFont="1" applyFill="1" applyBorder="1" applyAlignment="1">
      <alignment horizontal="center" vertical="center"/>
    </xf>
    <xf numFmtId="49" fontId="4" fillId="0" borderId="16" xfId="646" applyNumberFormat="1" applyFont="1" applyBorder="1" applyAlignment="1">
      <alignment horizontal="left" vertical="top" wrapText="1"/>
    </xf>
    <xf numFmtId="49" fontId="4" fillId="0" borderId="15" xfId="646" applyNumberFormat="1" applyFont="1" applyBorder="1" applyAlignment="1">
      <alignment horizontal="left" vertical="top" wrapText="1"/>
    </xf>
    <xf numFmtId="17" fontId="4" fillId="0" borderId="197" xfId="1" applyNumberFormat="1" applyFont="1" applyBorder="1" applyAlignment="1">
      <alignment horizontal="center" vertical="center"/>
    </xf>
    <xf numFmtId="17" fontId="4" fillId="0" borderId="198" xfId="1" applyNumberFormat="1" applyFont="1" applyBorder="1" applyAlignment="1">
      <alignment horizontal="center" vertical="center"/>
    </xf>
    <xf numFmtId="0" fontId="0" fillId="0" borderId="17" xfId="0" applyBorder="1" applyAlignment="1">
      <alignment horizontal="center"/>
    </xf>
    <xf numFmtId="0" fontId="0" fillId="0" borderId="218" xfId="0" applyBorder="1" applyAlignment="1">
      <alignment horizontal="center"/>
    </xf>
    <xf numFmtId="0" fontId="155" fillId="0" borderId="9" xfId="1" applyFont="1" applyBorder="1" applyAlignment="1">
      <alignment horizontal="center" vertical="center" wrapText="1"/>
    </xf>
    <xf numFmtId="0" fontId="4" fillId="0" borderId="34" xfId="1" applyFont="1" applyBorder="1" applyAlignment="1">
      <alignment horizontal="left" vertical="center"/>
    </xf>
    <xf numFmtId="17" fontId="4" fillId="0" borderId="186" xfId="1" applyNumberFormat="1" applyFont="1" applyBorder="1" applyAlignment="1">
      <alignment horizontal="left" vertical="center"/>
    </xf>
    <xf numFmtId="17" fontId="4" fillId="0" borderId="216" xfId="1" applyNumberFormat="1" applyFont="1" applyBorder="1" applyAlignment="1">
      <alignment horizontal="left" vertical="center"/>
    </xf>
    <xf numFmtId="0" fontId="160" fillId="77" borderId="35" xfId="1633" applyFont="1" applyFill="1" applyBorder="1" applyAlignment="1">
      <alignment horizontal="center" vertical="center"/>
    </xf>
    <xf numFmtId="0" fontId="160" fillId="77" borderId="7" xfId="1633" applyFont="1" applyFill="1" applyBorder="1" applyAlignment="1">
      <alignment horizontal="center" vertical="center"/>
    </xf>
    <xf numFmtId="0" fontId="11" fillId="82" borderId="5" xfId="640" applyFont="1" applyFill="1" applyBorder="1" applyAlignment="1">
      <alignment horizontal="center" vertical="center"/>
    </xf>
    <xf numFmtId="0" fontId="11" fillId="82" borderId="7" xfId="640" applyFont="1" applyFill="1" applyBorder="1" applyAlignment="1">
      <alignment horizontal="center" vertical="center"/>
    </xf>
    <xf numFmtId="0" fontId="5" fillId="77" borderId="35" xfId="1627" applyFill="1" applyBorder="1" applyAlignment="1">
      <alignment horizontal="center" vertical="center"/>
    </xf>
    <xf numFmtId="0" fontId="5" fillId="77" borderId="7" xfId="1627" applyFill="1" applyBorder="1" applyAlignment="1">
      <alignment horizontal="center" vertical="center"/>
    </xf>
    <xf numFmtId="0" fontId="127" fillId="0" borderId="20" xfId="0" applyFont="1" applyBorder="1" applyAlignment="1">
      <alignment horizontal="center"/>
    </xf>
    <xf numFmtId="0" fontId="127" fillId="0" borderId="200" xfId="0" applyFont="1" applyBorder="1" applyAlignment="1">
      <alignment horizontal="center" vertical="center"/>
    </xf>
    <xf numFmtId="0" fontId="127" fillId="0" borderId="200" xfId="0" applyFont="1" applyBorder="1" applyAlignment="1">
      <alignment horizontal="center"/>
    </xf>
    <xf numFmtId="0" fontId="11" fillId="82" borderId="18" xfId="640" applyFont="1" applyFill="1" applyBorder="1" applyAlignment="1">
      <alignment horizontal="center" vertical="center"/>
    </xf>
    <xf numFmtId="0" fontId="11" fillId="82" borderId="0" xfId="640" applyFont="1" applyFill="1" applyAlignment="1">
      <alignment horizontal="center" vertical="center"/>
    </xf>
    <xf numFmtId="0" fontId="29" fillId="0" borderId="5" xfId="0" applyFont="1" applyBorder="1" applyAlignment="1">
      <alignment horizontal="left" wrapText="1"/>
    </xf>
    <xf numFmtId="0" fontId="29" fillId="0" borderId="7" xfId="0" applyFont="1" applyBorder="1" applyAlignment="1">
      <alignment horizontal="left" wrapText="1"/>
    </xf>
    <xf numFmtId="0" fontId="29" fillId="0" borderId="6" xfId="0" applyFont="1" applyBorder="1" applyAlignment="1">
      <alignment horizontal="left" wrapText="1"/>
    </xf>
    <xf numFmtId="2" fontId="29" fillId="0" borderId="8" xfId="0" applyNumberFormat="1" applyFont="1" applyBorder="1" applyAlignment="1">
      <alignment horizontal="right"/>
    </xf>
    <xf numFmtId="2" fontId="29" fillId="0" borderId="9" xfId="0" applyNumberFormat="1" applyFont="1" applyBorder="1" applyAlignment="1">
      <alignment horizontal="right"/>
    </xf>
    <xf numFmtId="2" fontId="29" fillId="0" borderId="10" xfId="0" applyNumberFormat="1" applyFont="1" applyBorder="1" applyAlignment="1">
      <alignment horizontal="right"/>
    </xf>
    <xf numFmtId="0" fontId="178" fillId="75" borderId="8" xfId="0" applyFont="1" applyFill="1" applyBorder="1" applyAlignment="1">
      <alignment horizontal="center" vertical="center"/>
    </xf>
    <xf numFmtId="0" fontId="178" fillId="75" borderId="9" xfId="0" applyFont="1" applyFill="1" applyBorder="1" applyAlignment="1">
      <alignment horizontal="center" vertical="center"/>
    </xf>
    <xf numFmtId="0" fontId="178" fillId="0" borderId="14" xfId="0" applyFont="1" applyBorder="1" applyAlignment="1">
      <alignment horizontal="center"/>
    </xf>
    <xf numFmtId="0" fontId="178" fillId="0" borderId="16" xfId="0" applyFont="1" applyBorder="1" applyAlignment="1">
      <alignment horizontal="center"/>
    </xf>
    <xf numFmtId="0" fontId="178" fillId="0" borderId="15" xfId="0" applyFont="1" applyBorder="1" applyAlignment="1">
      <alignment horizontal="center"/>
    </xf>
    <xf numFmtId="0" fontId="178" fillId="0" borderId="8" xfId="0" applyFont="1" applyBorder="1" applyAlignment="1">
      <alignment horizontal="center"/>
    </xf>
    <xf numFmtId="0" fontId="178" fillId="0" borderId="9" xfId="0" applyFont="1" applyBorder="1" applyAlignment="1">
      <alignment horizontal="center"/>
    </xf>
    <xf numFmtId="0" fontId="178" fillId="0" borderId="10" xfId="0" applyFont="1" applyBorder="1" applyAlignment="1">
      <alignment horizontal="center"/>
    </xf>
    <xf numFmtId="0" fontId="180" fillId="0" borderId="14" xfId="0" applyFont="1" applyBorder="1" applyAlignment="1">
      <alignment horizontal="center" vertical="center" wrapText="1"/>
    </xf>
    <xf numFmtId="0" fontId="180" fillId="0" borderId="16" xfId="0" applyFont="1" applyBorder="1" applyAlignment="1">
      <alignment horizontal="center" vertical="center" wrapText="1"/>
    </xf>
    <xf numFmtId="0" fontId="180" fillId="0" borderId="15" xfId="0" applyFont="1" applyBorder="1" applyAlignment="1">
      <alignment horizontal="center" vertical="center" wrapText="1"/>
    </xf>
    <xf numFmtId="0" fontId="180" fillId="0" borderId="8" xfId="0" applyFont="1" applyBorder="1" applyAlignment="1">
      <alignment horizontal="center" vertical="center" wrapText="1"/>
    </xf>
    <xf numFmtId="0" fontId="180" fillId="0" borderId="9"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4" xfId="0" applyFont="1" applyBorder="1" applyAlignment="1">
      <alignment horizontal="center" vertical="center"/>
    </xf>
    <xf numFmtId="0" fontId="180" fillId="0" borderId="16" xfId="0" applyFont="1" applyBorder="1" applyAlignment="1">
      <alignment horizontal="center" vertical="center"/>
    </xf>
    <xf numFmtId="0" fontId="180" fillId="0" borderId="15" xfId="0" applyFont="1" applyBorder="1" applyAlignment="1">
      <alignment horizontal="center" vertical="center"/>
    </xf>
    <xf numFmtId="0" fontId="180" fillId="0" borderId="8" xfId="0" applyFont="1" applyBorder="1" applyAlignment="1">
      <alignment horizontal="center" vertical="center"/>
    </xf>
    <xf numFmtId="0" fontId="180" fillId="0" borderId="9" xfId="0" applyFont="1" applyBorder="1" applyAlignment="1">
      <alignment horizontal="center" vertical="center"/>
    </xf>
    <xf numFmtId="0" fontId="180" fillId="0" borderId="10" xfId="0" applyFont="1" applyBorder="1" applyAlignment="1">
      <alignment horizontal="center" vertical="center"/>
    </xf>
    <xf numFmtId="0" fontId="29" fillId="0" borderId="199" xfId="0" applyFont="1" applyBorder="1" applyAlignment="1">
      <alignment horizontal="left"/>
    </xf>
    <xf numFmtId="0" fontId="29" fillId="0" borderId="200" xfId="0" applyFont="1" applyBorder="1" applyAlignment="1">
      <alignment horizontal="left"/>
    </xf>
    <xf numFmtId="0" fontId="29" fillId="0" borderId="227" xfId="0" applyFont="1" applyBorder="1" applyAlignment="1">
      <alignment horizontal="left"/>
    </xf>
    <xf numFmtId="0" fontId="29" fillId="0" borderId="228" xfId="0" applyFont="1" applyBorder="1" applyAlignment="1">
      <alignment horizontal="left"/>
    </xf>
    <xf numFmtId="0" fontId="4" fillId="0" borderId="18" xfId="1" applyFont="1" applyBorder="1" applyAlignment="1">
      <alignment horizontal="center" vertical="center" wrapText="1"/>
    </xf>
    <xf numFmtId="0" fontId="4" fillId="0" borderId="0" xfId="1" applyFont="1" applyAlignment="1">
      <alignment horizontal="center" vertical="center" wrapText="1"/>
    </xf>
    <xf numFmtId="0" fontId="4" fillId="0" borderId="40" xfId="1" applyFont="1" applyBorder="1" applyAlignment="1">
      <alignment horizontal="center" vertical="center"/>
    </xf>
    <xf numFmtId="0" fontId="4" fillId="0" borderId="0" xfId="1" applyFont="1" applyAlignment="1">
      <alignment horizontal="center" vertical="center"/>
    </xf>
    <xf numFmtId="17" fontId="4" fillId="0" borderId="40" xfId="1" applyNumberFormat="1" applyFont="1" applyBorder="1" applyAlignment="1">
      <alignment horizontal="center" vertical="center"/>
    </xf>
    <xf numFmtId="17" fontId="4" fillId="0" borderId="0" xfId="1" applyNumberFormat="1" applyFont="1" applyAlignment="1">
      <alignment horizontal="center" vertical="center"/>
    </xf>
    <xf numFmtId="0" fontId="28" fillId="81" borderId="18" xfId="640" applyFont="1" applyFill="1" applyBorder="1" applyAlignment="1">
      <alignment horizontal="center" vertical="center"/>
    </xf>
    <xf numFmtId="0" fontId="28" fillId="81" borderId="0" xfId="640" applyFont="1" applyFill="1" applyAlignment="1">
      <alignment horizontal="center" vertical="center"/>
    </xf>
    <xf numFmtId="0" fontId="29" fillId="0" borderId="32" xfId="0" applyFont="1" applyBorder="1" applyAlignment="1">
      <alignment horizontal="left"/>
    </xf>
    <xf numFmtId="0" fontId="29" fillId="0" borderId="34" xfId="0" applyFont="1" applyBorder="1" applyAlignment="1">
      <alignment horizontal="left"/>
    </xf>
    <xf numFmtId="0" fontId="56" fillId="0" borderId="20" xfId="0" applyFont="1" applyBorder="1" applyAlignment="1">
      <alignment horizontal="center"/>
    </xf>
    <xf numFmtId="0" fontId="56" fillId="0" borderId="200" xfId="0" applyFont="1" applyBorder="1" applyAlignment="1">
      <alignment horizontal="center"/>
    </xf>
    <xf numFmtId="0" fontId="0" fillId="0" borderId="200" xfId="0" applyBorder="1" applyAlignment="1">
      <alignment horizontal="left" wrapText="1"/>
    </xf>
    <xf numFmtId="0" fontId="56" fillId="0" borderId="186" xfId="0" applyFont="1" applyBorder="1" applyAlignment="1">
      <alignment horizontal="center"/>
    </xf>
    <xf numFmtId="0" fontId="56" fillId="0" borderId="216" xfId="0" applyFont="1" applyBorder="1" applyAlignment="1">
      <alignment horizontal="center"/>
    </xf>
    <xf numFmtId="0" fontId="56" fillId="0" borderId="180" xfId="0" applyFont="1" applyBorder="1" applyAlignment="1">
      <alignment horizontal="center"/>
    </xf>
    <xf numFmtId="0" fontId="29" fillId="0" borderId="186" xfId="0" applyFont="1" applyBorder="1" applyAlignment="1">
      <alignment horizontal="center" vertical="center"/>
    </xf>
    <xf numFmtId="0" fontId="29" fillId="0" borderId="216" xfId="0" applyFont="1" applyBorder="1" applyAlignment="1">
      <alignment horizontal="center" vertical="center"/>
    </xf>
    <xf numFmtId="0" fontId="29" fillId="0" borderId="180" xfId="0" applyFont="1" applyBorder="1" applyAlignment="1">
      <alignment horizontal="center" vertical="center"/>
    </xf>
    <xf numFmtId="0" fontId="82" fillId="0" borderId="14" xfId="1" applyFont="1" applyBorder="1" applyAlignment="1">
      <alignment horizontal="center" vertical="center" wrapText="1"/>
    </xf>
    <xf numFmtId="0" fontId="82" fillId="0" borderId="16" xfId="1" applyFont="1" applyBorder="1" applyAlignment="1">
      <alignment horizontal="center" vertical="center" wrapText="1"/>
    </xf>
    <xf numFmtId="0" fontId="82" fillId="0" borderId="8" xfId="1" applyFont="1" applyBorder="1" applyAlignment="1">
      <alignment horizontal="center" vertical="center" wrapText="1"/>
    </xf>
    <xf numFmtId="0" fontId="82" fillId="0" borderId="9" xfId="1" applyFont="1" applyBorder="1" applyAlignment="1">
      <alignment horizontal="center" vertical="center" wrapText="1"/>
    </xf>
    <xf numFmtId="0" fontId="31" fillId="0" borderId="14"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34" xfId="1" applyFont="1" applyBorder="1" applyAlignment="1">
      <alignment horizontal="left" vertical="center"/>
    </xf>
    <xf numFmtId="17" fontId="31" fillId="0" borderId="186" xfId="1" applyNumberFormat="1" applyFont="1" applyBorder="1" applyAlignment="1">
      <alignment horizontal="left" vertical="center"/>
    </xf>
    <xf numFmtId="17" fontId="31" fillId="0" borderId="216" xfId="1" applyNumberFormat="1" applyFont="1" applyBorder="1" applyAlignment="1">
      <alignment horizontal="left" vertical="center"/>
    </xf>
    <xf numFmtId="0" fontId="0" fillId="0" borderId="200" xfId="0" applyBorder="1" applyAlignment="1">
      <alignment horizontal="left" vertical="center" wrapText="1"/>
    </xf>
    <xf numFmtId="0" fontId="0" fillId="0" borderId="188" xfId="0" applyBorder="1" applyAlignment="1">
      <alignment horizontal="center" vertical="center"/>
    </xf>
    <xf numFmtId="0" fontId="0" fillId="0" borderId="37" xfId="0" applyBorder="1" applyAlignment="1">
      <alignment horizontal="center" vertical="center"/>
    </xf>
    <xf numFmtId="0" fontId="0" fillId="0" borderId="20" xfId="0" applyBorder="1" applyAlignment="1">
      <alignment horizontal="center" vertical="center"/>
    </xf>
    <xf numFmtId="0" fontId="0" fillId="0" borderId="14" xfId="0" applyBorder="1" applyAlignment="1">
      <alignment horizontal="center"/>
    </xf>
    <xf numFmtId="0" fontId="0" fillId="0" borderId="18" xfId="0" applyBorder="1" applyAlignment="1">
      <alignment horizontal="center"/>
    </xf>
    <xf numFmtId="0" fontId="82" fillId="0" borderId="236" xfId="1" applyFont="1" applyBorder="1" applyAlignment="1">
      <alignment horizontal="center" vertical="center" wrapText="1"/>
    </xf>
    <xf numFmtId="0" fontId="31" fillId="0" borderId="236" xfId="1" applyFont="1" applyBorder="1" applyAlignment="1">
      <alignment horizontal="center" vertical="center" wrapText="1"/>
    </xf>
    <xf numFmtId="0" fontId="31" fillId="0" borderId="236" xfId="1" applyFont="1" applyBorder="1" applyAlignment="1">
      <alignment horizontal="center" vertical="center"/>
    </xf>
    <xf numFmtId="17" fontId="31" fillId="0" borderId="236" xfId="1" applyNumberFormat="1" applyFont="1" applyBorder="1" applyAlignment="1">
      <alignment horizontal="center" vertical="center"/>
    </xf>
    <xf numFmtId="0" fontId="138" fillId="0" borderId="20" xfId="0" applyFont="1" applyBorder="1" applyAlignment="1">
      <alignment horizontal="center"/>
    </xf>
    <xf numFmtId="0" fontId="17" fillId="0" borderId="200" xfId="0" applyFont="1" applyBorder="1" applyAlignment="1">
      <alignment horizontal="right" vertical="center"/>
    </xf>
    <xf numFmtId="0" fontId="138" fillId="0" borderId="200" xfId="0" applyFont="1" applyBorder="1" applyAlignment="1">
      <alignment horizontal="center"/>
    </xf>
    <xf numFmtId="0" fontId="0" fillId="0" borderId="236" xfId="0" applyBorder="1" applyAlignment="1">
      <alignment horizontal="center"/>
    </xf>
    <xf numFmtId="169" fontId="0" fillId="0" borderId="200" xfId="0" applyNumberFormat="1" applyBorder="1" applyAlignment="1">
      <alignment horizontal="right"/>
    </xf>
    <xf numFmtId="0" fontId="0" fillId="0" borderId="200" xfId="0" applyBorder="1" applyAlignment="1">
      <alignment horizontal="center" vertical="center"/>
    </xf>
    <xf numFmtId="0" fontId="0" fillId="0" borderId="200" xfId="0" applyBorder="1" applyAlignment="1">
      <alignment horizontal="center"/>
    </xf>
    <xf numFmtId="0" fontId="166" fillId="86" borderId="200" xfId="31" applyFont="1" applyFill="1" applyBorder="1" applyAlignment="1">
      <alignment horizontal="center" vertical="center"/>
    </xf>
    <xf numFmtId="0" fontId="31" fillId="0" borderId="200" xfId="31" applyFont="1" applyBorder="1"/>
    <xf numFmtId="0" fontId="181" fillId="84" borderId="200" xfId="31" applyFont="1" applyFill="1" applyBorder="1" applyAlignment="1">
      <alignment horizontal="center" vertical="center"/>
    </xf>
    <xf numFmtId="0" fontId="182" fillId="0" borderId="200" xfId="31" applyFont="1" applyBorder="1" applyAlignment="1">
      <alignment horizontal="left" vertical="center" wrapText="1"/>
    </xf>
    <xf numFmtId="49" fontId="166" fillId="84" borderId="200" xfId="31" applyNumberFormat="1" applyFont="1" applyFill="1" applyBorder="1" applyAlignment="1">
      <alignment horizontal="right" vertical="center"/>
    </xf>
    <xf numFmtId="17" fontId="182" fillId="0" borderId="200" xfId="31" applyNumberFormat="1" applyFont="1" applyBorder="1" applyAlignment="1">
      <alignment horizontal="left" vertical="center" wrapText="1"/>
    </xf>
    <xf numFmtId="0" fontId="138" fillId="0" borderId="200" xfId="0" applyFont="1" applyBorder="1" applyAlignment="1">
      <alignment horizontal="center" vertical="center" wrapText="1"/>
    </xf>
    <xf numFmtId="0" fontId="138" fillId="0" borderId="200" xfId="924" applyNumberFormat="1" applyFont="1" applyBorder="1" applyAlignment="1">
      <alignment horizontal="center" vertical="center"/>
    </xf>
    <xf numFmtId="2" fontId="127" fillId="0" borderId="200" xfId="0" applyNumberFormat="1" applyFont="1" applyBorder="1" applyAlignment="1">
      <alignment horizontal="center" vertical="center"/>
    </xf>
    <xf numFmtId="169" fontId="127" fillId="0" borderId="200" xfId="924" applyNumberFormat="1" applyFont="1" applyBorder="1" applyAlignment="1">
      <alignment horizontal="center" vertical="center"/>
    </xf>
    <xf numFmtId="0" fontId="138" fillId="0" borderId="200" xfId="0" applyFont="1" applyBorder="1" applyAlignment="1">
      <alignment horizontal="center" vertical="center"/>
    </xf>
    <xf numFmtId="169" fontId="127" fillId="0" borderId="200" xfId="0" applyNumberFormat="1" applyFont="1" applyBorder="1" applyAlignment="1">
      <alignment horizontal="center" vertical="center"/>
    </xf>
    <xf numFmtId="2" fontId="138" fillId="0" borderId="200" xfId="0" applyNumberFormat="1" applyFont="1" applyBorder="1" applyAlignment="1">
      <alignment horizontal="center" vertical="center"/>
    </xf>
    <xf numFmtId="43" fontId="138" fillId="0" borderId="200" xfId="634" applyFont="1" applyBorder="1" applyAlignment="1">
      <alignment horizontal="center" vertical="center" wrapText="1"/>
    </xf>
    <xf numFmtId="0" fontId="102" fillId="0" borderId="200" xfId="0" applyFont="1" applyBorder="1" applyAlignment="1">
      <alignment horizontal="left" vertical="center" wrapText="1"/>
    </xf>
    <xf numFmtId="0" fontId="127" fillId="0" borderId="186" xfId="0" applyFont="1" applyBorder="1" applyAlignment="1">
      <alignment horizontal="center" vertical="center" wrapText="1"/>
    </xf>
    <xf numFmtId="0" fontId="127" fillId="0" borderId="216" xfId="0" applyFont="1" applyBorder="1" applyAlignment="1">
      <alignment horizontal="center" vertical="center" wrapText="1"/>
    </xf>
    <xf numFmtId="0" fontId="127" fillId="0" borderId="180" xfId="0" applyFont="1" applyBorder="1" applyAlignment="1">
      <alignment horizontal="center" vertical="center" wrapText="1"/>
    </xf>
    <xf numFmtId="0" fontId="138" fillId="0" borderId="200" xfId="0" quotePrefix="1" applyFont="1" applyBorder="1" applyAlignment="1">
      <alignment horizontal="center" vertical="center"/>
    </xf>
    <xf numFmtId="2" fontId="127" fillId="0" borderId="186" xfId="0" applyNumberFormat="1" applyFont="1" applyBorder="1" applyAlignment="1">
      <alignment horizontal="center" vertical="center" wrapText="1"/>
    </xf>
    <xf numFmtId="2" fontId="127" fillId="0" borderId="180" xfId="0" applyNumberFormat="1" applyFont="1" applyBorder="1" applyAlignment="1">
      <alignment horizontal="center" vertical="center" wrapText="1"/>
    </xf>
    <xf numFmtId="2" fontId="138" fillId="0" borderId="186" xfId="0" applyNumberFormat="1" applyFont="1" applyBorder="1" applyAlignment="1">
      <alignment horizontal="right" vertical="center" wrapText="1"/>
    </xf>
    <xf numFmtId="2" fontId="138" fillId="0" borderId="180" xfId="0" applyNumberFormat="1" applyFont="1" applyBorder="1" applyAlignment="1">
      <alignment horizontal="right" vertical="center" wrapText="1"/>
    </xf>
    <xf numFmtId="0" fontId="102" fillId="0" borderId="200" xfId="0" applyFont="1" applyBorder="1" applyAlignment="1">
      <alignment horizontal="center" vertical="center" wrapText="1"/>
    </xf>
    <xf numFmtId="0" fontId="138" fillId="0" borderId="200" xfId="0" applyFont="1" applyBorder="1" applyAlignment="1">
      <alignment horizontal="right" vertical="center"/>
    </xf>
    <xf numFmtId="169" fontId="138" fillId="0" borderId="200" xfId="0" applyNumberFormat="1" applyFont="1" applyBorder="1" applyAlignment="1">
      <alignment horizontal="center" vertical="center"/>
    </xf>
    <xf numFmtId="196" fontId="102" fillId="0" borderId="200" xfId="0" applyNumberFormat="1" applyFont="1" applyBorder="1" applyAlignment="1">
      <alignment horizontal="left" vertical="center"/>
    </xf>
    <xf numFmtId="0" fontId="14" fillId="0" borderId="236" xfId="23" applyFont="1" applyBorder="1" applyAlignment="1">
      <alignment horizontal="center" wrapText="1"/>
    </xf>
    <xf numFmtId="0" fontId="146" fillId="73" borderId="8" xfId="431" applyFont="1" applyFill="1" applyBorder="1" applyAlignment="1">
      <alignment horizontal="center" vertical="center" wrapText="1"/>
    </xf>
    <xf numFmtId="0" fontId="146" fillId="73" borderId="9" xfId="431" applyFont="1" applyFill="1" applyBorder="1" applyAlignment="1">
      <alignment horizontal="center" vertical="center" wrapText="1"/>
    </xf>
    <xf numFmtId="0" fontId="146" fillId="73" borderId="10" xfId="431" applyFont="1" applyFill="1" applyBorder="1" applyAlignment="1">
      <alignment horizontal="center" vertical="center" wrapText="1"/>
    </xf>
    <xf numFmtId="0" fontId="140" fillId="5" borderId="236" xfId="811" applyFont="1" applyFill="1" applyBorder="1" applyAlignment="1">
      <alignment horizontal="center" vertical="center"/>
    </xf>
    <xf numFmtId="4" fontId="4" fillId="0" borderId="236" xfId="23" applyNumberFormat="1" applyFont="1" applyBorder="1" applyAlignment="1">
      <alignment horizontal="left"/>
    </xf>
    <xf numFmtId="4" fontId="4" fillId="0" borderId="236" xfId="23" applyNumberFormat="1" applyFont="1" applyBorder="1" applyAlignment="1">
      <alignment horizontal="left" wrapText="1"/>
    </xf>
    <xf numFmtId="14" fontId="4" fillId="0" borderId="236" xfId="23" applyNumberFormat="1" applyFont="1" applyBorder="1" applyAlignment="1">
      <alignment horizontal="left" wrapText="1"/>
    </xf>
    <xf numFmtId="0" fontId="168" fillId="5" borderId="236" xfId="811" applyFont="1" applyFill="1" applyBorder="1" applyAlignment="1">
      <alignment horizontal="center" vertical="center" wrapText="1"/>
    </xf>
    <xf numFmtId="0" fontId="140" fillId="5" borderId="236" xfId="811" applyFont="1" applyFill="1" applyBorder="1" applyAlignment="1">
      <alignment horizontal="center" vertical="center" wrapText="1"/>
    </xf>
    <xf numFmtId="1" fontId="4" fillId="5" borderId="200" xfId="23" applyNumberFormat="1" applyFont="1" applyFill="1" applyBorder="1" applyAlignment="1">
      <alignment horizontal="left" vertical="top" wrapText="1"/>
    </xf>
    <xf numFmtId="0" fontId="158" fillId="5" borderId="14" xfId="811" applyFont="1" applyFill="1" applyBorder="1" applyAlignment="1">
      <alignment horizontal="center" vertical="center"/>
    </xf>
    <xf numFmtId="0" fontId="158" fillId="5" borderId="16" xfId="811" applyFont="1" applyFill="1" applyBorder="1" applyAlignment="1">
      <alignment horizontal="center" vertical="center"/>
    </xf>
    <xf numFmtId="0" fontId="158" fillId="5" borderId="15" xfId="811" applyFont="1" applyFill="1" applyBorder="1" applyAlignment="1">
      <alignment horizontal="center" vertical="center"/>
    </xf>
    <xf numFmtId="0" fontId="158" fillId="5" borderId="18" xfId="811" applyFont="1" applyFill="1" applyBorder="1" applyAlignment="1">
      <alignment horizontal="center" vertical="center"/>
    </xf>
    <xf numFmtId="0" fontId="158" fillId="5" borderId="0" xfId="811" applyFont="1" applyFill="1" applyAlignment="1">
      <alignment horizontal="center" vertical="center"/>
    </xf>
    <xf numFmtId="0" fontId="158" fillId="5" borderId="19" xfId="811" applyFont="1" applyFill="1" applyBorder="1" applyAlignment="1">
      <alignment horizontal="center" vertical="center"/>
    </xf>
    <xf numFmtId="0" fontId="90" fillId="5" borderId="18" xfId="811" applyFont="1" applyFill="1" applyBorder="1" applyAlignment="1">
      <alignment horizontal="center" vertical="center" wrapText="1"/>
    </xf>
    <xf numFmtId="0" fontId="90" fillId="5" borderId="0" xfId="811" applyFont="1" applyFill="1" applyAlignment="1">
      <alignment horizontal="center" vertical="center" wrapText="1"/>
    </xf>
    <xf numFmtId="0" fontId="90" fillId="5" borderId="19" xfId="811" applyFont="1" applyFill="1" applyBorder="1" applyAlignment="1">
      <alignment horizontal="center" vertical="center" wrapText="1"/>
    </xf>
    <xf numFmtId="0" fontId="90" fillId="5" borderId="8" xfId="811" applyFont="1" applyFill="1" applyBorder="1" applyAlignment="1">
      <alignment horizontal="center" vertical="center" wrapText="1"/>
    </xf>
    <xf numFmtId="0" fontId="90" fillId="5" borderId="9" xfId="811" applyFont="1" applyFill="1" applyBorder="1" applyAlignment="1">
      <alignment horizontal="center" vertical="center" wrapText="1"/>
    </xf>
    <xf numFmtId="0" fontId="90" fillId="5" borderId="10" xfId="811" applyFont="1" applyFill="1" applyBorder="1" applyAlignment="1">
      <alignment horizontal="center" vertical="center" wrapText="1"/>
    </xf>
    <xf numFmtId="0" fontId="84" fillId="4" borderId="177" xfId="640" applyFont="1" applyFill="1" applyBorder="1" applyAlignment="1">
      <alignment horizontal="left"/>
    </xf>
    <xf numFmtId="0" fontId="25" fillId="73" borderId="18" xfId="787" applyFont="1" applyFill="1" applyBorder="1" applyAlignment="1">
      <alignment horizontal="center" vertical="center"/>
    </xf>
    <xf numFmtId="0" fontId="25" fillId="73" borderId="0" xfId="787" applyFont="1" applyFill="1" applyAlignment="1">
      <alignment horizontal="center" vertical="center"/>
    </xf>
    <xf numFmtId="0" fontId="25" fillId="73" borderId="19" xfId="787" applyFont="1" applyFill="1" applyBorder="1" applyAlignment="1">
      <alignment horizontal="center" vertical="center"/>
    </xf>
    <xf numFmtId="0" fontId="140" fillId="5" borderId="0" xfId="811" applyFont="1" applyFill="1" applyAlignment="1">
      <alignment horizontal="left" vertical="center"/>
    </xf>
    <xf numFmtId="0" fontId="140" fillId="5" borderId="19" xfId="811" applyFont="1" applyFill="1" applyBorder="1" applyAlignment="1">
      <alignment horizontal="left" vertical="center"/>
    </xf>
    <xf numFmtId="14" fontId="140" fillId="5" borderId="9" xfId="811" applyNumberFormat="1" applyFont="1" applyFill="1" applyBorder="1" applyAlignment="1">
      <alignment horizontal="left" vertical="center"/>
    </xf>
    <xf numFmtId="14" fontId="140" fillId="5" borderId="10" xfId="811" applyNumberFormat="1" applyFont="1" applyFill="1" applyBorder="1" applyAlignment="1">
      <alignment horizontal="left" vertical="center"/>
    </xf>
    <xf numFmtId="0" fontId="158" fillId="5" borderId="0" xfId="811" applyFont="1" applyFill="1" applyAlignment="1">
      <alignment horizontal="center" vertical="center" wrapText="1"/>
    </xf>
    <xf numFmtId="10" fontId="12" fillId="8" borderId="16" xfId="640" applyNumberFormat="1" applyFont="1" applyFill="1" applyBorder="1" applyAlignment="1">
      <alignment horizontal="center" vertical="center"/>
    </xf>
    <xf numFmtId="10" fontId="12" fillId="8" borderId="15" xfId="640" applyNumberFormat="1" applyFont="1" applyFill="1" applyBorder="1" applyAlignment="1">
      <alignment horizontal="center" vertical="center"/>
    </xf>
    <xf numFmtId="10" fontId="12" fillId="8" borderId="9" xfId="640" applyNumberFormat="1" applyFont="1" applyFill="1" applyBorder="1" applyAlignment="1">
      <alignment horizontal="center" vertical="center"/>
    </xf>
    <xf numFmtId="10" fontId="12" fillId="8" borderId="10" xfId="640" applyNumberFormat="1" applyFont="1" applyFill="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5" fillId="0" borderId="32" xfId="23" applyFont="1" applyBorder="1" applyAlignment="1">
      <alignment horizontal="center"/>
    </xf>
    <xf numFmtId="0" fontId="5" fillId="0" borderId="34" xfId="23" applyFont="1" applyBorder="1" applyAlignment="1">
      <alignment horizontal="center"/>
    </xf>
    <xf numFmtId="0" fontId="5" fillId="0" borderId="33" xfId="23" applyFont="1" applyBorder="1" applyAlignment="1">
      <alignment horizontal="center"/>
    </xf>
    <xf numFmtId="0" fontId="5" fillId="0" borderId="32" xfId="23" applyFont="1" applyBorder="1" applyAlignment="1">
      <alignment vertical="center"/>
    </xf>
    <xf numFmtId="0" fontId="5" fillId="0" borderId="34" xfId="23" applyFont="1" applyBorder="1" applyAlignment="1">
      <alignment vertical="center"/>
    </xf>
    <xf numFmtId="0" fontId="5" fillId="0" borderId="33" xfId="23" applyFont="1" applyBorder="1" applyAlignment="1">
      <alignment vertical="center"/>
    </xf>
    <xf numFmtId="0" fontId="7" fillId="0" borderId="28" xfId="23" applyBorder="1" applyAlignment="1">
      <alignment horizontal="center" vertical="center"/>
    </xf>
    <xf numFmtId="1" fontId="3" fillId="73" borderId="34" xfId="23" applyNumberFormat="1" applyFont="1" applyFill="1" applyBorder="1" applyAlignment="1">
      <alignment horizontal="center"/>
    </xf>
    <xf numFmtId="1" fontId="4" fillId="0" borderId="66" xfId="23" applyNumberFormat="1" applyFont="1" applyBorder="1" applyAlignment="1">
      <alignment horizontal="left"/>
    </xf>
    <xf numFmtId="1" fontId="4" fillId="0" borderId="65" xfId="23" applyNumberFormat="1" applyFont="1" applyBorder="1" applyAlignment="1">
      <alignment horizontal="left"/>
    </xf>
    <xf numFmtId="1" fontId="4" fillId="0" borderId="13" xfId="23" applyNumberFormat="1" applyFont="1" applyBorder="1" applyAlignment="1">
      <alignment horizontal="left"/>
    </xf>
    <xf numFmtId="0" fontId="4" fillId="0" borderId="18" xfId="23" applyFont="1" applyBorder="1" applyAlignment="1">
      <alignment horizontal="center"/>
    </xf>
    <xf numFmtId="0" fontId="4" fillId="0" borderId="0" xfId="23" applyFont="1" applyAlignment="1">
      <alignment horizontal="center"/>
    </xf>
    <xf numFmtId="0" fontId="4" fillId="0" borderId="19" xfId="23" applyFont="1" applyBorder="1" applyAlignment="1">
      <alignment horizontal="center"/>
    </xf>
    <xf numFmtId="4" fontId="3" fillId="73" borderId="34" xfId="23" applyNumberFormat="1" applyFont="1" applyFill="1" applyBorder="1" applyAlignment="1">
      <alignment horizontal="center"/>
    </xf>
    <xf numFmtId="4" fontId="3" fillId="73" borderId="33" xfId="23" applyNumberFormat="1" applyFont="1" applyFill="1" applyBorder="1" applyAlignment="1">
      <alignment horizontal="center"/>
    </xf>
    <xf numFmtId="4" fontId="4" fillId="13" borderId="13" xfId="23" applyNumberFormat="1" applyFont="1" applyFill="1" applyBorder="1" applyAlignment="1">
      <alignment horizontal="center"/>
    </xf>
    <xf numFmtId="4" fontId="4" fillId="13" borderId="12" xfId="23" applyNumberFormat="1" applyFont="1" applyFill="1" applyBorder="1" applyAlignment="1">
      <alignment horizontal="center"/>
    </xf>
    <xf numFmtId="4" fontId="3" fillId="73" borderId="13" xfId="23" applyNumberFormat="1" applyFont="1" applyFill="1" applyBorder="1" applyAlignment="1">
      <alignment horizontal="center"/>
    </xf>
    <xf numFmtId="4" fontId="3" fillId="73"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73" borderId="13" xfId="23" applyNumberFormat="1" applyFont="1" applyFill="1" applyBorder="1" applyAlignment="1">
      <alignment horizontal="center"/>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0" fontId="72" fillId="0" borderId="0" xfId="23" applyFont="1" applyAlignment="1">
      <alignment horizontal="right" vertical="center"/>
    </xf>
    <xf numFmtId="0" fontId="7" fillId="0" borderId="0" xfId="23" applyAlignment="1">
      <alignment horizontal="left" vertical="center"/>
    </xf>
    <xf numFmtId="1" fontId="4" fillId="0" borderId="21" xfId="23" applyNumberFormat="1" applyFont="1" applyBorder="1" applyAlignment="1">
      <alignment horizontal="left"/>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168" fontId="3" fillId="0" borderId="5" xfId="9" applyFont="1" applyBorder="1" applyAlignment="1">
      <alignment horizontal="center" vertical="center"/>
    </xf>
    <xf numFmtId="168"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89" fillId="0" borderId="5" xfId="23" applyFont="1" applyBorder="1" applyAlignment="1">
      <alignment horizontal="center" vertical="center"/>
    </xf>
    <xf numFmtId="0" fontId="89" fillId="0" borderId="7" xfId="23" applyFont="1" applyBorder="1" applyAlignment="1">
      <alignment horizontal="center" vertical="center"/>
    </xf>
    <xf numFmtId="0" fontId="89" fillId="0" borderId="6" xfId="23" applyFont="1" applyBorder="1" applyAlignment="1">
      <alignment horizontal="center" vertical="center"/>
    </xf>
    <xf numFmtId="0" fontId="4" fillId="0" borderId="14" xfId="23" applyFont="1" applyBorder="1" applyAlignment="1">
      <alignment horizontal="center"/>
    </xf>
    <xf numFmtId="0" fontId="4" fillId="0" borderId="16" xfId="23" applyFont="1" applyBorder="1" applyAlignment="1">
      <alignment horizontal="center"/>
    </xf>
    <xf numFmtId="0" fontId="4" fillId="0" borderId="15" xfId="23" applyFont="1" applyBorder="1" applyAlignment="1">
      <alignment horizontal="center"/>
    </xf>
    <xf numFmtId="0" fontId="4" fillId="0" borderId="8" xfId="23" applyFont="1" applyBorder="1" applyAlignment="1">
      <alignment horizontal="center" vertical="center"/>
    </xf>
    <xf numFmtId="0" fontId="4" fillId="0" borderId="9" xfId="23" applyFont="1" applyBorder="1" applyAlignment="1">
      <alignment horizontal="center" vertical="center"/>
    </xf>
    <xf numFmtId="0" fontId="4" fillId="0" borderId="10" xfId="23" applyFont="1" applyBorder="1" applyAlignment="1">
      <alignment horizontal="center" vertical="center"/>
    </xf>
    <xf numFmtId="0" fontId="84" fillId="8" borderId="14" xfId="23" applyFont="1" applyFill="1" applyBorder="1" applyAlignment="1">
      <alignment horizontal="center" vertical="center" wrapText="1"/>
    </xf>
    <xf numFmtId="0" fontId="84" fillId="8" borderId="16" xfId="23" applyFont="1" applyFill="1" applyBorder="1" applyAlignment="1">
      <alignment horizontal="center" vertical="center" wrapText="1"/>
    </xf>
    <xf numFmtId="0" fontId="84" fillId="8" borderId="8" xfId="23" applyFont="1" applyFill="1" applyBorder="1" applyAlignment="1">
      <alignment horizontal="center" vertical="center" wrapText="1"/>
    </xf>
    <xf numFmtId="0" fontId="84" fillId="8" borderId="9" xfId="23" applyFont="1" applyFill="1" applyBorder="1" applyAlignment="1">
      <alignment horizontal="center" vertical="center" wrapText="1"/>
    </xf>
    <xf numFmtId="40" fontId="7" fillId="0" borderId="0" xfId="23" applyNumberFormat="1" applyAlignment="1">
      <alignment horizontal="center" vertical="center"/>
    </xf>
    <xf numFmtId="0" fontId="4" fillId="0" borderId="0" xfId="1" applyFont="1" applyAlignment="1">
      <alignment horizontal="left" vertical="center" wrapText="1"/>
    </xf>
    <xf numFmtId="0" fontId="4" fillId="0" borderId="9" xfId="1" applyFont="1" applyBorder="1" applyAlignment="1">
      <alignment horizontal="left" vertical="center" wrapText="1"/>
    </xf>
    <xf numFmtId="0" fontId="25" fillId="4" borderId="5" xfId="1" applyFont="1" applyFill="1" applyBorder="1" applyAlignment="1">
      <alignment horizontal="center" vertical="center" wrapText="1"/>
    </xf>
    <xf numFmtId="0" fontId="90" fillId="4" borderId="7" xfId="1" applyFont="1" applyFill="1" applyBorder="1" applyAlignment="1">
      <alignment horizontal="center" vertical="center" wrapText="1"/>
    </xf>
    <xf numFmtId="0" fontId="90" fillId="4" borderId="6" xfId="1" applyFont="1" applyFill="1" applyBorder="1" applyAlignment="1">
      <alignment horizontal="center" vertical="center" wrapText="1"/>
    </xf>
    <xf numFmtId="0" fontId="3" fillId="0" borderId="32" xfId="23" applyFont="1" applyBorder="1" applyAlignment="1">
      <alignment horizontal="center" vertical="center"/>
    </xf>
    <xf numFmtId="0" fontId="3" fillId="0" borderId="11" xfId="23" applyFont="1" applyBorder="1" applyAlignment="1">
      <alignment horizontal="center" vertical="center"/>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218" xfId="1" applyFont="1" applyBorder="1" applyAlignment="1">
      <alignment horizontal="center" vertical="center" wrapText="1"/>
    </xf>
    <xf numFmtId="0" fontId="16" fillId="0" borderId="64" xfId="1" applyFont="1" applyBorder="1" applyAlignment="1">
      <alignment horizontal="center" vertical="center" wrapText="1"/>
    </xf>
    <xf numFmtId="0" fontId="5" fillId="0" borderId="14" xfId="23" applyFont="1" applyBorder="1" applyAlignment="1">
      <alignment horizontal="center" vertical="center" wrapText="1"/>
    </xf>
    <xf numFmtId="0" fontId="5" fillId="0" borderId="16" xfId="23" applyFont="1" applyBorder="1" applyAlignment="1">
      <alignment horizontal="center" vertical="center" wrapText="1"/>
    </xf>
    <xf numFmtId="0" fontId="5" fillId="0" borderId="15" xfId="23" applyFont="1" applyBorder="1" applyAlignment="1">
      <alignment horizontal="center" vertical="center" wrapText="1"/>
    </xf>
    <xf numFmtId="0" fontId="5" fillId="0" borderId="18" xfId="23" applyFont="1" applyBorder="1" applyAlignment="1">
      <alignment horizontal="center" vertical="center" wrapText="1"/>
    </xf>
    <xf numFmtId="0" fontId="5" fillId="0" borderId="0" xfId="23" applyFont="1" applyAlignment="1">
      <alignment horizontal="center" vertical="center" wrapText="1"/>
    </xf>
    <xf numFmtId="0" fontId="5" fillId="0" borderId="19" xfId="23" applyFont="1" applyBorder="1" applyAlignment="1">
      <alignment horizontal="center" vertical="center" wrapText="1"/>
    </xf>
    <xf numFmtId="0" fontId="5" fillId="0" borderId="8" xfId="23" applyFont="1" applyBorder="1" applyAlignment="1">
      <alignment horizontal="center" vertical="center" wrapText="1"/>
    </xf>
    <xf numFmtId="0" fontId="5" fillId="0" borderId="9" xfId="23" applyFont="1" applyBorder="1" applyAlignment="1">
      <alignment horizontal="center" vertical="center" wrapText="1"/>
    </xf>
    <xf numFmtId="0" fontId="5" fillId="0" borderId="10" xfId="23" applyFont="1" applyBorder="1" applyAlignment="1">
      <alignment horizontal="center" vertical="center" wrapText="1"/>
    </xf>
    <xf numFmtId="0" fontId="5" fillId="0" borderId="16" xfId="1" applyBorder="1" applyAlignment="1">
      <alignment horizontal="center" vertical="center"/>
    </xf>
    <xf numFmtId="0" fontId="5" fillId="0" borderId="0" xfId="1" applyAlignment="1">
      <alignment horizontal="center" vertical="center"/>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0" borderId="32" xfId="640" applyFont="1" applyBorder="1" applyAlignment="1">
      <alignment horizontal="center" vertical="center"/>
    </xf>
    <xf numFmtId="0" fontId="3" fillId="0" borderId="174" xfId="640" applyFont="1" applyBorder="1" applyAlignment="1">
      <alignment horizontal="center" vertical="center"/>
    </xf>
    <xf numFmtId="0" fontId="3" fillId="0" borderId="34" xfId="640" applyFont="1" applyBorder="1" applyAlignment="1">
      <alignment horizontal="center" vertical="center"/>
    </xf>
    <xf numFmtId="0" fontId="3" fillId="0" borderId="185" xfId="640" applyFont="1" applyBorder="1" applyAlignment="1">
      <alignment horizontal="center" vertical="center"/>
    </xf>
    <xf numFmtId="0" fontId="3" fillId="0" borderId="34" xfId="640" applyFont="1" applyBorder="1" applyAlignment="1">
      <alignment horizontal="center"/>
    </xf>
    <xf numFmtId="0" fontId="3" fillId="0" borderId="33" xfId="640" applyFont="1" applyBorder="1" applyAlignment="1">
      <alignment horizontal="center"/>
    </xf>
    <xf numFmtId="0" fontId="3" fillId="0" borderId="185" xfId="640" applyFont="1" applyBorder="1" applyAlignment="1">
      <alignment horizontal="center"/>
    </xf>
    <xf numFmtId="0" fontId="3" fillId="0" borderId="184" xfId="640" applyFont="1" applyBorder="1" applyAlignment="1">
      <alignment horizontal="center"/>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1" fontId="3" fillId="0" borderId="5" xfId="640" applyNumberFormat="1" applyFont="1" applyBorder="1" applyAlignment="1">
      <alignment horizontal="center" vertical="center"/>
    </xf>
    <xf numFmtId="1" fontId="3" fillId="0" borderId="7" xfId="640" applyNumberFormat="1" applyFont="1" applyBorder="1" applyAlignment="1">
      <alignment horizontal="center" vertical="center"/>
    </xf>
    <xf numFmtId="1" fontId="3" fillId="0" borderId="6" xfId="640" applyNumberFormat="1" applyFont="1" applyBorder="1" applyAlignment="1">
      <alignment horizontal="center" vertical="center"/>
    </xf>
    <xf numFmtId="0" fontId="89" fillId="0" borderId="5" xfId="640" applyFont="1" applyBorder="1" applyAlignment="1">
      <alignment horizontal="center" vertical="center"/>
    </xf>
    <xf numFmtId="0" fontId="89" fillId="0" borderId="7" xfId="640" applyFont="1" applyBorder="1" applyAlignment="1">
      <alignment horizontal="center" vertical="center"/>
    </xf>
    <xf numFmtId="0" fontId="89" fillId="0" borderId="6" xfId="640" applyFont="1" applyBorder="1" applyAlignment="1">
      <alignment horizontal="center" vertical="center"/>
    </xf>
    <xf numFmtId="0" fontId="72" fillId="0" borderId="0" xfId="640" applyFont="1" applyAlignment="1">
      <alignment horizontal="right" vertical="center"/>
    </xf>
    <xf numFmtId="0" fontId="5" fillId="0" borderId="28" xfId="640" applyBorder="1" applyAlignment="1">
      <alignment horizontal="center" vertical="center"/>
    </xf>
    <xf numFmtId="0" fontId="5" fillId="0" borderId="0" xfId="640" applyAlignment="1">
      <alignment horizontal="left" vertical="center"/>
    </xf>
    <xf numFmtId="40" fontId="5" fillId="0" borderId="0" xfId="640" applyNumberFormat="1" applyAlignment="1">
      <alignment horizontal="center" vertical="center"/>
    </xf>
    <xf numFmtId="0" fontId="4" fillId="0" borderId="14" xfId="640" applyFont="1" applyBorder="1" applyAlignment="1">
      <alignment horizontal="center"/>
    </xf>
    <xf numFmtId="0" fontId="4" fillId="0" borderId="16" xfId="640" applyFont="1" applyBorder="1" applyAlignment="1">
      <alignment horizontal="center"/>
    </xf>
    <xf numFmtId="0" fontId="4" fillId="0" borderId="15" xfId="640" applyFont="1" applyBorder="1" applyAlignment="1">
      <alignment horizontal="center"/>
    </xf>
    <xf numFmtId="0" fontId="84" fillId="8" borderId="14" xfId="640" applyFont="1" applyFill="1" applyBorder="1" applyAlignment="1">
      <alignment horizontal="center" vertical="center" wrapText="1"/>
    </xf>
    <xf numFmtId="0" fontId="84" fillId="8" borderId="16" xfId="640" applyFont="1" applyFill="1" applyBorder="1" applyAlignment="1">
      <alignment horizontal="center" vertical="center" wrapText="1"/>
    </xf>
    <xf numFmtId="0" fontId="84" fillId="8" borderId="8" xfId="640" applyFont="1" applyFill="1" applyBorder="1" applyAlignment="1">
      <alignment horizontal="center" vertical="center" wrapText="1"/>
    </xf>
    <xf numFmtId="0" fontId="84" fillId="8" borderId="9" xfId="640" applyFont="1" applyFill="1" applyBorder="1" applyAlignment="1">
      <alignment horizontal="center" vertical="center" wrapText="1"/>
    </xf>
    <xf numFmtId="0" fontId="3" fillId="0" borderId="5" xfId="640" applyFont="1" applyBorder="1" applyAlignment="1">
      <alignment horizontal="center"/>
    </xf>
    <xf numFmtId="0" fontId="3" fillId="0" borderId="7" xfId="640" applyFont="1" applyBorder="1" applyAlignment="1">
      <alignment horizontal="center"/>
    </xf>
    <xf numFmtId="168" fontId="3" fillId="0" borderId="5" xfId="644" applyFont="1" applyBorder="1" applyAlignment="1">
      <alignment horizontal="center" vertical="center"/>
    </xf>
    <xf numFmtId="168" fontId="3" fillId="0" borderId="6" xfId="644" applyFont="1" applyBorder="1" applyAlignment="1">
      <alignment horizontal="center" vertical="center"/>
    </xf>
    <xf numFmtId="1" fontId="4" fillId="0" borderId="185" xfId="640" applyNumberFormat="1" applyFont="1" applyBorder="1" applyAlignment="1">
      <alignment horizontal="left"/>
    </xf>
    <xf numFmtId="4" fontId="4" fillId="0" borderId="185" xfId="640" applyNumberFormat="1" applyFont="1" applyBorder="1" applyAlignment="1">
      <alignment horizontal="center"/>
    </xf>
    <xf numFmtId="4" fontId="4" fillId="0" borderId="184" xfId="640" applyNumberFormat="1" applyFont="1" applyBorder="1" applyAlignment="1">
      <alignment horizontal="center"/>
    </xf>
    <xf numFmtId="1" fontId="4" fillId="0" borderId="175" xfId="640" applyNumberFormat="1" applyFont="1" applyBorder="1" applyAlignment="1">
      <alignment horizontal="left"/>
    </xf>
    <xf numFmtId="4" fontId="4" fillId="0" borderId="175" xfId="640" applyNumberFormat="1" applyFont="1" applyBorder="1" applyAlignment="1">
      <alignment horizontal="center"/>
    </xf>
    <xf numFmtId="4" fontId="4" fillId="0" borderId="176" xfId="640" applyNumberFormat="1" applyFont="1" applyBorder="1" applyAlignment="1">
      <alignment horizontal="center"/>
    </xf>
    <xf numFmtId="4" fontId="4" fillId="13" borderId="185" xfId="640" applyNumberFormat="1" applyFont="1" applyFill="1" applyBorder="1" applyAlignment="1">
      <alignment horizontal="center"/>
    </xf>
    <xf numFmtId="4" fontId="4" fillId="13" borderId="184" xfId="640" applyNumberFormat="1" applyFont="1" applyFill="1" applyBorder="1" applyAlignment="1">
      <alignment horizontal="center"/>
    </xf>
    <xf numFmtId="1" fontId="4" fillId="0" borderId="185" xfId="23" applyNumberFormat="1" applyFont="1" applyBorder="1" applyAlignment="1">
      <alignment horizontal="left"/>
    </xf>
    <xf numFmtId="0" fontId="4" fillId="0" borderId="18" xfId="640" applyFont="1" applyBorder="1" applyAlignment="1">
      <alignment horizontal="center"/>
    </xf>
    <xf numFmtId="0" fontId="4" fillId="0" borderId="0" xfId="640" applyFont="1" applyAlignment="1">
      <alignment horizontal="center"/>
    </xf>
    <xf numFmtId="0" fontId="4" fillId="0" borderId="19" xfId="640" applyFont="1" applyBorder="1" applyAlignment="1">
      <alignment horizontal="center"/>
    </xf>
    <xf numFmtId="1" fontId="3" fillId="73" borderId="34" xfId="640" applyNumberFormat="1" applyFont="1" applyFill="1" applyBorder="1" applyAlignment="1">
      <alignment horizontal="center"/>
    </xf>
    <xf numFmtId="4" fontId="3" fillId="73" borderId="34" xfId="640" applyNumberFormat="1" applyFont="1" applyFill="1" applyBorder="1" applyAlignment="1">
      <alignment horizontal="center"/>
    </xf>
    <xf numFmtId="4" fontId="3" fillId="73" borderId="33" xfId="640" applyNumberFormat="1" applyFont="1" applyFill="1" applyBorder="1" applyAlignment="1">
      <alignment horizontal="center"/>
    </xf>
    <xf numFmtId="1" fontId="4" fillId="0" borderId="197" xfId="640" applyNumberFormat="1" applyFont="1" applyBorder="1" applyAlignment="1">
      <alignment horizontal="left"/>
    </xf>
    <xf numFmtId="1" fontId="4" fillId="0" borderId="198" xfId="640" applyNumberFormat="1" applyFont="1" applyBorder="1" applyAlignment="1">
      <alignment horizontal="left"/>
    </xf>
    <xf numFmtId="1" fontId="3" fillId="73" borderId="185" xfId="640" applyNumberFormat="1" applyFont="1" applyFill="1" applyBorder="1" applyAlignment="1">
      <alignment horizontal="center"/>
    </xf>
    <xf numFmtId="4" fontId="3" fillId="73" borderId="185" xfId="640" applyNumberFormat="1" applyFont="1" applyFill="1" applyBorder="1" applyAlignment="1">
      <alignment horizontal="center"/>
    </xf>
    <xf numFmtId="4" fontId="3" fillId="73" borderId="184" xfId="640" applyNumberFormat="1" applyFont="1" applyFill="1" applyBorder="1" applyAlignment="1">
      <alignment horizontal="center"/>
    </xf>
    <xf numFmtId="0" fontId="4" fillId="4" borderId="6" xfId="1" applyFont="1" applyFill="1" applyBorder="1" applyAlignment="1">
      <alignment horizontal="center" vertical="center" wrapText="1"/>
    </xf>
    <xf numFmtId="0" fontId="3" fillId="4" borderId="5" xfId="1" quotePrefix="1" applyFont="1" applyFill="1" applyBorder="1" applyAlignment="1">
      <alignment horizontal="center" vertical="center" wrapText="1"/>
    </xf>
    <xf numFmtId="0" fontId="98" fillId="44" borderId="191" xfId="0" applyFont="1" applyFill="1" applyBorder="1" applyAlignment="1">
      <alignment horizontal="center" vertical="center"/>
    </xf>
    <xf numFmtId="0" fontId="98" fillId="44" borderId="84" xfId="0" applyFont="1" applyFill="1" applyBorder="1" applyAlignment="1">
      <alignment horizontal="center" vertical="center"/>
    </xf>
    <xf numFmtId="0" fontId="98" fillId="44" borderId="192" xfId="0" applyFont="1" applyFill="1" applyBorder="1" applyAlignment="1">
      <alignment horizontal="center" vertical="center"/>
    </xf>
    <xf numFmtId="0" fontId="99" fillId="0" borderId="193" xfId="0" applyFont="1" applyBorder="1" applyAlignment="1">
      <alignment horizontal="center" vertical="center" wrapText="1"/>
    </xf>
    <xf numFmtId="0" fontId="99" fillId="0" borderId="85" xfId="0" applyFont="1" applyBorder="1" applyAlignment="1">
      <alignment horizontal="center" vertical="center" wrapText="1"/>
    </xf>
    <xf numFmtId="0" fontId="100" fillId="45" borderId="85" xfId="0" applyFont="1" applyFill="1" applyBorder="1" applyAlignment="1">
      <alignment horizontal="center" vertical="center"/>
    </xf>
    <xf numFmtId="0" fontId="100" fillId="45" borderId="89" xfId="0" applyFont="1" applyFill="1" applyBorder="1" applyAlignment="1">
      <alignment horizontal="center" vertical="center"/>
    </xf>
    <xf numFmtId="0" fontId="5" fillId="0" borderId="17" xfId="1" applyBorder="1" applyAlignment="1">
      <alignment horizontal="center" vertical="center"/>
    </xf>
    <xf numFmtId="0" fontId="5" fillId="0" borderId="218" xfId="1" applyBorder="1" applyAlignment="1">
      <alignment horizontal="center" vertical="center"/>
    </xf>
    <xf numFmtId="0" fontId="5" fillId="0" borderId="64" xfId="1" applyBorder="1" applyAlignment="1">
      <alignment horizontal="center" vertical="center"/>
    </xf>
    <xf numFmtId="0" fontId="16" fillId="0" borderId="8" xfId="1" applyFont="1" applyBorder="1" applyAlignment="1">
      <alignment horizontal="center" vertical="center" wrapText="1"/>
    </xf>
    <xf numFmtId="0" fontId="16" fillId="0" borderId="10" xfId="1" applyFont="1" applyBorder="1" applyAlignment="1">
      <alignment horizontal="center" vertical="center" wrapText="1"/>
    </xf>
    <xf numFmtId="0" fontId="4" fillId="0" borderId="16" xfId="1" applyFont="1" applyBorder="1" applyAlignment="1">
      <alignment horizontal="left" vertical="center" wrapText="1"/>
    </xf>
    <xf numFmtId="44" fontId="3" fillId="0" borderId="0" xfId="839" applyFont="1" applyFill="1" applyBorder="1" applyAlignment="1">
      <alignment horizontal="right" vertical="center"/>
    </xf>
    <xf numFmtId="44" fontId="3" fillId="0" borderId="9" xfId="839" applyFont="1" applyFill="1" applyBorder="1" applyAlignment="1">
      <alignment horizontal="right" vertical="center"/>
    </xf>
    <xf numFmtId="0" fontId="100" fillId="44" borderId="193" xfId="0" applyFont="1" applyFill="1" applyBorder="1" applyAlignment="1">
      <alignment horizontal="center" vertical="center"/>
    </xf>
    <xf numFmtId="0" fontId="100" fillId="44" borderId="85" xfId="0" applyFont="1" applyFill="1" applyBorder="1" applyAlignment="1">
      <alignment horizontal="center" vertical="center"/>
    </xf>
    <xf numFmtId="0" fontId="100" fillId="44" borderId="89" xfId="0" applyFont="1" applyFill="1" applyBorder="1" applyAlignment="1">
      <alignment horizontal="center" vertical="center"/>
    </xf>
    <xf numFmtId="0" fontId="100" fillId="44" borderId="194" xfId="0" applyFont="1" applyFill="1" applyBorder="1" applyAlignment="1">
      <alignment horizontal="center" vertical="center"/>
    </xf>
    <xf numFmtId="0" fontId="100" fillId="44" borderId="195" xfId="0" applyFont="1" applyFill="1" applyBorder="1" applyAlignment="1">
      <alignment horizontal="center" vertical="center"/>
    </xf>
  </cellXfs>
  <cellStyles count="23844">
    <cellStyle name="_x000d__x000a_JournalTemplate=C:\COMFO\CTALK\JOURSTD.TPL_x000d__x000a_LbStateAddress=3 3 0 251 1 89 2 311_x000d__x000a_LbStateJou" xfId="128" xr:uid="{00000000-0005-0000-0000-000000000000}"/>
    <cellStyle name="0,00###" xfId="2894" xr:uid="{00000000-0005-0000-0000-000001000000}"/>
    <cellStyle name="0,00### 2" xfId="7159" xr:uid="{00000000-0005-0000-0000-000002000000}"/>
    <cellStyle name="0.0" xfId="2895" xr:uid="{00000000-0005-0000-0000-000003000000}"/>
    <cellStyle name="0.0 2" xfId="7160" xr:uid="{00000000-0005-0000-0000-000004000000}"/>
    <cellStyle name="12" xfId="2896" xr:uid="{00000000-0005-0000-0000-000005000000}"/>
    <cellStyle name="12 2" xfId="3669" xr:uid="{00000000-0005-0000-0000-000006000000}"/>
    <cellStyle name="12 2 2" xfId="4947" xr:uid="{00000000-0005-0000-0000-000007000000}"/>
    <cellStyle name="12 2 2 2" xfId="21987" xr:uid="{00000000-0005-0000-0000-000008000000}"/>
    <cellStyle name="12 2 2 3" xfId="17982" xr:uid="{00000000-0005-0000-0000-000009000000}"/>
    <cellStyle name="12 2 3" xfId="5838" xr:uid="{00000000-0005-0000-0000-00000A000000}"/>
    <cellStyle name="12 2 3 2" xfId="11977" xr:uid="{00000000-0005-0000-0000-00000B000000}"/>
    <cellStyle name="12 2 3 2 2" xfId="22837" xr:uid="{00000000-0005-0000-0000-00000C000000}"/>
    <cellStyle name="12 2 3 3" xfId="11278" xr:uid="{00000000-0005-0000-0000-00000D000000}"/>
    <cellStyle name="12 2 3 4" xfId="18873" xr:uid="{00000000-0005-0000-0000-00000E000000}"/>
    <cellStyle name="12 2 4" xfId="20737" xr:uid="{00000000-0005-0000-0000-00000F000000}"/>
    <cellStyle name="12 2 5" xfId="16713" xr:uid="{00000000-0005-0000-0000-000010000000}"/>
    <cellStyle name="12 3" xfId="7161" xr:uid="{00000000-0005-0000-0000-000011000000}"/>
    <cellStyle name="20% - Accent1" xfId="347" xr:uid="{00000000-0005-0000-0000-000012000000}"/>
    <cellStyle name="20% - Accent2" xfId="348" xr:uid="{00000000-0005-0000-0000-000013000000}"/>
    <cellStyle name="20% - Accent3" xfId="349" xr:uid="{00000000-0005-0000-0000-000014000000}"/>
    <cellStyle name="20% - Accent4" xfId="350" xr:uid="{00000000-0005-0000-0000-000015000000}"/>
    <cellStyle name="20% - Accent5" xfId="351" xr:uid="{00000000-0005-0000-0000-000016000000}"/>
    <cellStyle name="20% - Accent6" xfId="352" xr:uid="{00000000-0005-0000-0000-000017000000}"/>
    <cellStyle name="20% - Ênfase1 100" xfId="129" xr:uid="{00000000-0005-0000-0000-000018000000}"/>
    <cellStyle name="20% - Ênfase1 2" xfId="353" xr:uid="{00000000-0005-0000-0000-000019000000}"/>
    <cellStyle name="20% - Ênfase1 2 2" xfId="2897" xr:uid="{00000000-0005-0000-0000-00001A000000}"/>
    <cellStyle name="20% - Ênfase1 2 3" xfId="10608" xr:uid="{00000000-0005-0000-0000-00001B000000}"/>
    <cellStyle name="20% - Ênfase2 2" xfId="354" xr:uid="{00000000-0005-0000-0000-00001C000000}"/>
    <cellStyle name="20% - Ênfase2 2 2" xfId="2898" xr:uid="{00000000-0005-0000-0000-00001D000000}"/>
    <cellStyle name="20% - Ênfase2 2 3" xfId="10609" xr:uid="{00000000-0005-0000-0000-00001E000000}"/>
    <cellStyle name="20% - Ênfase3 2" xfId="355" xr:uid="{00000000-0005-0000-0000-00001F000000}"/>
    <cellStyle name="20% - Ênfase3 2 2" xfId="2899" xr:uid="{00000000-0005-0000-0000-000020000000}"/>
    <cellStyle name="20% - Ênfase3 2 3" xfId="10610" xr:uid="{00000000-0005-0000-0000-000021000000}"/>
    <cellStyle name="20% - Ênfase4 2" xfId="356" xr:uid="{00000000-0005-0000-0000-000022000000}"/>
    <cellStyle name="20% - Ênfase4 2 2" xfId="2900" xr:uid="{00000000-0005-0000-0000-000023000000}"/>
    <cellStyle name="20% - Ênfase4 2 3" xfId="10611" xr:uid="{00000000-0005-0000-0000-000024000000}"/>
    <cellStyle name="20% - Ênfase5 2" xfId="357" xr:uid="{00000000-0005-0000-0000-000025000000}"/>
    <cellStyle name="20% - Ênfase5 2 2" xfId="2901" xr:uid="{00000000-0005-0000-0000-000026000000}"/>
    <cellStyle name="20% - Ênfase5 2 3" xfId="10612" xr:uid="{00000000-0005-0000-0000-000027000000}"/>
    <cellStyle name="20% - Ênfase6 2" xfId="358" xr:uid="{00000000-0005-0000-0000-000028000000}"/>
    <cellStyle name="20% - Ênfase6 2 2" xfId="2902" xr:uid="{00000000-0005-0000-0000-000029000000}"/>
    <cellStyle name="20% - Ênfase6 2 3" xfId="10613" xr:uid="{00000000-0005-0000-0000-00002A000000}"/>
    <cellStyle name="40% - Accent1" xfId="359" xr:uid="{00000000-0005-0000-0000-00002B000000}"/>
    <cellStyle name="40% - Accent2" xfId="360" xr:uid="{00000000-0005-0000-0000-00002C000000}"/>
    <cellStyle name="40% - Accent3" xfId="361" xr:uid="{00000000-0005-0000-0000-00002D000000}"/>
    <cellStyle name="40% - Accent4" xfId="362" xr:uid="{00000000-0005-0000-0000-00002E000000}"/>
    <cellStyle name="40% - Accent5" xfId="363" xr:uid="{00000000-0005-0000-0000-00002F000000}"/>
    <cellStyle name="40% - Accent6" xfId="364" xr:uid="{00000000-0005-0000-0000-000030000000}"/>
    <cellStyle name="40% - Ênfase1 2" xfId="365" xr:uid="{00000000-0005-0000-0000-000031000000}"/>
    <cellStyle name="40% - Ênfase1 2 2" xfId="2903" xr:uid="{00000000-0005-0000-0000-000032000000}"/>
    <cellStyle name="40% - Ênfase1 2 3" xfId="10614" xr:uid="{00000000-0005-0000-0000-000033000000}"/>
    <cellStyle name="40% - Ênfase2 2" xfId="366" xr:uid="{00000000-0005-0000-0000-000034000000}"/>
    <cellStyle name="40% - Ênfase2 2 2" xfId="2904" xr:uid="{00000000-0005-0000-0000-000035000000}"/>
    <cellStyle name="40% - Ênfase2 2 3" xfId="10615" xr:uid="{00000000-0005-0000-0000-000036000000}"/>
    <cellStyle name="40% - Ênfase3 2" xfId="367" xr:uid="{00000000-0005-0000-0000-000037000000}"/>
    <cellStyle name="40% - Ênfase3 2 2" xfId="2905" xr:uid="{00000000-0005-0000-0000-000038000000}"/>
    <cellStyle name="40% - Ênfase3 2 3" xfId="10616" xr:uid="{00000000-0005-0000-0000-000039000000}"/>
    <cellStyle name="40% - Ênfase4 2" xfId="368" xr:uid="{00000000-0005-0000-0000-00003A000000}"/>
    <cellStyle name="40% - Ênfase4 2 2" xfId="2906" xr:uid="{00000000-0005-0000-0000-00003B000000}"/>
    <cellStyle name="40% - Ênfase4 2 3" xfId="10617" xr:uid="{00000000-0005-0000-0000-00003C000000}"/>
    <cellStyle name="40% - Ênfase5 2" xfId="369" xr:uid="{00000000-0005-0000-0000-00003D000000}"/>
    <cellStyle name="40% - Ênfase5 2 2" xfId="2907" xr:uid="{00000000-0005-0000-0000-00003E000000}"/>
    <cellStyle name="40% - Ênfase5 2 3" xfId="10618" xr:uid="{00000000-0005-0000-0000-00003F000000}"/>
    <cellStyle name="40% - Ênfase6 2" xfId="370" xr:uid="{00000000-0005-0000-0000-000040000000}"/>
    <cellStyle name="40% - Ênfase6 2 2" xfId="2908" xr:uid="{00000000-0005-0000-0000-000041000000}"/>
    <cellStyle name="40% - Ênfase6 2 3" xfId="10619" xr:uid="{00000000-0005-0000-0000-000042000000}"/>
    <cellStyle name="60% - Accent1" xfId="371" xr:uid="{00000000-0005-0000-0000-000043000000}"/>
    <cellStyle name="60% - Accent2" xfId="372" xr:uid="{00000000-0005-0000-0000-000044000000}"/>
    <cellStyle name="60% - Accent3" xfId="373" xr:uid="{00000000-0005-0000-0000-000045000000}"/>
    <cellStyle name="60% - Accent4" xfId="374" xr:uid="{00000000-0005-0000-0000-000046000000}"/>
    <cellStyle name="60% - Accent5" xfId="375" xr:uid="{00000000-0005-0000-0000-000047000000}"/>
    <cellStyle name="60% - Accent6" xfId="376" xr:uid="{00000000-0005-0000-0000-000048000000}"/>
    <cellStyle name="60% - Ênfase1 2" xfId="377" xr:uid="{00000000-0005-0000-0000-000049000000}"/>
    <cellStyle name="60% - Ênfase1 2 2" xfId="2909" xr:uid="{00000000-0005-0000-0000-00004A000000}"/>
    <cellStyle name="60% - Ênfase1 2 3" xfId="10620" xr:uid="{00000000-0005-0000-0000-00004B000000}"/>
    <cellStyle name="60% - Ênfase2 2" xfId="378" xr:uid="{00000000-0005-0000-0000-00004C000000}"/>
    <cellStyle name="60% - Ênfase2 2 2" xfId="2910" xr:uid="{00000000-0005-0000-0000-00004D000000}"/>
    <cellStyle name="60% - Ênfase2 2 3" xfId="10621" xr:uid="{00000000-0005-0000-0000-00004E000000}"/>
    <cellStyle name="60% - Ênfase3 2" xfId="379" xr:uid="{00000000-0005-0000-0000-00004F000000}"/>
    <cellStyle name="60% - Ênfase3 2 2" xfId="2911" xr:uid="{00000000-0005-0000-0000-000050000000}"/>
    <cellStyle name="60% - Ênfase3 2 3" xfId="10622" xr:uid="{00000000-0005-0000-0000-000051000000}"/>
    <cellStyle name="60% - Ênfase4 2" xfId="380" xr:uid="{00000000-0005-0000-0000-000052000000}"/>
    <cellStyle name="60% - Ênfase4 2 2" xfId="2912" xr:uid="{00000000-0005-0000-0000-000053000000}"/>
    <cellStyle name="60% - Ênfase4 2 3" xfId="10623" xr:uid="{00000000-0005-0000-0000-000054000000}"/>
    <cellStyle name="60% - Ênfase5 2" xfId="381" xr:uid="{00000000-0005-0000-0000-000055000000}"/>
    <cellStyle name="60% - Ênfase5 2 2" xfId="2913" xr:uid="{00000000-0005-0000-0000-000056000000}"/>
    <cellStyle name="60% - Ênfase5 2 3" xfId="10624" xr:uid="{00000000-0005-0000-0000-000057000000}"/>
    <cellStyle name="60% - Ênfase6 2" xfId="382" xr:uid="{00000000-0005-0000-0000-000058000000}"/>
    <cellStyle name="60% - Ênfase6 2 2" xfId="2914" xr:uid="{00000000-0005-0000-0000-000059000000}"/>
    <cellStyle name="60% - Ênfase6 2 3" xfId="10625" xr:uid="{00000000-0005-0000-0000-00005A000000}"/>
    <cellStyle name="60% - Ênfase6 37" xfId="130" xr:uid="{00000000-0005-0000-0000-00005B000000}"/>
    <cellStyle name="Accent1" xfId="383" xr:uid="{00000000-0005-0000-0000-00005C000000}"/>
    <cellStyle name="Accent2" xfId="384" xr:uid="{00000000-0005-0000-0000-00005D000000}"/>
    <cellStyle name="Accent3" xfId="385" xr:uid="{00000000-0005-0000-0000-00005E000000}"/>
    <cellStyle name="Accent4" xfId="386" xr:uid="{00000000-0005-0000-0000-00005F000000}"/>
    <cellStyle name="Accent5" xfId="387" xr:uid="{00000000-0005-0000-0000-000060000000}"/>
    <cellStyle name="Accent6" xfId="388" xr:uid="{00000000-0005-0000-0000-000061000000}"/>
    <cellStyle name="Bad" xfId="389" xr:uid="{00000000-0005-0000-0000-000062000000}"/>
    <cellStyle name="Bom 2" xfId="390" xr:uid="{00000000-0005-0000-0000-000063000000}"/>
    <cellStyle name="Bom 2 2" xfId="2915" xr:uid="{00000000-0005-0000-0000-000064000000}"/>
    <cellStyle name="Bom 2 3" xfId="10626" xr:uid="{00000000-0005-0000-0000-000065000000}"/>
    <cellStyle name="Calculation" xfId="391" xr:uid="{00000000-0005-0000-0000-000066000000}"/>
    <cellStyle name="Calculation 10" xfId="11027" xr:uid="{00000000-0005-0000-0000-000067000000}"/>
    <cellStyle name="Calculation 10 2" xfId="14924" xr:uid="{00000000-0005-0000-0000-000068000000}"/>
    <cellStyle name="Calculation 11" xfId="11882" xr:uid="{00000000-0005-0000-0000-000069000000}"/>
    <cellStyle name="Calculation 12" xfId="14580" xr:uid="{00000000-0005-0000-0000-00006A000000}"/>
    <cellStyle name="Calculation 13" xfId="13367" xr:uid="{00000000-0005-0000-0000-00006B000000}"/>
    <cellStyle name="Calculation 14" xfId="15861" xr:uid="{00000000-0005-0000-0000-00006C000000}"/>
    <cellStyle name="Calculation 2" xfId="4982" xr:uid="{00000000-0005-0000-0000-00006D000000}"/>
    <cellStyle name="Calculation 2 10" xfId="14575" xr:uid="{00000000-0005-0000-0000-00006E000000}"/>
    <cellStyle name="Calculation 2 11" xfId="13738" xr:uid="{00000000-0005-0000-0000-00006F000000}"/>
    <cellStyle name="Calculation 2 12" xfId="18017" xr:uid="{00000000-0005-0000-0000-000070000000}"/>
    <cellStyle name="Calculation 2 2" xfId="7067" xr:uid="{00000000-0005-0000-0000-000071000000}"/>
    <cellStyle name="Calculation 2 2 2" xfId="8875" xr:uid="{00000000-0005-0000-0000-000072000000}"/>
    <cellStyle name="Calculation 2 2 2 2" xfId="12739" xr:uid="{00000000-0005-0000-0000-000073000000}"/>
    <cellStyle name="Calculation 2 2 2 2 2" xfId="15589" xr:uid="{00000000-0005-0000-0000-000074000000}"/>
    <cellStyle name="Calculation 2 2 2 3" xfId="11763" xr:uid="{00000000-0005-0000-0000-000075000000}"/>
    <cellStyle name="Calculation 2 2 2 4" xfId="14649" xr:uid="{00000000-0005-0000-0000-000076000000}"/>
    <cellStyle name="Calculation 2 2 2 5" xfId="14211" xr:uid="{00000000-0005-0000-0000-000077000000}"/>
    <cellStyle name="Calculation 2 2 3" xfId="12224" xr:uid="{00000000-0005-0000-0000-000078000000}"/>
    <cellStyle name="Calculation 2 2 3 2" xfId="15298" xr:uid="{00000000-0005-0000-0000-000079000000}"/>
    <cellStyle name="Calculation 2 2 4" xfId="13325" xr:uid="{00000000-0005-0000-0000-00007A000000}"/>
    <cellStyle name="Calculation 2 2 5" xfId="14739" xr:uid="{00000000-0005-0000-0000-00007B000000}"/>
    <cellStyle name="Calculation 2 2 6" xfId="13947" xr:uid="{00000000-0005-0000-0000-00007C000000}"/>
    <cellStyle name="Calculation 2 3" xfId="7100" xr:uid="{00000000-0005-0000-0000-00007D000000}"/>
    <cellStyle name="Calculation 2 3 2" xfId="8907" xr:uid="{00000000-0005-0000-0000-00007E000000}"/>
    <cellStyle name="Calculation 2 3 2 2" xfId="12768" xr:uid="{00000000-0005-0000-0000-00007F000000}"/>
    <cellStyle name="Calculation 2 3 2 2 2" xfId="15618" xr:uid="{00000000-0005-0000-0000-000080000000}"/>
    <cellStyle name="Calculation 2 3 2 3" xfId="13093" xr:uid="{00000000-0005-0000-0000-000081000000}"/>
    <cellStyle name="Calculation 2 3 2 4" xfId="14607" xr:uid="{00000000-0005-0000-0000-000082000000}"/>
    <cellStyle name="Calculation 2 3 2 5" xfId="14243" xr:uid="{00000000-0005-0000-0000-000083000000}"/>
    <cellStyle name="Calculation 2 3 3" xfId="12254" xr:uid="{00000000-0005-0000-0000-000084000000}"/>
    <cellStyle name="Calculation 2 3 3 2" xfId="15328" xr:uid="{00000000-0005-0000-0000-000085000000}"/>
    <cellStyle name="Calculation 2 3 4" xfId="12364" xr:uid="{00000000-0005-0000-0000-000086000000}"/>
    <cellStyle name="Calculation 2 3 5" xfId="14457" xr:uid="{00000000-0005-0000-0000-000087000000}"/>
    <cellStyle name="Calculation 2 3 6" xfId="13980" xr:uid="{00000000-0005-0000-0000-000088000000}"/>
    <cellStyle name="Calculation 2 4" xfId="6957" xr:uid="{00000000-0005-0000-0000-000089000000}"/>
    <cellStyle name="Calculation 2 4 2" xfId="8786" xr:uid="{00000000-0005-0000-0000-00008A000000}"/>
    <cellStyle name="Calculation 2 4 2 2" xfId="12655" xr:uid="{00000000-0005-0000-0000-00008B000000}"/>
    <cellStyle name="Calculation 2 4 2 2 2" xfId="15511" xr:uid="{00000000-0005-0000-0000-00008C000000}"/>
    <cellStyle name="Calculation 2 4 2 3" xfId="11940" xr:uid="{00000000-0005-0000-0000-00008D000000}"/>
    <cellStyle name="Calculation 2 4 2 4" xfId="14695" xr:uid="{00000000-0005-0000-0000-00008E000000}"/>
    <cellStyle name="Calculation 2 4 2 5" xfId="14122" xr:uid="{00000000-0005-0000-0000-00008F000000}"/>
    <cellStyle name="Calculation 2 4 3" xfId="12120" xr:uid="{00000000-0005-0000-0000-000090000000}"/>
    <cellStyle name="Calculation 2 4 3 2" xfId="15200" xr:uid="{00000000-0005-0000-0000-000091000000}"/>
    <cellStyle name="Calculation 2 4 4" xfId="11729" xr:uid="{00000000-0005-0000-0000-000092000000}"/>
    <cellStyle name="Calculation 2 4 5" xfId="14766" xr:uid="{00000000-0005-0000-0000-000093000000}"/>
    <cellStyle name="Calculation 2 4 6" xfId="13839" xr:uid="{00000000-0005-0000-0000-000094000000}"/>
    <cellStyle name="Calculation 2 5" xfId="7125" xr:uid="{00000000-0005-0000-0000-000095000000}"/>
    <cellStyle name="Calculation 2 5 2" xfId="8932" xr:uid="{00000000-0005-0000-0000-000096000000}"/>
    <cellStyle name="Calculation 2 5 2 2" xfId="12790" xr:uid="{00000000-0005-0000-0000-000097000000}"/>
    <cellStyle name="Calculation 2 5 2 2 2" xfId="15639" xr:uid="{00000000-0005-0000-0000-000098000000}"/>
    <cellStyle name="Calculation 2 5 2 3" xfId="11919" xr:uid="{00000000-0005-0000-0000-000099000000}"/>
    <cellStyle name="Calculation 2 5 2 4" xfId="14644" xr:uid="{00000000-0005-0000-0000-00009A000000}"/>
    <cellStyle name="Calculation 2 5 2 5" xfId="14268" xr:uid="{00000000-0005-0000-0000-00009B000000}"/>
    <cellStyle name="Calculation 2 5 3" xfId="12276" xr:uid="{00000000-0005-0000-0000-00009C000000}"/>
    <cellStyle name="Calculation 2 5 3 2" xfId="15349" xr:uid="{00000000-0005-0000-0000-00009D000000}"/>
    <cellStyle name="Calculation 2 5 4" xfId="11240" xr:uid="{00000000-0005-0000-0000-00009E000000}"/>
    <cellStyle name="Calculation 2 5 5" xfId="14304" xr:uid="{00000000-0005-0000-0000-00009F000000}"/>
    <cellStyle name="Calculation 2 5 6" xfId="14005" xr:uid="{00000000-0005-0000-0000-0000A0000000}"/>
    <cellStyle name="Calculation 2 6" xfId="7147" xr:uid="{00000000-0005-0000-0000-0000A1000000}"/>
    <cellStyle name="Calculation 2 6 2" xfId="8954" xr:uid="{00000000-0005-0000-0000-0000A2000000}"/>
    <cellStyle name="Calculation 2 6 2 2" xfId="12810" xr:uid="{00000000-0005-0000-0000-0000A3000000}"/>
    <cellStyle name="Calculation 2 6 2 2 2" xfId="15658" xr:uid="{00000000-0005-0000-0000-0000A4000000}"/>
    <cellStyle name="Calculation 2 6 2 3" xfId="11945" xr:uid="{00000000-0005-0000-0000-0000A5000000}"/>
    <cellStyle name="Calculation 2 6 2 4" xfId="14841" xr:uid="{00000000-0005-0000-0000-0000A6000000}"/>
    <cellStyle name="Calculation 2 6 2 5" xfId="14290" xr:uid="{00000000-0005-0000-0000-0000A7000000}"/>
    <cellStyle name="Calculation 2 6 3" xfId="12296" xr:uid="{00000000-0005-0000-0000-0000A8000000}"/>
    <cellStyle name="Calculation 2 6 3 2" xfId="15368" xr:uid="{00000000-0005-0000-0000-0000A9000000}"/>
    <cellStyle name="Calculation 2 6 4" xfId="12500" xr:uid="{00000000-0005-0000-0000-0000AA000000}"/>
    <cellStyle name="Calculation 2 6 5" xfId="14303" xr:uid="{00000000-0005-0000-0000-0000AB000000}"/>
    <cellStyle name="Calculation 2 6 6" xfId="14027" xr:uid="{00000000-0005-0000-0000-0000AC000000}"/>
    <cellStyle name="Calculation 2 7" xfId="6914" xr:uid="{00000000-0005-0000-0000-0000AD000000}"/>
    <cellStyle name="Calculation 2 7 2" xfId="12080" xr:uid="{00000000-0005-0000-0000-0000AE000000}"/>
    <cellStyle name="Calculation 2 7 2 2" xfId="15160" xr:uid="{00000000-0005-0000-0000-0000AF000000}"/>
    <cellStyle name="Calculation 2 7 3" xfId="13000" xr:uid="{00000000-0005-0000-0000-0000B0000000}"/>
    <cellStyle name="Calculation 2 7 4" xfId="14422" xr:uid="{00000000-0005-0000-0000-0000B1000000}"/>
    <cellStyle name="Calculation 2 7 5" xfId="13799" xr:uid="{00000000-0005-0000-0000-0000B2000000}"/>
    <cellStyle name="Calculation 2 8" xfId="11811" xr:uid="{00000000-0005-0000-0000-0000B3000000}"/>
    <cellStyle name="Calculation 2 8 2" xfId="11098" xr:uid="{00000000-0005-0000-0000-0000B4000000}"/>
    <cellStyle name="Calculation 2 9" xfId="12022" xr:uid="{00000000-0005-0000-0000-0000B5000000}"/>
    <cellStyle name="Calculation 3" xfId="6893" xr:uid="{00000000-0005-0000-0000-0000B6000000}"/>
    <cellStyle name="Calculation 3 2" xfId="8730" xr:uid="{00000000-0005-0000-0000-0000B7000000}"/>
    <cellStyle name="Calculation 3 2 2" xfId="12602" xr:uid="{00000000-0005-0000-0000-0000B8000000}"/>
    <cellStyle name="Calculation 3 2 2 2" xfId="15459" xr:uid="{00000000-0005-0000-0000-0000B9000000}"/>
    <cellStyle name="Calculation 3 2 3" xfId="12505" xr:uid="{00000000-0005-0000-0000-0000BA000000}"/>
    <cellStyle name="Calculation 3 2 4" xfId="14794" xr:uid="{00000000-0005-0000-0000-0000BB000000}"/>
    <cellStyle name="Calculation 3 2 5" xfId="14066" xr:uid="{00000000-0005-0000-0000-0000BC000000}"/>
    <cellStyle name="Calculation 3 3" xfId="12060" xr:uid="{00000000-0005-0000-0000-0000BD000000}"/>
    <cellStyle name="Calculation 3 3 2" xfId="11547" xr:uid="{00000000-0005-0000-0000-0000BE000000}"/>
    <cellStyle name="Calculation 3 4" xfId="11450" xr:uid="{00000000-0005-0000-0000-0000BF000000}"/>
    <cellStyle name="Calculation 3 5" xfId="14412" xr:uid="{00000000-0005-0000-0000-0000C0000000}"/>
    <cellStyle name="Calculation 3 6" xfId="13780" xr:uid="{00000000-0005-0000-0000-0000C1000000}"/>
    <cellStyle name="Calculation 4" xfId="6961" xr:uid="{00000000-0005-0000-0000-0000C2000000}"/>
    <cellStyle name="Calculation 4 2" xfId="8789" xr:uid="{00000000-0005-0000-0000-0000C3000000}"/>
    <cellStyle name="Calculation 4 2 2" xfId="12658" xr:uid="{00000000-0005-0000-0000-0000C4000000}"/>
    <cellStyle name="Calculation 4 2 2 2" xfId="15514" xr:uid="{00000000-0005-0000-0000-0000C5000000}"/>
    <cellStyle name="Calculation 4 2 3" xfId="12018" xr:uid="{00000000-0005-0000-0000-0000C6000000}"/>
    <cellStyle name="Calculation 4 2 4" xfId="14681" xr:uid="{00000000-0005-0000-0000-0000C7000000}"/>
    <cellStyle name="Calculation 4 2 5" xfId="14125" xr:uid="{00000000-0005-0000-0000-0000C8000000}"/>
    <cellStyle name="Calculation 4 3" xfId="12124" xr:uid="{00000000-0005-0000-0000-0000C9000000}"/>
    <cellStyle name="Calculation 4 3 2" xfId="15204" xr:uid="{00000000-0005-0000-0000-0000CA000000}"/>
    <cellStyle name="Calculation 4 4" xfId="11759" xr:uid="{00000000-0005-0000-0000-0000CB000000}"/>
    <cellStyle name="Calculation 4 5" xfId="14763" xr:uid="{00000000-0005-0000-0000-0000CC000000}"/>
    <cellStyle name="Calculation 4 6" xfId="13843" xr:uid="{00000000-0005-0000-0000-0000CD000000}"/>
    <cellStyle name="Calculation 5" xfId="6934" xr:uid="{00000000-0005-0000-0000-0000CE000000}"/>
    <cellStyle name="Calculation 5 2" xfId="8765" xr:uid="{00000000-0005-0000-0000-0000CF000000}"/>
    <cellStyle name="Calculation 5 2 2" xfId="12635" xr:uid="{00000000-0005-0000-0000-0000D0000000}"/>
    <cellStyle name="Calculation 5 2 2 2" xfId="15491" xr:uid="{00000000-0005-0000-0000-0000D1000000}"/>
    <cellStyle name="Calculation 5 2 3" xfId="12975" xr:uid="{00000000-0005-0000-0000-0000D2000000}"/>
    <cellStyle name="Calculation 5 2 4" xfId="14593" xr:uid="{00000000-0005-0000-0000-0000D3000000}"/>
    <cellStyle name="Calculation 5 2 5" xfId="14101" xr:uid="{00000000-0005-0000-0000-0000D4000000}"/>
    <cellStyle name="Calculation 5 3" xfId="12098" xr:uid="{00000000-0005-0000-0000-0000D5000000}"/>
    <cellStyle name="Calculation 5 3 2" xfId="15178" xr:uid="{00000000-0005-0000-0000-0000D6000000}"/>
    <cellStyle name="Calculation 5 4" xfId="11957" xr:uid="{00000000-0005-0000-0000-0000D7000000}"/>
    <cellStyle name="Calculation 5 5" xfId="14523" xr:uid="{00000000-0005-0000-0000-0000D8000000}"/>
    <cellStyle name="Calculation 5 6" xfId="13818" xr:uid="{00000000-0005-0000-0000-0000D9000000}"/>
    <cellStyle name="Calculation 6" xfId="7006" xr:uid="{00000000-0005-0000-0000-0000DA000000}"/>
    <cellStyle name="Calculation 6 2" xfId="8824" xr:uid="{00000000-0005-0000-0000-0000DB000000}"/>
    <cellStyle name="Calculation 6 2 2" xfId="12691" xr:uid="{00000000-0005-0000-0000-0000DC000000}"/>
    <cellStyle name="Calculation 6 2 2 2" xfId="15545" xr:uid="{00000000-0005-0000-0000-0000DD000000}"/>
    <cellStyle name="Calculation 6 2 3" xfId="11921" xr:uid="{00000000-0005-0000-0000-0000DE000000}"/>
    <cellStyle name="Calculation 6 2 4" xfId="14357" xr:uid="{00000000-0005-0000-0000-0000DF000000}"/>
    <cellStyle name="Calculation 6 2 5" xfId="14160" xr:uid="{00000000-0005-0000-0000-0000E0000000}"/>
    <cellStyle name="Calculation 6 3" xfId="12167" xr:uid="{00000000-0005-0000-0000-0000E1000000}"/>
    <cellStyle name="Calculation 6 3 2" xfId="15245" xr:uid="{00000000-0005-0000-0000-0000E2000000}"/>
    <cellStyle name="Calculation 6 4" xfId="11216" xr:uid="{00000000-0005-0000-0000-0000E3000000}"/>
    <cellStyle name="Calculation 6 5" xfId="14756" xr:uid="{00000000-0005-0000-0000-0000E4000000}"/>
    <cellStyle name="Calculation 6 6" xfId="13888" xr:uid="{00000000-0005-0000-0000-0000E5000000}"/>
    <cellStyle name="Calculation 7" xfId="6922" xr:uid="{00000000-0005-0000-0000-0000E6000000}"/>
    <cellStyle name="Calculation 7 2" xfId="8754" xr:uid="{00000000-0005-0000-0000-0000E7000000}"/>
    <cellStyle name="Calculation 7 2 2" xfId="12625" xr:uid="{00000000-0005-0000-0000-0000E8000000}"/>
    <cellStyle name="Calculation 7 2 2 2" xfId="15481" xr:uid="{00000000-0005-0000-0000-0000E9000000}"/>
    <cellStyle name="Calculation 7 2 3" xfId="12913" xr:uid="{00000000-0005-0000-0000-0000EA000000}"/>
    <cellStyle name="Calculation 7 2 4" xfId="14637" xr:uid="{00000000-0005-0000-0000-0000EB000000}"/>
    <cellStyle name="Calculation 7 2 5" xfId="14090" xr:uid="{00000000-0005-0000-0000-0000EC000000}"/>
    <cellStyle name="Calculation 7 3" xfId="12087" xr:uid="{00000000-0005-0000-0000-0000ED000000}"/>
    <cellStyle name="Calculation 7 3 2" xfId="15167" xr:uid="{00000000-0005-0000-0000-0000EE000000}"/>
    <cellStyle name="Calculation 7 4" xfId="11211" xr:uid="{00000000-0005-0000-0000-0000EF000000}"/>
    <cellStyle name="Calculation 7 5" xfId="14772" xr:uid="{00000000-0005-0000-0000-0000F0000000}"/>
    <cellStyle name="Calculation 7 6" xfId="13807" xr:uid="{00000000-0005-0000-0000-0000F1000000}"/>
    <cellStyle name="Calculation 8" xfId="6974" xr:uid="{00000000-0005-0000-0000-0000F2000000}"/>
    <cellStyle name="Calculation 8 2" xfId="12137" xr:uid="{00000000-0005-0000-0000-0000F3000000}"/>
    <cellStyle name="Calculation 8 2 2" xfId="15216" xr:uid="{00000000-0005-0000-0000-0000F4000000}"/>
    <cellStyle name="Calculation 8 3" xfId="11482" xr:uid="{00000000-0005-0000-0000-0000F5000000}"/>
    <cellStyle name="Calculation 8 4" xfId="14512" xr:uid="{00000000-0005-0000-0000-0000F6000000}"/>
    <cellStyle name="Calculation 8 5" xfId="13856" xr:uid="{00000000-0005-0000-0000-0000F7000000}"/>
    <cellStyle name="Calculation 9" xfId="13186" xr:uid="{00000000-0005-0000-0000-0000F8000000}"/>
    <cellStyle name="Calculation 9 2" xfId="15775" xr:uid="{00000000-0005-0000-0000-0000F9000000}"/>
    <cellStyle name="Cálculo 2" xfId="392" xr:uid="{00000000-0005-0000-0000-0000FA000000}"/>
    <cellStyle name="Cálculo 2 10" xfId="10627" xr:uid="{00000000-0005-0000-0000-0000FB000000}"/>
    <cellStyle name="Cálculo 2 10 2" xfId="13125" xr:uid="{00000000-0005-0000-0000-0000FC000000}"/>
    <cellStyle name="Cálculo 2 10 2 2" xfId="15750" xr:uid="{00000000-0005-0000-0000-0000FD000000}"/>
    <cellStyle name="Cálculo 2 10 3" xfId="13355" xr:uid="{00000000-0005-0000-0000-0000FE000000}"/>
    <cellStyle name="Cálculo 2 11" xfId="13187" xr:uid="{00000000-0005-0000-0000-0000FF000000}"/>
    <cellStyle name="Cálculo 2 11 2" xfId="15776" xr:uid="{00000000-0005-0000-0000-000000010000}"/>
    <cellStyle name="Cálculo 2 12" xfId="11028" xr:uid="{00000000-0005-0000-0000-000001010000}"/>
    <cellStyle name="Cálculo 2 12 2" xfId="14925" xr:uid="{00000000-0005-0000-0000-000002010000}"/>
    <cellStyle name="Cálculo 2 13" xfId="12818" xr:uid="{00000000-0005-0000-0000-000003010000}"/>
    <cellStyle name="Cálculo 2 14" xfId="14536" xr:uid="{00000000-0005-0000-0000-000004010000}"/>
    <cellStyle name="Cálculo 2 15" xfId="13368" xr:uid="{00000000-0005-0000-0000-000005010000}"/>
    <cellStyle name="Cálculo 2 16" xfId="15862" xr:uid="{00000000-0005-0000-0000-000006010000}"/>
    <cellStyle name="Cálculo 2 2" xfId="2916" xr:uid="{00000000-0005-0000-0000-000007010000}"/>
    <cellStyle name="Cálculo 2 2 10" xfId="11573" xr:uid="{00000000-0005-0000-0000-000008010000}"/>
    <cellStyle name="Cálculo 2 2 10 2" xfId="15039" xr:uid="{00000000-0005-0000-0000-000009010000}"/>
    <cellStyle name="Cálculo 2 2 11" xfId="11448" xr:uid="{00000000-0005-0000-0000-00000A010000}"/>
    <cellStyle name="Cálculo 2 2 12" xfId="14605" xr:uid="{00000000-0005-0000-0000-00000B010000}"/>
    <cellStyle name="Cálculo 2 2 13" xfId="13383" xr:uid="{00000000-0005-0000-0000-00000C010000}"/>
    <cellStyle name="Cálculo 2 2 14" xfId="16054" xr:uid="{00000000-0005-0000-0000-00000D010000}"/>
    <cellStyle name="Cálculo 2 2 2" xfId="4975" xr:uid="{00000000-0005-0000-0000-00000E010000}"/>
    <cellStyle name="Cálculo 2 2 2 10" xfId="14777" xr:uid="{00000000-0005-0000-0000-00000F010000}"/>
    <cellStyle name="Cálculo 2 2 2 11" xfId="13731" xr:uid="{00000000-0005-0000-0000-000010010000}"/>
    <cellStyle name="Cálculo 2 2 2 12" xfId="18010" xr:uid="{00000000-0005-0000-0000-000011010000}"/>
    <cellStyle name="Cálculo 2 2 2 2" xfId="7060" xr:uid="{00000000-0005-0000-0000-000012010000}"/>
    <cellStyle name="Cálculo 2 2 2 2 2" xfId="8868" xr:uid="{00000000-0005-0000-0000-000013010000}"/>
    <cellStyle name="Cálculo 2 2 2 2 2 2" xfId="12733" xr:uid="{00000000-0005-0000-0000-000014010000}"/>
    <cellStyle name="Cálculo 2 2 2 2 2 2 2" xfId="15584" xr:uid="{00000000-0005-0000-0000-000015010000}"/>
    <cellStyle name="Cálculo 2 2 2 2 2 3" xfId="11791" xr:uid="{00000000-0005-0000-0000-000016010000}"/>
    <cellStyle name="Cálculo 2 2 2 2 2 4" xfId="14800" xr:uid="{00000000-0005-0000-0000-000017010000}"/>
    <cellStyle name="Cálculo 2 2 2 2 2 5" xfId="14204" xr:uid="{00000000-0005-0000-0000-000018010000}"/>
    <cellStyle name="Cálculo 2 2 2 2 3" xfId="12218" xr:uid="{00000000-0005-0000-0000-000019010000}"/>
    <cellStyle name="Cálculo 2 2 2 2 3 2" xfId="15293" xr:uid="{00000000-0005-0000-0000-00001A010000}"/>
    <cellStyle name="Cálculo 2 2 2 2 4" xfId="11105" xr:uid="{00000000-0005-0000-0000-00001B010000}"/>
    <cellStyle name="Cálculo 2 2 2 2 5" xfId="14741" xr:uid="{00000000-0005-0000-0000-00001C010000}"/>
    <cellStyle name="Cálculo 2 2 2 2 6" xfId="13940" xr:uid="{00000000-0005-0000-0000-00001D010000}"/>
    <cellStyle name="Cálculo 2 2 2 3" xfId="7093" xr:uid="{00000000-0005-0000-0000-00001E010000}"/>
    <cellStyle name="Cálculo 2 2 2 3 2" xfId="8900" xr:uid="{00000000-0005-0000-0000-00001F010000}"/>
    <cellStyle name="Cálculo 2 2 2 3 2 2" xfId="12763" xr:uid="{00000000-0005-0000-0000-000020010000}"/>
    <cellStyle name="Cálculo 2 2 2 3 2 2 2" xfId="15613" xr:uid="{00000000-0005-0000-0000-000021010000}"/>
    <cellStyle name="Cálculo 2 2 2 3 2 3" xfId="12039" xr:uid="{00000000-0005-0000-0000-000022010000}"/>
    <cellStyle name="Cálculo 2 2 2 3 2 4" xfId="14556" xr:uid="{00000000-0005-0000-0000-000023010000}"/>
    <cellStyle name="Cálculo 2 2 2 3 2 5" xfId="14236" xr:uid="{00000000-0005-0000-0000-000024010000}"/>
    <cellStyle name="Cálculo 2 2 2 3 3" xfId="12249" xr:uid="{00000000-0005-0000-0000-000025010000}"/>
    <cellStyle name="Cálculo 2 2 2 3 3 2" xfId="15323" xr:uid="{00000000-0005-0000-0000-000026010000}"/>
    <cellStyle name="Cálculo 2 2 2 3 4" xfId="13098" xr:uid="{00000000-0005-0000-0000-000027010000}"/>
    <cellStyle name="Cálculo 2 2 2 3 5" xfId="14458" xr:uid="{00000000-0005-0000-0000-000028010000}"/>
    <cellStyle name="Cálculo 2 2 2 3 6" xfId="13973" xr:uid="{00000000-0005-0000-0000-000029010000}"/>
    <cellStyle name="Cálculo 2 2 2 4" xfId="7020" xr:uid="{00000000-0005-0000-0000-00002A010000}"/>
    <cellStyle name="Cálculo 2 2 2 4 2" xfId="8835" xr:uid="{00000000-0005-0000-0000-00002B010000}"/>
    <cellStyle name="Cálculo 2 2 2 4 2 2" xfId="12701" xr:uid="{00000000-0005-0000-0000-00002C010000}"/>
    <cellStyle name="Cálculo 2 2 2 4 2 2 2" xfId="15554" xr:uid="{00000000-0005-0000-0000-00002D010000}"/>
    <cellStyle name="Cálculo 2 2 2 4 2 3" xfId="12519" xr:uid="{00000000-0005-0000-0000-00002E010000}"/>
    <cellStyle name="Cálculo 2 2 2 4 2 4" xfId="14569" xr:uid="{00000000-0005-0000-0000-00002F010000}"/>
    <cellStyle name="Cálculo 2 2 2 4 2 5" xfId="14171" xr:uid="{00000000-0005-0000-0000-000030010000}"/>
    <cellStyle name="Cálculo 2 2 2 4 3" xfId="12180" xr:uid="{00000000-0005-0000-0000-000031010000}"/>
    <cellStyle name="Cálculo 2 2 2 4 3 2" xfId="15257" xr:uid="{00000000-0005-0000-0000-000032010000}"/>
    <cellStyle name="Cálculo 2 2 2 4 4" xfId="13305" xr:uid="{00000000-0005-0000-0000-000033010000}"/>
    <cellStyle name="Cálculo 2 2 2 4 5" xfId="14489" xr:uid="{00000000-0005-0000-0000-000034010000}"/>
    <cellStyle name="Cálculo 2 2 2 4 6" xfId="13902" xr:uid="{00000000-0005-0000-0000-000035010000}"/>
    <cellStyle name="Cálculo 2 2 2 5" xfId="7118" xr:uid="{00000000-0005-0000-0000-000036010000}"/>
    <cellStyle name="Cálculo 2 2 2 5 2" xfId="8925" xr:uid="{00000000-0005-0000-0000-000037010000}"/>
    <cellStyle name="Cálculo 2 2 2 5 2 2" xfId="12784" xr:uid="{00000000-0005-0000-0000-000038010000}"/>
    <cellStyle name="Cálculo 2 2 2 5 2 2 2" xfId="15634" xr:uid="{00000000-0005-0000-0000-000039010000}"/>
    <cellStyle name="Cálculo 2 2 2 5 2 3" xfId="11659" xr:uid="{00000000-0005-0000-0000-00003A010000}"/>
    <cellStyle name="Cálculo 2 2 2 5 2 4" xfId="14348" xr:uid="{00000000-0005-0000-0000-00003B010000}"/>
    <cellStyle name="Cálculo 2 2 2 5 2 5" xfId="14261" xr:uid="{00000000-0005-0000-0000-00003C010000}"/>
    <cellStyle name="Cálculo 2 2 2 5 3" xfId="12270" xr:uid="{00000000-0005-0000-0000-00003D010000}"/>
    <cellStyle name="Cálculo 2 2 2 5 3 2" xfId="15344" xr:uid="{00000000-0005-0000-0000-00003E010000}"/>
    <cellStyle name="Cálculo 2 2 2 5 4" xfId="12344" xr:uid="{00000000-0005-0000-0000-00003F010000}"/>
    <cellStyle name="Cálculo 2 2 2 5 5" xfId="14385" xr:uid="{00000000-0005-0000-0000-000040010000}"/>
    <cellStyle name="Cálculo 2 2 2 5 6" xfId="13998" xr:uid="{00000000-0005-0000-0000-000041010000}"/>
    <cellStyle name="Cálculo 2 2 2 6" xfId="7140" xr:uid="{00000000-0005-0000-0000-000042010000}"/>
    <cellStyle name="Cálculo 2 2 2 6 2" xfId="8947" xr:uid="{00000000-0005-0000-0000-000043010000}"/>
    <cellStyle name="Cálculo 2 2 2 6 2 2" xfId="12804" xr:uid="{00000000-0005-0000-0000-000044010000}"/>
    <cellStyle name="Cálculo 2 2 2 6 2 2 2" xfId="15653" xr:uid="{00000000-0005-0000-0000-000045010000}"/>
    <cellStyle name="Cálculo 2 2 2 6 2 3" xfId="11741" xr:uid="{00000000-0005-0000-0000-000046010000}"/>
    <cellStyle name="Cálculo 2 2 2 6 2 4" xfId="14613" xr:uid="{00000000-0005-0000-0000-000047010000}"/>
    <cellStyle name="Cálculo 2 2 2 6 2 5" xfId="14283" xr:uid="{00000000-0005-0000-0000-000048010000}"/>
    <cellStyle name="Cálculo 2 2 2 6 3" xfId="12290" xr:uid="{00000000-0005-0000-0000-000049010000}"/>
    <cellStyle name="Cálculo 2 2 2 6 3 2" xfId="15363" xr:uid="{00000000-0005-0000-0000-00004A010000}"/>
    <cellStyle name="Cálculo 2 2 2 6 4" xfId="11269" xr:uid="{00000000-0005-0000-0000-00004B010000}"/>
    <cellStyle name="Cálculo 2 2 2 6 5" xfId="14384" xr:uid="{00000000-0005-0000-0000-00004C010000}"/>
    <cellStyle name="Cálculo 2 2 2 6 6" xfId="14020" xr:uid="{00000000-0005-0000-0000-00004D010000}"/>
    <cellStyle name="Cálculo 2 2 2 7" xfId="7026" xr:uid="{00000000-0005-0000-0000-00004E010000}"/>
    <cellStyle name="Cálculo 2 2 2 7 2" xfId="12186" xr:uid="{00000000-0005-0000-0000-00004F010000}"/>
    <cellStyle name="Cálculo 2 2 2 7 2 2" xfId="15263" xr:uid="{00000000-0005-0000-0000-000050010000}"/>
    <cellStyle name="Cálculo 2 2 2 7 3" xfId="11219" xr:uid="{00000000-0005-0000-0000-000051010000}"/>
    <cellStyle name="Cálculo 2 2 2 7 4" xfId="14485" xr:uid="{00000000-0005-0000-0000-000052010000}"/>
    <cellStyle name="Cálculo 2 2 2 7 5" xfId="13907" xr:uid="{00000000-0005-0000-0000-000053010000}"/>
    <cellStyle name="Cálculo 2 2 2 8" xfId="11805" xr:uid="{00000000-0005-0000-0000-000054010000}"/>
    <cellStyle name="Cálculo 2 2 2 8 2" xfId="11393" xr:uid="{00000000-0005-0000-0000-000055010000}"/>
    <cellStyle name="Cálculo 2 2 2 9" xfId="12549" xr:uid="{00000000-0005-0000-0000-000056010000}"/>
    <cellStyle name="Cálculo 2 2 3" xfId="6990" xr:uid="{00000000-0005-0000-0000-000057010000}"/>
    <cellStyle name="Cálculo 2 2 3 2" xfId="8811" xr:uid="{00000000-0005-0000-0000-000058010000}"/>
    <cellStyle name="Cálculo 2 2 3 2 2" xfId="12679" xr:uid="{00000000-0005-0000-0000-000059010000}"/>
    <cellStyle name="Cálculo 2 2 3 2 2 2" xfId="15533" xr:uid="{00000000-0005-0000-0000-00005A010000}"/>
    <cellStyle name="Cálculo 2 2 3 2 3" xfId="11951" xr:uid="{00000000-0005-0000-0000-00005B010000}"/>
    <cellStyle name="Cálculo 2 2 3 2 4" xfId="14361" xr:uid="{00000000-0005-0000-0000-00005C010000}"/>
    <cellStyle name="Cálculo 2 2 3 2 5" xfId="14147" xr:uid="{00000000-0005-0000-0000-00005D010000}"/>
    <cellStyle name="Cálculo 2 2 3 3" xfId="12152" xr:uid="{00000000-0005-0000-0000-00005E010000}"/>
    <cellStyle name="Cálculo 2 2 3 3 2" xfId="15230" xr:uid="{00000000-0005-0000-0000-00005F010000}"/>
    <cellStyle name="Cálculo 2 2 3 4" xfId="11432" xr:uid="{00000000-0005-0000-0000-000060010000}"/>
    <cellStyle name="Cálculo 2 2 3 5" xfId="14503" xr:uid="{00000000-0005-0000-0000-000061010000}"/>
    <cellStyle name="Cálculo 2 2 3 6" xfId="13872" xr:uid="{00000000-0005-0000-0000-000062010000}"/>
    <cellStyle name="Cálculo 2 2 4" xfId="7046" xr:uid="{00000000-0005-0000-0000-000063010000}"/>
    <cellStyle name="Cálculo 2 2 4 2" xfId="8857" xr:uid="{00000000-0005-0000-0000-000064010000}"/>
    <cellStyle name="Cálculo 2 2 4 2 2" xfId="12722" xr:uid="{00000000-0005-0000-0000-000065010000}"/>
    <cellStyle name="Cálculo 2 2 4 2 2 2" xfId="15573" xr:uid="{00000000-0005-0000-0000-000066010000}"/>
    <cellStyle name="Cálculo 2 2 4 2 3" xfId="11591" xr:uid="{00000000-0005-0000-0000-000067010000}"/>
    <cellStyle name="Cálculo 2 2 4 2 4" xfId="14687" xr:uid="{00000000-0005-0000-0000-000068010000}"/>
    <cellStyle name="Cálculo 2 2 4 2 5" xfId="14193" xr:uid="{00000000-0005-0000-0000-000069010000}"/>
    <cellStyle name="Cálculo 2 2 4 3" xfId="12204" xr:uid="{00000000-0005-0000-0000-00006A010000}"/>
    <cellStyle name="Cálculo 2 2 4 3 2" xfId="15280" xr:uid="{00000000-0005-0000-0000-00006B010000}"/>
    <cellStyle name="Cálculo 2 2 4 4" xfId="11827" xr:uid="{00000000-0005-0000-0000-00006C010000}"/>
    <cellStyle name="Cálculo 2 2 4 5" xfId="14744" xr:uid="{00000000-0005-0000-0000-00006D010000}"/>
    <cellStyle name="Cálculo 2 2 4 6" xfId="13927" xr:uid="{00000000-0005-0000-0000-00006E010000}"/>
    <cellStyle name="Cálculo 2 2 5" xfId="7030" xr:uid="{00000000-0005-0000-0000-00006F010000}"/>
    <cellStyle name="Cálculo 2 2 5 2" xfId="8843" xr:uid="{00000000-0005-0000-0000-000070010000}"/>
    <cellStyle name="Cálculo 2 2 5 2 2" xfId="12709" xr:uid="{00000000-0005-0000-0000-000071010000}"/>
    <cellStyle name="Cálculo 2 2 5 2 2 2" xfId="15561" xr:uid="{00000000-0005-0000-0000-000072010000}"/>
    <cellStyle name="Cálculo 2 2 5 2 3" xfId="11461" xr:uid="{00000000-0005-0000-0000-000073010000}"/>
    <cellStyle name="Cálculo 2 2 5 2 4" xfId="14793" xr:uid="{00000000-0005-0000-0000-000074010000}"/>
    <cellStyle name="Cálculo 2 2 5 2 5" xfId="14179" xr:uid="{00000000-0005-0000-0000-000075010000}"/>
    <cellStyle name="Cálculo 2 2 5 3" xfId="12189" xr:uid="{00000000-0005-0000-0000-000076010000}"/>
    <cellStyle name="Cálculo 2 2 5 3 2" xfId="15266" xr:uid="{00000000-0005-0000-0000-000077010000}"/>
    <cellStyle name="Cálculo 2 2 5 4" xfId="12952" xr:uid="{00000000-0005-0000-0000-000078010000}"/>
    <cellStyle name="Cálculo 2 2 5 5" xfId="14482" xr:uid="{00000000-0005-0000-0000-000079010000}"/>
    <cellStyle name="Cálculo 2 2 5 6" xfId="13911" xr:uid="{00000000-0005-0000-0000-00007A010000}"/>
    <cellStyle name="Cálculo 2 2 6" xfId="6906" xr:uid="{00000000-0005-0000-0000-00007B010000}"/>
    <cellStyle name="Cálculo 2 2 6 2" xfId="8741" xr:uid="{00000000-0005-0000-0000-00007C010000}"/>
    <cellStyle name="Cálculo 2 2 6 2 2" xfId="12613" xr:uid="{00000000-0005-0000-0000-00007D010000}"/>
    <cellStyle name="Cálculo 2 2 6 2 2 2" xfId="15470" xr:uid="{00000000-0005-0000-0000-00007E010000}"/>
    <cellStyle name="Cálculo 2 2 6 2 3" xfId="11880" xr:uid="{00000000-0005-0000-0000-00007F010000}"/>
    <cellStyle name="Cálculo 2 2 6 2 4" xfId="14598" xr:uid="{00000000-0005-0000-0000-000080010000}"/>
    <cellStyle name="Cálculo 2 2 6 2 5" xfId="14077" xr:uid="{00000000-0005-0000-0000-000081010000}"/>
    <cellStyle name="Cálculo 2 2 6 3" xfId="12073" xr:uid="{00000000-0005-0000-0000-000082010000}"/>
    <cellStyle name="Cálculo 2 2 6 3 2" xfId="15153" xr:uid="{00000000-0005-0000-0000-000083010000}"/>
    <cellStyle name="Cálculo 2 2 6 4" xfId="10923" xr:uid="{00000000-0005-0000-0000-000084010000}"/>
    <cellStyle name="Cálculo 2 2 6 5" xfId="14423" xr:uid="{00000000-0005-0000-0000-000085010000}"/>
    <cellStyle name="Cálculo 2 2 6 6" xfId="13791" xr:uid="{00000000-0005-0000-0000-000086010000}"/>
    <cellStyle name="Cálculo 2 2 7" xfId="7037" xr:uid="{00000000-0005-0000-0000-000087010000}"/>
    <cellStyle name="Cálculo 2 2 7 2" xfId="8849" xr:uid="{00000000-0005-0000-0000-000088010000}"/>
    <cellStyle name="Cálculo 2 2 7 2 2" xfId="12715" xr:uid="{00000000-0005-0000-0000-000089010000}"/>
    <cellStyle name="Cálculo 2 2 7 2 2 2" xfId="15567" xr:uid="{00000000-0005-0000-0000-00008A010000}"/>
    <cellStyle name="Cálculo 2 2 7 2 3" xfId="10919" xr:uid="{00000000-0005-0000-0000-00008B010000}"/>
    <cellStyle name="Cálculo 2 2 7 2 4" xfId="14812" xr:uid="{00000000-0005-0000-0000-00008C010000}"/>
    <cellStyle name="Cálculo 2 2 7 2 5" xfId="14185" xr:uid="{00000000-0005-0000-0000-00008D010000}"/>
    <cellStyle name="Cálculo 2 2 7 3" xfId="12196" xr:uid="{00000000-0005-0000-0000-00008E010000}"/>
    <cellStyle name="Cálculo 2 2 7 3 2" xfId="15273" xr:uid="{00000000-0005-0000-0000-00008F010000}"/>
    <cellStyle name="Cálculo 2 2 7 4" xfId="13281" xr:uid="{00000000-0005-0000-0000-000090010000}"/>
    <cellStyle name="Cálculo 2 2 7 5" xfId="14747" xr:uid="{00000000-0005-0000-0000-000091010000}"/>
    <cellStyle name="Cálculo 2 2 7 6" xfId="13918" xr:uid="{00000000-0005-0000-0000-000092010000}"/>
    <cellStyle name="Cálculo 2 2 8" xfId="6904" xr:uid="{00000000-0005-0000-0000-000093010000}"/>
    <cellStyle name="Cálculo 2 2 8 2" xfId="12071" xr:uid="{00000000-0005-0000-0000-000094010000}"/>
    <cellStyle name="Cálculo 2 2 8 2 2" xfId="15151" xr:uid="{00000000-0005-0000-0000-000095010000}"/>
    <cellStyle name="Cálculo 2 2 8 3" xfId="12335" xr:uid="{00000000-0005-0000-0000-000096010000}"/>
    <cellStyle name="Cálculo 2 2 8 4" xfId="14408" xr:uid="{00000000-0005-0000-0000-000097010000}"/>
    <cellStyle name="Cálculo 2 2 8 5" xfId="13789" xr:uid="{00000000-0005-0000-0000-000098010000}"/>
    <cellStyle name="Cálculo 2 2 9" xfId="13198" xr:uid="{00000000-0005-0000-0000-000099010000}"/>
    <cellStyle name="Cálculo 2 2 9 2" xfId="15786" xr:uid="{00000000-0005-0000-0000-00009A010000}"/>
    <cellStyle name="Cálculo 2 3" xfId="4968" xr:uid="{00000000-0005-0000-0000-00009B010000}"/>
    <cellStyle name="Cálculo 2 3 10" xfId="14609" xr:uid="{00000000-0005-0000-0000-00009C010000}"/>
    <cellStyle name="Cálculo 2 3 11" xfId="13725" xr:uid="{00000000-0005-0000-0000-00009D010000}"/>
    <cellStyle name="Cálculo 2 3 12" xfId="18003" xr:uid="{00000000-0005-0000-0000-00009E010000}"/>
    <cellStyle name="Cálculo 2 3 2" xfId="7053" xr:uid="{00000000-0005-0000-0000-00009F010000}"/>
    <cellStyle name="Cálculo 2 3 2 2" xfId="8861" xr:uid="{00000000-0005-0000-0000-0000A0010000}"/>
    <cellStyle name="Cálculo 2 3 2 2 2" xfId="12726" xr:uid="{00000000-0005-0000-0000-0000A1010000}"/>
    <cellStyle name="Cálculo 2 3 2 2 2 2" xfId="15577" xr:uid="{00000000-0005-0000-0000-0000A2010000}"/>
    <cellStyle name="Cálculo 2 3 2 2 3" xfId="12526" xr:uid="{00000000-0005-0000-0000-0000A3010000}"/>
    <cellStyle name="Cálculo 2 3 2 2 4" xfId="14680" xr:uid="{00000000-0005-0000-0000-0000A4010000}"/>
    <cellStyle name="Cálculo 2 3 2 2 5" xfId="14197" xr:uid="{00000000-0005-0000-0000-0000A5010000}"/>
    <cellStyle name="Cálculo 2 3 2 3" xfId="12211" xr:uid="{00000000-0005-0000-0000-0000A6010000}"/>
    <cellStyle name="Cálculo 2 3 2 3 2" xfId="15287" xr:uid="{00000000-0005-0000-0000-0000A7010000}"/>
    <cellStyle name="Cálculo 2 3 2 4" xfId="11304" xr:uid="{00000000-0005-0000-0000-0000A8010000}"/>
    <cellStyle name="Cálculo 2 3 2 5" xfId="14391" xr:uid="{00000000-0005-0000-0000-0000A9010000}"/>
    <cellStyle name="Cálculo 2 3 2 6" xfId="13934" xr:uid="{00000000-0005-0000-0000-0000AA010000}"/>
    <cellStyle name="Cálculo 2 3 3" xfId="7086" xr:uid="{00000000-0005-0000-0000-0000AB010000}"/>
    <cellStyle name="Cálculo 2 3 3 2" xfId="8893" xr:uid="{00000000-0005-0000-0000-0000AC010000}"/>
    <cellStyle name="Cálculo 2 3 3 2 2" xfId="12756" xr:uid="{00000000-0005-0000-0000-0000AD010000}"/>
    <cellStyle name="Cálculo 2 3 3 2 2 2" xfId="15606" xr:uid="{00000000-0005-0000-0000-0000AE010000}"/>
    <cellStyle name="Cálculo 2 3 3 2 3" xfId="11981" xr:uid="{00000000-0005-0000-0000-0000AF010000}"/>
    <cellStyle name="Cálculo 2 3 3 2 4" xfId="14354" xr:uid="{00000000-0005-0000-0000-0000B0010000}"/>
    <cellStyle name="Cálculo 2 3 3 2 5" xfId="14229" xr:uid="{00000000-0005-0000-0000-0000B1010000}"/>
    <cellStyle name="Cálculo 2 3 3 3" xfId="12242" xr:uid="{00000000-0005-0000-0000-0000B2010000}"/>
    <cellStyle name="Cálculo 2 3 3 3 2" xfId="15316" xr:uid="{00000000-0005-0000-0000-0000B3010000}"/>
    <cellStyle name="Cálculo 2 3 3 4" xfId="11236" xr:uid="{00000000-0005-0000-0000-0000B4010000}"/>
    <cellStyle name="Cálculo 2 3 3 5" xfId="14735" xr:uid="{00000000-0005-0000-0000-0000B5010000}"/>
    <cellStyle name="Cálculo 2 3 3 6" xfId="13966" xr:uid="{00000000-0005-0000-0000-0000B6010000}"/>
    <cellStyle name="Cálculo 2 3 4" xfId="6878" xr:uid="{00000000-0005-0000-0000-0000B7010000}"/>
    <cellStyle name="Cálculo 2 3 4 2" xfId="8718" xr:uid="{00000000-0005-0000-0000-0000B8010000}"/>
    <cellStyle name="Cálculo 2 3 4 2 2" xfId="12592" xr:uid="{00000000-0005-0000-0000-0000B9010000}"/>
    <cellStyle name="Cálculo 2 3 4 2 2 2" xfId="15450" xr:uid="{00000000-0005-0000-0000-0000BA010000}"/>
    <cellStyle name="Cálculo 2 3 4 2 3" xfId="12935" xr:uid="{00000000-0005-0000-0000-0000BB010000}"/>
    <cellStyle name="Cálculo 2 3 4 2 4" xfId="14341" xr:uid="{00000000-0005-0000-0000-0000BC010000}"/>
    <cellStyle name="Cálculo 2 3 4 2 5" xfId="14054" xr:uid="{00000000-0005-0000-0000-0000BD010000}"/>
    <cellStyle name="Cálculo 2 3 4 3" xfId="12047" xr:uid="{00000000-0005-0000-0000-0000BE010000}"/>
    <cellStyle name="Cálculo 2 3 4 3 2" xfId="15132" xr:uid="{00000000-0005-0000-0000-0000BF010000}"/>
    <cellStyle name="Cálculo 2 3 4 4" xfId="13046" xr:uid="{00000000-0005-0000-0000-0000C0010000}"/>
    <cellStyle name="Cálculo 2 3 4 5" xfId="14426" xr:uid="{00000000-0005-0000-0000-0000C1010000}"/>
    <cellStyle name="Cálculo 2 3 4 6" xfId="13765" xr:uid="{00000000-0005-0000-0000-0000C2010000}"/>
    <cellStyle name="Cálculo 2 3 5" xfId="7111" xr:uid="{00000000-0005-0000-0000-0000C3010000}"/>
    <cellStyle name="Cálculo 2 3 5 2" xfId="8918" xr:uid="{00000000-0005-0000-0000-0000C4010000}"/>
    <cellStyle name="Cálculo 2 3 5 2 2" xfId="12777" xr:uid="{00000000-0005-0000-0000-0000C5010000}"/>
    <cellStyle name="Cálculo 2 3 5 2 2 2" xfId="15627" xr:uid="{00000000-0005-0000-0000-0000C6010000}"/>
    <cellStyle name="Cálculo 2 3 5 2 3" xfId="11794" xr:uid="{00000000-0005-0000-0000-0000C7010000}"/>
    <cellStyle name="Cálculo 2 3 5 2 4" xfId="14683" xr:uid="{00000000-0005-0000-0000-0000C8010000}"/>
    <cellStyle name="Cálculo 2 3 5 2 5" xfId="14254" xr:uid="{00000000-0005-0000-0000-0000C9010000}"/>
    <cellStyle name="Cálculo 2 3 5 3" xfId="12263" xr:uid="{00000000-0005-0000-0000-0000CA010000}"/>
    <cellStyle name="Cálculo 2 3 5 3 2" xfId="15337" xr:uid="{00000000-0005-0000-0000-0000CB010000}"/>
    <cellStyle name="Cálculo 2 3 5 4" xfId="11092" xr:uid="{00000000-0005-0000-0000-0000CC010000}"/>
    <cellStyle name="Cálculo 2 3 5 5" xfId="14451" xr:uid="{00000000-0005-0000-0000-0000CD010000}"/>
    <cellStyle name="Cálculo 2 3 5 6" xfId="13991" xr:uid="{00000000-0005-0000-0000-0000CE010000}"/>
    <cellStyle name="Cálculo 2 3 6" xfId="7133" xr:uid="{00000000-0005-0000-0000-0000CF010000}"/>
    <cellStyle name="Cálculo 2 3 6 2" xfId="8940" xr:uid="{00000000-0005-0000-0000-0000D0010000}"/>
    <cellStyle name="Cálculo 2 3 6 2 2" xfId="12797" xr:uid="{00000000-0005-0000-0000-0000D1010000}"/>
    <cellStyle name="Cálculo 2 3 6 2 2 2" xfId="15646" xr:uid="{00000000-0005-0000-0000-0000D2010000}"/>
    <cellStyle name="Cálculo 2 3 6 2 3" xfId="11786" xr:uid="{00000000-0005-0000-0000-0000D3010000}"/>
    <cellStyle name="Cálculo 2 3 6 2 4" xfId="14620" xr:uid="{00000000-0005-0000-0000-0000D4010000}"/>
    <cellStyle name="Cálculo 2 3 6 2 5" xfId="14276" xr:uid="{00000000-0005-0000-0000-0000D5010000}"/>
    <cellStyle name="Cálculo 2 3 6 3" xfId="12283" xr:uid="{00000000-0005-0000-0000-0000D6010000}"/>
    <cellStyle name="Cálculo 2 3 6 3 2" xfId="15356" xr:uid="{00000000-0005-0000-0000-0000D7010000}"/>
    <cellStyle name="Cálculo 2 3 6 4" xfId="13306" xr:uid="{00000000-0005-0000-0000-0000D8010000}"/>
    <cellStyle name="Cálculo 2 3 6 5" xfId="14438" xr:uid="{00000000-0005-0000-0000-0000D9010000}"/>
    <cellStyle name="Cálculo 2 3 6 6" xfId="14013" xr:uid="{00000000-0005-0000-0000-0000DA010000}"/>
    <cellStyle name="Cálculo 2 3 7" xfId="6931" xr:uid="{00000000-0005-0000-0000-0000DB010000}"/>
    <cellStyle name="Cálculo 2 3 7 2" xfId="12095" xr:uid="{00000000-0005-0000-0000-0000DC010000}"/>
    <cellStyle name="Cálculo 2 3 7 2 2" xfId="15175" xr:uid="{00000000-0005-0000-0000-0000DD010000}"/>
    <cellStyle name="Cálculo 2 3 7 3" xfId="13225" xr:uid="{00000000-0005-0000-0000-0000DE010000}"/>
    <cellStyle name="Cálculo 2 3 7 4" xfId="14369" xr:uid="{00000000-0005-0000-0000-0000DF010000}"/>
    <cellStyle name="Cálculo 2 3 7 5" xfId="13816" xr:uid="{00000000-0005-0000-0000-0000E0010000}"/>
    <cellStyle name="Cálculo 2 3 8" xfId="11798" xr:uid="{00000000-0005-0000-0000-0000E1010000}"/>
    <cellStyle name="Cálculo 2 3 8 2" xfId="11478" xr:uid="{00000000-0005-0000-0000-0000E2010000}"/>
    <cellStyle name="Cálculo 2 3 9" xfId="11667" xr:uid="{00000000-0005-0000-0000-0000E3010000}"/>
    <cellStyle name="Cálculo 2 4" xfId="6894" xr:uid="{00000000-0005-0000-0000-0000E4010000}"/>
    <cellStyle name="Cálculo 2 4 2" xfId="8731" xr:uid="{00000000-0005-0000-0000-0000E5010000}"/>
    <cellStyle name="Cálculo 2 4 2 2" xfId="12603" xr:uid="{00000000-0005-0000-0000-0000E6010000}"/>
    <cellStyle name="Cálculo 2 4 2 2 2" xfId="15460" xr:uid="{00000000-0005-0000-0000-0000E7010000}"/>
    <cellStyle name="Cálculo 2 4 2 3" xfId="11463" xr:uid="{00000000-0005-0000-0000-0000E8010000}"/>
    <cellStyle name="Cálculo 2 4 2 4" xfId="14618" xr:uid="{00000000-0005-0000-0000-0000E9010000}"/>
    <cellStyle name="Cálculo 2 4 2 5" xfId="14067" xr:uid="{00000000-0005-0000-0000-0000EA010000}"/>
    <cellStyle name="Cálculo 2 4 3" xfId="12061" xr:uid="{00000000-0005-0000-0000-0000EB010000}"/>
    <cellStyle name="Cálculo 2 4 3 2" xfId="11210" xr:uid="{00000000-0005-0000-0000-0000EC010000}"/>
    <cellStyle name="Cálculo 2 4 4" xfId="12847" xr:uid="{00000000-0005-0000-0000-0000ED010000}"/>
    <cellStyle name="Cálculo 2 4 5" xfId="14411" xr:uid="{00000000-0005-0000-0000-0000EE010000}"/>
    <cellStyle name="Cálculo 2 4 6" xfId="13781" xr:uid="{00000000-0005-0000-0000-0000EF010000}"/>
    <cellStyle name="Cálculo 2 5" xfId="6967" xr:uid="{00000000-0005-0000-0000-0000F0010000}"/>
    <cellStyle name="Cálculo 2 5 2" xfId="8794" xr:uid="{00000000-0005-0000-0000-0000F1010000}"/>
    <cellStyle name="Cálculo 2 5 2 2" xfId="12663" xr:uid="{00000000-0005-0000-0000-0000F2010000}"/>
    <cellStyle name="Cálculo 2 5 2 2 2" xfId="15518" xr:uid="{00000000-0005-0000-0000-0000F3010000}"/>
    <cellStyle name="Cálculo 2 5 2 3" xfId="12979" xr:uid="{00000000-0005-0000-0000-0000F4010000}"/>
    <cellStyle name="Cálculo 2 5 2 4" xfId="14337" xr:uid="{00000000-0005-0000-0000-0000F5010000}"/>
    <cellStyle name="Cálculo 2 5 2 5" xfId="14130" xr:uid="{00000000-0005-0000-0000-0000F6010000}"/>
    <cellStyle name="Cálculo 2 5 3" xfId="12130" xr:uid="{00000000-0005-0000-0000-0000F7010000}"/>
    <cellStyle name="Cálculo 2 5 3 2" xfId="15209" xr:uid="{00000000-0005-0000-0000-0000F8010000}"/>
    <cellStyle name="Cálculo 2 5 4" xfId="11083" xr:uid="{00000000-0005-0000-0000-0000F9010000}"/>
    <cellStyle name="Cálculo 2 5 5" xfId="14518" xr:uid="{00000000-0005-0000-0000-0000FA010000}"/>
    <cellStyle name="Cálculo 2 5 6" xfId="13849" xr:uid="{00000000-0005-0000-0000-0000FB010000}"/>
    <cellStyle name="Cálculo 2 6" xfId="6946" xr:uid="{00000000-0005-0000-0000-0000FC010000}"/>
    <cellStyle name="Cálculo 2 6 2" xfId="8776" xr:uid="{00000000-0005-0000-0000-0000FD010000}"/>
    <cellStyle name="Cálculo 2 6 2 2" xfId="12645" xr:uid="{00000000-0005-0000-0000-0000FE010000}"/>
    <cellStyle name="Cálculo 2 6 2 2 2" xfId="15501" xr:uid="{00000000-0005-0000-0000-0000FF010000}"/>
    <cellStyle name="Cálculo 2 6 2 3" xfId="12512" xr:uid="{00000000-0005-0000-0000-000000020000}"/>
    <cellStyle name="Cálculo 2 6 2 4" xfId="14651" xr:uid="{00000000-0005-0000-0000-000001020000}"/>
    <cellStyle name="Cálculo 2 6 2 5" xfId="14112" xr:uid="{00000000-0005-0000-0000-000002020000}"/>
    <cellStyle name="Cálculo 2 6 3" xfId="12109" xr:uid="{00000000-0005-0000-0000-000003020000}"/>
    <cellStyle name="Cálculo 2 6 3 2" xfId="15189" xr:uid="{00000000-0005-0000-0000-000004020000}"/>
    <cellStyle name="Cálculo 2 6 4" xfId="11733" xr:uid="{00000000-0005-0000-0000-000005020000}"/>
    <cellStyle name="Cálculo 2 6 5" xfId="14520" xr:uid="{00000000-0005-0000-0000-000006020000}"/>
    <cellStyle name="Cálculo 2 6 6" xfId="13830" xr:uid="{00000000-0005-0000-0000-000007020000}"/>
    <cellStyle name="Cálculo 2 7" xfId="6935" xr:uid="{00000000-0005-0000-0000-000008020000}"/>
    <cellStyle name="Cálculo 2 7 2" xfId="8766" xr:uid="{00000000-0005-0000-0000-000009020000}"/>
    <cellStyle name="Cálculo 2 7 2 2" xfId="12636" xr:uid="{00000000-0005-0000-0000-00000A020000}"/>
    <cellStyle name="Cálculo 2 7 2 2 2" xfId="15492" xr:uid="{00000000-0005-0000-0000-00000B020000}"/>
    <cellStyle name="Cálculo 2 7 2 3" xfId="12827" xr:uid="{00000000-0005-0000-0000-00000C020000}"/>
    <cellStyle name="Cálculo 2 7 2 4" xfId="14782" xr:uid="{00000000-0005-0000-0000-00000D020000}"/>
    <cellStyle name="Cálculo 2 7 2 5" xfId="14102" xr:uid="{00000000-0005-0000-0000-00000E020000}"/>
    <cellStyle name="Cálculo 2 7 3" xfId="12099" xr:uid="{00000000-0005-0000-0000-00000F020000}"/>
    <cellStyle name="Cálculo 2 7 3 2" xfId="15179" xr:uid="{00000000-0005-0000-0000-000010020000}"/>
    <cellStyle name="Cálculo 2 7 4" xfId="12925" xr:uid="{00000000-0005-0000-0000-000011020000}"/>
    <cellStyle name="Cálculo 2 7 5" xfId="14378" xr:uid="{00000000-0005-0000-0000-000012020000}"/>
    <cellStyle name="Cálculo 2 7 6" xfId="13819" xr:uid="{00000000-0005-0000-0000-000013020000}"/>
    <cellStyle name="Cálculo 2 8" xfId="6979" xr:uid="{00000000-0005-0000-0000-000014020000}"/>
    <cellStyle name="Cálculo 2 8 2" xfId="8802" xr:uid="{00000000-0005-0000-0000-000015020000}"/>
    <cellStyle name="Cálculo 2 8 2 2" xfId="12671" xr:uid="{00000000-0005-0000-0000-000016020000}"/>
    <cellStyle name="Cálculo 2 8 2 2 2" xfId="15526" xr:uid="{00000000-0005-0000-0000-000017020000}"/>
    <cellStyle name="Cálculo 2 8 2 3" xfId="12008" xr:uid="{00000000-0005-0000-0000-000018020000}"/>
    <cellStyle name="Cálculo 2 8 2 4" xfId="14370" xr:uid="{00000000-0005-0000-0000-000019020000}"/>
    <cellStyle name="Cálculo 2 8 2 5" xfId="14138" xr:uid="{00000000-0005-0000-0000-00001A020000}"/>
    <cellStyle name="Cálculo 2 8 3" xfId="12142" xr:uid="{00000000-0005-0000-0000-00001B020000}"/>
    <cellStyle name="Cálculo 2 8 3 2" xfId="15221" xr:uid="{00000000-0005-0000-0000-00001C020000}"/>
    <cellStyle name="Cálculo 2 8 4" xfId="12017" xr:uid="{00000000-0005-0000-0000-00001D020000}"/>
    <cellStyle name="Cálculo 2 8 5" xfId="14367" xr:uid="{00000000-0005-0000-0000-00001E020000}"/>
    <cellStyle name="Cálculo 2 8 6" xfId="13861" xr:uid="{00000000-0005-0000-0000-00001F020000}"/>
    <cellStyle name="Cálculo 2 9" xfId="6919" xr:uid="{00000000-0005-0000-0000-000020020000}"/>
    <cellStyle name="Cálculo 2 9 2" xfId="12084" xr:uid="{00000000-0005-0000-0000-000021020000}"/>
    <cellStyle name="Cálculo 2 9 2 2" xfId="15164" xr:uid="{00000000-0005-0000-0000-000022020000}"/>
    <cellStyle name="Cálculo 2 9 3" xfId="11212" xr:uid="{00000000-0005-0000-0000-000023020000}"/>
    <cellStyle name="Cálculo 2 9 4" xfId="14398" xr:uid="{00000000-0005-0000-0000-000024020000}"/>
    <cellStyle name="Cálculo 2 9 5" xfId="13804" xr:uid="{00000000-0005-0000-0000-000025020000}"/>
    <cellStyle name="Cancel" xfId="2" xr:uid="{00000000-0005-0000-0000-000026020000}"/>
    <cellStyle name="Cancel 2" xfId="3" xr:uid="{00000000-0005-0000-0000-000027020000}"/>
    <cellStyle name="Célula de Verificação 2" xfId="393" xr:uid="{00000000-0005-0000-0000-000028020000}"/>
    <cellStyle name="Célula de Verificação 2 2" xfId="2917" xr:uid="{00000000-0005-0000-0000-000029020000}"/>
    <cellStyle name="Célula de Verificação 2 3" xfId="10628" xr:uid="{00000000-0005-0000-0000-00002A020000}"/>
    <cellStyle name="Célula Vinculada 2" xfId="394" xr:uid="{00000000-0005-0000-0000-00002B020000}"/>
    <cellStyle name="Célula Vinculada 2 2" xfId="2918" xr:uid="{00000000-0005-0000-0000-00002C020000}"/>
    <cellStyle name="Célula Vinculada 2 3" xfId="10629" xr:uid="{00000000-0005-0000-0000-00002D020000}"/>
    <cellStyle name="Check Cell" xfId="395" xr:uid="{00000000-0005-0000-0000-00002E020000}"/>
    <cellStyle name="Comma_Arauco Piping list" xfId="131" xr:uid="{00000000-0005-0000-0000-00002F020000}"/>
    <cellStyle name="Comma0" xfId="132" xr:uid="{00000000-0005-0000-0000-000030020000}"/>
    <cellStyle name="CORES" xfId="133" xr:uid="{00000000-0005-0000-0000-000031020000}"/>
    <cellStyle name="CORES 10" xfId="13363" xr:uid="{00000000-0005-0000-0000-000032020000}"/>
    <cellStyle name="CORES 11" xfId="15849" xr:uid="{00000000-0005-0000-0000-000033020000}"/>
    <cellStyle name="CORES 2" xfId="4980" xr:uid="{00000000-0005-0000-0000-000034020000}"/>
    <cellStyle name="CORES 2 2" xfId="7065" xr:uid="{00000000-0005-0000-0000-000035020000}"/>
    <cellStyle name="CORES 2 2 2" xfId="8873" xr:uid="{00000000-0005-0000-0000-000036020000}"/>
    <cellStyle name="CORES 2 2 2 2" xfId="14851" xr:uid="{00000000-0005-0000-0000-000037020000}"/>
    <cellStyle name="CORES 2 2 2 3" xfId="14631" xr:uid="{00000000-0005-0000-0000-000038020000}"/>
    <cellStyle name="CORES 2 2 2 4" xfId="14209" xr:uid="{00000000-0005-0000-0000-000039020000}"/>
    <cellStyle name="CORES 2 2 3" xfId="13945" xr:uid="{00000000-0005-0000-0000-00003A020000}"/>
    <cellStyle name="CORES 2 3" xfId="7098" xr:uid="{00000000-0005-0000-0000-00003B020000}"/>
    <cellStyle name="CORES 2 3 2" xfId="8905" xr:uid="{00000000-0005-0000-0000-00003C020000}"/>
    <cellStyle name="CORES 2 3 2 2" xfId="14860" xr:uid="{00000000-0005-0000-0000-00003D020000}"/>
    <cellStyle name="CORES 2 3 2 3" xfId="14600" xr:uid="{00000000-0005-0000-0000-00003E020000}"/>
    <cellStyle name="CORES 2 3 2 4" xfId="14241" xr:uid="{00000000-0005-0000-0000-00003F020000}"/>
    <cellStyle name="CORES 2 3 3" xfId="13978" xr:uid="{00000000-0005-0000-0000-000040020000}"/>
    <cellStyle name="CORES 2 4" xfId="7028" xr:uid="{00000000-0005-0000-0000-000041020000}"/>
    <cellStyle name="CORES 2 4 2" xfId="8841" xr:uid="{00000000-0005-0000-0000-000042020000}"/>
    <cellStyle name="CORES 2 4 2 2" xfId="14837" xr:uid="{00000000-0005-0000-0000-000043020000}"/>
    <cellStyle name="CORES 2 4 2 3" xfId="14401" xr:uid="{00000000-0005-0000-0000-000044020000}"/>
    <cellStyle name="CORES 2 4 2 4" xfId="14177" xr:uid="{00000000-0005-0000-0000-000045020000}"/>
    <cellStyle name="CORES 2 4 3" xfId="13909" xr:uid="{00000000-0005-0000-0000-000046020000}"/>
    <cellStyle name="CORES 2 5" xfId="7123" xr:uid="{00000000-0005-0000-0000-000047020000}"/>
    <cellStyle name="CORES 2 5 2" xfId="8930" xr:uid="{00000000-0005-0000-0000-000048020000}"/>
    <cellStyle name="CORES 2 5 2 2" xfId="14870" xr:uid="{00000000-0005-0000-0000-000049020000}"/>
    <cellStyle name="CORES 2 5 2 3" xfId="14628" xr:uid="{00000000-0005-0000-0000-00004A020000}"/>
    <cellStyle name="CORES 2 5 2 4" xfId="14266" xr:uid="{00000000-0005-0000-0000-00004B020000}"/>
    <cellStyle name="CORES 2 5 3" xfId="14003" xr:uid="{00000000-0005-0000-0000-00004C020000}"/>
    <cellStyle name="CORES 2 6" xfId="7145" xr:uid="{00000000-0005-0000-0000-00004D020000}"/>
    <cellStyle name="CORES 2 6 2" xfId="8952" xr:uid="{00000000-0005-0000-0000-00004E020000}"/>
    <cellStyle name="CORES 2 6 2 2" xfId="14879" xr:uid="{00000000-0005-0000-0000-00004F020000}"/>
    <cellStyle name="CORES 2 6 2 3" xfId="14590" xr:uid="{00000000-0005-0000-0000-000050020000}"/>
    <cellStyle name="CORES 2 6 2 4" xfId="14288" xr:uid="{00000000-0005-0000-0000-000051020000}"/>
    <cellStyle name="CORES 2 6 3" xfId="14025" xr:uid="{00000000-0005-0000-0000-000052020000}"/>
    <cellStyle name="CORES 2 7" xfId="8711" xr:uid="{00000000-0005-0000-0000-000053020000}"/>
    <cellStyle name="CORES 2 7 2" xfId="14785" xr:uid="{00000000-0005-0000-0000-000054020000}"/>
    <cellStyle name="CORES 2 7 3" xfId="14714" xr:uid="{00000000-0005-0000-0000-000055020000}"/>
    <cellStyle name="CORES 2 7 4" xfId="14047" xr:uid="{00000000-0005-0000-0000-000056020000}"/>
    <cellStyle name="CORES 2 8" xfId="13736" xr:uid="{00000000-0005-0000-0000-000057020000}"/>
    <cellStyle name="CORES 2 9" xfId="18015" xr:uid="{00000000-0005-0000-0000-000058020000}"/>
    <cellStyle name="CORES 3" xfId="6884" xr:uid="{00000000-0005-0000-0000-000059020000}"/>
    <cellStyle name="CORES 3 2" xfId="8723" xr:uid="{00000000-0005-0000-0000-00005A020000}"/>
    <cellStyle name="CORES 3 2 2" xfId="14791" xr:uid="{00000000-0005-0000-0000-00005B020000}"/>
    <cellStyle name="CORES 3 2 3" xfId="14706" xr:uid="{00000000-0005-0000-0000-00005C020000}"/>
    <cellStyle name="CORES 3 2 4" xfId="14059" xr:uid="{00000000-0005-0000-0000-00005D020000}"/>
    <cellStyle name="CORES 3 3" xfId="13771" xr:uid="{00000000-0005-0000-0000-00005E020000}"/>
    <cellStyle name="CORES 4" xfId="7013" xr:uid="{00000000-0005-0000-0000-00005F020000}"/>
    <cellStyle name="CORES 4 2" xfId="8830" xr:uid="{00000000-0005-0000-0000-000060020000}"/>
    <cellStyle name="CORES 4 2 2" xfId="14832" xr:uid="{00000000-0005-0000-0000-000061020000}"/>
    <cellStyle name="CORES 4 2 3" xfId="14322" xr:uid="{00000000-0005-0000-0000-000062020000}"/>
    <cellStyle name="CORES 4 2 4" xfId="14166" xr:uid="{00000000-0005-0000-0000-000063020000}"/>
    <cellStyle name="CORES 4 3" xfId="13895" xr:uid="{00000000-0005-0000-0000-000064020000}"/>
    <cellStyle name="CORES 5" xfId="6964" xr:uid="{00000000-0005-0000-0000-000065020000}"/>
    <cellStyle name="CORES 5 2" xfId="8791" xr:uid="{00000000-0005-0000-0000-000066020000}"/>
    <cellStyle name="CORES 5 2 2" xfId="14813" xr:uid="{00000000-0005-0000-0000-000067020000}"/>
    <cellStyle name="CORES 5 2 3" xfId="14592" xr:uid="{00000000-0005-0000-0000-000068020000}"/>
    <cellStyle name="CORES 5 2 4" xfId="14127" xr:uid="{00000000-0005-0000-0000-000069020000}"/>
    <cellStyle name="CORES 5 3" xfId="13846" xr:uid="{00000000-0005-0000-0000-00006A020000}"/>
    <cellStyle name="CORES 6" xfId="6981" xr:uid="{00000000-0005-0000-0000-00006B020000}"/>
    <cellStyle name="CORES 6 2" xfId="8804" xr:uid="{00000000-0005-0000-0000-00006C020000}"/>
    <cellStyle name="CORES 6 2 2" xfId="14819" xr:uid="{00000000-0005-0000-0000-00006D020000}"/>
    <cellStyle name="CORES 6 2 3" xfId="14302" xr:uid="{00000000-0005-0000-0000-00006E020000}"/>
    <cellStyle name="CORES 6 2 4" xfId="14140" xr:uid="{00000000-0005-0000-0000-00006F020000}"/>
    <cellStyle name="CORES 6 3" xfId="13863" xr:uid="{00000000-0005-0000-0000-000070020000}"/>
    <cellStyle name="CORES 7" xfId="7044" xr:uid="{00000000-0005-0000-0000-000071020000}"/>
    <cellStyle name="CORES 7 2" xfId="8855" xr:uid="{00000000-0005-0000-0000-000072020000}"/>
    <cellStyle name="CORES 7 2 2" xfId="14844" xr:uid="{00000000-0005-0000-0000-000073020000}"/>
    <cellStyle name="CORES 7 2 3" xfId="14694" xr:uid="{00000000-0005-0000-0000-000074020000}"/>
    <cellStyle name="CORES 7 2 4" xfId="14191" xr:uid="{00000000-0005-0000-0000-000075020000}"/>
    <cellStyle name="CORES 7 3" xfId="13925" xr:uid="{00000000-0005-0000-0000-000076020000}"/>
    <cellStyle name="CORES 8" xfId="8704" xr:uid="{00000000-0005-0000-0000-000077020000}"/>
    <cellStyle name="CORES 8 2" xfId="14778" xr:uid="{00000000-0005-0000-0000-000078020000}"/>
    <cellStyle name="CORES 8 3" xfId="14718" xr:uid="{00000000-0005-0000-0000-000079020000}"/>
    <cellStyle name="CORES 8 4" xfId="14040" xr:uid="{00000000-0005-0000-0000-00007A020000}"/>
    <cellStyle name="CORES 9" xfId="13182" xr:uid="{00000000-0005-0000-0000-00007B020000}"/>
    <cellStyle name="CORES 9 2" xfId="15833" xr:uid="{00000000-0005-0000-0000-00007C020000}"/>
    <cellStyle name="CORES 9 3" xfId="15771" xr:uid="{00000000-0005-0000-0000-00007D020000}"/>
    <cellStyle name="Currency [0]_Arauco Piping list" xfId="134" xr:uid="{00000000-0005-0000-0000-00007E020000}"/>
    <cellStyle name="Currency 2 2" xfId="925" xr:uid="{00000000-0005-0000-0000-00007F020000}"/>
    <cellStyle name="Currency 2 2 2" xfId="3958" xr:uid="{00000000-0005-0000-0000-000080020000}"/>
    <cellStyle name="Currency 2 2 2 2" xfId="6099" xr:uid="{00000000-0005-0000-0000-000081020000}"/>
    <cellStyle name="Currency 2 2 2 2 2" xfId="19134" xr:uid="{00000000-0005-0000-0000-000082020000}"/>
    <cellStyle name="Currency 2 2 2 3" xfId="13693" xr:uid="{00000000-0005-0000-0000-000083020000}"/>
    <cellStyle name="Currency 2 2 2 4" xfId="13662" xr:uid="{00000000-0005-0000-0000-000084020000}"/>
    <cellStyle name="Currency 2 2 2 5" xfId="17000" xr:uid="{00000000-0005-0000-0000-000085020000}"/>
    <cellStyle name="Currency 2 2 3" xfId="6794" xr:uid="{00000000-0005-0000-0000-000086020000}"/>
    <cellStyle name="Currency 2 2 3 2" xfId="19829" xr:uid="{00000000-0005-0000-0000-000087020000}"/>
    <cellStyle name="Currency 2 2 4" xfId="5112" xr:uid="{00000000-0005-0000-0000-000088020000}"/>
    <cellStyle name="Currency 2 2 4 2" xfId="18147" xr:uid="{00000000-0005-0000-0000-000089020000}"/>
    <cellStyle name="Currency 2 2 5" xfId="15980" xr:uid="{00000000-0005-0000-0000-00008A020000}"/>
    <cellStyle name="Currency_Arauco Piping list" xfId="135" xr:uid="{00000000-0005-0000-0000-00008B020000}"/>
    <cellStyle name="Currency0" xfId="136" xr:uid="{00000000-0005-0000-0000-00008C020000}"/>
    <cellStyle name="Data" xfId="137" xr:uid="{00000000-0005-0000-0000-00008D020000}"/>
    <cellStyle name="Date" xfId="138" xr:uid="{00000000-0005-0000-0000-00008E020000}"/>
    <cellStyle name="Ênfase1 2" xfId="396" xr:uid="{00000000-0005-0000-0000-00008F020000}"/>
    <cellStyle name="Ênfase1 2 2" xfId="2919" xr:uid="{00000000-0005-0000-0000-000090020000}"/>
    <cellStyle name="Ênfase1 2 3" xfId="10630" xr:uid="{00000000-0005-0000-0000-000091020000}"/>
    <cellStyle name="Ênfase2 2" xfId="397" xr:uid="{00000000-0005-0000-0000-000092020000}"/>
    <cellStyle name="Ênfase2 2 2" xfId="2920" xr:uid="{00000000-0005-0000-0000-000093020000}"/>
    <cellStyle name="Ênfase2 2 3" xfId="10631" xr:uid="{00000000-0005-0000-0000-000094020000}"/>
    <cellStyle name="Ênfase3 2" xfId="398" xr:uid="{00000000-0005-0000-0000-000095020000}"/>
    <cellStyle name="Ênfase3 2 2" xfId="2921" xr:uid="{00000000-0005-0000-0000-000096020000}"/>
    <cellStyle name="Ênfase3 2 3" xfId="10632" xr:uid="{00000000-0005-0000-0000-000097020000}"/>
    <cellStyle name="Ênfase4 2" xfId="399" xr:uid="{00000000-0005-0000-0000-000098020000}"/>
    <cellStyle name="Ênfase4 2 2" xfId="2922" xr:uid="{00000000-0005-0000-0000-000099020000}"/>
    <cellStyle name="Ênfase4 2 3" xfId="10633" xr:uid="{00000000-0005-0000-0000-00009A020000}"/>
    <cellStyle name="Ênfase5 2" xfId="400" xr:uid="{00000000-0005-0000-0000-00009B020000}"/>
    <cellStyle name="Ênfase5 2 2" xfId="2923" xr:uid="{00000000-0005-0000-0000-00009C020000}"/>
    <cellStyle name="Ênfase5 2 3" xfId="10634" xr:uid="{00000000-0005-0000-0000-00009D020000}"/>
    <cellStyle name="Ênfase6 2" xfId="401" xr:uid="{00000000-0005-0000-0000-00009E020000}"/>
    <cellStyle name="Ênfase6 2 2" xfId="2924" xr:uid="{00000000-0005-0000-0000-00009F020000}"/>
    <cellStyle name="Ênfase6 2 3" xfId="10635" xr:uid="{00000000-0005-0000-0000-0000A0020000}"/>
    <cellStyle name="Entrada 2" xfId="402" xr:uid="{00000000-0005-0000-0000-0000A1020000}"/>
    <cellStyle name="Entrada 2 10" xfId="10636" xr:uid="{00000000-0005-0000-0000-0000A2020000}"/>
    <cellStyle name="Entrada 2 10 2" xfId="13134" xr:uid="{00000000-0005-0000-0000-0000A3020000}"/>
    <cellStyle name="Entrada 2 10 2 2" xfId="15751" xr:uid="{00000000-0005-0000-0000-0000A4020000}"/>
    <cellStyle name="Entrada 2 10 3" xfId="13356" xr:uid="{00000000-0005-0000-0000-0000A5020000}"/>
    <cellStyle name="Entrada 2 11" xfId="13188" xr:uid="{00000000-0005-0000-0000-0000A6020000}"/>
    <cellStyle name="Entrada 2 11 2" xfId="15777" xr:uid="{00000000-0005-0000-0000-0000A7020000}"/>
    <cellStyle name="Entrada 2 12" xfId="11038" xr:uid="{00000000-0005-0000-0000-0000A8020000}"/>
    <cellStyle name="Entrada 2 12 2" xfId="14926" xr:uid="{00000000-0005-0000-0000-0000A9020000}"/>
    <cellStyle name="Entrada 2 13" xfId="13142" xr:uid="{00000000-0005-0000-0000-0000AA020000}"/>
    <cellStyle name="Entrada 2 14" xfId="14604" xr:uid="{00000000-0005-0000-0000-0000AB020000}"/>
    <cellStyle name="Entrada 2 15" xfId="13369" xr:uid="{00000000-0005-0000-0000-0000AC020000}"/>
    <cellStyle name="Entrada 2 16" xfId="15863" xr:uid="{00000000-0005-0000-0000-0000AD020000}"/>
    <cellStyle name="Entrada 2 2" xfId="2925" xr:uid="{00000000-0005-0000-0000-0000AE020000}"/>
    <cellStyle name="Entrada 2 2 10" xfId="11582" xr:uid="{00000000-0005-0000-0000-0000AF020000}"/>
    <cellStyle name="Entrada 2 2 10 2" xfId="15040" xr:uid="{00000000-0005-0000-0000-0000B0020000}"/>
    <cellStyle name="Entrada 2 2 11" xfId="12553" xr:uid="{00000000-0005-0000-0000-0000B1020000}"/>
    <cellStyle name="Entrada 2 2 12" xfId="14535" xr:uid="{00000000-0005-0000-0000-0000B2020000}"/>
    <cellStyle name="Entrada 2 2 13" xfId="13384" xr:uid="{00000000-0005-0000-0000-0000B3020000}"/>
    <cellStyle name="Entrada 2 2 14" xfId="16055" xr:uid="{00000000-0005-0000-0000-0000B4020000}"/>
    <cellStyle name="Entrada 2 2 2" xfId="4981" xr:uid="{00000000-0005-0000-0000-0000B5020000}"/>
    <cellStyle name="Entrada 2 2 2 10" xfId="14581" xr:uid="{00000000-0005-0000-0000-0000B6020000}"/>
    <cellStyle name="Entrada 2 2 2 11" xfId="13737" xr:uid="{00000000-0005-0000-0000-0000B7020000}"/>
    <cellStyle name="Entrada 2 2 2 12" xfId="18016" xr:uid="{00000000-0005-0000-0000-0000B8020000}"/>
    <cellStyle name="Entrada 2 2 2 2" xfId="7066" xr:uid="{00000000-0005-0000-0000-0000B9020000}"/>
    <cellStyle name="Entrada 2 2 2 2 2" xfId="8874" xr:uid="{00000000-0005-0000-0000-0000BA020000}"/>
    <cellStyle name="Entrada 2 2 2 2 2 2" xfId="12738" xr:uid="{00000000-0005-0000-0000-0000BB020000}"/>
    <cellStyle name="Entrada 2 2 2 2 2 2 2" xfId="15588" xr:uid="{00000000-0005-0000-0000-0000BC020000}"/>
    <cellStyle name="Entrada 2 2 2 2 2 3" xfId="11892" xr:uid="{00000000-0005-0000-0000-0000BD020000}"/>
    <cellStyle name="Entrada 2 2 2 2 2 4" xfId="14823" xr:uid="{00000000-0005-0000-0000-0000BE020000}"/>
    <cellStyle name="Entrada 2 2 2 2 2 5" xfId="14210" xr:uid="{00000000-0005-0000-0000-0000BF020000}"/>
    <cellStyle name="Entrada 2 2 2 2 3" xfId="12223" xr:uid="{00000000-0005-0000-0000-0000C0020000}"/>
    <cellStyle name="Entrada 2 2 2 2 3 2" xfId="15297" xr:uid="{00000000-0005-0000-0000-0000C1020000}"/>
    <cellStyle name="Entrada 2 2 2 2 4" xfId="13003" xr:uid="{00000000-0005-0000-0000-0000C2020000}"/>
    <cellStyle name="Entrada 2 2 2 2 5" xfId="14470" xr:uid="{00000000-0005-0000-0000-0000C3020000}"/>
    <cellStyle name="Entrada 2 2 2 2 6" xfId="13946" xr:uid="{00000000-0005-0000-0000-0000C4020000}"/>
    <cellStyle name="Entrada 2 2 2 3" xfId="7099" xr:uid="{00000000-0005-0000-0000-0000C5020000}"/>
    <cellStyle name="Entrada 2 2 2 3 2" xfId="8906" xr:uid="{00000000-0005-0000-0000-0000C6020000}"/>
    <cellStyle name="Entrada 2 2 2 3 2 2" xfId="12767" xr:uid="{00000000-0005-0000-0000-0000C7020000}"/>
    <cellStyle name="Entrada 2 2 2 3 2 2 2" xfId="15617" xr:uid="{00000000-0005-0000-0000-0000C8020000}"/>
    <cellStyle name="Entrada 2 2 2 3 2 3" xfId="12535" xr:uid="{00000000-0005-0000-0000-0000C9020000}"/>
    <cellStyle name="Entrada 2 2 2 3 2 4" xfId="14612" xr:uid="{00000000-0005-0000-0000-0000CA020000}"/>
    <cellStyle name="Entrada 2 2 2 3 2 5" xfId="14242" xr:uid="{00000000-0005-0000-0000-0000CB020000}"/>
    <cellStyle name="Entrada 2 2 2 3 3" xfId="12253" xr:uid="{00000000-0005-0000-0000-0000CC020000}"/>
    <cellStyle name="Entrada 2 2 2 3 3 2" xfId="15327" xr:uid="{00000000-0005-0000-0000-0000CD020000}"/>
    <cellStyle name="Entrada 2 2 2 3 4" xfId="11235" xr:uid="{00000000-0005-0000-0000-0000CE020000}"/>
    <cellStyle name="Entrada 2 2 2 3 5" xfId="14728" xr:uid="{00000000-0005-0000-0000-0000CF020000}"/>
    <cellStyle name="Entrada 2 2 2 3 6" xfId="13979" xr:uid="{00000000-0005-0000-0000-0000D0020000}"/>
    <cellStyle name="Entrada 2 2 2 4" xfId="6966" xr:uid="{00000000-0005-0000-0000-0000D1020000}"/>
    <cellStyle name="Entrada 2 2 2 4 2" xfId="8793" xr:uid="{00000000-0005-0000-0000-0000D2020000}"/>
    <cellStyle name="Entrada 2 2 2 4 2 2" xfId="12662" xr:uid="{00000000-0005-0000-0000-0000D3020000}"/>
    <cellStyle name="Entrada 2 2 2 4 2 2 2" xfId="15517" xr:uid="{00000000-0005-0000-0000-0000D4020000}"/>
    <cellStyle name="Entrada 2 2 2 4 2 3" xfId="11097" xr:uid="{00000000-0005-0000-0000-0000D5020000}"/>
    <cellStyle name="Entrada 2 2 2 4 2 4" xfId="14365" xr:uid="{00000000-0005-0000-0000-0000D6020000}"/>
    <cellStyle name="Entrada 2 2 2 4 2 5" xfId="14129" xr:uid="{00000000-0005-0000-0000-0000D7020000}"/>
    <cellStyle name="Entrada 2 2 2 4 3" xfId="12129" xr:uid="{00000000-0005-0000-0000-0000D8020000}"/>
    <cellStyle name="Entrada 2 2 2 4 3 2" xfId="15208" xr:uid="{00000000-0005-0000-0000-0000D9020000}"/>
    <cellStyle name="Entrada 2 2 2 4 4" xfId="11835" xr:uid="{00000000-0005-0000-0000-0000DA020000}"/>
    <cellStyle name="Entrada 2 2 2 4 5" xfId="14344" xr:uid="{00000000-0005-0000-0000-0000DB020000}"/>
    <cellStyle name="Entrada 2 2 2 4 6" xfId="13848" xr:uid="{00000000-0005-0000-0000-0000DC020000}"/>
    <cellStyle name="Entrada 2 2 2 5" xfId="7124" xr:uid="{00000000-0005-0000-0000-0000DD020000}"/>
    <cellStyle name="Entrada 2 2 2 5 2" xfId="8931" xr:uid="{00000000-0005-0000-0000-0000DE020000}"/>
    <cellStyle name="Entrada 2 2 2 5 2 2" xfId="12789" xr:uid="{00000000-0005-0000-0000-0000DF020000}"/>
    <cellStyle name="Entrada 2 2 2 5 2 2 2" xfId="15638" xr:uid="{00000000-0005-0000-0000-0000E0020000}"/>
    <cellStyle name="Entrada 2 2 2 5 2 3" xfId="12012" xr:uid="{00000000-0005-0000-0000-0000E1020000}"/>
    <cellStyle name="Entrada 2 2 2 5 2 4" xfId="14818" xr:uid="{00000000-0005-0000-0000-0000E2020000}"/>
    <cellStyle name="Entrada 2 2 2 5 2 5" xfId="14267" xr:uid="{00000000-0005-0000-0000-0000E3020000}"/>
    <cellStyle name="Entrada 2 2 2 5 3" xfId="12275" xr:uid="{00000000-0005-0000-0000-0000E4020000}"/>
    <cellStyle name="Entrada 2 2 2 5 3 2" xfId="15348" xr:uid="{00000000-0005-0000-0000-0000E5020000}"/>
    <cellStyle name="Entrada 2 2 2 5 4" xfId="11242" xr:uid="{00000000-0005-0000-0000-0000E6020000}"/>
    <cellStyle name="Entrada 2 2 2 5 5" xfId="14445" xr:uid="{00000000-0005-0000-0000-0000E7020000}"/>
    <cellStyle name="Entrada 2 2 2 5 6" xfId="14004" xr:uid="{00000000-0005-0000-0000-0000E8020000}"/>
    <cellStyle name="Entrada 2 2 2 6" xfId="7146" xr:uid="{00000000-0005-0000-0000-0000E9020000}"/>
    <cellStyle name="Entrada 2 2 2 6 2" xfId="8953" xr:uid="{00000000-0005-0000-0000-0000EA020000}"/>
    <cellStyle name="Entrada 2 2 2 6 2 2" xfId="12809" xr:uid="{00000000-0005-0000-0000-0000EB020000}"/>
    <cellStyle name="Entrada 2 2 2 6 2 2 2" xfId="15657" xr:uid="{00000000-0005-0000-0000-0000EC020000}"/>
    <cellStyle name="Entrada 2 2 2 6 2 3" xfId="11769" xr:uid="{00000000-0005-0000-0000-0000ED020000}"/>
    <cellStyle name="Entrada 2 2 2 6 2 4" xfId="14624" xr:uid="{00000000-0005-0000-0000-0000EE020000}"/>
    <cellStyle name="Entrada 2 2 2 6 2 5" xfId="14289" xr:uid="{00000000-0005-0000-0000-0000EF020000}"/>
    <cellStyle name="Entrada 2 2 2 6 3" xfId="12295" xr:uid="{00000000-0005-0000-0000-0000F0020000}"/>
    <cellStyle name="Entrada 2 2 2 6 3 2" xfId="15367" xr:uid="{00000000-0005-0000-0000-0000F1020000}"/>
    <cellStyle name="Entrada 2 2 2 6 4" xfId="12949" xr:uid="{00000000-0005-0000-0000-0000F2020000}"/>
    <cellStyle name="Entrada 2 2 2 6 5" xfId="14432" xr:uid="{00000000-0005-0000-0000-0000F3020000}"/>
    <cellStyle name="Entrada 2 2 2 6 6" xfId="14026" xr:uid="{00000000-0005-0000-0000-0000F4020000}"/>
    <cellStyle name="Entrada 2 2 2 7" xfId="6910" xr:uid="{00000000-0005-0000-0000-0000F5020000}"/>
    <cellStyle name="Entrada 2 2 2 7 2" xfId="12076" xr:uid="{00000000-0005-0000-0000-0000F6020000}"/>
    <cellStyle name="Entrada 2 2 2 7 2 2" xfId="15156" xr:uid="{00000000-0005-0000-0000-0000F7020000}"/>
    <cellStyle name="Entrada 2 2 2 7 3" xfId="10970" xr:uid="{00000000-0005-0000-0000-0000F8020000}"/>
    <cellStyle name="Entrada 2 2 2 7 4" xfId="14543" xr:uid="{00000000-0005-0000-0000-0000F9020000}"/>
    <cellStyle name="Entrada 2 2 2 7 5" xfId="13795" xr:uid="{00000000-0005-0000-0000-0000FA020000}"/>
    <cellStyle name="Entrada 2 2 2 8" xfId="11810" xr:uid="{00000000-0005-0000-0000-0000FB020000}"/>
    <cellStyle name="Entrada 2 2 2 8 2" xfId="11493" xr:uid="{00000000-0005-0000-0000-0000FC020000}"/>
    <cellStyle name="Entrada 2 2 2 9" xfId="12550" xr:uid="{00000000-0005-0000-0000-0000FD020000}"/>
    <cellStyle name="Entrada 2 2 3" xfId="6991" xr:uid="{00000000-0005-0000-0000-0000FE020000}"/>
    <cellStyle name="Entrada 2 2 3 2" xfId="8812" xr:uid="{00000000-0005-0000-0000-0000FF020000}"/>
    <cellStyle name="Entrada 2 2 3 2 2" xfId="12680" xr:uid="{00000000-0005-0000-0000-000000030000}"/>
    <cellStyle name="Entrada 2 2 3 2 2 2" xfId="15534" xr:uid="{00000000-0005-0000-0000-000001030000}"/>
    <cellStyle name="Entrada 2 2 3 2 3" xfId="12943" xr:uid="{00000000-0005-0000-0000-000002030000}"/>
    <cellStyle name="Entrada 2 2 3 2 4" xfId="14701" xr:uid="{00000000-0005-0000-0000-000003030000}"/>
    <cellStyle name="Entrada 2 2 3 2 5" xfId="14148" xr:uid="{00000000-0005-0000-0000-000004030000}"/>
    <cellStyle name="Entrada 2 2 3 3" xfId="12153" xr:uid="{00000000-0005-0000-0000-000005030000}"/>
    <cellStyle name="Entrada 2 2 3 3 2" xfId="15231" xr:uid="{00000000-0005-0000-0000-000006030000}"/>
    <cellStyle name="Entrada 2 2 3 4" xfId="12556" xr:uid="{00000000-0005-0000-0000-000007030000}"/>
    <cellStyle name="Entrada 2 2 3 5" xfId="14502" xr:uid="{00000000-0005-0000-0000-000008030000}"/>
    <cellStyle name="Entrada 2 2 3 6" xfId="13873" xr:uid="{00000000-0005-0000-0000-000009030000}"/>
    <cellStyle name="Entrada 2 2 4" xfId="6930" xr:uid="{00000000-0005-0000-0000-00000A030000}"/>
    <cellStyle name="Entrada 2 2 4 2" xfId="8762" xr:uid="{00000000-0005-0000-0000-00000B030000}"/>
    <cellStyle name="Entrada 2 2 4 2 2" xfId="12632" xr:uid="{00000000-0005-0000-0000-00000C030000}"/>
    <cellStyle name="Entrada 2 2 4 2 2 2" xfId="15488" xr:uid="{00000000-0005-0000-0000-00000D030000}"/>
    <cellStyle name="Entrada 2 2 4 2 3" xfId="13151" xr:uid="{00000000-0005-0000-0000-00000E030000}"/>
    <cellStyle name="Entrada 2 2 4 2 4" xfId="14682" xr:uid="{00000000-0005-0000-0000-00000F030000}"/>
    <cellStyle name="Entrada 2 2 4 2 5" xfId="14098" xr:uid="{00000000-0005-0000-0000-000010030000}"/>
    <cellStyle name="Entrada 2 2 4 3" xfId="12094" xr:uid="{00000000-0005-0000-0000-000011030000}"/>
    <cellStyle name="Entrada 2 2 4 3 2" xfId="15174" xr:uid="{00000000-0005-0000-0000-000012030000}"/>
    <cellStyle name="Entrada 2 2 4 4" xfId="13286" xr:uid="{00000000-0005-0000-0000-000013030000}"/>
    <cellStyle name="Entrada 2 2 4 5" xfId="14525" xr:uid="{00000000-0005-0000-0000-000014030000}"/>
    <cellStyle name="Entrada 2 2 4 6" xfId="13815" xr:uid="{00000000-0005-0000-0000-000015030000}"/>
    <cellStyle name="Entrada 2 2 5" xfId="6986" xr:uid="{00000000-0005-0000-0000-000016030000}"/>
    <cellStyle name="Entrada 2 2 5 2" xfId="8808" xr:uid="{00000000-0005-0000-0000-000017030000}"/>
    <cellStyle name="Entrada 2 2 5 2 2" xfId="12676" xr:uid="{00000000-0005-0000-0000-000018030000}"/>
    <cellStyle name="Entrada 2 2 5 2 2 2" xfId="15530" xr:uid="{00000000-0005-0000-0000-000019030000}"/>
    <cellStyle name="Entrada 2 2 5 2 3" xfId="11978" xr:uid="{00000000-0005-0000-0000-00001A030000}"/>
    <cellStyle name="Entrada 2 2 5 2 4" xfId="14314" xr:uid="{00000000-0005-0000-0000-00001B030000}"/>
    <cellStyle name="Entrada 2 2 5 2 5" xfId="14144" xr:uid="{00000000-0005-0000-0000-00001C030000}"/>
    <cellStyle name="Entrada 2 2 5 3" xfId="12148" xr:uid="{00000000-0005-0000-0000-00001D030000}"/>
    <cellStyle name="Entrada 2 2 5 3 2" xfId="15226" xr:uid="{00000000-0005-0000-0000-00001E030000}"/>
    <cellStyle name="Entrada 2 2 5 4" xfId="13215" xr:uid="{00000000-0005-0000-0000-00001F030000}"/>
    <cellStyle name="Entrada 2 2 5 5" xfId="14507" xr:uid="{00000000-0005-0000-0000-000020030000}"/>
    <cellStyle name="Entrada 2 2 5 6" xfId="13868" xr:uid="{00000000-0005-0000-0000-000021030000}"/>
    <cellStyle name="Entrada 2 2 6" xfId="6903" xr:uid="{00000000-0005-0000-0000-000022030000}"/>
    <cellStyle name="Entrada 2 2 6 2" xfId="8740" xr:uid="{00000000-0005-0000-0000-000023030000}"/>
    <cellStyle name="Entrada 2 2 6 2 2" xfId="12612" xr:uid="{00000000-0005-0000-0000-000024030000}"/>
    <cellStyle name="Entrada 2 2 6 2 2 2" xfId="15469" xr:uid="{00000000-0005-0000-0000-000025030000}"/>
    <cellStyle name="Entrada 2 2 6 2 3" xfId="13085" xr:uid="{00000000-0005-0000-0000-000026030000}"/>
    <cellStyle name="Entrada 2 2 6 2 4" xfId="14787" xr:uid="{00000000-0005-0000-0000-000027030000}"/>
    <cellStyle name="Entrada 2 2 6 2 5" xfId="14076" xr:uid="{00000000-0005-0000-0000-000028030000}"/>
    <cellStyle name="Entrada 2 2 6 3" xfId="12070" xr:uid="{00000000-0005-0000-0000-000029030000}"/>
    <cellStyle name="Entrada 2 2 6 3 2" xfId="15150" xr:uid="{00000000-0005-0000-0000-00002A030000}"/>
    <cellStyle name="Entrada 2 2 6 4" xfId="12337" xr:uid="{00000000-0005-0000-0000-00002B030000}"/>
    <cellStyle name="Entrada 2 2 6 5" xfId="14529" xr:uid="{00000000-0005-0000-0000-00002C030000}"/>
    <cellStyle name="Entrada 2 2 6 6" xfId="13788" xr:uid="{00000000-0005-0000-0000-00002D030000}"/>
    <cellStyle name="Entrada 2 2 7" xfId="7029" xr:uid="{00000000-0005-0000-0000-00002E030000}"/>
    <cellStyle name="Entrada 2 2 7 2" xfId="8842" xr:uid="{00000000-0005-0000-0000-00002F030000}"/>
    <cellStyle name="Entrada 2 2 7 2 2" xfId="12708" xr:uid="{00000000-0005-0000-0000-000030030000}"/>
    <cellStyle name="Entrada 2 2 7 2 2 2" xfId="15560" xr:uid="{00000000-0005-0000-0000-000031030000}"/>
    <cellStyle name="Entrada 2 2 7 2 3" xfId="11926" xr:uid="{00000000-0005-0000-0000-000032030000}"/>
    <cellStyle name="Entrada 2 2 7 2 4" xfId="14652" xr:uid="{00000000-0005-0000-0000-000033030000}"/>
    <cellStyle name="Entrada 2 2 7 2 5" xfId="14178" xr:uid="{00000000-0005-0000-0000-000034030000}"/>
    <cellStyle name="Entrada 2 2 7 3" xfId="12188" xr:uid="{00000000-0005-0000-0000-000035030000}"/>
    <cellStyle name="Entrada 2 2 7 3 2" xfId="15265" xr:uid="{00000000-0005-0000-0000-000036030000}"/>
    <cellStyle name="Entrada 2 2 7 4" xfId="11297" xr:uid="{00000000-0005-0000-0000-000037030000}"/>
    <cellStyle name="Entrada 2 2 7 5" xfId="14483" xr:uid="{00000000-0005-0000-0000-000038030000}"/>
    <cellStyle name="Entrada 2 2 7 6" xfId="13910" xr:uid="{00000000-0005-0000-0000-000039030000}"/>
    <cellStyle name="Entrada 2 2 8" xfId="6890" xr:uid="{00000000-0005-0000-0000-00003A030000}"/>
    <cellStyle name="Entrada 2 2 8 2" xfId="12059" xr:uid="{00000000-0005-0000-0000-00003B030000}"/>
    <cellStyle name="Entrada 2 2 8 2 2" xfId="15143" xr:uid="{00000000-0005-0000-0000-00003C030000}"/>
    <cellStyle name="Entrada 2 2 8 3" xfId="11208" xr:uid="{00000000-0005-0000-0000-00003D030000}"/>
    <cellStyle name="Entrada 2 2 8 4" xfId="14413" xr:uid="{00000000-0005-0000-0000-00003E030000}"/>
    <cellStyle name="Entrada 2 2 8 5" xfId="13777" xr:uid="{00000000-0005-0000-0000-00003F030000}"/>
    <cellStyle name="Entrada 2 2 9" xfId="13199" xr:uid="{00000000-0005-0000-0000-000040030000}"/>
    <cellStyle name="Entrada 2 2 9 2" xfId="15787" xr:uid="{00000000-0005-0000-0000-000041030000}"/>
    <cellStyle name="Entrada 2 3" xfId="4970" xr:uid="{00000000-0005-0000-0000-000042030000}"/>
    <cellStyle name="Entrada 2 3 10" xfId="14602" xr:uid="{00000000-0005-0000-0000-000043030000}"/>
    <cellStyle name="Entrada 2 3 11" xfId="13727" xr:uid="{00000000-0005-0000-0000-000044030000}"/>
    <cellStyle name="Entrada 2 3 12" xfId="18005" xr:uid="{00000000-0005-0000-0000-000045030000}"/>
    <cellStyle name="Entrada 2 3 2" xfId="7055" xr:uid="{00000000-0005-0000-0000-000046030000}"/>
    <cellStyle name="Entrada 2 3 2 2" xfId="8863" xr:uid="{00000000-0005-0000-0000-000047030000}"/>
    <cellStyle name="Entrada 2 3 2 2 2" xfId="12728" xr:uid="{00000000-0005-0000-0000-000048030000}"/>
    <cellStyle name="Entrada 2 3 2 2 2 2" xfId="15579" xr:uid="{00000000-0005-0000-0000-000049030000}"/>
    <cellStyle name="Entrada 2 3 2 2 3" xfId="10980" xr:uid="{00000000-0005-0000-0000-00004A030000}"/>
    <cellStyle name="Entrada 2 3 2 2 4" xfId="14673" xr:uid="{00000000-0005-0000-0000-00004B030000}"/>
    <cellStyle name="Entrada 2 3 2 2 5" xfId="14199" xr:uid="{00000000-0005-0000-0000-00004C030000}"/>
    <cellStyle name="Entrada 2 3 2 3" xfId="12213" xr:uid="{00000000-0005-0000-0000-00004D030000}"/>
    <cellStyle name="Entrada 2 3 2 3 2" xfId="15289" xr:uid="{00000000-0005-0000-0000-00004E030000}"/>
    <cellStyle name="Entrada 2 3 2 4" xfId="12339" xr:uid="{00000000-0005-0000-0000-00004F030000}"/>
    <cellStyle name="Entrada 2 3 2 5" xfId="14474" xr:uid="{00000000-0005-0000-0000-000050030000}"/>
    <cellStyle name="Entrada 2 3 2 6" xfId="13936" xr:uid="{00000000-0005-0000-0000-000051030000}"/>
    <cellStyle name="Entrada 2 3 3" xfId="7088" xr:uid="{00000000-0005-0000-0000-000052030000}"/>
    <cellStyle name="Entrada 2 3 3 2" xfId="8895" xr:uid="{00000000-0005-0000-0000-000053030000}"/>
    <cellStyle name="Entrada 2 3 3 2 2" xfId="12758" xr:uid="{00000000-0005-0000-0000-000054030000}"/>
    <cellStyle name="Entrada 2 3 3 2 2 2" xfId="15608" xr:uid="{00000000-0005-0000-0000-000055030000}"/>
    <cellStyle name="Entrada 2 3 3 2 3" xfId="11922" xr:uid="{00000000-0005-0000-0000-000056030000}"/>
    <cellStyle name="Entrada 2 3 3 2 4" xfId="14353" xr:uid="{00000000-0005-0000-0000-000057030000}"/>
    <cellStyle name="Entrada 2 3 3 2 5" xfId="14231" xr:uid="{00000000-0005-0000-0000-000058030000}"/>
    <cellStyle name="Entrada 2 3 3 3" xfId="12244" xr:uid="{00000000-0005-0000-0000-000059030000}"/>
    <cellStyle name="Entrada 2 3 3 3 2" xfId="15318" xr:uid="{00000000-0005-0000-0000-00005A030000}"/>
    <cellStyle name="Entrada 2 3 3 4" xfId="13135" xr:uid="{00000000-0005-0000-0000-00005B030000}"/>
    <cellStyle name="Entrada 2 3 3 5" xfId="14312" xr:uid="{00000000-0005-0000-0000-00005C030000}"/>
    <cellStyle name="Entrada 2 3 3 6" xfId="13968" xr:uid="{00000000-0005-0000-0000-00005D030000}"/>
    <cellStyle name="Entrada 2 3 4" xfId="7012" xr:uid="{00000000-0005-0000-0000-00005E030000}"/>
    <cellStyle name="Entrada 2 3 4 2" xfId="8829" xr:uid="{00000000-0005-0000-0000-00005F030000}"/>
    <cellStyle name="Entrada 2 3 4 2 2" xfId="12696" xr:uid="{00000000-0005-0000-0000-000060030000}"/>
    <cellStyle name="Entrada 2 3 4 2 2 2" xfId="15550" xr:uid="{00000000-0005-0000-0000-000061030000}"/>
    <cellStyle name="Entrada 2 3 4 2 3" xfId="12010" xr:uid="{00000000-0005-0000-0000-000062030000}"/>
    <cellStyle name="Entrada 2 3 4 2 4" xfId="14323" xr:uid="{00000000-0005-0000-0000-000063030000}"/>
    <cellStyle name="Entrada 2 3 4 2 5" xfId="14165" xr:uid="{00000000-0005-0000-0000-000064030000}"/>
    <cellStyle name="Entrada 2 3 4 3" xfId="12173" xr:uid="{00000000-0005-0000-0000-000065030000}"/>
    <cellStyle name="Entrada 2 3 4 3 2" xfId="15251" xr:uid="{00000000-0005-0000-0000-000066030000}"/>
    <cellStyle name="Entrada 2 3 4 4" xfId="11443" xr:uid="{00000000-0005-0000-0000-000067030000}"/>
    <cellStyle name="Entrada 2 3 4 5" xfId="14307" xr:uid="{00000000-0005-0000-0000-000068030000}"/>
    <cellStyle name="Entrada 2 3 4 6" xfId="13894" xr:uid="{00000000-0005-0000-0000-000069030000}"/>
    <cellStyle name="Entrada 2 3 5" xfId="7113" xr:uid="{00000000-0005-0000-0000-00006A030000}"/>
    <cellStyle name="Entrada 2 3 5 2" xfId="8920" xr:uid="{00000000-0005-0000-0000-00006B030000}"/>
    <cellStyle name="Entrada 2 3 5 2 2" xfId="12779" xr:uid="{00000000-0005-0000-0000-00006C030000}"/>
    <cellStyle name="Entrada 2 3 5 2 2 2" xfId="15629" xr:uid="{00000000-0005-0000-0000-00006D030000}"/>
    <cellStyle name="Entrada 2 3 5 2 3" xfId="11532" xr:uid="{00000000-0005-0000-0000-00006E030000}"/>
    <cellStyle name="Entrada 2 3 5 2 4" xfId="14594" xr:uid="{00000000-0005-0000-0000-00006F030000}"/>
    <cellStyle name="Entrada 2 3 5 2 5" xfId="14256" xr:uid="{00000000-0005-0000-0000-000070030000}"/>
    <cellStyle name="Entrada 2 3 5 3" xfId="12265" xr:uid="{00000000-0005-0000-0000-000071030000}"/>
    <cellStyle name="Entrada 2 3 5 3 2" xfId="15339" xr:uid="{00000000-0005-0000-0000-000072030000}"/>
    <cellStyle name="Entrada 2 3 5 4" xfId="13017" xr:uid="{00000000-0005-0000-0000-000073030000}"/>
    <cellStyle name="Entrada 2 3 5 5" xfId="14449" xr:uid="{00000000-0005-0000-0000-000074030000}"/>
    <cellStyle name="Entrada 2 3 5 6" xfId="13993" xr:uid="{00000000-0005-0000-0000-000075030000}"/>
    <cellStyle name="Entrada 2 3 6" xfId="7135" xr:uid="{00000000-0005-0000-0000-000076030000}"/>
    <cellStyle name="Entrada 2 3 6 2" xfId="8942" xr:uid="{00000000-0005-0000-0000-000077030000}"/>
    <cellStyle name="Entrada 2 3 6 2 2" xfId="12799" xr:uid="{00000000-0005-0000-0000-000078030000}"/>
    <cellStyle name="Entrada 2 3 6 2 2 2" xfId="15648" xr:uid="{00000000-0005-0000-0000-000079030000}"/>
    <cellStyle name="Entrada 2 3 6 2 3" xfId="11996" xr:uid="{00000000-0005-0000-0000-00007A030000}"/>
    <cellStyle name="Entrada 2 3 6 2 4" xfId="14874" xr:uid="{00000000-0005-0000-0000-00007B030000}"/>
    <cellStyle name="Entrada 2 3 6 2 5" xfId="14278" xr:uid="{00000000-0005-0000-0000-00007C030000}"/>
    <cellStyle name="Entrada 2 3 6 3" xfId="12285" xr:uid="{00000000-0005-0000-0000-00007D030000}"/>
    <cellStyle name="Entrada 2 3 6 3 2" xfId="15358" xr:uid="{00000000-0005-0000-0000-00007E030000}"/>
    <cellStyle name="Entrada 2 3 6 4" xfId="10915" xr:uid="{00000000-0005-0000-0000-00007F030000}"/>
    <cellStyle name="Entrada 2 3 6 5" xfId="14436" xr:uid="{00000000-0005-0000-0000-000080030000}"/>
    <cellStyle name="Entrada 2 3 6 6" xfId="14015" xr:uid="{00000000-0005-0000-0000-000081030000}"/>
    <cellStyle name="Entrada 2 3 7" xfId="6905" xr:uid="{00000000-0005-0000-0000-000082030000}"/>
    <cellStyle name="Entrada 2 3 7 2" xfId="12072" xr:uid="{00000000-0005-0000-0000-000083030000}"/>
    <cellStyle name="Entrada 2 3 7 2 2" xfId="15152" xr:uid="{00000000-0005-0000-0000-000084030000}"/>
    <cellStyle name="Entrada 2 3 7 3" xfId="11545" xr:uid="{00000000-0005-0000-0000-000085030000}"/>
    <cellStyle name="Entrada 2 3 7 4" xfId="14407" xr:uid="{00000000-0005-0000-0000-000086030000}"/>
    <cellStyle name="Entrada 2 3 7 5" xfId="13790" xr:uid="{00000000-0005-0000-0000-000087030000}"/>
    <cellStyle name="Entrada 2 3 8" xfId="11800" xr:uid="{00000000-0005-0000-0000-000088030000}"/>
    <cellStyle name="Entrada 2 3 8 2" xfId="11855" xr:uid="{00000000-0005-0000-0000-000089030000}"/>
    <cellStyle name="Entrada 2 3 9" xfId="11698" xr:uid="{00000000-0005-0000-0000-00008A030000}"/>
    <cellStyle name="Entrada 2 4" xfId="6895" xr:uid="{00000000-0005-0000-0000-00008B030000}"/>
    <cellStyle name="Entrada 2 4 2" xfId="8732" xr:uid="{00000000-0005-0000-0000-00008C030000}"/>
    <cellStyle name="Entrada 2 4 2 2" xfId="12604" xr:uid="{00000000-0005-0000-0000-00008D030000}"/>
    <cellStyle name="Entrada 2 4 2 2 2" xfId="15461" xr:uid="{00000000-0005-0000-0000-00008E030000}"/>
    <cellStyle name="Entrada 2 4 2 3" xfId="11694" xr:uid="{00000000-0005-0000-0000-00008F030000}"/>
    <cellStyle name="Entrada 2 4 2 4" xfId="14830" xr:uid="{00000000-0005-0000-0000-000090030000}"/>
    <cellStyle name="Entrada 2 4 2 5" xfId="14068" xr:uid="{00000000-0005-0000-0000-000091030000}"/>
    <cellStyle name="Entrada 2 4 3" xfId="12062" xr:uid="{00000000-0005-0000-0000-000092030000}"/>
    <cellStyle name="Entrada 2 4 3 2" xfId="10912" xr:uid="{00000000-0005-0000-0000-000093030000}"/>
    <cellStyle name="Entrada 2 4 4" xfId="11708" xr:uid="{00000000-0005-0000-0000-000094030000}"/>
    <cellStyle name="Entrada 2 4 5" xfId="14539" xr:uid="{00000000-0005-0000-0000-000095030000}"/>
    <cellStyle name="Entrada 2 4 6" xfId="13782" xr:uid="{00000000-0005-0000-0000-000096030000}"/>
    <cellStyle name="Entrada 2 5" xfId="6950" xr:uid="{00000000-0005-0000-0000-000097030000}"/>
    <cellStyle name="Entrada 2 5 2" xfId="8779" xr:uid="{00000000-0005-0000-0000-000098030000}"/>
    <cellStyle name="Entrada 2 5 2 2" xfId="12648" xr:uid="{00000000-0005-0000-0000-000099030000}"/>
    <cellStyle name="Entrada 2 5 2 2 2" xfId="15504" xr:uid="{00000000-0005-0000-0000-00009A030000}"/>
    <cellStyle name="Entrada 2 5 2 3" xfId="12515" xr:uid="{00000000-0005-0000-0000-00009B030000}"/>
    <cellStyle name="Entrada 2 5 2 4" xfId="14828" xr:uid="{00000000-0005-0000-0000-00009C030000}"/>
    <cellStyle name="Entrada 2 5 2 5" xfId="14115" xr:uid="{00000000-0005-0000-0000-00009D030000}"/>
    <cellStyle name="Entrada 2 5 3" xfId="12113" xr:uid="{00000000-0005-0000-0000-00009E030000}"/>
    <cellStyle name="Entrada 2 5 3 2" xfId="15193" xr:uid="{00000000-0005-0000-0000-00009F030000}"/>
    <cellStyle name="Entrada 2 5 4" xfId="12555" xr:uid="{00000000-0005-0000-0000-0000A0030000}"/>
    <cellStyle name="Entrada 2 5 5" xfId="14546" xr:uid="{00000000-0005-0000-0000-0000A1030000}"/>
    <cellStyle name="Entrada 2 5 6" xfId="13834" xr:uid="{00000000-0005-0000-0000-0000A2030000}"/>
    <cellStyle name="Entrada 2 6" xfId="7032" xr:uid="{00000000-0005-0000-0000-0000A3030000}"/>
    <cellStyle name="Entrada 2 6 2" xfId="8845" xr:uid="{00000000-0005-0000-0000-0000A4030000}"/>
    <cellStyle name="Entrada 2 6 2 2" xfId="12711" xr:uid="{00000000-0005-0000-0000-0000A5030000}"/>
    <cellStyle name="Entrada 2 6 2 2 2" xfId="15563" xr:uid="{00000000-0005-0000-0000-0000A6030000}"/>
    <cellStyle name="Entrada 2 6 2 3" xfId="12521" xr:uid="{00000000-0005-0000-0000-0000A7030000}"/>
    <cellStyle name="Entrada 2 6 2 4" xfId="14822" xr:uid="{00000000-0005-0000-0000-0000A8030000}"/>
    <cellStyle name="Entrada 2 6 2 5" xfId="14181" xr:uid="{00000000-0005-0000-0000-0000A9030000}"/>
    <cellStyle name="Entrada 2 6 3" xfId="12191" xr:uid="{00000000-0005-0000-0000-0000AA030000}"/>
    <cellStyle name="Entrada 2 6 3 2" xfId="15268" xr:uid="{00000000-0005-0000-0000-0000AB030000}"/>
    <cellStyle name="Entrada 2 6 4" xfId="11220" xr:uid="{00000000-0005-0000-0000-0000AC030000}"/>
    <cellStyle name="Entrada 2 6 5" xfId="14750" xr:uid="{00000000-0005-0000-0000-0000AD030000}"/>
    <cellStyle name="Entrada 2 6 6" xfId="13913" xr:uid="{00000000-0005-0000-0000-0000AE030000}"/>
    <cellStyle name="Entrada 2 7" xfId="6987" xr:uid="{00000000-0005-0000-0000-0000AF030000}"/>
    <cellStyle name="Entrada 2 7 2" xfId="8809" xr:uid="{00000000-0005-0000-0000-0000B0030000}"/>
    <cellStyle name="Entrada 2 7 2 2" xfId="12677" xr:uid="{00000000-0005-0000-0000-0000B1030000}"/>
    <cellStyle name="Entrada 2 7 2 2 2" xfId="15531" xr:uid="{00000000-0005-0000-0000-0000B2030000}"/>
    <cellStyle name="Entrada 2 7 2 3" xfId="12858" xr:uid="{00000000-0005-0000-0000-0000B3030000}"/>
    <cellStyle name="Entrada 2 7 2 4" xfId="14334" xr:uid="{00000000-0005-0000-0000-0000B4030000}"/>
    <cellStyle name="Entrada 2 7 2 5" xfId="14145" xr:uid="{00000000-0005-0000-0000-0000B5030000}"/>
    <cellStyle name="Entrada 2 7 3" xfId="12149" xr:uid="{00000000-0005-0000-0000-0000B6030000}"/>
    <cellStyle name="Entrada 2 7 3 2" xfId="15227" xr:uid="{00000000-0005-0000-0000-0000B7030000}"/>
    <cellStyle name="Entrada 2 7 4" xfId="11757" xr:uid="{00000000-0005-0000-0000-0000B8030000}"/>
    <cellStyle name="Entrada 2 7 5" xfId="14506" xr:uid="{00000000-0005-0000-0000-0000B9030000}"/>
    <cellStyle name="Entrada 2 7 6" xfId="13869" xr:uid="{00000000-0005-0000-0000-0000BA030000}"/>
    <cellStyle name="Entrada 2 8" xfId="6886" xr:uid="{00000000-0005-0000-0000-0000BB030000}"/>
    <cellStyle name="Entrada 2 8 2" xfId="8725" xr:uid="{00000000-0005-0000-0000-0000BC030000}"/>
    <cellStyle name="Entrada 2 8 2 2" xfId="12599" xr:uid="{00000000-0005-0000-0000-0000BD030000}"/>
    <cellStyle name="Entrada 2 8 2 2 2" xfId="15456" xr:uid="{00000000-0005-0000-0000-0000BE030000}"/>
    <cellStyle name="Entrada 2 8 2 3" xfId="12504" xr:uid="{00000000-0005-0000-0000-0000BF030000}"/>
    <cellStyle name="Entrada 2 8 2 4" xfId="14704" xr:uid="{00000000-0005-0000-0000-0000C0030000}"/>
    <cellStyle name="Entrada 2 8 2 5" xfId="14061" xr:uid="{00000000-0005-0000-0000-0000C1030000}"/>
    <cellStyle name="Entrada 2 8 3" xfId="12055" xr:uid="{00000000-0005-0000-0000-0000C2030000}"/>
    <cellStyle name="Entrada 2 8 3 2" xfId="15139" xr:uid="{00000000-0005-0000-0000-0000C3030000}"/>
    <cellStyle name="Entrada 2 8 4" xfId="12876" xr:uid="{00000000-0005-0000-0000-0000C4030000}"/>
    <cellStyle name="Entrada 2 8 5" xfId="14531" xr:uid="{00000000-0005-0000-0000-0000C5030000}"/>
    <cellStyle name="Entrada 2 8 6" xfId="13773" xr:uid="{00000000-0005-0000-0000-0000C6030000}"/>
    <cellStyle name="Entrada 2 9" xfId="7000" xr:uid="{00000000-0005-0000-0000-0000C7030000}"/>
    <cellStyle name="Entrada 2 9 2" xfId="12162" xr:uid="{00000000-0005-0000-0000-0000C8030000}"/>
    <cellStyle name="Entrada 2 9 2 2" xfId="15240" xr:uid="{00000000-0005-0000-0000-0000C9030000}"/>
    <cellStyle name="Entrada 2 9 3" xfId="11138" xr:uid="{00000000-0005-0000-0000-0000CA030000}"/>
    <cellStyle name="Entrada 2 9 4" xfId="14497" xr:uid="{00000000-0005-0000-0000-0000CB030000}"/>
    <cellStyle name="Entrada 2 9 5" xfId="13882" xr:uid="{00000000-0005-0000-0000-0000CC030000}"/>
    <cellStyle name="Euro" xfId="926" xr:uid="{00000000-0005-0000-0000-0000CD030000}"/>
    <cellStyle name="Euro 2" xfId="2927" xr:uid="{00000000-0005-0000-0000-0000CE030000}"/>
    <cellStyle name="Euro 3" xfId="2928" xr:uid="{00000000-0005-0000-0000-0000CF030000}"/>
    <cellStyle name="Euro 4" xfId="2929" xr:uid="{00000000-0005-0000-0000-0000D0030000}"/>
    <cellStyle name="Euro 5" xfId="2930" xr:uid="{00000000-0005-0000-0000-0000D1030000}"/>
    <cellStyle name="Euro 6" xfId="2931" xr:uid="{00000000-0005-0000-0000-0000D2030000}"/>
    <cellStyle name="Euro 7" xfId="2932" xr:uid="{00000000-0005-0000-0000-0000D3030000}"/>
    <cellStyle name="Euro 8" xfId="2926" xr:uid="{00000000-0005-0000-0000-0000D4030000}"/>
    <cellStyle name="Excel Built-in Comma" xfId="13278" xr:uid="{00000000-0005-0000-0000-0000D5030000}"/>
    <cellStyle name="Excel Built-in Excel Built-in Excel Built-in Excel Built-in Excel Built-in Excel Built-in Excel Built-in Excel Built-in Separador de milhares 4" xfId="139" xr:uid="{00000000-0005-0000-0000-0000D6030000}"/>
    <cellStyle name="Excel Built-in Excel Built-in Excel Built-in Excel Built-in Excel Built-in Excel Built-in Excel Built-in Separador de milhares 4" xfId="140" xr:uid="{00000000-0005-0000-0000-0000D7030000}"/>
    <cellStyle name="Excel Built-in Normal" xfId="4" xr:uid="{00000000-0005-0000-0000-0000D8030000}"/>
    <cellStyle name="Excel Built-in Normal 1" xfId="141" xr:uid="{00000000-0005-0000-0000-0000D9030000}"/>
    <cellStyle name="Excel Built-in Normal 2" xfId="142" xr:uid="{00000000-0005-0000-0000-0000DA030000}"/>
    <cellStyle name="Excel Built-in Normal 2 2" xfId="927" xr:uid="{00000000-0005-0000-0000-0000DB030000}"/>
    <cellStyle name="Excel Built-in Normal 3" xfId="143" xr:uid="{00000000-0005-0000-0000-0000DC030000}"/>
    <cellStyle name="Excel Built-in Normal 4" xfId="144" xr:uid="{00000000-0005-0000-0000-0000DD030000}"/>
    <cellStyle name="Excel_BuiltIn_Comma" xfId="145" xr:uid="{00000000-0005-0000-0000-0000DE030000}"/>
    <cellStyle name="Explanatory Text" xfId="403" xr:uid="{00000000-0005-0000-0000-0000DF030000}"/>
    <cellStyle name="Fixed" xfId="146" xr:uid="{00000000-0005-0000-0000-0000E0030000}"/>
    <cellStyle name="Fixo" xfId="147" xr:uid="{00000000-0005-0000-0000-0000E1030000}"/>
    <cellStyle name="Followed Hyperlink" xfId="148" xr:uid="{00000000-0005-0000-0000-0000E2030000}"/>
    <cellStyle name="Good" xfId="404" xr:uid="{00000000-0005-0000-0000-0000E3030000}"/>
    <cellStyle name="Grey" xfId="149" xr:uid="{00000000-0005-0000-0000-0000E4030000}"/>
    <cellStyle name="Heading" xfId="150" xr:uid="{00000000-0005-0000-0000-0000E5030000}"/>
    <cellStyle name="Heading 1" xfId="151" xr:uid="{00000000-0005-0000-0000-0000E6030000}"/>
    <cellStyle name="Heading 1 2" xfId="405" xr:uid="{00000000-0005-0000-0000-0000E7030000}"/>
    <cellStyle name="Heading 1 3" xfId="7162" xr:uid="{00000000-0005-0000-0000-0000E8030000}"/>
    <cellStyle name="Heading 2" xfId="152" xr:uid="{00000000-0005-0000-0000-0000E9030000}"/>
    <cellStyle name="Heading 2 2" xfId="406" xr:uid="{00000000-0005-0000-0000-0000EA030000}"/>
    <cellStyle name="Heading 2 3" xfId="7163" xr:uid="{00000000-0005-0000-0000-0000EB030000}"/>
    <cellStyle name="Heading 3" xfId="407" xr:uid="{00000000-0005-0000-0000-0000EC030000}"/>
    <cellStyle name="Heading 4" xfId="408" xr:uid="{00000000-0005-0000-0000-0000ED030000}"/>
    <cellStyle name="Heading1" xfId="153" xr:uid="{00000000-0005-0000-0000-0000EE030000}"/>
    <cellStyle name="Hiperlink" xfId="127" builtinId="8"/>
    <cellStyle name="Hiperlink 2" xfId="5" xr:uid="{00000000-0005-0000-0000-0000F0030000}"/>
    <cellStyle name="Hiperlink 2 2" xfId="154" xr:uid="{00000000-0005-0000-0000-0000F1030000}"/>
    <cellStyle name="Hiperlink 2 3" xfId="155" xr:uid="{00000000-0005-0000-0000-0000F2030000}"/>
    <cellStyle name="Hiperlink 3" xfId="6" xr:uid="{00000000-0005-0000-0000-0000F3030000}"/>
    <cellStyle name="Hiperlink 4" xfId="409" xr:uid="{00000000-0005-0000-0000-0000F4030000}"/>
    <cellStyle name="Hiperlink 4 2" xfId="648" xr:uid="{00000000-0005-0000-0000-0000F5030000}"/>
    <cellStyle name="Hiperlink 4 3" xfId="1091" xr:uid="{00000000-0005-0000-0000-0000F6030000}"/>
    <cellStyle name="Hiperlink 4 4" xfId="1092" xr:uid="{00000000-0005-0000-0000-0000F7030000}"/>
    <cellStyle name="Hiperlink 5" xfId="995" xr:uid="{00000000-0005-0000-0000-0000F8030000}"/>
    <cellStyle name="Hiperlink 5 2" xfId="11570" xr:uid="{00000000-0005-0000-0000-0000F9030000}"/>
    <cellStyle name="Hiperlink 6" xfId="7164" xr:uid="{00000000-0005-0000-0000-0000FA030000}"/>
    <cellStyle name="Hyperlink 2" xfId="2933" xr:uid="{00000000-0005-0000-0000-0000FB030000}"/>
    <cellStyle name="Incorreto 2" xfId="410" xr:uid="{00000000-0005-0000-0000-0000FC030000}"/>
    <cellStyle name="Incorreto 2 2" xfId="2934" xr:uid="{00000000-0005-0000-0000-0000FD030000}"/>
    <cellStyle name="Incorreto 2 3" xfId="10637" xr:uid="{00000000-0005-0000-0000-0000FE030000}"/>
    <cellStyle name="Indefinido" xfId="156" xr:uid="{00000000-0005-0000-0000-0000FF030000}"/>
    <cellStyle name="Input" xfId="411" xr:uid="{00000000-0005-0000-0000-000000040000}"/>
    <cellStyle name="Input [yellow]" xfId="157" xr:uid="{00000000-0005-0000-0000-000001040000}"/>
    <cellStyle name="Input [yellow] 10" xfId="13183" xr:uid="{00000000-0005-0000-0000-000002040000}"/>
    <cellStyle name="Input [yellow] 10 2" xfId="15834" xr:uid="{00000000-0005-0000-0000-000003040000}"/>
    <cellStyle name="Input [yellow] 10 3" xfId="15772" xr:uid="{00000000-0005-0000-0000-000004040000}"/>
    <cellStyle name="Input [yellow] 11" xfId="13364" xr:uid="{00000000-0005-0000-0000-000005040000}"/>
    <cellStyle name="Input [yellow] 12" xfId="15850" xr:uid="{00000000-0005-0000-0000-000006040000}"/>
    <cellStyle name="Input [yellow] 2" xfId="4973" xr:uid="{00000000-0005-0000-0000-000007040000}"/>
    <cellStyle name="Input [yellow] 2 10" xfId="18008" xr:uid="{00000000-0005-0000-0000-000008040000}"/>
    <cellStyle name="Input [yellow] 2 2" xfId="7058" xr:uid="{00000000-0005-0000-0000-000009040000}"/>
    <cellStyle name="Input [yellow] 2 2 2" xfId="8866" xr:uid="{00000000-0005-0000-0000-00000A040000}"/>
    <cellStyle name="Input [yellow] 2 2 2 2" xfId="12731" xr:uid="{00000000-0005-0000-0000-00000B040000}"/>
    <cellStyle name="Input [yellow] 2 2 2 2 2" xfId="15829" xr:uid="{00000000-0005-0000-0000-00000C040000}"/>
    <cellStyle name="Input [yellow] 2 2 2 2 3" xfId="15582" xr:uid="{00000000-0005-0000-0000-00000D040000}"/>
    <cellStyle name="Input [yellow] 2 2 2 3" xfId="14848" xr:uid="{00000000-0005-0000-0000-00000E040000}"/>
    <cellStyle name="Input [yellow] 2 2 2 4" xfId="14838" xr:uid="{00000000-0005-0000-0000-00000F040000}"/>
    <cellStyle name="Input [yellow] 2 2 2 5" xfId="14202" xr:uid="{00000000-0005-0000-0000-000010040000}"/>
    <cellStyle name="Input [yellow] 2 2 3" xfId="12216" xr:uid="{00000000-0005-0000-0000-000011040000}"/>
    <cellStyle name="Input [yellow] 2 2 3 2" xfId="15817" xr:uid="{00000000-0005-0000-0000-000012040000}"/>
    <cellStyle name="Input [yellow] 2 2 3 3" xfId="15291" xr:uid="{00000000-0005-0000-0000-000013040000}"/>
    <cellStyle name="Input [yellow] 2 2 4" xfId="13938" xr:uid="{00000000-0005-0000-0000-000014040000}"/>
    <cellStyle name="Input [yellow] 2 3" xfId="7091" xr:uid="{00000000-0005-0000-0000-000015040000}"/>
    <cellStyle name="Input [yellow] 2 3 2" xfId="8898" xr:uid="{00000000-0005-0000-0000-000016040000}"/>
    <cellStyle name="Input [yellow] 2 3 2 2" xfId="12761" xr:uid="{00000000-0005-0000-0000-000017040000}"/>
    <cellStyle name="Input [yellow] 2 3 2 2 2" xfId="15830" xr:uid="{00000000-0005-0000-0000-000018040000}"/>
    <cellStyle name="Input [yellow] 2 3 2 2 3" xfId="15611" xr:uid="{00000000-0005-0000-0000-000019040000}"/>
    <cellStyle name="Input [yellow] 2 3 2 3" xfId="14857" xr:uid="{00000000-0005-0000-0000-00001A040000}"/>
    <cellStyle name="Input [yellow] 2 3 2 4" xfId="14557" xr:uid="{00000000-0005-0000-0000-00001B040000}"/>
    <cellStyle name="Input [yellow] 2 3 2 5" xfId="14234" xr:uid="{00000000-0005-0000-0000-00001C040000}"/>
    <cellStyle name="Input [yellow] 2 3 3" xfId="12247" xr:uid="{00000000-0005-0000-0000-00001D040000}"/>
    <cellStyle name="Input [yellow] 2 3 3 2" xfId="15818" xr:uid="{00000000-0005-0000-0000-00001E040000}"/>
    <cellStyle name="Input [yellow] 2 3 3 3" xfId="15321" xr:uid="{00000000-0005-0000-0000-00001F040000}"/>
    <cellStyle name="Input [yellow] 2 3 4" xfId="13971" xr:uid="{00000000-0005-0000-0000-000020040000}"/>
    <cellStyle name="Input [yellow] 2 4" xfId="6879" xr:uid="{00000000-0005-0000-0000-000021040000}"/>
    <cellStyle name="Input [yellow] 2 4 2" xfId="8719" xr:uid="{00000000-0005-0000-0000-000022040000}"/>
    <cellStyle name="Input [yellow] 2 4 2 2" xfId="12593" xr:uid="{00000000-0005-0000-0000-000023040000}"/>
    <cellStyle name="Input [yellow] 2 4 2 2 2" xfId="15823" xr:uid="{00000000-0005-0000-0000-000024040000}"/>
    <cellStyle name="Input [yellow] 2 4 2 2 3" xfId="15451" xr:uid="{00000000-0005-0000-0000-000025040000}"/>
    <cellStyle name="Input [yellow] 2 4 2 3" xfId="14790" xr:uid="{00000000-0005-0000-0000-000026040000}"/>
    <cellStyle name="Input [yellow] 2 4 2 4" xfId="14397" xr:uid="{00000000-0005-0000-0000-000027040000}"/>
    <cellStyle name="Input [yellow] 2 4 2 5" xfId="14055" xr:uid="{00000000-0005-0000-0000-000028040000}"/>
    <cellStyle name="Input [yellow] 2 4 3" xfId="12048" xr:uid="{00000000-0005-0000-0000-000029040000}"/>
    <cellStyle name="Input [yellow] 2 4 3 2" xfId="15811" xr:uid="{00000000-0005-0000-0000-00002A040000}"/>
    <cellStyle name="Input [yellow] 2 4 3 3" xfId="15133" xr:uid="{00000000-0005-0000-0000-00002B040000}"/>
    <cellStyle name="Input [yellow] 2 4 4" xfId="13766" xr:uid="{00000000-0005-0000-0000-00002C040000}"/>
    <cellStyle name="Input [yellow] 2 5" xfId="7116" xr:uid="{00000000-0005-0000-0000-00002D040000}"/>
    <cellStyle name="Input [yellow] 2 5 2" xfId="8923" xr:uid="{00000000-0005-0000-0000-00002E040000}"/>
    <cellStyle name="Input [yellow] 2 5 2 2" xfId="12782" xr:uid="{00000000-0005-0000-0000-00002F040000}"/>
    <cellStyle name="Input [yellow] 2 5 2 2 2" xfId="15831" xr:uid="{00000000-0005-0000-0000-000030040000}"/>
    <cellStyle name="Input [yellow] 2 5 2 2 3" xfId="15632" xr:uid="{00000000-0005-0000-0000-000031040000}"/>
    <cellStyle name="Input [yellow] 2 5 2 3" xfId="14867" xr:uid="{00000000-0005-0000-0000-000032040000}"/>
    <cellStyle name="Input [yellow] 2 5 2 4" xfId="14349" xr:uid="{00000000-0005-0000-0000-000033040000}"/>
    <cellStyle name="Input [yellow] 2 5 2 5" xfId="14259" xr:uid="{00000000-0005-0000-0000-000034040000}"/>
    <cellStyle name="Input [yellow] 2 5 3" xfId="12268" xr:uid="{00000000-0005-0000-0000-000035040000}"/>
    <cellStyle name="Input [yellow] 2 5 3 2" xfId="15819" xr:uid="{00000000-0005-0000-0000-000036040000}"/>
    <cellStyle name="Input [yellow] 2 5 3 3" xfId="15342" xr:uid="{00000000-0005-0000-0000-000037040000}"/>
    <cellStyle name="Input [yellow] 2 5 4" xfId="13996" xr:uid="{00000000-0005-0000-0000-000038040000}"/>
    <cellStyle name="Input [yellow] 2 6" xfId="7138" xr:uid="{00000000-0005-0000-0000-000039040000}"/>
    <cellStyle name="Input [yellow] 2 6 2" xfId="8945" xr:uid="{00000000-0005-0000-0000-00003A040000}"/>
    <cellStyle name="Input [yellow] 2 6 2 2" xfId="12802" xr:uid="{00000000-0005-0000-0000-00003B040000}"/>
    <cellStyle name="Input [yellow] 2 6 2 2 2" xfId="15832" xr:uid="{00000000-0005-0000-0000-00003C040000}"/>
    <cellStyle name="Input [yellow] 2 6 2 2 3" xfId="15651" xr:uid="{00000000-0005-0000-0000-00003D040000}"/>
    <cellStyle name="Input [yellow] 2 6 2 3" xfId="14876" xr:uid="{00000000-0005-0000-0000-00003E040000}"/>
    <cellStyle name="Input [yellow] 2 6 2 4" xfId="14686" xr:uid="{00000000-0005-0000-0000-00003F040000}"/>
    <cellStyle name="Input [yellow] 2 6 2 5" xfId="14281" xr:uid="{00000000-0005-0000-0000-000040040000}"/>
    <cellStyle name="Input [yellow] 2 6 3" xfId="12288" xr:uid="{00000000-0005-0000-0000-000041040000}"/>
    <cellStyle name="Input [yellow] 2 6 3 2" xfId="15820" xr:uid="{00000000-0005-0000-0000-000042040000}"/>
    <cellStyle name="Input [yellow] 2 6 3 3" xfId="15361" xr:uid="{00000000-0005-0000-0000-000043040000}"/>
    <cellStyle name="Input [yellow] 2 6 4" xfId="14018" xr:uid="{00000000-0005-0000-0000-000044040000}"/>
    <cellStyle name="Input [yellow] 2 7" xfId="8709" xr:uid="{00000000-0005-0000-0000-000045040000}"/>
    <cellStyle name="Input [yellow] 2 7 2" xfId="12586" xr:uid="{00000000-0005-0000-0000-000046040000}"/>
    <cellStyle name="Input [yellow] 2 7 2 2" xfId="15822" xr:uid="{00000000-0005-0000-0000-000047040000}"/>
    <cellStyle name="Input [yellow] 2 7 2 3" xfId="15445" xr:uid="{00000000-0005-0000-0000-000048040000}"/>
    <cellStyle name="Input [yellow] 2 7 3" xfId="14783" xr:uid="{00000000-0005-0000-0000-000049040000}"/>
    <cellStyle name="Input [yellow] 2 7 4" xfId="14597" xr:uid="{00000000-0005-0000-0000-00004A040000}"/>
    <cellStyle name="Input [yellow] 2 7 5" xfId="14045" xr:uid="{00000000-0005-0000-0000-00004B040000}"/>
    <cellStyle name="Input [yellow] 2 8" xfId="11803" xr:uid="{00000000-0005-0000-0000-00004C040000}"/>
    <cellStyle name="Input [yellow] 2 8 2" xfId="15810" xr:uid="{00000000-0005-0000-0000-00004D040000}"/>
    <cellStyle name="Input [yellow] 2 8 3" xfId="15088" xr:uid="{00000000-0005-0000-0000-00004E040000}"/>
    <cellStyle name="Input [yellow] 2 9" xfId="13729" xr:uid="{00000000-0005-0000-0000-00004F040000}"/>
    <cellStyle name="Input [yellow] 3" xfId="6885" xr:uid="{00000000-0005-0000-0000-000050040000}"/>
    <cellStyle name="Input [yellow] 3 2" xfId="8724" xr:uid="{00000000-0005-0000-0000-000051040000}"/>
    <cellStyle name="Input [yellow] 3 2 2" xfId="12598" xr:uid="{00000000-0005-0000-0000-000052040000}"/>
    <cellStyle name="Input [yellow] 3 2 2 2" xfId="15824" xr:uid="{00000000-0005-0000-0000-000053040000}"/>
    <cellStyle name="Input [yellow] 3 2 2 3" xfId="15455" xr:uid="{00000000-0005-0000-0000-000054040000}"/>
    <cellStyle name="Input [yellow] 3 2 3" xfId="14792" xr:uid="{00000000-0005-0000-0000-000055040000}"/>
    <cellStyle name="Input [yellow] 3 2 4" xfId="14705" xr:uid="{00000000-0005-0000-0000-000056040000}"/>
    <cellStyle name="Input [yellow] 3 2 5" xfId="14060" xr:uid="{00000000-0005-0000-0000-000057040000}"/>
    <cellStyle name="Input [yellow] 3 3" xfId="12054" xr:uid="{00000000-0005-0000-0000-000058040000}"/>
    <cellStyle name="Input [yellow] 3 3 2" xfId="15812" xr:uid="{00000000-0005-0000-0000-000059040000}"/>
    <cellStyle name="Input [yellow] 3 3 3" xfId="15138" xr:uid="{00000000-0005-0000-0000-00005A040000}"/>
    <cellStyle name="Input [yellow] 3 4" xfId="13772" xr:uid="{00000000-0005-0000-0000-00005B040000}"/>
    <cellStyle name="Input [yellow] 4" xfId="7043" xr:uid="{00000000-0005-0000-0000-00005C040000}"/>
    <cellStyle name="Input [yellow] 4 2" xfId="8854" xr:uid="{00000000-0005-0000-0000-00005D040000}"/>
    <cellStyle name="Input [yellow] 4 2 2" xfId="12719" xr:uid="{00000000-0005-0000-0000-00005E040000}"/>
    <cellStyle name="Input [yellow] 4 2 2 2" xfId="15828" xr:uid="{00000000-0005-0000-0000-00005F040000}"/>
    <cellStyle name="Input [yellow] 4 2 2 3" xfId="15571" xr:uid="{00000000-0005-0000-0000-000060040000}"/>
    <cellStyle name="Input [yellow] 4 2 3" xfId="14843" xr:uid="{00000000-0005-0000-0000-000061040000}"/>
    <cellStyle name="Input [yellow] 4 2 4" xfId="14875" xr:uid="{00000000-0005-0000-0000-000062040000}"/>
    <cellStyle name="Input [yellow] 4 2 5" xfId="14190" xr:uid="{00000000-0005-0000-0000-000063040000}"/>
    <cellStyle name="Input [yellow] 4 3" xfId="12201" xr:uid="{00000000-0005-0000-0000-000064040000}"/>
    <cellStyle name="Input [yellow] 4 3 2" xfId="15816" xr:uid="{00000000-0005-0000-0000-000065040000}"/>
    <cellStyle name="Input [yellow] 4 3 3" xfId="15278" xr:uid="{00000000-0005-0000-0000-000066040000}"/>
    <cellStyle name="Input [yellow] 4 4" xfId="13924" xr:uid="{00000000-0005-0000-0000-000067040000}"/>
    <cellStyle name="Input [yellow] 5" xfId="7016" xr:uid="{00000000-0005-0000-0000-000068040000}"/>
    <cellStyle name="Input [yellow] 5 2" xfId="8831" xr:uid="{00000000-0005-0000-0000-000069040000}"/>
    <cellStyle name="Input [yellow] 5 2 2" xfId="12698" xr:uid="{00000000-0005-0000-0000-00006A040000}"/>
    <cellStyle name="Input [yellow] 5 2 2 2" xfId="15826" xr:uid="{00000000-0005-0000-0000-00006B040000}"/>
    <cellStyle name="Input [yellow] 5 2 2 3" xfId="15551" xr:uid="{00000000-0005-0000-0000-00006C040000}"/>
    <cellStyle name="Input [yellow] 5 2 3" xfId="14833" xr:uid="{00000000-0005-0000-0000-00006D040000}"/>
    <cellStyle name="Input [yellow] 5 2 4" xfId="14300" xr:uid="{00000000-0005-0000-0000-00006E040000}"/>
    <cellStyle name="Input [yellow] 5 2 5" xfId="14167" xr:uid="{00000000-0005-0000-0000-00006F040000}"/>
    <cellStyle name="Input [yellow] 5 3" xfId="12177" xr:uid="{00000000-0005-0000-0000-000070040000}"/>
    <cellStyle name="Input [yellow] 5 3 2" xfId="15814" xr:uid="{00000000-0005-0000-0000-000071040000}"/>
    <cellStyle name="Input [yellow] 5 3 3" xfId="15254" xr:uid="{00000000-0005-0000-0000-000072040000}"/>
    <cellStyle name="Input [yellow] 5 4" xfId="13898" xr:uid="{00000000-0005-0000-0000-000073040000}"/>
    <cellStyle name="Input [yellow] 6" xfId="7025" xr:uid="{00000000-0005-0000-0000-000074040000}"/>
    <cellStyle name="Input [yellow] 6 2" xfId="8839" xr:uid="{00000000-0005-0000-0000-000075040000}"/>
    <cellStyle name="Input [yellow] 6 2 2" xfId="12705" xr:uid="{00000000-0005-0000-0000-000076040000}"/>
    <cellStyle name="Input [yellow] 6 2 2 2" xfId="15827" xr:uid="{00000000-0005-0000-0000-000077040000}"/>
    <cellStyle name="Input [yellow] 6 2 2 3" xfId="15558" xr:uid="{00000000-0005-0000-0000-000078040000}"/>
    <cellStyle name="Input [yellow] 6 2 3" xfId="14836" xr:uid="{00000000-0005-0000-0000-000079040000}"/>
    <cellStyle name="Input [yellow] 6 2 4" xfId="14565" xr:uid="{00000000-0005-0000-0000-00007A040000}"/>
    <cellStyle name="Input [yellow] 6 2 5" xfId="14175" xr:uid="{00000000-0005-0000-0000-00007B040000}"/>
    <cellStyle name="Input [yellow] 6 3" xfId="12185" xr:uid="{00000000-0005-0000-0000-00007C040000}"/>
    <cellStyle name="Input [yellow] 6 3 2" xfId="15815" xr:uid="{00000000-0005-0000-0000-00007D040000}"/>
    <cellStyle name="Input [yellow] 6 3 3" xfId="15262" xr:uid="{00000000-0005-0000-0000-00007E040000}"/>
    <cellStyle name="Input [yellow] 6 4" xfId="13906" xr:uid="{00000000-0005-0000-0000-00007F040000}"/>
    <cellStyle name="Input [yellow] 7" xfId="6920" xr:uid="{00000000-0005-0000-0000-000080040000}"/>
    <cellStyle name="Input [yellow] 7 2" xfId="8752" xr:uid="{00000000-0005-0000-0000-000081040000}"/>
    <cellStyle name="Input [yellow] 7 2 2" xfId="12623" xr:uid="{00000000-0005-0000-0000-000082040000}"/>
    <cellStyle name="Input [yellow] 7 2 2 2" xfId="15825" xr:uid="{00000000-0005-0000-0000-000083040000}"/>
    <cellStyle name="Input [yellow] 7 2 2 3" xfId="15479" xr:uid="{00000000-0005-0000-0000-000084040000}"/>
    <cellStyle name="Input [yellow] 7 2 3" xfId="14804" xr:uid="{00000000-0005-0000-0000-000085040000}"/>
    <cellStyle name="Input [yellow] 7 2 4" xfId="14678" xr:uid="{00000000-0005-0000-0000-000086040000}"/>
    <cellStyle name="Input [yellow] 7 2 5" xfId="14088" xr:uid="{00000000-0005-0000-0000-000087040000}"/>
    <cellStyle name="Input [yellow] 7 3" xfId="12085" xr:uid="{00000000-0005-0000-0000-000088040000}"/>
    <cellStyle name="Input [yellow] 7 3 2" xfId="15813" xr:uid="{00000000-0005-0000-0000-000089040000}"/>
    <cellStyle name="Input [yellow] 7 3 3" xfId="15165" xr:uid="{00000000-0005-0000-0000-00008A040000}"/>
    <cellStyle name="Input [yellow] 7 4" xfId="13805" xr:uid="{00000000-0005-0000-0000-00008B040000}"/>
    <cellStyle name="Input [yellow] 8" xfId="8705" xr:uid="{00000000-0005-0000-0000-00008C040000}"/>
    <cellStyle name="Input [yellow] 8 2" xfId="12584" xr:uid="{00000000-0005-0000-0000-00008D040000}"/>
    <cellStyle name="Input [yellow] 8 2 2" xfId="15821" xr:uid="{00000000-0005-0000-0000-00008E040000}"/>
    <cellStyle name="Input [yellow] 8 2 3" xfId="15443" xr:uid="{00000000-0005-0000-0000-00008F040000}"/>
    <cellStyle name="Input [yellow] 8 3" xfId="14779" xr:uid="{00000000-0005-0000-0000-000090040000}"/>
    <cellStyle name="Input [yellow] 8 4" xfId="14717" xr:uid="{00000000-0005-0000-0000-000091040000}"/>
    <cellStyle name="Input [yellow] 8 5" xfId="14041" xr:uid="{00000000-0005-0000-0000-000092040000}"/>
    <cellStyle name="Input [yellow] 9" xfId="8963" xr:uid="{00000000-0005-0000-0000-000093040000}"/>
    <cellStyle name="Input [yellow] 9 2" xfId="14648" xr:uid="{00000000-0005-0000-0000-000094040000}"/>
    <cellStyle name="Input [yellow] 9 3" xfId="14883" xr:uid="{00000000-0005-0000-0000-000095040000}"/>
    <cellStyle name="Input 10" xfId="7003" xr:uid="{00000000-0005-0000-0000-000096040000}"/>
    <cellStyle name="Input 10 2" xfId="8822" xr:uid="{00000000-0005-0000-0000-000097040000}"/>
    <cellStyle name="Input 10 2 2" xfId="12690" xr:uid="{00000000-0005-0000-0000-000098040000}"/>
    <cellStyle name="Input 10 2 2 2" xfId="15544" xr:uid="{00000000-0005-0000-0000-000099040000}"/>
    <cellStyle name="Input 10 2 3" xfId="11551" xr:uid="{00000000-0005-0000-0000-00009A040000}"/>
    <cellStyle name="Input 10 2 4" xfId="14328" xr:uid="{00000000-0005-0000-0000-00009B040000}"/>
    <cellStyle name="Input 10 2 5" xfId="14158" xr:uid="{00000000-0005-0000-0000-00009C040000}"/>
    <cellStyle name="Input 10 3" xfId="12165" xr:uid="{00000000-0005-0000-0000-00009D040000}"/>
    <cellStyle name="Input 10 3 2" xfId="15243" xr:uid="{00000000-0005-0000-0000-00009E040000}"/>
    <cellStyle name="Input 10 4" xfId="13150" xr:uid="{00000000-0005-0000-0000-00009F040000}"/>
    <cellStyle name="Input 10 5" xfId="14494" xr:uid="{00000000-0005-0000-0000-0000A0040000}"/>
    <cellStyle name="Input 10 6" xfId="13885" xr:uid="{00000000-0005-0000-0000-0000A1040000}"/>
    <cellStyle name="Input 11" xfId="7021" xr:uid="{00000000-0005-0000-0000-0000A2040000}"/>
    <cellStyle name="Input 11 2" xfId="8836" xr:uid="{00000000-0005-0000-0000-0000A3040000}"/>
    <cellStyle name="Input 11 2 2" xfId="12702" xr:uid="{00000000-0005-0000-0000-0000A4040000}"/>
    <cellStyle name="Input 11 2 2 2" xfId="15555" xr:uid="{00000000-0005-0000-0000-0000A5040000}"/>
    <cellStyle name="Input 11 2 3" xfId="11705" xr:uid="{00000000-0005-0000-0000-0000A6040000}"/>
    <cellStyle name="Input 11 2 4" xfId="14568" xr:uid="{00000000-0005-0000-0000-0000A7040000}"/>
    <cellStyle name="Input 11 2 5" xfId="14172" xr:uid="{00000000-0005-0000-0000-0000A8040000}"/>
    <cellStyle name="Input 11 3" xfId="12181" xr:uid="{00000000-0005-0000-0000-0000A9040000}"/>
    <cellStyle name="Input 11 3 2" xfId="15258" xr:uid="{00000000-0005-0000-0000-0000AA040000}"/>
    <cellStyle name="Input 11 4" xfId="13243" xr:uid="{00000000-0005-0000-0000-0000AB040000}"/>
    <cellStyle name="Input 11 5" xfId="14751" xr:uid="{00000000-0005-0000-0000-0000AC040000}"/>
    <cellStyle name="Input 11 6" xfId="13903" xr:uid="{00000000-0005-0000-0000-0000AD040000}"/>
    <cellStyle name="Input 12" xfId="6999" xr:uid="{00000000-0005-0000-0000-0000AE040000}"/>
    <cellStyle name="Input 12 2" xfId="8819" xr:uid="{00000000-0005-0000-0000-0000AF040000}"/>
    <cellStyle name="Input 12 2 2" xfId="12687" xr:uid="{00000000-0005-0000-0000-0000B0040000}"/>
    <cellStyle name="Input 12 2 2 2" xfId="15541" xr:uid="{00000000-0005-0000-0000-0000B1040000}"/>
    <cellStyle name="Input 12 2 3" xfId="11797" xr:uid="{00000000-0005-0000-0000-0000B2040000}"/>
    <cellStyle name="Input 12 2 4" xfId="14330" xr:uid="{00000000-0005-0000-0000-0000B3040000}"/>
    <cellStyle name="Input 12 2 5" xfId="14155" xr:uid="{00000000-0005-0000-0000-0000B4040000}"/>
    <cellStyle name="Input 12 3" xfId="12161" xr:uid="{00000000-0005-0000-0000-0000B5040000}"/>
    <cellStyle name="Input 12 3 2" xfId="15239" xr:uid="{00000000-0005-0000-0000-0000B6040000}"/>
    <cellStyle name="Input 12 4" xfId="11214" xr:uid="{00000000-0005-0000-0000-0000B7040000}"/>
    <cellStyle name="Input 12 5" xfId="14498" xr:uid="{00000000-0005-0000-0000-0000B8040000}"/>
    <cellStyle name="Input 12 6" xfId="13881" xr:uid="{00000000-0005-0000-0000-0000B9040000}"/>
    <cellStyle name="Input 13" xfId="6921" xr:uid="{00000000-0005-0000-0000-0000BA040000}"/>
    <cellStyle name="Input 13 2" xfId="8753" xr:uid="{00000000-0005-0000-0000-0000BB040000}"/>
    <cellStyle name="Input 13 2 2" xfId="12624" xr:uid="{00000000-0005-0000-0000-0000BC040000}"/>
    <cellStyle name="Input 13 2 2 2" xfId="15480" xr:uid="{00000000-0005-0000-0000-0000BD040000}"/>
    <cellStyle name="Input 13 2 3" xfId="13213" xr:uid="{00000000-0005-0000-0000-0000BE040000}"/>
    <cellStyle name="Input 13 2 4" xfId="14596" xr:uid="{00000000-0005-0000-0000-0000BF040000}"/>
    <cellStyle name="Input 13 2 5" xfId="14089" xr:uid="{00000000-0005-0000-0000-0000C0040000}"/>
    <cellStyle name="Input 13 3" xfId="12086" xr:uid="{00000000-0005-0000-0000-0000C1040000}"/>
    <cellStyle name="Input 13 3 2" xfId="15166" xr:uid="{00000000-0005-0000-0000-0000C2040000}"/>
    <cellStyle name="Input 13 4" xfId="13099" xr:uid="{00000000-0005-0000-0000-0000C3040000}"/>
    <cellStyle name="Input 13 5" xfId="14773" xr:uid="{00000000-0005-0000-0000-0000C4040000}"/>
    <cellStyle name="Input 13 6" xfId="13806" xr:uid="{00000000-0005-0000-0000-0000C5040000}"/>
    <cellStyle name="Input 14" xfId="7002" xr:uid="{00000000-0005-0000-0000-0000C6040000}"/>
    <cellStyle name="Input 14 2" xfId="8821" xr:uid="{00000000-0005-0000-0000-0000C7040000}"/>
    <cellStyle name="Input 14 2 2" xfId="12689" xr:uid="{00000000-0005-0000-0000-0000C8040000}"/>
    <cellStyle name="Input 14 2 2 2" xfId="15543" xr:uid="{00000000-0005-0000-0000-0000C9040000}"/>
    <cellStyle name="Input 14 2 3" xfId="11768" xr:uid="{00000000-0005-0000-0000-0000CA040000}"/>
    <cellStyle name="Input 14 2 4" xfId="14329" xr:uid="{00000000-0005-0000-0000-0000CB040000}"/>
    <cellStyle name="Input 14 2 5" xfId="14157" xr:uid="{00000000-0005-0000-0000-0000CC040000}"/>
    <cellStyle name="Input 14 3" xfId="12164" xr:uid="{00000000-0005-0000-0000-0000CD040000}"/>
    <cellStyle name="Input 14 3 2" xfId="15242" xr:uid="{00000000-0005-0000-0000-0000CE040000}"/>
    <cellStyle name="Input 14 4" xfId="13049" xr:uid="{00000000-0005-0000-0000-0000CF040000}"/>
    <cellStyle name="Input 14 5" xfId="14495" xr:uid="{00000000-0005-0000-0000-0000D0040000}"/>
    <cellStyle name="Input 14 6" xfId="13884" xr:uid="{00000000-0005-0000-0000-0000D1040000}"/>
    <cellStyle name="Input 15" xfId="6996" xr:uid="{00000000-0005-0000-0000-0000D2040000}"/>
    <cellStyle name="Input 15 2" xfId="8816" xr:uid="{00000000-0005-0000-0000-0000D3040000}"/>
    <cellStyle name="Input 15 2 2" xfId="12684" xr:uid="{00000000-0005-0000-0000-0000D4040000}"/>
    <cellStyle name="Input 15 2 2 2" xfId="15538" xr:uid="{00000000-0005-0000-0000-0000D5040000}"/>
    <cellStyle name="Input 15 2 3" xfId="11509" xr:uid="{00000000-0005-0000-0000-0000D6040000}"/>
    <cellStyle name="Input 15 2 4" xfId="14359" xr:uid="{00000000-0005-0000-0000-0000D7040000}"/>
    <cellStyle name="Input 15 2 5" xfId="14152" xr:uid="{00000000-0005-0000-0000-0000D8040000}"/>
    <cellStyle name="Input 15 3" xfId="12158" xr:uid="{00000000-0005-0000-0000-0000D9040000}"/>
    <cellStyle name="Input 15 3 2" xfId="15236" xr:uid="{00000000-0005-0000-0000-0000DA040000}"/>
    <cellStyle name="Input 15 4" xfId="13050" xr:uid="{00000000-0005-0000-0000-0000DB040000}"/>
    <cellStyle name="Input 15 5" xfId="14313" xr:uid="{00000000-0005-0000-0000-0000DC040000}"/>
    <cellStyle name="Input 15 6" xfId="13878" xr:uid="{00000000-0005-0000-0000-0000DD040000}"/>
    <cellStyle name="Input 16" xfId="7047" xr:uid="{00000000-0005-0000-0000-0000DE040000}"/>
    <cellStyle name="Input 16 2" xfId="12205" xr:uid="{00000000-0005-0000-0000-0000DF040000}"/>
    <cellStyle name="Input 16 2 2" xfId="15281" xr:uid="{00000000-0005-0000-0000-0000E0040000}"/>
    <cellStyle name="Input 16 3" xfId="12349" xr:uid="{00000000-0005-0000-0000-0000E1040000}"/>
    <cellStyle name="Input 16 4" xfId="14479" xr:uid="{00000000-0005-0000-0000-0000E2040000}"/>
    <cellStyle name="Input 16 5" xfId="13928" xr:uid="{00000000-0005-0000-0000-0000E3040000}"/>
    <cellStyle name="Input 17" xfId="6976" xr:uid="{00000000-0005-0000-0000-0000E4040000}"/>
    <cellStyle name="Input 17 2" xfId="12139" xr:uid="{00000000-0005-0000-0000-0000E5040000}"/>
    <cellStyle name="Input 17 2 2" xfId="15218" xr:uid="{00000000-0005-0000-0000-0000E6040000}"/>
    <cellStyle name="Input 17 3" xfId="13035" xr:uid="{00000000-0005-0000-0000-0000E7040000}"/>
    <cellStyle name="Input 17 4" xfId="14394" xr:uid="{00000000-0005-0000-0000-0000E8040000}"/>
    <cellStyle name="Input 17 5" xfId="13858" xr:uid="{00000000-0005-0000-0000-0000E9040000}"/>
    <cellStyle name="Input 18" xfId="8708" xr:uid="{00000000-0005-0000-0000-0000EA040000}"/>
    <cellStyle name="Input 18 2" xfId="12585" xr:uid="{00000000-0005-0000-0000-0000EB040000}"/>
    <cellStyle name="Input 18 2 2" xfId="15444" xr:uid="{00000000-0005-0000-0000-0000EC040000}"/>
    <cellStyle name="Input 18 3" xfId="12916" xr:uid="{00000000-0005-0000-0000-0000ED040000}"/>
    <cellStyle name="Input 18 4" xfId="15685" xr:uid="{00000000-0005-0000-0000-0000EE040000}"/>
    <cellStyle name="Input 18 5" xfId="14044" xr:uid="{00000000-0005-0000-0000-0000EF040000}"/>
    <cellStyle name="Input 19" xfId="13189" xr:uid="{00000000-0005-0000-0000-0000F0040000}"/>
    <cellStyle name="Input 19 2" xfId="11070" xr:uid="{00000000-0005-0000-0000-0000F1040000}"/>
    <cellStyle name="Input 2" xfId="4974" xr:uid="{00000000-0005-0000-0000-0000F2040000}"/>
    <cellStyle name="Input 2 10" xfId="14306" xr:uid="{00000000-0005-0000-0000-0000F3040000}"/>
    <cellStyle name="Input 2 11" xfId="13730" xr:uid="{00000000-0005-0000-0000-0000F4040000}"/>
    <cellStyle name="Input 2 12" xfId="18009" xr:uid="{00000000-0005-0000-0000-0000F5040000}"/>
    <cellStyle name="Input 2 2" xfId="7059" xr:uid="{00000000-0005-0000-0000-0000F6040000}"/>
    <cellStyle name="Input 2 2 2" xfId="8867" xr:uid="{00000000-0005-0000-0000-0000F7040000}"/>
    <cellStyle name="Input 2 2 2 2" xfId="12732" xr:uid="{00000000-0005-0000-0000-0000F8040000}"/>
    <cellStyle name="Input 2 2 2 2 2" xfId="15583" xr:uid="{00000000-0005-0000-0000-0000F9040000}"/>
    <cellStyle name="Input 2 2 2 3" xfId="11651" xr:uid="{00000000-0005-0000-0000-0000FA040000}"/>
    <cellStyle name="Input 2 2 2 4" xfId="14663" xr:uid="{00000000-0005-0000-0000-0000FB040000}"/>
    <cellStyle name="Input 2 2 2 5" xfId="14203" xr:uid="{00000000-0005-0000-0000-0000FC040000}"/>
    <cellStyle name="Input 2 2 3" xfId="12217" xr:uid="{00000000-0005-0000-0000-0000FD040000}"/>
    <cellStyle name="Input 2 2 3 2" xfId="15292" xr:uid="{00000000-0005-0000-0000-0000FE040000}"/>
    <cellStyle name="Input 2 2 4" xfId="11227" xr:uid="{00000000-0005-0000-0000-0000FF040000}"/>
    <cellStyle name="Input 2 2 5" xfId="14343" xr:uid="{00000000-0005-0000-0000-000000050000}"/>
    <cellStyle name="Input 2 2 6" xfId="13939" xr:uid="{00000000-0005-0000-0000-000001050000}"/>
    <cellStyle name="Input 2 3" xfId="7092" xr:uid="{00000000-0005-0000-0000-000002050000}"/>
    <cellStyle name="Input 2 3 2" xfId="8899" xr:uid="{00000000-0005-0000-0000-000003050000}"/>
    <cellStyle name="Input 2 3 2 2" xfId="12762" xr:uid="{00000000-0005-0000-0000-000004050000}"/>
    <cellStyle name="Input 2 3 2 2 2" xfId="15612" xr:uid="{00000000-0005-0000-0000-000005050000}"/>
    <cellStyle name="Input 2 3 2 3" xfId="11979" xr:uid="{00000000-0005-0000-0000-000006050000}"/>
    <cellStyle name="Input 2 3 2 4" xfId="14351" xr:uid="{00000000-0005-0000-0000-000007050000}"/>
    <cellStyle name="Input 2 3 2 5" xfId="14235" xr:uid="{00000000-0005-0000-0000-000008050000}"/>
    <cellStyle name="Input 2 3 3" xfId="12248" xr:uid="{00000000-0005-0000-0000-000009050000}"/>
    <cellStyle name="Input 2 3 3 2" xfId="15322" xr:uid="{00000000-0005-0000-0000-00000A050000}"/>
    <cellStyle name="Input 2 3 4" xfId="11250" xr:uid="{00000000-0005-0000-0000-00000B050000}"/>
    <cellStyle name="Input 2 3 5" xfId="14731" xr:uid="{00000000-0005-0000-0000-00000C050000}"/>
    <cellStyle name="Input 2 3 6" xfId="13972" xr:uid="{00000000-0005-0000-0000-00000D050000}"/>
    <cellStyle name="Input 2 4" xfId="6965" xr:uid="{00000000-0005-0000-0000-00000E050000}"/>
    <cellStyle name="Input 2 4 2" xfId="8792" xr:uid="{00000000-0005-0000-0000-00000F050000}"/>
    <cellStyle name="Input 2 4 2 2" xfId="12661" xr:uid="{00000000-0005-0000-0000-000010050000}"/>
    <cellStyle name="Input 2 4 2 2 2" xfId="15516" xr:uid="{00000000-0005-0000-0000-000011050000}"/>
    <cellStyle name="Input 2 4 2 3" xfId="11785" xr:uid="{00000000-0005-0000-0000-000012050000}"/>
    <cellStyle name="Input 2 4 2 4" xfId="14338" xr:uid="{00000000-0005-0000-0000-000013050000}"/>
    <cellStyle name="Input 2 4 2 5" xfId="14128" xr:uid="{00000000-0005-0000-0000-000014050000}"/>
    <cellStyle name="Input 2 4 3" xfId="12128" xr:uid="{00000000-0005-0000-0000-000015050000}"/>
    <cellStyle name="Input 2 4 3 2" xfId="15207" xr:uid="{00000000-0005-0000-0000-000016050000}"/>
    <cellStyle name="Input 2 4 4" xfId="12025" xr:uid="{00000000-0005-0000-0000-000017050000}"/>
    <cellStyle name="Input 2 4 5" xfId="14392" xr:uid="{00000000-0005-0000-0000-000018050000}"/>
    <cellStyle name="Input 2 4 6" xfId="13847" xr:uid="{00000000-0005-0000-0000-000019050000}"/>
    <cellStyle name="Input 2 5" xfId="7117" xr:uid="{00000000-0005-0000-0000-00001A050000}"/>
    <cellStyle name="Input 2 5 2" xfId="8924" xr:uid="{00000000-0005-0000-0000-00001B050000}"/>
    <cellStyle name="Input 2 5 2 2" xfId="12783" xr:uid="{00000000-0005-0000-0000-00001C050000}"/>
    <cellStyle name="Input 2 5 2 2 2" xfId="15633" xr:uid="{00000000-0005-0000-0000-00001D050000}"/>
    <cellStyle name="Input 2 5 2 3" xfId="11510" xr:uid="{00000000-0005-0000-0000-00001E050000}"/>
    <cellStyle name="Input 2 5 2 4" xfId="14555" xr:uid="{00000000-0005-0000-0000-00001F050000}"/>
    <cellStyle name="Input 2 5 2 5" xfId="14260" xr:uid="{00000000-0005-0000-0000-000020050000}"/>
    <cellStyle name="Input 2 5 3" xfId="12269" xr:uid="{00000000-0005-0000-0000-000021050000}"/>
    <cellStyle name="Input 2 5 3 2" xfId="15343" xr:uid="{00000000-0005-0000-0000-000022050000}"/>
    <cellStyle name="Input 2 5 4" xfId="12986" xr:uid="{00000000-0005-0000-0000-000023050000}"/>
    <cellStyle name="Input 2 5 5" xfId="14446" xr:uid="{00000000-0005-0000-0000-000024050000}"/>
    <cellStyle name="Input 2 5 6" xfId="13997" xr:uid="{00000000-0005-0000-0000-000025050000}"/>
    <cellStyle name="Input 2 6" xfId="7139" xr:uid="{00000000-0005-0000-0000-000026050000}"/>
    <cellStyle name="Input 2 6 2" xfId="8946" xr:uid="{00000000-0005-0000-0000-000027050000}"/>
    <cellStyle name="Input 2 6 2 2" xfId="12803" xr:uid="{00000000-0005-0000-0000-000028050000}"/>
    <cellStyle name="Input 2 6 2 2 2" xfId="15652" xr:uid="{00000000-0005-0000-0000-000029050000}"/>
    <cellStyle name="Input 2 6 2 3" xfId="11918" xr:uid="{00000000-0005-0000-0000-00002A050000}"/>
    <cellStyle name="Input 2 6 2 4" xfId="14789" xr:uid="{00000000-0005-0000-0000-00002B050000}"/>
    <cellStyle name="Input 2 6 2 5" xfId="14282" xr:uid="{00000000-0005-0000-0000-00002C050000}"/>
    <cellStyle name="Input 2 6 3" xfId="12289" xr:uid="{00000000-0005-0000-0000-00002D050000}"/>
    <cellStyle name="Input 2 6 3 2" xfId="15362" xr:uid="{00000000-0005-0000-0000-00002E050000}"/>
    <cellStyle name="Input 2 6 4" xfId="12345" xr:uid="{00000000-0005-0000-0000-00002F050000}"/>
    <cellStyle name="Input 2 6 5" xfId="14433" xr:uid="{00000000-0005-0000-0000-000030050000}"/>
    <cellStyle name="Input 2 6 6" xfId="14019" xr:uid="{00000000-0005-0000-0000-000031050000}"/>
    <cellStyle name="Input 2 7" xfId="6960" xr:uid="{00000000-0005-0000-0000-000032050000}"/>
    <cellStyle name="Input 2 7 2" xfId="12123" xr:uid="{00000000-0005-0000-0000-000033050000}"/>
    <cellStyle name="Input 2 7 2 2" xfId="15203" xr:uid="{00000000-0005-0000-0000-000034050000}"/>
    <cellStyle name="Input 2 7 3" xfId="11980" xr:uid="{00000000-0005-0000-0000-000035050000}"/>
    <cellStyle name="Input 2 7 4" xfId="14764" xr:uid="{00000000-0005-0000-0000-000036050000}"/>
    <cellStyle name="Input 2 7 5" xfId="13842" xr:uid="{00000000-0005-0000-0000-000037050000}"/>
    <cellStyle name="Input 2 8" xfId="11804" xr:uid="{00000000-0005-0000-0000-000038050000}"/>
    <cellStyle name="Input 2 8 2" xfId="11101" xr:uid="{00000000-0005-0000-0000-000039050000}"/>
    <cellStyle name="Input 2 9" xfId="11962" xr:uid="{00000000-0005-0000-0000-00003A050000}"/>
    <cellStyle name="Input 20" xfId="11041" xr:uid="{00000000-0005-0000-0000-00003B050000}"/>
    <cellStyle name="Input 20 2" xfId="14927" xr:uid="{00000000-0005-0000-0000-00003C050000}"/>
    <cellStyle name="Input 21" xfId="11618" xr:uid="{00000000-0005-0000-0000-00003D050000}"/>
    <cellStyle name="Input 21 2" xfId="15050" xr:uid="{00000000-0005-0000-0000-00003E050000}"/>
    <cellStyle name="Input 22" xfId="12557" xr:uid="{00000000-0005-0000-0000-00003F050000}"/>
    <cellStyle name="Input 23" xfId="14589" xr:uid="{00000000-0005-0000-0000-000040050000}"/>
    <cellStyle name="Input 24" xfId="13370" xr:uid="{00000000-0005-0000-0000-000041050000}"/>
    <cellStyle name="Input 25" xfId="15864" xr:uid="{00000000-0005-0000-0000-000042050000}"/>
    <cellStyle name="Input 3" xfId="4987" xr:uid="{00000000-0005-0000-0000-000043050000}"/>
    <cellStyle name="Input 3 10" xfId="14577" xr:uid="{00000000-0005-0000-0000-000044050000}"/>
    <cellStyle name="Input 3 11" xfId="13742" xr:uid="{00000000-0005-0000-0000-000045050000}"/>
    <cellStyle name="Input 3 12" xfId="18022" xr:uid="{00000000-0005-0000-0000-000046050000}"/>
    <cellStyle name="Input 3 2" xfId="7072" xr:uid="{00000000-0005-0000-0000-000047050000}"/>
    <cellStyle name="Input 3 2 2" xfId="8880" xr:uid="{00000000-0005-0000-0000-000048050000}"/>
    <cellStyle name="Input 3 2 2 2" xfId="12744" xr:uid="{00000000-0005-0000-0000-000049050000}"/>
    <cellStyle name="Input 3 2 2 2 2" xfId="15594" xr:uid="{00000000-0005-0000-0000-00004A050000}"/>
    <cellStyle name="Input 3 2 2 3" xfId="11645" xr:uid="{00000000-0005-0000-0000-00004B050000}"/>
    <cellStyle name="Input 3 2 2 4" xfId="14691" xr:uid="{00000000-0005-0000-0000-00004C050000}"/>
    <cellStyle name="Input 3 2 2 5" xfId="14216" xr:uid="{00000000-0005-0000-0000-00004D050000}"/>
    <cellStyle name="Input 3 2 3" xfId="12229" xr:uid="{00000000-0005-0000-0000-00004E050000}"/>
    <cellStyle name="Input 3 2 3 2" xfId="15303" xr:uid="{00000000-0005-0000-0000-00004F050000}"/>
    <cellStyle name="Input 3 2 4" xfId="11590" xr:uid="{00000000-0005-0000-0000-000050050000}"/>
    <cellStyle name="Input 3 2 5" xfId="14467" xr:uid="{00000000-0005-0000-0000-000051050000}"/>
    <cellStyle name="Input 3 2 6" xfId="13952" xr:uid="{00000000-0005-0000-0000-000052050000}"/>
    <cellStyle name="Input 3 3" xfId="7105" xr:uid="{00000000-0005-0000-0000-000053050000}"/>
    <cellStyle name="Input 3 3 2" xfId="8912" xr:uid="{00000000-0005-0000-0000-000054050000}"/>
    <cellStyle name="Input 3 3 2 2" xfId="12773" xr:uid="{00000000-0005-0000-0000-000055050000}"/>
    <cellStyle name="Input 3 3 2 2 2" xfId="15623" xr:uid="{00000000-0005-0000-0000-000056050000}"/>
    <cellStyle name="Input 3 3 2 3" xfId="11924" xr:uid="{00000000-0005-0000-0000-000057050000}"/>
    <cellStyle name="Input 3 3 2 4" xfId="14638" xr:uid="{00000000-0005-0000-0000-000058050000}"/>
    <cellStyle name="Input 3 3 2 5" xfId="14248" xr:uid="{00000000-0005-0000-0000-000059050000}"/>
    <cellStyle name="Input 3 3 3" xfId="12259" xr:uid="{00000000-0005-0000-0000-00005A050000}"/>
    <cellStyle name="Input 3 3 3 2" xfId="15333" xr:uid="{00000000-0005-0000-0000-00005B050000}"/>
    <cellStyle name="Input 3 3 4" xfId="12843" xr:uid="{00000000-0005-0000-0000-00005C050000}"/>
    <cellStyle name="Input 3 3 5" xfId="14453" xr:uid="{00000000-0005-0000-0000-00005D050000}"/>
    <cellStyle name="Input 3 3 6" xfId="13985" xr:uid="{00000000-0005-0000-0000-00005E050000}"/>
    <cellStyle name="Input 3 4" xfId="6970" xr:uid="{00000000-0005-0000-0000-00005F050000}"/>
    <cellStyle name="Input 3 4 2" xfId="8796" xr:uid="{00000000-0005-0000-0000-000060050000}"/>
    <cellStyle name="Input 3 4 2 2" xfId="12665" xr:uid="{00000000-0005-0000-0000-000061050000}"/>
    <cellStyle name="Input 3 4 2 2 2" xfId="15520" xr:uid="{00000000-0005-0000-0000-000062050000}"/>
    <cellStyle name="Input 3 4 2 3" xfId="11460" xr:uid="{00000000-0005-0000-0000-000063050000}"/>
    <cellStyle name="Input 3 4 2 4" xfId="14364" xr:uid="{00000000-0005-0000-0000-000064050000}"/>
    <cellStyle name="Input 3 4 2 5" xfId="14132" xr:uid="{00000000-0005-0000-0000-000065050000}"/>
    <cellStyle name="Input 3 4 3" xfId="12133" xr:uid="{00000000-0005-0000-0000-000066050000}"/>
    <cellStyle name="Input 3 4 3 2" xfId="15212" xr:uid="{00000000-0005-0000-0000-000067050000}"/>
    <cellStyle name="Input 3 4 4" xfId="11462" xr:uid="{00000000-0005-0000-0000-000068050000}"/>
    <cellStyle name="Input 3 4 5" xfId="14516" xr:uid="{00000000-0005-0000-0000-000069050000}"/>
    <cellStyle name="Input 3 4 6" xfId="13852" xr:uid="{00000000-0005-0000-0000-00006A050000}"/>
    <cellStyle name="Input 3 5" xfId="7130" xr:uid="{00000000-0005-0000-0000-00006B050000}"/>
    <cellStyle name="Input 3 5 2" xfId="8937" xr:uid="{00000000-0005-0000-0000-00006C050000}"/>
    <cellStyle name="Input 3 5 2 2" xfId="12795" xr:uid="{00000000-0005-0000-0000-00006D050000}"/>
    <cellStyle name="Input 3 5 2 2 2" xfId="15644" xr:uid="{00000000-0005-0000-0000-00006E050000}"/>
    <cellStyle name="Input 3 5 2 3" xfId="11416" xr:uid="{00000000-0005-0000-0000-00006F050000}"/>
    <cellStyle name="Input 3 5 2 4" xfId="14816" xr:uid="{00000000-0005-0000-0000-000070050000}"/>
    <cellStyle name="Input 3 5 2 5" xfId="14273" xr:uid="{00000000-0005-0000-0000-000071050000}"/>
    <cellStyle name="Input 3 5 3" xfId="12281" xr:uid="{00000000-0005-0000-0000-000072050000}"/>
    <cellStyle name="Input 3 5 3 2" xfId="15354" xr:uid="{00000000-0005-0000-0000-000073050000}"/>
    <cellStyle name="Input 3 5 4" xfId="10984" xr:uid="{00000000-0005-0000-0000-000074050000}"/>
    <cellStyle name="Input 3 5 5" xfId="14440" xr:uid="{00000000-0005-0000-0000-000075050000}"/>
    <cellStyle name="Input 3 5 6" xfId="14010" xr:uid="{00000000-0005-0000-0000-000076050000}"/>
    <cellStyle name="Input 3 6" xfId="7152" xr:uid="{00000000-0005-0000-0000-000077050000}"/>
    <cellStyle name="Input 3 6 2" xfId="8959" xr:uid="{00000000-0005-0000-0000-000078050000}"/>
    <cellStyle name="Input 3 6 2 2" xfId="12815" xr:uid="{00000000-0005-0000-0000-000079050000}"/>
    <cellStyle name="Input 3 6 2 2 2" xfId="15663" xr:uid="{00000000-0005-0000-0000-00007A050000}"/>
    <cellStyle name="Input 3 6 2 3" xfId="11771" xr:uid="{00000000-0005-0000-0000-00007B050000}"/>
    <cellStyle name="Input 3 6 2 4" xfId="14664" xr:uid="{00000000-0005-0000-0000-00007C050000}"/>
    <cellStyle name="Input 3 6 2 5" xfId="14295" xr:uid="{00000000-0005-0000-0000-00007D050000}"/>
    <cellStyle name="Input 3 6 3" xfId="12301" xr:uid="{00000000-0005-0000-0000-00007E050000}"/>
    <cellStyle name="Input 3 6 3 2" xfId="15373" xr:uid="{00000000-0005-0000-0000-00007F050000}"/>
    <cellStyle name="Input 3 6 4" xfId="12502" xr:uid="{00000000-0005-0000-0000-000080050000}"/>
    <cellStyle name="Input 3 6 5" xfId="14430" xr:uid="{00000000-0005-0000-0000-000081050000}"/>
    <cellStyle name="Input 3 6 6" xfId="14032" xr:uid="{00000000-0005-0000-0000-000082050000}"/>
    <cellStyle name="Input 3 7" xfId="7051" xr:uid="{00000000-0005-0000-0000-000083050000}"/>
    <cellStyle name="Input 3 7 2" xfId="12209" xr:uid="{00000000-0005-0000-0000-000084050000}"/>
    <cellStyle name="Input 3 7 2 2" xfId="15285" xr:uid="{00000000-0005-0000-0000-000085050000}"/>
    <cellStyle name="Input 3 7 3" xfId="11226" xr:uid="{00000000-0005-0000-0000-000086050000}"/>
    <cellStyle name="Input 3 7 4" xfId="14476" xr:uid="{00000000-0005-0000-0000-000087050000}"/>
    <cellStyle name="Input 3 7 5" xfId="13932" xr:uid="{00000000-0005-0000-0000-000088050000}"/>
    <cellStyle name="Input 3 8" xfId="11816" xr:uid="{00000000-0005-0000-0000-000089050000}"/>
    <cellStyle name="Input 3 8 2" xfId="11474" xr:uid="{00000000-0005-0000-0000-00008A050000}"/>
    <cellStyle name="Input 3 9" xfId="12551" xr:uid="{00000000-0005-0000-0000-00008B050000}"/>
    <cellStyle name="Input 4" xfId="5000" xr:uid="{00000000-0005-0000-0000-00008C050000}"/>
    <cellStyle name="Input 4 2" xfId="8713" xr:uid="{00000000-0005-0000-0000-00008D050000}"/>
    <cellStyle name="Input 4 2 2" xfId="12588" xr:uid="{00000000-0005-0000-0000-00008E050000}"/>
    <cellStyle name="Input 4 2 2 2" xfId="15446" xr:uid="{00000000-0005-0000-0000-00008F050000}"/>
    <cellStyle name="Input 4 2 3" xfId="13153" xr:uid="{00000000-0005-0000-0000-000090050000}"/>
    <cellStyle name="Input 4 2 4" xfId="14712" xr:uid="{00000000-0005-0000-0000-000091050000}"/>
    <cellStyle name="Input 4 2 5" xfId="14049" xr:uid="{00000000-0005-0000-0000-000092050000}"/>
    <cellStyle name="Input 4 3" xfId="11822" xr:uid="{00000000-0005-0000-0000-000093050000}"/>
    <cellStyle name="Input 4 3 2" xfId="11397" xr:uid="{00000000-0005-0000-0000-000094050000}"/>
    <cellStyle name="Input 4 4" xfId="12944" xr:uid="{00000000-0005-0000-0000-000095050000}"/>
    <cellStyle name="Input 4 5" xfId="14533" xr:uid="{00000000-0005-0000-0000-000096050000}"/>
    <cellStyle name="Input 4 6" xfId="13746" xr:uid="{00000000-0005-0000-0000-000097050000}"/>
    <cellStyle name="Input 4 7" xfId="18035" xr:uid="{00000000-0005-0000-0000-000098050000}"/>
    <cellStyle name="Input 5" xfId="6896" xr:uid="{00000000-0005-0000-0000-000099050000}"/>
    <cellStyle name="Input 5 2" xfId="8733" xr:uid="{00000000-0005-0000-0000-00009A050000}"/>
    <cellStyle name="Input 5 2 2" xfId="12605" xr:uid="{00000000-0005-0000-0000-00009B050000}"/>
    <cellStyle name="Input 5 2 2 2" xfId="15462" xr:uid="{00000000-0005-0000-0000-00009C050000}"/>
    <cellStyle name="Input 5 2 3" xfId="12926" xr:uid="{00000000-0005-0000-0000-00009D050000}"/>
    <cellStyle name="Input 5 2 4" xfId="14656" xr:uid="{00000000-0005-0000-0000-00009E050000}"/>
    <cellStyle name="Input 5 2 5" xfId="14069" xr:uid="{00000000-0005-0000-0000-00009F050000}"/>
    <cellStyle name="Input 5 3" xfId="12063" xr:uid="{00000000-0005-0000-0000-0000A0050000}"/>
    <cellStyle name="Input 5 3 2" xfId="15144" xr:uid="{00000000-0005-0000-0000-0000A1050000}"/>
    <cellStyle name="Input 5 4" xfId="11734" xr:uid="{00000000-0005-0000-0000-0000A2050000}"/>
    <cellStyle name="Input 5 5" xfId="14544" xr:uid="{00000000-0005-0000-0000-0000A3050000}"/>
    <cellStyle name="Input 5 6" xfId="13783" xr:uid="{00000000-0005-0000-0000-0000A4050000}"/>
    <cellStyle name="Input 5 7" xfId="19915" xr:uid="{00000000-0005-0000-0000-0000A5050000}"/>
    <cellStyle name="Input 6" xfId="7001" xr:uid="{00000000-0005-0000-0000-0000A6050000}"/>
    <cellStyle name="Input 6 2" xfId="8820" xr:uid="{00000000-0005-0000-0000-0000A7050000}"/>
    <cellStyle name="Input 6 2 2" xfId="12688" xr:uid="{00000000-0005-0000-0000-0000A8050000}"/>
    <cellStyle name="Input 6 2 2 2" xfId="15542" xr:uid="{00000000-0005-0000-0000-0000A9050000}"/>
    <cellStyle name="Input 6 2 3" xfId="12832" xr:uid="{00000000-0005-0000-0000-0000AA050000}"/>
    <cellStyle name="Input 6 2 4" xfId="14358" xr:uid="{00000000-0005-0000-0000-0000AB050000}"/>
    <cellStyle name="Input 6 2 5" xfId="14156" xr:uid="{00000000-0005-0000-0000-0000AC050000}"/>
    <cellStyle name="Input 6 3" xfId="12163" xr:uid="{00000000-0005-0000-0000-0000AD050000}"/>
    <cellStyle name="Input 6 3 2" xfId="15241" xr:uid="{00000000-0005-0000-0000-0000AE050000}"/>
    <cellStyle name="Input 6 4" xfId="11732" xr:uid="{00000000-0005-0000-0000-0000AF050000}"/>
    <cellStyle name="Input 6 5" xfId="14496" xr:uid="{00000000-0005-0000-0000-0000B0050000}"/>
    <cellStyle name="Input 6 6" xfId="13883" xr:uid="{00000000-0005-0000-0000-0000B1050000}"/>
    <cellStyle name="Input 7" xfId="6943" xr:uid="{00000000-0005-0000-0000-0000B2050000}"/>
    <cellStyle name="Input 7 2" xfId="8773" xr:uid="{00000000-0005-0000-0000-0000B3050000}"/>
    <cellStyle name="Input 7 2 2" xfId="12643" xr:uid="{00000000-0005-0000-0000-0000B4050000}"/>
    <cellStyle name="Input 7 2 2 2" xfId="15499" xr:uid="{00000000-0005-0000-0000-0000B5050000}"/>
    <cellStyle name="Input 7 2 3" xfId="12920" xr:uid="{00000000-0005-0000-0000-0000B6050000}"/>
    <cellStyle name="Input 7 2 4" xfId="14805" xr:uid="{00000000-0005-0000-0000-0000B7050000}"/>
    <cellStyle name="Input 7 2 5" xfId="14109" xr:uid="{00000000-0005-0000-0000-0000B8050000}"/>
    <cellStyle name="Input 7 3" xfId="12107" xr:uid="{00000000-0005-0000-0000-0000B9050000}"/>
    <cellStyle name="Input 7 3 2" xfId="15187" xr:uid="{00000000-0005-0000-0000-0000BA050000}"/>
    <cellStyle name="Input 7 4" xfId="12996" xr:uid="{00000000-0005-0000-0000-0000BB050000}"/>
    <cellStyle name="Input 7 5" xfId="14551" xr:uid="{00000000-0005-0000-0000-0000BC050000}"/>
    <cellStyle name="Input 7 6" xfId="13827" xr:uid="{00000000-0005-0000-0000-0000BD050000}"/>
    <cellStyle name="Input 8" xfId="7008" xr:uid="{00000000-0005-0000-0000-0000BE050000}"/>
    <cellStyle name="Input 8 2" xfId="8826" xr:uid="{00000000-0005-0000-0000-0000BF050000}"/>
    <cellStyle name="Input 8 2 2" xfId="12693" xr:uid="{00000000-0005-0000-0000-0000C0050000}"/>
    <cellStyle name="Input 8 2 2 2" xfId="15547" xr:uid="{00000000-0005-0000-0000-0000C1050000}"/>
    <cellStyle name="Input 8 2 3" xfId="11891" xr:uid="{00000000-0005-0000-0000-0000C2050000}"/>
    <cellStyle name="Input 8 2 4" xfId="14325" xr:uid="{00000000-0005-0000-0000-0000C3050000}"/>
    <cellStyle name="Input 8 2 5" xfId="14162" xr:uid="{00000000-0005-0000-0000-0000C4050000}"/>
    <cellStyle name="Input 8 3" xfId="12169" xr:uid="{00000000-0005-0000-0000-0000C5050000}"/>
    <cellStyle name="Input 8 3 2" xfId="15247" xr:uid="{00000000-0005-0000-0000-0000C6050000}"/>
    <cellStyle name="Input 8 4" xfId="10954" xr:uid="{00000000-0005-0000-0000-0000C7050000}"/>
    <cellStyle name="Input 8 5" xfId="14755" xr:uid="{00000000-0005-0000-0000-0000C8050000}"/>
    <cellStyle name="Input 8 6" xfId="13890" xr:uid="{00000000-0005-0000-0000-0000C9050000}"/>
    <cellStyle name="Input 9" xfId="6887" xr:uid="{00000000-0005-0000-0000-0000CA050000}"/>
    <cellStyle name="Input 9 2" xfId="8726" xr:uid="{00000000-0005-0000-0000-0000CB050000}"/>
    <cellStyle name="Input 9 2 2" xfId="12600" xr:uid="{00000000-0005-0000-0000-0000CC050000}"/>
    <cellStyle name="Input 9 2 2 2" xfId="15457" xr:uid="{00000000-0005-0000-0000-0000CD050000}"/>
    <cellStyle name="Input 9 2 3" xfId="12950" xr:uid="{00000000-0005-0000-0000-0000CE050000}"/>
    <cellStyle name="Input 9 2 4" xfId="14703" xr:uid="{00000000-0005-0000-0000-0000CF050000}"/>
    <cellStyle name="Input 9 2 5" xfId="14062" xr:uid="{00000000-0005-0000-0000-0000D0050000}"/>
    <cellStyle name="Input 9 3" xfId="12056" xr:uid="{00000000-0005-0000-0000-0000D1050000}"/>
    <cellStyle name="Input 9 3 2" xfId="15140" xr:uid="{00000000-0005-0000-0000-0000D2050000}"/>
    <cellStyle name="Input 9 4" xfId="11090" xr:uid="{00000000-0005-0000-0000-0000D3050000}"/>
    <cellStyle name="Input 9 5" xfId="14415" xr:uid="{00000000-0005-0000-0000-0000D4050000}"/>
    <cellStyle name="Input 9 6" xfId="13774" xr:uid="{00000000-0005-0000-0000-0000D5050000}"/>
    <cellStyle name="Linked Cell" xfId="412" xr:uid="{00000000-0005-0000-0000-0000D6050000}"/>
    <cellStyle name="material" xfId="158" xr:uid="{00000000-0005-0000-0000-0000D7050000}"/>
    <cellStyle name="material 2" xfId="736" xr:uid="{00000000-0005-0000-0000-0000D8050000}"/>
    <cellStyle name="material 2 2" xfId="9663" xr:uid="{00000000-0005-0000-0000-0000D9050000}"/>
    <cellStyle name="material 3" xfId="7165" xr:uid="{00000000-0005-0000-0000-0000DA050000}"/>
    <cellStyle name="material 4" xfId="7166" xr:uid="{00000000-0005-0000-0000-0000DB050000}"/>
    <cellStyle name="material 5" xfId="7167" xr:uid="{00000000-0005-0000-0000-0000DC050000}"/>
    <cellStyle name="material 6" xfId="7168" xr:uid="{00000000-0005-0000-0000-0000DD050000}"/>
    <cellStyle name="material 7" xfId="7169" xr:uid="{00000000-0005-0000-0000-0000DE050000}"/>
    <cellStyle name="material 8" xfId="7170" xr:uid="{00000000-0005-0000-0000-0000DF050000}"/>
    <cellStyle name="MINIPG" xfId="159" xr:uid="{00000000-0005-0000-0000-0000E0050000}"/>
    <cellStyle name="Moeda" xfId="839" builtinId="4"/>
    <cellStyle name="Moeda 10" xfId="160" xr:uid="{00000000-0005-0000-0000-0000E2050000}"/>
    <cellStyle name="Moeda 10 2" xfId="737" xr:uid="{00000000-0005-0000-0000-0000E3050000}"/>
    <cellStyle name="Moeda 10 3" xfId="7171" xr:uid="{00000000-0005-0000-0000-0000E4050000}"/>
    <cellStyle name="Moeda 10 4" xfId="7172" xr:uid="{00000000-0005-0000-0000-0000E5050000}"/>
    <cellStyle name="Moeda 10 5" xfId="7173" xr:uid="{00000000-0005-0000-0000-0000E6050000}"/>
    <cellStyle name="Moeda 10 6" xfId="7174" xr:uid="{00000000-0005-0000-0000-0000E7050000}"/>
    <cellStyle name="Moeda 10 7" xfId="7175" xr:uid="{00000000-0005-0000-0000-0000E8050000}"/>
    <cellStyle name="Moeda 10 8" xfId="7176" xr:uid="{00000000-0005-0000-0000-0000E9050000}"/>
    <cellStyle name="Moeda 11" xfId="161" xr:uid="{00000000-0005-0000-0000-0000EA050000}"/>
    <cellStyle name="Moeda 11 10" xfId="4992" xr:uid="{00000000-0005-0000-0000-0000EB050000}"/>
    <cellStyle name="Moeda 11 10 2" xfId="12863" xr:uid="{00000000-0005-0000-0000-0000EC050000}"/>
    <cellStyle name="Moeda 11 10 3" xfId="11969" xr:uid="{00000000-0005-0000-0000-0000ED050000}"/>
    <cellStyle name="Moeda 11 10 4" xfId="18027" xr:uid="{00000000-0005-0000-0000-0000EE050000}"/>
    <cellStyle name="Moeda 11 11" xfId="7177" xr:uid="{00000000-0005-0000-0000-0000EF050000}"/>
    <cellStyle name="Moeda 11 12" xfId="7178" xr:uid="{00000000-0005-0000-0000-0000F0050000}"/>
    <cellStyle name="Moeda 11 12 2" xfId="7179" xr:uid="{00000000-0005-0000-0000-0000F1050000}"/>
    <cellStyle name="Moeda 11 13" xfId="7180" xr:uid="{00000000-0005-0000-0000-0000F2050000}"/>
    <cellStyle name="Moeda 11 13 2" xfId="7181" xr:uid="{00000000-0005-0000-0000-0000F3050000}"/>
    <cellStyle name="Moeda 11 14" xfId="7182" xr:uid="{00000000-0005-0000-0000-0000F4050000}"/>
    <cellStyle name="Moeda 11 15" xfId="7183" xr:uid="{00000000-0005-0000-0000-0000F5050000}"/>
    <cellStyle name="Moeda 11 16" xfId="15851" xr:uid="{00000000-0005-0000-0000-0000F6050000}"/>
    <cellStyle name="Moeda 11 2" xfId="460" xr:uid="{00000000-0005-0000-0000-0000F7050000}"/>
    <cellStyle name="Moeda 11 2 2" xfId="841" xr:uid="{00000000-0005-0000-0000-0000F8050000}"/>
    <cellStyle name="Moeda 11 2 2 2" xfId="3880" xr:uid="{00000000-0005-0000-0000-0000F9050000}"/>
    <cellStyle name="Moeda 11 2 2 2 2" xfId="6022" xr:uid="{00000000-0005-0000-0000-0000FA050000}"/>
    <cellStyle name="Moeda 11 2 2 2 2 2" xfId="19057" xr:uid="{00000000-0005-0000-0000-0000FB050000}"/>
    <cellStyle name="Moeda 11 2 2 2 3" xfId="13690" xr:uid="{00000000-0005-0000-0000-0000FC050000}"/>
    <cellStyle name="Moeda 11 2 2 2 4" xfId="13660" xr:uid="{00000000-0005-0000-0000-0000FD050000}"/>
    <cellStyle name="Moeda 11 2 2 2 5" xfId="16922" xr:uid="{00000000-0005-0000-0000-0000FE050000}"/>
    <cellStyle name="Moeda 11 2 2 3" xfId="6717" xr:uid="{00000000-0005-0000-0000-0000FF050000}"/>
    <cellStyle name="Moeda 11 2 2 3 2" xfId="19752" xr:uid="{00000000-0005-0000-0000-000000060000}"/>
    <cellStyle name="Moeda 11 2 2 4" xfId="5035" xr:uid="{00000000-0005-0000-0000-000001060000}"/>
    <cellStyle name="Moeda 11 2 2 4 2" xfId="18070" xr:uid="{00000000-0005-0000-0000-000002060000}"/>
    <cellStyle name="Moeda 11 2 2 5" xfId="15903" xr:uid="{00000000-0005-0000-0000-000003060000}"/>
    <cellStyle name="Moeda 11 2 3" xfId="3776" xr:uid="{00000000-0005-0000-0000-000004060000}"/>
    <cellStyle name="Moeda 11 2 3 2" xfId="5927" xr:uid="{00000000-0005-0000-0000-000005060000}"/>
    <cellStyle name="Moeda 11 2 3 2 2" xfId="18962" xr:uid="{00000000-0005-0000-0000-000006060000}"/>
    <cellStyle name="Moeda 11 2 3 3" xfId="13678" xr:uid="{00000000-0005-0000-0000-000007060000}"/>
    <cellStyle name="Moeda 11 2 3 4" xfId="13661" xr:uid="{00000000-0005-0000-0000-000008060000}"/>
    <cellStyle name="Moeda 11 2 3 5" xfId="16819" xr:uid="{00000000-0005-0000-0000-000009060000}"/>
    <cellStyle name="Moeda 11 2 4" xfId="6688" xr:uid="{00000000-0005-0000-0000-00000A060000}"/>
    <cellStyle name="Moeda 11 2 4 2" xfId="19723" xr:uid="{00000000-0005-0000-0000-00000B060000}"/>
    <cellStyle name="Moeda 11 2 5" xfId="5006" xr:uid="{00000000-0005-0000-0000-00000C060000}"/>
    <cellStyle name="Moeda 11 2 5 2" xfId="18041" xr:uid="{00000000-0005-0000-0000-00000D060000}"/>
    <cellStyle name="Moeda 11 2 6" xfId="15875" xr:uid="{00000000-0005-0000-0000-00000E060000}"/>
    <cellStyle name="Moeda 11 3" xfId="842" xr:uid="{00000000-0005-0000-0000-00000F060000}"/>
    <cellStyle name="Moeda 11 3 2" xfId="1097" xr:uid="{00000000-0005-0000-0000-000010060000}"/>
    <cellStyle name="Moeda 11 3 2 2" xfId="4000" xr:uid="{00000000-0005-0000-0000-000011060000}"/>
    <cellStyle name="Moeda 11 3 2 2 2" xfId="6115" xr:uid="{00000000-0005-0000-0000-000012060000}"/>
    <cellStyle name="Moeda 11 3 2 2 2 2" xfId="19150" xr:uid="{00000000-0005-0000-0000-000013060000}"/>
    <cellStyle name="Moeda 11 3 2 2 3" xfId="13699" xr:uid="{00000000-0005-0000-0000-000014060000}"/>
    <cellStyle name="Moeda 11 3 2 2 4" xfId="13667" xr:uid="{00000000-0005-0000-0000-000015060000}"/>
    <cellStyle name="Moeda 11 3 2 2 5" xfId="17042" xr:uid="{00000000-0005-0000-0000-000016060000}"/>
    <cellStyle name="Moeda 11 3 2 3" xfId="6802" xr:uid="{00000000-0005-0000-0000-000017060000}"/>
    <cellStyle name="Moeda 11 3 2 3 2" xfId="19837" xr:uid="{00000000-0005-0000-0000-000018060000}"/>
    <cellStyle name="Moeda 11 3 2 4" xfId="5120" xr:uid="{00000000-0005-0000-0000-000019060000}"/>
    <cellStyle name="Moeda 11 3 2 4 2" xfId="18155" xr:uid="{00000000-0005-0000-0000-00001A060000}"/>
    <cellStyle name="Moeda 11 3 2 5" xfId="13420" xr:uid="{00000000-0005-0000-0000-00001B060000}"/>
    <cellStyle name="Moeda 11 3 2 6" xfId="13385" xr:uid="{00000000-0005-0000-0000-00001C060000}"/>
    <cellStyle name="Moeda 11 3 2 7" xfId="15990" xr:uid="{00000000-0005-0000-0000-00001D060000}"/>
    <cellStyle name="Moeda 11 3 3" xfId="1096" xr:uid="{00000000-0005-0000-0000-00001E060000}"/>
    <cellStyle name="Moeda 11 3 3 2" xfId="3999" xr:uid="{00000000-0005-0000-0000-00001F060000}"/>
    <cellStyle name="Moeda 11 3 3 2 2" xfId="6114" xr:uid="{00000000-0005-0000-0000-000020060000}"/>
    <cellStyle name="Moeda 11 3 3 2 2 2" xfId="19149" xr:uid="{00000000-0005-0000-0000-000021060000}"/>
    <cellStyle name="Moeda 11 3 3 2 3" xfId="13698" xr:uid="{00000000-0005-0000-0000-000022060000}"/>
    <cellStyle name="Moeda 11 3 3 2 4" xfId="13664" xr:uid="{00000000-0005-0000-0000-000023060000}"/>
    <cellStyle name="Moeda 11 3 3 2 5" xfId="17041" xr:uid="{00000000-0005-0000-0000-000024060000}"/>
    <cellStyle name="Moeda 11 3 3 3" xfId="6801" xr:uid="{00000000-0005-0000-0000-000025060000}"/>
    <cellStyle name="Moeda 11 3 3 3 2" xfId="19836" xr:uid="{00000000-0005-0000-0000-000026060000}"/>
    <cellStyle name="Moeda 11 3 3 4" xfId="5119" xr:uid="{00000000-0005-0000-0000-000027060000}"/>
    <cellStyle name="Moeda 11 3 3 4 2" xfId="18154" xr:uid="{00000000-0005-0000-0000-000028060000}"/>
    <cellStyle name="Moeda 11 3 3 5" xfId="15989" xr:uid="{00000000-0005-0000-0000-000029060000}"/>
    <cellStyle name="Moeda 11 3 4" xfId="3881" xr:uid="{00000000-0005-0000-0000-00002A060000}"/>
    <cellStyle name="Moeda 11 3 4 2" xfId="6023" xr:uid="{00000000-0005-0000-0000-00002B060000}"/>
    <cellStyle name="Moeda 11 3 4 2 2" xfId="11629" xr:uid="{00000000-0005-0000-0000-00002C060000}"/>
    <cellStyle name="Moeda 11 3 4 2 3" xfId="13172" xr:uid="{00000000-0005-0000-0000-00002D060000}"/>
    <cellStyle name="Moeda 11 3 4 2 4" xfId="19058" xr:uid="{00000000-0005-0000-0000-00002E060000}"/>
    <cellStyle name="Moeda 11 3 4 3" xfId="13691" xr:uid="{00000000-0005-0000-0000-00002F060000}"/>
    <cellStyle name="Moeda 11 3 4 4" xfId="13652" xr:uid="{00000000-0005-0000-0000-000030060000}"/>
    <cellStyle name="Moeda 11 3 4 5" xfId="16923" xr:uid="{00000000-0005-0000-0000-000031060000}"/>
    <cellStyle name="Moeda 11 3 5" xfId="6718" xr:uid="{00000000-0005-0000-0000-000032060000}"/>
    <cellStyle name="Moeda 11 3 5 2" xfId="19753" xr:uid="{00000000-0005-0000-0000-000033060000}"/>
    <cellStyle name="Moeda 11 3 6" xfId="5036" xr:uid="{00000000-0005-0000-0000-000034060000}"/>
    <cellStyle name="Moeda 11 3 6 2" xfId="18071" xr:uid="{00000000-0005-0000-0000-000035060000}"/>
    <cellStyle name="Moeda 11 3 7" xfId="15904" xr:uid="{00000000-0005-0000-0000-000036060000}"/>
    <cellStyle name="Moeda 11 4" xfId="1098" xr:uid="{00000000-0005-0000-0000-000037060000}"/>
    <cellStyle name="Moeda 11 4 2" xfId="7184" xr:uid="{00000000-0005-0000-0000-000038060000}"/>
    <cellStyle name="Moeda 11 4 3" xfId="7185" xr:uid="{00000000-0005-0000-0000-000039060000}"/>
    <cellStyle name="Moeda 11 4 4" xfId="13421" xr:uid="{00000000-0005-0000-0000-00003A060000}"/>
    <cellStyle name="Moeda 11 5" xfId="1099" xr:uid="{00000000-0005-0000-0000-00003B060000}"/>
    <cellStyle name="Moeda 11 5 2" xfId="4001" xr:uid="{00000000-0005-0000-0000-00003C060000}"/>
    <cellStyle name="Moeda 11 5 2 2" xfId="6116" xr:uid="{00000000-0005-0000-0000-00003D060000}"/>
    <cellStyle name="Moeda 11 5 2 2 2" xfId="19151" xr:uid="{00000000-0005-0000-0000-00003E060000}"/>
    <cellStyle name="Moeda 11 5 2 3" xfId="13700" xr:uid="{00000000-0005-0000-0000-00003F060000}"/>
    <cellStyle name="Moeda 11 5 2 4" xfId="13663" xr:uid="{00000000-0005-0000-0000-000040060000}"/>
    <cellStyle name="Moeda 11 5 2 5" xfId="17043" xr:uid="{00000000-0005-0000-0000-000041060000}"/>
    <cellStyle name="Moeda 11 5 3" xfId="6803" xr:uid="{00000000-0005-0000-0000-000042060000}"/>
    <cellStyle name="Moeda 11 5 3 2" xfId="19838" xr:uid="{00000000-0005-0000-0000-000043060000}"/>
    <cellStyle name="Moeda 11 5 4" xfId="5121" xr:uid="{00000000-0005-0000-0000-000044060000}"/>
    <cellStyle name="Moeda 11 5 4 2" xfId="18156" xr:uid="{00000000-0005-0000-0000-000045060000}"/>
    <cellStyle name="Moeda 11 5 5" xfId="15991" xr:uid="{00000000-0005-0000-0000-000046060000}"/>
    <cellStyle name="Moeda 11 6" xfId="1100" xr:uid="{00000000-0005-0000-0000-000047060000}"/>
    <cellStyle name="Moeda 11 7" xfId="1095" xr:uid="{00000000-0005-0000-0000-000048060000}"/>
    <cellStyle name="Moeda 11 8" xfId="3715" xr:uid="{00000000-0005-0000-0000-000049060000}"/>
    <cellStyle name="Moeda 11 8 2" xfId="5859" xr:uid="{00000000-0005-0000-0000-00004A060000}"/>
    <cellStyle name="Moeda 11 8 2 2" xfId="11914" xr:uid="{00000000-0005-0000-0000-00004B060000}"/>
    <cellStyle name="Moeda 11 8 2 3" xfId="11533" xr:uid="{00000000-0005-0000-0000-00004C060000}"/>
    <cellStyle name="Moeda 11 8 2 4" xfId="18894" xr:uid="{00000000-0005-0000-0000-00004D060000}"/>
    <cellStyle name="Moeda 11 8 3" xfId="13314" xr:uid="{00000000-0005-0000-0000-00004E060000}"/>
    <cellStyle name="Moeda 11 8 4" xfId="12558" xr:uid="{00000000-0005-0000-0000-00004F060000}"/>
    <cellStyle name="Moeda 11 8 4 2" xfId="15438" xr:uid="{00000000-0005-0000-0000-000050060000}"/>
    <cellStyle name="Moeda 11 8 4 3" xfId="13671" xr:uid="{00000000-0005-0000-0000-000051060000}"/>
    <cellStyle name="Moeda 11 8 5" xfId="16759" xr:uid="{00000000-0005-0000-0000-000052060000}"/>
    <cellStyle name="Moeda 11 9" xfId="6675" xr:uid="{00000000-0005-0000-0000-000053060000}"/>
    <cellStyle name="Moeda 11 9 2" xfId="7186" xr:uid="{00000000-0005-0000-0000-000054060000}"/>
    <cellStyle name="Moeda 11 9 3" xfId="11792" xr:uid="{00000000-0005-0000-0000-000055060000}"/>
    <cellStyle name="Moeda 11 9 4" xfId="19710" xr:uid="{00000000-0005-0000-0000-000056060000}"/>
    <cellStyle name="Moeda 12" xfId="1101" xr:uid="{00000000-0005-0000-0000-000057060000}"/>
    <cellStyle name="Moeda 12 2" xfId="11550" xr:uid="{00000000-0005-0000-0000-000058060000}"/>
    <cellStyle name="Moeda 13" xfId="1102" xr:uid="{00000000-0005-0000-0000-000059060000}"/>
    <cellStyle name="Moeda 13 2" xfId="7187" xr:uid="{00000000-0005-0000-0000-00005A060000}"/>
    <cellStyle name="Moeda 13 3" xfId="7188" xr:uid="{00000000-0005-0000-0000-00005B060000}"/>
    <cellStyle name="Moeda 13 4" xfId="13422" xr:uid="{00000000-0005-0000-0000-00005C060000}"/>
    <cellStyle name="Moeda 14" xfId="1103" xr:uid="{00000000-0005-0000-0000-00005D060000}"/>
    <cellStyle name="Moeda 15" xfId="1104" xr:uid="{00000000-0005-0000-0000-00005E060000}"/>
    <cellStyle name="Moeda 16" xfId="1105" xr:uid="{00000000-0005-0000-0000-00005F060000}"/>
    <cellStyle name="Moeda 17" xfId="1106" xr:uid="{00000000-0005-0000-0000-000060060000}"/>
    <cellStyle name="Moeda 18" xfId="3022" xr:uid="{00000000-0005-0000-0000-000061060000}"/>
    <cellStyle name="Moeda 18 2" xfId="4429" xr:uid="{00000000-0005-0000-0000-000062060000}"/>
    <cellStyle name="Moeda 18 2 2" xfId="6021" xr:uid="{00000000-0005-0000-0000-000063060000}"/>
    <cellStyle name="Moeda 18 2 2 2" xfId="19056" xr:uid="{00000000-0005-0000-0000-000064060000}"/>
    <cellStyle name="Moeda 18 2 3" xfId="17466" xr:uid="{00000000-0005-0000-0000-000065060000}"/>
    <cellStyle name="Moeda 18 3" xfId="4161" xr:uid="{00000000-0005-0000-0000-000066060000}"/>
    <cellStyle name="Moeda 18 3 2" xfId="17201" xr:uid="{00000000-0005-0000-0000-000067060000}"/>
    <cellStyle name="Moeda 18 4" xfId="5191" xr:uid="{00000000-0005-0000-0000-000068060000}"/>
    <cellStyle name="Moeda 18 4 2" xfId="18226" xr:uid="{00000000-0005-0000-0000-000069060000}"/>
    <cellStyle name="Moeda 18 5" xfId="16066" xr:uid="{00000000-0005-0000-0000-00006A060000}"/>
    <cellStyle name="Moeda 19" xfId="3879" xr:uid="{00000000-0005-0000-0000-00006B060000}"/>
    <cellStyle name="Moeda 19 2" xfId="6716" xr:uid="{00000000-0005-0000-0000-00006C060000}"/>
    <cellStyle name="Moeda 19 2 2" xfId="19751" xr:uid="{00000000-0005-0000-0000-00006D060000}"/>
    <cellStyle name="Moeda 19 3" xfId="13689" xr:uid="{00000000-0005-0000-0000-00006E060000}"/>
    <cellStyle name="Moeda 19 4" xfId="13668" xr:uid="{00000000-0005-0000-0000-00006F060000}"/>
    <cellStyle name="Moeda 19 5" xfId="16921" xr:uid="{00000000-0005-0000-0000-000070060000}"/>
    <cellStyle name="Moeda 2" xfId="8" xr:uid="{00000000-0005-0000-0000-000071060000}"/>
    <cellStyle name="Moeda 2 10" xfId="642" xr:uid="{00000000-0005-0000-0000-000072060000}"/>
    <cellStyle name="Moeda 2 11" xfId="1107" xr:uid="{00000000-0005-0000-0000-000073060000}"/>
    <cellStyle name="Moeda 2 12" xfId="7189" xr:uid="{00000000-0005-0000-0000-000074060000}"/>
    <cellStyle name="Moeda 2 13" xfId="7190" xr:uid="{00000000-0005-0000-0000-000075060000}"/>
    <cellStyle name="Moeda 2 2" xfId="9" xr:uid="{00000000-0005-0000-0000-000076060000}"/>
    <cellStyle name="Moeda 2 2 10" xfId="644" xr:uid="{00000000-0005-0000-0000-000077060000}"/>
    <cellStyle name="Moeda 2 2 11" xfId="7191" xr:uid="{00000000-0005-0000-0000-000078060000}"/>
    <cellStyle name="Moeda 2 2 12" xfId="7192" xr:uid="{00000000-0005-0000-0000-000079060000}"/>
    <cellStyle name="Moeda 2 2 2" xfId="10" xr:uid="{00000000-0005-0000-0000-00007A060000}"/>
    <cellStyle name="Moeda 2 2 2 10" xfId="1108" xr:uid="{00000000-0005-0000-0000-00007B060000}"/>
    <cellStyle name="Moeda 2 2 2 11" xfId="7193" xr:uid="{00000000-0005-0000-0000-00007C060000}"/>
    <cellStyle name="Moeda 2 2 2 12" xfId="7194" xr:uid="{00000000-0005-0000-0000-00007D060000}"/>
    <cellStyle name="Moeda 2 2 2 2" xfId="75" xr:uid="{00000000-0005-0000-0000-00007E060000}"/>
    <cellStyle name="Moeda 2 2 2 2 10" xfId="7195" xr:uid="{00000000-0005-0000-0000-00007F060000}"/>
    <cellStyle name="Moeda 2 2 2 2 11" xfId="7196" xr:uid="{00000000-0005-0000-0000-000080060000}"/>
    <cellStyle name="Moeda 2 2 2 2 2" xfId="638" xr:uid="{00000000-0005-0000-0000-000081060000}"/>
    <cellStyle name="Moeda 2 2 2 2 3" xfId="1110" xr:uid="{00000000-0005-0000-0000-000082060000}"/>
    <cellStyle name="Moeda 2 2 2 2 4" xfId="1111" xr:uid="{00000000-0005-0000-0000-000083060000}"/>
    <cellStyle name="Moeda 2 2 2 2 5" xfId="1112" xr:uid="{00000000-0005-0000-0000-000084060000}"/>
    <cellStyle name="Moeda 2 2 2 2 6" xfId="1113" xr:uid="{00000000-0005-0000-0000-000085060000}"/>
    <cellStyle name="Moeda 2 2 2 2 7" xfId="1114" xr:uid="{00000000-0005-0000-0000-000086060000}"/>
    <cellStyle name="Moeda 2 2 2 2 8" xfId="1115" xr:uid="{00000000-0005-0000-0000-000087060000}"/>
    <cellStyle name="Moeda 2 2 2 2 9" xfId="1116" xr:uid="{00000000-0005-0000-0000-000088060000}"/>
    <cellStyle name="Moeda 2 2 2 3" xfId="996" xr:uid="{00000000-0005-0000-0000-000089060000}"/>
    <cellStyle name="Moeda 2 2 2 3 2" xfId="2936" xr:uid="{00000000-0005-0000-0000-00008A060000}"/>
    <cellStyle name="Moeda 2 2 2 4" xfId="1117" xr:uid="{00000000-0005-0000-0000-00008B060000}"/>
    <cellStyle name="Moeda 2 2 2 5" xfId="1118" xr:uid="{00000000-0005-0000-0000-00008C060000}"/>
    <cellStyle name="Moeda 2 2 2 6" xfId="1119" xr:uid="{00000000-0005-0000-0000-00008D060000}"/>
    <cellStyle name="Moeda 2 2 2 7" xfId="1120" xr:uid="{00000000-0005-0000-0000-00008E060000}"/>
    <cellStyle name="Moeda 2 2 2 8" xfId="1121" xr:uid="{00000000-0005-0000-0000-00008F060000}"/>
    <cellStyle name="Moeda 2 2 2 9" xfId="1122" xr:uid="{00000000-0005-0000-0000-000090060000}"/>
    <cellStyle name="Moeda 2 2 3" xfId="1123" xr:uid="{00000000-0005-0000-0000-000091060000}"/>
    <cellStyle name="Moeda 2 2 3 2" xfId="2937" xr:uid="{00000000-0005-0000-0000-000092060000}"/>
    <cellStyle name="Moeda 2 2 3 3" xfId="7197" xr:uid="{00000000-0005-0000-0000-000093060000}"/>
    <cellStyle name="Moeda 2 2 4" xfId="1124" xr:uid="{00000000-0005-0000-0000-000094060000}"/>
    <cellStyle name="Moeda 2 2 4 2" xfId="7198" xr:uid="{00000000-0005-0000-0000-000095060000}"/>
    <cellStyle name="Moeda 2 2 5" xfId="1125" xr:uid="{00000000-0005-0000-0000-000096060000}"/>
    <cellStyle name="Moeda 2 2 6" xfId="1126" xr:uid="{00000000-0005-0000-0000-000097060000}"/>
    <cellStyle name="Moeda 2 2 7" xfId="1127" xr:uid="{00000000-0005-0000-0000-000098060000}"/>
    <cellStyle name="Moeda 2 2 8" xfId="1128" xr:uid="{00000000-0005-0000-0000-000099060000}"/>
    <cellStyle name="Moeda 2 2 9" xfId="1129" xr:uid="{00000000-0005-0000-0000-00009A060000}"/>
    <cellStyle name="Moeda 2 3" xfId="11" xr:uid="{00000000-0005-0000-0000-00009B060000}"/>
    <cellStyle name="Moeda 2 3 10" xfId="7199" xr:uid="{00000000-0005-0000-0000-00009C060000}"/>
    <cellStyle name="Moeda 2 3 11" xfId="7200" xr:uid="{00000000-0005-0000-0000-00009D060000}"/>
    <cellStyle name="Moeda 2 3 2" xfId="649" xr:uid="{00000000-0005-0000-0000-00009E060000}"/>
    <cellStyle name="Moeda 2 3 2 2" xfId="7201" xr:uid="{00000000-0005-0000-0000-00009F060000}"/>
    <cellStyle name="Moeda 2 3 3" xfId="1130" xr:uid="{00000000-0005-0000-0000-0000A0060000}"/>
    <cellStyle name="Moeda 2 3 3 2" xfId="2938" xr:uid="{00000000-0005-0000-0000-0000A1060000}"/>
    <cellStyle name="Moeda 2 3 3 3" xfId="7202" xr:uid="{00000000-0005-0000-0000-0000A2060000}"/>
    <cellStyle name="Moeda 2 3 4" xfId="1131" xr:uid="{00000000-0005-0000-0000-0000A3060000}"/>
    <cellStyle name="Moeda 2 3 5" xfId="1132" xr:uid="{00000000-0005-0000-0000-0000A4060000}"/>
    <cellStyle name="Moeda 2 3 6" xfId="1133" xr:uid="{00000000-0005-0000-0000-0000A5060000}"/>
    <cellStyle name="Moeda 2 3 7" xfId="1134" xr:uid="{00000000-0005-0000-0000-0000A6060000}"/>
    <cellStyle name="Moeda 2 3 8" xfId="1135" xr:uid="{00000000-0005-0000-0000-0000A7060000}"/>
    <cellStyle name="Moeda 2 3 9" xfId="1136" xr:uid="{00000000-0005-0000-0000-0000A8060000}"/>
    <cellStyle name="Moeda 2 4" xfId="162" xr:uid="{00000000-0005-0000-0000-0000A9060000}"/>
    <cellStyle name="Moeda 2 4 2" xfId="738" xr:uid="{00000000-0005-0000-0000-0000AA060000}"/>
    <cellStyle name="Moeda 2 4 3" xfId="7203" xr:uid="{00000000-0005-0000-0000-0000AB060000}"/>
    <cellStyle name="Moeda 2 4 4" xfId="7204" xr:uid="{00000000-0005-0000-0000-0000AC060000}"/>
    <cellStyle name="Moeda 2 4 5" xfId="7205" xr:uid="{00000000-0005-0000-0000-0000AD060000}"/>
    <cellStyle name="Moeda 2 4 6" xfId="7206" xr:uid="{00000000-0005-0000-0000-0000AE060000}"/>
    <cellStyle name="Moeda 2 4 7" xfId="7207" xr:uid="{00000000-0005-0000-0000-0000AF060000}"/>
    <cellStyle name="Moeda 2 4 8" xfId="7208" xr:uid="{00000000-0005-0000-0000-0000B0060000}"/>
    <cellStyle name="Moeda 2 5" xfId="163" xr:uid="{00000000-0005-0000-0000-0000B1060000}"/>
    <cellStyle name="Moeda 2 5 10" xfId="15852" xr:uid="{00000000-0005-0000-0000-0000B2060000}"/>
    <cellStyle name="Moeda 2 5 2" xfId="843" xr:uid="{00000000-0005-0000-0000-0000B3060000}"/>
    <cellStyle name="Moeda 2 5 2 2" xfId="3882" xr:uid="{00000000-0005-0000-0000-0000B4060000}"/>
    <cellStyle name="Moeda 2 5 2 2 2" xfId="6024" xr:uid="{00000000-0005-0000-0000-0000B5060000}"/>
    <cellStyle name="Moeda 2 5 2 2 2 2" xfId="11088" xr:uid="{00000000-0005-0000-0000-0000B6060000}"/>
    <cellStyle name="Moeda 2 5 2 2 2 3" xfId="11153" xr:uid="{00000000-0005-0000-0000-0000B7060000}"/>
    <cellStyle name="Moeda 2 5 2 2 2 4" xfId="19059" xr:uid="{00000000-0005-0000-0000-0000B8060000}"/>
    <cellStyle name="Moeda 2 5 2 2 3" xfId="13692" xr:uid="{00000000-0005-0000-0000-0000B9060000}"/>
    <cellStyle name="Moeda 2 5 2 2 4" xfId="13651" xr:uid="{00000000-0005-0000-0000-0000BA060000}"/>
    <cellStyle name="Moeda 2 5 2 2 5" xfId="16924" xr:uid="{00000000-0005-0000-0000-0000BB060000}"/>
    <cellStyle name="Moeda 2 5 2 3" xfId="6719" xr:uid="{00000000-0005-0000-0000-0000BC060000}"/>
    <cellStyle name="Moeda 2 5 2 3 2" xfId="19754" xr:uid="{00000000-0005-0000-0000-0000BD060000}"/>
    <cellStyle name="Moeda 2 5 2 4" xfId="5037" xr:uid="{00000000-0005-0000-0000-0000BE060000}"/>
    <cellStyle name="Moeda 2 5 2 4 2" xfId="18072" xr:uid="{00000000-0005-0000-0000-0000BF060000}"/>
    <cellStyle name="Moeda 2 5 2 5" xfId="15905" xr:uid="{00000000-0005-0000-0000-0000C0060000}"/>
    <cellStyle name="Moeda 2 5 3" xfId="1138" xr:uid="{00000000-0005-0000-0000-0000C1060000}"/>
    <cellStyle name="Moeda 2 5 3 2" xfId="7209" xr:uid="{00000000-0005-0000-0000-0000C2060000}"/>
    <cellStyle name="Moeda 2 5 3 3" xfId="7210" xr:uid="{00000000-0005-0000-0000-0000C3060000}"/>
    <cellStyle name="Moeda 2 5 4" xfId="1139" xr:uid="{00000000-0005-0000-0000-0000C4060000}"/>
    <cellStyle name="Moeda 2 5 5" xfId="1137" xr:uid="{00000000-0005-0000-0000-0000C5060000}"/>
    <cellStyle name="Moeda 2 5 6" xfId="3716" xr:uid="{00000000-0005-0000-0000-0000C6060000}"/>
    <cellStyle name="Moeda 2 5 6 2" xfId="5860" xr:uid="{00000000-0005-0000-0000-0000C7060000}"/>
    <cellStyle name="Moeda 2 5 6 2 2" xfId="18895" xr:uid="{00000000-0005-0000-0000-0000C8060000}"/>
    <cellStyle name="Moeda 2 5 6 3" xfId="12927" xr:uid="{00000000-0005-0000-0000-0000C9060000}"/>
    <cellStyle name="Moeda 2 5 6 3 2" xfId="15698" xr:uid="{00000000-0005-0000-0000-0000CA060000}"/>
    <cellStyle name="Moeda 2 5 6 3 3" xfId="13675" xr:uid="{00000000-0005-0000-0000-0000CB060000}"/>
    <cellStyle name="Moeda 2 5 6 4" xfId="13672" xr:uid="{00000000-0005-0000-0000-0000CC060000}"/>
    <cellStyle name="Moeda 2 5 6 5" xfId="16760" xr:uid="{00000000-0005-0000-0000-0000CD060000}"/>
    <cellStyle name="Moeda 2 5 7" xfId="6676" xr:uid="{00000000-0005-0000-0000-0000CE060000}"/>
    <cellStyle name="Moeda 2 5 7 2" xfId="11903" xr:uid="{00000000-0005-0000-0000-0000CF060000}"/>
    <cellStyle name="Moeda 2 5 7 3" xfId="13079" xr:uid="{00000000-0005-0000-0000-0000D0060000}"/>
    <cellStyle name="Moeda 2 5 7 4" xfId="19711" xr:uid="{00000000-0005-0000-0000-0000D1060000}"/>
    <cellStyle name="Moeda 2 5 8" xfId="4993" xr:uid="{00000000-0005-0000-0000-0000D2060000}"/>
    <cellStyle name="Moeda 2 5 8 2" xfId="12892" xr:uid="{00000000-0005-0000-0000-0000D3060000}"/>
    <cellStyle name="Moeda 2 5 8 3" xfId="11433" xr:uid="{00000000-0005-0000-0000-0000D4060000}"/>
    <cellStyle name="Moeda 2 5 8 4" xfId="18028" xr:uid="{00000000-0005-0000-0000-0000D5060000}"/>
    <cellStyle name="Moeda 2 5 9" xfId="7211" xr:uid="{00000000-0005-0000-0000-0000D6060000}"/>
    <cellStyle name="Moeda 2 6" xfId="1140" xr:uid="{00000000-0005-0000-0000-0000D7060000}"/>
    <cellStyle name="Moeda 2 7" xfId="1141" xr:uid="{00000000-0005-0000-0000-0000D8060000}"/>
    <cellStyle name="Moeda 2 8" xfId="1142" xr:uid="{00000000-0005-0000-0000-0000D9060000}"/>
    <cellStyle name="Moeda 2 9" xfId="1143" xr:uid="{00000000-0005-0000-0000-0000DA060000}"/>
    <cellStyle name="Moeda 20" xfId="5034" xr:uid="{00000000-0005-0000-0000-0000DB060000}"/>
    <cellStyle name="Moeda 20 2" xfId="18069" xr:uid="{00000000-0005-0000-0000-0000DC060000}"/>
    <cellStyle name="Moeda 3" xfId="12" xr:uid="{00000000-0005-0000-0000-0000DD060000}"/>
    <cellStyle name="Moeda 3 10" xfId="1144" xr:uid="{00000000-0005-0000-0000-0000DE060000}"/>
    <cellStyle name="Moeda 3 11" xfId="1145" xr:uid="{00000000-0005-0000-0000-0000DF060000}"/>
    <cellStyle name="Moeda 3 12" xfId="1146" xr:uid="{00000000-0005-0000-0000-0000E0060000}"/>
    <cellStyle name="Moeda 3 13" xfId="7212" xr:uid="{00000000-0005-0000-0000-0000E1060000}"/>
    <cellStyle name="Moeda 3 14" xfId="7213" xr:uid="{00000000-0005-0000-0000-0000E2060000}"/>
    <cellStyle name="Moeda 3 2" xfId="13" xr:uid="{00000000-0005-0000-0000-0000E3060000}"/>
    <cellStyle name="Moeda 3 2 10" xfId="1147" xr:uid="{00000000-0005-0000-0000-0000E4060000}"/>
    <cellStyle name="Moeda 3 2 11" xfId="1148" xr:uid="{00000000-0005-0000-0000-0000E5060000}"/>
    <cellStyle name="Moeda 3 2 12" xfId="7214" xr:uid="{00000000-0005-0000-0000-0000E6060000}"/>
    <cellStyle name="Moeda 3 2 13" xfId="7215" xr:uid="{00000000-0005-0000-0000-0000E7060000}"/>
    <cellStyle name="Moeda 3 2 2" xfId="14" xr:uid="{00000000-0005-0000-0000-0000E8060000}"/>
    <cellStyle name="Moeda 3 2 2 10" xfId="7216" xr:uid="{00000000-0005-0000-0000-0000E9060000}"/>
    <cellStyle name="Moeda 3 2 2 11" xfId="7217" xr:uid="{00000000-0005-0000-0000-0000EA060000}"/>
    <cellStyle name="Moeda 3 2 2 12" xfId="7218" xr:uid="{00000000-0005-0000-0000-0000EB060000}"/>
    <cellStyle name="Moeda 3 2 2 2" xfId="413" xr:uid="{00000000-0005-0000-0000-0000EC060000}"/>
    <cellStyle name="Moeda 3 2 2 2 2" xfId="784" xr:uid="{00000000-0005-0000-0000-0000ED060000}"/>
    <cellStyle name="Moeda 3 2 2 2 3" xfId="7219" xr:uid="{00000000-0005-0000-0000-0000EE060000}"/>
    <cellStyle name="Moeda 3 2 2 2 4" xfId="7220" xr:uid="{00000000-0005-0000-0000-0000EF060000}"/>
    <cellStyle name="Moeda 3 2 2 2 5" xfId="7221" xr:uid="{00000000-0005-0000-0000-0000F0060000}"/>
    <cellStyle name="Moeda 3 2 2 2 6" xfId="7222" xr:uid="{00000000-0005-0000-0000-0000F1060000}"/>
    <cellStyle name="Moeda 3 2 2 2 7" xfId="7223" xr:uid="{00000000-0005-0000-0000-0000F2060000}"/>
    <cellStyle name="Moeda 3 2 2 2 8" xfId="7224" xr:uid="{00000000-0005-0000-0000-0000F3060000}"/>
    <cellStyle name="Moeda 3 2 2 3" xfId="684" xr:uid="{00000000-0005-0000-0000-0000F4060000}"/>
    <cellStyle name="Moeda 3 2 2 4" xfId="1150" xr:uid="{00000000-0005-0000-0000-0000F5060000}"/>
    <cellStyle name="Moeda 3 2 2 5" xfId="1151" xr:uid="{00000000-0005-0000-0000-0000F6060000}"/>
    <cellStyle name="Moeda 3 2 2 6" xfId="1152" xr:uid="{00000000-0005-0000-0000-0000F7060000}"/>
    <cellStyle name="Moeda 3 2 2 7" xfId="1153" xr:uid="{00000000-0005-0000-0000-0000F8060000}"/>
    <cellStyle name="Moeda 3 2 2 8" xfId="1154" xr:uid="{00000000-0005-0000-0000-0000F9060000}"/>
    <cellStyle name="Moeda 3 2 2 9" xfId="1155" xr:uid="{00000000-0005-0000-0000-0000FA060000}"/>
    <cellStyle name="Moeda 3 2 3" xfId="15" xr:uid="{00000000-0005-0000-0000-0000FB060000}"/>
    <cellStyle name="Moeda 3 2 3 10" xfId="1156" xr:uid="{00000000-0005-0000-0000-0000FC060000}"/>
    <cellStyle name="Moeda 3 2 3 11" xfId="7225" xr:uid="{00000000-0005-0000-0000-0000FD060000}"/>
    <cellStyle name="Moeda 3 2 3 12" xfId="7226" xr:uid="{00000000-0005-0000-0000-0000FE060000}"/>
    <cellStyle name="Moeda 3 2 3 2" xfId="76" xr:uid="{00000000-0005-0000-0000-0000FF060000}"/>
    <cellStyle name="Moeda 3 2 3 2 10" xfId="7227" xr:uid="{00000000-0005-0000-0000-000000070000}"/>
    <cellStyle name="Moeda 3 2 3 2 11" xfId="7228" xr:uid="{00000000-0005-0000-0000-000001070000}"/>
    <cellStyle name="Moeda 3 2 3 2 2" xfId="705" xr:uid="{00000000-0005-0000-0000-000002070000}"/>
    <cellStyle name="Moeda 3 2 3 2 3" xfId="1157" xr:uid="{00000000-0005-0000-0000-000003070000}"/>
    <cellStyle name="Moeda 3 2 3 2 4" xfId="1158" xr:uid="{00000000-0005-0000-0000-000004070000}"/>
    <cellStyle name="Moeda 3 2 3 2 5" xfId="1159" xr:uid="{00000000-0005-0000-0000-000005070000}"/>
    <cellStyle name="Moeda 3 2 3 2 6" xfId="1160" xr:uid="{00000000-0005-0000-0000-000006070000}"/>
    <cellStyle name="Moeda 3 2 3 2 7" xfId="1161" xr:uid="{00000000-0005-0000-0000-000007070000}"/>
    <cellStyle name="Moeda 3 2 3 2 8" xfId="1162" xr:uid="{00000000-0005-0000-0000-000008070000}"/>
    <cellStyle name="Moeda 3 2 3 2 9" xfId="1163" xr:uid="{00000000-0005-0000-0000-000009070000}"/>
    <cellStyle name="Moeda 3 2 3 3" xfId="685" xr:uid="{00000000-0005-0000-0000-00000A070000}"/>
    <cellStyle name="Moeda 3 2 3 4" xfId="1165" xr:uid="{00000000-0005-0000-0000-00000B070000}"/>
    <cellStyle name="Moeda 3 2 3 5" xfId="1166" xr:uid="{00000000-0005-0000-0000-00000C070000}"/>
    <cellStyle name="Moeda 3 2 3 6" xfId="1167" xr:uid="{00000000-0005-0000-0000-00000D070000}"/>
    <cellStyle name="Moeda 3 2 3 7" xfId="1168" xr:uid="{00000000-0005-0000-0000-00000E070000}"/>
    <cellStyle name="Moeda 3 2 3 8" xfId="1169" xr:uid="{00000000-0005-0000-0000-00000F070000}"/>
    <cellStyle name="Moeda 3 2 3 9" xfId="1170" xr:uid="{00000000-0005-0000-0000-000010070000}"/>
    <cellStyle name="Moeda 3 2 4" xfId="651" xr:uid="{00000000-0005-0000-0000-000011070000}"/>
    <cellStyle name="Moeda 3 2 4 2" xfId="7229" xr:uid="{00000000-0005-0000-0000-000012070000}"/>
    <cellStyle name="Moeda 3 2 5" xfId="1171" xr:uid="{00000000-0005-0000-0000-000013070000}"/>
    <cellStyle name="Moeda 3 2 6" xfId="1172" xr:uid="{00000000-0005-0000-0000-000014070000}"/>
    <cellStyle name="Moeda 3 2 7" xfId="1173" xr:uid="{00000000-0005-0000-0000-000015070000}"/>
    <cellStyle name="Moeda 3 2 8" xfId="1174" xr:uid="{00000000-0005-0000-0000-000016070000}"/>
    <cellStyle name="Moeda 3 2 9" xfId="1175" xr:uid="{00000000-0005-0000-0000-000017070000}"/>
    <cellStyle name="Moeda 3 3" xfId="16" xr:uid="{00000000-0005-0000-0000-000018070000}"/>
    <cellStyle name="Moeda 3 3 10" xfId="7230" xr:uid="{00000000-0005-0000-0000-000019070000}"/>
    <cellStyle name="Moeda 3 3 11" xfId="7231" xr:uid="{00000000-0005-0000-0000-00001A070000}"/>
    <cellStyle name="Moeda 3 3 2" xfId="686" xr:uid="{00000000-0005-0000-0000-00001B070000}"/>
    <cellStyle name="Moeda 3 3 3" xfId="1176" xr:uid="{00000000-0005-0000-0000-00001C070000}"/>
    <cellStyle name="Moeda 3 3 4" xfId="1177" xr:uid="{00000000-0005-0000-0000-00001D070000}"/>
    <cellStyle name="Moeda 3 3 5" xfId="1178" xr:uid="{00000000-0005-0000-0000-00001E070000}"/>
    <cellStyle name="Moeda 3 3 6" xfId="1179" xr:uid="{00000000-0005-0000-0000-00001F070000}"/>
    <cellStyle name="Moeda 3 3 7" xfId="1180" xr:uid="{00000000-0005-0000-0000-000020070000}"/>
    <cellStyle name="Moeda 3 3 8" xfId="1181" xr:uid="{00000000-0005-0000-0000-000021070000}"/>
    <cellStyle name="Moeda 3 3 9" xfId="1182" xr:uid="{00000000-0005-0000-0000-000022070000}"/>
    <cellStyle name="Moeda 3 4" xfId="432" xr:uid="{00000000-0005-0000-0000-000023070000}"/>
    <cellStyle name="Moeda 3 4 10" xfId="7232" xr:uid="{00000000-0005-0000-0000-000024070000}"/>
    <cellStyle name="Moeda 3 4 11" xfId="7233" xr:uid="{00000000-0005-0000-0000-000025070000}"/>
    <cellStyle name="Moeda 3 4 2" xfId="788" xr:uid="{00000000-0005-0000-0000-000026070000}"/>
    <cellStyle name="Moeda 3 4 3" xfId="1183" xr:uid="{00000000-0005-0000-0000-000027070000}"/>
    <cellStyle name="Moeda 3 4 4" xfId="1184" xr:uid="{00000000-0005-0000-0000-000028070000}"/>
    <cellStyle name="Moeda 3 4 5" xfId="1185" xr:uid="{00000000-0005-0000-0000-000029070000}"/>
    <cellStyle name="Moeda 3 4 6" xfId="1186" xr:uid="{00000000-0005-0000-0000-00002A070000}"/>
    <cellStyle name="Moeda 3 4 7" xfId="1187" xr:uid="{00000000-0005-0000-0000-00002B070000}"/>
    <cellStyle name="Moeda 3 4 8" xfId="1188" xr:uid="{00000000-0005-0000-0000-00002C070000}"/>
    <cellStyle name="Moeda 3 4 9" xfId="1189" xr:uid="{00000000-0005-0000-0000-00002D070000}"/>
    <cellStyle name="Moeda 3 5" xfId="650" xr:uid="{00000000-0005-0000-0000-00002E070000}"/>
    <cellStyle name="Moeda 3 5 2" xfId="7234" xr:uid="{00000000-0005-0000-0000-00002F070000}"/>
    <cellStyle name="Moeda 3 6" xfId="1190" xr:uid="{00000000-0005-0000-0000-000030070000}"/>
    <cellStyle name="Moeda 3 6 2" xfId="7235" xr:uid="{00000000-0005-0000-0000-000031070000}"/>
    <cellStyle name="Moeda 3 7" xfId="1191" xr:uid="{00000000-0005-0000-0000-000032070000}"/>
    <cellStyle name="Moeda 3 7 2" xfId="7236" xr:uid="{00000000-0005-0000-0000-000033070000}"/>
    <cellStyle name="Moeda 3 8" xfId="1192" xr:uid="{00000000-0005-0000-0000-000034070000}"/>
    <cellStyle name="Moeda 3 9" xfId="1193" xr:uid="{00000000-0005-0000-0000-000035070000}"/>
    <cellStyle name="Moeda 4" xfId="17" xr:uid="{00000000-0005-0000-0000-000036070000}"/>
    <cellStyle name="Moeda 4 10" xfId="1194" xr:uid="{00000000-0005-0000-0000-000037070000}"/>
    <cellStyle name="Moeda 4 11" xfId="1195" xr:uid="{00000000-0005-0000-0000-000038070000}"/>
    <cellStyle name="Moeda 4 12" xfId="7237" xr:uid="{00000000-0005-0000-0000-000039070000}"/>
    <cellStyle name="Moeda 4 13" xfId="7238" xr:uid="{00000000-0005-0000-0000-00003A070000}"/>
    <cellStyle name="Moeda 4 2" xfId="18" xr:uid="{00000000-0005-0000-0000-00003B070000}"/>
    <cellStyle name="Moeda 4 2 10" xfId="7239" xr:uid="{00000000-0005-0000-0000-00003C070000}"/>
    <cellStyle name="Moeda 4 2 11" xfId="7240" xr:uid="{00000000-0005-0000-0000-00003D070000}"/>
    <cellStyle name="Moeda 4 2 2" xfId="687" xr:uid="{00000000-0005-0000-0000-00003E070000}"/>
    <cellStyle name="Moeda 4 2 3" xfId="1196" xr:uid="{00000000-0005-0000-0000-00003F070000}"/>
    <cellStyle name="Moeda 4 2 4" xfId="1197" xr:uid="{00000000-0005-0000-0000-000040070000}"/>
    <cellStyle name="Moeda 4 2 5" xfId="1198" xr:uid="{00000000-0005-0000-0000-000041070000}"/>
    <cellStyle name="Moeda 4 2 6" xfId="1199" xr:uid="{00000000-0005-0000-0000-000042070000}"/>
    <cellStyle name="Moeda 4 2 7" xfId="1200" xr:uid="{00000000-0005-0000-0000-000043070000}"/>
    <cellStyle name="Moeda 4 2 8" xfId="1201" xr:uid="{00000000-0005-0000-0000-000044070000}"/>
    <cellStyle name="Moeda 4 2 9" xfId="1202" xr:uid="{00000000-0005-0000-0000-000045070000}"/>
    <cellStyle name="Moeda 4 3" xfId="78" xr:uid="{00000000-0005-0000-0000-000046070000}"/>
    <cellStyle name="Moeda 4 3 10" xfId="2893" xr:uid="{00000000-0005-0000-0000-000047070000}"/>
    <cellStyle name="Moeda 4 3 10 2" xfId="4399" xr:uid="{00000000-0005-0000-0000-000048070000}"/>
    <cellStyle name="Moeda 4 3 10 2 2" xfId="6865" xr:uid="{00000000-0005-0000-0000-000049070000}"/>
    <cellStyle name="Moeda 4 3 10 2 2 2" xfId="11104" xr:uid="{00000000-0005-0000-0000-00004A070000}"/>
    <cellStyle name="Moeda 4 3 10 2 2 3" xfId="11341" xr:uid="{00000000-0005-0000-0000-00004B070000}"/>
    <cellStyle name="Moeda 4 3 10 2 2 4" xfId="19900" xr:uid="{00000000-0005-0000-0000-00004C070000}"/>
    <cellStyle name="Moeda 4 3 10 2 3" xfId="13720" xr:uid="{00000000-0005-0000-0000-00004D070000}"/>
    <cellStyle name="Moeda 4 3 10 2 4" xfId="13670" xr:uid="{00000000-0005-0000-0000-00004E070000}"/>
    <cellStyle name="Moeda 4 3 10 2 5" xfId="17436" xr:uid="{00000000-0005-0000-0000-00004F070000}"/>
    <cellStyle name="Moeda 4 3 10 3" xfId="5183" xr:uid="{00000000-0005-0000-0000-000050070000}"/>
    <cellStyle name="Moeda 4 3 10 3 2" xfId="18218" xr:uid="{00000000-0005-0000-0000-000051070000}"/>
    <cellStyle name="Moeda 4 3 10 4" xfId="13536" xr:uid="{00000000-0005-0000-0000-000052070000}"/>
    <cellStyle name="Moeda 4 3 10 5" xfId="16053" xr:uid="{00000000-0005-0000-0000-000053070000}"/>
    <cellStyle name="Moeda 4 3 11" xfId="7241" xr:uid="{00000000-0005-0000-0000-000054070000}"/>
    <cellStyle name="Moeda 4 3 2" xfId="707" xr:uid="{00000000-0005-0000-0000-000055070000}"/>
    <cellStyle name="Moeda 4 3 2 2" xfId="7242" xr:uid="{00000000-0005-0000-0000-000056070000}"/>
    <cellStyle name="Moeda 4 3 3" xfId="1203" xr:uid="{00000000-0005-0000-0000-000057070000}"/>
    <cellStyle name="Moeda 4 3 4" xfId="1204" xr:uid="{00000000-0005-0000-0000-000058070000}"/>
    <cellStyle name="Moeda 4 3 4 2" xfId="7243" xr:uid="{00000000-0005-0000-0000-000059070000}"/>
    <cellStyle name="Moeda 4 3 5" xfId="1205" xr:uid="{00000000-0005-0000-0000-00005A070000}"/>
    <cellStyle name="Moeda 4 3 6" xfId="1206" xr:uid="{00000000-0005-0000-0000-00005B070000}"/>
    <cellStyle name="Moeda 4 3 7" xfId="1207" xr:uid="{00000000-0005-0000-0000-00005C070000}"/>
    <cellStyle name="Moeda 4 3 8" xfId="1208" xr:uid="{00000000-0005-0000-0000-00005D070000}"/>
    <cellStyle name="Moeda 4 3 9" xfId="1209" xr:uid="{00000000-0005-0000-0000-00005E070000}"/>
    <cellStyle name="Moeda 4 4" xfId="652" xr:uid="{00000000-0005-0000-0000-00005F070000}"/>
    <cellStyle name="Moeda 4 5" xfId="1210" xr:uid="{00000000-0005-0000-0000-000060070000}"/>
    <cellStyle name="Moeda 4 6" xfId="1211" xr:uid="{00000000-0005-0000-0000-000061070000}"/>
    <cellStyle name="Moeda 4 7" xfId="1212" xr:uid="{00000000-0005-0000-0000-000062070000}"/>
    <cellStyle name="Moeda 4 8" xfId="1213" xr:uid="{00000000-0005-0000-0000-000063070000}"/>
    <cellStyle name="Moeda 4 9" xfId="1214" xr:uid="{00000000-0005-0000-0000-000064070000}"/>
    <cellStyle name="Moeda 5" xfId="19" xr:uid="{00000000-0005-0000-0000-000065070000}"/>
    <cellStyle name="Moeda 5 10" xfId="1215" xr:uid="{00000000-0005-0000-0000-000066070000}"/>
    <cellStyle name="Moeda 5 11" xfId="7244" xr:uid="{00000000-0005-0000-0000-000067070000}"/>
    <cellStyle name="Moeda 5 12" xfId="7245" xr:uid="{00000000-0005-0000-0000-000068070000}"/>
    <cellStyle name="Moeda 5 2" xfId="79" xr:uid="{00000000-0005-0000-0000-000069070000}"/>
    <cellStyle name="Moeda 5 2 10" xfId="4002" xr:uid="{00000000-0005-0000-0000-00006A070000}"/>
    <cellStyle name="Moeda 5 2 10 2" xfId="12398" xr:uid="{00000000-0005-0000-0000-00006B070000}"/>
    <cellStyle name="Moeda 5 2 11" xfId="5861" xr:uid="{00000000-0005-0000-0000-00006C070000}"/>
    <cellStyle name="Moeda 5 2 11 2" xfId="12853" xr:uid="{00000000-0005-0000-0000-00006D070000}"/>
    <cellStyle name="Moeda 5 2 11 3" xfId="11894" xr:uid="{00000000-0005-0000-0000-00006E070000}"/>
    <cellStyle name="Moeda 5 2 11 4" xfId="18896" xr:uid="{00000000-0005-0000-0000-00006F070000}"/>
    <cellStyle name="Moeda 5 2 12" xfId="7246" xr:uid="{00000000-0005-0000-0000-000070070000}"/>
    <cellStyle name="Moeda 5 2 2" xfId="164" xr:uid="{00000000-0005-0000-0000-000071070000}"/>
    <cellStyle name="Moeda 5 2 2 10" xfId="15853" xr:uid="{00000000-0005-0000-0000-000072070000}"/>
    <cellStyle name="Moeda 5 2 2 2" xfId="739" xr:uid="{00000000-0005-0000-0000-000073070000}"/>
    <cellStyle name="Moeda 5 2 2 2 2" xfId="1217" xr:uid="{00000000-0005-0000-0000-000074070000}"/>
    <cellStyle name="Moeda 5 2 2 2 2 2" xfId="7247" xr:uid="{00000000-0005-0000-0000-000075070000}"/>
    <cellStyle name="Moeda 5 2 2 2 2 3" xfId="13423" xr:uid="{00000000-0005-0000-0000-000076070000}"/>
    <cellStyle name="Moeda 5 2 2 2 3" xfId="3856" xr:uid="{00000000-0005-0000-0000-000077070000}"/>
    <cellStyle name="Moeda 5 2 2 2 3 2" xfId="6005" xr:uid="{00000000-0005-0000-0000-000078070000}"/>
    <cellStyle name="Moeda 5 2 2 2 3 2 2" xfId="19040" xr:uid="{00000000-0005-0000-0000-000079070000}"/>
    <cellStyle name="Moeda 5 2 2 2 3 3" xfId="13685" xr:uid="{00000000-0005-0000-0000-00007A070000}"/>
    <cellStyle name="Moeda 5 2 2 2 3 4" xfId="13669" xr:uid="{00000000-0005-0000-0000-00007B070000}"/>
    <cellStyle name="Moeda 5 2 2 2 3 5" xfId="16898" xr:uid="{00000000-0005-0000-0000-00007C070000}"/>
    <cellStyle name="Moeda 5 2 2 2 4" xfId="6715" xr:uid="{00000000-0005-0000-0000-00007D070000}"/>
    <cellStyle name="Moeda 5 2 2 2 4 2" xfId="19750" xr:uid="{00000000-0005-0000-0000-00007E070000}"/>
    <cellStyle name="Moeda 5 2 2 2 5" xfId="5033" xr:uid="{00000000-0005-0000-0000-00007F070000}"/>
    <cellStyle name="Moeda 5 2 2 2 5 2" xfId="18068" xr:uid="{00000000-0005-0000-0000-000080070000}"/>
    <cellStyle name="Moeda 5 2 2 2 6" xfId="15901" xr:uid="{00000000-0005-0000-0000-000081070000}"/>
    <cellStyle name="Moeda 5 2 2 3" xfId="1218" xr:uid="{00000000-0005-0000-0000-000082070000}"/>
    <cellStyle name="Moeda 5 2 2 3 2" xfId="4025" xr:uid="{00000000-0005-0000-0000-000083070000}"/>
    <cellStyle name="Moeda 5 2 2 3 2 2" xfId="6117" xr:uid="{00000000-0005-0000-0000-000084070000}"/>
    <cellStyle name="Moeda 5 2 2 3 2 2 2" xfId="19152" xr:uid="{00000000-0005-0000-0000-000085070000}"/>
    <cellStyle name="Moeda 5 2 2 3 2 3" xfId="13702" xr:uid="{00000000-0005-0000-0000-000086070000}"/>
    <cellStyle name="Moeda 5 2 2 3 2 4" xfId="13665" xr:uid="{00000000-0005-0000-0000-000087070000}"/>
    <cellStyle name="Moeda 5 2 2 3 2 5" xfId="17066" xr:uid="{00000000-0005-0000-0000-000088070000}"/>
    <cellStyle name="Moeda 5 2 2 3 3" xfId="6804" xr:uid="{00000000-0005-0000-0000-000089070000}"/>
    <cellStyle name="Moeda 5 2 2 3 3 2" xfId="19839" xr:uid="{00000000-0005-0000-0000-00008A070000}"/>
    <cellStyle name="Moeda 5 2 2 3 4" xfId="5122" xr:uid="{00000000-0005-0000-0000-00008B070000}"/>
    <cellStyle name="Moeda 5 2 2 3 4 2" xfId="18157" xr:uid="{00000000-0005-0000-0000-00008C070000}"/>
    <cellStyle name="Moeda 5 2 2 3 5" xfId="15992" xr:uid="{00000000-0005-0000-0000-00008D070000}"/>
    <cellStyle name="Moeda 5 2 2 4" xfId="1219" xr:uid="{00000000-0005-0000-0000-00008E070000}"/>
    <cellStyle name="Moeda 5 2 2 5" xfId="1216" xr:uid="{00000000-0005-0000-0000-00008F070000}"/>
    <cellStyle name="Moeda 5 2 2 6" xfId="3717" xr:uid="{00000000-0005-0000-0000-000090070000}"/>
    <cellStyle name="Moeda 5 2 2 6 2" xfId="5905" xr:uid="{00000000-0005-0000-0000-000091070000}"/>
    <cellStyle name="Moeda 5 2 2 6 2 2" xfId="11825" xr:uid="{00000000-0005-0000-0000-000092070000}"/>
    <cellStyle name="Moeda 5 2 2 6 2 3" xfId="12953" xr:uid="{00000000-0005-0000-0000-000093070000}"/>
    <cellStyle name="Moeda 5 2 2 6 2 4" xfId="18940" xr:uid="{00000000-0005-0000-0000-000094070000}"/>
    <cellStyle name="Moeda 5 2 2 6 3" xfId="13676" xr:uid="{00000000-0005-0000-0000-000095070000}"/>
    <cellStyle name="Moeda 5 2 2 6 4" xfId="13653" xr:uid="{00000000-0005-0000-0000-000096070000}"/>
    <cellStyle name="Moeda 5 2 2 6 5" xfId="16761" xr:uid="{00000000-0005-0000-0000-000097070000}"/>
    <cellStyle name="Moeda 5 2 2 7" xfId="6677" xr:uid="{00000000-0005-0000-0000-000098070000}"/>
    <cellStyle name="Moeda 5 2 2 7 2" xfId="11643" xr:uid="{00000000-0005-0000-0000-000099070000}"/>
    <cellStyle name="Moeda 5 2 2 7 3" xfId="12945" xr:uid="{00000000-0005-0000-0000-00009A070000}"/>
    <cellStyle name="Moeda 5 2 2 7 4" xfId="19712" xr:uid="{00000000-0005-0000-0000-00009B070000}"/>
    <cellStyle name="Moeda 5 2 2 8" xfId="4994" xr:uid="{00000000-0005-0000-0000-00009C070000}"/>
    <cellStyle name="Moeda 5 2 2 8 2" xfId="11395" xr:uid="{00000000-0005-0000-0000-00009D070000}"/>
    <cellStyle name="Moeda 5 2 2 8 3" xfId="12552" xr:uid="{00000000-0005-0000-0000-00009E070000}"/>
    <cellStyle name="Moeda 5 2 2 8 4" xfId="18029" xr:uid="{00000000-0005-0000-0000-00009F070000}"/>
    <cellStyle name="Moeda 5 2 2 9" xfId="7248" xr:uid="{00000000-0005-0000-0000-0000A0070000}"/>
    <cellStyle name="Moeda 5 2 3" xfId="708" xr:uid="{00000000-0005-0000-0000-0000A1070000}"/>
    <cellStyle name="Moeda 5 2 3 2" xfId="12465" xr:uid="{00000000-0005-0000-0000-0000A2070000}"/>
    <cellStyle name="Moeda 5 2 4" xfId="1220" xr:uid="{00000000-0005-0000-0000-0000A3070000}"/>
    <cellStyle name="Moeda 5 2 5" xfId="1221" xr:uid="{00000000-0005-0000-0000-0000A4070000}"/>
    <cellStyle name="Moeda 5 2 5 2" xfId="1222" xr:uid="{00000000-0005-0000-0000-0000A5070000}"/>
    <cellStyle name="Moeda 5 2 5 2 2" xfId="4027" xr:uid="{00000000-0005-0000-0000-0000A6070000}"/>
    <cellStyle name="Moeda 5 2 5 2 2 2" xfId="6119" xr:uid="{00000000-0005-0000-0000-0000A7070000}"/>
    <cellStyle name="Moeda 5 2 5 2 2 2 2" xfId="19154" xr:uid="{00000000-0005-0000-0000-0000A8070000}"/>
    <cellStyle name="Moeda 5 2 5 2 2 3" xfId="13704" xr:uid="{00000000-0005-0000-0000-0000A9070000}"/>
    <cellStyle name="Moeda 5 2 5 2 2 4" xfId="13655" xr:uid="{00000000-0005-0000-0000-0000AA070000}"/>
    <cellStyle name="Moeda 5 2 5 2 2 5" xfId="17068" xr:uid="{00000000-0005-0000-0000-0000AB070000}"/>
    <cellStyle name="Moeda 5 2 5 2 3" xfId="6806" xr:uid="{00000000-0005-0000-0000-0000AC070000}"/>
    <cellStyle name="Moeda 5 2 5 2 3 2" xfId="19841" xr:uid="{00000000-0005-0000-0000-0000AD070000}"/>
    <cellStyle name="Moeda 5 2 5 2 4" xfId="5124" xr:uid="{00000000-0005-0000-0000-0000AE070000}"/>
    <cellStyle name="Moeda 5 2 5 2 4 2" xfId="18159" xr:uid="{00000000-0005-0000-0000-0000AF070000}"/>
    <cellStyle name="Moeda 5 2 5 2 5" xfId="15994" xr:uid="{00000000-0005-0000-0000-0000B0070000}"/>
    <cellStyle name="Moeda 5 2 5 3" xfId="1223" xr:uid="{00000000-0005-0000-0000-0000B1070000}"/>
    <cellStyle name="Moeda 5 2 5 4" xfId="4026" xr:uid="{00000000-0005-0000-0000-0000B2070000}"/>
    <cellStyle name="Moeda 5 2 5 4 2" xfId="6118" xr:uid="{00000000-0005-0000-0000-0000B3070000}"/>
    <cellStyle name="Moeda 5 2 5 4 2 2" xfId="19153" xr:uid="{00000000-0005-0000-0000-0000B4070000}"/>
    <cellStyle name="Moeda 5 2 5 4 3" xfId="13703" xr:uid="{00000000-0005-0000-0000-0000B5070000}"/>
    <cellStyle name="Moeda 5 2 5 4 4" xfId="13666" xr:uid="{00000000-0005-0000-0000-0000B6070000}"/>
    <cellStyle name="Moeda 5 2 5 4 5" xfId="17067" xr:uid="{00000000-0005-0000-0000-0000B7070000}"/>
    <cellStyle name="Moeda 5 2 5 5" xfId="6805" xr:uid="{00000000-0005-0000-0000-0000B8070000}"/>
    <cellStyle name="Moeda 5 2 5 5 2" xfId="19840" xr:uid="{00000000-0005-0000-0000-0000B9070000}"/>
    <cellStyle name="Moeda 5 2 5 6" xfId="5123" xr:uid="{00000000-0005-0000-0000-0000BA070000}"/>
    <cellStyle name="Moeda 5 2 5 6 2" xfId="18158" xr:uid="{00000000-0005-0000-0000-0000BB070000}"/>
    <cellStyle name="Moeda 5 2 5 7" xfId="13424" xr:uid="{00000000-0005-0000-0000-0000BC070000}"/>
    <cellStyle name="Moeda 5 2 5 8" xfId="15993" xr:uid="{00000000-0005-0000-0000-0000BD070000}"/>
    <cellStyle name="Moeda 5 2 6" xfId="1224" xr:uid="{00000000-0005-0000-0000-0000BE070000}"/>
    <cellStyle name="Moeda 5 2 7" xfId="1225" xr:uid="{00000000-0005-0000-0000-0000BF070000}"/>
    <cellStyle name="Moeda 5 2 8" xfId="1226" xr:uid="{00000000-0005-0000-0000-0000C0070000}"/>
    <cellStyle name="Moeda 5 2 9" xfId="1227" xr:uid="{00000000-0005-0000-0000-0000C1070000}"/>
    <cellStyle name="Moeda 5 3" xfId="653" xr:uid="{00000000-0005-0000-0000-0000C2070000}"/>
    <cellStyle name="Moeda 5 4" xfId="1228" xr:uid="{00000000-0005-0000-0000-0000C3070000}"/>
    <cellStyle name="Moeda 5 5" xfId="1229" xr:uid="{00000000-0005-0000-0000-0000C4070000}"/>
    <cellStyle name="Moeda 5 6" xfId="1230" xr:uid="{00000000-0005-0000-0000-0000C5070000}"/>
    <cellStyle name="Moeda 5 7" xfId="1231" xr:uid="{00000000-0005-0000-0000-0000C6070000}"/>
    <cellStyle name="Moeda 5 8" xfId="1232" xr:uid="{00000000-0005-0000-0000-0000C7070000}"/>
    <cellStyle name="Moeda 5 9" xfId="1233" xr:uid="{00000000-0005-0000-0000-0000C8070000}"/>
    <cellStyle name="Moeda 6" xfId="20" xr:uid="{00000000-0005-0000-0000-0000C9070000}"/>
    <cellStyle name="Moeda 6 10" xfId="1234" xr:uid="{00000000-0005-0000-0000-0000CA070000}"/>
    <cellStyle name="Moeda 6 11" xfId="7249" xr:uid="{00000000-0005-0000-0000-0000CB070000}"/>
    <cellStyle name="Moeda 6 12" xfId="7250" xr:uid="{00000000-0005-0000-0000-0000CC070000}"/>
    <cellStyle name="Moeda 6 2" xfId="80" xr:uid="{00000000-0005-0000-0000-0000CD070000}"/>
    <cellStyle name="Moeda 6 2 10" xfId="7251" xr:uid="{00000000-0005-0000-0000-0000CE070000}"/>
    <cellStyle name="Moeda 6 2 11" xfId="7252" xr:uid="{00000000-0005-0000-0000-0000CF070000}"/>
    <cellStyle name="Moeda 6 2 2" xfId="709" xr:uid="{00000000-0005-0000-0000-0000D0070000}"/>
    <cellStyle name="Moeda 6 2 3" xfId="1235" xr:uid="{00000000-0005-0000-0000-0000D1070000}"/>
    <cellStyle name="Moeda 6 2 4" xfId="1236" xr:uid="{00000000-0005-0000-0000-0000D2070000}"/>
    <cellStyle name="Moeda 6 2 5" xfId="1237" xr:uid="{00000000-0005-0000-0000-0000D3070000}"/>
    <cellStyle name="Moeda 6 2 6" xfId="1238" xr:uid="{00000000-0005-0000-0000-0000D4070000}"/>
    <cellStyle name="Moeda 6 2 7" xfId="1239" xr:uid="{00000000-0005-0000-0000-0000D5070000}"/>
    <cellStyle name="Moeda 6 2 8" xfId="1240" xr:uid="{00000000-0005-0000-0000-0000D6070000}"/>
    <cellStyle name="Moeda 6 2 9" xfId="1241" xr:uid="{00000000-0005-0000-0000-0000D7070000}"/>
    <cellStyle name="Moeda 6 3" xfId="654" xr:uid="{00000000-0005-0000-0000-0000D8070000}"/>
    <cellStyle name="Moeda 6 4" xfId="1242" xr:uid="{00000000-0005-0000-0000-0000D9070000}"/>
    <cellStyle name="Moeda 6 5" xfId="1243" xr:uid="{00000000-0005-0000-0000-0000DA070000}"/>
    <cellStyle name="Moeda 6 6" xfId="1244" xr:uid="{00000000-0005-0000-0000-0000DB070000}"/>
    <cellStyle name="Moeda 6 7" xfId="1245" xr:uid="{00000000-0005-0000-0000-0000DC070000}"/>
    <cellStyle name="Moeda 6 8" xfId="1246" xr:uid="{00000000-0005-0000-0000-0000DD070000}"/>
    <cellStyle name="Moeda 6 9" xfId="1247" xr:uid="{00000000-0005-0000-0000-0000DE070000}"/>
    <cellStyle name="Moeda 7" xfId="21" xr:uid="{00000000-0005-0000-0000-0000DF070000}"/>
    <cellStyle name="Moeda 7 10" xfId="7253" xr:uid="{00000000-0005-0000-0000-0000E0070000}"/>
    <cellStyle name="Moeda 7 11" xfId="7254" xr:uid="{00000000-0005-0000-0000-0000E1070000}"/>
    <cellStyle name="Moeda 7 2" xfId="655" xr:uid="{00000000-0005-0000-0000-0000E2070000}"/>
    <cellStyle name="Moeda 7 3" xfId="1248" xr:uid="{00000000-0005-0000-0000-0000E3070000}"/>
    <cellStyle name="Moeda 7 4" xfId="1249" xr:uid="{00000000-0005-0000-0000-0000E4070000}"/>
    <cellStyle name="Moeda 7 5" xfId="1250" xr:uid="{00000000-0005-0000-0000-0000E5070000}"/>
    <cellStyle name="Moeda 7 6" xfId="1251" xr:uid="{00000000-0005-0000-0000-0000E6070000}"/>
    <cellStyle name="Moeda 7 7" xfId="1252" xr:uid="{00000000-0005-0000-0000-0000E7070000}"/>
    <cellStyle name="Moeda 7 8" xfId="1253" xr:uid="{00000000-0005-0000-0000-0000E8070000}"/>
    <cellStyle name="Moeda 7 9" xfId="1254" xr:uid="{00000000-0005-0000-0000-0000E9070000}"/>
    <cellStyle name="Moeda 8" xfId="7" xr:uid="{00000000-0005-0000-0000-0000EA070000}"/>
    <cellStyle name="Moeda 8 10" xfId="1255" xr:uid="{00000000-0005-0000-0000-0000EB070000}"/>
    <cellStyle name="Moeda 8 11" xfId="1256" xr:uid="{00000000-0005-0000-0000-0000EC070000}"/>
    <cellStyle name="Moeda 8 2" xfId="81" xr:uid="{00000000-0005-0000-0000-0000ED070000}"/>
    <cellStyle name="Moeda 8 2 10" xfId="7255" xr:uid="{00000000-0005-0000-0000-0000EE070000}"/>
    <cellStyle name="Moeda 8 2 11" xfId="7256" xr:uid="{00000000-0005-0000-0000-0000EF070000}"/>
    <cellStyle name="Moeda 8 2 2" xfId="710" xr:uid="{00000000-0005-0000-0000-0000F0070000}"/>
    <cellStyle name="Moeda 8 2 3" xfId="1257" xr:uid="{00000000-0005-0000-0000-0000F1070000}"/>
    <cellStyle name="Moeda 8 2 4" xfId="1258" xr:uid="{00000000-0005-0000-0000-0000F2070000}"/>
    <cellStyle name="Moeda 8 2 5" xfId="1259" xr:uid="{00000000-0005-0000-0000-0000F3070000}"/>
    <cellStyle name="Moeda 8 2 6" xfId="1260" xr:uid="{00000000-0005-0000-0000-0000F4070000}"/>
    <cellStyle name="Moeda 8 2 7" xfId="1261" xr:uid="{00000000-0005-0000-0000-0000F5070000}"/>
    <cellStyle name="Moeda 8 2 8" xfId="1262" xr:uid="{00000000-0005-0000-0000-0000F6070000}"/>
    <cellStyle name="Moeda 8 2 9" xfId="1263" xr:uid="{00000000-0005-0000-0000-0000F7070000}"/>
    <cellStyle name="Moeda 8 3" xfId="82" xr:uid="{00000000-0005-0000-0000-0000F8070000}"/>
    <cellStyle name="Moeda 8 3 10" xfId="1265" xr:uid="{00000000-0005-0000-0000-0000F9070000}"/>
    <cellStyle name="Moeda 8 3 10 2" xfId="2522" xr:uid="{00000000-0005-0000-0000-0000FA070000}"/>
    <cellStyle name="Moeda 8 3 10 3" xfId="2673" xr:uid="{00000000-0005-0000-0000-0000FB070000}"/>
    <cellStyle name="Moeda 8 3 11" xfId="1266" xr:uid="{00000000-0005-0000-0000-0000FC070000}"/>
    <cellStyle name="Moeda 8 3 11 2" xfId="2521" xr:uid="{00000000-0005-0000-0000-0000FD070000}"/>
    <cellStyle name="Moeda 8 3 11 3" xfId="2674" xr:uid="{00000000-0005-0000-0000-0000FE070000}"/>
    <cellStyle name="Moeda 8 3 12" xfId="1264" xr:uid="{00000000-0005-0000-0000-0000FF070000}"/>
    <cellStyle name="Moeda 8 3 12 2" xfId="2827" xr:uid="{00000000-0005-0000-0000-000000080000}"/>
    <cellStyle name="Moeda 8 3 12 3" xfId="2672" xr:uid="{00000000-0005-0000-0000-000001080000}"/>
    <cellStyle name="Moeda 8 3 12 4" xfId="2605" xr:uid="{00000000-0005-0000-0000-000002080000}"/>
    <cellStyle name="Moeda 8 3 12 5" xfId="2538" xr:uid="{00000000-0005-0000-0000-000003080000}"/>
    <cellStyle name="Moeda 8 3 2" xfId="83" xr:uid="{00000000-0005-0000-0000-000004080000}"/>
    <cellStyle name="Moeda 8 3 2 10" xfId="7257" xr:uid="{00000000-0005-0000-0000-000005080000}"/>
    <cellStyle name="Moeda 8 3 2 11" xfId="7258" xr:uid="{00000000-0005-0000-0000-000006080000}"/>
    <cellStyle name="Moeda 8 3 2 2" xfId="711" xr:uid="{00000000-0005-0000-0000-000007080000}"/>
    <cellStyle name="Moeda 8 3 2 3" xfId="1268" xr:uid="{00000000-0005-0000-0000-000008080000}"/>
    <cellStyle name="Moeda 8 3 2 4" xfId="1269" xr:uid="{00000000-0005-0000-0000-000009080000}"/>
    <cellStyle name="Moeda 8 3 2 5" xfId="1270" xr:uid="{00000000-0005-0000-0000-00000A080000}"/>
    <cellStyle name="Moeda 8 3 2 6" xfId="1271" xr:uid="{00000000-0005-0000-0000-00000B080000}"/>
    <cellStyle name="Moeda 8 3 2 7" xfId="1272" xr:uid="{00000000-0005-0000-0000-00000C080000}"/>
    <cellStyle name="Moeda 8 3 2 8" xfId="1273" xr:uid="{00000000-0005-0000-0000-00000D080000}"/>
    <cellStyle name="Moeda 8 3 2 9" xfId="1274" xr:uid="{00000000-0005-0000-0000-00000E080000}"/>
    <cellStyle name="Moeda 8 3 3" xfId="433" xr:uid="{00000000-0005-0000-0000-00000F080000}"/>
    <cellStyle name="Moeda 8 3 3 2" xfId="461" xr:uid="{00000000-0005-0000-0000-000010080000}"/>
    <cellStyle name="Moeda 8 3 3 2 2" xfId="801" xr:uid="{00000000-0005-0000-0000-000011080000}"/>
    <cellStyle name="Moeda 8 3 3 2 3" xfId="7259" xr:uid="{00000000-0005-0000-0000-000012080000}"/>
    <cellStyle name="Moeda 8 3 3 2 4" xfId="7260" xr:uid="{00000000-0005-0000-0000-000013080000}"/>
    <cellStyle name="Moeda 8 3 3 2 5" xfId="7261" xr:uid="{00000000-0005-0000-0000-000014080000}"/>
    <cellStyle name="Moeda 8 3 3 2 6" xfId="7262" xr:uid="{00000000-0005-0000-0000-000015080000}"/>
    <cellStyle name="Moeda 8 3 3 2 7" xfId="7263" xr:uid="{00000000-0005-0000-0000-000016080000}"/>
    <cellStyle name="Moeda 8 3 3 2 8" xfId="7264" xr:uid="{00000000-0005-0000-0000-000017080000}"/>
    <cellStyle name="Moeda 8 3 3 3" xfId="789" xr:uid="{00000000-0005-0000-0000-000018080000}"/>
    <cellStyle name="Moeda 8 3 3 3 2" xfId="1276" xr:uid="{00000000-0005-0000-0000-000019080000}"/>
    <cellStyle name="Moeda 8 3 3 3 2 2" xfId="2829" xr:uid="{00000000-0005-0000-0000-00001A080000}"/>
    <cellStyle name="Moeda 8 3 3 3 2 3" xfId="2676" xr:uid="{00000000-0005-0000-0000-00001B080000}"/>
    <cellStyle name="Moeda 8 3 3 3 2 4" xfId="2607" xr:uid="{00000000-0005-0000-0000-00001C080000}"/>
    <cellStyle name="Moeda 8 3 3 3 2 5" xfId="2540" xr:uid="{00000000-0005-0000-0000-00001D080000}"/>
    <cellStyle name="Moeda 8 3 3 4" xfId="1277" xr:uid="{00000000-0005-0000-0000-00001E080000}"/>
    <cellStyle name="Moeda 8 3 3 4 2" xfId="2520" xr:uid="{00000000-0005-0000-0000-00001F080000}"/>
    <cellStyle name="Moeda 8 3 3 4 3" xfId="2677" xr:uid="{00000000-0005-0000-0000-000020080000}"/>
    <cellStyle name="Moeda 8 3 3 5" xfId="1275" xr:uid="{00000000-0005-0000-0000-000021080000}"/>
    <cellStyle name="Moeda 8 3 3 5 2" xfId="2828" xr:uid="{00000000-0005-0000-0000-000022080000}"/>
    <cellStyle name="Moeda 8 3 3 5 3" xfId="2675" xr:uid="{00000000-0005-0000-0000-000023080000}"/>
    <cellStyle name="Moeda 8 3 3 5 4" xfId="2606" xr:uid="{00000000-0005-0000-0000-000024080000}"/>
    <cellStyle name="Moeda 8 3 3 5 5" xfId="2539" xr:uid="{00000000-0005-0000-0000-000025080000}"/>
    <cellStyle name="Moeda 8 3 3 6" xfId="7265" xr:uid="{00000000-0005-0000-0000-000026080000}"/>
    <cellStyle name="Moeda 8 3 3 7" xfId="7266" xr:uid="{00000000-0005-0000-0000-000027080000}"/>
    <cellStyle name="Moeda 8 3 3 8" xfId="7267" xr:uid="{00000000-0005-0000-0000-000028080000}"/>
    <cellStyle name="Moeda 8 3 3 9" xfId="7268" xr:uid="{00000000-0005-0000-0000-000029080000}"/>
    <cellStyle name="Moeda 8 3 4" xfId="434" xr:uid="{00000000-0005-0000-0000-00002A080000}"/>
    <cellStyle name="Moeda 8 3 4 2" xfId="462" xr:uid="{00000000-0005-0000-0000-00002B080000}"/>
    <cellStyle name="Moeda 8 3 4 2 2" xfId="802" xr:uid="{00000000-0005-0000-0000-00002C080000}"/>
    <cellStyle name="Moeda 8 3 4 2 3" xfId="7269" xr:uid="{00000000-0005-0000-0000-00002D080000}"/>
    <cellStyle name="Moeda 8 3 4 2 4" xfId="7270" xr:uid="{00000000-0005-0000-0000-00002E080000}"/>
    <cellStyle name="Moeda 8 3 4 2 5" xfId="7271" xr:uid="{00000000-0005-0000-0000-00002F080000}"/>
    <cellStyle name="Moeda 8 3 4 2 6" xfId="7272" xr:uid="{00000000-0005-0000-0000-000030080000}"/>
    <cellStyle name="Moeda 8 3 4 2 7" xfId="7273" xr:uid="{00000000-0005-0000-0000-000031080000}"/>
    <cellStyle name="Moeda 8 3 4 2 8" xfId="7274" xr:uid="{00000000-0005-0000-0000-000032080000}"/>
    <cellStyle name="Moeda 8 3 4 3" xfId="790" xr:uid="{00000000-0005-0000-0000-000033080000}"/>
    <cellStyle name="Moeda 8 3 4 4" xfId="7275" xr:uid="{00000000-0005-0000-0000-000034080000}"/>
    <cellStyle name="Moeda 8 3 4 5" xfId="7276" xr:uid="{00000000-0005-0000-0000-000035080000}"/>
    <cellStyle name="Moeda 8 3 4 6" xfId="7277" xr:uid="{00000000-0005-0000-0000-000036080000}"/>
    <cellStyle name="Moeda 8 3 4 7" xfId="7278" xr:uid="{00000000-0005-0000-0000-000037080000}"/>
    <cellStyle name="Moeda 8 3 4 8" xfId="7279" xr:uid="{00000000-0005-0000-0000-000038080000}"/>
    <cellStyle name="Moeda 8 3 4 9" xfId="7280" xr:uid="{00000000-0005-0000-0000-000039080000}"/>
    <cellStyle name="Moeda 8 3 5" xfId="463" xr:uid="{00000000-0005-0000-0000-00003A080000}"/>
    <cellStyle name="Moeda 8 3 5 2" xfId="464" xr:uid="{00000000-0005-0000-0000-00003B080000}"/>
    <cellStyle name="Moeda 8 3 5 2 2" xfId="803" xr:uid="{00000000-0005-0000-0000-00003C080000}"/>
    <cellStyle name="Moeda 8 3 5 2 3" xfId="7281" xr:uid="{00000000-0005-0000-0000-00003D080000}"/>
    <cellStyle name="Moeda 8 3 5 2 4" xfId="7282" xr:uid="{00000000-0005-0000-0000-00003E080000}"/>
    <cellStyle name="Moeda 8 3 5 2 5" xfId="7283" xr:uid="{00000000-0005-0000-0000-00003F080000}"/>
    <cellStyle name="Moeda 8 3 5 2 6" xfId="7284" xr:uid="{00000000-0005-0000-0000-000040080000}"/>
    <cellStyle name="Moeda 8 3 5 2 7" xfId="7285" xr:uid="{00000000-0005-0000-0000-000041080000}"/>
    <cellStyle name="Moeda 8 3 5 2 8" xfId="7286" xr:uid="{00000000-0005-0000-0000-000042080000}"/>
    <cellStyle name="Moeda 8 3 5 3" xfId="1278" xr:uid="{00000000-0005-0000-0000-000043080000}"/>
    <cellStyle name="Moeda 8 3 5 3 2" xfId="2830" xr:uid="{00000000-0005-0000-0000-000044080000}"/>
    <cellStyle name="Moeda 8 3 5 3 3" xfId="2678" xr:uid="{00000000-0005-0000-0000-000045080000}"/>
    <cellStyle name="Moeda 8 3 5 3 4" xfId="2608" xr:uid="{00000000-0005-0000-0000-000046080000}"/>
    <cellStyle name="Moeda 8 3 5 3 5" xfId="2541" xr:uid="{00000000-0005-0000-0000-000047080000}"/>
    <cellStyle name="Moeda 8 3 6" xfId="465" xr:uid="{00000000-0005-0000-0000-000048080000}"/>
    <cellStyle name="Moeda 8 3 6 2" xfId="466" xr:uid="{00000000-0005-0000-0000-000049080000}"/>
    <cellStyle name="Moeda 8 3 6 2 2" xfId="805" xr:uid="{00000000-0005-0000-0000-00004A080000}"/>
    <cellStyle name="Moeda 8 3 6 2 3" xfId="7287" xr:uid="{00000000-0005-0000-0000-00004B080000}"/>
    <cellStyle name="Moeda 8 3 6 2 4" xfId="7288" xr:uid="{00000000-0005-0000-0000-00004C080000}"/>
    <cellStyle name="Moeda 8 3 6 2 5" xfId="7289" xr:uid="{00000000-0005-0000-0000-00004D080000}"/>
    <cellStyle name="Moeda 8 3 6 2 6" xfId="7290" xr:uid="{00000000-0005-0000-0000-00004E080000}"/>
    <cellStyle name="Moeda 8 3 6 2 7" xfId="7291" xr:uid="{00000000-0005-0000-0000-00004F080000}"/>
    <cellStyle name="Moeda 8 3 6 2 8" xfId="7292" xr:uid="{00000000-0005-0000-0000-000050080000}"/>
    <cellStyle name="Moeda 8 3 6 3" xfId="804" xr:uid="{00000000-0005-0000-0000-000051080000}"/>
    <cellStyle name="Moeda 8 3 6 3 2" xfId="1280" xr:uid="{00000000-0005-0000-0000-000052080000}"/>
    <cellStyle name="Moeda 8 3 6 3 2 2" xfId="2832" xr:uid="{00000000-0005-0000-0000-000053080000}"/>
    <cellStyle name="Moeda 8 3 6 3 2 3" xfId="2680" xr:uid="{00000000-0005-0000-0000-000054080000}"/>
    <cellStyle name="Moeda 8 3 6 3 2 4" xfId="2610" xr:uid="{00000000-0005-0000-0000-000055080000}"/>
    <cellStyle name="Moeda 8 3 6 3 2 5" xfId="2543" xr:uid="{00000000-0005-0000-0000-000056080000}"/>
    <cellStyle name="Moeda 8 3 6 4" xfId="1281" xr:uid="{00000000-0005-0000-0000-000057080000}"/>
    <cellStyle name="Moeda 8 3 6 4 2" xfId="2519" xr:uid="{00000000-0005-0000-0000-000058080000}"/>
    <cellStyle name="Moeda 8 3 6 4 3" xfId="2681" xr:uid="{00000000-0005-0000-0000-000059080000}"/>
    <cellStyle name="Moeda 8 3 6 5" xfId="1279" xr:uid="{00000000-0005-0000-0000-00005A080000}"/>
    <cellStyle name="Moeda 8 3 6 5 2" xfId="2831" xr:uid="{00000000-0005-0000-0000-00005B080000}"/>
    <cellStyle name="Moeda 8 3 6 5 3" xfId="2679" xr:uid="{00000000-0005-0000-0000-00005C080000}"/>
    <cellStyle name="Moeda 8 3 6 5 4" xfId="2609" xr:uid="{00000000-0005-0000-0000-00005D080000}"/>
    <cellStyle name="Moeda 8 3 6 5 5" xfId="2542" xr:uid="{00000000-0005-0000-0000-00005E080000}"/>
    <cellStyle name="Moeda 8 3 6 6" xfId="7293" xr:uid="{00000000-0005-0000-0000-00005F080000}"/>
    <cellStyle name="Moeda 8 3 6 7" xfId="7294" xr:uid="{00000000-0005-0000-0000-000060080000}"/>
    <cellStyle name="Moeda 8 3 6 8" xfId="7295" xr:uid="{00000000-0005-0000-0000-000061080000}"/>
    <cellStyle name="Moeda 8 3 6 9" xfId="7296" xr:uid="{00000000-0005-0000-0000-000062080000}"/>
    <cellStyle name="Moeda 8 3 7" xfId="467" xr:uid="{00000000-0005-0000-0000-000063080000}"/>
    <cellStyle name="Moeda 8 3 7 2" xfId="1283" xr:uid="{00000000-0005-0000-0000-000064080000}"/>
    <cellStyle name="Moeda 8 3 7 2 2" xfId="7297" xr:uid="{00000000-0005-0000-0000-000065080000}"/>
    <cellStyle name="Moeda 8 3 7 3" xfId="1282" xr:uid="{00000000-0005-0000-0000-000066080000}"/>
    <cellStyle name="Moeda 8 3 7 3 2" xfId="2833" xr:uid="{00000000-0005-0000-0000-000067080000}"/>
    <cellStyle name="Moeda 8 3 7 3 3" xfId="2682" xr:uid="{00000000-0005-0000-0000-000068080000}"/>
    <cellStyle name="Moeda 8 3 7 3 4" xfId="2611" xr:uid="{00000000-0005-0000-0000-000069080000}"/>
    <cellStyle name="Moeda 8 3 7 3 5" xfId="2544" xr:uid="{00000000-0005-0000-0000-00006A080000}"/>
    <cellStyle name="Moeda 8 3 8" xfId="468" xr:uid="{00000000-0005-0000-0000-00006B080000}"/>
    <cellStyle name="Moeda 8 3 8 2" xfId="1284" xr:uid="{00000000-0005-0000-0000-00006C080000}"/>
    <cellStyle name="Moeda 8 3 8 2 2" xfId="7298" xr:uid="{00000000-0005-0000-0000-00006D080000}"/>
    <cellStyle name="Moeda 8 3 8 3" xfId="1285" xr:uid="{00000000-0005-0000-0000-00006E080000}"/>
    <cellStyle name="Moeda 8 3 8 4" xfId="1286" xr:uid="{00000000-0005-0000-0000-00006F080000}"/>
    <cellStyle name="Moeda 8 3 8 4 2" xfId="2518" xr:uid="{00000000-0005-0000-0000-000070080000}"/>
    <cellStyle name="Moeda 8 3 8 4 3" xfId="2683" xr:uid="{00000000-0005-0000-0000-000071080000}"/>
    <cellStyle name="Moeda 8 3 8 5" xfId="1287" xr:uid="{00000000-0005-0000-0000-000072080000}"/>
    <cellStyle name="Moeda 8 3 9" xfId="469" xr:uid="{00000000-0005-0000-0000-000073080000}"/>
    <cellStyle name="Moeda 8 3 9 2" xfId="1288" xr:uid="{00000000-0005-0000-0000-000074080000}"/>
    <cellStyle name="Moeda 8 3 9 2 2" xfId="2834" xr:uid="{00000000-0005-0000-0000-000075080000}"/>
    <cellStyle name="Moeda 8 3 9 2 3" xfId="2684" xr:uid="{00000000-0005-0000-0000-000076080000}"/>
    <cellStyle name="Moeda 8 3 9 2 4" xfId="2612" xr:uid="{00000000-0005-0000-0000-000077080000}"/>
    <cellStyle name="Moeda 8 3 9 2 5" xfId="2545" xr:uid="{00000000-0005-0000-0000-000078080000}"/>
    <cellStyle name="Moeda 8 4" xfId="1289" xr:uid="{00000000-0005-0000-0000-000079080000}"/>
    <cellStyle name="Moeda 8 5" xfId="1290" xr:uid="{00000000-0005-0000-0000-00007A080000}"/>
    <cellStyle name="Moeda 8 6" xfId="1291" xr:uid="{00000000-0005-0000-0000-00007B080000}"/>
    <cellStyle name="Moeda 8 7" xfId="1292" xr:uid="{00000000-0005-0000-0000-00007C080000}"/>
    <cellStyle name="Moeda 8 8" xfId="1293" xr:uid="{00000000-0005-0000-0000-00007D080000}"/>
    <cellStyle name="Moeda 8 9" xfId="1294" xr:uid="{00000000-0005-0000-0000-00007E080000}"/>
    <cellStyle name="Moeda 9" xfId="84" xr:uid="{00000000-0005-0000-0000-00007F080000}"/>
    <cellStyle name="Moeda 9 10" xfId="1296" xr:uid="{00000000-0005-0000-0000-000080080000}"/>
    <cellStyle name="Moeda 9 10 2" xfId="2517" xr:uid="{00000000-0005-0000-0000-000081080000}"/>
    <cellStyle name="Moeda 9 10 3" xfId="2686" xr:uid="{00000000-0005-0000-0000-000082080000}"/>
    <cellStyle name="Moeda 9 11" xfId="1297" xr:uid="{00000000-0005-0000-0000-000083080000}"/>
    <cellStyle name="Moeda 9 11 2" xfId="2516" xr:uid="{00000000-0005-0000-0000-000084080000}"/>
    <cellStyle name="Moeda 9 11 3" xfId="2687" xr:uid="{00000000-0005-0000-0000-000085080000}"/>
    <cellStyle name="Moeda 9 12" xfId="1295" xr:uid="{00000000-0005-0000-0000-000086080000}"/>
    <cellStyle name="Moeda 9 12 2" xfId="2835" xr:uid="{00000000-0005-0000-0000-000087080000}"/>
    <cellStyle name="Moeda 9 12 3" xfId="2685" xr:uid="{00000000-0005-0000-0000-000088080000}"/>
    <cellStyle name="Moeda 9 12 4" xfId="2613" xr:uid="{00000000-0005-0000-0000-000089080000}"/>
    <cellStyle name="Moeda 9 12 5" xfId="2546" xr:uid="{00000000-0005-0000-0000-00008A080000}"/>
    <cellStyle name="Moeda 9 2" xfId="85" xr:uid="{00000000-0005-0000-0000-00008B080000}"/>
    <cellStyle name="Moeda 9 2 10" xfId="7299" xr:uid="{00000000-0005-0000-0000-00008C080000}"/>
    <cellStyle name="Moeda 9 2 11" xfId="7300" xr:uid="{00000000-0005-0000-0000-00008D080000}"/>
    <cellStyle name="Moeda 9 2 2" xfId="712" xr:uid="{00000000-0005-0000-0000-00008E080000}"/>
    <cellStyle name="Moeda 9 2 3" xfId="1298" xr:uid="{00000000-0005-0000-0000-00008F080000}"/>
    <cellStyle name="Moeda 9 2 4" xfId="1299" xr:uid="{00000000-0005-0000-0000-000090080000}"/>
    <cellStyle name="Moeda 9 2 5" xfId="1300" xr:uid="{00000000-0005-0000-0000-000091080000}"/>
    <cellStyle name="Moeda 9 2 6" xfId="1301" xr:uid="{00000000-0005-0000-0000-000092080000}"/>
    <cellStyle name="Moeda 9 2 7" xfId="1302" xr:uid="{00000000-0005-0000-0000-000093080000}"/>
    <cellStyle name="Moeda 9 2 8" xfId="1303" xr:uid="{00000000-0005-0000-0000-000094080000}"/>
    <cellStyle name="Moeda 9 2 9" xfId="1304" xr:uid="{00000000-0005-0000-0000-000095080000}"/>
    <cellStyle name="Moeda 9 3" xfId="435" xr:uid="{00000000-0005-0000-0000-000096080000}"/>
    <cellStyle name="Moeda 9 3 2" xfId="470" xr:uid="{00000000-0005-0000-0000-000097080000}"/>
    <cellStyle name="Moeda 9 3 2 2" xfId="806" xr:uid="{00000000-0005-0000-0000-000098080000}"/>
    <cellStyle name="Moeda 9 3 2 3" xfId="7301" xr:uid="{00000000-0005-0000-0000-000099080000}"/>
    <cellStyle name="Moeda 9 3 2 4" xfId="7302" xr:uid="{00000000-0005-0000-0000-00009A080000}"/>
    <cellStyle name="Moeda 9 3 2 5" xfId="7303" xr:uid="{00000000-0005-0000-0000-00009B080000}"/>
    <cellStyle name="Moeda 9 3 2 6" xfId="7304" xr:uid="{00000000-0005-0000-0000-00009C080000}"/>
    <cellStyle name="Moeda 9 3 2 7" xfId="7305" xr:uid="{00000000-0005-0000-0000-00009D080000}"/>
    <cellStyle name="Moeda 9 3 2 8" xfId="7306" xr:uid="{00000000-0005-0000-0000-00009E080000}"/>
    <cellStyle name="Moeda 9 3 3" xfId="791" xr:uid="{00000000-0005-0000-0000-00009F080000}"/>
    <cellStyle name="Moeda 9 3 3 2" xfId="1306" xr:uid="{00000000-0005-0000-0000-0000A0080000}"/>
    <cellStyle name="Moeda 9 3 3 2 2" xfId="2837" xr:uid="{00000000-0005-0000-0000-0000A1080000}"/>
    <cellStyle name="Moeda 9 3 3 2 3" xfId="2689" xr:uid="{00000000-0005-0000-0000-0000A2080000}"/>
    <cellStyle name="Moeda 9 3 3 2 4" xfId="2615" xr:uid="{00000000-0005-0000-0000-0000A3080000}"/>
    <cellStyle name="Moeda 9 3 3 2 5" xfId="2548" xr:uid="{00000000-0005-0000-0000-0000A4080000}"/>
    <cellStyle name="Moeda 9 3 4" xfId="1307" xr:uid="{00000000-0005-0000-0000-0000A5080000}"/>
    <cellStyle name="Moeda 9 3 4 2" xfId="2515" xr:uid="{00000000-0005-0000-0000-0000A6080000}"/>
    <cellStyle name="Moeda 9 3 4 3" xfId="2690" xr:uid="{00000000-0005-0000-0000-0000A7080000}"/>
    <cellStyle name="Moeda 9 3 5" xfId="1305" xr:uid="{00000000-0005-0000-0000-0000A8080000}"/>
    <cellStyle name="Moeda 9 3 5 2" xfId="2836" xr:uid="{00000000-0005-0000-0000-0000A9080000}"/>
    <cellStyle name="Moeda 9 3 5 3" xfId="2688" xr:uid="{00000000-0005-0000-0000-0000AA080000}"/>
    <cellStyle name="Moeda 9 3 5 4" xfId="2614" xr:uid="{00000000-0005-0000-0000-0000AB080000}"/>
    <cellStyle name="Moeda 9 3 5 5" xfId="2547" xr:uid="{00000000-0005-0000-0000-0000AC080000}"/>
    <cellStyle name="Moeda 9 3 6" xfId="7307" xr:uid="{00000000-0005-0000-0000-0000AD080000}"/>
    <cellStyle name="Moeda 9 3 7" xfId="7308" xr:uid="{00000000-0005-0000-0000-0000AE080000}"/>
    <cellStyle name="Moeda 9 3 8" xfId="7309" xr:uid="{00000000-0005-0000-0000-0000AF080000}"/>
    <cellStyle name="Moeda 9 3 9" xfId="7310" xr:uid="{00000000-0005-0000-0000-0000B0080000}"/>
    <cellStyle name="Moeda 9 4" xfId="436" xr:uid="{00000000-0005-0000-0000-0000B1080000}"/>
    <cellStyle name="Moeda 9 4 2" xfId="471" xr:uid="{00000000-0005-0000-0000-0000B2080000}"/>
    <cellStyle name="Moeda 9 4 2 2" xfId="807" xr:uid="{00000000-0005-0000-0000-0000B3080000}"/>
    <cellStyle name="Moeda 9 4 2 3" xfId="7311" xr:uid="{00000000-0005-0000-0000-0000B4080000}"/>
    <cellStyle name="Moeda 9 4 2 4" xfId="7312" xr:uid="{00000000-0005-0000-0000-0000B5080000}"/>
    <cellStyle name="Moeda 9 4 2 5" xfId="7313" xr:uid="{00000000-0005-0000-0000-0000B6080000}"/>
    <cellStyle name="Moeda 9 4 2 6" xfId="7314" xr:uid="{00000000-0005-0000-0000-0000B7080000}"/>
    <cellStyle name="Moeda 9 4 2 7" xfId="7315" xr:uid="{00000000-0005-0000-0000-0000B8080000}"/>
    <cellStyle name="Moeda 9 4 2 8" xfId="7316" xr:uid="{00000000-0005-0000-0000-0000B9080000}"/>
    <cellStyle name="Moeda 9 4 3" xfId="792" xr:uid="{00000000-0005-0000-0000-0000BA080000}"/>
    <cellStyle name="Moeda 9 4 4" xfId="7317" xr:uid="{00000000-0005-0000-0000-0000BB080000}"/>
    <cellStyle name="Moeda 9 4 5" xfId="7318" xr:uid="{00000000-0005-0000-0000-0000BC080000}"/>
    <cellStyle name="Moeda 9 4 6" xfId="7319" xr:uid="{00000000-0005-0000-0000-0000BD080000}"/>
    <cellStyle name="Moeda 9 4 7" xfId="7320" xr:uid="{00000000-0005-0000-0000-0000BE080000}"/>
    <cellStyle name="Moeda 9 4 8" xfId="7321" xr:uid="{00000000-0005-0000-0000-0000BF080000}"/>
    <cellStyle name="Moeda 9 4 9" xfId="7322" xr:uid="{00000000-0005-0000-0000-0000C0080000}"/>
    <cellStyle name="Moeda 9 5" xfId="472" xr:uid="{00000000-0005-0000-0000-0000C1080000}"/>
    <cellStyle name="Moeda 9 5 2" xfId="473" xr:uid="{00000000-0005-0000-0000-0000C2080000}"/>
    <cellStyle name="Moeda 9 5 2 2" xfId="808" xr:uid="{00000000-0005-0000-0000-0000C3080000}"/>
    <cellStyle name="Moeda 9 5 2 3" xfId="7323" xr:uid="{00000000-0005-0000-0000-0000C4080000}"/>
    <cellStyle name="Moeda 9 5 2 4" xfId="7324" xr:uid="{00000000-0005-0000-0000-0000C5080000}"/>
    <cellStyle name="Moeda 9 5 2 5" xfId="7325" xr:uid="{00000000-0005-0000-0000-0000C6080000}"/>
    <cellStyle name="Moeda 9 5 2 6" xfId="7326" xr:uid="{00000000-0005-0000-0000-0000C7080000}"/>
    <cellStyle name="Moeda 9 5 2 7" xfId="7327" xr:uid="{00000000-0005-0000-0000-0000C8080000}"/>
    <cellStyle name="Moeda 9 5 2 8" xfId="7328" xr:uid="{00000000-0005-0000-0000-0000C9080000}"/>
    <cellStyle name="Moeda 9 5 3" xfId="1308" xr:uid="{00000000-0005-0000-0000-0000CA080000}"/>
    <cellStyle name="Moeda 9 5 3 2" xfId="2838" xr:uid="{00000000-0005-0000-0000-0000CB080000}"/>
    <cellStyle name="Moeda 9 5 3 3" xfId="2691" xr:uid="{00000000-0005-0000-0000-0000CC080000}"/>
    <cellStyle name="Moeda 9 5 3 4" xfId="2616" xr:uid="{00000000-0005-0000-0000-0000CD080000}"/>
    <cellStyle name="Moeda 9 5 3 5" xfId="2549" xr:uid="{00000000-0005-0000-0000-0000CE080000}"/>
    <cellStyle name="Moeda 9 6" xfId="474" xr:uid="{00000000-0005-0000-0000-0000CF080000}"/>
    <cellStyle name="Moeda 9 6 2" xfId="475" xr:uid="{00000000-0005-0000-0000-0000D0080000}"/>
    <cellStyle name="Moeda 9 6 2 2" xfId="810" xr:uid="{00000000-0005-0000-0000-0000D1080000}"/>
    <cellStyle name="Moeda 9 6 2 3" xfId="7329" xr:uid="{00000000-0005-0000-0000-0000D2080000}"/>
    <cellStyle name="Moeda 9 6 2 4" xfId="7330" xr:uid="{00000000-0005-0000-0000-0000D3080000}"/>
    <cellStyle name="Moeda 9 6 2 5" xfId="7331" xr:uid="{00000000-0005-0000-0000-0000D4080000}"/>
    <cellStyle name="Moeda 9 6 2 6" xfId="7332" xr:uid="{00000000-0005-0000-0000-0000D5080000}"/>
    <cellStyle name="Moeda 9 6 2 7" xfId="7333" xr:uid="{00000000-0005-0000-0000-0000D6080000}"/>
    <cellStyle name="Moeda 9 6 2 8" xfId="7334" xr:uid="{00000000-0005-0000-0000-0000D7080000}"/>
    <cellStyle name="Moeda 9 6 3" xfId="809" xr:uid="{00000000-0005-0000-0000-0000D8080000}"/>
    <cellStyle name="Moeda 9 6 3 2" xfId="1310" xr:uid="{00000000-0005-0000-0000-0000D9080000}"/>
    <cellStyle name="Moeda 9 6 3 2 2" xfId="2840" xr:uid="{00000000-0005-0000-0000-0000DA080000}"/>
    <cellStyle name="Moeda 9 6 3 2 3" xfId="2693" xr:uid="{00000000-0005-0000-0000-0000DB080000}"/>
    <cellStyle name="Moeda 9 6 3 2 4" xfId="2618" xr:uid="{00000000-0005-0000-0000-0000DC080000}"/>
    <cellStyle name="Moeda 9 6 3 2 5" xfId="2551" xr:uid="{00000000-0005-0000-0000-0000DD080000}"/>
    <cellStyle name="Moeda 9 6 4" xfId="1311" xr:uid="{00000000-0005-0000-0000-0000DE080000}"/>
    <cellStyle name="Moeda 9 6 4 2" xfId="2514" xr:uid="{00000000-0005-0000-0000-0000DF080000}"/>
    <cellStyle name="Moeda 9 6 4 3" xfId="2694" xr:uid="{00000000-0005-0000-0000-0000E0080000}"/>
    <cellStyle name="Moeda 9 6 5" xfId="1309" xr:uid="{00000000-0005-0000-0000-0000E1080000}"/>
    <cellStyle name="Moeda 9 6 5 2" xfId="2839" xr:uid="{00000000-0005-0000-0000-0000E2080000}"/>
    <cellStyle name="Moeda 9 6 5 3" xfId="2692" xr:uid="{00000000-0005-0000-0000-0000E3080000}"/>
    <cellStyle name="Moeda 9 6 5 4" xfId="2617" xr:uid="{00000000-0005-0000-0000-0000E4080000}"/>
    <cellStyle name="Moeda 9 6 5 5" xfId="2550" xr:uid="{00000000-0005-0000-0000-0000E5080000}"/>
    <cellStyle name="Moeda 9 6 6" xfId="7335" xr:uid="{00000000-0005-0000-0000-0000E6080000}"/>
    <cellStyle name="Moeda 9 6 7" xfId="7336" xr:uid="{00000000-0005-0000-0000-0000E7080000}"/>
    <cellStyle name="Moeda 9 6 8" xfId="7337" xr:uid="{00000000-0005-0000-0000-0000E8080000}"/>
    <cellStyle name="Moeda 9 6 9" xfId="7338" xr:uid="{00000000-0005-0000-0000-0000E9080000}"/>
    <cellStyle name="Moeda 9 7" xfId="476" xr:uid="{00000000-0005-0000-0000-0000EA080000}"/>
    <cellStyle name="Moeda 9 7 2" xfId="1313" xr:uid="{00000000-0005-0000-0000-0000EB080000}"/>
    <cellStyle name="Moeda 9 7 2 2" xfId="7339" xr:uid="{00000000-0005-0000-0000-0000EC080000}"/>
    <cellStyle name="Moeda 9 7 3" xfId="1312" xr:uid="{00000000-0005-0000-0000-0000ED080000}"/>
    <cellStyle name="Moeda 9 7 3 2" xfId="2841" xr:uid="{00000000-0005-0000-0000-0000EE080000}"/>
    <cellStyle name="Moeda 9 7 3 3" xfId="2695" xr:uid="{00000000-0005-0000-0000-0000EF080000}"/>
    <cellStyle name="Moeda 9 7 3 4" xfId="2619" xr:uid="{00000000-0005-0000-0000-0000F0080000}"/>
    <cellStyle name="Moeda 9 7 3 5" xfId="2552" xr:uid="{00000000-0005-0000-0000-0000F1080000}"/>
    <cellStyle name="Moeda 9 8" xfId="477" xr:uid="{00000000-0005-0000-0000-0000F2080000}"/>
    <cellStyle name="Moeda 9 8 2" xfId="1315" xr:uid="{00000000-0005-0000-0000-0000F3080000}"/>
    <cellStyle name="Moeda 9 8 2 2" xfId="7340" xr:uid="{00000000-0005-0000-0000-0000F4080000}"/>
    <cellStyle name="Moeda 9 8 3" xfId="1316" xr:uid="{00000000-0005-0000-0000-0000F5080000}"/>
    <cellStyle name="Moeda 9 8 4" xfId="1317" xr:uid="{00000000-0005-0000-0000-0000F6080000}"/>
    <cellStyle name="Moeda 9 8 4 2" xfId="2513" xr:uid="{00000000-0005-0000-0000-0000F7080000}"/>
    <cellStyle name="Moeda 9 8 4 3" xfId="2696" xr:uid="{00000000-0005-0000-0000-0000F8080000}"/>
    <cellStyle name="Moeda 9 8 5" xfId="1318" xr:uid="{00000000-0005-0000-0000-0000F9080000}"/>
    <cellStyle name="Moeda 9 9" xfId="478" xr:uid="{00000000-0005-0000-0000-0000FA080000}"/>
    <cellStyle name="Moeda 9 9 2" xfId="1319" xr:uid="{00000000-0005-0000-0000-0000FB080000}"/>
    <cellStyle name="Moeda 9 9 2 2" xfId="2842" xr:uid="{00000000-0005-0000-0000-0000FC080000}"/>
    <cellStyle name="Moeda 9 9 2 3" xfId="2697" xr:uid="{00000000-0005-0000-0000-0000FD080000}"/>
    <cellStyle name="Moeda 9 9 2 4" xfId="2620" xr:uid="{00000000-0005-0000-0000-0000FE080000}"/>
    <cellStyle name="Moeda 9 9 2 5" xfId="2553" xr:uid="{00000000-0005-0000-0000-0000FF080000}"/>
    <cellStyle name="Neutra 2" xfId="414" xr:uid="{00000000-0005-0000-0000-000000090000}"/>
    <cellStyle name="Neutra 2 2" xfId="2939" xr:uid="{00000000-0005-0000-0000-000001090000}"/>
    <cellStyle name="Neutra 2 3" xfId="10638" xr:uid="{00000000-0005-0000-0000-000002090000}"/>
    <cellStyle name="Neutral" xfId="415" xr:uid="{00000000-0005-0000-0000-000003090000}"/>
    <cellStyle name="Normal" xfId="0" builtinId="0"/>
    <cellStyle name="Normal - Style1" xfId="165" xr:uid="{00000000-0005-0000-0000-000005090000}"/>
    <cellStyle name="Normal 10" xfId="166" xr:uid="{00000000-0005-0000-0000-000006090000}"/>
    <cellStyle name="Normal 10 10" xfId="7341" xr:uid="{00000000-0005-0000-0000-000007090000}"/>
    <cellStyle name="Normal 10 2" xfId="479" xr:uid="{00000000-0005-0000-0000-000008090000}"/>
    <cellStyle name="Normal 10 2 2" xfId="811" xr:uid="{00000000-0005-0000-0000-000009090000}"/>
    <cellStyle name="Normal 10 2 2 5 2" xfId="11473" xr:uid="{00000000-0005-0000-0000-00000A090000}"/>
    <cellStyle name="Normal 10 2 3" xfId="7342" xr:uid="{00000000-0005-0000-0000-00000B090000}"/>
    <cellStyle name="Normal 10 2 4" xfId="7343" xr:uid="{00000000-0005-0000-0000-00000C090000}"/>
    <cellStyle name="Normal 10 2 5" xfId="7344" xr:uid="{00000000-0005-0000-0000-00000D090000}"/>
    <cellStyle name="Normal 10 2 6" xfId="7345" xr:uid="{00000000-0005-0000-0000-00000E090000}"/>
    <cellStyle name="Normal 10 2 7" xfId="7346" xr:uid="{00000000-0005-0000-0000-00000F090000}"/>
    <cellStyle name="Normal 10 2 8" xfId="7347" xr:uid="{00000000-0005-0000-0000-000010090000}"/>
    <cellStyle name="Normal 10 3" xfId="740" xr:uid="{00000000-0005-0000-0000-000011090000}"/>
    <cellStyle name="Normal 10 3 2" xfId="1322" xr:uid="{00000000-0005-0000-0000-000012090000}"/>
    <cellStyle name="Normal 10 4" xfId="1323" xr:uid="{00000000-0005-0000-0000-000013090000}"/>
    <cellStyle name="Normal 10 4 2" xfId="7348" xr:uid="{00000000-0005-0000-0000-000014090000}"/>
    <cellStyle name="Normal 10 4 3" xfId="13427" xr:uid="{00000000-0005-0000-0000-000015090000}"/>
    <cellStyle name="Normal 10 5" xfId="1321" xr:uid="{00000000-0005-0000-0000-000016090000}"/>
    <cellStyle name="Normal 10 6" xfId="7349" xr:uid="{00000000-0005-0000-0000-000017090000}"/>
    <cellStyle name="Normal 10 6 2" xfId="12019" xr:uid="{00000000-0005-0000-0000-000018090000}"/>
    <cellStyle name="Normal 10 7" xfId="7350" xr:uid="{00000000-0005-0000-0000-000019090000}"/>
    <cellStyle name="Normal 10 8" xfId="7351" xr:uid="{00000000-0005-0000-0000-00001A090000}"/>
    <cellStyle name="Normal 10 9" xfId="7352" xr:uid="{00000000-0005-0000-0000-00001B090000}"/>
    <cellStyle name="Normal 100" xfId="167" xr:uid="{00000000-0005-0000-0000-00001C090000}"/>
    <cellStyle name="Normal 100 2" xfId="9569" xr:uid="{00000000-0005-0000-0000-00001D090000}"/>
    <cellStyle name="Normal 101" xfId="168" xr:uid="{00000000-0005-0000-0000-00001E090000}"/>
    <cellStyle name="Normal 101 2" xfId="9860" xr:uid="{00000000-0005-0000-0000-00001F090000}"/>
    <cellStyle name="Normal 102" xfId="169" xr:uid="{00000000-0005-0000-0000-000020090000}"/>
    <cellStyle name="Normal 102 2" xfId="9863" xr:uid="{00000000-0005-0000-0000-000021090000}"/>
    <cellStyle name="Normal 103" xfId="170" xr:uid="{00000000-0005-0000-0000-000022090000}"/>
    <cellStyle name="Normal 103 2" xfId="10577" xr:uid="{00000000-0005-0000-0000-000023090000}"/>
    <cellStyle name="Normal 104" xfId="171" xr:uid="{00000000-0005-0000-0000-000024090000}"/>
    <cellStyle name="Normal 104 2" xfId="10582" xr:uid="{00000000-0005-0000-0000-000025090000}"/>
    <cellStyle name="Normal 105" xfId="172" xr:uid="{00000000-0005-0000-0000-000026090000}"/>
    <cellStyle name="Normal 105 2" xfId="10586" xr:uid="{00000000-0005-0000-0000-000027090000}"/>
    <cellStyle name="Normal 106" xfId="173" xr:uid="{00000000-0005-0000-0000-000028090000}"/>
    <cellStyle name="Normal 106 2" xfId="10590" xr:uid="{00000000-0005-0000-0000-000029090000}"/>
    <cellStyle name="Normal 107" xfId="174" xr:uid="{00000000-0005-0000-0000-00002A090000}"/>
    <cellStyle name="Normal 107 2" xfId="10594" xr:uid="{00000000-0005-0000-0000-00002B090000}"/>
    <cellStyle name="Normal 108" xfId="175" xr:uid="{00000000-0005-0000-0000-00002C090000}"/>
    <cellStyle name="Normal 108 2" xfId="10583" xr:uid="{00000000-0005-0000-0000-00002D090000}"/>
    <cellStyle name="Normal 109" xfId="176" xr:uid="{00000000-0005-0000-0000-00002E090000}"/>
    <cellStyle name="Normal 109 2" xfId="10596" xr:uid="{00000000-0005-0000-0000-00002F090000}"/>
    <cellStyle name="Normal 11" xfId="177" xr:uid="{00000000-0005-0000-0000-000030090000}"/>
    <cellStyle name="Normal 11 10" xfId="7353" xr:uid="{00000000-0005-0000-0000-000031090000}"/>
    <cellStyle name="Normal 11 11" xfId="7354" xr:uid="{00000000-0005-0000-0000-000032090000}"/>
    <cellStyle name="Normal 11 2" xfId="178" xr:uid="{00000000-0005-0000-0000-000033090000}"/>
    <cellStyle name="Normal 11 2 2" xfId="742" xr:uid="{00000000-0005-0000-0000-000034090000}"/>
    <cellStyle name="Normal 11 2 3" xfId="7355" xr:uid="{00000000-0005-0000-0000-000035090000}"/>
    <cellStyle name="Normal 11 2 4" xfId="7356" xr:uid="{00000000-0005-0000-0000-000036090000}"/>
    <cellStyle name="Normal 11 2 5" xfId="7357" xr:uid="{00000000-0005-0000-0000-000037090000}"/>
    <cellStyle name="Normal 11 2 6" xfId="7358" xr:uid="{00000000-0005-0000-0000-000038090000}"/>
    <cellStyle name="Normal 11 2 7" xfId="7359" xr:uid="{00000000-0005-0000-0000-000039090000}"/>
    <cellStyle name="Normal 11 2 8" xfId="7360" xr:uid="{00000000-0005-0000-0000-00003A090000}"/>
    <cellStyle name="Normal 11 3" xfId="480" xr:uid="{00000000-0005-0000-0000-00003B090000}"/>
    <cellStyle name="Normal 11 3 2" xfId="812" xr:uid="{00000000-0005-0000-0000-00003C090000}"/>
    <cellStyle name="Normal 11 3 2 2" xfId="7361" xr:uid="{00000000-0005-0000-0000-00003D090000}"/>
    <cellStyle name="Normal 11 3 2 2 2" xfId="7362" xr:uid="{00000000-0005-0000-0000-00003E090000}"/>
    <cellStyle name="Normal 11 3 2 2 3" xfId="7363" xr:uid="{00000000-0005-0000-0000-00003F090000}"/>
    <cellStyle name="Normal 11 3 3" xfId="7364" xr:uid="{00000000-0005-0000-0000-000040090000}"/>
    <cellStyle name="Normal 11 3 4" xfId="7365" xr:uid="{00000000-0005-0000-0000-000041090000}"/>
    <cellStyle name="Normal 11 3 5" xfId="7366" xr:uid="{00000000-0005-0000-0000-000042090000}"/>
    <cellStyle name="Normal 11 3 6" xfId="7367" xr:uid="{00000000-0005-0000-0000-000043090000}"/>
    <cellStyle name="Normal 11 3 7" xfId="7368" xr:uid="{00000000-0005-0000-0000-000044090000}"/>
    <cellStyle name="Normal 11 3 8" xfId="7369" xr:uid="{00000000-0005-0000-0000-000045090000}"/>
    <cellStyle name="Normal 11 4" xfId="741" xr:uid="{00000000-0005-0000-0000-000046090000}"/>
    <cellStyle name="Normal 11 4 2" xfId="1326" xr:uid="{00000000-0005-0000-0000-000047090000}"/>
    <cellStyle name="Normal 11 5" xfId="1327" xr:uid="{00000000-0005-0000-0000-000048090000}"/>
    <cellStyle name="Normal 11 5 2" xfId="7370" xr:uid="{00000000-0005-0000-0000-000049090000}"/>
    <cellStyle name="Normal 11 5 2 2" xfId="7371" xr:uid="{00000000-0005-0000-0000-00004A090000}"/>
    <cellStyle name="Normal 11 5 2 3" xfId="7372" xr:uid="{00000000-0005-0000-0000-00004B090000}"/>
    <cellStyle name="Normal 11 5 3" xfId="7373" xr:uid="{00000000-0005-0000-0000-00004C090000}"/>
    <cellStyle name="Normal 11 5 4" xfId="13428" xr:uid="{00000000-0005-0000-0000-00004D090000}"/>
    <cellStyle name="Normal 11 6" xfId="1325" xr:uid="{00000000-0005-0000-0000-00004E090000}"/>
    <cellStyle name="Normal 11 6 2" xfId="7374" xr:uid="{00000000-0005-0000-0000-00004F090000}"/>
    <cellStyle name="Normal 11 7" xfId="3018" xr:uid="{00000000-0005-0000-0000-000050090000}"/>
    <cellStyle name="Normal 11 7 2" xfId="3021" xr:uid="{00000000-0005-0000-0000-000051090000}"/>
    <cellStyle name="Normal 11 7 3" xfId="7375" xr:uid="{00000000-0005-0000-0000-000052090000}"/>
    <cellStyle name="Normal 11 7 4" xfId="13551" xr:uid="{00000000-0005-0000-0000-000053090000}"/>
    <cellStyle name="Normal 11 8" xfId="7376" xr:uid="{00000000-0005-0000-0000-000054090000}"/>
    <cellStyle name="Normal 11 9" xfId="7377" xr:uid="{00000000-0005-0000-0000-000055090000}"/>
    <cellStyle name="Normal 110" xfId="179" xr:uid="{00000000-0005-0000-0000-000056090000}"/>
    <cellStyle name="Normal 110 2" xfId="10592" xr:uid="{00000000-0005-0000-0000-000057090000}"/>
    <cellStyle name="Normal 111" xfId="180" xr:uid="{00000000-0005-0000-0000-000058090000}"/>
    <cellStyle name="Normal 111 2" xfId="10578" xr:uid="{00000000-0005-0000-0000-000059090000}"/>
    <cellStyle name="Normal 112" xfId="181" xr:uid="{00000000-0005-0000-0000-00005A090000}"/>
    <cellStyle name="Normal 112 2" xfId="10598" xr:uid="{00000000-0005-0000-0000-00005B090000}"/>
    <cellStyle name="Normal 113" xfId="182" xr:uid="{00000000-0005-0000-0000-00005C090000}"/>
    <cellStyle name="Normal 113 2" xfId="10595" xr:uid="{00000000-0005-0000-0000-00005D090000}"/>
    <cellStyle name="Normal 114" xfId="183" xr:uid="{00000000-0005-0000-0000-00005E090000}"/>
    <cellStyle name="Normal 114 2" xfId="10591" xr:uid="{00000000-0005-0000-0000-00005F090000}"/>
    <cellStyle name="Normal 115" xfId="184" xr:uid="{00000000-0005-0000-0000-000060090000}"/>
    <cellStyle name="Normal 115 2" xfId="10585" xr:uid="{00000000-0005-0000-0000-000061090000}"/>
    <cellStyle name="Normal 116" xfId="185" xr:uid="{00000000-0005-0000-0000-000062090000}"/>
    <cellStyle name="Normal 116 2" xfId="10581" xr:uid="{00000000-0005-0000-0000-000063090000}"/>
    <cellStyle name="Normal 117" xfId="186" xr:uid="{00000000-0005-0000-0000-000064090000}"/>
    <cellStyle name="Normal 117 2" xfId="10587" xr:uid="{00000000-0005-0000-0000-000065090000}"/>
    <cellStyle name="Normal 118" xfId="187" xr:uid="{00000000-0005-0000-0000-000066090000}"/>
    <cellStyle name="Normal 118 2" xfId="10580" xr:uid="{00000000-0005-0000-0000-000067090000}"/>
    <cellStyle name="Normal 119" xfId="188" xr:uid="{00000000-0005-0000-0000-000068090000}"/>
    <cellStyle name="Normal 119 2" xfId="10589" xr:uid="{00000000-0005-0000-0000-000069090000}"/>
    <cellStyle name="Normal 12" xfId="189" xr:uid="{00000000-0005-0000-0000-00006A090000}"/>
    <cellStyle name="Normal 12 2" xfId="190" xr:uid="{00000000-0005-0000-0000-00006B090000}"/>
    <cellStyle name="Normal 12 2 2" xfId="744" xr:uid="{00000000-0005-0000-0000-00006C090000}"/>
    <cellStyle name="Normal 12 2 3" xfId="7378" xr:uid="{00000000-0005-0000-0000-00006D090000}"/>
    <cellStyle name="Normal 12 2 4" xfId="7379" xr:uid="{00000000-0005-0000-0000-00006E090000}"/>
    <cellStyle name="Normal 12 2 5" xfId="7380" xr:uid="{00000000-0005-0000-0000-00006F090000}"/>
    <cellStyle name="Normal 12 2 6" xfId="7381" xr:uid="{00000000-0005-0000-0000-000070090000}"/>
    <cellStyle name="Normal 12 2 7" xfId="7382" xr:uid="{00000000-0005-0000-0000-000071090000}"/>
    <cellStyle name="Normal 12 2 8" xfId="7383" xr:uid="{00000000-0005-0000-0000-000072090000}"/>
    <cellStyle name="Normal 12 3" xfId="743" xr:uid="{00000000-0005-0000-0000-000073090000}"/>
    <cellStyle name="Normal 12 3 2" xfId="1330" xr:uid="{00000000-0005-0000-0000-000074090000}"/>
    <cellStyle name="Normal 12 3 2 2" xfId="2844" xr:uid="{00000000-0005-0000-0000-000075090000}"/>
    <cellStyle name="Normal 12 3 2 3" xfId="2699" xr:uid="{00000000-0005-0000-0000-000076090000}"/>
    <cellStyle name="Normal 12 3 2 4" xfId="2622" xr:uid="{00000000-0005-0000-0000-000077090000}"/>
    <cellStyle name="Normal 12 3 2 5" xfId="2555" xr:uid="{00000000-0005-0000-0000-000078090000}"/>
    <cellStyle name="Normal 12 4" xfId="1331" xr:uid="{00000000-0005-0000-0000-000079090000}"/>
    <cellStyle name="Normal 12 4 2" xfId="2512" xr:uid="{00000000-0005-0000-0000-00007A090000}"/>
    <cellStyle name="Normal 12 4 3" xfId="2700" xr:uid="{00000000-0005-0000-0000-00007B090000}"/>
    <cellStyle name="Normal 12 5" xfId="1329" xr:uid="{00000000-0005-0000-0000-00007C090000}"/>
    <cellStyle name="Normal 12 5 2" xfId="2843" xr:uid="{00000000-0005-0000-0000-00007D090000}"/>
    <cellStyle name="Normal 12 5 3" xfId="2698" xr:uid="{00000000-0005-0000-0000-00007E090000}"/>
    <cellStyle name="Normal 12 5 4" xfId="2621" xr:uid="{00000000-0005-0000-0000-00007F090000}"/>
    <cellStyle name="Normal 12 5 5" xfId="2554" xr:uid="{00000000-0005-0000-0000-000080090000}"/>
    <cellStyle name="Normal 12 6" xfId="7384" xr:uid="{00000000-0005-0000-0000-000081090000}"/>
    <cellStyle name="Normal 12 7" xfId="7385" xr:uid="{00000000-0005-0000-0000-000082090000}"/>
    <cellStyle name="Normal 12 8" xfId="7386" xr:uid="{00000000-0005-0000-0000-000083090000}"/>
    <cellStyle name="Normal 12 9" xfId="7387" xr:uid="{00000000-0005-0000-0000-000084090000}"/>
    <cellStyle name="Normal 120" xfId="191" xr:uid="{00000000-0005-0000-0000-000085090000}"/>
    <cellStyle name="Normal 120 2" xfId="10579" xr:uid="{00000000-0005-0000-0000-000086090000}"/>
    <cellStyle name="Normal 121" xfId="192" xr:uid="{00000000-0005-0000-0000-000087090000}"/>
    <cellStyle name="Normal 121 2" xfId="10588" xr:uid="{00000000-0005-0000-0000-000088090000}"/>
    <cellStyle name="Normal 122" xfId="193" xr:uid="{00000000-0005-0000-0000-000089090000}"/>
    <cellStyle name="Normal 122 2" xfId="10597" xr:uid="{00000000-0005-0000-0000-00008A090000}"/>
    <cellStyle name="Normal 123" xfId="194" xr:uid="{00000000-0005-0000-0000-00008B090000}"/>
    <cellStyle name="Normal 123 2" xfId="10584" xr:uid="{00000000-0005-0000-0000-00008C090000}"/>
    <cellStyle name="Normal 124" xfId="195" xr:uid="{00000000-0005-0000-0000-00008D090000}"/>
    <cellStyle name="Normal 124 2" xfId="10599" xr:uid="{00000000-0005-0000-0000-00008E090000}"/>
    <cellStyle name="Normal 125" xfId="346" xr:uid="{00000000-0005-0000-0000-00008F090000}"/>
    <cellStyle name="Normal 125 10" xfId="13379" xr:uid="{00000000-0005-0000-0000-000090090000}"/>
    <cellStyle name="Normal 125 2" xfId="783" xr:uid="{00000000-0005-0000-0000-000091090000}"/>
    <cellStyle name="Normal 125 2 2" xfId="1333" xr:uid="{00000000-0005-0000-0000-000092090000}"/>
    <cellStyle name="Normal 125 3" xfId="1334" xr:uid="{00000000-0005-0000-0000-000093090000}"/>
    <cellStyle name="Normal 125 4" xfId="1335" xr:uid="{00000000-0005-0000-0000-000094090000}"/>
    <cellStyle name="Normal 125 4 2" xfId="7388" xr:uid="{00000000-0005-0000-0000-000095090000}"/>
    <cellStyle name="Normal 125 4 3" xfId="13430" xr:uid="{00000000-0005-0000-0000-000096090000}"/>
    <cellStyle name="Normal 125 5" xfId="1332" xr:uid="{00000000-0005-0000-0000-000097090000}"/>
    <cellStyle name="Normal 125 5 2" xfId="7389" xr:uid="{00000000-0005-0000-0000-000098090000}"/>
    <cellStyle name="Normal 125 5 3" xfId="13429" xr:uid="{00000000-0005-0000-0000-000099090000}"/>
    <cellStyle name="Normal 125 6" xfId="7390" xr:uid="{00000000-0005-0000-0000-00009A090000}"/>
    <cellStyle name="Normal 125 7" xfId="7391" xr:uid="{00000000-0005-0000-0000-00009B090000}"/>
    <cellStyle name="Normal 125 8" xfId="7392" xr:uid="{00000000-0005-0000-0000-00009C090000}"/>
    <cellStyle name="Normal 125 9" xfId="7393" xr:uid="{00000000-0005-0000-0000-00009D090000}"/>
    <cellStyle name="Normal 126" xfId="429" xr:uid="{00000000-0005-0000-0000-00009E090000}"/>
    <cellStyle name="Normal 126 2" xfId="786" xr:uid="{00000000-0005-0000-0000-00009F090000}"/>
    <cellStyle name="Normal 126 2 2" xfId="1337" xr:uid="{00000000-0005-0000-0000-0000A0090000}"/>
    <cellStyle name="Normal 126 3" xfId="1338" xr:uid="{00000000-0005-0000-0000-0000A1090000}"/>
    <cellStyle name="Normal 126 4" xfId="1339" xr:uid="{00000000-0005-0000-0000-0000A2090000}"/>
    <cellStyle name="Normal 126 4 2" xfId="7394" xr:uid="{00000000-0005-0000-0000-0000A3090000}"/>
    <cellStyle name="Normal 126 4 3" xfId="13432" xr:uid="{00000000-0005-0000-0000-0000A4090000}"/>
    <cellStyle name="Normal 126 5" xfId="1336" xr:uid="{00000000-0005-0000-0000-0000A5090000}"/>
    <cellStyle name="Normal 126 5 2" xfId="7395" xr:uid="{00000000-0005-0000-0000-0000A6090000}"/>
    <cellStyle name="Normal 126 5 3" xfId="13431" xr:uid="{00000000-0005-0000-0000-0000A7090000}"/>
    <cellStyle name="Normal 126 6" xfId="7396" xr:uid="{00000000-0005-0000-0000-0000A8090000}"/>
    <cellStyle name="Normal 126 7" xfId="7397" xr:uid="{00000000-0005-0000-0000-0000A9090000}"/>
    <cellStyle name="Normal 126 8" xfId="7398" xr:uid="{00000000-0005-0000-0000-0000AA090000}"/>
    <cellStyle name="Normal 127" xfId="481" xr:uid="{00000000-0005-0000-0000-0000AB090000}"/>
    <cellStyle name="Normal 127 2" xfId="928" xr:uid="{00000000-0005-0000-0000-0000AC090000}"/>
    <cellStyle name="Normal 127 2 2" xfId="1341" xr:uid="{00000000-0005-0000-0000-0000AD090000}"/>
    <cellStyle name="Normal 127 3" xfId="1342" xr:uid="{00000000-0005-0000-0000-0000AE090000}"/>
    <cellStyle name="Normal 127 4" xfId="1343" xr:uid="{00000000-0005-0000-0000-0000AF090000}"/>
    <cellStyle name="Normal 127 5" xfId="1344" xr:uid="{00000000-0005-0000-0000-0000B0090000}"/>
    <cellStyle name="Normal 127 6" xfId="1340" xr:uid="{00000000-0005-0000-0000-0000B1090000}"/>
    <cellStyle name="Normal 128" xfId="482" xr:uid="{00000000-0005-0000-0000-0000B2090000}"/>
    <cellStyle name="Normal 128 2" xfId="929" xr:uid="{00000000-0005-0000-0000-0000B3090000}"/>
    <cellStyle name="Normal 128 2 2" xfId="1346" xr:uid="{00000000-0005-0000-0000-0000B4090000}"/>
    <cellStyle name="Normal 128 3" xfId="1347" xr:uid="{00000000-0005-0000-0000-0000B5090000}"/>
    <cellStyle name="Normal 128 4" xfId="1348" xr:uid="{00000000-0005-0000-0000-0000B6090000}"/>
    <cellStyle name="Normal 128 5" xfId="1349" xr:uid="{00000000-0005-0000-0000-0000B7090000}"/>
    <cellStyle name="Normal 128 6" xfId="1345" xr:uid="{00000000-0005-0000-0000-0000B8090000}"/>
    <cellStyle name="Normal 129" xfId="483" xr:uid="{00000000-0005-0000-0000-0000B9090000}"/>
    <cellStyle name="Normal 129 2" xfId="930" xr:uid="{00000000-0005-0000-0000-0000BA090000}"/>
    <cellStyle name="Normal 129 2 2" xfId="7399" xr:uid="{00000000-0005-0000-0000-0000BB090000}"/>
    <cellStyle name="Normal 13" xfId="196" xr:uid="{00000000-0005-0000-0000-0000BC090000}"/>
    <cellStyle name="Normal 13 10" xfId="7400" xr:uid="{00000000-0005-0000-0000-0000BD090000}"/>
    <cellStyle name="Normal 13 10 2" xfId="9865" xr:uid="{00000000-0005-0000-0000-0000BE090000}"/>
    <cellStyle name="Normal 13 11" xfId="9024" xr:uid="{00000000-0005-0000-0000-0000BF090000}"/>
    <cellStyle name="Normal 13 12" xfId="10650" xr:uid="{00000000-0005-0000-0000-0000C0090000}"/>
    <cellStyle name="Normal 13 13" xfId="10782" xr:uid="{00000000-0005-0000-0000-0000C1090000}"/>
    <cellStyle name="Normal 13 2" xfId="197" xr:uid="{00000000-0005-0000-0000-0000C2090000}"/>
    <cellStyle name="Normal 13 2 10" xfId="10651" xr:uid="{00000000-0005-0000-0000-0000C3090000}"/>
    <cellStyle name="Normal 13 2 11" xfId="10783" xr:uid="{00000000-0005-0000-0000-0000C4090000}"/>
    <cellStyle name="Normal 13 2 2" xfId="1352" xr:uid="{00000000-0005-0000-0000-0000C5090000}"/>
    <cellStyle name="Normal 13 2 2 2" xfId="7401" xr:uid="{00000000-0005-0000-0000-0000C6090000}"/>
    <cellStyle name="Normal 13 2 2 2 2" xfId="9764" xr:uid="{00000000-0005-0000-0000-0000C7090000}"/>
    <cellStyle name="Normal 13 2 2 2 2 2" xfId="9906" xr:uid="{00000000-0005-0000-0000-0000C8090000}"/>
    <cellStyle name="Normal 13 2 2 2 3" xfId="9905" xr:uid="{00000000-0005-0000-0000-0000C9090000}"/>
    <cellStyle name="Normal 13 2 2 2 4" xfId="9350" xr:uid="{00000000-0005-0000-0000-0000CA090000}"/>
    <cellStyle name="Normal 13 2 2 3" xfId="9484" xr:uid="{00000000-0005-0000-0000-0000CB090000}"/>
    <cellStyle name="Normal 13 2 2 3 2" xfId="9907" xr:uid="{00000000-0005-0000-0000-0000CC090000}"/>
    <cellStyle name="Normal 13 2 2 4" xfId="9904" xr:uid="{00000000-0005-0000-0000-0000CD090000}"/>
    <cellStyle name="Normal 13 2 2 5" xfId="10695" xr:uid="{00000000-0005-0000-0000-0000CE090000}"/>
    <cellStyle name="Normal 13 2 2 6" xfId="10827" xr:uid="{00000000-0005-0000-0000-0000CF090000}"/>
    <cellStyle name="Normal 13 2 3" xfId="1353" xr:uid="{00000000-0005-0000-0000-0000D0090000}"/>
    <cellStyle name="Normal 13 2 3 2" xfId="7402" xr:uid="{00000000-0005-0000-0000-0000D1090000}"/>
    <cellStyle name="Normal 13 2 3 2 2" xfId="9805" xr:uid="{00000000-0005-0000-0000-0000D2090000}"/>
    <cellStyle name="Normal 13 2 3 2 2 2" xfId="9910" xr:uid="{00000000-0005-0000-0000-0000D3090000}"/>
    <cellStyle name="Normal 13 2 3 2 3" xfId="9909" xr:uid="{00000000-0005-0000-0000-0000D4090000}"/>
    <cellStyle name="Normal 13 2 3 3" xfId="9524" xr:uid="{00000000-0005-0000-0000-0000D5090000}"/>
    <cellStyle name="Normal 13 2 3 3 2" xfId="9911" xr:uid="{00000000-0005-0000-0000-0000D6090000}"/>
    <cellStyle name="Normal 13 2 3 3 3" xfId="14893" xr:uid="{00000000-0005-0000-0000-0000D7090000}"/>
    <cellStyle name="Normal 13 2 3 3 4" xfId="13433" xr:uid="{00000000-0005-0000-0000-0000D8090000}"/>
    <cellStyle name="Normal 13 2 3 4" xfId="9908" xr:uid="{00000000-0005-0000-0000-0000D9090000}"/>
    <cellStyle name="Normal 13 2 3 5" xfId="10736" xr:uid="{00000000-0005-0000-0000-0000DA090000}"/>
    <cellStyle name="Normal 13 2 3 6" xfId="10866" xr:uid="{00000000-0005-0000-0000-0000DB090000}"/>
    <cellStyle name="Normal 13 2 4" xfId="1354" xr:uid="{00000000-0005-0000-0000-0000DC090000}"/>
    <cellStyle name="Normal 13 2 4 2" xfId="9619" xr:uid="{00000000-0005-0000-0000-0000DD090000}"/>
    <cellStyle name="Normal 13 2 4 2 2" xfId="9913" xr:uid="{00000000-0005-0000-0000-0000DE090000}"/>
    <cellStyle name="Normal 13 2 4 3" xfId="9912" xr:uid="{00000000-0005-0000-0000-0000DF090000}"/>
    <cellStyle name="Normal 13 2 4 4" xfId="9166" xr:uid="{00000000-0005-0000-0000-0000E0090000}"/>
    <cellStyle name="Normal 13 2 5" xfId="1351" xr:uid="{00000000-0005-0000-0000-0000E1090000}"/>
    <cellStyle name="Normal 13 2 5 2" xfId="9722" xr:uid="{00000000-0005-0000-0000-0000E2090000}"/>
    <cellStyle name="Normal 13 2 5 2 2" xfId="9915" xr:uid="{00000000-0005-0000-0000-0000E3090000}"/>
    <cellStyle name="Normal 13 2 5 3" xfId="9914" xr:uid="{00000000-0005-0000-0000-0000E4090000}"/>
    <cellStyle name="Normal 13 2 5 4" xfId="9311" xr:uid="{00000000-0005-0000-0000-0000E5090000}"/>
    <cellStyle name="Normal 13 2 6" xfId="7403" xr:uid="{00000000-0005-0000-0000-0000E6090000}"/>
    <cellStyle name="Normal 13 2 6 2" xfId="9571" xr:uid="{00000000-0005-0000-0000-0000E7090000}"/>
    <cellStyle name="Normal 13 2 6 2 2" xfId="9917" xr:uid="{00000000-0005-0000-0000-0000E8090000}"/>
    <cellStyle name="Normal 13 2 6 3" xfId="9916" xr:uid="{00000000-0005-0000-0000-0000E9090000}"/>
    <cellStyle name="Normal 13 2 6 4" xfId="9093" xr:uid="{00000000-0005-0000-0000-0000EA090000}"/>
    <cellStyle name="Normal 13 2 7" xfId="7404" xr:uid="{00000000-0005-0000-0000-0000EB090000}"/>
    <cellStyle name="Normal 13 2 7 2" xfId="9918" xr:uid="{00000000-0005-0000-0000-0000EC090000}"/>
    <cellStyle name="Normal 13 2 7 3" xfId="9441" xr:uid="{00000000-0005-0000-0000-0000ED090000}"/>
    <cellStyle name="Normal 13 2 8" xfId="7405" xr:uid="{00000000-0005-0000-0000-0000EE090000}"/>
    <cellStyle name="Normal 13 2 8 2" xfId="9866" xr:uid="{00000000-0005-0000-0000-0000EF090000}"/>
    <cellStyle name="Normal 13 2 9" xfId="7406" xr:uid="{00000000-0005-0000-0000-0000F0090000}"/>
    <cellStyle name="Normal 13 2 9 2" xfId="9025" xr:uid="{00000000-0005-0000-0000-0000F1090000}"/>
    <cellStyle name="Normal 13 3" xfId="1355" xr:uid="{00000000-0005-0000-0000-0000F2090000}"/>
    <cellStyle name="Normal 13 3 10" xfId="10652" xr:uid="{00000000-0005-0000-0000-0000F3090000}"/>
    <cellStyle name="Normal 13 3 11" xfId="10784" xr:uid="{00000000-0005-0000-0000-0000F4090000}"/>
    <cellStyle name="Normal 13 3 2" xfId="7407" xr:uid="{00000000-0005-0000-0000-0000F5090000}"/>
    <cellStyle name="Normal 13 3 2 2" xfId="9351" xr:uid="{00000000-0005-0000-0000-0000F6090000}"/>
    <cellStyle name="Normal 13 3 2 2 2" xfId="9765" xr:uid="{00000000-0005-0000-0000-0000F7090000}"/>
    <cellStyle name="Normal 13 3 2 2 2 2" xfId="9921" xr:uid="{00000000-0005-0000-0000-0000F8090000}"/>
    <cellStyle name="Normal 13 3 2 2 3" xfId="9920" xr:uid="{00000000-0005-0000-0000-0000F9090000}"/>
    <cellStyle name="Normal 13 3 2 3" xfId="9485" xr:uid="{00000000-0005-0000-0000-0000FA090000}"/>
    <cellStyle name="Normal 13 3 2 3 2" xfId="9922" xr:uid="{00000000-0005-0000-0000-0000FB090000}"/>
    <cellStyle name="Normal 13 3 2 4" xfId="9919" xr:uid="{00000000-0005-0000-0000-0000FC090000}"/>
    <cellStyle name="Normal 13 3 2 5" xfId="10696" xr:uid="{00000000-0005-0000-0000-0000FD090000}"/>
    <cellStyle name="Normal 13 3 2 6" xfId="10828" xr:uid="{00000000-0005-0000-0000-0000FE090000}"/>
    <cellStyle name="Normal 13 3 2 7" xfId="9212" xr:uid="{00000000-0005-0000-0000-0000FF090000}"/>
    <cellStyle name="Normal 13 3 3" xfId="9268" xr:uid="{00000000-0005-0000-0000-0000000A0000}"/>
    <cellStyle name="Normal 13 3 3 2" xfId="9385" xr:uid="{00000000-0005-0000-0000-0000010A0000}"/>
    <cellStyle name="Normal 13 3 3 2 2" xfId="9806" xr:uid="{00000000-0005-0000-0000-0000020A0000}"/>
    <cellStyle name="Normal 13 3 3 2 2 2" xfId="9925" xr:uid="{00000000-0005-0000-0000-0000030A0000}"/>
    <cellStyle name="Normal 13 3 3 2 3" xfId="9924" xr:uid="{00000000-0005-0000-0000-0000040A0000}"/>
    <cellStyle name="Normal 13 3 3 3" xfId="9525" xr:uid="{00000000-0005-0000-0000-0000050A0000}"/>
    <cellStyle name="Normal 13 3 3 3 2" xfId="9926" xr:uid="{00000000-0005-0000-0000-0000060A0000}"/>
    <cellStyle name="Normal 13 3 3 4" xfId="9923" xr:uid="{00000000-0005-0000-0000-0000070A0000}"/>
    <cellStyle name="Normal 13 3 3 5" xfId="10737" xr:uid="{00000000-0005-0000-0000-0000080A0000}"/>
    <cellStyle name="Normal 13 3 3 6" xfId="10867" xr:uid="{00000000-0005-0000-0000-0000090A0000}"/>
    <cellStyle name="Normal 13 3 4" xfId="9167" xr:uid="{00000000-0005-0000-0000-00000A0A0000}"/>
    <cellStyle name="Normal 13 3 4 2" xfId="9620" xr:uid="{00000000-0005-0000-0000-00000B0A0000}"/>
    <cellStyle name="Normal 13 3 4 2 2" xfId="9928" xr:uid="{00000000-0005-0000-0000-00000C0A0000}"/>
    <cellStyle name="Normal 13 3 4 3" xfId="9927" xr:uid="{00000000-0005-0000-0000-00000D0A0000}"/>
    <cellStyle name="Normal 13 3 5" xfId="9312" xr:uid="{00000000-0005-0000-0000-00000E0A0000}"/>
    <cellStyle name="Normal 13 3 5 2" xfId="9723" xr:uid="{00000000-0005-0000-0000-00000F0A0000}"/>
    <cellStyle name="Normal 13 3 5 2 2" xfId="9930" xr:uid="{00000000-0005-0000-0000-0000100A0000}"/>
    <cellStyle name="Normal 13 3 5 3" xfId="9929" xr:uid="{00000000-0005-0000-0000-0000110A0000}"/>
    <cellStyle name="Normal 13 3 6" xfId="9094" xr:uid="{00000000-0005-0000-0000-0000120A0000}"/>
    <cellStyle name="Normal 13 3 6 2" xfId="9572" xr:uid="{00000000-0005-0000-0000-0000130A0000}"/>
    <cellStyle name="Normal 13 3 6 2 2" xfId="9932" xr:uid="{00000000-0005-0000-0000-0000140A0000}"/>
    <cellStyle name="Normal 13 3 6 3" xfId="9931" xr:uid="{00000000-0005-0000-0000-0000150A0000}"/>
    <cellStyle name="Normal 13 3 7" xfId="9442" xr:uid="{00000000-0005-0000-0000-0000160A0000}"/>
    <cellStyle name="Normal 13 3 7 2" xfId="9933" xr:uid="{00000000-0005-0000-0000-0000170A0000}"/>
    <cellStyle name="Normal 13 3 8" xfId="9867" xr:uid="{00000000-0005-0000-0000-0000180A0000}"/>
    <cellStyle name="Normal 13 3 9" xfId="9026" xr:uid="{00000000-0005-0000-0000-0000190A0000}"/>
    <cellStyle name="Normal 13 4" xfId="1356" xr:uid="{00000000-0005-0000-0000-00001A0A0000}"/>
    <cellStyle name="Normal 13 4 10" xfId="10688" xr:uid="{00000000-0005-0000-0000-00001B0A0000}"/>
    <cellStyle name="Normal 13 4 11" xfId="10820" xr:uid="{00000000-0005-0000-0000-00001C0A0000}"/>
    <cellStyle name="Normal 13 4 2" xfId="2511" xr:uid="{00000000-0005-0000-0000-00001D0A0000}"/>
    <cellStyle name="Normal 13 4 2 2" xfId="9265" xr:uid="{00000000-0005-0000-0000-00001E0A0000}"/>
    <cellStyle name="Normal 13 4 2 2 2" xfId="9718" xr:uid="{00000000-0005-0000-0000-00001F0A0000}"/>
    <cellStyle name="Normal 13 4 2 2 2 2" xfId="9936" xr:uid="{00000000-0005-0000-0000-0000200A0000}"/>
    <cellStyle name="Normal 13 4 2 2 3" xfId="9935" xr:uid="{00000000-0005-0000-0000-0000210A0000}"/>
    <cellStyle name="Normal 13 4 2 3" xfId="9383" xr:uid="{00000000-0005-0000-0000-0000220A0000}"/>
    <cellStyle name="Normal 13 4 2 3 2" xfId="9802" xr:uid="{00000000-0005-0000-0000-0000230A0000}"/>
    <cellStyle name="Normal 13 4 2 3 2 2" xfId="9938" xr:uid="{00000000-0005-0000-0000-0000240A0000}"/>
    <cellStyle name="Normal 13 4 2 3 3" xfId="9937" xr:uid="{00000000-0005-0000-0000-0000250A0000}"/>
    <cellStyle name="Normal 13 4 2 4" xfId="9431" xr:uid="{00000000-0005-0000-0000-0000260A0000}"/>
    <cellStyle name="Normal 13 4 2 4 2" xfId="9850" xr:uid="{00000000-0005-0000-0000-0000270A0000}"/>
    <cellStyle name="Normal 13 4 2 4 2 2" xfId="9940" xr:uid="{00000000-0005-0000-0000-0000280A0000}"/>
    <cellStyle name="Normal 13 4 2 4 3" xfId="9939" xr:uid="{00000000-0005-0000-0000-0000290A0000}"/>
    <cellStyle name="Normal 13 4 2 5" xfId="9521" xr:uid="{00000000-0005-0000-0000-00002A0A0000}"/>
    <cellStyle name="Normal 13 4 2 5 2" xfId="9941" xr:uid="{00000000-0005-0000-0000-00002B0A0000}"/>
    <cellStyle name="Normal 13 4 2 6" xfId="9934" xr:uid="{00000000-0005-0000-0000-00002C0A0000}"/>
    <cellStyle name="Normal 13 4 2 7" xfId="10733" xr:uid="{00000000-0005-0000-0000-00002D0A0000}"/>
    <cellStyle name="Normal 13 4 2 8" xfId="10863" xr:uid="{00000000-0005-0000-0000-00002E0A0000}"/>
    <cellStyle name="Normal 13 4 2 9" xfId="9133" xr:uid="{00000000-0005-0000-0000-00002F0A0000}"/>
    <cellStyle name="Normal 13 4 3" xfId="2702" xr:uid="{00000000-0005-0000-0000-0000300A0000}"/>
    <cellStyle name="Normal 13 4 3 2" xfId="7408" xr:uid="{00000000-0005-0000-0000-0000310A0000}"/>
    <cellStyle name="Normal 13 4 3 2 2" xfId="9719" xr:uid="{00000000-0005-0000-0000-0000320A0000}"/>
    <cellStyle name="Normal 13 4 3 2 2 2" xfId="9944" xr:uid="{00000000-0005-0000-0000-0000330A0000}"/>
    <cellStyle name="Normal 13 4 3 2 3" xfId="9943" xr:uid="{00000000-0005-0000-0000-0000340A0000}"/>
    <cellStyle name="Normal 13 4 3 2 4" xfId="9266" xr:uid="{00000000-0005-0000-0000-0000350A0000}"/>
    <cellStyle name="Normal 13 4 3 3" xfId="7409" xr:uid="{00000000-0005-0000-0000-0000360A0000}"/>
    <cellStyle name="Normal 13 4 3 3 2" xfId="9803" xr:uid="{00000000-0005-0000-0000-0000370A0000}"/>
    <cellStyle name="Normal 13 4 3 3 2 2" xfId="9946" xr:uid="{00000000-0005-0000-0000-0000380A0000}"/>
    <cellStyle name="Normal 13 4 3 3 3" xfId="9945" xr:uid="{00000000-0005-0000-0000-0000390A0000}"/>
    <cellStyle name="Normal 13 4 3 4" xfId="9522" xr:uid="{00000000-0005-0000-0000-00003A0A0000}"/>
    <cellStyle name="Normal 13 4 3 4 2" xfId="9947" xr:uid="{00000000-0005-0000-0000-00003B0A0000}"/>
    <cellStyle name="Normal 13 4 3 5" xfId="9942" xr:uid="{00000000-0005-0000-0000-00003C0A0000}"/>
    <cellStyle name="Normal 13 4 3 6" xfId="10734" xr:uid="{00000000-0005-0000-0000-00003D0A0000}"/>
    <cellStyle name="Normal 13 4 3 7" xfId="10864" xr:uid="{00000000-0005-0000-0000-00003E0A0000}"/>
    <cellStyle name="Normal 13 4 4" xfId="9206" xr:uid="{00000000-0005-0000-0000-00003F0A0000}"/>
    <cellStyle name="Normal 13 4 4 2" xfId="9658" xr:uid="{00000000-0005-0000-0000-0000400A0000}"/>
    <cellStyle name="Normal 13 4 4 2 2" xfId="9949" xr:uid="{00000000-0005-0000-0000-0000410A0000}"/>
    <cellStyle name="Normal 13 4 4 3" xfId="9948" xr:uid="{00000000-0005-0000-0000-0000420A0000}"/>
    <cellStyle name="Normal 13 4 4 4" xfId="14886" xr:uid="{00000000-0005-0000-0000-0000430A0000}"/>
    <cellStyle name="Normal 13 4 4 5" xfId="13434" xr:uid="{00000000-0005-0000-0000-0000440A0000}"/>
    <cellStyle name="Normal 13 4 5" xfId="9343" xr:uid="{00000000-0005-0000-0000-0000450A0000}"/>
    <cellStyle name="Normal 13 4 5 2" xfId="9757" xr:uid="{00000000-0005-0000-0000-0000460A0000}"/>
    <cellStyle name="Normal 13 4 5 2 2" xfId="9951" xr:uid="{00000000-0005-0000-0000-0000470A0000}"/>
    <cellStyle name="Normal 13 4 5 3" xfId="9950" xr:uid="{00000000-0005-0000-0000-0000480A0000}"/>
    <cellStyle name="Normal 13 4 6" xfId="9430" xr:uid="{00000000-0005-0000-0000-0000490A0000}"/>
    <cellStyle name="Normal 13 4 6 2" xfId="9849" xr:uid="{00000000-0005-0000-0000-00004A0A0000}"/>
    <cellStyle name="Normal 13 4 6 2 2" xfId="9953" xr:uid="{00000000-0005-0000-0000-00004B0A0000}"/>
    <cellStyle name="Normal 13 4 6 3" xfId="9952" xr:uid="{00000000-0005-0000-0000-00004C0A0000}"/>
    <cellStyle name="Normal 13 4 7" xfId="9129" xr:uid="{00000000-0005-0000-0000-00004D0A0000}"/>
    <cellStyle name="Normal 13 4 7 2" xfId="9611" xr:uid="{00000000-0005-0000-0000-00004E0A0000}"/>
    <cellStyle name="Normal 13 4 7 2 2" xfId="9955" xr:uid="{00000000-0005-0000-0000-00004F0A0000}"/>
    <cellStyle name="Normal 13 4 7 3" xfId="9954" xr:uid="{00000000-0005-0000-0000-0000500A0000}"/>
    <cellStyle name="Normal 13 4 8" xfId="9477" xr:uid="{00000000-0005-0000-0000-0000510A0000}"/>
    <cellStyle name="Normal 13 4 8 2" xfId="9956" xr:uid="{00000000-0005-0000-0000-0000520A0000}"/>
    <cellStyle name="Normal 13 4 9" xfId="9901" xr:uid="{00000000-0005-0000-0000-0000530A0000}"/>
    <cellStyle name="Normal 13 5" xfId="1357" xr:uid="{00000000-0005-0000-0000-0000540A0000}"/>
    <cellStyle name="Normal 13 5 2" xfId="2510" xr:uid="{00000000-0005-0000-0000-0000550A0000}"/>
    <cellStyle name="Normal 13 5 2 2" xfId="9424" xr:uid="{00000000-0005-0000-0000-0000560A0000}"/>
    <cellStyle name="Normal 13 5 2 2 2" xfId="9845" xr:uid="{00000000-0005-0000-0000-0000570A0000}"/>
    <cellStyle name="Normal 13 5 2 2 2 2" xfId="9960" xr:uid="{00000000-0005-0000-0000-0000580A0000}"/>
    <cellStyle name="Normal 13 5 2 2 3" xfId="9959" xr:uid="{00000000-0005-0000-0000-0000590A0000}"/>
    <cellStyle name="Normal 13 5 2 3" xfId="9564" xr:uid="{00000000-0005-0000-0000-00005A0A0000}"/>
    <cellStyle name="Normal 13 5 2 3 2" xfId="9961" xr:uid="{00000000-0005-0000-0000-00005B0A0000}"/>
    <cellStyle name="Normal 13 5 2 4" xfId="9958" xr:uid="{00000000-0005-0000-0000-00005C0A0000}"/>
    <cellStyle name="Normal 13 5 2 5" xfId="10773" xr:uid="{00000000-0005-0000-0000-00005D0A0000}"/>
    <cellStyle name="Normal 13 5 2 6" xfId="10903" xr:uid="{00000000-0005-0000-0000-00005E0A0000}"/>
    <cellStyle name="Normal 13 5 2 7" xfId="9300" xr:uid="{00000000-0005-0000-0000-00005F0A0000}"/>
    <cellStyle name="Normal 13 5 3" xfId="2703" xr:uid="{00000000-0005-0000-0000-0000600A0000}"/>
    <cellStyle name="Normal 13 5 3 2" xfId="9664" xr:uid="{00000000-0005-0000-0000-0000610A0000}"/>
    <cellStyle name="Normal 13 5 3 2 2" xfId="9963" xr:uid="{00000000-0005-0000-0000-0000620A0000}"/>
    <cellStyle name="Normal 13 5 3 3" xfId="9962" xr:uid="{00000000-0005-0000-0000-0000630A0000}"/>
    <cellStyle name="Normal 13 5 3 4" xfId="9211" xr:uid="{00000000-0005-0000-0000-0000640A0000}"/>
    <cellStyle name="Normal 13 5 4" xfId="9349" xr:uid="{00000000-0005-0000-0000-0000650A0000}"/>
    <cellStyle name="Normal 13 5 4 2" xfId="9763" xr:uid="{00000000-0005-0000-0000-0000660A0000}"/>
    <cellStyle name="Normal 13 5 4 2 2" xfId="9965" xr:uid="{00000000-0005-0000-0000-0000670A0000}"/>
    <cellStyle name="Normal 13 5 4 3" xfId="9964" xr:uid="{00000000-0005-0000-0000-0000680A0000}"/>
    <cellStyle name="Normal 13 5 5" xfId="9483" xr:uid="{00000000-0005-0000-0000-0000690A0000}"/>
    <cellStyle name="Normal 13 5 5 2" xfId="9966" xr:uid="{00000000-0005-0000-0000-00006A0A0000}"/>
    <cellStyle name="Normal 13 5 6" xfId="9957" xr:uid="{00000000-0005-0000-0000-00006B0A0000}"/>
    <cellStyle name="Normal 13 5 7" xfId="10694" xr:uid="{00000000-0005-0000-0000-00006C0A0000}"/>
    <cellStyle name="Normal 13 5 8" xfId="10826" xr:uid="{00000000-0005-0000-0000-00006D0A0000}"/>
    <cellStyle name="Normal 13 5 9" xfId="9134" xr:uid="{00000000-0005-0000-0000-00006E0A0000}"/>
    <cellStyle name="Normal 13 6" xfId="1350" xr:uid="{00000000-0005-0000-0000-00006F0A0000}"/>
    <cellStyle name="Normal 13 6 2" xfId="2845" xr:uid="{00000000-0005-0000-0000-0000700A0000}"/>
    <cellStyle name="Normal 13 6 2 2" xfId="9968" xr:uid="{00000000-0005-0000-0000-0000710A0000}"/>
    <cellStyle name="Normal 13 6 2 3" xfId="9618" xr:uid="{00000000-0005-0000-0000-0000720A0000}"/>
    <cellStyle name="Normal 13 6 3" xfId="2701" xr:uid="{00000000-0005-0000-0000-0000730A0000}"/>
    <cellStyle name="Normal 13 6 3 2" xfId="9967" xr:uid="{00000000-0005-0000-0000-0000740A0000}"/>
    <cellStyle name="Normal 13 6 4" xfId="2623" xr:uid="{00000000-0005-0000-0000-0000750A0000}"/>
    <cellStyle name="Normal 13 6 5" xfId="2556" xr:uid="{00000000-0005-0000-0000-0000760A0000}"/>
    <cellStyle name="Normal 13 6 6" xfId="9165" xr:uid="{00000000-0005-0000-0000-0000770A0000}"/>
    <cellStyle name="Normal 13 7" xfId="7410" xr:uid="{00000000-0005-0000-0000-0000780A0000}"/>
    <cellStyle name="Normal 13 7 2" xfId="9721" xr:uid="{00000000-0005-0000-0000-0000790A0000}"/>
    <cellStyle name="Normal 13 7 2 2" xfId="9970" xr:uid="{00000000-0005-0000-0000-00007A0A0000}"/>
    <cellStyle name="Normal 13 7 3" xfId="9969" xr:uid="{00000000-0005-0000-0000-00007B0A0000}"/>
    <cellStyle name="Normal 13 7 4" xfId="9310" xr:uid="{00000000-0005-0000-0000-00007C0A0000}"/>
    <cellStyle name="Normal 13 8" xfId="7411" xr:uid="{00000000-0005-0000-0000-00007D0A0000}"/>
    <cellStyle name="Normal 13 8 2" xfId="9570" xr:uid="{00000000-0005-0000-0000-00007E0A0000}"/>
    <cellStyle name="Normal 13 8 2 2" xfId="9972" xr:uid="{00000000-0005-0000-0000-00007F0A0000}"/>
    <cellStyle name="Normal 13 8 3" xfId="9971" xr:uid="{00000000-0005-0000-0000-0000800A0000}"/>
    <cellStyle name="Normal 13 8 4" xfId="9092" xr:uid="{00000000-0005-0000-0000-0000810A0000}"/>
    <cellStyle name="Normal 13 9" xfId="7412" xr:uid="{00000000-0005-0000-0000-0000820A0000}"/>
    <cellStyle name="Normal 13 9 2" xfId="9973" xr:uid="{00000000-0005-0000-0000-0000830A0000}"/>
    <cellStyle name="Normal 13 9 3" xfId="9440" xr:uid="{00000000-0005-0000-0000-0000840A0000}"/>
    <cellStyle name="Normal 130" xfId="484" xr:uid="{00000000-0005-0000-0000-0000850A0000}"/>
    <cellStyle name="Normal 130 2" xfId="931" xr:uid="{00000000-0005-0000-0000-0000860A0000}"/>
    <cellStyle name="Normal 130 3" xfId="10593" xr:uid="{00000000-0005-0000-0000-0000870A0000}"/>
    <cellStyle name="Normal 131" xfId="485" xr:uid="{00000000-0005-0000-0000-0000880A0000}"/>
    <cellStyle name="Normal 131 2" xfId="932" xr:uid="{00000000-0005-0000-0000-0000890A0000}"/>
    <cellStyle name="Normal 131 2 2" xfId="1359" xr:uid="{00000000-0005-0000-0000-00008A0A0000}"/>
    <cellStyle name="Normal 131 3" xfId="1360" xr:uid="{00000000-0005-0000-0000-00008B0A0000}"/>
    <cellStyle name="Normal 131 4" xfId="1361" xr:uid="{00000000-0005-0000-0000-00008C0A0000}"/>
    <cellStyle name="Normal 131 5" xfId="1362" xr:uid="{00000000-0005-0000-0000-00008D0A0000}"/>
    <cellStyle name="Normal 131 6" xfId="1358" xr:uid="{00000000-0005-0000-0000-00008E0A0000}"/>
    <cellStyle name="Normal 132" xfId="486" xr:uid="{00000000-0005-0000-0000-00008F0A0000}"/>
    <cellStyle name="Normal 132 2" xfId="933" xr:uid="{00000000-0005-0000-0000-0000900A0000}"/>
    <cellStyle name="Normal 132 3" xfId="8997" xr:uid="{00000000-0005-0000-0000-0000910A0000}"/>
    <cellStyle name="Normal 133" xfId="487" xr:uid="{00000000-0005-0000-0000-0000920A0000}"/>
    <cellStyle name="Normal 133 2" xfId="934" xr:uid="{00000000-0005-0000-0000-0000930A0000}"/>
    <cellStyle name="Normal 133 3" xfId="9055" xr:uid="{00000000-0005-0000-0000-0000940A0000}"/>
    <cellStyle name="Normal 134" xfId="488" xr:uid="{00000000-0005-0000-0000-0000950A0000}"/>
    <cellStyle name="Normal 134 2" xfId="935" xr:uid="{00000000-0005-0000-0000-0000960A0000}"/>
    <cellStyle name="Normal 134 2 2" xfId="1364" xr:uid="{00000000-0005-0000-0000-0000970A0000}"/>
    <cellStyle name="Normal 134 3" xfId="1365" xr:uid="{00000000-0005-0000-0000-0000980A0000}"/>
    <cellStyle name="Normal 134 4" xfId="1366" xr:uid="{00000000-0005-0000-0000-0000990A0000}"/>
    <cellStyle name="Normal 134 5" xfId="1367" xr:uid="{00000000-0005-0000-0000-00009A0A0000}"/>
    <cellStyle name="Normal 134 6" xfId="1363" xr:uid="{00000000-0005-0000-0000-00009B0A0000}"/>
    <cellStyle name="Normal 135" xfId="489" xr:uid="{00000000-0005-0000-0000-00009C0A0000}"/>
    <cellStyle name="Normal 135 2" xfId="936" xr:uid="{00000000-0005-0000-0000-00009D0A0000}"/>
    <cellStyle name="Normal 135 3" xfId="10601" xr:uid="{00000000-0005-0000-0000-00009E0A0000}"/>
    <cellStyle name="Normal 136" xfId="490" xr:uid="{00000000-0005-0000-0000-00009F0A0000}"/>
    <cellStyle name="Normal 136 2" xfId="937" xr:uid="{00000000-0005-0000-0000-0000A00A0000}"/>
    <cellStyle name="Normal 136 3" xfId="10603" xr:uid="{00000000-0005-0000-0000-0000A10A0000}"/>
    <cellStyle name="Normal 137" xfId="491" xr:uid="{00000000-0005-0000-0000-0000A20A0000}"/>
    <cellStyle name="Normal 137 2" xfId="938" xr:uid="{00000000-0005-0000-0000-0000A30A0000}"/>
    <cellStyle name="Normal 137 2 2" xfId="1369" xr:uid="{00000000-0005-0000-0000-0000A40A0000}"/>
    <cellStyle name="Normal 137 3" xfId="1370" xr:uid="{00000000-0005-0000-0000-0000A50A0000}"/>
    <cellStyle name="Normal 137 4" xfId="1371" xr:uid="{00000000-0005-0000-0000-0000A60A0000}"/>
    <cellStyle name="Normal 137 5" xfId="1372" xr:uid="{00000000-0005-0000-0000-0000A70A0000}"/>
    <cellStyle name="Normal 137 6" xfId="1368" xr:uid="{00000000-0005-0000-0000-0000A80A0000}"/>
    <cellStyle name="Normal 138" xfId="492" xr:uid="{00000000-0005-0000-0000-0000A90A0000}"/>
    <cellStyle name="Normal 138 2" xfId="939" xr:uid="{00000000-0005-0000-0000-0000AA0A0000}"/>
    <cellStyle name="Normal 138 3" xfId="10600" xr:uid="{00000000-0005-0000-0000-0000AB0A0000}"/>
    <cellStyle name="Normal 139" xfId="493" xr:uid="{00000000-0005-0000-0000-0000AC0A0000}"/>
    <cellStyle name="Normal 139 2" xfId="940" xr:uid="{00000000-0005-0000-0000-0000AD0A0000}"/>
    <cellStyle name="Normal 139 3" xfId="10602" xr:uid="{00000000-0005-0000-0000-0000AE0A0000}"/>
    <cellStyle name="Normal 14" xfId="198" xr:uid="{00000000-0005-0000-0000-0000AF0A0000}"/>
    <cellStyle name="Normal 14 10" xfId="7413" xr:uid="{00000000-0005-0000-0000-0000B00A0000}"/>
    <cellStyle name="Normal 14 10 2" xfId="9868" xr:uid="{00000000-0005-0000-0000-0000B10A0000}"/>
    <cellStyle name="Normal 14 11" xfId="9027" xr:uid="{00000000-0005-0000-0000-0000B20A0000}"/>
    <cellStyle name="Normal 14 12" xfId="10653" xr:uid="{00000000-0005-0000-0000-0000B30A0000}"/>
    <cellStyle name="Normal 14 13" xfId="10785" xr:uid="{00000000-0005-0000-0000-0000B40A0000}"/>
    <cellStyle name="Normal 14 2" xfId="199" xr:uid="{00000000-0005-0000-0000-0000B50A0000}"/>
    <cellStyle name="Normal 14 2 10" xfId="10654" xr:uid="{00000000-0005-0000-0000-0000B60A0000}"/>
    <cellStyle name="Normal 14 2 11" xfId="10786" xr:uid="{00000000-0005-0000-0000-0000B70A0000}"/>
    <cellStyle name="Normal 14 2 2" xfId="7414" xr:uid="{00000000-0005-0000-0000-0000B80A0000}"/>
    <cellStyle name="Normal 14 2 2 2" xfId="9352" xr:uid="{00000000-0005-0000-0000-0000B90A0000}"/>
    <cellStyle name="Normal 14 2 2 2 2" xfId="9767" xr:uid="{00000000-0005-0000-0000-0000BA0A0000}"/>
    <cellStyle name="Normal 14 2 2 2 2 2" xfId="9976" xr:uid="{00000000-0005-0000-0000-0000BB0A0000}"/>
    <cellStyle name="Normal 14 2 2 2 3" xfId="9975" xr:uid="{00000000-0005-0000-0000-0000BC0A0000}"/>
    <cellStyle name="Normal 14 2 2 3" xfId="9487" xr:uid="{00000000-0005-0000-0000-0000BD0A0000}"/>
    <cellStyle name="Normal 14 2 2 3 2" xfId="9977" xr:uid="{00000000-0005-0000-0000-0000BE0A0000}"/>
    <cellStyle name="Normal 14 2 2 4" xfId="9974" xr:uid="{00000000-0005-0000-0000-0000BF0A0000}"/>
    <cellStyle name="Normal 14 2 2 5" xfId="10698" xr:uid="{00000000-0005-0000-0000-0000C00A0000}"/>
    <cellStyle name="Normal 14 2 2 6" xfId="10830" xr:uid="{00000000-0005-0000-0000-0000C10A0000}"/>
    <cellStyle name="Normal 14 2 2 7" xfId="9213" xr:uid="{00000000-0005-0000-0000-0000C20A0000}"/>
    <cellStyle name="Normal 14 2 3" xfId="7415" xr:uid="{00000000-0005-0000-0000-0000C30A0000}"/>
    <cellStyle name="Normal 14 2 3 2" xfId="9387" xr:uid="{00000000-0005-0000-0000-0000C40A0000}"/>
    <cellStyle name="Normal 14 2 3 2 2" xfId="9808" xr:uid="{00000000-0005-0000-0000-0000C50A0000}"/>
    <cellStyle name="Normal 14 2 3 2 2 2" xfId="9980" xr:uid="{00000000-0005-0000-0000-0000C60A0000}"/>
    <cellStyle name="Normal 14 2 3 2 3" xfId="9979" xr:uid="{00000000-0005-0000-0000-0000C70A0000}"/>
    <cellStyle name="Normal 14 2 3 3" xfId="9527" xr:uid="{00000000-0005-0000-0000-0000C80A0000}"/>
    <cellStyle name="Normal 14 2 3 3 2" xfId="9981" xr:uid="{00000000-0005-0000-0000-0000C90A0000}"/>
    <cellStyle name="Normal 14 2 3 4" xfId="9978" xr:uid="{00000000-0005-0000-0000-0000CA0A0000}"/>
    <cellStyle name="Normal 14 2 3 5" xfId="10739" xr:uid="{00000000-0005-0000-0000-0000CB0A0000}"/>
    <cellStyle name="Normal 14 2 3 6" xfId="10869" xr:uid="{00000000-0005-0000-0000-0000CC0A0000}"/>
    <cellStyle name="Normal 14 2 4" xfId="7416" xr:uid="{00000000-0005-0000-0000-0000CD0A0000}"/>
    <cellStyle name="Normal 14 2 4 2" xfId="9622" xr:uid="{00000000-0005-0000-0000-0000CE0A0000}"/>
    <cellStyle name="Normal 14 2 4 2 2" xfId="9983" xr:uid="{00000000-0005-0000-0000-0000CF0A0000}"/>
    <cellStyle name="Normal 14 2 4 3" xfId="9982" xr:uid="{00000000-0005-0000-0000-0000D00A0000}"/>
    <cellStyle name="Normal 14 2 4 4" xfId="9169" xr:uid="{00000000-0005-0000-0000-0000D10A0000}"/>
    <cellStyle name="Normal 14 2 5" xfId="7417" xr:uid="{00000000-0005-0000-0000-0000D20A0000}"/>
    <cellStyle name="Normal 14 2 5 2" xfId="9725" xr:uid="{00000000-0005-0000-0000-0000D30A0000}"/>
    <cellStyle name="Normal 14 2 5 2 2" xfId="9985" xr:uid="{00000000-0005-0000-0000-0000D40A0000}"/>
    <cellStyle name="Normal 14 2 5 3" xfId="9984" xr:uid="{00000000-0005-0000-0000-0000D50A0000}"/>
    <cellStyle name="Normal 14 2 5 4" xfId="9314" xr:uid="{00000000-0005-0000-0000-0000D60A0000}"/>
    <cellStyle name="Normal 14 2 6" xfId="7418" xr:uid="{00000000-0005-0000-0000-0000D70A0000}"/>
    <cellStyle name="Normal 14 2 6 2" xfId="9574" xr:uid="{00000000-0005-0000-0000-0000D80A0000}"/>
    <cellStyle name="Normal 14 2 6 2 2" xfId="9987" xr:uid="{00000000-0005-0000-0000-0000D90A0000}"/>
    <cellStyle name="Normal 14 2 6 3" xfId="9986" xr:uid="{00000000-0005-0000-0000-0000DA0A0000}"/>
    <cellStyle name="Normal 14 2 6 4" xfId="9096" xr:uid="{00000000-0005-0000-0000-0000DB0A0000}"/>
    <cellStyle name="Normal 14 2 7" xfId="7419" xr:uid="{00000000-0005-0000-0000-0000DC0A0000}"/>
    <cellStyle name="Normal 14 2 7 2" xfId="9988" xr:uid="{00000000-0005-0000-0000-0000DD0A0000}"/>
    <cellStyle name="Normal 14 2 7 3" xfId="9444" xr:uid="{00000000-0005-0000-0000-0000DE0A0000}"/>
    <cellStyle name="Normal 14 2 8" xfId="7420" xr:uid="{00000000-0005-0000-0000-0000DF0A0000}"/>
    <cellStyle name="Normal 14 2 8 2" xfId="9869" xr:uid="{00000000-0005-0000-0000-0000E00A0000}"/>
    <cellStyle name="Normal 14 2 9" xfId="7421" xr:uid="{00000000-0005-0000-0000-0000E10A0000}"/>
    <cellStyle name="Normal 14 2 9 2" xfId="9028" xr:uid="{00000000-0005-0000-0000-0000E20A0000}"/>
    <cellStyle name="Normal 14 3" xfId="1374" xr:uid="{00000000-0005-0000-0000-0000E30A0000}"/>
    <cellStyle name="Normal 14 3 10" xfId="10655" xr:uid="{00000000-0005-0000-0000-0000E40A0000}"/>
    <cellStyle name="Normal 14 3 11" xfId="10787" xr:uid="{00000000-0005-0000-0000-0000E50A0000}"/>
    <cellStyle name="Normal 14 3 2" xfId="7422" xr:uid="{00000000-0005-0000-0000-0000E60A0000}"/>
    <cellStyle name="Normal 14 3 2 2" xfId="9353" xr:uid="{00000000-0005-0000-0000-0000E70A0000}"/>
    <cellStyle name="Normal 14 3 2 2 2" xfId="9768" xr:uid="{00000000-0005-0000-0000-0000E80A0000}"/>
    <cellStyle name="Normal 14 3 2 2 2 2" xfId="9991" xr:uid="{00000000-0005-0000-0000-0000E90A0000}"/>
    <cellStyle name="Normal 14 3 2 2 3" xfId="9990" xr:uid="{00000000-0005-0000-0000-0000EA0A0000}"/>
    <cellStyle name="Normal 14 3 2 3" xfId="9488" xr:uid="{00000000-0005-0000-0000-0000EB0A0000}"/>
    <cellStyle name="Normal 14 3 2 3 2" xfId="9992" xr:uid="{00000000-0005-0000-0000-0000EC0A0000}"/>
    <cellStyle name="Normal 14 3 2 4" xfId="9989" xr:uid="{00000000-0005-0000-0000-0000ED0A0000}"/>
    <cellStyle name="Normal 14 3 2 5" xfId="10699" xr:uid="{00000000-0005-0000-0000-0000EE0A0000}"/>
    <cellStyle name="Normal 14 3 2 6" xfId="10831" xr:uid="{00000000-0005-0000-0000-0000EF0A0000}"/>
    <cellStyle name="Normal 14 3 2 7" xfId="9214" xr:uid="{00000000-0005-0000-0000-0000F00A0000}"/>
    <cellStyle name="Normal 14 3 3" xfId="9270" xr:uid="{00000000-0005-0000-0000-0000F10A0000}"/>
    <cellStyle name="Normal 14 3 3 2" xfId="9388" xr:uid="{00000000-0005-0000-0000-0000F20A0000}"/>
    <cellStyle name="Normal 14 3 3 2 2" xfId="9809" xr:uid="{00000000-0005-0000-0000-0000F30A0000}"/>
    <cellStyle name="Normal 14 3 3 2 2 2" xfId="9995" xr:uid="{00000000-0005-0000-0000-0000F40A0000}"/>
    <cellStyle name="Normal 14 3 3 2 3" xfId="9994" xr:uid="{00000000-0005-0000-0000-0000F50A0000}"/>
    <cellStyle name="Normal 14 3 3 3" xfId="9528" xr:uid="{00000000-0005-0000-0000-0000F60A0000}"/>
    <cellStyle name="Normal 14 3 3 3 2" xfId="9996" xr:uid="{00000000-0005-0000-0000-0000F70A0000}"/>
    <cellStyle name="Normal 14 3 3 4" xfId="9993" xr:uid="{00000000-0005-0000-0000-0000F80A0000}"/>
    <cellStyle name="Normal 14 3 3 5" xfId="10740" xr:uid="{00000000-0005-0000-0000-0000F90A0000}"/>
    <cellStyle name="Normal 14 3 3 6" xfId="10870" xr:uid="{00000000-0005-0000-0000-0000FA0A0000}"/>
    <cellStyle name="Normal 14 3 4" xfId="9170" xr:uid="{00000000-0005-0000-0000-0000FB0A0000}"/>
    <cellStyle name="Normal 14 3 4 2" xfId="9623" xr:uid="{00000000-0005-0000-0000-0000FC0A0000}"/>
    <cellStyle name="Normal 14 3 4 2 2" xfId="9998" xr:uid="{00000000-0005-0000-0000-0000FD0A0000}"/>
    <cellStyle name="Normal 14 3 4 3" xfId="9997" xr:uid="{00000000-0005-0000-0000-0000FE0A0000}"/>
    <cellStyle name="Normal 14 3 5" xfId="9315" xr:uid="{00000000-0005-0000-0000-0000FF0A0000}"/>
    <cellStyle name="Normal 14 3 5 2" xfId="9726" xr:uid="{00000000-0005-0000-0000-0000000B0000}"/>
    <cellStyle name="Normal 14 3 5 2 2" xfId="10000" xr:uid="{00000000-0005-0000-0000-0000010B0000}"/>
    <cellStyle name="Normal 14 3 5 3" xfId="9999" xr:uid="{00000000-0005-0000-0000-0000020B0000}"/>
    <cellStyle name="Normal 14 3 6" xfId="9097" xr:uid="{00000000-0005-0000-0000-0000030B0000}"/>
    <cellStyle name="Normal 14 3 6 2" xfId="9575" xr:uid="{00000000-0005-0000-0000-0000040B0000}"/>
    <cellStyle name="Normal 14 3 6 2 2" xfId="10002" xr:uid="{00000000-0005-0000-0000-0000050B0000}"/>
    <cellStyle name="Normal 14 3 6 3" xfId="10001" xr:uid="{00000000-0005-0000-0000-0000060B0000}"/>
    <cellStyle name="Normal 14 3 7" xfId="9445" xr:uid="{00000000-0005-0000-0000-0000070B0000}"/>
    <cellStyle name="Normal 14 3 7 2" xfId="10003" xr:uid="{00000000-0005-0000-0000-0000080B0000}"/>
    <cellStyle name="Normal 14 3 8" xfId="9870" xr:uid="{00000000-0005-0000-0000-0000090B0000}"/>
    <cellStyle name="Normal 14 3 9" xfId="9029" xr:uid="{00000000-0005-0000-0000-00000A0B0000}"/>
    <cellStyle name="Normal 14 4" xfId="1375" xr:uid="{00000000-0005-0000-0000-00000B0B0000}"/>
    <cellStyle name="Normal 14 4 2" xfId="7423" xr:uid="{00000000-0005-0000-0000-00000C0B0000}"/>
    <cellStyle name="Normal 14 4 2 2" xfId="9766" xr:uid="{00000000-0005-0000-0000-00000D0B0000}"/>
    <cellStyle name="Normal 14 4 2 2 2" xfId="10006" xr:uid="{00000000-0005-0000-0000-00000E0B0000}"/>
    <cellStyle name="Normal 14 4 2 3" xfId="10005" xr:uid="{00000000-0005-0000-0000-00000F0B0000}"/>
    <cellStyle name="Normal 14 4 3" xfId="9486" xr:uid="{00000000-0005-0000-0000-0000100B0000}"/>
    <cellStyle name="Normal 14 4 3 2" xfId="10007" xr:uid="{00000000-0005-0000-0000-0000110B0000}"/>
    <cellStyle name="Normal 14 4 3 3" xfId="14892" xr:uid="{00000000-0005-0000-0000-0000120B0000}"/>
    <cellStyle name="Normal 14 4 3 4" xfId="13435" xr:uid="{00000000-0005-0000-0000-0000130B0000}"/>
    <cellStyle name="Normal 14 4 4" xfId="10004" xr:uid="{00000000-0005-0000-0000-0000140B0000}"/>
    <cellStyle name="Normal 14 4 5" xfId="10697" xr:uid="{00000000-0005-0000-0000-0000150B0000}"/>
    <cellStyle name="Normal 14 4 6" xfId="10829" xr:uid="{00000000-0005-0000-0000-0000160B0000}"/>
    <cellStyle name="Normal 14 5" xfId="1376" xr:uid="{00000000-0005-0000-0000-0000170B0000}"/>
    <cellStyle name="Normal 14 5 2" xfId="2509" xr:uid="{00000000-0005-0000-0000-0000180B0000}"/>
    <cellStyle name="Normal 14 5 2 2" xfId="9807" xr:uid="{00000000-0005-0000-0000-0000190B0000}"/>
    <cellStyle name="Normal 14 5 2 2 2" xfId="10010" xr:uid="{00000000-0005-0000-0000-00001A0B0000}"/>
    <cellStyle name="Normal 14 5 2 3" xfId="10009" xr:uid="{00000000-0005-0000-0000-00001B0B0000}"/>
    <cellStyle name="Normal 14 5 2 4" xfId="9386" xr:uid="{00000000-0005-0000-0000-00001C0B0000}"/>
    <cellStyle name="Normal 14 5 3" xfId="2705" xr:uid="{00000000-0005-0000-0000-00001D0B0000}"/>
    <cellStyle name="Normal 14 5 3 2" xfId="10011" xr:uid="{00000000-0005-0000-0000-00001E0B0000}"/>
    <cellStyle name="Normal 14 5 3 3" xfId="9526" xr:uid="{00000000-0005-0000-0000-00001F0B0000}"/>
    <cellStyle name="Normal 14 5 4" xfId="10008" xr:uid="{00000000-0005-0000-0000-0000200B0000}"/>
    <cellStyle name="Normal 14 5 5" xfId="10738" xr:uid="{00000000-0005-0000-0000-0000210B0000}"/>
    <cellStyle name="Normal 14 5 6" xfId="10868" xr:uid="{00000000-0005-0000-0000-0000220B0000}"/>
    <cellStyle name="Normal 14 5 7" xfId="9269" xr:uid="{00000000-0005-0000-0000-0000230B0000}"/>
    <cellStyle name="Normal 14 6" xfId="1377" xr:uid="{00000000-0005-0000-0000-0000240B0000}"/>
    <cellStyle name="Normal 14 6 2" xfId="2508" xr:uid="{00000000-0005-0000-0000-0000250B0000}"/>
    <cellStyle name="Normal 14 6 2 2" xfId="10013" xr:uid="{00000000-0005-0000-0000-0000260B0000}"/>
    <cellStyle name="Normal 14 6 2 3" xfId="9621" xr:uid="{00000000-0005-0000-0000-0000270B0000}"/>
    <cellStyle name="Normal 14 6 3" xfId="2706" xr:uid="{00000000-0005-0000-0000-0000280B0000}"/>
    <cellStyle name="Normal 14 6 3 2" xfId="10012" xr:uid="{00000000-0005-0000-0000-0000290B0000}"/>
    <cellStyle name="Normal 14 6 4" xfId="9168" xr:uid="{00000000-0005-0000-0000-00002A0B0000}"/>
    <cellStyle name="Normal 14 7" xfId="1373" xr:uid="{00000000-0005-0000-0000-00002B0B0000}"/>
    <cellStyle name="Normal 14 7 2" xfId="2846" xr:uid="{00000000-0005-0000-0000-00002C0B0000}"/>
    <cellStyle name="Normal 14 7 2 2" xfId="10015" xr:uid="{00000000-0005-0000-0000-00002D0B0000}"/>
    <cellStyle name="Normal 14 7 2 3" xfId="9724" xr:uid="{00000000-0005-0000-0000-00002E0B0000}"/>
    <cellStyle name="Normal 14 7 3" xfId="2704" xr:uid="{00000000-0005-0000-0000-00002F0B0000}"/>
    <cellStyle name="Normal 14 7 3 2" xfId="10014" xr:uid="{00000000-0005-0000-0000-0000300B0000}"/>
    <cellStyle name="Normal 14 7 4" xfId="2624" xr:uid="{00000000-0005-0000-0000-0000310B0000}"/>
    <cellStyle name="Normal 14 7 5" xfId="2557" xr:uid="{00000000-0005-0000-0000-0000320B0000}"/>
    <cellStyle name="Normal 14 7 6" xfId="9313" xr:uid="{00000000-0005-0000-0000-0000330B0000}"/>
    <cellStyle name="Normal 14 8" xfId="7424" xr:uid="{00000000-0005-0000-0000-0000340B0000}"/>
    <cellStyle name="Normal 14 8 2" xfId="9573" xr:uid="{00000000-0005-0000-0000-0000350B0000}"/>
    <cellStyle name="Normal 14 8 2 2" xfId="10017" xr:uid="{00000000-0005-0000-0000-0000360B0000}"/>
    <cellStyle name="Normal 14 8 3" xfId="10016" xr:uid="{00000000-0005-0000-0000-0000370B0000}"/>
    <cellStyle name="Normal 14 8 4" xfId="9095" xr:uid="{00000000-0005-0000-0000-0000380B0000}"/>
    <cellStyle name="Normal 14 9" xfId="7425" xr:uid="{00000000-0005-0000-0000-0000390B0000}"/>
    <cellStyle name="Normal 14 9 2" xfId="10018" xr:uid="{00000000-0005-0000-0000-00003A0B0000}"/>
    <cellStyle name="Normal 14 9 3" xfId="9443" xr:uid="{00000000-0005-0000-0000-00003B0B0000}"/>
    <cellStyle name="Normal 140" xfId="494" xr:uid="{00000000-0005-0000-0000-00003C0B0000}"/>
    <cellStyle name="Normal 140 2" xfId="941" xr:uid="{00000000-0005-0000-0000-00003D0B0000}"/>
    <cellStyle name="Normal 140 2 2" xfId="1379" xr:uid="{00000000-0005-0000-0000-00003E0B0000}"/>
    <cellStyle name="Normal 140 3" xfId="1380" xr:uid="{00000000-0005-0000-0000-00003F0B0000}"/>
    <cellStyle name="Normal 140 4" xfId="1381" xr:uid="{00000000-0005-0000-0000-0000400B0000}"/>
    <cellStyle name="Normal 140 5" xfId="1382" xr:uid="{00000000-0005-0000-0000-0000410B0000}"/>
    <cellStyle name="Normal 140 6" xfId="1378" xr:uid="{00000000-0005-0000-0000-0000420B0000}"/>
    <cellStyle name="Normal 141" xfId="495" xr:uid="{00000000-0005-0000-0000-0000430B0000}"/>
    <cellStyle name="Normal 141 2" xfId="1384" xr:uid="{00000000-0005-0000-0000-0000440B0000}"/>
    <cellStyle name="Normal 141 2 2" xfId="7426" xr:uid="{00000000-0005-0000-0000-0000450B0000}"/>
    <cellStyle name="Normal 141 2 2 2" xfId="7427" xr:uid="{00000000-0005-0000-0000-0000460B0000}"/>
    <cellStyle name="Normal 141 2 2 3" xfId="13037" xr:uid="{00000000-0005-0000-0000-0000470B0000}"/>
    <cellStyle name="Normal 141 2 3" xfId="7428" xr:uid="{00000000-0005-0000-0000-0000480B0000}"/>
    <cellStyle name="Normal 141 2 4" xfId="7429" xr:uid="{00000000-0005-0000-0000-0000490B0000}"/>
    <cellStyle name="Normal 141 2 5" xfId="13436" xr:uid="{00000000-0005-0000-0000-00004A0B0000}"/>
    <cellStyle name="Normal 141 3" xfId="1385" xr:uid="{00000000-0005-0000-0000-00004B0B0000}"/>
    <cellStyle name="Normal 141 3 2" xfId="2507" xr:uid="{00000000-0005-0000-0000-00004C0B0000}"/>
    <cellStyle name="Normal 141 3 3" xfId="2707" xr:uid="{00000000-0005-0000-0000-00004D0B0000}"/>
    <cellStyle name="Normal 141 4" xfId="1386" xr:uid="{00000000-0005-0000-0000-00004E0B0000}"/>
    <cellStyle name="Normal 141 5" xfId="1383" xr:uid="{00000000-0005-0000-0000-00004F0B0000}"/>
    <cellStyle name="Normal 142" xfId="496" xr:uid="{00000000-0005-0000-0000-0000500B0000}"/>
    <cellStyle name="Normal 142 2" xfId="1388" xr:uid="{00000000-0005-0000-0000-0000510B0000}"/>
    <cellStyle name="Normal 142 2 2" xfId="7430" xr:uid="{00000000-0005-0000-0000-0000520B0000}"/>
    <cellStyle name="Normal 142 2 2 2" xfId="7431" xr:uid="{00000000-0005-0000-0000-0000530B0000}"/>
    <cellStyle name="Normal 142 2 2 3" xfId="13033" xr:uid="{00000000-0005-0000-0000-0000540B0000}"/>
    <cellStyle name="Normal 142 2 3" xfId="7432" xr:uid="{00000000-0005-0000-0000-0000550B0000}"/>
    <cellStyle name="Normal 142 2 4" xfId="7433" xr:uid="{00000000-0005-0000-0000-0000560B0000}"/>
    <cellStyle name="Normal 142 2 5" xfId="13437" xr:uid="{00000000-0005-0000-0000-0000570B0000}"/>
    <cellStyle name="Normal 142 3" xfId="1389" xr:uid="{00000000-0005-0000-0000-0000580B0000}"/>
    <cellStyle name="Normal 142 3 2" xfId="2506" xr:uid="{00000000-0005-0000-0000-0000590B0000}"/>
    <cellStyle name="Normal 142 3 3" xfId="2708" xr:uid="{00000000-0005-0000-0000-00005A0B0000}"/>
    <cellStyle name="Normal 142 4" xfId="1390" xr:uid="{00000000-0005-0000-0000-00005B0B0000}"/>
    <cellStyle name="Normal 142 5" xfId="1387" xr:uid="{00000000-0005-0000-0000-00005C0B0000}"/>
    <cellStyle name="Normal 143" xfId="497" xr:uid="{00000000-0005-0000-0000-00005D0B0000}"/>
    <cellStyle name="Normal 143 2" xfId="942" xr:uid="{00000000-0005-0000-0000-00005E0B0000}"/>
    <cellStyle name="Normal 143 2 2" xfId="1392" xr:uid="{00000000-0005-0000-0000-00005F0B0000}"/>
    <cellStyle name="Normal 143 3" xfId="1393" xr:uid="{00000000-0005-0000-0000-0000600B0000}"/>
    <cellStyle name="Normal 143 4" xfId="1394" xr:uid="{00000000-0005-0000-0000-0000610B0000}"/>
    <cellStyle name="Normal 143 5" xfId="1395" xr:uid="{00000000-0005-0000-0000-0000620B0000}"/>
    <cellStyle name="Normal 143 6" xfId="1391" xr:uid="{00000000-0005-0000-0000-0000630B0000}"/>
    <cellStyle name="Normal 144" xfId="498" xr:uid="{00000000-0005-0000-0000-0000640B0000}"/>
    <cellStyle name="Normal 144 2" xfId="1397" xr:uid="{00000000-0005-0000-0000-0000650B0000}"/>
    <cellStyle name="Normal 144 2 2" xfId="7434" xr:uid="{00000000-0005-0000-0000-0000660B0000}"/>
    <cellStyle name="Normal 144 2 2 2" xfId="7435" xr:uid="{00000000-0005-0000-0000-0000670B0000}"/>
    <cellStyle name="Normal 144 2 2 3" xfId="12886" xr:uid="{00000000-0005-0000-0000-0000680B0000}"/>
    <cellStyle name="Normal 144 2 3" xfId="7436" xr:uid="{00000000-0005-0000-0000-0000690B0000}"/>
    <cellStyle name="Normal 144 2 4" xfId="7437" xr:uid="{00000000-0005-0000-0000-00006A0B0000}"/>
    <cellStyle name="Normal 144 2 5" xfId="13438" xr:uid="{00000000-0005-0000-0000-00006B0B0000}"/>
    <cellStyle name="Normal 144 3" xfId="1398" xr:uid="{00000000-0005-0000-0000-00006C0B0000}"/>
    <cellStyle name="Normal 144 3 2" xfId="2505" xr:uid="{00000000-0005-0000-0000-00006D0B0000}"/>
    <cellStyle name="Normal 144 3 3" xfId="2709" xr:uid="{00000000-0005-0000-0000-00006E0B0000}"/>
    <cellStyle name="Normal 144 4" xfId="1399" xr:uid="{00000000-0005-0000-0000-00006F0B0000}"/>
    <cellStyle name="Normal 144 5" xfId="1396" xr:uid="{00000000-0005-0000-0000-0000700B0000}"/>
    <cellStyle name="Normal 145" xfId="499" xr:uid="{00000000-0005-0000-0000-0000710B0000}"/>
    <cellStyle name="Normal 145 2" xfId="1401" xr:uid="{00000000-0005-0000-0000-0000720B0000}"/>
    <cellStyle name="Normal 145 2 2" xfId="7438" xr:uid="{00000000-0005-0000-0000-0000730B0000}"/>
    <cellStyle name="Normal 145 2 2 2" xfId="7439" xr:uid="{00000000-0005-0000-0000-0000740B0000}"/>
    <cellStyle name="Normal 145 2 2 3" xfId="13011" xr:uid="{00000000-0005-0000-0000-0000750B0000}"/>
    <cellStyle name="Normal 145 2 3" xfId="7440" xr:uid="{00000000-0005-0000-0000-0000760B0000}"/>
    <cellStyle name="Normal 145 2 4" xfId="7441" xr:uid="{00000000-0005-0000-0000-0000770B0000}"/>
    <cellStyle name="Normal 145 2 5" xfId="13439" xr:uid="{00000000-0005-0000-0000-0000780B0000}"/>
    <cellStyle name="Normal 145 3" xfId="1402" xr:uid="{00000000-0005-0000-0000-0000790B0000}"/>
    <cellStyle name="Normal 145 3 2" xfId="2504" xr:uid="{00000000-0005-0000-0000-00007A0B0000}"/>
    <cellStyle name="Normal 145 3 3" xfId="2710" xr:uid="{00000000-0005-0000-0000-00007B0B0000}"/>
    <cellStyle name="Normal 145 4" xfId="1403" xr:uid="{00000000-0005-0000-0000-00007C0B0000}"/>
    <cellStyle name="Normal 145 5" xfId="1400" xr:uid="{00000000-0005-0000-0000-00007D0B0000}"/>
    <cellStyle name="Normal 146" xfId="500" xr:uid="{00000000-0005-0000-0000-00007E0B0000}"/>
    <cellStyle name="Normal 146 2" xfId="1404" xr:uid="{00000000-0005-0000-0000-00007F0B0000}"/>
    <cellStyle name="Normal 146 2 2" xfId="7442" xr:uid="{00000000-0005-0000-0000-0000800B0000}"/>
    <cellStyle name="Normal 146 3" xfId="1405" xr:uid="{00000000-0005-0000-0000-0000810B0000}"/>
    <cellStyle name="Normal 146 4" xfId="1406" xr:uid="{00000000-0005-0000-0000-0000820B0000}"/>
    <cellStyle name="Normal 146 4 2" xfId="2503" xr:uid="{00000000-0005-0000-0000-0000830B0000}"/>
    <cellStyle name="Normal 146 4 3" xfId="2711" xr:uid="{00000000-0005-0000-0000-0000840B0000}"/>
    <cellStyle name="Normal 146 5" xfId="1407" xr:uid="{00000000-0005-0000-0000-0000850B0000}"/>
    <cellStyle name="Normal 147" xfId="501" xr:uid="{00000000-0005-0000-0000-0000860B0000}"/>
    <cellStyle name="Normal 147 2" xfId="1409" xr:uid="{00000000-0005-0000-0000-0000870B0000}"/>
    <cellStyle name="Normal 147 2 2" xfId="7443" xr:uid="{00000000-0005-0000-0000-0000880B0000}"/>
    <cellStyle name="Normal 147 2 2 2" xfId="7444" xr:uid="{00000000-0005-0000-0000-0000890B0000}"/>
    <cellStyle name="Normal 147 2 2 3" xfId="12365" xr:uid="{00000000-0005-0000-0000-00008A0B0000}"/>
    <cellStyle name="Normal 147 2 3" xfId="7445" xr:uid="{00000000-0005-0000-0000-00008B0B0000}"/>
    <cellStyle name="Normal 147 2 4" xfId="7446" xr:uid="{00000000-0005-0000-0000-00008C0B0000}"/>
    <cellStyle name="Normal 147 2 5" xfId="13440" xr:uid="{00000000-0005-0000-0000-00008D0B0000}"/>
    <cellStyle name="Normal 147 3" xfId="1410" xr:uid="{00000000-0005-0000-0000-00008E0B0000}"/>
    <cellStyle name="Normal 147 3 2" xfId="2502" xr:uid="{00000000-0005-0000-0000-00008F0B0000}"/>
    <cellStyle name="Normal 147 3 3" xfId="2712" xr:uid="{00000000-0005-0000-0000-0000900B0000}"/>
    <cellStyle name="Normal 147 4" xfId="1411" xr:uid="{00000000-0005-0000-0000-0000910B0000}"/>
    <cellStyle name="Normal 147 5" xfId="1408" xr:uid="{00000000-0005-0000-0000-0000920B0000}"/>
    <cellStyle name="Normal 148" xfId="502" xr:uid="{00000000-0005-0000-0000-0000930B0000}"/>
    <cellStyle name="Normal 148 2" xfId="1413" xr:uid="{00000000-0005-0000-0000-0000940B0000}"/>
    <cellStyle name="Normal 148 2 2" xfId="7447" xr:uid="{00000000-0005-0000-0000-0000950B0000}"/>
    <cellStyle name="Normal 148 2 2 2" xfId="7448" xr:uid="{00000000-0005-0000-0000-0000960B0000}"/>
    <cellStyle name="Normal 148 2 2 3" xfId="12894" xr:uid="{00000000-0005-0000-0000-0000970B0000}"/>
    <cellStyle name="Normal 148 2 3" xfId="7449" xr:uid="{00000000-0005-0000-0000-0000980B0000}"/>
    <cellStyle name="Normal 148 2 4" xfId="7450" xr:uid="{00000000-0005-0000-0000-0000990B0000}"/>
    <cellStyle name="Normal 148 2 5" xfId="13441" xr:uid="{00000000-0005-0000-0000-00009A0B0000}"/>
    <cellStyle name="Normal 148 3" xfId="1414" xr:uid="{00000000-0005-0000-0000-00009B0B0000}"/>
    <cellStyle name="Normal 148 3 2" xfId="2501" xr:uid="{00000000-0005-0000-0000-00009C0B0000}"/>
    <cellStyle name="Normal 148 3 3" xfId="2713" xr:uid="{00000000-0005-0000-0000-00009D0B0000}"/>
    <cellStyle name="Normal 148 4" xfId="1415" xr:uid="{00000000-0005-0000-0000-00009E0B0000}"/>
    <cellStyle name="Normal 148 5" xfId="1412" xr:uid="{00000000-0005-0000-0000-00009F0B0000}"/>
    <cellStyle name="Normal 149" xfId="503" xr:uid="{00000000-0005-0000-0000-0000A00B0000}"/>
    <cellStyle name="Normal 149 2" xfId="1416" xr:uid="{00000000-0005-0000-0000-0000A10B0000}"/>
    <cellStyle name="Normal 149 2 2" xfId="7451" xr:uid="{00000000-0005-0000-0000-0000A20B0000}"/>
    <cellStyle name="Normal 149 3" xfId="1417" xr:uid="{00000000-0005-0000-0000-0000A30B0000}"/>
    <cellStyle name="Normal 149 4" xfId="1418" xr:uid="{00000000-0005-0000-0000-0000A40B0000}"/>
    <cellStyle name="Normal 149 4 2" xfId="2500" xr:uid="{00000000-0005-0000-0000-0000A50B0000}"/>
    <cellStyle name="Normal 149 4 3" xfId="2714" xr:uid="{00000000-0005-0000-0000-0000A60B0000}"/>
    <cellStyle name="Normal 149 5" xfId="1419" xr:uid="{00000000-0005-0000-0000-0000A70B0000}"/>
    <cellStyle name="Normal 15" xfId="200" xr:uid="{00000000-0005-0000-0000-0000A80B0000}"/>
    <cellStyle name="Normal 15 2" xfId="201" xr:uid="{00000000-0005-0000-0000-0000A90B0000}"/>
    <cellStyle name="Normal 15 3" xfId="1420" xr:uid="{00000000-0005-0000-0000-0000AA0B0000}"/>
    <cellStyle name="Normal 15 4" xfId="1421" xr:uid="{00000000-0005-0000-0000-0000AB0B0000}"/>
    <cellStyle name="Normal 15 4 2" xfId="1422" xr:uid="{00000000-0005-0000-0000-0000AC0B0000}"/>
    <cellStyle name="Normal 15 4 3" xfId="2715" xr:uid="{00000000-0005-0000-0000-0000AD0B0000}"/>
    <cellStyle name="Normal 15 5" xfId="1423" xr:uid="{00000000-0005-0000-0000-0000AE0B0000}"/>
    <cellStyle name="Normal 150" xfId="504" xr:uid="{00000000-0005-0000-0000-0000AF0B0000}"/>
    <cellStyle name="Normal 150 2" xfId="1425" xr:uid="{00000000-0005-0000-0000-0000B00B0000}"/>
    <cellStyle name="Normal 150 2 2" xfId="7452" xr:uid="{00000000-0005-0000-0000-0000B10B0000}"/>
    <cellStyle name="Normal 150 2 2 2" xfId="7453" xr:uid="{00000000-0005-0000-0000-0000B20B0000}"/>
    <cellStyle name="Normal 150 2 2 3" xfId="11828" xr:uid="{00000000-0005-0000-0000-0000B30B0000}"/>
    <cellStyle name="Normal 150 2 3" xfId="7454" xr:uid="{00000000-0005-0000-0000-0000B40B0000}"/>
    <cellStyle name="Normal 150 2 4" xfId="7455" xr:uid="{00000000-0005-0000-0000-0000B50B0000}"/>
    <cellStyle name="Normal 150 2 5" xfId="13442" xr:uid="{00000000-0005-0000-0000-0000B60B0000}"/>
    <cellStyle name="Normal 150 3" xfId="1426" xr:uid="{00000000-0005-0000-0000-0000B70B0000}"/>
    <cellStyle name="Normal 150 3 2" xfId="2499" xr:uid="{00000000-0005-0000-0000-0000B80B0000}"/>
    <cellStyle name="Normal 150 3 3" xfId="2716" xr:uid="{00000000-0005-0000-0000-0000B90B0000}"/>
    <cellStyle name="Normal 150 4" xfId="1427" xr:uid="{00000000-0005-0000-0000-0000BA0B0000}"/>
    <cellStyle name="Normal 150 5" xfId="1424" xr:uid="{00000000-0005-0000-0000-0000BB0B0000}"/>
    <cellStyle name="Normal 151" xfId="505" xr:uid="{00000000-0005-0000-0000-0000BC0B0000}"/>
    <cellStyle name="Normal 151 2" xfId="1429" xr:uid="{00000000-0005-0000-0000-0000BD0B0000}"/>
    <cellStyle name="Normal 151 2 2" xfId="7456" xr:uid="{00000000-0005-0000-0000-0000BE0B0000}"/>
    <cellStyle name="Normal 151 2 2 2" xfId="7457" xr:uid="{00000000-0005-0000-0000-0000BF0B0000}"/>
    <cellStyle name="Normal 151 2 2 3" xfId="12931" xr:uid="{00000000-0005-0000-0000-0000C00B0000}"/>
    <cellStyle name="Normal 151 2 3" xfId="7458" xr:uid="{00000000-0005-0000-0000-0000C10B0000}"/>
    <cellStyle name="Normal 151 2 4" xfId="7459" xr:uid="{00000000-0005-0000-0000-0000C20B0000}"/>
    <cellStyle name="Normal 151 2 5" xfId="13443" xr:uid="{00000000-0005-0000-0000-0000C30B0000}"/>
    <cellStyle name="Normal 151 3" xfId="1430" xr:uid="{00000000-0005-0000-0000-0000C40B0000}"/>
    <cellStyle name="Normal 151 3 2" xfId="2498" xr:uid="{00000000-0005-0000-0000-0000C50B0000}"/>
    <cellStyle name="Normal 151 3 3" xfId="2717" xr:uid="{00000000-0005-0000-0000-0000C60B0000}"/>
    <cellStyle name="Normal 151 4" xfId="1431" xr:uid="{00000000-0005-0000-0000-0000C70B0000}"/>
    <cellStyle name="Normal 151 5" xfId="1428" xr:uid="{00000000-0005-0000-0000-0000C80B0000}"/>
    <cellStyle name="Normal 152" xfId="506" xr:uid="{00000000-0005-0000-0000-0000C90B0000}"/>
    <cellStyle name="Normal 152 2" xfId="1432" xr:uid="{00000000-0005-0000-0000-0000CA0B0000}"/>
    <cellStyle name="Normal 152 2 2" xfId="7460" xr:uid="{00000000-0005-0000-0000-0000CB0B0000}"/>
    <cellStyle name="Normal 152 3" xfId="1433" xr:uid="{00000000-0005-0000-0000-0000CC0B0000}"/>
    <cellStyle name="Normal 152 4" xfId="1434" xr:uid="{00000000-0005-0000-0000-0000CD0B0000}"/>
    <cellStyle name="Normal 152 4 2" xfId="2497" xr:uid="{00000000-0005-0000-0000-0000CE0B0000}"/>
    <cellStyle name="Normal 152 4 3" xfId="2718" xr:uid="{00000000-0005-0000-0000-0000CF0B0000}"/>
    <cellStyle name="Normal 152 5" xfId="1435" xr:uid="{00000000-0005-0000-0000-0000D00B0000}"/>
    <cellStyle name="Normal 153" xfId="507" xr:uid="{00000000-0005-0000-0000-0000D10B0000}"/>
    <cellStyle name="Normal 153 2" xfId="1437" xr:uid="{00000000-0005-0000-0000-0000D20B0000}"/>
    <cellStyle name="Normal 153 2 2" xfId="7461" xr:uid="{00000000-0005-0000-0000-0000D30B0000}"/>
    <cellStyle name="Normal 153 2 2 2" xfId="7462" xr:uid="{00000000-0005-0000-0000-0000D40B0000}"/>
    <cellStyle name="Normal 153 2 2 3" xfId="12973" xr:uid="{00000000-0005-0000-0000-0000D50B0000}"/>
    <cellStyle name="Normal 153 2 3" xfId="7463" xr:uid="{00000000-0005-0000-0000-0000D60B0000}"/>
    <cellStyle name="Normal 153 2 4" xfId="7464" xr:uid="{00000000-0005-0000-0000-0000D70B0000}"/>
    <cellStyle name="Normal 153 2 5" xfId="13444" xr:uid="{00000000-0005-0000-0000-0000D80B0000}"/>
    <cellStyle name="Normal 153 3" xfId="1438" xr:uid="{00000000-0005-0000-0000-0000D90B0000}"/>
    <cellStyle name="Normal 153 3 2" xfId="2496" xr:uid="{00000000-0005-0000-0000-0000DA0B0000}"/>
    <cellStyle name="Normal 153 3 3" xfId="2719" xr:uid="{00000000-0005-0000-0000-0000DB0B0000}"/>
    <cellStyle name="Normal 153 4" xfId="1439" xr:uid="{00000000-0005-0000-0000-0000DC0B0000}"/>
    <cellStyle name="Normal 153 5" xfId="1436" xr:uid="{00000000-0005-0000-0000-0000DD0B0000}"/>
    <cellStyle name="Normal 154" xfId="508" xr:uid="{00000000-0005-0000-0000-0000DE0B0000}"/>
    <cellStyle name="Normal 154 2" xfId="1441" xr:uid="{00000000-0005-0000-0000-0000DF0B0000}"/>
    <cellStyle name="Normal 154 2 2" xfId="7465" xr:uid="{00000000-0005-0000-0000-0000E00B0000}"/>
    <cellStyle name="Normal 154 2 2 2" xfId="7466" xr:uid="{00000000-0005-0000-0000-0000E10B0000}"/>
    <cellStyle name="Normal 154 2 2 3" xfId="12964" xr:uid="{00000000-0005-0000-0000-0000E20B0000}"/>
    <cellStyle name="Normal 154 2 3" xfId="7467" xr:uid="{00000000-0005-0000-0000-0000E30B0000}"/>
    <cellStyle name="Normal 154 2 4" xfId="7468" xr:uid="{00000000-0005-0000-0000-0000E40B0000}"/>
    <cellStyle name="Normal 154 2 5" xfId="13445" xr:uid="{00000000-0005-0000-0000-0000E50B0000}"/>
    <cellStyle name="Normal 154 3" xfId="1442" xr:uid="{00000000-0005-0000-0000-0000E60B0000}"/>
    <cellStyle name="Normal 154 3 2" xfId="2495" xr:uid="{00000000-0005-0000-0000-0000E70B0000}"/>
    <cellStyle name="Normal 154 3 3" xfId="2720" xr:uid="{00000000-0005-0000-0000-0000E80B0000}"/>
    <cellStyle name="Normal 154 4" xfId="1443" xr:uid="{00000000-0005-0000-0000-0000E90B0000}"/>
    <cellStyle name="Normal 154 5" xfId="1440" xr:uid="{00000000-0005-0000-0000-0000EA0B0000}"/>
    <cellStyle name="Normal 155" xfId="509" xr:uid="{00000000-0005-0000-0000-0000EB0B0000}"/>
    <cellStyle name="Normal 155 2" xfId="1445" xr:uid="{00000000-0005-0000-0000-0000EC0B0000}"/>
    <cellStyle name="Normal 155 2 2" xfId="7469" xr:uid="{00000000-0005-0000-0000-0000ED0B0000}"/>
    <cellStyle name="Normal 155 2 2 2" xfId="7470" xr:uid="{00000000-0005-0000-0000-0000EE0B0000}"/>
    <cellStyle name="Normal 155 2 2 3" xfId="12871" xr:uid="{00000000-0005-0000-0000-0000EF0B0000}"/>
    <cellStyle name="Normal 155 2 3" xfId="7471" xr:uid="{00000000-0005-0000-0000-0000F00B0000}"/>
    <cellStyle name="Normal 155 2 4" xfId="7472" xr:uid="{00000000-0005-0000-0000-0000F10B0000}"/>
    <cellStyle name="Normal 155 2 5" xfId="13446" xr:uid="{00000000-0005-0000-0000-0000F20B0000}"/>
    <cellStyle name="Normal 155 3" xfId="1446" xr:uid="{00000000-0005-0000-0000-0000F30B0000}"/>
    <cellStyle name="Normal 155 4" xfId="1447" xr:uid="{00000000-0005-0000-0000-0000F40B0000}"/>
    <cellStyle name="Normal 155 5" xfId="1448" xr:uid="{00000000-0005-0000-0000-0000F50B0000}"/>
    <cellStyle name="Normal 155 5 2" xfId="2494" xr:uid="{00000000-0005-0000-0000-0000F60B0000}"/>
    <cellStyle name="Normal 155 5 3" xfId="2721" xr:uid="{00000000-0005-0000-0000-0000F70B0000}"/>
    <cellStyle name="Normal 155 6" xfId="1449" xr:uid="{00000000-0005-0000-0000-0000F80B0000}"/>
    <cellStyle name="Normal 155 7" xfId="1444" xr:uid="{00000000-0005-0000-0000-0000F90B0000}"/>
    <cellStyle name="Normal 156" xfId="510" xr:uid="{00000000-0005-0000-0000-0000FA0B0000}"/>
    <cellStyle name="Normal 156 2" xfId="1451" xr:uid="{00000000-0005-0000-0000-0000FB0B0000}"/>
    <cellStyle name="Normal 156 2 2" xfId="7473" xr:uid="{00000000-0005-0000-0000-0000FC0B0000}"/>
    <cellStyle name="Normal 156 2 2 2" xfId="7474" xr:uid="{00000000-0005-0000-0000-0000FD0B0000}"/>
    <cellStyle name="Normal 156 2 2 3" xfId="12366" xr:uid="{00000000-0005-0000-0000-0000FE0B0000}"/>
    <cellStyle name="Normal 156 2 3" xfId="7475" xr:uid="{00000000-0005-0000-0000-0000FF0B0000}"/>
    <cellStyle name="Normal 156 2 4" xfId="7476" xr:uid="{00000000-0005-0000-0000-0000000C0000}"/>
    <cellStyle name="Normal 156 2 5" xfId="13447" xr:uid="{00000000-0005-0000-0000-0000010C0000}"/>
    <cellStyle name="Normal 156 3" xfId="1452" xr:uid="{00000000-0005-0000-0000-0000020C0000}"/>
    <cellStyle name="Normal 156 3 2" xfId="2493" xr:uid="{00000000-0005-0000-0000-0000030C0000}"/>
    <cellStyle name="Normal 156 3 3" xfId="2722" xr:uid="{00000000-0005-0000-0000-0000040C0000}"/>
    <cellStyle name="Normal 156 4" xfId="1453" xr:uid="{00000000-0005-0000-0000-0000050C0000}"/>
    <cellStyle name="Normal 156 5" xfId="1450" xr:uid="{00000000-0005-0000-0000-0000060C0000}"/>
    <cellStyle name="Normal 157" xfId="511" xr:uid="{00000000-0005-0000-0000-0000070C0000}"/>
    <cellStyle name="Normal 157 2" xfId="1454" xr:uid="{00000000-0005-0000-0000-0000080C0000}"/>
    <cellStyle name="Normal 157 2 2" xfId="7477" xr:uid="{00000000-0005-0000-0000-0000090C0000}"/>
    <cellStyle name="Normal 157 3" xfId="1455" xr:uid="{00000000-0005-0000-0000-00000A0C0000}"/>
    <cellStyle name="Normal 157 3 2" xfId="2492" xr:uid="{00000000-0005-0000-0000-00000B0C0000}"/>
    <cellStyle name="Normal 157 3 3" xfId="2723" xr:uid="{00000000-0005-0000-0000-00000C0C0000}"/>
    <cellStyle name="Normal 157 4" xfId="1456" xr:uid="{00000000-0005-0000-0000-00000D0C0000}"/>
    <cellStyle name="Normal 158" xfId="512" xr:uid="{00000000-0005-0000-0000-00000E0C0000}"/>
    <cellStyle name="Normal 158 2" xfId="1457" xr:uid="{00000000-0005-0000-0000-00000F0C0000}"/>
    <cellStyle name="Normal 158 2 2" xfId="7478" xr:uid="{00000000-0005-0000-0000-0000100C0000}"/>
    <cellStyle name="Normal 158 3" xfId="1458" xr:uid="{00000000-0005-0000-0000-0000110C0000}"/>
    <cellStyle name="Normal 158 3 2" xfId="2491" xr:uid="{00000000-0005-0000-0000-0000120C0000}"/>
    <cellStyle name="Normal 158 3 3" xfId="2724" xr:uid="{00000000-0005-0000-0000-0000130C0000}"/>
    <cellStyle name="Normal 158 4" xfId="1459" xr:uid="{00000000-0005-0000-0000-0000140C0000}"/>
    <cellStyle name="Normal 159" xfId="513" xr:uid="{00000000-0005-0000-0000-0000150C0000}"/>
    <cellStyle name="Normal 159 2" xfId="1461" xr:uid="{00000000-0005-0000-0000-0000160C0000}"/>
    <cellStyle name="Normal 159 2 2" xfId="7479" xr:uid="{00000000-0005-0000-0000-0000170C0000}"/>
    <cellStyle name="Normal 159 2 2 2" xfId="7480" xr:uid="{00000000-0005-0000-0000-0000180C0000}"/>
    <cellStyle name="Normal 159 2 2 3" xfId="12970" xr:uid="{00000000-0005-0000-0000-0000190C0000}"/>
    <cellStyle name="Normal 159 2 3" xfId="7481" xr:uid="{00000000-0005-0000-0000-00001A0C0000}"/>
    <cellStyle name="Normal 159 2 4" xfId="7482" xr:uid="{00000000-0005-0000-0000-00001B0C0000}"/>
    <cellStyle name="Normal 159 2 5" xfId="13448" xr:uid="{00000000-0005-0000-0000-00001C0C0000}"/>
    <cellStyle name="Normal 159 3" xfId="1462" xr:uid="{00000000-0005-0000-0000-00001D0C0000}"/>
    <cellStyle name="Normal 159 3 2" xfId="2490" xr:uid="{00000000-0005-0000-0000-00001E0C0000}"/>
    <cellStyle name="Normal 159 3 3" xfId="2725" xr:uid="{00000000-0005-0000-0000-00001F0C0000}"/>
    <cellStyle name="Normal 159 4" xfId="1463" xr:uid="{00000000-0005-0000-0000-0000200C0000}"/>
    <cellStyle name="Normal 159 5" xfId="1460" xr:uid="{00000000-0005-0000-0000-0000210C0000}"/>
    <cellStyle name="Normal 16" xfId="202" xr:uid="{00000000-0005-0000-0000-0000220C0000}"/>
    <cellStyle name="Normal 16 10" xfId="9871" xr:uid="{00000000-0005-0000-0000-0000230C0000}"/>
    <cellStyle name="Normal 16 11" xfId="9030" xr:uid="{00000000-0005-0000-0000-0000240C0000}"/>
    <cellStyle name="Normal 16 12" xfId="10656" xr:uid="{00000000-0005-0000-0000-0000250C0000}"/>
    <cellStyle name="Normal 16 13" xfId="10788" xr:uid="{00000000-0005-0000-0000-0000260C0000}"/>
    <cellStyle name="Normal 16 2" xfId="203" xr:uid="{00000000-0005-0000-0000-0000270C0000}"/>
    <cellStyle name="Normal 16 2 10" xfId="10657" xr:uid="{00000000-0005-0000-0000-0000280C0000}"/>
    <cellStyle name="Normal 16 2 11" xfId="10789" xr:uid="{00000000-0005-0000-0000-0000290C0000}"/>
    <cellStyle name="Normal 16 2 2" xfId="9216" xr:uid="{00000000-0005-0000-0000-00002A0C0000}"/>
    <cellStyle name="Normal 16 2 2 2" xfId="9355" xr:uid="{00000000-0005-0000-0000-00002B0C0000}"/>
    <cellStyle name="Normal 16 2 2 2 2" xfId="9770" xr:uid="{00000000-0005-0000-0000-00002C0C0000}"/>
    <cellStyle name="Normal 16 2 2 2 2 2" xfId="10021" xr:uid="{00000000-0005-0000-0000-00002D0C0000}"/>
    <cellStyle name="Normal 16 2 2 2 3" xfId="10020" xr:uid="{00000000-0005-0000-0000-00002E0C0000}"/>
    <cellStyle name="Normal 16 2 2 3" xfId="9490" xr:uid="{00000000-0005-0000-0000-00002F0C0000}"/>
    <cellStyle name="Normal 16 2 2 3 2" xfId="10022" xr:uid="{00000000-0005-0000-0000-0000300C0000}"/>
    <cellStyle name="Normal 16 2 2 4" xfId="10019" xr:uid="{00000000-0005-0000-0000-0000310C0000}"/>
    <cellStyle name="Normal 16 2 2 5" xfId="10701" xr:uid="{00000000-0005-0000-0000-0000320C0000}"/>
    <cellStyle name="Normal 16 2 2 6" xfId="10833" xr:uid="{00000000-0005-0000-0000-0000330C0000}"/>
    <cellStyle name="Normal 16 2 3" xfId="9272" xr:uid="{00000000-0005-0000-0000-0000340C0000}"/>
    <cellStyle name="Normal 16 2 3 2" xfId="9390" xr:uid="{00000000-0005-0000-0000-0000350C0000}"/>
    <cellStyle name="Normal 16 2 3 2 2" xfId="9811" xr:uid="{00000000-0005-0000-0000-0000360C0000}"/>
    <cellStyle name="Normal 16 2 3 2 2 2" xfId="10025" xr:uid="{00000000-0005-0000-0000-0000370C0000}"/>
    <cellStyle name="Normal 16 2 3 2 3" xfId="10024" xr:uid="{00000000-0005-0000-0000-0000380C0000}"/>
    <cellStyle name="Normal 16 2 3 3" xfId="9530" xr:uid="{00000000-0005-0000-0000-0000390C0000}"/>
    <cellStyle name="Normal 16 2 3 3 2" xfId="10026" xr:uid="{00000000-0005-0000-0000-00003A0C0000}"/>
    <cellStyle name="Normal 16 2 3 4" xfId="10023" xr:uid="{00000000-0005-0000-0000-00003B0C0000}"/>
    <cellStyle name="Normal 16 2 3 5" xfId="10742" xr:uid="{00000000-0005-0000-0000-00003C0C0000}"/>
    <cellStyle name="Normal 16 2 3 6" xfId="10872" xr:uid="{00000000-0005-0000-0000-00003D0C0000}"/>
    <cellStyle name="Normal 16 2 4" xfId="9172" xr:uid="{00000000-0005-0000-0000-00003E0C0000}"/>
    <cellStyle name="Normal 16 2 4 2" xfId="9625" xr:uid="{00000000-0005-0000-0000-00003F0C0000}"/>
    <cellStyle name="Normal 16 2 4 2 2" xfId="10028" xr:uid="{00000000-0005-0000-0000-0000400C0000}"/>
    <cellStyle name="Normal 16 2 4 3" xfId="10027" xr:uid="{00000000-0005-0000-0000-0000410C0000}"/>
    <cellStyle name="Normal 16 2 5" xfId="9317" xr:uid="{00000000-0005-0000-0000-0000420C0000}"/>
    <cellStyle name="Normal 16 2 5 2" xfId="9728" xr:uid="{00000000-0005-0000-0000-0000430C0000}"/>
    <cellStyle name="Normal 16 2 5 2 2" xfId="10030" xr:uid="{00000000-0005-0000-0000-0000440C0000}"/>
    <cellStyle name="Normal 16 2 5 3" xfId="10029" xr:uid="{00000000-0005-0000-0000-0000450C0000}"/>
    <cellStyle name="Normal 16 2 6" xfId="9099" xr:uid="{00000000-0005-0000-0000-0000460C0000}"/>
    <cellStyle name="Normal 16 2 6 2" xfId="9578" xr:uid="{00000000-0005-0000-0000-0000470C0000}"/>
    <cellStyle name="Normal 16 2 6 2 2" xfId="10032" xr:uid="{00000000-0005-0000-0000-0000480C0000}"/>
    <cellStyle name="Normal 16 2 6 3" xfId="10031" xr:uid="{00000000-0005-0000-0000-0000490C0000}"/>
    <cellStyle name="Normal 16 2 7" xfId="9447" xr:uid="{00000000-0005-0000-0000-00004A0C0000}"/>
    <cellStyle name="Normal 16 2 7 2" xfId="10033" xr:uid="{00000000-0005-0000-0000-00004B0C0000}"/>
    <cellStyle name="Normal 16 2 8" xfId="9872" xr:uid="{00000000-0005-0000-0000-00004C0C0000}"/>
    <cellStyle name="Normal 16 2 9" xfId="9031" xr:uid="{00000000-0005-0000-0000-00004D0C0000}"/>
    <cellStyle name="Normal 16 3" xfId="8969" xr:uid="{00000000-0005-0000-0000-00004E0C0000}"/>
    <cellStyle name="Normal 16 3 10" xfId="10658" xr:uid="{00000000-0005-0000-0000-00004F0C0000}"/>
    <cellStyle name="Normal 16 3 11" xfId="10790" xr:uid="{00000000-0005-0000-0000-0000500C0000}"/>
    <cellStyle name="Normal 16 3 2" xfId="9217" xr:uid="{00000000-0005-0000-0000-0000510C0000}"/>
    <cellStyle name="Normal 16 3 2 2" xfId="9356" xr:uid="{00000000-0005-0000-0000-0000520C0000}"/>
    <cellStyle name="Normal 16 3 2 2 2" xfId="9771" xr:uid="{00000000-0005-0000-0000-0000530C0000}"/>
    <cellStyle name="Normal 16 3 2 2 2 2" xfId="10036" xr:uid="{00000000-0005-0000-0000-0000540C0000}"/>
    <cellStyle name="Normal 16 3 2 2 3" xfId="10035" xr:uid="{00000000-0005-0000-0000-0000550C0000}"/>
    <cellStyle name="Normal 16 3 2 3" xfId="9491" xr:uid="{00000000-0005-0000-0000-0000560C0000}"/>
    <cellStyle name="Normal 16 3 2 3 2" xfId="10037" xr:uid="{00000000-0005-0000-0000-0000570C0000}"/>
    <cellStyle name="Normal 16 3 2 4" xfId="10034" xr:uid="{00000000-0005-0000-0000-0000580C0000}"/>
    <cellStyle name="Normal 16 3 2 5" xfId="10702" xr:uid="{00000000-0005-0000-0000-0000590C0000}"/>
    <cellStyle name="Normal 16 3 2 6" xfId="10834" xr:uid="{00000000-0005-0000-0000-00005A0C0000}"/>
    <cellStyle name="Normal 16 3 3" xfId="9273" xr:uid="{00000000-0005-0000-0000-00005B0C0000}"/>
    <cellStyle name="Normal 16 3 3 2" xfId="9391" xr:uid="{00000000-0005-0000-0000-00005C0C0000}"/>
    <cellStyle name="Normal 16 3 3 2 2" xfId="9812" xr:uid="{00000000-0005-0000-0000-00005D0C0000}"/>
    <cellStyle name="Normal 16 3 3 2 2 2" xfId="10040" xr:uid="{00000000-0005-0000-0000-00005E0C0000}"/>
    <cellStyle name="Normal 16 3 3 2 3" xfId="10039" xr:uid="{00000000-0005-0000-0000-00005F0C0000}"/>
    <cellStyle name="Normal 16 3 3 3" xfId="9531" xr:uid="{00000000-0005-0000-0000-0000600C0000}"/>
    <cellStyle name="Normal 16 3 3 3 2" xfId="10041" xr:uid="{00000000-0005-0000-0000-0000610C0000}"/>
    <cellStyle name="Normal 16 3 3 4" xfId="10038" xr:uid="{00000000-0005-0000-0000-0000620C0000}"/>
    <cellStyle name="Normal 16 3 3 5" xfId="10743" xr:uid="{00000000-0005-0000-0000-0000630C0000}"/>
    <cellStyle name="Normal 16 3 3 6" xfId="10873" xr:uid="{00000000-0005-0000-0000-0000640C0000}"/>
    <cellStyle name="Normal 16 3 4" xfId="9173" xr:uid="{00000000-0005-0000-0000-0000650C0000}"/>
    <cellStyle name="Normal 16 3 4 2" xfId="9626" xr:uid="{00000000-0005-0000-0000-0000660C0000}"/>
    <cellStyle name="Normal 16 3 4 2 2" xfId="10043" xr:uid="{00000000-0005-0000-0000-0000670C0000}"/>
    <cellStyle name="Normal 16 3 4 3" xfId="10042" xr:uid="{00000000-0005-0000-0000-0000680C0000}"/>
    <cellStyle name="Normal 16 3 5" xfId="9318" xr:uid="{00000000-0005-0000-0000-0000690C0000}"/>
    <cellStyle name="Normal 16 3 5 2" xfId="9729" xr:uid="{00000000-0005-0000-0000-00006A0C0000}"/>
    <cellStyle name="Normal 16 3 5 2 2" xfId="10045" xr:uid="{00000000-0005-0000-0000-00006B0C0000}"/>
    <cellStyle name="Normal 16 3 5 3" xfId="10044" xr:uid="{00000000-0005-0000-0000-00006C0C0000}"/>
    <cellStyle name="Normal 16 3 6" xfId="9100" xr:uid="{00000000-0005-0000-0000-00006D0C0000}"/>
    <cellStyle name="Normal 16 3 6 2" xfId="9579" xr:uid="{00000000-0005-0000-0000-00006E0C0000}"/>
    <cellStyle name="Normal 16 3 6 2 2" xfId="10047" xr:uid="{00000000-0005-0000-0000-00006F0C0000}"/>
    <cellStyle name="Normal 16 3 6 3" xfId="10046" xr:uid="{00000000-0005-0000-0000-0000700C0000}"/>
    <cellStyle name="Normal 16 3 7" xfId="9448" xr:uid="{00000000-0005-0000-0000-0000710C0000}"/>
    <cellStyle name="Normal 16 3 7 2" xfId="10048" xr:uid="{00000000-0005-0000-0000-0000720C0000}"/>
    <cellStyle name="Normal 16 3 8" xfId="9873" xr:uid="{00000000-0005-0000-0000-0000730C0000}"/>
    <cellStyle name="Normal 16 3 9" xfId="9032" xr:uid="{00000000-0005-0000-0000-0000740C0000}"/>
    <cellStyle name="Normal 16 4" xfId="9215" xr:uid="{00000000-0005-0000-0000-0000750C0000}"/>
    <cellStyle name="Normal 16 4 2" xfId="9354" xr:uid="{00000000-0005-0000-0000-0000760C0000}"/>
    <cellStyle name="Normal 16 4 2 2" xfId="9769" xr:uid="{00000000-0005-0000-0000-0000770C0000}"/>
    <cellStyle name="Normal 16 4 2 2 2" xfId="10051" xr:uid="{00000000-0005-0000-0000-0000780C0000}"/>
    <cellStyle name="Normal 16 4 2 3" xfId="10050" xr:uid="{00000000-0005-0000-0000-0000790C0000}"/>
    <cellStyle name="Normal 16 4 3" xfId="9489" xr:uid="{00000000-0005-0000-0000-00007A0C0000}"/>
    <cellStyle name="Normal 16 4 3 2" xfId="10052" xr:uid="{00000000-0005-0000-0000-00007B0C0000}"/>
    <cellStyle name="Normal 16 4 4" xfId="10049" xr:uid="{00000000-0005-0000-0000-00007C0C0000}"/>
    <cellStyle name="Normal 16 4 5" xfId="10700" xr:uid="{00000000-0005-0000-0000-00007D0C0000}"/>
    <cellStyle name="Normal 16 4 6" xfId="10832" xr:uid="{00000000-0005-0000-0000-00007E0C0000}"/>
    <cellStyle name="Normal 16 5" xfId="9271" xr:uid="{00000000-0005-0000-0000-00007F0C0000}"/>
    <cellStyle name="Normal 16 5 2" xfId="9389" xr:uid="{00000000-0005-0000-0000-0000800C0000}"/>
    <cellStyle name="Normal 16 5 2 2" xfId="9810" xr:uid="{00000000-0005-0000-0000-0000810C0000}"/>
    <cellStyle name="Normal 16 5 2 2 2" xfId="10055" xr:uid="{00000000-0005-0000-0000-0000820C0000}"/>
    <cellStyle name="Normal 16 5 2 3" xfId="10054" xr:uid="{00000000-0005-0000-0000-0000830C0000}"/>
    <cellStyle name="Normal 16 5 3" xfId="9529" xr:uid="{00000000-0005-0000-0000-0000840C0000}"/>
    <cellStyle name="Normal 16 5 3 2" xfId="10056" xr:uid="{00000000-0005-0000-0000-0000850C0000}"/>
    <cellStyle name="Normal 16 5 4" xfId="10053" xr:uid="{00000000-0005-0000-0000-0000860C0000}"/>
    <cellStyle name="Normal 16 5 5" xfId="10741" xr:uid="{00000000-0005-0000-0000-0000870C0000}"/>
    <cellStyle name="Normal 16 5 6" xfId="10871" xr:uid="{00000000-0005-0000-0000-0000880C0000}"/>
    <cellStyle name="Normal 16 6" xfId="9171" xr:uid="{00000000-0005-0000-0000-0000890C0000}"/>
    <cellStyle name="Normal 16 6 2" xfId="9624" xr:uid="{00000000-0005-0000-0000-00008A0C0000}"/>
    <cellStyle name="Normal 16 6 2 2" xfId="10058" xr:uid="{00000000-0005-0000-0000-00008B0C0000}"/>
    <cellStyle name="Normal 16 6 3" xfId="10057" xr:uid="{00000000-0005-0000-0000-00008C0C0000}"/>
    <cellStyle name="Normal 16 7" xfId="9316" xr:uid="{00000000-0005-0000-0000-00008D0C0000}"/>
    <cellStyle name="Normal 16 7 2" xfId="9727" xr:uid="{00000000-0005-0000-0000-00008E0C0000}"/>
    <cellStyle name="Normal 16 7 2 2" xfId="10060" xr:uid="{00000000-0005-0000-0000-00008F0C0000}"/>
    <cellStyle name="Normal 16 7 3" xfId="10059" xr:uid="{00000000-0005-0000-0000-0000900C0000}"/>
    <cellStyle name="Normal 16 8" xfId="9098" xr:uid="{00000000-0005-0000-0000-0000910C0000}"/>
    <cellStyle name="Normal 16 8 2" xfId="9577" xr:uid="{00000000-0005-0000-0000-0000920C0000}"/>
    <cellStyle name="Normal 16 8 2 2" xfId="10062" xr:uid="{00000000-0005-0000-0000-0000930C0000}"/>
    <cellStyle name="Normal 16 8 3" xfId="10061" xr:uid="{00000000-0005-0000-0000-0000940C0000}"/>
    <cellStyle name="Normal 16 9" xfId="9446" xr:uid="{00000000-0005-0000-0000-0000950C0000}"/>
    <cellStyle name="Normal 16 9 2" xfId="10063" xr:uid="{00000000-0005-0000-0000-0000960C0000}"/>
    <cellStyle name="Normal 160" xfId="514" xr:uid="{00000000-0005-0000-0000-0000970C0000}"/>
    <cellStyle name="Normal 160 2" xfId="1465" xr:uid="{00000000-0005-0000-0000-0000980C0000}"/>
    <cellStyle name="Normal 160 2 2" xfId="7483" xr:uid="{00000000-0005-0000-0000-0000990C0000}"/>
    <cellStyle name="Normal 160 2 2 2" xfId="7484" xr:uid="{00000000-0005-0000-0000-00009A0C0000}"/>
    <cellStyle name="Normal 160 2 2 3" xfId="13173" xr:uid="{00000000-0005-0000-0000-00009B0C0000}"/>
    <cellStyle name="Normal 160 2 3" xfId="7485" xr:uid="{00000000-0005-0000-0000-00009C0C0000}"/>
    <cellStyle name="Normal 160 2 4" xfId="7486" xr:uid="{00000000-0005-0000-0000-00009D0C0000}"/>
    <cellStyle name="Normal 160 2 5" xfId="13449" xr:uid="{00000000-0005-0000-0000-00009E0C0000}"/>
    <cellStyle name="Normal 160 3" xfId="1466" xr:uid="{00000000-0005-0000-0000-00009F0C0000}"/>
    <cellStyle name="Normal 160 3 2" xfId="2489" xr:uid="{00000000-0005-0000-0000-0000A00C0000}"/>
    <cellStyle name="Normal 160 3 3" xfId="2726" xr:uid="{00000000-0005-0000-0000-0000A10C0000}"/>
    <cellStyle name="Normal 160 4" xfId="1467" xr:uid="{00000000-0005-0000-0000-0000A20C0000}"/>
    <cellStyle name="Normal 160 5" xfId="1464" xr:uid="{00000000-0005-0000-0000-0000A30C0000}"/>
    <cellStyle name="Normal 161" xfId="515" xr:uid="{00000000-0005-0000-0000-0000A40C0000}"/>
    <cellStyle name="Normal 161 2" xfId="1469" xr:uid="{00000000-0005-0000-0000-0000A50C0000}"/>
    <cellStyle name="Normal 161 2 2" xfId="7487" xr:uid="{00000000-0005-0000-0000-0000A60C0000}"/>
    <cellStyle name="Normal 161 2 2 2" xfId="7488" xr:uid="{00000000-0005-0000-0000-0000A70C0000}"/>
    <cellStyle name="Normal 161 2 2 3" xfId="11529" xr:uid="{00000000-0005-0000-0000-0000A80C0000}"/>
    <cellStyle name="Normal 161 2 3" xfId="7489" xr:uid="{00000000-0005-0000-0000-0000A90C0000}"/>
    <cellStyle name="Normal 161 2 4" xfId="7490" xr:uid="{00000000-0005-0000-0000-0000AA0C0000}"/>
    <cellStyle name="Normal 161 2 5" xfId="13450" xr:uid="{00000000-0005-0000-0000-0000AB0C0000}"/>
    <cellStyle name="Normal 161 3" xfId="1470" xr:uid="{00000000-0005-0000-0000-0000AC0C0000}"/>
    <cellStyle name="Normal 161 3 2" xfId="2488" xr:uid="{00000000-0005-0000-0000-0000AD0C0000}"/>
    <cellStyle name="Normal 161 3 3" xfId="2727" xr:uid="{00000000-0005-0000-0000-0000AE0C0000}"/>
    <cellStyle name="Normal 161 4" xfId="1471" xr:uid="{00000000-0005-0000-0000-0000AF0C0000}"/>
    <cellStyle name="Normal 161 5" xfId="1468" xr:uid="{00000000-0005-0000-0000-0000B00C0000}"/>
    <cellStyle name="Normal 162" xfId="516" xr:uid="{00000000-0005-0000-0000-0000B10C0000}"/>
    <cellStyle name="Normal 162 2" xfId="1473" xr:uid="{00000000-0005-0000-0000-0000B20C0000}"/>
    <cellStyle name="Normal 162 2 2" xfId="7491" xr:uid="{00000000-0005-0000-0000-0000B30C0000}"/>
    <cellStyle name="Normal 162 2 2 2" xfId="7492" xr:uid="{00000000-0005-0000-0000-0000B40C0000}"/>
    <cellStyle name="Normal 162 2 2 3" xfId="12825" xr:uid="{00000000-0005-0000-0000-0000B50C0000}"/>
    <cellStyle name="Normal 162 2 3" xfId="7493" xr:uid="{00000000-0005-0000-0000-0000B60C0000}"/>
    <cellStyle name="Normal 162 2 4" xfId="7494" xr:uid="{00000000-0005-0000-0000-0000B70C0000}"/>
    <cellStyle name="Normal 162 2 5" xfId="13451" xr:uid="{00000000-0005-0000-0000-0000B80C0000}"/>
    <cellStyle name="Normal 162 3" xfId="1474" xr:uid="{00000000-0005-0000-0000-0000B90C0000}"/>
    <cellStyle name="Normal 162 3 2" xfId="2487" xr:uid="{00000000-0005-0000-0000-0000BA0C0000}"/>
    <cellStyle name="Normal 162 3 3" xfId="2728" xr:uid="{00000000-0005-0000-0000-0000BB0C0000}"/>
    <cellStyle name="Normal 162 4" xfId="1475" xr:uid="{00000000-0005-0000-0000-0000BC0C0000}"/>
    <cellStyle name="Normal 162 5" xfId="1472" xr:uid="{00000000-0005-0000-0000-0000BD0C0000}"/>
    <cellStyle name="Normal 162 6" xfId="10604" xr:uid="{00000000-0005-0000-0000-0000BE0C0000}"/>
    <cellStyle name="Normal 163" xfId="517" xr:uid="{00000000-0005-0000-0000-0000BF0C0000}"/>
    <cellStyle name="Normal 163 2" xfId="1477" xr:uid="{00000000-0005-0000-0000-0000C00C0000}"/>
    <cellStyle name="Normal 163 2 2" xfId="7495" xr:uid="{00000000-0005-0000-0000-0000C10C0000}"/>
    <cellStyle name="Normal 163 2 2 2" xfId="7496" xr:uid="{00000000-0005-0000-0000-0000C20C0000}"/>
    <cellStyle name="Normal 163 2 2 3" xfId="13020" xr:uid="{00000000-0005-0000-0000-0000C30C0000}"/>
    <cellStyle name="Normal 163 2 3" xfId="7497" xr:uid="{00000000-0005-0000-0000-0000C40C0000}"/>
    <cellStyle name="Normal 163 2 4" xfId="7498" xr:uid="{00000000-0005-0000-0000-0000C50C0000}"/>
    <cellStyle name="Normal 163 2 5" xfId="13452" xr:uid="{00000000-0005-0000-0000-0000C60C0000}"/>
    <cellStyle name="Normal 163 3" xfId="1478" xr:uid="{00000000-0005-0000-0000-0000C70C0000}"/>
    <cellStyle name="Normal 163 3 2" xfId="2486" xr:uid="{00000000-0005-0000-0000-0000C80C0000}"/>
    <cellStyle name="Normal 163 3 3" xfId="2729" xr:uid="{00000000-0005-0000-0000-0000C90C0000}"/>
    <cellStyle name="Normal 163 4" xfId="1479" xr:uid="{00000000-0005-0000-0000-0000CA0C0000}"/>
    <cellStyle name="Normal 163 5" xfId="1476" xr:uid="{00000000-0005-0000-0000-0000CB0C0000}"/>
    <cellStyle name="Normal 164" xfId="518" xr:uid="{00000000-0005-0000-0000-0000CC0C0000}"/>
    <cellStyle name="Normal 164 2" xfId="1480" xr:uid="{00000000-0005-0000-0000-0000CD0C0000}"/>
    <cellStyle name="Normal 164 2 2" xfId="7499" xr:uid="{00000000-0005-0000-0000-0000CE0C0000}"/>
    <cellStyle name="Normal 164 3" xfId="1481" xr:uid="{00000000-0005-0000-0000-0000CF0C0000}"/>
    <cellStyle name="Normal 164 4" xfId="1482" xr:uid="{00000000-0005-0000-0000-0000D00C0000}"/>
    <cellStyle name="Normal 164 4 2" xfId="2485" xr:uid="{00000000-0005-0000-0000-0000D10C0000}"/>
    <cellStyle name="Normal 164 4 3" xfId="2730" xr:uid="{00000000-0005-0000-0000-0000D20C0000}"/>
    <cellStyle name="Normal 164 5" xfId="1483" xr:uid="{00000000-0005-0000-0000-0000D30C0000}"/>
    <cellStyle name="Normal 165" xfId="519" xr:uid="{00000000-0005-0000-0000-0000D40C0000}"/>
    <cellStyle name="Normal 165 2" xfId="1484" xr:uid="{00000000-0005-0000-0000-0000D50C0000}"/>
    <cellStyle name="Normal 165 2 2" xfId="7500" xr:uid="{00000000-0005-0000-0000-0000D60C0000}"/>
    <cellStyle name="Normal 165 3" xfId="1485" xr:uid="{00000000-0005-0000-0000-0000D70C0000}"/>
    <cellStyle name="Normal 165 4" xfId="1486" xr:uid="{00000000-0005-0000-0000-0000D80C0000}"/>
    <cellStyle name="Normal 165 4 2" xfId="2484" xr:uid="{00000000-0005-0000-0000-0000D90C0000}"/>
    <cellStyle name="Normal 165 4 3" xfId="2731" xr:uid="{00000000-0005-0000-0000-0000DA0C0000}"/>
    <cellStyle name="Normal 165 5" xfId="1487" xr:uid="{00000000-0005-0000-0000-0000DB0C0000}"/>
    <cellStyle name="Normal 166" xfId="520" xr:uid="{00000000-0005-0000-0000-0000DC0C0000}"/>
    <cellStyle name="Normal 166 2" xfId="1489" xr:uid="{00000000-0005-0000-0000-0000DD0C0000}"/>
    <cellStyle name="Normal 166 2 2" xfId="7501" xr:uid="{00000000-0005-0000-0000-0000DE0C0000}"/>
    <cellStyle name="Normal 166 2 2 2" xfId="7502" xr:uid="{00000000-0005-0000-0000-0000DF0C0000}"/>
    <cellStyle name="Normal 166 2 2 3" xfId="12425" xr:uid="{00000000-0005-0000-0000-0000E00C0000}"/>
    <cellStyle name="Normal 166 2 3" xfId="7503" xr:uid="{00000000-0005-0000-0000-0000E10C0000}"/>
    <cellStyle name="Normal 166 2 4" xfId="7504" xr:uid="{00000000-0005-0000-0000-0000E20C0000}"/>
    <cellStyle name="Normal 166 2 5" xfId="13453" xr:uid="{00000000-0005-0000-0000-0000E30C0000}"/>
    <cellStyle name="Normal 166 3" xfId="1490" xr:uid="{00000000-0005-0000-0000-0000E40C0000}"/>
    <cellStyle name="Normal 166 3 2" xfId="2483" xr:uid="{00000000-0005-0000-0000-0000E50C0000}"/>
    <cellStyle name="Normal 166 3 3" xfId="2732" xr:uid="{00000000-0005-0000-0000-0000E60C0000}"/>
    <cellStyle name="Normal 166 4" xfId="1491" xr:uid="{00000000-0005-0000-0000-0000E70C0000}"/>
    <cellStyle name="Normal 166 5" xfId="1488" xr:uid="{00000000-0005-0000-0000-0000E80C0000}"/>
    <cellStyle name="Normal 167" xfId="521" xr:uid="{00000000-0005-0000-0000-0000E90C0000}"/>
    <cellStyle name="Normal 167 2" xfId="1493" xr:uid="{00000000-0005-0000-0000-0000EA0C0000}"/>
    <cellStyle name="Normal 167 2 2" xfId="7505" xr:uid="{00000000-0005-0000-0000-0000EB0C0000}"/>
    <cellStyle name="Normal 167 2 2 2" xfId="7506" xr:uid="{00000000-0005-0000-0000-0000EC0C0000}"/>
    <cellStyle name="Normal 167 2 2 3" xfId="12367" xr:uid="{00000000-0005-0000-0000-0000ED0C0000}"/>
    <cellStyle name="Normal 167 2 3" xfId="7507" xr:uid="{00000000-0005-0000-0000-0000EE0C0000}"/>
    <cellStyle name="Normal 167 2 4" xfId="7508" xr:uid="{00000000-0005-0000-0000-0000EF0C0000}"/>
    <cellStyle name="Normal 167 2 5" xfId="13454" xr:uid="{00000000-0005-0000-0000-0000F00C0000}"/>
    <cellStyle name="Normal 167 3" xfId="1494" xr:uid="{00000000-0005-0000-0000-0000F10C0000}"/>
    <cellStyle name="Normal 167 3 2" xfId="2482" xr:uid="{00000000-0005-0000-0000-0000F20C0000}"/>
    <cellStyle name="Normal 167 3 3" xfId="2733" xr:uid="{00000000-0005-0000-0000-0000F30C0000}"/>
    <cellStyle name="Normal 167 4" xfId="1495" xr:uid="{00000000-0005-0000-0000-0000F40C0000}"/>
    <cellStyle name="Normal 167 5" xfId="1492" xr:uid="{00000000-0005-0000-0000-0000F50C0000}"/>
    <cellStyle name="Normal 168" xfId="522" xr:uid="{00000000-0005-0000-0000-0000F60C0000}"/>
    <cellStyle name="Normal 168 2" xfId="1496" xr:uid="{00000000-0005-0000-0000-0000F70C0000}"/>
    <cellStyle name="Normal 168 2 2" xfId="7509" xr:uid="{00000000-0005-0000-0000-0000F80C0000}"/>
    <cellStyle name="Normal 168 3" xfId="1497" xr:uid="{00000000-0005-0000-0000-0000F90C0000}"/>
    <cellStyle name="Normal 168 4" xfId="1498" xr:uid="{00000000-0005-0000-0000-0000FA0C0000}"/>
    <cellStyle name="Normal 168 4 2" xfId="2481" xr:uid="{00000000-0005-0000-0000-0000FB0C0000}"/>
    <cellStyle name="Normal 168 4 3" xfId="2734" xr:uid="{00000000-0005-0000-0000-0000FC0C0000}"/>
    <cellStyle name="Normal 168 5" xfId="1499" xr:uid="{00000000-0005-0000-0000-0000FD0C0000}"/>
    <cellStyle name="Normal 169" xfId="523" xr:uid="{00000000-0005-0000-0000-0000FE0C0000}"/>
    <cellStyle name="Normal 169 2" xfId="1501" xr:uid="{00000000-0005-0000-0000-0000FF0C0000}"/>
    <cellStyle name="Normal 169 2 2" xfId="7510" xr:uid="{00000000-0005-0000-0000-0000000D0000}"/>
    <cellStyle name="Normal 169 2 2 2" xfId="7511" xr:uid="{00000000-0005-0000-0000-0000010D0000}"/>
    <cellStyle name="Normal 169 2 2 3" xfId="12998" xr:uid="{00000000-0005-0000-0000-0000020D0000}"/>
    <cellStyle name="Normal 169 2 3" xfId="7512" xr:uid="{00000000-0005-0000-0000-0000030D0000}"/>
    <cellStyle name="Normal 169 2 4" xfId="7513" xr:uid="{00000000-0005-0000-0000-0000040D0000}"/>
    <cellStyle name="Normal 169 2 5" xfId="13455" xr:uid="{00000000-0005-0000-0000-0000050D0000}"/>
    <cellStyle name="Normal 169 3" xfId="1502" xr:uid="{00000000-0005-0000-0000-0000060D0000}"/>
    <cellStyle name="Normal 169 3 2" xfId="2480" xr:uid="{00000000-0005-0000-0000-0000070D0000}"/>
    <cellStyle name="Normal 169 3 3" xfId="2735" xr:uid="{00000000-0005-0000-0000-0000080D0000}"/>
    <cellStyle name="Normal 169 4" xfId="1503" xr:uid="{00000000-0005-0000-0000-0000090D0000}"/>
    <cellStyle name="Normal 169 5" xfId="1500" xr:uid="{00000000-0005-0000-0000-00000A0D0000}"/>
    <cellStyle name="Normal 17" xfId="204" xr:uid="{00000000-0005-0000-0000-00000B0D0000}"/>
    <cellStyle name="Normal 17 2" xfId="745" xr:uid="{00000000-0005-0000-0000-00000C0D0000}"/>
    <cellStyle name="Normal 17 2 2" xfId="9665" xr:uid="{00000000-0005-0000-0000-00000D0D0000}"/>
    <cellStyle name="Normal 17 3" xfId="7514" xr:uid="{00000000-0005-0000-0000-00000E0D0000}"/>
    <cellStyle name="Normal 17 4" xfId="7515" xr:uid="{00000000-0005-0000-0000-00000F0D0000}"/>
    <cellStyle name="Normal 17 5" xfId="7516" xr:uid="{00000000-0005-0000-0000-0000100D0000}"/>
    <cellStyle name="Normal 17 6" xfId="7517" xr:uid="{00000000-0005-0000-0000-0000110D0000}"/>
    <cellStyle name="Normal 17 7" xfId="7518" xr:uid="{00000000-0005-0000-0000-0000120D0000}"/>
    <cellStyle name="Normal 17 8" xfId="7519" xr:uid="{00000000-0005-0000-0000-0000130D0000}"/>
    <cellStyle name="Normal 170" xfId="524" xr:uid="{00000000-0005-0000-0000-0000140D0000}"/>
    <cellStyle name="Normal 170 2" xfId="1504" xr:uid="{00000000-0005-0000-0000-0000150D0000}"/>
    <cellStyle name="Normal 170 2 2" xfId="7520" xr:uid="{00000000-0005-0000-0000-0000160D0000}"/>
    <cellStyle name="Normal 170 3" xfId="1505" xr:uid="{00000000-0005-0000-0000-0000170D0000}"/>
    <cellStyle name="Normal 170 4" xfId="1506" xr:uid="{00000000-0005-0000-0000-0000180D0000}"/>
    <cellStyle name="Normal 170 4 2" xfId="2479" xr:uid="{00000000-0005-0000-0000-0000190D0000}"/>
    <cellStyle name="Normal 170 4 3" xfId="2736" xr:uid="{00000000-0005-0000-0000-00001A0D0000}"/>
    <cellStyle name="Normal 170 5" xfId="1507" xr:uid="{00000000-0005-0000-0000-00001B0D0000}"/>
    <cellStyle name="Normal 171" xfId="525" xr:uid="{00000000-0005-0000-0000-00001C0D0000}"/>
    <cellStyle name="Normal 171 2" xfId="1509" xr:uid="{00000000-0005-0000-0000-00001D0D0000}"/>
    <cellStyle name="Normal 171 2 2" xfId="7521" xr:uid="{00000000-0005-0000-0000-00001E0D0000}"/>
    <cellStyle name="Normal 171 2 2 2" xfId="7522" xr:uid="{00000000-0005-0000-0000-00001F0D0000}"/>
    <cellStyle name="Normal 171 2 2 3" xfId="12860" xr:uid="{00000000-0005-0000-0000-0000200D0000}"/>
    <cellStyle name="Normal 171 2 3" xfId="7523" xr:uid="{00000000-0005-0000-0000-0000210D0000}"/>
    <cellStyle name="Normal 171 2 4" xfId="7524" xr:uid="{00000000-0005-0000-0000-0000220D0000}"/>
    <cellStyle name="Normal 171 2 5" xfId="13456" xr:uid="{00000000-0005-0000-0000-0000230D0000}"/>
    <cellStyle name="Normal 171 3" xfId="1510" xr:uid="{00000000-0005-0000-0000-0000240D0000}"/>
    <cellStyle name="Normal 171 3 2" xfId="2478" xr:uid="{00000000-0005-0000-0000-0000250D0000}"/>
    <cellStyle name="Normal 171 3 3" xfId="2737" xr:uid="{00000000-0005-0000-0000-0000260D0000}"/>
    <cellStyle name="Normal 171 4" xfId="1511" xr:uid="{00000000-0005-0000-0000-0000270D0000}"/>
    <cellStyle name="Normal 171 5" xfId="1508" xr:uid="{00000000-0005-0000-0000-0000280D0000}"/>
    <cellStyle name="Normal 172" xfId="526" xr:uid="{00000000-0005-0000-0000-0000290D0000}"/>
    <cellStyle name="Normal 172 2" xfId="1512" xr:uid="{00000000-0005-0000-0000-00002A0D0000}"/>
    <cellStyle name="Normal 172 2 2" xfId="7525" xr:uid="{00000000-0005-0000-0000-00002B0D0000}"/>
    <cellStyle name="Normal 172 3" xfId="1513" xr:uid="{00000000-0005-0000-0000-00002C0D0000}"/>
    <cellStyle name="Normal 172 4" xfId="1514" xr:uid="{00000000-0005-0000-0000-00002D0D0000}"/>
    <cellStyle name="Normal 172 4 2" xfId="2477" xr:uid="{00000000-0005-0000-0000-00002E0D0000}"/>
    <cellStyle name="Normal 172 4 3" xfId="2738" xr:uid="{00000000-0005-0000-0000-00002F0D0000}"/>
    <cellStyle name="Normal 172 5" xfId="1515" xr:uid="{00000000-0005-0000-0000-0000300D0000}"/>
    <cellStyle name="Normal 172 6" xfId="10780" xr:uid="{00000000-0005-0000-0000-0000310D0000}"/>
    <cellStyle name="Normal 173" xfId="527" xr:uid="{00000000-0005-0000-0000-0000320D0000}"/>
    <cellStyle name="Normal 173 2" xfId="1517" xr:uid="{00000000-0005-0000-0000-0000330D0000}"/>
    <cellStyle name="Normal 173 2 2" xfId="7526" xr:uid="{00000000-0005-0000-0000-0000340D0000}"/>
    <cellStyle name="Normal 173 2 2 2" xfId="7527" xr:uid="{00000000-0005-0000-0000-0000350D0000}"/>
    <cellStyle name="Normal 173 2 2 3" xfId="13036" xr:uid="{00000000-0005-0000-0000-0000360D0000}"/>
    <cellStyle name="Normal 173 2 3" xfId="7528" xr:uid="{00000000-0005-0000-0000-0000370D0000}"/>
    <cellStyle name="Normal 173 2 4" xfId="7529" xr:uid="{00000000-0005-0000-0000-0000380D0000}"/>
    <cellStyle name="Normal 173 2 5" xfId="13457" xr:uid="{00000000-0005-0000-0000-0000390D0000}"/>
    <cellStyle name="Normal 173 3" xfId="1518" xr:uid="{00000000-0005-0000-0000-00003A0D0000}"/>
    <cellStyle name="Normal 173 3 2" xfId="2476" xr:uid="{00000000-0005-0000-0000-00003B0D0000}"/>
    <cellStyle name="Normal 173 3 3" xfId="2739" xr:uid="{00000000-0005-0000-0000-00003C0D0000}"/>
    <cellStyle name="Normal 173 4" xfId="1519" xr:uid="{00000000-0005-0000-0000-00003D0D0000}"/>
    <cellStyle name="Normal 173 5" xfId="1516" xr:uid="{00000000-0005-0000-0000-00003E0D0000}"/>
    <cellStyle name="Normal 174" xfId="528" xr:uid="{00000000-0005-0000-0000-00003F0D0000}"/>
    <cellStyle name="Normal 174 2" xfId="1520" xr:uid="{00000000-0005-0000-0000-0000400D0000}"/>
    <cellStyle name="Normal 174 2 2" xfId="7530" xr:uid="{00000000-0005-0000-0000-0000410D0000}"/>
    <cellStyle name="Normal 174 3" xfId="1521" xr:uid="{00000000-0005-0000-0000-0000420D0000}"/>
    <cellStyle name="Normal 174 4" xfId="1522" xr:uid="{00000000-0005-0000-0000-0000430D0000}"/>
    <cellStyle name="Normal 174 4 2" xfId="2475" xr:uid="{00000000-0005-0000-0000-0000440D0000}"/>
    <cellStyle name="Normal 174 4 3" xfId="2740" xr:uid="{00000000-0005-0000-0000-0000450D0000}"/>
    <cellStyle name="Normal 174 5" xfId="1523" xr:uid="{00000000-0005-0000-0000-0000460D0000}"/>
    <cellStyle name="Normal 175" xfId="529" xr:uid="{00000000-0005-0000-0000-0000470D0000}"/>
    <cellStyle name="Normal 176" xfId="530" xr:uid="{00000000-0005-0000-0000-0000480D0000}"/>
    <cellStyle name="Normal 176 2" xfId="1524" xr:uid="{00000000-0005-0000-0000-0000490D0000}"/>
    <cellStyle name="Normal 176 2 2" xfId="7531" xr:uid="{00000000-0005-0000-0000-00004A0D0000}"/>
    <cellStyle name="Normal 176 3" xfId="1525" xr:uid="{00000000-0005-0000-0000-00004B0D0000}"/>
    <cellStyle name="Normal 176 4" xfId="1526" xr:uid="{00000000-0005-0000-0000-00004C0D0000}"/>
    <cellStyle name="Normal 176 4 2" xfId="2474" xr:uid="{00000000-0005-0000-0000-00004D0D0000}"/>
    <cellStyle name="Normal 176 4 3" xfId="2741" xr:uid="{00000000-0005-0000-0000-00004E0D0000}"/>
    <cellStyle name="Normal 176 5" xfId="1527" xr:uid="{00000000-0005-0000-0000-00004F0D0000}"/>
    <cellStyle name="Normal 177" xfId="531" xr:uid="{00000000-0005-0000-0000-0000500D0000}"/>
    <cellStyle name="Normal 177 2" xfId="1529" xr:uid="{00000000-0005-0000-0000-0000510D0000}"/>
    <cellStyle name="Normal 177 2 2" xfId="7532" xr:uid="{00000000-0005-0000-0000-0000520D0000}"/>
    <cellStyle name="Normal 177 2 2 2" xfId="7533" xr:uid="{00000000-0005-0000-0000-0000530D0000}"/>
    <cellStyle name="Normal 177 2 2 3" xfId="11310" xr:uid="{00000000-0005-0000-0000-0000540D0000}"/>
    <cellStyle name="Normal 177 2 3" xfId="7534" xr:uid="{00000000-0005-0000-0000-0000550D0000}"/>
    <cellStyle name="Normal 177 2 4" xfId="7535" xr:uid="{00000000-0005-0000-0000-0000560D0000}"/>
    <cellStyle name="Normal 177 2 5" xfId="13458" xr:uid="{00000000-0005-0000-0000-0000570D0000}"/>
    <cellStyle name="Normal 177 3" xfId="1530" xr:uid="{00000000-0005-0000-0000-0000580D0000}"/>
    <cellStyle name="Normal 177 3 2" xfId="2473" xr:uid="{00000000-0005-0000-0000-0000590D0000}"/>
    <cellStyle name="Normal 177 3 3" xfId="2742" xr:uid="{00000000-0005-0000-0000-00005A0D0000}"/>
    <cellStyle name="Normal 177 4" xfId="1531" xr:uid="{00000000-0005-0000-0000-00005B0D0000}"/>
    <cellStyle name="Normal 177 5" xfId="1528" xr:uid="{00000000-0005-0000-0000-00005C0D0000}"/>
    <cellStyle name="Normal 178" xfId="532" xr:uid="{00000000-0005-0000-0000-00005D0D0000}"/>
    <cellStyle name="Normal 178 2" xfId="1533" xr:uid="{00000000-0005-0000-0000-00005E0D0000}"/>
    <cellStyle name="Normal 178 2 2" xfId="7536" xr:uid="{00000000-0005-0000-0000-00005F0D0000}"/>
    <cellStyle name="Normal 178 2 2 2" xfId="7537" xr:uid="{00000000-0005-0000-0000-0000600D0000}"/>
    <cellStyle name="Normal 178 2 2 3" xfId="13019" xr:uid="{00000000-0005-0000-0000-0000610D0000}"/>
    <cellStyle name="Normal 178 2 3" xfId="7538" xr:uid="{00000000-0005-0000-0000-0000620D0000}"/>
    <cellStyle name="Normal 178 2 4" xfId="7539" xr:uid="{00000000-0005-0000-0000-0000630D0000}"/>
    <cellStyle name="Normal 178 2 5" xfId="13459" xr:uid="{00000000-0005-0000-0000-0000640D0000}"/>
    <cellStyle name="Normal 178 3" xfId="1534" xr:uid="{00000000-0005-0000-0000-0000650D0000}"/>
    <cellStyle name="Normal 178 3 2" xfId="2472" xr:uid="{00000000-0005-0000-0000-0000660D0000}"/>
    <cellStyle name="Normal 178 3 3" xfId="2743" xr:uid="{00000000-0005-0000-0000-0000670D0000}"/>
    <cellStyle name="Normal 178 4" xfId="1535" xr:uid="{00000000-0005-0000-0000-0000680D0000}"/>
    <cellStyle name="Normal 178 5" xfId="1532" xr:uid="{00000000-0005-0000-0000-0000690D0000}"/>
    <cellStyle name="Normal 179" xfId="533" xr:uid="{00000000-0005-0000-0000-00006A0D0000}"/>
    <cellStyle name="Normal 179 2" xfId="1536" xr:uid="{00000000-0005-0000-0000-00006B0D0000}"/>
    <cellStyle name="Normal 179 2 2" xfId="7540" xr:uid="{00000000-0005-0000-0000-00006C0D0000}"/>
    <cellStyle name="Normal 179 3" xfId="1537" xr:uid="{00000000-0005-0000-0000-00006D0D0000}"/>
    <cellStyle name="Normal 179 4" xfId="1538" xr:uid="{00000000-0005-0000-0000-00006E0D0000}"/>
    <cellStyle name="Normal 179 4 2" xfId="2471" xr:uid="{00000000-0005-0000-0000-00006F0D0000}"/>
    <cellStyle name="Normal 179 4 3" xfId="2744" xr:uid="{00000000-0005-0000-0000-0000700D0000}"/>
    <cellStyle name="Normal 179 5" xfId="1539" xr:uid="{00000000-0005-0000-0000-0000710D0000}"/>
    <cellStyle name="Normal 18" xfId="205" xr:uid="{00000000-0005-0000-0000-0000720D0000}"/>
    <cellStyle name="Normal 18 2" xfId="746" xr:uid="{00000000-0005-0000-0000-0000730D0000}"/>
    <cellStyle name="Normal 18 2 2" xfId="9666" xr:uid="{00000000-0005-0000-0000-0000740D0000}"/>
    <cellStyle name="Normal 18 3" xfId="7541" xr:uid="{00000000-0005-0000-0000-0000750D0000}"/>
    <cellStyle name="Normal 18 4" xfId="7542" xr:uid="{00000000-0005-0000-0000-0000760D0000}"/>
    <cellStyle name="Normal 18 5" xfId="7543" xr:uid="{00000000-0005-0000-0000-0000770D0000}"/>
    <cellStyle name="Normal 18 6" xfId="7544" xr:uid="{00000000-0005-0000-0000-0000780D0000}"/>
    <cellStyle name="Normal 18 7" xfId="7545" xr:uid="{00000000-0005-0000-0000-0000790D0000}"/>
    <cellStyle name="Normal 18 8" xfId="7546" xr:uid="{00000000-0005-0000-0000-00007A0D0000}"/>
    <cellStyle name="Normal 180" xfId="534" xr:uid="{00000000-0005-0000-0000-00007B0D0000}"/>
    <cellStyle name="Normal 180 2" xfId="1541" xr:uid="{00000000-0005-0000-0000-00007C0D0000}"/>
    <cellStyle name="Normal 180 2 2" xfId="7547" xr:uid="{00000000-0005-0000-0000-00007D0D0000}"/>
    <cellStyle name="Normal 180 2 2 2" xfId="7548" xr:uid="{00000000-0005-0000-0000-00007E0D0000}"/>
    <cellStyle name="Normal 180 2 2 3" xfId="12922" xr:uid="{00000000-0005-0000-0000-00007F0D0000}"/>
    <cellStyle name="Normal 180 2 3" xfId="7549" xr:uid="{00000000-0005-0000-0000-0000800D0000}"/>
    <cellStyle name="Normal 180 2 4" xfId="7550" xr:uid="{00000000-0005-0000-0000-0000810D0000}"/>
    <cellStyle name="Normal 180 2 5" xfId="13460" xr:uid="{00000000-0005-0000-0000-0000820D0000}"/>
    <cellStyle name="Normal 180 3" xfId="1542" xr:uid="{00000000-0005-0000-0000-0000830D0000}"/>
    <cellStyle name="Normal 180 3 2" xfId="2470" xr:uid="{00000000-0005-0000-0000-0000840D0000}"/>
    <cellStyle name="Normal 180 3 3" xfId="2745" xr:uid="{00000000-0005-0000-0000-0000850D0000}"/>
    <cellStyle name="Normal 180 4" xfId="1543" xr:uid="{00000000-0005-0000-0000-0000860D0000}"/>
    <cellStyle name="Normal 180 5" xfId="1540" xr:uid="{00000000-0005-0000-0000-0000870D0000}"/>
    <cellStyle name="Normal 181" xfId="535" xr:uid="{00000000-0005-0000-0000-0000880D0000}"/>
    <cellStyle name="Normal 181 2" xfId="1545" xr:uid="{00000000-0005-0000-0000-0000890D0000}"/>
    <cellStyle name="Normal 181 2 2" xfId="7551" xr:uid="{00000000-0005-0000-0000-00008A0D0000}"/>
    <cellStyle name="Normal 181 2 2 2" xfId="7552" xr:uid="{00000000-0005-0000-0000-00008B0D0000}"/>
    <cellStyle name="Normal 181 2 2 3" xfId="12368" xr:uid="{00000000-0005-0000-0000-00008C0D0000}"/>
    <cellStyle name="Normal 181 2 3" xfId="7553" xr:uid="{00000000-0005-0000-0000-00008D0D0000}"/>
    <cellStyle name="Normal 181 2 4" xfId="7554" xr:uid="{00000000-0005-0000-0000-00008E0D0000}"/>
    <cellStyle name="Normal 181 2 5" xfId="13461" xr:uid="{00000000-0005-0000-0000-00008F0D0000}"/>
    <cellStyle name="Normal 181 3" xfId="1546" xr:uid="{00000000-0005-0000-0000-0000900D0000}"/>
    <cellStyle name="Normal 181 3 2" xfId="2469" xr:uid="{00000000-0005-0000-0000-0000910D0000}"/>
    <cellStyle name="Normal 181 3 3" xfId="2746" xr:uid="{00000000-0005-0000-0000-0000920D0000}"/>
    <cellStyle name="Normal 181 4" xfId="1547" xr:uid="{00000000-0005-0000-0000-0000930D0000}"/>
    <cellStyle name="Normal 181 5" xfId="1544" xr:uid="{00000000-0005-0000-0000-0000940D0000}"/>
    <cellStyle name="Normal 182" xfId="536" xr:uid="{00000000-0005-0000-0000-0000950D0000}"/>
    <cellStyle name="Normal 182 2" xfId="1548" xr:uid="{00000000-0005-0000-0000-0000960D0000}"/>
    <cellStyle name="Normal 182 2 2" xfId="7555" xr:uid="{00000000-0005-0000-0000-0000970D0000}"/>
    <cellStyle name="Normal 182 3" xfId="1549" xr:uid="{00000000-0005-0000-0000-0000980D0000}"/>
    <cellStyle name="Normal 182 4" xfId="1550" xr:uid="{00000000-0005-0000-0000-0000990D0000}"/>
    <cellStyle name="Normal 182 4 2" xfId="2468" xr:uid="{00000000-0005-0000-0000-00009A0D0000}"/>
    <cellStyle name="Normal 182 4 3" xfId="2747" xr:uid="{00000000-0005-0000-0000-00009B0D0000}"/>
    <cellStyle name="Normal 182 5" xfId="1551" xr:uid="{00000000-0005-0000-0000-00009C0D0000}"/>
    <cellStyle name="Normal 183" xfId="537" xr:uid="{00000000-0005-0000-0000-00009D0D0000}"/>
    <cellStyle name="Normal 183 2" xfId="1553" xr:uid="{00000000-0005-0000-0000-00009E0D0000}"/>
    <cellStyle name="Normal 183 2 2" xfId="7556" xr:uid="{00000000-0005-0000-0000-00009F0D0000}"/>
    <cellStyle name="Normal 183 2 2 2" xfId="7557" xr:uid="{00000000-0005-0000-0000-0000A00D0000}"/>
    <cellStyle name="Normal 183 2 2 3" xfId="12997" xr:uid="{00000000-0005-0000-0000-0000A10D0000}"/>
    <cellStyle name="Normal 183 2 3" xfId="7558" xr:uid="{00000000-0005-0000-0000-0000A20D0000}"/>
    <cellStyle name="Normal 183 2 4" xfId="7559" xr:uid="{00000000-0005-0000-0000-0000A30D0000}"/>
    <cellStyle name="Normal 183 2 5" xfId="13462" xr:uid="{00000000-0005-0000-0000-0000A40D0000}"/>
    <cellStyle name="Normal 183 3" xfId="1554" xr:uid="{00000000-0005-0000-0000-0000A50D0000}"/>
    <cellStyle name="Normal 183 3 2" xfId="2467" xr:uid="{00000000-0005-0000-0000-0000A60D0000}"/>
    <cellStyle name="Normal 183 3 3" xfId="2748" xr:uid="{00000000-0005-0000-0000-0000A70D0000}"/>
    <cellStyle name="Normal 183 4" xfId="1555" xr:uid="{00000000-0005-0000-0000-0000A80D0000}"/>
    <cellStyle name="Normal 183 5" xfId="1552" xr:uid="{00000000-0005-0000-0000-0000A90D0000}"/>
    <cellStyle name="Normal 184" xfId="538" xr:uid="{00000000-0005-0000-0000-0000AA0D0000}"/>
    <cellStyle name="Normal 184 2" xfId="1556" xr:uid="{00000000-0005-0000-0000-0000AB0D0000}"/>
    <cellStyle name="Normal 184 2 2" xfId="7560" xr:uid="{00000000-0005-0000-0000-0000AC0D0000}"/>
    <cellStyle name="Normal 184 3" xfId="1557" xr:uid="{00000000-0005-0000-0000-0000AD0D0000}"/>
    <cellStyle name="Normal 184 4" xfId="1558" xr:uid="{00000000-0005-0000-0000-0000AE0D0000}"/>
    <cellStyle name="Normal 184 4 2" xfId="2466" xr:uid="{00000000-0005-0000-0000-0000AF0D0000}"/>
    <cellStyle name="Normal 184 4 3" xfId="2749" xr:uid="{00000000-0005-0000-0000-0000B00D0000}"/>
    <cellStyle name="Normal 184 5" xfId="1559" xr:uid="{00000000-0005-0000-0000-0000B10D0000}"/>
    <cellStyle name="Normal 185" xfId="539" xr:uid="{00000000-0005-0000-0000-0000B20D0000}"/>
    <cellStyle name="Normal 185 2" xfId="1561" xr:uid="{00000000-0005-0000-0000-0000B30D0000}"/>
    <cellStyle name="Normal 185 2 2" xfId="7561" xr:uid="{00000000-0005-0000-0000-0000B40D0000}"/>
    <cellStyle name="Normal 185 2 2 2" xfId="7562" xr:uid="{00000000-0005-0000-0000-0000B50D0000}"/>
    <cellStyle name="Normal 185 2 2 3" xfId="11152" xr:uid="{00000000-0005-0000-0000-0000B60D0000}"/>
    <cellStyle name="Normal 185 2 3" xfId="7563" xr:uid="{00000000-0005-0000-0000-0000B70D0000}"/>
    <cellStyle name="Normal 185 2 4" xfId="7564" xr:uid="{00000000-0005-0000-0000-0000B80D0000}"/>
    <cellStyle name="Normal 185 2 5" xfId="13463" xr:uid="{00000000-0005-0000-0000-0000B90D0000}"/>
    <cellStyle name="Normal 185 3" xfId="1562" xr:uid="{00000000-0005-0000-0000-0000BA0D0000}"/>
    <cellStyle name="Normal 185 3 2" xfId="2465" xr:uid="{00000000-0005-0000-0000-0000BB0D0000}"/>
    <cellStyle name="Normal 185 3 3" xfId="2750" xr:uid="{00000000-0005-0000-0000-0000BC0D0000}"/>
    <cellStyle name="Normal 185 4" xfId="1563" xr:uid="{00000000-0005-0000-0000-0000BD0D0000}"/>
    <cellStyle name="Normal 185 5" xfId="1560" xr:uid="{00000000-0005-0000-0000-0000BE0D0000}"/>
    <cellStyle name="Normal 186" xfId="540" xr:uid="{00000000-0005-0000-0000-0000BF0D0000}"/>
    <cellStyle name="Normal 186 2" xfId="1564" xr:uid="{00000000-0005-0000-0000-0000C00D0000}"/>
    <cellStyle name="Normal 186 2 2" xfId="7565" xr:uid="{00000000-0005-0000-0000-0000C10D0000}"/>
    <cellStyle name="Normal 186 3" xfId="1565" xr:uid="{00000000-0005-0000-0000-0000C20D0000}"/>
    <cellStyle name="Normal 186 4" xfId="1566" xr:uid="{00000000-0005-0000-0000-0000C30D0000}"/>
    <cellStyle name="Normal 186 4 2" xfId="2464" xr:uid="{00000000-0005-0000-0000-0000C40D0000}"/>
    <cellStyle name="Normal 186 4 3" xfId="2751" xr:uid="{00000000-0005-0000-0000-0000C50D0000}"/>
    <cellStyle name="Normal 186 5" xfId="1567" xr:uid="{00000000-0005-0000-0000-0000C60D0000}"/>
    <cellStyle name="Normal 187" xfId="541" xr:uid="{00000000-0005-0000-0000-0000C70D0000}"/>
    <cellStyle name="Normal 188" xfId="542" xr:uid="{00000000-0005-0000-0000-0000C80D0000}"/>
    <cellStyle name="Normal 188 2" xfId="1569" xr:uid="{00000000-0005-0000-0000-0000C90D0000}"/>
    <cellStyle name="Normal 188 3" xfId="1570" xr:uid="{00000000-0005-0000-0000-0000CA0D0000}"/>
    <cellStyle name="Normal 188 4" xfId="1571" xr:uid="{00000000-0005-0000-0000-0000CB0D0000}"/>
    <cellStyle name="Normal 188 5" xfId="1572" xr:uid="{00000000-0005-0000-0000-0000CC0D0000}"/>
    <cellStyle name="Normal 188 6" xfId="1568" xr:uid="{00000000-0005-0000-0000-0000CD0D0000}"/>
    <cellStyle name="Normal 189" xfId="543" xr:uid="{00000000-0005-0000-0000-0000CE0D0000}"/>
    <cellStyle name="Normal 189 2" xfId="1574" xr:uid="{00000000-0005-0000-0000-0000CF0D0000}"/>
    <cellStyle name="Normal 189 2 2" xfId="7566" xr:uid="{00000000-0005-0000-0000-0000D00D0000}"/>
    <cellStyle name="Normal 189 2 2 2" xfId="7567" xr:uid="{00000000-0005-0000-0000-0000D10D0000}"/>
    <cellStyle name="Normal 189 2 2 3" xfId="12849" xr:uid="{00000000-0005-0000-0000-0000D20D0000}"/>
    <cellStyle name="Normal 189 2 3" xfId="7568" xr:uid="{00000000-0005-0000-0000-0000D30D0000}"/>
    <cellStyle name="Normal 189 2 4" xfId="7569" xr:uid="{00000000-0005-0000-0000-0000D40D0000}"/>
    <cellStyle name="Normal 189 2 5" xfId="13464" xr:uid="{00000000-0005-0000-0000-0000D50D0000}"/>
    <cellStyle name="Normal 189 3" xfId="1575" xr:uid="{00000000-0005-0000-0000-0000D60D0000}"/>
    <cellStyle name="Normal 189 3 2" xfId="2463" xr:uid="{00000000-0005-0000-0000-0000D70D0000}"/>
    <cellStyle name="Normal 189 3 3" xfId="2752" xr:uid="{00000000-0005-0000-0000-0000D80D0000}"/>
    <cellStyle name="Normal 189 4" xfId="1576" xr:uid="{00000000-0005-0000-0000-0000D90D0000}"/>
    <cellStyle name="Normal 189 5" xfId="1573" xr:uid="{00000000-0005-0000-0000-0000DA0D0000}"/>
    <cellStyle name="Normal 19" xfId="206" xr:uid="{00000000-0005-0000-0000-0000DB0D0000}"/>
    <cellStyle name="Normal 19 2" xfId="747" xr:uid="{00000000-0005-0000-0000-0000DC0D0000}"/>
    <cellStyle name="Normal 19 2 2" xfId="9667" xr:uid="{00000000-0005-0000-0000-0000DD0D0000}"/>
    <cellStyle name="Normal 19 3" xfId="7570" xr:uid="{00000000-0005-0000-0000-0000DE0D0000}"/>
    <cellStyle name="Normal 19 4" xfId="7571" xr:uid="{00000000-0005-0000-0000-0000DF0D0000}"/>
    <cellStyle name="Normal 19 5" xfId="7572" xr:uid="{00000000-0005-0000-0000-0000E00D0000}"/>
    <cellStyle name="Normal 19 6" xfId="7573" xr:uid="{00000000-0005-0000-0000-0000E10D0000}"/>
    <cellStyle name="Normal 19 7" xfId="7574" xr:uid="{00000000-0005-0000-0000-0000E20D0000}"/>
    <cellStyle name="Normal 19 8" xfId="7575" xr:uid="{00000000-0005-0000-0000-0000E30D0000}"/>
    <cellStyle name="Normal 190" xfId="544" xr:uid="{00000000-0005-0000-0000-0000E40D0000}"/>
    <cellStyle name="Normal 190 2" xfId="1578" xr:uid="{00000000-0005-0000-0000-0000E50D0000}"/>
    <cellStyle name="Normal 190 3" xfId="1579" xr:uid="{00000000-0005-0000-0000-0000E60D0000}"/>
    <cellStyle name="Normal 190 4" xfId="1580" xr:uid="{00000000-0005-0000-0000-0000E70D0000}"/>
    <cellStyle name="Normal 190 5" xfId="1581" xr:uid="{00000000-0005-0000-0000-0000E80D0000}"/>
    <cellStyle name="Normal 190 6" xfId="1577" xr:uid="{00000000-0005-0000-0000-0000E90D0000}"/>
    <cellStyle name="Normal 191" xfId="545" xr:uid="{00000000-0005-0000-0000-0000EA0D0000}"/>
    <cellStyle name="Normal 192" xfId="546" xr:uid="{00000000-0005-0000-0000-0000EB0D0000}"/>
    <cellStyle name="Normal 192 2" xfId="1583" xr:uid="{00000000-0005-0000-0000-0000EC0D0000}"/>
    <cellStyle name="Normal 192 2 2" xfId="7576" xr:uid="{00000000-0005-0000-0000-0000ED0D0000}"/>
    <cellStyle name="Normal 192 2 2 2" xfId="7577" xr:uid="{00000000-0005-0000-0000-0000EE0D0000}"/>
    <cellStyle name="Normal 192 2 2 3" xfId="12430" xr:uid="{00000000-0005-0000-0000-0000EF0D0000}"/>
    <cellStyle name="Normal 192 2 3" xfId="7578" xr:uid="{00000000-0005-0000-0000-0000F00D0000}"/>
    <cellStyle name="Normal 192 2 4" xfId="7579" xr:uid="{00000000-0005-0000-0000-0000F10D0000}"/>
    <cellStyle name="Normal 192 2 5" xfId="13465" xr:uid="{00000000-0005-0000-0000-0000F20D0000}"/>
    <cellStyle name="Normal 192 3" xfId="1584" xr:uid="{00000000-0005-0000-0000-0000F30D0000}"/>
    <cellStyle name="Normal 192 3 2" xfId="2462" xr:uid="{00000000-0005-0000-0000-0000F40D0000}"/>
    <cellStyle name="Normal 192 3 3" xfId="2753" xr:uid="{00000000-0005-0000-0000-0000F50D0000}"/>
    <cellStyle name="Normal 192 4" xfId="1585" xr:uid="{00000000-0005-0000-0000-0000F60D0000}"/>
    <cellStyle name="Normal 192 5" xfId="1582" xr:uid="{00000000-0005-0000-0000-0000F70D0000}"/>
    <cellStyle name="Normal 193" xfId="547" xr:uid="{00000000-0005-0000-0000-0000F80D0000}"/>
    <cellStyle name="Normal 193 2" xfId="1587" xr:uid="{00000000-0005-0000-0000-0000F90D0000}"/>
    <cellStyle name="Normal 193 3" xfId="1588" xr:uid="{00000000-0005-0000-0000-0000FA0D0000}"/>
    <cellStyle name="Normal 193 4" xfId="1589" xr:uid="{00000000-0005-0000-0000-0000FB0D0000}"/>
    <cellStyle name="Normal 193 5" xfId="1590" xr:uid="{00000000-0005-0000-0000-0000FC0D0000}"/>
    <cellStyle name="Normal 193 6" xfId="1586" xr:uid="{00000000-0005-0000-0000-0000FD0D0000}"/>
    <cellStyle name="Normal 194" xfId="548" xr:uid="{00000000-0005-0000-0000-0000FE0D0000}"/>
    <cellStyle name="Normal 195" xfId="549" xr:uid="{00000000-0005-0000-0000-0000FF0D0000}"/>
    <cellStyle name="Normal 195 2" xfId="1592" xr:uid="{00000000-0005-0000-0000-0000000E0000}"/>
    <cellStyle name="Normal 195 2 2" xfId="7580" xr:uid="{00000000-0005-0000-0000-0000010E0000}"/>
    <cellStyle name="Normal 195 2 2 2" xfId="7581" xr:uid="{00000000-0005-0000-0000-0000020E0000}"/>
    <cellStyle name="Normal 195 2 2 3" xfId="12915" xr:uid="{00000000-0005-0000-0000-0000030E0000}"/>
    <cellStyle name="Normal 195 2 3" xfId="7582" xr:uid="{00000000-0005-0000-0000-0000040E0000}"/>
    <cellStyle name="Normal 195 2 4" xfId="7583" xr:uid="{00000000-0005-0000-0000-0000050E0000}"/>
    <cellStyle name="Normal 195 2 5" xfId="13466" xr:uid="{00000000-0005-0000-0000-0000060E0000}"/>
    <cellStyle name="Normal 195 3" xfId="1593" xr:uid="{00000000-0005-0000-0000-0000070E0000}"/>
    <cellStyle name="Normal 195 3 2" xfId="2461" xr:uid="{00000000-0005-0000-0000-0000080E0000}"/>
    <cellStyle name="Normal 195 3 3" xfId="2754" xr:uid="{00000000-0005-0000-0000-0000090E0000}"/>
    <cellStyle name="Normal 195 4" xfId="1594" xr:uid="{00000000-0005-0000-0000-00000A0E0000}"/>
    <cellStyle name="Normal 195 5" xfId="1591" xr:uid="{00000000-0005-0000-0000-00000B0E0000}"/>
    <cellStyle name="Normal 196" xfId="550" xr:uid="{00000000-0005-0000-0000-00000C0E0000}"/>
    <cellStyle name="Normal 196 2" xfId="1596" xr:uid="{00000000-0005-0000-0000-00000D0E0000}"/>
    <cellStyle name="Normal 196 3" xfId="1597" xr:uid="{00000000-0005-0000-0000-00000E0E0000}"/>
    <cellStyle name="Normal 196 4" xfId="1598" xr:uid="{00000000-0005-0000-0000-00000F0E0000}"/>
    <cellStyle name="Normal 196 5" xfId="1595" xr:uid="{00000000-0005-0000-0000-0000100E0000}"/>
    <cellStyle name="Normal 197" xfId="551" xr:uid="{00000000-0005-0000-0000-0000110E0000}"/>
    <cellStyle name="Normal 198" xfId="646" xr:uid="{00000000-0005-0000-0000-0000120E0000}"/>
    <cellStyle name="Normal 198 2" xfId="1599" xr:uid="{00000000-0005-0000-0000-0000130E0000}"/>
    <cellStyle name="Normal 198 2 2" xfId="7584" xr:uid="{00000000-0005-0000-0000-0000140E0000}"/>
    <cellStyle name="Normal 198 2 3" xfId="13467" xr:uid="{00000000-0005-0000-0000-0000150E0000}"/>
    <cellStyle name="Normal 198 3" xfId="7585" xr:uid="{00000000-0005-0000-0000-0000160E0000}"/>
    <cellStyle name="Normal 198 3 2" xfId="7586" xr:uid="{00000000-0005-0000-0000-0000170E0000}"/>
    <cellStyle name="Normal 198 3 3" xfId="7587" xr:uid="{00000000-0005-0000-0000-0000180E0000}"/>
    <cellStyle name="Normal 198 3 4" xfId="7157" xr:uid="{00000000-0005-0000-0000-0000190E0000}"/>
    <cellStyle name="Normal 199" xfId="667" xr:uid="{00000000-0005-0000-0000-00001A0E0000}"/>
    <cellStyle name="Normal 199 2" xfId="7588" xr:uid="{00000000-0005-0000-0000-00001B0E0000}"/>
    <cellStyle name="Normal 199 2 2" xfId="12577" xr:uid="{00000000-0005-0000-0000-00001C0E0000}"/>
    <cellStyle name="Normal 199 2 3" xfId="12830" xr:uid="{00000000-0005-0000-0000-00001D0E0000}"/>
    <cellStyle name="Normal 199 3" xfId="7589" xr:uid="{00000000-0005-0000-0000-00001E0E0000}"/>
    <cellStyle name="Normal 199 3 2" xfId="7590" xr:uid="{00000000-0005-0000-0000-00001F0E0000}"/>
    <cellStyle name="Normal 199 3 3" xfId="7591" xr:uid="{00000000-0005-0000-0000-0000200E0000}"/>
    <cellStyle name="Normal 2" xfId="22" xr:uid="{00000000-0005-0000-0000-0000210E0000}"/>
    <cellStyle name="Normal 2 10" xfId="1600" xr:uid="{00000000-0005-0000-0000-0000220E0000}"/>
    <cellStyle name="Normal 2 11" xfId="1601" xr:uid="{00000000-0005-0000-0000-0000230E0000}"/>
    <cellStyle name="Normal 2 12" xfId="1602" xr:uid="{00000000-0005-0000-0000-0000240E0000}"/>
    <cellStyle name="Normal 2 13" xfId="1603" xr:uid="{00000000-0005-0000-0000-0000250E0000}"/>
    <cellStyle name="Normal 2 14" xfId="1604" xr:uid="{00000000-0005-0000-0000-0000260E0000}"/>
    <cellStyle name="Normal 2 15" xfId="1605" xr:uid="{00000000-0005-0000-0000-0000270E0000}"/>
    <cellStyle name="Normal 2 16" xfId="7592" xr:uid="{00000000-0005-0000-0000-0000280E0000}"/>
    <cellStyle name="Normal 2 17" xfId="7593" xr:uid="{00000000-0005-0000-0000-0000290E0000}"/>
    <cellStyle name="Normal 2 2" xfId="23" xr:uid="{00000000-0005-0000-0000-00002A0E0000}"/>
    <cellStyle name="Normal 2 2 10" xfId="640" xr:uid="{00000000-0005-0000-0000-00002B0E0000}"/>
    <cellStyle name="Normal 2 2 11" xfId="1606" xr:uid="{00000000-0005-0000-0000-00002C0E0000}"/>
    <cellStyle name="Normal 2 2 12" xfId="7594" xr:uid="{00000000-0005-0000-0000-00002D0E0000}"/>
    <cellStyle name="Normal 2 2 13" xfId="7595" xr:uid="{00000000-0005-0000-0000-00002E0E0000}"/>
    <cellStyle name="Normal 2 2 2" xfId="24" xr:uid="{00000000-0005-0000-0000-00002F0E0000}"/>
    <cellStyle name="Normal 2 2 2 10" xfId="1607" xr:uid="{00000000-0005-0000-0000-0000300E0000}"/>
    <cellStyle name="Normal 2 2 2 11" xfId="7596" xr:uid="{00000000-0005-0000-0000-0000310E0000}"/>
    <cellStyle name="Normal 2 2 2 12" xfId="7597" xr:uid="{00000000-0005-0000-0000-0000320E0000}"/>
    <cellStyle name="Normal 2 2 2 2" xfId="25" xr:uid="{00000000-0005-0000-0000-0000330E0000}"/>
    <cellStyle name="Normal 2 2 2 2 10" xfId="7598" xr:uid="{00000000-0005-0000-0000-0000340E0000}"/>
    <cellStyle name="Normal 2 2 2 2 11" xfId="7599" xr:uid="{00000000-0005-0000-0000-0000350E0000}"/>
    <cellStyle name="Normal 2 2 2 2 2" xfId="636" xr:uid="{00000000-0005-0000-0000-0000360E0000}"/>
    <cellStyle name="Normal 2 2 2 2 3" xfId="1608" xr:uid="{00000000-0005-0000-0000-0000370E0000}"/>
    <cellStyle name="Normal 2 2 2 2 4" xfId="1609" xr:uid="{00000000-0005-0000-0000-0000380E0000}"/>
    <cellStyle name="Normal 2 2 2 2 5" xfId="1610" xr:uid="{00000000-0005-0000-0000-0000390E0000}"/>
    <cellStyle name="Normal 2 2 2 2 6" xfId="1611" xr:uid="{00000000-0005-0000-0000-00003A0E0000}"/>
    <cellStyle name="Normal 2 2 2 2 7" xfId="1612" xr:uid="{00000000-0005-0000-0000-00003B0E0000}"/>
    <cellStyle name="Normal 2 2 2 2 8" xfId="1613" xr:uid="{00000000-0005-0000-0000-00003C0E0000}"/>
    <cellStyle name="Normal 2 2 2 2 9" xfId="1614" xr:uid="{00000000-0005-0000-0000-00003D0E0000}"/>
    <cellStyle name="Normal 2 2 2 3" xfId="844" xr:uid="{00000000-0005-0000-0000-00003E0E0000}"/>
    <cellStyle name="Normal 2 2 2 3 2" xfId="7600" xr:uid="{00000000-0005-0000-0000-00003F0E0000}"/>
    <cellStyle name="Normal 2 2 2 4" xfId="1615" xr:uid="{00000000-0005-0000-0000-0000400E0000}"/>
    <cellStyle name="Normal 2 2 2 5" xfId="1616" xr:uid="{00000000-0005-0000-0000-0000410E0000}"/>
    <cellStyle name="Normal 2 2 2 6" xfId="1617" xr:uid="{00000000-0005-0000-0000-0000420E0000}"/>
    <cellStyle name="Normal 2 2 2 7" xfId="1618" xr:uid="{00000000-0005-0000-0000-0000430E0000}"/>
    <cellStyle name="Normal 2 2 2 8" xfId="1619" xr:uid="{00000000-0005-0000-0000-0000440E0000}"/>
    <cellStyle name="Normal 2 2 2 9" xfId="1620" xr:uid="{00000000-0005-0000-0000-0000450E0000}"/>
    <cellStyle name="Normal 2 2 3" xfId="26" xr:uid="{00000000-0005-0000-0000-0000460E0000}"/>
    <cellStyle name="Normal 2 2 3 10" xfId="3017" xr:uid="{00000000-0005-0000-0000-0000470E0000}"/>
    <cellStyle name="Normal 2 2 3 11" xfId="7601" xr:uid="{00000000-0005-0000-0000-0000480E0000}"/>
    <cellStyle name="Normal 2 2 3 12" xfId="7602" xr:uid="{00000000-0005-0000-0000-0000490E0000}"/>
    <cellStyle name="Normal 2 2 3 13" xfId="10639" xr:uid="{00000000-0005-0000-0000-00004A0E0000}"/>
    <cellStyle name="Normal 2 2 3 2" xfId="74" xr:uid="{00000000-0005-0000-0000-00004B0E0000}"/>
    <cellStyle name="Normal 2 2 3 2 2" xfId="635" xr:uid="{00000000-0005-0000-0000-00004C0E0000}"/>
    <cellStyle name="Normal 2 2 3 2 2 2" xfId="7603" xr:uid="{00000000-0005-0000-0000-00004D0E0000}"/>
    <cellStyle name="Normal 2 2 3 2 3" xfId="2940" xr:uid="{00000000-0005-0000-0000-00004E0E0000}"/>
    <cellStyle name="Normal 2 2 3 2 3 2" xfId="7604" xr:uid="{00000000-0005-0000-0000-00004F0E0000}"/>
    <cellStyle name="Normal 2 2 3 2 3 2 2" xfId="11190" xr:uid="{00000000-0005-0000-0000-0000500E0000}"/>
    <cellStyle name="Normal 2 2 3 2 3 2 3" xfId="11081" xr:uid="{00000000-0005-0000-0000-0000510E0000}"/>
    <cellStyle name="Normal 2 2 3 2 3 3" xfId="7605" xr:uid="{00000000-0005-0000-0000-0000520E0000}"/>
    <cellStyle name="Normal 2 2 3 2 3 4" xfId="13537" xr:uid="{00000000-0005-0000-0000-0000530E0000}"/>
    <cellStyle name="Normal 2 2 3 2 4" xfId="7606" xr:uid="{00000000-0005-0000-0000-0000540E0000}"/>
    <cellStyle name="Normal 2 2 3 2 5" xfId="7607" xr:uid="{00000000-0005-0000-0000-0000550E0000}"/>
    <cellStyle name="Normal 2 2 3 2 6" xfId="7608" xr:uid="{00000000-0005-0000-0000-0000560E0000}"/>
    <cellStyle name="Normal 2 2 3 2 7" xfId="7609" xr:uid="{00000000-0005-0000-0000-0000570E0000}"/>
    <cellStyle name="Normal 2 2 3 2 8" xfId="7610" xr:uid="{00000000-0005-0000-0000-0000580E0000}"/>
    <cellStyle name="Normal 2 2 3 3" xfId="845" xr:uid="{00000000-0005-0000-0000-0000590E0000}"/>
    <cellStyle name="Normal 2 2 3 3 2" xfId="2941" xr:uid="{00000000-0005-0000-0000-00005A0E0000}"/>
    <cellStyle name="Normal 2 2 3 4" xfId="1621" xr:uid="{00000000-0005-0000-0000-00005B0E0000}"/>
    <cellStyle name="Normal 2 2 3 4 2" xfId="2942" xr:uid="{00000000-0005-0000-0000-00005C0E0000}"/>
    <cellStyle name="Normal 2 2 3 5" xfId="1622" xr:uid="{00000000-0005-0000-0000-00005D0E0000}"/>
    <cellStyle name="Normal 2 2 3 5 2" xfId="2943" xr:uid="{00000000-0005-0000-0000-00005E0E0000}"/>
    <cellStyle name="Normal 2 2 3 6" xfId="1623" xr:uid="{00000000-0005-0000-0000-00005F0E0000}"/>
    <cellStyle name="Normal 2 2 3 6 2" xfId="2944" xr:uid="{00000000-0005-0000-0000-0000600E0000}"/>
    <cellStyle name="Normal 2 2 3 7" xfId="1624" xr:uid="{00000000-0005-0000-0000-0000610E0000}"/>
    <cellStyle name="Normal 2 2 3 7 2" xfId="2945" xr:uid="{00000000-0005-0000-0000-0000620E0000}"/>
    <cellStyle name="Normal 2 2 3 8" xfId="1625" xr:uid="{00000000-0005-0000-0000-0000630E0000}"/>
    <cellStyle name="Normal 2 2 3 8 2" xfId="7611" xr:uid="{00000000-0005-0000-0000-0000640E0000}"/>
    <cellStyle name="Normal 2 2 3 9" xfId="1626" xr:uid="{00000000-0005-0000-0000-0000650E0000}"/>
    <cellStyle name="Normal 2 2 3 9 2" xfId="2946" xr:uid="{00000000-0005-0000-0000-0000660E0000}"/>
    <cellStyle name="Normal 2 2 3_cálculo da esp das camadas" xfId="2947" xr:uid="{00000000-0005-0000-0000-0000670E0000}"/>
    <cellStyle name="Normal 2 2 4" xfId="1627" xr:uid="{00000000-0005-0000-0000-0000680E0000}"/>
    <cellStyle name="Normal 2 2 4 2" xfId="7612" xr:uid="{00000000-0005-0000-0000-0000690E0000}"/>
    <cellStyle name="Normal 2 2 5" xfId="1628" xr:uid="{00000000-0005-0000-0000-00006A0E0000}"/>
    <cellStyle name="Normal 2 2 5 2" xfId="7613" xr:uid="{00000000-0005-0000-0000-00006B0E0000}"/>
    <cellStyle name="Normal 2 2 6" xfId="1629" xr:uid="{00000000-0005-0000-0000-00006C0E0000}"/>
    <cellStyle name="Normal 2 2 6 2" xfId="7614" xr:uid="{00000000-0005-0000-0000-00006D0E0000}"/>
    <cellStyle name="Normal 2 2 7" xfId="1630" xr:uid="{00000000-0005-0000-0000-00006E0E0000}"/>
    <cellStyle name="Normal 2 2 7 2" xfId="7615" xr:uid="{00000000-0005-0000-0000-00006F0E0000}"/>
    <cellStyle name="Normal 2 2 8" xfId="1631" xr:uid="{00000000-0005-0000-0000-0000700E0000}"/>
    <cellStyle name="Normal 2 2 8 2" xfId="7616" xr:uid="{00000000-0005-0000-0000-0000710E0000}"/>
    <cellStyle name="Normal 2 2 9" xfId="1632" xr:uid="{00000000-0005-0000-0000-0000720E0000}"/>
    <cellStyle name="Normal 2 2 9 2" xfId="7617" xr:uid="{00000000-0005-0000-0000-0000730E0000}"/>
    <cellStyle name="Normal 2 2_cálculo da esp das camadas" xfId="2948" xr:uid="{00000000-0005-0000-0000-0000740E0000}"/>
    <cellStyle name="Normal 2 3" xfId="27" xr:uid="{00000000-0005-0000-0000-0000750E0000}"/>
    <cellStyle name="Normal 2 3 10" xfId="1633" xr:uid="{00000000-0005-0000-0000-0000760E0000}"/>
    <cellStyle name="Normal 2 3 11" xfId="7618" xr:uid="{00000000-0005-0000-0000-0000770E0000}"/>
    <cellStyle name="Normal 2 3 12" xfId="7619" xr:uid="{00000000-0005-0000-0000-0000780E0000}"/>
    <cellStyle name="Normal 2 3 2" xfId="86" xr:uid="{00000000-0005-0000-0000-0000790E0000}"/>
    <cellStyle name="Normal 2 3 2 10" xfId="7620" xr:uid="{00000000-0005-0000-0000-00007A0E0000}"/>
    <cellStyle name="Normal 2 3 2 11" xfId="7621" xr:uid="{00000000-0005-0000-0000-00007B0E0000}"/>
    <cellStyle name="Normal 2 3 2 2" xfId="713" xr:uid="{00000000-0005-0000-0000-00007C0E0000}"/>
    <cellStyle name="Normal 2 3 2 3" xfId="1634" xr:uid="{00000000-0005-0000-0000-00007D0E0000}"/>
    <cellStyle name="Normal 2 3 2 4" xfId="1635" xr:uid="{00000000-0005-0000-0000-00007E0E0000}"/>
    <cellStyle name="Normal 2 3 2 5" xfId="1636" xr:uid="{00000000-0005-0000-0000-00007F0E0000}"/>
    <cellStyle name="Normal 2 3 2 6" xfId="1637" xr:uid="{00000000-0005-0000-0000-0000800E0000}"/>
    <cellStyle name="Normal 2 3 2 7" xfId="1638" xr:uid="{00000000-0005-0000-0000-0000810E0000}"/>
    <cellStyle name="Normal 2 3 2 8" xfId="1639" xr:uid="{00000000-0005-0000-0000-0000820E0000}"/>
    <cellStyle name="Normal 2 3 2 9" xfId="1640" xr:uid="{00000000-0005-0000-0000-0000830E0000}"/>
    <cellStyle name="Normal 2 3 3" xfId="657" xr:uid="{00000000-0005-0000-0000-0000840E0000}"/>
    <cellStyle name="Normal 2 3 4" xfId="1641" xr:uid="{00000000-0005-0000-0000-0000850E0000}"/>
    <cellStyle name="Normal 2 3 5" xfId="1642" xr:uid="{00000000-0005-0000-0000-0000860E0000}"/>
    <cellStyle name="Normal 2 3 6" xfId="1643" xr:uid="{00000000-0005-0000-0000-0000870E0000}"/>
    <cellStyle name="Normal 2 3 7" xfId="1644" xr:uid="{00000000-0005-0000-0000-0000880E0000}"/>
    <cellStyle name="Normal 2 3 8" xfId="1645" xr:uid="{00000000-0005-0000-0000-0000890E0000}"/>
    <cellStyle name="Normal 2 3 9" xfId="1646" xr:uid="{00000000-0005-0000-0000-00008A0E0000}"/>
    <cellStyle name="Normal 2 4" xfId="28" xr:uid="{00000000-0005-0000-0000-00008B0E0000}"/>
    <cellStyle name="Normal 2 4 10" xfId="1647" xr:uid="{00000000-0005-0000-0000-00008C0E0000}"/>
    <cellStyle name="Normal 2 4 11" xfId="7622" xr:uid="{00000000-0005-0000-0000-00008D0E0000}"/>
    <cellStyle name="Normal 2 4 12" xfId="7623" xr:uid="{00000000-0005-0000-0000-00008E0E0000}"/>
    <cellStyle name="Normal 2 4 13" xfId="10605" xr:uid="{00000000-0005-0000-0000-00008F0E0000}"/>
    <cellStyle name="Normal 2 4 2" xfId="87" xr:uid="{00000000-0005-0000-0000-0000900E0000}"/>
    <cellStyle name="Normal 2 4 2 10" xfId="7624" xr:uid="{00000000-0005-0000-0000-0000910E0000}"/>
    <cellStyle name="Normal 2 4 2 11" xfId="7625" xr:uid="{00000000-0005-0000-0000-0000920E0000}"/>
    <cellStyle name="Normal 2 4 2 2" xfId="714" xr:uid="{00000000-0005-0000-0000-0000930E0000}"/>
    <cellStyle name="Normal 2 4 2 3" xfId="1648" xr:uid="{00000000-0005-0000-0000-0000940E0000}"/>
    <cellStyle name="Normal 2 4 2 4" xfId="1649" xr:uid="{00000000-0005-0000-0000-0000950E0000}"/>
    <cellStyle name="Normal 2 4 2 5" xfId="1650" xr:uid="{00000000-0005-0000-0000-0000960E0000}"/>
    <cellStyle name="Normal 2 4 2 6" xfId="1651" xr:uid="{00000000-0005-0000-0000-0000970E0000}"/>
    <cellStyle name="Normal 2 4 2 7" xfId="1652" xr:uid="{00000000-0005-0000-0000-0000980E0000}"/>
    <cellStyle name="Normal 2 4 2 8" xfId="1653" xr:uid="{00000000-0005-0000-0000-0000990E0000}"/>
    <cellStyle name="Normal 2 4 2 9" xfId="1654" xr:uid="{00000000-0005-0000-0000-00009A0E0000}"/>
    <cellStyle name="Normal 2 4 3" xfId="658" xr:uid="{00000000-0005-0000-0000-00009B0E0000}"/>
    <cellStyle name="Normal 2 4 3 2" xfId="2949" xr:uid="{00000000-0005-0000-0000-00009C0E0000}"/>
    <cellStyle name="Normal 2 4 3 3" xfId="7626" xr:uid="{00000000-0005-0000-0000-00009D0E0000}"/>
    <cellStyle name="Normal 2 4 4" xfId="1655" xr:uid="{00000000-0005-0000-0000-00009E0E0000}"/>
    <cellStyle name="Normal 2 4 5" xfId="1656" xr:uid="{00000000-0005-0000-0000-00009F0E0000}"/>
    <cellStyle name="Normal 2 4 6" xfId="1657" xr:uid="{00000000-0005-0000-0000-0000A00E0000}"/>
    <cellStyle name="Normal 2 4 7" xfId="1658" xr:uid="{00000000-0005-0000-0000-0000A10E0000}"/>
    <cellStyle name="Normal 2 4 8" xfId="1659" xr:uid="{00000000-0005-0000-0000-0000A20E0000}"/>
    <cellStyle name="Normal 2 4 9" xfId="1660" xr:uid="{00000000-0005-0000-0000-0000A30E0000}"/>
    <cellStyle name="Normal 2 5" xfId="29" xr:uid="{00000000-0005-0000-0000-0000A40E0000}"/>
    <cellStyle name="Normal 2 5 10" xfId="1661" xr:uid="{00000000-0005-0000-0000-0000A50E0000}"/>
    <cellStyle name="Normal 2 5 10 2" xfId="7627" xr:uid="{00000000-0005-0000-0000-0000A60E0000}"/>
    <cellStyle name="Normal 2 5 10 3" xfId="13468" xr:uid="{00000000-0005-0000-0000-0000A70E0000}"/>
    <cellStyle name="Normal 2 5 11" xfId="1662" xr:uid="{00000000-0005-0000-0000-0000A80E0000}"/>
    <cellStyle name="Normal 2 5 11 2" xfId="7628" xr:uid="{00000000-0005-0000-0000-0000A90E0000}"/>
    <cellStyle name="Normal 2 5 11 3" xfId="13469" xr:uid="{00000000-0005-0000-0000-0000AA0E0000}"/>
    <cellStyle name="Normal 2 5 12" xfId="7629" xr:uid="{00000000-0005-0000-0000-0000AB0E0000}"/>
    <cellStyle name="Normal 2 5 13" xfId="7630" xr:uid="{00000000-0005-0000-0000-0000AC0E0000}"/>
    <cellStyle name="Normal 2 5 2" xfId="69" xr:uid="{00000000-0005-0000-0000-0000AD0E0000}"/>
    <cellStyle name="Normal 2 5 2 10" xfId="1663" xr:uid="{00000000-0005-0000-0000-0000AE0E0000}"/>
    <cellStyle name="Normal 2 5 2 10 2" xfId="7631" xr:uid="{00000000-0005-0000-0000-0000AF0E0000}"/>
    <cellStyle name="Normal 2 5 2 10 3" xfId="13470" xr:uid="{00000000-0005-0000-0000-0000B00E0000}"/>
    <cellStyle name="Normal 2 5 2 11" xfId="1664" xr:uid="{00000000-0005-0000-0000-0000B10E0000}"/>
    <cellStyle name="Normal 2 5 2 11 2" xfId="7632" xr:uid="{00000000-0005-0000-0000-0000B20E0000}"/>
    <cellStyle name="Normal 2 5 2 11 3" xfId="13471" xr:uid="{00000000-0005-0000-0000-0000B30E0000}"/>
    <cellStyle name="Normal 2 5 2 12" xfId="7633" xr:uid="{00000000-0005-0000-0000-0000B40E0000}"/>
    <cellStyle name="Normal 2 5 2 2" xfId="88" xr:uid="{00000000-0005-0000-0000-0000B50E0000}"/>
    <cellStyle name="Normal 2 5 2 2 10" xfId="7634" xr:uid="{00000000-0005-0000-0000-0000B60E0000}"/>
    <cellStyle name="Normal 2 5 2 2 11" xfId="7635" xr:uid="{00000000-0005-0000-0000-0000B70E0000}"/>
    <cellStyle name="Normal 2 5 2 2 2" xfId="715" xr:uid="{00000000-0005-0000-0000-0000B80E0000}"/>
    <cellStyle name="Normal 2 5 2 2 3" xfId="1665" xr:uid="{00000000-0005-0000-0000-0000B90E0000}"/>
    <cellStyle name="Normal 2 5 2 2 4" xfId="1666" xr:uid="{00000000-0005-0000-0000-0000BA0E0000}"/>
    <cellStyle name="Normal 2 5 2 2 5" xfId="1667" xr:uid="{00000000-0005-0000-0000-0000BB0E0000}"/>
    <cellStyle name="Normal 2 5 2 2 6" xfId="1668" xr:uid="{00000000-0005-0000-0000-0000BC0E0000}"/>
    <cellStyle name="Normal 2 5 2 2 7" xfId="1669" xr:uid="{00000000-0005-0000-0000-0000BD0E0000}"/>
    <cellStyle name="Normal 2 5 2 2 8" xfId="1670" xr:uid="{00000000-0005-0000-0000-0000BE0E0000}"/>
    <cellStyle name="Normal 2 5 2 2 9" xfId="1671" xr:uid="{00000000-0005-0000-0000-0000BF0E0000}"/>
    <cellStyle name="Normal 2 5 2 3" xfId="702" xr:uid="{00000000-0005-0000-0000-0000C00E0000}"/>
    <cellStyle name="Normal 2 5 2 3 2" xfId="1672" xr:uid="{00000000-0005-0000-0000-0000C10E0000}"/>
    <cellStyle name="Normal 2 5 2 4" xfId="997" xr:uid="{00000000-0005-0000-0000-0000C20E0000}"/>
    <cellStyle name="Normal 2 5 2 5" xfId="1673" xr:uid="{00000000-0005-0000-0000-0000C30E0000}"/>
    <cellStyle name="Normal 2 5 2 5 2" xfId="7636" xr:uid="{00000000-0005-0000-0000-0000C40E0000}"/>
    <cellStyle name="Normal 2 5 2 5 3" xfId="13472" xr:uid="{00000000-0005-0000-0000-0000C50E0000}"/>
    <cellStyle name="Normal 2 5 2 6" xfId="1674" xr:uid="{00000000-0005-0000-0000-0000C60E0000}"/>
    <cellStyle name="Normal 2 5 2 6 2" xfId="7637" xr:uid="{00000000-0005-0000-0000-0000C70E0000}"/>
    <cellStyle name="Normal 2 5 2 6 3" xfId="13473" xr:uid="{00000000-0005-0000-0000-0000C80E0000}"/>
    <cellStyle name="Normal 2 5 2 7" xfId="1675" xr:uid="{00000000-0005-0000-0000-0000C90E0000}"/>
    <cellStyle name="Normal 2 5 2 7 2" xfId="7638" xr:uid="{00000000-0005-0000-0000-0000CA0E0000}"/>
    <cellStyle name="Normal 2 5 2 7 3" xfId="13474" xr:uid="{00000000-0005-0000-0000-0000CB0E0000}"/>
    <cellStyle name="Normal 2 5 2 8" xfId="1676" xr:uid="{00000000-0005-0000-0000-0000CC0E0000}"/>
    <cellStyle name="Normal 2 5 2 8 2" xfId="7639" xr:uid="{00000000-0005-0000-0000-0000CD0E0000}"/>
    <cellStyle name="Normal 2 5 2 8 3" xfId="13475" xr:uid="{00000000-0005-0000-0000-0000CE0E0000}"/>
    <cellStyle name="Normal 2 5 2 9" xfId="1677" xr:uid="{00000000-0005-0000-0000-0000CF0E0000}"/>
    <cellStyle name="Normal 2 5 2 9 2" xfId="7640" xr:uid="{00000000-0005-0000-0000-0000D00E0000}"/>
    <cellStyle name="Normal 2 5 2 9 3" xfId="13476" xr:uid="{00000000-0005-0000-0000-0000D10E0000}"/>
    <cellStyle name="Normal 2 5 3" xfId="89" xr:uid="{00000000-0005-0000-0000-0000D20E0000}"/>
    <cellStyle name="Normal 2 5 3 10" xfId="1678" xr:uid="{00000000-0005-0000-0000-0000D30E0000}"/>
    <cellStyle name="Normal 2 5 3 11" xfId="4433" xr:uid="{00000000-0005-0000-0000-0000D40E0000}"/>
    <cellStyle name="Normal 2 5 3 11 2" xfId="11766" xr:uid="{00000000-0005-0000-0000-0000D50E0000}"/>
    <cellStyle name="Normal 2 5 3 11 2 2" xfId="15077" xr:uid="{00000000-0005-0000-0000-0000D60E0000}"/>
    <cellStyle name="Normal 2 5 3 11 2 3" xfId="13721" xr:uid="{00000000-0005-0000-0000-0000D70E0000}"/>
    <cellStyle name="Normal 2 5 3 12" xfId="7641" xr:uid="{00000000-0005-0000-0000-0000D80E0000}"/>
    <cellStyle name="Normal 2 5 3 13" xfId="7642" xr:uid="{00000000-0005-0000-0000-0000D90E0000}"/>
    <cellStyle name="Normal 2 5 3 2" xfId="207" xr:uid="{00000000-0005-0000-0000-0000DA0E0000}"/>
    <cellStyle name="Normal 2 5 3 2 10" xfId="1680" xr:uid="{00000000-0005-0000-0000-0000DB0E0000}"/>
    <cellStyle name="Normal 2 5 3 2 11" xfId="1681" xr:uid="{00000000-0005-0000-0000-0000DC0E0000}"/>
    <cellStyle name="Normal 2 5 3 2 11 2" xfId="7643" xr:uid="{00000000-0005-0000-0000-0000DD0E0000}"/>
    <cellStyle name="Normal 2 5 3 2 11 3" xfId="13477" xr:uid="{00000000-0005-0000-0000-0000DE0E0000}"/>
    <cellStyle name="Normal 2 5 3 2 12" xfId="1682" xr:uid="{00000000-0005-0000-0000-0000DF0E0000}"/>
    <cellStyle name="Normal 2 5 3 2 13" xfId="1679" xr:uid="{00000000-0005-0000-0000-0000E00E0000}"/>
    <cellStyle name="Normal 2 5 3 2 2" xfId="748" xr:uid="{00000000-0005-0000-0000-0000E10E0000}"/>
    <cellStyle name="Normal 2 5 3 2 2 2" xfId="1683" xr:uid="{00000000-0005-0000-0000-0000E20E0000}"/>
    <cellStyle name="Normal 2 5 3 2 3" xfId="1684" xr:uid="{00000000-0005-0000-0000-0000E30E0000}"/>
    <cellStyle name="Normal 2 5 3 2 3 2" xfId="7644" xr:uid="{00000000-0005-0000-0000-0000E40E0000}"/>
    <cellStyle name="Normal 2 5 3 2 4" xfId="1685" xr:uid="{00000000-0005-0000-0000-0000E50E0000}"/>
    <cellStyle name="Normal 2 5 3 2 5" xfId="1686" xr:uid="{00000000-0005-0000-0000-0000E60E0000}"/>
    <cellStyle name="Normal 2 5 3 2 6" xfId="1687" xr:uid="{00000000-0005-0000-0000-0000E70E0000}"/>
    <cellStyle name="Normal 2 5 3 2 6 2" xfId="7645" xr:uid="{00000000-0005-0000-0000-0000E80E0000}"/>
    <cellStyle name="Normal 2 5 3 2 6 3" xfId="13478" xr:uid="{00000000-0005-0000-0000-0000E90E0000}"/>
    <cellStyle name="Normal 2 5 3 2 7" xfId="1688" xr:uid="{00000000-0005-0000-0000-0000EA0E0000}"/>
    <cellStyle name="Normal 2 5 3 2 8" xfId="1689" xr:uid="{00000000-0005-0000-0000-0000EB0E0000}"/>
    <cellStyle name="Normal 2 5 3 2 9" xfId="1690" xr:uid="{00000000-0005-0000-0000-0000EC0E0000}"/>
    <cellStyle name="Normal 2 5 3 3" xfId="552" xr:uid="{00000000-0005-0000-0000-0000ED0E0000}"/>
    <cellStyle name="Normal 2 5 3 3 2" xfId="813" xr:uid="{00000000-0005-0000-0000-0000EE0E0000}"/>
    <cellStyle name="Normal 2 5 3 3 3" xfId="7646" xr:uid="{00000000-0005-0000-0000-0000EF0E0000}"/>
    <cellStyle name="Normal 2 5 3 3 4" xfId="7647" xr:uid="{00000000-0005-0000-0000-0000F00E0000}"/>
    <cellStyle name="Normal 2 5 3 3 5" xfId="7648" xr:uid="{00000000-0005-0000-0000-0000F10E0000}"/>
    <cellStyle name="Normal 2 5 3 3 6" xfId="7649" xr:uid="{00000000-0005-0000-0000-0000F20E0000}"/>
    <cellStyle name="Normal 2 5 3 3 7" xfId="7650" xr:uid="{00000000-0005-0000-0000-0000F30E0000}"/>
    <cellStyle name="Normal 2 5 3 3 8" xfId="7651" xr:uid="{00000000-0005-0000-0000-0000F40E0000}"/>
    <cellStyle name="Normal 2 5 3 4" xfId="716" xr:uid="{00000000-0005-0000-0000-0000F50E0000}"/>
    <cellStyle name="Normal 2 5 3 4 2" xfId="1691" xr:uid="{00000000-0005-0000-0000-0000F60E0000}"/>
    <cellStyle name="Normal 2 5 3 4 2 2" xfId="7652" xr:uid="{00000000-0005-0000-0000-0000F70E0000}"/>
    <cellStyle name="Normal 2 5 3 4 2 3" xfId="13479" xr:uid="{00000000-0005-0000-0000-0000F80E0000}"/>
    <cellStyle name="Normal 2 5 3 5" xfId="998" xr:uid="{00000000-0005-0000-0000-0000F90E0000}"/>
    <cellStyle name="Normal 2 5 3 5 2" xfId="1692" xr:uid="{00000000-0005-0000-0000-0000FA0E0000}"/>
    <cellStyle name="Normal 2 5 3 6" xfId="1693" xr:uid="{00000000-0005-0000-0000-0000FB0E0000}"/>
    <cellStyle name="Normal 2 5 3 7" xfId="1694" xr:uid="{00000000-0005-0000-0000-0000FC0E0000}"/>
    <cellStyle name="Normal 2 5 3 8" xfId="1695" xr:uid="{00000000-0005-0000-0000-0000FD0E0000}"/>
    <cellStyle name="Normal 2 5 3 9" xfId="1696" xr:uid="{00000000-0005-0000-0000-0000FE0E0000}"/>
    <cellStyle name="Normal 2 5 4" xfId="688" xr:uid="{00000000-0005-0000-0000-0000FF0E0000}"/>
    <cellStyle name="Normal 2 5 4 2" xfId="1698" xr:uid="{00000000-0005-0000-0000-0000000F0000}"/>
    <cellStyle name="Normal 2 5 4 3" xfId="1697" xr:uid="{00000000-0005-0000-0000-0000010F0000}"/>
    <cellStyle name="Normal 2 5 5" xfId="1699" xr:uid="{00000000-0005-0000-0000-0000020F0000}"/>
    <cellStyle name="Normal 2 5 5 2" xfId="7653" xr:uid="{00000000-0005-0000-0000-0000030F0000}"/>
    <cellStyle name="Normal 2 5 5 3" xfId="13480" xr:uid="{00000000-0005-0000-0000-0000040F0000}"/>
    <cellStyle name="Normal 2 5 6" xfId="1700" xr:uid="{00000000-0005-0000-0000-0000050F0000}"/>
    <cellStyle name="Normal 2 5 6 2" xfId="7654" xr:uid="{00000000-0005-0000-0000-0000060F0000}"/>
    <cellStyle name="Normal 2 5 6 3" xfId="13481" xr:uid="{00000000-0005-0000-0000-0000070F0000}"/>
    <cellStyle name="Normal 2 5 7" xfId="1701" xr:uid="{00000000-0005-0000-0000-0000080F0000}"/>
    <cellStyle name="Normal 2 5 7 2" xfId="7655" xr:uid="{00000000-0005-0000-0000-0000090F0000}"/>
    <cellStyle name="Normal 2 5 7 3" xfId="13482" xr:uid="{00000000-0005-0000-0000-00000A0F0000}"/>
    <cellStyle name="Normal 2 5 8" xfId="1702" xr:uid="{00000000-0005-0000-0000-00000B0F0000}"/>
    <cellStyle name="Normal 2 5 8 2" xfId="7656" xr:uid="{00000000-0005-0000-0000-00000C0F0000}"/>
    <cellStyle name="Normal 2 5 8 3" xfId="13483" xr:uid="{00000000-0005-0000-0000-00000D0F0000}"/>
    <cellStyle name="Normal 2 5 9" xfId="1703" xr:uid="{00000000-0005-0000-0000-00000E0F0000}"/>
    <cellStyle name="Normal 2 5 9 2" xfId="7657" xr:uid="{00000000-0005-0000-0000-00000F0F0000}"/>
    <cellStyle name="Normal 2 5 9 3" xfId="13484" xr:uid="{00000000-0005-0000-0000-0000100F0000}"/>
    <cellStyle name="Normal 2 6" xfId="63" xr:uid="{00000000-0005-0000-0000-0000110F0000}"/>
    <cellStyle name="Normal 2 6 10" xfId="1704" xr:uid="{00000000-0005-0000-0000-0000120F0000}"/>
    <cellStyle name="Normal 2 6 11" xfId="1705" xr:uid="{00000000-0005-0000-0000-0000130F0000}"/>
    <cellStyle name="Normal 2 6 12" xfId="7658" xr:uid="{00000000-0005-0000-0000-0000140F0000}"/>
    <cellStyle name="Normal 2 6 13" xfId="7659" xr:uid="{00000000-0005-0000-0000-0000150F0000}"/>
    <cellStyle name="Normal 2 6 2" xfId="64" xr:uid="{00000000-0005-0000-0000-0000160F0000}"/>
    <cellStyle name="Normal 2 6 2 10" xfId="7660" xr:uid="{00000000-0005-0000-0000-0000170F0000}"/>
    <cellStyle name="Normal 2 6 2 11" xfId="7661" xr:uid="{00000000-0005-0000-0000-0000180F0000}"/>
    <cellStyle name="Normal 2 6 2 2" xfId="699" xr:uid="{00000000-0005-0000-0000-0000190F0000}"/>
    <cellStyle name="Normal 2 6 2 3" xfId="1706" xr:uid="{00000000-0005-0000-0000-00001A0F0000}"/>
    <cellStyle name="Normal 2 6 2 4" xfId="1707" xr:uid="{00000000-0005-0000-0000-00001B0F0000}"/>
    <cellStyle name="Normal 2 6 2 5" xfId="1708" xr:uid="{00000000-0005-0000-0000-00001C0F0000}"/>
    <cellStyle name="Normal 2 6 2 6" xfId="1709" xr:uid="{00000000-0005-0000-0000-00001D0F0000}"/>
    <cellStyle name="Normal 2 6 2 7" xfId="1710" xr:uid="{00000000-0005-0000-0000-00001E0F0000}"/>
    <cellStyle name="Normal 2 6 2 8" xfId="1711" xr:uid="{00000000-0005-0000-0000-00001F0F0000}"/>
    <cellStyle name="Normal 2 6 2 9" xfId="1712" xr:uid="{00000000-0005-0000-0000-0000200F0000}"/>
    <cellStyle name="Normal 2 6 3" xfId="90" xr:uid="{00000000-0005-0000-0000-0000210F0000}"/>
    <cellStyle name="Normal 2 6 3 10" xfId="7662" xr:uid="{00000000-0005-0000-0000-0000220F0000}"/>
    <cellStyle name="Normal 2 6 3 11" xfId="7663" xr:uid="{00000000-0005-0000-0000-0000230F0000}"/>
    <cellStyle name="Normal 2 6 3 2" xfId="717" xr:uid="{00000000-0005-0000-0000-0000240F0000}"/>
    <cellStyle name="Normal 2 6 3 3" xfId="1713" xr:uid="{00000000-0005-0000-0000-0000250F0000}"/>
    <cellStyle name="Normal 2 6 3 4" xfId="1714" xr:uid="{00000000-0005-0000-0000-0000260F0000}"/>
    <cellStyle name="Normal 2 6 3 5" xfId="1715" xr:uid="{00000000-0005-0000-0000-0000270F0000}"/>
    <cellStyle name="Normal 2 6 3 6" xfId="1716" xr:uid="{00000000-0005-0000-0000-0000280F0000}"/>
    <cellStyle name="Normal 2 6 3 7" xfId="1717" xr:uid="{00000000-0005-0000-0000-0000290F0000}"/>
    <cellStyle name="Normal 2 6 3 8" xfId="1718" xr:uid="{00000000-0005-0000-0000-00002A0F0000}"/>
    <cellStyle name="Normal 2 6 3 9" xfId="1719" xr:uid="{00000000-0005-0000-0000-00002B0F0000}"/>
    <cellStyle name="Normal 2 6 4" xfId="698" xr:uid="{00000000-0005-0000-0000-00002C0F0000}"/>
    <cellStyle name="Normal 2 6 5" xfId="1720" xr:uid="{00000000-0005-0000-0000-00002D0F0000}"/>
    <cellStyle name="Normal 2 6 6" xfId="1721" xr:uid="{00000000-0005-0000-0000-00002E0F0000}"/>
    <cellStyle name="Normal 2 6 7" xfId="1722" xr:uid="{00000000-0005-0000-0000-00002F0F0000}"/>
    <cellStyle name="Normal 2 6 8" xfId="1723" xr:uid="{00000000-0005-0000-0000-0000300F0000}"/>
    <cellStyle name="Normal 2 6 9" xfId="1724" xr:uid="{00000000-0005-0000-0000-0000310F0000}"/>
    <cellStyle name="Normal 2 7" xfId="437" xr:uid="{00000000-0005-0000-0000-0000320F0000}"/>
    <cellStyle name="Normal 2 7 10" xfId="7664" xr:uid="{00000000-0005-0000-0000-0000330F0000}"/>
    <cellStyle name="Normal 2 7 11" xfId="7665" xr:uid="{00000000-0005-0000-0000-0000340F0000}"/>
    <cellStyle name="Normal 2 7 2" xfId="793" xr:uid="{00000000-0005-0000-0000-0000350F0000}"/>
    <cellStyle name="Normal 2 7 3" xfId="1725" xr:uid="{00000000-0005-0000-0000-0000360F0000}"/>
    <cellStyle name="Normal 2 7 4" xfId="1726" xr:uid="{00000000-0005-0000-0000-0000370F0000}"/>
    <cellStyle name="Normal 2 7 5" xfId="1727" xr:uid="{00000000-0005-0000-0000-0000380F0000}"/>
    <cellStyle name="Normal 2 7 6" xfId="1728" xr:uid="{00000000-0005-0000-0000-0000390F0000}"/>
    <cellStyle name="Normal 2 7 7" xfId="1729" xr:uid="{00000000-0005-0000-0000-00003A0F0000}"/>
    <cellStyle name="Normal 2 7 8" xfId="1730" xr:uid="{00000000-0005-0000-0000-00003B0F0000}"/>
    <cellStyle name="Normal 2 7 9" xfId="1731" xr:uid="{00000000-0005-0000-0000-00003C0F0000}"/>
    <cellStyle name="Normal 2 8" xfId="656" xr:uid="{00000000-0005-0000-0000-00003D0F0000}"/>
    <cellStyle name="Normal 2 9" xfId="1732" xr:uid="{00000000-0005-0000-0000-00003E0F0000}"/>
    <cellStyle name="Normal 2 9 2" xfId="11542" xr:uid="{00000000-0005-0000-0000-00003F0F0000}"/>
    <cellStyle name="Normal 20" xfId="208" xr:uid="{00000000-0005-0000-0000-0000400F0000}"/>
    <cellStyle name="Normal 20 2" xfId="749" xr:uid="{00000000-0005-0000-0000-0000410F0000}"/>
    <cellStyle name="Normal 20 2 2" xfId="9668" xr:uid="{00000000-0005-0000-0000-0000420F0000}"/>
    <cellStyle name="Normal 20 3" xfId="7666" xr:uid="{00000000-0005-0000-0000-0000430F0000}"/>
    <cellStyle name="Normal 20 4" xfId="7667" xr:uid="{00000000-0005-0000-0000-0000440F0000}"/>
    <cellStyle name="Normal 20 5" xfId="7668" xr:uid="{00000000-0005-0000-0000-0000450F0000}"/>
    <cellStyle name="Normal 20 6" xfId="7669" xr:uid="{00000000-0005-0000-0000-0000460F0000}"/>
    <cellStyle name="Normal 20 7" xfId="7670" xr:uid="{00000000-0005-0000-0000-0000470F0000}"/>
    <cellStyle name="Normal 20 8" xfId="7671" xr:uid="{00000000-0005-0000-0000-0000480F0000}"/>
    <cellStyle name="Normal 200" xfId="677" xr:uid="{00000000-0005-0000-0000-0000490F0000}"/>
    <cellStyle name="Normal 200 2" xfId="7672" xr:uid="{00000000-0005-0000-0000-00004A0F0000}"/>
    <cellStyle name="Normal 200 2 2" xfId="7673" xr:uid="{00000000-0005-0000-0000-00004B0F0000}"/>
    <cellStyle name="Normal 200 2 3" xfId="7674" xr:uid="{00000000-0005-0000-0000-00004C0F0000}"/>
    <cellStyle name="Normal 200 2 4" xfId="11342" xr:uid="{00000000-0005-0000-0000-00004D0F0000}"/>
    <cellStyle name="Normal 200 2 5" xfId="12619" xr:uid="{00000000-0005-0000-0000-00004E0F0000}"/>
    <cellStyle name="Normal 200 3" xfId="7675" xr:uid="{00000000-0005-0000-0000-00004F0F0000}"/>
    <cellStyle name="Normal 201" xfId="678" xr:uid="{00000000-0005-0000-0000-0000500F0000}"/>
    <cellStyle name="Normal 201 2" xfId="1733" xr:uid="{00000000-0005-0000-0000-0000510F0000}"/>
    <cellStyle name="Normal 201 2 2" xfId="2847" xr:uid="{00000000-0005-0000-0000-0000520F0000}"/>
    <cellStyle name="Normal 201 2 3" xfId="2755" xr:uid="{00000000-0005-0000-0000-0000530F0000}"/>
    <cellStyle name="Normal 201 2 4" xfId="2625" xr:uid="{00000000-0005-0000-0000-0000540F0000}"/>
    <cellStyle name="Normal 201 2 5" xfId="2558" xr:uid="{00000000-0005-0000-0000-0000550F0000}"/>
    <cellStyle name="Normal 201 3" xfId="11697" xr:uid="{00000000-0005-0000-0000-0000560F0000}"/>
    <cellStyle name="Normal 202" xfId="676" xr:uid="{00000000-0005-0000-0000-0000570F0000}"/>
    <cellStyle name="Normal 202 2" xfId="1734" xr:uid="{00000000-0005-0000-0000-0000580F0000}"/>
    <cellStyle name="Normal 203" xfId="679" xr:uid="{00000000-0005-0000-0000-0000590F0000}"/>
    <cellStyle name="Normal 203 2" xfId="1735" xr:uid="{00000000-0005-0000-0000-00005A0F0000}"/>
    <cellStyle name="Normal 203 2 2" xfId="2848" xr:uid="{00000000-0005-0000-0000-00005B0F0000}"/>
    <cellStyle name="Normal 203 2 3" xfId="2756" xr:uid="{00000000-0005-0000-0000-00005C0F0000}"/>
    <cellStyle name="Normal 203 2 4" xfId="2626" xr:uid="{00000000-0005-0000-0000-00005D0F0000}"/>
    <cellStyle name="Normal 203 2 5" xfId="2559" xr:uid="{00000000-0005-0000-0000-00005E0F0000}"/>
    <cellStyle name="Normal 203 3" xfId="11686" xr:uid="{00000000-0005-0000-0000-00005F0F0000}"/>
    <cellStyle name="Normal 204" xfId="675" xr:uid="{00000000-0005-0000-0000-0000600F0000}"/>
    <cellStyle name="Normal 204 2" xfId="1736" xr:uid="{00000000-0005-0000-0000-0000610F0000}"/>
    <cellStyle name="Normal 205" xfId="680" xr:uid="{00000000-0005-0000-0000-0000620F0000}"/>
    <cellStyle name="Normal 205 2" xfId="1737" xr:uid="{00000000-0005-0000-0000-0000630F0000}"/>
    <cellStyle name="Normal 206" xfId="681" xr:uid="{00000000-0005-0000-0000-0000640F0000}"/>
    <cellStyle name="Normal 206 2" xfId="1738" xr:uid="{00000000-0005-0000-0000-0000650F0000}"/>
    <cellStyle name="Normal 207" xfId="682" xr:uid="{00000000-0005-0000-0000-0000660F0000}"/>
    <cellStyle name="Normal 207 2" xfId="1739" xr:uid="{00000000-0005-0000-0000-0000670F0000}"/>
    <cellStyle name="Normal 208" xfId="647" xr:uid="{00000000-0005-0000-0000-0000680F0000}"/>
    <cellStyle name="Normal 208 2" xfId="1740" xr:uid="{00000000-0005-0000-0000-0000690F0000}"/>
    <cellStyle name="Normal 209" xfId="683" xr:uid="{00000000-0005-0000-0000-00006A0F0000}"/>
    <cellStyle name="Normal 209 2" xfId="1741" xr:uid="{00000000-0005-0000-0000-00006B0F0000}"/>
    <cellStyle name="Normal 21" xfId="209" xr:uid="{00000000-0005-0000-0000-00006C0F0000}"/>
    <cellStyle name="Normal 21 2" xfId="750" xr:uid="{00000000-0005-0000-0000-00006D0F0000}"/>
    <cellStyle name="Normal 21 2 2" xfId="9669" xr:uid="{00000000-0005-0000-0000-00006E0F0000}"/>
    <cellStyle name="Normal 21 3" xfId="7676" xr:uid="{00000000-0005-0000-0000-00006F0F0000}"/>
    <cellStyle name="Normal 21 4" xfId="7677" xr:uid="{00000000-0005-0000-0000-0000700F0000}"/>
    <cellStyle name="Normal 21 5" xfId="7678" xr:uid="{00000000-0005-0000-0000-0000710F0000}"/>
    <cellStyle name="Normal 21 6" xfId="7679" xr:uid="{00000000-0005-0000-0000-0000720F0000}"/>
    <cellStyle name="Normal 21 7" xfId="7680" xr:uid="{00000000-0005-0000-0000-0000730F0000}"/>
    <cellStyle name="Normal 21 8" xfId="7681" xr:uid="{00000000-0005-0000-0000-0000740F0000}"/>
    <cellStyle name="Normal 210" xfId="840" xr:uid="{00000000-0005-0000-0000-0000750F0000}"/>
    <cellStyle name="Normal 210 2" xfId="943" xr:uid="{00000000-0005-0000-0000-0000760F0000}"/>
    <cellStyle name="Normal 210 2 2" xfId="1742" xr:uid="{00000000-0005-0000-0000-0000770F0000}"/>
    <cellStyle name="Normal 211" xfId="944" xr:uid="{00000000-0005-0000-0000-0000780F0000}"/>
    <cellStyle name="Normal 211 2" xfId="945" xr:uid="{00000000-0005-0000-0000-0000790F0000}"/>
    <cellStyle name="Normal 211 3" xfId="999" xr:uid="{00000000-0005-0000-0000-00007A0F0000}"/>
    <cellStyle name="Normal 211 4" xfId="1743" xr:uid="{00000000-0005-0000-0000-00007B0F0000}"/>
    <cellStyle name="Normal 211 4 2" xfId="2849" xr:uid="{00000000-0005-0000-0000-00007C0F0000}"/>
    <cellStyle name="Normal 211 4 3" xfId="2757" xr:uid="{00000000-0005-0000-0000-00007D0F0000}"/>
    <cellStyle name="Normal 211 4 4" xfId="2627" xr:uid="{00000000-0005-0000-0000-00007E0F0000}"/>
    <cellStyle name="Normal 211 4 5" xfId="2560" xr:uid="{00000000-0005-0000-0000-00007F0F0000}"/>
    <cellStyle name="Normal 211 5" xfId="11753" xr:uid="{00000000-0005-0000-0000-0000800F0000}"/>
    <cellStyle name="Normal 211 5 2" xfId="11247" xr:uid="{00000000-0005-0000-0000-0000810F0000}"/>
    <cellStyle name="Normal 212" xfId="946" xr:uid="{00000000-0005-0000-0000-0000820F0000}"/>
    <cellStyle name="Normal 212 2" xfId="947" xr:uid="{00000000-0005-0000-0000-0000830F0000}"/>
    <cellStyle name="Normal 212 3" xfId="1000" xr:uid="{00000000-0005-0000-0000-0000840F0000}"/>
    <cellStyle name="Normal 212 4" xfId="13114" xr:uid="{00000000-0005-0000-0000-0000850F0000}"/>
    <cellStyle name="Normal 212 4 2" xfId="12467" xr:uid="{00000000-0005-0000-0000-0000860F0000}"/>
    <cellStyle name="Normal 213" xfId="948" xr:uid="{00000000-0005-0000-0000-0000870F0000}"/>
    <cellStyle name="Normal 213 2" xfId="949" xr:uid="{00000000-0005-0000-0000-0000880F0000}"/>
    <cellStyle name="Normal 213 3" xfId="1744" xr:uid="{00000000-0005-0000-0000-0000890F0000}"/>
    <cellStyle name="Normal 213 4" xfId="13322" xr:uid="{00000000-0005-0000-0000-00008A0F0000}"/>
    <cellStyle name="Normal 213 4 2" xfId="10927" xr:uid="{00000000-0005-0000-0000-00008B0F0000}"/>
    <cellStyle name="Normal 214" xfId="950" xr:uid="{00000000-0005-0000-0000-00008C0F0000}"/>
    <cellStyle name="Normal 214 2" xfId="951" xr:uid="{00000000-0005-0000-0000-00008D0F0000}"/>
    <cellStyle name="Normal 214 3" xfId="1001" xr:uid="{00000000-0005-0000-0000-00008E0F0000}"/>
    <cellStyle name="Normal 214 4" xfId="1745" xr:uid="{00000000-0005-0000-0000-00008F0F0000}"/>
    <cellStyle name="Normal 214 4 2" xfId="2850" xr:uid="{00000000-0005-0000-0000-0000900F0000}"/>
    <cellStyle name="Normal 214 4 3" xfId="2758" xr:uid="{00000000-0005-0000-0000-0000910F0000}"/>
    <cellStyle name="Normal 214 4 4" xfId="2628" xr:uid="{00000000-0005-0000-0000-0000920F0000}"/>
    <cellStyle name="Normal 214 4 5" xfId="2561" xr:uid="{00000000-0005-0000-0000-0000930F0000}"/>
    <cellStyle name="Normal 214 5" xfId="12394" xr:uid="{00000000-0005-0000-0000-0000940F0000}"/>
    <cellStyle name="Normal 214 5 2" xfId="11308" xr:uid="{00000000-0005-0000-0000-0000950F0000}"/>
    <cellStyle name="Normal 215" xfId="952" xr:uid="{00000000-0005-0000-0000-0000960F0000}"/>
    <cellStyle name="Normal 215 2" xfId="953" xr:uid="{00000000-0005-0000-0000-0000970F0000}"/>
    <cellStyle name="Normal 215 3" xfId="1746" xr:uid="{00000000-0005-0000-0000-0000980F0000}"/>
    <cellStyle name="Normal 215 4" xfId="13260" xr:uid="{00000000-0005-0000-0000-0000990F0000}"/>
    <cellStyle name="Normal 215 4 2" xfId="12404" xr:uid="{00000000-0005-0000-0000-00009A0F0000}"/>
    <cellStyle name="Normal 216" xfId="954" xr:uid="{00000000-0005-0000-0000-00009B0F0000}"/>
    <cellStyle name="Normal 216 2" xfId="955" xr:uid="{00000000-0005-0000-0000-00009C0F0000}"/>
    <cellStyle name="Normal 216 3" xfId="1002" xr:uid="{00000000-0005-0000-0000-00009D0F0000}"/>
    <cellStyle name="Normal 216 4" xfId="11563" xr:uid="{00000000-0005-0000-0000-00009E0F0000}"/>
    <cellStyle name="Normal 216 4 2" xfId="12294" xr:uid="{00000000-0005-0000-0000-00009F0F0000}"/>
    <cellStyle name="Normal 217" xfId="956" xr:uid="{00000000-0005-0000-0000-0000A00F0000}"/>
    <cellStyle name="Normal 217 2" xfId="957" xr:uid="{00000000-0005-0000-0000-0000A10F0000}"/>
    <cellStyle name="Normal 217 3" xfId="1747" xr:uid="{00000000-0005-0000-0000-0000A20F0000}"/>
    <cellStyle name="Normal 217 3 2" xfId="2851" xr:uid="{00000000-0005-0000-0000-0000A30F0000}"/>
    <cellStyle name="Normal 217 3 3" xfId="2759" xr:uid="{00000000-0005-0000-0000-0000A40F0000}"/>
    <cellStyle name="Normal 217 3 4" xfId="2629" xr:uid="{00000000-0005-0000-0000-0000A50F0000}"/>
    <cellStyle name="Normal 217 3 5" xfId="2562" xr:uid="{00000000-0005-0000-0000-0000A60F0000}"/>
    <cellStyle name="Normal 217 3 6" xfId="13485" xr:uid="{00000000-0005-0000-0000-0000A70F0000}"/>
    <cellStyle name="Normal 217 3 7" xfId="13386" xr:uid="{00000000-0005-0000-0000-0000A80F0000}"/>
    <cellStyle name="Normal 217 4" xfId="7682" xr:uid="{00000000-0005-0000-0000-0000A90F0000}"/>
    <cellStyle name="Normal 217 4 2" xfId="12466" xr:uid="{00000000-0005-0000-0000-0000AA0F0000}"/>
    <cellStyle name="Normal 217 4 2 2" xfId="12587" xr:uid="{00000000-0005-0000-0000-0000AB0F0000}"/>
    <cellStyle name="Normal 218" xfId="958" xr:uid="{00000000-0005-0000-0000-0000AC0F0000}"/>
    <cellStyle name="Normal 218 2" xfId="959" xr:uid="{00000000-0005-0000-0000-0000AD0F0000}"/>
    <cellStyle name="Normal 218 3" xfId="1003" xr:uid="{00000000-0005-0000-0000-0000AE0F0000}"/>
    <cellStyle name="Normal 218 4" xfId="11108" xr:uid="{00000000-0005-0000-0000-0000AF0F0000}"/>
    <cellStyle name="Normal 218 4 2" xfId="12808" xr:uid="{00000000-0005-0000-0000-0000B00F0000}"/>
    <cellStyle name="Normal 219" xfId="960" xr:uid="{00000000-0005-0000-0000-0000B10F0000}"/>
    <cellStyle name="Normal 219 2" xfId="961" xr:uid="{00000000-0005-0000-0000-0000B20F0000}"/>
    <cellStyle name="Normal 219 3" xfId="1748" xr:uid="{00000000-0005-0000-0000-0000B30F0000}"/>
    <cellStyle name="Normal 219 4" xfId="13299" xr:uid="{00000000-0005-0000-0000-0000B40F0000}"/>
    <cellStyle name="Normal 219 4 2" xfId="11515" xr:uid="{00000000-0005-0000-0000-0000B50F0000}"/>
    <cellStyle name="Normal 22" xfId="210" xr:uid="{00000000-0005-0000-0000-0000B60F0000}"/>
    <cellStyle name="Normal 22 2" xfId="751" xr:uid="{00000000-0005-0000-0000-0000B70F0000}"/>
    <cellStyle name="Normal 22 2 2" xfId="9670" xr:uid="{00000000-0005-0000-0000-0000B80F0000}"/>
    <cellStyle name="Normal 22 3" xfId="7683" xr:uid="{00000000-0005-0000-0000-0000B90F0000}"/>
    <cellStyle name="Normal 22 4" xfId="7684" xr:uid="{00000000-0005-0000-0000-0000BA0F0000}"/>
    <cellStyle name="Normal 22 5" xfId="7685" xr:uid="{00000000-0005-0000-0000-0000BB0F0000}"/>
    <cellStyle name="Normal 22 6" xfId="7686" xr:uid="{00000000-0005-0000-0000-0000BC0F0000}"/>
    <cellStyle name="Normal 22 7" xfId="7687" xr:uid="{00000000-0005-0000-0000-0000BD0F0000}"/>
    <cellStyle name="Normal 22 8" xfId="7688" xr:uid="{00000000-0005-0000-0000-0000BE0F0000}"/>
    <cellStyle name="Normal 220" xfId="962" xr:uid="{00000000-0005-0000-0000-0000BF0F0000}"/>
    <cellStyle name="Normal 220 2" xfId="963" xr:uid="{00000000-0005-0000-0000-0000C00F0000}"/>
    <cellStyle name="Normal 220 3" xfId="1004" xr:uid="{00000000-0005-0000-0000-0000C10F0000}"/>
    <cellStyle name="Normal 220 4" xfId="1749" xr:uid="{00000000-0005-0000-0000-0000C20F0000}"/>
    <cellStyle name="Normal 220 4 2" xfId="2852" xr:uid="{00000000-0005-0000-0000-0000C30F0000}"/>
    <cellStyle name="Normal 220 4 3" xfId="2760" xr:uid="{00000000-0005-0000-0000-0000C40F0000}"/>
    <cellStyle name="Normal 220 4 4" xfId="2630" xr:uid="{00000000-0005-0000-0000-0000C50F0000}"/>
    <cellStyle name="Normal 220 4 5" xfId="2563" xr:uid="{00000000-0005-0000-0000-0000C60F0000}"/>
    <cellStyle name="Normal 220 5" xfId="11638" xr:uid="{00000000-0005-0000-0000-0000C70F0000}"/>
    <cellStyle name="Normal 220 5 2" xfId="11113" xr:uid="{00000000-0005-0000-0000-0000C80F0000}"/>
    <cellStyle name="Normal 221" xfId="964" xr:uid="{00000000-0005-0000-0000-0000C90F0000}"/>
    <cellStyle name="Normal 221 2" xfId="965" xr:uid="{00000000-0005-0000-0000-0000CA0F0000}"/>
    <cellStyle name="Normal 221 3" xfId="1005" xr:uid="{00000000-0005-0000-0000-0000CB0F0000}"/>
    <cellStyle name="Normal 221 4" xfId="13236" xr:uid="{00000000-0005-0000-0000-0000CC0F0000}"/>
    <cellStyle name="Normal 221 4 2" xfId="13181" xr:uid="{00000000-0005-0000-0000-0000CD0F0000}"/>
    <cellStyle name="Normal 222" xfId="966" xr:uid="{00000000-0005-0000-0000-0000CE0F0000}"/>
    <cellStyle name="Normal 222 2" xfId="967" xr:uid="{00000000-0005-0000-0000-0000CF0F0000}"/>
    <cellStyle name="Normal 222 3" xfId="1750" xr:uid="{00000000-0005-0000-0000-0000D00F0000}"/>
    <cellStyle name="Normal 222 4" xfId="11775" xr:uid="{00000000-0005-0000-0000-0000D10F0000}"/>
    <cellStyle name="Normal 222 4 2" xfId="12597" xr:uid="{00000000-0005-0000-0000-0000D20F0000}"/>
    <cellStyle name="Normal 223" xfId="968" xr:uid="{00000000-0005-0000-0000-0000D30F0000}"/>
    <cellStyle name="Normal 223 2" xfId="969" xr:uid="{00000000-0005-0000-0000-0000D40F0000}"/>
    <cellStyle name="Normal 223 3" xfId="1751" xr:uid="{00000000-0005-0000-0000-0000D50F0000}"/>
    <cellStyle name="Normal 223 3 2" xfId="2853" xr:uid="{00000000-0005-0000-0000-0000D60F0000}"/>
    <cellStyle name="Normal 223 3 3" xfId="2761" xr:uid="{00000000-0005-0000-0000-0000D70F0000}"/>
    <cellStyle name="Normal 223 3 4" xfId="2631" xr:uid="{00000000-0005-0000-0000-0000D80F0000}"/>
    <cellStyle name="Normal 223 3 5" xfId="2564" xr:uid="{00000000-0005-0000-0000-0000D90F0000}"/>
    <cellStyle name="Normal 223 3 6" xfId="13486" xr:uid="{00000000-0005-0000-0000-0000DA0F0000}"/>
    <cellStyle name="Normal 223 3 7" xfId="13387" xr:uid="{00000000-0005-0000-0000-0000DB0F0000}"/>
    <cellStyle name="Normal 223 4" xfId="7689" xr:uid="{00000000-0005-0000-0000-0000DC0F0000}"/>
    <cellStyle name="Normal 223 4 2" xfId="11840" xr:uid="{00000000-0005-0000-0000-0000DD0F0000}"/>
    <cellStyle name="Normal 223 4 2 2" xfId="12053" xr:uid="{00000000-0005-0000-0000-0000DE0F0000}"/>
    <cellStyle name="Normal 224" xfId="970" xr:uid="{00000000-0005-0000-0000-0000DF0F0000}"/>
    <cellStyle name="Normal 224 2" xfId="971" xr:uid="{00000000-0005-0000-0000-0000E00F0000}"/>
    <cellStyle name="Normal 224 3" xfId="1752" xr:uid="{00000000-0005-0000-0000-0000E10F0000}"/>
    <cellStyle name="Normal 224 4" xfId="12403" xr:uid="{00000000-0005-0000-0000-0000E20F0000}"/>
    <cellStyle name="Normal 224 4 2" xfId="11486" xr:uid="{00000000-0005-0000-0000-0000E30F0000}"/>
    <cellStyle name="Normal 225" xfId="972" xr:uid="{00000000-0005-0000-0000-0000E40F0000}"/>
    <cellStyle name="Normal 225 2" xfId="973" xr:uid="{00000000-0005-0000-0000-0000E50F0000}"/>
    <cellStyle name="Normal 225 3" xfId="1753" xr:uid="{00000000-0005-0000-0000-0000E60F0000}"/>
    <cellStyle name="Normal 225 4" xfId="13089" xr:uid="{00000000-0005-0000-0000-0000E70F0000}"/>
    <cellStyle name="Normal 225 4 2" xfId="12878" xr:uid="{00000000-0005-0000-0000-0000E80F0000}"/>
    <cellStyle name="Normal 226" xfId="974" xr:uid="{00000000-0005-0000-0000-0000E90F0000}"/>
    <cellStyle name="Normal 226 2" xfId="975" xr:uid="{00000000-0005-0000-0000-0000EA0F0000}"/>
    <cellStyle name="Normal 226 3" xfId="1006" xr:uid="{00000000-0005-0000-0000-0000EB0F0000}"/>
    <cellStyle name="Normal 226 4" xfId="11307" xr:uid="{00000000-0005-0000-0000-0000EC0F0000}"/>
    <cellStyle name="Normal 226 4 2" xfId="13339" xr:uid="{00000000-0005-0000-0000-0000ED0F0000}"/>
    <cellStyle name="Normal 227" xfId="976" xr:uid="{00000000-0005-0000-0000-0000EE0F0000}"/>
    <cellStyle name="Normal 227 2" xfId="977" xr:uid="{00000000-0005-0000-0000-0000EF0F0000}"/>
    <cellStyle name="Normal 227 3" xfId="1754" xr:uid="{00000000-0005-0000-0000-0000F00F0000}"/>
    <cellStyle name="Normal 227 4" xfId="13116" xr:uid="{00000000-0005-0000-0000-0000F10F0000}"/>
    <cellStyle name="Normal 227 4 2" xfId="13275" xr:uid="{00000000-0005-0000-0000-0000F20F0000}"/>
    <cellStyle name="Normal 228" xfId="978" xr:uid="{00000000-0005-0000-0000-0000F30F0000}"/>
    <cellStyle name="Normal 228 2" xfId="979" xr:uid="{00000000-0005-0000-0000-0000F40F0000}"/>
    <cellStyle name="Normal 228 3" xfId="1007" xr:uid="{00000000-0005-0000-0000-0000F50F0000}"/>
    <cellStyle name="Normal 228 4" xfId="1755" xr:uid="{00000000-0005-0000-0000-0000F60F0000}"/>
    <cellStyle name="Normal 228 4 2" xfId="2854" xr:uid="{00000000-0005-0000-0000-0000F70F0000}"/>
    <cellStyle name="Normal 228 4 3" xfId="2762" xr:uid="{00000000-0005-0000-0000-0000F80F0000}"/>
    <cellStyle name="Normal 228 4 4" xfId="2632" xr:uid="{00000000-0005-0000-0000-0000F90F0000}"/>
    <cellStyle name="Normal 228 4 5" xfId="2565" xr:uid="{00000000-0005-0000-0000-0000FA0F0000}"/>
    <cellStyle name="Normal 228 5" xfId="11899" xr:uid="{00000000-0005-0000-0000-0000FB0F0000}"/>
    <cellStyle name="Normal 228 5 2" xfId="12989" xr:uid="{00000000-0005-0000-0000-0000FC0F0000}"/>
    <cellStyle name="Normal 229" xfId="980" xr:uid="{00000000-0005-0000-0000-0000FD0F0000}"/>
    <cellStyle name="Normal 229 2" xfId="981" xr:uid="{00000000-0005-0000-0000-0000FE0F0000}"/>
    <cellStyle name="Normal 229 3" xfId="1756" xr:uid="{00000000-0005-0000-0000-0000FF0F0000}"/>
    <cellStyle name="Normal 229 4" xfId="11564" xr:uid="{00000000-0005-0000-0000-000000100000}"/>
    <cellStyle name="Normal 229 4 2" xfId="12660" xr:uid="{00000000-0005-0000-0000-000001100000}"/>
    <cellStyle name="Normal 23" xfId="211" xr:uid="{00000000-0005-0000-0000-000002100000}"/>
    <cellStyle name="Normal 23 2" xfId="752" xr:uid="{00000000-0005-0000-0000-000003100000}"/>
    <cellStyle name="Normal 23 2 2" xfId="9671" xr:uid="{00000000-0005-0000-0000-000004100000}"/>
    <cellStyle name="Normal 23 3" xfId="7690" xr:uid="{00000000-0005-0000-0000-000005100000}"/>
    <cellStyle name="Normal 23 4" xfId="7691" xr:uid="{00000000-0005-0000-0000-000006100000}"/>
    <cellStyle name="Normal 23 5" xfId="7692" xr:uid="{00000000-0005-0000-0000-000007100000}"/>
    <cellStyle name="Normal 23 6" xfId="7693" xr:uid="{00000000-0005-0000-0000-000008100000}"/>
    <cellStyle name="Normal 23 7" xfId="7694" xr:uid="{00000000-0005-0000-0000-000009100000}"/>
    <cellStyle name="Normal 23 8" xfId="7695" xr:uid="{00000000-0005-0000-0000-00000A100000}"/>
    <cellStyle name="Normal 230" xfId="846" xr:uid="{00000000-0005-0000-0000-00000B100000}"/>
    <cellStyle name="Normal 230 2" xfId="982" xr:uid="{00000000-0005-0000-0000-00000C100000}"/>
    <cellStyle name="Normal 230 2 2" xfId="1757" xr:uid="{00000000-0005-0000-0000-00000D100000}"/>
    <cellStyle name="Normal 230 3" xfId="1008" xr:uid="{00000000-0005-0000-0000-00000E100000}"/>
    <cellStyle name="Normal 230 4" xfId="11005" xr:uid="{00000000-0005-0000-0000-00000F100000}"/>
    <cellStyle name="Normal 230 4 2" xfId="11375" xr:uid="{00000000-0005-0000-0000-000010100000}"/>
    <cellStyle name="Normal 231" xfId="983" xr:uid="{00000000-0005-0000-0000-000011100000}"/>
    <cellStyle name="Normal 231 2" xfId="984" xr:uid="{00000000-0005-0000-0000-000012100000}"/>
    <cellStyle name="Normal 231 3" xfId="1758" xr:uid="{00000000-0005-0000-0000-000013100000}"/>
    <cellStyle name="Normal 231 4" xfId="12376" xr:uid="{00000000-0005-0000-0000-000014100000}"/>
    <cellStyle name="Normal 231 4 2" xfId="12174" xr:uid="{00000000-0005-0000-0000-000015100000}"/>
    <cellStyle name="Normal 232" xfId="985" xr:uid="{00000000-0005-0000-0000-000016100000}"/>
    <cellStyle name="Normal 232 2" xfId="986" xr:uid="{00000000-0005-0000-0000-000017100000}"/>
    <cellStyle name="Normal 232 3" xfId="1759" xr:uid="{00000000-0005-0000-0000-000018100000}"/>
    <cellStyle name="Normal 232 4" xfId="11726" xr:uid="{00000000-0005-0000-0000-000019100000}"/>
    <cellStyle name="Normal 232 4 2" xfId="12392" xr:uid="{00000000-0005-0000-0000-00001A100000}"/>
    <cellStyle name="Normal 233" xfId="1009" xr:uid="{00000000-0005-0000-0000-00001B100000}"/>
    <cellStyle name="Normal 233 2" xfId="1010" xr:uid="{00000000-0005-0000-0000-00001C100000}"/>
    <cellStyle name="Normal 233 3" xfId="1760" xr:uid="{00000000-0005-0000-0000-00001D100000}"/>
    <cellStyle name="Normal 233 3 2" xfId="2855" xr:uid="{00000000-0005-0000-0000-00001E100000}"/>
    <cellStyle name="Normal 233 3 3" xfId="2763" xr:uid="{00000000-0005-0000-0000-00001F100000}"/>
    <cellStyle name="Normal 233 3 4" xfId="2633" xr:uid="{00000000-0005-0000-0000-000020100000}"/>
    <cellStyle name="Normal 233 3 5" xfId="2566" xr:uid="{00000000-0005-0000-0000-000021100000}"/>
    <cellStyle name="Normal 233 3 6" xfId="13487" xr:uid="{00000000-0005-0000-0000-000022100000}"/>
    <cellStyle name="Normal 233 3 7" xfId="13388" xr:uid="{00000000-0005-0000-0000-000023100000}"/>
    <cellStyle name="Normal 233 4" xfId="7696" xr:uid="{00000000-0005-0000-0000-000024100000}"/>
    <cellStyle name="Normal 233 4 2" xfId="12982" xr:uid="{00000000-0005-0000-0000-000025100000}"/>
    <cellStyle name="Normal 233 4 2 2" xfId="12127" xr:uid="{00000000-0005-0000-0000-000026100000}"/>
    <cellStyle name="Normal 234" xfId="1011" xr:uid="{00000000-0005-0000-0000-000027100000}"/>
    <cellStyle name="Normal 234 2" xfId="1012" xr:uid="{00000000-0005-0000-0000-000028100000}"/>
    <cellStyle name="Normal 234 3" xfId="1761" xr:uid="{00000000-0005-0000-0000-000029100000}"/>
    <cellStyle name="Normal 234 4" xfId="11565" xr:uid="{00000000-0005-0000-0000-00002A100000}"/>
    <cellStyle name="Normal 234 4 2" xfId="12697" xr:uid="{00000000-0005-0000-0000-00002B100000}"/>
    <cellStyle name="Normal 235" xfId="1013" xr:uid="{00000000-0005-0000-0000-00002C100000}"/>
    <cellStyle name="Normal 235 2" xfId="1014" xr:uid="{00000000-0005-0000-0000-00002D100000}"/>
    <cellStyle name="Normal 235 3" xfId="1090" xr:uid="{00000000-0005-0000-0000-00002E100000}"/>
    <cellStyle name="Normal 235 3 2" xfId="2826" xr:uid="{00000000-0005-0000-0000-00002F100000}"/>
    <cellStyle name="Normal 235 3 3" xfId="2671" xr:uid="{00000000-0005-0000-0000-000030100000}"/>
    <cellStyle name="Normal 235 3 4" xfId="2604" xr:uid="{00000000-0005-0000-0000-000031100000}"/>
    <cellStyle name="Normal 235 3 5" xfId="2537" xr:uid="{00000000-0005-0000-0000-000032100000}"/>
    <cellStyle name="Normal 235 3 6" xfId="13419" xr:uid="{00000000-0005-0000-0000-000033100000}"/>
    <cellStyle name="Normal 235 3 7" xfId="13389" xr:uid="{00000000-0005-0000-0000-000034100000}"/>
    <cellStyle name="Normal 235 4" xfId="7697" xr:uid="{00000000-0005-0000-0000-000035100000}"/>
    <cellStyle name="Normal 235 4 2" xfId="11006" xr:uid="{00000000-0005-0000-0000-000036100000}"/>
    <cellStyle name="Normal 235 4 2 2" xfId="11110" xr:uid="{00000000-0005-0000-0000-000037100000}"/>
    <cellStyle name="Normal 236" xfId="1015" xr:uid="{00000000-0005-0000-0000-000038100000}"/>
    <cellStyle name="Normal 236 2" xfId="1016" xr:uid="{00000000-0005-0000-0000-000039100000}"/>
    <cellStyle name="Normal 236 3" xfId="2448" xr:uid="{00000000-0005-0000-0000-00003A100000}"/>
    <cellStyle name="Normal 236 3 2" xfId="2892" xr:uid="{00000000-0005-0000-0000-00003B100000}"/>
    <cellStyle name="Normal 236 3 3" xfId="2825" xr:uid="{00000000-0005-0000-0000-00003C100000}"/>
    <cellStyle name="Normal 236 3 4" xfId="2670" xr:uid="{00000000-0005-0000-0000-00003D100000}"/>
    <cellStyle name="Normal 236 3 5" xfId="2603" xr:uid="{00000000-0005-0000-0000-00003E100000}"/>
    <cellStyle name="Normal 236 4" xfId="11537" xr:uid="{00000000-0005-0000-0000-00003F100000}"/>
    <cellStyle name="Normal 236 4 2" xfId="11476" xr:uid="{00000000-0005-0000-0000-000040100000}"/>
    <cellStyle name="Normal 237" xfId="1017" xr:uid="{00000000-0005-0000-0000-000041100000}"/>
    <cellStyle name="Normal 237 2" xfId="2523" xr:uid="{00000000-0005-0000-0000-000042100000}"/>
    <cellStyle name="Normal 237 3" xfId="11974" xr:uid="{00000000-0005-0000-0000-000043100000}"/>
    <cellStyle name="Normal 237 3 2" xfId="11376" xr:uid="{00000000-0005-0000-0000-000044100000}"/>
    <cellStyle name="Normal 238" xfId="1018" xr:uid="{00000000-0005-0000-0000-000045100000}"/>
    <cellStyle name="Normal 238 2" xfId="1019" xr:uid="{00000000-0005-0000-0000-000046100000}"/>
    <cellStyle name="Normal 238 3" xfId="7698" xr:uid="{00000000-0005-0000-0000-000047100000}"/>
    <cellStyle name="Normal 238 3 2" xfId="13155" xr:uid="{00000000-0005-0000-0000-000048100000}"/>
    <cellStyle name="Normal 238 3 2 2" xfId="13318" xr:uid="{00000000-0005-0000-0000-000049100000}"/>
    <cellStyle name="Normal 239" xfId="1020" xr:uid="{00000000-0005-0000-0000-00004A100000}"/>
    <cellStyle name="Normal 239 2" xfId="2531" xr:uid="{00000000-0005-0000-0000-00004B100000}"/>
    <cellStyle name="Normal 239 3" xfId="11007" xr:uid="{00000000-0005-0000-0000-00004C100000}"/>
    <cellStyle name="Normal 239 3 2" xfId="13256" xr:uid="{00000000-0005-0000-0000-00004D100000}"/>
    <cellStyle name="Normal 24" xfId="212" xr:uid="{00000000-0005-0000-0000-00004E100000}"/>
    <cellStyle name="Normal 24 2" xfId="753" xr:uid="{00000000-0005-0000-0000-00004F100000}"/>
    <cellStyle name="Normal 24 2 2" xfId="9672" xr:uid="{00000000-0005-0000-0000-000050100000}"/>
    <cellStyle name="Normal 24 3" xfId="7699" xr:uid="{00000000-0005-0000-0000-000051100000}"/>
    <cellStyle name="Normal 24 4" xfId="7700" xr:uid="{00000000-0005-0000-0000-000052100000}"/>
    <cellStyle name="Normal 24 5" xfId="7701" xr:uid="{00000000-0005-0000-0000-000053100000}"/>
    <cellStyle name="Normal 24 6" xfId="7702" xr:uid="{00000000-0005-0000-0000-000054100000}"/>
    <cellStyle name="Normal 24 7" xfId="7703" xr:uid="{00000000-0005-0000-0000-000055100000}"/>
    <cellStyle name="Normal 24 8" xfId="7704" xr:uid="{00000000-0005-0000-0000-000056100000}"/>
    <cellStyle name="Normal 240" xfId="1021" xr:uid="{00000000-0005-0000-0000-000057100000}"/>
    <cellStyle name="Normal 240 2" xfId="1022" xr:uid="{00000000-0005-0000-0000-000058100000}"/>
    <cellStyle name="Normal 240 3" xfId="7705" xr:uid="{00000000-0005-0000-0000-000059100000}"/>
    <cellStyle name="Normal 240 3 2" xfId="13117" xr:uid="{00000000-0005-0000-0000-00005A100000}"/>
    <cellStyle name="Normal 240 3 2 2" xfId="12720" xr:uid="{00000000-0005-0000-0000-00005B100000}"/>
    <cellStyle name="Normal 241" xfId="1023" xr:uid="{00000000-0005-0000-0000-00005C100000}"/>
    <cellStyle name="Normal 241 2" xfId="2532" xr:uid="{00000000-0005-0000-0000-00005D100000}"/>
    <cellStyle name="Normal 241 3" xfId="11501" xr:uid="{00000000-0005-0000-0000-00005E100000}"/>
    <cellStyle name="Normal 241 3 2" xfId="12144" xr:uid="{00000000-0005-0000-0000-00005F100000}"/>
    <cellStyle name="Normal 242" xfId="1024" xr:uid="{00000000-0005-0000-0000-000060100000}"/>
    <cellStyle name="Normal 242 2" xfId="1025" xr:uid="{00000000-0005-0000-0000-000061100000}"/>
    <cellStyle name="Normal 242 3" xfId="7706" xr:uid="{00000000-0005-0000-0000-000062100000}"/>
    <cellStyle name="Normal 242 3 2" xfId="11454" xr:uid="{00000000-0005-0000-0000-000063100000}"/>
    <cellStyle name="Normal 242 3 2 2" xfId="11286" xr:uid="{00000000-0005-0000-0000-000064100000}"/>
    <cellStyle name="Normal 243" xfId="1026" xr:uid="{00000000-0005-0000-0000-000065100000}"/>
    <cellStyle name="Normal 243 2" xfId="2533" xr:uid="{00000000-0005-0000-0000-000066100000}"/>
    <cellStyle name="Normal 243 3" xfId="12990" xr:uid="{00000000-0005-0000-0000-000067100000}"/>
    <cellStyle name="Normal 243 3 2" xfId="12202" xr:uid="{00000000-0005-0000-0000-000068100000}"/>
    <cellStyle name="Normal 244" xfId="1027" xr:uid="{00000000-0005-0000-0000-000069100000}"/>
    <cellStyle name="Normal 244 2" xfId="1028" xr:uid="{00000000-0005-0000-0000-00006A100000}"/>
    <cellStyle name="Normal 244 3" xfId="7707" xr:uid="{00000000-0005-0000-0000-00006B100000}"/>
    <cellStyle name="Normal 244 3 2" xfId="13340" xr:uid="{00000000-0005-0000-0000-00006C100000}"/>
    <cellStyle name="Normal 244 3 2 2" xfId="12673" xr:uid="{00000000-0005-0000-0000-00006D100000}"/>
    <cellStyle name="Normal 245" xfId="1029" xr:uid="{00000000-0005-0000-0000-00006E100000}"/>
    <cellStyle name="Normal 245 2" xfId="2534" xr:uid="{00000000-0005-0000-0000-00006F100000}"/>
    <cellStyle name="Normal 245 3" xfId="13276" xr:uid="{00000000-0005-0000-0000-000070100000}"/>
    <cellStyle name="Normal 245 3 2" xfId="11480" xr:uid="{00000000-0005-0000-0000-000071100000}"/>
    <cellStyle name="Normal 246" xfId="1030" xr:uid="{00000000-0005-0000-0000-000072100000}"/>
    <cellStyle name="Normal 246 2" xfId="1031" xr:uid="{00000000-0005-0000-0000-000073100000}"/>
    <cellStyle name="Normal 246 3" xfId="7708" xr:uid="{00000000-0005-0000-0000-000074100000}"/>
    <cellStyle name="Normal 246 3 2" xfId="11011" xr:uid="{00000000-0005-0000-0000-000075100000}"/>
    <cellStyle name="Normal 246 3 2 2" xfId="11377" xr:uid="{00000000-0005-0000-0000-000076100000}"/>
    <cellStyle name="Normal 247" xfId="1032" xr:uid="{00000000-0005-0000-0000-000077100000}"/>
    <cellStyle name="Normal 247 2" xfId="11008" xr:uid="{00000000-0005-0000-0000-000078100000}"/>
    <cellStyle name="Normal 247 2 2" xfId="12040" xr:uid="{00000000-0005-0000-0000-000079100000}"/>
    <cellStyle name="Normal 248" xfId="1033" xr:uid="{00000000-0005-0000-0000-00007A100000}"/>
    <cellStyle name="Normal 248 2" xfId="1034" xr:uid="{00000000-0005-0000-0000-00007B100000}"/>
    <cellStyle name="Normal 248 3" xfId="7709" xr:uid="{00000000-0005-0000-0000-00007C100000}"/>
    <cellStyle name="Normal 248 3 2" xfId="12391" xr:uid="{00000000-0005-0000-0000-00007D100000}"/>
    <cellStyle name="Normal 248 3 2 2" xfId="13295" xr:uid="{00000000-0005-0000-0000-00007E100000}"/>
    <cellStyle name="Normal 249" xfId="1035" xr:uid="{00000000-0005-0000-0000-00007F100000}"/>
    <cellStyle name="Normal 249 2" xfId="11010" xr:uid="{00000000-0005-0000-0000-000080100000}"/>
    <cellStyle name="Normal 249 2 2" xfId="13232" xr:uid="{00000000-0005-0000-0000-000081100000}"/>
    <cellStyle name="Normal 25" xfId="213" xr:uid="{00000000-0005-0000-0000-000082100000}"/>
    <cellStyle name="Normal 25 2" xfId="754" xr:uid="{00000000-0005-0000-0000-000083100000}"/>
    <cellStyle name="Normal 25 2 2" xfId="9673" xr:uid="{00000000-0005-0000-0000-000084100000}"/>
    <cellStyle name="Normal 25 3" xfId="7710" xr:uid="{00000000-0005-0000-0000-000085100000}"/>
    <cellStyle name="Normal 25 4" xfId="7711" xr:uid="{00000000-0005-0000-0000-000086100000}"/>
    <cellStyle name="Normal 25 5" xfId="7712" xr:uid="{00000000-0005-0000-0000-000087100000}"/>
    <cellStyle name="Normal 25 6" xfId="7713" xr:uid="{00000000-0005-0000-0000-000088100000}"/>
    <cellStyle name="Normal 25 7" xfId="7714" xr:uid="{00000000-0005-0000-0000-000089100000}"/>
    <cellStyle name="Normal 25 8" xfId="7715" xr:uid="{00000000-0005-0000-0000-00008A100000}"/>
    <cellStyle name="Normal 250" xfId="1036" xr:uid="{00000000-0005-0000-0000-00008B100000}"/>
    <cellStyle name="Normal 250 2" xfId="1037" xr:uid="{00000000-0005-0000-0000-00008C100000}"/>
    <cellStyle name="Normal 250 3" xfId="11009" xr:uid="{00000000-0005-0000-0000-00008D100000}"/>
    <cellStyle name="Normal 250 3 2" xfId="11920" xr:uid="{00000000-0005-0000-0000-00008E100000}"/>
    <cellStyle name="Normal 251" xfId="1038" xr:uid="{00000000-0005-0000-0000-00008F100000}"/>
    <cellStyle name="Normal 251 2" xfId="1039" xr:uid="{00000000-0005-0000-0000-000090100000}"/>
    <cellStyle name="Normal 251 3" xfId="7716" xr:uid="{00000000-0005-0000-0000-000091100000}"/>
    <cellStyle name="Normal 251 3 2" xfId="12354" xr:uid="{00000000-0005-0000-0000-000092100000}"/>
    <cellStyle name="Normal 251 3 2 2" xfId="12908" xr:uid="{00000000-0005-0000-0000-000093100000}"/>
    <cellStyle name="Normal 252" xfId="1040" xr:uid="{00000000-0005-0000-0000-000094100000}"/>
    <cellStyle name="Normal 252 2" xfId="1041" xr:uid="{00000000-0005-0000-0000-000095100000}"/>
    <cellStyle name="Normal 252 3" xfId="7717" xr:uid="{00000000-0005-0000-0000-000096100000}"/>
    <cellStyle name="Normal 252 3 2" xfId="11291" xr:uid="{00000000-0005-0000-0000-000097100000}"/>
    <cellStyle name="Normal 252 3 2 2" xfId="11248" xr:uid="{00000000-0005-0000-0000-000098100000}"/>
    <cellStyle name="Normal 253" xfId="1042" xr:uid="{00000000-0005-0000-0000-000099100000}"/>
    <cellStyle name="Normal 253 2" xfId="1043" xr:uid="{00000000-0005-0000-0000-00009A100000}"/>
    <cellStyle name="Normal 253 3" xfId="7718" xr:uid="{00000000-0005-0000-0000-00009B100000}"/>
    <cellStyle name="Normal 253 3 2" xfId="11635" xr:uid="{00000000-0005-0000-0000-00009C100000}"/>
    <cellStyle name="Normal 253 3 2 2" xfId="12583" xr:uid="{00000000-0005-0000-0000-00009D100000}"/>
    <cellStyle name="Normal 254" xfId="1044" xr:uid="{00000000-0005-0000-0000-00009E100000}"/>
    <cellStyle name="Normal 254 2" xfId="1045" xr:uid="{00000000-0005-0000-0000-00009F100000}"/>
    <cellStyle name="Normal 254 3" xfId="12862" xr:uid="{00000000-0005-0000-0000-0000A0100000}"/>
    <cellStyle name="Normal 254 3 2" xfId="12405" xr:uid="{00000000-0005-0000-0000-0000A1100000}"/>
    <cellStyle name="Normal 255" xfId="1046" xr:uid="{00000000-0005-0000-0000-0000A2100000}"/>
    <cellStyle name="Normal 255 2" xfId="1047" xr:uid="{00000000-0005-0000-0000-0000A3100000}"/>
    <cellStyle name="Normal 255 3" xfId="7719" xr:uid="{00000000-0005-0000-0000-0000A4100000}"/>
    <cellStyle name="Normal 255 3 2" xfId="13319" xr:uid="{00000000-0005-0000-0000-0000A5100000}"/>
    <cellStyle name="Normal 255 3 2 2" xfId="11703" xr:uid="{00000000-0005-0000-0000-0000A6100000}"/>
    <cellStyle name="Normal 256" xfId="1048" xr:uid="{00000000-0005-0000-0000-0000A7100000}"/>
    <cellStyle name="Normal 256 2" xfId="7720" xr:uid="{00000000-0005-0000-0000-0000A8100000}"/>
    <cellStyle name="Normal 256 2 2" xfId="13257" xr:uid="{00000000-0005-0000-0000-0000A9100000}"/>
    <cellStyle name="Normal 256 2 2 2" xfId="11154" xr:uid="{00000000-0005-0000-0000-0000AA100000}"/>
    <cellStyle name="Normal 257" xfId="1049" xr:uid="{00000000-0005-0000-0000-0000AB100000}"/>
    <cellStyle name="Normal 257 2" xfId="1050" xr:uid="{00000000-0005-0000-0000-0000AC100000}"/>
    <cellStyle name="Normal 257 3" xfId="7721" xr:uid="{00000000-0005-0000-0000-0000AD100000}"/>
    <cellStyle name="Normal 257 3 2" xfId="13118" xr:uid="{00000000-0005-0000-0000-0000AE100000}"/>
    <cellStyle name="Normal 257 3 2 2" xfId="11130" xr:uid="{00000000-0005-0000-0000-0000AF100000}"/>
    <cellStyle name="Normal 258" xfId="1051" xr:uid="{00000000-0005-0000-0000-0000B0100000}"/>
    <cellStyle name="Normal 258 2" xfId="1052" xr:uid="{00000000-0005-0000-0000-0000B1100000}"/>
    <cellStyle name="Normal 258 3" xfId="7722" xr:uid="{00000000-0005-0000-0000-0000B2100000}"/>
    <cellStyle name="Normal 258 3 2" xfId="11012" xr:uid="{00000000-0005-0000-0000-0000B3100000}"/>
    <cellStyle name="Normal 258 3 2 2" xfId="11309" xr:uid="{00000000-0005-0000-0000-0000B4100000}"/>
    <cellStyle name="Normal 259" xfId="1053" xr:uid="{00000000-0005-0000-0000-0000B5100000}"/>
    <cellStyle name="Normal 259 2" xfId="11120" xr:uid="{00000000-0005-0000-0000-0000B6100000}"/>
    <cellStyle name="Normal 259 2 2" xfId="12030" xr:uid="{00000000-0005-0000-0000-0000B7100000}"/>
    <cellStyle name="Normal 26" xfId="214" xr:uid="{00000000-0005-0000-0000-0000B8100000}"/>
    <cellStyle name="Normal 26 2" xfId="755" xr:uid="{00000000-0005-0000-0000-0000B9100000}"/>
    <cellStyle name="Normal 26 2 2" xfId="9674" xr:uid="{00000000-0005-0000-0000-0000BA100000}"/>
    <cellStyle name="Normal 26 3" xfId="7723" xr:uid="{00000000-0005-0000-0000-0000BB100000}"/>
    <cellStyle name="Normal 26 4" xfId="7724" xr:uid="{00000000-0005-0000-0000-0000BC100000}"/>
    <cellStyle name="Normal 26 5" xfId="7725" xr:uid="{00000000-0005-0000-0000-0000BD100000}"/>
    <cellStyle name="Normal 26 6" xfId="7726" xr:uid="{00000000-0005-0000-0000-0000BE100000}"/>
    <cellStyle name="Normal 26 7" xfId="7727" xr:uid="{00000000-0005-0000-0000-0000BF100000}"/>
    <cellStyle name="Normal 26 8" xfId="7728" xr:uid="{00000000-0005-0000-0000-0000C0100000}"/>
    <cellStyle name="Normal 260" xfId="1054" xr:uid="{00000000-0005-0000-0000-0000C1100000}"/>
    <cellStyle name="Normal 260 2" xfId="1055" xr:uid="{00000000-0005-0000-0000-0000C2100000}"/>
    <cellStyle name="Normal 260 3" xfId="7729" xr:uid="{00000000-0005-0000-0000-0000C3100000}"/>
    <cellStyle name="Normal 260 3 2" xfId="11566" xr:uid="{00000000-0005-0000-0000-0000C4100000}"/>
    <cellStyle name="Normal 260 3 2 2" xfId="11953" xr:uid="{00000000-0005-0000-0000-0000C5100000}"/>
    <cellStyle name="Normal 261" xfId="1056" xr:uid="{00000000-0005-0000-0000-0000C6100000}"/>
    <cellStyle name="Normal 261 2" xfId="7730" xr:uid="{00000000-0005-0000-0000-0000C7100000}"/>
    <cellStyle name="Normal 261 2 2" xfId="11013" xr:uid="{00000000-0005-0000-0000-0000C8100000}"/>
    <cellStyle name="Normal 261 2 2 2" xfId="11498" xr:uid="{00000000-0005-0000-0000-0000C9100000}"/>
    <cellStyle name="Normal 262" xfId="1057" xr:uid="{00000000-0005-0000-0000-0000CA100000}"/>
    <cellStyle name="Normal 262 2" xfId="1058" xr:uid="{00000000-0005-0000-0000-0000CB100000}"/>
    <cellStyle name="Normal 262 3" xfId="7731" xr:uid="{00000000-0005-0000-0000-0000CC100000}"/>
    <cellStyle name="Normal 262 3 2" xfId="11267" xr:uid="{00000000-0005-0000-0000-0000CD100000}"/>
    <cellStyle name="Normal 262 3 2 2" xfId="12904" xr:uid="{00000000-0005-0000-0000-0000CE100000}"/>
    <cellStyle name="Normal 263" xfId="1059" xr:uid="{00000000-0005-0000-0000-0000CF100000}"/>
    <cellStyle name="Normal 263 2" xfId="7732" xr:uid="{00000000-0005-0000-0000-0000D0100000}"/>
    <cellStyle name="Normal 263 2 2" xfId="12416" xr:uid="{00000000-0005-0000-0000-0000D1100000}"/>
    <cellStyle name="Normal 263 2 2 2" xfId="10938" xr:uid="{00000000-0005-0000-0000-0000D2100000}"/>
    <cellStyle name="Normal 264" xfId="1060" xr:uid="{00000000-0005-0000-0000-0000D3100000}"/>
    <cellStyle name="Normal 264 2" xfId="7733" xr:uid="{00000000-0005-0000-0000-0000D4100000}"/>
    <cellStyle name="Normal 264 2 2" xfId="11836" xr:uid="{00000000-0005-0000-0000-0000D5100000}"/>
    <cellStyle name="Normal 264 2 2 2" xfId="11841" xr:uid="{00000000-0005-0000-0000-0000D6100000}"/>
    <cellStyle name="Normal 265" xfId="1061" xr:uid="{00000000-0005-0000-0000-0000D7100000}"/>
    <cellStyle name="Normal 265 2" xfId="12881" xr:uid="{00000000-0005-0000-0000-0000D8100000}"/>
    <cellStyle name="Normal 265 2 2" xfId="10926" xr:uid="{00000000-0005-0000-0000-0000D9100000}"/>
    <cellStyle name="Normal 266" xfId="1062" xr:uid="{00000000-0005-0000-0000-0000DA100000}"/>
    <cellStyle name="Normal 266 2" xfId="11244" xr:uid="{00000000-0005-0000-0000-0000DB100000}"/>
    <cellStyle name="Normal 266 2 2" xfId="12870" xr:uid="{00000000-0005-0000-0000-0000DC100000}"/>
    <cellStyle name="Normal 267" xfId="1063" xr:uid="{00000000-0005-0000-0000-0000DD100000}"/>
    <cellStyle name="Normal 267 2" xfId="7734" xr:uid="{00000000-0005-0000-0000-0000DE100000}"/>
    <cellStyle name="Normal 267 2 2" xfId="11139" xr:uid="{00000000-0005-0000-0000-0000DF100000}"/>
    <cellStyle name="Normal 267 2 2 2" xfId="13274" xr:uid="{00000000-0005-0000-0000-0000E0100000}"/>
    <cellStyle name="Normal 268" xfId="1064" xr:uid="{00000000-0005-0000-0000-0000E1100000}"/>
    <cellStyle name="Normal 268 2" xfId="11014" xr:uid="{00000000-0005-0000-0000-0000E2100000}"/>
    <cellStyle name="Normal 268 2 2" xfId="13338" xr:uid="{00000000-0005-0000-0000-0000E3100000}"/>
    <cellStyle name="Normal 269" xfId="1065" xr:uid="{00000000-0005-0000-0000-0000E4100000}"/>
    <cellStyle name="Normal 269 2" xfId="11265" xr:uid="{00000000-0005-0000-0000-0000E5100000}"/>
    <cellStyle name="Normal 269 2 2" xfId="12377" xr:uid="{00000000-0005-0000-0000-0000E6100000}"/>
    <cellStyle name="Normal 27" xfId="215" xr:uid="{00000000-0005-0000-0000-0000E7100000}"/>
    <cellStyle name="Normal 27 2" xfId="756" xr:uid="{00000000-0005-0000-0000-0000E8100000}"/>
    <cellStyle name="Normal 27 2 2" xfId="9675" xr:uid="{00000000-0005-0000-0000-0000E9100000}"/>
    <cellStyle name="Normal 27 3" xfId="7735" xr:uid="{00000000-0005-0000-0000-0000EA100000}"/>
    <cellStyle name="Normal 27 4" xfId="7736" xr:uid="{00000000-0005-0000-0000-0000EB100000}"/>
    <cellStyle name="Normal 27 5" xfId="7737" xr:uid="{00000000-0005-0000-0000-0000EC100000}"/>
    <cellStyle name="Normal 27 6" xfId="7738" xr:uid="{00000000-0005-0000-0000-0000ED100000}"/>
    <cellStyle name="Normal 27 7" xfId="7739" xr:uid="{00000000-0005-0000-0000-0000EE100000}"/>
    <cellStyle name="Normal 27 8" xfId="7740" xr:uid="{00000000-0005-0000-0000-0000EF100000}"/>
    <cellStyle name="Normal 270" xfId="1066" xr:uid="{00000000-0005-0000-0000-0000F0100000}"/>
    <cellStyle name="Normal 270 2" xfId="7741" xr:uid="{00000000-0005-0000-0000-0000F1100000}"/>
    <cellStyle name="Normal 270 2 2" xfId="11567" xr:uid="{00000000-0005-0000-0000-0000F2100000}"/>
    <cellStyle name="Normal 270 2 2 2" xfId="10939" xr:uid="{00000000-0005-0000-0000-0000F3100000}"/>
    <cellStyle name="Normal 271" xfId="1067" xr:uid="{00000000-0005-0000-0000-0000F4100000}"/>
    <cellStyle name="Normal 271 2" xfId="11004" xr:uid="{00000000-0005-0000-0000-0000F5100000}"/>
    <cellStyle name="Normal 271 2 2" xfId="12788" xr:uid="{00000000-0005-0000-0000-0000F6100000}"/>
    <cellStyle name="Normal 272" xfId="1068" xr:uid="{00000000-0005-0000-0000-0000F7100000}"/>
    <cellStyle name="Normal 272 2" xfId="7742" xr:uid="{00000000-0005-0000-0000-0000F8100000}"/>
    <cellStyle name="Normal 272 2 2" xfId="13119" xr:uid="{00000000-0005-0000-0000-0000F9100000}"/>
    <cellStyle name="Normal 272 2 2 2" xfId="11576" xr:uid="{00000000-0005-0000-0000-0000FA100000}"/>
    <cellStyle name="Normal 273" xfId="1069" xr:uid="{00000000-0005-0000-0000-0000FB100000}"/>
    <cellStyle name="Normal 273 2" xfId="11984" xr:uid="{00000000-0005-0000-0000-0000FC100000}"/>
    <cellStyle name="Normal 273 2 2" xfId="12468" xr:uid="{00000000-0005-0000-0000-0000FD100000}"/>
    <cellStyle name="Normal 274" xfId="1070" xr:uid="{00000000-0005-0000-0000-0000FE100000}"/>
    <cellStyle name="Normal 274 2" xfId="11306" xr:uid="{00000000-0005-0000-0000-0000FF100000}"/>
    <cellStyle name="Normal 274 2 2" xfId="11032" xr:uid="{00000000-0005-0000-0000-000000110000}"/>
    <cellStyle name="Normal 275" xfId="1071" xr:uid="{00000000-0005-0000-0000-000001110000}"/>
    <cellStyle name="Normal 275 2" xfId="7743" xr:uid="{00000000-0005-0000-0000-000002110000}"/>
    <cellStyle name="Normal 275 2 2" xfId="11568" xr:uid="{00000000-0005-0000-0000-000003110000}"/>
    <cellStyle name="Normal 275 2 2 2" xfId="10940" xr:uid="{00000000-0005-0000-0000-000004110000}"/>
    <cellStyle name="Normal 276" xfId="1072" xr:uid="{00000000-0005-0000-0000-000005110000}"/>
    <cellStyle name="Normal 276 2" xfId="12375" xr:uid="{00000000-0005-0000-0000-000006110000}"/>
    <cellStyle name="Normal 276 2 2" xfId="11065" xr:uid="{00000000-0005-0000-0000-000007110000}"/>
    <cellStyle name="Normal 277" xfId="994" xr:uid="{00000000-0005-0000-0000-000008110000}"/>
    <cellStyle name="Normal 277 2" xfId="11015" xr:uid="{00000000-0005-0000-0000-000009110000}"/>
    <cellStyle name="Normal 277 2 2" xfId="11251" xr:uid="{00000000-0005-0000-0000-00000A110000}"/>
    <cellStyle name="Normal 278" xfId="1089" xr:uid="{00000000-0005-0000-0000-00000B110000}"/>
    <cellStyle name="Normal 278 2" xfId="11270" xr:uid="{00000000-0005-0000-0000-00000C110000}"/>
    <cellStyle name="Normal 278 2 2" xfId="11526" xr:uid="{00000000-0005-0000-0000-00000D110000}"/>
    <cellStyle name="Normal 279" xfId="3019" xr:uid="{00000000-0005-0000-0000-00000E110000}"/>
    <cellStyle name="Normal 279 2" xfId="7744" xr:uid="{00000000-0005-0000-0000-00000F110000}"/>
    <cellStyle name="Normal 279 2 2" xfId="12983" xr:uid="{00000000-0005-0000-0000-000010110000}"/>
    <cellStyle name="Normal 279 2 2 2" xfId="12905" xr:uid="{00000000-0005-0000-0000-000011110000}"/>
    <cellStyle name="Normal 279 3" xfId="13552" xr:uid="{00000000-0005-0000-0000-000012110000}"/>
    <cellStyle name="Normal 28" xfId="216" xr:uid="{00000000-0005-0000-0000-000013110000}"/>
    <cellStyle name="Normal 28 2" xfId="757" xr:uid="{00000000-0005-0000-0000-000014110000}"/>
    <cellStyle name="Normal 28 2 2" xfId="9676" xr:uid="{00000000-0005-0000-0000-000015110000}"/>
    <cellStyle name="Normal 28 3" xfId="7745" xr:uid="{00000000-0005-0000-0000-000016110000}"/>
    <cellStyle name="Normal 28 4" xfId="7746" xr:uid="{00000000-0005-0000-0000-000017110000}"/>
    <cellStyle name="Normal 28 5" xfId="7747" xr:uid="{00000000-0005-0000-0000-000018110000}"/>
    <cellStyle name="Normal 28 6" xfId="7748" xr:uid="{00000000-0005-0000-0000-000019110000}"/>
    <cellStyle name="Normal 28 7" xfId="7749" xr:uid="{00000000-0005-0000-0000-00001A110000}"/>
    <cellStyle name="Normal 28 8" xfId="7750" xr:uid="{00000000-0005-0000-0000-00001B110000}"/>
    <cellStyle name="Normal 280" xfId="2935" xr:uid="{00000000-0005-0000-0000-00001C110000}"/>
    <cellStyle name="Normal 280 2" xfId="11016" xr:uid="{00000000-0005-0000-0000-00001D110000}"/>
    <cellStyle name="Normal 280 2 2" xfId="12946" xr:uid="{00000000-0005-0000-0000-00001E110000}"/>
    <cellStyle name="Normal 281" xfId="3020" xr:uid="{00000000-0005-0000-0000-00001F110000}"/>
    <cellStyle name="Normal 281 2" xfId="7751" xr:uid="{00000000-0005-0000-0000-000020110000}"/>
    <cellStyle name="Normal 281 2 2" xfId="13120" xr:uid="{00000000-0005-0000-0000-000021110000}"/>
    <cellStyle name="Normal 281 2 2 2" xfId="13317" xr:uid="{00000000-0005-0000-0000-000022110000}"/>
    <cellStyle name="Normal 281 3" xfId="13553" xr:uid="{00000000-0005-0000-0000-000023110000}"/>
    <cellStyle name="Normal 282" xfId="7752" xr:uid="{00000000-0005-0000-0000-000024110000}"/>
    <cellStyle name="Normal 282 2" xfId="13006" xr:uid="{00000000-0005-0000-0000-000025110000}"/>
    <cellStyle name="Normal 282 2 2" xfId="13255" xr:uid="{00000000-0005-0000-0000-000026110000}"/>
    <cellStyle name="Normal 283" xfId="7753" xr:uid="{00000000-0005-0000-0000-000027110000}"/>
    <cellStyle name="Normal 283 2" xfId="7754" xr:uid="{00000000-0005-0000-0000-000028110000}"/>
    <cellStyle name="Normal 283 2 2" xfId="13129" xr:uid="{00000000-0005-0000-0000-000029110000}"/>
    <cellStyle name="Normal 283 2 3" xfId="13330" xr:uid="{00000000-0005-0000-0000-00002A110000}"/>
    <cellStyle name="Normal 283 2 4" xfId="11569" xr:uid="{00000000-0005-0000-0000-00002B110000}"/>
    <cellStyle name="Normal 283 3" xfId="14037" xr:uid="{00000000-0005-0000-0000-00002C110000}"/>
    <cellStyle name="Normal 284" xfId="7755" xr:uid="{00000000-0005-0000-0000-00002D110000}"/>
    <cellStyle name="Normal 284 2" xfId="12389" xr:uid="{00000000-0005-0000-0000-00002E110000}"/>
    <cellStyle name="Normal 284 2 2" xfId="13128" xr:uid="{00000000-0005-0000-0000-00002F110000}"/>
    <cellStyle name="Normal 285" xfId="7756" xr:uid="{00000000-0005-0000-0000-000030110000}"/>
    <cellStyle name="Normal 285 2" xfId="11505" xr:uid="{00000000-0005-0000-0000-000031110000}"/>
    <cellStyle name="Normal 285 2 2" xfId="11513" xr:uid="{00000000-0005-0000-0000-000032110000}"/>
    <cellStyle name="Normal 286" xfId="7757" xr:uid="{00000000-0005-0000-0000-000033110000}"/>
    <cellStyle name="Normal 286 2" xfId="11017" xr:uid="{00000000-0005-0000-0000-000034110000}"/>
    <cellStyle name="Normal 286 2 2" xfId="11287" xr:uid="{00000000-0005-0000-0000-000035110000}"/>
    <cellStyle name="Normal 287" xfId="7758" xr:uid="{00000000-0005-0000-0000-000036110000}"/>
    <cellStyle name="Normal 287 2" xfId="10924" xr:uid="{00000000-0005-0000-0000-000037110000}"/>
    <cellStyle name="Normal 287 2 2" xfId="11033" xr:uid="{00000000-0005-0000-0000-000038110000}"/>
    <cellStyle name="Normal 288" xfId="7759" xr:uid="{00000000-0005-0000-0000-000039110000}"/>
    <cellStyle name="Normal 288 2" xfId="13121" xr:uid="{00000000-0005-0000-0000-00003A110000}"/>
    <cellStyle name="Normal 288 2 2" xfId="11577" xr:uid="{00000000-0005-0000-0000-00003B110000}"/>
    <cellStyle name="Normal 289" xfId="7760" xr:uid="{00000000-0005-0000-0000-00003C110000}"/>
    <cellStyle name="Normal 289 2" xfId="12879" xr:uid="{00000000-0005-0000-0000-00003D110000}"/>
    <cellStyle name="Normal 289 2 2" xfId="11292" xr:uid="{00000000-0005-0000-0000-00003E110000}"/>
    <cellStyle name="Normal 29" xfId="217" xr:uid="{00000000-0005-0000-0000-00003F110000}"/>
    <cellStyle name="Normal 29 2" xfId="758" xr:uid="{00000000-0005-0000-0000-000040110000}"/>
    <cellStyle name="Normal 29 2 2" xfId="9677" xr:uid="{00000000-0005-0000-0000-000041110000}"/>
    <cellStyle name="Normal 29 3" xfId="7761" xr:uid="{00000000-0005-0000-0000-000042110000}"/>
    <cellStyle name="Normal 29 4" xfId="7762" xr:uid="{00000000-0005-0000-0000-000043110000}"/>
    <cellStyle name="Normal 29 5" xfId="7763" xr:uid="{00000000-0005-0000-0000-000044110000}"/>
    <cellStyle name="Normal 29 6" xfId="7764" xr:uid="{00000000-0005-0000-0000-000045110000}"/>
    <cellStyle name="Normal 29 7" xfId="7765" xr:uid="{00000000-0005-0000-0000-000046110000}"/>
    <cellStyle name="Normal 29 8" xfId="7766" xr:uid="{00000000-0005-0000-0000-000047110000}"/>
    <cellStyle name="Normal 290" xfId="7767" xr:uid="{00000000-0005-0000-0000-000048110000}"/>
    <cellStyle name="Normal 290 2" xfId="13321" xr:uid="{00000000-0005-0000-0000-000049110000}"/>
    <cellStyle name="Normal 290 2 2" xfId="11378" xr:uid="{00000000-0005-0000-0000-00004A110000}"/>
    <cellStyle name="Normal 291" xfId="7768" xr:uid="{00000000-0005-0000-0000-00004B110000}"/>
    <cellStyle name="Normal 291 2" xfId="13259" xr:uid="{00000000-0005-0000-0000-00004C110000}"/>
    <cellStyle name="Normal 291 2 2" xfId="13294" xr:uid="{00000000-0005-0000-0000-00004D110000}"/>
    <cellStyle name="Normal 292" xfId="7769" xr:uid="{00000000-0005-0000-0000-00004E110000}"/>
    <cellStyle name="Normal 292 2" xfId="13123" xr:uid="{00000000-0005-0000-0000-00004F110000}"/>
    <cellStyle name="Normal 292 2 2" xfId="13231" xr:uid="{00000000-0005-0000-0000-000050110000}"/>
    <cellStyle name="Normal 293" xfId="7770" xr:uid="{00000000-0005-0000-0000-000051110000}"/>
    <cellStyle name="Normal 293 2" xfId="13122" xr:uid="{00000000-0005-0000-0000-000052110000}"/>
    <cellStyle name="Normal 293 2 2" xfId="11691" xr:uid="{00000000-0005-0000-0000-000053110000}"/>
    <cellStyle name="Normal 294" xfId="7771" xr:uid="{00000000-0005-0000-0000-000054110000}"/>
    <cellStyle name="Normal 294 2" xfId="12395" xr:uid="{00000000-0005-0000-0000-000055110000}"/>
    <cellStyle name="Normal 294 2 2" xfId="11034" xr:uid="{00000000-0005-0000-0000-000056110000}"/>
    <cellStyle name="Normal 295" xfId="7772" xr:uid="{00000000-0005-0000-0000-000057110000}"/>
    <cellStyle name="Normal 295 2" xfId="11571" xr:uid="{00000000-0005-0000-0000-000058110000}"/>
    <cellStyle name="Normal 295 2 2" xfId="12408" xr:uid="{00000000-0005-0000-0000-000059110000}"/>
    <cellStyle name="Normal 296" xfId="7773" xr:uid="{00000000-0005-0000-0000-00005A110000}"/>
    <cellStyle name="Normal 296 2" xfId="11018" xr:uid="{00000000-0005-0000-0000-00005B110000}"/>
    <cellStyle name="Normal 296 2 2" xfId="13130" xr:uid="{00000000-0005-0000-0000-00005C110000}"/>
    <cellStyle name="Normal 297" xfId="7774" xr:uid="{00000000-0005-0000-0000-00005D110000}"/>
    <cellStyle name="Normal 297 2" xfId="11266" xr:uid="{00000000-0005-0000-0000-00005E110000}"/>
    <cellStyle name="Normal 297 2 2" xfId="11578" xr:uid="{00000000-0005-0000-0000-00005F110000}"/>
    <cellStyle name="Normal 298" xfId="7775" xr:uid="{00000000-0005-0000-0000-000060110000}"/>
    <cellStyle name="Normal 298 2" xfId="11294" xr:uid="{00000000-0005-0000-0000-000061110000}"/>
    <cellStyle name="Normal 298 2 2" xfId="12380" xr:uid="{00000000-0005-0000-0000-000062110000}"/>
    <cellStyle name="Normal 299" xfId="2536" xr:uid="{00000000-0005-0000-0000-000063110000}"/>
    <cellStyle name="Normal 299 2" xfId="11475" xr:uid="{00000000-0005-0000-0000-000064110000}"/>
    <cellStyle name="Normal 299 2 2" xfId="11162" xr:uid="{00000000-0005-0000-0000-000065110000}"/>
    <cellStyle name="Normal 3" xfId="30" xr:uid="{00000000-0005-0000-0000-000066110000}"/>
    <cellStyle name="Normal 3 10" xfId="1762" xr:uid="{00000000-0005-0000-0000-000067110000}"/>
    <cellStyle name="Normal 3 11" xfId="1763" xr:uid="{00000000-0005-0000-0000-000068110000}"/>
    <cellStyle name="Normal 3 12" xfId="7776" xr:uid="{00000000-0005-0000-0000-000069110000}"/>
    <cellStyle name="Normal 3 13" xfId="7777" xr:uid="{00000000-0005-0000-0000-00006A110000}"/>
    <cellStyle name="Normal 3 2" xfId="31" xr:uid="{00000000-0005-0000-0000-00006B110000}"/>
    <cellStyle name="Normal 3 2 2" xfId="218" xr:uid="{00000000-0005-0000-0000-00006C110000}"/>
    <cellStyle name="Normal 3 2 2 2" xfId="759" xr:uid="{00000000-0005-0000-0000-00006D110000}"/>
    <cellStyle name="Normal 3 2 2 3" xfId="7778" xr:uid="{00000000-0005-0000-0000-00006E110000}"/>
    <cellStyle name="Normal 3 2 2 4" xfId="7779" xr:uid="{00000000-0005-0000-0000-00006F110000}"/>
    <cellStyle name="Normal 3 2 2 5" xfId="7780" xr:uid="{00000000-0005-0000-0000-000070110000}"/>
    <cellStyle name="Normal 3 2 2 6" xfId="7781" xr:uid="{00000000-0005-0000-0000-000071110000}"/>
    <cellStyle name="Normal 3 2 2 7" xfId="7782" xr:uid="{00000000-0005-0000-0000-000072110000}"/>
    <cellStyle name="Normal 3 2 2 8" xfId="7783" xr:uid="{00000000-0005-0000-0000-000073110000}"/>
    <cellStyle name="Normal 3 2 3" xfId="219" xr:uid="{00000000-0005-0000-0000-000074110000}"/>
    <cellStyle name="Normal 3 2 3 2" xfId="9174" xr:uid="{00000000-0005-0000-0000-000075110000}"/>
    <cellStyle name="Normal 3 2 4" xfId="2950" xr:uid="{00000000-0005-0000-0000-000076110000}"/>
    <cellStyle name="Normal 3 2 4 2" xfId="7784" xr:uid="{00000000-0005-0000-0000-000077110000}"/>
    <cellStyle name="Normal 3 3" xfId="91" xr:uid="{00000000-0005-0000-0000-000078110000}"/>
    <cellStyle name="Normal 3 3 10" xfId="3777" xr:uid="{00000000-0005-0000-0000-000079110000}"/>
    <cellStyle name="Normal 3 3 11" xfId="7785" xr:uid="{00000000-0005-0000-0000-00007A110000}"/>
    <cellStyle name="Normal 3 3 12" xfId="7786" xr:uid="{00000000-0005-0000-0000-00007B110000}"/>
    <cellStyle name="Normal 3 3 2" xfId="220" xr:uid="{00000000-0005-0000-0000-00007C110000}"/>
    <cellStyle name="Normal 3 3 2 2" xfId="1765" xr:uid="{00000000-0005-0000-0000-00007D110000}"/>
    <cellStyle name="Normal 3 3 2 3" xfId="1766" xr:uid="{00000000-0005-0000-0000-00007E110000}"/>
    <cellStyle name="Normal 3 3 2 4" xfId="1767" xr:uid="{00000000-0005-0000-0000-00007F110000}"/>
    <cellStyle name="Normal 3 3 2 5" xfId="1764" xr:uid="{00000000-0005-0000-0000-000080110000}"/>
    <cellStyle name="Normal 3 3 2 6" xfId="7787" xr:uid="{00000000-0005-0000-0000-000081110000}"/>
    <cellStyle name="Normal 3 3 2 7" xfId="7788" xr:uid="{00000000-0005-0000-0000-000082110000}"/>
    <cellStyle name="Normal 3 3 2 8" xfId="7789" xr:uid="{00000000-0005-0000-0000-000083110000}"/>
    <cellStyle name="Normal 3 3 2 9" xfId="7790" xr:uid="{00000000-0005-0000-0000-000084110000}"/>
    <cellStyle name="Normal 3 3 3" xfId="718" xr:uid="{00000000-0005-0000-0000-000085110000}"/>
    <cellStyle name="Normal 3 3 4" xfId="1768" xr:uid="{00000000-0005-0000-0000-000086110000}"/>
    <cellStyle name="Normal 3 3 5" xfId="1769" xr:uid="{00000000-0005-0000-0000-000087110000}"/>
    <cellStyle name="Normal 3 3 5 2" xfId="1770" xr:uid="{00000000-0005-0000-0000-000088110000}"/>
    <cellStyle name="Normal 3 3 5 3" xfId="1771" xr:uid="{00000000-0005-0000-0000-000089110000}"/>
    <cellStyle name="Normal 3 3 5 4" xfId="13488" xr:uid="{00000000-0005-0000-0000-00008A110000}"/>
    <cellStyle name="Normal 3 3 6" xfId="1772" xr:uid="{00000000-0005-0000-0000-00008B110000}"/>
    <cellStyle name="Normal 3 3 7" xfId="1773" xr:uid="{00000000-0005-0000-0000-00008C110000}"/>
    <cellStyle name="Normal 3 3 8" xfId="1774" xr:uid="{00000000-0005-0000-0000-00008D110000}"/>
    <cellStyle name="Normal 3 3 9" xfId="1775" xr:uid="{00000000-0005-0000-0000-00008E110000}"/>
    <cellStyle name="Normal 3 4" xfId="659" xr:uid="{00000000-0005-0000-0000-00008F110000}"/>
    <cellStyle name="Normal 3 4 2" xfId="2951" xr:uid="{00000000-0005-0000-0000-000090110000}"/>
    <cellStyle name="Normal 3 4 2 2" xfId="9678" xr:uid="{00000000-0005-0000-0000-000091110000}"/>
    <cellStyle name="Normal 3 5" xfId="1776" xr:uid="{00000000-0005-0000-0000-000092110000}"/>
    <cellStyle name="Normal 3 6" xfId="1777" xr:uid="{00000000-0005-0000-0000-000093110000}"/>
    <cellStyle name="Normal 3 7" xfId="1778" xr:uid="{00000000-0005-0000-0000-000094110000}"/>
    <cellStyle name="Normal 3 8" xfId="1779" xr:uid="{00000000-0005-0000-0000-000095110000}"/>
    <cellStyle name="Normal 3 9" xfId="1780" xr:uid="{00000000-0005-0000-0000-000096110000}"/>
    <cellStyle name="Normal 30" xfId="221" xr:uid="{00000000-0005-0000-0000-000097110000}"/>
    <cellStyle name="Normal 30 2" xfId="760" xr:uid="{00000000-0005-0000-0000-000098110000}"/>
    <cellStyle name="Normal 30 2 2" xfId="9679" xr:uid="{00000000-0005-0000-0000-000099110000}"/>
    <cellStyle name="Normal 30 3" xfId="7791" xr:uid="{00000000-0005-0000-0000-00009A110000}"/>
    <cellStyle name="Normal 30 4" xfId="7792" xr:uid="{00000000-0005-0000-0000-00009B110000}"/>
    <cellStyle name="Normal 30 5" xfId="7793" xr:uid="{00000000-0005-0000-0000-00009C110000}"/>
    <cellStyle name="Normal 30 6" xfId="7794" xr:uid="{00000000-0005-0000-0000-00009D110000}"/>
    <cellStyle name="Normal 30 7" xfId="7795" xr:uid="{00000000-0005-0000-0000-00009E110000}"/>
    <cellStyle name="Normal 30 8" xfId="7796" xr:uid="{00000000-0005-0000-0000-00009F110000}"/>
    <cellStyle name="Normal 300" xfId="7797" xr:uid="{00000000-0005-0000-0000-0000A0110000}"/>
    <cellStyle name="Normal 300 2" xfId="13298" xr:uid="{00000000-0005-0000-0000-0000A1110000}"/>
    <cellStyle name="Normal 300 2 2" xfId="11579" xr:uid="{00000000-0005-0000-0000-0000A2110000}"/>
    <cellStyle name="Normal 301" xfId="7798" xr:uid="{00000000-0005-0000-0000-0000A3110000}"/>
    <cellStyle name="Normal 301 2" xfId="10935" xr:uid="{00000000-0005-0000-0000-0000A4110000}"/>
    <cellStyle name="Normal 301 2 2" xfId="13336" xr:uid="{00000000-0005-0000-0000-0000A5110000}"/>
    <cellStyle name="Normal 302" xfId="7799" xr:uid="{00000000-0005-0000-0000-0000A6110000}"/>
    <cellStyle name="Normal 302 2" xfId="11867" xr:uid="{00000000-0005-0000-0000-0000A7110000}"/>
    <cellStyle name="Normal 302 2 2" xfId="12359" xr:uid="{00000000-0005-0000-0000-0000A8110000}"/>
    <cellStyle name="Normal 303" xfId="7800" xr:uid="{00000000-0005-0000-0000-0000A9110000}"/>
    <cellStyle name="Normal 303 2" xfId="11896" xr:uid="{00000000-0005-0000-0000-0000AA110000}"/>
    <cellStyle name="Normal 303 2 2" xfId="11111" xr:uid="{00000000-0005-0000-0000-0000AB110000}"/>
    <cellStyle name="Normal 304" xfId="7801" xr:uid="{00000000-0005-0000-0000-0000AC110000}"/>
    <cellStyle name="Normal 304 2" xfId="11773" xr:uid="{00000000-0005-0000-0000-0000AD110000}"/>
    <cellStyle name="Normal 304 2 2" xfId="11036" xr:uid="{00000000-0005-0000-0000-0000AE110000}"/>
    <cellStyle name="Normal 305" xfId="7802" xr:uid="{00000000-0005-0000-0000-0000AF110000}"/>
    <cellStyle name="Normal 305 2" xfId="12957" xr:uid="{00000000-0005-0000-0000-0000B0110000}"/>
    <cellStyle name="Normal 305 2 2" xfId="13145" xr:uid="{00000000-0005-0000-0000-0000B1110000}"/>
    <cellStyle name="Normal 306" xfId="7803" xr:uid="{00000000-0005-0000-0000-0000B2110000}"/>
    <cellStyle name="Normal 306 2" xfId="11245" xr:uid="{00000000-0005-0000-0000-0000B3110000}"/>
    <cellStyle name="Normal 306 2 2" xfId="13131" xr:uid="{00000000-0005-0000-0000-0000B4110000}"/>
    <cellStyle name="Normal 307" xfId="7804" xr:uid="{00000000-0005-0000-0000-0000B5110000}"/>
    <cellStyle name="Normal 307 2" xfId="13235" xr:uid="{00000000-0005-0000-0000-0000B6110000}"/>
    <cellStyle name="Normal 307 2 2" xfId="11035" xr:uid="{00000000-0005-0000-0000-0000B7110000}"/>
    <cellStyle name="Normal 308" xfId="7805" xr:uid="{00000000-0005-0000-0000-0000B8110000}"/>
    <cellStyle name="Normal 308 2" xfId="11682" xr:uid="{00000000-0005-0000-0000-0000B9110000}"/>
    <cellStyle name="Normal 308 2 2" xfId="13272" xr:uid="{00000000-0005-0000-0000-0000BA110000}"/>
    <cellStyle name="Normal 309" xfId="7806" xr:uid="{00000000-0005-0000-0000-0000BB110000}"/>
    <cellStyle name="Normal 309 2" xfId="12402" xr:uid="{00000000-0005-0000-0000-0000BC110000}"/>
    <cellStyle name="Normal 309 2 2" xfId="13008" xr:uid="{00000000-0005-0000-0000-0000BD110000}"/>
    <cellStyle name="Normal 31" xfId="222" xr:uid="{00000000-0005-0000-0000-0000BE110000}"/>
    <cellStyle name="Normal 31 2" xfId="761" xr:uid="{00000000-0005-0000-0000-0000BF110000}"/>
    <cellStyle name="Normal 31 2 2" xfId="9680" xr:uid="{00000000-0005-0000-0000-0000C0110000}"/>
    <cellStyle name="Normal 31 3" xfId="7807" xr:uid="{00000000-0005-0000-0000-0000C1110000}"/>
    <cellStyle name="Normal 31 4" xfId="7808" xr:uid="{00000000-0005-0000-0000-0000C2110000}"/>
    <cellStyle name="Normal 31 5" xfId="7809" xr:uid="{00000000-0005-0000-0000-0000C3110000}"/>
    <cellStyle name="Normal 31 6" xfId="7810" xr:uid="{00000000-0005-0000-0000-0000C4110000}"/>
    <cellStyle name="Normal 31 7" xfId="7811" xr:uid="{00000000-0005-0000-0000-0000C5110000}"/>
    <cellStyle name="Normal 31 8" xfId="7812" xr:uid="{00000000-0005-0000-0000-0000C6110000}"/>
    <cellStyle name="Normal 310" xfId="7813" xr:uid="{00000000-0005-0000-0000-0000C7110000}"/>
    <cellStyle name="Normal 310 2" xfId="11020" xr:uid="{00000000-0005-0000-0000-0000C8110000}"/>
    <cellStyle name="Normal 310 2 2" xfId="11581" xr:uid="{00000000-0005-0000-0000-0000C9110000}"/>
    <cellStyle name="Normal 311" xfId="7814" xr:uid="{00000000-0005-0000-0000-0000CA110000}"/>
    <cellStyle name="Normal 311 2" xfId="11019" xr:uid="{00000000-0005-0000-0000-0000CB110000}"/>
    <cellStyle name="Normal 311 2 2" xfId="11580" xr:uid="{00000000-0005-0000-0000-0000CC110000}"/>
    <cellStyle name="Normal 312" xfId="7815" xr:uid="{00000000-0005-0000-0000-0000CD110000}"/>
    <cellStyle name="Normal 312 2" xfId="11368" xr:uid="{00000000-0005-0000-0000-0000CE110000}"/>
    <cellStyle name="Normal 312 2 2" xfId="11282" xr:uid="{00000000-0005-0000-0000-0000CF110000}"/>
    <cellStyle name="Normal 313" xfId="7816" xr:uid="{00000000-0005-0000-0000-0000D0110000}"/>
    <cellStyle name="Normal 313 2" xfId="11972" xr:uid="{00000000-0005-0000-0000-0000D1110000}"/>
    <cellStyle name="Normal 313 2 2" xfId="11037" xr:uid="{00000000-0005-0000-0000-0000D2110000}"/>
    <cellStyle name="Normal 314" xfId="7817" xr:uid="{00000000-0005-0000-0000-0000D3110000}"/>
    <cellStyle name="Normal 315" xfId="7818" xr:uid="{00000000-0005-0000-0000-0000D4110000}"/>
    <cellStyle name="Normal 315 2" xfId="11022" xr:uid="{00000000-0005-0000-0000-0000D5110000}"/>
    <cellStyle name="Normal 316" xfId="7819" xr:uid="{00000000-0005-0000-0000-0000D6110000}"/>
    <cellStyle name="Normal 317" xfId="7820" xr:uid="{00000000-0005-0000-0000-0000D7110000}"/>
    <cellStyle name="Normal 317 2" xfId="11602" xr:uid="{00000000-0005-0000-0000-0000D8110000}"/>
    <cellStyle name="Normal 318" xfId="7821" xr:uid="{00000000-0005-0000-0000-0000D9110000}"/>
    <cellStyle name="Normal 318 2" xfId="11021" xr:uid="{00000000-0005-0000-0000-0000DA110000}"/>
    <cellStyle name="Normal 319" xfId="7822" xr:uid="{00000000-0005-0000-0000-0000DB110000}"/>
    <cellStyle name="Normal 32" xfId="223" xr:uid="{00000000-0005-0000-0000-0000DC110000}"/>
    <cellStyle name="Normal 32 2" xfId="762" xr:uid="{00000000-0005-0000-0000-0000DD110000}"/>
    <cellStyle name="Normal 32 2 2" xfId="9681" xr:uid="{00000000-0005-0000-0000-0000DE110000}"/>
    <cellStyle name="Normal 32 3" xfId="7823" xr:uid="{00000000-0005-0000-0000-0000DF110000}"/>
    <cellStyle name="Normal 32 4" xfId="7824" xr:uid="{00000000-0005-0000-0000-0000E0110000}"/>
    <cellStyle name="Normal 32 5" xfId="7825" xr:uid="{00000000-0005-0000-0000-0000E1110000}"/>
    <cellStyle name="Normal 32 6" xfId="7826" xr:uid="{00000000-0005-0000-0000-0000E2110000}"/>
    <cellStyle name="Normal 32 7" xfId="7827" xr:uid="{00000000-0005-0000-0000-0000E3110000}"/>
    <cellStyle name="Normal 32 8" xfId="7828" xr:uid="{00000000-0005-0000-0000-0000E4110000}"/>
    <cellStyle name="Normal 320" xfId="7829" xr:uid="{00000000-0005-0000-0000-0000E5110000}"/>
    <cellStyle name="Normal 320 2" xfId="11728" xr:uid="{00000000-0005-0000-0000-0000E6110000}"/>
    <cellStyle name="Normal 321" xfId="7830" xr:uid="{00000000-0005-0000-0000-0000E7110000}"/>
    <cellStyle name="Normal 321 2" xfId="11989" xr:uid="{00000000-0005-0000-0000-0000E8110000}"/>
    <cellStyle name="Normal 322" xfId="7831" xr:uid="{00000000-0005-0000-0000-0000E9110000}"/>
    <cellStyle name="Normal 322 2" xfId="13004" xr:uid="{00000000-0005-0000-0000-0000EA110000}"/>
    <cellStyle name="Normal 322 2 2" xfId="13132" xr:uid="{00000000-0005-0000-0000-0000EB110000}"/>
    <cellStyle name="Normal 323" xfId="7832" xr:uid="{00000000-0005-0000-0000-0000EC110000}"/>
    <cellStyle name="Normal 323 2" xfId="11519" xr:uid="{00000000-0005-0000-0000-0000ED110000}"/>
    <cellStyle name="Normal 323 2 2" xfId="13146" xr:uid="{00000000-0005-0000-0000-0000EE110000}"/>
    <cellStyle name="Normal 324" xfId="7833" xr:uid="{00000000-0005-0000-0000-0000EF110000}"/>
    <cellStyle name="Normal 324 2" xfId="13341" xr:uid="{00000000-0005-0000-0000-0000F0110000}"/>
    <cellStyle name="Normal 324 2 2" xfId="11585" xr:uid="{00000000-0005-0000-0000-0000F1110000}"/>
    <cellStyle name="Normal 325" xfId="7834" xr:uid="{00000000-0005-0000-0000-0000F2110000}"/>
    <cellStyle name="Normal 325 2" xfId="11023" xr:uid="{00000000-0005-0000-0000-0000F3110000}"/>
    <cellStyle name="Normal 325 2 2" xfId="11524" xr:uid="{00000000-0005-0000-0000-0000F4110000}"/>
    <cellStyle name="Normal 326" xfId="7835" xr:uid="{00000000-0005-0000-0000-0000F5110000}"/>
    <cellStyle name="Normal 326 2" xfId="11024" xr:uid="{00000000-0005-0000-0000-0000F6110000}"/>
    <cellStyle name="Normal 326 2 2" xfId="11253" xr:uid="{00000000-0005-0000-0000-0000F7110000}"/>
    <cellStyle name="Normal 327" xfId="7836" xr:uid="{00000000-0005-0000-0000-0000F8110000}"/>
    <cellStyle name="Normal 327 2" xfId="11860" xr:uid="{00000000-0005-0000-0000-0000F9110000}"/>
    <cellStyle name="Normal 327 2 2" xfId="13315" xr:uid="{00000000-0005-0000-0000-0000FA110000}"/>
    <cellStyle name="Normal 328" xfId="7837" xr:uid="{00000000-0005-0000-0000-0000FB110000}"/>
    <cellStyle name="Normal 328 2" xfId="12956" xr:uid="{00000000-0005-0000-0000-0000FC110000}"/>
    <cellStyle name="Normal 328 2 2" xfId="13253" xr:uid="{00000000-0005-0000-0000-0000FD110000}"/>
    <cellStyle name="Normal 329" xfId="7838" xr:uid="{00000000-0005-0000-0000-0000FE110000}"/>
    <cellStyle name="Normal 329 2" xfId="13277" xr:uid="{00000000-0005-0000-0000-0000FF110000}"/>
    <cellStyle name="Normal 329 2 2" xfId="13133" xr:uid="{00000000-0005-0000-0000-000000120000}"/>
    <cellStyle name="Normal 33" xfId="224" xr:uid="{00000000-0005-0000-0000-000001120000}"/>
    <cellStyle name="Normal 33 2" xfId="763" xr:uid="{00000000-0005-0000-0000-000002120000}"/>
    <cellStyle name="Normal 33 2 2" xfId="9682" xr:uid="{00000000-0005-0000-0000-000003120000}"/>
    <cellStyle name="Normal 33 3" xfId="7839" xr:uid="{00000000-0005-0000-0000-000004120000}"/>
    <cellStyle name="Normal 33 4" xfId="7840" xr:uid="{00000000-0005-0000-0000-000005120000}"/>
    <cellStyle name="Normal 33 5" xfId="7841" xr:uid="{00000000-0005-0000-0000-000006120000}"/>
    <cellStyle name="Normal 33 6" xfId="7842" xr:uid="{00000000-0005-0000-0000-000007120000}"/>
    <cellStyle name="Normal 33 7" xfId="7843" xr:uid="{00000000-0005-0000-0000-000008120000}"/>
    <cellStyle name="Normal 33 8" xfId="7844" xr:uid="{00000000-0005-0000-0000-000009120000}"/>
    <cellStyle name="Normal 330" xfId="7845" xr:uid="{00000000-0005-0000-0000-00000A120000}"/>
    <cellStyle name="Normal 330 2" xfId="13124" xr:uid="{00000000-0005-0000-0000-00000B120000}"/>
    <cellStyle name="Normal 330 2 2" xfId="12397" xr:uid="{00000000-0005-0000-0000-00000C120000}"/>
    <cellStyle name="Normal 331" xfId="7846" xr:uid="{00000000-0005-0000-0000-00000D120000}"/>
    <cellStyle name="Normal 331 2" xfId="11025" xr:uid="{00000000-0005-0000-0000-00000E120000}"/>
    <cellStyle name="Normal 331 2 2" xfId="11584" xr:uid="{00000000-0005-0000-0000-00000F120000}"/>
    <cellStyle name="Normal 332" xfId="7847" xr:uid="{00000000-0005-0000-0000-000010120000}"/>
    <cellStyle name="Normal 332 2" xfId="12390" xr:uid="{00000000-0005-0000-0000-000011120000}"/>
    <cellStyle name="Normal 332 2 2" xfId="11155" xr:uid="{00000000-0005-0000-0000-000012120000}"/>
    <cellStyle name="Normal 333" xfId="7848" xr:uid="{00000000-0005-0000-0000-000013120000}"/>
    <cellStyle name="Normal 333 2" xfId="11572" xr:uid="{00000000-0005-0000-0000-000014120000}"/>
    <cellStyle name="Normal 333 2 2" xfId="11514" xr:uid="{00000000-0005-0000-0000-000015120000}"/>
    <cellStyle name="Normal 334" xfId="7849" xr:uid="{00000000-0005-0000-0000-000016120000}"/>
    <cellStyle name="Normal 334 2" xfId="11026" xr:uid="{00000000-0005-0000-0000-000017120000}"/>
    <cellStyle name="Normal 334 2 2" xfId="12418" xr:uid="{00000000-0005-0000-0000-000018120000}"/>
    <cellStyle name="Normal 335" xfId="7850" xr:uid="{00000000-0005-0000-0000-000019120000}"/>
    <cellStyle name="Normal 335 2" xfId="12353" xr:uid="{00000000-0005-0000-0000-00001A120000}"/>
    <cellStyle name="Normal 335 2 2" xfId="12884" xr:uid="{00000000-0005-0000-0000-00001B120000}"/>
    <cellStyle name="Normal 336" xfId="7851" xr:uid="{00000000-0005-0000-0000-00001C120000}"/>
    <cellStyle name="Normal 336 2" xfId="11491" xr:uid="{00000000-0005-0000-0000-00001D120000}"/>
    <cellStyle name="Normal 336 2 2" xfId="13025" xr:uid="{00000000-0005-0000-0000-00001E120000}"/>
    <cellStyle name="Normal 337" xfId="7852" xr:uid="{00000000-0005-0000-0000-00001F120000}"/>
    <cellStyle name="Normal 337 2" xfId="11679" xr:uid="{00000000-0005-0000-0000-000020120000}"/>
    <cellStyle name="Normal 337 2 2" xfId="10916" xr:uid="{00000000-0005-0000-0000-000021120000}"/>
    <cellStyle name="Normal 338" xfId="7853" xr:uid="{00000000-0005-0000-0000-000022120000}"/>
    <cellStyle name="Normal 338 2" xfId="11369" xr:uid="{00000000-0005-0000-0000-000023120000}"/>
    <cellStyle name="Normal 338 2 2" xfId="11586" xr:uid="{00000000-0005-0000-0000-000024120000}"/>
    <cellStyle name="Normal 339" xfId="7854" xr:uid="{00000000-0005-0000-0000-000025120000}"/>
    <cellStyle name="Normal 339 2" xfId="11370" xr:uid="{00000000-0005-0000-0000-000026120000}"/>
    <cellStyle name="Normal 339 2 2" xfId="12406" xr:uid="{00000000-0005-0000-0000-000027120000}"/>
    <cellStyle name="Normal 34" xfId="225" xr:uid="{00000000-0005-0000-0000-000028120000}"/>
    <cellStyle name="Normal 34 2" xfId="764" xr:uid="{00000000-0005-0000-0000-000029120000}"/>
    <cellStyle name="Normal 34 2 2" xfId="9683" xr:uid="{00000000-0005-0000-0000-00002A120000}"/>
    <cellStyle name="Normal 34 3" xfId="7855" xr:uid="{00000000-0005-0000-0000-00002B120000}"/>
    <cellStyle name="Normal 34 4" xfId="7856" xr:uid="{00000000-0005-0000-0000-00002C120000}"/>
    <cellStyle name="Normal 34 5" xfId="7857" xr:uid="{00000000-0005-0000-0000-00002D120000}"/>
    <cellStyle name="Normal 34 6" xfId="7858" xr:uid="{00000000-0005-0000-0000-00002E120000}"/>
    <cellStyle name="Normal 34 7" xfId="7859" xr:uid="{00000000-0005-0000-0000-00002F120000}"/>
    <cellStyle name="Normal 34 8" xfId="7860" xr:uid="{00000000-0005-0000-0000-000030120000}"/>
    <cellStyle name="Normal 340" xfId="7861" xr:uid="{00000000-0005-0000-0000-000031120000}"/>
    <cellStyle name="Normal 340 2" xfId="11371" xr:uid="{00000000-0005-0000-0000-000032120000}"/>
    <cellStyle name="Normal 340 2 2" xfId="11588" xr:uid="{00000000-0005-0000-0000-000033120000}"/>
    <cellStyle name="Normal 341" xfId="7862" xr:uid="{00000000-0005-0000-0000-000034120000}"/>
    <cellStyle name="Normal 341 2" xfId="13320" xr:uid="{00000000-0005-0000-0000-000035120000}"/>
    <cellStyle name="Normal 341 2 2" xfId="11587" xr:uid="{00000000-0005-0000-0000-000036120000}"/>
    <cellStyle name="Normal 342" xfId="7863" xr:uid="{00000000-0005-0000-0000-000037120000}"/>
    <cellStyle name="Normal 342 2" xfId="11372" xr:uid="{00000000-0005-0000-0000-000038120000}"/>
    <cellStyle name="Normal 342 2 2" xfId="12378" xr:uid="{00000000-0005-0000-0000-000039120000}"/>
    <cellStyle name="Normal 343" xfId="7864" xr:uid="{00000000-0005-0000-0000-00003A120000}"/>
    <cellStyle name="Normal 343 2" xfId="13258" xr:uid="{00000000-0005-0000-0000-00003B120000}"/>
    <cellStyle name="Normal 343 2 2" xfId="11305" xr:uid="{00000000-0005-0000-0000-00003C120000}"/>
    <cellStyle name="Normal 344" xfId="7865" xr:uid="{00000000-0005-0000-0000-00003D120000}"/>
    <cellStyle name="Normal 344 2" xfId="12014" xr:uid="{00000000-0005-0000-0000-00003E120000}"/>
    <cellStyle name="Normal 344 2 2" xfId="11583" xr:uid="{00000000-0005-0000-0000-00003F120000}"/>
    <cellStyle name="Normal 345" xfId="7866" xr:uid="{00000000-0005-0000-0000-000040120000}"/>
    <cellStyle name="Normal 345 2" xfId="11574" xr:uid="{00000000-0005-0000-0000-000041120000}"/>
    <cellStyle name="Normal 345 2 2" xfId="11589" xr:uid="{00000000-0005-0000-0000-000042120000}"/>
    <cellStyle name="Normal 346" xfId="7867" xr:uid="{00000000-0005-0000-0000-000043120000}"/>
    <cellStyle name="Normal 346 2" xfId="11934" xr:uid="{00000000-0005-0000-0000-000044120000}"/>
    <cellStyle name="Normal 346 2 2" xfId="11483" xr:uid="{00000000-0005-0000-0000-000045120000}"/>
    <cellStyle name="Normal 347" xfId="7868" xr:uid="{00000000-0005-0000-0000-000046120000}"/>
    <cellStyle name="Normal 347 2" xfId="10907" xr:uid="{00000000-0005-0000-0000-000047120000}"/>
    <cellStyle name="Normal 347 2 2" xfId="12984" xr:uid="{00000000-0005-0000-0000-000048120000}"/>
    <cellStyle name="Normal 348" xfId="7869" xr:uid="{00000000-0005-0000-0000-000049120000}"/>
    <cellStyle name="Normal 348 2" xfId="12568" xr:uid="{00000000-0005-0000-0000-00004A120000}"/>
    <cellStyle name="Normal 348 2 2" xfId="10942" xr:uid="{00000000-0005-0000-0000-00004B120000}"/>
    <cellStyle name="Normal 349" xfId="7870" xr:uid="{00000000-0005-0000-0000-00004C120000}"/>
    <cellStyle name="Normal 349 2" xfId="11295" xr:uid="{00000000-0005-0000-0000-00004D120000}"/>
    <cellStyle name="Normal 349 2 2" xfId="10941" xr:uid="{00000000-0005-0000-0000-00004E120000}"/>
    <cellStyle name="Normal 35" xfId="226" xr:uid="{00000000-0005-0000-0000-00004F120000}"/>
    <cellStyle name="Normal 35 2" xfId="765" xr:uid="{00000000-0005-0000-0000-000050120000}"/>
    <cellStyle name="Normal 35 2 2" xfId="9684" xr:uid="{00000000-0005-0000-0000-000051120000}"/>
    <cellStyle name="Normal 35 3" xfId="7871" xr:uid="{00000000-0005-0000-0000-000052120000}"/>
    <cellStyle name="Normal 35 4" xfId="7872" xr:uid="{00000000-0005-0000-0000-000053120000}"/>
    <cellStyle name="Normal 35 5" xfId="7873" xr:uid="{00000000-0005-0000-0000-000054120000}"/>
    <cellStyle name="Normal 35 6" xfId="7874" xr:uid="{00000000-0005-0000-0000-000055120000}"/>
    <cellStyle name="Normal 35 7" xfId="7875" xr:uid="{00000000-0005-0000-0000-000056120000}"/>
    <cellStyle name="Normal 35 8" xfId="7876" xr:uid="{00000000-0005-0000-0000-000057120000}"/>
    <cellStyle name="Normal 350" xfId="7877" xr:uid="{00000000-0005-0000-0000-000058120000}"/>
    <cellStyle name="Normal 350 2" xfId="11029" xr:uid="{00000000-0005-0000-0000-000059120000}"/>
    <cellStyle name="Normal 350 2 2" xfId="12370" xr:uid="{00000000-0005-0000-0000-00005A120000}"/>
    <cellStyle name="Normal 351" xfId="7878" xr:uid="{00000000-0005-0000-0000-00005B120000}"/>
    <cellStyle name="Normal 351 2" xfId="10908" xr:uid="{00000000-0005-0000-0000-00005C120000}"/>
    <cellStyle name="Normal 351 2 2" xfId="11528" xr:uid="{00000000-0005-0000-0000-00005D120000}"/>
    <cellStyle name="Normal 352" xfId="7879" xr:uid="{00000000-0005-0000-0000-00005E120000}"/>
    <cellStyle name="Normal 352 2" xfId="10925" xr:uid="{00000000-0005-0000-0000-00005F120000}"/>
    <cellStyle name="Normal 352 2 2" xfId="13337" xr:uid="{00000000-0005-0000-0000-000060120000}"/>
    <cellStyle name="Normal 353" xfId="7880" xr:uid="{00000000-0005-0000-0000-000061120000}"/>
    <cellStyle name="Normal 353 2" xfId="12569" xr:uid="{00000000-0005-0000-0000-000062120000}"/>
    <cellStyle name="Normal 353 2 2" xfId="13273" xr:uid="{00000000-0005-0000-0000-000063120000}"/>
    <cellStyle name="Normal 354" xfId="7881" xr:uid="{00000000-0005-0000-0000-000064120000}"/>
    <cellStyle name="Normal 354 2" xfId="11910" xr:uid="{00000000-0005-0000-0000-000065120000}"/>
    <cellStyle name="Normal 354 2 2" xfId="11156" xr:uid="{00000000-0005-0000-0000-000066120000}"/>
    <cellStyle name="Normal 355" xfId="7882" xr:uid="{00000000-0005-0000-0000-000067120000}"/>
    <cellStyle name="Normal 355 2" xfId="12571" xr:uid="{00000000-0005-0000-0000-000068120000}"/>
    <cellStyle name="Normal 355 2 2" xfId="10909" xr:uid="{00000000-0005-0000-0000-000069120000}"/>
    <cellStyle name="Normal 356" xfId="7883" xr:uid="{00000000-0005-0000-0000-00006A120000}"/>
    <cellStyle name="Normal 356 2" xfId="7884" xr:uid="{00000000-0005-0000-0000-00006B120000}"/>
    <cellStyle name="Normal 356 3" xfId="7885" xr:uid="{00000000-0005-0000-0000-00006C120000}"/>
    <cellStyle name="Normal 356 3 2" xfId="7886" xr:uid="{00000000-0005-0000-0000-00006D120000}"/>
    <cellStyle name="Normal 356 4" xfId="13297" xr:uid="{00000000-0005-0000-0000-00006E120000}"/>
    <cellStyle name="Normal 356 4 2" xfId="11283" xr:uid="{00000000-0005-0000-0000-00006F120000}"/>
    <cellStyle name="Normal 357" xfId="7887" xr:uid="{00000000-0005-0000-0000-000070120000}"/>
    <cellStyle name="Normal 357 2" xfId="7888" xr:uid="{00000000-0005-0000-0000-000071120000}"/>
    <cellStyle name="Normal 357 3" xfId="7889" xr:uid="{00000000-0005-0000-0000-000072120000}"/>
    <cellStyle name="Normal 357 3 2" xfId="7890" xr:uid="{00000000-0005-0000-0000-000073120000}"/>
    <cellStyle name="Normal 357 4" xfId="11820" xr:uid="{00000000-0005-0000-0000-000074120000}"/>
    <cellStyle name="Normal 357 4 2" xfId="10944" xr:uid="{00000000-0005-0000-0000-000075120000}"/>
    <cellStyle name="Normal 358" xfId="7891" xr:uid="{00000000-0005-0000-0000-000076120000}"/>
    <cellStyle name="Normal 358 2" xfId="13234" xr:uid="{00000000-0005-0000-0000-000077120000}"/>
    <cellStyle name="Normal 358 2 2" xfId="10943" xr:uid="{00000000-0005-0000-0000-000078120000}"/>
    <cellStyle name="Normal 359" xfId="7892" xr:uid="{00000000-0005-0000-0000-000079120000}"/>
    <cellStyle name="Normal 359 2" xfId="12570" xr:uid="{00000000-0005-0000-0000-00007A120000}"/>
    <cellStyle name="Normal 359 2 2" xfId="11252" xr:uid="{00000000-0005-0000-0000-00007B120000}"/>
    <cellStyle name="Normal 36" xfId="227" xr:uid="{00000000-0005-0000-0000-00007C120000}"/>
    <cellStyle name="Normal 36 2" xfId="766" xr:uid="{00000000-0005-0000-0000-00007D120000}"/>
    <cellStyle name="Normal 36 2 2" xfId="9685" xr:uid="{00000000-0005-0000-0000-00007E120000}"/>
    <cellStyle name="Normal 36 3" xfId="7893" xr:uid="{00000000-0005-0000-0000-00007F120000}"/>
    <cellStyle name="Normal 36 4" xfId="7894" xr:uid="{00000000-0005-0000-0000-000080120000}"/>
    <cellStyle name="Normal 36 5" xfId="7895" xr:uid="{00000000-0005-0000-0000-000081120000}"/>
    <cellStyle name="Normal 36 6" xfId="7896" xr:uid="{00000000-0005-0000-0000-000082120000}"/>
    <cellStyle name="Normal 36 7" xfId="7897" xr:uid="{00000000-0005-0000-0000-000083120000}"/>
    <cellStyle name="Normal 36 8" xfId="7898" xr:uid="{00000000-0005-0000-0000-000084120000}"/>
    <cellStyle name="Normal 360" xfId="7899" xr:uid="{00000000-0005-0000-0000-000085120000}"/>
    <cellStyle name="Normal 360 2" xfId="12912" xr:uid="{00000000-0005-0000-0000-000086120000}"/>
    <cellStyle name="Normal 360 2 2" xfId="11290" xr:uid="{00000000-0005-0000-0000-000087120000}"/>
    <cellStyle name="Normal 361" xfId="7900" xr:uid="{00000000-0005-0000-0000-000088120000}"/>
    <cellStyle name="Normal 361 2" xfId="13296" xr:uid="{00000000-0005-0000-0000-000089120000}"/>
    <cellStyle name="Normal 361 2 2" xfId="12991" xr:uid="{00000000-0005-0000-0000-00008A120000}"/>
    <cellStyle name="Normal 362" xfId="7901" xr:uid="{00000000-0005-0000-0000-00008B120000}"/>
    <cellStyle name="Normal 362 2" xfId="11373" xr:uid="{00000000-0005-0000-0000-00008C120000}"/>
    <cellStyle name="Normal 362 2 2" xfId="13316" xr:uid="{00000000-0005-0000-0000-00008D120000}"/>
    <cellStyle name="Normal 363" xfId="7902" xr:uid="{00000000-0005-0000-0000-00008E120000}"/>
    <cellStyle name="Normal 363 2" xfId="13024" xr:uid="{00000000-0005-0000-0000-00008F120000}"/>
    <cellStyle name="Normal 363 2 2" xfId="10945" xr:uid="{00000000-0005-0000-0000-000090120000}"/>
    <cellStyle name="Normal 364" xfId="7903" xr:uid="{00000000-0005-0000-0000-000091120000}"/>
    <cellStyle name="Normal 364 2" xfId="11783" xr:uid="{00000000-0005-0000-0000-000092120000}"/>
    <cellStyle name="Normal 364 2 2" xfId="10946" xr:uid="{00000000-0005-0000-0000-000093120000}"/>
    <cellStyle name="Normal 365" xfId="7904" xr:uid="{00000000-0005-0000-0000-000094120000}"/>
    <cellStyle name="Normal 365 2" xfId="11374" xr:uid="{00000000-0005-0000-0000-000095120000}"/>
    <cellStyle name="Normal 365 2 2" xfId="11039" xr:uid="{00000000-0005-0000-0000-000096120000}"/>
    <cellStyle name="Normal 366" xfId="7905" xr:uid="{00000000-0005-0000-0000-000097120000}"/>
    <cellStyle name="Normal 366 2" xfId="13233" xr:uid="{00000000-0005-0000-0000-000098120000}"/>
    <cellStyle name="Normal 366 2 2" xfId="13254" xr:uid="{00000000-0005-0000-0000-000099120000}"/>
    <cellStyle name="Normal 367" xfId="7906" xr:uid="{00000000-0005-0000-0000-00009A120000}"/>
    <cellStyle name="Normal 367 2" xfId="11146" xr:uid="{00000000-0005-0000-0000-00009B120000}"/>
    <cellStyle name="Normal 367 2 2" xfId="12396" xr:uid="{00000000-0005-0000-0000-00009C120000}"/>
    <cellStyle name="Normal 368" xfId="7907" xr:uid="{00000000-0005-0000-0000-00009D120000}"/>
    <cellStyle name="Normal 368 2" xfId="11246" xr:uid="{00000000-0005-0000-0000-00009E120000}"/>
    <cellStyle name="Normal 368 2 2" xfId="10947" xr:uid="{00000000-0005-0000-0000-00009F120000}"/>
    <cellStyle name="Normal 369" xfId="7908" xr:uid="{00000000-0005-0000-0000-0000A0120000}"/>
    <cellStyle name="Normal 369 2" xfId="11468" xr:uid="{00000000-0005-0000-0000-0000A1120000}"/>
    <cellStyle name="Normal 369 2 2" xfId="11268" xr:uid="{00000000-0005-0000-0000-0000A2120000}"/>
    <cellStyle name="Normal 37" xfId="228" xr:uid="{00000000-0005-0000-0000-0000A3120000}"/>
    <cellStyle name="Normal 37 10" xfId="9033" xr:uid="{00000000-0005-0000-0000-0000A4120000}"/>
    <cellStyle name="Normal 37 11" xfId="10659" xr:uid="{00000000-0005-0000-0000-0000A5120000}"/>
    <cellStyle name="Normal 37 12" xfId="10791" xr:uid="{00000000-0005-0000-0000-0000A6120000}"/>
    <cellStyle name="Normal 37 2" xfId="229" xr:uid="{00000000-0005-0000-0000-0000A7120000}"/>
    <cellStyle name="Normal 37 2 10" xfId="10660" xr:uid="{00000000-0005-0000-0000-0000A8120000}"/>
    <cellStyle name="Normal 37 2 11" xfId="10792" xr:uid="{00000000-0005-0000-0000-0000A9120000}"/>
    <cellStyle name="Normal 37 2 2" xfId="9219" xr:uid="{00000000-0005-0000-0000-0000AA120000}"/>
    <cellStyle name="Normal 37 2 2 2" xfId="9358" xr:uid="{00000000-0005-0000-0000-0000AB120000}"/>
    <cellStyle name="Normal 37 2 2 2 2" xfId="9773" xr:uid="{00000000-0005-0000-0000-0000AC120000}"/>
    <cellStyle name="Normal 37 2 2 2 2 2" xfId="10066" xr:uid="{00000000-0005-0000-0000-0000AD120000}"/>
    <cellStyle name="Normal 37 2 2 2 3" xfId="10065" xr:uid="{00000000-0005-0000-0000-0000AE120000}"/>
    <cellStyle name="Normal 37 2 2 3" xfId="9493" xr:uid="{00000000-0005-0000-0000-0000AF120000}"/>
    <cellStyle name="Normal 37 2 2 3 2" xfId="10067" xr:uid="{00000000-0005-0000-0000-0000B0120000}"/>
    <cellStyle name="Normal 37 2 2 4" xfId="10064" xr:uid="{00000000-0005-0000-0000-0000B1120000}"/>
    <cellStyle name="Normal 37 2 2 5" xfId="10705" xr:uid="{00000000-0005-0000-0000-0000B2120000}"/>
    <cellStyle name="Normal 37 2 2 6" xfId="10836" xr:uid="{00000000-0005-0000-0000-0000B3120000}"/>
    <cellStyle name="Normal 37 2 3" xfId="9275" xr:uid="{00000000-0005-0000-0000-0000B4120000}"/>
    <cellStyle name="Normal 37 2 3 2" xfId="9393" xr:uid="{00000000-0005-0000-0000-0000B5120000}"/>
    <cellStyle name="Normal 37 2 3 2 2" xfId="9814" xr:uid="{00000000-0005-0000-0000-0000B6120000}"/>
    <cellStyle name="Normal 37 2 3 2 2 2" xfId="10070" xr:uid="{00000000-0005-0000-0000-0000B7120000}"/>
    <cellStyle name="Normal 37 2 3 2 3" xfId="10069" xr:uid="{00000000-0005-0000-0000-0000B8120000}"/>
    <cellStyle name="Normal 37 2 3 3" xfId="9533" xr:uid="{00000000-0005-0000-0000-0000B9120000}"/>
    <cellStyle name="Normal 37 2 3 3 2" xfId="10071" xr:uid="{00000000-0005-0000-0000-0000BA120000}"/>
    <cellStyle name="Normal 37 2 3 4" xfId="10068" xr:uid="{00000000-0005-0000-0000-0000BB120000}"/>
    <cellStyle name="Normal 37 2 3 5" xfId="10745" xr:uid="{00000000-0005-0000-0000-0000BC120000}"/>
    <cellStyle name="Normal 37 2 3 6" xfId="10875" xr:uid="{00000000-0005-0000-0000-0000BD120000}"/>
    <cellStyle name="Normal 37 2 4" xfId="9176" xr:uid="{00000000-0005-0000-0000-0000BE120000}"/>
    <cellStyle name="Normal 37 2 4 2" xfId="9628" xr:uid="{00000000-0005-0000-0000-0000BF120000}"/>
    <cellStyle name="Normal 37 2 4 2 2" xfId="10073" xr:uid="{00000000-0005-0000-0000-0000C0120000}"/>
    <cellStyle name="Normal 37 2 4 3" xfId="10072" xr:uid="{00000000-0005-0000-0000-0000C1120000}"/>
    <cellStyle name="Normal 37 2 5" xfId="9320" xr:uid="{00000000-0005-0000-0000-0000C2120000}"/>
    <cellStyle name="Normal 37 2 5 2" xfId="9731" xr:uid="{00000000-0005-0000-0000-0000C3120000}"/>
    <cellStyle name="Normal 37 2 5 2 2" xfId="10075" xr:uid="{00000000-0005-0000-0000-0000C4120000}"/>
    <cellStyle name="Normal 37 2 5 3" xfId="10074" xr:uid="{00000000-0005-0000-0000-0000C5120000}"/>
    <cellStyle name="Normal 37 2 6" xfId="9102" xr:uid="{00000000-0005-0000-0000-0000C6120000}"/>
    <cellStyle name="Normal 37 2 6 2" xfId="9581" xr:uid="{00000000-0005-0000-0000-0000C7120000}"/>
    <cellStyle name="Normal 37 2 6 2 2" xfId="10077" xr:uid="{00000000-0005-0000-0000-0000C8120000}"/>
    <cellStyle name="Normal 37 2 6 3" xfId="10076" xr:uid="{00000000-0005-0000-0000-0000C9120000}"/>
    <cellStyle name="Normal 37 2 7" xfId="9450" xr:uid="{00000000-0005-0000-0000-0000CA120000}"/>
    <cellStyle name="Normal 37 2 7 2" xfId="10078" xr:uid="{00000000-0005-0000-0000-0000CB120000}"/>
    <cellStyle name="Normal 37 2 8" xfId="9875" xr:uid="{00000000-0005-0000-0000-0000CC120000}"/>
    <cellStyle name="Normal 37 2 9" xfId="9034" xr:uid="{00000000-0005-0000-0000-0000CD120000}"/>
    <cellStyle name="Normal 37 3" xfId="9218" xr:uid="{00000000-0005-0000-0000-0000CE120000}"/>
    <cellStyle name="Normal 37 3 2" xfId="9357" xr:uid="{00000000-0005-0000-0000-0000CF120000}"/>
    <cellStyle name="Normal 37 3 2 2" xfId="9772" xr:uid="{00000000-0005-0000-0000-0000D0120000}"/>
    <cellStyle name="Normal 37 3 2 2 2" xfId="10081" xr:uid="{00000000-0005-0000-0000-0000D1120000}"/>
    <cellStyle name="Normal 37 3 2 3" xfId="10080" xr:uid="{00000000-0005-0000-0000-0000D2120000}"/>
    <cellStyle name="Normal 37 3 3" xfId="9492" xr:uid="{00000000-0005-0000-0000-0000D3120000}"/>
    <cellStyle name="Normal 37 3 3 2" xfId="10082" xr:uid="{00000000-0005-0000-0000-0000D4120000}"/>
    <cellStyle name="Normal 37 3 4" xfId="10079" xr:uid="{00000000-0005-0000-0000-0000D5120000}"/>
    <cellStyle name="Normal 37 3 5" xfId="10704" xr:uid="{00000000-0005-0000-0000-0000D6120000}"/>
    <cellStyle name="Normal 37 3 6" xfId="10835" xr:uid="{00000000-0005-0000-0000-0000D7120000}"/>
    <cellStyle name="Normal 37 4" xfId="9274" xr:uid="{00000000-0005-0000-0000-0000D8120000}"/>
    <cellStyle name="Normal 37 4 2" xfId="9392" xr:uid="{00000000-0005-0000-0000-0000D9120000}"/>
    <cellStyle name="Normal 37 4 2 2" xfId="9813" xr:uid="{00000000-0005-0000-0000-0000DA120000}"/>
    <cellStyle name="Normal 37 4 2 2 2" xfId="10085" xr:uid="{00000000-0005-0000-0000-0000DB120000}"/>
    <cellStyle name="Normal 37 4 2 3" xfId="10084" xr:uid="{00000000-0005-0000-0000-0000DC120000}"/>
    <cellStyle name="Normal 37 4 3" xfId="9532" xr:uid="{00000000-0005-0000-0000-0000DD120000}"/>
    <cellStyle name="Normal 37 4 3 2" xfId="10086" xr:uid="{00000000-0005-0000-0000-0000DE120000}"/>
    <cellStyle name="Normal 37 4 4" xfId="10083" xr:uid="{00000000-0005-0000-0000-0000DF120000}"/>
    <cellStyle name="Normal 37 4 5" xfId="10744" xr:uid="{00000000-0005-0000-0000-0000E0120000}"/>
    <cellStyle name="Normal 37 4 6" xfId="10874" xr:uid="{00000000-0005-0000-0000-0000E1120000}"/>
    <cellStyle name="Normal 37 5" xfId="9175" xr:uid="{00000000-0005-0000-0000-0000E2120000}"/>
    <cellStyle name="Normal 37 5 2" xfId="9627" xr:uid="{00000000-0005-0000-0000-0000E3120000}"/>
    <cellStyle name="Normal 37 5 2 2" xfId="10088" xr:uid="{00000000-0005-0000-0000-0000E4120000}"/>
    <cellStyle name="Normal 37 5 3" xfId="10087" xr:uid="{00000000-0005-0000-0000-0000E5120000}"/>
    <cellStyle name="Normal 37 6" xfId="9319" xr:uid="{00000000-0005-0000-0000-0000E6120000}"/>
    <cellStyle name="Normal 37 6 2" xfId="9730" xr:uid="{00000000-0005-0000-0000-0000E7120000}"/>
    <cellStyle name="Normal 37 6 2 2" xfId="10090" xr:uid="{00000000-0005-0000-0000-0000E8120000}"/>
    <cellStyle name="Normal 37 6 3" xfId="10089" xr:uid="{00000000-0005-0000-0000-0000E9120000}"/>
    <cellStyle name="Normal 37 7" xfId="9101" xr:uid="{00000000-0005-0000-0000-0000EA120000}"/>
    <cellStyle name="Normal 37 7 2" xfId="9580" xr:uid="{00000000-0005-0000-0000-0000EB120000}"/>
    <cellStyle name="Normal 37 7 2 2" xfId="10092" xr:uid="{00000000-0005-0000-0000-0000EC120000}"/>
    <cellStyle name="Normal 37 7 3" xfId="10091" xr:uid="{00000000-0005-0000-0000-0000ED120000}"/>
    <cellStyle name="Normal 37 8" xfId="9449" xr:uid="{00000000-0005-0000-0000-0000EE120000}"/>
    <cellStyle name="Normal 37 8 2" xfId="10093" xr:uid="{00000000-0005-0000-0000-0000EF120000}"/>
    <cellStyle name="Normal 37 9" xfId="9874" xr:uid="{00000000-0005-0000-0000-0000F0120000}"/>
    <cellStyle name="Normal 370" xfId="7909" xr:uid="{00000000-0005-0000-0000-0000F1120000}"/>
    <cellStyle name="Normal 370 2" xfId="11030" xr:uid="{00000000-0005-0000-0000-0000F2120000}"/>
    <cellStyle name="Normal 370 2 2" xfId="12417" xr:uid="{00000000-0005-0000-0000-0000F3120000}"/>
    <cellStyle name="Normal 371" xfId="7910" xr:uid="{00000000-0005-0000-0000-0000F4120000}"/>
    <cellStyle name="Normal 371 2" xfId="13126" xr:uid="{00000000-0005-0000-0000-0000F5120000}"/>
    <cellStyle name="Normal 371 2 2" xfId="12995" xr:uid="{00000000-0005-0000-0000-0000F6120000}"/>
    <cellStyle name="Normal 372" xfId="7911" xr:uid="{00000000-0005-0000-0000-0000F7120000}"/>
    <cellStyle name="Normal 372 2" xfId="12381" xr:uid="{00000000-0005-0000-0000-0000F8120000}"/>
    <cellStyle name="Normal 372 2 2" xfId="13293" xr:uid="{00000000-0005-0000-0000-0000F9120000}"/>
    <cellStyle name="Normal 373" xfId="7912" xr:uid="{00000000-0005-0000-0000-0000FA120000}"/>
    <cellStyle name="Normal 373 2" xfId="13105" xr:uid="{00000000-0005-0000-0000-0000FB120000}"/>
    <cellStyle name="Normal 373 2 2" xfId="13230" xr:uid="{00000000-0005-0000-0000-0000FC120000}"/>
    <cellStyle name="Normal 374" xfId="7913" xr:uid="{00000000-0005-0000-0000-0000FD120000}"/>
    <cellStyle name="Normal 374 2" xfId="13127" xr:uid="{00000000-0005-0000-0000-0000FE120000}"/>
    <cellStyle name="Normal 374 2 2" xfId="11164" xr:uid="{00000000-0005-0000-0000-0000FF120000}"/>
    <cellStyle name="Normal 375" xfId="7914" xr:uid="{00000000-0005-0000-0000-000000130000}"/>
    <cellStyle name="Normal 375 2" xfId="11575" xr:uid="{00000000-0005-0000-0000-000001130000}"/>
    <cellStyle name="Normal 375 2 2" xfId="13023" xr:uid="{00000000-0005-0000-0000-000002130000}"/>
    <cellStyle name="Normal 376" xfId="7915" xr:uid="{00000000-0005-0000-0000-000003130000}"/>
    <cellStyle name="Normal 376 2" xfId="12360" xr:uid="{00000000-0005-0000-0000-000004130000}"/>
    <cellStyle name="Normal 376 2 2" xfId="11249" xr:uid="{00000000-0005-0000-0000-000005130000}"/>
    <cellStyle name="Normal 377" xfId="7916" xr:uid="{00000000-0005-0000-0000-000006130000}"/>
    <cellStyle name="Normal 377 2" xfId="13166" xr:uid="{00000000-0005-0000-0000-000007130000}"/>
    <cellStyle name="Normal 377 2 2" xfId="10948" xr:uid="{00000000-0005-0000-0000-000008130000}"/>
    <cellStyle name="Normal 378" xfId="7917" xr:uid="{00000000-0005-0000-0000-000009130000}"/>
    <cellStyle name="Normal 378 2" xfId="10936" xr:uid="{00000000-0005-0000-0000-00000A130000}"/>
    <cellStyle name="Normal 378 2 2" xfId="12407" xr:uid="{00000000-0005-0000-0000-00000B130000}"/>
    <cellStyle name="Normal 379" xfId="7918" xr:uid="{00000000-0005-0000-0000-00000C130000}"/>
    <cellStyle name="Normal 379 2" xfId="11031" xr:uid="{00000000-0005-0000-0000-00000D130000}"/>
    <cellStyle name="Normal 379 2 2" xfId="10950" xr:uid="{00000000-0005-0000-0000-00000E130000}"/>
    <cellStyle name="Normal 38" xfId="230" xr:uid="{00000000-0005-0000-0000-00000F130000}"/>
    <cellStyle name="Normal 38 10" xfId="10661" xr:uid="{00000000-0005-0000-0000-000010130000}"/>
    <cellStyle name="Normal 38 11" xfId="10793" xr:uid="{00000000-0005-0000-0000-000011130000}"/>
    <cellStyle name="Normal 38 12" xfId="8964" xr:uid="{00000000-0005-0000-0000-000012130000}"/>
    <cellStyle name="Normal 38 2" xfId="767" xr:uid="{00000000-0005-0000-0000-000013130000}"/>
    <cellStyle name="Normal 38 2 2" xfId="9359" xr:uid="{00000000-0005-0000-0000-000014130000}"/>
    <cellStyle name="Normal 38 2 2 2" xfId="9774" xr:uid="{00000000-0005-0000-0000-000015130000}"/>
    <cellStyle name="Normal 38 2 2 2 2" xfId="10096" xr:uid="{00000000-0005-0000-0000-000016130000}"/>
    <cellStyle name="Normal 38 2 2 3" xfId="10095" xr:uid="{00000000-0005-0000-0000-000017130000}"/>
    <cellStyle name="Normal 38 2 3" xfId="9494" xr:uid="{00000000-0005-0000-0000-000018130000}"/>
    <cellStyle name="Normal 38 2 3 2" xfId="10097" xr:uid="{00000000-0005-0000-0000-000019130000}"/>
    <cellStyle name="Normal 38 2 4" xfId="10094" xr:uid="{00000000-0005-0000-0000-00001A130000}"/>
    <cellStyle name="Normal 38 2 5" xfId="10706" xr:uid="{00000000-0005-0000-0000-00001B130000}"/>
    <cellStyle name="Normal 38 2 6" xfId="10837" xr:uid="{00000000-0005-0000-0000-00001C130000}"/>
    <cellStyle name="Normal 38 2 7" xfId="9220" xr:uid="{00000000-0005-0000-0000-00001D130000}"/>
    <cellStyle name="Normal 38 3" xfId="7919" xr:uid="{00000000-0005-0000-0000-00001E130000}"/>
    <cellStyle name="Normal 38 3 2" xfId="9394" xr:uid="{00000000-0005-0000-0000-00001F130000}"/>
    <cellStyle name="Normal 38 3 2 2" xfId="9815" xr:uid="{00000000-0005-0000-0000-000020130000}"/>
    <cellStyle name="Normal 38 3 2 2 2" xfId="10100" xr:uid="{00000000-0005-0000-0000-000021130000}"/>
    <cellStyle name="Normal 38 3 2 3" xfId="10099" xr:uid="{00000000-0005-0000-0000-000022130000}"/>
    <cellStyle name="Normal 38 3 3" xfId="9534" xr:uid="{00000000-0005-0000-0000-000023130000}"/>
    <cellStyle name="Normal 38 3 3 2" xfId="10101" xr:uid="{00000000-0005-0000-0000-000024130000}"/>
    <cellStyle name="Normal 38 3 4" xfId="10098" xr:uid="{00000000-0005-0000-0000-000025130000}"/>
    <cellStyle name="Normal 38 3 5" xfId="10746" xr:uid="{00000000-0005-0000-0000-000026130000}"/>
    <cellStyle name="Normal 38 3 6" xfId="10876" xr:uid="{00000000-0005-0000-0000-000027130000}"/>
    <cellStyle name="Normal 38 3 7" xfId="9276" xr:uid="{00000000-0005-0000-0000-000028130000}"/>
    <cellStyle name="Normal 38 4" xfId="7920" xr:uid="{00000000-0005-0000-0000-000029130000}"/>
    <cellStyle name="Normal 38 4 2" xfId="9629" xr:uid="{00000000-0005-0000-0000-00002A130000}"/>
    <cellStyle name="Normal 38 4 2 2" xfId="10103" xr:uid="{00000000-0005-0000-0000-00002B130000}"/>
    <cellStyle name="Normal 38 4 3" xfId="10102" xr:uid="{00000000-0005-0000-0000-00002C130000}"/>
    <cellStyle name="Normal 38 4 4" xfId="9177" xr:uid="{00000000-0005-0000-0000-00002D130000}"/>
    <cellStyle name="Normal 38 5" xfId="7921" xr:uid="{00000000-0005-0000-0000-00002E130000}"/>
    <cellStyle name="Normal 38 5 2" xfId="9732" xr:uid="{00000000-0005-0000-0000-00002F130000}"/>
    <cellStyle name="Normal 38 5 2 2" xfId="10105" xr:uid="{00000000-0005-0000-0000-000030130000}"/>
    <cellStyle name="Normal 38 5 3" xfId="10104" xr:uid="{00000000-0005-0000-0000-000031130000}"/>
    <cellStyle name="Normal 38 5 4" xfId="9321" xr:uid="{00000000-0005-0000-0000-000032130000}"/>
    <cellStyle name="Normal 38 6" xfId="7922" xr:uid="{00000000-0005-0000-0000-000033130000}"/>
    <cellStyle name="Normal 38 6 2" xfId="9582" xr:uid="{00000000-0005-0000-0000-000034130000}"/>
    <cellStyle name="Normal 38 6 2 2" xfId="10107" xr:uid="{00000000-0005-0000-0000-000035130000}"/>
    <cellStyle name="Normal 38 6 3" xfId="10106" xr:uid="{00000000-0005-0000-0000-000036130000}"/>
    <cellStyle name="Normal 38 6 4" xfId="9103" xr:uid="{00000000-0005-0000-0000-000037130000}"/>
    <cellStyle name="Normal 38 7" xfId="7923" xr:uid="{00000000-0005-0000-0000-000038130000}"/>
    <cellStyle name="Normal 38 7 2" xfId="10108" xr:uid="{00000000-0005-0000-0000-000039130000}"/>
    <cellStyle name="Normal 38 7 3" xfId="9451" xr:uid="{00000000-0005-0000-0000-00003A130000}"/>
    <cellStyle name="Normal 38 8" xfId="7924" xr:uid="{00000000-0005-0000-0000-00003B130000}"/>
    <cellStyle name="Normal 38 8 2" xfId="9876" xr:uid="{00000000-0005-0000-0000-00003C130000}"/>
    <cellStyle name="Normal 38 9" xfId="9035" xr:uid="{00000000-0005-0000-0000-00003D130000}"/>
    <cellStyle name="Normal 380" xfId="7925" xr:uid="{00000000-0005-0000-0000-00003E130000}"/>
    <cellStyle name="Normal 380 2" xfId="11274" xr:uid="{00000000-0005-0000-0000-00003F130000}"/>
    <cellStyle name="Normal 380 2 2" xfId="10949" xr:uid="{00000000-0005-0000-0000-000040130000}"/>
    <cellStyle name="Normal 381" xfId="7926" xr:uid="{00000000-0005-0000-0000-000041130000}"/>
    <cellStyle name="Normal 381 2" xfId="13007" xr:uid="{00000000-0005-0000-0000-000042130000}"/>
    <cellStyle name="Normal 381 2 2" xfId="12379" xr:uid="{00000000-0005-0000-0000-000043130000}"/>
    <cellStyle name="Normal 382" xfId="7927" xr:uid="{00000000-0005-0000-0000-000044130000}"/>
    <cellStyle name="Normal 382 2" xfId="13335" xr:uid="{00000000-0005-0000-0000-000045130000}"/>
    <cellStyle name="Normal 382 2 2" xfId="11073" xr:uid="{00000000-0005-0000-0000-000046130000}"/>
    <cellStyle name="Normal 383" xfId="7928" xr:uid="{00000000-0005-0000-0000-000047130000}"/>
    <cellStyle name="Normal 383 2" xfId="13271" xr:uid="{00000000-0005-0000-0000-000048130000}"/>
    <cellStyle name="Normal 383 2 2" xfId="10951" xr:uid="{00000000-0005-0000-0000-000049130000}"/>
    <cellStyle name="Normal 384" xfId="7929" xr:uid="{00000000-0005-0000-0000-00004A130000}"/>
    <cellStyle name="Normal 384 2" xfId="12737" xr:uid="{00000000-0005-0000-0000-00004B130000}"/>
    <cellStyle name="Normal 384 2 2" xfId="11040" xr:uid="{00000000-0005-0000-0000-00004C130000}"/>
    <cellStyle name="Normal 385" xfId="7930" xr:uid="{00000000-0005-0000-0000-00004D130000}"/>
    <cellStyle name="Normal 385 2" xfId="10937" xr:uid="{00000000-0005-0000-0000-00004E130000}"/>
    <cellStyle name="Normal 385 2 2" xfId="12358" xr:uid="{00000000-0005-0000-0000-00004F130000}"/>
    <cellStyle name="Normal 386" xfId="7931" xr:uid="{00000000-0005-0000-0000-000050130000}"/>
    <cellStyle name="Normal 386 2" xfId="11544" xr:uid="{00000000-0005-0000-0000-000051130000}"/>
    <cellStyle name="Normal 386 2 2" xfId="12981" xr:uid="{00000000-0005-0000-0000-000052130000}"/>
    <cellStyle name="Normal 387" xfId="7932" xr:uid="{00000000-0005-0000-0000-000053130000}"/>
    <cellStyle name="Normal 387 2" xfId="12222" xr:uid="{00000000-0005-0000-0000-000054130000}"/>
    <cellStyle name="Normal 387 2 2" xfId="10953" xr:uid="{00000000-0005-0000-0000-000055130000}"/>
    <cellStyle name="Normal 388" xfId="7933" xr:uid="{00000000-0005-0000-0000-000056130000}"/>
    <cellStyle name="Normal 388 2" xfId="11809" xr:uid="{00000000-0005-0000-0000-000057130000}"/>
    <cellStyle name="Normal 388 2 2" xfId="10952" xr:uid="{00000000-0005-0000-0000-000058130000}"/>
    <cellStyle name="Normal 389" xfId="7934" xr:uid="{00000000-0005-0000-0000-000059130000}"/>
    <cellStyle name="Normal 389 2" xfId="11254" xr:uid="{00000000-0005-0000-0000-00005A130000}"/>
    <cellStyle name="Normal 389 2 2" xfId="12371" xr:uid="{00000000-0005-0000-0000-00005B130000}"/>
    <cellStyle name="Normal 39" xfId="231" xr:uid="{00000000-0005-0000-0000-00005C130000}"/>
    <cellStyle name="Normal 39 2" xfId="9221" xr:uid="{00000000-0005-0000-0000-00005D130000}"/>
    <cellStyle name="Normal 39 2 2" xfId="9686" xr:uid="{00000000-0005-0000-0000-00005E130000}"/>
    <cellStyle name="Normal 39 3" xfId="9140" xr:uid="{00000000-0005-0000-0000-00005F130000}"/>
    <cellStyle name="Normal 39 4" xfId="9067" xr:uid="{00000000-0005-0000-0000-000060130000}"/>
    <cellStyle name="Normal 39 5" xfId="8999" xr:uid="{00000000-0005-0000-0000-000061130000}"/>
    <cellStyle name="Normal 39 6" xfId="8971" xr:uid="{00000000-0005-0000-0000-000062130000}"/>
    <cellStyle name="Normal 390" xfId="7935" xr:uid="{00000000-0005-0000-0000-000063130000}"/>
    <cellStyle name="Normal 391" xfId="7936" xr:uid="{00000000-0005-0000-0000-000064130000}"/>
    <cellStyle name="Normal 392" xfId="7937" xr:uid="{00000000-0005-0000-0000-000065130000}"/>
    <cellStyle name="Normal 393" xfId="7938" xr:uid="{00000000-0005-0000-0000-000066130000}"/>
    <cellStyle name="Normal 394" xfId="7939" xr:uid="{00000000-0005-0000-0000-000067130000}"/>
    <cellStyle name="Normal 395" xfId="7940" xr:uid="{00000000-0005-0000-0000-000068130000}"/>
    <cellStyle name="Normal 396" xfId="7941" xr:uid="{00000000-0005-0000-0000-000069130000}"/>
    <cellStyle name="Normal 397" xfId="7942" xr:uid="{00000000-0005-0000-0000-00006A130000}"/>
    <cellStyle name="Normal 398" xfId="7943" xr:uid="{00000000-0005-0000-0000-00006B130000}"/>
    <cellStyle name="Normal 399" xfId="7944" xr:uid="{00000000-0005-0000-0000-00006C130000}"/>
    <cellStyle name="Normal 4" xfId="32" xr:uid="{00000000-0005-0000-0000-00006D130000}"/>
    <cellStyle name="Normal 4 10" xfId="1781" xr:uid="{00000000-0005-0000-0000-00006E130000}"/>
    <cellStyle name="Normal 4 11" xfId="7945" xr:uid="{00000000-0005-0000-0000-00006F130000}"/>
    <cellStyle name="Normal 4 12" xfId="7946" xr:uid="{00000000-0005-0000-0000-000070130000}"/>
    <cellStyle name="Normal 4 2" xfId="92" xr:uid="{00000000-0005-0000-0000-000071130000}"/>
    <cellStyle name="Normal 4 2 10" xfId="2952" xr:uid="{00000000-0005-0000-0000-000072130000}"/>
    <cellStyle name="Normal 4 2 10 2" xfId="4457" xr:uid="{00000000-0005-0000-0000-000073130000}"/>
    <cellStyle name="Normal 4 2 10 2 2" xfId="13081" xr:uid="{00000000-0005-0000-0000-000074130000}"/>
    <cellStyle name="Normal 4 2 10 3" xfId="7947" xr:uid="{00000000-0005-0000-0000-000075130000}"/>
    <cellStyle name="Normal 4 2 10 4" xfId="13538" xr:uid="{00000000-0005-0000-0000-000076130000}"/>
    <cellStyle name="Normal 4 2 11" xfId="7948" xr:uid="{00000000-0005-0000-0000-000077130000}"/>
    <cellStyle name="Normal 4 2 12" xfId="7949" xr:uid="{00000000-0005-0000-0000-000078130000}"/>
    <cellStyle name="Normal 4 2 2" xfId="232" xr:uid="{00000000-0005-0000-0000-000079130000}"/>
    <cellStyle name="Normal 4 2 2 2" xfId="1783" xr:uid="{00000000-0005-0000-0000-00007A130000}"/>
    <cellStyle name="Normal 4 2 2 2 2" xfId="7950" xr:uid="{00000000-0005-0000-0000-00007B130000}"/>
    <cellStyle name="Normal 4 2 2 3" xfId="1784" xr:uid="{00000000-0005-0000-0000-00007C130000}"/>
    <cellStyle name="Normal 4 2 2 3 2" xfId="7951" xr:uid="{00000000-0005-0000-0000-00007D130000}"/>
    <cellStyle name="Normal 4 2 2 4" xfId="1785" xr:uid="{00000000-0005-0000-0000-00007E130000}"/>
    <cellStyle name="Normal 4 2 2 5" xfId="1782" xr:uid="{00000000-0005-0000-0000-00007F130000}"/>
    <cellStyle name="Normal 4 2 2 6" xfId="2953" xr:uid="{00000000-0005-0000-0000-000080130000}"/>
    <cellStyle name="Normal 4 2 2 6 2" xfId="7952" xr:uid="{00000000-0005-0000-0000-000081130000}"/>
    <cellStyle name="Normal 4 2 2 6 2 2" xfId="12579" xr:uid="{00000000-0005-0000-0000-000082130000}"/>
    <cellStyle name="Normal 4 2 2 6 2 3" xfId="12449" xr:uid="{00000000-0005-0000-0000-000083130000}"/>
    <cellStyle name="Normal 4 2 2 6 3" xfId="7953" xr:uid="{00000000-0005-0000-0000-000084130000}"/>
    <cellStyle name="Normal 4 2 2 6 4" xfId="13539" xr:uid="{00000000-0005-0000-0000-000085130000}"/>
    <cellStyle name="Normal 4 2 2 7" xfId="7954" xr:uid="{00000000-0005-0000-0000-000086130000}"/>
    <cellStyle name="Normal 4 2 2 8" xfId="7955" xr:uid="{00000000-0005-0000-0000-000087130000}"/>
    <cellStyle name="Normal 4 2 2 9" xfId="7956" xr:uid="{00000000-0005-0000-0000-000088130000}"/>
    <cellStyle name="Normal 4 2 3" xfId="719" xr:uid="{00000000-0005-0000-0000-000089130000}"/>
    <cellStyle name="Normal 4 2 3 2" xfId="7957" xr:uid="{00000000-0005-0000-0000-00008A130000}"/>
    <cellStyle name="Normal 4 2 4" xfId="1786" xr:uid="{00000000-0005-0000-0000-00008B130000}"/>
    <cellStyle name="Normal 4 2 4 2" xfId="7958" xr:uid="{00000000-0005-0000-0000-00008C130000}"/>
    <cellStyle name="Normal 4 2 5" xfId="1787" xr:uid="{00000000-0005-0000-0000-00008D130000}"/>
    <cellStyle name="Normal 4 2 5 2" xfId="1788" xr:uid="{00000000-0005-0000-0000-00008E130000}"/>
    <cellStyle name="Normal 4 2 5 3" xfId="1789" xr:uid="{00000000-0005-0000-0000-00008F130000}"/>
    <cellStyle name="Normal 4 2 5 4" xfId="13489" xr:uid="{00000000-0005-0000-0000-000090130000}"/>
    <cellStyle name="Normal 4 2 6" xfId="1790" xr:uid="{00000000-0005-0000-0000-000091130000}"/>
    <cellStyle name="Normal 4 2 6 2" xfId="7959" xr:uid="{00000000-0005-0000-0000-000092130000}"/>
    <cellStyle name="Normal 4 2 7" xfId="1791" xr:uid="{00000000-0005-0000-0000-000093130000}"/>
    <cellStyle name="Normal 4 2 8" xfId="1792" xr:uid="{00000000-0005-0000-0000-000094130000}"/>
    <cellStyle name="Normal 4 2 9" xfId="1793" xr:uid="{00000000-0005-0000-0000-000095130000}"/>
    <cellStyle name="Normal 4 3" xfId="233" xr:uid="{00000000-0005-0000-0000-000096130000}"/>
    <cellStyle name="Normal 4 3 2" xfId="768" xr:uid="{00000000-0005-0000-0000-000097130000}"/>
    <cellStyle name="Normal 4 3 2 2" xfId="7960" xr:uid="{00000000-0005-0000-0000-000098130000}"/>
    <cellStyle name="Normal 4 3 3" xfId="2954" xr:uid="{00000000-0005-0000-0000-000099130000}"/>
    <cellStyle name="Normal 4 3 3 2" xfId="7961" xr:uid="{00000000-0005-0000-0000-00009A130000}"/>
    <cellStyle name="Normal 4 3 3 2 2" xfId="13331" xr:uid="{00000000-0005-0000-0000-00009B130000}"/>
    <cellStyle name="Normal 4 3 3 2 3" xfId="11343" xr:uid="{00000000-0005-0000-0000-00009C130000}"/>
    <cellStyle name="Normal 4 3 3 3" xfId="7962" xr:uid="{00000000-0005-0000-0000-00009D130000}"/>
    <cellStyle name="Normal 4 3 3 4" xfId="13540" xr:uid="{00000000-0005-0000-0000-00009E130000}"/>
    <cellStyle name="Normal 4 3 4" xfId="7963" xr:uid="{00000000-0005-0000-0000-00009F130000}"/>
    <cellStyle name="Normal 4 3 5" xfId="7964" xr:uid="{00000000-0005-0000-0000-0000A0130000}"/>
    <cellStyle name="Normal 4 3 6" xfId="7965" xr:uid="{00000000-0005-0000-0000-0000A1130000}"/>
    <cellStyle name="Normal 4 3 7" xfId="7966" xr:uid="{00000000-0005-0000-0000-0000A2130000}"/>
    <cellStyle name="Normal 4 3 8" xfId="7967" xr:uid="{00000000-0005-0000-0000-0000A3130000}"/>
    <cellStyle name="Normal 4 3 9" xfId="9222" xr:uid="{00000000-0005-0000-0000-0000A4130000}"/>
    <cellStyle name="Normal 4 4" xfId="660" xr:uid="{00000000-0005-0000-0000-0000A5130000}"/>
    <cellStyle name="Normal 4 4 2" xfId="2955" xr:uid="{00000000-0005-0000-0000-0000A6130000}"/>
    <cellStyle name="Normal 4 5" xfId="1794" xr:uid="{00000000-0005-0000-0000-0000A7130000}"/>
    <cellStyle name="Normal 4 5 2" xfId="10607" xr:uid="{00000000-0005-0000-0000-0000A8130000}"/>
    <cellStyle name="Normal 4 6" xfId="1795" xr:uid="{00000000-0005-0000-0000-0000A9130000}"/>
    <cellStyle name="Normal 4 7" xfId="1796" xr:uid="{00000000-0005-0000-0000-0000AA130000}"/>
    <cellStyle name="Normal 4 8" xfId="1797" xr:uid="{00000000-0005-0000-0000-0000AB130000}"/>
    <cellStyle name="Normal 4 9" xfId="1798" xr:uid="{00000000-0005-0000-0000-0000AC130000}"/>
    <cellStyle name="Normal 40" xfId="234" xr:uid="{00000000-0005-0000-0000-0000AD130000}"/>
    <cellStyle name="Normal 40 2" xfId="9223" xr:uid="{00000000-0005-0000-0000-0000AE130000}"/>
    <cellStyle name="Normal 40 2 2" xfId="9687" xr:uid="{00000000-0005-0000-0000-0000AF130000}"/>
    <cellStyle name="Normal 40 3" xfId="9141" xr:uid="{00000000-0005-0000-0000-0000B0130000}"/>
    <cellStyle name="Normal 40 4" xfId="9068" xr:uid="{00000000-0005-0000-0000-0000B1130000}"/>
    <cellStyle name="Normal 40 5" xfId="9000" xr:uid="{00000000-0005-0000-0000-0000B2130000}"/>
    <cellStyle name="Normal 40 6" xfId="8972" xr:uid="{00000000-0005-0000-0000-0000B3130000}"/>
    <cellStyle name="Normal 400" xfId="7968" xr:uid="{00000000-0005-0000-0000-0000B4130000}"/>
    <cellStyle name="Normal 401" xfId="7969" xr:uid="{00000000-0005-0000-0000-0000B5130000}"/>
    <cellStyle name="Normal 402" xfId="7970" xr:uid="{00000000-0005-0000-0000-0000B6130000}"/>
    <cellStyle name="Normal 403" xfId="7971" xr:uid="{00000000-0005-0000-0000-0000B7130000}"/>
    <cellStyle name="Normal 404" xfId="7972" xr:uid="{00000000-0005-0000-0000-0000B8130000}"/>
    <cellStyle name="Normal 405" xfId="7973" xr:uid="{00000000-0005-0000-0000-0000B9130000}"/>
    <cellStyle name="Normal 406" xfId="7974" xr:uid="{00000000-0005-0000-0000-0000BA130000}"/>
    <cellStyle name="Normal 407" xfId="7975" xr:uid="{00000000-0005-0000-0000-0000BB130000}"/>
    <cellStyle name="Normal 408" xfId="7976" xr:uid="{00000000-0005-0000-0000-0000BC130000}"/>
    <cellStyle name="Normal 409" xfId="2535" xr:uid="{00000000-0005-0000-0000-0000BD130000}"/>
    <cellStyle name="Normal 409 2" xfId="7977" xr:uid="{00000000-0005-0000-0000-0000BE130000}"/>
    <cellStyle name="Normal 409 3" xfId="13535" xr:uid="{00000000-0005-0000-0000-0000BF130000}"/>
    <cellStyle name="Normal 41" xfId="235" xr:uid="{00000000-0005-0000-0000-0000C0130000}"/>
    <cellStyle name="Normal 41 2" xfId="9224" xr:uid="{00000000-0005-0000-0000-0000C1130000}"/>
    <cellStyle name="Normal 41 2 2" xfId="9688" xr:uid="{00000000-0005-0000-0000-0000C2130000}"/>
    <cellStyle name="Normal 41 3" xfId="9142" xr:uid="{00000000-0005-0000-0000-0000C3130000}"/>
    <cellStyle name="Normal 41 4" xfId="9069" xr:uid="{00000000-0005-0000-0000-0000C4130000}"/>
    <cellStyle name="Normal 41 5" xfId="9001" xr:uid="{00000000-0005-0000-0000-0000C5130000}"/>
    <cellStyle name="Normal 41 6" xfId="8973" xr:uid="{00000000-0005-0000-0000-0000C6130000}"/>
    <cellStyle name="Normal 410" xfId="7978" xr:uid="{00000000-0005-0000-0000-0000C7130000}"/>
    <cellStyle name="Normal 411" xfId="7979" xr:uid="{00000000-0005-0000-0000-0000C8130000}"/>
    <cellStyle name="Normal 412" xfId="7980" xr:uid="{00000000-0005-0000-0000-0000C9130000}"/>
    <cellStyle name="Normal 413" xfId="7981" xr:uid="{00000000-0005-0000-0000-0000CA130000}"/>
    <cellStyle name="Normal 414" xfId="7982" xr:uid="{00000000-0005-0000-0000-0000CB130000}"/>
    <cellStyle name="Normal 415" xfId="7983" xr:uid="{00000000-0005-0000-0000-0000CC130000}"/>
    <cellStyle name="Normal 416" xfId="7984" xr:uid="{00000000-0005-0000-0000-0000CD130000}"/>
    <cellStyle name="Normal 417" xfId="7985" xr:uid="{00000000-0005-0000-0000-0000CE130000}"/>
    <cellStyle name="Normal 418" xfId="7986" xr:uid="{00000000-0005-0000-0000-0000CF130000}"/>
    <cellStyle name="Normal 419" xfId="7987" xr:uid="{00000000-0005-0000-0000-0000D0130000}"/>
    <cellStyle name="Normal 42" xfId="236" xr:uid="{00000000-0005-0000-0000-0000D1130000}"/>
    <cellStyle name="Normal 42 2" xfId="9225" xr:uid="{00000000-0005-0000-0000-0000D2130000}"/>
    <cellStyle name="Normal 42 2 2" xfId="9689" xr:uid="{00000000-0005-0000-0000-0000D3130000}"/>
    <cellStyle name="Normal 42 3" xfId="9143" xr:uid="{00000000-0005-0000-0000-0000D4130000}"/>
    <cellStyle name="Normal 42 4" xfId="9070" xr:uid="{00000000-0005-0000-0000-0000D5130000}"/>
    <cellStyle name="Normal 42 5" xfId="9002" xr:uid="{00000000-0005-0000-0000-0000D6130000}"/>
    <cellStyle name="Normal 42 6" xfId="8974" xr:uid="{00000000-0005-0000-0000-0000D7130000}"/>
    <cellStyle name="Normal 420" xfId="7988" xr:uid="{00000000-0005-0000-0000-0000D8130000}"/>
    <cellStyle name="Normal 421" xfId="7989" xr:uid="{00000000-0005-0000-0000-0000D9130000}"/>
    <cellStyle name="Normal 422" xfId="7990" xr:uid="{00000000-0005-0000-0000-0000DA130000}"/>
    <cellStyle name="Normal 423" xfId="7991" xr:uid="{00000000-0005-0000-0000-0000DB130000}"/>
    <cellStyle name="Normal 424" xfId="7992" xr:uid="{00000000-0005-0000-0000-0000DC130000}"/>
    <cellStyle name="Normal 425" xfId="7993" xr:uid="{00000000-0005-0000-0000-0000DD130000}"/>
    <cellStyle name="Normal 426" xfId="7994" xr:uid="{00000000-0005-0000-0000-0000DE130000}"/>
    <cellStyle name="Normal 427" xfId="7995" xr:uid="{00000000-0005-0000-0000-0000DF130000}"/>
    <cellStyle name="Normal 428" xfId="7996" xr:uid="{00000000-0005-0000-0000-0000E0130000}"/>
    <cellStyle name="Normal 429" xfId="7997" xr:uid="{00000000-0005-0000-0000-0000E1130000}"/>
    <cellStyle name="Normal 43" xfId="237" xr:uid="{00000000-0005-0000-0000-0000E2130000}"/>
    <cellStyle name="Normal 43 2" xfId="9226" xr:uid="{00000000-0005-0000-0000-0000E3130000}"/>
    <cellStyle name="Normal 43 2 2" xfId="9690" xr:uid="{00000000-0005-0000-0000-0000E4130000}"/>
    <cellStyle name="Normal 43 3" xfId="9144" xr:uid="{00000000-0005-0000-0000-0000E5130000}"/>
    <cellStyle name="Normal 43 4" xfId="9071" xr:uid="{00000000-0005-0000-0000-0000E6130000}"/>
    <cellStyle name="Normal 43 5" xfId="9003" xr:uid="{00000000-0005-0000-0000-0000E7130000}"/>
    <cellStyle name="Normal 43 6" xfId="8975" xr:uid="{00000000-0005-0000-0000-0000E8130000}"/>
    <cellStyle name="Normal 430" xfId="7998" xr:uid="{00000000-0005-0000-0000-0000E9130000}"/>
    <cellStyle name="Normal 431" xfId="7999" xr:uid="{00000000-0005-0000-0000-0000EA130000}"/>
    <cellStyle name="Normal 432" xfId="8000" xr:uid="{00000000-0005-0000-0000-0000EB130000}"/>
    <cellStyle name="Normal 433" xfId="8001" xr:uid="{00000000-0005-0000-0000-0000EC130000}"/>
    <cellStyle name="Normal 434" xfId="8002" xr:uid="{00000000-0005-0000-0000-0000ED130000}"/>
    <cellStyle name="Normal 435" xfId="8003" xr:uid="{00000000-0005-0000-0000-0000EE130000}"/>
    <cellStyle name="Normal 436" xfId="8004" xr:uid="{00000000-0005-0000-0000-0000EF130000}"/>
    <cellStyle name="Normal 437" xfId="8005" xr:uid="{00000000-0005-0000-0000-0000F0130000}"/>
    <cellStyle name="Normal 438" xfId="8006" xr:uid="{00000000-0005-0000-0000-0000F1130000}"/>
    <cellStyle name="Normal 439" xfId="8007" xr:uid="{00000000-0005-0000-0000-0000F2130000}"/>
    <cellStyle name="Normal 44" xfId="238" xr:uid="{00000000-0005-0000-0000-0000F3130000}"/>
    <cellStyle name="Normal 44 2" xfId="9227" xr:uid="{00000000-0005-0000-0000-0000F4130000}"/>
    <cellStyle name="Normal 44 2 2" xfId="9691" xr:uid="{00000000-0005-0000-0000-0000F5130000}"/>
    <cellStyle name="Normal 44 3" xfId="9145" xr:uid="{00000000-0005-0000-0000-0000F6130000}"/>
    <cellStyle name="Normal 44 4" xfId="9072" xr:uid="{00000000-0005-0000-0000-0000F7130000}"/>
    <cellStyle name="Normal 44 5" xfId="9004" xr:uid="{00000000-0005-0000-0000-0000F8130000}"/>
    <cellStyle name="Normal 44 6" xfId="8976" xr:uid="{00000000-0005-0000-0000-0000F9130000}"/>
    <cellStyle name="Normal 440" xfId="8008" xr:uid="{00000000-0005-0000-0000-0000FA130000}"/>
    <cellStyle name="Normal 441" xfId="8009" xr:uid="{00000000-0005-0000-0000-0000FB130000}"/>
    <cellStyle name="Normal 442" xfId="8010" xr:uid="{00000000-0005-0000-0000-0000FC130000}"/>
    <cellStyle name="Normal 443" xfId="8011" xr:uid="{00000000-0005-0000-0000-0000FD130000}"/>
    <cellStyle name="Normal 444" xfId="8012" xr:uid="{00000000-0005-0000-0000-0000FE130000}"/>
    <cellStyle name="Normal 445" xfId="8013" xr:uid="{00000000-0005-0000-0000-0000FF130000}"/>
    <cellStyle name="Normal 446" xfId="8014" xr:uid="{00000000-0005-0000-0000-000000140000}"/>
    <cellStyle name="Normal 447" xfId="8015" xr:uid="{00000000-0005-0000-0000-000001140000}"/>
    <cellStyle name="Normal 448" xfId="8016" xr:uid="{00000000-0005-0000-0000-000002140000}"/>
    <cellStyle name="Normal 449" xfId="8017" xr:uid="{00000000-0005-0000-0000-000003140000}"/>
    <cellStyle name="Normal 45" xfId="239" xr:uid="{00000000-0005-0000-0000-000004140000}"/>
    <cellStyle name="Normal 45 2" xfId="9228" xr:uid="{00000000-0005-0000-0000-000005140000}"/>
    <cellStyle name="Normal 45 2 2" xfId="9692" xr:uid="{00000000-0005-0000-0000-000006140000}"/>
    <cellStyle name="Normal 45 3" xfId="9146" xr:uid="{00000000-0005-0000-0000-000007140000}"/>
    <cellStyle name="Normal 45 4" xfId="9073" xr:uid="{00000000-0005-0000-0000-000008140000}"/>
    <cellStyle name="Normal 45 5" xfId="9005" xr:uid="{00000000-0005-0000-0000-000009140000}"/>
    <cellStyle name="Normal 45 6" xfId="8977" xr:uid="{00000000-0005-0000-0000-00000A140000}"/>
    <cellStyle name="Normal 450" xfId="8018" xr:uid="{00000000-0005-0000-0000-00000B140000}"/>
    <cellStyle name="Normal 451" xfId="987" xr:uid="{00000000-0005-0000-0000-00000C140000}"/>
    <cellStyle name="Normal 452" xfId="8019" xr:uid="{00000000-0005-0000-0000-00000D140000}"/>
    <cellStyle name="Normal 453" xfId="8020" xr:uid="{00000000-0005-0000-0000-00000E140000}"/>
    <cellStyle name="Normal 454" xfId="8021" xr:uid="{00000000-0005-0000-0000-00000F140000}"/>
    <cellStyle name="Normal 455" xfId="8022" xr:uid="{00000000-0005-0000-0000-000010140000}"/>
    <cellStyle name="Normal 456" xfId="8962" xr:uid="{00000000-0005-0000-0000-000011140000}"/>
    <cellStyle name="Normal 457" xfId="15837" xr:uid="{00000000-0005-0000-0000-000012140000}"/>
    <cellStyle name="Normal 458" xfId="15838" xr:uid="{00000000-0005-0000-0000-000013140000}"/>
    <cellStyle name="Normal 459" xfId="15839" xr:uid="{00000000-0005-0000-0000-000014140000}"/>
    <cellStyle name="Normal 46" xfId="240" xr:uid="{00000000-0005-0000-0000-000015140000}"/>
    <cellStyle name="Normal 46 2" xfId="9229" xr:uid="{00000000-0005-0000-0000-000016140000}"/>
    <cellStyle name="Normal 46 2 2" xfId="9693" xr:uid="{00000000-0005-0000-0000-000017140000}"/>
    <cellStyle name="Normal 46 3" xfId="9147" xr:uid="{00000000-0005-0000-0000-000018140000}"/>
    <cellStyle name="Normal 46 4" xfId="9074" xr:uid="{00000000-0005-0000-0000-000019140000}"/>
    <cellStyle name="Normal 46 5" xfId="9006" xr:uid="{00000000-0005-0000-0000-00001A140000}"/>
    <cellStyle name="Normal 46 6" xfId="8978" xr:uid="{00000000-0005-0000-0000-00001B140000}"/>
    <cellStyle name="Normal 460" xfId="15840" xr:uid="{00000000-0005-0000-0000-00001C140000}"/>
    <cellStyle name="Normal 461" xfId="15841" xr:uid="{00000000-0005-0000-0000-00001D140000}"/>
    <cellStyle name="Normal 462" xfId="15842" xr:uid="{00000000-0005-0000-0000-00001E140000}"/>
    <cellStyle name="Normal 463" xfId="15843" xr:uid="{00000000-0005-0000-0000-00001F140000}"/>
    <cellStyle name="Normal 464" xfId="15844" xr:uid="{00000000-0005-0000-0000-000020140000}"/>
    <cellStyle name="Normal 465" xfId="15845" xr:uid="{00000000-0005-0000-0000-000021140000}"/>
    <cellStyle name="Normal 466" xfId="15846" xr:uid="{00000000-0005-0000-0000-000022140000}"/>
    <cellStyle name="Normal 467" xfId="23839" xr:uid="{00000000-0005-0000-0000-000023140000}"/>
    <cellStyle name="Normal 468" xfId="23840" xr:uid="{00000000-0005-0000-0000-000024140000}"/>
    <cellStyle name="Normal 469" xfId="23841" xr:uid="{00000000-0005-0000-0000-000025140000}"/>
    <cellStyle name="Normal 47" xfId="241" xr:uid="{00000000-0005-0000-0000-000026140000}"/>
    <cellStyle name="Normal 47 2" xfId="9230" xr:uid="{00000000-0005-0000-0000-000027140000}"/>
    <cellStyle name="Normal 47 2 2" xfId="9694" xr:uid="{00000000-0005-0000-0000-000028140000}"/>
    <cellStyle name="Normal 47 3" xfId="9148" xr:uid="{00000000-0005-0000-0000-000029140000}"/>
    <cellStyle name="Normal 47 4" xfId="9075" xr:uid="{00000000-0005-0000-0000-00002A140000}"/>
    <cellStyle name="Normal 47 5" xfId="9007" xr:uid="{00000000-0005-0000-0000-00002B140000}"/>
    <cellStyle name="Normal 47 6" xfId="8979" xr:uid="{00000000-0005-0000-0000-00002C140000}"/>
    <cellStyle name="Normal 470" xfId="23842" xr:uid="{00000000-0005-0000-0000-00002D140000}"/>
    <cellStyle name="Normal 471" xfId="23843" xr:uid="{00000000-0005-0000-0000-00002E140000}"/>
    <cellStyle name="Normal 48" xfId="242" xr:uid="{00000000-0005-0000-0000-00002F140000}"/>
    <cellStyle name="Normal 48 2" xfId="9231" xr:uid="{00000000-0005-0000-0000-000030140000}"/>
    <cellStyle name="Normal 48 2 2" xfId="9695" xr:uid="{00000000-0005-0000-0000-000031140000}"/>
    <cellStyle name="Normal 48 3" xfId="9149" xr:uid="{00000000-0005-0000-0000-000032140000}"/>
    <cellStyle name="Normal 48 4" xfId="9076" xr:uid="{00000000-0005-0000-0000-000033140000}"/>
    <cellStyle name="Normal 48 5" xfId="9008" xr:uid="{00000000-0005-0000-0000-000034140000}"/>
    <cellStyle name="Normal 48 6" xfId="8980" xr:uid="{00000000-0005-0000-0000-000035140000}"/>
    <cellStyle name="Normal 49" xfId="243" xr:uid="{00000000-0005-0000-0000-000036140000}"/>
    <cellStyle name="Normal 49 2" xfId="9232" xr:uid="{00000000-0005-0000-0000-000037140000}"/>
    <cellStyle name="Normal 49 2 2" xfId="9696" xr:uid="{00000000-0005-0000-0000-000038140000}"/>
    <cellStyle name="Normal 49 3" xfId="9150" xr:uid="{00000000-0005-0000-0000-000039140000}"/>
    <cellStyle name="Normal 49 4" xfId="9077" xr:uid="{00000000-0005-0000-0000-00003A140000}"/>
    <cellStyle name="Normal 49 5" xfId="9009" xr:uid="{00000000-0005-0000-0000-00003B140000}"/>
    <cellStyle name="Normal 49 6" xfId="8981" xr:uid="{00000000-0005-0000-0000-00003C140000}"/>
    <cellStyle name="Normal 5" xfId="33" xr:uid="{00000000-0005-0000-0000-00003D140000}"/>
    <cellStyle name="Normal 5 10" xfId="9452" xr:uid="{00000000-0005-0000-0000-00003E140000}"/>
    <cellStyle name="Normal 5 10 2" xfId="10109" xr:uid="{00000000-0005-0000-0000-00003F140000}"/>
    <cellStyle name="Normal 5 11" xfId="9877" xr:uid="{00000000-0005-0000-0000-000040140000}"/>
    <cellStyle name="Normal 5 12" xfId="9036" xr:uid="{00000000-0005-0000-0000-000041140000}"/>
    <cellStyle name="Normal 5 13" xfId="10640" xr:uid="{00000000-0005-0000-0000-000042140000}"/>
    <cellStyle name="Normal 5 14" xfId="10662" xr:uid="{00000000-0005-0000-0000-000043140000}"/>
    <cellStyle name="Normal 5 15" xfId="10794" xr:uid="{00000000-0005-0000-0000-000044140000}"/>
    <cellStyle name="Normal 5 2" xfId="34" xr:uid="{00000000-0005-0000-0000-000045140000}"/>
    <cellStyle name="Normal 5 2 10" xfId="9878" xr:uid="{00000000-0005-0000-0000-000046140000}"/>
    <cellStyle name="Normal 5 2 11" xfId="9037" xr:uid="{00000000-0005-0000-0000-000047140000}"/>
    <cellStyle name="Normal 5 2 12" xfId="10663" xr:uid="{00000000-0005-0000-0000-000048140000}"/>
    <cellStyle name="Normal 5 2 13" xfId="10795" xr:uid="{00000000-0005-0000-0000-000049140000}"/>
    <cellStyle name="Normal 5 2 2" xfId="72" xr:uid="{00000000-0005-0000-0000-00004A140000}"/>
    <cellStyle name="Normal 5 2 2 10" xfId="1799" xr:uid="{00000000-0005-0000-0000-00004B140000}"/>
    <cellStyle name="Normal 5 2 2 10 2" xfId="10664" xr:uid="{00000000-0005-0000-0000-00004C140000}"/>
    <cellStyle name="Normal 5 2 2 11" xfId="1800" xr:uid="{00000000-0005-0000-0000-00004D140000}"/>
    <cellStyle name="Normal 5 2 2 11 2" xfId="10796" xr:uid="{00000000-0005-0000-0000-00004E140000}"/>
    <cellStyle name="Normal 5 2 2 12" xfId="1801" xr:uid="{00000000-0005-0000-0000-00004F140000}"/>
    <cellStyle name="Normal 5 2 2 13" xfId="8023" xr:uid="{00000000-0005-0000-0000-000050140000}"/>
    <cellStyle name="Normal 5 2 2 14" xfId="8024" xr:uid="{00000000-0005-0000-0000-000051140000}"/>
    <cellStyle name="Normal 5 2 2 2" xfId="93" xr:uid="{00000000-0005-0000-0000-000052140000}"/>
    <cellStyle name="Normal 5 2 2 2 10" xfId="8025" xr:uid="{00000000-0005-0000-0000-000053140000}"/>
    <cellStyle name="Normal 5 2 2 2 11" xfId="8026" xr:uid="{00000000-0005-0000-0000-000054140000}"/>
    <cellStyle name="Normal 5 2 2 2 12" xfId="9233" xr:uid="{00000000-0005-0000-0000-000055140000}"/>
    <cellStyle name="Normal 5 2 2 2 2" xfId="720" xr:uid="{00000000-0005-0000-0000-000056140000}"/>
    <cellStyle name="Normal 5 2 2 2 2 2" xfId="9776" xr:uid="{00000000-0005-0000-0000-000057140000}"/>
    <cellStyle name="Normal 5 2 2 2 2 2 2" xfId="10112" xr:uid="{00000000-0005-0000-0000-000058140000}"/>
    <cellStyle name="Normal 5 2 2 2 2 3" xfId="10111" xr:uid="{00000000-0005-0000-0000-000059140000}"/>
    <cellStyle name="Normal 5 2 2 2 2 4" xfId="9360" xr:uid="{00000000-0005-0000-0000-00005A140000}"/>
    <cellStyle name="Normal 5 2 2 2 3" xfId="1802" xr:uid="{00000000-0005-0000-0000-00005B140000}"/>
    <cellStyle name="Normal 5 2 2 2 3 2" xfId="10113" xr:uid="{00000000-0005-0000-0000-00005C140000}"/>
    <cellStyle name="Normal 5 2 2 2 3 3" xfId="9497" xr:uid="{00000000-0005-0000-0000-00005D140000}"/>
    <cellStyle name="Normal 5 2 2 2 4" xfId="1803" xr:uid="{00000000-0005-0000-0000-00005E140000}"/>
    <cellStyle name="Normal 5 2 2 2 4 2" xfId="10110" xr:uid="{00000000-0005-0000-0000-00005F140000}"/>
    <cellStyle name="Normal 5 2 2 2 5" xfId="1804" xr:uid="{00000000-0005-0000-0000-000060140000}"/>
    <cellStyle name="Normal 5 2 2 2 5 2" xfId="10709" xr:uid="{00000000-0005-0000-0000-000061140000}"/>
    <cellStyle name="Normal 5 2 2 2 6" xfId="1805" xr:uid="{00000000-0005-0000-0000-000062140000}"/>
    <cellStyle name="Normal 5 2 2 2 6 2" xfId="10840" xr:uid="{00000000-0005-0000-0000-000063140000}"/>
    <cellStyle name="Normal 5 2 2 2 7" xfId="1806" xr:uid="{00000000-0005-0000-0000-000064140000}"/>
    <cellStyle name="Normal 5 2 2 2 8" xfId="1807" xr:uid="{00000000-0005-0000-0000-000065140000}"/>
    <cellStyle name="Normal 5 2 2 2 9" xfId="1808" xr:uid="{00000000-0005-0000-0000-000066140000}"/>
    <cellStyle name="Normal 5 2 2 3" xfId="438" xr:uid="{00000000-0005-0000-0000-000067140000}"/>
    <cellStyle name="Normal 5 2 2 3 2" xfId="9397" xr:uid="{00000000-0005-0000-0000-000068140000}"/>
    <cellStyle name="Normal 5 2 2 3 2 2" xfId="9818" xr:uid="{00000000-0005-0000-0000-000069140000}"/>
    <cellStyle name="Normal 5 2 2 3 2 2 2" xfId="10116" xr:uid="{00000000-0005-0000-0000-00006A140000}"/>
    <cellStyle name="Normal 5 2 2 3 2 3" xfId="10115" xr:uid="{00000000-0005-0000-0000-00006B140000}"/>
    <cellStyle name="Normal 5 2 2 3 3" xfId="9537" xr:uid="{00000000-0005-0000-0000-00006C140000}"/>
    <cellStyle name="Normal 5 2 2 3 3 2" xfId="10117" xr:uid="{00000000-0005-0000-0000-00006D140000}"/>
    <cellStyle name="Normal 5 2 2 3 4" xfId="10114" xr:uid="{00000000-0005-0000-0000-00006E140000}"/>
    <cellStyle name="Normal 5 2 2 3 5" xfId="10749" xr:uid="{00000000-0005-0000-0000-00006F140000}"/>
    <cellStyle name="Normal 5 2 2 3 6" xfId="10879" xr:uid="{00000000-0005-0000-0000-000070140000}"/>
    <cellStyle name="Normal 5 2 2 4" xfId="439" xr:uid="{00000000-0005-0000-0000-000071140000}"/>
    <cellStyle name="Normal 5 2 2 4 2" xfId="1810" xr:uid="{00000000-0005-0000-0000-000072140000}"/>
    <cellStyle name="Normal 5 2 2 4 2 2" xfId="10118" xr:uid="{00000000-0005-0000-0000-000073140000}"/>
    <cellStyle name="Normal 5 2 2 4 2 3" xfId="9632" xr:uid="{00000000-0005-0000-0000-000074140000}"/>
    <cellStyle name="Normal 5 2 2 4 3" xfId="1811" xr:uid="{00000000-0005-0000-0000-000075140000}"/>
    <cellStyle name="Normal 5 2 2 4 4" xfId="1812" xr:uid="{00000000-0005-0000-0000-000076140000}"/>
    <cellStyle name="Normal 5 2 2 4 5" xfId="1809" xr:uid="{00000000-0005-0000-0000-000077140000}"/>
    <cellStyle name="Normal 5 2 2 4 6" xfId="8027" xr:uid="{00000000-0005-0000-0000-000078140000}"/>
    <cellStyle name="Normal 5 2 2 4 7" xfId="8028" xr:uid="{00000000-0005-0000-0000-000079140000}"/>
    <cellStyle name="Normal 5 2 2 4 8" xfId="8029" xr:uid="{00000000-0005-0000-0000-00007A140000}"/>
    <cellStyle name="Normal 5 2 2 4 9" xfId="8030" xr:uid="{00000000-0005-0000-0000-00007B140000}"/>
    <cellStyle name="Normal 5 2 2 5" xfId="1073" xr:uid="{00000000-0005-0000-0000-00007C140000}"/>
    <cellStyle name="Normal 5 2 2 5 2" xfId="9735" xr:uid="{00000000-0005-0000-0000-00007D140000}"/>
    <cellStyle name="Normal 5 2 2 5 2 2" xfId="10120" xr:uid="{00000000-0005-0000-0000-00007E140000}"/>
    <cellStyle name="Normal 5 2 2 5 3" xfId="10119" xr:uid="{00000000-0005-0000-0000-00007F140000}"/>
    <cellStyle name="Normal 5 2 2 6" xfId="1813" xr:uid="{00000000-0005-0000-0000-000080140000}"/>
    <cellStyle name="Normal 5 2 2 6 2" xfId="9585" xr:uid="{00000000-0005-0000-0000-000081140000}"/>
    <cellStyle name="Normal 5 2 2 6 2 2" xfId="10122" xr:uid="{00000000-0005-0000-0000-000082140000}"/>
    <cellStyle name="Normal 5 2 2 6 3" xfId="10121" xr:uid="{00000000-0005-0000-0000-000083140000}"/>
    <cellStyle name="Normal 5 2 2 6 4" xfId="9106" xr:uid="{00000000-0005-0000-0000-000084140000}"/>
    <cellStyle name="Normal 5 2 2 7" xfId="1814" xr:uid="{00000000-0005-0000-0000-000085140000}"/>
    <cellStyle name="Normal 5 2 2 7 2" xfId="10123" xr:uid="{00000000-0005-0000-0000-000086140000}"/>
    <cellStyle name="Normal 5 2 2 7 3" xfId="9454" xr:uid="{00000000-0005-0000-0000-000087140000}"/>
    <cellStyle name="Normal 5 2 2 8" xfId="1815" xr:uid="{00000000-0005-0000-0000-000088140000}"/>
    <cellStyle name="Normal 5 2 2 8 2" xfId="9879" xr:uid="{00000000-0005-0000-0000-000089140000}"/>
    <cellStyle name="Normal 5 2 2 9" xfId="1816" xr:uid="{00000000-0005-0000-0000-00008A140000}"/>
    <cellStyle name="Normal 5 2 2 9 2" xfId="9038" xr:uid="{00000000-0005-0000-0000-00008B140000}"/>
    <cellStyle name="Normal 5 2 3" xfId="94" xr:uid="{00000000-0005-0000-0000-00008C140000}"/>
    <cellStyle name="Normal 5 2 3 10" xfId="10665" xr:uid="{00000000-0005-0000-0000-00008D140000}"/>
    <cellStyle name="Normal 5 2 3 11" xfId="10797" xr:uid="{00000000-0005-0000-0000-00008E140000}"/>
    <cellStyle name="Normal 5 2 3 2" xfId="244" xr:uid="{00000000-0005-0000-0000-00008F140000}"/>
    <cellStyle name="Normal 5 2 3 2 2" xfId="769" xr:uid="{00000000-0005-0000-0000-000090140000}"/>
    <cellStyle name="Normal 5 2 3 2 2 2" xfId="1818" xr:uid="{00000000-0005-0000-0000-000091140000}"/>
    <cellStyle name="Normal 5 2 3 2 2 2 2" xfId="10125" xr:uid="{00000000-0005-0000-0000-000092140000}"/>
    <cellStyle name="Normal 5 2 3 2 2 3" xfId="10124" xr:uid="{00000000-0005-0000-0000-000093140000}"/>
    <cellStyle name="Normal 5 2 3 2 3" xfId="1819" xr:uid="{00000000-0005-0000-0000-000094140000}"/>
    <cellStyle name="Normal 5 2 3 2 3 2" xfId="10126" xr:uid="{00000000-0005-0000-0000-000095140000}"/>
    <cellStyle name="Normal 5 2 3 2 3 3" xfId="9498" xr:uid="{00000000-0005-0000-0000-000096140000}"/>
    <cellStyle name="Normal 5 2 3 2 4" xfId="1820" xr:uid="{00000000-0005-0000-0000-000097140000}"/>
    <cellStyle name="Normal 5 2 3 2 5" xfId="1817" xr:uid="{00000000-0005-0000-0000-000098140000}"/>
    <cellStyle name="Normal 5 2 3 2 6" xfId="8031" xr:uid="{00000000-0005-0000-0000-000099140000}"/>
    <cellStyle name="Normal 5 2 3 2 7" xfId="8032" xr:uid="{00000000-0005-0000-0000-00009A140000}"/>
    <cellStyle name="Normal 5 2 3 2 8" xfId="8033" xr:uid="{00000000-0005-0000-0000-00009B140000}"/>
    <cellStyle name="Normal 5 2 3 2 9" xfId="8034" xr:uid="{00000000-0005-0000-0000-00009C140000}"/>
    <cellStyle name="Normal 5 2 3 3" xfId="553" xr:uid="{00000000-0005-0000-0000-00009D140000}"/>
    <cellStyle name="Normal 5 2 3 3 2" xfId="814" xr:uid="{00000000-0005-0000-0000-00009E140000}"/>
    <cellStyle name="Normal 5 2 3 3 2 2" xfId="9819" xr:uid="{00000000-0005-0000-0000-00009F140000}"/>
    <cellStyle name="Normal 5 2 3 3 2 2 2" xfId="10129" xr:uid="{00000000-0005-0000-0000-0000A0140000}"/>
    <cellStyle name="Normal 5 2 3 3 2 3" xfId="10128" xr:uid="{00000000-0005-0000-0000-0000A1140000}"/>
    <cellStyle name="Normal 5 2 3 3 2 4" xfId="9398" xr:uid="{00000000-0005-0000-0000-0000A2140000}"/>
    <cellStyle name="Normal 5 2 3 3 3" xfId="8035" xr:uid="{00000000-0005-0000-0000-0000A3140000}"/>
    <cellStyle name="Normal 5 2 3 3 3 2" xfId="10130" xr:uid="{00000000-0005-0000-0000-0000A4140000}"/>
    <cellStyle name="Normal 5 2 3 3 3 3" xfId="9538" xr:uid="{00000000-0005-0000-0000-0000A5140000}"/>
    <cellStyle name="Normal 5 2 3 3 4" xfId="8036" xr:uid="{00000000-0005-0000-0000-0000A6140000}"/>
    <cellStyle name="Normal 5 2 3 3 4 2" xfId="10127" xr:uid="{00000000-0005-0000-0000-0000A7140000}"/>
    <cellStyle name="Normal 5 2 3 3 5" xfId="8037" xr:uid="{00000000-0005-0000-0000-0000A8140000}"/>
    <cellStyle name="Normal 5 2 3 3 5 2" xfId="10750" xr:uid="{00000000-0005-0000-0000-0000A9140000}"/>
    <cellStyle name="Normal 5 2 3 3 6" xfId="8038" xr:uid="{00000000-0005-0000-0000-0000AA140000}"/>
    <cellStyle name="Normal 5 2 3 3 6 2" xfId="10880" xr:uid="{00000000-0005-0000-0000-0000AB140000}"/>
    <cellStyle name="Normal 5 2 3 3 7" xfId="8039" xr:uid="{00000000-0005-0000-0000-0000AC140000}"/>
    <cellStyle name="Normal 5 2 3 3 8" xfId="8040" xr:uid="{00000000-0005-0000-0000-0000AD140000}"/>
    <cellStyle name="Normal 5 2 3 3 9" xfId="9278" xr:uid="{00000000-0005-0000-0000-0000AE140000}"/>
    <cellStyle name="Normal 5 2 3 4" xfId="4245" xr:uid="{00000000-0005-0000-0000-0000AF140000}"/>
    <cellStyle name="Normal 5 2 3 4 2" xfId="9633" xr:uid="{00000000-0005-0000-0000-0000B0140000}"/>
    <cellStyle name="Normal 5 2 3 4 2 2" xfId="10132" xr:uid="{00000000-0005-0000-0000-0000B1140000}"/>
    <cellStyle name="Normal 5 2 3 4 2 3" xfId="11966" xr:uid="{00000000-0005-0000-0000-0000B2140000}"/>
    <cellStyle name="Normal 5 2 3 4 2 4" xfId="10920" xr:uid="{00000000-0005-0000-0000-0000B3140000}"/>
    <cellStyle name="Normal 5 2 3 4 3" xfId="10131" xr:uid="{00000000-0005-0000-0000-0000B4140000}"/>
    <cellStyle name="Normal 5 2 3 5" xfId="8041" xr:uid="{00000000-0005-0000-0000-0000B5140000}"/>
    <cellStyle name="Normal 5 2 3 5 2" xfId="9736" xr:uid="{00000000-0005-0000-0000-0000B6140000}"/>
    <cellStyle name="Normal 5 2 3 5 2 2" xfId="10134" xr:uid="{00000000-0005-0000-0000-0000B7140000}"/>
    <cellStyle name="Normal 5 2 3 5 3" xfId="10133" xr:uid="{00000000-0005-0000-0000-0000B8140000}"/>
    <cellStyle name="Normal 5 2 3 6" xfId="9107" xr:uid="{00000000-0005-0000-0000-0000B9140000}"/>
    <cellStyle name="Normal 5 2 3 6 2" xfId="9586" xr:uid="{00000000-0005-0000-0000-0000BA140000}"/>
    <cellStyle name="Normal 5 2 3 6 2 2" xfId="10136" xr:uid="{00000000-0005-0000-0000-0000BB140000}"/>
    <cellStyle name="Normal 5 2 3 6 3" xfId="10135" xr:uid="{00000000-0005-0000-0000-0000BC140000}"/>
    <cellStyle name="Normal 5 2 3 7" xfId="9455" xr:uid="{00000000-0005-0000-0000-0000BD140000}"/>
    <cellStyle name="Normal 5 2 3 7 2" xfId="10137" xr:uid="{00000000-0005-0000-0000-0000BE140000}"/>
    <cellStyle name="Normal 5 2 3 8" xfId="9880" xr:uid="{00000000-0005-0000-0000-0000BF140000}"/>
    <cellStyle name="Normal 5 2 3 9" xfId="9039" xr:uid="{00000000-0005-0000-0000-0000C0140000}"/>
    <cellStyle name="Normal 5 2 4" xfId="126" xr:uid="{00000000-0005-0000-0000-0000C1140000}"/>
    <cellStyle name="Normal 5 2 4 10" xfId="2956" xr:uid="{00000000-0005-0000-0000-0000C2140000}"/>
    <cellStyle name="Normal 5 2 4 10 2" xfId="8042" xr:uid="{00000000-0005-0000-0000-0000C3140000}"/>
    <cellStyle name="Normal 5 2 4 10 2 2" xfId="13267" xr:uid="{00000000-0005-0000-0000-0000C4140000}"/>
    <cellStyle name="Normal 5 2 4 10 2 3" xfId="11534" xr:uid="{00000000-0005-0000-0000-0000C5140000}"/>
    <cellStyle name="Normal 5 2 4 10 3" xfId="8043" xr:uid="{00000000-0005-0000-0000-0000C6140000}"/>
    <cellStyle name="Normal 5 2 4 10 4" xfId="13541" xr:uid="{00000000-0005-0000-0000-0000C7140000}"/>
    <cellStyle name="Normal 5 2 4 11" xfId="8044" xr:uid="{00000000-0005-0000-0000-0000C8140000}"/>
    <cellStyle name="Normal 5 2 4 2" xfId="735" xr:uid="{00000000-0005-0000-0000-0000C9140000}"/>
    <cellStyle name="Normal 5 2 4 2 2" xfId="8045" xr:uid="{00000000-0005-0000-0000-0000CA140000}"/>
    <cellStyle name="Normal 5 2 4 2 2 2" xfId="10139" xr:uid="{00000000-0005-0000-0000-0000CB140000}"/>
    <cellStyle name="Normal 5 2 4 2 3" xfId="10138" xr:uid="{00000000-0005-0000-0000-0000CC140000}"/>
    <cellStyle name="Normal 5 2 4 3" xfId="1821" xr:uid="{00000000-0005-0000-0000-0000CD140000}"/>
    <cellStyle name="Normal 5 2 4 3 2" xfId="10140" xr:uid="{00000000-0005-0000-0000-0000CE140000}"/>
    <cellStyle name="Normal 5 2 4 3 3" xfId="9496" xr:uid="{00000000-0005-0000-0000-0000CF140000}"/>
    <cellStyle name="Normal 5 2 4 4" xfId="1822" xr:uid="{00000000-0005-0000-0000-0000D0140000}"/>
    <cellStyle name="Normal 5 2 4 4 2" xfId="8046" xr:uid="{00000000-0005-0000-0000-0000D1140000}"/>
    <cellStyle name="Normal 5 2 4 5" xfId="1823" xr:uid="{00000000-0005-0000-0000-0000D2140000}"/>
    <cellStyle name="Normal 5 2 4 5 2" xfId="10708" xr:uid="{00000000-0005-0000-0000-0000D3140000}"/>
    <cellStyle name="Normal 5 2 4 6" xfId="1824" xr:uid="{00000000-0005-0000-0000-0000D4140000}"/>
    <cellStyle name="Normal 5 2 4 6 2" xfId="10839" xr:uid="{00000000-0005-0000-0000-0000D5140000}"/>
    <cellStyle name="Normal 5 2 4 7" xfId="1825" xr:uid="{00000000-0005-0000-0000-0000D6140000}"/>
    <cellStyle name="Normal 5 2 4 8" xfId="1826" xr:uid="{00000000-0005-0000-0000-0000D7140000}"/>
    <cellStyle name="Normal 5 2 4 9" xfId="1827" xr:uid="{00000000-0005-0000-0000-0000D8140000}"/>
    <cellStyle name="Normal 5 2 5" xfId="440" xr:uid="{00000000-0005-0000-0000-0000D9140000}"/>
    <cellStyle name="Normal 5 2 5 2" xfId="9396" xr:uid="{00000000-0005-0000-0000-0000DA140000}"/>
    <cellStyle name="Normal 5 2 5 2 2" xfId="9817" xr:uid="{00000000-0005-0000-0000-0000DB140000}"/>
    <cellStyle name="Normal 5 2 5 2 2 2" xfId="10143" xr:uid="{00000000-0005-0000-0000-0000DC140000}"/>
    <cellStyle name="Normal 5 2 5 2 3" xfId="10142" xr:uid="{00000000-0005-0000-0000-0000DD140000}"/>
    <cellStyle name="Normal 5 2 5 3" xfId="9536" xr:uid="{00000000-0005-0000-0000-0000DE140000}"/>
    <cellStyle name="Normal 5 2 5 3 2" xfId="10144" xr:uid="{00000000-0005-0000-0000-0000DF140000}"/>
    <cellStyle name="Normal 5 2 5 4" xfId="10141" xr:uid="{00000000-0005-0000-0000-0000E0140000}"/>
    <cellStyle name="Normal 5 2 5 5" xfId="10748" xr:uid="{00000000-0005-0000-0000-0000E1140000}"/>
    <cellStyle name="Normal 5 2 5 6" xfId="10878" xr:uid="{00000000-0005-0000-0000-0000E2140000}"/>
    <cellStyle name="Normal 5 2 6" xfId="689" xr:uid="{00000000-0005-0000-0000-0000E3140000}"/>
    <cellStyle name="Normal 5 2 6 2" xfId="9631" xr:uid="{00000000-0005-0000-0000-0000E4140000}"/>
    <cellStyle name="Normal 5 2 6 2 2" xfId="10146" xr:uid="{00000000-0005-0000-0000-0000E5140000}"/>
    <cellStyle name="Normal 5 2 6 3" xfId="10145" xr:uid="{00000000-0005-0000-0000-0000E6140000}"/>
    <cellStyle name="Normal 5 2 6 4" xfId="9179" xr:uid="{00000000-0005-0000-0000-0000E7140000}"/>
    <cellStyle name="Normal 5 2 7" xfId="8047" xr:uid="{00000000-0005-0000-0000-0000E8140000}"/>
    <cellStyle name="Normal 5 2 7 2" xfId="9734" xr:uid="{00000000-0005-0000-0000-0000E9140000}"/>
    <cellStyle name="Normal 5 2 7 2 2" xfId="10148" xr:uid="{00000000-0005-0000-0000-0000EA140000}"/>
    <cellStyle name="Normal 5 2 7 3" xfId="10147" xr:uid="{00000000-0005-0000-0000-0000EB140000}"/>
    <cellStyle name="Normal 5 2 7 4" xfId="9323" xr:uid="{00000000-0005-0000-0000-0000EC140000}"/>
    <cellStyle name="Normal 5 2 8" xfId="8048" xr:uid="{00000000-0005-0000-0000-0000ED140000}"/>
    <cellStyle name="Normal 5 2 8 2" xfId="9584" xr:uid="{00000000-0005-0000-0000-0000EE140000}"/>
    <cellStyle name="Normal 5 2 8 2 2" xfId="10150" xr:uid="{00000000-0005-0000-0000-0000EF140000}"/>
    <cellStyle name="Normal 5 2 8 3" xfId="10149" xr:uid="{00000000-0005-0000-0000-0000F0140000}"/>
    <cellStyle name="Normal 5 2 8 4" xfId="9105" xr:uid="{00000000-0005-0000-0000-0000F1140000}"/>
    <cellStyle name="Normal 5 2 9" xfId="9453" xr:uid="{00000000-0005-0000-0000-0000F2140000}"/>
    <cellStyle name="Normal 5 2 9 2" xfId="10151" xr:uid="{00000000-0005-0000-0000-0000F3140000}"/>
    <cellStyle name="Normal 5 3" xfId="70" xr:uid="{00000000-0005-0000-0000-0000F4140000}"/>
    <cellStyle name="Normal 5 3 10" xfId="1828" xr:uid="{00000000-0005-0000-0000-0000F5140000}"/>
    <cellStyle name="Normal 5 3 10 2" xfId="10666" xr:uid="{00000000-0005-0000-0000-0000F6140000}"/>
    <cellStyle name="Normal 5 3 11" xfId="8049" xr:uid="{00000000-0005-0000-0000-0000F7140000}"/>
    <cellStyle name="Normal 5 3 11 2" xfId="10798" xr:uid="{00000000-0005-0000-0000-0000F8140000}"/>
    <cellStyle name="Normal 5 3 12" xfId="8050" xr:uid="{00000000-0005-0000-0000-0000F9140000}"/>
    <cellStyle name="Normal 5 3 2" xfId="95" xr:uid="{00000000-0005-0000-0000-0000FA140000}"/>
    <cellStyle name="Normal 5 3 2 2" xfId="441" xr:uid="{00000000-0005-0000-0000-0000FB140000}"/>
    <cellStyle name="Normal 5 3 2 2 2" xfId="9777" xr:uid="{00000000-0005-0000-0000-0000FC140000}"/>
    <cellStyle name="Normal 5 3 2 2 2 2" xfId="10154" xr:uid="{00000000-0005-0000-0000-0000FD140000}"/>
    <cellStyle name="Normal 5 3 2 2 3" xfId="10153" xr:uid="{00000000-0005-0000-0000-0000FE140000}"/>
    <cellStyle name="Normal 5 3 2 3" xfId="9499" xr:uid="{00000000-0005-0000-0000-0000FF140000}"/>
    <cellStyle name="Normal 5 3 2 3 2" xfId="10155" xr:uid="{00000000-0005-0000-0000-000000150000}"/>
    <cellStyle name="Normal 5 3 2 4" xfId="10152" xr:uid="{00000000-0005-0000-0000-000001150000}"/>
    <cellStyle name="Normal 5 3 2 5" xfId="10710" xr:uid="{00000000-0005-0000-0000-000002150000}"/>
    <cellStyle name="Normal 5 3 2 6" xfId="10841" xr:uid="{00000000-0005-0000-0000-000003150000}"/>
    <cellStyle name="Normal 5 3 3" xfId="703" xr:uid="{00000000-0005-0000-0000-000004150000}"/>
    <cellStyle name="Normal 5 3 3 2" xfId="9399" xr:uid="{00000000-0005-0000-0000-000005150000}"/>
    <cellStyle name="Normal 5 3 3 2 2" xfId="9820" xr:uid="{00000000-0005-0000-0000-000006150000}"/>
    <cellStyle name="Normal 5 3 3 2 2 2" xfId="10158" xr:uid="{00000000-0005-0000-0000-000007150000}"/>
    <cellStyle name="Normal 5 3 3 2 3" xfId="10157" xr:uid="{00000000-0005-0000-0000-000008150000}"/>
    <cellStyle name="Normal 5 3 3 3" xfId="9539" xr:uid="{00000000-0005-0000-0000-000009150000}"/>
    <cellStyle name="Normal 5 3 3 3 2" xfId="10159" xr:uid="{00000000-0005-0000-0000-00000A150000}"/>
    <cellStyle name="Normal 5 3 3 4" xfId="10156" xr:uid="{00000000-0005-0000-0000-00000B150000}"/>
    <cellStyle name="Normal 5 3 3 5" xfId="10751" xr:uid="{00000000-0005-0000-0000-00000C150000}"/>
    <cellStyle name="Normal 5 3 3 6" xfId="10881" xr:uid="{00000000-0005-0000-0000-00000D150000}"/>
    <cellStyle name="Normal 5 3 3 7" xfId="9279" xr:uid="{00000000-0005-0000-0000-00000E150000}"/>
    <cellStyle name="Normal 5 3 4" xfId="1829" xr:uid="{00000000-0005-0000-0000-00000F150000}"/>
    <cellStyle name="Normal 5 3 4 2" xfId="9634" xr:uid="{00000000-0005-0000-0000-000010150000}"/>
    <cellStyle name="Normal 5 3 4 2 2" xfId="10161" xr:uid="{00000000-0005-0000-0000-000011150000}"/>
    <cellStyle name="Normal 5 3 4 3" xfId="10160" xr:uid="{00000000-0005-0000-0000-000012150000}"/>
    <cellStyle name="Normal 5 3 4 4" xfId="9180" xr:uid="{00000000-0005-0000-0000-000013150000}"/>
    <cellStyle name="Normal 5 3 5" xfId="1830" xr:uid="{00000000-0005-0000-0000-000014150000}"/>
    <cellStyle name="Normal 5 3 5 2" xfId="9737" xr:uid="{00000000-0005-0000-0000-000015150000}"/>
    <cellStyle name="Normal 5 3 5 2 2" xfId="10163" xr:uid="{00000000-0005-0000-0000-000016150000}"/>
    <cellStyle name="Normal 5 3 5 3" xfId="10162" xr:uid="{00000000-0005-0000-0000-000017150000}"/>
    <cellStyle name="Normal 5 3 5 4" xfId="9324" xr:uid="{00000000-0005-0000-0000-000018150000}"/>
    <cellStyle name="Normal 5 3 6" xfId="1831" xr:uid="{00000000-0005-0000-0000-000019150000}"/>
    <cellStyle name="Normal 5 3 6 2" xfId="9587" xr:uid="{00000000-0005-0000-0000-00001A150000}"/>
    <cellStyle name="Normal 5 3 6 2 2" xfId="10165" xr:uid="{00000000-0005-0000-0000-00001B150000}"/>
    <cellStyle name="Normal 5 3 6 3" xfId="10164" xr:uid="{00000000-0005-0000-0000-00001C150000}"/>
    <cellStyle name="Normal 5 3 6 4" xfId="9108" xr:uid="{00000000-0005-0000-0000-00001D150000}"/>
    <cellStyle name="Normal 5 3 7" xfId="1832" xr:uid="{00000000-0005-0000-0000-00001E150000}"/>
    <cellStyle name="Normal 5 3 7 2" xfId="10166" xr:uid="{00000000-0005-0000-0000-00001F150000}"/>
    <cellStyle name="Normal 5 3 7 3" xfId="9456" xr:uid="{00000000-0005-0000-0000-000020150000}"/>
    <cellStyle name="Normal 5 3 8" xfId="1833" xr:uid="{00000000-0005-0000-0000-000021150000}"/>
    <cellStyle name="Normal 5 3 8 2" xfId="9881" xr:uid="{00000000-0005-0000-0000-000022150000}"/>
    <cellStyle name="Normal 5 3 9" xfId="1834" xr:uid="{00000000-0005-0000-0000-000023150000}"/>
    <cellStyle name="Normal 5 3 9 2" xfId="9040" xr:uid="{00000000-0005-0000-0000-000024150000}"/>
    <cellStyle name="Normal 5 4" xfId="245" xr:uid="{00000000-0005-0000-0000-000025150000}"/>
    <cellStyle name="Normal 5 4 10" xfId="10667" xr:uid="{00000000-0005-0000-0000-000026150000}"/>
    <cellStyle name="Normal 5 4 11" xfId="10799" xr:uid="{00000000-0005-0000-0000-000027150000}"/>
    <cellStyle name="Normal 5 4 2" xfId="442" xr:uid="{00000000-0005-0000-0000-000028150000}"/>
    <cellStyle name="Normal 5 4 2 2" xfId="9361" xr:uid="{00000000-0005-0000-0000-000029150000}"/>
    <cellStyle name="Normal 5 4 2 2 2" xfId="9778" xr:uid="{00000000-0005-0000-0000-00002A150000}"/>
    <cellStyle name="Normal 5 4 2 2 2 2" xfId="10169" xr:uid="{00000000-0005-0000-0000-00002B150000}"/>
    <cellStyle name="Normal 5 4 2 2 3" xfId="10168" xr:uid="{00000000-0005-0000-0000-00002C150000}"/>
    <cellStyle name="Normal 5 4 2 3" xfId="9500" xr:uid="{00000000-0005-0000-0000-00002D150000}"/>
    <cellStyle name="Normal 5 4 2 3 2" xfId="10170" xr:uid="{00000000-0005-0000-0000-00002E150000}"/>
    <cellStyle name="Normal 5 4 2 4" xfId="10167" xr:uid="{00000000-0005-0000-0000-00002F150000}"/>
    <cellStyle name="Normal 5 4 2 5" xfId="10711" xr:uid="{00000000-0005-0000-0000-000030150000}"/>
    <cellStyle name="Normal 5 4 2 6" xfId="10842" xr:uid="{00000000-0005-0000-0000-000031150000}"/>
    <cellStyle name="Normal 5 4 3" xfId="9280" xr:uid="{00000000-0005-0000-0000-000032150000}"/>
    <cellStyle name="Normal 5 4 3 2" xfId="9400" xr:uid="{00000000-0005-0000-0000-000033150000}"/>
    <cellStyle name="Normal 5 4 3 2 2" xfId="9821" xr:uid="{00000000-0005-0000-0000-000034150000}"/>
    <cellStyle name="Normal 5 4 3 2 2 2" xfId="10173" xr:uid="{00000000-0005-0000-0000-000035150000}"/>
    <cellStyle name="Normal 5 4 3 2 3" xfId="10172" xr:uid="{00000000-0005-0000-0000-000036150000}"/>
    <cellStyle name="Normal 5 4 3 3" xfId="9540" xr:uid="{00000000-0005-0000-0000-000037150000}"/>
    <cellStyle name="Normal 5 4 3 3 2" xfId="10174" xr:uid="{00000000-0005-0000-0000-000038150000}"/>
    <cellStyle name="Normal 5 4 3 4" xfId="10171" xr:uid="{00000000-0005-0000-0000-000039150000}"/>
    <cellStyle name="Normal 5 4 3 5" xfId="10752" xr:uid="{00000000-0005-0000-0000-00003A150000}"/>
    <cellStyle name="Normal 5 4 3 6" xfId="10882" xr:uid="{00000000-0005-0000-0000-00003B150000}"/>
    <cellStyle name="Normal 5 4 4" xfId="9181" xr:uid="{00000000-0005-0000-0000-00003C150000}"/>
    <cellStyle name="Normal 5 4 4 2" xfId="9635" xr:uid="{00000000-0005-0000-0000-00003D150000}"/>
    <cellStyle name="Normal 5 4 4 2 2" xfId="10176" xr:uid="{00000000-0005-0000-0000-00003E150000}"/>
    <cellStyle name="Normal 5 4 4 3" xfId="10175" xr:uid="{00000000-0005-0000-0000-00003F150000}"/>
    <cellStyle name="Normal 5 4 5" xfId="9325" xr:uid="{00000000-0005-0000-0000-000040150000}"/>
    <cellStyle name="Normal 5 4 5 2" xfId="9738" xr:uid="{00000000-0005-0000-0000-000041150000}"/>
    <cellStyle name="Normal 5 4 5 2 2" xfId="10178" xr:uid="{00000000-0005-0000-0000-000042150000}"/>
    <cellStyle name="Normal 5 4 5 3" xfId="10177" xr:uid="{00000000-0005-0000-0000-000043150000}"/>
    <cellStyle name="Normal 5 4 6" xfId="9109" xr:uid="{00000000-0005-0000-0000-000044150000}"/>
    <cellStyle name="Normal 5 4 6 2" xfId="9588" xr:uid="{00000000-0005-0000-0000-000045150000}"/>
    <cellStyle name="Normal 5 4 6 2 2" xfId="10180" xr:uid="{00000000-0005-0000-0000-000046150000}"/>
    <cellStyle name="Normal 5 4 6 3" xfId="10179" xr:uid="{00000000-0005-0000-0000-000047150000}"/>
    <cellStyle name="Normal 5 4 7" xfId="9457" xr:uid="{00000000-0005-0000-0000-000048150000}"/>
    <cellStyle name="Normal 5 4 7 2" xfId="10181" xr:uid="{00000000-0005-0000-0000-000049150000}"/>
    <cellStyle name="Normal 5 4 8" xfId="9882" xr:uid="{00000000-0005-0000-0000-00004A150000}"/>
    <cellStyle name="Normal 5 4 9" xfId="9041" xr:uid="{00000000-0005-0000-0000-00004B150000}"/>
    <cellStyle name="Normal 5 5" xfId="443" xr:uid="{00000000-0005-0000-0000-00004C150000}"/>
    <cellStyle name="Normal 5 5 2" xfId="444" xr:uid="{00000000-0005-0000-0000-00004D150000}"/>
    <cellStyle name="Normal 5 5 2 2" xfId="9775" xr:uid="{00000000-0005-0000-0000-00004E150000}"/>
    <cellStyle name="Normal 5 5 2 2 2" xfId="10184" xr:uid="{00000000-0005-0000-0000-00004F150000}"/>
    <cellStyle name="Normal 5 5 2 3" xfId="10183" xr:uid="{00000000-0005-0000-0000-000050150000}"/>
    <cellStyle name="Normal 5 5 3" xfId="9495" xr:uid="{00000000-0005-0000-0000-000051150000}"/>
    <cellStyle name="Normal 5 5 3 2" xfId="10185" xr:uid="{00000000-0005-0000-0000-000052150000}"/>
    <cellStyle name="Normal 5 5 4" xfId="10182" xr:uid="{00000000-0005-0000-0000-000053150000}"/>
    <cellStyle name="Normal 5 5 5" xfId="10707" xr:uid="{00000000-0005-0000-0000-000054150000}"/>
    <cellStyle name="Normal 5 5 6" xfId="10838" xr:uid="{00000000-0005-0000-0000-000055150000}"/>
    <cellStyle name="Normal 5 6" xfId="445" xr:uid="{00000000-0005-0000-0000-000056150000}"/>
    <cellStyle name="Normal 5 6 2" xfId="9395" xr:uid="{00000000-0005-0000-0000-000057150000}"/>
    <cellStyle name="Normal 5 6 2 2" xfId="9816" xr:uid="{00000000-0005-0000-0000-000058150000}"/>
    <cellStyle name="Normal 5 6 2 2 2" xfId="10188" xr:uid="{00000000-0005-0000-0000-000059150000}"/>
    <cellStyle name="Normal 5 6 2 3" xfId="10187" xr:uid="{00000000-0005-0000-0000-00005A150000}"/>
    <cellStyle name="Normal 5 6 3" xfId="9535" xr:uid="{00000000-0005-0000-0000-00005B150000}"/>
    <cellStyle name="Normal 5 6 3 2" xfId="10189" xr:uid="{00000000-0005-0000-0000-00005C150000}"/>
    <cellStyle name="Normal 5 6 4" xfId="10186" xr:uid="{00000000-0005-0000-0000-00005D150000}"/>
    <cellStyle name="Normal 5 6 5" xfId="10747" xr:uid="{00000000-0005-0000-0000-00005E150000}"/>
    <cellStyle name="Normal 5 6 6" xfId="10877" xr:uid="{00000000-0005-0000-0000-00005F150000}"/>
    <cellStyle name="Normal 5 7" xfId="9178" xr:uid="{00000000-0005-0000-0000-000060150000}"/>
    <cellStyle name="Normal 5 7 2" xfId="9630" xr:uid="{00000000-0005-0000-0000-000061150000}"/>
    <cellStyle name="Normal 5 7 2 2" xfId="10191" xr:uid="{00000000-0005-0000-0000-000062150000}"/>
    <cellStyle name="Normal 5 7 3" xfId="10190" xr:uid="{00000000-0005-0000-0000-000063150000}"/>
    <cellStyle name="Normal 5 8" xfId="9322" xr:uid="{00000000-0005-0000-0000-000064150000}"/>
    <cellStyle name="Normal 5 8 2" xfId="9733" xr:uid="{00000000-0005-0000-0000-000065150000}"/>
    <cellStyle name="Normal 5 8 2 2" xfId="10193" xr:uid="{00000000-0005-0000-0000-000066150000}"/>
    <cellStyle name="Normal 5 8 3" xfId="10192" xr:uid="{00000000-0005-0000-0000-000067150000}"/>
    <cellStyle name="Normal 5 9" xfId="9104" xr:uid="{00000000-0005-0000-0000-000068150000}"/>
    <cellStyle name="Normal 5 9 2" xfId="9583" xr:uid="{00000000-0005-0000-0000-000069150000}"/>
    <cellStyle name="Normal 5 9 2 2" xfId="10195" xr:uid="{00000000-0005-0000-0000-00006A150000}"/>
    <cellStyle name="Normal 5 9 3" xfId="10194" xr:uid="{00000000-0005-0000-0000-00006B150000}"/>
    <cellStyle name="Normal 50" xfId="246" xr:uid="{00000000-0005-0000-0000-00006C150000}"/>
    <cellStyle name="Normal 50 2" xfId="9234" xr:uid="{00000000-0005-0000-0000-00006D150000}"/>
    <cellStyle name="Normal 50 2 2" xfId="9697" xr:uid="{00000000-0005-0000-0000-00006E150000}"/>
    <cellStyle name="Normal 50 3" xfId="9151" xr:uid="{00000000-0005-0000-0000-00006F150000}"/>
    <cellStyle name="Normal 50 4" xfId="9078" xr:uid="{00000000-0005-0000-0000-000070150000}"/>
    <cellStyle name="Normal 50 5" xfId="9010" xr:uid="{00000000-0005-0000-0000-000071150000}"/>
    <cellStyle name="Normal 50 6" xfId="8982" xr:uid="{00000000-0005-0000-0000-000072150000}"/>
    <cellStyle name="Normal 51" xfId="247" xr:uid="{00000000-0005-0000-0000-000073150000}"/>
    <cellStyle name="Normal 51 2" xfId="9235" xr:uid="{00000000-0005-0000-0000-000074150000}"/>
    <cellStyle name="Normal 51 2 2" xfId="9698" xr:uid="{00000000-0005-0000-0000-000075150000}"/>
    <cellStyle name="Normal 51 3" xfId="9152" xr:uid="{00000000-0005-0000-0000-000076150000}"/>
    <cellStyle name="Normal 51 4" xfId="9079" xr:uid="{00000000-0005-0000-0000-000077150000}"/>
    <cellStyle name="Normal 51 5" xfId="9011" xr:uid="{00000000-0005-0000-0000-000078150000}"/>
    <cellStyle name="Normal 51 6" xfId="8983" xr:uid="{00000000-0005-0000-0000-000079150000}"/>
    <cellStyle name="Normal 52" xfId="248" xr:uid="{00000000-0005-0000-0000-00007A150000}"/>
    <cellStyle name="Normal 52 2" xfId="9236" xr:uid="{00000000-0005-0000-0000-00007B150000}"/>
    <cellStyle name="Normal 52 2 2" xfId="9699" xr:uid="{00000000-0005-0000-0000-00007C150000}"/>
    <cellStyle name="Normal 52 3" xfId="9153" xr:uid="{00000000-0005-0000-0000-00007D150000}"/>
    <cellStyle name="Normal 52 4" xfId="9080" xr:uid="{00000000-0005-0000-0000-00007E150000}"/>
    <cellStyle name="Normal 52 5" xfId="9012" xr:uid="{00000000-0005-0000-0000-00007F150000}"/>
    <cellStyle name="Normal 52 6" xfId="8984" xr:uid="{00000000-0005-0000-0000-000080150000}"/>
    <cellStyle name="Normal 53" xfId="249" xr:uid="{00000000-0005-0000-0000-000081150000}"/>
    <cellStyle name="Normal 53 2" xfId="9237" xr:uid="{00000000-0005-0000-0000-000082150000}"/>
    <cellStyle name="Normal 53 2 2" xfId="9700" xr:uid="{00000000-0005-0000-0000-000083150000}"/>
    <cellStyle name="Normal 53 3" xfId="9154" xr:uid="{00000000-0005-0000-0000-000084150000}"/>
    <cellStyle name="Normal 53 4" xfId="9081" xr:uid="{00000000-0005-0000-0000-000085150000}"/>
    <cellStyle name="Normal 53 5" xfId="9013" xr:uid="{00000000-0005-0000-0000-000086150000}"/>
    <cellStyle name="Normal 53 6" xfId="8985" xr:uid="{00000000-0005-0000-0000-000087150000}"/>
    <cellStyle name="Normal 54" xfId="250" xr:uid="{00000000-0005-0000-0000-000088150000}"/>
    <cellStyle name="Normal 54 2" xfId="9238" xr:uid="{00000000-0005-0000-0000-000089150000}"/>
    <cellStyle name="Normal 54 2 2" xfId="9701" xr:uid="{00000000-0005-0000-0000-00008A150000}"/>
    <cellStyle name="Normal 54 3" xfId="9155" xr:uid="{00000000-0005-0000-0000-00008B150000}"/>
    <cellStyle name="Normal 54 4" xfId="9082" xr:uid="{00000000-0005-0000-0000-00008C150000}"/>
    <cellStyle name="Normal 54 5" xfId="9014" xr:uid="{00000000-0005-0000-0000-00008D150000}"/>
    <cellStyle name="Normal 54 6" xfId="8986" xr:uid="{00000000-0005-0000-0000-00008E150000}"/>
    <cellStyle name="Normal 55" xfId="251" xr:uid="{00000000-0005-0000-0000-00008F150000}"/>
    <cellStyle name="Normal 55 2" xfId="9239" xr:uid="{00000000-0005-0000-0000-000090150000}"/>
    <cellStyle name="Normal 55 2 2" xfId="9702" xr:uid="{00000000-0005-0000-0000-000091150000}"/>
    <cellStyle name="Normal 55 3" xfId="9156" xr:uid="{00000000-0005-0000-0000-000092150000}"/>
    <cellStyle name="Normal 55 4" xfId="9083" xr:uid="{00000000-0005-0000-0000-000093150000}"/>
    <cellStyle name="Normal 55 5" xfId="9015" xr:uid="{00000000-0005-0000-0000-000094150000}"/>
    <cellStyle name="Normal 55 6" xfId="8987" xr:uid="{00000000-0005-0000-0000-000095150000}"/>
    <cellStyle name="Normal 56" xfId="252" xr:uid="{00000000-0005-0000-0000-000096150000}"/>
    <cellStyle name="Normal 56 2" xfId="9240" xr:uid="{00000000-0005-0000-0000-000097150000}"/>
    <cellStyle name="Normal 56 2 2" xfId="9703" xr:uid="{00000000-0005-0000-0000-000098150000}"/>
    <cellStyle name="Normal 56 3" xfId="9157" xr:uid="{00000000-0005-0000-0000-000099150000}"/>
    <cellStyle name="Normal 56 4" xfId="9084" xr:uid="{00000000-0005-0000-0000-00009A150000}"/>
    <cellStyle name="Normal 56 5" xfId="9016" xr:uid="{00000000-0005-0000-0000-00009B150000}"/>
    <cellStyle name="Normal 56 6" xfId="8988" xr:uid="{00000000-0005-0000-0000-00009C150000}"/>
    <cellStyle name="Normal 57" xfId="253" xr:uid="{00000000-0005-0000-0000-00009D150000}"/>
    <cellStyle name="Normal 57 2" xfId="9241" xr:uid="{00000000-0005-0000-0000-00009E150000}"/>
    <cellStyle name="Normal 57 2 2" xfId="9704" xr:uid="{00000000-0005-0000-0000-00009F150000}"/>
    <cellStyle name="Normal 57 3" xfId="9158" xr:uid="{00000000-0005-0000-0000-0000A0150000}"/>
    <cellStyle name="Normal 57 4" xfId="9085" xr:uid="{00000000-0005-0000-0000-0000A1150000}"/>
    <cellStyle name="Normal 57 5" xfId="9017" xr:uid="{00000000-0005-0000-0000-0000A2150000}"/>
    <cellStyle name="Normal 57 6" xfId="8989" xr:uid="{00000000-0005-0000-0000-0000A3150000}"/>
    <cellStyle name="Normal 58" xfId="254" xr:uid="{00000000-0005-0000-0000-0000A4150000}"/>
    <cellStyle name="Normal 58 2" xfId="9242" xr:uid="{00000000-0005-0000-0000-0000A5150000}"/>
    <cellStyle name="Normal 58 2 2" xfId="9705" xr:uid="{00000000-0005-0000-0000-0000A6150000}"/>
    <cellStyle name="Normal 58 3" xfId="9159" xr:uid="{00000000-0005-0000-0000-0000A7150000}"/>
    <cellStyle name="Normal 58 4" xfId="9086" xr:uid="{00000000-0005-0000-0000-0000A8150000}"/>
    <cellStyle name="Normal 58 5" xfId="9018" xr:uid="{00000000-0005-0000-0000-0000A9150000}"/>
    <cellStyle name="Normal 58 6" xfId="8990" xr:uid="{00000000-0005-0000-0000-0000AA150000}"/>
    <cellStyle name="Normal 59" xfId="255" xr:uid="{00000000-0005-0000-0000-0000AB150000}"/>
    <cellStyle name="Normal 59 2" xfId="9243" xr:uid="{00000000-0005-0000-0000-0000AC150000}"/>
    <cellStyle name="Normal 59 2 2" xfId="9706" xr:uid="{00000000-0005-0000-0000-0000AD150000}"/>
    <cellStyle name="Normal 59 3" xfId="9160" xr:uid="{00000000-0005-0000-0000-0000AE150000}"/>
    <cellStyle name="Normal 59 4" xfId="9087" xr:uid="{00000000-0005-0000-0000-0000AF150000}"/>
    <cellStyle name="Normal 59 5" xfId="9019" xr:uid="{00000000-0005-0000-0000-0000B0150000}"/>
    <cellStyle name="Normal 59 6" xfId="8991" xr:uid="{00000000-0005-0000-0000-0000B1150000}"/>
    <cellStyle name="Normal 6" xfId="1" xr:uid="{00000000-0005-0000-0000-0000B2150000}"/>
    <cellStyle name="Normal 6 10" xfId="9066" xr:uid="{00000000-0005-0000-0000-0000B3150000}"/>
    <cellStyle name="Normal 6 10 2" xfId="9568" xr:uid="{00000000-0005-0000-0000-0000B4150000}"/>
    <cellStyle name="Normal 6 10 2 2" xfId="10197" xr:uid="{00000000-0005-0000-0000-0000B5150000}"/>
    <cellStyle name="Normal 6 10 3" xfId="10196" xr:uid="{00000000-0005-0000-0000-0000B6150000}"/>
    <cellStyle name="Normal 6 11" xfId="9439" xr:uid="{00000000-0005-0000-0000-0000B7150000}"/>
    <cellStyle name="Normal 6 11 2" xfId="10198" xr:uid="{00000000-0005-0000-0000-0000B8150000}"/>
    <cellStyle name="Normal 6 12" xfId="9864" xr:uid="{00000000-0005-0000-0000-0000B9150000}"/>
    <cellStyle name="Normal 6 13" xfId="8998" xr:uid="{00000000-0005-0000-0000-0000BA150000}"/>
    <cellStyle name="Normal 6 14" xfId="10649" xr:uid="{00000000-0005-0000-0000-0000BB150000}"/>
    <cellStyle name="Normal 6 15" xfId="10781" xr:uid="{00000000-0005-0000-0000-0000BC150000}"/>
    <cellStyle name="Normal 6 2" xfId="97" xr:uid="{00000000-0005-0000-0000-0000BD150000}"/>
    <cellStyle name="Normal 6 2 10" xfId="9458" xr:uid="{00000000-0005-0000-0000-0000BE150000}"/>
    <cellStyle name="Normal 6 2 10 2" xfId="10199" xr:uid="{00000000-0005-0000-0000-0000BF150000}"/>
    <cellStyle name="Normal 6 2 11" xfId="9883" xr:uid="{00000000-0005-0000-0000-0000C0150000}"/>
    <cellStyle name="Normal 6 2 12" xfId="9042" xr:uid="{00000000-0005-0000-0000-0000C1150000}"/>
    <cellStyle name="Normal 6 2 13" xfId="10668" xr:uid="{00000000-0005-0000-0000-0000C2150000}"/>
    <cellStyle name="Normal 6 2 14" xfId="10800" xr:uid="{00000000-0005-0000-0000-0000C3150000}"/>
    <cellStyle name="Normal 6 2 2" xfId="256" xr:uid="{00000000-0005-0000-0000-0000C4150000}"/>
    <cellStyle name="Normal 6 2 2 10" xfId="9884" xr:uid="{00000000-0005-0000-0000-0000C5150000}"/>
    <cellStyle name="Normal 6 2 2 11" xfId="9043" xr:uid="{00000000-0005-0000-0000-0000C6150000}"/>
    <cellStyle name="Normal 6 2 2 12" xfId="10669" xr:uid="{00000000-0005-0000-0000-0000C7150000}"/>
    <cellStyle name="Normal 6 2 2 13" xfId="10801" xr:uid="{00000000-0005-0000-0000-0000C8150000}"/>
    <cellStyle name="Normal 6 2 2 2" xfId="257" xr:uid="{00000000-0005-0000-0000-0000C9150000}"/>
    <cellStyle name="Normal 6 2 2 2 10" xfId="10670" xr:uid="{00000000-0005-0000-0000-0000CA150000}"/>
    <cellStyle name="Normal 6 2 2 2 11" xfId="10802" xr:uid="{00000000-0005-0000-0000-0000CB150000}"/>
    <cellStyle name="Normal 6 2 2 2 2" xfId="9246" xr:uid="{00000000-0005-0000-0000-0000CC150000}"/>
    <cellStyle name="Normal 6 2 2 2 2 2" xfId="9365" xr:uid="{00000000-0005-0000-0000-0000CD150000}"/>
    <cellStyle name="Normal 6 2 2 2 2 2 2" xfId="9782" xr:uid="{00000000-0005-0000-0000-0000CE150000}"/>
    <cellStyle name="Normal 6 2 2 2 2 2 2 2" xfId="10202" xr:uid="{00000000-0005-0000-0000-0000CF150000}"/>
    <cellStyle name="Normal 6 2 2 2 2 2 3" xfId="10201" xr:uid="{00000000-0005-0000-0000-0000D0150000}"/>
    <cellStyle name="Normal 6 2 2 2 2 3" xfId="9503" xr:uid="{00000000-0005-0000-0000-0000D1150000}"/>
    <cellStyle name="Normal 6 2 2 2 2 3 2" xfId="10203" xr:uid="{00000000-0005-0000-0000-0000D2150000}"/>
    <cellStyle name="Normal 6 2 2 2 2 4" xfId="10200" xr:uid="{00000000-0005-0000-0000-0000D3150000}"/>
    <cellStyle name="Normal 6 2 2 2 2 5" xfId="10714" xr:uid="{00000000-0005-0000-0000-0000D4150000}"/>
    <cellStyle name="Normal 6 2 2 2 2 6" xfId="10845" xr:uid="{00000000-0005-0000-0000-0000D5150000}"/>
    <cellStyle name="Normal 6 2 2 2 3" xfId="9283" xr:uid="{00000000-0005-0000-0000-0000D6150000}"/>
    <cellStyle name="Normal 6 2 2 2 3 2" xfId="9403" xr:uid="{00000000-0005-0000-0000-0000D7150000}"/>
    <cellStyle name="Normal 6 2 2 2 3 2 2" xfId="9824" xr:uid="{00000000-0005-0000-0000-0000D8150000}"/>
    <cellStyle name="Normal 6 2 2 2 3 2 2 2" xfId="10206" xr:uid="{00000000-0005-0000-0000-0000D9150000}"/>
    <cellStyle name="Normal 6 2 2 2 3 2 3" xfId="10205" xr:uid="{00000000-0005-0000-0000-0000DA150000}"/>
    <cellStyle name="Normal 6 2 2 2 3 3" xfId="9543" xr:uid="{00000000-0005-0000-0000-0000DB150000}"/>
    <cellStyle name="Normal 6 2 2 2 3 3 2" xfId="10207" xr:uid="{00000000-0005-0000-0000-0000DC150000}"/>
    <cellStyle name="Normal 6 2 2 2 3 4" xfId="10204" xr:uid="{00000000-0005-0000-0000-0000DD150000}"/>
    <cellStyle name="Normal 6 2 2 2 3 5" xfId="10755" xr:uid="{00000000-0005-0000-0000-0000DE150000}"/>
    <cellStyle name="Normal 6 2 2 2 3 6" xfId="10885" xr:uid="{00000000-0005-0000-0000-0000DF150000}"/>
    <cellStyle name="Normal 6 2 2 2 4" xfId="9184" xr:uid="{00000000-0005-0000-0000-0000E0150000}"/>
    <cellStyle name="Normal 6 2 2 2 4 2" xfId="9638" xr:uid="{00000000-0005-0000-0000-0000E1150000}"/>
    <cellStyle name="Normal 6 2 2 2 4 2 2" xfId="10209" xr:uid="{00000000-0005-0000-0000-0000E2150000}"/>
    <cellStyle name="Normal 6 2 2 2 4 3" xfId="10208" xr:uid="{00000000-0005-0000-0000-0000E3150000}"/>
    <cellStyle name="Normal 6 2 2 2 5" xfId="9328" xr:uid="{00000000-0005-0000-0000-0000E4150000}"/>
    <cellStyle name="Normal 6 2 2 2 5 2" xfId="9741" xr:uid="{00000000-0005-0000-0000-0000E5150000}"/>
    <cellStyle name="Normal 6 2 2 2 5 2 2" xfId="10211" xr:uid="{00000000-0005-0000-0000-0000E6150000}"/>
    <cellStyle name="Normal 6 2 2 2 5 3" xfId="10210" xr:uid="{00000000-0005-0000-0000-0000E7150000}"/>
    <cellStyle name="Normal 6 2 2 2 6" xfId="9112" xr:uid="{00000000-0005-0000-0000-0000E8150000}"/>
    <cellStyle name="Normal 6 2 2 2 6 2" xfId="9591" xr:uid="{00000000-0005-0000-0000-0000E9150000}"/>
    <cellStyle name="Normal 6 2 2 2 6 2 2" xfId="10213" xr:uid="{00000000-0005-0000-0000-0000EA150000}"/>
    <cellStyle name="Normal 6 2 2 2 6 3" xfId="10212" xr:uid="{00000000-0005-0000-0000-0000EB150000}"/>
    <cellStyle name="Normal 6 2 2 2 7" xfId="9460" xr:uid="{00000000-0005-0000-0000-0000EC150000}"/>
    <cellStyle name="Normal 6 2 2 2 7 2" xfId="10214" xr:uid="{00000000-0005-0000-0000-0000ED150000}"/>
    <cellStyle name="Normal 6 2 2 2 8" xfId="9885" xr:uid="{00000000-0005-0000-0000-0000EE150000}"/>
    <cellStyle name="Normal 6 2 2 2 9" xfId="9044" xr:uid="{00000000-0005-0000-0000-0000EF150000}"/>
    <cellStyle name="Normal 6 2 2 3" xfId="8966" xr:uid="{00000000-0005-0000-0000-0000F0150000}"/>
    <cellStyle name="Normal 6 2 2 3 10" xfId="10671" xr:uid="{00000000-0005-0000-0000-0000F1150000}"/>
    <cellStyle name="Normal 6 2 2 3 11" xfId="10803" xr:uid="{00000000-0005-0000-0000-0000F2150000}"/>
    <cellStyle name="Normal 6 2 2 3 2" xfId="9247" xr:uid="{00000000-0005-0000-0000-0000F3150000}"/>
    <cellStyle name="Normal 6 2 2 3 2 2" xfId="9366" xr:uid="{00000000-0005-0000-0000-0000F4150000}"/>
    <cellStyle name="Normal 6 2 2 3 2 2 2" xfId="9783" xr:uid="{00000000-0005-0000-0000-0000F5150000}"/>
    <cellStyle name="Normal 6 2 2 3 2 2 2 2" xfId="10217" xr:uid="{00000000-0005-0000-0000-0000F6150000}"/>
    <cellStyle name="Normal 6 2 2 3 2 2 3" xfId="10216" xr:uid="{00000000-0005-0000-0000-0000F7150000}"/>
    <cellStyle name="Normal 6 2 2 3 2 3" xfId="9504" xr:uid="{00000000-0005-0000-0000-0000F8150000}"/>
    <cellStyle name="Normal 6 2 2 3 2 3 2" xfId="10218" xr:uid="{00000000-0005-0000-0000-0000F9150000}"/>
    <cellStyle name="Normal 6 2 2 3 2 4" xfId="10215" xr:uid="{00000000-0005-0000-0000-0000FA150000}"/>
    <cellStyle name="Normal 6 2 2 3 2 5" xfId="10715" xr:uid="{00000000-0005-0000-0000-0000FB150000}"/>
    <cellStyle name="Normal 6 2 2 3 2 6" xfId="10846" xr:uid="{00000000-0005-0000-0000-0000FC150000}"/>
    <cellStyle name="Normal 6 2 2 3 3" xfId="9284" xr:uid="{00000000-0005-0000-0000-0000FD150000}"/>
    <cellStyle name="Normal 6 2 2 3 3 2" xfId="9404" xr:uid="{00000000-0005-0000-0000-0000FE150000}"/>
    <cellStyle name="Normal 6 2 2 3 3 2 2" xfId="9825" xr:uid="{00000000-0005-0000-0000-0000FF150000}"/>
    <cellStyle name="Normal 6 2 2 3 3 2 2 2" xfId="10221" xr:uid="{00000000-0005-0000-0000-000000160000}"/>
    <cellStyle name="Normal 6 2 2 3 3 2 3" xfId="10220" xr:uid="{00000000-0005-0000-0000-000001160000}"/>
    <cellStyle name="Normal 6 2 2 3 3 3" xfId="9544" xr:uid="{00000000-0005-0000-0000-000002160000}"/>
    <cellStyle name="Normal 6 2 2 3 3 3 2" xfId="10222" xr:uid="{00000000-0005-0000-0000-000003160000}"/>
    <cellStyle name="Normal 6 2 2 3 3 4" xfId="10219" xr:uid="{00000000-0005-0000-0000-000004160000}"/>
    <cellStyle name="Normal 6 2 2 3 3 5" xfId="10756" xr:uid="{00000000-0005-0000-0000-000005160000}"/>
    <cellStyle name="Normal 6 2 2 3 3 6" xfId="10886" xr:uid="{00000000-0005-0000-0000-000006160000}"/>
    <cellStyle name="Normal 6 2 2 3 4" xfId="9185" xr:uid="{00000000-0005-0000-0000-000007160000}"/>
    <cellStyle name="Normal 6 2 2 3 4 2" xfId="9639" xr:uid="{00000000-0005-0000-0000-000008160000}"/>
    <cellStyle name="Normal 6 2 2 3 4 2 2" xfId="10224" xr:uid="{00000000-0005-0000-0000-000009160000}"/>
    <cellStyle name="Normal 6 2 2 3 4 3" xfId="10223" xr:uid="{00000000-0005-0000-0000-00000A160000}"/>
    <cellStyle name="Normal 6 2 2 3 5" xfId="9329" xr:uid="{00000000-0005-0000-0000-00000B160000}"/>
    <cellStyle name="Normal 6 2 2 3 5 2" xfId="9742" xr:uid="{00000000-0005-0000-0000-00000C160000}"/>
    <cellStyle name="Normal 6 2 2 3 5 2 2" xfId="10226" xr:uid="{00000000-0005-0000-0000-00000D160000}"/>
    <cellStyle name="Normal 6 2 2 3 5 3" xfId="10225" xr:uid="{00000000-0005-0000-0000-00000E160000}"/>
    <cellStyle name="Normal 6 2 2 3 6" xfId="9113" xr:uid="{00000000-0005-0000-0000-00000F160000}"/>
    <cellStyle name="Normal 6 2 2 3 6 2" xfId="9592" xr:uid="{00000000-0005-0000-0000-000010160000}"/>
    <cellStyle name="Normal 6 2 2 3 6 2 2" xfId="10228" xr:uid="{00000000-0005-0000-0000-000011160000}"/>
    <cellStyle name="Normal 6 2 2 3 6 3" xfId="10227" xr:uid="{00000000-0005-0000-0000-000012160000}"/>
    <cellStyle name="Normal 6 2 2 3 7" xfId="9461" xr:uid="{00000000-0005-0000-0000-000013160000}"/>
    <cellStyle name="Normal 6 2 2 3 7 2" xfId="10229" xr:uid="{00000000-0005-0000-0000-000014160000}"/>
    <cellStyle name="Normal 6 2 2 3 8" xfId="9886" xr:uid="{00000000-0005-0000-0000-000015160000}"/>
    <cellStyle name="Normal 6 2 2 3 9" xfId="9045" xr:uid="{00000000-0005-0000-0000-000016160000}"/>
    <cellStyle name="Normal 6 2 2 4" xfId="9245" xr:uid="{00000000-0005-0000-0000-000017160000}"/>
    <cellStyle name="Normal 6 2 2 4 2" xfId="9364" xr:uid="{00000000-0005-0000-0000-000018160000}"/>
    <cellStyle name="Normal 6 2 2 4 2 2" xfId="9781" xr:uid="{00000000-0005-0000-0000-000019160000}"/>
    <cellStyle name="Normal 6 2 2 4 2 2 2" xfId="10232" xr:uid="{00000000-0005-0000-0000-00001A160000}"/>
    <cellStyle name="Normal 6 2 2 4 2 3" xfId="10231" xr:uid="{00000000-0005-0000-0000-00001B160000}"/>
    <cellStyle name="Normal 6 2 2 4 3" xfId="9502" xr:uid="{00000000-0005-0000-0000-00001C160000}"/>
    <cellStyle name="Normal 6 2 2 4 3 2" xfId="10233" xr:uid="{00000000-0005-0000-0000-00001D160000}"/>
    <cellStyle name="Normal 6 2 2 4 4" xfId="10230" xr:uid="{00000000-0005-0000-0000-00001E160000}"/>
    <cellStyle name="Normal 6 2 2 4 5" xfId="10713" xr:uid="{00000000-0005-0000-0000-00001F160000}"/>
    <cellStyle name="Normal 6 2 2 4 6" xfId="10844" xr:uid="{00000000-0005-0000-0000-000020160000}"/>
    <cellStyle name="Normal 6 2 2 5" xfId="9282" xr:uid="{00000000-0005-0000-0000-000021160000}"/>
    <cellStyle name="Normal 6 2 2 5 2" xfId="9402" xr:uid="{00000000-0005-0000-0000-000022160000}"/>
    <cellStyle name="Normal 6 2 2 5 2 2" xfId="9823" xr:uid="{00000000-0005-0000-0000-000023160000}"/>
    <cellStyle name="Normal 6 2 2 5 2 2 2" xfId="10236" xr:uid="{00000000-0005-0000-0000-000024160000}"/>
    <cellStyle name="Normal 6 2 2 5 2 3" xfId="10235" xr:uid="{00000000-0005-0000-0000-000025160000}"/>
    <cellStyle name="Normal 6 2 2 5 3" xfId="9542" xr:uid="{00000000-0005-0000-0000-000026160000}"/>
    <cellStyle name="Normal 6 2 2 5 3 2" xfId="10237" xr:uid="{00000000-0005-0000-0000-000027160000}"/>
    <cellStyle name="Normal 6 2 2 5 4" xfId="10234" xr:uid="{00000000-0005-0000-0000-000028160000}"/>
    <cellStyle name="Normal 6 2 2 5 5" xfId="10754" xr:uid="{00000000-0005-0000-0000-000029160000}"/>
    <cellStyle name="Normal 6 2 2 5 6" xfId="10884" xr:uid="{00000000-0005-0000-0000-00002A160000}"/>
    <cellStyle name="Normal 6 2 2 6" xfId="9183" xr:uid="{00000000-0005-0000-0000-00002B160000}"/>
    <cellStyle name="Normal 6 2 2 6 2" xfId="9637" xr:uid="{00000000-0005-0000-0000-00002C160000}"/>
    <cellStyle name="Normal 6 2 2 6 2 2" xfId="10239" xr:uid="{00000000-0005-0000-0000-00002D160000}"/>
    <cellStyle name="Normal 6 2 2 6 3" xfId="10238" xr:uid="{00000000-0005-0000-0000-00002E160000}"/>
    <cellStyle name="Normal 6 2 2 7" xfId="9327" xr:uid="{00000000-0005-0000-0000-00002F160000}"/>
    <cellStyle name="Normal 6 2 2 7 2" xfId="9740" xr:uid="{00000000-0005-0000-0000-000030160000}"/>
    <cellStyle name="Normal 6 2 2 7 2 2" xfId="10241" xr:uid="{00000000-0005-0000-0000-000031160000}"/>
    <cellStyle name="Normal 6 2 2 7 3" xfId="10240" xr:uid="{00000000-0005-0000-0000-000032160000}"/>
    <cellStyle name="Normal 6 2 2 8" xfId="9111" xr:uid="{00000000-0005-0000-0000-000033160000}"/>
    <cellStyle name="Normal 6 2 2 8 2" xfId="9590" xr:uid="{00000000-0005-0000-0000-000034160000}"/>
    <cellStyle name="Normal 6 2 2 8 2 2" xfId="10243" xr:uid="{00000000-0005-0000-0000-000035160000}"/>
    <cellStyle name="Normal 6 2 2 8 3" xfId="10242" xr:uid="{00000000-0005-0000-0000-000036160000}"/>
    <cellStyle name="Normal 6 2 2 9" xfId="9459" xr:uid="{00000000-0005-0000-0000-000037160000}"/>
    <cellStyle name="Normal 6 2 2 9 2" xfId="10244" xr:uid="{00000000-0005-0000-0000-000038160000}"/>
    <cellStyle name="Normal 6 2 3" xfId="258" xr:uid="{00000000-0005-0000-0000-000039160000}"/>
    <cellStyle name="Normal 6 2 3 10" xfId="10672" xr:uid="{00000000-0005-0000-0000-00003A160000}"/>
    <cellStyle name="Normal 6 2 3 11" xfId="10804" xr:uid="{00000000-0005-0000-0000-00003B160000}"/>
    <cellStyle name="Normal 6 2 3 2" xfId="8051" xr:uid="{00000000-0005-0000-0000-00003C160000}"/>
    <cellStyle name="Normal 6 2 3 2 2" xfId="9367" xr:uid="{00000000-0005-0000-0000-00003D160000}"/>
    <cellStyle name="Normal 6 2 3 2 2 2" xfId="9784" xr:uid="{00000000-0005-0000-0000-00003E160000}"/>
    <cellStyle name="Normal 6 2 3 2 2 2 2" xfId="10247" xr:uid="{00000000-0005-0000-0000-00003F160000}"/>
    <cellStyle name="Normal 6 2 3 2 2 3" xfId="10246" xr:uid="{00000000-0005-0000-0000-000040160000}"/>
    <cellStyle name="Normal 6 2 3 2 3" xfId="9505" xr:uid="{00000000-0005-0000-0000-000041160000}"/>
    <cellStyle name="Normal 6 2 3 2 3 2" xfId="10248" xr:uid="{00000000-0005-0000-0000-000042160000}"/>
    <cellStyle name="Normal 6 2 3 2 4" xfId="10245" xr:uid="{00000000-0005-0000-0000-000043160000}"/>
    <cellStyle name="Normal 6 2 3 2 5" xfId="10716" xr:uid="{00000000-0005-0000-0000-000044160000}"/>
    <cellStyle name="Normal 6 2 3 2 6" xfId="10847" xr:uid="{00000000-0005-0000-0000-000045160000}"/>
    <cellStyle name="Normal 6 2 3 2 7" xfId="9248" xr:uid="{00000000-0005-0000-0000-000046160000}"/>
    <cellStyle name="Normal 6 2 3 3" xfId="9285" xr:uid="{00000000-0005-0000-0000-000047160000}"/>
    <cellStyle name="Normal 6 2 3 3 2" xfId="9405" xr:uid="{00000000-0005-0000-0000-000048160000}"/>
    <cellStyle name="Normal 6 2 3 3 2 2" xfId="9826" xr:uid="{00000000-0005-0000-0000-000049160000}"/>
    <cellStyle name="Normal 6 2 3 3 2 2 2" xfId="10251" xr:uid="{00000000-0005-0000-0000-00004A160000}"/>
    <cellStyle name="Normal 6 2 3 3 2 3" xfId="10250" xr:uid="{00000000-0005-0000-0000-00004B160000}"/>
    <cellStyle name="Normal 6 2 3 3 3" xfId="9545" xr:uid="{00000000-0005-0000-0000-00004C160000}"/>
    <cellStyle name="Normal 6 2 3 3 3 2" xfId="10252" xr:uid="{00000000-0005-0000-0000-00004D160000}"/>
    <cellStyle name="Normal 6 2 3 3 4" xfId="10249" xr:uid="{00000000-0005-0000-0000-00004E160000}"/>
    <cellStyle name="Normal 6 2 3 3 5" xfId="10757" xr:uid="{00000000-0005-0000-0000-00004F160000}"/>
    <cellStyle name="Normal 6 2 3 3 6" xfId="10887" xr:uid="{00000000-0005-0000-0000-000050160000}"/>
    <cellStyle name="Normal 6 2 3 4" xfId="9186" xr:uid="{00000000-0005-0000-0000-000051160000}"/>
    <cellStyle name="Normal 6 2 3 4 2" xfId="9640" xr:uid="{00000000-0005-0000-0000-000052160000}"/>
    <cellStyle name="Normal 6 2 3 4 2 2" xfId="10254" xr:uid="{00000000-0005-0000-0000-000053160000}"/>
    <cellStyle name="Normal 6 2 3 4 3" xfId="10253" xr:uid="{00000000-0005-0000-0000-000054160000}"/>
    <cellStyle name="Normal 6 2 3 5" xfId="9330" xr:uid="{00000000-0005-0000-0000-000055160000}"/>
    <cellStyle name="Normal 6 2 3 5 2" xfId="9743" xr:uid="{00000000-0005-0000-0000-000056160000}"/>
    <cellStyle name="Normal 6 2 3 5 2 2" xfId="10256" xr:uid="{00000000-0005-0000-0000-000057160000}"/>
    <cellStyle name="Normal 6 2 3 5 3" xfId="10255" xr:uid="{00000000-0005-0000-0000-000058160000}"/>
    <cellStyle name="Normal 6 2 3 6" xfId="9114" xr:uid="{00000000-0005-0000-0000-000059160000}"/>
    <cellStyle name="Normal 6 2 3 6 2" xfId="9593" xr:uid="{00000000-0005-0000-0000-00005A160000}"/>
    <cellStyle name="Normal 6 2 3 6 2 2" xfId="10258" xr:uid="{00000000-0005-0000-0000-00005B160000}"/>
    <cellStyle name="Normal 6 2 3 6 3" xfId="10257" xr:uid="{00000000-0005-0000-0000-00005C160000}"/>
    <cellStyle name="Normal 6 2 3 7" xfId="9462" xr:uid="{00000000-0005-0000-0000-00005D160000}"/>
    <cellStyle name="Normal 6 2 3 7 2" xfId="10259" xr:uid="{00000000-0005-0000-0000-00005E160000}"/>
    <cellStyle name="Normal 6 2 3 8" xfId="9887" xr:uid="{00000000-0005-0000-0000-00005F160000}"/>
    <cellStyle name="Normal 6 2 3 9" xfId="9046" xr:uid="{00000000-0005-0000-0000-000060160000}"/>
    <cellStyle name="Normal 6 2 4" xfId="431" xr:uid="{00000000-0005-0000-0000-000061160000}"/>
    <cellStyle name="Normal 6 2 4 10" xfId="10673" xr:uid="{00000000-0005-0000-0000-000062160000}"/>
    <cellStyle name="Normal 6 2 4 11" xfId="10805" xr:uid="{00000000-0005-0000-0000-000063160000}"/>
    <cellStyle name="Normal 6 2 4 2" xfId="787" xr:uid="{00000000-0005-0000-0000-000064160000}"/>
    <cellStyle name="Normal 6 2 4 2 2" xfId="8052" xr:uid="{00000000-0005-0000-0000-000065160000}"/>
    <cellStyle name="Normal 6 2 4 2 2 2" xfId="9785" xr:uid="{00000000-0005-0000-0000-000066160000}"/>
    <cellStyle name="Normal 6 2 4 2 2 2 2" xfId="10262" xr:uid="{00000000-0005-0000-0000-000067160000}"/>
    <cellStyle name="Normal 6 2 4 2 2 3" xfId="10261" xr:uid="{00000000-0005-0000-0000-000068160000}"/>
    <cellStyle name="Normal 6 2 4 2 3" xfId="9506" xr:uid="{00000000-0005-0000-0000-000069160000}"/>
    <cellStyle name="Normal 6 2 4 2 3 2" xfId="10263" xr:uid="{00000000-0005-0000-0000-00006A160000}"/>
    <cellStyle name="Normal 6 2 4 2 4" xfId="10260" xr:uid="{00000000-0005-0000-0000-00006B160000}"/>
    <cellStyle name="Normal 6 2 4 2 5" xfId="10717" xr:uid="{00000000-0005-0000-0000-00006C160000}"/>
    <cellStyle name="Normal 6 2 4 2 6" xfId="10848" xr:uid="{00000000-0005-0000-0000-00006D160000}"/>
    <cellStyle name="Normal 6 2 4 3" xfId="8053" xr:uid="{00000000-0005-0000-0000-00006E160000}"/>
    <cellStyle name="Normal 6 2 4 3 2" xfId="9406" xr:uid="{00000000-0005-0000-0000-00006F160000}"/>
    <cellStyle name="Normal 6 2 4 3 2 2" xfId="9827" xr:uid="{00000000-0005-0000-0000-000070160000}"/>
    <cellStyle name="Normal 6 2 4 3 2 2 2" xfId="10266" xr:uid="{00000000-0005-0000-0000-000071160000}"/>
    <cellStyle name="Normal 6 2 4 3 2 3" xfId="10265" xr:uid="{00000000-0005-0000-0000-000072160000}"/>
    <cellStyle name="Normal 6 2 4 3 3" xfId="9546" xr:uid="{00000000-0005-0000-0000-000073160000}"/>
    <cellStyle name="Normal 6 2 4 3 3 2" xfId="10267" xr:uid="{00000000-0005-0000-0000-000074160000}"/>
    <cellStyle name="Normal 6 2 4 3 4" xfId="10264" xr:uid="{00000000-0005-0000-0000-000075160000}"/>
    <cellStyle name="Normal 6 2 4 3 5" xfId="10758" xr:uid="{00000000-0005-0000-0000-000076160000}"/>
    <cellStyle name="Normal 6 2 4 3 6" xfId="10888" xr:uid="{00000000-0005-0000-0000-000077160000}"/>
    <cellStyle name="Normal 6 2 4 3 7" xfId="9286" xr:uid="{00000000-0005-0000-0000-000078160000}"/>
    <cellStyle name="Normal 6 2 4 4" xfId="8054" xr:uid="{00000000-0005-0000-0000-000079160000}"/>
    <cellStyle name="Normal 6 2 4 4 2" xfId="9641" xr:uid="{00000000-0005-0000-0000-00007A160000}"/>
    <cellStyle name="Normal 6 2 4 4 2 2" xfId="10269" xr:uid="{00000000-0005-0000-0000-00007B160000}"/>
    <cellStyle name="Normal 6 2 4 4 3" xfId="10268" xr:uid="{00000000-0005-0000-0000-00007C160000}"/>
    <cellStyle name="Normal 6 2 4 4 4" xfId="9187" xr:uid="{00000000-0005-0000-0000-00007D160000}"/>
    <cellStyle name="Normal 6 2 4 5" xfId="8055" xr:uid="{00000000-0005-0000-0000-00007E160000}"/>
    <cellStyle name="Normal 6 2 4 5 2" xfId="9744" xr:uid="{00000000-0005-0000-0000-00007F160000}"/>
    <cellStyle name="Normal 6 2 4 5 2 2" xfId="10271" xr:uid="{00000000-0005-0000-0000-000080160000}"/>
    <cellStyle name="Normal 6 2 4 5 3" xfId="10270" xr:uid="{00000000-0005-0000-0000-000081160000}"/>
    <cellStyle name="Normal 6 2 4 5 4" xfId="9331" xr:uid="{00000000-0005-0000-0000-000082160000}"/>
    <cellStyle name="Normal 6 2 4 6" xfId="8056" xr:uid="{00000000-0005-0000-0000-000083160000}"/>
    <cellStyle name="Normal 6 2 4 6 2" xfId="9594" xr:uid="{00000000-0005-0000-0000-000084160000}"/>
    <cellStyle name="Normal 6 2 4 6 2 2" xfId="10273" xr:uid="{00000000-0005-0000-0000-000085160000}"/>
    <cellStyle name="Normal 6 2 4 6 3" xfId="10272" xr:uid="{00000000-0005-0000-0000-000086160000}"/>
    <cellStyle name="Normal 6 2 4 6 4" xfId="9115" xr:uid="{00000000-0005-0000-0000-000087160000}"/>
    <cellStyle name="Normal 6 2 4 7" xfId="8057" xr:uid="{00000000-0005-0000-0000-000088160000}"/>
    <cellStyle name="Normal 6 2 4 7 2" xfId="10274" xr:uid="{00000000-0005-0000-0000-000089160000}"/>
    <cellStyle name="Normal 6 2 4 7 3" xfId="9463" xr:uid="{00000000-0005-0000-0000-00008A160000}"/>
    <cellStyle name="Normal 6 2 4 8" xfId="8058" xr:uid="{00000000-0005-0000-0000-00008B160000}"/>
    <cellStyle name="Normal 6 2 4 8 2" xfId="9888" xr:uid="{00000000-0005-0000-0000-00008C160000}"/>
    <cellStyle name="Normal 6 2 4 9" xfId="9047" xr:uid="{00000000-0005-0000-0000-00008D160000}"/>
    <cellStyle name="Normal 6 2 5" xfId="9244" xr:uid="{00000000-0005-0000-0000-00008E160000}"/>
    <cellStyle name="Normal 6 2 5 2" xfId="9363" xr:uid="{00000000-0005-0000-0000-00008F160000}"/>
    <cellStyle name="Normal 6 2 5 2 2" xfId="9780" xr:uid="{00000000-0005-0000-0000-000090160000}"/>
    <cellStyle name="Normal 6 2 5 2 2 2" xfId="10277" xr:uid="{00000000-0005-0000-0000-000091160000}"/>
    <cellStyle name="Normal 6 2 5 2 3" xfId="10276" xr:uid="{00000000-0005-0000-0000-000092160000}"/>
    <cellStyle name="Normal 6 2 5 3" xfId="9501" xr:uid="{00000000-0005-0000-0000-000093160000}"/>
    <cellStyle name="Normal 6 2 5 3 2" xfId="10278" xr:uid="{00000000-0005-0000-0000-000094160000}"/>
    <cellStyle name="Normal 6 2 5 4" xfId="10275" xr:uid="{00000000-0005-0000-0000-000095160000}"/>
    <cellStyle name="Normal 6 2 5 5" xfId="10712" xr:uid="{00000000-0005-0000-0000-000096160000}"/>
    <cellStyle name="Normal 6 2 5 6" xfId="10843" xr:uid="{00000000-0005-0000-0000-000097160000}"/>
    <cellStyle name="Normal 6 2 6" xfId="9281" xr:uid="{00000000-0005-0000-0000-000098160000}"/>
    <cellStyle name="Normal 6 2 6 2" xfId="9401" xr:uid="{00000000-0005-0000-0000-000099160000}"/>
    <cellStyle name="Normal 6 2 6 2 2" xfId="9822" xr:uid="{00000000-0005-0000-0000-00009A160000}"/>
    <cellStyle name="Normal 6 2 6 2 2 2" xfId="10281" xr:uid="{00000000-0005-0000-0000-00009B160000}"/>
    <cellStyle name="Normal 6 2 6 2 3" xfId="10280" xr:uid="{00000000-0005-0000-0000-00009C160000}"/>
    <cellStyle name="Normal 6 2 6 3" xfId="9541" xr:uid="{00000000-0005-0000-0000-00009D160000}"/>
    <cellStyle name="Normal 6 2 6 3 2" xfId="10282" xr:uid="{00000000-0005-0000-0000-00009E160000}"/>
    <cellStyle name="Normal 6 2 6 4" xfId="10279" xr:uid="{00000000-0005-0000-0000-00009F160000}"/>
    <cellStyle name="Normal 6 2 6 5" xfId="10753" xr:uid="{00000000-0005-0000-0000-0000A0160000}"/>
    <cellStyle name="Normal 6 2 6 6" xfId="10883" xr:uid="{00000000-0005-0000-0000-0000A1160000}"/>
    <cellStyle name="Normal 6 2 7" xfId="9182" xr:uid="{00000000-0005-0000-0000-0000A2160000}"/>
    <cellStyle name="Normal 6 2 7 2" xfId="9636" xr:uid="{00000000-0005-0000-0000-0000A3160000}"/>
    <cellStyle name="Normal 6 2 7 2 2" xfId="10284" xr:uid="{00000000-0005-0000-0000-0000A4160000}"/>
    <cellStyle name="Normal 6 2 7 3" xfId="10283" xr:uid="{00000000-0005-0000-0000-0000A5160000}"/>
    <cellStyle name="Normal 6 2 8" xfId="9326" xr:uid="{00000000-0005-0000-0000-0000A6160000}"/>
    <cellStyle name="Normal 6 2 8 2" xfId="9739" xr:uid="{00000000-0005-0000-0000-0000A7160000}"/>
    <cellStyle name="Normal 6 2 8 2 2" xfId="10286" xr:uid="{00000000-0005-0000-0000-0000A8160000}"/>
    <cellStyle name="Normal 6 2 8 3" xfId="10285" xr:uid="{00000000-0005-0000-0000-0000A9160000}"/>
    <cellStyle name="Normal 6 2 9" xfId="9110" xr:uid="{00000000-0005-0000-0000-0000AA160000}"/>
    <cellStyle name="Normal 6 2 9 2" xfId="9589" xr:uid="{00000000-0005-0000-0000-0000AB160000}"/>
    <cellStyle name="Normal 6 2 9 2 2" xfId="10288" xr:uid="{00000000-0005-0000-0000-0000AC160000}"/>
    <cellStyle name="Normal 6 2 9 3" xfId="10287" xr:uid="{00000000-0005-0000-0000-0000AD160000}"/>
    <cellStyle name="Normal 6 3" xfId="98" xr:uid="{00000000-0005-0000-0000-0000AE160000}"/>
    <cellStyle name="Normal 6 3 10" xfId="988" xr:uid="{00000000-0005-0000-0000-0000AF160000}"/>
    <cellStyle name="Normal 6 3 10 2" xfId="9889" xr:uid="{00000000-0005-0000-0000-0000B0160000}"/>
    <cellStyle name="Normal 6 3 11" xfId="1835" xr:uid="{00000000-0005-0000-0000-0000B1160000}"/>
    <cellStyle name="Normal 6 3 11 2" xfId="9048" xr:uid="{00000000-0005-0000-0000-0000B2160000}"/>
    <cellStyle name="Normal 6 3 12" xfId="8059" xr:uid="{00000000-0005-0000-0000-0000B3160000}"/>
    <cellStyle name="Normal 6 3 12 2" xfId="10674" xr:uid="{00000000-0005-0000-0000-0000B4160000}"/>
    <cellStyle name="Normal 6 3 13" xfId="8060" xr:uid="{00000000-0005-0000-0000-0000B5160000}"/>
    <cellStyle name="Normal 6 3 13 2" xfId="10806" xr:uid="{00000000-0005-0000-0000-0000B6160000}"/>
    <cellStyle name="Normal 6 3 2" xfId="259" xr:uid="{00000000-0005-0000-0000-0000B7160000}"/>
    <cellStyle name="Normal 6 3 2 10" xfId="1837" xr:uid="{00000000-0005-0000-0000-0000B8160000}"/>
    <cellStyle name="Normal 6 3 2 10 2" xfId="10675" xr:uid="{00000000-0005-0000-0000-0000B9160000}"/>
    <cellStyle name="Normal 6 3 2 11" xfId="1838" xr:uid="{00000000-0005-0000-0000-0000BA160000}"/>
    <cellStyle name="Normal 6 3 2 11 2" xfId="10807" xr:uid="{00000000-0005-0000-0000-0000BB160000}"/>
    <cellStyle name="Normal 6 3 2 12" xfId="1836" xr:uid="{00000000-0005-0000-0000-0000BC160000}"/>
    <cellStyle name="Normal 6 3 2 2" xfId="554" xr:uid="{00000000-0005-0000-0000-0000BD160000}"/>
    <cellStyle name="Normal 6 3 2 2 2" xfId="1840" xr:uid="{00000000-0005-0000-0000-0000BE160000}"/>
    <cellStyle name="Normal 6 3 2 2 2 2" xfId="9787" xr:uid="{00000000-0005-0000-0000-0000BF160000}"/>
    <cellStyle name="Normal 6 3 2 2 2 2 2" xfId="10291" xr:uid="{00000000-0005-0000-0000-0000C0160000}"/>
    <cellStyle name="Normal 6 3 2 2 2 3" xfId="10290" xr:uid="{00000000-0005-0000-0000-0000C1160000}"/>
    <cellStyle name="Normal 6 3 2 2 2 4" xfId="9369" xr:uid="{00000000-0005-0000-0000-0000C2160000}"/>
    <cellStyle name="Normal 6 3 2 2 3" xfId="1841" xr:uid="{00000000-0005-0000-0000-0000C3160000}"/>
    <cellStyle name="Normal 6 3 2 2 3 2" xfId="10292" xr:uid="{00000000-0005-0000-0000-0000C4160000}"/>
    <cellStyle name="Normal 6 3 2 2 4" xfId="1842" xr:uid="{00000000-0005-0000-0000-0000C5160000}"/>
    <cellStyle name="Normal 6 3 2 2 4 2" xfId="10289" xr:uid="{00000000-0005-0000-0000-0000C6160000}"/>
    <cellStyle name="Normal 6 3 2 2 5" xfId="1839" xr:uid="{00000000-0005-0000-0000-0000C7160000}"/>
    <cellStyle name="Normal 6 3 2 2 5 2" xfId="10719" xr:uid="{00000000-0005-0000-0000-0000C8160000}"/>
    <cellStyle name="Normal 6 3 2 2 6" xfId="8061" xr:uid="{00000000-0005-0000-0000-0000C9160000}"/>
    <cellStyle name="Normal 6 3 2 2 6 2" xfId="10850" xr:uid="{00000000-0005-0000-0000-0000CA160000}"/>
    <cellStyle name="Normal 6 3 2 2 7" xfId="8062" xr:uid="{00000000-0005-0000-0000-0000CB160000}"/>
    <cellStyle name="Normal 6 3 2 2 8" xfId="8063" xr:uid="{00000000-0005-0000-0000-0000CC160000}"/>
    <cellStyle name="Normal 6 3 2 2 9" xfId="8064" xr:uid="{00000000-0005-0000-0000-0000CD160000}"/>
    <cellStyle name="Normal 6 3 2 3" xfId="1843" xr:uid="{00000000-0005-0000-0000-0000CE160000}"/>
    <cellStyle name="Normal 6 3 2 3 2" xfId="9408" xr:uid="{00000000-0005-0000-0000-0000CF160000}"/>
    <cellStyle name="Normal 6 3 2 3 2 2" xfId="9829" xr:uid="{00000000-0005-0000-0000-0000D0160000}"/>
    <cellStyle name="Normal 6 3 2 3 2 2 2" xfId="10295" xr:uid="{00000000-0005-0000-0000-0000D1160000}"/>
    <cellStyle name="Normal 6 3 2 3 2 3" xfId="10294" xr:uid="{00000000-0005-0000-0000-0000D2160000}"/>
    <cellStyle name="Normal 6 3 2 3 3" xfId="9548" xr:uid="{00000000-0005-0000-0000-0000D3160000}"/>
    <cellStyle name="Normal 6 3 2 3 3 2" xfId="10296" xr:uid="{00000000-0005-0000-0000-0000D4160000}"/>
    <cellStyle name="Normal 6 3 2 3 4" xfId="10293" xr:uid="{00000000-0005-0000-0000-0000D5160000}"/>
    <cellStyle name="Normal 6 3 2 3 5" xfId="10760" xr:uid="{00000000-0005-0000-0000-0000D6160000}"/>
    <cellStyle name="Normal 6 3 2 3 6" xfId="10890" xr:uid="{00000000-0005-0000-0000-0000D7160000}"/>
    <cellStyle name="Normal 6 3 2 3 7" xfId="9288" xr:uid="{00000000-0005-0000-0000-0000D8160000}"/>
    <cellStyle name="Normal 6 3 2 4" xfId="1844" xr:uid="{00000000-0005-0000-0000-0000D9160000}"/>
    <cellStyle name="Normal 6 3 2 4 2" xfId="9643" xr:uid="{00000000-0005-0000-0000-0000DA160000}"/>
    <cellStyle name="Normal 6 3 2 4 2 2" xfId="10298" xr:uid="{00000000-0005-0000-0000-0000DB160000}"/>
    <cellStyle name="Normal 6 3 2 4 3" xfId="10297" xr:uid="{00000000-0005-0000-0000-0000DC160000}"/>
    <cellStyle name="Normal 6 3 2 4 4" xfId="9189" xr:uid="{00000000-0005-0000-0000-0000DD160000}"/>
    <cellStyle name="Normal 6 3 2 5" xfId="1845" xr:uid="{00000000-0005-0000-0000-0000DE160000}"/>
    <cellStyle name="Normal 6 3 2 5 2" xfId="1846" xr:uid="{00000000-0005-0000-0000-0000DF160000}"/>
    <cellStyle name="Normal 6 3 2 5 2 2" xfId="10300" xr:uid="{00000000-0005-0000-0000-0000E0160000}"/>
    <cellStyle name="Normal 6 3 2 5 3" xfId="1847" xr:uid="{00000000-0005-0000-0000-0000E1160000}"/>
    <cellStyle name="Normal 6 3 2 5 3 2" xfId="10299" xr:uid="{00000000-0005-0000-0000-0000E2160000}"/>
    <cellStyle name="Normal 6 3 2 5 4" xfId="13490" xr:uid="{00000000-0005-0000-0000-0000E3160000}"/>
    <cellStyle name="Normal 6 3 2 6" xfId="1848" xr:uid="{00000000-0005-0000-0000-0000E4160000}"/>
    <cellStyle name="Normal 6 3 2 6 2" xfId="8065" xr:uid="{00000000-0005-0000-0000-0000E5160000}"/>
    <cellStyle name="Normal 6 3 2 6 2 2" xfId="10302" xr:uid="{00000000-0005-0000-0000-0000E6160000}"/>
    <cellStyle name="Normal 6 3 2 6 3" xfId="10301" xr:uid="{00000000-0005-0000-0000-0000E7160000}"/>
    <cellStyle name="Normal 6 3 2 6 3 2" xfId="14899" xr:uid="{00000000-0005-0000-0000-0000E8160000}"/>
    <cellStyle name="Normal 6 3 2 6 3 3" xfId="13491" xr:uid="{00000000-0005-0000-0000-0000E9160000}"/>
    <cellStyle name="Normal 6 3 2 7" xfId="1849" xr:uid="{00000000-0005-0000-0000-0000EA160000}"/>
    <cellStyle name="Normal 6 3 2 7 2" xfId="10303" xr:uid="{00000000-0005-0000-0000-0000EB160000}"/>
    <cellStyle name="Normal 6 3 2 7 3" xfId="9465" xr:uid="{00000000-0005-0000-0000-0000EC160000}"/>
    <cellStyle name="Normal 6 3 2 8" xfId="1850" xr:uid="{00000000-0005-0000-0000-0000ED160000}"/>
    <cellStyle name="Normal 6 3 2 8 2" xfId="9890" xr:uid="{00000000-0005-0000-0000-0000EE160000}"/>
    <cellStyle name="Normal 6 3 2 9" xfId="1851" xr:uid="{00000000-0005-0000-0000-0000EF160000}"/>
    <cellStyle name="Normal 6 3 2 9 2" xfId="9049" xr:uid="{00000000-0005-0000-0000-0000F0160000}"/>
    <cellStyle name="Normal 6 3 3" xfId="260" xr:uid="{00000000-0005-0000-0000-0000F1160000}"/>
    <cellStyle name="Normal 6 3 3 10" xfId="10676" xr:uid="{00000000-0005-0000-0000-0000F2160000}"/>
    <cellStyle name="Normal 6 3 3 11" xfId="10808" xr:uid="{00000000-0005-0000-0000-0000F3160000}"/>
    <cellStyle name="Normal 6 3 3 2" xfId="9250" xr:uid="{00000000-0005-0000-0000-0000F4160000}"/>
    <cellStyle name="Normal 6 3 3 2 2" xfId="9370" xr:uid="{00000000-0005-0000-0000-0000F5160000}"/>
    <cellStyle name="Normal 6 3 3 2 2 2" xfId="9788" xr:uid="{00000000-0005-0000-0000-0000F6160000}"/>
    <cellStyle name="Normal 6 3 3 2 2 2 2" xfId="10306" xr:uid="{00000000-0005-0000-0000-0000F7160000}"/>
    <cellStyle name="Normal 6 3 3 2 2 3" xfId="10305" xr:uid="{00000000-0005-0000-0000-0000F8160000}"/>
    <cellStyle name="Normal 6 3 3 2 3" xfId="9508" xr:uid="{00000000-0005-0000-0000-0000F9160000}"/>
    <cellStyle name="Normal 6 3 3 2 3 2" xfId="10307" xr:uid="{00000000-0005-0000-0000-0000FA160000}"/>
    <cellStyle name="Normal 6 3 3 2 4" xfId="10304" xr:uid="{00000000-0005-0000-0000-0000FB160000}"/>
    <cellStyle name="Normal 6 3 3 2 5" xfId="10720" xr:uid="{00000000-0005-0000-0000-0000FC160000}"/>
    <cellStyle name="Normal 6 3 3 2 6" xfId="10851" xr:uid="{00000000-0005-0000-0000-0000FD160000}"/>
    <cellStyle name="Normal 6 3 3 3" xfId="9289" xr:uid="{00000000-0005-0000-0000-0000FE160000}"/>
    <cellStyle name="Normal 6 3 3 3 2" xfId="9409" xr:uid="{00000000-0005-0000-0000-0000FF160000}"/>
    <cellStyle name="Normal 6 3 3 3 2 2" xfId="9830" xr:uid="{00000000-0005-0000-0000-000000170000}"/>
    <cellStyle name="Normal 6 3 3 3 2 2 2" xfId="10310" xr:uid="{00000000-0005-0000-0000-000001170000}"/>
    <cellStyle name="Normal 6 3 3 3 2 3" xfId="10309" xr:uid="{00000000-0005-0000-0000-000002170000}"/>
    <cellStyle name="Normal 6 3 3 3 3" xfId="9549" xr:uid="{00000000-0005-0000-0000-000003170000}"/>
    <cellStyle name="Normal 6 3 3 3 3 2" xfId="10311" xr:uid="{00000000-0005-0000-0000-000004170000}"/>
    <cellStyle name="Normal 6 3 3 3 4" xfId="10308" xr:uid="{00000000-0005-0000-0000-000005170000}"/>
    <cellStyle name="Normal 6 3 3 3 5" xfId="10761" xr:uid="{00000000-0005-0000-0000-000006170000}"/>
    <cellStyle name="Normal 6 3 3 3 6" xfId="10891" xr:uid="{00000000-0005-0000-0000-000007170000}"/>
    <cellStyle name="Normal 6 3 3 4" xfId="9190" xr:uid="{00000000-0005-0000-0000-000008170000}"/>
    <cellStyle name="Normal 6 3 3 4 2" xfId="9644" xr:uid="{00000000-0005-0000-0000-000009170000}"/>
    <cellStyle name="Normal 6 3 3 4 2 2" xfId="10313" xr:uid="{00000000-0005-0000-0000-00000A170000}"/>
    <cellStyle name="Normal 6 3 3 4 3" xfId="10312" xr:uid="{00000000-0005-0000-0000-00000B170000}"/>
    <cellStyle name="Normal 6 3 3 5" xfId="9333" xr:uid="{00000000-0005-0000-0000-00000C170000}"/>
    <cellStyle name="Normal 6 3 3 5 2" xfId="9746" xr:uid="{00000000-0005-0000-0000-00000D170000}"/>
    <cellStyle name="Normal 6 3 3 5 2 2" xfId="10315" xr:uid="{00000000-0005-0000-0000-00000E170000}"/>
    <cellStyle name="Normal 6 3 3 5 3" xfId="10314" xr:uid="{00000000-0005-0000-0000-00000F170000}"/>
    <cellStyle name="Normal 6 3 3 6" xfId="9117" xr:uid="{00000000-0005-0000-0000-000010170000}"/>
    <cellStyle name="Normal 6 3 3 6 2" xfId="9596" xr:uid="{00000000-0005-0000-0000-000011170000}"/>
    <cellStyle name="Normal 6 3 3 6 2 2" xfId="10317" xr:uid="{00000000-0005-0000-0000-000012170000}"/>
    <cellStyle name="Normal 6 3 3 6 3" xfId="10316" xr:uid="{00000000-0005-0000-0000-000013170000}"/>
    <cellStyle name="Normal 6 3 3 7" xfId="9466" xr:uid="{00000000-0005-0000-0000-000014170000}"/>
    <cellStyle name="Normal 6 3 3 7 2" xfId="10318" xr:uid="{00000000-0005-0000-0000-000015170000}"/>
    <cellStyle name="Normal 6 3 3 8" xfId="9891" xr:uid="{00000000-0005-0000-0000-000016170000}"/>
    <cellStyle name="Normal 6 3 3 9" xfId="9050" xr:uid="{00000000-0005-0000-0000-000017170000}"/>
    <cellStyle name="Normal 6 3 4" xfId="721" xr:uid="{00000000-0005-0000-0000-000018170000}"/>
    <cellStyle name="Normal 6 3 4 2" xfId="9368" xr:uid="{00000000-0005-0000-0000-000019170000}"/>
    <cellStyle name="Normal 6 3 4 2 2" xfId="9786" xr:uid="{00000000-0005-0000-0000-00001A170000}"/>
    <cellStyle name="Normal 6 3 4 2 2 2" xfId="10321" xr:uid="{00000000-0005-0000-0000-00001B170000}"/>
    <cellStyle name="Normal 6 3 4 2 3" xfId="10320" xr:uid="{00000000-0005-0000-0000-00001C170000}"/>
    <cellStyle name="Normal 6 3 4 3" xfId="9507" xr:uid="{00000000-0005-0000-0000-00001D170000}"/>
    <cellStyle name="Normal 6 3 4 3 2" xfId="10322" xr:uid="{00000000-0005-0000-0000-00001E170000}"/>
    <cellStyle name="Normal 6 3 4 4" xfId="10319" xr:uid="{00000000-0005-0000-0000-00001F170000}"/>
    <cellStyle name="Normal 6 3 4 5" xfId="10718" xr:uid="{00000000-0005-0000-0000-000020170000}"/>
    <cellStyle name="Normal 6 3 4 6" xfId="10849" xr:uid="{00000000-0005-0000-0000-000021170000}"/>
    <cellStyle name="Normal 6 3 4 7" xfId="9249" xr:uid="{00000000-0005-0000-0000-000022170000}"/>
    <cellStyle name="Normal 6 3 5" xfId="1852" xr:uid="{00000000-0005-0000-0000-000023170000}"/>
    <cellStyle name="Normal 6 3 5 2" xfId="9407" xr:uid="{00000000-0005-0000-0000-000024170000}"/>
    <cellStyle name="Normal 6 3 5 2 2" xfId="9828" xr:uid="{00000000-0005-0000-0000-000025170000}"/>
    <cellStyle name="Normal 6 3 5 2 2 2" xfId="10325" xr:uid="{00000000-0005-0000-0000-000026170000}"/>
    <cellStyle name="Normal 6 3 5 2 3" xfId="10324" xr:uid="{00000000-0005-0000-0000-000027170000}"/>
    <cellStyle name="Normal 6 3 5 3" xfId="9547" xr:uid="{00000000-0005-0000-0000-000028170000}"/>
    <cellStyle name="Normal 6 3 5 3 2" xfId="10326" xr:uid="{00000000-0005-0000-0000-000029170000}"/>
    <cellStyle name="Normal 6 3 5 4" xfId="10323" xr:uid="{00000000-0005-0000-0000-00002A170000}"/>
    <cellStyle name="Normal 6 3 5 5" xfId="10759" xr:uid="{00000000-0005-0000-0000-00002B170000}"/>
    <cellStyle name="Normal 6 3 5 6" xfId="10889" xr:uid="{00000000-0005-0000-0000-00002C170000}"/>
    <cellStyle name="Normal 6 3 5 7" xfId="9287" xr:uid="{00000000-0005-0000-0000-00002D170000}"/>
    <cellStyle name="Normal 6 3 6" xfId="1853" xr:uid="{00000000-0005-0000-0000-00002E170000}"/>
    <cellStyle name="Normal 6 3 6 2" xfId="9642" xr:uid="{00000000-0005-0000-0000-00002F170000}"/>
    <cellStyle name="Normal 6 3 6 2 2" xfId="10328" xr:uid="{00000000-0005-0000-0000-000030170000}"/>
    <cellStyle name="Normal 6 3 6 3" xfId="10327" xr:uid="{00000000-0005-0000-0000-000031170000}"/>
    <cellStyle name="Normal 6 3 6 4" xfId="9188" xr:uid="{00000000-0005-0000-0000-000032170000}"/>
    <cellStyle name="Normal 6 3 7" xfId="1854" xr:uid="{00000000-0005-0000-0000-000033170000}"/>
    <cellStyle name="Normal 6 3 7 2" xfId="9745" xr:uid="{00000000-0005-0000-0000-000034170000}"/>
    <cellStyle name="Normal 6 3 7 2 2" xfId="10330" xr:uid="{00000000-0005-0000-0000-000035170000}"/>
    <cellStyle name="Normal 6 3 7 3" xfId="10329" xr:uid="{00000000-0005-0000-0000-000036170000}"/>
    <cellStyle name="Normal 6 3 7 4" xfId="9332" xr:uid="{00000000-0005-0000-0000-000037170000}"/>
    <cellStyle name="Normal 6 3 8" xfId="1855" xr:uid="{00000000-0005-0000-0000-000038170000}"/>
    <cellStyle name="Normal 6 3 8 2" xfId="9595" xr:uid="{00000000-0005-0000-0000-000039170000}"/>
    <cellStyle name="Normal 6 3 8 2 2" xfId="10332" xr:uid="{00000000-0005-0000-0000-00003A170000}"/>
    <cellStyle name="Normal 6 3 8 3" xfId="10331" xr:uid="{00000000-0005-0000-0000-00003B170000}"/>
    <cellStyle name="Normal 6 3 8 4" xfId="9116" xr:uid="{00000000-0005-0000-0000-00003C170000}"/>
    <cellStyle name="Normal 6 3 9" xfId="1856" xr:uid="{00000000-0005-0000-0000-00003D170000}"/>
    <cellStyle name="Normal 6 3 9 2" xfId="10333" xr:uid="{00000000-0005-0000-0000-00003E170000}"/>
    <cellStyle name="Normal 6 3 9 3" xfId="9464" xr:uid="{00000000-0005-0000-0000-00003F170000}"/>
    <cellStyle name="Normal 6 4" xfId="99" xr:uid="{00000000-0005-0000-0000-000040170000}"/>
    <cellStyle name="Normal 6 4 10" xfId="1857" xr:uid="{00000000-0005-0000-0000-000041170000}"/>
    <cellStyle name="Normal 6 4 10 2" xfId="10677" xr:uid="{00000000-0005-0000-0000-000042170000}"/>
    <cellStyle name="Normal 6 4 11" xfId="1858" xr:uid="{00000000-0005-0000-0000-000043170000}"/>
    <cellStyle name="Normal 6 4 11 2" xfId="10809" xr:uid="{00000000-0005-0000-0000-000044170000}"/>
    <cellStyle name="Normal 6 4 12" xfId="8066" xr:uid="{00000000-0005-0000-0000-000045170000}"/>
    <cellStyle name="Normal 6 4 13" xfId="8067" xr:uid="{00000000-0005-0000-0000-000046170000}"/>
    <cellStyle name="Normal 6 4 2" xfId="261" xr:uid="{00000000-0005-0000-0000-000047170000}"/>
    <cellStyle name="Normal 6 4 2 2" xfId="446" xr:uid="{00000000-0005-0000-0000-000048170000}"/>
    <cellStyle name="Normal 6 4 2 2 2" xfId="9789" xr:uid="{00000000-0005-0000-0000-000049170000}"/>
    <cellStyle name="Normal 6 4 2 2 2 2" xfId="10336" xr:uid="{00000000-0005-0000-0000-00004A170000}"/>
    <cellStyle name="Normal 6 4 2 2 3" xfId="10335" xr:uid="{00000000-0005-0000-0000-00004B170000}"/>
    <cellStyle name="Normal 6 4 2 3" xfId="9509" xr:uid="{00000000-0005-0000-0000-00004C170000}"/>
    <cellStyle name="Normal 6 4 2 3 2" xfId="10337" xr:uid="{00000000-0005-0000-0000-00004D170000}"/>
    <cellStyle name="Normal 6 4 2 4" xfId="10334" xr:uid="{00000000-0005-0000-0000-00004E170000}"/>
    <cellStyle name="Normal 6 4 2 5" xfId="10721" xr:uid="{00000000-0005-0000-0000-00004F170000}"/>
    <cellStyle name="Normal 6 4 2 6" xfId="10852" xr:uid="{00000000-0005-0000-0000-000050170000}"/>
    <cellStyle name="Normal 6 4 3" xfId="447" xr:uid="{00000000-0005-0000-0000-000051170000}"/>
    <cellStyle name="Normal 6 4 3 10" xfId="8068" xr:uid="{00000000-0005-0000-0000-000052170000}"/>
    <cellStyle name="Normal 6 4 3 11" xfId="8069" xr:uid="{00000000-0005-0000-0000-000053170000}"/>
    <cellStyle name="Normal 6 4 3 12" xfId="9290" xr:uid="{00000000-0005-0000-0000-000054170000}"/>
    <cellStyle name="Normal 6 4 3 2" xfId="794" xr:uid="{00000000-0005-0000-0000-000055170000}"/>
    <cellStyle name="Normal 6 4 3 2 2" xfId="9831" xr:uid="{00000000-0005-0000-0000-000056170000}"/>
    <cellStyle name="Normal 6 4 3 2 2 2" xfId="10340" xr:uid="{00000000-0005-0000-0000-000057170000}"/>
    <cellStyle name="Normal 6 4 3 2 3" xfId="10339" xr:uid="{00000000-0005-0000-0000-000058170000}"/>
    <cellStyle name="Normal 6 4 3 2 4" xfId="9410" xr:uid="{00000000-0005-0000-0000-000059170000}"/>
    <cellStyle name="Normal 6 4 3 3" xfId="1859" xr:uid="{00000000-0005-0000-0000-00005A170000}"/>
    <cellStyle name="Normal 6 4 3 3 2" xfId="10341" xr:uid="{00000000-0005-0000-0000-00005B170000}"/>
    <cellStyle name="Normal 6 4 3 3 3" xfId="9550" xr:uid="{00000000-0005-0000-0000-00005C170000}"/>
    <cellStyle name="Normal 6 4 3 4" xfId="1860" xr:uid="{00000000-0005-0000-0000-00005D170000}"/>
    <cellStyle name="Normal 6 4 3 4 2" xfId="10338" xr:uid="{00000000-0005-0000-0000-00005E170000}"/>
    <cellStyle name="Normal 6 4 3 5" xfId="1861" xr:uid="{00000000-0005-0000-0000-00005F170000}"/>
    <cellStyle name="Normal 6 4 3 5 2" xfId="10762" xr:uid="{00000000-0005-0000-0000-000060170000}"/>
    <cellStyle name="Normal 6 4 3 6" xfId="1862" xr:uid="{00000000-0005-0000-0000-000061170000}"/>
    <cellStyle name="Normal 6 4 3 6 2" xfId="10892" xr:uid="{00000000-0005-0000-0000-000062170000}"/>
    <cellStyle name="Normal 6 4 3 7" xfId="1863" xr:uid="{00000000-0005-0000-0000-000063170000}"/>
    <cellStyle name="Normal 6 4 3 8" xfId="1864" xr:uid="{00000000-0005-0000-0000-000064170000}"/>
    <cellStyle name="Normal 6 4 3 9" xfId="1865" xr:uid="{00000000-0005-0000-0000-000065170000}"/>
    <cellStyle name="Normal 6 4 4" xfId="555" xr:uid="{00000000-0005-0000-0000-000066170000}"/>
    <cellStyle name="Normal 6 4 4 2" xfId="815" xr:uid="{00000000-0005-0000-0000-000067170000}"/>
    <cellStyle name="Normal 6 4 4 2 2" xfId="10343" xr:uid="{00000000-0005-0000-0000-000068170000}"/>
    <cellStyle name="Normal 6 4 4 2 3" xfId="9645" xr:uid="{00000000-0005-0000-0000-000069170000}"/>
    <cellStyle name="Normal 6 4 4 3" xfId="8070" xr:uid="{00000000-0005-0000-0000-00006A170000}"/>
    <cellStyle name="Normal 6 4 4 3 2" xfId="10342" xr:uid="{00000000-0005-0000-0000-00006B170000}"/>
    <cellStyle name="Normal 6 4 4 4" xfId="8071" xr:uid="{00000000-0005-0000-0000-00006C170000}"/>
    <cellStyle name="Normal 6 4 4 5" xfId="8072" xr:uid="{00000000-0005-0000-0000-00006D170000}"/>
    <cellStyle name="Normal 6 4 4 6" xfId="8073" xr:uid="{00000000-0005-0000-0000-00006E170000}"/>
    <cellStyle name="Normal 6 4 4 7" xfId="8074" xr:uid="{00000000-0005-0000-0000-00006F170000}"/>
    <cellStyle name="Normal 6 4 4 8" xfId="8075" xr:uid="{00000000-0005-0000-0000-000070170000}"/>
    <cellStyle name="Normal 6 4 4 9" xfId="9191" xr:uid="{00000000-0005-0000-0000-000071170000}"/>
    <cellStyle name="Normal 6 4 5" xfId="1866" xr:uid="{00000000-0005-0000-0000-000072170000}"/>
    <cellStyle name="Normal 6 4 5 2" xfId="9747" xr:uid="{00000000-0005-0000-0000-000073170000}"/>
    <cellStyle name="Normal 6 4 5 2 2" xfId="10345" xr:uid="{00000000-0005-0000-0000-000074170000}"/>
    <cellStyle name="Normal 6 4 5 3" xfId="10344" xr:uid="{00000000-0005-0000-0000-000075170000}"/>
    <cellStyle name="Normal 6 4 5 4" xfId="9334" xr:uid="{00000000-0005-0000-0000-000076170000}"/>
    <cellStyle name="Normal 6 4 6" xfId="1867" xr:uid="{00000000-0005-0000-0000-000077170000}"/>
    <cellStyle name="Normal 6 4 6 2" xfId="9597" xr:uid="{00000000-0005-0000-0000-000078170000}"/>
    <cellStyle name="Normal 6 4 6 2 2" xfId="10347" xr:uid="{00000000-0005-0000-0000-000079170000}"/>
    <cellStyle name="Normal 6 4 6 3" xfId="10346" xr:uid="{00000000-0005-0000-0000-00007A170000}"/>
    <cellStyle name="Normal 6 4 6 4" xfId="9118" xr:uid="{00000000-0005-0000-0000-00007B170000}"/>
    <cellStyle name="Normal 6 4 7" xfId="1868" xr:uid="{00000000-0005-0000-0000-00007C170000}"/>
    <cellStyle name="Normal 6 4 7 2" xfId="10348" xr:uid="{00000000-0005-0000-0000-00007D170000}"/>
    <cellStyle name="Normal 6 4 7 3" xfId="9467" xr:uid="{00000000-0005-0000-0000-00007E170000}"/>
    <cellStyle name="Normal 6 4 8" xfId="1869" xr:uid="{00000000-0005-0000-0000-00007F170000}"/>
    <cellStyle name="Normal 6 4 8 2" xfId="9892" xr:uid="{00000000-0005-0000-0000-000080170000}"/>
    <cellStyle name="Normal 6 4 9" xfId="1870" xr:uid="{00000000-0005-0000-0000-000081170000}"/>
    <cellStyle name="Normal 6 4 9 2" xfId="9051" xr:uid="{00000000-0005-0000-0000-000082170000}"/>
    <cellStyle name="Normal 6 5" xfId="96" xr:uid="{00000000-0005-0000-0000-000083170000}"/>
    <cellStyle name="Normal 6 5 10" xfId="10678" xr:uid="{00000000-0005-0000-0000-000084170000}"/>
    <cellStyle name="Normal 6 5 11" xfId="10810" xr:uid="{00000000-0005-0000-0000-000085170000}"/>
    <cellStyle name="Normal 6 5 2" xfId="448" xr:uid="{00000000-0005-0000-0000-000086170000}"/>
    <cellStyle name="Normal 6 5 2 2" xfId="9371" xr:uid="{00000000-0005-0000-0000-000087170000}"/>
    <cellStyle name="Normal 6 5 2 2 2" xfId="9790" xr:uid="{00000000-0005-0000-0000-000088170000}"/>
    <cellStyle name="Normal 6 5 2 2 2 2" xfId="10351" xr:uid="{00000000-0005-0000-0000-000089170000}"/>
    <cellStyle name="Normal 6 5 2 2 3" xfId="10350" xr:uid="{00000000-0005-0000-0000-00008A170000}"/>
    <cellStyle name="Normal 6 5 2 3" xfId="9510" xr:uid="{00000000-0005-0000-0000-00008B170000}"/>
    <cellStyle name="Normal 6 5 2 3 2" xfId="10352" xr:uid="{00000000-0005-0000-0000-00008C170000}"/>
    <cellStyle name="Normal 6 5 2 4" xfId="10349" xr:uid="{00000000-0005-0000-0000-00008D170000}"/>
    <cellStyle name="Normal 6 5 2 5" xfId="10722" xr:uid="{00000000-0005-0000-0000-00008E170000}"/>
    <cellStyle name="Normal 6 5 2 6" xfId="10853" xr:uid="{00000000-0005-0000-0000-00008F170000}"/>
    <cellStyle name="Normal 6 5 3" xfId="9291" xr:uid="{00000000-0005-0000-0000-000090170000}"/>
    <cellStyle name="Normal 6 5 3 2" xfId="9411" xr:uid="{00000000-0005-0000-0000-000091170000}"/>
    <cellStyle name="Normal 6 5 3 2 2" xfId="9832" xr:uid="{00000000-0005-0000-0000-000092170000}"/>
    <cellStyle name="Normal 6 5 3 2 2 2" xfId="10355" xr:uid="{00000000-0005-0000-0000-000093170000}"/>
    <cellStyle name="Normal 6 5 3 2 3" xfId="10354" xr:uid="{00000000-0005-0000-0000-000094170000}"/>
    <cellStyle name="Normal 6 5 3 3" xfId="9551" xr:uid="{00000000-0005-0000-0000-000095170000}"/>
    <cellStyle name="Normal 6 5 3 3 2" xfId="10356" xr:uid="{00000000-0005-0000-0000-000096170000}"/>
    <cellStyle name="Normal 6 5 3 4" xfId="10353" xr:uid="{00000000-0005-0000-0000-000097170000}"/>
    <cellStyle name="Normal 6 5 3 5" xfId="10763" xr:uid="{00000000-0005-0000-0000-000098170000}"/>
    <cellStyle name="Normal 6 5 3 6" xfId="10893" xr:uid="{00000000-0005-0000-0000-000099170000}"/>
    <cellStyle name="Normal 6 5 4" xfId="9192" xr:uid="{00000000-0005-0000-0000-00009A170000}"/>
    <cellStyle name="Normal 6 5 4 2" xfId="9646" xr:uid="{00000000-0005-0000-0000-00009B170000}"/>
    <cellStyle name="Normal 6 5 4 2 2" xfId="10358" xr:uid="{00000000-0005-0000-0000-00009C170000}"/>
    <cellStyle name="Normal 6 5 4 3" xfId="10357" xr:uid="{00000000-0005-0000-0000-00009D170000}"/>
    <cellStyle name="Normal 6 5 5" xfId="9335" xr:uid="{00000000-0005-0000-0000-00009E170000}"/>
    <cellStyle name="Normal 6 5 5 2" xfId="9748" xr:uid="{00000000-0005-0000-0000-00009F170000}"/>
    <cellStyle name="Normal 6 5 5 2 2" xfId="10360" xr:uid="{00000000-0005-0000-0000-0000A0170000}"/>
    <cellStyle name="Normal 6 5 5 3" xfId="10359" xr:uid="{00000000-0005-0000-0000-0000A1170000}"/>
    <cellStyle name="Normal 6 5 6" xfId="9119" xr:uid="{00000000-0005-0000-0000-0000A2170000}"/>
    <cellStyle name="Normal 6 5 6 2" xfId="9598" xr:uid="{00000000-0005-0000-0000-0000A3170000}"/>
    <cellStyle name="Normal 6 5 6 2 2" xfId="10362" xr:uid="{00000000-0005-0000-0000-0000A4170000}"/>
    <cellStyle name="Normal 6 5 6 3" xfId="10361" xr:uid="{00000000-0005-0000-0000-0000A5170000}"/>
    <cellStyle name="Normal 6 5 7" xfId="9468" xr:uid="{00000000-0005-0000-0000-0000A6170000}"/>
    <cellStyle name="Normal 6 5 7 2" xfId="10363" xr:uid="{00000000-0005-0000-0000-0000A7170000}"/>
    <cellStyle name="Normal 6 5 8" xfId="9893" xr:uid="{00000000-0005-0000-0000-0000A8170000}"/>
    <cellStyle name="Normal 6 5 9" xfId="9052" xr:uid="{00000000-0005-0000-0000-0000A9170000}"/>
    <cellStyle name="Normal 6 6" xfId="125" xr:uid="{00000000-0005-0000-0000-0000AA170000}"/>
    <cellStyle name="Normal 6 6 10" xfId="8076" xr:uid="{00000000-0005-0000-0000-0000AB170000}"/>
    <cellStyle name="Normal 6 6 2" xfId="262" xr:uid="{00000000-0005-0000-0000-0000AC170000}"/>
    <cellStyle name="Normal 6 6 2 2" xfId="770" xr:uid="{00000000-0005-0000-0000-0000AD170000}"/>
    <cellStyle name="Normal 6 6 2 2 2" xfId="10366" xr:uid="{00000000-0005-0000-0000-0000AE170000}"/>
    <cellStyle name="Normal 6 6 2 2 3" xfId="9779" xr:uid="{00000000-0005-0000-0000-0000AF170000}"/>
    <cellStyle name="Normal 6 6 2 3" xfId="8077" xr:uid="{00000000-0005-0000-0000-0000B0170000}"/>
    <cellStyle name="Normal 6 6 2 3 2" xfId="10365" xr:uid="{00000000-0005-0000-0000-0000B1170000}"/>
    <cellStyle name="Normal 6 6 2 4" xfId="8078" xr:uid="{00000000-0005-0000-0000-0000B2170000}"/>
    <cellStyle name="Normal 6 6 2 5" xfId="8079" xr:uid="{00000000-0005-0000-0000-0000B3170000}"/>
    <cellStyle name="Normal 6 6 2 6" xfId="8080" xr:uid="{00000000-0005-0000-0000-0000B4170000}"/>
    <cellStyle name="Normal 6 6 2 7" xfId="8081" xr:uid="{00000000-0005-0000-0000-0000B5170000}"/>
    <cellStyle name="Normal 6 6 2 8" xfId="8082" xr:uid="{00000000-0005-0000-0000-0000B6170000}"/>
    <cellStyle name="Normal 6 6 2 9" xfId="9362" xr:uid="{00000000-0005-0000-0000-0000B7170000}"/>
    <cellStyle name="Normal 6 6 3" xfId="1872" xr:uid="{00000000-0005-0000-0000-0000B8170000}"/>
    <cellStyle name="Normal 6 6 3 2" xfId="8083" xr:uid="{00000000-0005-0000-0000-0000B9170000}"/>
    <cellStyle name="Normal 6 6 3 2 2" xfId="13013" xr:uid="{00000000-0005-0000-0000-0000BA170000}"/>
    <cellStyle name="Normal 6 6 3 2 3" xfId="11722" xr:uid="{00000000-0005-0000-0000-0000BB170000}"/>
    <cellStyle name="Normal 6 6 3 3" xfId="8084" xr:uid="{00000000-0005-0000-0000-0000BC170000}"/>
    <cellStyle name="Normal 6 6 3 4" xfId="8085" xr:uid="{00000000-0005-0000-0000-0000BD170000}"/>
    <cellStyle name="Normal 6 6 3 5" xfId="13492" xr:uid="{00000000-0005-0000-0000-0000BE170000}"/>
    <cellStyle name="Normal 6 6 4" xfId="1873" xr:uid="{00000000-0005-0000-0000-0000BF170000}"/>
    <cellStyle name="Normal 6 6 4 2" xfId="2460" xr:uid="{00000000-0005-0000-0000-0000C0170000}"/>
    <cellStyle name="Normal 6 6 4 2 2" xfId="8086" xr:uid="{00000000-0005-0000-0000-0000C1170000}"/>
    <cellStyle name="Normal 6 6 4 2 3" xfId="8087" xr:uid="{00000000-0005-0000-0000-0000C2170000}"/>
    <cellStyle name="Normal 6 6 4 3" xfId="2764" xr:uid="{00000000-0005-0000-0000-0000C3170000}"/>
    <cellStyle name="Normal 6 6 4 4" xfId="10364" xr:uid="{00000000-0005-0000-0000-0000C4170000}"/>
    <cellStyle name="Normal 6 6 5" xfId="1874" xr:uid="{00000000-0005-0000-0000-0000C5170000}"/>
    <cellStyle name="Normal 6 6 6" xfId="1871" xr:uid="{00000000-0005-0000-0000-0000C6170000}"/>
    <cellStyle name="Normal 6 6 7" xfId="8088" xr:uid="{00000000-0005-0000-0000-0000C7170000}"/>
    <cellStyle name="Normal 6 6 8" xfId="8089" xr:uid="{00000000-0005-0000-0000-0000C8170000}"/>
    <cellStyle name="Normal 6 6 9" xfId="8090" xr:uid="{00000000-0005-0000-0000-0000C9170000}"/>
    <cellStyle name="Normal 6 7" xfId="263" xr:uid="{00000000-0005-0000-0000-0000CA170000}"/>
    <cellStyle name="Normal 6 7 10" xfId="9267" xr:uid="{00000000-0005-0000-0000-0000CB170000}"/>
    <cellStyle name="Normal 6 7 2" xfId="556" xr:uid="{00000000-0005-0000-0000-0000CC170000}"/>
    <cellStyle name="Normal 6 7 2 2" xfId="816" xr:uid="{00000000-0005-0000-0000-0000CD170000}"/>
    <cellStyle name="Normal 6 7 2 2 2" xfId="1876" xr:uid="{00000000-0005-0000-0000-0000CE170000}"/>
    <cellStyle name="Normal 6 7 2 2 2 2" xfId="2857" xr:uid="{00000000-0005-0000-0000-0000CF170000}"/>
    <cellStyle name="Normal 6 7 2 2 2 3" xfId="2766" xr:uid="{00000000-0005-0000-0000-0000D0170000}"/>
    <cellStyle name="Normal 6 7 2 2 2 4" xfId="2635" xr:uid="{00000000-0005-0000-0000-0000D1170000}"/>
    <cellStyle name="Normal 6 7 2 2 2 5" xfId="2568" xr:uid="{00000000-0005-0000-0000-0000D2170000}"/>
    <cellStyle name="Normal 6 7 2 2 2 6" xfId="10369" xr:uid="{00000000-0005-0000-0000-0000D3170000}"/>
    <cellStyle name="Normal 6 7 2 2 3" xfId="9804" xr:uid="{00000000-0005-0000-0000-0000D4170000}"/>
    <cellStyle name="Normal 6 7 2 3" xfId="1877" xr:uid="{00000000-0005-0000-0000-0000D5170000}"/>
    <cellStyle name="Normal 6 7 2 3 2" xfId="10368" xr:uid="{00000000-0005-0000-0000-0000D6170000}"/>
    <cellStyle name="Normal 6 7 2 4" xfId="1878" xr:uid="{00000000-0005-0000-0000-0000D7170000}"/>
    <cellStyle name="Normal 6 7 2 4 2" xfId="2459" xr:uid="{00000000-0005-0000-0000-0000D8170000}"/>
    <cellStyle name="Normal 6 7 2 4 3" xfId="2767" xr:uid="{00000000-0005-0000-0000-0000D9170000}"/>
    <cellStyle name="Normal 6 7 2 5" xfId="1875" xr:uid="{00000000-0005-0000-0000-0000DA170000}"/>
    <cellStyle name="Normal 6 7 2 5 2" xfId="2856" xr:uid="{00000000-0005-0000-0000-0000DB170000}"/>
    <cellStyle name="Normal 6 7 2 5 3" xfId="2765" xr:uid="{00000000-0005-0000-0000-0000DC170000}"/>
    <cellStyle name="Normal 6 7 2 5 4" xfId="2634" xr:uid="{00000000-0005-0000-0000-0000DD170000}"/>
    <cellStyle name="Normal 6 7 2 5 5" xfId="2567" xr:uid="{00000000-0005-0000-0000-0000DE170000}"/>
    <cellStyle name="Normal 6 7 2 6" xfId="8091" xr:uid="{00000000-0005-0000-0000-0000DF170000}"/>
    <cellStyle name="Normal 6 7 2 7" xfId="8092" xr:uid="{00000000-0005-0000-0000-0000E0170000}"/>
    <cellStyle name="Normal 6 7 2 8" xfId="8093" xr:uid="{00000000-0005-0000-0000-0000E1170000}"/>
    <cellStyle name="Normal 6 7 2 9" xfId="9384" xr:uid="{00000000-0005-0000-0000-0000E2170000}"/>
    <cellStyle name="Normal 6 7 3" xfId="771" xr:uid="{00000000-0005-0000-0000-0000E3170000}"/>
    <cellStyle name="Normal 6 7 3 2" xfId="8094" xr:uid="{00000000-0005-0000-0000-0000E4170000}"/>
    <cellStyle name="Normal 6 7 3 2 2" xfId="8095" xr:uid="{00000000-0005-0000-0000-0000E5170000}"/>
    <cellStyle name="Normal 6 7 3 2 3" xfId="8096" xr:uid="{00000000-0005-0000-0000-0000E6170000}"/>
    <cellStyle name="Normal 6 7 3 2 4" xfId="10370" xr:uid="{00000000-0005-0000-0000-0000E7170000}"/>
    <cellStyle name="Normal 6 7 3 3" xfId="9523" xr:uid="{00000000-0005-0000-0000-0000E8170000}"/>
    <cellStyle name="Normal 6 7 4" xfId="8097" xr:uid="{00000000-0005-0000-0000-0000E9170000}"/>
    <cellStyle name="Normal 6 7 4 2" xfId="10367" xr:uid="{00000000-0005-0000-0000-0000EA170000}"/>
    <cellStyle name="Normal 6 7 5" xfId="8098" xr:uid="{00000000-0005-0000-0000-0000EB170000}"/>
    <cellStyle name="Normal 6 7 5 2" xfId="10735" xr:uid="{00000000-0005-0000-0000-0000EC170000}"/>
    <cellStyle name="Normal 6 7 6" xfId="8099" xr:uid="{00000000-0005-0000-0000-0000ED170000}"/>
    <cellStyle name="Normal 6 7 6 2" xfId="10865" xr:uid="{00000000-0005-0000-0000-0000EE170000}"/>
    <cellStyle name="Normal 6 7 7" xfId="8100" xr:uid="{00000000-0005-0000-0000-0000EF170000}"/>
    <cellStyle name="Normal 6 7 8" xfId="8101" xr:uid="{00000000-0005-0000-0000-0000F0170000}"/>
    <cellStyle name="Normal 6 7 9" xfId="8102" xr:uid="{00000000-0005-0000-0000-0000F1170000}"/>
    <cellStyle name="Normal 6 8" xfId="557" xr:uid="{00000000-0005-0000-0000-0000F2170000}"/>
    <cellStyle name="Normal 6 8 2" xfId="558" xr:uid="{00000000-0005-0000-0000-0000F3170000}"/>
    <cellStyle name="Normal 6 8 2 2" xfId="817" xr:uid="{00000000-0005-0000-0000-0000F4170000}"/>
    <cellStyle name="Normal 6 8 2 2 2" xfId="1880" xr:uid="{00000000-0005-0000-0000-0000F5170000}"/>
    <cellStyle name="Normal 6 8 2 2 2 2" xfId="2859" xr:uid="{00000000-0005-0000-0000-0000F6170000}"/>
    <cellStyle name="Normal 6 8 2 2 2 3" xfId="2769" xr:uid="{00000000-0005-0000-0000-0000F7170000}"/>
    <cellStyle name="Normal 6 8 2 2 2 4" xfId="2637" xr:uid="{00000000-0005-0000-0000-0000F8170000}"/>
    <cellStyle name="Normal 6 8 2 2 2 5" xfId="2570" xr:uid="{00000000-0005-0000-0000-0000F9170000}"/>
    <cellStyle name="Normal 6 8 2 2 3" xfId="10372" xr:uid="{00000000-0005-0000-0000-0000FA170000}"/>
    <cellStyle name="Normal 6 8 2 3" xfId="1881" xr:uid="{00000000-0005-0000-0000-0000FB170000}"/>
    <cellStyle name="Normal 6 8 2 4" xfId="1882" xr:uid="{00000000-0005-0000-0000-0000FC170000}"/>
    <cellStyle name="Normal 6 8 2 4 2" xfId="2458" xr:uid="{00000000-0005-0000-0000-0000FD170000}"/>
    <cellStyle name="Normal 6 8 2 4 3" xfId="2770" xr:uid="{00000000-0005-0000-0000-0000FE170000}"/>
    <cellStyle name="Normal 6 8 2 5" xfId="1879" xr:uid="{00000000-0005-0000-0000-0000FF170000}"/>
    <cellStyle name="Normal 6 8 2 5 2" xfId="2858" xr:uid="{00000000-0005-0000-0000-000000180000}"/>
    <cellStyle name="Normal 6 8 2 5 3" xfId="2768" xr:uid="{00000000-0005-0000-0000-000001180000}"/>
    <cellStyle name="Normal 6 8 2 5 4" xfId="2636" xr:uid="{00000000-0005-0000-0000-000002180000}"/>
    <cellStyle name="Normal 6 8 2 5 5" xfId="2569" xr:uid="{00000000-0005-0000-0000-000003180000}"/>
    <cellStyle name="Normal 6 8 2 6" xfId="8103" xr:uid="{00000000-0005-0000-0000-000004180000}"/>
    <cellStyle name="Normal 6 8 2 7" xfId="8104" xr:uid="{00000000-0005-0000-0000-000005180000}"/>
    <cellStyle name="Normal 6 8 2 8" xfId="8105" xr:uid="{00000000-0005-0000-0000-000006180000}"/>
    <cellStyle name="Normal 6 8 2 9" xfId="9617" xr:uid="{00000000-0005-0000-0000-000007180000}"/>
    <cellStyle name="Normal 6 8 3" xfId="8106" xr:uid="{00000000-0005-0000-0000-000008180000}"/>
    <cellStyle name="Normal 6 8 3 2" xfId="8107" xr:uid="{00000000-0005-0000-0000-000009180000}"/>
    <cellStyle name="Normal 6 8 3 3" xfId="8108" xr:uid="{00000000-0005-0000-0000-00000A180000}"/>
    <cellStyle name="Normal 6 8 3 4" xfId="10371" xr:uid="{00000000-0005-0000-0000-00000B180000}"/>
    <cellStyle name="Normal 6 8 4" xfId="9139" xr:uid="{00000000-0005-0000-0000-00000C180000}"/>
    <cellStyle name="Normal 6 9" xfId="847" xr:uid="{00000000-0005-0000-0000-00000D180000}"/>
    <cellStyle name="Normal 6 9 2" xfId="8109" xr:uid="{00000000-0005-0000-0000-00000E180000}"/>
    <cellStyle name="Normal 6 9 2 2" xfId="10374" xr:uid="{00000000-0005-0000-0000-00000F180000}"/>
    <cellStyle name="Normal 6 9 2 3" xfId="9720" xr:uid="{00000000-0005-0000-0000-000010180000}"/>
    <cellStyle name="Normal 6 9 3" xfId="10373" xr:uid="{00000000-0005-0000-0000-000011180000}"/>
    <cellStyle name="Normal 6 9 4" xfId="9309" xr:uid="{00000000-0005-0000-0000-000012180000}"/>
    <cellStyle name="Normal 60" xfId="264" xr:uid="{00000000-0005-0000-0000-000013180000}"/>
    <cellStyle name="Normal 60 2" xfId="9251" xr:uid="{00000000-0005-0000-0000-000014180000}"/>
    <cellStyle name="Normal 60 2 2" xfId="9707" xr:uid="{00000000-0005-0000-0000-000015180000}"/>
    <cellStyle name="Normal 60 3" xfId="9161" xr:uid="{00000000-0005-0000-0000-000016180000}"/>
    <cellStyle name="Normal 60 4" xfId="9088" xr:uid="{00000000-0005-0000-0000-000017180000}"/>
    <cellStyle name="Normal 60 5" xfId="9020" xr:uid="{00000000-0005-0000-0000-000018180000}"/>
    <cellStyle name="Normal 60 6" xfId="8992" xr:uid="{00000000-0005-0000-0000-000019180000}"/>
    <cellStyle name="Normal 61" xfId="265" xr:uid="{00000000-0005-0000-0000-00001A180000}"/>
    <cellStyle name="Normal 61 2" xfId="9252" xr:uid="{00000000-0005-0000-0000-00001B180000}"/>
    <cellStyle name="Normal 61 2 2" xfId="9708" xr:uid="{00000000-0005-0000-0000-00001C180000}"/>
    <cellStyle name="Normal 61 3" xfId="9162" xr:uid="{00000000-0005-0000-0000-00001D180000}"/>
    <cellStyle name="Normal 61 4" xfId="9089" xr:uid="{00000000-0005-0000-0000-00001E180000}"/>
    <cellStyle name="Normal 61 5" xfId="9021" xr:uid="{00000000-0005-0000-0000-00001F180000}"/>
    <cellStyle name="Normal 61 6" xfId="8993" xr:uid="{00000000-0005-0000-0000-000020180000}"/>
    <cellStyle name="Normal 62" xfId="266" xr:uid="{00000000-0005-0000-0000-000021180000}"/>
    <cellStyle name="Normal 62 2" xfId="9253" xr:uid="{00000000-0005-0000-0000-000022180000}"/>
    <cellStyle name="Normal 62 2 2" xfId="9709" xr:uid="{00000000-0005-0000-0000-000023180000}"/>
    <cellStyle name="Normal 62 3" xfId="9163" xr:uid="{00000000-0005-0000-0000-000024180000}"/>
    <cellStyle name="Normal 62 4" xfId="9090" xr:uid="{00000000-0005-0000-0000-000025180000}"/>
    <cellStyle name="Normal 62 5" xfId="9022" xr:uid="{00000000-0005-0000-0000-000026180000}"/>
    <cellStyle name="Normal 62 6" xfId="8994" xr:uid="{00000000-0005-0000-0000-000027180000}"/>
    <cellStyle name="Normal 63" xfId="267" xr:uid="{00000000-0005-0000-0000-000028180000}"/>
    <cellStyle name="Normal 63 2" xfId="9254" xr:uid="{00000000-0005-0000-0000-000029180000}"/>
    <cellStyle name="Normal 63 2 2" xfId="9710" xr:uid="{00000000-0005-0000-0000-00002A180000}"/>
    <cellStyle name="Normal 63 3" xfId="9164" xr:uid="{00000000-0005-0000-0000-00002B180000}"/>
    <cellStyle name="Normal 63 4" xfId="9091" xr:uid="{00000000-0005-0000-0000-00002C180000}"/>
    <cellStyle name="Normal 63 5" xfId="9023" xr:uid="{00000000-0005-0000-0000-00002D180000}"/>
    <cellStyle name="Normal 63 6" xfId="8995" xr:uid="{00000000-0005-0000-0000-00002E180000}"/>
    <cellStyle name="Normal 64" xfId="268" xr:uid="{00000000-0005-0000-0000-00002F180000}"/>
    <cellStyle name="Normal 64 10" xfId="10822" xr:uid="{00000000-0005-0000-0000-000030180000}"/>
    <cellStyle name="Normal 64 11" xfId="8996" xr:uid="{00000000-0005-0000-0000-000031180000}"/>
    <cellStyle name="Normal 64 2" xfId="9063" xr:uid="{00000000-0005-0000-0000-000032180000}"/>
    <cellStyle name="Normal 64 2 2" xfId="9614" xr:uid="{00000000-0005-0000-0000-000033180000}"/>
    <cellStyle name="Normal 64 3" xfId="9208" xr:uid="{00000000-0005-0000-0000-000034180000}"/>
    <cellStyle name="Normal 64 3 2" xfId="9660" xr:uid="{00000000-0005-0000-0000-000035180000}"/>
    <cellStyle name="Normal 64 3 2 2" xfId="10376" xr:uid="{00000000-0005-0000-0000-000036180000}"/>
    <cellStyle name="Normal 64 3 3" xfId="10375" xr:uid="{00000000-0005-0000-0000-000037180000}"/>
    <cellStyle name="Normal 64 4" xfId="9345" xr:uid="{00000000-0005-0000-0000-000038180000}"/>
    <cellStyle name="Normal 64 4 2" xfId="9759" xr:uid="{00000000-0005-0000-0000-000039180000}"/>
    <cellStyle name="Normal 64 4 2 2" xfId="10378" xr:uid="{00000000-0005-0000-0000-00003A180000}"/>
    <cellStyle name="Normal 64 4 3" xfId="10377" xr:uid="{00000000-0005-0000-0000-00003B180000}"/>
    <cellStyle name="Normal 64 5" xfId="9131" xr:uid="{00000000-0005-0000-0000-00003C180000}"/>
    <cellStyle name="Normal 64 5 2" xfId="9613" xr:uid="{00000000-0005-0000-0000-00003D180000}"/>
    <cellStyle name="Normal 64 5 2 2" xfId="10380" xr:uid="{00000000-0005-0000-0000-00003E180000}"/>
    <cellStyle name="Normal 64 5 3" xfId="10379" xr:uid="{00000000-0005-0000-0000-00003F180000}"/>
    <cellStyle name="Normal 64 6" xfId="9479" xr:uid="{00000000-0005-0000-0000-000040180000}"/>
    <cellStyle name="Normal 64 6 2" xfId="10381" xr:uid="{00000000-0005-0000-0000-000041180000}"/>
    <cellStyle name="Normal 64 7" xfId="9903" xr:uid="{00000000-0005-0000-0000-000042180000}"/>
    <cellStyle name="Normal 64 8" xfId="9062" xr:uid="{00000000-0005-0000-0000-000043180000}"/>
    <cellStyle name="Normal 64 9" xfId="10690" xr:uid="{00000000-0005-0000-0000-000044180000}"/>
    <cellStyle name="Normal 65" xfId="269" xr:uid="{00000000-0005-0000-0000-000045180000}"/>
    <cellStyle name="Normal 65 2" xfId="9303" xr:uid="{00000000-0005-0000-0000-000046180000}"/>
    <cellStyle name="Normal 65 2 2" xfId="9427" xr:uid="{00000000-0005-0000-0000-000047180000}"/>
    <cellStyle name="Normal 65 2 2 2" xfId="9848" xr:uid="{00000000-0005-0000-0000-000048180000}"/>
    <cellStyle name="Normal 65 2 2 2 2" xfId="10384" xr:uid="{00000000-0005-0000-0000-000049180000}"/>
    <cellStyle name="Normal 65 2 2 3" xfId="10383" xr:uid="{00000000-0005-0000-0000-00004A180000}"/>
    <cellStyle name="Normal 65 2 3" xfId="9567" xr:uid="{00000000-0005-0000-0000-00004B180000}"/>
    <cellStyle name="Normal 65 2 3 2" xfId="10385" xr:uid="{00000000-0005-0000-0000-00004C180000}"/>
    <cellStyle name="Normal 65 2 4" xfId="10382" xr:uid="{00000000-0005-0000-0000-00004D180000}"/>
    <cellStyle name="Normal 65 2 5" xfId="10776" xr:uid="{00000000-0005-0000-0000-00004E180000}"/>
    <cellStyle name="Normal 65 2 6" xfId="10906" xr:uid="{00000000-0005-0000-0000-00004F180000}"/>
    <cellStyle name="Normal 65 3" xfId="9615" xr:uid="{00000000-0005-0000-0000-000050180000}"/>
    <cellStyle name="Normal 65 4" xfId="9064" xr:uid="{00000000-0005-0000-0000-000051180000}"/>
    <cellStyle name="Normal 66" xfId="270" xr:uid="{00000000-0005-0000-0000-000052180000}"/>
    <cellStyle name="Normal 66 2" xfId="9264" xr:uid="{00000000-0005-0000-0000-000053180000}"/>
    <cellStyle name="Normal 66 2 2" xfId="10778" xr:uid="{00000000-0005-0000-0000-000054180000}"/>
    <cellStyle name="Normal 66 3" xfId="9210" xr:uid="{00000000-0005-0000-0000-000055180000}"/>
    <cellStyle name="Normal 66 3 2" xfId="9662" xr:uid="{00000000-0005-0000-0000-000056180000}"/>
    <cellStyle name="Normal 66 3 2 2" xfId="10387" xr:uid="{00000000-0005-0000-0000-000057180000}"/>
    <cellStyle name="Normal 66 3 3" xfId="10386" xr:uid="{00000000-0005-0000-0000-000058180000}"/>
    <cellStyle name="Normal 66 4" xfId="9347" xr:uid="{00000000-0005-0000-0000-000059180000}"/>
    <cellStyle name="Normal 66 4 2" xfId="9761" xr:uid="{00000000-0005-0000-0000-00005A180000}"/>
    <cellStyle name="Normal 66 4 2 2" xfId="10389" xr:uid="{00000000-0005-0000-0000-00005B180000}"/>
    <cellStyle name="Normal 66 4 3" xfId="10388" xr:uid="{00000000-0005-0000-0000-00005C180000}"/>
    <cellStyle name="Normal 66 5" xfId="9481" xr:uid="{00000000-0005-0000-0000-00005D180000}"/>
    <cellStyle name="Normal 66 5 2" xfId="10390" xr:uid="{00000000-0005-0000-0000-00005E180000}"/>
    <cellStyle name="Normal 66 6" xfId="10692" xr:uid="{00000000-0005-0000-0000-00005F180000}"/>
    <cellStyle name="Normal 66 7" xfId="10824" xr:uid="{00000000-0005-0000-0000-000060180000}"/>
    <cellStyle name="Normal 66 8" xfId="9132" xr:uid="{00000000-0005-0000-0000-000061180000}"/>
    <cellStyle name="Normal 67" xfId="271" xr:uid="{00000000-0005-0000-0000-000062180000}"/>
    <cellStyle name="Normal 67 2" xfId="9348" xr:uid="{00000000-0005-0000-0000-000063180000}"/>
    <cellStyle name="Normal 67 2 2" xfId="9762" xr:uid="{00000000-0005-0000-0000-000064180000}"/>
    <cellStyle name="Normal 67 2 2 2" xfId="10393" xr:uid="{00000000-0005-0000-0000-000065180000}"/>
    <cellStyle name="Normal 67 2 3" xfId="10392" xr:uid="{00000000-0005-0000-0000-000066180000}"/>
    <cellStyle name="Normal 67 3" xfId="9482" xr:uid="{00000000-0005-0000-0000-000067180000}"/>
    <cellStyle name="Normal 67 3 2" xfId="10394" xr:uid="{00000000-0005-0000-0000-000068180000}"/>
    <cellStyle name="Normal 67 4" xfId="10391" xr:uid="{00000000-0005-0000-0000-000069180000}"/>
    <cellStyle name="Normal 67 5" xfId="10693" xr:uid="{00000000-0005-0000-0000-00006A180000}"/>
    <cellStyle name="Normal 67 6" xfId="10779" xr:uid="{00000000-0005-0000-0000-00006B180000}"/>
    <cellStyle name="Normal 67 7" xfId="10825" xr:uid="{00000000-0005-0000-0000-00006C180000}"/>
    <cellStyle name="Normal 68" xfId="272" xr:uid="{00000000-0005-0000-0000-00006D180000}"/>
    <cellStyle name="Normal 68 2" xfId="10682" xr:uid="{00000000-0005-0000-0000-00006E180000}"/>
    <cellStyle name="Normal 68 3" xfId="9277" xr:uid="{00000000-0005-0000-0000-00006F180000}"/>
    <cellStyle name="Normal 69" xfId="273" xr:uid="{00000000-0005-0000-0000-000070180000}"/>
    <cellStyle name="Normal 69 2" xfId="10703" xr:uid="{00000000-0005-0000-0000-000071180000}"/>
    <cellStyle name="Normal 69 3" xfId="9137" xr:uid="{00000000-0005-0000-0000-000072180000}"/>
    <cellStyle name="Normal 7" xfId="65" xr:uid="{00000000-0005-0000-0000-000073180000}"/>
    <cellStyle name="Normal 7 10" xfId="8110" xr:uid="{00000000-0005-0000-0000-000074180000}"/>
    <cellStyle name="Normal 7 11" xfId="8111" xr:uid="{00000000-0005-0000-0000-000075180000}"/>
    <cellStyle name="Normal 7 2" xfId="274" xr:uid="{00000000-0005-0000-0000-000076180000}"/>
    <cellStyle name="Normal 7 2 2" xfId="772" xr:uid="{00000000-0005-0000-0000-000077180000}"/>
    <cellStyle name="Normal 7 2 2 2" xfId="8112" xr:uid="{00000000-0005-0000-0000-000078180000}"/>
    <cellStyle name="Normal 7 2 2 2 2" xfId="9712" xr:uid="{00000000-0005-0000-0000-000079180000}"/>
    <cellStyle name="Normal 7 2 3" xfId="2957" xr:uid="{00000000-0005-0000-0000-00007A180000}"/>
    <cellStyle name="Normal 7 2 3 2" xfId="8113" xr:uid="{00000000-0005-0000-0000-00007B180000}"/>
    <cellStyle name="Normal 7 2 3 2 2" xfId="12326" xr:uid="{00000000-0005-0000-0000-00007C180000}"/>
    <cellStyle name="Normal 7 2 3 2 3" xfId="11451" xr:uid="{00000000-0005-0000-0000-00007D180000}"/>
    <cellStyle name="Normal 7 2 3 3" xfId="8114" xr:uid="{00000000-0005-0000-0000-00007E180000}"/>
    <cellStyle name="Normal 7 2 3 4" xfId="13542" xr:uid="{00000000-0005-0000-0000-00007F180000}"/>
    <cellStyle name="Normal 7 2 4" xfId="8115" xr:uid="{00000000-0005-0000-0000-000080180000}"/>
    <cellStyle name="Normal 7 2 5" xfId="8116" xr:uid="{00000000-0005-0000-0000-000081180000}"/>
    <cellStyle name="Normal 7 2 6" xfId="8117" xr:uid="{00000000-0005-0000-0000-000082180000}"/>
    <cellStyle name="Normal 7 2 7" xfId="8118" xr:uid="{00000000-0005-0000-0000-000083180000}"/>
    <cellStyle name="Normal 7 2 8" xfId="8119" xr:uid="{00000000-0005-0000-0000-000084180000}"/>
    <cellStyle name="Normal 7 3" xfId="700" xr:uid="{00000000-0005-0000-0000-000085180000}"/>
    <cellStyle name="Normal 7 3 2" xfId="2958" xr:uid="{00000000-0005-0000-0000-000086180000}"/>
    <cellStyle name="Normal 7 3 2 2" xfId="9711" xr:uid="{00000000-0005-0000-0000-000087180000}"/>
    <cellStyle name="Normal 7 4" xfId="1883" xr:uid="{00000000-0005-0000-0000-000088180000}"/>
    <cellStyle name="Normal 7 4 2" xfId="2959" xr:uid="{00000000-0005-0000-0000-000089180000}"/>
    <cellStyle name="Normal 7 5" xfId="1884" xr:uid="{00000000-0005-0000-0000-00008A180000}"/>
    <cellStyle name="Normal 7 5 2" xfId="2960" xr:uid="{00000000-0005-0000-0000-00008B180000}"/>
    <cellStyle name="Normal 7 6" xfId="1885" xr:uid="{00000000-0005-0000-0000-00008C180000}"/>
    <cellStyle name="Normal 7 6 2" xfId="2961" xr:uid="{00000000-0005-0000-0000-00008D180000}"/>
    <cellStyle name="Normal 7 7" xfId="1886" xr:uid="{00000000-0005-0000-0000-00008E180000}"/>
    <cellStyle name="Normal 7 7 2" xfId="2962" xr:uid="{00000000-0005-0000-0000-00008F180000}"/>
    <cellStyle name="Normal 7 8" xfId="1887" xr:uid="{00000000-0005-0000-0000-000090180000}"/>
    <cellStyle name="Normal 7 8 2" xfId="2963" xr:uid="{00000000-0005-0000-0000-000091180000}"/>
    <cellStyle name="Normal 7 9" xfId="1888" xr:uid="{00000000-0005-0000-0000-000092180000}"/>
    <cellStyle name="Normal 7_cálculo da esp das camadas" xfId="2964" xr:uid="{00000000-0005-0000-0000-000093180000}"/>
    <cellStyle name="Normal 70" xfId="275" xr:uid="{00000000-0005-0000-0000-000094180000}"/>
    <cellStyle name="Normal 70 2" xfId="9205" xr:uid="{00000000-0005-0000-0000-000095180000}"/>
    <cellStyle name="Normal 71" xfId="276" xr:uid="{00000000-0005-0000-0000-000096180000}"/>
    <cellStyle name="Normal 71 2" xfId="9304" xr:uid="{00000000-0005-0000-0000-000097180000}"/>
    <cellStyle name="Normal 72" xfId="277" xr:uid="{00000000-0005-0000-0000-000098180000}"/>
    <cellStyle name="Normal 72 2" xfId="9305" xr:uid="{00000000-0005-0000-0000-000099180000}"/>
    <cellStyle name="Normal 73" xfId="278" xr:uid="{00000000-0005-0000-0000-00009A180000}"/>
    <cellStyle name="Normal 73 2" xfId="9138" xr:uid="{00000000-0005-0000-0000-00009B180000}"/>
    <cellStyle name="Normal 74" xfId="279" xr:uid="{00000000-0005-0000-0000-00009C180000}"/>
    <cellStyle name="Normal 74 2" xfId="9307" xr:uid="{00000000-0005-0000-0000-00009D180000}"/>
    <cellStyle name="Normal 75" xfId="280" xr:uid="{00000000-0005-0000-0000-00009E180000}"/>
    <cellStyle name="Normal 75 2" xfId="9306" xr:uid="{00000000-0005-0000-0000-00009F180000}"/>
    <cellStyle name="Normal 76" xfId="281" xr:uid="{00000000-0005-0000-0000-0000A0180000}"/>
    <cellStyle name="Normal 76 2" xfId="9308" xr:uid="{00000000-0005-0000-0000-0000A1180000}"/>
    <cellStyle name="Normal 77" xfId="282" xr:uid="{00000000-0005-0000-0000-0000A2180000}"/>
    <cellStyle name="Normal 77 2" xfId="9374" xr:uid="{00000000-0005-0000-0000-0000A3180000}"/>
    <cellStyle name="Normal 78" xfId="283" xr:uid="{00000000-0005-0000-0000-0000A4180000}"/>
    <cellStyle name="Normal 78 2" xfId="9428" xr:uid="{00000000-0005-0000-0000-0000A5180000}"/>
    <cellStyle name="Normal 79" xfId="284" xr:uid="{00000000-0005-0000-0000-0000A6180000}"/>
    <cellStyle name="Normal 79 2" xfId="9429" xr:uid="{00000000-0005-0000-0000-0000A7180000}"/>
    <cellStyle name="Normal 8" xfId="71" xr:uid="{00000000-0005-0000-0000-0000A8180000}"/>
    <cellStyle name="Normal 8 10" xfId="8120" xr:uid="{00000000-0005-0000-0000-0000A9180000}"/>
    <cellStyle name="Normal 8 11" xfId="8121" xr:uid="{00000000-0005-0000-0000-0000AA180000}"/>
    <cellStyle name="Normal 8 2" xfId="285" xr:uid="{00000000-0005-0000-0000-0000AB180000}"/>
    <cellStyle name="Normal 8 2 2" xfId="773" xr:uid="{00000000-0005-0000-0000-0000AC180000}"/>
    <cellStyle name="Normal 8 2 2 2" xfId="9713" xr:uid="{00000000-0005-0000-0000-0000AD180000}"/>
    <cellStyle name="Normal 8 2 3" xfId="8122" xr:uid="{00000000-0005-0000-0000-0000AE180000}"/>
    <cellStyle name="Normal 8 2 4" xfId="8123" xr:uid="{00000000-0005-0000-0000-0000AF180000}"/>
    <cellStyle name="Normal 8 2 5" xfId="8124" xr:uid="{00000000-0005-0000-0000-0000B0180000}"/>
    <cellStyle name="Normal 8 2 6" xfId="8125" xr:uid="{00000000-0005-0000-0000-0000B1180000}"/>
    <cellStyle name="Normal 8 2 7" xfId="8126" xr:uid="{00000000-0005-0000-0000-0000B2180000}"/>
    <cellStyle name="Normal 8 2 8" xfId="8127" xr:uid="{00000000-0005-0000-0000-0000B3180000}"/>
    <cellStyle name="Normal 8 3" xfId="704" xr:uid="{00000000-0005-0000-0000-0000B4180000}"/>
    <cellStyle name="Normal 8 3 2" xfId="8128" xr:uid="{00000000-0005-0000-0000-0000B5180000}"/>
    <cellStyle name="Normal 8 4" xfId="1889" xr:uid="{00000000-0005-0000-0000-0000B6180000}"/>
    <cellStyle name="Normal 8 4 2" xfId="8129" xr:uid="{00000000-0005-0000-0000-0000B7180000}"/>
    <cellStyle name="Normal 8 5" xfId="1890" xr:uid="{00000000-0005-0000-0000-0000B8180000}"/>
    <cellStyle name="Normal 8 5 2" xfId="2965" xr:uid="{00000000-0005-0000-0000-0000B9180000}"/>
    <cellStyle name="Normal 8 5 2 2" xfId="8130" xr:uid="{00000000-0005-0000-0000-0000BA180000}"/>
    <cellStyle name="Normal 8 5 3" xfId="8131" xr:uid="{00000000-0005-0000-0000-0000BB180000}"/>
    <cellStyle name="Normal 8 6" xfId="1891" xr:uid="{00000000-0005-0000-0000-0000BC180000}"/>
    <cellStyle name="Normal 8 7" xfId="1892" xr:uid="{00000000-0005-0000-0000-0000BD180000}"/>
    <cellStyle name="Normal 8 8" xfId="1893" xr:uid="{00000000-0005-0000-0000-0000BE180000}"/>
    <cellStyle name="Normal 8 9" xfId="1894" xr:uid="{00000000-0005-0000-0000-0000BF180000}"/>
    <cellStyle name="Normal 80" xfId="286" xr:uid="{00000000-0005-0000-0000-0000C0180000}"/>
    <cellStyle name="Normal 80 2" xfId="9065" xr:uid="{00000000-0005-0000-0000-0000C1180000}"/>
    <cellStyle name="Normal 81" xfId="287" xr:uid="{00000000-0005-0000-0000-0000C2180000}"/>
    <cellStyle name="Normal 81 2" xfId="9128" xr:uid="{00000000-0005-0000-0000-0000C3180000}"/>
    <cellStyle name="Normal 82" xfId="288" xr:uid="{00000000-0005-0000-0000-0000C4180000}"/>
    <cellStyle name="Normal 82 2" xfId="9436" xr:uid="{00000000-0005-0000-0000-0000C5180000}"/>
    <cellStyle name="Normal 83" xfId="289" xr:uid="{00000000-0005-0000-0000-0000C6180000}"/>
    <cellStyle name="Normal 83 2" xfId="9437" xr:uid="{00000000-0005-0000-0000-0000C7180000}"/>
    <cellStyle name="Normal 84" xfId="290" xr:uid="{00000000-0005-0000-0000-0000C8180000}"/>
    <cellStyle name="Normal 84 2" xfId="9435" xr:uid="{00000000-0005-0000-0000-0000C9180000}"/>
    <cellStyle name="Normal 85" xfId="291" xr:uid="{00000000-0005-0000-0000-0000CA180000}"/>
    <cellStyle name="Normal 85 2" xfId="9434" xr:uid="{00000000-0005-0000-0000-0000CB180000}"/>
    <cellStyle name="Normal 86" xfId="292" xr:uid="{00000000-0005-0000-0000-0000CC180000}"/>
    <cellStyle name="Normal 86 2" xfId="9433" xr:uid="{00000000-0005-0000-0000-0000CD180000}"/>
    <cellStyle name="Normal 87" xfId="293" xr:uid="{00000000-0005-0000-0000-0000CE180000}"/>
    <cellStyle name="Normal 87 2" xfId="9438" xr:uid="{00000000-0005-0000-0000-0000CF180000}"/>
    <cellStyle name="Normal 88" xfId="294" xr:uid="{00000000-0005-0000-0000-0000D0180000}"/>
    <cellStyle name="Normal 88 2" xfId="9856" xr:uid="{00000000-0005-0000-0000-0000D1180000}"/>
    <cellStyle name="Normal 89" xfId="295" xr:uid="{00000000-0005-0000-0000-0000D2180000}"/>
    <cellStyle name="Normal 89 2" xfId="9857" xr:uid="{00000000-0005-0000-0000-0000D3180000}"/>
    <cellStyle name="Normal 9" xfId="296" xr:uid="{00000000-0005-0000-0000-0000D4180000}"/>
    <cellStyle name="Normal 9 10" xfId="8132" xr:uid="{00000000-0005-0000-0000-0000D5180000}"/>
    <cellStyle name="Normal 9 2" xfId="559" xr:uid="{00000000-0005-0000-0000-0000D6180000}"/>
    <cellStyle name="Normal 9 2 2" xfId="818" xr:uid="{00000000-0005-0000-0000-0000D7180000}"/>
    <cellStyle name="Normal 9 2 3" xfId="8133" xr:uid="{00000000-0005-0000-0000-0000D8180000}"/>
    <cellStyle name="Normal 9 2 4" xfId="8134" xr:uid="{00000000-0005-0000-0000-0000D9180000}"/>
    <cellStyle name="Normal 9 2 5" xfId="8135" xr:uid="{00000000-0005-0000-0000-0000DA180000}"/>
    <cellStyle name="Normal 9 2 6" xfId="8136" xr:uid="{00000000-0005-0000-0000-0000DB180000}"/>
    <cellStyle name="Normal 9 2 7" xfId="8137" xr:uid="{00000000-0005-0000-0000-0000DC180000}"/>
    <cellStyle name="Normal 9 2 8" xfId="8138" xr:uid="{00000000-0005-0000-0000-0000DD180000}"/>
    <cellStyle name="Normal 9 3" xfId="774" xr:uid="{00000000-0005-0000-0000-0000DE180000}"/>
    <cellStyle name="Normal 9 3 2" xfId="1896" xr:uid="{00000000-0005-0000-0000-0000DF180000}"/>
    <cellStyle name="Normal 9 3 2 2" xfId="8139" xr:uid="{00000000-0005-0000-0000-0000E0180000}"/>
    <cellStyle name="Normal 9 3 2 3" xfId="13493" xr:uid="{00000000-0005-0000-0000-0000E1180000}"/>
    <cellStyle name="Normal 9 4" xfId="1897" xr:uid="{00000000-0005-0000-0000-0000E2180000}"/>
    <cellStyle name="Normal 9 4 2" xfId="8140" xr:uid="{00000000-0005-0000-0000-0000E3180000}"/>
    <cellStyle name="Normal 9 4 3" xfId="8141" xr:uid="{00000000-0005-0000-0000-0000E4180000}"/>
    <cellStyle name="Normal 9 5" xfId="1895" xr:uid="{00000000-0005-0000-0000-0000E5180000}"/>
    <cellStyle name="Normal 9 5 2" xfId="8142" xr:uid="{00000000-0005-0000-0000-0000E6180000}"/>
    <cellStyle name="Normal 9 6" xfId="2966" xr:uid="{00000000-0005-0000-0000-0000E7180000}"/>
    <cellStyle name="Normal 9 6 2" xfId="8143" xr:uid="{00000000-0005-0000-0000-0000E8180000}"/>
    <cellStyle name="Normal 9 6 3" xfId="8144" xr:uid="{00000000-0005-0000-0000-0000E9180000}"/>
    <cellStyle name="Normal 9 6 3 2" xfId="11671" xr:uid="{00000000-0005-0000-0000-0000EA180000}"/>
    <cellStyle name="Normal 9 6 3 3" xfId="11149" xr:uid="{00000000-0005-0000-0000-0000EB180000}"/>
    <cellStyle name="Normal 9 6 4" xfId="8145" xr:uid="{00000000-0005-0000-0000-0000EC180000}"/>
    <cellStyle name="Normal 9 6 5" xfId="13543" xr:uid="{00000000-0005-0000-0000-0000ED180000}"/>
    <cellStyle name="Normal 9 7" xfId="8146" xr:uid="{00000000-0005-0000-0000-0000EE180000}"/>
    <cellStyle name="Normal 9 8" xfId="8147" xr:uid="{00000000-0005-0000-0000-0000EF180000}"/>
    <cellStyle name="Normal 9 9" xfId="8148" xr:uid="{00000000-0005-0000-0000-0000F0180000}"/>
    <cellStyle name="Normal 90" xfId="297" xr:uid="{00000000-0005-0000-0000-0000F1180000}"/>
    <cellStyle name="Normal 90 2" xfId="9855" xr:uid="{00000000-0005-0000-0000-0000F2180000}"/>
    <cellStyle name="Normal 91" xfId="298" xr:uid="{00000000-0005-0000-0000-0000F3180000}"/>
    <cellStyle name="Normal 91 2" xfId="9599" xr:uid="{00000000-0005-0000-0000-0000F4180000}"/>
    <cellStyle name="Normal 92" xfId="299" xr:uid="{00000000-0005-0000-0000-0000F5180000}"/>
    <cellStyle name="Normal 92 2" xfId="9854" xr:uid="{00000000-0005-0000-0000-0000F6180000}"/>
    <cellStyle name="Normal 93" xfId="300" xr:uid="{00000000-0005-0000-0000-0000F7180000}"/>
    <cellStyle name="Normal 93 2" xfId="9852" xr:uid="{00000000-0005-0000-0000-0000F8180000}"/>
    <cellStyle name="Normal 94" xfId="301" xr:uid="{00000000-0005-0000-0000-0000F9180000}"/>
    <cellStyle name="Normal 94 2" xfId="9576" xr:uid="{00000000-0005-0000-0000-0000FA180000}"/>
    <cellStyle name="Normal 95" xfId="302" xr:uid="{00000000-0005-0000-0000-0000FB180000}"/>
    <cellStyle name="Normal 95 2" xfId="9861" xr:uid="{00000000-0005-0000-0000-0000FC180000}"/>
    <cellStyle name="Normal 96" xfId="303" xr:uid="{00000000-0005-0000-0000-0000FD180000}"/>
    <cellStyle name="Normal 96 2" xfId="9853" xr:uid="{00000000-0005-0000-0000-0000FE180000}"/>
    <cellStyle name="Normal 97" xfId="304" xr:uid="{00000000-0005-0000-0000-0000FF180000}"/>
    <cellStyle name="Normal 97 2" xfId="9859" xr:uid="{00000000-0005-0000-0000-000000190000}"/>
    <cellStyle name="Normal 98" xfId="305" xr:uid="{00000000-0005-0000-0000-000001190000}"/>
    <cellStyle name="Normal 98 2" xfId="9858" xr:uid="{00000000-0005-0000-0000-000002190000}"/>
    <cellStyle name="Normal 99" xfId="306" xr:uid="{00000000-0005-0000-0000-000003190000}"/>
    <cellStyle name="Normal 99 2" xfId="9862" xr:uid="{00000000-0005-0000-0000-000004190000}"/>
    <cellStyle name="Normal_Pesquisa no referencial 10 de maio de 2013" xfId="124" xr:uid="{00000000-0005-0000-0000-000005190000}"/>
    <cellStyle name="Normal1" xfId="307" xr:uid="{00000000-0005-0000-0000-000006190000}"/>
    <cellStyle name="Normal2" xfId="308" xr:uid="{00000000-0005-0000-0000-000007190000}"/>
    <cellStyle name="Normal2 10" xfId="13365" xr:uid="{00000000-0005-0000-0000-000008190000}"/>
    <cellStyle name="Normal2 11" xfId="15854" xr:uid="{00000000-0005-0000-0000-000009190000}"/>
    <cellStyle name="Normal2 2" xfId="4979" xr:uid="{00000000-0005-0000-0000-00000A190000}"/>
    <cellStyle name="Normal2 2 2" xfId="7064" xr:uid="{00000000-0005-0000-0000-00000B190000}"/>
    <cellStyle name="Normal2 2 2 2" xfId="8872" xr:uid="{00000000-0005-0000-0000-00000C190000}"/>
    <cellStyle name="Normal2 2 2 2 2" xfId="14850" xr:uid="{00000000-0005-0000-0000-00000D190000}"/>
    <cellStyle name="Normal2 2 2 2 3" xfId="14807" xr:uid="{00000000-0005-0000-0000-00000E190000}"/>
    <cellStyle name="Normal2 2 2 2 4" xfId="14208" xr:uid="{00000000-0005-0000-0000-00000F190000}"/>
    <cellStyle name="Normal2 2 2 3" xfId="13944" xr:uid="{00000000-0005-0000-0000-000010190000}"/>
    <cellStyle name="Normal2 2 3" xfId="7097" xr:uid="{00000000-0005-0000-0000-000011190000}"/>
    <cellStyle name="Normal2 2 3 2" xfId="8904" xr:uid="{00000000-0005-0000-0000-000012190000}"/>
    <cellStyle name="Normal2 2 3 2 2" xfId="14859" xr:uid="{00000000-0005-0000-0000-000013190000}"/>
    <cellStyle name="Normal2 2 3 2 3" xfId="14317" xr:uid="{00000000-0005-0000-0000-000014190000}"/>
    <cellStyle name="Normal2 2 3 2 4" xfId="14240" xr:uid="{00000000-0005-0000-0000-000015190000}"/>
    <cellStyle name="Normal2 2 3 3" xfId="13977" xr:uid="{00000000-0005-0000-0000-000016190000}"/>
    <cellStyle name="Normal2 2 4" xfId="6982" xr:uid="{00000000-0005-0000-0000-000017190000}"/>
    <cellStyle name="Normal2 2 4 2" xfId="8805" xr:uid="{00000000-0005-0000-0000-000018190000}"/>
    <cellStyle name="Normal2 2 4 2 2" xfId="14820" xr:uid="{00000000-0005-0000-0000-000019190000}"/>
    <cellStyle name="Normal2 2 4 2 3" xfId="14336" xr:uid="{00000000-0005-0000-0000-00001A190000}"/>
    <cellStyle name="Normal2 2 4 2 4" xfId="14141" xr:uid="{00000000-0005-0000-0000-00001B190000}"/>
    <cellStyle name="Normal2 2 4 3" xfId="13864" xr:uid="{00000000-0005-0000-0000-00001C190000}"/>
    <cellStyle name="Normal2 2 5" xfId="7122" xr:uid="{00000000-0005-0000-0000-00001D190000}"/>
    <cellStyle name="Normal2 2 5 2" xfId="8929" xr:uid="{00000000-0005-0000-0000-00001E190000}"/>
    <cellStyle name="Normal2 2 5 2 2" xfId="14869" xr:uid="{00000000-0005-0000-0000-00001F190000}"/>
    <cellStyle name="Normal2 2 5 2 3" xfId="14298" xr:uid="{00000000-0005-0000-0000-000020190000}"/>
    <cellStyle name="Normal2 2 5 2 4" xfId="14265" xr:uid="{00000000-0005-0000-0000-000021190000}"/>
    <cellStyle name="Normal2 2 5 3" xfId="14002" xr:uid="{00000000-0005-0000-0000-000022190000}"/>
    <cellStyle name="Normal2 2 6" xfId="7144" xr:uid="{00000000-0005-0000-0000-000023190000}"/>
    <cellStyle name="Normal2 2 6 2" xfId="8951" xr:uid="{00000000-0005-0000-0000-000024190000}"/>
    <cellStyle name="Normal2 2 6 2 2" xfId="14878" xr:uid="{00000000-0005-0000-0000-000025190000}"/>
    <cellStyle name="Normal2 2 6 2 3" xfId="14672" xr:uid="{00000000-0005-0000-0000-000026190000}"/>
    <cellStyle name="Normal2 2 6 2 4" xfId="14287" xr:uid="{00000000-0005-0000-0000-000027190000}"/>
    <cellStyle name="Normal2 2 6 3" xfId="14024" xr:uid="{00000000-0005-0000-0000-000028190000}"/>
    <cellStyle name="Normal2 2 7" xfId="8710" xr:uid="{00000000-0005-0000-0000-000029190000}"/>
    <cellStyle name="Normal2 2 7 2" xfId="14784" xr:uid="{00000000-0005-0000-0000-00002A190000}"/>
    <cellStyle name="Normal2 2 7 3" xfId="14342" xr:uid="{00000000-0005-0000-0000-00002B190000}"/>
    <cellStyle name="Normal2 2 7 4" xfId="14046" xr:uid="{00000000-0005-0000-0000-00002C190000}"/>
    <cellStyle name="Normal2 2 8" xfId="13735" xr:uid="{00000000-0005-0000-0000-00002D190000}"/>
    <cellStyle name="Normal2 2 9" xfId="18014" xr:uid="{00000000-0005-0000-0000-00002E190000}"/>
    <cellStyle name="Normal2 3" xfId="6891" xr:uid="{00000000-0005-0000-0000-00002F190000}"/>
    <cellStyle name="Normal2 3 2" xfId="8728" xr:uid="{00000000-0005-0000-0000-000030190000}"/>
    <cellStyle name="Normal2 3 2 2" xfId="14795" xr:uid="{00000000-0005-0000-0000-000031190000}"/>
    <cellStyle name="Normal2 3 2 3" xfId="14339" xr:uid="{00000000-0005-0000-0000-000032190000}"/>
    <cellStyle name="Normal2 3 2 4" xfId="14064" xr:uid="{00000000-0005-0000-0000-000033190000}"/>
    <cellStyle name="Normal2 3 3" xfId="13778" xr:uid="{00000000-0005-0000-0000-000034190000}"/>
    <cellStyle name="Normal2 4" xfId="7017" xr:uid="{00000000-0005-0000-0000-000035190000}"/>
    <cellStyle name="Normal2 4 2" xfId="8832" xr:uid="{00000000-0005-0000-0000-000036190000}"/>
    <cellStyle name="Normal2 4 2 2" xfId="14834" xr:uid="{00000000-0005-0000-0000-000037190000}"/>
    <cellStyle name="Normal2 4 2 3" xfId="14321" xr:uid="{00000000-0005-0000-0000-000038190000}"/>
    <cellStyle name="Normal2 4 2 4" xfId="14168" xr:uid="{00000000-0005-0000-0000-000039190000}"/>
    <cellStyle name="Normal2 4 3" xfId="13899" xr:uid="{00000000-0005-0000-0000-00003A190000}"/>
    <cellStyle name="Normal2 5" xfId="6915" xr:uid="{00000000-0005-0000-0000-00003B190000}"/>
    <cellStyle name="Normal2 5 2" xfId="8748" xr:uid="{00000000-0005-0000-0000-00003C190000}"/>
    <cellStyle name="Normal2 5 2 2" xfId="14803" xr:uid="{00000000-0005-0000-0000-00003D190000}"/>
    <cellStyle name="Normal2 5 2 3" xfId="14642" xr:uid="{00000000-0005-0000-0000-00003E190000}"/>
    <cellStyle name="Normal2 5 2 4" xfId="14084" xr:uid="{00000000-0005-0000-0000-00003F190000}"/>
    <cellStyle name="Normal2 5 3" xfId="13800" xr:uid="{00000000-0005-0000-0000-000040190000}"/>
    <cellStyle name="Normal2 6" xfId="6924" xr:uid="{00000000-0005-0000-0000-000041190000}"/>
    <cellStyle name="Normal2 6 2" xfId="8756" xr:uid="{00000000-0005-0000-0000-000042190000}"/>
    <cellStyle name="Normal2 6 2 2" xfId="14806" xr:uid="{00000000-0005-0000-0000-000043190000}"/>
    <cellStyle name="Normal2 6 2 3" xfId="14696" xr:uid="{00000000-0005-0000-0000-000044190000}"/>
    <cellStyle name="Normal2 6 2 4" xfId="14092" xr:uid="{00000000-0005-0000-0000-000045190000}"/>
    <cellStyle name="Normal2 6 3" xfId="13809" xr:uid="{00000000-0005-0000-0000-000046190000}"/>
    <cellStyle name="Normal2 7" xfId="7039" xr:uid="{00000000-0005-0000-0000-000047190000}"/>
    <cellStyle name="Normal2 7 2" xfId="8850" xr:uid="{00000000-0005-0000-0000-000048190000}"/>
    <cellStyle name="Normal2 7 2 2" xfId="14842" xr:uid="{00000000-0005-0000-0000-000049190000}"/>
    <cellStyle name="Normal2 7 2 3" xfId="14636" xr:uid="{00000000-0005-0000-0000-00004A190000}"/>
    <cellStyle name="Normal2 7 2 4" xfId="14186" xr:uid="{00000000-0005-0000-0000-00004B190000}"/>
    <cellStyle name="Normal2 7 3" xfId="13920" xr:uid="{00000000-0005-0000-0000-00004C190000}"/>
    <cellStyle name="Normal2 8" xfId="8706" xr:uid="{00000000-0005-0000-0000-00004D190000}"/>
    <cellStyle name="Normal2 8 2" xfId="14780" xr:uid="{00000000-0005-0000-0000-00004E190000}"/>
    <cellStyle name="Normal2 8 3" xfId="14716" xr:uid="{00000000-0005-0000-0000-00004F190000}"/>
    <cellStyle name="Normal2 8 4" xfId="14042" xr:uid="{00000000-0005-0000-0000-000050190000}"/>
    <cellStyle name="Normal2 9" xfId="13184" xr:uid="{00000000-0005-0000-0000-000051190000}"/>
    <cellStyle name="Normal2 9 2" xfId="15835" xr:uid="{00000000-0005-0000-0000-000052190000}"/>
    <cellStyle name="Normal2 9 3" xfId="15773" xr:uid="{00000000-0005-0000-0000-000053190000}"/>
    <cellStyle name="Normal3" xfId="309" xr:uid="{00000000-0005-0000-0000-000054190000}"/>
    <cellStyle name="Normal3 10" xfId="13366" xr:uid="{00000000-0005-0000-0000-000055190000}"/>
    <cellStyle name="Normal3 11" xfId="15855" xr:uid="{00000000-0005-0000-0000-000056190000}"/>
    <cellStyle name="Normal3 2" xfId="4989" xr:uid="{00000000-0005-0000-0000-000057190000}"/>
    <cellStyle name="Normal3 2 2" xfId="7074" xr:uid="{00000000-0005-0000-0000-000058190000}"/>
    <cellStyle name="Normal3 2 2 2" xfId="8882" xr:uid="{00000000-0005-0000-0000-000059190000}"/>
    <cellStyle name="Normal3 2 2 2 2" xfId="14854" xr:uid="{00000000-0005-0000-0000-00005A190000}"/>
    <cellStyle name="Normal3 2 2 2 3" xfId="14640" xr:uid="{00000000-0005-0000-0000-00005B190000}"/>
    <cellStyle name="Normal3 2 2 2 4" xfId="14218" xr:uid="{00000000-0005-0000-0000-00005C190000}"/>
    <cellStyle name="Normal3 2 2 3" xfId="13954" xr:uid="{00000000-0005-0000-0000-00005D190000}"/>
    <cellStyle name="Normal3 2 3" xfId="7107" xr:uid="{00000000-0005-0000-0000-00005E190000}"/>
    <cellStyle name="Normal3 2 3 2" xfId="8914" xr:uid="{00000000-0005-0000-0000-00005F190000}"/>
    <cellStyle name="Normal3 2 3 2 2" xfId="14863" xr:uid="{00000000-0005-0000-0000-000060190000}"/>
    <cellStyle name="Normal3 2 3 2 3" xfId="14615" xr:uid="{00000000-0005-0000-0000-000061190000}"/>
    <cellStyle name="Normal3 2 3 2 4" xfId="14250" xr:uid="{00000000-0005-0000-0000-000062190000}"/>
    <cellStyle name="Normal3 2 3 3" xfId="13987" xr:uid="{00000000-0005-0000-0000-000063190000}"/>
    <cellStyle name="Normal3 2 4" xfId="7110" xr:uid="{00000000-0005-0000-0000-000064190000}"/>
    <cellStyle name="Normal3 2 4 2" xfId="8917" xr:uid="{00000000-0005-0000-0000-000065190000}"/>
    <cellStyle name="Normal3 2 4 2 2" xfId="14864" xr:uid="{00000000-0005-0000-0000-000066190000}"/>
    <cellStyle name="Normal3 2 4 2 3" xfId="14662" xr:uid="{00000000-0005-0000-0000-000067190000}"/>
    <cellStyle name="Normal3 2 4 2 4" xfId="14253" xr:uid="{00000000-0005-0000-0000-000068190000}"/>
    <cellStyle name="Normal3 2 4 3" xfId="13990" xr:uid="{00000000-0005-0000-0000-000069190000}"/>
    <cellStyle name="Normal3 2 5" xfId="7132" xr:uid="{00000000-0005-0000-0000-00006A190000}"/>
    <cellStyle name="Normal3 2 5 2" xfId="8939" xr:uid="{00000000-0005-0000-0000-00006B190000}"/>
    <cellStyle name="Normal3 2 5 2 2" xfId="14873" xr:uid="{00000000-0005-0000-0000-00006C190000}"/>
    <cellStyle name="Normal3 2 5 2 3" xfId="14797" xr:uid="{00000000-0005-0000-0000-00006D190000}"/>
    <cellStyle name="Normal3 2 5 2 4" xfId="14275" xr:uid="{00000000-0005-0000-0000-00006E190000}"/>
    <cellStyle name="Normal3 2 5 3" xfId="14012" xr:uid="{00000000-0005-0000-0000-00006F190000}"/>
    <cellStyle name="Normal3 2 6" xfId="7154" xr:uid="{00000000-0005-0000-0000-000070190000}"/>
    <cellStyle name="Normal3 2 6 2" xfId="8961" xr:uid="{00000000-0005-0000-0000-000071190000}"/>
    <cellStyle name="Normal3 2 6 2 2" xfId="14882" xr:uid="{00000000-0005-0000-0000-000072190000}"/>
    <cellStyle name="Normal3 2 6 2 3" xfId="14669" xr:uid="{00000000-0005-0000-0000-000073190000}"/>
    <cellStyle name="Normal3 2 6 2 4" xfId="14297" xr:uid="{00000000-0005-0000-0000-000074190000}"/>
    <cellStyle name="Normal3 2 6 3" xfId="14034" xr:uid="{00000000-0005-0000-0000-000075190000}"/>
    <cellStyle name="Normal3 2 7" xfId="8712" xr:uid="{00000000-0005-0000-0000-000076190000}"/>
    <cellStyle name="Normal3 2 7 2" xfId="14786" xr:uid="{00000000-0005-0000-0000-000077190000}"/>
    <cellStyle name="Normal3 2 7 3" xfId="14713" xr:uid="{00000000-0005-0000-0000-000078190000}"/>
    <cellStyle name="Normal3 2 7 4" xfId="14048" xr:uid="{00000000-0005-0000-0000-000079190000}"/>
    <cellStyle name="Normal3 2 8" xfId="13744" xr:uid="{00000000-0005-0000-0000-00007A190000}"/>
    <cellStyle name="Normal3 2 9" xfId="18024" xr:uid="{00000000-0005-0000-0000-00007B190000}"/>
    <cellStyle name="Normal3 3" xfId="6892" xr:uid="{00000000-0005-0000-0000-00007C190000}"/>
    <cellStyle name="Normal3 3 2" xfId="8729" xr:uid="{00000000-0005-0000-0000-00007D190000}"/>
    <cellStyle name="Normal3 3 2 2" xfId="14796" xr:uid="{00000000-0005-0000-0000-00007E190000}"/>
    <cellStyle name="Normal3 3 2 3" xfId="14366" xr:uid="{00000000-0005-0000-0000-00007F190000}"/>
    <cellStyle name="Normal3 3 2 4" xfId="14065" xr:uid="{00000000-0005-0000-0000-000080190000}"/>
    <cellStyle name="Normal3 3 3" xfId="13779" xr:uid="{00000000-0005-0000-0000-000081190000}"/>
    <cellStyle name="Normal3 4" xfId="6944" xr:uid="{00000000-0005-0000-0000-000082190000}"/>
    <cellStyle name="Normal3 4 2" xfId="8774" xr:uid="{00000000-0005-0000-0000-000083190000}"/>
    <cellStyle name="Normal3 4 2 2" xfId="14810" xr:uid="{00000000-0005-0000-0000-000084190000}"/>
    <cellStyle name="Normal3 4 2 3" xfId="14630" xr:uid="{00000000-0005-0000-0000-000085190000}"/>
    <cellStyle name="Normal3 4 2 4" xfId="14110" xr:uid="{00000000-0005-0000-0000-000086190000}"/>
    <cellStyle name="Normal3 4 3" xfId="13828" xr:uid="{00000000-0005-0000-0000-000087190000}"/>
    <cellStyle name="Normal3 5" xfId="6873" xr:uid="{00000000-0005-0000-0000-000088190000}"/>
    <cellStyle name="Normal3 5 2" xfId="8714" xr:uid="{00000000-0005-0000-0000-000089190000}"/>
    <cellStyle name="Normal3 5 2 2" xfId="14788" xr:uid="{00000000-0005-0000-0000-00008A190000}"/>
    <cellStyle name="Normal3 5 2 3" xfId="14711" xr:uid="{00000000-0005-0000-0000-00008B190000}"/>
    <cellStyle name="Normal3 5 2 4" xfId="14050" xr:uid="{00000000-0005-0000-0000-00008C190000}"/>
    <cellStyle name="Normal3 5 3" xfId="13760" xr:uid="{00000000-0005-0000-0000-00008D190000}"/>
    <cellStyle name="Normal3 6" xfId="6909" xr:uid="{00000000-0005-0000-0000-00008E190000}"/>
    <cellStyle name="Normal3 6 2" xfId="8744" xr:uid="{00000000-0005-0000-0000-00008F190000}"/>
    <cellStyle name="Normal3 6 2 2" xfId="14802" xr:uid="{00000000-0005-0000-0000-000090190000}"/>
    <cellStyle name="Normal3 6 2 3" xfId="14699" xr:uid="{00000000-0005-0000-0000-000091190000}"/>
    <cellStyle name="Normal3 6 2 4" xfId="14080" xr:uid="{00000000-0005-0000-0000-000092190000}"/>
    <cellStyle name="Normal3 6 3" xfId="13794" xr:uid="{00000000-0005-0000-0000-000093190000}"/>
    <cellStyle name="Normal3 7" xfId="7005" xr:uid="{00000000-0005-0000-0000-000094190000}"/>
    <cellStyle name="Normal3 7 2" xfId="8823" xr:uid="{00000000-0005-0000-0000-000095190000}"/>
    <cellStyle name="Normal3 7 2 2" xfId="14829" xr:uid="{00000000-0005-0000-0000-000096190000}"/>
    <cellStyle name="Normal3 7 2 3" xfId="14327" xr:uid="{00000000-0005-0000-0000-000097190000}"/>
    <cellStyle name="Normal3 7 2 4" xfId="14159" xr:uid="{00000000-0005-0000-0000-000098190000}"/>
    <cellStyle name="Normal3 7 3" xfId="13887" xr:uid="{00000000-0005-0000-0000-000099190000}"/>
    <cellStyle name="Normal3 8" xfId="8707" xr:uid="{00000000-0005-0000-0000-00009A190000}"/>
    <cellStyle name="Normal3 8 2" xfId="14781" xr:uid="{00000000-0005-0000-0000-00009B190000}"/>
    <cellStyle name="Normal3 8 3" xfId="14715" xr:uid="{00000000-0005-0000-0000-00009C190000}"/>
    <cellStyle name="Normal3 8 4" xfId="14043" xr:uid="{00000000-0005-0000-0000-00009D190000}"/>
    <cellStyle name="Normal3 9" xfId="13185" xr:uid="{00000000-0005-0000-0000-00009E190000}"/>
    <cellStyle name="Normal3 9 2" xfId="15836" xr:uid="{00000000-0005-0000-0000-00009F190000}"/>
    <cellStyle name="Normal3 9 3" xfId="15774" xr:uid="{00000000-0005-0000-0000-0000A0190000}"/>
    <cellStyle name="Nota 2" xfId="416" xr:uid="{00000000-0005-0000-0000-0000A1190000}"/>
    <cellStyle name="Nota 2 10" xfId="7034" xr:uid="{00000000-0005-0000-0000-0000A2190000}"/>
    <cellStyle name="Nota 2 10 2" xfId="12193" xr:uid="{00000000-0005-0000-0000-0000A3190000}"/>
    <cellStyle name="Nota 2 10 2 2" xfId="15270" xr:uid="{00000000-0005-0000-0000-0000A4190000}"/>
    <cellStyle name="Nota 2 10 3" xfId="13062" xr:uid="{00000000-0005-0000-0000-0000A5190000}"/>
    <cellStyle name="Nota 2 10 3 2" xfId="15730" xr:uid="{00000000-0005-0000-0000-0000A6190000}"/>
    <cellStyle name="Nota 2 10 4" xfId="11508" xr:uid="{00000000-0005-0000-0000-0000A7190000}"/>
    <cellStyle name="Nota 2 10 5" xfId="14387" xr:uid="{00000000-0005-0000-0000-0000A8190000}"/>
    <cellStyle name="Nota 2 10 6" xfId="13915" xr:uid="{00000000-0005-0000-0000-0000A9190000}"/>
    <cellStyle name="Nota 2 11" xfId="10641" xr:uid="{00000000-0005-0000-0000-0000AA190000}"/>
    <cellStyle name="Nota 2 11 2" xfId="13136" xr:uid="{00000000-0005-0000-0000-0000AB190000}"/>
    <cellStyle name="Nota 2 11 2 2" xfId="15752" xr:uid="{00000000-0005-0000-0000-0000AC190000}"/>
    <cellStyle name="Nota 2 11 3" xfId="13357" xr:uid="{00000000-0005-0000-0000-0000AD190000}"/>
    <cellStyle name="Nota 2 12" xfId="13190" xr:uid="{00000000-0005-0000-0000-0000AE190000}"/>
    <cellStyle name="Nota 2 12 2" xfId="13345" xr:uid="{00000000-0005-0000-0000-0000AF190000}"/>
    <cellStyle name="Nota 2 12 2 2" xfId="15803" xr:uid="{00000000-0005-0000-0000-0000B0190000}"/>
    <cellStyle name="Nota 2 12 3" xfId="15778" xr:uid="{00000000-0005-0000-0000-0000B1190000}"/>
    <cellStyle name="Nota 2 13" xfId="11044" xr:uid="{00000000-0005-0000-0000-0000B2190000}"/>
    <cellStyle name="Nota 2 13 2" xfId="14928" xr:uid="{00000000-0005-0000-0000-0000B3190000}"/>
    <cellStyle name="Nota 2 14" xfId="11690" xr:uid="{00000000-0005-0000-0000-0000B4190000}"/>
    <cellStyle name="Nota 2 14 2" xfId="15068" xr:uid="{00000000-0005-0000-0000-0000B5190000}"/>
    <cellStyle name="Nota 2 15" xfId="11624" xr:uid="{00000000-0005-0000-0000-0000B6190000}"/>
    <cellStyle name="Nota 2 16" xfId="14599" xr:uid="{00000000-0005-0000-0000-0000B7190000}"/>
    <cellStyle name="Nota 2 17" xfId="13371" xr:uid="{00000000-0005-0000-0000-0000B8190000}"/>
    <cellStyle name="Nota 2 18" xfId="15865" xr:uid="{00000000-0005-0000-0000-0000B9190000}"/>
    <cellStyle name="Nota 2 2" xfId="785" xr:uid="{00000000-0005-0000-0000-0000BA190000}"/>
    <cellStyle name="Nota 2 2 10" xfId="13195" xr:uid="{00000000-0005-0000-0000-0000BB190000}"/>
    <cellStyle name="Nota 2 2 10 2" xfId="13347" xr:uid="{00000000-0005-0000-0000-0000BC190000}"/>
    <cellStyle name="Nota 2 2 10 2 2" xfId="15805" xr:uid="{00000000-0005-0000-0000-0000BD190000}"/>
    <cellStyle name="Nota 2 2 10 3" xfId="15783" xr:uid="{00000000-0005-0000-0000-0000BE190000}"/>
    <cellStyle name="Nota 2 2 11" xfId="11128" xr:uid="{00000000-0005-0000-0000-0000BF190000}"/>
    <cellStyle name="Nota 2 2 11 2" xfId="14951" xr:uid="{00000000-0005-0000-0000-0000C0190000}"/>
    <cellStyle name="Nota 2 2 12" xfId="11464" xr:uid="{00000000-0005-0000-0000-0000C1190000}"/>
    <cellStyle name="Nota 2 2 12 2" xfId="15028" xr:uid="{00000000-0005-0000-0000-0000C2190000}"/>
    <cellStyle name="Nota 2 2 13" xfId="11995" xr:uid="{00000000-0005-0000-0000-0000C3190000}"/>
    <cellStyle name="Nota 2 2 14" xfId="14399" xr:uid="{00000000-0005-0000-0000-0000C4190000}"/>
    <cellStyle name="Nota 2 2 15" xfId="13376" xr:uid="{00000000-0005-0000-0000-0000C5190000}"/>
    <cellStyle name="Nota 2 2 16" xfId="15902" xr:uid="{00000000-0005-0000-0000-0000C6190000}"/>
    <cellStyle name="Nota 2 2 2" xfId="4977" xr:uid="{00000000-0005-0000-0000-0000C7190000}"/>
    <cellStyle name="Nota 2 2 2 10" xfId="11623" xr:uid="{00000000-0005-0000-0000-0000C8190000}"/>
    <cellStyle name="Nota 2 2 2 10 2" xfId="15052" xr:uid="{00000000-0005-0000-0000-0000C9190000}"/>
    <cellStyle name="Nota 2 2 2 11" xfId="11439" xr:uid="{00000000-0005-0000-0000-0000CA190000}"/>
    <cellStyle name="Nota 2 2 2 12" xfId="15707" xr:uid="{00000000-0005-0000-0000-0000CB190000}"/>
    <cellStyle name="Nota 2 2 2 13" xfId="13733" xr:uid="{00000000-0005-0000-0000-0000CC190000}"/>
    <cellStyle name="Nota 2 2 2 14" xfId="18012" xr:uid="{00000000-0005-0000-0000-0000CD190000}"/>
    <cellStyle name="Nota 2 2 2 2" xfId="7062" xr:uid="{00000000-0005-0000-0000-0000CE190000}"/>
    <cellStyle name="Nota 2 2 2 2 2" xfId="8870" xr:uid="{00000000-0005-0000-0000-0000CF190000}"/>
    <cellStyle name="Nota 2 2 2 2 2 2" xfId="12735" xr:uid="{00000000-0005-0000-0000-0000D0190000}"/>
    <cellStyle name="Nota 2 2 2 2 2 2 2" xfId="15586" xr:uid="{00000000-0005-0000-0000-0000D1190000}"/>
    <cellStyle name="Nota 2 2 2 2 2 3" xfId="10972" xr:uid="{00000000-0005-0000-0000-0000D2190000}"/>
    <cellStyle name="Nota 2 2 2 2 2 3 2" xfId="14921" xr:uid="{00000000-0005-0000-0000-0000D3190000}"/>
    <cellStyle name="Nota 2 2 2 2 2 4" xfId="12529" xr:uid="{00000000-0005-0000-0000-0000D4190000}"/>
    <cellStyle name="Nota 2 2 2 2 2 5" xfId="14821" xr:uid="{00000000-0005-0000-0000-0000D5190000}"/>
    <cellStyle name="Nota 2 2 2 2 2 6" xfId="14206" xr:uid="{00000000-0005-0000-0000-0000D6190000}"/>
    <cellStyle name="Nota 2 2 2 2 3" xfId="12220" xr:uid="{00000000-0005-0000-0000-0000D7190000}"/>
    <cellStyle name="Nota 2 2 2 2 3 2" xfId="15295" xr:uid="{00000000-0005-0000-0000-0000D8190000}"/>
    <cellStyle name="Nota 2 2 2 2 4" xfId="12829" xr:uid="{00000000-0005-0000-0000-0000D9190000}"/>
    <cellStyle name="Nota 2 2 2 2 4 2" xfId="15673" xr:uid="{00000000-0005-0000-0000-0000DA190000}"/>
    <cellStyle name="Nota 2 2 2 2 5" xfId="12972" xr:uid="{00000000-0005-0000-0000-0000DB190000}"/>
    <cellStyle name="Nota 2 2 2 2 6" xfId="14585" xr:uid="{00000000-0005-0000-0000-0000DC190000}"/>
    <cellStyle name="Nota 2 2 2 2 7" xfId="13942" xr:uid="{00000000-0005-0000-0000-0000DD190000}"/>
    <cellStyle name="Nota 2 2 2 3" xfId="6951" xr:uid="{00000000-0005-0000-0000-0000DE190000}"/>
    <cellStyle name="Nota 2 2 2 3 2" xfId="8780" xr:uid="{00000000-0005-0000-0000-0000DF190000}"/>
    <cellStyle name="Nota 2 2 2 3 2 2" xfId="12649" xr:uid="{00000000-0005-0000-0000-0000E0190000}"/>
    <cellStyle name="Nota 2 2 2 3 2 2 2" xfId="15505" xr:uid="{00000000-0005-0000-0000-0000E1190000}"/>
    <cellStyle name="Nota 2 2 2 3 2 3" xfId="11336" xr:uid="{00000000-0005-0000-0000-0000E2190000}"/>
    <cellStyle name="Nota 2 2 2 3 2 3 2" xfId="15001" xr:uid="{00000000-0005-0000-0000-0000E3190000}"/>
    <cellStyle name="Nota 2 2 2 3 2 4" xfId="11648" xr:uid="{00000000-0005-0000-0000-0000E4190000}"/>
    <cellStyle name="Nota 2 2 2 3 2 5" xfId="14655" xr:uid="{00000000-0005-0000-0000-0000E5190000}"/>
    <cellStyle name="Nota 2 2 2 3 2 6" xfId="14116" xr:uid="{00000000-0005-0000-0000-0000E6190000}"/>
    <cellStyle name="Nota 2 2 2 3 3" xfId="12114" xr:uid="{00000000-0005-0000-0000-0000E7190000}"/>
    <cellStyle name="Nota 2 2 2 3 3 2" xfId="15194" xr:uid="{00000000-0005-0000-0000-0000E8190000}"/>
    <cellStyle name="Nota 2 2 2 3 4" xfId="12911" xr:uid="{00000000-0005-0000-0000-0000E9190000}"/>
    <cellStyle name="Nota 2 2 2 3 4 2" xfId="15697" xr:uid="{00000000-0005-0000-0000-0000EA190000}"/>
    <cellStyle name="Nota 2 2 2 3 5" xfId="11701" xr:uid="{00000000-0005-0000-0000-0000EB190000}"/>
    <cellStyle name="Nota 2 2 2 3 6" xfId="14550" xr:uid="{00000000-0005-0000-0000-0000EC190000}"/>
    <cellStyle name="Nota 2 2 2 3 7" xfId="13835" xr:uid="{00000000-0005-0000-0000-0000ED190000}"/>
    <cellStyle name="Nota 2 2 2 4" xfId="7095" xr:uid="{00000000-0005-0000-0000-0000EE190000}"/>
    <cellStyle name="Nota 2 2 2 4 2" xfId="8902" xr:uid="{00000000-0005-0000-0000-0000EF190000}"/>
    <cellStyle name="Nota 2 2 2 4 2 2" xfId="12765" xr:uid="{00000000-0005-0000-0000-0000F0190000}"/>
    <cellStyle name="Nota 2 2 2 4 2 2 2" xfId="15615" xr:uid="{00000000-0005-0000-0000-0000F1190000}"/>
    <cellStyle name="Nota 2 2 2 4 2 3" xfId="11321" xr:uid="{00000000-0005-0000-0000-0000F2190000}"/>
    <cellStyle name="Nota 2 2 2 4 2 3 2" xfId="14986" xr:uid="{00000000-0005-0000-0000-0000F3190000}"/>
    <cellStyle name="Nota 2 2 2 4 2 4" xfId="11449" xr:uid="{00000000-0005-0000-0000-0000F4190000}"/>
    <cellStyle name="Nota 2 2 2 4 2 5" xfId="14319" xr:uid="{00000000-0005-0000-0000-0000F5190000}"/>
    <cellStyle name="Nota 2 2 2 4 2 6" xfId="14238" xr:uid="{00000000-0005-0000-0000-0000F6190000}"/>
    <cellStyle name="Nota 2 2 2 4 3" xfId="12251" xr:uid="{00000000-0005-0000-0000-0000F7190000}"/>
    <cellStyle name="Nota 2 2 2 4 3 2" xfId="15325" xr:uid="{00000000-0005-0000-0000-0000F8190000}"/>
    <cellStyle name="Nota 2 2 2 4 4" xfId="13058" xr:uid="{00000000-0005-0000-0000-0000F9190000}"/>
    <cellStyle name="Nota 2 2 2 4 4 2" xfId="15726" xr:uid="{00000000-0005-0000-0000-0000FA190000}"/>
    <cellStyle name="Nota 2 2 2 4 5" xfId="11233" xr:uid="{00000000-0005-0000-0000-0000FB190000}"/>
    <cellStyle name="Nota 2 2 2 4 6" xfId="14730" xr:uid="{00000000-0005-0000-0000-0000FC190000}"/>
    <cellStyle name="Nota 2 2 2 4 7" xfId="13975" xr:uid="{00000000-0005-0000-0000-0000FD190000}"/>
    <cellStyle name="Nota 2 2 2 5" xfId="6928" xr:uid="{00000000-0005-0000-0000-0000FE190000}"/>
    <cellStyle name="Nota 2 2 2 5 2" xfId="8760" xr:uid="{00000000-0005-0000-0000-0000FF190000}"/>
    <cellStyle name="Nota 2 2 2 5 2 2" xfId="12630" xr:uid="{00000000-0005-0000-0000-0000001A0000}"/>
    <cellStyle name="Nota 2 2 2 5 2 2 2" xfId="15486" xr:uid="{00000000-0005-0000-0000-0000011A0000}"/>
    <cellStyle name="Nota 2 2 2 5 2 3" xfId="13139" xr:uid="{00000000-0005-0000-0000-0000021A0000}"/>
    <cellStyle name="Nota 2 2 2 5 2 3 2" xfId="15754" xr:uid="{00000000-0005-0000-0000-0000031A0000}"/>
    <cellStyle name="Nota 2 2 2 5 2 4" xfId="11839" xr:uid="{00000000-0005-0000-0000-0000041A0000}"/>
    <cellStyle name="Nota 2 2 2 5 2 5" xfId="14639" xr:uid="{00000000-0005-0000-0000-0000051A0000}"/>
    <cellStyle name="Nota 2 2 2 5 2 6" xfId="14096" xr:uid="{00000000-0005-0000-0000-0000061A0000}"/>
    <cellStyle name="Nota 2 2 2 5 3" xfId="12092" xr:uid="{00000000-0005-0000-0000-0000071A0000}"/>
    <cellStyle name="Nota 2 2 2 5 3 2" xfId="15172" xr:uid="{00000000-0005-0000-0000-0000081A0000}"/>
    <cellStyle name="Nota 2 2 2 5 4" xfId="13075" xr:uid="{00000000-0005-0000-0000-0000091A0000}"/>
    <cellStyle name="Nota 2 2 2 5 4 2" xfId="15743" xr:uid="{00000000-0005-0000-0000-00000A1A0000}"/>
    <cellStyle name="Nota 2 2 2 5 5" xfId="13226" xr:uid="{00000000-0005-0000-0000-00000B1A0000}"/>
    <cellStyle name="Nota 2 2 2 5 6" xfId="14526" xr:uid="{00000000-0005-0000-0000-00000C1A0000}"/>
    <cellStyle name="Nota 2 2 2 5 7" xfId="13813" xr:uid="{00000000-0005-0000-0000-00000D1A0000}"/>
    <cellStyle name="Nota 2 2 2 6" xfId="7120" xr:uid="{00000000-0005-0000-0000-00000E1A0000}"/>
    <cellStyle name="Nota 2 2 2 6 2" xfId="8927" xr:uid="{00000000-0005-0000-0000-00000F1A0000}"/>
    <cellStyle name="Nota 2 2 2 6 2 2" xfId="12786" xr:uid="{00000000-0005-0000-0000-0000101A0000}"/>
    <cellStyle name="Nota 2 2 2 6 2 2 2" xfId="15636" xr:uid="{00000000-0005-0000-0000-0000111A0000}"/>
    <cellStyle name="Nota 2 2 2 6 2 3" xfId="12436" xr:uid="{00000000-0005-0000-0000-0000121A0000}"/>
    <cellStyle name="Nota 2 2 2 6 2 3 2" xfId="15400" xr:uid="{00000000-0005-0000-0000-0000131A0000}"/>
    <cellStyle name="Nota 2 2 2 6 2 4" xfId="11968" xr:uid="{00000000-0005-0000-0000-0000141A0000}"/>
    <cellStyle name="Nota 2 2 2 6 2 5" xfId="14347" xr:uid="{00000000-0005-0000-0000-0000151A0000}"/>
    <cellStyle name="Nota 2 2 2 6 2 6" xfId="14263" xr:uid="{00000000-0005-0000-0000-0000161A0000}"/>
    <cellStyle name="Nota 2 2 2 6 3" xfId="12272" xr:uid="{00000000-0005-0000-0000-0000171A0000}"/>
    <cellStyle name="Nota 2 2 2 6 3 2" xfId="15346" xr:uid="{00000000-0005-0000-0000-0000181A0000}"/>
    <cellStyle name="Nota 2 2 2 6 4" xfId="12536" xr:uid="{00000000-0005-0000-0000-0000191A0000}"/>
    <cellStyle name="Nota 2 2 2 6 4 2" xfId="15424" xr:uid="{00000000-0005-0000-0000-00001A1A0000}"/>
    <cellStyle name="Nota 2 2 2 6 5" xfId="11129" xr:uid="{00000000-0005-0000-0000-00001B1A0000}"/>
    <cellStyle name="Nota 2 2 2 6 6" xfId="14725" xr:uid="{00000000-0005-0000-0000-00001C1A0000}"/>
    <cellStyle name="Nota 2 2 2 6 7" xfId="14000" xr:uid="{00000000-0005-0000-0000-00001D1A0000}"/>
    <cellStyle name="Nota 2 2 2 7" xfId="7142" xr:uid="{00000000-0005-0000-0000-00001E1A0000}"/>
    <cellStyle name="Nota 2 2 2 7 2" xfId="8949" xr:uid="{00000000-0005-0000-0000-00001F1A0000}"/>
    <cellStyle name="Nota 2 2 2 7 2 2" xfId="12806" xr:uid="{00000000-0005-0000-0000-0000201A0000}"/>
    <cellStyle name="Nota 2 2 2 7 2 2 2" xfId="15655" xr:uid="{00000000-0005-0000-0000-0000211A0000}"/>
    <cellStyle name="Nota 2 2 2 7 2 3" xfId="11075" xr:uid="{00000000-0005-0000-0000-0000221A0000}"/>
    <cellStyle name="Nota 2 2 2 7 2 3 2" xfId="14940" xr:uid="{00000000-0005-0000-0000-0000231A0000}"/>
    <cellStyle name="Nota 2 2 2 7 2 4" xfId="11418" xr:uid="{00000000-0005-0000-0000-0000241A0000}"/>
    <cellStyle name="Nota 2 2 2 7 2 5" xfId="14679" xr:uid="{00000000-0005-0000-0000-0000251A0000}"/>
    <cellStyle name="Nota 2 2 2 7 2 6" xfId="14285" xr:uid="{00000000-0005-0000-0000-0000261A0000}"/>
    <cellStyle name="Nota 2 2 2 7 3" xfId="12292" xr:uid="{00000000-0005-0000-0000-0000271A0000}"/>
    <cellStyle name="Nota 2 2 2 7 3 2" xfId="15365" xr:uid="{00000000-0005-0000-0000-0000281A0000}"/>
    <cellStyle name="Nota 2 2 2 7 4" xfId="12821" xr:uid="{00000000-0005-0000-0000-0000291A0000}"/>
    <cellStyle name="Nota 2 2 2 7 4 2" xfId="15668" xr:uid="{00000000-0005-0000-0000-00002A1A0000}"/>
    <cellStyle name="Nota 2 2 2 7 5" xfId="12499" xr:uid="{00000000-0005-0000-0000-00002B1A0000}"/>
    <cellStyle name="Nota 2 2 2 7 6" xfId="14723" xr:uid="{00000000-0005-0000-0000-00002C1A0000}"/>
    <cellStyle name="Nota 2 2 2 7 7" xfId="14022" xr:uid="{00000000-0005-0000-0000-00002D1A0000}"/>
    <cellStyle name="Nota 2 2 2 8" xfId="7049" xr:uid="{00000000-0005-0000-0000-00002E1A0000}"/>
    <cellStyle name="Nota 2 2 2 8 2" xfId="12207" xr:uid="{00000000-0005-0000-0000-00002F1A0000}"/>
    <cellStyle name="Nota 2 2 2 8 2 2" xfId="15283" xr:uid="{00000000-0005-0000-0000-0000301A0000}"/>
    <cellStyle name="Nota 2 2 2 8 3" xfId="11426" xr:uid="{00000000-0005-0000-0000-0000311A0000}"/>
    <cellStyle name="Nota 2 2 2 8 3 2" xfId="15017" xr:uid="{00000000-0005-0000-0000-0000321A0000}"/>
    <cellStyle name="Nota 2 2 2 8 4" xfId="12401" xr:uid="{00000000-0005-0000-0000-0000331A0000}"/>
    <cellStyle name="Nota 2 2 2 8 5" xfId="14477" xr:uid="{00000000-0005-0000-0000-0000341A0000}"/>
    <cellStyle name="Nota 2 2 2 8 6" xfId="13930" xr:uid="{00000000-0005-0000-0000-0000351A0000}"/>
    <cellStyle name="Nota 2 2 2 9" xfId="11807" xr:uid="{00000000-0005-0000-0000-0000361A0000}"/>
    <cellStyle name="Nota 2 2 2 9 2" xfId="11530" xr:uid="{00000000-0005-0000-0000-0000371A0000}"/>
    <cellStyle name="Nota 2 2 3" xfId="6912" xr:uid="{00000000-0005-0000-0000-0000381A0000}"/>
    <cellStyle name="Nota 2 2 3 2" xfId="8746" xr:uid="{00000000-0005-0000-0000-0000391A0000}"/>
    <cellStyle name="Nota 2 2 3 2 2" xfId="12617" xr:uid="{00000000-0005-0000-0000-00003A1A0000}"/>
    <cellStyle name="Nota 2 2 3 2 2 2" xfId="15474" xr:uid="{00000000-0005-0000-0000-00003B1A0000}"/>
    <cellStyle name="Nota 2 2 3 2 3" xfId="13169" xr:uid="{00000000-0005-0000-0000-00003C1A0000}"/>
    <cellStyle name="Nota 2 2 3 2 3 2" xfId="15764" xr:uid="{00000000-0005-0000-0000-00003D1A0000}"/>
    <cellStyle name="Nota 2 2 3 2 4" xfId="12883" xr:uid="{00000000-0005-0000-0000-00003E1A0000}"/>
    <cellStyle name="Nota 2 2 3 2 5" xfId="14692" xr:uid="{00000000-0005-0000-0000-00003F1A0000}"/>
    <cellStyle name="Nota 2 2 3 2 6" xfId="14082" xr:uid="{00000000-0005-0000-0000-0000401A0000}"/>
    <cellStyle name="Nota 2 2 3 3" xfId="12078" xr:uid="{00000000-0005-0000-0000-0000411A0000}"/>
    <cellStyle name="Nota 2 2 3 3 2" xfId="15158" xr:uid="{00000000-0005-0000-0000-0000421A0000}"/>
    <cellStyle name="Nota 2 2 3 4" xfId="13141" xr:uid="{00000000-0005-0000-0000-0000431A0000}"/>
    <cellStyle name="Nota 2 2 3 4 2" xfId="15756" xr:uid="{00000000-0005-0000-0000-0000441A0000}"/>
    <cellStyle name="Nota 2 2 3 5" xfId="11885" xr:uid="{00000000-0005-0000-0000-0000451A0000}"/>
    <cellStyle name="Nota 2 2 3 6" xfId="14552" xr:uid="{00000000-0005-0000-0000-0000461A0000}"/>
    <cellStyle name="Nota 2 2 3 7" xfId="13797" xr:uid="{00000000-0005-0000-0000-0000471A0000}"/>
    <cellStyle name="Nota 2 2 4" xfId="6929" xr:uid="{00000000-0005-0000-0000-0000481A0000}"/>
    <cellStyle name="Nota 2 2 4 2" xfId="8761" xr:uid="{00000000-0005-0000-0000-0000491A0000}"/>
    <cellStyle name="Nota 2 2 4 2 2" xfId="12631" xr:uid="{00000000-0005-0000-0000-00004A1A0000}"/>
    <cellStyle name="Nota 2 2 4 2 2 2" xfId="15487" xr:uid="{00000000-0005-0000-0000-00004B1A0000}"/>
    <cellStyle name="Nota 2 2 4 2 3" xfId="12826" xr:uid="{00000000-0005-0000-0000-00004C1A0000}"/>
    <cellStyle name="Nota 2 2 4 2 3 2" xfId="15671" xr:uid="{00000000-0005-0000-0000-00004D1A0000}"/>
    <cellStyle name="Nota 2 2 4 2 4" xfId="11819" xr:uid="{00000000-0005-0000-0000-00004E1A0000}"/>
    <cellStyle name="Nota 2 2 4 2 5" xfId="14858" xr:uid="{00000000-0005-0000-0000-00004F1A0000}"/>
    <cellStyle name="Nota 2 2 4 2 6" xfId="14097" xr:uid="{00000000-0005-0000-0000-0000501A0000}"/>
    <cellStyle name="Nota 2 2 4 3" xfId="12093" xr:uid="{00000000-0005-0000-0000-0000511A0000}"/>
    <cellStyle name="Nota 2 2 4 3 2" xfId="15173" xr:uid="{00000000-0005-0000-0000-0000521A0000}"/>
    <cellStyle name="Nota 2 2 4 4" xfId="12951" xr:uid="{00000000-0005-0000-0000-0000531A0000}"/>
    <cellStyle name="Nota 2 2 4 4 2" xfId="15704" xr:uid="{00000000-0005-0000-0000-0000541A0000}"/>
    <cellStyle name="Nota 2 2 4 5" xfId="11987" xr:uid="{00000000-0005-0000-0000-0000551A0000}"/>
    <cellStyle name="Nota 2 2 4 6" xfId="14380" xr:uid="{00000000-0005-0000-0000-0000561A0000}"/>
    <cellStyle name="Nota 2 2 4 7" xfId="13814" xr:uid="{00000000-0005-0000-0000-0000571A0000}"/>
    <cellStyle name="Nota 2 2 5" xfId="7040" xr:uid="{00000000-0005-0000-0000-0000581A0000}"/>
    <cellStyle name="Nota 2 2 5 2" xfId="8851" xr:uid="{00000000-0005-0000-0000-0000591A0000}"/>
    <cellStyle name="Nota 2 2 5 2 2" xfId="12716" xr:uid="{00000000-0005-0000-0000-00005A1A0000}"/>
    <cellStyle name="Nota 2 2 5 2 2 2" xfId="15568" xr:uid="{00000000-0005-0000-0000-00005B1A0000}"/>
    <cellStyle name="Nota 2 2 5 2 3" xfId="12444" xr:uid="{00000000-0005-0000-0000-00005C1A0000}"/>
    <cellStyle name="Nota 2 2 5 2 3 2" xfId="15408" xr:uid="{00000000-0005-0000-0000-00005D1A0000}"/>
    <cellStyle name="Nota 2 2 5 2 4" xfId="12917" xr:uid="{00000000-0005-0000-0000-00005E1A0000}"/>
    <cellStyle name="Nota 2 2 5 2 5" xfId="14798" xr:uid="{00000000-0005-0000-0000-00005F1A0000}"/>
    <cellStyle name="Nota 2 2 5 2 6" xfId="14187" xr:uid="{00000000-0005-0000-0000-0000601A0000}"/>
    <cellStyle name="Nota 2 2 5 3" xfId="12198" xr:uid="{00000000-0005-0000-0000-0000611A0000}"/>
    <cellStyle name="Nota 2 2 5 3 2" xfId="15275" xr:uid="{00000000-0005-0000-0000-0000621A0000}"/>
    <cellStyle name="Nota 2 2 5 4" xfId="13063" xr:uid="{00000000-0005-0000-0000-0000631A0000}"/>
    <cellStyle name="Nota 2 2 5 4 2" xfId="15731" xr:uid="{00000000-0005-0000-0000-0000641A0000}"/>
    <cellStyle name="Nota 2 2 5 5" xfId="12388" xr:uid="{00000000-0005-0000-0000-0000651A0000}"/>
    <cellStyle name="Nota 2 2 5 6" xfId="14745" xr:uid="{00000000-0005-0000-0000-0000661A0000}"/>
    <cellStyle name="Nota 2 2 5 7" xfId="13921" xr:uid="{00000000-0005-0000-0000-0000671A0000}"/>
    <cellStyle name="Nota 2 2 6" xfId="6956" xr:uid="{00000000-0005-0000-0000-0000681A0000}"/>
    <cellStyle name="Nota 2 2 6 2" xfId="8785" xr:uid="{00000000-0005-0000-0000-0000691A0000}"/>
    <cellStyle name="Nota 2 2 6 2 2" xfId="12654" xr:uid="{00000000-0005-0000-0000-00006A1A0000}"/>
    <cellStyle name="Nota 2 2 6 2 2 2" xfId="15510" xr:uid="{00000000-0005-0000-0000-00006B1A0000}"/>
    <cellStyle name="Nota 2 2 6 2 3" xfId="11334" xr:uid="{00000000-0005-0000-0000-00006C1A0000}"/>
    <cellStyle name="Nota 2 2 6 2 3 2" xfId="14999" xr:uid="{00000000-0005-0000-0000-00006D1A0000}"/>
    <cellStyle name="Nota 2 2 6 2 4" xfId="11049" xr:uid="{00000000-0005-0000-0000-00006E1A0000}"/>
    <cellStyle name="Nota 2 2 6 2 5" xfId="14616" xr:uid="{00000000-0005-0000-0000-00006F1A0000}"/>
    <cellStyle name="Nota 2 2 6 2 6" xfId="14121" xr:uid="{00000000-0005-0000-0000-0000701A0000}"/>
    <cellStyle name="Nota 2 2 6 3" xfId="12119" xr:uid="{00000000-0005-0000-0000-0000711A0000}"/>
    <cellStyle name="Nota 2 2 6 3 2" xfId="15199" xr:uid="{00000000-0005-0000-0000-0000721A0000}"/>
    <cellStyle name="Nota 2 2 6 4" xfId="10929" xr:uid="{00000000-0005-0000-0000-0000731A0000}"/>
    <cellStyle name="Nota 2 2 6 4 2" xfId="14918" xr:uid="{00000000-0005-0000-0000-0000741A0000}"/>
    <cellStyle name="Nota 2 2 6 5" xfId="13221" xr:uid="{00000000-0005-0000-0000-0000751A0000}"/>
    <cellStyle name="Nota 2 2 6 6" xfId="14767" xr:uid="{00000000-0005-0000-0000-0000761A0000}"/>
    <cellStyle name="Nota 2 2 6 7" xfId="13838" xr:uid="{00000000-0005-0000-0000-0000771A0000}"/>
    <cellStyle name="Nota 2 2 7" xfId="6971" xr:uid="{00000000-0005-0000-0000-0000781A0000}"/>
    <cellStyle name="Nota 2 2 7 2" xfId="8797" xr:uid="{00000000-0005-0000-0000-0000791A0000}"/>
    <cellStyle name="Nota 2 2 7 2 2" xfId="12666" xr:uid="{00000000-0005-0000-0000-00007A1A0000}"/>
    <cellStyle name="Nota 2 2 7 2 2 2" xfId="15521" xr:uid="{00000000-0005-0000-0000-00007B1A0000}"/>
    <cellStyle name="Nota 2 2 7 2 3" xfId="12446" xr:uid="{00000000-0005-0000-0000-00007C1A0000}"/>
    <cellStyle name="Nota 2 2 7 2 3 2" xfId="15410" xr:uid="{00000000-0005-0000-0000-00007D1A0000}"/>
    <cellStyle name="Nota 2 2 7 2 4" xfId="11916" xr:uid="{00000000-0005-0000-0000-00007E1A0000}"/>
    <cellStyle name="Nota 2 2 7 2 5" xfId="14570" xr:uid="{00000000-0005-0000-0000-00007F1A0000}"/>
    <cellStyle name="Nota 2 2 7 2 6" xfId="14133" xr:uid="{00000000-0005-0000-0000-0000801A0000}"/>
    <cellStyle name="Nota 2 2 7 3" xfId="12134" xr:uid="{00000000-0005-0000-0000-0000811A0000}"/>
    <cellStyle name="Nota 2 2 7 3 2" xfId="15213" xr:uid="{00000000-0005-0000-0000-0000821A0000}"/>
    <cellStyle name="Nota 2 2 7 4" xfId="13067" xr:uid="{00000000-0005-0000-0000-0000831A0000}"/>
    <cellStyle name="Nota 2 2 7 4 2" xfId="15735" xr:uid="{00000000-0005-0000-0000-0000841A0000}"/>
    <cellStyle name="Nota 2 2 7 5" xfId="13086" xr:uid="{00000000-0005-0000-0000-0000851A0000}"/>
    <cellStyle name="Nota 2 2 7 6" xfId="14515" xr:uid="{00000000-0005-0000-0000-0000861A0000}"/>
    <cellStyle name="Nota 2 2 7 7" xfId="13853" xr:uid="{00000000-0005-0000-0000-0000871A0000}"/>
    <cellStyle name="Nota 2 2 8" xfId="6937" xr:uid="{00000000-0005-0000-0000-0000881A0000}"/>
    <cellStyle name="Nota 2 2 8 2" xfId="8768" xr:uid="{00000000-0005-0000-0000-0000891A0000}"/>
    <cellStyle name="Nota 2 2 8 2 2" xfId="12638" xr:uid="{00000000-0005-0000-0000-00008A1A0000}"/>
    <cellStyle name="Nota 2 2 8 2 2 2" xfId="15494" xr:uid="{00000000-0005-0000-0000-00008B1A0000}"/>
    <cellStyle name="Nota 2 2 8 2 3" xfId="11340" xr:uid="{00000000-0005-0000-0000-00008C1A0000}"/>
    <cellStyle name="Nota 2 2 8 2 3 2" xfId="15005" xr:uid="{00000000-0005-0000-0000-00008D1A0000}"/>
    <cellStyle name="Nota 2 2 8 2 4" xfId="12509" xr:uid="{00000000-0005-0000-0000-00008E1A0000}"/>
    <cellStyle name="Nota 2 2 8 2 5" xfId="14670" xr:uid="{00000000-0005-0000-0000-00008F1A0000}"/>
    <cellStyle name="Nota 2 2 8 2 6" xfId="14104" xr:uid="{00000000-0005-0000-0000-0000901A0000}"/>
    <cellStyle name="Nota 2 2 8 3" xfId="12101" xr:uid="{00000000-0005-0000-0000-0000911A0000}"/>
    <cellStyle name="Nota 2 2 8 3 2" xfId="15181" xr:uid="{00000000-0005-0000-0000-0000921A0000}"/>
    <cellStyle name="Nota 2 2 8 4" xfId="13180" xr:uid="{00000000-0005-0000-0000-0000931A0000}"/>
    <cellStyle name="Nota 2 2 8 4 2" xfId="15770" xr:uid="{00000000-0005-0000-0000-0000941A0000}"/>
    <cellStyle name="Nota 2 2 8 5" xfId="13220" xr:uid="{00000000-0005-0000-0000-0000951A0000}"/>
    <cellStyle name="Nota 2 2 8 6" xfId="14377" xr:uid="{00000000-0005-0000-0000-0000961A0000}"/>
    <cellStyle name="Nota 2 2 8 7" xfId="13821" xr:uid="{00000000-0005-0000-0000-0000971A0000}"/>
    <cellStyle name="Nota 2 2 9" xfId="7038" xr:uid="{00000000-0005-0000-0000-0000981A0000}"/>
    <cellStyle name="Nota 2 2 9 2" xfId="12197" xr:uid="{00000000-0005-0000-0000-0000991A0000}"/>
    <cellStyle name="Nota 2 2 9 2 2" xfId="15274" xr:uid="{00000000-0005-0000-0000-00009A1A0000}"/>
    <cellStyle name="Nota 2 2 9 3" xfId="12539" xr:uid="{00000000-0005-0000-0000-00009B1A0000}"/>
    <cellStyle name="Nota 2 2 9 3 2" xfId="15427" xr:uid="{00000000-0005-0000-0000-00009C1A0000}"/>
    <cellStyle name="Nota 2 2 9 4" xfId="11223" xr:uid="{00000000-0005-0000-0000-00009D1A0000}"/>
    <cellStyle name="Nota 2 2 9 5" xfId="14746" xr:uid="{00000000-0005-0000-0000-00009E1A0000}"/>
    <cellStyle name="Nota 2 2 9 6" xfId="13919" xr:uid="{00000000-0005-0000-0000-00009F1A0000}"/>
    <cellStyle name="Nota 2 3" xfId="4983" xr:uid="{00000000-0005-0000-0000-0000A01A0000}"/>
    <cellStyle name="Nota 2 3 10" xfId="11622" xr:uid="{00000000-0005-0000-0000-0000A11A0000}"/>
    <cellStyle name="Nota 2 3 10 2" xfId="15051" xr:uid="{00000000-0005-0000-0000-0000A21A0000}"/>
    <cellStyle name="Nota 2 3 11" xfId="11626" xr:uid="{00000000-0005-0000-0000-0000A31A0000}"/>
    <cellStyle name="Nota 2 3 12" xfId="14608" xr:uid="{00000000-0005-0000-0000-0000A41A0000}"/>
    <cellStyle name="Nota 2 3 13" xfId="13390" xr:uid="{00000000-0005-0000-0000-0000A51A0000}"/>
    <cellStyle name="Nota 2 3 14" xfId="18018" xr:uid="{00000000-0005-0000-0000-0000A61A0000}"/>
    <cellStyle name="Nota 2 3 2" xfId="7068" xr:uid="{00000000-0005-0000-0000-0000A71A0000}"/>
    <cellStyle name="Nota 2 3 2 2" xfId="8876" xr:uid="{00000000-0005-0000-0000-0000A81A0000}"/>
    <cellStyle name="Nota 2 3 2 2 2" xfId="12740" xr:uid="{00000000-0005-0000-0000-0000A91A0000}"/>
    <cellStyle name="Nota 2 3 2 2 2 2" xfId="15590" xr:uid="{00000000-0005-0000-0000-0000AA1A0000}"/>
    <cellStyle name="Nota 2 3 2 2 3" xfId="11324" xr:uid="{00000000-0005-0000-0000-0000AB1A0000}"/>
    <cellStyle name="Nota 2 3 2 2 3 2" xfId="14989" xr:uid="{00000000-0005-0000-0000-0000AC1A0000}"/>
    <cellStyle name="Nota 2 3 2 2 4" xfId="12042" xr:uid="{00000000-0005-0000-0000-0000AD1A0000}"/>
    <cellStyle name="Nota 2 3 2 2 5" xfId="14627" xr:uid="{00000000-0005-0000-0000-0000AE1A0000}"/>
    <cellStyle name="Nota 2 3 2 2 6" xfId="14212" xr:uid="{00000000-0005-0000-0000-0000AF1A0000}"/>
    <cellStyle name="Nota 2 3 2 3" xfId="12225" xr:uid="{00000000-0005-0000-0000-0000B01A0000}"/>
    <cellStyle name="Nota 2 3 2 3 2" xfId="15299" xr:uid="{00000000-0005-0000-0000-0000B11A0000}"/>
    <cellStyle name="Nota 2 3 2 4" xfId="11425" xr:uid="{00000000-0005-0000-0000-0000B21A0000}"/>
    <cellStyle name="Nota 2 3 2 4 2" xfId="15016" xr:uid="{00000000-0005-0000-0000-0000B31A0000}"/>
    <cellStyle name="Nota 2 3 2 5" xfId="11745" xr:uid="{00000000-0005-0000-0000-0000B41A0000}"/>
    <cellStyle name="Nota 2 3 2 6" xfId="14469" xr:uid="{00000000-0005-0000-0000-0000B51A0000}"/>
    <cellStyle name="Nota 2 3 2 7" xfId="13948" xr:uid="{00000000-0005-0000-0000-0000B61A0000}"/>
    <cellStyle name="Nota 2 3 3" xfId="7081" xr:uid="{00000000-0005-0000-0000-0000B71A0000}"/>
    <cellStyle name="Nota 2 3 3 2" xfId="8888" xr:uid="{00000000-0005-0000-0000-0000B81A0000}"/>
    <cellStyle name="Nota 2 3 3 2 2" xfId="12751" xr:uid="{00000000-0005-0000-0000-0000B91A0000}"/>
    <cellStyle name="Nota 2 3 3 2 2 2" xfId="15601" xr:uid="{00000000-0005-0000-0000-0000BA1A0000}"/>
    <cellStyle name="Nota 2 3 3 2 3" xfId="12441" xr:uid="{00000000-0005-0000-0000-0000BB1A0000}"/>
    <cellStyle name="Nota 2 3 3 2 3 2" xfId="15405" xr:uid="{00000000-0005-0000-0000-0000BC1A0000}"/>
    <cellStyle name="Nota 2 3 3 2 4" xfId="12530" xr:uid="{00000000-0005-0000-0000-0000BD1A0000}"/>
    <cellStyle name="Nota 2 3 3 2 5" xfId="14562" xr:uid="{00000000-0005-0000-0000-0000BE1A0000}"/>
    <cellStyle name="Nota 2 3 3 2 6" xfId="14224" xr:uid="{00000000-0005-0000-0000-0000BF1A0000}"/>
    <cellStyle name="Nota 2 3 3 3" xfId="12237" xr:uid="{00000000-0005-0000-0000-0000C01A0000}"/>
    <cellStyle name="Nota 2 3 3 3 2" xfId="15311" xr:uid="{00000000-0005-0000-0000-0000C11A0000}"/>
    <cellStyle name="Nota 2 3 3 4" xfId="12537" xr:uid="{00000000-0005-0000-0000-0000C21A0000}"/>
    <cellStyle name="Nota 2 3 3 4 2" xfId="15425" xr:uid="{00000000-0005-0000-0000-0000C31A0000}"/>
    <cellStyle name="Nota 2 3 3 5" xfId="12974" xr:uid="{00000000-0005-0000-0000-0000C41A0000}"/>
    <cellStyle name="Nota 2 3 3 6" xfId="14462" xr:uid="{00000000-0005-0000-0000-0000C51A0000}"/>
    <cellStyle name="Nota 2 3 3 7" xfId="13961" xr:uid="{00000000-0005-0000-0000-0000C61A0000}"/>
    <cellStyle name="Nota 2 3 4" xfId="7101" xr:uid="{00000000-0005-0000-0000-0000C71A0000}"/>
    <cellStyle name="Nota 2 3 4 2" xfId="8908" xr:uid="{00000000-0005-0000-0000-0000C81A0000}"/>
    <cellStyle name="Nota 2 3 4 2 2" xfId="12769" xr:uid="{00000000-0005-0000-0000-0000C91A0000}"/>
    <cellStyle name="Nota 2 3 4 2 2 2" xfId="15619" xr:uid="{00000000-0005-0000-0000-0000CA1A0000}"/>
    <cellStyle name="Nota 2 3 4 2 3" xfId="11320" xr:uid="{00000000-0005-0000-0000-0000CB1A0000}"/>
    <cellStyle name="Nota 2 3 4 2 3 2" xfId="14985" xr:uid="{00000000-0005-0000-0000-0000CC1A0000}"/>
    <cellStyle name="Nota 2 3 4 2 4" xfId="11496" xr:uid="{00000000-0005-0000-0000-0000CD1A0000}"/>
    <cellStyle name="Nota 2 3 4 2 5" xfId="14583" xr:uid="{00000000-0005-0000-0000-0000CE1A0000}"/>
    <cellStyle name="Nota 2 3 4 2 6" xfId="14244" xr:uid="{00000000-0005-0000-0000-0000CF1A0000}"/>
    <cellStyle name="Nota 2 3 4 3" xfId="12255" xr:uid="{00000000-0005-0000-0000-0000D01A0000}"/>
    <cellStyle name="Nota 2 3 4 3 2" xfId="15329" xr:uid="{00000000-0005-0000-0000-0000D11A0000}"/>
    <cellStyle name="Nota 2 3 4 4" xfId="11422" xr:uid="{00000000-0005-0000-0000-0000D21A0000}"/>
    <cellStyle name="Nota 2 3 4 4 2" xfId="15013" xr:uid="{00000000-0005-0000-0000-0000D31A0000}"/>
    <cellStyle name="Nota 2 3 4 5" xfId="12873" xr:uid="{00000000-0005-0000-0000-0000D41A0000}"/>
    <cellStyle name="Nota 2 3 4 6" xfId="14305" xr:uid="{00000000-0005-0000-0000-0000D51A0000}"/>
    <cellStyle name="Nota 2 3 4 7" xfId="13981" xr:uid="{00000000-0005-0000-0000-0000D61A0000}"/>
    <cellStyle name="Nota 2 3 5" xfId="7108" xr:uid="{00000000-0005-0000-0000-0000D71A0000}"/>
    <cellStyle name="Nota 2 3 5 2" xfId="8915" xr:uid="{00000000-0005-0000-0000-0000D81A0000}"/>
    <cellStyle name="Nota 2 3 5 2 2" xfId="12775" xr:uid="{00000000-0005-0000-0000-0000D91A0000}"/>
    <cellStyle name="Nota 2 3 5 2 2 2" xfId="15625" xr:uid="{00000000-0005-0000-0000-0000DA1A0000}"/>
    <cellStyle name="Nota 2 3 5 2 3" xfId="12438" xr:uid="{00000000-0005-0000-0000-0000DB1A0000}"/>
    <cellStyle name="Nota 2 3 5 2 3 2" xfId="15402" xr:uid="{00000000-0005-0000-0000-0000DC1A0000}"/>
    <cellStyle name="Nota 2 3 5 2 4" xfId="11664" xr:uid="{00000000-0005-0000-0000-0000DD1A0000}"/>
    <cellStyle name="Nota 2 3 5 2 5" xfId="14697" xr:uid="{00000000-0005-0000-0000-0000DE1A0000}"/>
    <cellStyle name="Nota 2 3 5 2 6" xfId="14251" xr:uid="{00000000-0005-0000-0000-0000DF1A0000}"/>
    <cellStyle name="Nota 2 3 5 3" xfId="12261" xr:uid="{00000000-0005-0000-0000-0000E01A0000}"/>
    <cellStyle name="Nota 2 3 5 3 2" xfId="15335" xr:uid="{00000000-0005-0000-0000-0000E11A0000}"/>
    <cellStyle name="Nota 2 3 5 4" xfId="12910" xr:uid="{00000000-0005-0000-0000-0000E21A0000}"/>
    <cellStyle name="Nota 2 3 5 4 2" xfId="15696" xr:uid="{00000000-0005-0000-0000-0000E31A0000}"/>
    <cellStyle name="Nota 2 3 5 5" xfId="11237" xr:uid="{00000000-0005-0000-0000-0000E41A0000}"/>
    <cellStyle name="Nota 2 3 5 6" xfId="14727" xr:uid="{00000000-0005-0000-0000-0000E51A0000}"/>
    <cellStyle name="Nota 2 3 5 7" xfId="13988" xr:uid="{00000000-0005-0000-0000-0000E61A0000}"/>
    <cellStyle name="Nota 2 3 6" xfId="7126" xr:uid="{00000000-0005-0000-0000-0000E71A0000}"/>
    <cellStyle name="Nota 2 3 6 2" xfId="8933" xr:uid="{00000000-0005-0000-0000-0000E81A0000}"/>
    <cellStyle name="Nota 2 3 6 2 2" xfId="12791" xr:uid="{00000000-0005-0000-0000-0000E91A0000}"/>
    <cellStyle name="Nota 2 3 6 2 2 2" xfId="15640" xr:uid="{00000000-0005-0000-0000-0000EA1A0000}"/>
    <cellStyle name="Nota 2 3 6 2 3" xfId="11316" xr:uid="{00000000-0005-0000-0000-0000EB1A0000}"/>
    <cellStyle name="Nota 2 3 6 2 3 2" xfId="14981" xr:uid="{00000000-0005-0000-0000-0000EC1A0000}"/>
    <cellStyle name="Nota 2 3 6 2 4" xfId="11687" xr:uid="{00000000-0005-0000-0000-0000ED1A0000}"/>
    <cellStyle name="Nota 2 3 6 2 5" xfId="14808" xr:uid="{00000000-0005-0000-0000-0000EE1A0000}"/>
    <cellStyle name="Nota 2 3 6 2 6" xfId="14269" xr:uid="{00000000-0005-0000-0000-0000EF1A0000}"/>
    <cellStyle name="Nota 2 3 6 3" xfId="12277" xr:uid="{00000000-0005-0000-0000-0000F01A0000}"/>
    <cellStyle name="Nota 2 3 6 3 2" xfId="15350" xr:uid="{00000000-0005-0000-0000-0000F11A0000}"/>
    <cellStyle name="Nota 2 3 6 4" xfId="11420" xr:uid="{00000000-0005-0000-0000-0000F21A0000}"/>
    <cellStyle name="Nota 2 3 6 4 2" xfId="15011" xr:uid="{00000000-0005-0000-0000-0000F31A0000}"/>
    <cellStyle name="Nota 2 3 6 5" xfId="11504" xr:uid="{00000000-0005-0000-0000-0000F41A0000}"/>
    <cellStyle name="Nota 2 3 6 6" xfId="14444" xr:uid="{00000000-0005-0000-0000-0000F51A0000}"/>
    <cellStyle name="Nota 2 3 6 7" xfId="14006" xr:uid="{00000000-0005-0000-0000-0000F61A0000}"/>
    <cellStyle name="Nota 2 3 7" xfId="7148" xr:uid="{00000000-0005-0000-0000-0000F71A0000}"/>
    <cellStyle name="Nota 2 3 7 2" xfId="8955" xr:uid="{00000000-0005-0000-0000-0000F81A0000}"/>
    <cellStyle name="Nota 2 3 7 2 2" xfId="12811" xr:uid="{00000000-0005-0000-0000-0000F91A0000}"/>
    <cellStyle name="Nota 2 3 7 2 2 2" xfId="15659" xr:uid="{00000000-0005-0000-0000-0000FA1A0000}"/>
    <cellStyle name="Nota 2 3 7 2 3" xfId="12434" xr:uid="{00000000-0005-0000-0000-0000FB1A0000}"/>
    <cellStyle name="Nota 2 3 7 2 3 2" xfId="15398" xr:uid="{00000000-0005-0000-0000-0000FC1A0000}"/>
    <cellStyle name="Nota 2 3 7 2 4" xfId="11442" xr:uid="{00000000-0005-0000-0000-0000FD1A0000}"/>
    <cellStyle name="Nota 2 3 7 2 5" xfId="14666" xr:uid="{00000000-0005-0000-0000-0000FE1A0000}"/>
    <cellStyle name="Nota 2 3 7 2 6" xfId="14291" xr:uid="{00000000-0005-0000-0000-0000FF1A0000}"/>
    <cellStyle name="Nota 2 3 7 3" xfId="12297" xr:uid="{00000000-0005-0000-0000-0000001B0000}"/>
    <cellStyle name="Nota 2 3 7 3 2" xfId="15369" xr:uid="{00000000-0005-0000-0000-0000011B0000}"/>
    <cellStyle name="Nota 2 3 7 4" xfId="12817" xr:uid="{00000000-0005-0000-0000-0000021B0000}"/>
    <cellStyle name="Nota 2 3 7 4 2" xfId="15665" xr:uid="{00000000-0005-0000-0000-0000031B0000}"/>
    <cellStyle name="Nota 2 3 7 5" xfId="11845" xr:uid="{00000000-0005-0000-0000-0000041B0000}"/>
    <cellStyle name="Nota 2 3 7 6" xfId="14572" xr:uid="{00000000-0005-0000-0000-0000051B0000}"/>
    <cellStyle name="Nota 2 3 7 7" xfId="14028" xr:uid="{00000000-0005-0000-0000-0000061B0000}"/>
    <cellStyle name="Nota 2 3 8" xfId="6880" xr:uid="{00000000-0005-0000-0000-0000071B0000}"/>
    <cellStyle name="Nota 2 3 8 2" xfId="12049" xr:uid="{00000000-0005-0000-0000-0000081B0000}"/>
    <cellStyle name="Nota 2 3 8 2 2" xfId="15134" xr:uid="{00000000-0005-0000-0000-0000091B0000}"/>
    <cellStyle name="Nota 2 3 8 3" xfId="13078" xr:uid="{00000000-0005-0000-0000-00000A1B0000}"/>
    <cellStyle name="Nota 2 3 8 3 2" xfId="15746" xr:uid="{00000000-0005-0000-0000-00000B1B0000}"/>
    <cellStyle name="Nota 2 3 8 4" xfId="11206" xr:uid="{00000000-0005-0000-0000-00000C1B0000}"/>
    <cellStyle name="Nota 2 3 8 5" xfId="14416" xr:uid="{00000000-0005-0000-0000-00000D1B0000}"/>
    <cellStyle name="Nota 2 3 8 6" xfId="13767" xr:uid="{00000000-0005-0000-0000-00000E1B0000}"/>
    <cellStyle name="Nota 2 3 9" xfId="11812" xr:uid="{00000000-0005-0000-0000-00000F1B0000}"/>
    <cellStyle name="Nota 2 3 9 2" xfId="15091" xr:uid="{00000000-0005-0000-0000-0000101B0000}"/>
    <cellStyle name="Nota 2 4" xfId="6897" xr:uid="{00000000-0005-0000-0000-0000111B0000}"/>
    <cellStyle name="Nota 2 4 2" xfId="8734" xr:uid="{00000000-0005-0000-0000-0000121B0000}"/>
    <cellStyle name="Nota 2 4 2 2" xfId="12606" xr:uid="{00000000-0005-0000-0000-0000131B0000}"/>
    <cellStyle name="Nota 2 4 2 2 2" xfId="15463" xr:uid="{00000000-0005-0000-0000-0000141B0000}"/>
    <cellStyle name="Nota 2 4 2 3" xfId="12933" xr:uid="{00000000-0005-0000-0000-0000151B0000}"/>
    <cellStyle name="Nota 2 4 2 3 2" xfId="15702" xr:uid="{00000000-0005-0000-0000-0000161B0000}"/>
    <cellStyle name="Nota 2 4 2 4" xfId="12005" xr:uid="{00000000-0005-0000-0000-0000171B0000}"/>
    <cellStyle name="Nota 2 4 2 5" xfId="14809" xr:uid="{00000000-0005-0000-0000-0000181B0000}"/>
    <cellStyle name="Nota 2 4 2 6" xfId="14070" xr:uid="{00000000-0005-0000-0000-0000191B0000}"/>
    <cellStyle name="Nota 2 4 3" xfId="12064" xr:uid="{00000000-0005-0000-0000-00001A1B0000}"/>
    <cellStyle name="Nota 2 4 3 2" xfId="15145" xr:uid="{00000000-0005-0000-0000-00001B1B0000}"/>
    <cellStyle name="Nota 2 4 4" xfId="13077" xr:uid="{00000000-0005-0000-0000-00001C1B0000}"/>
    <cellStyle name="Nota 2 4 4 2" xfId="15745" xr:uid="{00000000-0005-0000-0000-00001D1B0000}"/>
    <cellStyle name="Nota 2 4 5" xfId="11832" xr:uid="{00000000-0005-0000-0000-00001E1B0000}"/>
    <cellStyle name="Nota 2 4 6" xfId="14549" xr:uid="{00000000-0005-0000-0000-00001F1B0000}"/>
    <cellStyle name="Nota 2 4 7" xfId="13391" xr:uid="{00000000-0005-0000-0000-0000201B0000}"/>
    <cellStyle name="Nota 2 5" xfId="6902" xr:uid="{00000000-0005-0000-0000-0000211B0000}"/>
    <cellStyle name="Nota 2 5 2" xfId="8739" xr:uid="{00000000-0005-0000-0000-0000221B0000}"/>
    <cellStyle name="Nota 2 5 2 2" xfId="12611" xr:uid="{00000000-0005-0000-0000-0000231B0000}"/>
    <cellStyle name="Nota 2 5 2 2 2" xfId="15468" xr:uid="{00000000-0005-0000-0000-0000241B0000}"/>
    <cellStyle name="Nota 2 5 2 3" xfId="13042" xr:uid="{00000000-0005-0000-0000-0000251B0000}"/>
    <cellStyle name="Nota 2 5 2 3 2" xfId="15718" xr:uid="{00000000-0005-0000-0000-0000261B0000}"/>
    <cellStyle name="Nota 2 5 2 4" xfId="13056" xr:uid="{00000000-0005-0000-0000-0000271B0000}"/>
    <cellStyle name="Nota 2 5 2 5" xfId="14622" xr:uid="{00000000-0005-0000-0000-0000281B0000}"/>
    <cellStyle name="Nota 2 5 2 6" xfId="14075" xr:uid="{00000000-0005-0000-0000-0000291B0000}"/>
    <cellStyle name="Nota 2 5 3" xfId="12069" xr:uid="{00000000-0005-0000-0000-00002A1B0000}"/>
    <cellStyle name="Nota 2 5 3 2" xfId="15149" xr:uid="{00000000-0005-0000-0000-00002B1B0000}"/>
    <cellStyle name="Nota 2 5 4" xfId="13149" xr:uid="{00000000-0005-0000-0000-00002C1B0000}"/>
    <cellStyle name="Nota 2 5 4 2" xfId="15758" xr:uid="{00000000-0005-0000-0000-00002D1B0000}"/>
    <cellStyle name="Nota 2 5 5" xfId="11895" xr:uid="{00000000-0005-0000-0000-00002E1B0000}"/>
    <cellStyle name="Nota 2 5 6" xfId="14409" xr:uid="{00000000-0005-0000-0000-00002F1B0000}"/>
    <cellStyle name="Nota 2 5 7" xfId="13392" xr:uid="{00000000-0005-0000-0000-0000301B0000}"/>
    <cellStyle name="Nota 2 6" xfId="6953" xr:uid="{00000000-0005-0000-0000-0000311B0000}"/>
    <cellStyle name="Nota 2 6 2" xfId="8782" xr:uid="{00000000-0005-0000-0000-0000321B0000}"/>
    <cellStyle name="Nota 2 6 2 2" xfId="12651" xr:uid="{00000000-0005-0000-0000-0000331B0000}"/>
    <cellStyle name="Nota 2 6 2 2 2" xfId="15507" xr:uid="{00000000-0005-0000-0000-0000341B0000}"/>
    <cellStyle name="Nota 2 6 2 3" xfId="11335" xr:uid="{00000000-0005-0000-0000-0000351B0000}"/>
    <cellStyle name="Nota 2 6 2 3 2" xfId="15000" xr:uid="{00000000-0005-0000-0000-0000361B0000}"/>
    <cellStyle name="Nota 2 6 2 4" xfId="12516" xr:uid="{00000000-0005-0000-0000-0000371B0000}"/>
    <cellStyle name="Nota 2 6 2 5" xfId="14661" xr:uid="{00000000-0005-0000-0000-0000381B0000}"/>
    <cellStyle name="Nota 2 6 2 6" xfId="14118" xr:uid="{00000000-0005-0000-0000-0000391B0000}"/>
    <cellStyle name="Nota 2 6 3" xfId="12116" xr:uid="{00000000-0005-0000-0000-00003A1B0000}"/>
    <cellStyle name="Nota 2 6 3 2" xfId="15196" xr:uid="{00000000-0005-0000-0000-00003B1B0000}"/>
    <cellStyle name="Nota 2 6 4" xfId="13070" xr:uid="{00000000-0005-0000-0000-00003C1B0000}"/>
    <cellStyle name="Nota 2 6 4 2" xfId="15738" xr:uid="{00000000-0005-0000-0000-00003D1B0000}"/>
    <cellStyle name="Nota 2 6 5" xfId="11736" xr:uid="{00000000-0005-0000-0000-00003E1B0000}"/>
    <cellStyle name="Nota 2 6 6" xfId="14375" xr:uid="{00000000-0005-0000-0000-00003F1B0000}"/>
    <cellStyle name="Nota 2 6 7" xfId="13393" xr:uid="{00000000-0005-0000-0000-0000401B0000}"/>
    <cellStyle name="Nota 2 7" xfId="6932" xr:uid="{00000000-0005-0000-0000-0000411B0000}"/>
    <cellStyle name="Nota 2 7 2" xfId="8763" xr:uid="{00000000-0005-0000-0000-0000421B0000}"/>
    <cellStyle name="Nota 2 7 2 2" xfId="12633" xr:uid="{00000000-0005-0000-0000-0000431B0000}"/>
    <cellStyle name="Nota 2 7 2 2 2" xfId="15489" xr:uid="{00000000-0005-0000-0000-0000441B0000}"/>
    <cellStyle name="Nota 2 7 2 3" xfId="10973" xr:uid="{00000000-0005-0000-0000-0000451B0000}"/>
    <cellStyle name="Nota 2 7 2 3 2" xfId="14922" xr:uid="{00000000-0005-0000-0000-0000461B0000}"/>
    <cellStyle name="Nota 2 7 2 4" xfId="12386" xr:uid="{00000000-0005-0000-0000-0000471B0000}"/>
    <cellStyle name="Nota 2 7 2 5" xfId="14849" xr:uid="{00000000-0005-0000-0000-0000481B0000}"/>
    <cellStyle name="Nota 2 7 2 6" xfId="14099" xr:uid="{00000000-0005-0000-0000-0000491B0000}"/>
    <cellStyle name="Nota 2 7 3" xfId="12096" xr:uid="{00000000-0005-0000-0000-00004A1B0000}"/>
    <cellStyle name="Nota 2 7 3 2" xfId="15176" xr:uid="{00000000-0005-0000-0000-00004B1B0000}"/>
    <cellStyle name="Nota 2 7 4" xfId="13072" xr:uid="{00000000-0005-0000-0000-00004C1B0000}"/>
    <cellStyle name="Nota 2 7 4 2" xfId="15740" xr:uid="{00000000-0005-0000-0000-00004D1B0000}"/>
    <cellStyle name="Nota 2 7 5" xfId="11970" xr:uid="{00000000-0005-0000-0000-00004E1B0000}"/>
    <cellStyle name="Nota 2 7 6" xfId="14524" xr:uid="{00000000-0005-0000-0000-00004F1B0000}"/>
    <cellStyle name="Nota 2 7 7" xfId="13394" xr:uid="{00000000-0005-0000-0000-0000501B0000}"/>
    <cellStyle name="Nota 2 8" xfId="6952" xr:uid="{00000000-0005-0000-0000-0000511B0000}"/>
    <cellStyle name="Nota 2 8 2" xfId="8781" xr:uid="{00000000-0005-0000-0000-0000521B0000}"/>
    <cellStyle name="Nota 2 8 2 2" xfId="12650" xr:uid="{00000000-0005-0000-0000-0000531B0000}"/>
    <cellStyle name="Nota 2 8 2 2 2" xfId="15506" xr:uid="{00000000-0005-0000-0000-0000541B0000}"/>
    <cellStyle name="Nota 2 8 2 3" xfId="11080" xr:uid="{00000000-0005-0000-0000-0000551B0000}"/>
    <cellStyle name="Nota 2 8 2 3 2" xfId="14945" xr:uid="{00000000-0005-0000-0000-0000561B0000}"/>
    <cellStyle name="Nota 2 8 2 4" xfId="12001" xr:uid="{00000000-0005-0000-0000-0000571B0000}"/>
    <cellStyle name="Nota 2 8 2 5" xfId="14629" xr:uid="{00000000-0005-0000-0000-0000581B0000}"/>
    <cellStyle name="Nota 2 8 2 6" xfId="14117" xr:uid="{00000000-0005-0000-0000-0000591B0000}"/>
    <cellStyle name="Nota 2 8 3" xfId="12115" xr:uid="{00000000-0005-0000-0000-00005A1B0000}"/>
    <cellStyle name="Nota 2 8 3 2" xfId="15195" xr:uid="{00000000-0005-0000-0000-00005B1B0000}"/>
    <cellStyle name="Nota 2 8 4" xfId="13069" xr:uid="{00000000-0005-0000-0000-00005C1B0000}"/>
    <cellStyle name="Nota 2 8 4 2" xfId="15737" xr:uid="{00000000-0005-0000-0000-00005D1B0000}"/>
    <cellStyle name="Nota 2 8 5" xfId="12845" xr:uid="{00000000-0005-0000-0000-00005E1B0000}"/>
    <cellStyle name="Nota 2 8 6" xfId="14519" xr:uid="{00000000-0005-0000-0000-00005F1B0000}"/>
    <cellStyle name="Nota 2 8 7" xfId="13395" xr:uid="{00000000-0005-0000-0000-0000601B0000}"/>
    <cellStyle name="Nota 2 9" xfId="6911" xr:uid="{00000000-0005-0000-0000-0000611B0000}"/>
    <cellStyle name="Nota 2 9 2" xfId="8745" xr:uid="{00000000-0005-0000-0000-0000621B0000}"/>
    <cellStyle name="Nota 2 9 2 2" xfId="12616" xr:uid="{00000000-0005-0000-0000-0000631B0000}"/>
    <cellStyle name="Nota 2 9 2 2 2" xfId="15473" xr:uid="{00000000-0005-0000-0000-0000641B0000}"/>
    <cellStyle name="Nota 2 9 2 3" xfId="12867" xr:uid="{00000000-0005-0000-0000-0000651B0000}"/>
    <cellStyle name="Nota 2 9 2 3 2" xfId="15686" xr:uid="{00000000-0005-0000-0000-0000661B0000}"/>
    <cellStyle name="Nota 2 9 2 4" xfId="13217" xr:uid="{00000000-0005-0000-0000-0000671B0000}"/>
    <cellStyle name="Nota 2 9 2 5" xfId="14872" xr:uid="{00000000-0005-0000-0000-0000681B0000}"/>
    <cellStyle name="Nota 2 9 2 6" xfId="14081" xr:uid="{00000000-0005-0000-0000-0000691B0000}"/>
    <cellStyle name="Nota 2 9 3" xfId="12077" xr:uid="{00000000-0005-0000-0000-00006A1B0000}"/>
    <cellStyle name="Nota 2 9 3 2" xfId="15157" xr:uid="{00000000-0005-0000-0000-00006B1B0000}"/>
    <cellStyle name="Nota 2 9 4" xfId="13163" xr:uid="{00000000-0005-0000-0000-00006C1B0000}"/>
    <cellStyle name="Nota 2 9 4 2" xfId="15763" xr:uid="{00000000-0005-0000-0000-00006D1B0000}"/>
    <cellStyle name="Nota 2 9 5" xfId="11634" xr:uid="{00000000-0005-0000-0000-00006E1B0000}"/>
    <cellStyle name="Nota 2 9 6" xfId="14548" xr:uid="{00000000-0005-0000-0000-00006F1B0000}"/>
    <cellStyle name="Nota 2 9 7" xfId="13796" xr:uid="{00000000-0005-0000-0000-0000701B0000}"/>
    <cellStyle name="Nota 3" xfId="989" xr:uid="{00000000-0005-0000-0000-0000711B0000}"/>
    <cellStyle name="Nota 3 10" xfId="6874" xr:uid="{00000000-0005-0000-0000-0000721B0000}"/>
    <cellStyle name="Nota 3 10 2" xfId="12043" xr:uid="{00000000-0005-0000-0000-0000731B0000}"/>
    <cellStyle name="Nota 3 10 2 2" xfId="15128" xr:uid="{00000000-0005-0000-0000-0000741B0000}"/>
    <cellStyle name="Nota 3 10 3" xfId="11054" xr:uid="{00000000-0005-0000-0000-0000751B0000}"/>
    <cellStyle name="Nota 3 10 3 2" xfId="14935" xr:uid="{00000000-0005-0000-0000-0000761B0000}"/>
    <cellStyle name="Nota 3 10 4" xfId="11148" xr:uid="{00000000-0005-0000-0000-0000771B0000}"/>
    <cellStyle name="Nota 3 10 5" xfId="14346" xr:uid="{00000000-0005-0000-0000-0000781B0000}"/>
    <cellStyle name="Nota 3 10 6" xfId="13761" xr:uid="{00000000-0005-0000-0000-0000791B0000}"/>
    <cellStyle name="Nota 3 11" xfId="13196" xr:uid="{00000000-0005-0000-0000-00007A1B0000}"/>
    <cellStyle name="Nota 3 11 2" xfId="13348" xr:uid="{00000000-0005-0000-0000-00007B1B0000}"/>
    <cellStyle name="Nota 3 11 2 2" xfId="15806" xr:uid="{00000000-0005-0000-0000-00007C1B0000}"/>
    <cellStyle name="Nota 3 11 3" xfId="15784" xr:uid="{00000000-0005-0000-0000-00007D1B0000}"/>
    <cellStyle name="Nota 3 12" xfId="11170" xr:uid="{00000000-0005-0000-0000-00007E1B0000}"/>
    <cellStyle name="Nota 3 12 2" xfId="14955" xr:uid="{00000000-0005-0000-0000-00007F1B0000}"/>
    <cellStyle name="Nota 3 13" xfId="11653" xr:uid="{00000000-0005-0000-0000-0000801B0000}"/>
    <cellStyle name="Nota 3 13 2" xfId="15060" xr:uid="{00000000-0005-0000-0000-0000811B0000}"/>
    <cellStyle name="Nota 3 14" xfId="12890" xr:uid="{00000000-0005-0000-0000-0000821B0000}"/>
    <cellStyle name="Nota 3 15" xfId="14576" xr:uid="{00000000-0005-0000-0000-0000831B0000}"/>
    <cellStyle name="Nota 3 16" xfId="13377" xr:uid="{00000000-0005-0000-0000-0000841B0000}"/>
    <cellStyle name="Nota 3 17" xfId="15981" xr:uid="{00000000-0005-0000-0000-0000851B0000}"/>
    <cellStyle name="Nota 3 2" xfId="990" xr:uid="{00000000-0005-0000-0000-0000861B0000}"/>
    <cellStyle name="Nota 3 2 10" xfId="13197" xr:uid="{00000000-0005-0000-0000-0000871B0000}"/>
    <cellStyle name="Nota 3 2 10 2" xfId="13349" xr:uid="{00000000-0005-0000-0000-0000881B0000}"/>
    <cellStyle name="Nota 3 2 10 2 2" xfId="15807" xr:uid="{00000000-0005-0000-0000-0000891B0000}"/>
    <cellStyle name="Nota 3 2 10 3" xfId="15785" xr:uid="{00000000-0005-0000-0000-00008A1B0000}"/>
    <cellStyle name="Nota 3 2 11" xfId="11171" xr:uid="{00000000-0005-0000-0000-00008B1B0000}"/>
    <cellStyle name="Nota 3 2 11 2" xfId="14956" xr:uid="{00000000-0005-0000-0000-00008C1B0000}"/>
    <cellStyle name="Nota 3 2 12" xfId="11481" xr:uid="{00000000-0005-0000-0000-00008D1B0000}"/>
    <cellStyle name="Nota 3 2 12 2" xfId="15033" xr:uid="{00000000-0005-0000-0000-00008E1B0000}"/>
    <cellStyle name="Nota 3 2 13" xfId="11437" xr:uid="{00000000-0005-0000-0000-00008F1B0000}"/>
    <cellStyle name="Nota 3 2 14" xfId="14396" xr:uid="{00000000-0005-0000-0000-0000901B0000}"/>
    <cellStyle name="Nota 3 2 15" xfId="13378" xr:uid="{00000000-0005-0000-0000-0000911B0000}"/>
    <cellStyle name="Nota 3 2 16" xfId="15982" xr:uid="{00000000-0005-0000-0000-0000921B0000}"/>
    <cellStyle name="Nota 3 2 2" xfId="4984" xr:uid="{00000000-0005-0000-0000-0000931B0000}"/>
    <cellStyle name="Nota 3 2 2 10" xfId="11434" xr:uid="{00000000-0005-0000-0000-0000941B0000}"/>
    <cellStyle name="Nota 3 2 2 10 2" xfId="15023" xr:uid="{00000000-0005-0000-0000-0000951B0000}"/>
    <cellStyle name="Nota 3 2 2 11" xfId="12901" xr:uid="{00000000-0005-0000-0000-0000961B0000}"/>
    <cellStyle name="Nota 3 2 2 12" xfId="14584" xr:uid="{00000000-0005-0000-0000-0000971B0000}"/>
    <cellStyle name="Nota 3 2 2 13" xfId="13739" xr:uid="{00000000-0005-0000-0000-0000981B0000}"/>
    <cellStyle name="Nota 3 2 2 14" xfId="18019" xr:uid="{00000000-0005-0000-0000-0000991B0000}"/>
    <cellStyle name="Nota 3 2 2 2" xfId="7069" xr:uid="{00000000-0005-0000-0000-00009A1B0000}"/>
    <cellStyle name="Nota 3 2 2 2 2" xfId="8877" xr:uid="{00000000-0005-0000-0000-00009B1B0000}"/>
    <cellStyle name="Nota 3 2 2 2 2 2" xfId="12741" xr:uid="{00000000-0005-0000-0000-00009C1B0000}"/>
    <cellStyle name="Nota 3 2 2 2 2 2 2" xfId="15591" xr:uid="{00000000-0005-0000-0000-00009D1B0000}"/>
    <cellStyle name="Nota 3 2 2 2 2 3" xfId="12442" xr:uid="{00000000-0005-0000-0000-00009E1B0000}"/>
    <cellStyle name="Nota 3 2 2 2 2 3 2" xfId="15406" xr:uid="{00000000-0005-0000-0000-00009F1B0000}"/>
    <cellStyle name="Nota 3 2 2 2 2 4" xfId="12009" xr:uid="{00000000-0005-0000-0000-0000A01B0000}"/>
    <cellStyle name="Nota 3 2 2 2 2 5" xfId="14880" xr:uid="{00000000-0005-0000-0000-0000A11B0000}"/>
    <cellStyle name="Nota 3 2 2 2 2 6" xfId="14213" xr:uid="{00000000-0005-0000-0000-0000A21B0000}"/>
    <cellStyle name="Nota 3 2 2 2 3" xfId="12226" xr:uid="{00000000-0005-0000-0000-0000A31B0000}"/>
    <cellStyle name="Nota 3 2 2 2 3 2" xfId="15300" xr:uid="{00000000-0005-0000-0000-0000A41B0000}"/>
    <cellStyle name="Nota 3 2 2 2 4" xfId="12841" xr:uid="{00000000-0005-0000-0000-0000A51B0000}"/>
    <cellStyle name="Nota 3 2 2 2 4 2" xfId="15679" xr:uid="{00000000-0005-0000-0000-0000A61B0000}"/>
    <cellStyle name="Nota 3 2 2 2 5" xfId="13263" xr:uid="{00000000-0005-0000-0000-0000A71B0000}"/>
    <cellStyle name="Nota 3 2 2 2 6" xfId="14738" xr:uid="{00000000-0005-0000-0000-0000A81B0000}"/>
    <cellStyle name="Nota 3 2 2 2 7" xfId="13949" xr:uid="{00000000-0005-0000-0000-0000A91B0000}"/>
    <cellStyle name="Nota 3 2 2 3" xfId="7082" xr:uid="{00000000-0005-0000-0000-0000AA1B0000}"/>
    <cellStyle name="Nota 3 2 2 3 2" xfId="8889" xr:uid="{00000000-0005-0000-0000-0000AB1B0000}"/>
    <cellStyle name="Nota 3 2 2 3 2 2" xfId="12752" xr:uid="{00000000-0005-0000-0000-0000AC1B0000}"/>
    <cellStyle name="Nota 3 2 2 3 2 2 2" xfId="15602" xr:uid="{00000000-0005-0000-0000-0000AD1B0000}"/>
    <cellStyle name="Nota 3 2 2 3 2 3" xfId="11322" xr:uid="{00000000-0005-0000-0000-0000AE1B0000}"/>
    <cellStyle name="Nota 3 2 2 3 2 3 2" xfId="14987" xr:uid="{00000000-0005-0000-0000-0000AF1B0000}"/>
    <cellStyle name="Nota 3 2 2 3 2 4" xfId="12531" xr:uid="{00000000-0005-0000-0000-0000B01B0000}"/>
    <cellStyle name="Nota 3 2 2 3 2 5" xfId="14356" xr:uid="{00000000-0005-0000-0000-0000B11B0000}"/>
    <cellStyle name="Nota 3 2 2 3 2 6" xfId="14225" xr:uid="{00000000-0005-0000-0000-0000B21B0000}"/>
    <cellStyle name="Nota 3 2 2 3 3" xfId="12238" xr:uid="{00000000-0005-0000-0000-0000B31B0000}"/>
    <cellStyle name="Nota 3 2 2 3 3 2" xfId="15312" xr:uid="{00000000-0005-0000-0000-0000B41B0000}"/>
    <cellStyle name="Nota 3 2 2 3 4" xfId="11423" xr:uid="{00000000-0005-0000-0000-0000B51B0000}"/>
    <cellStyle name="Nota 3 2 2 3 4 2" xfId="15014" xr:uid="{00000000-0005-0000-0000-0000B61B0000}"/>
    <cellStyle name="Nota 3 2 2 3 5" xfId="11658" xr:uid="{00000000-0005-0000-0000-0000B71B0000}"/>
    <cellStyle name="Nota 3 2 2 3 6" xfId="14461" xr:uid="{00000000-0005-0000-0000-0000B81B0000}"/>
    <cellStyle name="Nota 3 2 2 3 7" xfId="13962" xr:uid="{00000000-0005-0000-0000-0000B91B0000}"/>
    <cellStyle name="Nota 3 2 2 4" xfId="7102" xr:uid="{00000000-0005-0000-0000-0000BA1B0000}"/>
    <cellStyle name="Nota 3 2 2 4 2" xfId="8909" xr:uid="{00000000-0005-0000-0000-0000BB1B0000}"/>
    <cellStyle name="Nota 3 2 2 4 2 2" xfId="12770" xr:uid="{00000000-0005-0000-0000-0000BC1B0000}"/>
    <cellStyle name="Nota 3 2 2 4 2 2 2" xfId="15620" xr:uid="{00000000-0005-0000-0000-0000BD1B0000}"/>
    <cellStyle name="Nota 3 2 2 4 2 3" xfId="11076" xr:uid="{00000000-0005-0000-0000-0000BE1B0000}"/>
    <cellStyle name="Nota 3 2 2 4 2 3 2" xfId="14941" xr:uid="{00000000-0005-0000-0000-0000BF1B0000}"/>
    <cellStyle name="Nota 3 2 2 4 2 4" xfId="11685" xr:uid="{00000000-0005-0000-0000-0000C01B0000}"/>
    <cellStyle name="Nota 3 2 2 4 2 5" xfId="14400" xr:uid="{00000000-0005-0000-0000-0000C11B0000}"/>
    <cellStyle name="Nota 3 2 2 4 2 6" xfId="14245" xr:uid="{00000000-0005-0000-0000-0000C21B0000}"/>
    <cellStyle name="Nota 3 2 2 4 3" xfId="12256" xr:uid="{00000000-0005-0000-0000-0000C31B0000}"/>
    <cellStyle name="Nota 3 2 2 4 3 2" xfId="15330" xr:uid="{00000000-0005-0000-0000-0000C41B0000}"/>
    <cellStyle name="Nota 3 2 2 4 4" xfId="13170" xr:uid="{00000000-0005-0000-0000-0000C51B0000}"/>
    <cellStyle name="Nota 3 2 2 4 4 2" xfId="15765" xr:uid="{00000000-0005-0000-0000-0000C61B0000}"/>
    <cellStyle name="Nota 3 2 2 4 5" xfId="11923" xr:uid="{00000000-0005-0000-0000-0000C71B0000}"/>
    <cellStyle name="Nota 3 2 2 4 6" xfId="14456" xr:uid="{00000000-0005-0000-0000-0000C81B0000}"/>
    <cellStyle name="Nota 3 2 2 4 7" xfId="13982" xr:uid="{00000000-0005-0000-0000-0000C91B0000}"/>
    <cellStyle name="Nota 3 2 2 5" xfId="6945" xr:uid="{00000000-0005-0000-0000-0000CA1B0000}"/>
    <cellStyle name="Nota 3 2 2 5 2" xfId="8775" xr:uid="{00000000-0005-0000-0000-0000CB1B0000}"/>
    <cellStyle name="Nota 3 2 2 5 2 2" xfId="12644" xr:uid="{00000000-0005-0000-0000-0000CC1B0000}"/>
    <cellStyle name="Nota 3 2 2 5 2 2 2" xfId="15500" xr:uid="{00000000-0005-0000-0000-0000CD1B0000}"/>
    <cellStyle name="Nota 3 2 2 5 2 3" xfId="11338" xr:uid="{00000000-0005-0000-0000-0000CE1B0000}"/>
    <cellStyle name="Nota 3 2 2 5 2 3 2" xfId="15003" xr:uid="{00000000-0005-0000-0000-0000CF1B0000}"/>
    <cellStyle name="Nota 3 2 2 5 2 4" xfId="12511" xr:uid="{00000000-0005-0000-0000-0000D01B0000}"/>
    <cellStyle name="Nota 3 2 2 5 2 5" xfId="14825" xr:uid="{00000000-0005-0000-0000-0000D11B0000}"/>
    <cellStyle name="Nota 3 2 2 5 2 6" xfId="14111" xr:uid="{00000000-0005-0000-0000-0000D21B0000}"/>
    <cellStyle name="Nota 3 2 2 5 3" xfId="12108" xr:uid="{00000000-0005-0000-0000-0000D31B0000}"/>
    <cellStyle name="Nota 3 2 2 5 3 2" xfId="15188" xr:uid="{00000000-0005-0000-0000-0000D41B0000}"/>
    <cellStyle name="Nota 3 2 2 5 4" xfId="12889" xr:uid="{00000000-0005-0000-0000-0000D51B0000}"/>
    <cellStyle name="Nota 3 2 2 5 4 2" xfId="15691" xr:uid="{00000000-0005-0000-0000-0000D61B0000}"/>
    <cellStyle name="Nota 3 2 2 5 5" xfId="11950" xr:uid="{00000000-0005-0000-0000-0000D71B0000}"/>
    <cellStyle name="Nota 3 2 2 5 6" xfId="14376" xr:uid="{00000000-0005-0000-0000-0000D81B0000}"/>
    <cellStyle name="Nota 3 2 2 5 7" xfId="13829" xr:uid="{00000000-0005-0000-0000-0000D91B0000}"/>
    <cellStyle name="Nota 3 2 2 6" xfId="7127" xr:uid="{00000000-0005-0000-0000-0000DA1B0000}"/>
    <cellStyle name="Nota 3 2 2 6 2" xfId="8934" xr:uid="{00000000-0005-0000-0000-0000DB1B0000}"/>
    <cellStyle name="Nota 3 2 2 6 2 2" xfId="12792" xr:uid="{00000000-0005-0000-0000-0000DC1B0000}"/>
    <cellStyle name="Nota 3 2 2 6 2 2 2" xfId="15641" xr:uid="{00000000-0005-0000-0000-0000DD1B0000}"/>
    <cellStyle name="Nota 3 2 2 6 2 3" xfId="11315" xr:uid="{00000000-0005-0000-0000-0000DE1B0000}"/>
    <cellStyle name="Nota 3 2 2 6 2 3 2" xfId="14980" xr:uid="{00000000-0005-0000-0000-0000DF1B0000}"/>
    <cellStyle name="Nota 3 2 2 6 2 4" xfId="11893" xr:uid="{00000000-0005-0000-0000-0000E01B0000}"/>
    <cellStyle name="Nota 3 2 2 6 2 5" xfId="14633" xr:uid="{00000000-0005-0000-0000-0000E11B0000}"/>
    <cellStyle name="Nota 3 2 2 6 2 6" xfId="14270" xr:uid="{00000000-0005-0000-0000-0000E21B0000}"/>
    <cellStyle name="Nota 3 2 2 6 3" xfId="12278" xr:uid="{00000000-0005-0000-0000-0000E31B0000}"/>
    <cellStyle name="Nota 3 2 2 6 3 2" xfId="15351" xr:uid="{00000000-0005-0000-0000-0000E41B0000}"/>
    <cellStyle name="Nota 3 2 2 6 4" xfId="10921" xr:uid="{00000000-0005-0000-0000-0000E51B0000}"/>
    <cellStyle name="Nota 3 2 2 6 4 2" xfId="14916" xr:uid="{00000000-0005-0000-0000-0000E61B0000}"/>
    <cellStyle name="Nota 3 2 2 6 5" xfId="10914" xr:uid="{00000000-0005-0000-0000-0000E71B0000}"/>
    <cellStyle name="Nota 3 2 2 6 6" xfId="14443" xr:uid="{00000000-0005-0000-0000-0000E81B0000}"/>
    <cellStyle name="Nota 3 2 2 6 7" xfId="14007" xr:uid="{00000000-0005-0000-0000-0000E91B0000}"/>
    <cellStyle name="Nota 3 2 2 7" xfId="7149" xr:uid="{00000000-0005-0000-0000-0000EA1B0000}"/>
    <cellStyle name="Nota 3 2 2 7 2" xfId="8956" xr:uid="{00000000-0005-0000-0000-0000EB1B0000}"/>
    <cellStyle name="Nota 3 2 2 7 2 2" xfId="12812" xr:uid="{00000000-0005-0000-0000-0000EC1B0000}"/>
    <cellStyle name="Nota 3 2 2 7 2 2 2" xfId="15660" xr:uid="{00000000-0005-0000-0000-0000ED1B0000}"/>
    <cellStyle name="Nota 3 2 2 7 2 3" xfId="12433" xr:uid="{00000000-0005-0000-0000-0000EE1B0000}"/>
    <cellStyle name="Nota 3 2 2 7 2 3 2" xfId="15397" xr:uid="{00000000-0005-0000-0000-0000EF1B0000}"/>
    <cellStyle name="Nota 3 2 2 7 2 4" xfId="11669" xr:uid="{00000000-0005-0000-0000-0000F01B0000}"/>
    <cellStyle name="Nota 3 2 2 7 2 5" xfId="14801" xr:uid="{00000000-0005-0000-0000-0000F11B0000}"/>
    <cellStyle name="Nota 3 2 2 7 2 6" xfId="14292" xr:uid="{00000000-0005-0000-0000-0000F21B0000}"/>
    <cellStyle name="Nota 3 2 2 7 3" xfId="12298" xr:uid="{00000000-0005-0000-0000-0000F31B0000}"/>
    <cellStyle name="Nota 3 2 2 7 3 2" xfId="15370" xr:uid="{00000000-0005-0000-0000-0000F41B0000}"/>
    <cellStyle name="Nota 3 2 2 7 4" xfId="12820" xr:uid="{00000000-0005-0000-0000-0000F51B0000}"/>
    <cellStyle name="Nota 3 2 2 7 4 2" xfId="15667" xr:uid="{00000000-0005-0000-0000-0000F61B0000}"/>
    <cellStyle name="Nota 3 2 2 7 5" xfId="12501" xr:uid="{00000000-0005-0000-0000-0000F71B0000}"/>
    <cellStyle name="Nota 3 2 2 7 6" xfId="14722" xr:uid="{00000000-0005-0000-0000-0000F81B0000}"/>
    <cellStyle name="Nota 3 2 2 7 7" xfId="14029" xr:uid="{00000000-0005-0000-0000-0000F91B0000}"/>
    <cellStyle name="Nota 3 2 2 8" xfId="6949" xr:uid="{00000000-0005-0000-0000-0000FA1B0000}"/>
    <cellStyle name="Nota 3 2 2 8 2" xfId="12112" xr:uid="{00000000-0005-0000-0000-0000FB1B0000}"/>
    <cellStyle name="Nota 3 2 2 8 2 2" xfId="15192" xr:uid="{00000000-0005-0000-0000-0000FC1B0000}"/>
    <cellStyle name="Nota 3 2 2 8 3" xfId="13068" xr:uid="{00000000-0005-0000-0000-0000FD1B0000}"/>
    <cellStyle name="Nota 3 2 2 8 3 2" xfId="15736" xr:uid="{00000000-0005-0000-0000-0000FE1B0000}"/>
    <cellStyle name="Nota 3 2 2 8 4" xfId="11875" xr:uid="{00000000-0005-0000-0000-0000FF1B0000}"/>
    <cellStyle name="Nota 3 2 2 8 5" xfId="14541" xr:uid="{00000000-0005-0000-0000-0000001C0000}"/>
    <cellStyle name="Nota 3 2 2 8 6" xfId="13833" xr:uid="{00000000-0005-0000-0000-0000011C0000}"/>
    <cellStyle name="Nota 3 2 2 9" xfId="11813" xr:uid="{00000000-0005-0000-0000-0000021C0000}"/>
    <cellStyle name="Nota 3 2 2 9 2" xfId="11394" xr:uid="{00000000-0005-0000-0000-0000031C0000}"/>
    <cellStyle name="Nota 3 2 3" xfId="6918" xr:uid="{00000000-0005-0000-0000-0000041C0000}"/>
    <cellStyle name="Nota 3 2 3 2" xfId="8751" xr:uid="{00000000-0005-0000-0000-0000051C0000}"/>
    <cellStyle name="Nota 3 2 3 2 2" xfId="12622" xr:uid="{00000000-0005-0000-0000-0000061C0000}"/>
    <cellStyle name="Nota 3 2 3 2 2 2" xfId="15478" xr:uid="{00000000-0005-0000-0000-0000071C0000}"/>
    <cellStyle name="Nota 3 2 3 2 3" xfId="13039" xr:uid="{00000000-0005-0000-0000-0000081C0000}"/>
    <cellStyle name="Nota 3 2 3 2 3 2" xfId="15715" xr:uid="{00000000-0005-0000-0000-0000091C0000}"/>
    <cellStyle name="Nota 3 2 3 2 4" xfId="13214" xr:uid="{00000000-0005-0000-0000-00000A1C0000}"/>
    <cellStyle name="Nota 3 2 3 2 5" xfId="14853" xr:uid="{00000000-0005-0000-0000-00000B1C0000}"/>
    <cellStyle name="Nota 3 2 3 2 6" xfId="14087" xr:uid="{00000000-0005-0000-0000-00000C1C0000}"/>
    <cellStyle name="Nota 3 2 3 3" xfId="12083" xr:uid="{00000000-0005-0000-0000-00000D1C0000}"/>
    <cellStyle name="Nota 3 2 3 3 2" xfId="15163" xr:uid="{00000000-0005-0000-0000-00000E1C0000}"/>
    <cellStyle name="Nota 3 2 3 4" xfId="12900" xr:uid="{00000000-0005-0000-0000-00000F1C0000}"/>
    <cellStyle name="Nota 3 2 3 4 2" xfId="15694" xr:uid="{00000000-0005-0000-0000-0000101C0000}"/>
    <cellStyle name="Nota 3 2 3 5" xfId="12835" xr:uid="{00000000-0005-0000-0000-0000111C0000}"/>
    <cellStyle name="Nota 3 2 3 6" xfId="14403" xr:uid="{00000000-0005-0000-0000-0000121C0000}"/>
    <cellStyle name="Nota 3 2 3 7" xfId="13803" xr:uid="{00000000-0005-0000-0000-0000131C0000}"/>
    <cellStyle name="Nota 3 2 4" xfId="6940" xr:uid="{00000000-0005-0000-0000-0000141C0000}"/>
    <cellStyle name="Nota 3 2 4 2" xfId="8771" xr:uid="{00000000-0005-0000-0000-0000151C0000}"/>
    <cellStyle name="Nota 3 2 4 2 2" xfId="12641" xr:uid="{00000000-0005-0000-0000-0000161C0000}"/>
    <cellStyle name="Nota 3 2 4 2 2 2" xfId="15497" xr:uid="{00000000-0005-0000-0000-0000171C0000}"/>
    <cellStyle name="Nota 3 2 4 2 3" xfId="12448" xr:uid="{00000000-0005-0000-0000-0000181C0000}"/>
    <cellStyle name="Nota 3 2 4 2 3 2" xfId="15412" xr:uid="{00000000-0005-0000-0000-0000191C0000}"/>
    <cellStyle name="Nota 3 2 4 2 4" xfId="11868" xr:uid="{00000000-0005-0000-0000-00001A1C0000}"/>
    <cellStyle name="Nota 3 2 4 2 5" xfId="14827" xr:uid="{00000000-0005-0000-0000-00001B1C0000}"/>
    <cellStyle name="Nota 3 2 4 2 6" xfId="14107" xr:uid="{00000000-0005-0000-0000-00001C1C0000}"/>
    <cellStyle name="Nota 3 2 4 3" xfId="12104" xr:uid="{00000000-0005-0000-0000-00001D1C0000}"/>
    <cellStyle name="Nota 3 2 4 3 2" xfId="15184" xr:uid="{00000000-0005-0000-0000-00001E1C0000}"/>
    <cellStyle name="Nota 3 2 4 4" xfId="13071" xr:uid="{00000000-0005-0000-0000-00001F1C0000}"/>
    <cellStyle name="Nota 3 2 4 4 2" xfId="15739" xr:uid="{00000000-0005-0000-0000-0000201C0000}"/>
    <cellStyle name="Nota 3 2 4 5" xfId="11650" xr:uid="{00000000-0005-0000-0000-0000211C0000}"/>
    <cellStyle name="Nota 3 2 4 6" xfId="14538" xr:uid="{00000000-0005-0000-0000-0000221C0000}"/>
    <cellStyle name="Nota 3 2 4 7" xfId="13824" xr:uid="{00000000-0005-0000-0000-0000231C0000}"/>
    <cellStyle name="Nota 3 2 5" xfId="6959" xr:uid="{00000000-0005-0000-0000-0000241C0000}"/>
    <cellStyle name="Nota 3 2 5 2" xfId="8788" xr:uid="{00000000-0005-0000-0000-0000251C0000}"/>
    <cellStyle name="Nota 3 2 5 2 2" xfId="12657" xr:uid="{00000000-0005-0000-0000-0000261C0000}"/>
    <cellStyle name="Nota 3 2 5 2 2 2" xfId="15513" xr:uid="{00000000-0005-0000-0000-0000271C0000}"/>
    <cellStyle name="Nota 3 2 5 2 3" xfId="11079" xr:uid="{00000000-0005-0000-0000-0000281C0000}"/>
    <cellStyle name="Nota 3 2 5 2 3 2" xfId="14944" xr:uid="{00000000-0005-0000-0000-0000291C0000}"/>
    <cellStyle name="Nota 3 2 5 2 4" xfId="11613" xr:uid="{00000000-0005-0000-0000-00002A1C0000}"/>
    <cellStyle name="Nota 3 2 5 2 5" xfId="14614" xr:uid="{00000000-0005-0000-0000-00002B1C0000}"/>
    <cellStyle name="Nota 3 2 5 2 6" xfId="14124" xr:uid="{00000000-0005-0000-0000-00002C1C0000}"/>
    <cellStyle name="Nota 3 2 5 3" xfId="12122" xr:uid="{00000000-0005-0000-0000-00002D1C0000}"/>
    <cellStyle name="Nota 3 2 5 3 2" xfId="15202" xr:uid="{00000000-0005-0000-0000-00002E1C0000}"/>
    <cellStyle name="Nota 3 2 5 4" xfId="12545" xr:uid="{00000000-0005-0000-0000-00002F1C0000}"/>
    <cellStyle name="Nota 3 2 5 4 2" xfId="15433" xr:uid="{00000000-0005-0000-0000-0000301C0000}"/>
    <cellStyle name="Nota 3 2 5 5" xfId="13219" xr:uid="{00000000-0005-0000-0000-0000311C0000}"/>
    <cellStyle name="Nota 3 2 5 6" xfId="14765" xr:uid="{00000000-0005-0000-0000-0000321C0000}"/>
    <cellStyle name="Nota 3 2 5 7" xfId="13841" xr:uid="{00000000-0005-0000-0000-0000331C0000}"/>
    <cellStyle name="Nota 3 2 6" xfId="6889" xr:uid="{00000000-0005-0000-0000-0000341C0000}"/>
    <cellStyle name="Nota 3 2 6 2" xfId="8727" xr:uid="{00000000-0005-0000-0000-0000351C0000}"/>
    <cellStyle name="Nota 3 2 6 2 2" xfId="12601" xr:uid="{00000000-0005-0000-0000-0000361C0000}"/>
    <cellStyle name="Nota 3 2 6 2 2 2" xfId="15458" xr:uid="{00000000-0005-0000-0000-0000371C0000}"/>
    <cellStyle name="Nota 3 2 6 2 3" xfId="12838" xr:uid="{00000000-0005-0000-0000-0000381C0000}"/>
    <cellStyle name="Nota 3 2 6 2 3 2" xfId="15676" xr:uid="{00000000-0005-0000-0000-0000391C0000}"/>
    <cellStyle name="Nota 3 2 6 2 4" xfId="13053" xr:uid="{00000000-0005-0000-0000-00003A1C0000}"/>
    <cellStyle name="Nota 3 2 6 2 5" xfId="14389" xr:uid="{00000000-0005-0000-0000-00003B1C0000}"/>
    <cellStyle name="Nota 3 2 6 2 6" xfId="14063" xr:uid="{00000000-0005-0000-0000-00003C1C0000}"/>
    <cellStyle name="Nota 3 2 6 3" xfId="12058" xr:uid="{00000000-0005-0000-0000-00003D1C0000}"/>
    <cellStyle name="Nota 3 2 6 3 2" xfId="15142" xr:uid="{00000000-0005-0000-0000-00003E1C0000}"/>
    <cellStyle name="Nota 3 2 6 4" xfId="12936" xr:uid="{00000000-0005-0000-0000-00003F1C0000}"/>
    <cellStyle name="Nota 3 2 6 4 2" xfId="15703" xr:uid="{00000000-0005-0000-0000-0000401C0000}"/>
    <cellStyle name="Nota 3 2 6 5" xfId="11209" xr:uid="{00000000-0005-0000-0000-0000411C0000}"/>
    <cellStyle name="Nota 3 2 6 6" xfId="14425" xr:uid="{00000000-0005-0000-0000-0000421C0000}"/>
    <cellStyle name="Nota 3 2 6 7" xfId="13776" xr:uid="{00000000-0005-0000-0000-0000431C0000}"/>
    <cellStyle name="Nota 3 2 7" xfId="6925" xr:uid="{00000000-0005-0000-0000-0000441C0000}"/>
    <cellStyle name="Nota 3 2 7 2" xfId="8757" xr:uid="{00000000-0005-0000-0000-0000451C0000}"/>
    <cellStyle name="Nota 3 2 7 2 2" xfId="12627" xr:uid="{00000000-0005-0000-0000-0000461C0000}"/>
    <cellStyle name="Nota 3 2 7 2 2 2" xfId="15483" xr:uid="{00000000-0005-0000-0000-0000471C0000}"/>
    <cellStyle name="Nota 3 2 7 2 3" xfId="13140" xr:uid="{00000000-0005-0000-0000-0000481C0000}"/>
    <cellStyle name="Nota 3 2 7 2 3 2" xfId="15755" xr:uid="{00000000-0005-0000-0000-0000491C0000}"/>
    <cellStyle name="Nota 3 2 7 2 4" xfId="13210" xr:uid="{00000000-0005-0000-0000-00004A1C0000}"/>
    <cellStyle name="Nota 3 2 7 2 5" xfId="14868" xr:uid="{00000000-0005-0000-0000-00004B1C0000}"/>
    <cellStyle name="Nota 3 2 7 2 6" xfId="14093" xr:uid="{00000000-0005-0000-0000-00004C1C0000}"/>
    <cellStyle name="Nota 3 2 7 3" xfId="12089" xr:uid="{00000000-0005-0000-0000-00004D1C0000}"/>
    <cellStyle name="Nota 3 2 7 3 2" xfId="15169" xr:uid="{00000000-0005-0000-0000-00004E1C0000}"/>
    <cellStyle name="Nota 3 2 7 4" xfId="11430" xr:uid="{00000000-0005-0000-0000-00004F1C0000}"/>
    <cellStyle name="Nota 3 2 7 4 2" xfId="15021" xr:uid="{00000000-0005-0000-0000-0000501C0000}"/>
    <cellStyle name="Nota 3 2 7 5" xfId="11298" xr:uid="{00000000-0005-0000-0000-0000511C0000}"/>
    <cellStyle name="Nota 3 2 7 6" xfId="14770" xr:uid="{00000000-0005-0000-0000-0000521C0000}"/>
    <cellStyle name="Nota 3 2 7 7" xfId="13810" xr:uid="{00000000-0005-0000-0000-0000531C0000}"/>
    <cellStyle name="Nota 3 2 8" xfId="6916" xr:uid="{00000000-0005-0000-0000-0000541C0000}"/>
    <cellStyle name="Nota 3 2 8 2" xfId="8749" xr:uid="{00000000-0005-0000-0000-0000551C0000}"/>
    <cellStyle name="Nota 3 2 8 2 2" xfId="12620" xr:uid="{00000000-0005-0000-0000-0000561C0000}"/>
    <cellStyle name="Nota 3 2 8 2 2 2" xfId="15476" xr:uid="{00000000-0005-0000-0000-0000571C0000}"/>
    <cellStyle name="Nota 3 2 8 2 3" xfId="13040" xr:uid="{00000000-0005-0000-0000-0000581C0000}"/>
    <cellStyle name="Nota 3 2 8 2 3 2" xfId="15716" xr:uid="{00000000-0005-0000-0000-0000591C0000}"/>
    <cellStyle name="Nota 3 2 8 2 4" xfId="13216" xr:uid="{00000000-0005-0000-0000-00005A1C0000}"/>
    <cellStyle name="Nota 3 2 8 2 5" xfId="14862" xr:uid="{00000000-0005-0000-0000-00005B1C0000}"/>
    <cellStyle name="Nota 3 2 8 2 6" xfId="14085" xr:uid="{00000000-0005-0000-0000-00005C1C0000}"/>
    <cellStyle name="Nota 3 2 8 3" xfId="12081" xr:uid="{00000000-0005-0000-0000-00005D1C0000}"/>
    <cellStyle name="Nota 3 2 8 3 2" xfId="15161" xr:uid="{00000000-0005-0000-0000-00005E1C0000}"/>
    <cellStyle name="Nota 3 2 8 4" xfId="12977" xr:uid="{00000000-0005-0000-0000-00005F1C0000}"/>
    <cellStyle name="Nota 3 2 8 4 2" xfId="15709" xr:uid="{00000000-0005-0000-0000-0000601C0000}"/>
    <cellStyle name="Nota 3 2 8 5" xfId="13245" xr:uid="{00000000-0005-0000-0000-0000611C0000}"/>
    <cellStyle name="Nota 3 2 8 6" xfId="14404" xr:uid="{00000000-0005-0000-0000-0000621C0000}"/>
    <cellStyle name="Nota 3 2 8 7" xfId="13801" xr:uid="{00000000-0005-0000-0000-0000631C0000}"/>
    <cellStyle name="Nota 3 2 9" xfId="6977" xr:uid="{00000000-0005-0000-0000-0000641C0000}"/>
    <cellStyle name="Nota 3 2 9 2" xfId="12140" xr:uid="{00000000-0005-0000-0000-0000651C0000}"/>
    <cellStyle name="Nota 3 2 9 2 2" xfId="15219" xr:uid="{00000000-0005-0000-0000-0000661C0000}"/>
    <cellStyle name="Nota 3 2 9 3" xfId="13066" xr:uid="{00000000-0005-0000-0000-0000671C0000}"/>
    <cellStyle name="Nota 3 2 9 3 2" xfId="15734" xr:uid="{00000000-0005-0000-0000-0000681C0000}"/>
    <cellStyle name="Nota 3 2 9 4" xfId="11778" xr:uid="{00000000-0005-0000-0000-0000691C0000}"/>
    <cellStyle name="Nota 3 2 9 5" xfId="14760" xr:uid="{00000000-0005-0000-0000-00006A1C0000}"/>
    <cellStyle name="Nota 3 2 9 6" xfId="13859" xr:uid="{00000000-0005-0000-0000-00006B1C0000}"/>
    <cellStyle name="Nota 3 3" xfId="4971" xr:uid="{00000000-0005-0000-0000-00006C1C0000}"/>
    <cellStyle name="Nota 3 3 10" xfId="11612" xr:uid="{00000000-0005-0000-0000-00006D1C0000}"/>
    <cellStyle name="Nota 3 3 10 2" xfId="15048" xr:uid="{00000000-0005-0000-0000-00006E1C0000}"/>
    <cellStyle name="Nota 3 3 11" xfId="11963" xr:uid="{00000000-0005-0000-0000-00006F1C0000}"/>
    <cellStyle name="Nota 3 3 12" xfId="14588" xr:uid="{00000000-0005-0000-0000-0000701C0000}"/>
    <cellStyle name="Nota 3 3 13" xfId="13396" xr:uid="{00000000-0005-0000-0000-0000711C0000}"/>
    <cellStyle name="Nota 3 3 14" xfId="18006" xr:uid="{00000000-0005-0000-0000-0000721C0000}"/>
    <cellStyle name="Nota 3 3 2" xfId="7056" xr:uid="{00000000-0005-0000-0000-0000731C0000}"/>
    <cellStyle name="Nota 3 3 2 2" xfId="8864" xr:uid="{00000000-0005-0000-0000-0000741C0000}"/>
    <cellStyle name="Nota 3 3 2 2 2" xfId="12729" xr:uid="{00000000-0005-0000-0000-0000751C0000}"/>
    <cellStyle name="Nota 3 3 2 2 2 2" xfId="15580" xr:uid="{00000000-0005-0000-0000-0000761C0000}"/>
    <cellStyle name="Nota 3 3 2 2 3" xfId="11078" xr:uid="{00000000-0005-0000-0000-0000771C0000}"/>
    <cellStyle name="Nota 3 3 2 2 3 2" xfId="14943" xr:uid="{00000000-0005-0000-0000-0000781C0000}"/>
    <cellStyle name="Nota 3 3 2 2 4" xfId="11413" xr:uid="{00000000-0005-0000-0000-0000791C0000}"/>
    <cellStyle name="Nota 3 3 2 2 5" xfId="14591" xr:uid="{00000000-0005-0000-0000-00007A1C0000}"/>
    <cellStyle name="Nota 3 3 2 2 6" xfId="14200" xr:uid="{00000000-0005-0000-0000-00007B1C0000}"/>
    <cellStyle name="Nota 3 3 2 3" xfId="12214" xr:uid="{00000000-0005-0000-0000-00007C1C0000}"/>
    <cellStyle name="Nota 3 3 2 3 2" xfId="15290" xr:uid="{00000000-0005-0000-0000-00007D1C0000}"/>
    <cellStyle name="Nota 3 3 2 4" xfId="11427" xr:uid="{00000000-0005-0000-0000-00007E1C0000}"/>
    <cellStyle name="Nota 3 3 2 4 2" xfId="15018" xr:uid="{00000000-0005-0000-0000-00007F1C0000}"/>
    <cellStyle name="Nota 3 3 2 5" xfId="11847" xr:uid="{00000000-0005-0000-0000-0000801C0000}"/>
    <cellStyle name="Nota 3 3 2 6" xfId="14742" xr:uid="{00000000-0005-0000-0000-0000811C0000}"/>
    <cellStyle name="Nota 3 3 2 7" xfId="13397" xr:uid="{00000000-0005-0000-0000-0000821C0000}"/>
    <cellStyle name="Nota 3 3 3" xfId="7022" xr:uid="{00000000-0005-0000-0000-0000831C0000}"/>
    <cellStyle name="Nota 3 3 3 2" xfId="8837" xr:uid="{00000000-0005-0000-0000-0000841C0000}"/>
    <cellStyle name="Nota 3 3 3 2 2" xfId="12703" xr:uid="{00000000-0005-0000-0000-0000851C0000}"/>
    <cellStyle name="Nota 3 3 3 2 2 2" xfId="15556" xr:uid="{00000000-0005-0000-0000-0000861C0000}"/>
    <cellStyle name="Nota 3 3 3 2 3" xfId="11472" xr:uid="{00000000-0005-0000-0000-0000871C0000}"/>
    <cellStyle name="Nota 3 3 3 2 3 2" xfId="15032" xr:uid="{00000000-0005-0000-0000-0000881C0000}"/>
    <cellStyle name="Nota 3 3 3 2 4" xfId="12028" xr:uid="{00000000-0005-0000-0000-0000891C0000}"/>
    <cellStyle name="Nota 3 3 3 2 5" xfId="14567" xr:uid="{00000000-0005-0000-0000-00008A1C0000}"/>
    <cellStyle name="Nota 3 3 3 2 6" xfId="14173" xr:uid="{00000000-0005-0000-0000-00008B1C0000}"/>
    <cellStyle name="Nota 3 3 3 3" xfId="12182" xr:uid="{00000000-0005-0000-0000-00008C1C0000}"/>
    <cellStyle name="Nota 3 3 3 3 2" xfId="15259" xr:uid="{00000000-0005-0000-0000-00008D1C0000}"/>
    <cellStyle name="Nota 3 3 3 4" xfId="12542" xr:uid="{00000000-0005-0000-0000-00008E1C0000}"/>
    <cellStyle name="Nota 3 3 3 4 2" xfId="15430" xr:uid="{00000000-0005-0000-0000-00008F1C0000}"/>
    <cellStyle name="Nota 3 3 3 5" xfId="11452" xr:uid="{00000000-0005-0000-0000-0000901C0000}"/>
    <cellStyle name="Nota 3 3 3 6" xfId="14488" xr:uid="{00000000-0005-0000-0000-0000911C0000}"/>
    <cellStyle name="Nota 3 3 3 7" xfId="13398" xr:uid="{00000000-0005-0000-0000-0000921C0000}"/>
    <cellStyle name="Nota 3 3 4" xfId="7089" xr:uid="{00000000-0005-0000-0000-0000931C0000}"/>
    <cellStyle name="Nota 3 3 4 2" xfId="8896" xr:uid="{00000000-0005-0000-0000-0000941C0000}"/>
    <cellStyle name="Nota 3 3 4 2 2" xfId="12759" xr:uid="{00000000-0005-0000-0000-0000951C0000}"/>
    <cellStyle name="Nota 3 3 4 2 2 2" xfId="15609" xr:uid="{00000000-0005-0000-0000-0000961C0000}"/>
    <cellStyle name="Nota 3 3 4 2 3" xfId="12440" xr:uid="{00000000-0005-0000-0000-0000971C0000}"/>
    <cellStyle name="Nota 3 3 4 2 3 2" xfId="15404" xr:uid="{00000000-0005-0000-0000-0000981C0000}"/>
    <cellStyle name="Nota 3 3 4 2 4" xfId="12274" xr:uid="{00000000-0005-0000-0000-0000991C0000}"/>
    <cellStyle name="Nota 3 3 4 2 5" xfId="14558" xr:uid="{00000000-0005-0000-0000-00009A1C0000}"/>
    <cellStyle name="Nota 3 3 4 2 6" xfId="14232" xr:uid="{00000000-0005-0000-0000-00009B1C0000}"/>
    <cellStyle name="Nota 3 3 4 3" xfId="12245" xr:uid="{00000000-0005-0000-0000-00009C1C0000}"/>
    <cellStyle name="Nota 3 3 4 3 2" xfId="15319" xr:uid="{00000000-0005-0000-0000-00009D1C0000}"/>
    <cellStyle name="Nota 3 3 4 4" xfId="13179" xr:uid="{00000000-0005-0000-0000-00009E1C0000}"/>
    <cellStyle name="Nota 3 3 4 4 2" xfId="15769" xr:uid="{00000000-0005-0000-0000-00009F1C0000}"/>
    <cellStyle name="Nota 3 3 4 5" xfId="13115" xr:uid="{00000000-0005-0000-0000-0000A01C0000}"/>
    <cellStyle name="Nota 3 3 4 6" xfId="14733" xr:uid="{00000000-0005-0000-0000-0000A11C0000}"/>
    <cellStyle name="Nota 3 3 4 7" xfId="13969" xr:uid="{00000000-0005-0000-0000-0000A21C0000}"/>
    <cellStyle name="Nota 3 3 5" xfId="6907" xr:uid="{00000000-0005-0000-0000-0000A31C0000}"/>
    <cellStyle name="Nota 3 3 5 2" xfId="8742" xr:uid="{00000000-0005-0000-0000-0000A41C0000}"/>
    <cellStyle name="Nota 3 3 5 2 2" xfId="12614" xr:uid="{00000000-0005-0000-0000-0000A51C0000}"/>
    <cellStyle name="Nota 3 3 5 2 2 2" xfId="15471" xr:uid="{00000000-0005-0000-0000-0000A61C0000}"/>
    <cellStyle name="Nota 3 3 5 2 3" xfId="13041" xr:uid="{00000000-0005-0000-0000-0000A71C0000}"/>
    <cellStyle name="Nota 3 3 5 2 3 2" xfId="15717" xr:uid="{00000000-0005-0000-0000-0000A81C0000}"/>
    <cellStyle name="Nota 3 3 5 2 4" xfId="12898" xr:uid="{00000000-0005-0000-0000-0000A91C0000}"/>
    <cellStyle name="Nota 3 3 5 2 5" xfId="14671" xr:uid="{00000000-0005-0000-0000-0000AA1C0000}"/>
    <cellStyle name="Nota 3 3 5 2 6" xfId="14078" xr:uid="{00000000-0005-0000-0000-0000AB1C0000}"/>
    <cellStyle name="Nota 3 3 5 3" xfId="12074" xr:uid="{00000000-0005-0000-0000-0000AC1C0000}"/>
    <cellStyle name="Nota 3 3 5 3 2" xfId="15154" xr:uid="{00000000-0005-0000-0000-0000AD1C0000}"/>
    <cellStyle name="Nota 3 3 5 4" xfId="13076" xr:uid="{00000000-0005-0000-0000-0000AE1C0000}"/>
    <cellStyle name="Nota 3 3 5 4 2" xfId="15744" xr:uid="{00000000-0005-0000-0000-0000AF1C0000}"/>
    <cellStyle name="Nota 3 3 5 5" xfId="12035" xr:uid="{00000000-0005-0000-0000-0000B01C0000}"/>
    <cellStyle name="Nota 3 3 5 6" xfId="14406" xr:uid="{00000000-0005-0000-0000-0000B11C0000}"/>
    <cellStyle name="Nota 3 3 5 7" xfId="13792" xr:uid="{00000000-0005-0000-0000-0000B21C0000}"/>
    <cellStyle name="Nota 3 3 6" xfId="7114" xr:uid="{00000000-0005-0000-0000-0000B31C0000}"/>
    <cellStyle name="Nota 3 3 6 2" xfId="8921" xr:uid="{00000000-0005-0000-0000-0000B41C0000}"/>
    <cellStyle name="Nota 3 3 6 2 2" xfId="12780" xr:uid="{00000000-0005-0000-0000-0000B51C0000}"/>
    <cellStyle name="Nota 3 3 6 2 2 2" xfId="15630" xr:uid="{00000000-0005-0000-0000-0000B61C0000}"/>
    <cellStyle name="Nota 3 3 6 2 3" xfId="11317" xr:uid="{00000000-0005-0000-0000-0000B71C0000}"/>
    <cellStyle name="Nota 3 3 6 2 3 2" xfId="14982" xr:uid="{00000000-0005-0000-0000-0000B81C0000}"/>
    <cellStyle name="Nota 3 3 6 2 4" xfId="11662" xr:uid="{00000000-0005-0000-0000-0000B91C0000}"/>
    <cellStyle name="Nota 3 3 6 2 5" xfId="14316" xr:uid="{00000000-0005-0000-0000-0000BA1C0000}"/>
    <cellStyle name="Nota 3 3 6 2 6" xfId="14257" xr:uid="{00000000-0005-0000-0000-0000BB1C0000}"/>
    <cellStyle name="Nota 3 3 6 3" xfId="12266" xr:uid="{00000000-0005-0000-0000-0000BC1C0000}"/>
    <cellStyle name="Nota 3 3 6 3 2" xfId="15340" xr:uid="{00000000-0005-0000-0000-0000BD1C0000}"/>
    <cellStyle name="Nota 3 3 6 4" xfId="12958" xr:uid="{00000000-0005-0000-0000-0000BE1C0000}"/>
    <cellStyle name="Nota 3 3 6 4 2" xfId="15705" xr:uid="{00000000-0005-0000-0000-0000BF1C0000}"/>
    <cellStyle name="Nota 3 3 6 5" xfId="12343" xr:uid="{00000000-0005-0000-0000-0000C01C0000}"/>
    <cellStyle name="Nota 3 3 6 6" xfId="14448" xr:uid="{00000000-0005-0000-0000-0000C11C0000}"/>
    <cellStyle name="Nota 3 3 6 7" xfId="13994" xr:uid="{00000000-0005-0000-0000-0000C21C0000}"/>
    <cellStyle name="Nota 3 3 7" xfId="7136" xr:uid="{00000000-0005-0000-0000-0000C31C0000}"/>
    <cellStyle name="Nota 3 3 7 2" xfId="8943" xr:uid="{00000000-0005-0000-0000-0000C41C0000}"/>
    <cellStyle name="Nota 3 3 7 2 2" xfId="12800" xr:uid="{00000000-0005-0000-0000-0000C51C0000}"/>
    <cellStyle name="Nota 3 3 7 2 2 2" xfId="15649" xr:uid="{00000000-0005-0000-0000-0000C61C0000}"/>
    <cellStyle name="Nota 3 3 7 2 3" xfId="11313" xr:uid="{00000000-0005-0000-0000-0000C71C0000}"/>
    <cellStyle name="Nota 3 3 7 2 3 2" xfId="14978" xr:uid="{00000000-0005-0000-0000-0000C81C0000}"/>
    <cellStyle name="Nota 3 3 7 2 4" xfId="12559" xr:uid="{00000000-0005-0000-0000-0000C91C0000}"/>
    <cellStyle name="Nota 3 3 7 2 5" xfId="14693" xr:uid="{00000000-0005-0000-0000-0000CA1C0000}"/>
    <cellStyle name="Nota 3 3 7 2 6" xfId="14279" xr:uid="{00000000-0005-0000-0000-0000CB1C0000}"/>
    <cellStyle name="Nota 3 3 7 3" xfId="12286" xr:uid="{00000000-0005-0000-0000-0000CC1C0000}"/>
    <cellStyle name="Nota 3 3 7 3 2" xfId="15359" xr:uid="{00000000-0005-0000-0000-0000CD1C0000}"/>
    <cellStyle name="Nota 3 3 7 4" xfId="12828" xr:uid="{00000000-0005-0000-0000-0000CE1C0000}"/>
    <cellStyle name="Nota 3 3 7 4 2" xfId="15672" xr:uid="{00000000-0005-0000-0000-0000CF1C0000}"/>
    <cellStyle name="Nota 3 3 7 5" xfId="11243" xr:uid="{00000000-0005-0000-0000-0000D01C0000}"/>
    <cellStyle name="Nota 3 3 7 6" xfId="14435" xr:uid="{00000000-0005-0000-0000-0000D11C0000}"/>
    <cellStyle name="Nota 3 3 7 7" xfId="14016" xr:uid="{00000000-0005-0000-0000-0000D21C0000}"/>
    <cellStyle name="Nota 3 3 8" xfId="7015" xr:uid="{00000000-0005-0000-0000-0000D31C0000}"/>
    <cellStyle name="Nota 3 3 8 2" xfId="12176" xr:uid="{00000000-0005-0000-0000-0000D41C0000}"/>
    <cellStyle name="Nota 3 3 8 2 2" xfId="15253" xr:uid="{00000000-0005-0000-0000-0000D51C0000}"/>
    <cellStyle name="Nota 3 3 8 3" xfId="13065" xr:uid="{00000000-0005-0000-0000-0000D61C0000}"/>
    <cellStyle name="Nota 3 3 8 3 2" xfId="15733" xr:uid="{00000000-0005-0000-0000-0000D71C0000}"/>
    <cellStyle name="Nota 3 3 8 4" xfId="11543" xr:uid="{00000000-0005-0000-0000-0000D81C0000}"/>
    <cellStyle name="Nota 3 3 8 5" xfId="14753" xr:uid="{00000000-0005-0000-0000-0000D91C0000}"/>
    <cellStyle name="Nota 3 3 8 6" xfId="13897" xr:uid="{00000000-0005-0000-0000-0000DA1C0000}"/>
    <cellStyle name="Nota 3 3 9" xfId="11801" xr:uid="{00000000-0005-0000-0000-0000DB1C0000}"/>
    <cellStyle name="Nota 3 3 9 2" xfId="15086" xr:uid="{00000000-0005-0000-0000-0000DC1C0000}"/>
    <cellStyle name="Nota 3 4" xfId="6917" xr:uid="{00000000-0005-0000-0000-0000DD1C0000}"/>
    <cellStyle name="Nota 3 4 2" xfId="8750" xr:uid="{00000000-0005-0000-0000-0000DE1C0000}"/>
    <cellStyle name="Nota 3 4 2 2" xfId="12621" xr:uid="{00000000-0005-0000-0000-0000DF1C0000}"/>
    <cellStyle name="Nota 3 4 2 2 2" xfId="15477" xr:uid="{00000000-0005-0000-0000-0000E01C0000}"/>
    <cellStyle name="Nota 3 4 2 3" xfId="12909" xr:uid="{00000000-0005-0000-0000-0000E11C0000}"/>
    <cellStyle name="Nota 3 4 2 3 2" xfId="15695" xr:uid="{00000000-0005-0000-0000-0000E21C0000}"/>
    <cellStyle name="Nota 3 4 2 4" xfId="11952" xr:uid="{00000000-0005-0000-0000-0000E31C0000}"/>
    <cellStyle name="Nota 3 4 2 5" xfId="14685" xr:uid="{00000000-0005-0000-0000-0000E41C0000}"/>
    <cellStyle name="Nota 3 4 2 6" xfId="14086" xr:uid="{00000000-0005-0000-0000-0000E51C0000}"/>
    <cellStyle name="Nota 3 4 3" xfId="12082" xr:uid="{00000000-0005-0000-0000-0000E61C0000}"/>
    <cellStyle name="Nota 3 4 3 2" xfId="15162" xr:uid="{00000000-0005-0000-0000-0000E71C0000}"/>
    <cellStyle name="Nota 3 4 4" xfId="11431" xr:uid="{00000000-0005-0000-0000-0000E81C0000}"/>
    <cellStyle name="Nota 3 4 4 2" xfId="15022" xr:uid="{00000000-0005-0000-0000-0000E91C0000}"/>
    <cellStyle name="Nota 3 4 5" xfId="11750" xr:uid="{00000000-0005-0000-0000-0000EA1C0000}"/>
    <cellStyle name="Nota 3 4 6" xfId="14527" xr:uid="{00000000-0005-0000-0000-0000EB1C0000}"/>
    <cellStyle name="Nota 3 4 7" xfId="13802" xr:uid="{00000000-0005-0000-0000-0000EC1C0000}"/>
    <cellStyle name="Nota 3 5" xfId="6947" xr:uid="{00000000-0005-0000-0000-0000ED1C0000}"/>
    <cellStyle name="Nota 3 5 2" xfId="8777" xr:uid="{00000000-0005-0000-0000-0000EE1C0000}"/>
    <cellStyle name="Nota 3 5 2 2" xfId="12646" xr:uid="{00000000-0005-0000-0000-0000EF1C0000}"/>
    <cellStyle name="Nota 3 5 2 2 2" xfId="15502" xr:uid="{00000000-0005-0000-0000-0000F01C0000}"/>
    <cellStyle name="Nota 3 5 2 3" xfId="11469" xr:uid="{00000000-0005-0000-0000-0000F11C0000}"/>
    <cellStyle name="Nota 3 5 2 3 2" xfId="15029" xr:uid="{00000000-0005-0000-0000-0000F21C0000}"/>
    <cellStyle name="Nota 3 5 2 4" xfId="12513" xr:uid="{00000000-0005-0000-0000-0000F31C0000}"/>
    <cellStyle name="Nota 3 5 2 5" xfId="14835" xr:uid="{00000000-0005-0000-0000-0000F41C0000}"/>
    <cellStyle name="Nota 3 5 2 6" xfId="14113" xr:uid="{00000000-0005-0000-0000-0000F51C0000}"/>
    <cellStyle name="Nota 3 5 3" xfId="12110" xr:uid="{00000000-0005-0000-0000-0000F61C0000}"/>
    <cellStyle name="Nota 3 5 3 2" xfId="15190" xr:uid="{00000000-0005-0000-0000-0000F71C0000}"/>
    <cellStyle name="Nota 3 5 4" xfId="13171" xr:uid="{00000000-0005-0000-0000-0000F81C0000}"/>
    <cellStyle name="Nota 3 5 4 2" xfId="15766" xr:uid="{00000000-0005-0000-0000-0000F91C0000}"/>
    <cellStyle name="Nota 3 5 5" xfId="12000" xr:uid="{00000000-0005-0000-0000-0000FA1C0000}"/>
    <cellStyle name="Nota 3 5 6" xfId="14373" xr:uid="{00000000-0005-0000-0000-0000FB1C0000}"/>
    <cellStyle name="Nota 3 5 7" xfId="13831" xr:uid="{00000000-0005-0000-0000-0000FC1C0000}"/>
    <cellStyle name="Nota 3 6" xfId="7041" xr:uid="{00000000-0005-0000-0000-0000FD1C0000}"/>
    <cellStyle name="Nota 3 6 2" xfId="8852" xr:uid="{00000000-0005-0000-0000-0000FE1C0000}"/>
    <cellStyle name="Nota 3 6 2 2" xfId="12717" xr:uid="{00000000-0005-0000-0000-0000FF1C0000}"/>
    <cellStyle name="Nota 3 6 2 2 2" xfId="15569" xr:uid="{00000000-0005-0000-0000-0000001D0000}"/>
    <cellStyle name="Nota 3 6 2 3" xfId="11327" xr:uid="{00000000-0005-0000-0000-0000011D0000}"/>
    <cellStyle name="Nota 3 6 2 3 2" xfId="14992" xr:uid="{00000000-0005-0000-0000-0000021D0000}"/>
    <cellStyle name="Nota 3 6 2 4" xfId="11467" xr:uid="{00000000-0005-0000-0000-0000031D0000}"/>
    <cellStyle name="Nota 3 6 2 5" xfId="14621" xr:uid="{00000000-0005-0000-0000-0000041D0000}"/>
    <cellStyle name="Nota 3 6 2 6" xfId="14188" xr:uid="{00000000-0005-0000-0000-0000051D0000}"/>
    <cellStyle name="Nota 3 6 3" xfId="12199" xr:uid="{00000000-0005-0000-0000-0000061D0000}"/>
    <cellStyle name="Nota 3 6 3 2" xfId="15276" xr:uid="{00000000-0005-0000-0000-0000071D0000}"/>
    <cellStyle name="Nota 3 6 4" xfId="13064" xr:uid="{00000000-0005-0000-0000-0000081D0000}"/>
    <cellStyle name="Nota 3 6 4 2" xfId="15732" xr:uid="{00000000-0005-0000-0000-0000091D0000}"/>
    <cellStyle name="Nota 3 6 5" xfId="11222" xr:uid="{00000000-0005-0000-0000-00000A1D0000}"/>
    <cellStyle name="Nota 3 6 6" xfId="14395" xr:uid="{00000000-0005-0000-0000-00000B1D0000}"/>
    <cellStyle name="Nota 3 6 7" xfId="13922" xr:uid="{00000000-0005-0000-0000-00000C1D0000}"/>
    <cellStyle name="Nota 3 7" xfId="6927" xr:uid="{00000000-0005-0000-0000-00000D1D0000}"/>
    <cellStyle name="Nota 3 7 2" xfId="8759" xr:uid="{00000000-0005-0000-0000-00000E1D0000}"/>
    <cellStyle name="Nota 3 7 2 2" xfId="12629" xr:uid="{00000000-0005-0000-0000-00000F1D0000}"/>
    <cellStyle name="Nota 3 7 2 2 2" xfId="15485" xr:uid="{00000000-0005-0000-0000-0000101D0000}"/>
    <cellStyle name="Nota 3 7 2 3" xfId="13159" xr:uid="{00000000-0005-0000-0000-0000111D0000}"/>
    <cellStyle name="Nota 3 7 2 3 2" xfId="15760" xr:uid="{00000000-0005-0000-0000-0000121D0000}"/>
    <cellStyle name="Nota 3 7 2 4" xfId="11672" xr:uid="{00000000-0005-0000-0000-0000131D0000}"/>
    <cellStyle name="Nota 3 7 2 5" xfId="14814" xr:uid="{00000000-0005-0000-0000-0000141D0000}"/>
    <cellStyle name="Nota 3 7 2 6" xfId="14095" xr:uid="{00000000-0005-0000-0000-0000151D0000}"/>
    <cellStyle name="Nota 3 7 3" xfId="12091" xr:uid="{00000000-0005-0000-0000-0000161D0000}"/>
    <cellStyle name="Nota 3 7 3 2" xfId="15171" xr:uid="{00000000-0005-0000-0000-0000171D0000}"/>
    <cellStyle name="Nota 3 7 4" xfId="13074" xr:uid="{00000000-0005-0000-0000-0000181D0000}"/>
    <cellStyle name="Nota 3 7 4 2" xfId="15742" xr:uid="{00000000-0005-0000-0000-0000191D0000}"/>
    <cellStyle name="Nota 3 7 5" xfId="13287" xr:uid="{00000000-0005-0000-0000-00001A1D0000}"/>
    <cellStyle name="Nota 3 7 6" xfId="14345" xr:uid="{00000000-0005-0000-0000-00001B1D0000}"/>
    <cellStyle name="Nota 3 7 7" xfId="13812" xr:uid="{00000000-0005-0000-0000-00001C1D0000}"/>
    <cellStyle name="Nota 3 8" xfId="6876" xr:uid="{00000000-0005-0000-0000-00001D1D0000}"/>
    <cellStyle name="Nota 3 8 2" xfId="8716" xr:uid="{00000000-0005-0000-0000-00001E1D0000}"/>
    <cellStyle name="Nota 3 8 2 2" xfId="12590" xr:uid="{00000000-0005-0000-0000-00001F1D0000}"/>
    <cellStyle name="Nota 3 8 2 2 2" xfId="15448" xr:uid="{00000000-0005-0000-0000-0000201D0000}"/>
    <cellStyle name="Nota 3 8 2 3" xfId="12857" xr:uid="{00000000-0005-0000-0000-0000211D0000}"/>
    <cellStyle name="Nota 3 8 2 3 2" xfId="15683" xr:uid="{00000000-0005-0000-0000-0000221D0000}"/>
    <cellStyle name="Nota 3 8 2 4" xfId="12869" xr:uid="{00000000-0005-0000-0000-0000231D0000}"/>
    <cellStyle name="Nota 3 8 2 5" xfId="14709" xr:uid="{00000000-0005-0000-0000-0000241D0000}"/>
    <cellStyle name="Nota 3 8 2 6" xfId="14052" xr:uid="{00000000-0005-0000-0000-0000251D0000}"/>
    <cellStyle name="Nota 3 8 3" xfId="12045" xr:uid="{00000000-0005-0000-0000-0000261D0000}"/>
    <cellStyle name="Nota 3 8 3 2" xfId="15130" xr:uid="{00000000-0005-0000-0000-0000271D0000}"/>
    <cellStyle name="Nota 3 8 4" xfId="12978" xr:uid="{00000000-0005-0000-0000-0000281D0000}"/>
    <cellStyle name="Nota 3 8 4 2" xfId="15710" xr:uid="{00000000-0005-0000-0000-0000291D0000}"/>
    <cellStyle name="Nota 3 8 5" xfId="12934" xr:uid="{00000000-0005-0000-0000-00002A1D0000}"/>
    <cellStyle name="Nota 3 8 6" xfId="14418" xr:uid="{00000000-0005-0000-0000-00002B1D0000}"/>
    <cellStyle name="Nota 3 8 7" xfId="13763" xr:uid="{00000000-0005-0000-0000-00002C1D0000}"/>
    <cellStyle name="Nota 3 9" xfId="7010" xr:uid="{00000000-0005-0000-0000-00002D1D0000}"/>
    <cellStyle name="Nota 3 9 2" xfId="8827" xr:uid="{00000000-0005-0000-0000-00002E1D0000}"/>
    <cellStyle name="Nota 3 9 2 2" xfId="12694" xr:uid="{00000000-0005-0000-0000-00002F1D0000}"/>
    <cellStyle name="Nota 3 9 2 2 2" xfId="15548" xr:uid="{00000000-0005-0000-0000-0000301D0000}"/>
    <cellStyle name="Nota 3 9 2 3" xfId="11471" xr:uid="{00000000-0005-0000-0000-0000311D0000}"/>
    <cellStyle name="Nota 3 9 2 3 2" xfId="15031" xr:uid="{00000000-0005-0000-0000-0000321D0000}"/>
    <cellStyle name="Nota 3 9 2 4" xfId="11668" xr:uid="{00000000-0005-0000-0000-0000331D0000}"/>
    <cellStyle name="Nota 3 9 2 5" xfId="14324" xr:uid="{00000000-0005-0000-0000-0000341D0000}"/>
    <cellStyle name="Nota 3 9 2 6" xfId="14163" xr:uid="{00000000-0005-0000-0000-0000351D0000}"/>
    <cellStyle name="Nota 3 9 3" xfId="12171" xr:uid="{00000000-0005-0000-0000-0000361D0000}"/>
    <cellStyle name="Nota 3 9 3 2" xfId="15249" xr:uid="{00000000-0005-0000-0000-0000371D0000}"/>
    <cellStyle name="Nota 3 9 4" xfId="10931" xr:uid="{00000000-0005-0000-0000-0000381D0000}"/>
    <cellStyle name="Nota 3 9 4 2" xfId="14919" xr:uid="{00000000-0005-0000-0000-0000391D0000}"/>
    <cellStyle name="Nota 3 9 5" xfId="13010" xr:uid="{00000000-0005-0000-0000-00003A1D0000}"/>
    <cellStyle name="Nota 3 9 6" xfId="14493" xr:uid="{00000000-0005-0000-0000-00003B1D0000}"/>
    <cellStyle name="Nota 3 9 7" xfId="13892" xr:uid="{00000000-0005-0000-0000-00003C1D0000}"/>
    <cellStyle name="Nota 4" xfId="12419" xr:uid="{00000000-0005-0000-0000-00003D1D0000}"/>
    <cellStyle name="Nota 4 2" xfId="12938" xr:uid="{00000000-0005-0000-0000-00003E1D0000}"/>
    <cellStyle name="Note" xfId="417" xr:uid="{00000000-0005-0000-0000-00003F1D0000}"/>
    <cellStyle name="Note 10" xfId="6989" xr:uid="{00000000-0005-0000-0000-0000401D0000}"/>
    <cellStyle name="Note 10 2" xfId="12151" xr:uid="{00000000-0005-0000-0000-0000411D0000}"/>
    <cellStyle name="Note 10 2 2" xfId="15229" xr:uid="{00000000-0005-0000-0000-0000421D0000}"/>
    <cellStyle name="Note 10 3" xfId="11053" xr:uid="{00000000-0005-0000-0000-0000431D0000}"/>
    <cellStyle name="Note 10 3 2" xfId="14934" xr:uid="{00000000-0005-0000-0000-0000441D0000}"/>
    <cellStyle name="Note 10 4" xfId="10967" xr:uid="{00000000-0005-0000-0000-0000451D0000}"/>
    <cellStyle name="Note 10 5" xfId="14504" xr:uid="{00000000-0005-0000-0000-0000461D0000}"/>
    <cellStyle name="Note 10 6" xfId="13871" xr:uid="{00000000-0005-0000-0000-0000471D0000}"/>
    <cellStyle name="Note 11" xfId="13191" xr:uid="{00000000-0005-0000-0000-0000481D0000}"/>
    <cellStyle name="Note 11 2" xfId="13346" xr:uid="{00000000-0005-0000-0000-0000491D0000}"/>
    <cellStyle name="Note 11 2 2" xfId="15804" xr:uid="{00000000-0005-0000-0000-00004A1D0000}"/>
    <cellStyle name="Note 11 3" xfId="15779" xr:uid="{00000000-0005-0000-0000-00004B1D0000}"/>
    <cellStyle name="Note 12" xfId="11045" xr:uid="{00000000-0005-0000-0000-00004C1D0000}"/>
    <cellStyle name="Note 12 2" xfId="14929" xr:uid="{00000000-0005-0000-0000-00004D1D0000}"/>
    <cellStyle name="Note 13" xfId="11866" xr:uid="{00000000-0005-0000-0000-00004E1D0000}"/>
    <cellStyle name="Note 13 2" xfId="15106" xr:uid="{00000000-0005-0000-0000-00004F1D0000}"/>
    <cellStyle name="Note 14" xfId="11764" xr:uid="{00000000-0005-0000-0000-0000501D0000}"/>
    <cellStyle name="Note 15" xfId="14611" xr:uid="{00000000-0005-0000-0000-0000511D0000}"/>
    <cellStyle name="Note 16" xfId="13372" xr:uid="{00000000-0005-0000-0000-0000521D0000}"/>
    <cellStyle name="Note 17" xfId="15866" xr:uid="{00000000-0005-0000-0000-0000531D0000}"/>
    <cellStyle name="Note 2" xfId="2967" xr:uid="{00000000-0005-0000-0000-0000541D0000}"/>
    <cellStyle name="Note 2 10" xfId="13200" xr:uid="{00000000-0005-0000-0000-0000551D0000}"/>
    <cellStyle name="Note 2 10 2" xfId="13350" xr:uid="{00000000-0005-0000-0000-0000561D0000}"/>
    <cellStyle name="Note 2 10 2 2" xfId="15808" xr:uid="{00000000-0005-0000-0000-0000571D0000}"/>
    <cellStyle name="Note 2 10 3" xfId="15788" xr:uid="{00000000-0005-0000-0000-0000581D0000}"/>
    <cellStyle name="Note 2 11" xfId="11593" xr:uid="{00000000-0005-0000-0000-0000591D0000}"/>
    <cellStyle name="Note 2 11 2" xfId="15042" xr:uid="{00000000-0005-0000-0000-00005A1D0000}"/>
    <cellStyle name="Note 2 12" xfId="11886" xr:uid="{00000000-0005-0000-0000-00005B1D0000}"/>
    <cellStyle name="Note 2 12 2" xfId="15109" xr:uid="{00000000-0005-0000-0000-00005C1D0000}"/>
    <cellStyle name="Note 2 13" xfId="11960" xr:uid="{00000000-0005-0000-0000-00005D1D0000}"/>
    <cellStyle name="Note 2 14" xfId="14574" xr:uid="{00000000-0005-0000-0000-00005E1D0000}"/>
    <cellStyle name="Note 2 15" xfId="13399" xr:uid="{00000000-0005-0000-0000-00005F1D0000}"/>
    <cellStyle name="Note 2 16" xfId="16056" xr:uid="{00000000-0005-0000-0000-0000601D0000}"/>
    <cellStyle name="Note 2 2" xfId="4985" xr:uid="{00000000-0005-0000-0000-0000611D0000}"/>
    <cellStyle name="Note 2 2 10" xfId="11959" xr:uid="{00000000-0005-0000-0000-0000621D0000}"/>
    <cellStyle name="Note 2 2 10 2" xfId="15122" xr:uid="{00000000-0005-0000-0000-0000631D0000}"/>
    <cellStyle name="Note 2 2 11" xfId="12859" xr:uid="{00000000-0005-0000-0000-0000641D0000}"/>
    <cellStyle name="Note 2 2 12" xfId="14601" xr:uid="{00000000-0005-0000-0000-0000651D0000}"/>
    <cellStyle name="Note 2 2 13" xfId="13740" xr:uid="{00000000-0005-0000-0000-0000661D0000}"/>
    <cellStyle name="Note 2 2 14" xfId="18020" xr:uid="{00000000-0005-0000-0000-0000671D0000}"/>
    <cellStyle name="Note 2 2 2" xfId="7070" xr:uid="{00000000-0005-0000-0000-0000681D0000}"/>
    <cellStyle name="Note 2 2 2 2" xfId="8878" xr:uid="{00000000-0005-0000-0000-0000691D0000}"/>
    <cellStyle name="Note 2 2 2 2 2" xfId="12742" xr:uid="{00000000-0005-0000-0000-00006A1D0000}"/>
    <cellStyle name="Note 2 2 2 2 2 2" xfId="15592" xr:uid="{00000000-0005-0000-0000-00006B1D0000}"/>
    <cellStyle name="Note 2 2 2 2 3" xfId="11323" xr:uid="{00000000-0005-0000-0000-00006C1D0000}"/>
    <cellStyle name="Note 2 2 2 2 3 2" xfId="14988" xr:uid="{00000000-0005-0000-0000-00006D1D0000}"/>
    <cellStyle name="Note 2 2 2 2 4" xfId="11436" xr:uid="{00000000-0005-0000-0000-00006E1D0000}"/>
    <cellStyle name="Note 2 2 2 2 5" xfId="14698" xr:uid="{00000000-0005-0000-0000-00006F1D0000}"/>
    <cellStyle name="Note 2 2 2 2 6" xfId="14214" xr:uid="{00000000-0005-0000-0000-0000701D0000}"/>
    <cellStyle name="Note 2 2 2 3" xfId="12227" xr:uid="{00000000-0005-0000-0000-0000711D0000}"/>
    <cellStyle name="Note 2 2 2 3 2" xfId="15301" xr:uid="{00000000-0005-0000-0000-0000721D0000}"/>
    <cellStyle name="Note 2 2 2 4" xfId="13060" xr:uid="{00000000-0005-0000-0000-0000731D0000}"/>
    <cellStyle name="Note 2 2 2 4 2" xfId="15728" xr:uid="{00000000-0005-0000-0000-0000741D0000}"/>
    <cellStyle name="Note 2 2 2 5" xfId="12341" xr:uid="{00000000-0005-0000-0000-0000751D0000}"/>
    <cellStyle name="Note 2 2 2 6" xfId="14468" xr:uid="{00000000-0005-0000-0000-0000761D0000}"/>
    <cellStyle name="Note 2 2 2 7" xfId="13950" xr:uid="{00000000-0005-0000-0000-0000771D0000}"/>
    <cellStyle name="Note 2 2 3" xfId="7083" xr:uid="{00000000-0005-0000-0000-0000781D0000}"/>
    <cellStyle name="Note 2 2 3 2" xfId="8890" xr:uid="{00000000-0005-0000-0000-0000791D0000}"/>
    <cellStyle name="Note 2 2 3 2 2" xfId="12753" xr:uid="{00000000-0005-0000-0000-00007A1D0000}"/>
    <cellStyle name="Note 2 2 3 2 2 2" xfId="15603" xr:uid="{00000000-0005-0000-0000-00007B1D0000}"/>
    <cellStyle name="Note 2 2 3 2 3" xfId="11077" xr:uid="{00000000-0005-0000-0000-00007C1D0000}"/>
    <cellStyle name="Note 2 2 3 2 3 2" xfId="14942" xr:uid="{00000000-0005-0000-0000-00007D1D0000}"/>
    <cellStyle name="Note 2 2 3 2 4" xfId="12532" xr:uid="{00000000-0005-0000-0000-00007E1D0000}"/>
    <cellStyle name="Note 2 2 3 2 5" xfId="14561" xr:uid="{00000000-0005-0000-0000-00007F1D0000}"/>
    <cellStyle name="Note 2 2 3 2 6" xfId="14226" xr:uid="{00000000-0005-0000-0000-0000801D0000}"/>
    <cellStyle name="Note 2 2 3 3" xfId="12239" xr:uid="{00000000-0005-0000-0000-0000811D0000}"/>
    <cellStyle name="Note 2 2 3 3 2" xfId="15313" xr:uid="{00000000-0005-0000-0000-0000821D0000}"/>
    <cellStyle name="Note 2 2 3 4" xfId="11424" xr:uid="{00000000-0005-0000-0000-0000831D0000}"/>
    <cellStyle name="Note 2 2 3 4 2" xfId="15015" xr:uid="{00000000-0005-0000-0000-0000841D0000}"/>
    <cellStyle name="Note 2 2 3 5" xfId="12831" xr:uid="{00000000-0005-0000-0000-0000851D0000}"/>
    <cellStyle name="Note 2 2 3 6" xfId="14460" xr:uid="{00000000-0005-0000-0000-0000861D0000}"/>
    <cellStyle name="Note 2 2 3 7" xfId="13963" xr:uid="{00000000-0005-0000-0000-0000871D0000}"/>
    <cellStyle name="Note 2 2 4" xfId="7103" xr:uid="{00000000-0005-0000-0000-0000881D0000}"/>
    <cellStyle name="Note 2 2 4 2" xfId="8910" xr:uid="{00000000-0005-0000-0000-0000891D0000}"/>
    <cellStyle name="Note 2 2 4 2 2" xfId="12771" xr:uid="{00000000-0005-0000-0000-00008A1D0000}"/>
    <cellStyle name="Note 2 2 4 2 2 2" xfId="15621" xr:uid="{00000000-0005-0000-0000-00008B1D0000}"/>
    <cellStyle name="Note 2 2 4 2 3" xfId="11319" xr:uid="{00000000-0005-0000-0000-00008C1D0000}"/>
    <cellStyle name="Note 2 2 4 2 3 2" xfId="14984" xr:uid="{00000000-0005-0000-0000-00008D1D0000}"/>
    <cellStyle name="Note 2 2 4 2 4" xfId="11961" xr:uid="{00000000-0005-0000-0000-00008E1D0000}"/>
    <cellStyle name="Note 2 2 4 2 5" xfId="14668" xr:uid="{00000000-0005-0000-0000-00008F1D0000}"/>
    <cellStyle name="Note 2 2 4 2 6" xfId="14246" xr:uid="{00000000-0005-0000-0000-0000901D0000}"/>
    <cellStyle name="Note 2 2 4 3" xfId="12257" xr:uid="{00000000-0005-0000-0000-0000911D0000}"/>
    <cellStyle name="Note 2 2 4 3 2" xfId="15331" xr:uid="{00000000-0005-0000-0000-0000921D0000}"/>
    <cellStyle name="Note 2 2 4 4" xfId="11421" xr:uid="{00000000-0005-0000-0000-0000931D0000}"/>
    <cellStyle name="Note 2 2 4 4 2" xfId="15012" xr:uid="{00000000-0005-0000-0000-0000941D0000}"/>
    <cellStyle name="Note 2 2 4 5" xfId="13301" xr:uid="{00000000-0005-0000-0000-0000951D0000}"/>
    <cellStyle name="Note 2 2 4 6" xfId="14455" xr:uid="{00000000-0005-0000-0000-0000961D0000}"/>
    <cellStyle name="Note 2 2 4 7" xfId="13983" xr:uid="{00000000-0005-0000-0000-0000971D0000}"/>
    <cellStyle name="Note 2 2 5" xfId="7035" xr:uid="{00000000-0005-0000-0000-0000981D0000}"/>
    <cellStyle name="Note 2 2 5 2" xfId="8847" xr:uid="{00000000-0005-0000-0000-0000991D0000}"/>
    <cellStyle name="Note 2 2 5 2 2" xfId="12713" xr:uid="{00000000-0005-0000-0000-00009A1D0000}"/>
    <cellStyle name="Note 2 2 5 2 2 2" xfId="15565" xr:uid="{00000000-0005-0000-0000-00009B1D0000}"/>
    <cellStyle name="Note 2 2 5 2 3" xfId="11328" xr:uid="{00000000-0005-0000-0000-00009C1D0000}"/>
    <cellStyle name="Note 2 2 5 2 3 2" xfId="14993" xr:uid="{00000000-0005-0000-0000-00009D1D0000}"/>
    <cellStyle name="Note 2 2 5 2 4" xfId="12523" xr:uid="{00000000-0005-0000-0000-00009E1D0000}"/>
    <cellStyle name="Note 2 2 5 2 5" xfId="14840" xr:uid="{00000000-0005-0000-0000-00009F1D0000}"/>
    <cellStyle name="Note 2 2 5 2 6" xfId="14183" xr:uid="{00000000-0005-0000-0000-0000A01D0000}"/>
    <cellStyle name="Note 2 2 5 3" xfId="12194" xr:uid="{00000000-0005-0000-0000-0000A11D0000}"/>
    <cellStyle name="Note 2 2 5 3 2" xfId="15271" xr:uid="{00000000-0005-0000-0000-0000A21D0000}"/>
    <cellStyle name="Note 2 2 5 4" xfId="12540" xr:uid="{00000000-0005-0000-0000-0000A31D0000}"/>
    <cellStyle name="Note 2 2 5 4 2" xfId="15428" xr:uid="{00000000-0005-0000-0000-0000A41D0000}"/>
    <cellStyle name="Note 2 2 5 5" xfId="12423" xr:uid="{00000000-0005-0000-0000-0000A51D0000}"/>
    <cellStyle name="Note 2 2 5 6" xfId="14749" xr:uid="{00000000-0005-0000-0000-0000A61D0000}"/>
    <cellStyle name="Note 2 2 5 7" xfId="13916" xr:uid="{00000000-0005-0000-0000-0000A71D0000}"/>
    <cellStyle name="Note 2 2 6" xfId="7128" xr:uid="{00000000-0005-0000-0000-0000A81D0000}"/>
    <cellStyle name="Note 2 2 6 2" xfId="8935" xr:uid="{00000000-0005-0000-0000-0000A91D0000}"/>
    <cellStyle name="Note 2 2 6 2 2" xfId="12793" xr:uid="{00000000-0005-0000-0000-0000AA1D0000}"/>
    <cellStyle name="Note 2 2 6 2 2 2" xfId="15642" xr:uid="{00000000-0005-0000-0000-0000AB1D0000}"/>
    <cellStyle name="Note 2 2 6 2 3" xfId="11314" xr:uid="{00000000-0005-0000-0000-0000AC1D0000}"/>
    <cellStyle name="Note 2 2 6 2 3 2" xfId="14979" xr:uid="{00000000-0005-0000-0000-0000AD1D0000}"/>
    <cellStyle name="Note 2 2 6 2 4" xfId="11497" xr:uid="{00000000-0005-0000-0000-0000AE1D0000}"/>
    <cellStyle name="Note 2 2 6 2 5" xfId="14811" xr:uid="{00000000-0005-0000-0000-0000AF1D0000}"/>
    <cellStyle name="Note 2 2 6 2 6" xfId="14271" xr:uid="{00000000-0005-0000-0000-0000B01D0000}"/>
    <cellStyle name="Note 2 2 6 3" xfId="12279" xr:uid="{00000000-0005-0000-0000-0000B11D0000}"/>
    <cellStyle name="Note 2 2 6 3 2" xfId="15352" xr:uid="{00000000-0005-0000-0000-0000B21D0000}"/>
    <cellStyle name="Note 2 2 6 4" xfId="13161" xr:uid="{00000000-0005-0000-0000-0000B31D0000}"/>
    <cellStyle name="Note 2 2 6 4 2" xfId="15761" xr:uid="{00000000-0005-0000-0000-0000B41D0000}"/>
    <cellStyle name="Note 2 2 6 5" xfId="11241" xr:uid="{00000000-0005-0000-0000-0000B51D0000}"/>
    <cellStyle name="Note 2 2 6 6" xfId="14442" xr:uid="{00000000-0005-0000-0000-0000B61D0000}"/>
    <cellStyle name="Note 2 2 6 7" xfId="14008" xr:uid="{00000000-0005-0000-0000-0000B71D0000}"/>
    <cellStyle name="Note 2 2 7" xfId="7150" xr:uid="{00000000-0005-0000-0000-0000B81D0000}"/>
    <cellStyle name="Note 2 2 7 2" xfId="8957" xr:uid="{00000000-0005-0000-0000-0000B91D0000}"/>
    <cellStyle name="Note 2 2 7 2 2" xfId="12813" xr:uid="{00000000-0005-0000-0000-0000BA1D0000}"/>
    <cellStyle name="Note 2 2 7 2 2 2" xfId="15661" xr:uid="{00000000-0005-0000-0000-0000BB1D0000}"/>
    <cellStyle name="Note 2 2 7 2 3" xfId="12432" xr:uid="{00000000-0005-0000-0000-0000BC1D0000}"/>
    <cellStyle name="Note 2 2 7 2 3 2" xfId="15396" xr:uid="{00000000-0005-0000-0000-0000BD1D0000}"/>
    <cellStyle name="Note 2 2 7 2 4" xfId="11870" xr:uid="{00000000-0005-0000-0000-0000BE1D0000}"/>
    <cellStyle name="Note 2 2 7 2 5" xfId="14626" xr:uid="{00000000-0005-0000-0000-0000BF1D0000}"/>
    <cellStyle name="Note 2 2 7 2 6" xfId="14293" xr:uid="{00000000-0005-0000-0000-0000C01D0000}"/>
    <cellStyle name="Note 2 2 7 3" xfId="12299" xr:uid="{00000000-0005-0000-0000-0000C11D0000}"/>
    <cellStyle name="Note 2 2 7 3 2" xfId="15371" xr:uid="{00000000-0005-0000-0000-0000C21D0000}"/>
    <cellStyle name="Note 2 2 7 4" xfId="12834" xr:uid="{00000000-0005-0000-0000-0000C31D0000}"/>
    <cellStyle name="Note 2 2 7 4 2" xfId="15675" xr:uid="{00000000-0005-0000-0000-0000C41D0000}"/>
    <cellStyle name="Note 2 2 7 5" xfId="13102" xr:uid="{00000000-0005-0000-0000-0000C51D0000}"/>
    <cellStyle name="Note 2 2 7 6" xfId="14431" xr:uid="{00000000-0005-0000-0000-0000C61D0000}"/>
    <cellStyle name="Note 2 2 7 7" xfId="14030" xr:uid="{00000000-0005-0000-0000-0000C71D0000}"/>
    <cellStyle name="Note 2 2 8" xfId="7014" xr:uid="{00000000-0005-0000-0000-0000C81D0000}"/>
    <cellStyle name="Note 2 2 8 2" xfId="12175" xr:uid="{00000000-0005-0000-0000-0000C91D0000}"/>
    <cellStyle name="Note 2 2 8 2 2" xfId="15252" xr:uid="{00000000-0005-0000-0000-0000CA1D0000}"/>
    <cellStyle name="Note 2 2 8 3" xfId="12899" xr:uid="{00000000-0005-0000-0000-0000CB1D0000}"/>
    <cellStyle name="Note 2 2 8 3 2" xfId="15693" xr:uid="{00000000-0005-0000-0000-0000CC1D0000}"/>
    <cellStyle name="Note 2 2 8 4" xfId="11788" xr:uid="{00000000-0005-0000-0000-0000CD1D0000}"/>
    <cellStyle name="Note 2 2 8 5" xfId="14491" xr:uid="{00000000-0005-0000-0000-0000CE1D0000}"/>
    <cellStyle name="Note 2 2 8 6" xfId="13896" xr:uid="{00000000-0005-0000-0000-0000CF1D0000}"/>
    <cellStyle name="Note 2 2 9" xfId="11814" xr:uid="{00000000-0005-0000-0000-0000D01D0000}"/>
    <cellStyle name="Note 2 2 9 2" xfId="11102" xr:uid="{00000000-0005-0000-0000-0000D11D0000}"/>
    <cellStyle name="Note 2 3" xfId="6992" xr:uid="{00000000-0005-0000-0000-0000D21D0000}"/>
    <cellStyle name="Note 2 3 2" xfId="8813" xr:uid="{00000000-0005-0000-0000-0000D31D0000}"/>
    <cellStyle name="Note 2 3 2 2" xfId="12681" xr:uid="{00000000-0005-0000-0000-0000D41D0000}"/>
    <cellStyle name="Note 2 3 2 2 2" xfId="15535" xr:uid="{00000000-0005-0000-0000-0000D51D0000}"/>
    <cellStyle name="Note 2 3 2 3" xfId="11331" xr:uid="{00000000-0005-0000-0000-0000D61D0000}"/>
    <cellStyle name="Note 2 3 2 3 2" xfId="14996" xr:uid="{00000000-0005-0000-0000-0000D71D0000}"/>
    <cellStyle name="Note 2 3 2 4" xfId="12846" xr:uid="{00000000-0005-0000-0000-0000D81D0000}"/>
    <cellStyle name="Note 2 3 2 5" xfId="14360" xr:uid="{00000000-0005-0000-0000-0000D91D0000}"/>
    <cellStyle name="Note 2 3 2 6" xfId="14149" xr:uid="{00000000-0005-0000-0000-0000DA1D0000}"/>
    <cellStyle name="Note 2 3 3" xfId="12154" xr:uid="{00000000-0005-0000-0000-0000DB1D0000}"/>
    <cellStyle name="Note 2 3 3 2" xfId="15232" xr:uid="{00000000-0005-0000-0000-0000DC1D0000}"/>
    <cellStyle name="Note 2 3 4" xfId="11429" xr:uid="{00000000-0005-0000-0000-0000DD1D0000}"/>
    <cellStyle name="Note 2 3 4 2" xfId="15020" xr:uid="{00000000-0005-0000-0000-0000DE1D0000}"/>
    <cellStyle name="Note 2 3 5" xfId="11964" xr:uid="{00000000-0005-0000-0000-0000DF1D0000}"/>
    <cellStyle name="Note 2 3 6" xfId="14501" xr:uid="{00000000-0005-0000-0000-0000E01D0000}"/>
    <cellStyle name="Note 2 3 7" xfId="13874" xr:uid="{00000000-0005-0000-0000-0000E11D0000}"/>
    <cellStyle name="Note 2 4" xfId="7048" xr:uid="{00000000-0005-0000-0000-0000E21D0000}"/>
    <cellStyle name="Note 2 4 2" xfId="8858" xr:uid="{00000000-0005-0000-0000-0000E31D0000}"/>
    <cellStyle name="Note 2 4 2 2" xfId="12723" xr:uid="{00000000-0005-0000-0000-0000E41D0000}"/>
    <cellStyle name="Note 2 4 2 2 2" xfId="15574" xr:uid="{00000000-0005-0000-0000-0000E51D0000}"/>
    <cellStyle name="Note 2 4 2 3" xfId="11326" xr:uid="{00000000-0005-0000-0000-0000E61D0000}"/>
    <cellStyle name="Note 2 4 2 3 2" xfId="14991" xr:uid="{00000000-0005-0000-0000-0000E71D0000}"/>
    <cellStyle name="Note 2 4 2 4" xfId="11760" xr:uid="{00000000-0005-0000-0000-0000E81D0000}"/>
    <cellStyle name="Note 2 4 2 5" xfId="14831" xr:uid="{00000000-0005-0000-0000-0000E91D0000}"/>
    <cellStyle name="Note 2 4 2 6" xfId="14194" xr:uid="{00000000-0005-0000-0000-0000EA1D0000}"/>
    <cellStyle name="Note 2 4 3" xfId="12206" xr:uid="{00000000-0005-0000-0000-0000EB1D0000}"/>
    <cellStyle name="Note 2 4 3 2" xfId="15282" xr:uid="{00000000-0005-0000-0000-0000EC1D0000}"/>
    <cellStyle name="Note 2 4 4" xfId="12538" xr:uid="{00000000-0005-0000-0000-0000ED1D0000}"/>
    <cellStyle name="Note 2 4 4 2" xfId="15426" xr:uid="{00000000-0005-0000-0000-0000EE1D0000}"/>
    <cellStyle name="Note 2 4 5" xfId="11225" xr:uid="{00000000-0005-0000-0000-0000EF1D0000}"/>
    <cellStyle name="Note 2 4 6" xfId="14478" xr:uid="{00000000-0005-0000-0000-0000F01D0000}"/>
    <cellStyle name="Note 2 4 7" xfId="13929" xr:uid="{00000000-0005-0000-0000-0000F11D0000}"/>
    <cellStyle name="Note 2 5" xfId="6980" xr:uid="{00000000-0005-0000-0000-0000F21D0000}"/>
    <cellStyle name="Note 2 5 2" xfId="8803" xr:uid="{00000000-0005-0000-0000-0000F31D0000}"/>
    <cellStyle name="Note 2 5 2 2" xfId="12672" xr:uid="{00000000-0005-0000-0000-0000F41D0000}"/>
    <cellStyle name="Note 2 5 2 2 2" xfId="15527" xr:uid="{00000000-0005-0000-0000-0000F51D0000}"/>
    <cellStyle name="Note 2 5 2 3" xfId="11470" xr:uid="{00000000-0005-0000-0000-0000F61D0000}"/>
    <cellStyle name="Note 2 5 2 3 2" xfId="15030" xr:uid="{00000000-0005-0000-0000-0000F71D0000}"/>
    <cellStyle name="Note 2 5 2 4" xfId="11702" xr:uid="{00000000-0005-0000-0000-0000F81D0000}"/>
    <cellStyle name="Note 2 5 2 5" xfId="14363" xr:uid="{00000000-0005-0000-0000-0000F91D0000}"/>
    <cellStyle name="Note 2 5 2 6" xfId="14139" xr:uid="{00000000-0005-0000-0000-0000FA1D0000}"/>
    <cellStyle name="Note 2 5 3" xfId="12143" xr:uid="{00000000-0005-0000-0000-0000FB1D0000}"/>
    <cellStyle name="Note 2 5 3 2" xfId="15222" xr:uid="{00000000-0005-0000-0000-0000FC1D0000}"/>
    <cellStyle name="Note 2 5 4" xfId="13178" xr:uid="{00000000-0005-0000-0000-0000FD1D0000}"/>
    <cellStyle name="Note 2 5 4 2" xfId="15768" xr:uid="{00000000-0005-0000-0000-0000FE1D0000}"/>
    <cellStyle name="Note 2 5 5" xfId="11992" xr:uid="{00000000-0005-0000-0000-0000FF1D0000}"/>
    <cellStyle name="Note 2 5 6" xfId="14510" xr:uid="{00000000-0005-0000-0000-0000001E0000}"/>
    <cellStyle name="Note 2 5 7" xfId="13862" xr:uid="{00000000-0005-0000-0000-0000011E0000}"/>
    <cellStyle name="Note 2 6" xfId="6988" xr:uid="{00000000-0005-0000-0000-0000021E0000}"/>
    <cellStyle name="Note 2 6 2" xfId="8810" xr:uid="{00000000-0005-0000-0000-0000031E0000}"/>
    <cellStyle name="Note 2 6 2 2" xfId="12678" xr:uid="{00000000-0005-0000-0000-0000041E0000}"/>
    <cellStyle name="Note 2 6 2 2 2" xfId="15532" xr:uid="{00000000-0005-0000-0000-0000051E0000}"/>
    <cellStyle name="Note 2 6 2 3" xfId="12445" xr:uid="{00000000-0005-0000-0000-0000061E0000}"/>
    <cellStyle name="Note 2 6 2 3 2" xfId="15409" xr:uid="{00000000-0005-0000-0000-0000071E0000}"/>
    <cellStyle name="Note 2 6 2 4" xfId="11739" xr:uid="{00000000-0005-0000-0000-0000081E0000}"/>
    <cellStyle name="Note 2 6 2 5" xfId="14362" xr:uid="{00000000-0005-0000-0000-0000091E0000}"/>
    <cellStyle name="Note 2 6 2 6" xfId="14146" xr:uid="{00000000-0005-0000-0000-00000A1E0000}"/>
    <cellStyle name="Note 2 6 3" xfId="12150" xr:uid="{00000000-0005-0000-0000-00000B1E0000}"/>
    <cellStyle name="Note 2 6 3 2" xfId="15228" xr:uid="{00000000-0005-0000-0000-00000C1E0000}"/>
    <cellStyle name="Note 2 6 4" xfId="12888" xr:uid="{00000000-0005-0000-0000-00000D1E0000}"/>
    <cellStyle name="Note 2 6 4 2" xfId="15690" xr:uid="{00000000-0005-0000-0000-00000E1E0000}"/>
    <cellStyle name="Note 2 6 5" xfId="11915" xr:uid="{00000000-0005-0000-0000-00000F1E0000}"/>
    <cellStyle name="Note 2 6 6" xfId="14505" xr:uid="{00000000-0005-0000-0000-0000101E0000}"/>
    <cellStyle name="Note 2 6 7" xfId="13870" xr:uid="{00000000-0005-0000-0000-0000111E0000}"/>
    <cellStyle name="Note 2 7" xfId="7052" xr:uid="{00000000-0005-0000-0000-0000121E0000}"/>
    <cellStyle name="Note 2 7 2" xfId="8860" xr:uid="{00000000-0005-0000-0000-0000131E0000}"/>
    <cellStyle name="Note 2 7 2 2" xfId="12725" xr:uid="{00000000-0005-0000-0000-0000141E0000}"/>
    <cellStyle name="Note 2 7 2 2 2" xfId="15576" xr:uid="{00000000-0005-0000-0000-0000151E0000}"/>
    <cellStyle name="Note 2 7 2 3" xfId="12443" xr:uid="{00000000-0005-0000-0000-0000161E0000}"/>
    <cellStyle name="Note 2 7 2 3 2" xfId="15407" xr:uid="{00000000-0005-0000-0000-0000171E0000}"/>
    <cellStyle name="Note 2 7 2 4" xfId="12525" xr:uid="{00000000-0005-0000-0000-0000181E0000}"/>
    <cellStyle name="Note 2 7 2 5" xfId="14856" xr:uid="{00000000-0005-0000-0000-0000191E0000}"/>
    <cellStyle name="Note 2 7 2 6" xfId="14196" xr:uid="{00000000-0005-0000-0000-00001A1E0000}"/>
    <cellStyle name="Note 2 7 3" xfId="12210" xr:uid="{00000000-0005-0000-0000-00001B1E0000}"/>
    <cellStyle name="Note 2 7 3 2" xfId="15286" xr:uid="{00000000-0005-0000-0000-00001C1E0000}"/>
    <cellStyle name="Note 2 7 4" xfId="13061" xr:uid="{00000000-0005-0000-0000-00001D1E0000}"/>
    <cellStyle name="Note 2 7 4 2" xfId="15729" xr:uid="{00000000-0005-0000-0000-00001E1E0000}"/>
    <cellStyle name="Note 2 7 5" xfId="11280" xr:uid="{00000000-0005-0000-0000-00001F1E0000}"/>
    <cellStyle name="Note 2 7 6" xfId="14475" xr:uid="{00000000-0005-0000-0000-0000201E0000}"/>
    <cellStyle name="Note 2 7 7" xfId="13933" xr:uid="{00000000-0005-0000-0000-0000211E0000}"/>
    <cellStyle name="Note 2 8" xfId="7109" xr:uid="{00000000-0005-0000-0000-0000221E0000}"/>
    <cellStyle name="Note 2 8 2" xfId="8916" xr:uid="{00000000-0005-0000-0000-0000231E0000}"/>
    <cellStyle name="Note 2 8 2 2" xfId="12776" xr:uid="{00000000-0005-0000-0000-0000241E0000}"/>
    <cellStyle name="Note 2 8 2 2 2" xfId="15626" xr:uid="{00000000-0005-0000-0000-0000251E0000}"/>
    <cellStyle name="Note 2 8 2 3" xfId="12437" xr:uid="{00000000-0005-0000-0000-0000261E0000}"/>
    <cellStyle name="Note 2 8 2 3 2" xfId="15401" xr:uid="{00000000-0005-0000-0000-0000271E0000}"/>
    <cellStyle name="Note 2 8 2 4" xfId="11752" xr:uid="{00000000-0005-0000-0000-0000281E0000}"/>
    <cellStyle name="Note 2 8 2 5" xfId="14690" xr:uid="{00000000-0005-0000-0000-0000291E0000}"/>
    <cellStyle name="Note 2 8 2 6" xfId="14252" xr:uid="{00000000-0005-0000-0000-00002A1E0000}"/>
    <cellStyle name="Note 2 8 3" xfId="12262" xr:uid="{00000000-0005-0000-0000-00002B1E0000}"/>
    <cellStyle name="Note 2 8 3 2" xfId="15336" xr:uid="{00000000-0005-0000-0000-00002C1E0000}"/>
    <cellStyle name="Note 2 8 4" xfId="13057" xr:uid="{00000000-0005-0000-0000-00002D1E0000}"/>
    <cellStyle name="Note 2 8 4 2" xfId="15725" xr:uid="{00000000-0005-0000-0000-00002E1E0000}"/>
    <cellStyle name="Note 2 8 5" xfId="10966" xr:uid="{00000000-0005-0000-0000-00002F1E0000}"/>
    <cellStyle name="Note 2 8 6" xfId="14573" xr:uid="{00000000-0005-0000-0000-0000301E0000}"/>
    <cellStyle name="Note 2 8 7" xfId="13989" xr:uid="{00000000-0005-0000-0000-0000311E0000}"/>
    <cellStyle name="Note 2 9" xfId="6994" xr:uid="{00000000-0005-0000-0000-0000321E0000}"/>
    <cellStyle name="Note 2 9 2" xfId="12156" xr:uid="{00000000-0005-0000-0000-0000331E0000}"/>
    <cellStyle name="Note 2 9 2 2" xfId="15234" xr:uid="{00000000-0005-0000-0000-0000341E0000}"/>
    <cellStyle name="Note 2 9 3" xfId="11428" xr:uid="{00000000-0005-0000-0000-0000351E0000}"/>
    <cellStyle name="Note 2 9 3 2" xfId="15019" xr:uid="{00000000-0005-0000-0000-0000361E0000}"/>
    <cellStyle name="Note 2 9 4" xfId="11213" xr:uid="{00000000-0005-0000-0000-0000371E0000}"/>
    <cellStyle name="Note 2 9 5" xfId="14758" xr:uid="{00000000-0005-0000-0000-0000381E0000}"/>
    <cellStyle name="Note 2 9 6" xfId="13876" xr:uid="{00000000-0005-0000-0000-0000391E0000}"/>
    <cellStyle name="Note 3" xfId="4972" xr:uid="{00000000-0005-0000-0000-00003A1E0000}"/>
    <cellStyle name="Note 3 10" xfId="11096" xr:uid="{00000000-0005-0000-0000-00003B1E0000}"/>
    <cellStyle name="Note 3 10 2" xfId="14947" xr:uid="{00000000-0005-0000-0000-00003C1E0000}"/>
    <cellStyle name="Note 3 11" xfId="12034" xr:uid="{00000000-0005-0000-0000-00003D1E0000}"/>
    <cellStyle name="Note 3 12" xfId="14578" xr:uid="{00000000-0005-0000-0000-00003E1E0000}"/>
    <cellStyle name="Note 3 13" xfId="13400" xr:uid="{00000000-0005-0000-0000-00003F1E0000}"/>
    <cellStyle name="Note 3 14" xfId="18007" xr:uid="{00000000-0005-0000-0000-0000401E0000}"/>
    <cellStyle name="Note 3 2" xfId="7057" xr:uid="{00000000-0005-0000-0000-0000411E0000}"/>
    <cellStyle name="Note 3 2 2" xfId="8865" xr:uid="{00000000-0005-0000-0000-0000421E0000}"/>
    <cellStyle name="Note 3 2 2 2" xfId="12730" xr:uid="{00000000-0005-0000-0000-0000431E0000}"/>
    <cellStyle name="Note 3 2 2 2 2" xfId="15581" xr:uid="{00000000-0005-0000-0000-0000441E0000}"/>
    <cellStyle name="Note 3 2 2 3" xfId="11325" xr:uid="{00000000-0005-0000-0000-0000451E0000}"/>
    <cellStyle name="Note 3 2 2 3 2" xfId="14990" xr:uid="{00000000-0005-0000-0000-0000461E0000}"/>
    <cellStyle name="Note 3 2 2 4" xfId="12528" xr:uid="{00000000-0005-0000-0000-0000471E0000}"/>
    <cellStyle name="Note 3 2 2 5" xfId="14619" xr:uid="{00000000-0005-0000-0000-0000481E0000}"/>
    <cellStyle name="Note 3 2 2 6" xfId="14201" xr:uid="{00000000-0005-0000-0000-0000491E0000}"/>
    <cellStyle name="Note 3 2 3" xfId="12215" xr:uid="{00000000-0005-0000-0000-00004A1E0000}"/>
    <cellStyle name="Note 3 2 3 2" xfId="11715" xr:uid="{00000000-0005-0000-0000-00004B1E0000}"/>
    <cellStyle name="Note 3 2 4" xfId="11126" xr:uid="{00000000-0005-0000-0000-00004C1E0000}"/>
    <cellStyle name="Note 3 2 4 2" xfId="14950" xr:uid="{00000000-0005-0000-0000-00004D1E0000}"/>
    <cellStyle name="Note 3 2 5" xfId="11453" xr:uid="{00000000-0005-0000-0000-00004E1E0000}"/>
    <cellStyle name="Note 3 2 6" xfId="14473" xr:uid="{00000000-0005-0000-0000-00004F1E0000}"/>
    <cellStyle name="Note 3 2 7" xfId="13937" xr:uid="{00000000-0005-0000-0000-0000501E0000}"/>
    <cellStyle name="Note 3 3" xfId="6969" xr:uid="{00000000-0005-0000-0000-0000511E0000}"/>
    <cellStyle name="Note 3 3 2" xfId="8795" xr:uid="{00000000-0005-0000-0000-0000521E0000}"/>
    <cellStyle name="Note 3 3 2 2" xfId="12664" xr:uid="{00000000-0005-0000-0000-0000531E0000}"/>
    <cellStyle name="Note 3 3 2 2 2" xfId="15519" xr:uid="{00000000-0005-0000-0000-0000541E0000}"/>
    <cellStyle name="Note 3 3 2 3" xfId="12447" xr:uid="{00000000-0005-0000-0000-0000551E0000}"/>
    <cellStyle name="Note 3 3 2 3 2" xfId="15411" xr:uid="{00000000-0005-0000-0000-0000561E0000}"/>
    <cellStyle name="Note 3 3 2 4" xfId="11878" xr:uid="{00000000-0005-0000-0000-0000571E0000}"/>
    <cellStyle name="Note 3 3 2 5" xfId="14571" xr:uid="{00000000-0005-0000-0000-0000581E0000}"/>
    <cellStyle name="Note 3 3 2 6" xfId="14131" xr:uid="{00000000-0005-0000-0000-0000591E0000}"/>
    <cellStyle name="Note 3 3 3" xfId="12132" xr:uid="{00000000-0005-0000-0000-00005A1E0000}"/>
    <cellStyle name="Note 3 3 3 2" xfId="15211" xr:uid="{00000000-0005-0000-0000-00005B1E0000}"/>
    <cellStyle name="Note 3 3 4" xfId="12544" xr:uid="{00000000-0005-0000-0000-00005C1E0000}"/>
    <cellStyle name="Note 3 3 4 2" xfId="15432" xr:uid="{00000000-0005-0000-0000-00005D1E0000}"/>
    <cellStyle name="Note 3 3 5" xfId="11607" xr:uid="{00000000-0005-0000-0000-00005E1E0000}"/>
    <cellStyle name="Note 3 3 6" xfId="14517" xr:uid="{00000000-0005-0000-0000-00005F1E0000}"/>
    <cellStyle name="Note 3 3 7" xfId="13851" xr:uid="{00000000-0005-0000-0000-0000601E0000}"/>
    <cellStyle name="Note 3 4" xfId="7090" xr:uid="{00000000-0005-0000-0000-0000611E0000}"/>
    <cellStyle name="Note 3 4 2" xfId="8897" xr:uid="{00000000-0005-0000-0000-0000621E0000}"/>
    <cellStyle name="Note 3 4 2 2" xfId="12760" xr:uid="{00000000-0005-0000-0000-0000631E0000}"/>
    <cellStyle name="Note 3 4 2 2 2" xfId="15610" xr:uid="{00000000-0005-0000-0000-0000641E0000}"/>
    <cellStyle name="Note 3 4 2 3" xfId="12439" xr:uid="{00000000-0005-0000-0000-0000651E0000}"/>
    <cellStyle name="Note 3 4 2 3 2" xfId="15403" xr:uid="{00000000-0005-0000-0000-0000661E0000}"/>
    <cellStyle name="Note 3 4 2 4" xfId="11904" xr:uid="{00000000-0005-0000-0000-0000671E0000}"/>
    <cellStyle name="Note 3 4 2 5" xfId="14352" xr:uid="{00000000-0005-0000-0000-0000681E0000}"/>
    <cellStyle name="Note 3 4 2 6" xfId="14233" xr:uid="{00000000-0005-0000-0000-0000691E0000}"/>
    <cellStyle name="Note 3 4 3" xfId="12246" xr:uid="{00000000-0005-0000-0000-00006A1E0000}"/>
    <cellStyle name="Note 3 4 3 2" xfId="15320" xr:uid="{00000000-0005-0000-0000-00006B1E0000}"/>
    <cellStyle name="Note 3 4 4" xfId="13154" xr:uid="{00000000-0005-0000-0000-00006C1E0000}"/>
    <cellStyle name="Note 3 4 4 2" xfId="15759" xr:uid="{00000000-0005-0000-0000-00006D1E0000}"/>
    <cellStyle name="Note 3 4 5" xfId="11232" xr:uid="{00000000-0005-0000-0000-00006E1E0000}"/>
    <cellStyle name="Note 3 4 6" xfId="14732" xr:uid="{00000000-0005-0000-0000-00006F1E0000}"/>
    <cellStyle name="Note 3 4 7" xfId="13970" xr:uid="{00000000-0005-0000-0000-0000701E0000}"/>
    <cellStyle name="Note 3 5" xfId="6997" xr:uid="{00000000-0005-0000-0000-0000711E0000}"/>
    <cellStyle name="Note 3 5 2" xfId="8817" xr:uid="{00000000-0005-0000-0000-0000721E0000}"/>
    <cellStyle name="Note 3 5 2 2" xfId="12685" xr:uid="{00000000-0005-0000-0000-0000731E0000}"/>
    <cellStyle name="Note 3 5 2 2 2" xfId="15539" xr:uid="{00000000-0005-0000-0000-0000741E0000}"/>
    <cellStyle name="Note 3 5 2 3" xfId="11332" xr:uid="{00000000-0005-0000-0000-0000751E0000}"/>
    <cellStyle name="Note 3 5 2 3 2" xfId="14997" xr:uid="{00000000-0005-0000-0000-0000761E0000}"/>
    <cellStyle name="Note 3 5 2 4" xfId="11444" xr:uid="{00000000-0005-0000-0000-0000771E0000}"/>
    <cellStyle name="Note 3 5 2 5" xfId="14332" xr:uid="{00000000-0005-0000-0000-0000781E0000}"/>
    <cellStyle name="Note 3 5 2 6" xfId="14153" xr:uid="{00000000-0005-0000-0000-0000791E0000}"/>
    <cellStyle name="Note 3 5 3" xfId="12159" xr:uid="{00000000-0005-0000-0000-00007A1E0000}"/>
    <cellStyle name="Note 3 5 3 2" xfId="15237" xr:uid="{00000000-0005-0000-0000-00007B1E0000}"/>
    <cellStyle name="Note 3 5 4" xfId="12543" xr:uid="{00000000-0005-0000-0000-00007C1E0000}"/>
    <cellStyle name="Note 3 5 4 2" xfId="15431" xr:uid="{00000000-0005-0000-0000-00007D1E0000}"/>
    <cellStyle name="Note 3 5 5" xfId="12907" xr:uid="{00000000-0005-0000-0000-00007E1E0000}"/>
    <cellStyle name="Note 3 5 6" xfId="14500" xr:uid="{00000000-0005-0000-0000-00007F1E0000}"/>
    <cellStyle name="Note 3 5 7" xfId="13879" xr:uid="{00000000-0005-0000-0000-0000801E0000}"/>
    <cellStyle name="Note 3 6" xfId="7115" xr:uid="{00000000-0005-0000-0000-0000811E0000}"/>
    <cellStyle name="Note 3 6 2" xfId="8922" xr:uid="{00000000-0005-0000-0000-0000821E0000}"/>
    <cellStyle name="Note 3 6 2 2" xfId="12781" xr:uid="{00000000-0005-0000-0000-0000831E0000}"/>
    <cellStyle name="Note 3 6 2 2 2" xfId="15631" xr:uid="{00000000-0005-0000-0000-0000841E0000}"/>
    <cellStyle name="Note 3 6 2 3" xfId="11318" xr:uid="{00000000-0005-0000-0000-0000851E0000}"/>
    <cellStyle name="Note 3 6 2 3 2" xfId="14983" xr:uid="{00000000-0005-0000-0000-0000861E0000}"/>
    <cellStyle name="Note 3 6 2 4" xfId="11790" xr:uid="{00000000-0005-0000-0000-0000871E0000}"/>
    <cellStyle name="Note 3 6 2 5" xfId="14315" xr:uid="{00000000-0005-0000-0000-0000881E0000}"/>
    <cellStyle name="Note 3 6 2 6" xfId="14258" xr:uid="{00000000-0005-0000-0000-0000891E0000}"/>
    <cellStyle name="Note 3 6 3" xfId="12267" xr:uid="{00000000-0005-0000-0000-00008A1E0000}"/>
    <cellStyle name="Note 3 6 3 2" xfId="15341" xr:uid="{00000000-0005-0000-0000-00008B1E0000}"/>
    <cellStyle name="Note 3 6 4" xfId="11115" xr:uid="{00000000-0005-0000-0000-00008C1E0000}"/>
    <cellStyle name="Note 3 6 4 2" xfId="14949" xr:uid="{00000000-0005-0000-0000-00008D1E0000}"/>
    <cellStyle name="Note 3 6 5" xfId="11238" xr:uid="{00000000-0005-0000-0000-00008E1E0000}"/>
    <cellStyle name="Note 3 6 6" xfId="14447" xr:uid="{00000000-0005-0000-0000-00008F1E0000}"/>
    <cellStyle name="Note 3 6 7" xfId="13995" xr:uid="{00000000-0005-0000-0000-0000901E0000}"/>
    <cellStyle name="Note 3 7" xfId="7137" xr:uid="{00000000-0005-0000-0000-0000911E0000}"/>
    <cellStyle name="Note 3 7 2" xfId="8944" xr:uid="{00000000-0005-0000-0000-0000921E0000}"/>
    <cellStyle name="Note 3 7 2 2" xfId="12801" xr:uid="{00000000-0005-0000-0000-0000931E0000}"/>
    <cellStyle name="Note 3 7 2 2 2" xfId="15650" xr:uid="{00000000-0005-0000-0000-0000941E0000}"/>
    <cellStyle name="Note 3 7 2 3" xfId="12435" xr:uid="{00000000-0005-0000-0000-0000951E0000}"/>
    <cellStyle name="Note 3 7 2 3 2" xfId="15399" xr:uid="{00000000-0005-0000-0000-0000961E0000}"/>
    <cellStyle name="Note 3 7 2 4" xfId="11633" xr:uid="{00000000-0005-0000-0000-0000971E0000}"/>
    <cellStyle name="Note 3 7 2 5" xfId="14865" xr:uid="{00000000-0005-0000-0000-0000981E0000}"/>
    <cellStyle name="Note 3 7 2 6" xfId="14280" xr:uid="{00000000-0005-0000-0000-0000991E0000}"/>
    <cellStyle name="Note 3 7 3" xfId="12287" xr:uid="{00000000-0005-0000-0000-00009A1E0000}"/>
    <cellStyle name="Note 3 7 3 2" xfId="15360" xr:uid="{00000000-0005-0000-0000-00009B1E0000}"/>
    <cellStyle name="Note 3 7 4" xfId="12976" xr:uid="{00000000-0005-0000-0000-00009C1E0000}"/>
    <cellStyle name="Note 3 7 4 2" xfId="15708" xr:uid="{00000000-0005-0000-0000-00009D1E0000}"/>
    <cellStyle name="Note 3 7 5" xfId="13101" xr:uid="{00000000-0005-0000-0000-00009E1E0000}"/>
    <cellStyle name="Note 3 7 6" xfId="14434" xr:uid="{00000000-0005-0000-0000-00009F1E0000}"/>
    <cellStyle name="Note 3 7 7" xfId="14017" xr:uid="{00000000-0005-0000-0000-0000A01E0000}"/>
    <cellStyle name="Note 3 8" xfId="7075" xr:uid="{00000000-0005-0000-0000-0000A11E0000}"/>
    <cellStyle name="Note 3 8 2" xfId="12231" xr:uid="{00000000-0005-0000-0000-0000A21E0000}"/>
    <cellStyle name="Note 3 8 2 2" xfId="15305" xr:uid="{00000000-0005-0000-0000-0000A31E0000}"/>
    <cellStyle name="Note 3 8 3" xfId="13059" xr:uid="{00000000-0005-0000-0000-0000A41E0000}"/>
    <cellStyle name="Note 3 8 3 2" xfId="15727" xr:uid="{00000000-0005-0000-0000-0000A51E0000}"/>
    <cellStyle name="Note 3 8 4" xfId="11262" xr:uid="{00000000-0005-0000-0000-0000A61E0000}"/>
    <cellStyle name="Note 3 8 5" xfId="14420" xr:uid="{00000000-0005-0000-0000-0000A71E0000}"/>
    <cellStyle name="Note 3 8 6" xfId="13955" xr:uid="{00000000-0005-0000-0000-0000A81E0000}"/>
    <cellStyle name="Note 3 9" xfId="11802" xr:uid="{00000000-0005-0000-0000-0000A91E0000}"/>
    <cellStyle name="Note 3 9 2" xfId="11392" xr:uid="{00000000-0005-0000-0000-0000AA1E0000}"/>
    <cellStyle name="Note 3 9 3" xfId="15087" xr:uid="{00000000-0005-0000-0000-0000AB1E0000}"/>
    <cellStyle name="Note 3 9 4" xfId="13728" xr:uid="{00000000-0005-0000-0000-0000AC1E0000}"/>
    <cellStyle name="Note 4" xfId="6898" xr:uid="{00000000-0005-0000-0000-0000AD1E0000}"/>
    <cellStyle name="Note 4 2" xfId="8735" xr:uid="{00000000-0005-0000-0000-0000AE1E0000}"/>
    <cellStyle name="Note 4 2 2" xfId="12607" xr:uid="{00000000-0005-0000-0000-0000AF1E0000}"/>
    <cellStyle name="Note 4 2 2 2" xfId="15464" xr:uid="{00000000-0005-0000-0000-0000B01E0000}"/>
    <cellStyle name="Note 4 2 3" xfId="12852" xr:uid="{00000000-0005-0000-0000-0000B11E0000}"/>
    <cellStyle name="Note 4 2 3 2" xfId="15681" xr:uid="{00000000-0005-0000-0000-0000B21E0000}"/>
    <cellStyle name="Note 4 2 4" xfId="13055" xr:uid="{00000000-0005-0000-0000-0000B31E0000}"/>
    <cellStyle name="Note 4 2 5" xfId="14634" xr:uid="{00000000-0005-0000-0000-0000B41E0000}"/>
    <cellStyle name="Note 4 2 6" xfId="14071" xr:uid="{00000000-0005-0000-0000-0000B51E0000}"/>
    <cellStyle name="Note 4 3" xfId="12065" xr:uid="{00000000-0005-0000-0000-0000B61E0000}"/>
    <cellStyle name="Note 4 3 2" xfId="12373" xr:uid="{00000000-0005-0000-0000-0000B71E0000}"/>
    <cellStyle name="Note 4 4" xfId="12966" xr:uid="{00000000-0005-0000-0000-0000B81E0000}"/>
    <cellStyle name="Note 4 4 2" xfId="15706" xr:uid="{00000000-0005-0000-0000-0000B91E0000}"/>
    <cellStyle name="Note 4 5" xfId="11884" xr:uid="{00000000-0005-0000-0000-0000BA1E0000}"/>
    <cellStyle name="Note 4 6" xfId="14553" xr:uid="{00000000-0005-0000-0000-0000BB1E0000}"/>
    <cellStyle name="Note 4 7" xfId="13784" xr:uid="{00000000-0005-0000-0000-0000BC1E0000}"/>
    <cellStyle name="Note 5" xfId="6948" xr:uid="{00000000-0005-0000-0000-0000BD1E0000}"/>
    <cellStyle name="Note 5 2" xfId="8778" xr:uid="{00000000-0005-0000-0000-0000BE1E0000}"/>
    <cellStyle name="Note 5 2 2" xfId="12647" xr:uid="{00000000-0005-0000-0000-0000BF1E0000}"/>
    <cellStyle name="Note 5 2 2 2" xfId="15503" xr:uid="{00000000-0005-0000-0000-0000C01E0000}"/>
    <cellStyle name="Note 5 2 3" xfId="11337" xr:uid="{00000000-0005-0000-0000-0000C11E0000}"/>
    <cellStyle name="Note 5 2 3 2" xfId="15002" xr:uid="{00000000-0005-0000-0000-0000C21E0000}"/>
    <cellStyle name="Note 5 2 4" xfId="12514" xr:uid="{00000000-0005-0000-0000-0000C31E0000}"/>
    <cellStyle name="Note 5 2 5" xfId="14660" xr:uid="{00000000-0005-0000-0000-0000C41E0000}"/>
    <cellStyle name="Note 5 2 6" xfId="14114" xr:uid="{00000000-0005-0000-0000-0000C51E0000}"/>
    <cellStyle name="Note 5 3" xfId="12111" xr:uid="{00000000-0005-0000-0000-0000C61E0000}"/>
    <cellStyle name="Note 5 3 2" xfId="15191" xr:uid="{00000000-0005-0000-0000-0000C71E0000}"/>
    <cellStyle name="Note 5 4" xfId="13148" xr:uid="{00000000-0005-0000-0000-0000C81E0000}"/>
    <cellStyle name="Note 5 4 2" xfId="15757" xr:uid="{00000000-0005-0000-0000-0000C91E0000}"/>
    <cellStyle name="Note 5 5" xfId="10981" xr:uid="{00000000-0005-0000-0000-0000CA1E0000}"/>
    <cellStyle name="Note 5 6" xfId="14537" xr:uid="{00000000-0005-0000-0000-0000CB1E0000}"/>
    <cellStyle name="Note 5 7" xfId="13832" xr:uid="{00000000-0005-0000-0000-0000CC1E0000}"/>
    <cellStyle name="Note 6" xfId="6958" xr:uid="{00000000-0005-0000-0000-0000CD1E0000}"/>
    <cellStyle name="Note 6 2" xfId="8787" xr:uid="{00000000-0005-0000-0000-0000CE1E0000}"/>
    <cellStyle name="Note 6 2 2" xfId="12656" xr:uid="{00000000-0005-0000-0000-0000CF1E0000}"/>
    <cellStyle name="Note 6 2 2 2" xfId="15512" xr:uid="{00000000-0005-0000-0000-0000D01E0000}"/>
    <cellStyle name="Note 6 2 3" xfId="11333" xr:uid="{00000000-0005-0000-0000-0000D11E0000}"/>
    <cellStyle name="Note 6 2 3 2" xfId="14998" xr:uid="{00000000-0005-0000-0000-0000D21E0000}"/>
    <cellStyle name="Note 6 2 4" xfId="13222" xr:uid="{00000000-0005-0000-0000-0000D31E0000}"/>
    <cellStyle name="Note 6 2 5" xfId="14688" xr:uid="{00000000-0005-0000-0000-0000D41E0000}"/>
    <cellStyle name="Note 6 2 6" xfId="14123" xr:uid="{00000000-0005-0000-0000-0000D51E0000}"/>
    <cellStyle name="Note 6 3" xfId="12121" xr:uid="{00000000-0005-0000-0000-0000D61E0000}"/>
    <cellStyle name="Note 6 3 2" xfId="15201" xr:uid="{00000000-0005-0000-0000-0000D71E0000}"/>
    <cellStyle name="Note 6 4" xfId="13162" xr:uid="{00000000-0005-0000-0000-0000D81E0000}"/>
    <cellStyle name="Note 6 4 2" xfId="15762" xr:uid="{00000000-0005-0000-0000-0000D91E0000}"/>
    <cellStyle name="Note 6 5" xfId="11758" xr:uid="{00000000-0005-0000-0000-0000DA1E0000}"/>
    <cellStyle name="Note 6 6" xfId="14374" xr:uid="{00000000-0005-0000-0000-0000DB1E0000}"/>
    <cellStyle name="Note 6 7" xfId="13840" xr:uid="{00000000-0005-0000-0000-0000DC1E0000}"/>
    <cellStyle name="Note 7" xfId="6933" xr:uid="{00000000-0005-0000-0000-0000DD1E0000}"/>
    <cellStyle name="Note 7 2" xfId="8764" xr:uid="{00000000-0005-0000-0000-0000DE1E0000}"/>
    <cellStyle name="Note 7 2 2" xfId="12634" xr:uid="{00000000-0005-0000-0000-0000DF1E0000}"/>
    <cellStyle name="Note 7 2 2 2" xfId="15490" xr:uid="{00000000-0005-0000-0000-0000E01E0000}"/>
    <cellStyle name="Note 7 2 3" xfId="11339" xr:uid="{00000000-0005-0000-0000-0000E11E0000}"/>
    <cellStyle name="Note 7 2 3 2" xfId="15004" xr:uid="{00000000-0005-0000-0000-0000E21E0000}"/>
    <cellStyle name="Note 7 2 4" xfId="13174" xr:uid="{00000000-0005-0000-0000-0000E31E0000}"/>
    <cellStyle name="Note 7 2 5" xfId="14675" xr:uid="{00000000-0005-0000-0000-0000E41E0000}"/>
    <cellStyle name="Note 7 2 6" xfId="14100" xr:uid="{00000000-0005-0000-0000-0000E51E0000}"/>
    <cellStyle name="Note 7 3" xfId="12097" xr:uid="{00000000-0005-0000-0000-0000E61E0000}"/>
    <cellStyle name="Note 7 3 2" xfId="15177" xr:uid="{00000000-0005-0000-0000-0000E71E0000}"/>
    <cellStyle name="Note 7 4" xfId="13073" xr:uid="{00000000-0005-0000-0000-0000E81E0000}"/>
    <cellStyle name="Note 7 4 2" xfId="15741" xr:uid="{00000000-0005-0000-0000-0000E91E0000}"/>
    <cellStyle name="Note 7 5" xfId="13029" xr:uid="{00000000-0005-0000-0000-0000EA1E0000}"/>
    <cellStyle name="Note 7 6" xfId="14379" xr:uid="{00000000-0005-0000-0000-0000EB1E0000}"/>
    <cellStyle name="Note 7 7" xfId="13817" xr:uid="{00000000-0005-0000-0000-0000EC1E0000}"/>
    <cellStyle name="Note 8" xfId="7018" xr:uid="{00000000-0005-0000-0000-0000ED1E0000}"/>
    <cellStyle name="Note 8 2" xfId="8833" xr:uid="{00000000-0005-0000-0000-0000EE1E0000}"/>
    <cellStyle name="Note 8 2 2" xfId="12699" xr:uid="{00000000-0005-0000-0000-0000EF1E0000}"/>
    <cellStyle name="Note 8 2 2 2" xfId="15552" xr:uid="{00000000-0005-0000-0000-0000F01E0000}"/>
    <cellStyle name="Note 8 2 3" xfId="11330" xr:uid="{00000000-0005-0000-0000-0000F11E0000}"/>
    <cellStyle name="Note 8 2 3 2" xfId="14995" xr:uid="{00000000-0005-0000-0000-0000F21E0000}"/>
    <cellStyle name="Note 8 2 4" xfId="12517" xr:uid="{00000000-0005-0000-0000-0000F31E0000}"/>
    <cellStyle name="Note 8 2 5" xfId="14320" xr:uid="{00000000-0005-0000-0000-0000F41E0000}"/>
    <cellStyle name="Note 8 2 6" xfId="14169" xr:uid="{00000000-0005-0000-0000-0000F51E0000}"/>
    <cellStyle name="Note 8 3" xfId="12178" xr:uid="{00000000-0005-0000-0000-0000F61E0000}"/>
    <cellStyle name="Note 8 3 2" xfId="15255" xr:uid="{00000000-0005-0000-0000-0000F71E0000}"/>
    <cellStyle name="Note 8 4" xfId="12842" xr:uid="{00000000-0005-0000-0000-0000F81E0000}"/>
    <cellStyle name="Note 8 4 2" xfId="15680" xr:uid="{00000000-0005-0000-0000-0000F91E0000}"/>
    <cellStyle name="Note 8 5" xfId="11876" xr:uid="{00000000-0005-0000-0000-0000FA1E0000}"/>
    <cellStyle name="Note 8 6" xfId="14490" xr:uid="{00000000-0005-0000-0000-0000FB1E0000}"/>
    <cellStyle name="Note 8 7" xfId="13900" xr:uid="{00000000-0005-0000-0000-0000FC1E0000}"/>
    <cellStyle name="Note 9" xfId="7031" xr:uid="{00000000-0005-0000-0000-0000FD1E0000}"/>
    <cellStyle name="Note 9 2" xfId="8844" xr:uid="{00000000-0005-0000-0000-0000FE1E0000}"/>
    <cellStyle name="Note 9 2 2" xfId="12710" xr:uid="{00000000-0005-0000-0000-0000FF1E0000}"/>
    <cellStyle name="Note 9 2 2 2" xfId="15562" xr:uid="{00000000-0005-0000-0000-0000001F0000}"/>
    <cellStyle name="Note 9 2 3" xfId="11329" xr:uid="{00000000-0005-0000-0000-0000011F0000}"/>
    <cellStyle name="Note 9 2 3 2" xfId="14994" xr:uid="{00000000-0005-0000-0000-0000021F0000}"/>
    <cellStyle name="Note 9 2 4" xfId="12520" xr:uid="{00000000-0005-0000-0000-0000031F0000}"/>
    <cellStyle name="Note 9 2 5" xfId="14617" xr:uid="{00000000-0005-0000-0000-0000041F0000}"/>
    <cellStyle name="Note 9 2 6" xfId="14180" xr:uid="{00000000-0005-0000-0000-0000051F0000}"/>
    <cellStyle name="Note 9 3" xfId="12190" xr:uid="{00000000-0005-0000-0000-0000061F0000}"/>
    <cellStyle name="Note 9 3 2" xfId="15267" xr:uid="{00000000-0005-0000-0000-0000071F0000}"/>
    <cellStyle name="Note 9 4" xfId="12541" xr:uid="{00000000-0005-0000-0000-0000081F0000}"/>
    <cellStyle name="Note 9 4 2" xfId="15429" xr:uid="{00000000-0005-0000-0000-0000091F0000}"/>
    <cellStyle name="Note 9 5" xfId="11221" xr:uid="{00000000-0005-0000-0000-00000A1F0000}"/>
    <cellStyle name="Note 9 6" xfId="14421" xr:uid="{00000000-0005-0000-0000-00000B1F0000}"/>
    <cellStyle name="Note 9 7" xfId="13912" xr:uid="{00000000-0005-0000-0000-00000C1F0000}"/>
    <cellStyle name="Numero" xfId="2968" xr:uid="{00000000-0005-0000-0000-00000D1F0000}"/>
    <cellStyle name="Numero 2" xfId="8149" xr:uid="{00000000-0005-0000-0000-00000E1F0000}"/>
    <cellStyle name="Output" xfId="418" xr:uid="{00000000-0005-0000-0000-00000F1F0000}"/>
    <cellStyle name="Output 10" xfId="13192" xr:uid="{00000000-0005-0000-0000-0000101F0000}"/>
    <cellStyle name="Output 10 2" xfId="15780" xr:uid="{00000000-0005-0000-0000-0000111F0000}"/>
    <cellStyle name="Output 11" xfId="11046" xr:uid="{00000000-0005-0000-0000-0000121F0000}"/>
    <cellStyle name="Output 11 2" xfId="14930" xr:uid="{00000000-0005-0000-0000-0000131F0000}"/>
    <cellStyle name="Output 12" xfId="11446" xr:uid="{00000000-0005-0000-0000-0000141F0000}"/>
    <cellStyle name="Output 12 2" xfId="15026" xr:uid="{00000000-0005-0000-0000-0000151F0000}"/>
    <cellStyle name="Output 13" xfId="14606" xr:uid="{00000000-0005-0000-0000-0000161F0000}"/>
    <cellStyle name="Output 14" xfId="13373" xr:uid="{00000000-0005-0000-0000-0000171F0000}"/>
    <cellStyle name="Output 15" xfId="15867" xr:uid="{00000000-0005-0000-0000-0000181F0000}"/>
    <cellStyle name="Output 2" xfId="4978" xr:uid="{00000000-0005-0000-0000-0000191F0000}"/>
    <cellStyle name="Output 2 10" xfId="11808" xr:uid="{00000000-0005-0000-0000-00001A1F0000}"/>
    <cellStyle name="Output 2 10 2" xfId="11507" xr:uid="{00000000-0005-0000-0000-00001B1F0000}"/>
    <cellStyle name="Output 2 10 2 2" xfId="15034" xr:uid="{00000000-0005-0000-0000-00001C1F0000}"/>
    <cellStyle name="Output 2 10 3" xfId="15090" xr:uid="{00000000-0005-0000-0000-00001D1F0000}"/>
    <cellStyle name="Output 2 11" xfId="11846" xr:uid="{00000000-0005-0000-0000-00001E1F0000}"/>
    <cellStyle name="Output 2 11 2" xfId="15097" xr:uid="{00000000-0005-0000-0000-00001F1F0000}"/>
    <cellStyle name="Output 2 12" xfId="14775" xr:uid="{00000000-0005-0000-0000-0000201F0000}"/>
    <cellStyle name="Output 2 13" xfId="13734" xr:uid="{00000000-0005-0000-0000-0000211F0000}"/>
    <cellStyle name="Output 2 14" xfId="18013" xr:uid="{00000000-0005-0000-0000-0000221F0000}"/>
    <cellStyle name="Output 2 2" xfId="7063" xr:uid="{00000000-0005-0000-0000-0000231F0000}"/>
    <cellStyle name="Output 2 2 2" xfId="8871" xr:uid="{00000000-0005-0000-0000-0000241F0000}"/>
    <cellStyle name="Output 2 2 2 2" xfId="12736" xr:uid="{00000000-0005-0000-0000-0000251F0000}"/>
    <cellStyle name="Output 2 2 2 2 2" xfId="15587" xr:uid="{00000000-0005-0000-0000-0000261F0000}"/>
    <cellStyle name="Output 2 2 2 3" xfId="11415" xr:uid="{00000000-0005-0000-0000-0000271F0000}"/>
    <cellStyle name="Output 2 2 2 3 2" xfId="15008" xr:uid="{00000000-0005-0000-0000-0000281F0000}"/>
    <cellStyle name="Output 2 2 2 4" xfId="14646" xr:uid="{00000000-0005-0000-0000-0000291F0000}"/>
    <cellStyle name="Output 2 2 2 5" xfId="14207" xr:uid="{00000000-0005-0000-0000-00002A1F0000}"/>
    <cellStyle name="Output 2 2 3" xfId="12221" xr:uid="{00000000-0005-0000-0000-00002B1F0000}"/>
    <cellStyle name="Output 2 2 3 2" xfId="15296" xr:uid="{00000000-0005-0000-0000-00002C1F0000}"/>
    <cellStyle name="Output 2 2 4" xfId="11228" xr:uid="{00000000-0005-0000-0000-00002D1F0000}"/>
    <cellStyle name="Output 2 2 4 2" xfId="14964" xr:uid="{00000000-0005-0000-0000-00002E1F0000}"/>
    <cellStyle name="Output 2 2 5" xfId="14471" xr:uid="{00000000-0005-0000-0000-00002F1F0000}"/>
    <cellStyle name="Output 2 2 6" xfId="13943" xr:uid="{00000000-0005-0000-0000-0000301F0000}"/>
    <cellStyle name="Output 2 3" xfId="7078" xr:uid="{00000000-0005-0000-0000-0000311F0000}"/>
    <cellStyle name="Output 2 3 2" xfId="8885" xr:uid="{00000000-0005-0000-0000-0000321F0000}"/>
    <cellStyle name="Output 2 3 2 2" xfId="12748" xr:uid="{00000000-0005-0000-0000-0000331F0000}"/>
    <cellStyle name="Output 2 3 2 2 2" xfId="15598" xr:uid="{00000000-0005-0000-0000-0000341F0000}"/>
    <cellStyle name="Output 2 3 2 3" xfId="11720" xr:uid="{00000000-0005-0000-0000-0000351F0000}"/>
    <cellStyle name="Output 2 3 2 3 2" xfId="15073" xr:uid="{00000000-0005-0000-0000-0000361F0000}"/>
    <cellStyle name="Output 2 3 2 4" xfId="14852" xr:uid="{00000000-0005-0000-0000-0000371F0000}"/>
    <cellStyle name="Output 2 3 2 5" xfId="14221" xr:uid="{00000000-0005-0000-0000-0000381F0000}"/>
    <cellStyle name="Output 2 3 3" xfId="12234" xr:uid="{00000000-0005-0000-0000-0000391F0000}"/>
    <cellStyle name="Output 2 3 3 2" xfId="15308" xr:uid="{00000000-0005-0000-0000-00003A1F0000}"/>
    <cellStyle name="Output 2 3 4" xfId="11050" xr:uid="{00000000-0005-0000-0000-00003B1F0000}"/>
    <cellStyle name="Output 2 3 4 2" xfId="14933" xr:uid="{00000000-0005-0000-0000-00003C1F0000}"/>
    <cellStyle name="Output 2 3 5" xfId="14465" xr:uid="{00000000-0005-0000-0000-00003D1F0000}"/>
    <cellStyle name="Output 2 3 6" xfId="13958" xr:uid="{00000000-0005-0000-0000-00003E1F0000}"/>
    <cellStyle name="Output 2 4" xfId="6875" xr:uid="{00000000-0005-0000-0000-00003F1F0000}"/>
    <cellStyle name="Output 2 4 2" xfId="8715" xr:uid="{00000000-0005-0000-0000-0000401F0000}"/>
    <cellStyle name="Output 2 4 2 2" xfId="12589" xr:uid="{00000000-0005-0000-0000-0000411F0000}"/>
    <cellStyle name="Output 2 4 2 2 2" xfId="15447" xr:uid="{00000000-0005-0000-0000-0000421F0000}"/>
    <cellStyle name="Output 2 4 2 3" xfId="13177" xr:uid="{00000000-0005-0000-0000-0000431F0000}"/>
    <cellStyle name="Output 2 4 2 3 2" xfId="15767" xr:uid="{00000000-0005-0000-0000-0000441F0000}"/>
    <cellStyle name="Output 2 4 2 4" xfId="14710" xr:uid="{00000000-0005-0000-0000-0000451F0000}"/>
    <cellStyle name="Output 2 4 2 5" xfId="14051" xr:uid="{00000000-0005-0000-0000-0000461F0000}"/>
    <cellStyle name="Output 2 4 3" xfId="12044" xr:uid="{00000000-0005-0000-0000-0000471F0000}"/>
    <cellStyle name="Output 2 4 3 2" xfId="15129" xr:uid="{00000000-0005-0000-0000-0000481F0000}"/>
    <cellStyle name="Output 2 4 4" xfId="13030" xr:uid="{00000000-0005-0000-0000-0000491F0000}"/>
    <cellStyle name="Output 2 4 4 2" xfId="15714" xr:uid="{00000000-0005-0000-0000-00004A1F0000}"/>
    <cellStyle name="Output 2 4 5" xfId="14532" xr:uid="{00000000-0005-0000-0000-00004B1F0000}"/>
    <cellStyle name="Output 2 4 6" xfId="13762" xr:uid="{00000000-0005-0000-0000-00004C1F0000}"/>
    <cellStyle name="Output 2 5" xfId="7096" xr:uid="{00000000-0005-0000-0000-00004D1F0000}"/>
    <cellStyle name="Output 2 5 2" xfId="8903" xr:uid="{00000000-0005-0000-0000-00004E1F0000}"/>
    <cellStyle name="Output 2 5 2 2" xfId="12766" xr:uid="{00000000-0005-0000-0000-00004F1F0000}"/>
    <cellStyle name="Output 2 5 2 2 2" xfId="15616" xr:uid="{00000000-0005-0000-0000-0000501F0000}"/>
    <cellStyle name="Output 2 5 2 3" xfId="11552" xr:uid="{00000000-0005-0000-0000-0000511F0000}"/>
    <cellStyle name="Output 2 5 2 3 2" xfId="15037" xr:uid="{00000000-0005-0000-0000-0000521F0000}"/>
    <cellStyle name="Output 2 5 2 4" xfId="14318" xr:uid="{00000000-0005-0000-0000-0000531F0000}"/>
    <cellStyle name="Output 2 5 2 5" xfId="14239" xr:uid="{00000000-0005-0000-0000-0000541F0000}"/>
    <cellStyle name="Output 2 5 3" xfId="12252" xr:uid="{00000000-0005-0000-0000-0000551F0000}"/>
    <cellStyle name="Output 2 5 3 2" xfId="15326" xr:uid="{00000000-0005-0000-0000-0000561F0000}"/>
    <cellStyle name="Output 2 5 4" xfId="11263" xr:uid="{00000000-0005-0000-0000-0000571F0000}"/>
    <cellStyle name="Output 2 5 4 2" xfId="14971" xr:uid="{00000000-0005-0000-0000-0000581F0000}"/>
    <cellStyle name="Output 2 5 5" xfId="14729" xr:uid="{00000000-0005-0000-0000-0000591F0000}"/>
    <cellStyle name="Output 2 5 6" xfId="13976" xr:uid="{00000000-0005-0000-0000-00005A1F0000}"/>
    <cellStyle name="Output 2 6" xfId="6998" xr:uid="{00000000-0005-0000-0000-00005B1F0000}"/>
    <cellStyle name="Output 2 6 2" xfId="8818" xr:uid="{00000000-0005-0000-0000-00005C1F0000}"/>
    <cellStyle name="Output 2 6 2 2" xfId="12686" xr:uid="{00000000-0005-0000-0000-00005D1F0000}"/>
    <cellStyle name="Output 2 6 2 2 2" xfId="15540" xr:uid="{00000000-0005-0000-0000-00005E1F0000}"/>
    <cellStyle name="Output 2 6 2 3" xfId="11673" xr:uid="{00000000-0005-0000-0000-00005F1F0000}"/>
    <cellStyle name="Output 2 6 2 3 2" xfId="15067" xr:uid="{00000000-0005-0000-0000-0000601F0000}"/>
    <cellStyle name="Output 2 6 2 4" xfId="14331" xr:uid="{00000000-0005-0000-0000-0000611F0000}"/>
    <cellStyle name="Output 2 6 2 5" xfId="14154" xr:uid="{00000000-0005-0000-0000-0000621F0000}"/>
    <cellStyle name="Output 2 6 3" xfId="12160" xr:uid="{00000000-0005-0000-0000-0000631F0000}"/>
    <cellStyle name="Output 2 6 3 2" xfId="15238" xr:uid="{00000000-0005-0000-0000-0000641F0000}"/>
    <cellStyle name="Output 2 6 4" xfId="11215" xr:uid="{00000000-0005-0000-0000-0000651F0000}"/>
    <cellStyle name="Output 2 6 4 2" xfId="14960" xr:uid="{00000000-0005-0000-0000-0000661F0000}"/>
    <cellStyle name="Output 2 6 5" xfId="14499" xr:uid="{00000000-0005-0000-0000-0000671F0000}"/>
    <cellStyle name="Output 2 6 6" xfId="13880" xr:uid="{00000000-0005-0000-0000-0000681F0000}"/>
    <cellStyle name="Output 2 7" xfId="7121" xr:uid="{00000000-0005-0000-0000-0000691F0000}"/>
    <cellStyle name="Output 2 7 2" xfId="8928" xr:uid="{00000000-0005-0000-0000-00006A1F0000}"/>
    <cellStyle name="Output 2 7 2 2" xfId="12787" xr:uid="{00000000-0005-0000-0000-00006B1F0000}"/>
    <cellStyle name="Output 2 7 2 2 2" xfId="15637" xr:uid="{00000000-0005-0000-0000-00006C1F0000}"/>
    <cellStyle name="Output 2 7 2 3" xfId="11615" xr:uid="{00000000-0005-0000-0000-00006D1F0000}"/>
    <cellStyle name="Output 2 7 2 3 2" xfId="15049" xr:uid="{00000000-0005-0000-0000-00006E1F0000}"/>
    <cellStyle name="Output 2 7 2 4" xfId="14299" xr:uid="{00000000-0005-0000-0000-00006F1F0000}"/>
    <cellStyle name="Output 2 7 2 5" xfId="14264" xr:uid="{00000000-0005-0000-0000-0000701F0000}"/>
    <cellStyle name="Output 2 7 3" xfId="12273" xr:uid="{00000000-0005-0000-0000-0000711F0000}"/>
    <cellStyle name="Output 2 7 3 2" xfId="15347" xr:uid="{00000000-0005-0000-0000-0000721F0000}"/>
    <cellStyle name="Output 2 7 4" xfId="12928" xr:uid="{00000000-0005-0000-0000-0000731F0000}"/>
    <cellStyle name="Output 2 7 4 2" xfId="15699" xr:uid="{00000000-0005-0000-0000-0000741F0000}"/>
    <cellStyle name="Output 2 7 5" xfId="14311" xr:uid="{00000000-0005-0000-0000-0000751F0000}"/>
    <cellStyle name="Output 2 7 6" xfId="14001" xr:uid="{00000000-0005-0000-0000-0000761F0000}"/>
    <cellStyle name="Output 2 8" xfId="7143" xr:uid="{00000000-0005-0000-0000-0000771F0000}"/>
    <cellStyle name="Output 2 8 2" xfId="8950" xr:uid="{00000000-0005-0000-0000-0000781F0000}"/>
    <cellStyle name="Output 2 8 2 2" xfId="12807" xr:uid="{00000000-0005-0000-0000-0000791F0000}"/>
    <cellStyle name="Output 2 8 2 2 2" xfId="15656" xr:uid="{00000000-0005-0000-0000-00007A1F0000}"/>
    <cellStyle name="Output 2 8 2 3" xfId="11419" xr:uid="{00000000-0005-0000-0000-00007B1F0000}"/>
    <cellStyle name="Output 2 8 2 3 2" xfId="15010" xr:uid="{00000000-0005-0000-0000-00007C1F0000}"/>
    <cellStyle name="Output 2 8 2 4" xfId="14846" xr:uid="{00000000-0005-0000-0000-00007D1F0000}"/>
    <cellStyle name="Output 2 8 2 5" xfId="14286" xr:uid="{00000000-0005-0000-0000-00007E1F0000}"/>
    <cellStyle name="Output 2 8 3" xfId="12293" xr:uid="{00000000-0005-0000-0000-00007F1F0000}"/>
    <cellStyle name="Output 2 8 3 2" xfId="15366" xr:uid="{00000000-0005-0000-0000-0000801F0000}"/>
    <cellStyle name="Output 2 8 4" xfId="13285" xr:uid="{00000000-0005-0000-0000-0000811F0000}"/>
    <cellStyle name="Output 2 8 4 2" xfId="15798" xr:uid="{00000000-0005-0000-0000-0000821F0000}"/>
    <cellStyle name="Output 2 8 5" xfId="14310" xr:uid="{00000000-0005-0000-0000-0000831F0000}"/>
    <cellStyle name="Output 2 8 6" xfId="14023" xr:uid="{00000000-0005-0000-0000-0000841F0000}"/>
    <cellStyle name="Output 2 9" xfId="6942" xr:uid="{00000000-0005-0000-0000-0000851F0000}"/>
    <cellStyle name="Output 2 9 2" xfId="12106" xr:uid="{00000000-0005-0000-0000-0000861F0000}"/>
    <cellStyle name="Output 2 9 2 2" xfId="15186" xr:uid="{00000000-0005-0000-0000-0000871F0000}"/>
    <cellStyle name="Output 2 9 3" xfId="11777" xr:uid="{00000000-0005-0000-0000-0000881F0000}"/>
    <cellStyle name="Output 2 9 3 2" xfId="15080" xr:uid="{00000000-0005-0000-0000-0000891F0000}"/>
    <cellStyle name="Output 2 9 4" xfId="14547" xr:uid="{00000000-0005-0000-0000-00008A1F0000}"/>
    <cellStyle name="Output 2 9 5" xfId="13826" xr:uid="{00000000-0005-0000-0000-00008B1F0000}"/>
    <cellStyle name="Output 3" xfId="6899" xr:uid="{00000000-0005-0000-0000-00008C1F0000}"/>
    <cellStyle name="Output 3 2" xfId="8736" xr:uid="{00000000-0005-0000-0000-00008D1F0000}"/>
    <cellStyle name="Output 3 2 2" xfId="12608" xr:uid="{00000000-0005-0000-0000-00008E1F0000}"/>
    <cellStyle name="Output 3 2 2 2" xfId="15465" xr:uid="{00000000-0005-0000-0000-00008F1F0000}"/>
    <cellStyle name="Output 3 2 3" xfId="13054" xr:uid="{00000000-0005-0000-0000-0000901F0000}"/>
    <cellStyle name="Output 3 2 3 2" xfId="15724" xr:uid="{00000000-0005-0000-0000-0000911F0000}"/>
    <cellStyle name="Output 3 2 4" xfId="14826" xr:uid="{00000000-0005-0000-0000-0000921F0000}"/>
    <cellStyle name="Output 3 2 5" xfId="14072" xr:uid="{00000000-0005-0000-0000-0000931F0000}"/>
    <cellStyle name="Output 3 3" xfId="12066" xr:uid="{00000000-0005-0000-0000-0000941F0000}"/>
    <cellStyle name="Output 3 3 2" xfId="13048" xr:uid="{00000000-0005-0000-0000-0000951F0000}"/>
    <cellStyle name="Output 3 3 2 2" xfId="15721" xr:uid="{00000000-0005-0000-0000-0000961F0000}"/>
    <cellStyle name="Output 3 3 3" xfId="15146" xr:uid="{00000000-0005-0000-0000-0000971F0000}"/>
    <cellStyle name="Output 3 4" xfId="11933" xr:uid="{00000000-0005-0000-0000-0000981F0000}"/>
    <cellStyle name="Output 3 4 2" xfId="15117" xr:uid="{00000000-0005-0000-0000-0000991F0000}"/>
    <cellStyle name="Output 3 5" xfId="14530" xr:uid="{00000000-0005-0000-0000-00009A1F0000}"/>
    <cellStyle name="Output 3 6" xfId="13785" xr:uid="{00000000-0005-0000-0000-00009B1F0000}"/>
    <cellStyle name="Output 4" xfId="6938" xr:uid="{00000000-0005-0000-0000-00009C1F0000}"/>
    <cellStyle name="Output 4 2" xfId="8769" xr:uid="{00000000-0005-0000-0000-00009D1F0000}"/>
    <cellStyle name="Output 4 2 2" xfId="12639" xr:uid="{00000000-0005-0000-0000-00009E1F0000}"/>
    <cellStyle name="Output 4 2 2 2" xfId="15495" xr:uid="{00000000-0005-0000-0000-00009F1F0000}"/>
    <cellStyle name="Output 4 2 3" xfId="11941" xr:uid="{00000000-0005-0000-0000-0000A01F0000}"/>
    <cellStyle name="Output 4 2 3 2" xfId="15119" xr:uid="{00000000-0005-0000-0000-0000A11F0000}"/>
    <cellStyle name="Output 4 2 4" xfId="14824" xr:uid="{00000000-0005-0000-0000-0000A21F0000}"/>
    <cellStyle name="Output 4 2 5" xfId="14105" xr:uid="{00000000-0005-0000-0000-0000A31F0000}"/>
    <cellStyle name="Output 4 3" xfId="12102" xr:uid="{00000000-0005-0000-0000-0000A41F0000}"/>
    <cellStyle name="Output 4 3 2" xfId="15182" xr:uid="{00000000-0005-0000-0000-0000A51F0000}"/>
    <cellStyle name="Output 4 4" xfId="11595" xr:uid="{00000000-0005-0000-0000-0000A61F0000}"/>
    <cellStyle name="Output 4 4 2" xfId="15044" xr:uid="{00000000-0005-0000-0000-0000A71F0000}"/>
    <cellStyle name="Output 4 5" xfId="14521" xr:uid="{00000000-0005-0000-0000-0000A81F0000}"/>
    <cellStyle name="Output 4 6" xfId="13822" xr:uid="{00000000-0005-0000-0000-0000A91F0000}"/>
    <cellStyle name="Output 5" xfId="7036" xr:uid="{00000000-0005-0000-0000-0000AA1F0000}"/>
    <cellStyle name="Output 5 2" xfId="8848" xr:uid="{00000000-0005-0000-0000-0000AB1F0000}"/>
    <cellStyle name="Output 5 2 2" xfId="12714" xr:uid="{00000000-0005-0000-0000-0000AC1F0000}"/>
    <cellStyle name="Output 5 2 2 2" xfId="15566" xr:uid="{00000000-0005-0000-0000-0000AD1F0000}"/>
    <cellStyle name="Output 5 2 3" xfId="12524" xr:uid="{00000000-0005-0000-0000-0000AE1F0000}"/>
    <cellStyle name="Output 5 2 3 2" xfId="15420" xr:uid="{00000000-0005-0000-0000-0000AF1F0000}"/>
    <cellStyle name="Output 5 2 4" xfId="14665" xr:uid="{00000000-0005-0000-0000-0000B01F0000}"/>
    <cellStyle name="Output 5 2 5" xfId="14184" xr:uid="{00000000-0005-0000-0000-0000B11F0000}"/>
    <cellStyle name="Output 5 3" xfId="12195" xr:uid="{00000000-0005-0000-0000-0000B21F0000}"/>
    <cellStyle name="Output 5 3 2" xfId="15272" xr:uid="{00000000-0005-0000-0000-0000B31F0000}"/>
    <cellStyle name="Output 5 4" xfId="13344" xr:uid="{00000000-0005-0000-0000-0000B41F0000}"/>
    <cellStyle name="Output 5 4 2" xfId="15802" xr:uid="{00000000-0005-0000-0000-0000B51F0000}"/>
    <cellStyle name="Output 5 5" xfId="14748" xr:uid="{00000000-0005-0000-0000-0000B61F0000}"/>
    <cellStyle name="Output 5 6" xfId="13917" xr:uid="{00000000-0005-0000-0000-0000B71F0000}"/>
    <cellStyle name="Output 6" xfId="7050" xr:uid="{00000000-0005-0000-0000-0000B81F0000}"/>
    <cellStyle name="Output 6 2" xfId="8859" xr:uid="{00000000-0005-0000-0000-0000B91F0000}"/>
    <cellStyle name="Output 6 2 2" xfId="12724" xr:uid="{00000000-0005-0000-0000-0000BA1F0000}"/>
    <cellStyle name="Output 6 2 2 2" xfId="15575" xr:uid="{00000000-0005-0000-0000-0000BB1F0000}"/>
    <cellStyle name="Output 6 2 3" xfId="11670" xr:uid="{00000000-0005-0000-0000-0000BC1F0000}"/>
    <cellStyle name="Output 6 2 3 2" xfId="15066" xr:uid="{00000000-0005-0000-0000-0000BD1F0000}"/>
    <cellStyle name="Output 6 2 4" xfId="14657" xr:uid="{00000000-0005-0000-0000-0000BE1F0000}"/>
    <cellStyle name="Output 6 2 5" xfId="14195" xr:uid="{00000000-0005-0000-0000-0000BF1F0000}"/>
    <cellStyle name="Output 6 3" xfId="12208" xr:uid="{00000000-0005-0000-0000-0000C01F0000}"/>
    <cellStyle name="Output 6 3 2" xfId="15284" xr:uid="{00000000-0005-0000-0000-0000C11F0000}"/>
    <cellStyle name="Output 6 4" xfId="10913" xr:uid="{00000000-0005-0000-0000-0000C21F0000}"/>
    <cellStyle name="Output 6 4 2" xfId="14915" xr:uid="{00000000-0005-0000-0000-0000C31F0000}"/>
    <cellStyle name="Output 6 5" xfId="14743" xr:uid="{00000000-0005-0000-0000-0000C41F0000}"/>
    <cellStyle name="Output 6 6" xfId="13931" xr:uid="{00000000-0005-0000-0000-0000C51F0000}"/>
    <cellStyle name="Output 7" xfId="7045" xr:uid="{00000000-0005-0000-0000-0000C61F0000}"/>
    <cellStyle name="Output 7 2" xfId="8856" xr:uid="{00000000-0005-0000-0000-0000C71F0000}"/>
    <cellStyle name="Output 7 2 2" xfId="12721" xr:uid="{00000000-0005-0000-0000-0000C81F0000}"/>
    <cellStyle name="Output 7 2 2 2" xfId="15572" xr:uid="{00000000-0005-0000-0000-0000C91F0000}"/>
    <cellStyle name="Output 7 2 3" xfId="10928" xr:uid="{00000000-0005-0000-0000-0000CA1F0000}"/>
    <cellStyle name="Output 7 2 3 2" xfId="14917" xr:uid="{00000000-0005-0000-0000-0000CB1F0000}"/>
    <cellStyle name="Output 7 2 4" xfId="14866" xr:uid="{00000000-0005-0000-0000-0000CC1F0000}"/>
    <cellStyle name="Output 7 2 5" xfId="14192" xr:uid="{00000000-0005-0000-0000-0000CD1F0000}"/>
    <cellStyle name="Output 7 3" xfId="12203" xr:uid="{00000000-0005-0000-0000-0000CE1F0000}"/>
    <cellStyle name="Output 7 3 2" xfId="15279" xr:uid="{00000000-0005-0000-0000-0000CF1F0000}"/>
    <cellStyle name="Output 7 4" xfId="12564" xr:uid="{00000000-0005-0000-0000-0000D01F0000}"/>
    <cellStyle name="Output 7 4 2" xfId="15439" xr:uid="{00000000-0005-0000-0000-0000D11F0000}"/>
    <cellStyle name="Output 7 5" xfId="14480" xr:uid="{00000000-0005-0000-0000-0000D21F0000}"/>
    <cellStyle name="Output 7 6" xfId="13926" xr:uid="{00000000-0005-0000-0000-0000D31F0000}"/>
    <cellStyle name="Output 8" xfId="6936" xr:uid="{00000000-0005-0000-0000-0000D41F0000}"/>
    <cellStyle name="Output 8 2" xfId="8767" xr:uid="{00000000-0005-0000-0000-0000D51F0000}"/>
    <cellStyle name="Output 8 2 2" xfId="12637" xr:uid="{00000000-0005-0000-0000-0000D61F0000}"/>
    <cellStyle name="Output 8 2 2 2" xfId="15493" xr:uid="{00000000-0005-0000-0000-0000D71F0000}"/>
    <cellStyle name="Output 8 2 3" xfId="12508" xr:uid="{00000000-0005-0000-0000-0000D81F0000}"/>
    <cellStyle name="Output 8 2 3 2" xfId="15416" xr:uid="{00000000-0005-0000-0000-0000D91F0000}"/>
    <cellStyle name="Output 8 2 4" xfId="14643" xr:uid="{00000000-0005-0000-0000-0000DA1F0000}"/>
    <cellStyle name="Output 8 2 5" xfId="14103" xr:uid="{00000000-0005-0000-0000-0000DB1F0000}"/>
    <cellStyle name="Output 8 3" xfId="12100" xr:uid="{00000000-0005-0000-0000-0000DC1F0000}"/>
    <cellStyle name="Output 8 3 2" xfId="15180" xr:uid="{00000000-0005-0000-0000-0000DD1F0000}"/>
    <cellStyle name="Output 8 4" xfId="12581" xr:uid="{00000000-0005-0000-0000-0000DE1F0000}"/>
    <cellStyle name="Output 8 4 2" xfId="15441" xr:uid="{00000000-0005-0000-0000-0000DF1F0000}"/>
    <cellStyle name="Output 8 5" xfId="14522" xr:uid="{00000000-0005-0000-0000-0000E01F0000}"/>
    <cellStyle name="Output 8 6" xfId="13820" xr:uid="{00000000-0005-0000-0000-0000E11F0000}"/>
    <cellStyle name="Output 9" xfId="7009" xr:uid="{00000000-0005-0000-0000-0000E21F0000}"/>
    <cellStyle name="Output 9 2" xfId="12170" xr:uid="{00000000-0005-0000-0000-0000E31F0000}"/>
    <cellStyle name="Output 9 2 2" xfId="15248" xr:uid="{00000000-0005-0000-0000-0000E41F0000}"/>
    <cellStyle name="Output 9 3" xfId="12897" xr:uid="{00000000-0005-0000-0000-0000E51F0000}"/>
    <cellStyle name="Output 9 3 2" xfId="15692" xr:uid="{00000000-0005-0000-0000-0000E61F0000}"/>
    <cellStyle name="Output 9 4" xfId="14754" xr:uid="{00000000-0005-0000-0000-0000E71F0000}"/>
    <cellStyle name="Output 9 5" xfId="13891" xr:uid="{00000000-0005-0000-0000-0000E81F0000}"/>
    <cellStyle name="Percent [2]" xfId="310" xr:uid="{00000000-0005-0000-0000-0000E91F0000}"/>
    <cellStyle name="Percent [2] 2" xfId="775" xr:uid="{00000000-0005-0000-0000-0000EA1F0000}"/>
    <cellStyle name="Percent [2] 2 2" xfId="9714" xr:uid="{00000000-0005-0000-0000-0000EB1F0000}"/>
    <cellStyle name="Percent [2] 3" xfId="8150" xr:uid="{00000000-0005-0000-0000-0000EC1F0000}"/>
    <cellStyle name="Percent [2] 4" xfId="8151" xr:uid="{00000000-0005-0000-0000-0000ED1F0000}"/>
    <cellStyle name="Percent [2] 5" xfId="8152" xr:uid="{00000000-0005-0000-0000-0000EE1F0000}"/>
    <cellStyle name="Percent [2] 6" xfId="8153" xr:uid="{00000000-0005-0000-0000-0000EF1F0000}"/>
    <cellStyle name="Percent [2] 7" xfId="8154" xr:uid="{00000000-0005-0000-0000-0000F01F0000}"/>
    <cellStyle name="Percent [2] 8" xfId="8155" xr:uid="{00000000-0005-0000-0000-0000F11F0000}"/>
    <cellStyle name="Percent_Sheet1" xfId="311" xr:uid="{00000000-0005-0000-0000-0000F21F0000}"/>
    <cellStyle name="Percentual" xfId="312" xr:uid="{00000000-0005-0000-0000-0000F31F0000}"/>
    <cellStyle name="Ponto" xfId="313" xr:uid="{00000000-0005-0000-0000-0000F41F0000}"/>
    <cellStyle name="Porcentagem" xfId="924" builtinId="5"/>
    <cellStyle name="Porcentagem 10" xfId="1898" xr:uid="{00000000-0005-0000-0000-0000F61F0000}"/>
    <cellStyle name="Porcentagem 11" xfId="1899" xr:uid="{00000000-0005-0000-0000-0000F71F0000}"/>
    <cellStyle name="Porcentagem 12" xfId="1900" xr:uid="{00000000-0005-0000-0000-0000F81F0000}"/>
    <cellStyle name="Porcentagem 13" xfId="1901" xr:uid="{00000000-0005-0000-0000-0000F91F0000}"/>
    <cellStyle name="Porcentagem 14" xfId="1902" xr:uid="{00000000-0005-0000-0000-0000FA1F0000}"/>
    <cellStyle name="Porcentagem 15" xfId="1903" xr:uid="{00000000-0005-0000-0000-0000FB1F0000}"/>
    <cellStyle name="Porcentagem 2" xfId="36" xr:uid="{00000000-0005-0000-0000-0000FC1F0000}"/>
    <cellStyle name="Porcentagem 2 10" xfId="645" xr:uid="{00000000-0005-0000-0000-0000FD1F0000}"/>
    <cellStyle name="Porcentagem 2 11" xfId="1904" xr:uid="{00000000-0005-0000-0000-0000FE1F0000}"/>
    <cellStyle name="Porcentagem 2 12" xfId="1905" xr:uid="{00000000-0005-0000-0000-0000FF1F0000}"/>
    <cellStyle name="Porcentagem 2 13" xfId="8156" xr:uid="{00000000-0005-0000-0000-000000200000}"/>
    <cellStyle name="Porcentagem 2 14" xfId="8157" xr:uid="{00000000-0005-0000-0000-000001200000}"/>
    <cellStyle name="Porcentagem 2 2" xfId="37" xr:uid="{00000000-0005-0000-0000-000002200000}"/>
    <cellStyle name="Porcentagem 2 2 10" xfId="1906" xr:uid="{00000000-0005-0000-0000-000003200000}"/>
    <cellStyle name="Porcentagem 2 2 11" xfId="8158" xr:uid="{00000000-0005-0000-0000-000004200000}"/>
    <cellStyle name="Porcentagem 2 2 12" xfId="8159" xr:uid="{00000000-0005-0000-0000-000005200000}"/>
    <cellStyle name="Porcentagem 2 2 2" xfId="100" xr:uid="{00000000-0005-0000-0000-000006200000}"/>
    <cellStyle name="Porcentagem 2 2 2 10" xfId="8160" xr:uid="{00000000-0005-0000-0000-000007200000}"/>
    <cellStyle name="Porcentagem 2 2 2 11" xfId="8161" xr:uid="{00000000-0005-0000-0000-000008200000}"/>
    <cellStyle name="Porcentagem 2 2 2 2" xfId="639" xr:uid="{00000000-0005-0000-0000-000009200000}"/>
    <cellStyle name="Porcentagem 2 2 2 3" xfId="1907" xr:uid="{00000000-0005-0000-0000-00000A200000}"/>
    <cellStyle name="Porcentagem 2 2 2 4" xfId="1908" xr:uid="{00000000-0005-0000-0000-00000B200000}"/>
    <cellStyle name="Porcentagem 2 2 2 5" xfId="1909" xr:uid="{00000000-0005-0000-0000-00000C200000}"/>
    <cellStyle name="Porcentagem 2 2 2 6" xfId="1910" xr:uid="{00000000-0005-0000-0000-00000D200000}"/>
    <cellStyle name="Porcentagem 2 2 2 7" xfId="1911" xr:uid="{00000000-0005-0000-0000-00000E200000}"/>
    <cellStyle name="Porcentagem 2 2 2 8" xfId="1912" xr:uid="{00000000-0005-0000-0000-00000F200000}"/>
    <cellStyle name="Porcentagem 2 2 2 9" xfId="1913" xr:uid="{00000000-0005-0000-0000-000010200000}"/>
    <cellStyle name="Porcentagem 2 2 3" xfId="848" xr:uid="{00000000-0005-0000-0000-000011200000}"/>
    <cellStyle name="Porcentagem 2 2 4" xfId="1914" xr:uid="{00000000-0005-0000-0000-000012200000}"/>
    <cellStyle name="Porcentagem 2 2 5" xfId="1915" xr:uid="{00000000-0005-0000-0000-000013200000}"/>
    <cellStyle name="Porcentagem 2 2 6" xfId="1916" xr:uid="{00000000-0005-0000-0000-000014200000}"/>
    <cellStyle name="Porcentagem 2 2 7" xfId="1917" xr:uid="{00000000-0005-0000-0000-000015200000}"/>
    <cellStyle name="Porcentagem 2 2 8" xfId="1918" xr:uid="{00000000-0005-0000-0000-000016200000}"/>
    <cellStyle name="Porcentagem 2 2 9" xfId="1919" xr:uid="{00000000-0005-0000-0000-000017200000}"/>
    <cellStyle name="Porcentagem 2 3" xfId="38" xr:uid="{00000000-0005-0000-0000-000018200000}"/>
    <cellStyle name="Porcentagem 2 3 10" xfId="8162" xr:uid="{00000000-0005-0000-0000-000019200000}"/>
    <cellStyle name="Porcentagem 2 3 11" xfId="8163" xr:uid="{00000000-0005-0000-0000-00001A200000}"/>
    <cellStyle name="Porcentagem 2 3 2" xfId="690" xr:uid="{00000000-0005-0000-0000-00001B200000}"/>
    <cellStyle name="Porcentagem 2 3 2 2" xfId="8164" xr:uid="{00000000-0005-0000-0000-00001C200000}"/>
    <cellStyle name="Porcentagem 2 3 3" xfId="1920" xr:uid="{00000000-0005-0000-0000-00001D200000}"/>
    <cellStyle name="Porcentagem 2 3 4" xfId="1921" xr:uid="{00000000-0005-0000-0000-00001E200000}"/>
    <cellStyle name="Porcentagem 2 3 5" xfId="1922" xr:uid="{00000000-0005-0000-0000-00001F200000}"/>
    <cellStyle name="Porcentagem 2 3 6" xfId="1923" xr:uid="{00000000-0005-0000-0000-000020200000}"/>
    <cellStyle name="Porcentagem 2 3 7" xfId="1924" xr:uid="{00000000-0005-0000-0000-000021200000}"/>
    <cellStyle name="Porcentagem 2 3 8" xfId="1925" xr:uid="{00000000-0005-0000-0000-000022200000}"/>
    <cellStyle name="Porcentagem 2 3 9" xfId="1926" xr:uid="{00000000-0005-0000-0000-000023200000}"/>
    <cellStyle name="Porcentagem 2 4" xfId="39" xr:uid="{00000000-0005-0000-0000-000024200000}"/>
    <cellStyle name="Porcentagem 2 4 10" xfId="1927" xr:uid="{00000000-0005-0000-0000-000025200000}"/>
    <cellStyle name="Porcentagem 2 4 11" xfId="8165" xr:uid="{00000000-0005-0000-0000-000026200000}"/>
    <cellStyle name="Porcentagem 2 4 12" xfId="8166" xr:uid="{00000000-0005-0000-0000-000027200000}"/>
    <cellStyle name="Porcentagem 2 4 2" xfId="77" xr:uid="{00000000-0005-0000-0000-000028200000}"/>
    <cellStyle name="Porcentagem 2 4 2 10" xfId="8167" xr:uid="{00000000-0005-0000-0000-000029200000}"/>
    <cellStyle name="Porcentagem 2 4 2 11" xfId="8168" xr:uid="{00000000-0005-0000-0000-00002A200000}"/>
    <cellStyle name="Porcentagem 2 4 2 2" xfId="706" xr:uid="{00000000-0005-0000-0000-00002B200000}"/>
    <cellStyle name="Porcentagem 2 4 2 3" xfId="1928" xr:uid="{00000000-0005-0000-0000-00002C200000}"/>
    <cellStyle name="Porcentagem 2 4 2 4" xfId="1929" xr:uid="{00000000-0005-0000-0000-00002D200000}"/>
    <cellStyle name="Porcentagem 2 4 2 5" xfId="1930" xr:uid="{00000000-0005-0000-0000-00002E200000}"/>
    <cellStyle name="Porcentagem 2 4 2 6" xfId="1931" xr:uid="{00000000-0005-0000-0000-00002F200000}"/>
    <cellStyle name="Porcentagem 2 4 2 7" xfId="1932" xr:uid="{00000000-0005-0000-0000-000030200000}"/>
    <cellStyle name="Porcentagem 2 4 2 8" xfId="1933" xr:uid="{00000000-0005-0000-0000-000031200000}"/>
    <cellStyle name="Porcentagem 2 4 2 9" xfId="1934" xr:uid="{00000000-0005-0000-0000-000032200000}"/>
    <cellStyle name="Porcentagem 2 4 3" xfId="691" xr:uid="{00000000-0005-0000-0000-000033200000}"/>
    <cellStyle name="Porcentagem 2 4 4" xfId="1935" xr:uid="{00000000-0005-0000-0000-000034200000}"/>
    <cellStyle name="Porcentagem 2 4 5" xfId="1936" xr:uid="{00000000-0005-0000-0000-000035200000}"/>
    <cellStyle name="Porcentagem 2 4 6" xfId="1937" xr:uid="{00000000-0005-0000-0000-000036200000}"/>
    <cellStyle name="Porcentagem 2 4 7" xfId="1938" xr:uid="{00000000-0005-0000-0000-000037200000}"/>
    <cellStyle name="Porcentagem 2 4 8" xfId="1939" xr:uid="{00000000-0005-0000-0000-000038200000}"/>
    <cellStyle name="Porcentagem 2 4 9" xfId="1940" xr:uid="{00000000-0005-0000-0000-000039200000}"/>
    <cellStyle name="Porcentagem 2 5" xfId="849" xr:uid="{00000000-0005-0000-0000-00003A200000}"/>
    <cellStyle name="Porcentagem 2 5 2" xfId="8169" xr:uid="{00000000-0005-0000-0000-00003B200000}"/>
    <cellStyle name="Porcentagem 2 6" xfId="1941" xr:uid="{00000000-0005-0000-0000-00003C200000}"/>
    <cellStyle name="Porcentagem 2 7" xfId="1942" xr:uid="{00000000-0005-0000-0000-00003D200000}"/>
    <cellStyle name="Porcentagem 2 8" xfId="1943" xr:uid="{00000000-0005-0000-0000-00003E200000}"/>
    <cellStyle name="Porcentagem 2 9" xfId="1944" xr:uid="{00000000-0005-0000-0000-00003F200000}"/>
    <cellStyle name="Porcentagem 3" xfId="40" xr:uid="{00000000-0005-0000-0000-000040200000}"/>
    <cellStyle name="Porcentagem 3 10" xfId="1945" xr:uid="{00000000-0005-0000-0000-000041200000}"/>
    <cellStyle name="Porcentagem 3 11" xfId="1946" xr:uid="{00000000-0005-0000-0000-000042200000}"/>
    <cellStyle name="Porcentagem 3 12" xfId="1947" xr:uid="{00000000-0005-0000-0000-000043200000}"/>
    <cellStyle name="Porcentagem 3 13" xfId="8170" xr:uid="{00000000-0005-0000-0000-000044200000}"/>
    <cellStyle name="Porcentagem 3 14" xfId="8171" xr:uid="{00000000-0005-0000-0000-000045200000}"/>
    <cellStyle name="Porcentagem 3 2" xfId="41" xr:uid="{00000000-0005-0000-0000-000046200000}"/>
    <cellStyle name="Porcentagem 3 2 10" xfId="1948" xr:uid="{00000000-0005-0000-0000-000047200000}"/>
    <cellStyle name="Porcentagem 3 2 11" xfId="1949" xr:uid="{00000000-0005-0000-0000-000048200000}"/>
    <cellStyle name="Porcentagem 3 2 12" xfId="8172" xr:uid="{00000000-0005-0000-0000-000049200000}"/>
    <cellStyle name="Porcentagem 3 2 13" xfId="8173" xr:uid="{00000000-0005-0000-0000-00004A200000}"/>
    <cellStyle name="Porcentagem 3 2 2" xfId="42" xr:uid="{00000000-0005-0000-0000-00004B200000}"/>
    <cellStyle name="Porcentagem 3 2 2 10" xfId="8174" xr:uid="{00000000-0005-0000-0000-00004C200000}"/>
    <cellStyle name="Porcentagem 3 2 2 11" xfId="8175" xr:uid="{00000000-0005-0000-0000-00004D200000}"/>
    <cellStyle name="Porcentagem 3 2 2 2" xfId="692" xr:uid="{00000000-0005-0000-0000-00004E200000}"/>
    <cellStyle name="Porcentagem 3 2 2 3" xfId="1950" xr:uid="{00000000-0005-0000-0000-00004F200000}"/>
    <cellStyle name="Porcentagem 3 2 2 4" xfId="1951" xr:uid="{00000000-0005-0000-0000-000050200000}"/>
    <cellStyle name="Porcentagem 3 2 2 5" xfId="1952" xr:uid="{00000000-0005-0000-0000-000051200000}"/>
    <cellStyle name="Porcentagem 3 2 2 6" xfId="1953" xr:uid="{00000000-0005-0000-0000-000052200000}"/>
    <cellStyle name="Porcentagem 3 2 2 7" xfId="1954" xr:uid="{00000000-0005-0000-0000-000053200000}"/>
    <cellStyle name="Porcentagem 3 2 2 8" xfId="1955" xr:uid="{00000000-0005-0000-0000-000054200000}"/>
    <cellStyle name="Porcentagem 3 2 2 9" xfId="1956" xr:uid="{00000000-0005-0000-0000-000055200000}"/>
    <cellStyle name="Porcentagem 3 2 3" xfId="101" xr:uid="{00000000-0005-0000-0000-000056200000}"/>
    <cellStyle name="Porcentagem 3 2 3 10" xfId="1957" xr:uid="{00000000-0005-0000-0000-000057200000}"/>
    <cellStyle name="Porcentagem 3 2 3 10 2" xfId="1958" xr:uid="{00000000-0005-0000-0000-000058200000}"/>
    <cellStyle name="Porcentagem 3 2 3 10 3" xfId="8176" xr:uid="{00000000-0005-0000-0000-000059200000}"/>
    <cellStyle name="Porcentagem 3 2 3 10 4" xfId="13494" xr:uid="{00000000-0005-0000-0000-00005A200000}"/>
    <cellStyle name="Porcentagem 3 2 3 11" xfId="3738" xr:uid="{00000000-0005-0000-0000-00005B200000}"/>
    <cellStyle name="Porcentagem 3 2 3 12" xfId="8177" xr:uid="{00000000-0005-0000-0000-00005C200000}"/>
    <cellStyle name="Porcentagem 3 2 3 2" xfId="314" xr:uid="{00000000-0005-0000-0000-00005D200000}"/>
    <cellStyle name="Porcentagem 3 2 3 2 10" xfId="8178" xr:uid="{00000000-0005-0000-0000-00005E200000}"/>
    <cellStyle name="Porcentagem 3 2 3 2 11" xfId="8179" xr:uid="{00000000-0005-0000-0000-00005F200000}"/>
    <cellStyle name="Porcentagem 3 2 3 2 12" xfId="8180" xr:uid="{00000000-0005-0000-0000-000060200000}"/>
    <cellStyle name="Porcentagem 3 2 3 2 12 2" xfId="8181" xr:uid="{00000000-0005-0000-0000-000061200000}"/>
    <cellStyle name="Porcentagem 3 2 3 2 13" xfId="8182" xr:uid="{00000000-0005-0000-0000-000062200000}"/>
    <cellStyle name="Porcentagem 3 2 3 2 13 2" xfId="8183" xr:uid="{00000000-0005-0000-0000-000063200000}"/>
    <cellStyle name="Porcentagem 3 2 3 2 14" xfId="8184" xr:uid="{00000000-0005-0000-0000-000064200000}"/>
    <cellStyle name="Porcentagem 3 2 3 2 15" xfId="8185" xr:uid="{00000000-0005-0000-0000-000065200000}"/>
    <cellStyle name="Porcentagem 3 2 3 2 2" xfId="560" xr:uid="{00000000-0005-0000-0000-000066200000}"/>
    <cellStyle name="Porcentagem 3 2 3 2 3" xfId="1074" xr:uid="{00000000-0005-0000-0000-000067200000}"/>
    <cellStyle name="Porcentagem 3 2 3 2 3 2" xfId="1960" xr:uid="{00000000-0005-0000-0000-000068200000}"/>
    <cellStyle name="Porcentagem 3 2 3 2 4" xfId="1961" xr:uid="{00000000-0005-0000-0000-000069200000}"/>
    <cellStyle name="Porcentagem 3 2 3 2 4 2" xfId="8186" xr:uid="{00000000-0005-0000-0000-00006A200000}"/>
    <cellStyle name="Porcentagem 3 2 3 2 5" xfId="1962" xr:uid="{00000000-0005-0000-0000-00006B200000}"/>
    <cellStyle name="Porcentagem 3 2 3 2 5 2" xfId="8187" xr:uid="{00000000-0005-0000-0000-00006C200000}"/>
    <cellStyle name="Porcentagem 3 2 3 2 5 3" xfId="8188" xr:uid="{00000000-0005-0000-0000-00006D200000}"/>
    <cellStyle name="Porcentagem 3 2 3 2 5 4" xfId="13495" xr:uid="{00000000-0005-0000-0000-00006E200000}"/>
    <cellStyle name="Porcentagem 3 2 3 2 6" xfId="1959" xr:uid="{00000000-0005-0000-0000-00006F200000}"/>
    <cellStyle name="Porcentagem 3 2 3 2 7" xfId="8189" xr:uid="{00000000-0005-0000-0000-000070200000}"/>
    <cellStyle name="Porcentagem 3 2 3 2 8" xfId="8190" xr:uid="{00000000-0005-0000-0000-000071200000}"/>
    <cellStyle name="Porcentagem 3 2 3 2 8 2" xfId="8191" xr:uid="{00000000-0005-0000-0000-000072200000}"/>
    <cellStyle name="Porcentagem 3 2 3 2 9" xfId="8192" xr:uid="{00000000-0005-0000-0000-000073200000}"/>
    <cellStyle name="Porcentagem 3 2 3 2 9 2" xfId="8193" xr:uid="{00000000-0005-0000-0000-000074200000}"/>
    <cellStyle name="Porcentagem 3 2 3 3" xfId="722" xr:uid="{00000000-0005-0000-0000-000075200000}"/>
    <cellStyle name="Porcentagem 3 2 3 4" xfId="1963" xr:uid="{00000000-0005-0000-0000-000076200000}"/>
    <cellStyle name="Porcentagem 3 2 3 5" xfId="1964" xr:uid="{00000000-0005-0000-0000-000077200000}"/>
    <cellStyle name="Porcentagem 3 2 3 5 2" xfId="1965" xr:uid="{00000000-0005-0000-0000-000078200000}"/>
    <cellStyle name="Porcentagem 3 2 3 5 2 2" xfId="1966" xr:uid="{00000000-0005-0000-0000-000079200000}"/>
    <cellStyle name="Porcentagem 3 2 3 5 3" xfId="1967" xr:uid="{00000000-0005-0000-0000-00007A200000}"/>
    <cellStyle name="Porcentagem 3 2 3 5 4" xfId="1968" xr:uid="{00000000-0005-0000-0000-00007B200000}"/>
    <cellStyle name="Porcentagem 3 2 3 5 5" xfId="13496" xr:uid="{00000000-0005-0000-0000-00007C200000}"/>
    <cellStyle name="Porcentagem 3 2 3 6" xfId="1969" xr:uid="{00000000-0005-0000-0000-00007D200000}"/>
    <cellStyle name="Porcentagem 3 2 3 7" xfId="1970" xr:uid="{00000000-0005-0000-0000-00007E200000}"/>
    <cellStyle name="Porcentagem 3 2 3 8" xfId="1971" xr:uid="{00000000-0005-0000-0000-00007F200000}"/>
    <cellStyle name="Porcentagem 3 2 3 9" xfId="1972" xr:uid="{00000000-0005-0000-0000-000080200000}"/>
    <cellStyle name="Porcentagem 3 2 4" xfId="315" xr:uid="{00000000-0005-0000-0000-000081200000}"/>
    <cellStyle name="Porcentagem 3 2 4 2" xfId="776" xr:uid="{00000000-0005-0000-0000-000082200000}"/>
    <cellStyle name="Porcentagem 3 2 4 3" xfId="8194" xr:uid="{00000000-0005-0000-0000-000083200000}"/>
    <cellStyle name="Porcentagem 3 2 4 4" xfId="8195" xr:uid="{00000000-0005-0000-0000-000084200000}"/>
    <cellStyle name="Porcentagem 3 2 4 5" xfId="8196" xr:uid="{00000000-0005-0000-0000-000085200000}"/>
    <cellStyle name="Porcentagem 3 2 4 6" xfId="8197" xr:uid="{00000000-0005-0000-0000-000086200000}"/>
    <cellStyle name="Porcentagem 3 2 4 7" xfId="8198" xr:uid="{00000000-0005-0000-0000-000087200000}"/>
    <cellStyle name="Porcentagem 3 2 4 8" xfId="8199" xr:uid="{00000000-0005-0000-0000-000088200000}"/>
    <cellStyle name="Porcentagem 3 2 5" xfId="662" xr:uid="{00000000-0005-0000-0000-000089200000}"/>
    <cellStyle name="Porcentagem 3 2 6" xfId="1973" xr:uid="{00000000-0005-0000-0000-00008A200000}"/>
    <cellStyle name="Porcentagem 3 2 7" xfId="1974" xr:uid="{00000000-0005-0000-0000-00008B200000}"/>
    <cellStyle name="Porcentagem 3 2 8" xfId="1975" xr:uid="{00000000-0005-0000-0000-00008C200000}"/>
    <cellStyle name="Porcentagem 3 2 9" xfId="1976" xr:uid="{00000000-0005-0000-0000-00008D200000}"/>
    <cellStyle name="Porcentagem 3 3" xfId="43" xr:uid="{00000000-0005-0000-0000-00008E200000}"/>
    <cellStyle name="Porcentagem 3 3 10" xfId="8200" xr:uid="{00000000-0005-0000-0000-00008F200000}"/>
    <cellStyle name="Porcentagem 3 3 11" xfId="8201" xr:uid="{00000000-0005-0000-0000-000090200000}"/>
    <cellStyle name="Porcentagem 3 3 12" xfId="9255" xr:uid="{00000000-0005-0000-0000-000091200000}"/>
    <cellStyle name="Porcentagem 3 3 2" xfId="693" xr:uid="{00000000-0005-0000-0000-000092200000}"/>
    <cellStyle name="Porcentagem 3 3 2 2" xfId="8202" xr:uid="{00000000-0005-0000-0000-000093200000}"/>
    <cellStyle name="Porcentagem 3 3 3" xfId="1977" xr:uid="{00000000-0005-0000-0000-000094200000}"/>
    <cellStyle name="Porcentagem 3 3 3 2" xfId="2969" xr:uid="{00000000-0005-0000-0000-000095200000}"/>
    <cellStyle name="Porcentagem 3 3 4" xfId="1978" xr:uid="{00000000-0005-0000-0000-000096200000}"/>
    <cellStyle name="Porcentagem 3 3 5" xfId="1979" xr:uid="{00000000-0005-0000-0000-000097200000}"/>
    <cellStyle name="Porcentagem 3 3 6" xfId="1980" xr:uid="{00000000-0005-0000-0000-000098200000}"/>
    <cellStyle name="Porcentagem 3 3 7" xfId="1981" xr:uid="{00000000-0005-0000-0000-000099200000}"/>
    <cellStyle name="Porcentagem 3 3 8" xfId="1982" xr:uid="{00000000-0005-0000-0000-00009A200000}"/>
    <cellStyle name="Porcentagem 3 3 9" xfId="1983" xr:uid="{00000000-0005-0000-0000-00009B200000}"/>
    <cellStyle name="Porcentagem 3 4" xfId="102" xr:uid="{00000000-0005-0000-0000-00009C200000}"/>
    <cellStyle name="Porcentagem 3 4 10" xfId="4060" xr:uid="{00000000-0005-0000-0000-00009D200000}"/>
    <cellStyle name="Porcentagem 3 4 11" xfId="8203" xr:uid="{00000000-0005-0000-0000-00009E200000}"/>
    <cellStyle name="Porcentagem 3 4 12" xfId="8204" xr:uid="{00000000-0005-0000-0000-00009F200000}"/>
    <cellStyle name="Porcentagem 3 4 2" xfId="316" xr:uid="{00000000-0005-0000-0000-0000A0200000}"/>
    <cellStyle name="Porcentagem 3 4 2 2" xfId="1985" xr:uid="{00000000-0005-0000-0000-0000A1200000}"/>
    <cellStyle name="Porcentagem 3 4 2 3" xfId="1986" xr:uid="{00000000-0005-0000-0000-0000A2200000}"/>
    <cellStyle name="Porcentagem 3 4 2 4" xfId="1987" xr:uid="{00000000-0005-0000-0000-0000A3200000}"/>
    <cellStyle name="Porcentagem 3 4 2 5" xfId="1984" xr:uid="{00000000-0005-0000-0000-0000A4200000}"/>
    <cellStyle name="Porcentagem 3 4 2 6" xfId="8205" xr:uid="{00000000-0005-0000-0000-0000A5200000}"/>
    <cellStyle name="Porcentagem 3 4 2 7" xfId="8206" xr:uid="{00000000-0005-0000-0000-0000A6200000}"/>
    <cellStyle name="Porcentagem 3 4 2 8" xfId="8207" xr:uid="{00000000-0005-0000-0000-0000A7200000}"/>
    <cellStyle name="Porcentagem 3 4 2 9" xfId="8208" xr:uid="{00000000-0005-0000-0000-0000A8200000}"/>
    <cellStyle name="Porcentagem 3 4 3" xfId="723" xr:uid="{00000000-0005-0000-0000-0000A9200000}"/>
    <cellStyle name="Porcentagem 3 4 3 2" xfId="8209" xr:uid="{00000000-0005-0000-0000-0000AA200000}"/>
    <cellStyle name="Porcentagem 3 4 4" xfId="1988" xr:uid="{00000000-0005-0000-0000-0000AB200000}"/>
    <cellStyle name="Porcentagem 3 4 5" xfId="1989" xr:uid="{00000000-0005-0000-0000-0000AC200000}"/>
    <cellStyle name="Porcentagem 3 4 5 2" xfId="1990" xr:uid="{00000000-0005-0000-0000-0000AD200000}"/>
    <cellStyle name="Porcentagem 3 4 5 3" xfId="1991" xr:uid="{00000000-0005-0000-0000-0000AE200000}"/>
    <cellStyle name="Porcentagem 3 4 5 4" xfId="13497" xr:uid="{00000000-0005-0000-0000-0000AF200000}"/>
    <cellStyle name="Porcentagem 3 4 6" xfId="1992" xr:uid="{00000000-0005-0000-0000-0000B0200000}"/>
    <cellStyle name="Porcentagem 3 4 7" xfId="1993" xr:uid="{00000000-0005-0000-0000-0000B1200000}"/>
    <cellStyle name="Porcentagem 3 4 8" xfId="1994" xr:uid="{00000000-0005-0000-0000-0000B2200000}"/>
    <cellStyle name="Porcentagem 3 4 9" xfId="1995" xr:uid="{00000000-0005-0000-0000-0000B3200000}"/>
    <cellStyle name="Porcentagem 3 5" xfId="317" xr:uid="{00000000-0005-0000-0000-0000B4200000}"/>
    <cellStyle name="Porcentagem 3 5 2" xfId="777" xr:uid="{00000000-0005-0000-0000-0000B5200000}"/>
    <cellStyle name="Porcentagem 3 5 3" xfId="8210" xr:uid="{00000000-0005-0000-0000-0000B6200000}"/>
    <cellStyle name="Porcentagem 3 5 4" xfId="8211" xr:uid="{00000000-0005-0000-0000-0000B7200000}"/>
    <cellStyle name="Porcentagem 3 5 5" xfId="8212" xr:uid="{00000000-0005-0000-0000-0000B8200000}"/>
    <cellStyle name="Porcentagem 3 5 6" xfId="8213" xr:uid="{00000000-0005-0000-0000-0000B9200000}"/>
    <cellStyle name="Porcentagem 3 5 7" xfId="8214" xr:uid="{00000000-0005-0000-0000-0000BA200000}"/>
    <cellStyle name="Porcentagem 3 5 8" xfId="8215" xr:uid="{00000000-0005-0000-0000-0000BB200000}"/>
    <cellStyle name="Porcentagem 3 6" xfId="661" xr:uid="{00000000-0005-0000-0000-0000BC200000}"/>
    <cellStyle name="Porcentagem 3 7" xfId="1996" xr:uid="{00000000-0005-0000-0000-0000BD200000}"/>
    <cellStyle name="Porcentagem 3 8" xfId="1997" xr:uid="{00000000-0005-0000-0000-0000BE200000}"/>
    <cellStyle name="Porcentagem 3 9" xfId="1998" xr:uid="{00000000-0005-0000-0000-0000BF200000}"/>
    <cellStyle name="Porcentagem 4" xfId="44" xr:uid="{00000000-0005-0000-0000-0000C0200000}"/>
    <cellStyle name="Porcentagem 4 10" xfId="8216" xr:uid="{00000000-0005-0000-0000-0000C1200000}"/>
    <cellStyle name="Porcentagem 4 11" xfId="8217" xr:uid="{00000000-0005-0000-0000-0000C2200000}"/>
    <cellStyle name="Porcentagem 4 2" xfId="318" xr:uid="{00000000-0005-0000-0000-0000C3200000}"/>
    <cellStyle name="Porcentagem 4 2 2" xfId="778" xr:uid="{00000000-0005-0000-0000-0000C4200000}"/>
    <cellStyle name="Porcentagem 4 2 2 2" xfId="9610" xr:uid="{00000000-0005-0000-0000-0000C5200000}"/>
    <cellStyle name="Porcentagem 4 2 3" xfId="8218" xr:uid="{00000000-0005-0000-0000-0000C6200000}"/>
    <cellStyle name="Porcentagem 4 2 4" xfId="8219" xr:uid="{00000000-0005-0000-0000-0000C7200000}"/>
    <cellStyle name="Porcentagem 4 2 5" xfId="8220" xr:uid="{00000000-0005-0000-0000-0000C8200000}"/>
    <cellStyle name="Porcentagem 4 2 6" xfId="8221" xr:uid="{00000000-0005-0000-0000-0000C9200000}"/>
    <cellStyle name="Porcentagem 4 2 7" xfId="8222" xr:uid="{00000000-0005-0000-0000-0000CA200000}"/>
    <cellStyle name="Porcentagem 4 2 8" xfId="8223" xr:uid="{00000000-0005-0000-0000-0000CB200000}"/>
    <cellStyle name="Porcentagem 4 3" xfId="663" xr:uid="{00000000-0005-0000-0000-0000CC200000}"/>
    <cellStyle name="Porcentagem 4 3 2" xfId="8224" xr:uid="{00000000-0005-0000-0000-0000CD200000}"/>
    <cellStyle name="Porcentagem 4 4" xfId="1999" xr:uid="{00000000-0005-0000-0000-0000CE200000}"/>
    <cellStyle name="Porcentagem 4 4 2" xfId="8225" xr:uid="{00000000-0005-0000-0000-0000CF200000}"/>
    <cellStyle name="Porcentagem 4 5" xfId="2000" xr:uid="{00000000-0005-0000-0000-0000D0200000}"/>
    <cellStyle name="Porcentagem 4 5 2" xfId="8226" xr:uid="{00000000-0005-0000-0000-0000D1200000}"/>
    <cellStyle name="Porcentagem 4 6" xfId="2001" xr:uid="{00000000-0005-0000-0000-0000D2200000}"/>
    <cellStyle name="Porcentagem 4 6 2" xfId="8227" xr:uid="{00000000-0005-0000-0000-0000D3200000}"/>
    <cellStyle name="Porcentagem 4 7" xfId="2002" xr:uid="{00000000-0005-0000-0000-0000D4200000}"/>
    <cellStyle name="Porcentagem 4 7 2" xfId="8228" xr:uid="{00000000-0005-0000-0000-0000D5200000}"/>
    <cellStyle name="Porcentagem 4 8" xfId="2003" xr:uid="{00000000-0005-0000-0000-0000D6200000}"/>
    <cellStyle name="Porcentagem 4 9" xfId="2004" xr:uid="{00000000-0005-0000-0000-0000D7200000}"/>
    <cellStyle name="Porcentagem 5" xfId="35" xr:uid="{00000000-0005-0000-0000-0000D8200000}"/>
    <cellStyle name="Porcentagem 5 10" xfId="2005" xr:uid="{00000000-0005-0000-0000-0000D9200000}"/>
    <cellStyle name="Porcentagem 5 11" xfId="2006" xr:uid="{00000000-0005-0000-0000-0000DA200000}"/>
    <cellStyle name="Porcentagem 5 2" xfId="103" xr:uid="{00000000-0005-0000-0000-0000DB200000}"/>
    <cellStyle name="Porcentagem 5 2 10" xfId="2970" xr:uid="{00000000-0005-0000-0000-0000DC200000}"/>
    <cellStyle name="Porcentagem 5 2 10 2" xfId="4180" xr:uid="{00000000-0005-0000-0000-0000DD200000}"/>
    <cellStyle name="Porcentagem 5 2 10 2 2" xfId="11066" xr:uid="{00000000-0005-0000-0000-0000DE200000}"/>
    <cellStyle name="Porcentagem 5 2 10 3" xfId="8229" xr:uid="{00000000-0005-0000-0000-0000DF200000}"/>
    <cellStyle name="Porcentagem 5 2 10 4" xfId="13544" xr:uid="{00000000-0005-0000-0000-0000E0200000}"/>
    <cellStyle name="Porcentagem 5 2 11" xfId="8230" xr:uid="{00000000-0005-0000-0000-0000E1200000}"/>
    <cellStyle name="Porcentagem 5 2 12" xfId="8231" xr:uid="{00000000-0005-0000-0000-0000E2200000}"/>
    <cellStyle name="Porcentagem 5 2 2" xfId="319" xr:uid="{00000000-0005-0000-0000-0000E3200000}"/>
    <cellStyle name="Porcentagem 5 2 2 2" xfId="2008" xr:uid="{00000000-0005-0000-0000-0000E4200000}"/>
    <cellStyle name="Porcentagem 5 2 2 2 2" xfId="8232" xr:uid="{00000000-0005-0000-0000-0000E5200000}"/>
    <cellStyle name="Porcentagem 5 2 2 3" xfId="2009" xr:uid="{00000000-0005-0000-0000-0000E6200000}"/>
    <cellStyle name="Porcentagem 5 2 2 4" xfId="2010" xr:uid="{00000000-0005-0000-0000-0000E7200000}"/>
    <cellStyle name="Porcentagem 5 2 2 5" xfId="2007" xr:uid="{00000000-0005-0000-0000-0000E8200000}"/>
    <cellStyle name="Porcentagem 5 2 2 6" xfId="8233" xr:uid="{00000000-0005-0000-0000-0000E9200000}"/>
    <cellStyle name="Porcentagem 5 2 2 7" xfId="8234" xr:uid="{00000000-0005-0000-0000-0000EA200000}"/>
    <cellStyle name="Porcentagem 5 2 2 8" xfId="8235" xr:uid="{00000000-0005-0000-0000-0000EB200000}"/>
    <cellStyle name="Porcentagem 5 2 2 9" xfId="8236" xr:uid="{00000000-0005-0000-0000-0000EC200000}"/>
    <cellStyle name="Porcentagem 5 2 3" xfId="724" xr:uid="{00000000-0005-0000-0000-0000ED200000}"/>
    <cellStyle name="Porcentagem 5 2 4" xfId="2011" xr:uid="{00000000-0005-0000-0000-0000EE200000}"/>
    <cellStyle name="Porcentagem 5 2 4 2" xfId="8237" xr:uid="{00000000-0005-0000-0000-0000EF200000}"/>
    <cellStyle name="Porcentagem 5 2 5" xfId="2012" xr:uid="{00000000-0005-0000-0000-0000F0200000}"/>
    <cellStyle name="Porcentagem 5 2 5 2" xfId="2013" xr:uid="{00000000-0005-0000-0000-0000F1200000}"/>
    <cellStyle name="Porcentagem 5 2 5 3" xfId="2014" xr:uid="{00000000-0005-0000-0000-0000F2200000}"/>
    <cellStyle name="Porcentagem 5 2 5 4" xfId="13498" xr:uid="{00000000-0005-0000-0000-0000F3200000}"/>
    <cellStyle name="Porcentagem 5 2 6" xfId="2015" xr:uid="{00000000-0005-0000-0000-0000F4200000}"/>
    <cellStyle name="Porcentagem 5 2 7" xfId="2016" xr:uid="{00000000-0005-0000-0000-0000F5200000}"/>
    <cellStyle name="Porcentagem 5 2 8" xfId="2017" xr:uid="{00000000-0005-0000-0000-0000F6200000}"/>
    <cellStyle name="Porcentagem 5 2 9" xfId="2018" xr:uid="{00000000-0005-0000-0000-0000F7200000}"/>
    <cellStyle name="Porcentagem 5 3" xfId="104" xr:uid="{00000000-0005-0000-0000-0000F8200000}"/>
    <cellStyle name="Porcentagem 5 3 10" xfId="2020" xr:uid="{00000000-0005-0000-0000-0000F9200000}"/>
    <cellStyle name="Porcentagem 5 3 10 2" xfId="1093" xr:uid="{00000000-0005-0000-0000-0000FA200000}"/>
    <cellStyle name="Porcentagem 5 3 10 3" xfId="2772" xr:uid="{00000000-0005-0000-0000-0000FB200000}"/>
    <cellStyle name="Porcentagem 5 3 10 3 2" xfId="8238" xr:uid="{00000000-0005-0000-0000-0000FC200000}"/>
    <cellStyle name="Porcentagem 5 3 10 3 3" xfId="8239" xr:uid="{00000000-0005-0000-0000-0000FD200000}"/>
    <cellStyle name="Porcentagem 5 3 10 4" xfId="11312" xr:uid="{00000000-0005-0000-0000-0000FE200000}"/>
    <cellStyle name="Porcentagem 5 3 10 4 2" xfId="14977" xr:uid="{00000000-0005-0000-0000-0000FF200000}"/>
    <cellStyle name="Porcentagem 5 3 10 4 3" xfId="13499" xr:uid="{00000000-0005-0000-0000-000000210000}"/>
    <cellStyle name="Porcentagem 5 3 11" xfId="2021" xr:uid="{00000000-0005-0000-0000-000001210000}"/>
    <cellStyle name="Porcentagem 5 3 11 2" xfId="1094" xr:uid="{00000000-0005-0000-0000-000002210000}"/>
    <cellStyle name="Porcentagem 5 3 11 3" xfId="2773" xr:uid="{00000000-0005-0000-0000-000003210000}"/>
    <cellStyle name="Porcentagem 5 3 12" xfId="2019" xr:uid="{00000000-0005-0000-0000-000004210000}"/>
    <cellStyle name="Porcentagem 5 3 12 2" xfId="2860" xr:uid="{00000000-0005-0000-0000-000005210000}"/>
    <cellStyle name="Porcentagem 5 3 12 3" xfId="2771" xr:uid="{00000000-0005-0000-0000-000006210000}"/>
    <cellStyle name="Porcentagem 5 3 12 4" xfId="2638" xr:uid="{00000000-0005-0000-0000-000007210000}"/>
    <cellStyle name="Porcentagem 5 3 12 5" xfId="2571" xr:uid="{00000000-0005-0000-0000-000008210000}"/>
    <cellStyle name="Porcentagem 5 3 13" xfId="2971" xr:uid="{00000000-0005-0000-0000-000009210000}"/>
    <cellStyle name="Porcentagem 5 3 2" xfId="105" xr:uid="{00000000-0005-0000-0000-00000A210000}"/>
    <cellStyle name="Porcentagem 5 3 2 10" xfId="8240" xr:uid="{00000000-0005-0000-0000-00000B210000}"/>
    <cellStyle name="Porcentagem 5 3 2 11" xfId="8241" xr:uid="{00000000-0005-0000-0000-00000C210000}"/>
    <cellStyle name="Porcentagem 5 3 2 2" xfId="725" xr:uid="{00000000-0005-0000-0000-00000D210000}"/>
    <cellStyle name="Porcentagem 5 3 2 3" xfId="2022" xr:uid="{00000000-0005-0000-0000-00000E210000}"/>
    <cellStyle name="Porcentagem 5 3 2 4" xfId="2023" xr:uid="{00000000-0005-0000-0000-00000F210000}"/>
    <cellStyle name="Porcentagem 5 3 2 5" xfId="2024" xr:uid="{00000000-0005-0000-0000-000010210000}"/>
    <cellStyle name="Porcentagem 5 3 2 6" xfId="2025" xr:uid="{00000000-0005-0000-0000-000011210000}"/>
    <cellStyle name="Porcentagem 5 3 2 7" xfId="2026" xr:uid="{00000000-0005-0000-0000-000012210000}"/>
    <cellStyle name="Porcentagem 5 3 2 8" xfId="2027" xr:uid="{00000000-0005-0000-0000-000013210000}"/>
    <cellStyle name="Porcentagem 5 3 2 9" xfId="2028" xr:uid="{00000000-0005-0000-0000-000014210000}"/>
    <cellStyle name="Porcentagem 5 3 3" xfId="449" xr:uid="{00000000-0005-0000-0000-000015210000}"/>
    <cellStyle name="Porcentagem 5 3 3 2" xfId="561" xr:uid="{00000000-0005-0000-0000-000016210000}"/>
    <cellStyle name="Porcentagem 5 3 3 2 2" xfId="819" xr:uid="{00000000-0005-0000-0000-000017210000}"/>
    <cellStyle name="Porcentagem 5 3 3 2 3" xfId="8242" xr:uid="{00000000-0005-0000-0000-000018210000}"/>
    <cellStyle name="Porcentagem 5 3 3 2 4" xfId="8243" xr:uid="{00000000-0005-0000-0000-000019210000}"/>
    <cellStyle name="Porcentagem 5 3 3 2 5" xfId="8244" xr:uid="{00000000-0005-0000-0000-00001A210000}"/>
    <cellStyle name="Porcentagem 5 3 3 2 6" xfId="8245" xr:uid="{00000000-0005-0000-0000-00001B210000}"/>
    <cellStyle name="Porcentagem 5 3 3 2 7" xfId="8246" xr:uid="{00000000-0005-0000-0000-00001C210000}"/>
    <cellStyle name="Porcentagem 5 3 3 2 8" xfId="8247" xr:uid="{00000000-0005-0000-0000-00001D210000}"/>
    <cellStyle name="Porcentagem 5 3 3 3" xfId="795" xr:uid="{00000000-0005-0000-0000-00001E210000}"/>
    <cellStyle name="Porcentagem 5 3 3 3 2" xfId="2030" xr:uid="{00000000-0005-0000-0000-00001F210000}"/>
    <cellStyle name="Porcentagem 5 3 3 3 2 2" xfId="2862" xr:uid="{00000000-0005-0000-0000-000020210000}"/>
    <cellStyle name="Porcentagem 5 3 3 3 2 2 2" xfId="8248" xr:uid="{00000000-0005-0000-0000-000021210000}"/>
    <cellStyle name="Porcentagem 5 3 3 3 2 2 3" xfId="8249" xr:uid="{00000000-0005-0000-0000-000022210000}"/>
    <cellStyle name="Porcentagem 5 3 3 3 2 3" xfId="2775" xr:uid="{00000000-0005-0000-0000-000023210000}"/>
    <cellStyle name="Porcentagem 5 3 3 3 2 4" xfId="2640" xr:uid="{00000000-0005-0000-0000-000024210000}"/>
    <cellStyle name="Porcentagem 5 3 3 3 2 5" xfId="2573" xr:uid="{00000000-0005-0000-0000-000025210000}"/>
    <cellStyle name="Porcentagem 5 3 3 3 2 6" xfId="11719" xr:uid="{00000000-0005-0000-0000-000026210000}"/>
    <cellStyle name="Porcentagem 5 3 3 3 2 6 2" xfId="15072" xr:uid="{00000000-0005-0000-0000-000027210000}"/>
    <cellStyle name="Porcentagem 5 3 3 3 2 6 3" xfId="13500" xr:uid="{00000000-0005-0000-0000-000028210000}"/>
    <cellStyle name="Porcentagem 5 3 3 4" xfId="2031" xr:uid="{00000000-0005-0000-0000-000029210000}"/>
    <cellStyle name="Porcentagem 5 3 3 4 2" xfId="1109" xr:uid="{00000000-0005-0000-0000-00002A210000}"/>
    <cellStyle name="Porcentagem 5 3 3 4 3" xfId="2776" xr:uid="{00000000-0005-0000-0000-00002B210000}"/>
    <cellStyle name="Porcentagem 5 3 3 5" xfId="2029" xr:uid="{00000000-0005-0000-0000-00002C210000}"/>
    <cellStyle name="Porcentagem 5 3 3 5 2" xfId="2861" xr:uid="{00000000-0005-0000-0000-00002D210000}"/>
    <cellStyle name="Porcentagem 5 3 3 5 3" xfId="2774" xr:uid="{00000000-0005-0000-0000-00002E210000}"/>
    <cellStyle name="Porcentagem 5 3 3 5 4" xfId="2639" xr:uid="{00000000-0005-0000-0000-00002F210000}"/>
    <cellStyle name="Porcentagem 5 3 3 5 5" xfId="2572" xr:uid="{00000000-0005-0000-0000-000030210000}"/>
    <cellStyle name="Porcentagem 5 3 3 6" xfId="8250" xr:uid="{00000000-0005-0000-0000-000031210000}"/>
    <cellStyle name="Porcentagem 5 3 3 7" xfId="8251" xr:uid="{00000000-0005-0000-0000-000032210000}"/>
    <cellStyle name="Porcentagem 5 3 3 8" xfId="8252" xr:uid="{00000000-0005-0000-0000-000033210000}"/>
    <cellStyle name="Porcentagem 5 3 3 9" xfId="8253" xr:uid="{00000000-0005-0000-0000-000034210000}"/>
    <cellStyle name="Porcentagem 5 3 4" xfId="450" xr:uid="{00000000-0005-0000-0000-000035210000}"/>
    <cellStyle name="Porcentagem 5 3 4 2" xfId="562" xr:uid="{00000000-0005-0000-0000-000036210000}"/>
    <cellStyle name="Porcentagem 5 3 4 2 2" xfId="820" xr:uid="{00000000-0005-0000-0000-000037210000}"/>
    <cellStyle name="Porcentagem 5 3 4 2 3" xfId="8254" xr:uid="{00000000-0005-0000-0000-000038210000}"/>
    <cellStyle name="Porcentagem 5 3 4 2 4" xfId="8255" xr:uid="{00000000-0005-0000-0000-000039210000}"/>
    <cellStyle name="Porcentagem 5 3 4 2 5" xfId="8256" xr:uid="{00000000-0005-0000-0000-00003A210000}"/>
    <cellStyle name="Porcentagem 5 3 4 2 6" xfId="8257" xr:uid="{00000000-0005-0000-0000-00003B210000}"/>
    <cellStyle name="Porcentagem 5 3 4 2 7" xfId="8258" xr:uid="{00000000-0005-0000-0000-00003C210000}"/>
    <cellStyle name="Porcentagem 5 3 4 2 8" xfId="8259" xr:uid="{00000000-0005-0000-0000-00003D210000}"/>
    <cellStyle name="Porcentagem 5 3 4 3" xfId="796" xr:uid="{00000000-0005-0000-0000-00003E210000}"/>
    <cellStyle name="Porcentagem 5 3 4 4" xfId="8260" xr:uid="{00000000-0005-0000-0000-00003F210000}"/>
    <cellStyle name="Porcentagem 5 3 4 5" xfId="8261" xr:uid="{00000000-0005-0000-0000-000040210000}"/>
    <cellStyle name="Porcentagem 5 3 4 6" xfId="8262" xr:uid="{00000000-0005-0000-0000-000041210000}"/>
    <cellStyle name="Porcentagem 5 3 4 7" xfId="8263" xr:uid="{00000000-0005-0000-0000-000042210000}"/>
    <cellStyle name="Porcentagem 5 3 4 8" xfId="8264" xr:uid="{00000000-0005-0000-0000-000043210000}"/>
    <cellStyle name="Porcentagem 5 3 4 9" xfId="8265" xr:uid="{00000000-0005-0000-0000-000044210000}"/>
    <cellStyle name="Porcentagem 5 3 5" xfId="563" xr:uid="{00000000-0005-0000-0000-000045210000}"/>
    <cellStyle name="Porcentagem 5 3 5 2" xfId="564" xr:uid="{00000000-0005-0000-0000-000046210000}"/>
    <cellStyle name="Porcentagem 5 3 5 2 2" xfId="821" xr:uid="{00000000-0005-0000-0000-000047210000}"/>
    <cellStyle name="Porcentagem 5 3 5 2 3" xfId="8266" xr:uid="{00000000-0005-0000-0000-000048210000}"/>
    <cellStyle name="Porcentagem 5 3 5 2 4" xfId="8267" xr:uid="{00000000-0005-0000-0000-000049210000}"/>
    <cellStyle name="Porcentagem 5 3 5 2 5" xfId="8268" xr:uid="{00000000-0005-0000-0000-00004A210000}"/>
    <cellStyle name="Porcentagem 5 3 5 2 6" xfId="8269" xr:uid="{00000000-0005-0000-0000-00004B210000}"/>
    <cellStyle name="Porcentagem 5 3 5 2 7" xfId="8270" xr:uid="{00000000-0005-0000-0000-00004C210000}"/>
    <cellStyle name="Porcentagem 5 3 5 2 8" xfId="8271" xr:uid="{00000000-0005-0000-0000-00004D210000}"/>
    <cellStyle name="Porcentagem 5 3 5 3" xfId="2032" xr:uid="{00000000-0005-0000-0000-00004E210000}"/>
    <cellStyle name="Porcentagem 5 3 5 3 2" xfId="2863" xr:uid="{00000000-0005-0000-0000-00004F210000}"/>
    <cellStyle name="Porcentagem 5 3 5 3 3" xfId="2777" xr:uid="{00000000-0005-0000-0000-000050210000}"/>
    <cellStyle name="Porcentagem 5 3 5 3 4" xfId="2641" xr:uid="{00000000-0005-0000-0000-000051210000}"/>
    <cellStyle name="Porcentagem 5 3 5 3 5" xfId="2574" xr:uid="{00000000-0005-0000-0000-000052210000}"/>
    <cellStyle name="Porcentagem 5 3 6" xfId="565" xr:uid="{00000000-0005-0000-0000-000053210000}"/>
    <cellStyle name="Porcentagem 5 3 6 2" xfId="566" xr:uid="{00000000-0005-0000-0000-000054210000}"/>
    <cellStyle name="Porcentagem 5 3 6 2 2" xfId="823" xr:uid="{00000000-0005-0000-0000-000055210000}"/>
    <cellStyle name="Porcentagem 5 3 6 2 3" xfId="8272" xr:uid="{00000000-0005-0000-0000-000056210000}"/>
    <cellStyle name="Porcentagem 5 3 6 2 4" xfId="8273" xr:uid="{00000000-0005-0000-0000-000057210000}"/>
    <cellStyle name="Porcentagem 5 3 6 2 5" xfId="8274" xr:uid="{00000000-0005-0000-0000-000058210000}"/>
    <cellStyle name="Porcentagem 5 3 6 2 6" xfId="8275" xr:uid="{00000000-0005-0000-0000-000059210000}"/>
    <cellStyle name="Porcentagem 5 3 6 2 7" xfId="8276" xr:uid="{00000000-0005-0000-0000-00005A210000}"/>
    <cellStyle name="Porcentagem 5 3 6 2 8" xfId="8277" xr:uid="{00000000-0005-0000-0000-00005B210000}"/>
    <cellStyle name="Porcentagem 5 3 6 3" xfId="822" xr:uid="{00000000-0005-0000-0000-00005C210000}"/>
    <cellStyle name="Porcentagem 5 3 6 3 2" xfId="2034" xr:uid="{00000000-0005-0000-0000-00005D210000}"/>
    <cellStyle name="Porcentagem 5 3 6 3 2 2" xfId="2865" xr:uid="{00000000-0005-0000-0000-00005E210000}"/>
    <cellStyle name="Porcentagem 5 3 6 3 2 3" xfId="2779" xr:uid="{00000000-0005-0000-0000-00005F210000}"/>
    <cellStyle name="Porcentagem 5 3 6 3 2 4" xfId="2643" xr:uid="{00000000-0005-0000-0000-000060210000}"/>
    <cellStyle name="Porcentagem 5 3 6 3 2 5" xfId="2576" xr:uid="{00000000-0005-0000-0000-000061210000}"/>
    <cellStyle name="Porcentagem 5 3 6 4" xfId="2035" xr:uid="{00000000-0005-0000-0000-000062210000}"/>
    <cellStyle name="Porcentagem 5 3 6 4 2" xfId="1149" xr:uid="{00000000-0005-0000-0000-000063210000}"/>
    <cellStyle name="Porcentagem 5 3 6 4 3" xfId="2780" xr:uid="{00000000-0005-0000-0000-000064210000}"/>
    <cellStyle name="Porcentagem 5 3 6 5" xfId="2033" xr:uid="{00000000-0005-0000-0000-000065210000}"/>
    <cellStyle name="Porcentagem 5 3 6 5 2" xfId="2864" xr:uid="{00000000-0005-0000-0000-000066210000}"/>
    <cellStyle name="Porcentagem 5 3 6 5 3" xfId="2778" xr:uid="{00000000-0005-0000-0000-000067210000}"/>
    <cellStyle name="Porcentagem 5 3 6 5 4" xfId="2642" xr:uid="{00000000-0005-0000-0000-000068210000}"/>
    <cellStyle name="Porcentagem 5 3 6 5 5" xfId="2575" xr:uid="{00000000-0005-0000-0000-000069210000}"/>
    <cellStyle name="Porcentagem 5 3 6 6" xfId="8278" xr:uid="{00000000-0005-0000-0000-00006A210000}"/>
    <cellStyle name="Porcentagem 5 3 6 7" xfId="8279" xr:uid="{00000000-0005-0000-0000-00006B210000}"/>
    <cellStyle name="Porcentagem 5 3 6 8" xfId="8280" xr:uid="{00000000-0005-0000-0000-00006C210000}"/>
    <cellStyle name="Porcentagem 5 3 6 9" xfId="8281" xr:uid="{00000000-0005-0000-0000-00006D210000}"/>
    <cellStyle name="Porcentagem 5 3 7" xfId="567" xr:uid="{00000000-0005-0000-0000-00006E210000}"/>
    <cellStyle name="Porcentagem 5 3 7 2" xfId="2037" xr:uid="{00000000-0005-0000-0000-00006F210000}"/>
    <cellStyle name="Porcentagem 5 3 7 2 2" xfId="8282" xr:uid="{00000000-0005-0000-0000-000070210000}"/>
    <cellStyle name="Porcentagem 5 3 7 3" xfId="2036" xr:uid="{00000000-0005-0000-0000-000071210000}"/>
    <cellStyle name="Porcentagem 5 3 7 3 2" xfId="2866" xr:uid="{00000000-0005-0000-0000-000072210000}"/>
    <cellStyle name="Porcentagem 5 3 7 3 3" xfId="2781" xr:uid="{00000000-0005-0000-0000-000073210000}"/>
    <cellStyle name="Porcentagem 5 3 7 3 4" xfId="2644" xr:uid="{00000000-0005-0000-0000-000074210000}"/>
    <cellStyle name="Porcentagem 5 3 7 3 5" xfId="2577" xr:uid="{00000000-0005-0000-0000-000075210000}"/>
    <cellStyle name="Porcentagem 5 3 8" xfId="568" xr:uid="{00000000-0005-0000-0000-000076210000}"/>
    <cellStyle name="Porcentagem 5 3 8 2" xfId="2038" xr:uid="{00000000-0005-0000-0000-000077210000}"/>
    <cellStyle name="Porcentagem 5 3 8 2 2" xfId="8283" xr:uid="{00000000-0005-0000-0000-000078210000}"/>
    <cellStyle name="Porcentagem 5 3 8 3" xfId="2039" xr:uid="{00000000-0005-0000-0000-000079210000}"/>
    <cellStyle name="Porcentagem 5 3 8 4" xfId="2040" xr:uid="{00000000-0005-0000-0000-00007A210000}"/>
    <cellStyle name="Porcentagem 5 3 8 4 2" xfId="1164" xr:uid="{00000000-0005-0000-0000-00007B210000}"/>
    <cellStyle name="Porcentagem 5 3 8 4 3" xfId="2782" xr:uid="{00000000-0005-0000-0000-00007C210000}"/>
    <cellStyle name="Porcentagem 5 3 8 5" xfId="2041" xr:uid="{00000000-0005-0000-0000-00007D210000}"/>
    <cellStyle name="Porcentagem 5 3 9" xfId="569" xr:uid="{00000000-0005-0000-0000-00007E210000}"/>
    <cellStyle name="Porcentagem 5 3 9 2" xfId="2042" xr:uid="{00000000-0005-0000-0000-00007F210000}"/>
    <cellStyle name="Porcentagem 5 3 9 2 2" xfId="2867" xr:uid="{00000000-0005-0000-0000-000080210000}"/>
    <cellStyle name="Porcentagem 5 3 9 2 3" xfId="2783" xr:uid="{00000000-0005-0000-0000-000081210000}"/>
    <cellStyle name="Porcentagem 5 3 9 2 4" xfId="2645" xr:uid="{00000000-0005-0000-0000-000082210000}"/>
    <cellStyle name="Porcentagem 5 3 9 2 5" xfId="2578" xr:uid="{00000000-0005-0000-0000-000083210000}"/>
    <cellStyle name="Porcentagem 5 4" xfId="2043" xr:uid="{00000000-0005-0000-0000-000084210000}"/>
    <cellStyle name="Porcentagem 5 4 2" xfId="2972" xr:uid="{00000000-0005-0000-0000-000085210000}"/>
    <cellStyle name="Porcentagem 5 5" xfId="2044" xr:uid="{00000000-0005-0000-0000-000086210000}"/>
    <cellStyle name="Porcentagem 5 6" xfId="2045" xr:uid="{00000000-0005-0000-0000-000087210000}"/>
    <cellStyle name="Porcentagem 5 7" xfId="2046" xr:uid="{00000000-0005-0000-0000-000088210000}"/>
    <cellStyle name="Porcentagem 5 8" xfId="2047" xr:uid="{00000000-0005-0000-0000-000089210000}"/>
    <cellStyle name="Porcentagem 5 9" xfId="2048" xr:uid="{00000000-0005-0000-0000-00008A210000}"/>
    <cellStyle name="Porcentagem 6" xfId="66" xr:uid="{00000000-0005-0000-0000-00008B210000}"/>
    <cellStyle name="Porcentagem 6 10" xfId="8284" xr:uid="{00000000-0005-0000-0000-00008C210000}"/>
    <cellStyle name="Porcentagem 6 10 2" xfId="9053" xr:uid="{00000000-0005-0000-0000-00008D210000}"/>
    <cellStyle name="Porcentagem 6 11" xfId="8285" xr:uid="{00000000-0005-0000-0000-00008E210000}"/>
    <cellStyle name="Porcentagem 6 11 2" xfId="10680" xr:uid="{00000000-0005-0000-0000-00008F210000}"/>
    <cellStyle name="Porcentagem 6 12" xfId="10811" xr:uid="{00000000-0005-0000-0000-000090210000}"/>
    <cellStyle name="Porcentagem 6 2" xfId="320" xr:uid="{00000000-0005-0000-0000-000091210000}"/>
    <cellStyle name="Porcentagem 6 2 10" xfId="10681" xr:uid="{00000000-0005-0000-0000-000092210000}"/>
    <cellStyle name="Porcentagem 6 2 11" xfId="10812" xr:uid="{00000000-0005-0000-0000-000093210000}"/>
    <cellStyle name="Porcentagem 6 2 12" xfId="8970" xr:uid="{00000000-0005-0000-0000-000094210000}"/>
    <cellStyle name="Porcentagem 6 2 2" xfId="779" xr:uid="{00000000-0005-0000-0000-000095210000}"/>
    <cellStyle name="Porcentagem 6 2 2 2" xfId="9373" xr:uid="{00000000-0005-0000-0000-000096210000}"/>
    <cellStyle name="Porcentagem 6 2 2 2 2" xfId="9792" xr:uid="{00000000-0005-0000-0000-000097210000}"/>
    <cellStyle name="Porcentagem 6 2 2 2 2 2" xfId="10397" xr:uid="{00000000-0005-0000-0000-000098210000}"/>
    <cellStyle name="Porcentagem 6 2 2 2 3" xfId="10396" xr:uid="{00000000-0005-0000-0000-000099210000}"/>
    <cellStyle name="Porcentagem 6 2 2 3" xfId="9511" xr:uid="{00000000-0005-0000-0000-00009A210000}"/>
    <cellStyle name="Porcentagem 6 2 2 3 2" xfId="10398" xr:uid="{00000000-0005-0000-0000-00009B210000}"/>
    <cellStyle name="Porcentagem 6 2 2 4" xfId="10395" xr:uid="{00000000-0005-0000-0000-00009C210000}"/>
    <cellStyle name="Porcentagem 6 2 2 5" xfId="10724" xr:uid="{00000000-0005-0000-0000-00009D210000}"/>
    <cellStyle name="Porcentagem 6 2 2 6" xfId="10855" xr:uid="{00000000-0005-0000-0000-00009E210000}"/>
    <cellStyle name="Porcentagem 6 2 2 7" xfId="9256" xr:uid="{00000000-0005-0000-0000-00009F210000}"/>
    <cellStyle name="Porcentagem 6 2 3" xfId="8286" xr:uid="{00000000-0005-0000-0000-0000A0210000}"/>
    <cellStyle name="Porcentagem 6 2 3 2" xfId="9413" xr:uid="{00000000-0005-0000-0000-0000A1210000}"/>
    <cellStyle name="Porcentagem 6 2 3 2 2" xfId="9834" xr:uid="{00000000-0005-0000-0000-0000A2210000}"/>
    <cellStyle name="Porcentagem 6 2 3 2 2 2" xfId="10401" xr:uid="{00000000-0005-0000-0000-0000A3210000}"/>
    <cellStyle name="Porcentagem 6 2 3 2 3" xfId="10400" xr:uid="{00000000-0005-0000-0000-0000A4210000}"/>
    <cellStyle name="Porcentagem 6 2 3 3" xfId="9553" xr:uid="{00000000-0005-0000-0000-0000A5210000}"/>
    <cellStyle name="Porcentagem 6 2 3 3 2" xfId="10402" xr:uid="{00000000-0005-0000-0000-0000A6210000}"/>
    <cellStyle name="Porcentagem 6 2 3 4" xfId="10399" xr:uid="{00000000-0005-0000-0000-0000A7210000}"/>
    <cellStyle name="Porcentagem 6 2 3 5" xfId="10765" xr:uid="{00000000-0005-0000-0000-0000A8210000}"/>
    <cellStyle name="Porcentagem 6 2 3 6" xfId="10895" xr:uid="{00000000-0005-0000-0000-0000A9210000}"/>
    <cellStyle name="Porcentagem 6 2 3 7" xfId="9293" xr:uid="{00000000-0005-0000-0000-0000AA210000}"/>
    <cellStyle name="Porcentagem 6 2 4" xfId="8287" xr:uid="{00000000-0005-0000-0000-0000AB210000}"/>
    <cellStyle name="Porcentagem 6 2 4 2" xfId="9648" xr:uid="{00000000-0005-0000-0000-0000AC210000}"/>
    <cellStyle name="Porcentagem 6 2 4 2 2" xfId="10404" xr:uid="{00000000-0005-0000-0000-0000AD210000}"/>
    <cellStyle name="Porcentagem 6 2 4 3" xfId="10403" xr:uid="{00000000-0005-0000-0000-0000AE210000}"/>
    <cellStyle name="Porcentagem 6 2 4 4" xfId="9194" xr:uid="{00000000-0005-0000-0000-0000AF210000}"/>
    <cellStyle name="Porcentagem 6 2 5" xfId="8288" xr:uid="{00000000-0005-0000-0000-0000B0210000}"/>
    <cellStyle name="Porcentagem 6 2 5 2" xfId="9750" xr:uid="{00000000-0005-0000-0000-0000B1210000}"/>
    <cellStyle name="Porcentagem 6 2 5 2 2" xfId="10406" xr:uid="{00000000-0005-0000-0000-0000B2210000}"/>
    <cellStyle name="Porcentagem 6 2 5 3" xfId="10405" xr:uid="{00000000-0005-0000-0000-0000B3210000}"/>
    <cellStyle name="Porcentagem 6 2 5 4" xfId="9337" xr:uid="{00000000-0005-0000-0000-0000B4210000}"/>
    <cellStyle name="Porcentagem 6 2 6" xfId="8289" xr:uid="{00000000-0005-0000-0000-0000B5210000}"/>
    <cellStyle name="Porcentagem 6 2 6 2" xfId="9601" xr:uid="{00000000-0005-0000-0000-0000B6210000}"/>
    <cellStyle name="Porcentagem 6 2 6 2 2" xfId="10408" xr:uid="{00000000-0005-0000-0000-0000B7210000}"/>
    <cellStyle name="Porcentagem 6 2 6 3" xfId="10407" xr:uid="{00000000-0005-0000-0000-0000B8210000}"/>
    <cellStyle name="Porcentagem 6 2 6 4" xfId="9121" xr:uid="{00000000-0005-0000-0000-0000B9210000}"/>
    <cellStyle name="Porcentagem 6 2 7" xfId="8290" xr:uid="{00000000-0005-0000-0000-0000BA210000}"/>
    <cellStyle name="Porcentagem 6 2 7 2" xfId="10409" xr:uid="{00000000-0005-0000-0000-0000BB210000}"/>
    <cellStyle name="Porcentagem 6 2 7 3" xfId="9470" xr:uid="{00000000-0005-0000-0000-0000BC210000}"/>
    <cellStyle name="Porcentagem 6 2 8" xfId="8291" xr:uid="{00000000-0005-0000-0000-0000BD210000}"/>
    <cellStyle name="Porcentagem 6 2 8 2" xfId="9895" xr:uid="{00000000-0005-0000-0000-0000BE210000}"/>
    <cellStyle name="Porcentagem 6 2 9" xfId="9054" xr:uid="{00000000-0005-0000-0000-0000BF210000}"/>
    <cellStyle name="Porcentagem 6 3" xfId="321" xr:uid="{00000000-0005-0000-0000-0000C0210000}"/>
    <cellStyle name="Porcentagem 6 3 10" xfId="8292" xr:uid="{00000000-0005-0000-0000-0000C1210000}"/>
    <cellStyle name="Porcentagem 6 3 11" xfId="8293" xr:uid="{00000000-0005-0000-0000-0000C2210000}"/>
    <cellStyle name="Porcentagem 6 3 12" xfId="8294" xr:uid="{00000000-0005-0000-0000-0000C3210000}"/>
    <cellStyle name="Porcentagem 6 3 12 2" xfId="8295" xr:uid="{00000000-0005-0000-0000-0000C4210000}"/>
    <cellStyle name="Porcentagem 6 3 13" xfId="8296" xr:uid="{00000000-0005-0000-0000-0000C5210000}"/>
    <cellStyle name="Porcentagem 6 3 13 2" xfId="8297" xr:uid="{00000000-0005-0000-0000-0000C6210000}"/>
    <cellStyle name="Porcentagem 6 3 14" xfId="8298" xr:uid="{00000000-0005-0000-0000-0000C7210000}"/>
    <cellStyle name="Porcentagem 6 3 15" xfId="8299" xr:uid="{00000000-0005-0000-0000-0000C8210000}"/>
    <cellStyle name="Porcentagem 6 3 2" xfId="570" xr:uid="{00000000-0005-0000-0000-0000C9210000}"/>
    <cellStyle name="Porcentagem 6 3 2 2" xfId="2050" xr:uid="{00000000-0005-0000-0000-0000CA210000}"/>
    <cellStyle name="Porcentagem 6 3 2 2 2" xfId="8300" xr:uid="{00000000-0005-0000-0000-0000CB210000}"/>
    <cellStyle name="Porcentagem 6 3 2 2 2 2" xfId="10412" xr:uid="{00000000-0005-0000-0000-0000CC210000}"/>
    <cellStyle name="Porcentagem 6 3 2 2 3" xfId="9791" xr:uid="{00000000-0005-0000-0000-0000CD210000}"/>
    <cellStyle name="Porcentagem 6 3 2 2 3 2" xfId="14897" xr:uid="{00000000-0005-0000-0000-0000CE210000}"/>
    <cellStyle name="Porcentagem 6 3 2 2 3 3" xfId="13501" xr:uid="{00000000-0005-0000-0000-0000CF210000}"/>
    <cellStyle name="Porcentagem 6 3 2 3" xfId="10411" xr:uid="{00000000-0005-0000-0000-0000D0210000}"/>
    <cellStyle name="Porcentagem 6 3 2 4" xfId="9372" xr:uid="{00000000-0005-0000-0000-0000D1210000}"/>
    <cellStyle name="Porcentagem 6 3 3" xfId="1075" xr:uid="{00000000-0005-0000-0000-0000D2210000}"/>
    <cellStyle name="Porcentagem 6 3 3 2" xfId="2052" xr:uid="{00000000-0005-0000-0000-0000D3210000}"/>
    <cellStyle name="Porcentagem 6 3 3 2 2" xfId="10413" xr:uid="{00000000-0005-0000-0000-0000D4210000}"/>
    <cellStyle name="Porcentagem 6 3 3 2 2 2" xfId="14901" xr:uid="{00000000-0005-0000-0000-0000D5210000}"/>
    <cellStyle name="Porcentagem 6 3 3 2 2 3" xfId="13502" xr:uid="{00000000-0005-0000-0000-0000D6210000}"/>
    <cellStyle name="Porcentagem 6 3 3 2 3" xfId="13401" xr:uid="{00000000-0005-0000-0000-0000D7210000}"/>
    <cellStyle name="Porcentagem 6 3 3 3" xfId="2051" xr:uid="{00000000-0005-0000-0000-0000D8210000}"/>
    <cellStyle name="Porcentagem 6 3 3 4" xfId="8301" xr:uid="{00000000-0005-0000-0000-0000D9210000}"/>
    <cellStyle name="Porcentagem 6 3 4" xfId="2053" xr:uid="{00000000-0005-0000-0000-0000DA210000}"/>
    <cellStyle name="Porcentagem 6 3 4 2" xfId="8302" xr:uid="{00000000-0005-0000-0000-0000DB210000}"/>
    <cellStyle name="Porcentagem 6 3 4 3" xfId="8303" xr:uid="{00000000-0005-0000-0000-0000DC210000}"/>
    <cellStyle name="Porcentagem 6 3 4 4" xfId="10410" xr:uid="{00000000-0005-0000-0000-0000DD210000}"/>
    <cellStyle name="Porcentagem 6 3 4 4 2" xfId="14900" xr:uid="{00000000-0005-0000-0000-0000DE210000}"/>
    <cellStyle name="Porcentagem 6 3 4 4 3" xfId="13503" xr:uid="{00000000-0005-0000-0000-0000DF210000}"/>
    <cellStyle name="Porcentagem 6 3 5" xfId="2054" xr:uid="{00000000-0005-0000-0000-0000E0210000}"/>
    <cellStyle name="Porcentagem 6 3 5 2" xfId="8304" xr:uid="{00000000-0005-0000-0000-0000E1210000}"/>
    <cellStyle name="Porcentagem 6 3 5 3" xfId="10723" xr:uid="{00000000-0005-0000-0000-0000E2210000}"/>
    <cellStyle name="Porcentagem 6 3 6" xfId="2055" xr:uid="{00000000-0005-0000-0000-0000E3210000}"/>
    <cellStyle name="Porcentagem 6 3 6 2" xfId="10854" xr:uid="{00000000-0005-0000-0000-0000E4210000}"/>
    <cellStyle name="Porcentagem 6 3 7" xfId="2049" xr:uid="{00000000-0005-0000-0000-0000E5210000}"/>
    <cellStyle name="Porcentagem 6 3 8" xfId="8305" xr:uid="{00000000-0005-0000-0000-0000E6210000}"/>
    <cellStyle name="Porcentagem 6 3 8 2" xfId="8306" xr:uid="{00000000-0005-0000-0000-0000E7210000}"/>
    <cellStyle name="Porcentagem 6 3 9" xfId="8307" xr:uid="{00000000-0005-0000-0000-0000E8210000}"/>
    <cellStyle name="Porcentagem 6 3 9 2" xfId="8308" xr:uid="{00000000-0005-0000-0000-0000E9210000}"/>
    <cellStyle name="Porcentagem 6 4" xfId="701" xr:uid="{00000000-0005-0000-0000-0000EA210000}"/>
    <cellStyle name="Porcentagem 6 4 2" xfId="8309" xr:uid="{00000000-0005-0000-0000-0000EB210000}"/>
    <cellStyle name="Porcentagem 6 4 2 2" xfId="9833" xr:uid="{00000000-0005-0000-0000-0000EC210000}"/>
    <cellStyle name="Porcentagem 6 4 2 2 2" xfId="10416" xr:uid="{00000000-0005-0000-0000-0000ED210000}"/>
    <cellStyle name="Porcentagem 6 4 2 3" xfId="10415" xr:uid="{00000000-0005-0000-0000-0000EE210000}"/>
    <cellStyle name="Porcentagem 6 4 2 4" xfId="9412" xr:uid="{00000000-0005-0000-0000-0000EF210000}"/>
    <cellStyle name="Porcentagem 6 4 3" xfId="9552" xr:uid="{00000000-0005-0000-0000-0000F0210000}"/>
    <cellStyle name="Porcentagem 6 4 3 2" xfId="10417" xr:uid="{00000000-0005-0000-0000-0000F1210000}"/>
    <cellStyle name="Porcentagem 6 4 4" xfId="10414" xr:uid="{00000000-0005-0000-0000-0000F2210000}"/>
    <cellStyle name="Porcentagem 6 4 5" xfId="10764" xr:uid="{00000000-0005-0000-0000-0000F3210000}"/>
    <cellStyle name="Porcentagem 6 4 6" xfId="10894" xr:uid="{00000000-0005-0000-0000-0000F4210000}"/>
    <cellStyle name="Porcentagem 6 4 7" xfId="9292" xr:uid="{00000000-0005-0000-0000-0000F5210000}"/>
    <cellStyle name="Porcentagem 6 5" xfId="2056" xr:uid="{00000000-0005-0000-0000-0000F6210000}"/>
    <cellStyle name="Porcentagem 6 5 2" xfId="8310" xr:uid="{00000000-0005-0000-0000-0000F7210000}"/>
    <cellStyle name="Porcentagem 6 5 2 2" xfId="10419" xr:uid="{00000000-0005-0000-0000-0000F8210000}"/>
    <cellStyle name="Porcentagem 6 5 2 3" xfId="9647" xr:uid="{00000000-0005-0000-0000-0000F9210000}"/>
    <cellStyle name="Porcentagem 6 5 3" xfId="10418" xr:uid="{00000000-0005-0000-0000-0000FA210000}"/>
    <cellStyle name="Porcentagem 6 5 4" xfId="9193" xr:uid="{00000000-0005-0000-0000-0000FB210000}"/>
    <cellStyle name="Porcentagem 6 6" xfId="2057" xr:uid="{00000000-0005-0000-0000-0000FC210000}"/>
    <cellStyle name="Porcentagem 6 6 2" xfId="8311" xr:uid="{00000000-0005-0000-0000-0000FD210000}"/>
    <cellStyle name="Porcentagem 6 6 2 2" xfId="10421" xr:uid="{00000000-0005-0000-0000-0000FE210000}"/>
    <cellStyle name="Porcentagem 6 6 2 3" xfId="9749" xr:uid="{00000000-0005-0000-0000-0000FF210000}"/>
    <cellStyle name="Porcentagem 6 6 3" xfId="10420" xr:uid="{00000000-0005-0000-0000-000000220000}"/>
    <cellStyle name="Porcentagem 6 6 4" xfId="9336" xr:uid="{00000000-0005-0000-0000-000001220000}"/>
    <cellStyle name="Porcentagem 6 7" xfId="2058" xr:uid="{00000000-0005-0000-0000-000002220000}"/>
    <cellStyle name="Porcentagem 6 7 2" xfId="8312" xr:uid="{00000000-0005-0000-0000-000003220000}"/>
    <cellStyle name="Porcentagem 6 7 2 2" xfId="10423" xr:uid="{00000000-0005-0000-0000-000004220000}"/>
    <cellStyle name="Porcentagem 6 7 2 3" xfId="9600" xr:uid="{00000000-0005-0000-0000-000005220000}"/>
    <cellStyle name="Porcentagem 6 7 3" xfId="10422" xr:uid="{00000000-0005-0000-0000-000006220000}"/>
    <cellStyle name="Porcentagem 6 7 4" xfId="9120" xr:uid="{00000000-0005-0000-0000-000007220000}"/>
    <cellStyle name="Porcentagem 6 8" xfId="2059" xr:uid="{00000000-0005-0000-0000-000008220000}"/>
    <cellStyle name="Porcentagem 6 8 2" xfId="10424" xr:uid="{00000000-0005-0000-0000-000009220000}"/>
    <cellStyle name="Porcentagem 6 8 3" xfId="9469" xr:uid="{00000000-0005-0000-0000-00000A220000}"/>
    <cellStyle name="Porcentagem 6 9" xfId="2060" xr:uid="{00000000-0005-0000-0000-00000B220000}"/>
    <cellStyle name="Porcentagem 6 9 2" xfId="9894" xr:uid="{00000000-0005-0000-0000-00000C220000}"/>
    <cellStyle name="Porcentagem 7" xfId="106" xr:uid="{00000000-0005-0000-0000-00000D220000}"/>
    <cellStyle name="Porcentagem 7 10" xfId="571" xr:uid="{00000000-0005-0000-0000-00000E220000}"/>
    <cellStyle name="Porcentagem 7 10 2" xfId="2062" xr:uid="{00000000-0005-0000-0000-00000F220000}"/>
    <cellStyle name="Porcentagem 7 10 2 2" xfId="2869" xr:uid="{00000000-0005-0000-0000-000010220000}"/>
    <cellStyle name="Porcentagem 7 10 2 3" xfId="2785" xr:uid="{00000000-0005-0000-0000-000011220000}"/>
    <cellStyle name="Porcentagem 7 10 2 4" xfId="2647" xr:uid="{00000000-0005-0000-0000-000012220000}"/>
    <cellStyle name="Porcentagem 7 10 2 5" xfId="2580" xr:uid="{00000000-0005-0000-0000-000013220000}"/>
    <cellStyle name="Porcentagem 7 11" xfId="2063" xr:uid="{00000000-0005-0000-0000-000014220000}"/>
    <cellStyle name="Porcentagem 7 11 2" xfId="1267" xr:uid="{00000000-0005-0000-0000-000015220000}"/>
    <cellStyle name="Porcentagem 7 11 3" xfId="2786" xr:uid="{00000000-0005-0000-0000-000016220000}"/>
    <cellStyle name="Porcentagem 7 11 3 2" xfId="8313" xr:uid="{00000000-0005-0000-0000-000017220000}"/>
    <cellStyle name="Porcentagem 7 11 3 3" xfId="8314" xr:uid="{00000000-0005-0000-0000-000018220000}"/>
    <cellStyle name="Porcentagem 7 11 4" xfId="11173" xr:uid="{00000000-0005-0000-0000-000019220000}"/>
    <cellStyle name="Porcentagem 7 11 4 2" xfId="14957" xr:uid="{00000000-0005-0000-0000-00001A220000}"/>
    <cellStyle name="Porcentagem 7 11 4 3" xfId="13504" xr:uid="{00000000-0005-0000-0000-00001B220000}"/>
    <cellStyle name="Porcentagem 7 12" xfId="2064" xr:uid="{00000000-0005-0000-0000-00001C220000}"/>
    <cellStyle name="Porcentagem 7 12 2" xfId="2065" xr:uid="{00000000-0005-0000-0000-00001D220000}"/>
    <cellStyle name="Porcentagem 7 12 3" xfId="8315" xr:uid="{00000000-0005-0000-0000-00001E220000}"/>
    <cellStyle name="Porcentagem 7 12 4" xfId="13505" xr:uid="{00000000-0005-0000-0000-00001F220000}"/>
    <cellStyle name="Porcentagem 7 13" xfId="2061" xr:uid="{00000000-0005-0000-0000-000020220000}"/>
    <cellStyle name="Porcentagem 7 13 2" xfId="2868" xr:uid="{00000000-0005-0000-0000-000021220000}"/>
    <cellStyle name="Porcentagem 7 13 3" xfId="2784" xr:uid="{00000000-0005-0000-0000-000022220000}"/>
    <cellStyle name="Porcentagem 7 13 4" xfId="2646" xr:uid="{00000000-0005-0000-0000-000023220000}"/>
    <cellStyle name="Porcentagem 7 13 5" xfId="2579" xr:uid="{00000000-0005-0000-0000-000024220000}"/>
    <cellStyle name="Porcentagem 7 14" xfId="2973" xr:uid="{00000000-0005-0000-0000-000025220000}"/>
    <cellStyle name="Porcentagem 7 14 2" xfId="4236" xr:uid="{00000000-0005-0000-0000-000026220000}"/>
    <cellStyle name="Porcentagem 7 2" xfId="107" xr:uid="{00000000-0005-0000-0000-000027220000}"/>
    <cellStyle name="Porcentagem 7 2 10" xfId="8316" xr:uid="{00000000-0005-0000-0000-000028220000}"/>
    <cellStyle name="Porcentagem 7 2 11" xfId="8317" xr:uid="{00000000-0005-0000-0000-000029220000}"/>
    <cellStyle name="Porcentagem 7 2 2" xfId="726" xr:uid="{00000000-0005-0000-0000-00002A220000}"/>
    <cellStyle name="Porcentagem 7 2 3" xfId="2066" xr:uid="{00000000-0005-0000-0000-00002B220000}"/>
    <cellStyle name="Porcentagem 7 2 4" xfId="2067" xr:uid="{00000000-0005-0000-0000-00002C220000}"/>
    <cellStyle name="Porcentagem 7 2 5" xfId="2068" xr:uid="{00000000-0005-0000-0000-00002D220000}"/>
    <cellStyle name="Porcentagem 7 2 6" xfId="2069" xr:uid="{00000000-0005-0000-0000-00002E220000}"/>
    <cellStyle name="Porcentagem 7 2 7" xfId="2070" xr:uid="{00000000-0005-0000-0000-00002F220000}"/>
    <cellStyle name="Porcentagem 7 2 8" xfId="2071" xr:uid="{00000000-0005-0000-0000-000030220000}"/>
    <cellStyle name="Porcentagem 7 2 9" xfId="2072" xr:uid="{00000000-0005-0000-0000-000031220000}"/>
    <cellStyle name="Porcentagem 7 3" xfId="322" xr:uid="{00000000-0005-0000-0000-000032220000}"/>
    <cellStyle name="Porcentagem 7 3 10" xfId="8318" xr:uid="{00000000-0005-0000-0000-000033220000}"/>
    <cellStyle name="Porcentagem 7 3 11" xfId="8319" xr:uid="{00000000-0005-0000-0000-000034220000}"/>
    <cellStyle name="Porcentagem 7 3 12" xfId="8320" xr:uid="{00000000-0005-0000-0000-000035220000}"/>
    <cellStyle name="Porcentagem 7 3 12 2" xfId="8321" xr:uid="{00000000-0005-0000-0000-000036220000}"/>
    <cellStyle name="Porcentagem 7 3 13" xfId="8322" xr:uid="{00000000-0005-0000-0000-000037220000}"/>
    <cellStyle name="Porcentagem 7 3 13 2" xfId="8323" xr:uid="{00000000-0005-0000-0000-000038220000}"/>
    <cellStyle name="Porcentagem 7 3 14" xfId="8324" xr:uid="{00000000-0005-0000-0000-000039220000}"/>
    <cellStyle name="Porcentagem 7 3 15" xfId="8325" xr:uid="{00000000-0005-0000-0000-00003A220000}"/>
    <cellStyle name="Porcentagem 7 3 2" xfId="572" xr:uid="{00000000-0005-0000-0000-00003B220000}"/>
    <cellStyle name="Porcentagem 7 3 2 2" xfId="824" xr:uid="{00000000-0005-0000-0000-00003C220000}"/>
    <cellStyle name="Porcentagem 7 3 2 3" xfId="8326" xr:uid="{00000000-0005-0000-0000-00003D220000}"/>
    <cellStyle name="Porcentagem 7 3 2 4" xfId="8327" xr:uid="{00000000-0005-0000-0000-00003E220000}"/>
    <cellStyle name="Porcentagem 7 3 2 5" xfId="8328" xr:uid="{00000000-0005-0000-0000-00003F220000}"/>
    <cellStyle name="Porcentagem 7 3 2 6" xfId="8329" xr:uid="{00000000-0005-0000-0000-000040220000}"/>
    <cellStyle name="Porcentagem 7 3 2 7" xfId="8330" xr:uid="{00000000-0005-0000-0000-000041220000}"/>
    <cellStyle name="Porcentagem 7 3 2 8" xfId="8331" xr:uid="{00000000-0005-0000-0000-000042220000}"/>
    <cellStyle name="Porcentagem 7 3 3" xfId="1077" xr:uid="{00000000-0005-0000-0000-000043220000}"/>
    <cellStyle name="Porcentagem 7 3 3 2" xfId="1314" xr:uid="{00000000-0005-0000-0000-000044220000}"/>
    <cellStyle name="Porcentagem 7 3 3 2 2" xfId="8332" xr:uid="{00000000-0005-0000-0000-000045220000}"/>
    <cellStyle name="Porcentagem 7 3 3 2 3" xfId="13425" xr:uid="{00000000-0005-0000-0000-000046220000}"/>
    <cellStyle name="Porcentagem 7 3 3 3" xfId="2074" xr:uid="{00000000-0005-0000-0000-000047220000}"/>
    <cellStyle name="Porcentagem 7 3 3 3 2" xfId="2871" xr:uid="{00000000-0005-0000-0000-000048220000}"/>
    <cellStyle name="Porcentagem 7 3 3 3 3" xfId="2788" xr:uid="{00000000-0005-0000-0000-000049220000}"/>
    <cellStyle name="Porcentagem 7 3 3 3 4" xfId="2649" xr:uid="{00000000-0005-0000-0000-00004A220000}"/>
    <cellStyle name="Porcentagem 7 3 3 3 5" xfId="2582" xr:uid="{00000000-0005-0000-0000-00004B220000}"/>
    <cellStyle name="Porcentagem 7 3 4" xfId="1076" xr:uid="{00000000-0005-0000-0000-00004C220000}"/>
    <cellStyle name="Porcentagem 7 3 4 2" xfId="8333" xr:uid="{00000000-0005-0000-0000-00004D220000}"/>
    <cellStyle name="Porcentagem 7 3 5" xfId="2075" xr:uid="{00000000-0005-0000-0000-00004E220000}"/>
    <cellStyle name="Porcentagem 7 3 5 2" xfId="1320" xr:uid="{00000000-0005-0000-0000-00004F220000}"/>
    <cellStyle name="Porcentagem 7 3 5 2 2" xfId="8334" xr:uid="{00000000-0005-0000-0000-000050220000}"/>
    <cellStyle name="Porcentagem 7 3 5 2 3" xfId="13426" xr:uid="{00000000-0005-0000-0000-000051220000}"/>
    <cellStyle name="Porcentagem 7 3 5 3" xfId="2789" xr:uid="{00000000-0005-0000-0000-000052220000}"/>
    <cellStyle name="Porcentagem 7 3 5 3 2" xfId="8335" xr:uid="{00000000-0005-0000-0000-000053220000}"/>
    <cellStyle name="Porcentagem 7 3 5 3 3" xfId="8336" xr:uid="{00000000-0005-0000-0000-000054220000}"/>
    <cellStyle name="Porcentagem 7 3 5 4" xfId="13103" xr:uid="{00000000-0005-0000-0000-000055220000}"/>
    <cellStyle name="Porcentagem 7 3 5 4 2" xfId="15749" xr:uid="{00000000-0005-0000-0000-000056220000}"/>
    <cellStyle name="Porcentagem 7 3 5 4 3" xfId="13506" xr:uid="{00000000-0005-0000-0000-000057220000}"/>
    <cellStyle name="Porcentagem 7 3 6" xfId="2073" xr:uid="{00000000-0005-0000-0000-000058220000}"/>
    <cellStyle name="Porcentagem 7 3 6 2" xfId="2870" xr:uid="{00000000-0005-0000-0000-000059220000}"/>
    <cellStyle name="Porcentagem 7 3 6 3" xfId="2787" xr:uid="{00000000-0005-0000-0000-00005A220000}"/>
    <cellStyle name="Porcentagem 7 3 6 4" xfId="2648" xr:uid="{00000000-0005-0000-0000-00005B220000}"/>
    <cellStyle name="Porcentagem 7 3 6 5" xfId="2581" xr:uid="{00000000-0005-0000-0000-00005C220000}"/>
    <cellStyle name="Porcentagem 7 3 7" xfId="8337" xr:uid="{00000000-0005-0000-0000-00005D220000}"/>
    <cellStyle name="Porcentagem 7 3 8" xfId="8338" xr:uid="{00000000-0005-0000-0000-00005E220000}"/>
    <cellStyle name="Porcentagem 7 3 8 2" xfId="8339" xr:uid="{00000000-0005-0000-0000-00005F220000}"/>
    <cellStyle name="Porcentagem 7 3 9" xfId="8340" xr:uid="{00000000-0005-0000-0000-000060220000}"/>
    <cellStyle name="Porcentagem 7 3 9 2" xfId="8341" xr:uid="{00000000-0005-0000-0000-000061220000}"/>
    <cellStyle name="Porcentagem 7 4" xfId="451" xr:uid="{00000000-0005-0000-0000-000062220000}"/>
    <cellStyle name="Porcentagem 7 4 2" xfId="573" xr:uid="{00000000-0005-0000-0000-000063220000}"/>
    <cellStyle name="Porcentagem 7 4 2 2" xfId="825" xr:uid="{00000000-0005-0000-0000-000064220000}"/>
    <cellStyle name="Porcentagem 7 4 2 3" xfId="8342" xr:uid="{00000000-0005-0000-0000-000065220000}"/>
    <cellStyle name="Porcentagem 7 4 2 4" xfId="8343" xr:uid="{00000000-0005-0000-0000-000066220000}"/>
    <cellStyle name="Porcentagem 7 4 2 5" xfId="8344" xr:uid="{00000000-0005-0000-0000-000067220000}"/>
    <cellStyle name="Porcentagem 7 4 2 6" xfId="8345" xr:uid="{00000000-0005-0000-0000-000068220000}"/>
    <cellStyle name="Porcentagem 7 4 2 7" xfId="8346" xr:uid="{00000000-0005-0000-0000-000069220000}"/>
    <cellStyle name="Porcentagem 7 4 2 8" xfId="8347" xr:uid="{00000000-0005-0000-0000-00006A220000}"/>
    <cellStyle name="Porcentagem 7 4 3" xfId="797" xr:uid="{00000000-0005-0000-0000-00006B220000}"/>
    <cellStyle name="Porcentagem 7 4 4" xfId="8348" xr:uid="{00000000-0005-0000-0000-00006C220000}"/>
    <cellStyle name="Porcentagem 7 4 5" xfId="8349" xr:uid="{00000000-0005-0000-0000-00006D220000}"/>
    <cellStyle name="Porcentagem 7 4 6" xfId="8350" xr:uid="{00000000-0005-0000-0000-00006E220000}"/>
    <cellStyle name="Porcentagem 7 4 7" xfId="8351" xr:uid="{00000000-0005-0000-0000-00006F220000}"/>
    <cellStyle name="Porcentagem 7 4 8" xfId="8352" xr:uid="{00000000-0005-0000-0000-000070220000}"/>
    <cellStyle name="Porcentagem 7 4 9" xfId="8353" xr:uid="{00000000-0005-0000-0000-000071220000}"/>
    <cellStyle name="Porcentagem 7 5" xfId="574" xr:uid="{00000000-0005-0000-0000-000072220000}"/>
    <cellStyle name="Porcentagem 7 5 2" xfId="575" xr:uid="{00000000-0005-0000-0000-000073220000}"/>
    <cellStyle name="Porcentagem 7 5 2 2" xfId="826" xr:uid="{00000000-0005-0000-0000-000074220000}"/>
    <cellStyle name="Porcentagem 7 5 2 3" xfId="8354" xr:uid="{00000000-0005-0000-0000-000075220000}"/>
    <cellStyle name="Porcentagem 7 5 2 4" xfId="8355" xr:uid="{00000000-0005-0000-0000-000076220000}"/>
    <cellStyle name="Porcentagem 7 5 2 5" xfId="8356" xr:uid="{00000000-0005-0000-0000-000077220000}"/>
    <cellStyle name="Porcentagem 7 5 2 6" xfId="8357" xr:uid="{00000000-0005-0000-0000-000078220000}"/>
    <cellStyle name="Porcentagem 7 5 2 7" xfId="8358" xr:uid="{00000000-0005-0000-0000-000079220000}"/>
    <cellStyle name="Porcentagem 7 5 2 8" xfId="8359" xr:uid="{00000000-0005-0000-0000-00007A220000}"/>
    <cellStyle name="Porcentagem 7 5 3" xfId="2076" xr:uid="{00000000-0005-0000-0000-00007B220000}"/>
    <cellStyle name="Porcentagem 7 5 3 2" xfId="2872" xr:uid="{00000000-0005-0000-0000-00007C220000}"/>
    <cellStyle name="Porcentagem 7 5 3 3" xfId="2790" xr:uid="{00000000-0005-0000-0000-00007D220000}"/>
    <cellStyle name="Porcentagem 7 5 3 4" xfId="2650" xr:uid="{00000000-0005-0000-0000-00007E220000}"/>
    <cellStyle name="Porcentagem 7 5 3 5" xfId="2583" xr:uid="{00000000-0005-0000-0000-00007F220000}"/>
    <cellStyle name="Porcentagem 7 6" xfId="576" xr:uid="{00000000-0005-0000-0000-000080220000}"/>
    <cellStyle name="Porcentagem 7 6 2" xfId="577" xr:uid="{00000000-0005-0000-0000-000081220000}"/>
    <cellStyle name="Porcentagem 7 6 2 2" xfId="828" xr:uid="{00000000-0005-0000-0000-000082220000}"/>
    <cellStyle name="Porcentagem 7 6 2 3" xfId="8360" xr:uid="{00000000-0005-0000-0000-000083220000}"/>
    <cellStyle name="Porcentagem 7 6 2 4" xfId="8361" xr:uid="{00000000-0005-0000-0000-000084220000}"/>
    <cellStyle name="Porcentagem 7 6 2 5" xfId="8362" xr:uid="{00000000-0005-0000-0000-000085220000}"/>
    <cellStyle name="Porcentagem 7 6 2 6" xfId="8363" xr:uid="{00000000-0005-0000-0000-000086220000}"/>
    <cellStyle name="Porcentagem 7 6 2 7" xfId="8364" xr:uid="{00000000-0005-0000-0000-000087220000}"/>
    <cellStyle name="Porcentagem 7 6 2 8" xfId="8365" xr:uid="{00000000-0005-0000-0000-000088220000}"/>
    <cellStyle name="Porcentagem 7 6 3" xfId="827" xr:uid="{00000000-0005-0000-0000-000089220000}"/>
    <cellStyle name="Porcentagem 7 6 3 2" xfId="2078" xr:uid="{00000000-0005-0000-0000-00008A220000}"/>
    <cellStyle name="Porcentagem 7 6 3 2 2" xfId="2874" xr:uid="{00000000-0005-0000-0000-00008B220000}"/>
    <cellStyle name="Porcentagem 7 6 3 2 3" xfId="2792" xr:uid="{00000000-0005-0000-0000-00008C220000}"/>
    <cellStyle name="Porcentagem 7 6 3 2 4" xfId="2652" xr:uid="{00000000-0005-0000-0000-00008D220000}"/>
    <cellStyle name="Porcentagem 7 6 3 2 5" xfId="2585" xr:uid="{00000000-0005-0000-0000-00008E220000}"/>
    <cellStyle name="Porcentagem 7 6 4" xfId="2079" xr:uid="{00000000-0005-0000-0000-00008F220000}"/>
    <cellStyle name="Porcentagem 7 6 4 2" xfId="1324" xr:uid="{00000000-0005-0000-0000-000090220000}"/>
    <cellStyle name="Porcentagem 7 6 4 3" xfId="2793" xr:uid="{00000000-0005-0000-0000-000091220000}"/>
    <cellStyle name="Porcentagem 7 6 5" xfId="2077" xr:uid="{00000000-0005-0000-0000-000092220000}"/>
    <cellStyle name="Porcentagem 7 6 5 2" xfId="2873" xr:uid="{00000000-0005-0000-0000-000093220000}"/>
    <cellStyle name="Porcentagem 7 6 5 3" xfId="2791" xr:uid="{00000000-0005-0000-0000-000094220000}"/>
    <cellStyle name="Porcentagem 7 6 5 4" xfId="2651" xr:uid="{00000000-0005-0000-0000-000095220000}"/>
    <cellStyle name="Porcentagem 7 6 5 5" xfId="2584" xr:uid="{00000000-0005-0000-0000-000096220000}"/>
    <cellStyle name="Porcentagem 7 6 6" xfId="8366" xr:uid="{00000000-0005-0000-0000-000097220000}"/>
    <cellStyle name="Porcentagem 7 6 7" xfId="8367" xr:uid="{00000000-0005-0000-0000-000098220000}"/>
    <cellStyle name="Porcentagem 7 6 8" xfId="8368" xr:uid="{00000000-0005-0000-0000-000099220000}"/>
    <cellStyle name="Porcentagem 7 6 9" xfId="8369" xr:uid="{00000000-0005-0000-0000-00009A220000}"/>
    <cellStyle name="Porcentagem 7 7" xfId="578" xr:uid="{00000000-0005-0000-0000-00009B220000}"/>
    <cellStyle name="Porcentagem 7 7 2" xfId="579" xr:uid="{00000000-0005-0000-0000-00009C220000}"/>
    <cellStyle name="Porcentagem 7 7 2 2" xfId="2080" xr:uid="{00000000-0005-0000-0000-00009D220000}"/>
    <cellStyle name="Porcentagem 7 7 3" xfId="2081" xr:uid="{00000000-0005-0000-0000-00009E220000}"/>
    <cellStyle name="Porcentagem 7 7 3 2" xfId="2082" xr:uid="{00000000-0005-0000-0000-00009F220000}"/>
    <cellStyle name="Porcentagem 7 7 3 3" xfId="2794" xr:uid="{00000000-0005-0000-0000-0000A0220000}"/>
    <cellStyle name="Porcentagem 7 7 4" xfId="2083" xr:uid="{00000000-0005-0000-0000-0000A1220000}"/>
    <cellStyle name="Porcentagem 7 7 5" xfId="2084" xr:uid="{00000000-0005-0000-0000-0000A2220000}"/>
    <cellStyle name="Porcentagem 7 8" xfId="580" xr:uid="{00000000-0005-0000-0000-0000A3220000}"/>
    <cellStyle name="Porcentagem 7 8 2" xfId="2085" xr:uid="{00000000-0005-0000-0000-0000A4220000}"/>
    <cellStyle name="Porcentagem 7 8 2 2" xfId="8370" xr:uid="{00000000-0005-0000-0000-0000A5220000}"/>
    <cellStyle name="Porcentagem 7 8 3" xfId="2086" xr:uid="{00000000-0005-0000-0000-0000A6220000}"/>
    <cellStyle name="Porcentagem 7 8 4" xfId="2087" xr:uid="{00000000-0005-0000-0000-0000A7220000}"/>
    <cellStyle name="Porcentagem 7 8 4 2" xfId="1328" xr:uid="{00000000-0005-0000-0000-0000A8220000}"/>
    <cellStyle name="Porcentagem 7 8 4 3" xfId="2795" xr:uid="{00000000-0005-0000-0000-0000A9220000}"/>
    <cellStyle name="Porcentagem 7 8 5" xfId="2088" xr:uid="{00000000-0005-0000-0000-0000AA220000}"/>
    <cellStyle name="Porcentagem 7 9" xfId="581" xr:uid="{00000000-0005-0000-0000-0000AB220000}"/>
    <cellStyle name="Porcentagem 7 9 2" xfId="2089" xr:uid="{00000000-0005-0000-0000-0000AC220000}"/>
    <cellStyle name="Porcentagem 7 9 2 2" xfId="2875" xr:uid="{00000000-0005-0000-0000-0000AD220000}"/>
    <cellStyle name="Porcentagem 7 9 2 3" xfId="2796" xr:uid="{00000000-0005-0000-0000-0000AE220000}"/>
    <cellStyle name="Porcentagem 7 9 2 4" xfId="2653" xr:uid="{00000000-0005-0000-0000-0000AF220000}"/>
    <cellStyle name="Porcentagem 7 9 2 5" xfId="2586" xr:uid="{00000000-0005-0000-0000-0000B0220000}"/>
    <cellStyle name="Porcentagem 8" xfId="2090" xr:uid="{00000000-0005-0000-0000-0000B1220000}"/>
    <cellStyle name="Porcentagem 8 2" xfId="2974" xr:uid="{00000000-0005-0000-0000-0000B2220000}"/>
    <cellStyle name="Porcentagem 8 3" xfId="10777" xr:uid="{00000000-0005-0000-0000-0000B3220000}"/>
    <cellStyle name="Porcentagem 9" xfId="2091" xr:uid="{00000000-0005-0000-0000-0000B4220000}"/>
    <cellStyle name="Porcentagem 9 2" xfId="8371" xr:uid="{00000000-0005-0000-0000-0000B5220000}"/>
    <cellStyle name="Porcentagem 9 2 2" xfId="8372" xr:uid="{00000000-0005-0000-0000-0000B6220000}"/>
    <cellStyle name="Result" xfId="323" xr:uid="{00000000-0005-0000-0000-0000B7220000}"/>
    <cellStyle name="Result2" xfId="324" xr:uid="{00000000-0005-0000-0000-0000B8220000}"/>
    <cellStyle name="Saída 2" xfId="419" xr:uid="{00000000-0005-0000-0000-0000B9220000}"/>
    <cellStyle name="Saída 2 10" xfId="6983" xr:uid="{00000000-0005-0000-0000-0000BA220000}"/>
    <cellStyle name="Saída 2 10 2" xfId="12145" xr:uid="{00000000-0005-0000-0000-0000BB220000}"/>
    <cellStyle name="Saída 2 10 2 2" xfId="15223" xr:uid="{00000000-0005-0000-0000-0000BC220000}"/>
    <cellStyle name="Saída 2 10 3" xfId="11939" xr:uid="{00000000-0005-0000-0000-0000BD220000}"/>
    <cellStyle name="Saída 2 10 3 2" xfId="15118" xr:uid="{00000000-0005-0000-0000-0000BE220000}"/>
    <cellStyle name="Saída 2 10 4" xfId="14509" xr:uid="{00000000-0005-0000-0000-0000BF220000}"/>
    <cellStyle name="Saída 2 10 5" xfId="13865" xr:uid="{00000000-0005-0000-0000-0000C0220000}"/>
    <cellStyle name="Saída 2 11" xfId="10642" xr:uid="{00000000-0005-0000-0000-0000C1220000}"/>
    <cellStyle name="Saída 2 11 2" xfId="13137" xr:uid="{00000000-0005-0000-0000-0000C2220000}"/>
    <cellStyle name="Saída 2 11 2 2" xfId="15753" xr:uid="{00000000-0005-0000-0000-0000C3220000}"/>
    <cellStyle name="Saída 2 11 3" xfId="13358" xr:uid="{00000000-0005-0000-0000-0000C4220000}"/>
    <cellStyle name="Saída 2 11 3 2" xfId="15809" xr:uid="{00000000-0005-0000-0000-0000C5220000}"/>
    <cellStyle name="Saída 2 11 4" xfId="14905" xr:uid="{00000000-0005-0000-0000-0000C6220000}"/>
    <cellStyle name="Saída 2 12" xfId="13193" xr:uid="{00000000-0005-0000-0000-0000C7220000}"/>
    <cellStyle name="Saída 2 12 2" xfId="15781" xr:uid="{00000000-0005-0000-0000-0000C8220000}"/>
    <cellStyle name="Saída 2 13" xfId="11047" xr:uid="{00000000-0005-0000-0000-0000C9220000}"/>
    <cellStyle name="Saída 2 13 2" xfId="14931" xr:uid="{00000000-0005-0000-0000-0000CA220000}"/>
    <cellStyle name="Saída 2 14" xfId="12547" xr:uid="{00000000-0005-0000-0000-0000CB220000}"/>
    <cellStyle name="Saída 2 14 2" xfId="15435" xr:uid="{00000000-0005-0000-0000-0000CC220000}"/>
    <cellStyle name="Saída 2 15" xfId="14582" xr:uid="{00000000-0005-0000-0000-0000CD220000}"/>
    <cellStyle name="Saída 2 16" xfId="13374" xr:uid="{00000000-0005-0000-0000-0000CE220000}"/>
    <cellStyle name="Saída 2 17" xfId="15868" xr:uid="{00000000-0005-0000-0000-0000CF220000}"/>
    <cellStyle name="Saída 2 2" xfId="2975" xr:uid="{00000000-0005-0000-0000-0000D0220000}"/>
    <cellStyle name="Saída 2 2 10" xfId="13201" xr:uid="{00000000-0005-0000-0000-0000D1220000}"/>
    <cellStyle name="Saída 2 2 10 2" xfId="15789" xr:uid="{00000000-0005-0000-0000-0000D2220000}"/>
    <cellStyle name="Saída 2 2 11" xfId="11594" xr:uid="{00000000-0005-0000-0000-0000D3220000}"/>
    <cellStyle name="Saída 2 2 11 2" xfId="15043" xr:uid="{00000000-0005-0000-0000-0000D4220000}"/>
    <cellStyle name="Saída 2 2 12" xfId="11438" xr:uid="{00000000-0005-0000-0000-0000D5220000}"/>
    <cellStyle name="Saída 2 2 12 2" xfId="15024" xr:uid="{00000000-0005-0000-0000-0000D6220000}"/>
    <cellStyle name="Saída 2 2 13" xfId="14610" xr:uid="{00000000-0005-0000-0000-0000D7220000}"/>
    <cellStyle name="Saída 2 2 14" xfId="13402" xr:uid="{00000000-0005-0000-0000-0000D8220000}"/>
    <cellStyle name="Saída 2 2 15" xfId="16057" xr:uid="{00000000-0005-0000-0000-0000D9220000}"/>
    <cellStyle name="Saída 2 2 2" xfId="4988" xr:uid="{00000000-0005-0000-0000-0000DA220000}"/>
    <cellStyle name="Saída 2 2 2 10" xfId="11817" xr:uid="{00000000-0005-0000-0000-0000DB220000}"/>
    <cellStyle name="Saída 2 2 2 10 2" xfId="12428" xr:uid="{00000000-0005-0000-0000-0000DC220000}"/>
    <cellStyle name="Saída 2 2 2 10 2 2" xfId="15394" xr:uid="{00000000-0005-0000-0000-0000DD220000}"/>
    <cellStyle name="Saída 2 2 2 10 3" xfId="15093" xr:uid="{00000000-0005-0000-0000-0000DE220000}"/>
    <cellStyle name="Saída 2 2 2 11" xfId="11831" xr:uid="{00000000-0005-0000-0000-0000DF220000}"/>
    <cellStyle name="Saída 2 2 2 11 2" xfId="15094" xr:uid="{00000000-0005-0000-0000-0000E0220000}"/>
    <cellStyle name="Saída 2 2 2 12" xfId="14534" xr:uid="{00000000-0005-0000-0000-0000E1220000}"/>
    <cellStyle name="Saída 2 2 2 13" xfId="13743" xr:uid="{00000000-0005-0000-0000-0000E2220000}"/>
    <cellStyle name="Saída 2 2 2 14" xfId="18023" xr:uid="{00000000-0005-0000-0000-0000E3220000}"/>
    <cellStyle name="Saída 2 2 2 2" xfId="7073" xr:uid="{00000000-0005-0000-0000-0000E4220000}"/>
    <cellStyle name="Saída 2 2 2 2 2" xfId="8881" xr:uid="{00000000-0005-0000-0000-0000E5220000}"/>
    <cellStyle name="Saída 2 2 2 2 2 2" xfId="12745" xr:uid="{00000000-0005-0000-0000-0000E6220000}"/>
    <cellStyle name="Saída 2 2 2 2 2 2 2" xfId="15595" xr:uid="{00000000-0005-0000-0000-0000E7220000}"/>
    <cellStyle name="Saída 2 2 2 2 2 3" xfId="11789" xr:uid="{00000000-0005-0000-0000-0000E8220000}"/>
    <cellStyle name="Saída 2 2 2 2 2 3 2" xfId="15083" xr:uid="{00000000-0005-0000-0000-0000E9220000}"/>
    <cellStyle name="Saída 2 2 2 2 2 4" xfId="14815" xr:uid="{00000000-0005-0000-0000-0000EA220000}"/>
    <cellStyle name="Saída 2 2 2 2 2 5" xfId="14217" xr:uid="{00000000-0005-0000-0000-0000EB220000}"/>
    <cellStyle name="Saída 2 2 2 2 3" xfId="12230" xr:uid="{00000000-0005-0000-0000-0000EC220000}"/>
    <cellStyle name="Saída 2 2 2 2 3 2" xfId="15304" xr:uid="{00000000-0005-0000-0000-0000ED220000}"/>
    <cellStyle name="Saída 2 2 2 2 4" xfId="11230" xr:uid="{00000000-0005-0000-0000-0000EE220000}"/>
    <cellStyle name="Saída 2 2 2 2 4 2" xfId="14966" xr:uid="{00000000-0005-0000-0000-0000EF220000}"/>
    <cellStyle name="Saída 2 2 2 2 5" xfId="14736" xr:uid="{00000000-0005-0000-0000-0000F0220000}"/>
    <cellStyle name="Saída 2 2 2 2 6" xfId="13953" xr:uid="{00000000-0005-0000-0000-0000F1220000}"/>
    <cellStyle name="Saída 2 2 2 3" xfId="7080" xr:uid="{00000000-0005-0000-0000-0000F2220000}"/>
    <cellStyle name="Saída 2 2 2 3 2" xfId="8887" xr:uid="{00000000-0005-0000-0000-0000F3220000}"/>
    <cellStyle name="Saída 2 2 2 3 2 2" xfId="12750" xr:uid="{00000000-0005-0000-0000-0000F4220000}"/>
    <cellStyle name="Saída 2 2 2 3 2 2 2" xfId="15600" xr:uid="{00000000-0005-0000-0000-0000F5220000}"/>
    <cellStyle name="Saída 2 2 2 3 2 3" xfId="11592" xr:uid="{00000000-0005-0000-0000-0000F6220000}"/>
    <cellStyle name="Saída 2 2 2 3 2 3 2" xfId="15041" xr:uid="{00000000-0005-0000-0000-0000F7220000}"/>
    <cellStyle name="Saída 2 2 2 3 2 4" xfId="14595" xr:uid="{00000000-0005-0000-0000-0000F8220000}"/>
    <cellStyle name="Saída 2 2 2 3 2 5" xfId="14223" xr:uid="{00000000-0005-0000-0000-0000F9220000}"/>
    <cellStyle name="Saída 2 2 2 3 3" xfId="12236" xr:uid="{00000000-0005-0000-0000-0000FA220000}"/>
    <cellStyle name="Saída 2 2 2 3 3 2" xfId="15310" xr:uid="{00000000-0005-0000-0000-0000FB220000}"/>
    <cellStyle name="Saída 2 2 2 3 4" xfId="11134" xr:uid="{00000000-0005-0000-0000-0000FC220000}"/>
    <cellStyle name="Saída 2 2 2 3 4 2" xfId="14952" xr:uid="{00000000-0005-0000-0000-0000FD220000}"/>
    <cellStyle name="Saída 2 2 2 3 5" xfId="14463" xr:uid="{00000000-0005-0000-0000-0000FE220000}"/>
    <cellStyle name="Saída 2 2 2 3 6" xfId="13960" xr:uid="{00000000-0005-0000-0000-0000FF220000}"/>
    <cellStyle name="Saída 2 2 2 4" xfId="7085" xr:uid="{00000000-0005-0000-0000-000000230000}"/>
    <cellStyle name="Saída 2 2 2 4 2" xfId="8892" xr:uid="{00000000-0005-0000-0000-000001230000}"/>
    <cellStyle name="Saída 2 2 2 4 2 2" xfId="12755" xr:uid="{00000000-0005-0000-0000-000002230000}"/>
    <cellStyle name="Saída 2 2 2 4 2 2 2" xfId="15605" xr:uid="{00000000-0005-0000-0000-000003230000}"/>
    <cellStyle name="Saída 2 2 2 4 2 3" xfId="12534" xr:uid="{00000000-0005-0000-0000-000004230000}"/>
    <cellStyle name="Saída 2 2 2 4 2 3 2" xfId="15423" xr:uid="{00000000-0005-0000-0000-000005230000}"/>
    <cellStyle name="Saída 2 2 2 4 2 4" xfId="14560" xr:uid="{00000000-0005-0000-0000-000006230000}"/>
    <cellStyle name="Saída 2 2 2 4 2 5" xfId="14228" xr:uid="{00000000-0005-0000-0000-000007230000}"/>
    <cellStyle name="Saída 2 2 2 4 3" xfId="12241" xr:uid="{00000000-0005-0000-0000-000008230000}"/>
    <cellStyle name="Saída 2 2 2 4 3 2" xfId="15315" xr:uid="{00000000-0005-0000-0000-000009230000}"/>
    <cellStyle name="Saída 2 2 2 4 4" xfId="13262" xr:uid="{00000000-0005-0000-0000-00000A230000}"/>
    <cellStyle name="Saída 2 2 2 4 4 2" xfId="15796" xr:uid="{00000000-0005-0000-0000-00000B230000}"/>
    <cellStyle name="Saída 2 2 2 4 5" xfId="14386" xr:uid="{00000000-0005-0000-0000-00000C230000}"/>
    <cellStyle name="Saída 2 2 2 4 6" xfId="13965" xr:uid="{00000000-0005-0000-0000-00000D230000}"/>
    <cellStyle name="Saída 2 2 2 5" xfId="7106" xr:uid="{00000000-0005-0000-0000-00000E230000}"/>
    <cellStyle name="Saída 2 2 2 5 2" xfId="8913" xr:uid="{00000000-0005-0000-0000-00000F230000}"/>
    <cellStyle name="Saída 2 2 2 5 2 2" xfId="12774" xr:uid="{00000000-0005-0000-0000-000010230000}"/>
    <cellStyle name="Saída 2 2 2 5 2 2 2" xfId="15624" xr:uid="{00000000-0005-0000-0000-000011230000}"/>
    <cellStyle name="Saída 2 2 2 5 2 3" xfId="11883" xr:uid="{00000000-0005-0000-0000-000012230000}"/>
    <cellStyle name="Saída 2 2 2 5 2 3 2" xfId="15108" xr:uid="{00000000-0005-0000-0000-000013230000}"/>
    <cellStyle name="Saída 2 2 2 5 2 4" xfId="14658" xr:uid="{00000000-0005-0000-0000-000014230000}"/>
    <cellStyle name="Saída 2 2 2 5 2 5" xfId="14249" xr:uid="{00000000-0005-0000-0000-000015230000}"/>
    <cellStyle name="Saída 2 2 2 5 3" xfId="12260" xr:uid="{00000000-0005-0000-0000-000016230000}"/>
    <cellStyle name="Saída 2 2 2 5 3 2" xfId="15334" xr:uid="{00000000-0005-0000-0000-000017230000}"/>
    <cellStyle name="Saída 2 2 2 5 4" xfId="12875" xr:uid="{00000000-0005-0000-0000-000018230000}"/>
    <cellStyle name="Saída 2 2 2 5 4 2" xfId="15687" xr:uid="{00000000-0005-0000-0000-000019230000}"/>
    <cellStyle name="Saída 2 2 2 5 5" xfId="14452" xr:uid="{00000000-0005-0000-0000-00001A230000}"/>
    <cellStyle name="Saída 2 2 2 5 6" xfId="13986" xr:uid="{00000000-0005-0000-0000-00001B230000}"/>
    <cellStyle name="Saída 2 2 2 6" xfId="6908" xr:uid="{00000000-0005-0000-0000-00001C230000}"/>
    <cellStyle name="Saída 2 2 2 6 2" xfId="8743" xr:uid="{00000000-0005-0000-0000-00001D230000}"/>
    <cellStyle name="Saída 2 2 2 6 2 2" xfId="12615" xr:uid="{00000000-0005-0000-0000-00001E230000}"/>
    <cellStyle name="Saída 2 2 2 6 2 2 2" xfId="15472" xr:uid="{00000000-0005-0000-0000-00001F230000}"/>
    <cellStyle name="Saída 2 2 2 6 2 3" xfId="12507" xr:uid="{00000000-0005-0000-0000-000020230000}"/>
    <cellStyle name="Saída 2 2 2 6 2 3 2" xfId="15415" xr:uid="{00000000-0005-0000-0000-000021230000}"/>
    <cellStyle name="Saída 2 2 2 6 2 4" xfId="14881" xr:uid="{00000000-0005-0000-0000-000022230000}"/>
    <cellStyle name="Saída 2 2 2 6 2 5" xfId="14079" xr:uid="{00000000-0005-0000-0000-000023230000}"/>
    <cellStyle name="Saída 2 2 2 6 3" xfId="12075" xr:uid="{00000000-0005-0000-0000-000024230000}"/>
    <cellStyle name="Saída 2 2 2 6 3 2" xfId="15155" xr:uid="{00000000-0005-0000-0000-000025230000}"/>
    <cellStyle name="Saída 2 2 2 6 4" xfId="12336" xr:uid="{00000000-0005-0000-0000-000026230000}"/>
    <cellStyle name="Saída 2 2 2 6 4 2" xfId="15382" xr:uid="{00000000-0005-0000-0000-000027230000}"/>
    <cellStyle name="Saída 2 2 2 6 5" xfId="14405" xr:uid="{00000000-0005-0000-0000-000028230000}"/>
    <cellStyle name="Saída 2 2 2 6 6" xfId="13793" xr:uid="{00000000-0005-0000-0000-000029230000}"/>
    <cellStyle name="Saída 2 2 2 7" xfId="7131" xr:uid="{00000000-0005-0000-0000-00002A230000}"/>
    <cellStyle name="Saída 2 2 2 7 2" xfId="8938" xr:uid="{00000000-0005-0000-0000-00002B230000}"/>
    <cellStyle name="Saída 2 2 2 7 2 2" xfId="12796" xr:uid="{00000000-0005-0000-0000-00002C230000}"/>
    <cellStyle name="Saída 2 2 2 7 2 2 2" xfId="15645" xr:uid="{00000000-0005-0000-0000-00002D230000}"/>
    <cellStyle name="Saída 2 2 2 7 2 3" xfId="11787" xr:uid="{00000000-0005-0000-0000-00002E230000}"/>
    <cellStyle name="Saída 2 2 2 7 2 3 2" xfId="15082" xr:uid="{00000000-0005-0000-0000-00002F230000}"/>
    <cellStyle name="Saída 2 2 2 7 2 4" xfId="14641" xr:uid="{00000000-0005-0000-0000-000030230000}"/>
    <cellStyle name="Saída 2 2 2 7 2 5" xfId="14274" xr:uid="{00000000-0005-0000-0000-000031230000}"/>
    <cellStyle name="Saída 2 2 2 7 3" xfId="12282" xr:uid="{00000000-0005-0000-0000-000032230000}"/>
    <cellStyle name="Saída 2 2 2 7 3 2" xfId="15355" xr:uid="{00000000-0005-0000-0000-000033230000}"/>
    <cellStyle name="Saída 2 2 2 7 4" xfId="12930" xr:uid="{00000000-0005-0000-0000-000034230000}"/>
    <cellStyle name="Saída 2 2 2 7 4 2" xfId="15701" xr:uid="{00000000-0005-0000-0000-000035230000}"/>
    <cellStyle name="Saída 2 2 2 7 5" xfId="14439" xr:uid="{00000000-0005-0000-0000-000036230000}"/>
    <cellStyle name="Saída 2 2 2 7 6" xfId="14011" xr:uid="{00000000-0005-0000-0000-000037230000}"/>
    <cellStyle name="Saída 2 2 2 8" xfId="7153" xr:uid="{00000000-0005-0000-0000-000038230000}"/>
    <cellStyle name="Saída 2 2 2 8 2" xfId="8960" xr:uid="{00000000-0005-0000-0000-000039230000}"/>
    <cellStyle name="Saída 2 2 2 8 2 2" xfId="12816" xr:uid="{00000000-0005-0000-0000-00003A230000}"/>
    <cellStyle name="Saída 2 2 2 8 2 2 2" xfId="15664" xr:uid="{00000000-0005-0000-0000-00003B230000}"/>
    <cellStyle name="Saída 2 2 2 8 2 3" xfId="11917" xr:uid="{00000000-0005-0000-0000-00003C230000}"/>
    <cellStyle name="Saída 2 2 2 8 2 3 2" xfId="15114" xr:uid="{00000000-0005-0000-0000-00003D230000}"/>
    <cellStyle name="Saída 2 2 2 8 2 4" xfId="14845" xr:uid="{00000000-0005-0000-0000-00003E230000}"/>
    <cellStyle name="Saída 2 2 2 8 2 5" xfId="14296" xr:uid="{00000000-0005-0000-0000-00003F230000}"/>
    <cellStyle name="Saída 2 2 2 8 3" xfId="12302" xr:uid="{00000000-0005-0000-0000-000040230000}"/>
    <cellStyle name="Saída 2 2 2 8 3 2" xfId="15374" xr:uid="{00000000-0005-0000-0000-000041230000}"/>
    <cellStyle name="Saída 2 2 2 8 4" xfId="13016" xr:uid="{00000000-0005-0000-0000-000042230000}"/>
    <cellStyle name="Saída 2 2 2 8 4 2" xfId="15713" xr:uid="{00000000-0005-0000-0000-000043230000}"/>
    <cellStyle name="Saída 2 2 2 8 5" xfId="14720" xr:uid="{00000000-0005-0000-0000-000044230000}"/>
    <cellStyle name="Saída 2 2 2 8 6" xfId="14033" xr:uid="{00000000-0005-0000-0000-000045230000}"/>
    <cellStyle name="Saída 2 2 2 9" xfId="7156" xr:uid="{00000000-0005-0000-0000-000046230000}"/>
    <cellStyle name="Saída 2 2 2 9 2" xfId="12304" xr:uid="{00000000-0005-0000-0000-000047230000}"/>
    <cellStyle name="Saída 2 2 2 9 2 2" xfId="15376" xr:uid="{00000000-0005-0000-0000-000048230000}"/>
    <cellStyle name="Saída 2 2 2 9 3" xfId="11064" xr:uid="{00000000-0005-0000-0000-000049230000}"/>
    <cellStyle name="Saída 2 2 2 9 3 2" xfId="14939" xr:uid="{00000000-0005-0000-0000-00004A230000}"/>
    <cellStyle name="Saída 2 2 2 9 4" xfId="14429" xr:uid="{00000000-0005-0000-0000-00004B230000}"/>
    <cellStyle name="Saída 2 2 2 9 5" xfId="14036" xr:uid="{00000000-0005-0000-0000-00004C230000}"/>
    <cellStyle name="Saída 2 2 3" xfId="6993" xr:uid="{00000000-0005-0000-0000-00004D230000}"/>
    <cellStyle name="Saída 2 2 3 2" xfId="8814" xr:uid="{00000000-0005-0000-0000-00004E230000}"/>
    <cellStyle name="Saída 2 2 3 2 2" xfId="12682" xr:uid="{00000000-0005-0000-0000-00004F230000}"/>
    <cellStyle name="Saída 2 2 3 2 2 2" xfId="15536" xr:uid="{00000000-0005-0000-0000-000050230000}"/>
    <cellStyle name="Saída 2 2 3 2 3" xfId="12833" xr:uid="{00000000-0005-0000-0000-000051230000}"/>
    <cellStyle name="Saída 2 2 3 2 3 2" xfId="15674" xr:uid="{00000000-0005-0000-0000-000052230000}"/>
    <cellStyle name="Saída 2 2 3 2 4" xfId="14333" xr:uid="{00000000-0005-0000-0000-000053230000}"/>
    <cellStyle name="Saída 2 2 3 2 5" xfId="14150" xr:uid="{00000000-0005-0000-0000-000054230000}"/>
    <cellStyle name="Saída 2 2 3 3" xfId="12155" xr:uid="{00000000-0005-0000-0000-000055230000}"/>
    <cellStyle name="Saída 2 2 3 3 2" xfId="15233" xr:uid="{00000000-0005-0000-0000-000056230000}"/>
    <cellStyle name="Saída 2 2 3 4" xfId="11772" xr:uid="{00000000-0005-0000-0000-000057230000}"/>
    <cellStyle name="Saída 2 2 3 4 2" xfId="15079" xr:uid="{00000000-0005-0000-0000-000058230000}"/>
    <cellStyle name="Saída 2 2 3 5" xfId="14388" xr:uid="{00000000-0005-0000-0000-000059230000}"/>
    <cellStyle name="Saída 2 2 3 6" xfId="13875" xr:uid="{00000000-0005-0000-0000-00005A230000}"/>
    <cellStyle name="Saída 2 2 4" xfId="7024" xr:uid="{00000000-0005-0000-0000-00005B230000}"/>
    <cellStyle name="Saída 2 2 4 2" xfId="8838" xr:uid="{00000000-0005-0000-0000-00005C230000}"/>
    <cellStyle name="Saída 2 2 4 2 2" xfId="12704" xr:uid="{00000000-0005-0000-0000-00005D230000}"/>
    <cellStyle name="Saída 2 2 4 2 2 2" xfId="15557" xr:uid="{00000000-0005-0000-0000-00005E230000}"/>
    <cellStyle name="Saída 2 2 4 2 3" xfId="11837" xr:uid="{00000000-0005-0000-0000-00005F230000}"/>
    <cellStyle name="Saída 2 2 4 2 3 2" xfId="15096" xr:uid="{00000000-0005-0000-0000-000060230000}"/>
    <cellStyle name="Saída 2 2 4 2 4" xfId="14566" xr:uid="{00000000-0005-0000-0000-000061230000}"/>
    <cellStyle name="Saída 2 2 4 2 5" xfId="14174" xr:uid="{00000000-0005-0000-0000-000062230000}"/>
    <cellStyle name="Saída 2 2 4 3" xfId="12184" xr:uid="{00000000-0005-0000-0000-000063230000}"/>
    <cellStyle name="Saída 2 2 4 3 2" xfId="15261" xr:uid="{00000000-0005-0000-0000-000064230000}"/>
    <cellStyle name="Saída 2 2 4 4" xfId="11217" xr:uid="{00000000-0005-0000-0000-000065230000}"/>
    <cellStyle name="Saída 2 2 4 4 2" xfId="14961" xr:uid="{00000000-0005-0000-0000-000066230000}"/>
    <cellStyle name="Saída 2 2 4 5" xfId="14487" xr:uid="{00000000-0005-0000-0000-000067230000}"/>
    <cellStyle name="Saída 2 2 4 6" xfId="13905" xr:uid="{00000000-0005-0000-0000-000068230000}"/>
    <cellStyle name="Saída 2 2 5" xfId="6939" xr:uid="{00000000-0005-0000-0000-000069230000}"/>
    <cellStyle name="Saída 2 2 5 2" xfId="8770" xr:uid="{00000000-0005-0000-0000-00006A230000}"/>
    <cellStyle name="Saída 2 2 5 2 2" xfId="12640" xr:uid="{00000000-0005-0000-0000-00006B230000}"/>
    <cellStyle name="Saída 2 2 5 2 2 2" xfId="15496" xr:uid="{00000000-0005-0000-0000-00006C230000}"/>
    <cellStyle name="Saída 2 2 5 2 3" xfId="12510" xr:uid="{00000000-0005-0000-0000-00006D230000}"/>
    <cellStyle name="Saída 2 2 5 2 3 2" xfId="15417" xr:uid="{00000000-0005-0000-0000-00006E230000}"/>
    <cellStyle name="Saída 2 2 5 2 4" xfId="14650" xr:uid="{00000000-0005-0000-0000-00006F230000}"/>
    <cellStyle name="Saída 2 2 5 2 5" xfId="14106" xr:uid="{00000000-0005-0000-0000-000070230000}"/>
    <cellStyle name="Saída 2 2 5 3" xfId="12103" xr:uid="{00000000-0005-0000-0000-000071230000}"/>
    <cellStyle name="Saída 2 2 5 3 2" xfId="15183" xr:uid="{00000000-0005-0000-0000-000072230000}"/>
    <cellStyle name="Saída 2 2 5 4" xfId="11646" xr:uid="{00000000-0005-0000-0000-000073230000}"/>
    <cellStyle name="Saída 2 2 5 4 2" xfId="15058" xr:uid="{00000000-0005-0000-0000-000074230000}"/>
    <cellStyle name="Saída 2 2 5 5" xfId="14372" xr:uid="{00000000-0005-0000-0000-000075230000}"/>
    <cellStyle name="Saída 2 2 5 6" xfId="13823" xr:uid="{00000000-0005-0000-0000-000076230000}"/>
    <cellStyle name="Saída 2 2 6" xfId="7033" xr:uid="{00000000-0005-0000-0000-000077230000}"/>
    <cellStyle name="Saída 2 2 6 2" xfId="8846" xr:uid="{00000000-0005-0000-0000-000078230000}"/>
    <cellStyle name="Saída 2 2 6 2 2" xfId="12712" xr:uid="{00000000-0005-0000-0000-000079230000}"/>
    <cellStyle name="Saída 2 2 6 2 2 2" xfId="15564" xr:uid="{00000000-0005-0000-0000-00007A230000}"/>
    <cellStyle name="Saída 2 2 6 2 3" xfId="12522" xr:uid="{00000000-0005-0000-0000-00007B230000}"/>
    <cellStyle name="Saída 2 2 6 2 3 2" xfId="15419" xr:uid="{00000000-0005-0000-0000-00007C230000}"/>
    <cellStyle name="Saída 2 2 6 2 4" xfId="14647" xr:uid="{00000000-0005-0000-0000-00007D230000}"/>
    <cellStyle name="Saída 2 2 6 2 5" xfId="14182" xr:uid="{00000000-0005-0000-0000-00007E230000}"/>
    <cellStyle name="Saída 2 2 6 3" xfId="12192" xr:uid="{00000000-0005-0000-0000-00007F230000}"/>
    <cellStyle name="Saída 2 2 6 3 2" xfId="15269" xr:uid="{00000000-0005-0000-0000-000080230000}"/>
    <cellStyle name="Saída 2 2 6 4" xfId="11061" xr:uid="{00000000-0005-0000-0000-000081230000}"/>
    <cellStyle name="Saída 2 2 6 4 2" xfId="14937" xr:uid="{00000000-0005-0000-0000-000082230000}"/>
    <cellStyle name="Saída 2 2 6 5" xfId="14481" xr:uid="{00000000-0005-0000-0000-000083230000}"/>
    <cellStyle name="Saída 2 2 6 6" xfId="13914" xr:uid="{00000000-0005-0000-0000-000084230000}"/>
    <cellStyle name="Saída 2 2 7" xfId="6973" xr:uid="{00000000-0005-0000-0000-000085230000}"/>
    <cellStyle name="Saída 2 2 7 2" xfId="8799" xr:uid="{00000000-0005-0000-0000-000086230000}"/>
    <cellStyle name="Saída 2 2 7 2 2" xfId="12668" xr:uid="{00000000-0005-0000-0000-000087230000}"/>
    <cellStyle name="Saída 2 2 7 2 2 2" xfId="15523" xr:uid="{00000000-0005-0000-0000-000088230000}"/>
    <cellStyle name="Saída 2 2 7 2 3" xfId="11644" xr:uid="{00000000-0005-0000-0000-000089230000}"/>
    <cellStyle name="Saída 2 2 7 2 3 2" xfId="15057" xr:uid="{00000000-0005-0000-0000-00008A230000}"/>
    <cellStyle name="Saída 2 2 7 2 4" xfId="14419" xr:uid="{00000000-0005-0000-0000-00008B230000}"/>
    <cellStyle name="Saída 2 2 7 2 5" xfId="14135" xr:uid="{00000000-0005-0000-0000-00008C230000}"/>
    <cellStyle name="Saída 2 2 7 3" xfId="12136" xr:uid="{00000000-0005-0000-0000-00008D230000}"/>
    <cellStyle name="Saída 2 2 7 3 2" xfId="15215" xr:uid="{00000000-0005-0000-0000-00008E230000}"/>
    <cellStyle name="Saída 2 2 7 4" xfId="11647" xr:uid="{00000000-0005-0000-0000-00008F230000}"/>
    <cellStyle name="Saída 2 2 7 4 2" xfId="15059" xr:uid="{00000000-0005-0000-0000-000090230000}"/>
    <cellStyle name="Saída 2 2 7 5" xfId="14513" xr:uid="{00000000-0005-0000-0000-000091230000}"/>
    <cellStyle name="Saída 2 2 7 6" xfId="13855" xr:uid="{00000000-0005-0000-0000-000092230000}"/>
    <cellStyle name="Saída 2 2 8" xfId="6883" xr:uid="{00000000-0005-0000-0000-000093230000}"/>
    <cellStyle name="Saída 2 2 8 2" xfId="8722" xr:uid="{00000000-0005-0000-0000-000094230000}"/>
    <cellStyle name="Saída 2 2 8 2 2" xfId="12596" xr:uid="{00000000-0005-0000-0000-000095230000}"/>
    <cellStyle name="Saída 2 2 8 2 2 2" xfId="15454" xr:uid="{00000000-0005-0000-0000-000096230000}"/>
    <cellStyle name="Saída 2 2 8 2 3" xfId="13052" xr:uid="{00000000-0005-0000-0000-000097230000}"/>
    <cellStyle name="Saída 2 2 8 2 3 2" xfId="15723" xr:uid="{00000000-0005-0000-0000-000098230000}"/>
    <cellStyle name="Saída 2 2 8 2 4" xfId="14707" xr:uid="{00000000-0005-0000-0000-000099230000}"/>
    <cellStyle name="Saída 2 2 8 2 5" xfId="14058" xr:uid="{00000000-0005-0000-0000-00009A230000}"/>
    <cellStyle name="Saída 2 2 8 3" xfId="12052" xr:uid="{00000000-0005-0000-0000-00009B230000}"/>
    <cellStyle name="Saída 2 2 8 3 2" xfId="15137" xr:uid="{00000000-0005-0000-0000-00009C230000}"/>
    <cellStyle name="Saída 2 2 8 4" xfId="11207" xr:uid="{00000000-0005-0000-0000-00009D230000}"/>
    <cellStyle name="Saída 2 2 8 4 2" xfId="14959" xr:uid="{00000000-0005-0000-0000-00009E230000}"/>
    <cellStyle name="Saída 2 2 8 5" xfId="14545" xr:uid="{00000000-0005-0000-0000-00009F230000}"/>
    <cellStyle name="Saída 2 2 8 6" xfId="13770" xr:uid="{00000000-0005-0000-0000-0000A0230000}"/>
    <cellStyle name="Saída 2 2 9" xfId="7023" xr:uid="{00000000-0005-0000-0000-0000A1230000}"/>
    <cellStyle name="Saída 2 2 9 2" xfId="12183" xr:uid="{00000000-0005-0000-0000-0000A2230000}"/>
    <cellStyle name="Saída 2 2 9 2 2" xfId="15260" xr:uid="{00000000-0005-0000-0000-0000A3230000}"/>
    <cellStyle name="Saída 2 2 9 3" xfId="11224" xr:uid="{00000000-0005-0000-0000-0000A4230000}"/>
    <cellStyle name="Saída 2 2 9 3 2" xfId="14963" xr:uid="{00000000-0005-0000-0000-0000A5230000}"/>
    <cellStyle name="Saída 2 2 9 4" xfId="14486" xr:uid="{00000000-0005-0000-0000-0000A6230000}"/>
    <cellStyle name="Saída 2 2 9 5" xfId="13904" xr:uid="{00000000-0005-0000-0000-0000A7230000}"/>
    <cellStyle name="Saída 2 3" xfId="4976" xr:uid="{00000000-0005-0000-0000-0000A8230000}"/>
    <cellStyle name="Saída 2 3 10" xfId="11806" xr:uid="{00000000-0005-0000-0000-0000A9230000}"/>
    <cellStyle name="Saída 2 3 10 2" xfId="11549" xr:uid="{00000000-0005-0000-0000-0000AA230000}"/>
    <cellStyle name="Saída 2 3 10 2 2" xfId="15036" xr:uid="{00000000-0005-0000-0000-0000AB230000}"/>
    <cellStyle name="Saída 2 3 10 3" xfId="15089" xr:uid="{00000000-0005-0000-0000-0000AC230000}"/>
    <cellStyle name="Saída 2 3 11" xfId="11944" xr:uid="{00000000-0005-0000-0000-0000AD230000}"/>
    <cellStyle name="Saída 2 3 11 2" xfId="15120" xr:uid="{00000000-0005-0000-0000-0000AE230000}"/>
    <cellStyle name="Saída 2 3 12" xfId="14776" xr:uid="{00000000-0005-0000-0000-0000AF230000}"/>
    <cellStyle name="Saída 2 3 13" xfId="13732" xr:uid="{00000000-0005-0000-0000-0000B0230000}"/>
    <cellStyle name="Saída 2 3 14" xfId="18011" xr:uid="{00000000-0005-0000-0000-0000B1230000}"/>
    <cellStyle name="Saída 2 3 2" xfId="7061" xr:uid="{00000000-0005-0000-0000-0000B2230000}"/>
    <cellStyle name="Saída 2 3 2 2" xfId="8869" xr:uid="{00000000-0005-0000-0000-0000B3230000}"/>
    <cellStyle name="Saída 2 3 2 2 2" xfId="12734" xr:uid="{00000000-0005-0000-0000-0000B4230000}"/>
    <cellStyle name="Saída 2 3 2 2 2 2" xfId="15585" xr:uid="{00000000-0005-0000-0000-0000B5230000}"/>
    <cellStyle name="Saída 2 3 2 2 3" xfId="11414" xr:uid="{00000000-0005-0000-0000-0000B6230000}"/>
    <cellStyle name="Saída 2 3 2 2 3 2" xfId="15007" xr:uid="{00000000-0005-0000-0000-0000B7230000}"/>
    <cellStyle name="Saída 2 3 2 2 4" xfId="14623" xr:uid="{00000000-0005-0000-0000-0000B8230000}"/>
    <cellStyle name="Saída 2 3 2 2 5" xfId="14205" xr:uid="{00000000-0005-0000-0000-0000B9230000}"/>
    <cellStyle name="Saída 2 3 2 3" xfId="12219" xr:uid="{00000000-0005-0000-0000-0000BA230000}"/>
    <cellStyle name="Saída 2 3 2 3 2" xfId="15294" xr:uid="{00000000-0005-0000-0000-0000BB230000}"/>
    <cellStyle name="Saída 2 3 2 4" xfId="12357" xr:uid="{00000000-0005-0000-0000-0000BC230000}"/>
    <cellStyle name="Saída 2 3 2 4 2" xfId="15389" xr:uid="{00000000-0005-0000-0000-0000BD230000}"/>
    <cellStyle name="Saída 2 3 2 5" xfId="14740" xr:uid="{00000000-0005-0000-0000-0000BE230000}"/>
    <cellStyle name="Saída 2 3 2 6" xfId="13941" xr:uid="{00000000-0005-0000-0000-0000BF230000}"/>
    <cellStyle name="Saída 2 3 3" xfId="7077" xr:uid="{00000000-0005-0000-0000-0000C0230000}"/>
    <cellStyle name="Saída 2 3 3 2" xfId="8884" xr:uid="{00000000-0005-0000-0000-0000C1230000}"/>
    <cellStyle name="Saída 2 3 3 2 2" xfId="12747" xr:uid="{00000000-0005-0000-0000-0000C2230000}"/>
    <cellStyle name="Saída 2 3 3 2 2 2" xfId="15597" xr:uid="{00000000-0005-0000-0000-0000C3230000}"/>
    <cellStyle name="Saída 2 3 3 2 3" xfId="11756" xr:uid="{00000000-0005-0000-0000-0000C4230000}"/>
    <cellStyle name="Saída 2 3 3 2 3 2" xfId="15076" xr:uid="{00000000-0005-0000-0000-0000C5230000}"/>
    <cellStyle name="Saída 2 3 3 2 4" xfId="14684" xr:uid="{00000000-0005-0000-0000-0000C6230000}"/>
    <cellStyle name="Saída 2 3 3 2 5" xfId="14220" xr:uid="{00000000-0005-0000-0000-0000C7230000}"/>
    <cellStyle name="Saída 2 3 3 3" xfId="12233" xr:uid="{00000000-0005-0000-0000-0000C8230000}"/>
    <cellStyle name="Saída 2 3 3 3 2" xfId="15307" xr:uid="{00000000-0005-0000-0000-0000C9230000}"/>
    <cellStyle name="Saída 2 3 3 4" xfId="12993" xr:uid="{00000000-0005-0000-0000-0000CA230000}"/>
    <cellStyle name="Saída 2 3 3 4 2" xfId="15711" xr:uid="{00000000-0005-0000-0000-0000CB230000}"/>
    <cellStyle name="Saída 2 3 3 5" xfId="14383" xr:uid="{00000000-0005-0000-0000-0000CC230000}"/>
    <cellStyle name="Saída 2 3 3 6" xfId="13957" xr:uid="{00000000-0005-0000-0000-0000CD230000}"/>
    <cellStyle name="Saída 2 3 4" xfId="6941" xr:uid="{00000000-0005-0000-0000-0000CE230000}"/>
    <cellStyle name="Saída 2 3 4 2" xfId="8772" xr:uid="{00000000-0005-0000-0000-0000CF230000}"/>
    <cellStyle name="Saída 2 3 4 2 2" xfId="12642" xr:uid="{00000000-0005-0000-0000-0000D0230000}"/>
    <cellStyle name="Saída 2 3 4 2 2 2" xfId="15498" xr:uid="{00000000-0005-0000-0000-0000D1230000}"/>
    <cellStyle name="Saída 2 3 4 2 3" xfId="11731" xr:uid="{00000000-0005-0000-0000-0000D2230000}"/>
    <cellStyle name="Saída 2 3 4 2 3 2" xfId="15074" xr:uid="{00000000-0005-0000-0000-0000D3230000}"/>
    <cellStyle name="Saída 2 3 4 2 4" xfId="14654" xr:uid="{00000000-0005-0000-0000-0000D4230000}"/>
    <cellStyle name="Saída 2 3 4 2 5" xfId="14108" xr:uid="{00000000-0005-0000-0000-0000D5230000}"/>
    <cellStyle name="Saída 2 3 4 3" xfId="12105" xr:uid="{00000000-0005-0000-0000-0000D6230000}"/>
    <cellStyle name="Saída 2 3 4 3 2" xfId="15185" xr:uid="{00000000-0005-0000-0000-0000D7230000}"/>
    <cellStyle name="Saída 2 3 4 4" xfId="13218" xr:uid="{00000000-0005-0000-0000-0000D8230000}"/>
    <cellStyle name="Saída 2 3 4 4 2" xfId="15793" xr:uid="{00000000-0005-0000-0000-0000D9230000}"/>
    <cellStyle name="Saída 2 3 4 5" xfId="14542" xr:uid="{00000000-0005-0000-0000-0000DA230000}"/>
    <cellStyle name="Saída 2 3 4 6" xfId="13825" xr:uid="{00000000-0005-0000-0000-0000DB230000}"/>
    <cellStyle name="Saída 2 3 5" xfId="7094" xr:uid="{00000000-0005-0000-0000-0000DC230000}"/>
    <cellStyle name="Saída 2 3 5 2" xfId="8901" xr:uid="{00000000-0005-0000-0000-0000DD230000}"/>
    <cellStyle name="Saída 2 3 5 2 2" xfId="12764" xr:uid="{00000000-0005-0000-0000-0000DE230000}"/>
    <cellStyle name="Saída 2 3 5 2 2 2" xfId="15614" xr:uid="{00000000-0005-0000-0000-0000DF230000}"/>
    <cellStyle name="Saída 2 3 5 2 3" xfId="11853" xr:uid="{00000000-0005-0000-0000-0000E0230000}"/>
    <cellStyle name="Saída 2 3 5 2 3 2" xfId="15102" xr:uid="{00000000-0005-0000-0000-0000E1230000}"/>
    <cellStyle name="Saída 2 3 5 2 4" xfId="14350" xr:uid="{00000000-0005-0000-0000-0000E2230000}"/>
    <cellStyle name="Saída 2 3 5 2 5" xfId="14237" xr:uid="{00000000-0005-0000-0000-0000E3230000}"/>
    <cellStyle name="Saída 2 3 5 3" xfId="12250" xr:uid="{00000000-0005-0000-0000-0000E4230000}"/>
    <cellStyle name="Saída 2 3 5 3 2" xfId="15324" xr:uid="{00000000-0005-0000-0000-0000E5230000}"/>
    <cellStyle name="Saída 2 3 5 4" xfId="11234" xr:uid="{00000000-0005-0000-0000-0000E6230000}"/>
    <cellStyle name="Saída 2 3 5 4 2" xfId="14968" xr:uid="{00000000-0005-0000-0000-0000E7230000}"/>
    <cellStyle name="Saída 2 3 5 5" xfId="14309" xr:uid="{00000000-0005-0000-0000-0000E8230000}"/>
    <cellStyle name="Saída 2 3 5 6" xfId="13974" xr:uid="{00000000-0005-0000-0000-0000E9230000}"/>
    <cellStyle name="Saída 2 3 6" xfId="6882" xr:uid="{00000000-0005-0000-0000-0000EA230000}"/>
    <cellStyle name="Saída 2 3 6 2" xfId="8721" xr:uid="{00000000-0005-0000-0000-0000EB230000}"/>
    <cellStyle name="Saída 2 3 6 2 2" xfId="12595" xr:uid="{00000000-0005-0000-0000-0000EC230000}"/>
    <cellStyle name="Saída 2 3 6 2 2 2" xfId="15453" xr:uid="{00000000-0005-0000-0000-0000ED230000}"/>
    <cellStyle name="Saída 2 3 6 2 3" xfId="11865" xr:uid="{00000000-0005-0000-0000-0000EE230000}"/>
    <cellStyle name="Saída 2 3 6 2 3 2" xfId="15105" xr:uid="{00000000-0005-0000-0000-0000EF230000}"/>
    <cellStyle name="Saída 2 3 6 2 4" xfId="14708" xr:uid="{00000000-0005-0000-0000-0000F0230000}"/>
    <cellStyle name="Saída 2 3 6 2 5" xfId="14057" xr:uid="{00000000-0005-0000-0000-0000F1230000}"/>
    <cellStyle name="Saída 2 3 6 3" xfId="12051" xr:uid="{00000000-0005-0000-0000-0000F2230000}"/>
    <cellStyle name="Saída 2 3 6 3 2" xfId="15136" xr:uid="{00000000-0005-0000-0000-0000F3230000}"/>
    <cellStyle name="Saída 2 3 6 4" xfId="12880" xr:uid="{00000000-0005-0000-0000-0000F4230000}"/>
    <cellStyle name="Saída 2 3 6 4 2" xfId="15688" xr:uid="{00000000-0005-0000-0000-0000F5230000}"/>
    <cellStyle name="Saída 2 3 6 5" xfId="14540" xr:uid="{00000000-0005-0000-0000-0000F6230000}"/>
    <cellStyle name="Saída 2 3 6 6" xfId="13769" xr:uid="{00000000-0005-0000-0000-0000F7230000}"/>
    <cellStyle name="Saída 2 3 7" xfId="7119" xr:uid="{00000000-0005-0000-0000-0000F8230000}"/>
    <cellStyle name="Saída 2 3 7 2" xfId="8926" xr:uid="{00000000-0005-0000-0000-0000F9230000}"/>
    <cellStyle name="Saída 2 3 7 2 2" xfId="12785" xr:uid="{00000000-0005-0000-0000-0000FA230000}"/>
    <cellStyle name="Saída 2 3 7 2 2 2" xfId="15635" xr:uid="{00000000-0005-0000-0000-0000FB230000}"/>
    <cellStyle name="Saída 2 3 7 2 3" xfId="11655" xr:uid="{00000000-0005-0000-0000-0000FC230000}"/>
    <cellStyle name="Saída 2 3 7 2 3 2" xfId="15062" xr:uid="{00000000-0005-0000-0000-0000FD230000}"/>
    <cellStyle name="Saída 2 3 7 2 4" xfId="14554" xr:uid="{00000000-0005-0000-0000-0000FE230000}"/>
    <cellStyle name="Saída 2 3 7 2 5" xfId="14262" xr:uid="{00000000-0005-0000-0000-0000FF230000}"/>
    <cellStyle name="Saída 2 3 7 3" xfId="12271" xr:uid="{00000000-0005-0000-0000-000000240000}"/>
    <cellStyle name="Saída 2 3 7 3 2" xfId="15345" xr:uid="{00000000-0005-0000-0000-000001240000}"/>
    <cellStyle name="Saída 2 3 7 4" xfId="11239" xr:uid="{00000000-0005-0000-0000-000002240000}"/>
    <cellStyle name="Saída 2 3 7 4 2" xfId="14969" xr:uid="{00000000-0005-0000-0000-000003240000}"/>
    <cellStyle name="Saída 2 3 7 5" xfId="14726" xr:uid="{00000000-0005-0000-0000-000004240000}"/>
    <cellStyle name="Saída 2 3 7 6" xfId="13999" xr:uid="{00000000-0005-0000-0000-000005240000}"/>
    <cellStyle name="Saída 2 3 8" xfId="7141" xr:uid="{00000000-0005-0000-0000-000006240000}"/>
    <cellStyle name="Saída 2 3 8 2" xfId="8948" xr:uid="{00000000-0005-0000-0000-000007240000}"/>
    <cellStyle name="Saída 2 3 8 2 2" xfId="12805" xr:uid="{00000000-0005-0000-0000-000008240000}"/>
    <cellStyle name="Saída 2 3 8 2 2 2" xfId="15654" xr:uid="{00000000-0005-0000-0000-000009240000}"/>
    <cellStyle name="Saída 2 3 8 2 3" xfId="11417" xr:uid="{00000000-0005-0000-0000-00000A240000}"/>
    <cellStyle name="Saída 2 3 8 2 3 2" xfId="15009" xr:uid="{00000000-0005-0000-0000-00000B240000}"/>
    <cellStyle name="Saída 2 3 8 2 4" xfId="14855" xr:uid="{00000000-0005-0000-0000-00000C240000}"/>
    <cellStyle name="Saída 2 3 8 2 5" xfId="14284" xr:uid="{00000000-0005-0000-0000-00000D240000}"/>
    <cellStyle name="Saída 2 3 8 3" xfId="12291" xr:uid="{00000000-0005-0000-0000-00000E240000}"/>
    <cellStyle name="Saída 2 3 8 3 2" xfId="15364" xr:uid="{00000000-0005-0000-0000-00000F240000}"/>
    <cellStyle name="Saída 2 3 8 4" xfId="11299" xr:uid="{00000000-0005-0000-0000-000010240000}"/>
    <cellStyle name="Saída 2 3 8 4 2" xfId="14974" xr:uid="{00000000-0005-0000-0000-000011240000}"/>
    <cellStyle name="Saída 2 3 8 5" xfId="14724" xr:uid="{00000000-0005-0000-0000-000012240000}"/>
    <cellStyle name="Saída 2 3 8 6" xfId="14021" xr:uid="{00000000-0005-0000-0000-000013240000}"/>
    <cellStyle name="Saída 2 3 9" xfId="7004" xr:uid="{00000000-0005-0000-0000-000014240000}"/>
    <cellStyle name="Saída 2 3 9 2" xfId="12166" xr:uid="{00000000-0005-0000-0000-000015240000}"/>
    <cellStyle name="Saída 2 3 9 2 2" xfId="15244" xr:uid="{00000000-0005-0000-0000-000016240000}"/>
    <cellStyle name="Saída 2 3 9 3" xfId="11300" xr:uid="{00000000-0005-0000-0000-000017240000}"/>
    <cellStyle name="Saída 2 3 9 3 2" xfId="14975" xr:uid="{00000000-0005-0000-0000-000018240000}"/>
    <cellStyle name="Saída 2 3 9 4" xfId="14382" xr:uid="{00000000-0005-0000-0000-000019240000}"/>
    <cellStyle name="Saída 2 3 9 5" xfId="13886" xr:uid="{00000000-0005-0000-0000-00001A240000}"/>
    <cellStyle name="Saída 2 4" xfId="6900" xr:uid="{00000000-0005-0000-0000-00001B240000}"/>
    <cellStyle name="Saída 2 4 2" xfId="8737" xr:uid="{00000000-0005-0000-0000-00001C240000}"/>
    <cellStyle name="Saída 2 4 2 2" xfId="12609" xr:uid="{00000000-0005-0000-0000-00001D240000}"/>
    <cellStyle name="Saída 2 4 2 2 2" xfId="15466" xr:uid="{00000000-0005-0000-0000-00001E240000}"/>
    <cellStyle name="Saída 2 4 2 3" xfId="12840" xr:uid="{00000000-0005-0000-0000-00001F240000}"/>
    <cellStyle name="Saída 2 4 2 3 2" xfId="15678" xr:uid="{00000000-0005-0000-0000-000020240000}"/>
    <cellStyle name="Saída 2 4 2 4" xfId="14653" xr:uid="{00000000-0005-0000-0000-000021240000}"/>
    <cellStyle name="Saída 2 4 2 5" xfId="14073" xr:uid="{00000000-0005-0000-0000-000022240000}"/>
    <cellStyle name="Saída 2 4 3" xfId="12067" xr:uid="{00000000-0005-0000-0000-000023240000}"/>
    <cellStyle name="Saída 2 4 3 2" xfId="13327" xr:uid="{00000000-0005-0000-0000-000024240000}"/>
    <cellStyle name="Saída 2 4 3 2 2" xfId="15801" xr:uid="{00000000-0005-0000-0000-000025240000}"/>
    <cellStyle name="Saída 2 4 3 3" xfId="15147" xr:uid="{00000000-0005-0000-0000-000026240000}"/>
    <cellStyle name="Saída 2 4 4" xfId="11929" xr:uid="{00000000-0005-0000-0000-000027240000}"/>
    <cellStyle name="Saída 2 4 4 2" xfId="15116" xr:uid="{00000000-0005-0000-0000-000028240000}"/>
    <cellStyle name="Saída 2 4 5" xfId="14424" xr:uid="{00000000-0005-0000-0000-000029240000}"/>
    <cellStyle name="Saída 2 4 6" xfId="13786" xr:uid="{00000000-0005-0000-0000-00002A240000}"/>
    <cellStyle name="Saída 2 5" xfId="6975" xr:uid="{00000000-0005-0000-0000-00002B240000}"/>
    <cellStyle name="Saída 2 5 2" xfId="8800" xr:uid="{00000000-0005-0000-0000-00002C240000}"/>
    <cellStyle name="Saída 2 5 2 2" xfId="12669" xr:uid="{00000000-0005-0000-0000-00002D240000}"/>
    <cellStyle name="Saída 2 5 2 2 2" xfId="15524" xr:uid="{00000000-0005-0000-0000-00002E240000}"/>
    <cellStyle name="Saída 2 5 2 3" xfId="11718" xr:uid="{00000000-0005-0000-0000-00002F240000}"/>
    <cellStyle name="Saída 2 5 2 3 2" xfId="15071" xr:uid="{00000000-0005-0000-0000-000030240000}"/>
    <cellStyle name="Saída 2 5 2 4" xfId="14428" xr:uid="{00000000-0005-0000-0000-000031240000}"/>
    <cellStyle name="Saída 2 5 2 5" xfId="14136" xr:uid="{00000000-0005-0000-0000-000032240000}"/>
    <cellStyle name="Saída 2 5 3" xfId="12138" xr:uid="{00000000-0005-0000-0000-000033240000}"/>
    <cellStyle name="Saída 2 5 3 2" xfId="15217" xr:uid="{00000000-0005-0000-0000-000034240000}"/>
    <cellStyle name="Saída 2 5 4" xfId="12554" xr:uid="{00000000-0005-0000-0000-000035240000}"/>
    <cellStyle name="Saída 2 5 4 2" xfId="15437" xr:uid="{00000000-0005-0000-0000-000036240000}"/>
    <cellStyle name="Saída 2 5 5" xfId="14511" xr:uid="{00000000-0005-0000-0000-000037240000}"/>
    <cellStyle name="Saída 2 5 6" xfId="13857" xr:uid="{00000000-0005-0000-0000-000038240000}"/>
    <cellStyle name="Saída 2 6" xfId="6881" xr:uid="{00000000-0005-0000-0000-000039240000}"/>
    <cellStyle name="Saída 2 6 2" xfId="8720" xr:uid="{00000000-0005-0000-0000-00003A240000}"/>
    <cellStyle name="Saída 2 6 2 2" xfId="12594" xr:uid="{00000000-0005-0000-0000-00003B240000}"/>
    <cellStyle name="Saída 2 6 2 2 2" xfId="15452" xr:uid="{00000000-0005-0000-0000-00003C240000}"/>
    <cellStyle name="Saída 2 6 2 3" xfId="11851" xr:uid="{00000000-0005-0000-0000-00003D240000}"/>
    <cellStyle name="Saída 2 6 2 3 2" xfId="15100" xr:uid="{00000000-0005-0000-0000-00003E240000}"/>
    <cellStyle name="Saída 2 6 2 4" xfId="14340" xr:uid="{00000000-0005-0000-0000-00003F240000}"/>
    <cellStyle name="Saída 2 6 2 5" xfId="14056" xr:uid="{00000000-0005-0000-0000-000040240000}"/>
    <cellStyle name="Saída 2 6 3" xfId="12050" xr:uid="{00000000-0005-0000-0000-000041240000}"/>
    <cellStyle name="Saída 2 6 3 2" xfId="15135" xr:uid="{00000000-0005-0000-0000-000042240000}"/>
    <cellStyle name="Saída 2 6 4" xfId="13045" xr:uid="{00000000-0005-0000-0000-000043240000}"/>
    <cellStyle name="Saída 2 6 4 2" xfId="15719" xr:uid="{00000000-0005-0000-0000-000044240000}"/>
    <cellStyle name="Saída 2 6 5" xfId="14774" xr:uid="{00000000-0005-0000-0000-000045240000}"/>
    <cellStyle name="Saída 2 6 6" xfId="13768" xr:uid="{00000000-0005-0000-0000-000046240000}"/>
    <cellStyle name="Saída 2 7" xfId="6984" xr:uid="{00000000-0005-0000-0000-000047240000}"/>
    <cellStyle name="Saída 2 7 2" xfId="8806" xr:uid="{00000000-0005-0000-0000-000048240000}"/>
    <cellStyle name="Saída 2 7 2 2" xfId="12674" xr:uid="{00000000-0005-0000-0000-000049240000}"/>
    <cellStyle name="Saída 2 7 2 2 2" xfId="15528" xr:uid="{00000000-0005-0000-0000-00004A240000}"/>
    <cellStyle name="Saída 2 7 2 3" xfId="11631" xr:uid="{00000000-0005-0000-0000-00004B240000}"/>
    <cellStyle name="Saída 2 7 2 3 2" xfId="15055" xr:uid="{00000000-0005-0000-0000-00004C240000}"/>
    <cellStyle name="Saída 2 7 2 4" xfId="14335" xr:uid="{00000000-0005-0000-0000-00004D240000}"/>
    <cellStyle name="Saída 2 7 2 5" xfId="14142" xr:uid="{00000000-0005-0000-0000-00004E240000}"/>
    <cellStyle name="Saída 2 7 3" xfId="12146" xr:uid="{00000000-0005-0000-0000-00004F240000}"/>
    <cellStyle name="Saída 2 7 3 2" xfId="15224" xr:uid="{00000000-0005-0000-0000-000050240000}"/>
    <cellStyle name="Saída 2 7 4" xfId="11908" xr:uid="{00000000-0005-0000-0000-000051240000}"/>
    <cellStyle name="Saída 2 7 4 2" xfId="15112" xr:uid="{00000000-0005-0000-0000-000052240000}"/>
    <cellStyle name="Saída 2 7 5" xfId="14508" xr:uid="{00000000-0005-0000-0000-000053240000}"/>
    <cellStyle name="Saída 2 7 6" xfId="13866" xr:uid="{00000000-0005-0000-0000-000054240000}"/>
    <cellStyle name="Saída 2 8" xfId="6913" xr:uid="{00000000-0005-0000-0000-000055240000}"/>
    <cellStyle name="Saída 2 8 2" xfId="8747" xr:uid="{00000000-0005-0000-0000-000056240000}"/>
    <cellStyle name="Saída 2 8 2 2" xfId="12618" xr:uid="{00000000-0005-0000-0000-000057240000}"/>
    <cellStyle name="Saída 2 8 2 2 2" xfId="15475" xr:uid="{00000000-0005-0000-0000-000058240000}"/>
    <cellStyle name="Saída 2 8 2 3" xfId="13212" xr:uid="{00000000-0005-0000-0000-000059240000}"/>
    <cellStyle name="Saída 2 8 2 3 2" xfId="15792" xr:uid="{00000000-0005-0000-0000-00005A240000}"/>
    <cellStyle name="Saída 2 8 2 4" xfId="14817" xr:uid="{00000000-0005-0000-0000-00005B240000}"/>
    <cellStyle name="Saída 2 8 2 5" xfId="14083" xr:uid="{00000000-0005-0000-0000-00005C240000}"/>
    <cellStyle name="Saída 2 8 3" xfId="12079" xr:uid="{00000000-0005-0000-0000-00005D240000}"/>
    <cellStyle name="Saída 2 8 3 2" xfId="15159" xr:uid="{00000000-0005-0000-0000-00005E240000}"/>
    <cellStyle name="Saída 2 8 4" xfId="13047" xr:uid="{00000000-0005-0000-0000-00005F240000}"/>
    <cellStyle name="Saída 2 8 4 2" xfId="15720" xr:uid="{00000000-0005-0000-0000-000060240000}"/>
    <cellStyle name="Saída 2 8 5" xfId="14528" xr:uid="{00000000-0005-0000-0000-000061240000}"/>
    <cellStyle name="Saída 2 8 6" xfId="13798" xr:uid="{00000000-0005-0000-0000-000062240000}"/>
    <cellStyle name="Saída 2 9" xfId="7042" xr:uid="{00000000-0005-0000-0000-000063240000}"/>
    <cellStyle name="Saída 2 9 2" xfId="8853" xr:uid="{00000000-0005-0000-0000-000064240000}"/>
    <cellStyle name="Saída 2 9 2 2" xfId="12718" xr:uid="{00000000-0005-0000-0000-000065240000}"/>
    <cellStyle name="Saída 2 9 2 2 2" xfId="15570" xr:uid="{00000000-0005-0000-0000-000066240000}"/>
    <cellStyle name="Saída 2 9 2 3" xfId="11412" xr:uid="{00000000-0005-0000-0000-000067240000}"/>
    <cellStyle name="Saída 2 9 2 3 2" xfId="15006" xr:uid="{00000000-0005-0000-0000-000068240000}"/>
    <cellStyle name="Saída 2 9 2 4" xfId="14625" xr:uid="{00000000-0005-0000-0000-000069240000}"/>
    <cellStyle name="Saída 2 9 2 5" xfId="14189" xr:uid="{00000000-0005-0000-0000-00006A240000}"/>
    <cellStyle name="Saída 2 9 3" xfId="12200" xr:uid="{00000000-0005-0000-0000-00006B240000}"/>
    <cellStyle name="Saída 2 9 3 2" xfId="15277" xr:uid="{00000000-0005-0000-0000-00006C240000}"/>
    <cellStyle name="Saída 2 9 4" xfId="12338" xr:uid="{00000000-0005-0000-0000-00006D240000}"/>
    <cellStyle name="Saída 2 9 4 2" xfId="15383" xr:uid="{00000000-0005-0000-0000-00006E240000}"/>
    <cellStyle name="Saída 2 9 5" xfId="14368" xr:uid="{00000000-0005-0000-0000-00006F240000}"/>
    <cellStyle name="Saída 2 9 6" xfId="13923" xr:uid="{00000000-0005-0000-0000-000070240000}"/>
    <cellStyle name="Sep. milhar [0]" xfId="325" xr:uid="{00000000-0005-0000-0000-000071240000}"/>
    <cellStyle name="Separador de m" xfId="326" xr:uid="{00000000-0005-0000-0000-000072240000}"/>
    <cellStyle name="Separador de milhares 2" xfId="45" xr:uid="{00000000-0005-0000-0000-000073240000}"/>
    <cellStyle name="Separador de milhares 2 10" xfId="2092" xr:uid="{00000000-0005-0000-0000-000074240000}"/>
    <cellStyle name="Separador de milhares 2 10 2" xfId="3221" xr:uid="{00000000-0005-0000-0000-000075240000}"/>
    <cellStyle name="Separador de milhares 2 10 2 2" xfId="4557" xr:uid="{00000000-0005-0000-0000-000076240000}"/>
    <cellStyle name="Separador de milhares 2 10 2 2 2" xfId="21597" xr:uid="{00000000-0005-0000-0000-000077240000}"/>
    <cellStyle name="Separador de milhares 2 10 2 2 3" xfId="17592" xr:uid="{00000000-0005-0000-0000-000078240000}"/>
    <cellStyle name="Separador de milhares 2 10 2 3" xfId="5390" xr:uid="{00000000-0005-0000-0000-000079240000}"/>
    <cellStyle name="Separador de milhares 2 10 2 3 2" xfId="22389" xr:uid="{00000000-0005-0000-0000-00007A240000}"/>
    <cellStyle name="Separador de milhares 2 10 2 3 3" xfId="18425" xr:uid="{00000000-0005-0000-0000-00007B240000}"/>
    <cellStyle name="Separador de milhares 2 10 2 4" xfId="20289" xr:uid="{00000000-0005-0000-0000-00007C240000}"/>
    <cellStyle name="Separador de milhares 2 10 2 5" xfId="16265" xr:uid="{00000000-0005-0000-0000-00007D240000}"/>
    <cellStyle name="Separador de milhares 2 10 3" xfId="4061" xr:uid="{00000000-0005-0000-0000-00007E240000}"/>
    <cellStyle name="Separador de milhares 2 10 3 2" xfId="6120" xr:uid="{00000000-0005-0000-0000-00007F240000}"/>
    <cellStyle name="Separador de milhares 2 10 3 2 2" xfId="23102" xr:uid="{00000000-0005-0000-0000-000080240000}"/>
    <cellStyle name="Separador de milhares 2 10 3 2 3" xfId="19155" xr:uid="{00000000-0005-0000-0000-000081240000}"/>
    <cellStyle name="Separador de milhares 2 10 3 3" xfId="21109" xr:uid="{00000000-0005-0000-0000-000082240000}"/>
    <cellStyle name="Separador de milhares 2 10 3 4" xfId="17101" xr:uid="{00000000-0005-0000-0000-000083240000}"/>
    <cellStyle name="Separador de milhares 2 11" xfId="2093" xr:uid="{00000000-0005-0000-0000-000084240000}"/>
    <cellStyle name="Separador de milhares 2 11 2" xfId="3222" xr:uid="{00000000-0005-0000-0000-000085240000}"/>
    <cellStyle name="Separador de milhares 2 11 2 2" xfId="4558" xr:uid="{00000000-0005-0000-0000-000086240000}"/>
    <cellStyle name="Separador de milhares 2 11 2 2 2" xfId="21598" xr:uid="{00000000-0005-0000-0000-000087240000}"/>
    <cellStyle name="Separador de milhares 2 11 2 2 3" xfId="17593" xr:uid="{00000000-0005-0000-0000-000088240000}"/>
    <cellStyle name="Separador de milhares 2 11 2 3" xfId="5391" xr:uid="{00000000-0005-0000-0000-000089240000}"/>
    <cellStyle name="Separador de milhares 2 11 2 3 2" xfId="22390" xr:uid="{00000000-0005-0000-0000-00008A240000}"/>
    <cellStyle name="Separador de milhares 2 11 2 3 3" xfId="18426" xr:uid="{00000000-0005-0000-0000-00008B240000}"/>
    <cellStyle name="Separador de milhares 2 11 2 4" xfId="20290" xr:uid="{00000000-0005-0000-0000-00008C240000}"/>
    <cellStyle name="Separador de milhares 2 11 2 5" xfId="16266" xr:uid="{00000000-0005-0000-0000-00008D240000}"/>
    <cellStyle name="Separador de milhares 2 11 3" xfId="4335" xr:uid="{00000000-0005-0000-0000-00008E240000}"/>
    <cellStyle name="Separador de milhares 2 11 3 2" xfId="6121" xr:uid="{00000000-0005-0000-0000-00008F240000}"/>
    <cellStyle name="Separador de milhares 2 11 3 2 2" xfId="23103" xr:uid="{00000000-0005-0000-0000-000090240000}"/>
    <cellStyle name="Separador de milhares 2 11 3 2 3" xfId="19156" xr:uid="{00000000-0005-0000-0000-000091240000}"/>
    <cellStyle name="Separador de milhares 2 11 3 3" xfId="21379" xr:uid="{00000000-0005-0000-0000-000092240000}"/>
    <cellStyle name="Separador de milhares 2 11 3 4" xfId="17372" xr:uid="{00000000-0005-0000-0000-000093240000}"/>
    <cellStyle name="Separador de milhares 2 12" xfId="2094" xr:uid="{00000000-0005-0000-0000-000094240000}"/>
    <cellStyle name="Separador de milhares 2 12 2" xfId="3223" xr:uid="{00000000-0005-0000-0000-000095240000}"/>
    <cellStyle name="Separador de milhares 2 12 2 2" xfId="4559" xr:uid="{00000000-0005-0000-0000-000096240000}"/>
    <cellStyle name="Separador de milhares 2 12 2 2 2" xfId="21599" xr:uid="{00000000-0005-0000-0000-000097240000}"/>
    <cellStyle name="Separador de milhares 2 12 2 2 3" xfId="17594" xr:uid="{00000000-0005-0000-0000-000098240000}"/>
    <cellStyle name="Separador de milhares 2 12 2 3" xfId="5392" xr:uid="{00000000-0005-0000-0000-000099240000}"/>
    <cellStyle name="Separador de milhares 2 12 2 3 2" xfId="22391" xr:uid="{00000000-0005-0000-0000-00009A240000}"/>
    <cellStyle name="Separador de milhares 2 12 2 3 3" xfId="18427" xr:uid="{00000000-0005-0000-0000-00009B240000}"/>
    <cellStyle name="Separador de milhares 2 12 2 4" xfId="20291" xr:uid="{00000000-0005-0000-0000-00009C240000}"/>
    <cellStyle name="Separador de milhares 2 12 2 5" xfId="16267" xr:uid="{00000000-0005-0000-0000-00009D240000}"/>
    <cellStyle name="Separador de milhares 2 12 3" xfId="4219" xr:uid="{00000000-0005-0000-0000-00009E240000}"/>
    <cellStyle name="Separador de milhares 2 12 3 2" xfId="6122" xr:uid="{00000000-0005-0000-0000-00009F240000}"/>
    <cellStyle name="Separador de milhares 2 12 3 2 2" xfId="23104" xr:uid="{00000000-0005-0000-0000-0000A0240000}"/>
    <cellStyle name="Separador de milhares 2 12 3 2 3" xfId="19157" xr:uid="{00000000-0005-0000-0000-0000A1240000}"/>
    <cellStyle name="Separador de milhares 2 12 3 3" xfId="21265" xr:uid="{00000000-0005-0000-0000-0000A2240000}"/>
    <cellStyle name="Separador de milhares 2 12 3 4" xfId="17258" xr:uid="{00000000-0005-0000-0000-0000A3240000}"/>
    <cellStyle name="Separador de milhares 2 13" xfId="3023" xr:uid="{00000000-0005-0000-0000-0000A4240000}"/>
    <cellStyle name="Separador de milhares 2 13 2" xfId="3703" xr:uid="{00000000-0005-0000-0000-0000A5240000}"/>
    <cellStyle name="Separador de milhares 2 13 2 2" xfId="5868" xr:uid="{00000000-0005-0000-0000-0000A6240000}"/>
    <cellStyle name="Separador de milhares 2 13 2 2 2" xfId="22864" xr:uid="{00000000-0005-0000-0000-0000A7240000}"/>
    <cellStyle name="Separador de milhares 2 13 2 2 3" xfId="18903" xr:uid="{00000000-0005-0000-0000-0000A8240000}"/>
    <cellStyle name="Separador de milhares 2 13 2 3" xfId="20771" xr:uid="{00000000-0005-0000-0000-0000A9240000}"/>
    <cellStyle name="Separador de milhares 2 13 2 4" xfId="16747" xr:uid="{00000000-0005-0000-0000-0000AA240000}"/>
    <cellStyle name="Separador de milhares 2 13 3" xfId="5192" xr:uid="{00000000-0005-0000-0000-0000AB240000}"/>
    <cellStyle name="Separador de milhares 2 13 3 2" xfId="22191" xr:uid="{00000000-0005-0000-0000-0000AC240000}"/>
    <cellStyle name="Separador de milhares 2 13 3 3" xfId="18227" xr:uid="{00000000-0005-0000-0000-0000AD240000}"/>
    <cellStyle name="Separador de milhares 2 13 4" xfId="12415" xr:uid="{00000000-0005-0000-0000-0000AE240000}"/>
    <cellStyle name="Separador de milhares 2 13 4 2" xfId="15393" xr:uid="{00000000-0005-0000-0000-0000AF240000}"/>
    <cellStyle name="Separador de milhares 2 13 4 3" xfId="13554" xr:uid="{00000000-0005-0000-0000-0000B0240000}"/>
    <cellStyle name="Separador de milhares 2 13 4 4" xfId="20091" xr:uid="{00000000-0005-0000-0000-0000B1240000}"/>
    <cellStyle name="Separador de milhares 2 13 5" xfId="16067" xr:uid="{00000000-0005-0000-0000-0000B2240000}"/>
    <cellStyle name="Separador de milhares 2 14" xfId="8373" xr:uid="{00000000-0005-0000-0000-0000B3240000}"/>
    <cellStyle name="Separador de milhares 2 14 2" xfId="12971" xr:uid="{00000000-0005-0000-0000-0000B4240000}"/>
    <cellStyle name="Separador de milhares 2 14 3" xfId="12580" xr:uid="{00000000-0005-0000-0000-0000B5240000}"/>
    <cellStyle name="Separador de milhares 2 15" xfId="8374" xr:uid="{00000000-0005-0000-0000-0000B6240000}"/>
    <cellStyle name="Separador de milhares 2 16" xfId="8375" xr:uid="{00000000-0005-0000-0000-0000B7240000}"/>
    <cellStyle name="Separador de milhares 2 2" xfId="46" xr:uid="{00000000-0005-0000-0000-0000B8240000}"/>
    <cellStyle name="Separador de milhares 2 2 10" xfId="2095" xr:uid="{00000000-0005-0000-0000-0000B9240000}"/>
    <cellStyle name="Separador de milhares 2 2 10 2" xfId="3224" xr:uid="{00000000-0005-0000-0000-0000BA240000}"/>
    <cellStyle name="Separador de milhares 2 2 10 2 2" xfId="4560" xr:uid="{00000000-0005-0000-0000-0000BB240000}"/>
    <cellStyle name="Separador de milhares 2 2 10 2 2 2" xfId="21600" xr:uid="{00000000-0005-0000-0000-0000BC240000}"/>
    <cellStyle name="Separador de milhares 2 2 10 2 2 3" xfId="17595" xr:uid="{00000000-0005-0000-0000-0000BD240000}"/>
    <cellStyle name="Separador de milhares 2 2 10 2 3" xfId="5393" xr:uid="{00000000-0005-0000-0000-0000BE240000}"/>
    <cellStyle name="Separador de milhares 2 2 10 2 3 2" xfId="22392" xr:uid="{00000000-0005-0000-0000-0000BF240000}"/>
    <cellStyle name="Separador de milhares 2 2 10 2 3 3" xfId="18428" xr:uid="{00000000-0005-0000-0000-0000C0240000}"/>
    <cellStyle name="Separador de milhares 2 2 10 2 4" xfId="20292" xr:uid="{00000000-0005-0000-0000-0000C1240000}"/>
    <cellStyle name="Separador de milhares 2 2 10 2 5" xfId="16268" xr:uid="{00000000-0005-0000-0000-0000C2240000}"/>
    <cellStyle name="Separador de milhares 2 2 10 3" xfId="4434" xr:uid="{00000000-0005-0000-0000-0000C3240000}"/>
    <cellStyle name="Separador de milhares 2 2 10 3 2" xfId="6123" xr:uid="{00000000-0005-0000-0000-0000C4240000}"/>
    <cellStyle name="Separador de milhares 2 2 10 3 2 2" xfId="23105" xr:uid="{00000000-0005-0000-0000-0000C5240000}"/>
    <cellStyle name="Separador de milhares 2 2 10 3 2 3" xfId="19158" xr:uid="{00000000-0005-0000-0000-0000C6240000}"/>
    <cellStyle name="Separador de milhares 2 2 10 3 3" xfId="21475" xr:uid="{00000000-0005-0000-0000-0000C7240000}"/>
    <cellStyle name="Separador de milhares 2 2 10 3 4" xfId="17470" xr:uid="{00000000-0005-0000-0000-0000C8240000}"/>
    <cellStyle name="Separador de milhares 2 2 11" xfId="3024" xr:uid="{00000000-0005-0000-0000-0000C9240000}"/>
    <cellStyle name="Separador de milhares 2 2 11 2" xfId="4454" xr:uid="{00000000-0005-0000-0000-0000CA240000}"/>
    <cellStyle name="Separador de milhares 2 2 11 2 2" xfId="5869" xr:uid="{00000000-0005-0000-0000-0000CB240000}"/>
    <cellStyle name="Separador de milhares 2 2 11 2 2 2" xfId="22865" xr:uid="{00000000-0005-0000-0000-0000CC240000}"/>
    <cellStyle name="Separador de milhares 2 2 11 2 2 3" xfId="18904" xr:uid="{00000000-0005-0000-0000-0000CD240000}"/>
    <cellStyle name="Separador de milhares 2 2 11 2 3" xfId="21495" xr:uid="{00000000-0005-0000-0000-0000CE240000}"/>
    <cellStyle name="Separador de milhares 2 2 11 2 4" xfId="17490" xr:uid="{00000000-0005-0000-0000-0000CF240000}"/>
    <cellStyle name="Separador de milhares 2 2 11 3" xfId="5193" xr:uid="{00000000-0005-0000-0000-0000D0240000}"/>
    <cellStyle name="Separador de milhares 2 2 11 3 2" xfId="12385" xr:uid="{00000000-0005-0000-0000-0000D1240000}"/>
    <cellStyle name="Separador de milhares 2 2 11 3 2 2" xfId="22192" xr:uid="{00000000-0005-0000-0000-0000D2240000}"/>
    <cellStyle name="Separador de milhares 2 2 11 3 3" xfId="12988" xr:uid="{00000000-0005-0000-0000-0000D3240000}"/>
    <cellStyle name="Separador de milhares 2 2 11 3 4" xfId="18228" xr:uid="{00000000-0005-0000-0000-0000D4240000}"/>
    <cellStyle name="Separador de milhares 2 2 11 4" xfId="13555" xr:uid="{00000000-0005-0000-0000-0000D5240000}"/>
    <cellStyle name="Separador de milhares 2 2 11 4 2" xfId="20092" xr:uid="{00000000-0005-0000-0000-0000D6240000}"/>
    <cellStyle name="Separador de milhares 2 2 11 5" xfId="16068" xr:uid="{00000000-0005-0000-0000-0000D7240000}"/>
    <cellStyle name="Separador de milhares 2 2 12" xfId="8376" xr:uid="{00000000-0005-0000-0000-0000D8240000}"/>
    <cellStyle name="Separador de milhares 2 2 12 2" xfId="10956" xr:uid="{00000000-0005-0000-0000-0000D9240000}"/>
    <cellStyle name="Separador de milhares 2 2 12 3" xfId="10983" xr:uid="{00000000-0005-0000-0000-0000DA240000}"/>
    <cellStyle name="Separador de milhares 2 2 13" xfId="8377" xr:uid="{00000000-0005-0000-0000-0000DB240000}"/>
    <cellStyle name="Separador de milhares 2 2 14" xfId="8378" xr:uid="{00000000-0005-0000-0000-0000DC240000}"/>
    <cellStyle name="Separador de milhares 2 2 2" xfId="108" xr:uid="{00000000-0005-0000-0000-0000DD240000}"/>
    <cellStyle name="Separador de milhares 2 2 2 10" xfId="3036" xr:uid="{00000000-0005-0000-0000-0000DE240000}"/>
    <cellStyle name="Separador de milhares 2 2 2 10 2" xfId="4489" xr:uid="{00000000-0005-0000-0000-0000DF240000}"/>
    <cellStyle name="Separador de milhares 2 2 2 10 2 2" xfId="21529" xr:uid="{00000000-0005-0000-0000-0000E0240000}"/>
    <cellStyle name="Separador de milhares 2 2 2 10 2 3" xfId="17524" xr:uid="{00000000-0005-0000-0000-0000E1240000}"/>
    <cellStyle name="Separador de milhares 2 2 2 10 3" xfId="5205" xr:uid="{00000000-0005-0000-0000-0000E2240000}"/>
    <cellStyle name="Separador de milhares 2 2 2 10 3 2" xfId="12332" xr:uid="{00000000-0005-0000-0000-0000E3240000}"/>
    <cellStyle name="Separador de milhares 2 2 2 10 3 2 2" xfId="22204" xr:uid="{00000000-0005-0000-0000-0000E4240000}"/>
    <cellStyle name="Separador de milhares 2 2 2 10 3 3" xfId="12872" xr:uid="{00000000-0005-0000-0000-0000E5240000}"/>
    <cellStyle name="Separador de milhares 2 2 2 10 3 4" xfId="18240" xr:uid="{00000000-0005-0000-0000-0000E6240000}"/>
    <cellStyle name="Separador de milhares 2 2 2 10 4" xfId="13566" xr:uid="{00000000-0005-0000-0000-0000E7240000}"/>
    <cellStyle name="Separador de milhares 2 2 2 10 4 2" xfId="20104" xr:uid="{00000000-0005-0000-0000-0000E8240000}"/>
    <cellStyle name="Separador de milhares 2 2 2 10 5" xfId="16080" xr:uid="{00000000-0005-0000-0000-0000E9240000}"/>
    <cellStyle name="Separador de milhares 2 2 2 11" xfId="3810" xr:uid="{00000000-0005-0000-0000-0000EA240000}"/>
    <cellStyle name="Separador de milhares 2 2 2 11 2" xfId="5889" xr:uid="{00000000-0005-0000-0000-0000EB240000}"/>
    <cellStyle name="Separador de milhares 2 2 2 11 2 2" xfId="11404" xr:uid="{00000000-0005-0000-0000-0000EC240000}"/>
    <cellStyle name="Separador de milhares 2 2 2 11 2 2 2" xfId="22885" xr:uid="{00000000-0005-0000-0000-0000ED240000}"/>
    <cellStyle name="Separador de milhares 2 2 2 11 2 3" xfId="11821" xr:uid="{00000000-0005-0000-0000-0000EE240000}"/>
    <cellStyle name="Separador de milhares 2 2 2 11 2 4" xfId="18924" xr:uid="{00000000-0005-0000-0000-0000EF240000}"/>
    <cellStyle name="Separador de milhares 2 2 2 11 3" xfId="13680" xr:uid="{00000000-0005-0000-0000-0000F0240000}"/>
    <cellStyle name="Separador de milhares 2 2 2 11 3 2" xfId="20872" xr:uid="{00000000-0005-0000-0000-0000F1240000}"/>
    <cellStyle name="Separador de milhares 2 2 2 11 4" xfId="16852" xr:uid="{00000000-0005-0000-0000-0000F2240000}"/>
    <cellStyle name="Separador de milhares 2 2 2 12" xfId="8379" xr:uid="{00000000-0005-0000-0000-0000F3240000}"/>
    <cellStyle name="Separador de milhares 2 2 2 13" xfId="8380" xr:uid="{00000000-0005-0000-0000-0000F4240000}"/>
    <cellStyle name="Separador de milhares 2 2 2 2" xfId="727" xr:uid="{00000000-0005-0000-0000-0000F5240000}"/>
    <cellStyle name="Separador de milhares 2 2 2 2 2" xfId="2976" xr:uid="{00000000-0005-0000-0000-0000F6240000}"/>
    <cellStyle name="Separador de milhares 2 2 2 2 3" xfId="3112" xr:uid="{00000000-0005-0000-0000-0000F7240000}"/>
    <cellStyle name="Separador de milhares 2 2 2 2 3 2" xfId="4527" xr:uid="{00000000-0005-0000-0000-0000F8240000}"/>
    <cellStyle name="Separador de milhares 2 2 2 2 3 2 2" xfId="21567" xr:uid="{00000000-0005-0000-0000-0000F9240000}"/>
    <cellStyle name="Separador de milhares 2 2 2 2 3 2 3" xfId="17562" xr:uid="{00000000-0005-0000-0000-0000FA240000}"/>
    <cellStyle name="Separador de milhares 2 2 2 2 3 3" xfId="5281" xr:uid="{00000000-0005-0000-0000-0000FB240000}"/>
    <cellStyle name="Separador de milhares 2 2 2 2 3 3 2" xfId="11399" xr:uid="{00000000-0005-0000-0000-0000FC240000}"/>
    <cellStyle name="Separador de milhares 2 2 2 2 3 3 2 2" xfId="22280" xr:uid="{00000000-0005-0000-0000-0000FD240000}"/>
    <cellStyle name="Separador de milhares 2 2 2 2 3 3 3" xfId="12987" xr:uid="{00000000-0005-0000-0000-0000FE240000}"/>
    <cellStyle name="Separador de milhares 2 2 2 2 3 3 4" xfId="18316" xr:uid="{00000000-0005-0000-0000-0000FF240000}"/>
    <cellStyle name="Separador de milhares 2 2 2 2 3 4" xfId="13599" xr:uid="{00000000-0005-0000-0000-000000250000}"/>
    <cellStyle name="Separador de milhares 2 2 2 2 3 4 2" xfId="20180" xr:uid="{00000000-0005-0000-0000-000001250000}"/>
    <cellStyle name="Separador de milhares 2 2 2 2 3 5" xfId="16156" xr:uid="{00000000-0005-0000-0000-000002250000}"/>
    <cellStyle name="Separador de milhares 2 2 2 2 4" xfId="4222" xr:uid="{00000000-0005-0000-0000-000003250000}"/>
    <cellStyle name="Separador de milhares 2 2 2 2 4 2" xfId="5997" xr:uid="{00000000-0005-0000-0000-000004250000}"/>
    <cellStyle name="Separador de milhares 2 2 2 2 4 2 2" xfId="22991" xr:uid="{00000000-0005-0000-0000-000005250000}"/>
    <cellStyle name="Separador de milhares 2 2 2 2 4 2 3" xfId="19032" xr:uid="{00000000-0005-0000-0000-000006250000}"/>
    <cellStyle name="Separador de milhares 2 2 2 2 4 3" xfId="21268" xr:uid="{00000000-0005-0000-0000-000007250000}"/>
    <cellStyle name="Separador de milhares 2 2 2 2 4 4" xfId="17261" xr:uid="{00000000-0005-0000-0000-000008250000}"/>
    <cellStyle name="Separador de milhares 2 2 2 2 5" xfId="8381" xr:uid="{00000000-0005-0000-0000-000009250000}"/>
    <cellStyle name="Separador de milhares 2 2 2 3" xfId="2096" xr:uid="{00000000-0005-0000-0000-00000A250000}"/>
    <cellStyle name="Separador de milhares 2 2 2 3 2" xfId="3225" xr:uid="{00000000-0005-0000-0000-00000B250000}"/>
    <cellStyle name="Separador de milhares 2 2 2 3 2 2" xfId="4561" xr:uid="{00000000-0005-0000-0000-00000C250000}"/>
    <cellStyle name="Separador de milhares 2 2 2 3 2 2 2" xfId="21601" xr:uid="{00000000-0005-0000-0000-00000D250000}"/>
    <cellStyle name="Separador de milhares 2 2 2 3 2 2 3" xfId="17596" xr:uid="{00000000-0005-0000-0000-00000E250000}"/>
    <cellStyle name="Separador de milhares 2 2 2 3 2 3" xfId="5394" xr:uid="{00000000-0005-0000-0000-00000F250000}"/>
    <cellStyle name="Separador de milhares 2 2 2 3 2 3 2" xfId="11183" xr:uid="{00000000-0005-0000-0000-000010250000}"/>
    <cellStyle name="Separador de milhares 2 2 2 3 2 3 2 2" xfId="22393" xr:uid="{00000000-0005-0000-0000-000011250000}"/>
    <cellStyle name="Separador de milhares 2 2 2 3 2 3 3" xfId="13164" xr:uid="{00000000-0005-0000-0000-000012250000}"/>
    <cellStyle name="Separador de milhares 2 2 2 3 2 3 4" xfId="18429" xr:uid="{00000000-0005-0000-0000-000013250000}"/>
    <cellStyle name="Separador de milhares 2 2 2 3 2 4" xfId="13620" xr:uid="{00000000-0005-0000-0000-000014250000}"/>
    <cellStyle name="Separador de milhares 2 2 2 3 2 4 2" xfId="20293" xr:uid="{00000000-0005-0000-0000-000015250000}"/>
    <cellStyle name="Separador de milhares 2 2 2 3 2 5" xfId="16269" xr:uid="{00000000-0005-0000-0000-000016250000}"/>
    <cellStyle name="Separador de milhares 2 2 2 3 3" xfId="3876" xr:uid="{00000000-0005-0000-0000-000017250000}"/>
    <cellStyle name="Separador de milhares 2 2 2 3 3 2" xfId="6124" xr:uid="{00000000-0005-0000-0000-000018250000}"/>
    <cellStyle name="Separador de milhares 2 2 2 3 3 2 2" xfId="23106" xr:uid="{00000000-0005-0000-0000-000019250000}"/>
    <cellStyle name="Separador de milhares 2 2 2 3 3 2 3" xfId="19159" xr:uid="{00000000-0005-0000-0000-00001A250000}"/>
    <cellStyle name="Separador de milhares 2 2 2 3 3 3" xfId="20937" xr:uid="{00000000-0005-0000-0000-00001B250000}"/>
    <cellStyle name="Separador de milhares 2 2 2 3 3 4" xfId="16918" xr:uid="{00000000-0005-0000-0000-00001C250000}"/>
    <cellStyle name="Separador de milhares 2 2 2 3 4" xfId="8382" xr:uid="{00000000-0005-0000-0000-00001D250000}"/>
    <cellStyle name="Separador de milhares 2 2 2 4" xfId="2097" xr:uid="{00000000-0005-0000-0000-00001E250000}"/>
    <cellStyle name="Separador de milhares 2 2 2 4 2" xfId="3226" xr:uid="{00000000-0005-0000-0000-00001F250000}"/>
    <cellStyle name="Separador de milhares 2 2 2 4 2 2" xfId="4562" xr:uid="{00000000-0005-0000-0000-000020250000}"/>
    <cellStyle name="Separador de milhares 2 2 2 4 2 2 2" xfId="21602" xr:uid="{00000000-0005-0000-0000-000021250000}"/>
    <cellStyle name="Separador de milhares 2 2 2 4 2 2 3" xfId="17597" xr:uid="{00000000-0005-0000-0000-000022250000}"/>
    <cellStyle name="Separador de milhares 2 2 2 4 2 3" xfId="5395" xr:uid="{00000000-0005-0000-0000-000023250000}"/>
    <cellStyle name="Separador de milhares 2 2 2 4 2 3 2" xfId="22394" xr:uid="{00000000-0005-0000-0000-000024250000}"/>
    <cellStyle name="Separador de milhares 2 2 2 4 2 3 3" xfId="18430" xr:uid="{00000000-0005-0000-0000-000025250000}"/>
    <cellStyle name="Separador de milhares 2 2 2 4 2 4" xfId="20294" xr:uid="{00000000-0005-0000-0000-000026250000}"/>
    <cellStyle name="Separador de milhares 2 2 2 4 2 5" xfId="16270" xr:uid="{00000000-0005-0000-0000-000027250000}"/>
    <cellStyle name="Separador de milhares 2 2 2 4 3" xfId="3839" xr:uid="{00000000-0005-0000-0000-000028250000}"/>
    <cellStyle name="Separador de milhares 2 2 2 4 3 2" xfId="6125" xr:uid="{00000000-0005-0000-0000-000029250000}"/>
    <cellStyle name="Separador de milhares 2 2 2 4 3 2 2" xfId="23107" xr:uid="{00000000-0005-0000-0000-00002A250000}"/>
    <cellStyle name="Separador de milhares 2 2 2 4 3 2 3" xfId="19160" xr:uid="{00000000-0005-0000-0000-00002B250000}"/>
    <cellStyle name="Separador de milhares 2 2 2 4 3 3" xfId="20901" xr:uid="{00000000-0005-0000-0000-00002C250000}"/>
    <cellStyle name="Separador de milhares 2 2 2 4 3 4" xfId="16881" xr:uid="{00000000-0005-0000-0000-00002D250000}"/>
    <cellStyle name="Separador de milhares 2 2 2 5" xfId="2098" xr:uid="{00000000-0005-0000-0000-00002E250000}"/>
    <cellStyle name="Separador de milhares 2 2 2 5 2" xfId="3227" xr:uid="{00000000-0005-0000-0000-00002F250000}"/>
    <cellStyle name="Separador de milhares 2 2 2 5 2 2" xfId="4563" xr:uid="{00000000-0005-0000-0000-000030250000}"/>
    <cellStyle name="Separador de milhares 2 2 2 5 2 2 2" xfId="21603" xr:uid="{00000000-0005-0000-0000-000031250000}"/>
    <cellStyle name="Separador de milhares 2 2 2 5 2 2 3" xfId="17598" xr:uid="{00000000-0005-0000-0000-000032250000}"/>
    <cellStyle name="Separador de milhares 2 2 2 5 2 3" xfId="5396" xr:uid="{00000000-0005-0000-0000-000033250000}"/>
    <cellStyle name="Separador de milhares 2 2 2 5 2 3 2" xfId="22395" xr:uid="{00000000-0005-0000-0000-000034250000}"/>
    <cellStyle name="Separador de milhares 2 2 2 5 2 3 3" xfId="18431" xr:uid="{00000000-0005-0000-0000-000035250000}"/>
    <cellStyle name="Separador de milhares 2 2 2 5 2 4" xfId="20295" xr:uid="{00000000-0005-0000-0000-000036250000}"/>
    <cellStyle name="Separador de milhares 2 2 2 5 2 5" xfId="16271" xr:uid="{00000000-0005-0000-0000-000037250000}"/>
    <cellStyle name="Separador de milhares 2 2 2 5 3" xfId="4330" xr:uid="{00000000-0005-0000-0000-000038250000}"/>
    <cellStyle name="Separador de milhares 2 2 2 5 3 2" xfId="6126" xr:uid="{00000000-0005-0000-0000-000039250000}"/>
    <cellStyle name="Separador de milhares 2 2 2 5 3 2 2" xfId="23108" xr:uid="{00000000-0005-0000-0000-00003A250000}"/>
    <cellStyle name="Separador de milhares 2 2 2 5 3 2 3" xfId="19161" xr:uid="{00000000-0005-0000-0000-00003B250000}"/>
    <cellStyle name="Separador de milhares 2 2 2 5 3 3" xfId="21374" xr:uid="{00000000-0005-0000-0000-00003C250000}"/>
    <cellStyle name="Separador de milhares 2 2 2 5 3 4" xfId="17367" xr:uid="{00000000-0005-0000-0000-00003D250000}"/>
    <cellStyle name="Separador de milhares 2 2 2 6" xfId="2099" xr:uid="{00000000-0005-0000-0000-00003E250000}"/>
    <cellStyle name="Separador de milhares 2 2 2 6 2" xfId="3228" xr:uid="{00000000-0005-0000-0000-00003F250000}"/>
    <cellStyle name="Separador de milhares 2 2 2 6 2 2" xfId="4564" xr:uid="{00000000-0005-0000-0000-000040250000}"/>
    <cellStyle name="Separador de milhares 2 2 2 6 2 2 2" xfId="21604" xr:uid="{00000000-0005-0000-0000-000041250000}"/>
    <cellStyle name="Separador de milhares 2 2 2 6 2 2 3" xfId="17599" xr:uid="{00000000-0005-0000-0000-000042250000}"/>
    <cellStyle name="Separador de milhares 2 2 2 6 2 3" xfId="5397" xr:uid="{00000000-0005-0000-0000-000043250000}"/>
    <cellStyle name="Separador de milhares 2 2 2 6 2 3 2" xfId="22396" xr:uid="{00000000-0005-0000-0000-000044250000}"/>
    <cellStyle name="Separador de milhares 2 2 2 6 2 3 3" xfId="18432" xr:uid="{00000000-0005-0000-0000-000045250000}"/>
    <cellStyle name="Separador de milhares 2 2 2 6 2 4" xfId="20296" xr:uid="{00000000-0005-0000-0000-000046250000}"/>
    <cellStyle name="Separador de milhares 2 2 2 6 2 5" xfId="16272" xr:uid="{00000000-0005-0000-0000-000047250000}"/>
    <cellStyle name="Separador de milhares 2 2 2 6 3" xfId="3721" xr:uid="{00000000-0005-0000-0000-000048250000}"/>
    <cellStyle name="Separador de milhares 2 2 2 6 3 2" xfId="6127" xr:uid="{00000000-0005-0000-0000-000049250000}"/>
    <cellStyle name="Separador de milhares 2 2 2 6 3 2 2" xfId="23109" xr:uid="{00000000-0005-0000-0000-00004A250000}"/>
    <cellStyle name="Separador de milhares 2 2 2 6 3 2 3" xfId="19162" xr:uid="{00000000-0005-0000-0000-00004B250000}"/>
    <cellStyle name="Separador de milhares 2 2 2 6 3 3" xfId="20786" xr:uid="{00000000-0005-0000-0000-00004C250000}"/>
    <cellStyle name="Separador de milhares 2 2 2 6 3 4" xfId="16765" xr:uid="{00000000-0005-0000-0000-00004D250000}"/>
    <cellStyle name="Separador de milhares 2 2 2 7" xfId="2100" xr:uid="{00000000-0005-0000-0000-00004E250000}"/>
    <cellStyle name="Separador de milhares 2 2 2 7 2" xfId="3229" xr:uid="{00000000-0005-0000-0000-00004F250000}"/>
    <cellStyle name="Separador de milhares 2 2 2 7 2 2" xfId="4565" xr:uid="{00000000-0005-0000-0000-000050250000}"/>
    <cellStyle name="Separador de milhares 2 2 2 7 2 2 2" xfId="21605" xr:uid="{00000000-0005-0000-0000-000051250000}"/>
    <cellStyle name="Separador de milhares 2 2 2 7 2 2 3" xfId="17600" xr:uid="{00000000-0005-0000-0000-000052250000}"/>
    <cellStyle name="Separador de milhares 2 2 2 7 2 3" xfId="5398" xr:uid="{00000000-0005-0000-0000-000053250000}"/>
    <cellStyle name="Separador de milhares 2 2 2 7 2 3 2" xfId="22397" xr:uid="{00000000-0005-0000-0000-000054250000}"/>
    <cellStyle name="Separador de milhares 2 2 2 7 2 3 3" xfId="18433" xr:uid="{00000000-0005-0000-0000-000055250000}"/>
    <cellStyle name="Separador de milhares 2 2 2 7 2 4" xfId="20297" xr:uid="{00000000-0005-0000-0000-000056250000}"/>
    <cellStyle name="Separador de milhares 2 2 2 7 2 5" xfId="16273" xr:uid="{00000000-0005-0000-0000-000057250000}"/>
    <cellStyle name="Separador de milhares 2 2 2 7 3" xfId="4357" xr:uid="{00000000-0005-0000-0000-000058250000}"/>
    <cellStyle name="Separador de milhares 2 2 2 7 3 2" xfId="6128" xr:uid="{00000000-0005-0000-0000-000059250000}"/>
    <cellStyle name="Separador de milhares 2 2 2 7 3 2 2" xfId="23110" xr:uid="{00000000-0005-0000-0000-00005A250000}"/>
    <cellStyle name="Separador de milhares 2 2 2 7 3 2 3" xfId="19163" xr:uid="{00000000-0005-0000-0000-00005B250000}"/>
    <cellStyle name="Separador de milhares 2 2 2 7 3 3" xfId="21401" xr:uid="{00000000-0005-0000-0000-00005C250000}"/>
    <cellStyle name="Separador de milhares 2 2 2 7 3 4" xfId="17394" xr:uid="{00000000-0005-0000-0000-00005D250000}"/>
    <cellStyle name="Separador de milhares 2 2 2 8" xfId="2101" xr:uid="{00000000-0005-0000-0000-00005E250000}"/>
    <cellStyle name="Separador de milhares 2 2 2 8 2" xfId="3230" xr:uid="{00000000-0005-0000-0000-00005F250000}"/>
    <cellStyle name="Separador de milhares 2 2 2 8 2 2" xfId="4566" xr:uid="{00000000-0005-0000-0000-000060250000}"/>
    <cellStyle name="Separador de milhares 2 2 2 8 2 2 2" xfId="21606" xr:uid="{00000000-0005-0000-0000-000061250000}"/>
    <cellStyle name="Separador de milhares 2 2 2 8 2 2 3" xfId="17601" xr:uid="{00000000-0005-0000-0000-000062250000}"/>
    <cellStyle name="Separador de milhares 2 2 2 8 2 3" xfId="5399" xr:uid="{00000000-0005-0000-0000-000063250000}"/>
    <cellStyle name="Separador de milhares 2 2 2 8 2 3 2" xfId="22398" xr:uid="{00000000-0005-0000-0000-000064250000}"/>
    <cellStyle name="Separador de milhares 2 2 2 8 2 3 3" xfId="18434" xr:uid="{00000000-0005-0000-0000-000065250000}"/>
    <cellStyle name="Separador de milhares 2 2 2 8 2 4" xfId="20298" xr:uid="{00000000-0005-0000-0000-000066250000}"/>
    <cellStyle name="Separador de milhares 2 2 2 8 2 5" xfId="16274" xr:uid="{00000000-0005-0000-0000-000067250000}"/>
    <cellStyle name="Separador de milhares 2 2 2 8 3" xfId="3720" xr:uid="{00000000-0005-0000-0000-000068250000}"/>
    <cellStyle name="Separador de milhares 2 2 2 8 3 2" xfId="6129" xr:uid="{00000000-0005-0000-0000-000069250000}"/>
    <cellStyle name="Separador de milhares 2 2 2 8 3 2 2" xfId="23111" xr:uid="{00000000-0005-0000-0000-00006A250000}"/>
    <cellStyle name="Separador de milhares 2 2 2 8 3 2 3" xfId="19164" xr:uid="{00000000-0005-0000-0000-00006B250000}"/>
    <cellStyle name="Separador de milhares 2 2 2 8 3 3" xfId="20785" xr:uid="{00000000-0005-0000-0000-00006C250000}"/>
    <cellStyle name="Separador de milhares 2 2 2 8 3 4" xfId="16764" xr:uid="{00000000-0005-0000-0000-00006D250000}"/>
    <cellStyle name="Separador de milhares 2 2 2 9" xfId="2102" xr:uid="{00000000-0005-0000-0000-00006E250000}"/>
    <cellStyle name="Separador de milhares 2 2 2 9 2" xfId="3231" xr:uid="{00000000-0005-0000-0000-00006F250000}"/>
    <cellStyle name="Separador de milhares 2 2 2 9 2 2" xfId="4567" xr:uid="{00000000-0005-0000-0000-000070250000}"/>
    <cellStyle name="Separador de milhares 2 2 2 9 2 2 2" xfId="21607" xr:uid="{00000000-0005-0000-0000-000071250000}"/>
    <cellStyle name="Separador de milhares 2 2 2 9 2 2 3" xfId="17602" xr:uid="{00000000-0005-0000-0000-000072250000}"/>
    <cellStyle name="Separador de milhares 2 2 2 9 2 3" xfId="5400" xr:uid="{00000000-0005-0000-0000-000073250000}"/>
    <cellStyle name="Separador de milhares 2 2 2 9 2 3 2" xfId="22399" xr:uid="{00000000-0005-0000-0000-000074250000}"/>
    <cellStyle name="Separador de milhares 2 2 2 9 2 3 3" xfId="18435" xr:uid="{00000000-0005-0000-0000-000075250000}"/>
    <cellStyle name="Separador de milhares 2 2 2 9 2 4" xfId="20299" xr:uid="{00000000-0005-0000-0000-000076250000}"/>
    <cellStyle name="Separador de milhares 2 2 2 9 2 5" xfId="16275" xr:uid="{00000000-0005-0000-0000-000077250000}"/>
    <cellStyle name="Separador de milhares 2 2 2 9 3" xfId="4005" xr:uid="{00000000-0005-0000-0000-000078250000}"/>
    <cellStyle name="Separador de milhares 2 2 2 9 3 2" xfId="6130" xr:uid="{00000000-0005-0000-0000-000079250000}"/>
    <cellStyle name="Separador de milhares 2 2 2 9 3 2 2" xfId="23112" xr:uid="{00000000-0005-0000-0000-00007A250000}"/>
    <cellStyle name="Separador de milhares 2 2 2 9 3 2 3" xfId="19165" xr:uid="{00000000-0005-0000-0000-00007B250000}"/>
    <cellStyle name="Separador de milhares 2 2 2 9 3 3" xfId="21057" xr:uid="{00000000-0005-0000-0000-00007C250000}"/>
    <cellStyle name="Separador de milhares 2 2 2 9 3 4" xfId="17046" xr:uid="{00000000-0005-0000-0000-00007D250000}"/>
    <cellStyle name="Separador de milhares 2 2 3" xfId="665" xr:uid="{00000000-0005-0000-0000-00007E250000}"/>
    <cellStyle name="Separador de milhares 2 2 3 2" xfId="3100" xr:uid="{00000000-0005-0000-0000-00007F250000}"/>
    <cellStyle name="Separador de milhares 2 2 3 2 2" xfId="4515" xr:uid="{00000000-0005-0000-0000-000080250000}"/>
    <cellStyle name="Separador de milhares 2 2 3 2 2 2" xfId="21555" xr:uid="{00000000-0005-0000-0000-000081250000}"/>
    <cellStyle name="Separador de milhares 2 2 3 2 2 3" xfId="17550" xr:uid="{00000000-0005-0000-0000-000082250000}"/>
    <cellStyle name="Separador de milhares 2 2 3 2 3" xfId="5269" xr:uid="{00000000-0005-0000-0000-000083250000}"/>
    <cellStyle name="Separador de milhares 2 2 3 2 3 2" xfId="13026" xr:uid="{00000000-0005-0000-0000-000084250000}"/>
    <cellStyle name="Separador de milhares 2 2 3 2 3 2 2" xfId="22268" xr:uid="{00000000-0005-0000-0000-000085250000}"/>
    <cellStyle name="Separador de milhares 2 2 3 2 3 3" xfId="11071" xr:uid="{00000000-0005-0000-0000-000086250000}"/>
    <cellStyle name="Separador de milhares 2 2 3 2 3 4" xfId="18304" xr:uid="{00000000-0005-0000-0000-000087250000}"/>
    <cellStyle name="Separador de milhares 2 2 3 2 4" xfId="13596" xr:uid="{00000000-0005-0000-0000-000088250000}"/>
    <cellStyle name="Separador de milhares 2 2 3 2 4 2" xfId="20168" xr:uid="{00000000-0005-0000-0000-000089250000}"/>
    <cellStyle name="Separador de milhares 2 2 3 2 5" xfId="16144" xr:uid="{00000000-0005-0000-0000-00008A250000}"/>
    <cellStyle name="Separador de milhares 2 2 3 3" xfId="3845" xr:uid="{00000000-0005-0000-0000-00008B250000}"/>
    <cellStyle name="Separador de milhares 2 2 3 3 2" xfId="5984" xr:uid="{00000000-0005-0000-0000-00008C250000}"/>
    <cellStyle name="Separador de milhares 2 2 3 3 2 2" xfId="22978" xr:uid="{00000000-0005-0000-0000-00008D250000}"/>
    <cellStyle name="Separador de milhares 2 2 3 3 2 3" xfId="19019" xr:uid="{00000000-0005-0000-0000-00008E250000}"/>
    <cellStyle name="Separador de milhares 2 2 3 3 3" xfId="20907" xr:uid="{00000000-0005-0000-0000-00008F250000}"/>
    <cellStyle name="Separador de milhares 2 2 3 3 4" xfId="16887" xr:uid="{00000000-0005-0000-0000-000090250000}"/>
    <cellStyle name="Separador de milhares 2 2 3 4" xfId="8383" xr:uid="{00000000-0005-0000-0000-000091250000}"/>
    <cellStyle name="Separador de milhares 2 2 3 4 2" xfId="7158" xr:uid="{00000000-0005-0000-0000-000092250000}"/>
    <cellStyle name="Separador de milhares 2 2 4" xfId="2103" xr:uid="{00000000-0005-0000-0000-000093250000}"/>
    <cellStyle name="Separador de milhares 2 2 4 2" xfId="3232" xr:uid="{00000000-0005-0000-0000-000094250000}"/>
    <cellStyle name="Separador de milhares 2 2 4 2 2" xfId="4568" xr:uid="{00000000-0005-0000-0000-000095250000}"/>
    <cellStyle name="Separador de milhares 2 2 4 2 2 2" xfId="21608" xr:uid="{00000000-0005-0000-0000-000096250000}"/>
    <cellStyle name="Separador de milhares 2 2 4 2 2 3" xfId="17603" xr:uid="{00000000-0005-0000-0000-000097250000}"/>
    <cellStyle name="Separador de milhares 2 2 4 2 3" xfId="5401" xr:uid="{00000000-0005-0000-0000-000098250000}"/>
    <cellStyle name="Separador de milhares 2 2 4 2 3 2" xfId="10975" xr:uid="{00000000-0005-0000-0000-000099250000}"/>
    <cellStyle name="Separador de milhares 2 2 4 2 3 2 2" xfId="22400" xr:uid="{00000000-0005-0000-0000-00009A250000}"/>
    <cellStyle name="Separador de milhares 2 2 4 2 3 3" xfId="11089" xr:uid="{00000000-0005-0000-0000-00009B250000}"/>
    <cellStyle name="Separador de milhares 2 2 4 2 3 4" xfId="18436" xr:uid="{00000000-0005-0000-0000-00009C250000}"/>
    <cellStyle name="Separador de milhares 2 2 4 2 4" xfId="13621" xr:uid="{00000000-0005-0000-0000-00009D250000}"/>
    <cellStyle name="Separador de milhares 2 2 4 2 4 2" xfId="20300" xr:uid="{00000000-0005-0000-0000-00009E250000}"/>
    <cellStyle name="Separador de milhares 2 2 4 2 5" xfId="16276" xr:uid="{00000000-0005-0000-0000-00009F250000}"/>
    <cellStyle name="Separador de milhares 2 2 4 3" xfId="4104" xr:uid="{00000000-0005-0000-0000-0000A0250000}"/>
    <cellStyle name="Separador de milhares 2 2 4 3 2" xfId="6131" xr:uid="{00000000-0005-0000-0000-0000A1250000}"/>
    <cellStyle name="Separador de milhares 2 2 4 3 2 2" xfId="23113" xr:uid="{00000000-0005-0000-0000-0000A2250000}"/>
    <cellStyle name="Separador de milhares 2 2 4 3 2 3" xfId="19166" xr:uid="{00000000-0005-0000-0000-0000A3250000}"/>
    <cellStyle name="Separador de milhares 2 2 4 3 3" xfId="21152" xr:uid="{00000000-0005-0000-0000-0000A4250000}"/>
    <cellStyle name="Separador de milhares 2 2 4 3 4" xfId="17144" xr:uid="{00000000-0005-0000-0000-0000A5250000}"/>
    <cellStyle name="Separador de milhares 2 2 4 4" xfId="8384" xr:uid="{00000000-0005-0000-0000-0000A6250000}"/>
    <cellStyle name="Separador de milhares 2 2 5" xfId="2104" xr:uid="{00000000-0005-0000-0000-0000A7250000}"/>
    <cellStyle name="Separador de milhares 2 2 5 2" xfId="3233" xr:uid="{00000000-0005-0000-0000-0000A8250000}"/>
    <cellStyle name="Separador de milhares 2 2 5 2 2" xfId="4569" xr:uid="{00000000-0005-0000-0000-0000A9250000}"/>
    <cellStyle name="Separador de milhares 2 2 5 2 2 2" xfId="21609" xr:uid="{00000000-0005-0000-0000-0000AA250000}"/>
    <cellStyle name="Separador de milhares 2 2 5 2 2 3" xfId="17604" xr:uid="{00000000-0005-0000-0000-0000AB250000}"/>
    <cellStyle name="Separador de milhares 2 2 5 2 3" xfId="5402" xr:uid="{00000000-0005-0000-0000-0000AC250000}"/>
    <cellStyle name="Separador de milhares 2 2 5 2 3 2" xfId="11124" xr:uid="{00000000-0005-0000-0000-0000AD250000}"/>
    <cellStyle name="Separador de milhares 2 2 5 2 3 2 2" xfId="22401" xr:uid="{00000000-0005-0000-0000-0000AE250000}"/>
    <cellStyle name="Separador de milhares 2 2 5 2 3 3" xfId="12422" xr:uid="{00000000-0005-0000-0000-0000AF250000}"/>
    <cellStyle name="Separador de milhares 2 2 5 2 3 4" xfId="18437" xr:uid="{00000000-0005-0000-0000-0000B0250000}"/>
    <cellStyle name="Separador de milhares 2 2 5 2 4" xfId="13622" xr:uid="{00000000-0005-0000-0000-0000B1250000}"/>
    <cellStyle name="Separador de milhares 2 2 5 2 4 2" xfId="20301" xr:uid="{00000000-0005-0000-0000-0000B2250000}"/>
    <cellStyle name="Separador de milhares 2 2 5 2 5" xfId="16277" xr:uid="{00000000-0005-0000-0000-0000B3250000}"/>
    <cellStyle name="Separador de milhares 2 2 5 3" xfId="3714" xr:uid="{00000000-0005-0000-0000-0000B4250000}"/>
    <cellStyle name="Separador de milhares 2 2 5 3 2" xfId="6132" xr:uid="{00000000-0005-0000-0000-0000B5250000}"/>
    <cellStyle name="Separador de milhares 2 2 5 3 2 2" xfId="23114" xr:uid="{00000000-0005-0000-0000-0000B6250000}"/>
    <cellStyle name="Separador de milhares 2 2 5 3 2 3" xfId="19167" xr:uid="{00000000-0005-0000-0000-0000B7250000}"/>
    <cellStyle name="Separador de milhares 2 2 5 3 3" xfId="20782" xr:uid="{00000000-0005-0000-0000-0000B8250000}"/>
    <cellStyle name="Separador de milhares 2 2 5 3 4" xfId="16758" xr:uid="{00000000-0005-0000-0000-0000B9250000}"/>
    <cellStyle name="Separador de milhares 2 2 5 4" xfId="8385" xr:uid="{00000000-0005-0000-0000-0000BA250000}"/>
    <cellStyle name="Separador de milhares 2 2 6" xfId="2105" xr:uid="{00000000-0005-0000-0000-0000BB250000}"/>
    <cellStyle name="Separador de milhares 2 2 6 2" xfId="3234" xr:uid="{00000000-0005-0000-0000-0000BC250000}"/>
    <cellStyle name="Separador de milhares 2 2 6 2 2" xfId="4570" xr:uid="{00000000-0005-0000-0000-0000BD250000}"/>
    <cellStyle name="Separador de milhares 2 2 6 2 2 2" xfId="21610" xr:uid="{00000000-0005-0000-0000-0000BE250000}"/>
    <cellStyle name="Separador de milhares 2 2 6 2 2 3" xfId="17605" xr:uid="{00000000-0005-0000-0000-0000BF250000}"/>
    <cellStyle name="Separador de milhares 2 2 6 2 3" xfId="5403" xr:uid="{00000000-0005-0000-0000-0000C0250000}"/>
    <cellStyle name="Separador de milhares 2 2 6 2 3 2" xfId="12940" xr:uid="{00000000-0005-0000-0000-0000C1250000}"/>
    <cellStyle name="Separador de milhares 2 2 6 2 3 2 2" xfId="22402" xr:uid="{00000000-0005-0000-0000-0000C2250000}"/>
    <cellStyle name="Separador de milhares 2 2 6 2 3 3" xfId="11151" xr:uid="{00000000-0005-0000-0000-0000C3250000}"/>
    <cellStyle name="Separador de milhares 2 2 6 2 3 4" xfId="18438" xr:uid="{00000000-0005-0000-0000-0000C4250000}"/>
    <cellStyle name="Separador de milhares 2 2 6 2 4" xfId="13623" xr:uid="{00000000-0005-0000-0000-0000C5250000}"/>
    <cellStyle name="Separador de milhares 2 2 6 2 4 2" xfId="20302" xr:uid="{00000000-0005-0000-0000-0000C6250000}"/>
    <cellStyle name="Separador de milhares 2 2 6 2 5" xfId="16278" xr:uid="{00000000-0005-0000-0000-0000C7250000}"/>
    <cellStyle name="Separador de milhares 2 2 6 3" xfId="4035" xr:uid="{00000000-0005-0000-0000-0000C8250000}"/>
    <cellStyle name="Separador de milhares 2 2 6 3 2" xfId="6133" xr:uid="{00000000-0005-0000-0000-0000C9250000}"/>
    <cellStyle name="Separador de milhares 2 2 6 3 2 2" xfId="23115" xr:uid="{00000000-0005-0000-0000-0000CA250000}"/>
    <cellStyle name="Separador de milhares 2 2 6 3 2 3" xfId="19168" xr:uid="{00000000-0005-0000-0000-0000CB250000}"/>
    <cellStyle name="Separador de milhares 2 2 6 3 3" xfId="21084" xr:uid="{00000000-0005-0000-0000-0000CC250000}"/>
    <cellStyle name="Separador de milhares 2 2 6 3 4" xfId="17076" xr:uid="{00000000-0005-0000-0000-0000CD250000}"/>
    <cellStyle name="Separador de milhares 2 2 6 4" xfId="8386" xr:uid="{00000000-0005-0000-0000-0000CE250000}"/>
    <cellStyle name="Separador de milhares 2 2 7" xfId="2106" xr:uid="{00000000-0005-0000-0000-0000CF250000}"/>
    <cellStyle name="Separador de milhares 2 2 7 2" xfId="3235" xr:uid="{00000000-0005-0000-0000-0000D0250000}"/>
    <cellStyle name="Separador de milhares 2 2 7 2 2" xfId="4571" xr:uid="{00000000-0005-0000-0000-0000D1250000}"/>
    <cellStyle name="Separador de milhares 2 2 7 2 2 2" xfId="21611" xr:uid="{00000000-0005-0000-0000-0000D2250000}"/>
    <cellStyle name="Separador de milhares 2 2 7 2 2 3" xfId="17606" xr:uid="{00000000-0005-0000-0000-0000D3250000}"/>
    <cellStyle name="Separador de milhares 2 2 7 2 3" xfId="5404" xr:uid="{00000000-0005-0000-0000-0000D4250000}"/>
    <cellStyle name="Separador de milhares 2 2 7 2 3 2" xfId="12481" xr:uid="{00000000-0005-0000-0000-0000D5250000}"/>
    <cellStyle name="Separador de milhares 2 2 7 2 3 2 2" xfId="22403" xr:uid="{00000000-0005-0000-0000-0000D6250000}"/>
    <cellStyle name="Separador de milhares 2 2 7 2 3 3" xfId="12923" xr:uid="{00000000-0005-0000-0000-0000D7250000}"/>
    <cellStyle name="Separador de milhares 2 2 7 2 3 4" xfId="18439" xr:uid="{00000000-0005-0000-0000-0000D8250000}"/>
    <cellStyle name="Separador de milhares 2 2 7 2 4" xfId="13624" xr:uid="{00000000-0005-0000-0000-0000D9250000}"/>
    <cellStyle name="Separador de milhares 2 2 7 2 4 2" xfId="20303" xr:uid="{00000000-0005-0000-0000-0000DA250000}"/>
    <cellStyle name="Separador de milhares 2 2 7 2 5" xfId="16279" xr:uid="{00000000-0005-0000-0000-0000DB250000}"/>
    <cellStyle name="Separador de milhares 2 2 7 3" xfId="4085" xr:uid="{00000000-0005-0000-0000-0000DC250000}"/>
    <cellStyle name="Separador de milhares 2 2 7 3 2" xfId="6134" xr:uid="{00000000-0005-0000-0000-0000DD250000}"/>
    <cellStyle name="Separador de milhares 2 2 7 3 2 2" xfId="23116" xr:uid="{00000000-0005-0000-0000-0000DE250000}"/>
    <cellStyle name="Separador de milhares 2 2 7 3 2 3" xfId="19169" xr:uid="{00000000-0005-0000-0000-0000DF250000}"/>
    <cellStyle name="Separador de milhares 2 2 7 3 3" xfId="21133" xr:uid="{00000000-0005-0000-0000-0000E0250000}"/>
    <cellStyle name="Separador de milhares 2 2 7 3 4" xfId="17125" xr:uid="{00000000-0005-0000-0000-0000E1250000}"/>
    <cellStyle name="Separador de milhares 2 2 7 4" xfId="8387" xr:uid="{00000000-0005-0000-0000-0000E2250000}"/>
    <cellStyle name="Separador de milhares 2 2 8" xfId="2107" xr:uid="{00000000-0005-0000-0000-0000E3250000}"/>
    <cellStyle name="Separador de milhares 2 2 8 2" xfId="3236" xr:uid="{00000000-0005-0000-0000-0000E4250000}"/>
    <cellStyle name="Separador de milhares 2 2 8 2 2" xfId="4572" xr:uid="{00000000-0005-0000-0000-0000E5250000}"/>
    <cellStyle name="Separador de milhares 2 2 8 2 2 2" xfId="21612" xr:uid="{00000000-0005-0000-0000-0000E6250000}"/>
    <cellStyle name="Separador de milhares 2 2 8 2 2 3" xfId="17607" xr:uid="{00000000-0005-0000-0000-0000E7250000}"/>
    <cellStyle name="Separador de milhares 2 2 8 2 3" xfId="5405" xr:uid="{00000000-0005-0000-0000-0000E8250000}"/>
    <cellStyle name="Separador de milhares 2 2 8 2 3 2" xfId="22404" xr:uid="{00000000-0005-0000-0000-0000E9250000}"/>
    <cellStyle name="Separador de milhares 2 2 8 2 3 3" xfId="18440" xr:uid="{00000000-0005-0000-0000-0000EA250000}"/>
    <cellStyle name="Separador de milhares 2 2 8 2 4" xfId="20304" xr:uid="{00000000-0005-0000-0000-0000EB250000}"/>
    <cellStyle name="Separador de milhares 2 2 8 2 5" xfId="16280" xr:uid="{00000000-0005-0000-0000-0000EC250000}"/>
    <cellStyle name="Separador de milhares 2 2 8 3" xfId="3969" xr:uid="{00000000-0005-0000-0000-0000ED250000}"/>
    <cellStyle name="Separador de milhares 2 2 8 3 2" xfId="6135" xr:uid="{00000000-0005-0000-0000-0000EE250000}"/>
    <cellStyle name="Separador de milhares 2 2 8 3 2 2" xfId="23117" xr:uid="{00000000-0005-0000-0000-0000EF250000}"/>
    <cellStyle name="Separador de milhares 2 2 8 3 2 3" xfId="19170" xr:uid="{00000000-0005-0000-0000-0000F0250000}"/>
    <cellStyle name="Separador de milhares 2 2 8 3 3" xfId="21025" xr:uid="{00000000-0005-0000-0000-0000F1250000}"/>
    <cellStyle name="Separador de milhares 2 2 8 3 4" xfId="17011" xr:uid="{00000000-0005-0000-0000-0000F2250000}"/>
    <cellStyle name="Separador de milhares 2 2 9" xfId="2108" xr:uid="{00000000-0005-0000-0000-0000F3250000}"/>
    <cellStyle name="Separador de milhares 2 2 9 2" xfId="3237" xr:uid="{00000000-0005-0000-0000-0000F4250000}"/>
    <cellStyle name="Separador de milhares 2 2 9 2 2" xfId="4573" xr:uid="{00000000-0005-0000-0000-0000F5250000}"/>
    <cellStyle name="Separador de milhares 2 2 9 2 2 2" xfId="21613" xr:uid="{00000000-0005-0000-0000-0000F6250000}"/>
    <cellStyle name="Separador de milhares 2 2 9 2 2 3" xfId="17608" xr:uid="{00000000-0005-0000-0000-0000F7250000}"/>
    <cellStyle name="Separador de milhares 2 2 9 2 3" xfId="5406" xr:uid="{00000000-0005-0000-0000-0000F8250000}"/>
    <cellStyle name="Separador de milhares 2 2 9 2 3 2" xfId="22405" xr:uid="{00000000-0005-0000-0000-0000F9250000}"/>
    <cellStyle name="Separador de milhares 2 2 9 2 3 3" xfId="18441" xr:uid="{00000000-0005-0000-0000-0000FA250000}"/>
    <cellStyle name="Separador de milhares 2 2 9 2 4" xfId="20305" xr:uid="{00000000-0005-0000-0000-0000FB250000}"/>
    <cellStyle name="Separador de milhares 2 2 9 2 5" xfId="16281" xr:uid="{00000000-0005-0000-0000-0000FC250000}"/>
    <cellStyle name="Separador de milhares 2 2 9 3" xfId="4409" xr:uid="{00000000-0005-0000-0000-0000FD250000}"/>
    <cellStyle name="Separador de milhares 2 2 9 3 2" xfId="6136" xr:uid="{00000000-0005-0000-0000-0000FE250000}"/>
    <cellStyle name="Separador de milhares 2 2 9 3 2 2" xfId="23118" xr:uid="{00000000-0005-0000-0000-0000FF250000}"/>
    <cellStyle name="Separador de milhares 2 2 9 3 2 3" xfId="19171" xr:uid="{00000000-0005-0000-0000-000000260000}"/>
    <cellStyle name="Separador de milhares 2 2 9 3 3" xfId="21452" xr:uid="{00000000-0005-0000-0000-000001260000}"/>
    <cellStyle name="Separador de milhares 2 2 9 3 4" xfId="17446" xr:uid="{00000000-0005-0000-0000-000002260000}"/>
    <cellStyle name="Separador de milhares 2 3" xfId="47" xr:uid="{00000000-0005-0000-0000-000003260000}"/>
    <cellStyle name="Separador de milhares 2 3 10" xfId="2109" xr:uid="{00000000-0005-0000-0000-000004260000}"/>
    <cellStyle name="Separador de milhares 2 3 10 2" xfId="3238" xr:uid="{00000000-0005-0000-0000-000005260000}"/>
    <cellStyle name="Separador de milhares 2 3 10 2 2" xfId="4574" xr:uid="{00000000-0005-0000-0000-000006260000}"/>
    <cellStyle name="Separador de milhares 2 3 10 2 2 2" xfId="21614" xr:uid="{00000000-0005-0000-0000-000007260000}"/>
    <cellStyle name="Separador de milhares 2 3 10 2 2 3" xfId="17609" xr:uid="{00000000-0005-0000-0000-000008260000}"/>
    <cellStyle name="Separador de milhares 2 3 10 2 3" xfId="5407" xr:uid="{00000000-0005-0000-0000-000009260000}"/>
    <cellStyle name="Separador de milhares 2 3 10 2 3 2" xfId="22406" xr:uid="{00000000-0005-0000-0000-00000A260000}"/>
    <cellStyle name="Separador de milhares 2 3 10 2 3 3" xfId="18442" xr:uid="{00000000-0005-0000-0000-00000B260000}"/>
    <cellStyle name="Separador de milhares 2 3 10 2 4" xfId="20306" xr:uid="{00000000-0005-0000-0000-00000C260000}"/>
    <cellStyle name="Separador de milhares 2 3 10 2 5" xfId="16282" xr:uid="{00000000-0005-0000-0000-00000D260000}"/>
    <cellStyle name="Separador de milhares 2 3 10 3" xfId="4234" xr:uid="{00000000-0005-0000-0000-00000E260000}"/>
    <cellStyle name="Separador de milhares 2 3 10 3 2" xfId="6137" xr:uid="{00000000-0005-0000-0000-00000F260000}"/>
    <cellStyle name="Separador de milhares 2 3 10 3 2 2" xfId="23119" xr:uid="{00000000-0005-0000-0000-000010260000}"/>
    <cellStyle name="Separador de milhares 2 3 10 3 2 3" xfId="19172" xr:uid="{00000000-0005-0000-0000-000011260000}"/>
    <cellStyle name="Separador de milhares 2 3 10 3 3" xfId="21280" xr:uid="{00000000-0005-0000-0000-000012260000}"/>
    <cellStyle name="Separador de milhares 2 3 10 3 4" xfId="17273" xr:uid="{00000000-0005-0000-0000-000013260000}"/>
    <cellStyle name="Separador de milhares 2 3 11" xfId="3025" xr:uid="{00000000-0005-0000-0000-000014260000}"/>
    <cellStyle name="Separador de milhares 2 3 11 2" xfId="4243" xr:uid="{00000000-0005-0000-0000-000015260000}"/>
    <cellStyle name="Separador de milhares 2 3 11 2 2" xfId="5870" xr:uid="{00000000-0005-0000-0000-000016260000}"/>
    <cellStyle name="Separador de milhares 2 3 11 2 2 2" xfId="22866" xr:uid="{00000000-0005-0000-0000-000017260000}"/>
    <cellStyle name="Separador de milhares 2 3 11 2 2 3" xfId="18905" xr:uid="{00000000-0005-0000-0000-000018260000}"/>
    <cellStyle name="Separador de milhares 2 3 11 2 3" xfId="21288" xr:uid="{00000000-0005-0000-0000-000019260000}"/>
    <cellStyle name="Separador de milhares 2 3 11 2 4" xfId="17281" xr:uid="{00000000-0005-0000-0000-00001A260000}"/>
    <cellStyle name="Separador de milhares 2 3 11 3" xfId="5194" xr:uid="{00000000-0005-0000-0000-00001B260000}"/>
    <cellStyle name="Separador de milhares 2 3 11 3 2" xfId="13158" xr:uid="{00000000-0005-0000-0000-00001C260000}"/>
    <cellStyle name="Separador de milhares 2 3 11 3 2 2" xfId="22193" xr:uid="{00000000-0005-0000-0000-00001D260000}"/>
    <cellStyle name="Separador de milhares 2 3 11 3 3" xfId="11619" xr:uid="{00000000-0005-0000-0000-00001E260000}"/>
    <cellStyle name="Separador de milhares 2 3 11 3 4" xfId="18229" xr:uid="{00000000-0005-0000-0000-00001F260000}"/>
    <cellStyle name="Separador de milhares 2 3 11 4" xfId="13556" xr:uid="{00000000-0005-0000-0000-000020260000}"/>
    <cellStyle name="Separador de milhares 2 3 11 4 2" xfId="20093" xr:uid="{00000000-0005-0000-0000-000021260000}"/>
    <cellStyle name="Separador de milhares 2 3 11 5" xfId="16069" xr:uid="{00000000-0005-0000-0000-000022260000}"/>
    <cellStyle name="Separador de milhares 2 3 12" xfId="8388" xr:uid="{00000000-0005-0000-0000-000023260000}"/>
    <cellStyle name="Separador de milhares 2 3 12 2" xfId="11465" xr:uid="{00000000-0005-0000-0000-000024260000}"/>
    <cellStyle name="Separador de milhares 2 3 12 3" xfId="13002" xr:uid="{00000000-0005-0000-0000-000025260000}"/>
    <cellStyle name="Separador de milhares 2 3 13" xfId="8389" xr:uid="{00000000-0005-0000-0000-000026260000}"/>
    <cellStyle name="Separador de milhares 2 3 14" xfId="8390" xr:uid="{00000000-0005-0000-0000-000027260000}"/>
    <cellStyle name="Separador de milhares 2 3 2" xfId="109" xr:uid="{00000000-0005-0000-0000-000028260000}"/>
    <cellStyle name="Separador de milhares 2 3 2 10" xfId="3037" xr:uid="{00000000-0005-0000-0000-000029260000}"/>
    <cellStyle name="Separador de milhares 2 3 2 10 2" xfId="4490" xr:uid="{00000000-0005-0000-0000-00002A260000}"/>
    <cellStyle name="Separador de milhares 2 3 2 10 2 2" xfId="21530" xr:uid="{00000000-0005-0000-0000-00002B260000}"/>
    <cellStyle name="Separador de milhares 2 3 2 10 2 3" xfId="17525" xr:uid="{00000000-0005-0000-0000-00002C260000}"/>
    <cellStyle name="Separador de milhares 2 3 2 10 3" xfId="5206" xr:uid="{00000000-0005-0000-0000-00002D260000}"/>
    <cellStyle name="Separador de milhares 2 3 2 10 3 2" xfId="12330" xr:uid="{00000000-0005-0000-0000-00002E260000}"/>
    <cellStyle name="Separador de milhares 2 3 2 10 3 2 2" xfId="22205" xr:uid="{00000000-0005-0000-0000-00002F260000}"/>
    <cellStyle name="Separador de milhares 2 3 2 10 3 3" xfId="11742" xr:uid="{00000000-0005-0000-0000-000030260000}"/>
    <cellStyle name="Separador de milhares 2 3 2 10 3 4" xfId="18241" xr:uid="{00000000-0005-0000-0000-000031260000}"/>
    <cellStyle name="Separador de milhares 2 3 2 10 4" xfId="13567" xr:uid="{00000000-0005-0000-0000-000032260000}"/>
    <cellStyle name="Separador de milhares 2 3 2 10 4 2" xfId="20105" xr:uid="{00000000-0005-0000-0000-000033260000}"/>
    <cellStyle name="Separador de milhares 2 3 2 10 5" xfId="16081" xr:uid="{00000000-0005-0000-0000-000034260000}"/>
    <cellStyle name="Separador de milhares 2 3 2 11" xfId="3801" xr:uid="{00000000-0005-0000-0000-000035260000}"/>
    <cellStyle name="Separador de milhares 2 3 2 11 2" xfId="5890" xr:uid="{00000000-0005-0000-0000-000036260000}"/>
    <cellStyle name="Separador de milhares 2 3 2 11 2 2" xfId="11405" xr:uid="{00000000-0005-0000-0000-000037260000}"/>
    <cellStyle name="Separador de milhares 2 3 2 11 2 2 2" xfId="22886" xr:uid="{00000000-0005-0000-0000-000038260000}"/>
    <cellStyle name="Separador de milhares 2 3 2 11 2 3" xfId="11440" xr:uid="{00000000-0005-0000-0000-000039260000}"/>
    <cellStyle name="Separador de milhares 2 3 2 11 2 4" xfId="18925" xr:uid="{00000000-0005-0000-0000-00003A260000}"/>
    <cellStyle name="Separador de milhares 2 3 2 11 3" xfId="13679" xr:uid="{00000000-0005-0000-0000-00003B260000}"/>
    <cellStyle name="Separador de milhares 2 3 2 11 3 2" xfId="20863" xr:uid="{00000000-0005-0000-0000-00003C260000}"/>
    <cellStyle name="Separador de milhares 2 3 2 11 4" xfId="16843" xr:uid="{00000000-0005-0000-0000-00003D260000}"/>
    <cellStyle name="Separador de milhares 2 3 2 12" xfId="8391" xr:uid="{00000000-0005-0000-0000-00003E260000}"/>
    <cellStyle name="Separador de milhares 2 3 2 13" xfId="8392" xr:uid="{00000000-0005-0000-0000-00003F260000}"/>
    <cellStyle name="Separador de milhares 2 3 2 2" xfId="728" xr:uid="{00000000-0005-0000-0000-000040260000}"/>
    <cellStyle name="Separador de milhares 2 3 2 2 2" xfId="3113" xr:uid="{00000000-0005-0000-0000-000041260000}"/>
    <cellStyle name="Separador de milhares 2 3 2 2 2 2" xfId="4528" xr:uid="{00000000-0005-0000-0000-000042260000}"/>
    <cellStyle name="Separador de milhares 2 3 2 2 2 2 2" xfId="21568" xr:uid="{00000000-0005-0000-0000-000043260000}"/>
    <cellStyle name="Separador de milhares 2 3 2 2 2 2 3" xfId="17563" xr:uid="{00000000-0005-0000-0000-000044260000}"/>
    <cellStyle name="Separador de milhares 2 3 2 2 2 3" xfId="5282" xr:uid="{00000000-0005-0000-0000-000045260000}"/>
    <cellStyle name="Separador de milhares 2 3 2 2 2 3 2" xfId="22281" xr:uid="{00000000-0005-0000-0000-000046260000}"/>
    <cellStyle name="Separador de milhares 2 3 2 2 2 3 3" xfId="18317" xr:uid="{00000000-0005-0000-0000-000047260000}"/>
    <cellStyle name="Separador de milhares 2 3 2 2 2 4" xfId="20181" xr:uid="{00000000-0005-0000-0000-000048260000}"/>
    <cellStyle name="Separador de milhares 2 3 2 2 2 5" xfId="16157" xr:uid="{00000000-0005-0000-0000-000049260000}"/>
    <cellStyle name="Separador de milhares 2 3 2 2 3" xfId="3986" xr:uid="{00000000-0005-0000-0000-00004A260000}"/>
    <cellStyle name="Separador de milhares 2 3 2 2 3 2" xfId="5998" xr:uid="{00000000-0005-0000-0000-00004B260000}"/>
    <cellStyle name="Separador de milhares 2 3 2 2 3 2 2" xfId="22992" xr:uid="{00000000-0005-0000-0000-00004C260000}"/>
    <cellStyle name="Separador de milhares 2 3 2 2 3 2 3" xfId="19033" xr:uid="{00000000-0005-0000-0000-00004D260000}"/>
    <cellStyle name="Separador de milhares 2 3 2 2 3 3" xfId="21042" xr:uid="{00000000-0005-0000-0000-00004E260000}"/>
    <cellStyle name="Separador de milhares 2 3 2 2 3 4" xfId="17028" xr:uid="{00000000-0005-0000-0000-00004F260000}"/>
    <cellStyle name="Separador de milhares 2 3 2 3" xfId="2110" xr:uid="{00000000-0005-0000-0000-000050260000}"/>
    <cellStyle name="Separador de milhares 2 3 2 3 2" xfId="3239" xr:uid="{00000000-0005-0000-0000-000051260000}"/>
    <cellStyle name="Separador de milhares 2 3 2 3 2 2" xfId="4575" xr:uid="{00000000-0005-0000-0000-000052260000}"/>
    <cellStyle name="Separador de milhares 2 3 2 3 2 2 2" xfId="21615" xr:uid="{00000000-0005-0000-0000-000053260000}"/>
    <cellStyle name="Separador de milhares 2 3 2 3 2 2 3" xfId="17610" xr:uid="{00000000-0005-0000-0000-000054260000}"/>
    <cellStyle name="Separador de milhares 2 3 2 3 2 3" xfId="5408" xr:uid="{00000000-0005-0000-0000-000055260000}"/>
    <cellStyle name="Separador de milhares 2 3 2 3 2 3 2" xfId="22407" xr:uid="{00000000-0005-0000-0000-000056260000}"/>
    <cellStyle name="Separador de milhares 2 3 2 3 2 3 3" xfId="18443" xr:uid="{00000000-0005-0000-0000-000057260000}"/>
    <cellStyle name="Separador de milhares 2 3 2 3 2 4" xfId="20307" xr:uid="{00000000-0005-0000-0000-000058260000}"/>
    <cellStyle name="Separador de milhares 2 3 2 3 2 5" xfId="16283" xr:uid="{00000000-0005-0000-0000-000059260000}"/>
    <cellStyle name="Separador de milhares 2 3 2 3 3" xfId="3872" xr:uid="{00000000-0005-0000-0000-00005A260000}"/>
    <cellStyle name="Separador de milhares 2 3 2 3 3 2" xfId="6138" xr:uid="{00000000-0005-0000-0000-00005B260000}"/>
    <cellStyle name="Separador de milhares 2 3 2 3 3 2 2" xfId="23120" xr:uid="{00000000-0005-0000-0000-00005C260000}"/>
    <cellStyle name="Separador de milhares 2 3 2 3 3 2 3" xfId="19173" xr:uid="{00000000-0005-0000-0000-00005D260000}"/>
    <cellStyle name="Separador de milhares 2 3 2 3 3 3" xfId="20933" xr:uid="{00000000-0005-0000-0000-00005E260000}"/>
    <cellStyle name="Separador de milhares 2 3 2 3 3 4" xfId="16914" xr:uid="{00000000-0005-0000-0000-00005F260000}"/>
    <cellStyle name="Separador de milhares 2 3 2 4" xfId="2111" xr:uid="{00000000-0005-0000-0000-000060260000}"/>
    <cellStyle name="Separador de milhares 2 3 2 4 2" xfId="3240" xr:uid="{00000000-0005-0000-0000-000061260000}"/>
    <cellStyle name="Separador de milhares 2 3 2 4 2 2" xfId="4576" xr:uid="{00000000-0005-0000-0000-000062260000}"/>
    <cellStyle name="Separador de milhares 2 3 2 4 2 2 2" xfId="21616" xr:uid="{00000000-0005-0000-0000-000063260000}"/>
    <cellStyle name="Separador de milhares 2 3 2 4 2 2 3" xfId="17611" xr:uid="{00000000-0005-0000-0000-000064260000}"/>
    <cellStyle name="Separador de milhares 2 3 2 4 2 3" xfId="5409" xr:uid="{00000000-0005-0000-0000-000065260000}"/>
    <cellStyle name="Separador de milhares 2 3 2 4 2 3 2" xfId="22408" xr:uid="{00000000-0005-0000-0000-000066260000}"/>
    <cellStyle name="Separador de milhares 2 3 2 4 2 3 3" xfId="18444" xr:uid="{00000000-0005-0000-0000-000067260000}"/>
    <cellStyle name="Separador de milhares 2 3 2 4 2 4" xfId="20308" xr:uid="{00000000-0005-0000-0000-000068260000}"/>
    <cellStyle name="Separador de milhares 2 3 2 4 2 5" xfId="16284" xr:uid="{00000000-0005-0000-0000-000069260000}"/>
    <cellStyle name="Separador de milhares 2 3 2 4 3" xfId="4188" xr:uid="{00000000-0005-0000-0000-00006A260000}"/>
    <cellStyle name="Separador de milhares 2 3 2 4 3 2" xfId="6139" xr:uid="{00000000-0005-0000-0000-00006B260000}"/>
    <cellStyle name="Separador de milhares 2 3 2 4 3 2 2" xfId="23121" xr:uid="{00000000-0005-0000-0000-00006C260000}"/>
    <cellStyle name="Separador de milhares 2 3 2 4 3 2 3" xfId="19174" xr:uid="{00000000-0005-0000-0000-00006D260000}"/>
    <cellStyle name="Separador de milhares 2 3 2 4 3 3" xfId="21234" xr:uid="{00000000-0005-0000-0000-00006E260000}"/>
    <cellStyle name="Separador de milhares 2 3 2 4 3 4" xfId="17227" xr:uid="{00000000-0005-0000-0000-00006F260000}"/>
    <cellStyle name="Separador de milhares 2 3 2 5" xfId="2112" xr:uid="{00000000-0005-0000-0000-000070260000}"/>
    <cellStyle name="Separador de milhares 2 3 2 5 2" xfId="3241" xr:uid="{00000000-0005-0000-0000-000071260000}"/>
    <cellStyle name="Separador de milhares 2 3 2 5 2 2" xfId="4577" xr:uid="{00000000-0005-0000-0000-000072260000}"/>
    <cellStyle name="Separador de milhares 2 3 2 5 2 2 2" xfId="21617" xr:uid="{00000000-0005-0000-0000-000073260000}"/>
    <cellStyle name="Separador de milhares 2 3 2 5 2 2 3" xfId="17612" xr:uid="{00000000-0005-0000-0000-000074260000}"/>
    <cellStyle name="Separador de milhares 2 3 2 5 2 3" xfId="5410" xr:uid="{00000000-0005-0000-0000-000075260000}"/>
    <cellStyle name="Separador de milhares 2 3 2 5 2 3 2" xfId="22409" xr:uid="{00000000-0005-0000-0000-000076260000}"/>
    <cellStyle name="Separador de milhares 2 3 2 5 2 3 3" xfId="18445" xr:uid="{00000000-0005-0000-0000-000077260000}"/>
    <cellStyle name="Separador de milhares 2 3 2 5 2 4" xfId="20309" xr:uid="{00000000-0005-0000-0000-000078260000}"/>
    <cellStyle name="Separador de milhares 2 3 2 5 2 5" xfId="16285" xr:uid="{00000000-0005-0000-0000-000079260000}"/>
    <cellStyle name="Separador de milhares 2 3 2 5 3" xfId="3963" xr:uid="{00000000-0005-0000-0000-00007A260000}"/>
    <cellStyle name="Separador de milhares 2 3 2 5 3 2" xfId="6140" xr:uid="{00000000-0005-0000-0000-00007B260000}"/>
    <cellStyle name="Separador de milhares 2 3 2 5 3 2 2" xfId="23122" xr:uid="{00000000-0005-0000-0000-00007C260000}"/>
    <cellStyle name="Separador de milhares 2 3 2 5 3 2 3" xfId="19175" xr:uid="{00000000-0005-0000-0000-00007D260000}"/>
    <cellStyle name="Separador de milhares 2 3 2 5 3 3" xfId="21019" xr:uid="{00000000-0005-0000-0000-00007E260000}"/>
    <cellStyle name="Separador de milhares 2 3 2 5 3 4" xfId="17005" xr:uid="{00000000-0005-0000-0000-00007F260000}"/>
    <cellStyle name="Separador de milhares 2 3 2 6" xfId="2113" xr:uid="{00000000-0005-0000-0000-000080260000}"/>
    <cellStyle name="Separador de milhares 2 3 2 6 2" xfId="3242" xr:uid="{00000000-0005-0000-0000-000081260000}"/>
    <cellStyle name="Separador de milhares 2 3 2 6 2 2" xfId="4578" xr:uid="{00000000-0005-0000-0000-000082260000}"/>
    <cellStyle name="Separador de milhares 2 3 2 6 2 2 2" xfId="21618" xr:uid="{00000000-0005-0000-0000-000083260000}"/>
    <cellStyle name="Separador de milhares 2 3 2 6 2 2 3" xfId="17613" xr:uid="{00000000-0005-0000-0000-000084260000}"/>
    <cellStyle name="Separador de milhares 2 3 2 6 2 3" xfId="5411" xr:uid="{00000000-0005-0000-0000-000085260000}"/>
    <cellStyle name="Separador de milhares 2 3 2 6 2 3 2" xfId="22410" xr:uid="{00000000-0005-0000-0000-000086260000}"/>
    <cellStyle name="Separador de milhares 2 3 2 6 2 3 3" xfId="18446" xr:uid="{00000000-0005-0000-0000-000087260000}"/>
    <cellStyle name="Separador de milhares 2 3 2 6 2 4" xfId="20310" xr:uid="{00000000-0005-0000-0000-000088260000}"/>
    <cellStyle name="Separador de milhares 2 3 2 6 2 5" xfId="16286" xr:uid="{00000000-0005-0000-0000-000089260000}"/>
    <cellStyle name="Separador de milhares 2 3 2 6 3" xfId="3739" xr:uid="{00000000-0005-0000-0000-00008A260000}"/>
    <cellStyle name="Separador de milhares 2 3 2 6 3 2" xfId="6141" xr:uid="{00000000-0005-0000-0000-00008B260000}"/>
    <cellStyle name="Separador de milhares 2 3 2 6 3 2 2" xfId="23123" xr:uid="{00000000-0005-0000-0000-00008C260000}"/>
    <cellStyle name="Separador de milhares 2 3 2 6 3 2 3" xfId="19176" xr:uid="{00000000-0005-0000-0000-00008D260000}"/>
    <cellStyle name="Separador de milhares 2 3 2 6 3 3" xfId="20803" xr:uid="{00000000-0005-0000-0000-00008E260000}"/>
    <cellStyle name="Separador de milhares 2 3 2 6 3 4" xfId="16782" xr:uid="{00000000-0005-0000-0000-00008F260000}"/>
    <cellStyle name="Separador de milhares 2 3 2 7" xfId="2114" xr:uid="{00000000-0005-0000-0000-000090260000}"/>
    <cellStyle name="Separador de milhares 2 3 2 7 2" xfId="3243" xr:uid="{00000000-0005-0000-0000-000091260000}"/>
    <cellStyle name="Separador de milhares 2 3 2 7 2 2" xfId="4579" xr:uid="{00000000-0005-0000-0000-000092260000}"/>
    <cellStyle name="Separador de milhares 2 3 2 7 2 2 2" xfId="21619" xr:uid="{00000000-0005-0000-0000-000093260000}"/>
    <cellStyle name="Separador de milhares 2 3 2 7 2 2 3" xfId="17614" xr:uid="{00000000-0005-0000-0000-000094260000}"/>
    <cellStyle name="Separador de milhares 2 3 2 7 2 3" xfId="5412" xr:uid="{00000000-0005-0000-0000-000095260000}"/>
    <cellStyle name="Separador de milhares 2 3 2 7 2 3 2" xfId="22411" xr:uid="{00000000-0005-0000-0000-000096260000}"/>
    <cellStyle name="Separador de milhares 2 3 2 7 2 3 3" xfId="18447" xr:uid="{00000000-0005-0000-0000-000097260000}"/>
    <cellStyle name="Separador de milhares 2 3 2 7 2 4" xfId="20311" xr:uid="{00000000-0005-0000-0000-000098260000}"/>
    <cellStyle name="Separador de milhares 2 3 2 7 2 5" xfId="16287" xr:uid="{00000000-0005-0000-0000-000099260000}"/>
    <cellStyle name="Separador de milhares 2 3 2 7 3" xfId="4047" xr:uid="{00000000-0005-0000-0000-00009A260000}"/>
    <cellStyle name="Separador de milhares 2 3 2 7 3 2" xfId="6142" xr:uid="{00000000-0005-0000-0000-00009B260000}"/>
    <cellStyle name="Separador de milhares 2 3 2 7 3 2 2" xfId="23124" xr:uid="{00000000-0005-0000-0000-00009C260000}"/>
    <cellStyle name="Separador de milhares 2 3 2 7 3 2 3" xfId="19177" xr:uid="{00000000-0005-0000-0000-00009D260000}"/>
    <cellStyle name="Separador de milhares 2 3 2 7 3 3" xfId="21096" xr:uid="{00000000-0005-0000-0000-00009E260000}"/>
    <cellStyle name="Separador de milhares 2 3 2 7 3 4" xfId="17088" xr:uid="{00000000-0005-0000-0000-00009F260000}"/>
    <cellStyle name="Separador de milhares 2 3 2 8" xfId="2115" xr:uid="{00000000-0005-0000-0000-0000A0260000}"/>
    <cellStyle name="Separador de milhares 2 3 2 8 2" xfId="3244" xr:uid="{00000000-0005-0000-0000-0000A1260000}"/>
    <cellStyle name="Separador de milhares 2 3 2 8 2 2" xfId="4580" xr:uid="{00000000-0005-0000-0000-0000A2260000}"/>
    <cellStyle name="Separador de milhares 2 3 2 8 2 2 2" xfId="21620" xr:uid="{00000000-0005-0000-0000-0000A3260000}"/>
    <cellStyle name="Separador de milhares 2 3 2 8 2 2 3" xfId="17615" xr:uid="{00000000-0005-0000-0000-0000A4260000}"/>
    <cellStyle name="Separador de milhares 2 3 2 8 2 3" xfId="5413" xr:uid="{00000000-0005-0000-0000-0000A5260000}"/>
    <cellStyle name="Separador de milhares 2 3 2 8 2 3 2" xfId="22412" xr:uid="{00000000-0005-0000-0000-0000A6260000}"/>
    <cellStyle name="Separador de milhares 2 3 2 8 2 3 3" xfId="18448" xr:uid="{00000000-0005-0000-0000-0000A7260000}"/>
    <cellStyle name="Separador de milhares 2 3 2 8 2 4" xfId="20312" xr:uid="{00000000-0005-0000-0000-0000A8260000}"/>
    <cellStyle name="Separador de milhares 2 3 2 8 2 5" xfId="16288" xr:uid="{00000000-0005-0000-0000-0000A9260000}"/>
    <cellStyle name="Separador de milhares 2 3 2 8 3" xfId="4015" xr:uid="{00000000-0005-0000-0000-0000AA260000}"/>
    <cellStyle name="Separador de milhares 2 3 2 8 3 2" xfId="6143" xr:uid="{00000000-0005-0000-0000-0000AB260000}"/>
    <cellStyle name="Separador de milhares 2 3 2 8 3 2 2" xfId="23125" xr:uid="{00000000-0005-0000-0000-0000AC260000}"/>
    <cellStyle name="Separador de milhares 2 3 2 8 3 2 3" xfId="19178" xr:uid="{00000000-0005-0000-0000-0000AD260000}"/>
    <cellStyle name="Separador de milhares 2 3 2 8 3 3" xfId="21067" xr:uid="{00000000-0005-0000-0000-0000AE260000}"/>
    <cellStyle name="Separador de milhares 2 3 2 8 3 4" xfId="17056" xr:uid="{00000000-0005-0000-0000-0000AF260000}"/>
    <cellStyle name="Separador de milhares 2 3 2 9" xfId="2116" xr:uid="{00000000-0005-0000-0000-0000B0260000}"/>
    <cellStyle name="Separador de milhares 2 3 2 9 2" xfId="3245" xr:uid="{00000000-0005-0000-0000-0000B1260000}"/>
    <cellStyle name="Separador de milhares 2 3 2 9 2 2" xfId="4581" xr:uid="{00000000-0005-0000-0000-0000B2260000}"/>
    <cellStyle name="Separador de milhares 2 3 2 9 2 2 2" xfId="21621" xr:uid="{00000000-0005-0000-0000-0000B3260000}"/>
    <cellStyle name="Separador de milhares 2 3 2 9 2 2 3" xfId="17616" xr:uid="{00000000-0005-0000-0000-0000B4260000}"/>
    <cellStyle name="Separador de milhares 2 3 2 9 2 3" xfId="5414" xr:uid="{00000000-0005-0000-0000-0000B5260000}"/>
    <cellStyle name="Separador de milhares 2 3 2 9 2 3 2" xfId="22413" xr:uid="{00000000-0005-0000-0000-0000B6260000}"/>
    <cellStyle name="Separador de milhares 2 3 2 9 2 3 3" xfId="18449" xr:uid="{00000000-0005-0000-0000-0000B7260000}"/>
    <cellStyle name="Separador de milhares 2 3 2 9 2 4" xfId="20313" xr:uid="{00000000-0005-0000-0000-0000B8260000}"/>
    <cellStyle name="Separador de milhares 2 3 2 9 2 5" xfId="16289" xr:uid="{00000000-0005-0000-0000-0000B9260000}"/>
    <cellStyle name="Separador de milhares 2 3 2 9 3" xfId="4329" xr:uid="{00000000-0005-0000-0000-0000BA260000}"/>
    <cellStyle name="Separador de milhares 2 3 2 9 3 2" xfId="6144" xr:uid="{00000000-0005-0000-0000-0000BB260000}"/>
    <cellStyle name="Separador de milhares 2 3 2 9 3 2 2" xfId="23126" xr:uid="{00000000-0005-0000-0000-0000BC260000}"/>
    <cellStyle name="Separador de milhares 2 3 2 9 3 2 3" xfId="19179" xr:uid="{00000000-0005-0000-0000-0000BD260000}"/>
    <cellStyle name="Separador de milhares 2 3 2 9 3 3" xfId="21373" xr:uid="{00000000-0005-0000-0000-0000BE260000}"/>
    <cellStyle name="Separador de milhares 2 3 2 9 3 4" xfId="17366" xr:uid="{00000000-0005-0000-0000-0000BF260000}"/>
    <cellStyle name="Separador de milhares 2 3 3" xfId="666" xr:uid="{00000000-0005-0000-0000-0000C0260000}"/>
    <cellStyle name="Separador de milhares 2 3 3 2" xfId="3101" xr:uid="{00000000-0005-0000-0000-0000C1260000}"/>
    <cellStyle name="Separador de milhares 2 3 3 2 2" xfId="4516" xr:uid="{00000000-0005-0000-0000-0000C2260000}"/>
    <cellStyle name="Separador de milhares 2 3 3 2 2 2" xfId="21556" xr:uid="{00000000-0005-0000-0000-0000C3260000}"/>
    <cellStyle name="Separador de milhares 2 3 3 2 2 3" xfId="17551" xr:uid="{00000000-0005-0000-0000-0000C4260000}"/>
    <cellStyle name="Separador de milhares 2 3 3 2 3" xfId="5270" xr:uid="{00000000-0005-0000-0000-0000C5260000}"/>
    <cellStyle name="Separador de milhares 2 3 3 2 3 2" xfId="22269" xr:uid="{00000000-0005-0000-0000-0000C6260000}"/>
    <cellStyle name="Separador de milhares 2 3 3 2 3 3" xfId="18305" xr:uid="{00000000-0005-0000-0000-0000C7260000}"/>
    <cellStyle name="Separador de milhares 2 3 3 2 4" xfId="20169" xr:uid="{00000000-0005-0000-0000-0000C8260000}"/>
    <cellStyle name="Separador de milhares 2 3 3 2 5" xfId="16145" xr:uid="{00000000-0005-0000-0000-0000C9260000}"/>
    <cellStyle name="Separador de milhares 2 3 3 3" xfId="4344" xr:uid="{00000000-0005-0000-0000-0000CA260000}"/>
    <cellStyle name="Separador de milhares 2 3 3 3 2" xfId="5985" xr:uid="{00000000-0005-0000-0000-0000CB260000}"/>
    <cellStyle name="Separador de milhares 2 3 3 3 2 2" xfId="22979" xr:uid="{00000000-0005-0000-0000-0000CC260000}"/>
    <cellStyle name="Separador de milhares 2 3 3 3 2 3" xfId="19020" xr:uid="{00000000-0005-0000-0000-0000CD260000}"/>
    <cellStyle name="Separador de milhares 2 3 3 3 3" xfId="21388" xr:uid="{00000000-0005-0000-0000-0000CE260000}"/>
    <cellStyle name="Separador de milhares 2 3 3 3 4" xfId="17381" xr:uid="{00000000-0005-0000-0000-0000CF260000}"/>
    <cellStyle name="Separador de milhares 2 3 4" xfId="2117" xr:uid="{00000000-0005-0000-0000-0000D0260000}"/>
    <cellStyle name="Separador de milhares 2 3 4 2" xfId="3246" xr:uid="{00000000-0005-0000-0000-0000D1260000}"/>
    <cellStyle name="Separador de milhares 2 3 4 2 2" xfId="4582" xr:uid="{00000000-0005-0000-0000-0000D2260000}"/>
    <cellStyle name="Separador de milhares 2 3 4 2 2 2" xfId="21622" xr:uid="{00000000-0005-0000-0000-0000D3260000}"/>
    <cellStyle name="Separador de milhares 2 3 4 2 2 3" xfId="17617" xr:uid="{00000000-0005-0000-0000-0000D4260000}"/>
    <cellStyle name="Separador de milhares 2 3 4 2 3" xfId="5415" xr:uid="{00000000-0005-0000-0000-0000D5260000}"/>
    <cellStyle name="Separador de milhares 2 3 4 2 3 2" xfId="22414" xr:uid="{00000000-0005-0000-0000-0000D6260000}"/>
    <cellStyle name="Separador de milhares 2 3 4 2 3 3" xfId="18450" xr:uid="{00000000-0005-0000-0000-0000D7260000}"/>
    <cellStyle name="Separador de milhares 2 3 4 2 4" xfId="20314" xr:uid="{00000000-0005-0000-0000-0000D8260000}"/>
    <cellStyle name="Separador de milhares 2 3 4 2 5" xfId="16290" xr:uid="{00000000-0005-0000-0000-0000D9260000}"/>
    <cellStyle name="Separador de milhares 2 3 4 3" xfId="3843" xr:uid="{00000000-0005-0000-0000-0000DA260000}"/>
    <cellStyle name="Separador de milhares 2 3 4 3 2" xfId="6145" xr:uid="{00000000-0005-0000-0000-0000DB260000}"/>
    <cellStyle name="Separador de milhares 2 3 4 3 2 2" xfId="23127" xr:uid="{00000000-0005-0000-0000-0000DC260000}"/>
    <cellStyle name="Separador de milhares 2 3 4 3 2 3" xfId="19180" xr:uid="{00000000-0005-0000-0000-0000DD260000}"/>
    <cellStyle name="Separador de milhares 2 3 4 3 3" xfId="20905" xr:uid="{00000000-0005-0000-0000-0000DE260000}"/>
    <cellStyle name="Separador de milhares 2 3 4 3 4" xfId="16885" xr:uid="{00000000-0005-0000-0000-0000DF260000}"/>
    <cellStyle name="Separador de milhares 2 3 5" xfId="2118" xr:uid="{00000000-0005-0000-0000-0000E0260000}"/>
    <cellStyle name="Separador de milhares 2 3 5 2" xfId="3247" xr:uid="{00000000-0005-0000-0000-0000E1260000}"/>
    <cellStyle name="Separador de milhares 2 3 5 2 2" xfId="4583" xr:uid="{00000000-0005-0000-0000-0000E2260000}"/>
    <cellStyle name="Separador de milhares 2 3 5 2 2 2" xfId="21623" xr:uid="{00000000-0005-0000-0000-0000E3260000}"/>
    <cellStyle name="Separador de milhares 2 3 5 2 2 3" xfId="17618" xr:uid="{00000000-0005-0000-0000-0000E4260000}"/>
    <cellStyle name="Separador de milhares 2 3 5 2 3" xfId="5416" xr:uid="{00000000-0005-0000-0000-0000E5260000}"/>
    <cellStyle name="Separador de milhares 2 3 5 2 3 2" xfId="22415" xr:uid="{00000000-0005-0000-0000-0000E6260000}"/>
    <cellStyle name="Separador de milhares 2 3 5 2 3 3" xfId="18451" xr:uid="{00000000-0005-0000-0000-0000E7260000}"/>
    <cellStyle name="Separador de milhares 2 3 5 2 4" xfId="20315" xr:uid="{00000000-0005-0000-0000-0000E8260000}"/>
    <cellStyle name="Separador de milhares 2 3 5 2 5" xfId="16291" xr:uid="{00000000-0005-0000-0000-0000E9260000}"/>
    <cellStyle name="Separador de milhares 2 3 5 3" xfId="4037" xr:uid="{00000000-0005-0000-0000-0000EA260000}"/>
    <cellStyle name="Separador de milhares 2 3 5 3 2" xfId="6146" xr:uid="{00000000-0005-0000-0000-0000EB260000}"/>
    <cellStyle name="Separador de milhares 2 3 5 3 2 2" xfId="23128" xr:uid="{00000000-0005-0000-0000-0000EC260000}"/>
    <cellStyle name="Separador de milhares 2 3 5 3 2 3" xfId="19181" xr:uid="{00000000-0005-0000-0000-0000ED260000}"/>
    <cellStyle name="Separador de milhares 2 3 5 3 3" xfId="21086" xr:uid="{00000000-0005-0000-0000-0000EE260000}"/>
    <cellStyle name="Separador de milhares 2 3 5 3 4" xfId="17078" xr:uid="{00000000-0005-0000-0000-0000EF260000}"/>
    <cellStyle name="Separador de milhares 2 3 6" xfId="2119" xr:uid="{00000000-0005-0000-0000-0000F0260000}"/>
    <cellStyle name="Separador de milhares 2 3 6 2" xfId="3248" xr:uid="{00000000-0005-0000-0000-0000F1260000}"/>
    <cellStyle name="Separador de milhares 2 3 6 2 2" xfId="4584" xr:uid="{00000000-0005-0000-0000-0000F2260000}"/>
    <cellStyle name="Separador de milhares 2 3 6 2 2 2" xfId="21624" xr:uid="{00000000-0005-0000-0000-0000F3260000}"/>
    <cellStyle name="Separador de milhares 2 3 6 2 2 3" xfId="17619" xr:uid="{00000000-0005-0000-0000-0000F4260000}"/>
    <cellStyle name="Separador de milhares 2 3 6 2 3" xfId="5417" xr:uid="{00000000-0005-0000-0000-0000F5260000}"/>
    <cellStyle name="Separador de milhares 2 3 6 2 3 2" xfId="22416" xr:uid="{00000000-0005-0000-0000-0000F6260000}"/>
    <cellStyle name="Separador de milhares 2 3 6 2 3 3" xfId="18452" xr:uid="{00000000-0005-0000-0000-0000F7260000}"/>
    <cellStyle name="Separador de milhares 2 3 6 2 4" xfId="20316" xr:uid="{00000000-0005-0000-0000-0000F8260000}"/>
    <cellStyle name="Separador de milhares 2 3 6 2 5" xfId="16292" xr:uid="{00000000-0005-0000-0000-0000F9260000}"/>
    <cellStyle name="Separador de milhares 2 3 6 3" xfId="4214" xr:uid="{00000000-0005-0000-0000-0000FA260000}"/>
    <cellStyle name="Separador de milhares 2 3 6 3 2" xfId="6147" xr:uid="{00000000-0005-0000-0000-0000FB260000}"/>
    <cellStyle name="Separador de milhares 2 3 6 3 2 2" xfId="23129" xr:uid="{00000000-0005-0000-0000-0000FC260000}"/>
    <cellStyle name="Separador de milhares 2 3 6 3 2 3" xfId="19182" xr:uid="{00000000-0005-0000-0000-0000FD260000}"/>
    <cellStyle name="Separador de milhares 2 3 6 3 3" xfId="21260" xr:uid="{00000000-0005-0000-0000-0000FE260000}"/>
    <cellStyle name="Separador de milhares 2 3 6 3 4" xfId="17253" xr:uid="{00000000-0005-0000-0000-0000FF260000}"/>
    <cellStyle name="Separador de milhares 2 3 7" xfId="2120" xr:uid="{00000000-0005-0000-0000-000000270000}"/>
    <cellStyle name="Separador de milhares 2 3 7 2" xfId="3249" xr:uid="{00000000-0005-0000-0000-000001270000}"/>
    <cellStyle name="Separador de milhares 2 3 7 2 2" xfId="4585" xr:uid="{00000000-0005-0000-0000-000002270000}"/>
    <cellStyle name="Separador de milhares 2 3 7 2 2 2" xfId="21625" xr:uid="{00000000-0005-0000-0000-000003270000}"/>
    <cellStyle name="Separador de milhares 2 3 7 2 2 3" xfId="17620" xr:uid="{00000000-0005-0000-0000-000004270000}"/>
    <cellStyle name="Separador de milhares 2 3 7 2 3" xfId="5418" xr:uid="{00000000-0005-0000-0000-000005270000}"/>
    <cellStyle name="Separador de milhares 2 3 7 2 3 2" xfId="22417" xr:uid="{00000000-0005-0000-0000-000006270000}"/>
    <cellStyle name="Separador de milhares 2 3 7 2 3 3" xfId="18453" xr:uid="{00000000-0005-0000-0000-000007270000}"/>
    <cellStyle name="Separador de milhares 2 3 7 2 4" xfId="20317" xr:uid="{00000000-0005-0000-0000-000008270000}"/>
    <cellStyle name="Separador de milhares 2 3 7 2 5" xfId="16293" xr:uid="{00000000-0005-0000-0000-000009270000}"/>
    <cellStyle name="Separador de milhares 2 3 7 3" xfId="4280" xr:uid="{00000000-0005-0000-0000-00000A270000}"/>
    <cellStyle name="Separador de milhares 2 3 7 3 2" xfId="6148" xr:uid="{00000000-0005-0000-0000-00000B270000}"/>
    <cellStyle name="Separador de milhares 2 3 7 3 2 2" xfId="23130" xr:uid="{00000000-0005-0000-0000-00000C270000}"/>
    <cellStyle name="Separador de milhares 2 3 7 3 2 3" xfId="19183" xr:uid="{00000000-0005-0000-0000-00000D270000}"/>
    <cellStyle name="Separador de milhares 2 3 7 3 3" xfId="21324" xr:uid="{00000000-0005-0000-0000-00000E270000}"/>
    <cellStyle name="Separador de milhares 2 3 7 3 4" xfId="17317" xr:uid="{00000000-0005-0000-0000-00000F270000}"/>
    <cellStyle name="Separador de milhares 2 3 8" xfId="2121" xr:uid="{00000000-0005-0000-0000-000010270000}"/>
    <cellStyle name="Separador de milhares 2 3 8 2" xfId="3250" xr:uid="{00000000-0005-0000-0000-000011270000}"/>
    <cellStyle name="Separador de milhares 2 3 8 2 2" xfId="4586" xr:uid="{00000000-0005-0000-0000-000012270000}"/>
    <cellStyle name="Separador de milhares 2 3 8 2 2 2" xfId="21626" xr:uid="{00000000-0005-0000-0000-000013270000}"/>
    <cellStyle name="Separador de milhares 2 3 8 2 2 3" xfId="17621" xr:uid="{00000000-0005-0000-0000-000014270000}"/>
    <cellStyle name="Separador de milhares 2 3 8 2 3" xfId="5419" xr:uid="{00000000-0005-0000-0000-000015270000}"/>
    <cellStyle name="Separador de milhares 2 3 8 2 3 2" xfId="22418" xr:uid="{00000000-0005-0000-0000-000016270000}"/>
    <cellStyle name="Separador de milhares 2 3 8 2 3 3" xfId="18454" xr:uid="{00000000-0005-0000-0000-000017270000}"/>
    <cellStyle name="Separador de milhares 2 3 8 2 4" xfId="20318" xr:uid="{00000000-0005-0000-0000-000018270000}"/>
    <cellStyle name="Separador de milhares 2 3 8 2 5" xfId="16294" xr:uid="{00000000-0005-0000-0000-000019270000}"/>
    <cellStyle name="Separador de milhares 2 3 8 3" xfId="3804" xr:uid="{00000000-0005-0000-0000-00001A270000}"/>
    <cellStyle name="Separador de milhares 2 3 8 3 2" xfId="6149" xr:uid="{00000000-0005-0000-0000-00001B270000}"/>
    <cellStyle name="Separador de milhares 2 3 8 3 2 2" xfId="23131" xr:uid="{00000000-0005-0000-0000-00001C270000}"/>
    <cellStyle name="Separador de milhares 2 3 8 3 2 3" xfId="19184" xr:uid="{00000000-0005-0000-0000-00001D270000}"/>
    <cellStyle name="Separador de milhares 2 3 8 3 3" xfId="20866" xr:uid="{00000000-0005-0000-0000-00001E270000}"/>
    <cellStyle name="Separador de milhares 2 3 8 3 4" xfId="16846" xr:uid="{00000000-0005-0000-0000-00001F270000}"/>
    <cellStyle name="Separador de milhares 2 3 9" xfId="2122" xr:uid="{00000000-0005-0000-0000-000020270000}"/>
    <cellStyle name="Separador de milhares 2 3 9 2" xfId="3251" xr:uid="{00000000-0005-0000-0000-000021270000}"/>
    <cellStyle name="Separador de milhares 2 3 9 2 2" xfId="4587" xr:uid="{00000000-0005-0000-0000-000022270000}"/>
    <cellStyle name="Separador de milhares 2 3 9 2 2 2" xfId="21627" xr:uid="{00000000-0005-0000-0000-000023270000}"/>
    <cellStyle name="Separador de milhares 2 3 9 2 2 3" xfId="17622" xr:uid="{00000000-0005-0000-0000-000024270000}"/>
    <cellStyle name="Separador de milhares 2 3 9 2 3" xfId="5420" xr:uid="{00000000-0005-0000-0000-000025270000}"/>
    <cellStyle name="Separador de milhares 2 3 9 2 3 2" xfId="22419" xr:uid="{00000000-0005-0000-0000-000026270000}"/>
    <cellStyle name="Separador de milhares 2 3 9 2 3 3" xfId="18455" xr:uid="{00000000-0005-0000-0000-000027270000}"/>
    <cellStyle name="Separador de milhares 2 3 9 2 4" xfId="20319" xr:uid="{00000000-0005-0000-0000-000028270000}"/>
    <cellStyle name="Separador de milhares 2 3 9 2 5" xfId="16295" xr:uid="{00000000-0005-0000-0000-000029270000}"/>
    <cellStyle name="Separador de milhares 2 3 9 3" xfId="4377" xr:uid="{00000000-0005-0000-0000-00002A270000}"/>
    <cellStyle name="Separador de milhares 2 3 9 3 2" xfId="6150" xr:uid="{00000000-0005-0000-0000-00002B270000}"/>
    <cellStyle name="Separador de milhares 2 3 9 3 2 2" xfId="23132" xr:uid="{00000000-0005-0000-0000-00002C270000}"/>
    <cellStyle name="Separador de milhares 2 3 9 3 2 3" xfId="19185" xr:uid="{00000000-0005-0000-0000-00002D270000}"/>
    <cellStyle name="Separador de milhares 2 3 9 3 3" xfId="21421" xr:uid="{00000000-0005-0000-0000-00002E270000}"/>
    <cellStyle name="Separador de milhares 2 3 9 3 4" xfId="17414" xr:uid="{00000000-0005-0000-0000-00002F270000}"/>
    <cellStyle name="Separador de milhares 2 4" xfId="48" xr:uid="{00000000-0005-0000-0000-000030270000}"/>
    <cellStyle name="Separador de milhares 2 4 10" xfId="3026" xr:uid="{00000000-0005-0000-0000-000031270000}"/>
    <cellStyle name="Separador de milhares 2 4 10 2" xfId="4127" xr:uid="{00000000-0005-0000-0000-000032270000}"/>
    <cellStyle name="Separador de milhares 2 4 10 2 2" xfId="5871" xr:uid="{00000000-0005-0000-0000-000033270000}"/>
    <cellStyle name="Separador de milhares 2 4 10 2 2 2" xfId="22867" xr:uid="{00000000-0005-0000-0000-000034270000}"/>
    <cellStyle name="Separador de milhares 2 4 10 2 2 3" xfId="18906" xr:uid="{00000000-0005-0000-0000-000035270000}"/>
    <cellStyle name="Separador de milhares 2 4 10 2 3" xfId="21175" xr:uid="{00000000-0005-0000-0000-000036270000}"/>
    <cellStyle name="Separador de milhares 2 4 10 2 4" xfId="17167" xr:uid="{00000000-0005-0000-0000-000037270000}"/>
    <cellStyle name="Separador de milhares 2 4 10 3" xfId="5195" xr:uid="{00000000-0005-0000-0000-000038270000}"/>
    <cellStyle name="Separador de milhares 2 4 10 3 2" xfId="10911" xr:uid="{00000000-0005-0000-0000-000039270000}"/>
    <cellStyle name="Separador de milhares 2 4 10 3 2 2" xfId="22194" xr:uid="{00000000-0005-0000-0000-00003A270000}"/>
    <cellStyle name="Separador de milhares 2 4 10 3 3" xfId="11737" xr:uid="{00000000-0005-0000-0000-00003B270000}"/>
    <cellStyle name="Separador de milhares 2 4 10 3 4" xfId="18230" xr:uid="{00000000-0005-0000-0000-00003C270000}"/>
    <cellStyle name="Separador de milhares 2 4 10 4" xfId="13557" xr:uid="{00000000-0005-0000-0000-00003D270000}"/>
    <cellStyle name="Separador de milhares 2 4 10 4 2" xfId="20094" xr:uid="{00000000-0005-0000-0000-00003E270000}"/>
    <cellStyle name="Separador de milhares 2 4 10 5" xfId="16070" xr:uid="{00000000-0005-0000-0000-00003F270000}"/>
    <cellStyle name="Separador de milhares 2 4 11" xfId="8393" xr:uid="{00000000-0005-0000-0000-000040270000}"/>
    <cellStyle name="Separador de milhares 2 4 11 2" xfId="12856" xr:uid="{00000000-0005-0000-0000-000041270000}"/>
    <cellStyle name="Separador de milhares 2 4 11 3" xfId="11627" xr:uid="{00000000-0005-0000-0000-000042270000}"/>
    <cellStyle name="Separador de milhares 2 4 12" xfId="8394" xr:uid="{00000000-0005-0000-0000-000043270000}"/>
    <cellStyle name="Separador de milhares 2 4 13" xfId="8395" xr:uid="{00000000-0005-0000-0000-000044270000}"/>
    <cellStyle name="Separador de milhares 2 4 2" xfId="694" xr:uid="{00000000-0005-0000-0000-000045270000}"/>
    <cellStyle name="Separador de milhares 2 4 2 2" xfId="3108" xr:uid="{00000000-0005-0000-0000-000046270000}"/>
    <cellStyle name="Separador de milhares 2 4 2 2 2" xfId="4523" xr:uid="{00000000-0005-0000-0000-000047270000}"/>
    <cellStyle name="Separador de milhares 2 4 2 2 2 2" xfId="21563" xr:uid="{00000000-0005-0000-0000-000048270000}"/>
    <cellStyle name="Separador de milhares 2 4 2 2 2 3" xfId="17558" xr:uid="{00000000-0005-0000-0000-000049270000}"/>
    <cellStyle name="Separador de milhares 2 4 2 2 3" xfId="5277" xr:uid="{00000000-0005-0000-0000-00004A270000}"/>
    <cellStyle name="Separador de milhares 2 4 2 2 3 2" xfId="11165" xr:uid="{00000000-0005-0000-0000-00004B270000}"/>
    <cellStyle name="Separador de milhares 2 4 2 2 3 2 2" xfId="22276" xr:uid="{00000000-0005-0000-0000-00004C270000}"/>
    <cellStyle name="Separador de milhares 2 4 2 2 3 3" xfId="11971" xr:uid="{00000000-0005-0000-0000-00004D270000}"/>
    <cellStyle name="Separador de milhares 2 4 2 2 3 4" xfId="18312" xr:uid="{00000000-0005-0000-0000-00004E270000}"/>
    <cellStyle name="Separador de milhares 2 4 2 2 4" xfId="13597" xr:uid="{00000000-0005-0000-0000-00004F270000}"/>
    <cellStyle name="Separador de milhares 2 4 2 2 4 2" xfId="20176" xr:uid="{00000000-0005-0000-0000-000050270000}"/>
    <cellStyle name="Separador de milhares 2 4 2 2 5" xfId="16152" xr:uid="{00000000-0005-0000-0000-000051270000}"/>
    <cellStyle name="Separador de milhares 2 4 2 3" xfId="4145" xr:uid="{00000000-0005-0000-0000-000052270000}"/>
    <cellStyle name="Separador de milhares 2 4 2 3 2" xfId="5993" xr:uid="{00000000-0005-0000-0000-000053270000}"/>
    <cellStyle name="Separador de milhares 2 4 2 3 2 2" xfId="22987" xr:uid="{00000000-0005-0000-0000-000054270000}"/>
    <cellStyle name="Separador de milhares 2 4 2 3 2 3" xfId="19028" xr:uid="{00000000-0005-0000-0000-000055270000}"/>
    <cellStyle name="Separador de milhares 2 4 2 3 3" xfId="21193" xr:uid="{00000000-0005-0000-0000-000056270000}"/>
    <cellStyle name="Separador de milhares 2 4 2 3 4" xfId="17185" xr:uid="{00000000-0005-0000-0000-000057270000}"/>
    <cellStyle name="Separador de milhares 2 4 2 4" xfId="8396" xr:uid="{00000000-0005-0000-0000-000058270000}"/>
    <cellStyle name="Separador de milhares 2 4 3" xfId="2123" xr:uid="{00000000-0005-0000-0000-000059270000}"/>
    <cellStyle name="Separador de milhares 2 4 3 2" xfId="2977" xr:uid="{00000000-0005-0000-0000-00005A270000}"/>
    <cellStyle name="Separador de milhares 2 4 3 3" xfId="3252" xr:uid="{00000000-0005-0000-0000-00005B270000}"/>
    <cellStyle name="Separador de milhares 2 4 3 3 2" xfId="4588" xr:uid="{00000000-0005-0000-0000-00005C270000}"/>
    <cellStyle name="Separador de milhares 2 4 3 3 2 2" xfId="21628" xr:uid="{00000000-0005-0000-0000-00005D270000}"/>
    <cellStyle name="Separador de milhares 2 4 3 3 2 3" xfId="17623" xr:uid="{00000000-0005-0000-0000-00005E270000}"/>
    <cellStyle name="Separador de milhares 2 4 3 3 3" xfId="5421" xr:uid="{00000000-0005-0000-0000-00005F270000}"/>
    <cellStyle name="Separador de milhares 2 4 3 3 3 2" xfId="22420" xr:uid="{00000000-0005-0000-0000-000060270000}"/>
    <cellStyle name="Separador de milhares 2 4 3 3 3 3" xfId="18456" xr:uid="{00000000-0005-0000-0000-000061270000}"/>
    <cellStyle name="Separador de milhares 2 4 3 3 4" xfId="20320" xr:uid="{00000000-0005-0000-0000-000062270000}"/>
    <cellStyle name="Separador de milhares 2 4 3 3 5" xfId="16296" xr:uid="{00000000-0005-0000-0000-000063270000}"/>
    <cellStyle name="Separador de milhares 2 4 3 4" xfId="4105" xr:uid="{00000000-0005-0000-0000-000064270000}"/>
    <cellStyle name="Separador de milhares 2 4 3 4 2" xfId="6151" xr:uid="{00000000-0005-0000-0000-000065270000}"/>
    <cellStyle name="Separador de milhares 2 4 3 4 2 2" xfId="23133" xr:uid="{00000000-0005-0000-0000-000066270000}"/>
    <cellStyle name="Separador de milhares 2 4 3 4 2 3" xfId="19186" xr:uid="{00000000-0005-0000-0000-000067270000}"/>
    <cellStyle name="Separador de milhares 2 4 3 4 3" xfId="21153" xr:uid="{00000000-0005-0000-0000-000068270000}"/>
    <cellStyle name="Separador de milhares 2 4 3 4 4" xfId="17145" xr:uid="{00000000-0005-0000-0000-000069270000}"/>
    <cellStyle name="Separador de milhares 2 4 4" xfId="2124" xr:uid="{00000000-0005-0000-0000-00006A270000}"/>
    <cellStyle name="Separador de milhares 2 4 4 2" xfId="3253" xr:uid="{00000000-0005-0000-0000-00006B270000}"/>
    <cellStyle name="Separador de milhares 2 4 4 2 2" xfId="4589" xr:uid="{00000000-0005-0000-0000-00006C270000}"/>
    <cellStyle name="Separador de milhares 2 4 4 2 2 2" xfId="21629" xr:uid="{00000000-0005-0000-0000-00006D270000}"/>
    <cellStyle name="Separador de milhares 2 4 4 2 2 3" xfId="17624" xr:uid="{00000000-0005-0000-0000-00006E270000}"/>
    <cellStyle name="Separador de milhares 2 4 4 2 3" xfId="5422" xr:uid="{00000000-0005-0000-0000-00006F270000}"/>
    <cellStyle name="Separador de milhares 2 4 4 2 3 2" xfId="22421" xr:uid="{00000000-0005-0000-0000-000070270000}"/>
    <cellStyle name="Separador de milhares 2 4 4 2 3 3" xfId="18457" xr:uid="{00000000-0005-0000-0000-000071270000}"/>
    <cellStyle name="Separador de milhares 2 4 4 2 4" xfId="20321" xr:uid="{00000000-0005-0000-0000-000072270000}"/>
    <cellStyle name="Separador de milhares 2 4 4 2 5" xfId="16297" xr:uid="{00000000-0005-0000-0000-000073270000}"/>
    <cellStyle name="Separador de milhares 2 4 4 3" xfId="4237" xr:uid="{00000000-0005-0000-0000-000074270000}"/>
    <cellStyle name="Separador de milhares 2 4 4 3 2" xfId="6152" xr:uid="{00000000-0005-0000-0000-000075270000}"/>
    <cellStyle name="Separador de milhares 2 4 4 3 2 2" xfId="23134" xr:uid="{00000000-0005-0000-0000-000076270000}"/>
    <cellStyle name="Separador de milhares 2 4 4 3 2 3" xfId="19187" xr:uid="{00000000-0005-0000-0000-000077270000}"/>
    <cellStyle name="Separador de milhares 2 4 4 3 3" xfId="21282" xr:uid="{00000000-0005-0000-0000-000078270000}"/>
    <cellStyle name="Separador de milhares 2 4 4 3 4" xfId="17275" xr:uid="{00000000-0005-0000-0000-000079270000}"/>
    <cellStyle name="Separador de milhares 2 4 5" xfId="2125" xr:uid="{00000000-0005-0000-0000-00007A270000}"/>
    <cellStyle name="Separador de milhares 2 4 5 2" xfId="3254" xr:uid="{00000000-0005-0000-0000-00007B270000}"/>
    <cellStyle name="Separador de milhares 2 4 5 2 2" xfId="4590" xr:uid="{00000000-0005-0000-0000-00007C270000}"/>
    <cellStyle name="Separador de milhares 2 4 5 2 2 2" xfId="21630" xr:uid="{00000000-0005-0000-0000-00007D270000}"/>
    <cellStyle name="Separador de milhares 2 4 5 2 2 3" xfId="17625" xr:uid="{00000000-0005-0000-0000-00007E270000}"/>
    <cellStyle name="Separador de milhares 2 4 5 2 3" xfId="5423" xr:uid="{00000000-0005-0000-0000-00007F270000}"/>
    <cellStyle name="Separador de milhares 2 4 5 2 3 2" xfId="22422" xr:uid="{00000000-0005-0000-0000-000080270000}"/>
    <cellStyle name="Separador de milhares 2 4 5 2 3 3" xfId="18458" xr:uid="{00000000-0005-0000-0000-000081270000}"/>
    <cellStyle name="Separador de milhares 2 4 5 2 4" xfId="20322" xr:uid="{00000000-0005-0000-0000-000082270000}"/>
    <cellStyle name="Separador de milhares 2 4 5 2 5" xfId="16298" xr:uid="{00000000-0005-0000-0000-000083270000}"/>
    <cellStyle name="Separador de milhares 2 4 5 3" xfId="4475" xr:uid="{00000000-0005-0000-0000-000084270000}"/>
    <cellStyle name="Separador de milhares 2 4 5 3 2" xfId="6153" xr:uid="{00000000-0005-0000-0000-000085270000}"/>
    <cellStyle name="Separador de milhares 2 4 5 3 2 2" xfId="23135" xr:uid="{00000000-0005-0000-0000-000086270000}"/>
    <cellStyle name="Separador de milhares 2 4 5 3 2 3" xfId="19188" xr:uid="{00000000-0005-0000-0000-000087270000}"/>
    <cellStyle name="Separador de milhares 2 4 5 3 3" xfId="21515" xr:uid="{00000000-0005-0000-0000-000088270000}"/>
    <cellStyle name="Separador de milhares 2 4 5 3 4" xfId="17510" xr:uid="{00000000-0005-0000-0000-000089270000}"/>
    <cellStyle name="Separador de milhares 2 4 6" xfId="2126" xr:uid="{00000000-0005-0000-0000-00008A270000}"/>
    <cellStyle name="Separador de milhares 2 4 6 2" xfId="3255" xr:uid="{00000000-0005-0000-0000-00008B270000}"/>
    <cellStyle name="Separador de milhares 2 4 6 2 2" xfId="4591" xr:uid="{00000000-0005-0000-0000-00008C270000}"/>
    <cellStyle name="Separador de milhares 2 4 6 2 2 2" xfId="21631" xr:uid="{00000000-0005-0000-0000-00008D270000}"/>
    <cellStyle name="Separador de milhares 2 4 6 2 2 3" xfId="17626" xr:uid="{00000000-0005-0000-0000-00008E270000}"/>
    <cellStyle name="Separador de milhares 2 4 6 2 3" xfId="5424" xr:uid="{00000000-0005-0000-0000-00008F270000}"/>
    <cellStyle name="Separador de milhares 2 4 6 2 3 2" xfId="22423" xr:uid="{00000000-0005-0000-0000-000090270000}"/>
    <cellStyle name="Separador de milhares 2 4 6 2 3 3" xfId="18459" xr:uid="{00000000-0005-0000-0000-000091270000}"/>
    <cellStyle name="Separador de milhares 2 4 6 2 4" xfId="20323" xr:uid="{00000000-0005-0000-0000-000092270000}"/>
    <cellStyle name="Separador de milhares 2 4 6 2 5" xfId="16299" xr:uid="{00000000-0005-0000-0000-000093270000}"/>
    <cellStyle name="Separador de milhares 2 4 6 3" xfId="3874" xr:uid="{00000000-0005-0000-0000-000094270000}"/>
    <cellStyle name="Separador de milhares 2 4 6 3 2" xfId="6154" xr:uid="{00000000-0005-0000-0000-000095270000}"/>
    <cellStyle name="Separador de milhares 2 4 6 3 2 2" xfId="23136" xr:uid="{00000000-0005-0000-0000-000096270000}"/>
    <cellStyle name="Separador de milhares 2 4 6 3 2 3" xfId="19189" xr:uid="{00000000-0005-0000-0000-000097270000}"/>
    <cellStyle name="Separador de milhares 2 4 6 3 3" xfId="20935" xr:uid="{00000000-0005-0000-0000-000098270000}"/>
    <cellStyle name="Separador de milhares 2 4 6 3 4" xfId="16916" xr:uid="{00000000-0005-0000-0000-000099270000}"/>
    <cellStyle name="Separador de milhares 2 4 7" xfId="2127" xr:uid="{00000000-0005-0000-0000-00009A270000}"/>
    <cellStyle name="Separador de milhares 2 4 7 2" xfId="3256" xr:uid="{00000000-0005-0000-0000-00009B270000}"/>
    <cellStyle name="Separador de milhares 2 4 7 2 2" xfId="4592" xr:uid="{00000000-0005-0000-0000-00009C270000}"/>
    <cellStyle name="Separador de milhares 2 4 7 2 2 2" xfId="21632" xr:uid="{00000000-0005-0000-0000-00009D270000}"/>
    <cellStyle name="Separador de milhares 2 4 7 2 2 3" xfId="17627" xr:uid="{00000000-0005-0000-0000-00009E270000}"/>
    <cellStyle name="Separador de milhares 2 4 7 2 3" xfId="5425" xr:uid="{00000000-0005-0000-0000-00009F270000}"/>
    <cellStyle name="Separador de milhares 2 4 7 2 3 2" xfId="22424" xr:uid="{00000000-0005-0000-0000-0000A0270000}"/>
    <cellStyle name="Separador de milhares 2 4 7 2 3 3" xfId="18460" xr:uid="{00000000-0005-0000-0000-0000A1270000}"/>
    <cellStyle name="Separador de milhares 2 4 7 2 4" xfId="20324" xr:uid="{00000000-0005-0000-0000-0000A2270000}"/>
    <cellStyle name="Separador de milhares 2 4 7 2 5" xfId="16300" xr:uid="{00000000-0005-0000-0000-0000A3270000}"/>
    <cellStyle name="Separador de milhares 2 4 7 3" xfId="4432" xr:uid="{00000000-0005-0000-0000-0000A4270000}"/>
    <cellStyle name="Separador de milhares 2 4 7 3 2" xfId="6155" xr:uid="{00000000-0005-0000-0000-0000A5270000}"/>
    <cellStyle name="Separador de milhares 2 4 7 3 2 2" xfId="23137" xr:uid="{00000000-0005-0000-0000-0000A6270000}"/>
    <cellStyle name="Separador de milhares 2 4 7 3 2 3" xfId="19190" xr:uid="{00000000-0005-0000-0000-0000A7270000}"/>
    <cellStyle name="Separador de milhares 2 4 7 3 3" xfId="21474" xr:uid="{00000000-0005-0000-0000-0000A8270000}"/>
    <cellStyle name="Separador de milhares 2 4 7 3 4" xfId="17469" xr:uid="{00000000-0005-0000-0000-0000A9270000}"/>
    <cellStyle name="Separador de milhares 2 4 8" xfId="2128" xr:uid="{00000000-0005-0000-0000-0000AA270000}"/>
    <cellStyle name="Separador de milhares 2 4 8 2" xfId="3257" xr:uid="{00000000-0005-0000-0000-0000AB270000}"/>
    <cellStyle name="Separador de milhares 2 4 8 2 2" xfId="4593" xr:uid="{00000000-0005-0000-0000-0000AC270000}"/>
    <cellStyle name="Separador de milhares 2 4 8 2 2 2" xfId="21633" xr:uid="{00000000-0005-0000-0000-0000AD270000}"/>
    <cellStyle name="Separador de milhares 2 4 8 2 2 3" xfId="17628" xr:uid="{00000000-0005-0000-0000-0000AE270000}"/>
    <cellStyle name="Separador de milhares 2 4 8 2 3" xfId="5426" xr:uid="{00000000-0005-0000-0000-0000AF270000}"/>
    <cellStyle name="Separador de milhares 2 4 8 2 3 2" xfId="22425" xr:uid="{00000000-0005-0000-0000-0000B0270000}"/>
    <cellStyle name="Separador de milhares 2 4 8 2 3 3" xfId="18461" xr:uid="{00000000-0005-0000-0000-0000B1270000}"/>
    <cellStyle name="Separador de milhares 2 4 8 2 4" xfId="20325" xr:uid="{00000000-0005-0000-0000-0000B2270000}"/>
    <cellStyle name="Separador de milhares 2 4 8 2 5" xfId="16301" xr:uid="{00000000-0005-0000-0000-0000B3270000}"/>
    <cellStyle name="Separador de milhares 2 4 8 3" xfId="4185" xr:uid="{00000000-0005-0000-0000-0000B4270000}"/>
    <cellStyle name="Separador de milhares 2 4 8 3 2" xfId="6156" xr:uid="{00000000-0005-0000-0000-0000B5270000}"/>
    <cellStyle name="Separador de milhares 2 4 8 3 2 2" xfId="23138" xr:uid="{00000000-0005-0000-0000-0000B6270000}"/>
    <cellStyle name="Separador de milhares 2 4 8 3 2 3" xfId="19191" xr:uid="{00000000-0005-0000-0000-0000B7270000}"/>
    <cellStyle name="Separador de milhares 2 4 8 3 3" xfId="21231" xr:uid="{00000000-0005-0000-0000-0000B8270000}"/>
    <cellStyle name="Separador de milhares 2 4 8 3 4" xfId="17224" xr:uid="{00000000-0005-0000-0000-0000B9270000}"/>
    <cellStyle name="Separador de milhares 2 4 9" xfId="2129" xr:uid="{00000000-0005-0000-0000-0000BA270000}"/>
    <cellStyle name="Separador de milhares 2 4 9 2" xfId="3258" xr:uid="{00000000-0005-0000-0000-0000BB270000}"/>
    <cellStyle name="Separador de milhares 2 4 9 2 2" xfId="4594" xr:uid="{00000000-0005-0000-0000-0000BC270000}"/>
    <cellStyle name="Separador de milhares 2 4 9 2 2 2" xfId="21634" xr:uid="{00000000-0005-0000-0000-0000BD270000}"/>
    <cellStyle name="Separador de milhares 2 4 9 2 2 3" xfId="17629" xr:uid="{00000000-0005-0000-0000-0000BE270000}"/>
    <cellStyle name="Separador de milhares 2 4 9 2 3" xfId="5427" xr:uid="{00000000-0005-0000-0000-0000BF270000}"/>
    <cellStyle name="Separador de milhares 2 4 9 2 3 2" xfId="22426" xr:uid="{00000000-0005-0000-0000-0000C0270000}"/>
    <cellStyle name="Separador de milhares 2 4 9 2 3 3" xfId="18462" xr:uid="{00000000-0005-0000-0000-0000C1270000}"/>
    <cellStyle name="Separador de milhares 2 4 9 2 4" xfId="20326" xr:uid="{00000000-0005-0000-0000-0000C2270000}"/>
    <cellStyle name="Separador de milhares 2 4 9 2 5" xfId="16302" xr:uid="{00000000-0005-0000-0000-0000C3270000}"/>
    <cellStyle name="Separador de milhares 2 4 9 3" xfId="4069" xr:uid="{00000000-0005-0000-0000-0000C4270000}"/>
    <cellStyle name="Separador de milhares 2 4 9 3 2" xfId="6157" xr:uid="{00000000-0005-0000-0000-0000C5270000}"/>
    <cellStyle name="Separador de milhares 2 4 9 3 2 2" xfId="23139" xr:uid="{00000000-0005-0000-0000-0000C6270000}"/>
    <cellStyle name="Separador de milhares 2 4 9 3 2 3" xfId="19192" xr:uid="{00000000-0005-0000-0000-0000C7270000}"/>
    <cellStyle name="Separador de milhares 2 4 9 3 3" xfId="21117" xr:uid="{00000000-0005-0000-0000-0000C8270000}"/>
    <cellStyle name="Separador de milhares 2 4 9 3 4" xfId="17109" xr:uid="{00000000-0005-0000-0000-0000C9270000}"/>
    <cellStyle name="Separador de milhares 2 5" xfId="664" xr:uid="{00000000-0005-0000-0000-0000CA270000}"/>
    <cellStyle name="Separador de milhares 2 5 2" xfId="2978" xr:uid="{00000000-0005-0000-0000-0000CB270000}"/>
    <cellStyle name="Separador de milhares 2 5 2 2" xfId="3670" xr:uid="{00000000-0005-0000-0000-0000CC270000}"/>
    <cellStyle name="Separador de milhares 2 5 2 2 2" xfId="4948" xr:uid="{00000000-0005-0000-0000-0000CD270000}"/>
    <cellStyle name="Separador de milhares 2 5 2 2 2 2" xfId="21988" xr:uid="{00000000-0005-0000-0000-0000CE270000}"/>
    <cellStyle name="Separador de milhares 2 5 2 2 2 3" xfId="17983" xr:uid="{00000000-0005-0000-0000-0000CF270000}"/>
    <cellStyle name="Separador de milhares 2 5 2 2 3" xfId="5839" xr:uid="{00000000-0005-0000-0000-0000D0270000}"/>
    <cellStyle name="Separador de milhares 2 5 2 2 3 2" xfId="12038" xr:uid="{00000000-0005-0000-0000-0000D1270000}"/>
    <cellStyle name="Separador de milhares 2 5 2 2 3 2 2" xfId="22838" xr:uid="{00000000-0005-0000-0000-0000D2270000}"/>
    <cellStyle name="Separador de milhares 2 5 2 2 3 3" xfId="12013" xr:uid="{00000000-0005-0000-0000-0000D3270000}"/>
    <cellStyle name="Separador de milhares 2 5 2 2 3 4" xfId="18874" xr:uid="{00000000-0005-0000-0000-0000D4270000}"/>
    <cellStyle name="Separador de milhares 2 5 2 2 4" xfId="20738" xr:uid="{00000000-0005-0000-0000-0000D5270000}"/>
    <cellStyle name="Separador de milhares 2 5 2 2 5" xfId="16714" xr:uid="{00000000-0005-0000-0000-0000D6270000}"/>
    <cellStyle name="Separador de milhares 2 5 2 3" xfId="8397" xr:uid="{00000000-0005-0000-0000-0000D7270000}"/>
    <cellStyle name="Separador de milhares 2 5 3" xfId="2979" xr:uid="{00000000-0005-0000-0000-0000D8270000}"/>
    <cellStyle name="Separador de milhares 2 5 3 2" xfId="8398" xr:uid="{00000000-0005-0000-0000-0000D9270000}"/>
    <cellStyle name="Separador de milhares 2 5 4" xfId="3099" xr:uid="{00000000-0005-0000-0000-0000DA270000}"/>
    <cellStyle name="Separador de milhares 2 5 4 2" xfId="4514" xr:uid="{00000000-0005-0000-0000-0000DB270000}"/>
    <cellStyle name="Separador de milhares 2 5 4 2 2" xfId="21554" xr:uid="{00000000-0005-0000-0000-0000DC270000}"/>
    <cellStyle name="Separador de milhares 2 5 4 2 3" xfId="17549" xr:uid="{00000000-0005-0000-0000-0000DD270000}"/>
    <cellStyle name="Separador de milhares 2 5 4 3" xfId="5268" xr:uid="{00000000-0005-0000-0000-0000DE270000}"/>
    <cellStyle name="Separador de milhares 2 5 4 3 2" xfId="13227" xr:uid="{00000000-0005-0000-0000-0000DF270000}"/>
    <cellStyle name="Separador de milhares 2 5 4 3 2 2" xfId="22267" xr:uid="{00000000-0005-0000-0000-0000E0270000}"/>
    <cellStyle name="Separador de milhares 2 5 4 3 3" xfId="12036" xr:uid="{00000000-0005-0000-0000-0000E1270000}"/>
    <cellStyle name="Separador de milhares 2 5 4 3 4" xfId="18303" xr:uid="{00000000-0005-0000-0000-0000E2270000}"/>
    <cellStyle name="Separador de milhares 2 5 4 4" xfId="13595" xr:uid="{00000000-0005-0000-0000-0000E3270000}"/>
    <cellStyle name="Separador de milhares 2 5 4 4 2" xfId="20167" xr:uid="{00000000-0005-0000-0000-0000E4270000}"/>
    <cellStyle name="Separador de milhares 2 5 4 5" xfId="16143" xr:uid="{00000000-0005-0000-0000-0000E5270000}"/>
    <cellStyle name="Separador de milhares 2 5 5" xfId="4257" xr:uid="{00000000-0005-0000-0000-0000E6270000}"/>
    <cellStyle name="Separador de milhares 2 5 5 2" xfId="5983" xr:uid="{00000000-0005-0000-0000-0000E7270000}"/>
    <cellStyle name="Separador de milhares 2 5 5 2 2" xfId="22977" xr:uid="{00000000-0005-0000-0000-0000E8270000}"/>
    <cellStyle name="Separador de milhares 2 5 5 2 3" xfId="19018" xr:uid="{00000000-0005-0000-0000-0000E9270000}"/>
    <cellStyle name="Separador de milhares 2 5 5 3" xfId="21301" xr:uid="{00000000-0005-0000-0000-0000EA270000}"/>
    <cellStyle name="Separador de milhares 2 5 5 4" xfId="17294" xr:uid="{00000000-0005-0000-0000-0000EB270000}"/>
    <cellStyle name="Separador de milhares 2 5 6" xfId="8399" xr:uid="{00000000-0005-0000-0000-0000EC270000}"/>
    <cellStyle name="Separador de milhares 2 6" xfId="2130" xr:uid="{00000000-0005-0000-0000-0000ED270000}"/>
    <cellStyle name="Separador de milhares 2 6 2" xfId="3259" xr:uid="{00000000-0005-0000-0000-0000EE270000}"/>
    <cellStyle name="Separador de milhares 2 6 2 2" xfId="4595" xr:uid="{00000000-0005-0000-0000-0000EF270000}"/>
    <cellStyle name="Separador de milhares 2 6 2 2 2" xfId="21635" xr:uid="{00000000-0005-0000-0000-0000F0270000}"/>
    <cellStyle name="Separador de milhares 2 6 2 2 3" xfId="17630" xr:uid="{00000000-0005-0000-0000-0000F1270000}"/>
    <cellStyle name="Separador de milhares 2 6 2 3" xfId="5428" xr:uid="{00000000-0005-0000-0000-0000F2270000}"/>
    <cellStyle name="Separador de milhares 2 6 2 3 2" xfId="22427" xr:uid="{00000000-0005-0000-0000-0000F3270000}"/>
    <cellStyle name="Separador de milhares 2 6 2 3 3" xfId="18463" xr:uid="{00000000-0005-0000-0000-0000F4270000}"/>
    <cellStyle name="Separador de milhares 2 6 2 4" xfId="20327" xr:uid="{00000000-0005-0000-0000-0000F5270000}"/>
    <cellStyle name="Separador de milhares 2 6 2 5" xfId="16303" xr:uid="{00000000-0005-0000-0000-0000F6270000}"/>
    <cellStyle name="Separador de milhares 2 6 3" xfId="4485" xr:uid="{00000000-0005-0000-0000-0000F7270000}"/>
    <cellStyle name="Separador de milhares 2 6 3 2" xfId="6158" xr:uid="{00000000-0005-0000-0000-0000F8270000}"/>
    <cellStyle name="Separador de milhares 2 6 3 2 2" xfId="23140" xr:uid="{00000000-0005-0000-0000-0000F9270000}"/>
    <cellStyle name="Separador de milhares 2 6 3 2 3" xfId="19193" xr:uid="{00000000-0005-0000-0000-0000FA270000}"/>
    <cellStyle name="Separador de milhares 2 6 3 3" xfId="21525" xr:uid="{00000000-0005-0000-0000-0000FB270000}"/>
    <cellStyle name="Separador de milhares 2 6 3 4" xfId="17520" xr:uid="{00000000-0005-0000-0000-0000FC270000}"/>
    <cellStyle name="Separador de milhares 2 7" xfId="2131" xr:uid="{00000000-0005-0000-0000-0000FD270000}"/>
    <cellStyle name="Separador de milhares 2 7 2" xfId="3260" xr:uid="{00000000-0005-0000-0000-0000FE270000}"/>
    <cellStyle name="Separador de milhares 2 7 2 2" xfId="4596" xr:uid="{00000000-0005-0000-0000-0000FF270000}"/>
    <cellStyle name="Separador de milhares 2 7 2 2 2" xfId="21636" xr:uid="{00000000-0005-0000-0000-000000280000}"/>
    <cellStyle name="Separador de milhares 2 7 2 2 3" xfId="17631" xr:uid="{00000000-0005-0000-0000-000001280000}"/>
    <cellStyle name="Separador de milhares 2 7 2 3" xfId="5429" xr:uid="{00000000-0005-0000-0000-000002280000}"/>
    <cellStyle name="Separador de milhares 2 7 2 3 2" xfId="22428" xr:uid="{00000000-0005-0000-0000-000003280000}"/>
    <cellStyle name="Separador de milhares 2 7 2 3 3" xfId="18464" xr:uid="{00000000-0005-0000-0000-000004280000}"/>
    <cellStyle name="Separador de milhares 2 7 2 4" xfId="20328" xr:uid="{00000000-0005-0000-0000-000005280000}"/>
    <cellStyle name="Separador de milhares 2 7 2 5" xfId="16304" xr:uid="{00000000-0005-0000-0000-000006280000}"/>
    <cellStyle name="Separador de milhares 2 7 3" xfId="4345" xr:uid="{00000000-0005-0000-0000-000007280000}"/>
    <cellStyle name="Separador de milhares 2 7 3 2" xfId="6159" xr:uid="{00000000-0005-0000-0000-000008280000}"/>
    <cellStyle name="Separador de milhares 2 7 3 2 2" xfId="23141" xr:uid="{00000000-0005-0000-0000-000009280000}"/>
    <cellStyle name="Separador de milhares 2 7 3 2 3" xfId="19194" xr:uid="{00000000-0005-0000-0000-00000A280000}"/>
    <cellStyle name="Separador de milhares 2 7 3 3" xfId="21389" xr:uid="{00000000-0005-0000-0000-00000B280000}"/>
    <cellStyle name="Separador de milhares 2 7 3 4" xfId="17382" xr:uid="{00000000-0005-0000-0000-00000C280000}"/>
    <cellStyle name="Separador de milhares 2 8" xfId="2132" xr:uid="{00000000-0005-0000-0000-00000D280000}"/>
    <cellStyle name="Separador de milhares 2 8 2" xfId="3261" xr:uid="{00000000-0005-0000-0000-00000E280000}"/>
    <cellStyle name="Separador de milhares 2 8 2 2" xfId="4597" xr:uid="{00000000-0005-0000-0000-00000F280000}"/>
    <cellStyle name="Separador de milhares 2 8 2 2 2" xfId="21637" xr:uid="{00000000-0005-0000-0000-000010280000}"/>
    <cellStyle name="Separador de milhares 2 8 2 2 3" xfId="17632" xr:uid="{00000000-0005-0000-0000-000011280000}"/>
    <cellStyle name="Separador de milhares 2 8 2 3" xfId="5430" xr:uid="{00000000-0005-0000-0000-000012280000}"/>
    <cellStyle name="Separador de milhares 2 8 2 3 2" xfId="22429" xr:uid="{00000000-0005-0000-0000-000013280000}"/>
    <cellStyle name="Separador de milhares 2 8 2 3 3" xfId="18465" xr:uid="{00000000-0005-0000-0000-000014280000}"/>
    <cellStyle name="Separador de milhares 2 8 2 4" xfId="20329" xr:uid="{00000000-0005-0000-0000-000015280000}"/>
    <cellStyle name="Separador de milhares 2 8 2 5" xfId="16305" xr:uid="{00000000-0005-0000-0000-000016280000}"/>
    <cellStyle name="Separador de milhares 2 8 3" xfId="4351" xr:uid="{00000000-0005-0000-0000-000017280000}"/>
    <cellStyle name="Separador de milhares 2 8 3 2" xfId="6160" xr:uid="{00000000-0005-0000-0000-000018280000}"/>
    <cellStyle name="Separador de milhares 2 8 3 2 2" xfId="23142" xr:uid="{00000000-0005-0000-0000-000019280000}"/>
    <cellStyle name="Separador de milhares 2 8 3 2 3" xfId="19195" xr:uid="{00000000-0005-0000-0000-00001A280000}"/>
    <cellStyle name="Separador de milhares 2 8 3 3" xfId="21395" xr:uid="{00000000-0005-0000-0000-00001B280000}"/>
    <cellStyle name="Separador de milhares 2 8 3 4" xfId="17388" xr:uid="{00000000-0005-0000-0000-00001C280000}"/>
    <cellStyle name="Separador de milhares 2 9" xfId="2133" xr:uid="{00000000-0005-0000-0000-00001D280000}"/>
    <cellStyle name="Separador de milhares 2 9 2" xfId="3262" xr:uid="{00000000-0005-0000-0000-00001E280000}"/>
    <cellStyle name="Separador de milhares 2 9 2 2" xfId="4598" xr:uid="{00000000-0005-0000-0000-00001F280000}"/>
    <cellStyle name="Separador de milhares 2 9 2 2 2" xfId="21638" xr:uid="{00000000-0005-0000-0000-000020280000}"/>
    <cellStyle name="Separador de milhares 2 9 2 2 3" xfId="17633" xr:uid="{00000000-0005-0000-0000-000021280000}"/>
    <cellStyle name="Separador de milhares 2 9 2 3" xfId="5431" xr:uid="{00000000-0005-0000-0000-000022280000}"/>
    <cellStyle name="Separador de milhares 2 9 2 3 2" xfId="22430" xr:uid="{00000000-0005-0000-0000-000023280000}"/>
    <cellStyle name="Separador de milhares 2 9 2 3 3" xfId="18466" xr:uid="{00000000-0005-0000-0000-000024280000}"/>
    <cellStyle name="Separador de milhares 2 9 2 4" xfId="20330" xr:uid="{00000000-0005-0000-0000-000025280000}"/>
    <cellStyle name="Separador de milhares 2 9 2 5" xfId="16306" xr:uid="{00000000-0005-0000-0000-000026280000}"/>
    <cellStyle name="Separador de milhares 2 9 3" xfId="3842" xr:uid="{00000000-0005-0000-0000-000027280000}"/>
    <cellStyle name="Separador de milhares 2 9 3 2" xfId="6161" xr:uid="{00000000-0005-0000-0000-000028280000}"/>
    <cellStyle name="Separador de milhares 2 9 3 2 2" xfId="23143" xr:uid="{00000000-0005-0000-0000-000029280000}"/>
    <cellStyle name="Separador de milhares 2 9 3 2 3" xfId="19196" xr:uid="{00000000-0005-0000-0000-00002A280000}"/>
    <cellStyle name="Separador de milhares 2 9 3 3" xfId="20904" xr:uid="{00000000-0005-0000-0000-00002B280000}"/>
    <cellStyle name="Separador de milhares 2 9 3 4" xfId="16884" xr:uid="{00000000-0005-0000-0000-00002C280000}"/>
    <cellStyle name="Separador de milhares 3" xfId="49" xr:uid="{00000000-0005-0000-0000-00002D280000}"/>
    <cellStyle name="Separador de milhares 3 10" xfId="2134" xr:uid="{00000000-0005-0000-0000-00002E280000}"/>
    <cellStyle name="Separador de milhares 3 10 2" xfId="3263" xr:uid="{00000000-0005-0000-0000-00002F280000}"/>
    <cellStyle name="Separador de milhares 3 10 2 2" xfId="4599" xr:uid="{00000000-0005-0000-0000-000030280000}"/>
    <cellStyle name="Separador de milhares 3 10 2 2 2" xfId="21639" xr:uid="{00000000-0005-0000-0000-000031280000}"/>
    <cellStyle name="Separador de milhares 3 10 2 2 3" xfId="17634" xr:uid="{00000000-0005-0000-0000-000032280000}"/>
    <cellStyle name="Separador de milhares 3 10 2 3" xfId="5432" xr:uid="{00000000-0005-0000-0000-000033280000}"/>
    <cellStyle name="Separador de milhares 3 10 2 3 2" xfId="11776" xr:uid="{00000000-0005-0000-0000-000034280000}"/>
    <cellStyle name="Separador de milhares 3 10 2 3 2 2" xfId="22431" xr:uid="{00000000-0005-0000-0000-000035280000}"/>
    <cellStyle name="Separador de milhares 3 10 2 3 3" xfId="11887" xr:uid="{00000000-0005-0000-0000-000036280000}"/>
    <cellStyle name="Separador de milhares 3 10 2 3 4" xfId="18467" xr:uid="{00000000-0005-0000-0000-000037280000}"/>
    <cellStyle name="Separador de milhares 3 10 2 4" xfId="13625" xr:uid="{00000000-0005-0000-0000-000038280000}"/>
    <cellStyle name="Separador de milhares 3 10 2 4 2" xfId="20331" xr:uid="{00000000-0005-0000-0000-000039280000}"/>
    <cellStyle name="Separador de milhares 3 10 2 5" xfId="16307" xr:uid="{00000000-0005-0000-0000-00003A280000}"/>
    <cellStyle name="Separador de milhares 3 10 3" xfId="3764" xr:uid="{00000000-0005-0000-0000-00003B280000}"/>
    <cellStyle name="Separador de milhares 3 10 3 2" xfId="6162" xr:uid="{00000000-0005-0000-0000-00003C280000}"/>
    <cellStyle name="Separador de milhares 3 10 3 2 2" xfId="23144" xr:uid="{00000000-0005-0000-0000-00003D280000}"/>
    <cellStyle name="Separador de milhares 3 10 3 2 3" xfId="19197" xr:uid="{00000000-0005-0000-0000-00003E280000}"/>
    <cellStyle name="Separador de milhares 3 10 3 3" xfId="20828" xr:uid="{00000000-0005-0000-0000-00003F280000}"/>
    <cellStyle name="Separador de milhares 3 10 3 4" xfId="16807" xr:uid="{00000000-0005-0000-0000-000040280000}"/>
    <cellStyle name="Separador de milhares 3 10 4" xfId="8400" xr:uid="{00000000-0005-0000-0000-000041280000}"/>
    <cellStyle name="Separador de milhares 3 11" xfId="3868" xr:uid="{00000000-0005-0000-0000-000042280000}"/>
    <cellStyle name="Separador de milhares 3 11 2" xfId="5872" xr:uid="{00000000-0005-0000-0000-000043280000}"/>
    <cellStyle name="Separador de milhares 3 11 2 2" xfId="12409" xr:uid="{00000000-0005-0000-0000-000044280000}"/>
    <cellStyle name="Separador de milhares 3 11 2 2 2" xfId="15392" xr:uid="{00000000-0005-0000-0000-000045280000}"/>
    <cellStyle name="Separador de milhares 3 11 2 2 3" xfId="13751" xr:uid="{00000000-0005-0000-0000-000046280000}"/>
    <cellStyle name="Separador de milhares 3 11 2 2 4" xfId="22868" xr:uid="{00000000-0005-0000-0000-000047280000}"/>
    <cellStyle name="Separador de milhares 3 11 2 3" xfId="11998" xr:uid="{00000000-0005-0000-0000-000048280000}"/>
    <cellStyle name="Separador de milhares 3 11 2 4" xfId="11725" xr:uid="{00000000-0005-0000-0000-000049280000}"/>
    <cellStyle name="Separador de milhares 3 11 2 5" xfId="18907" xr:uid="{00000000-0005-0000-0000-00004A280000}"/>
    <cellStyle name="Separador de milhares 3 11 3" xfId="11848" xr:uid="{00000000-0005-0000-0000-00004B280000}"/>
    <cellStyle name="Separador de milhares 3 11 3 2" xfId="15098" xr:uid="{00000000-0005-0000-0000-00004C280000}"/>
    <cellStyle name="Separador de milhares 3 11 3 3" xfId="13687" xr:uid="{00000000-0005-0000-0000-00004D280000}"/>
    <cellStyle name="Separador de milhares 3 11 3 4" xfId="20929" xr:uid="{00000000-0005-0000-0000-00004E280000}"/>
    <cellStyle name="Separador de milhares 3 11 4" xfId="11042" xr:uid="{00000000-0005-0000-0000-00004F280000}"/>
    <cellStyle name="Separador de milhares 3 11 5" xfId="16910" xr:uid="{00000000-0005-0000-0000-000050280000}"/>
    <cellStyle name="Separador de milhares 3 12" xfId="8401" xr:uid="{00000000-0005-0000-0000-000051280000}"/>
    <cellStyle name="Separador de milhares 3 12 2" xfId="8402" xr:uid="{00000000-0005-0000-0000-000052280000}"/>
    <cellStyle name="Separador de milhares 3 12 2 2" xfId="10957" xr:uid="{00000000-0005-0000-0000-000053280000}"/>
    <cellStyle name="Separador de milhares 3 12 2 3" xfId="11965" xr:uid="{00000000-0005-0000-0000-000054280000}"/>
    <cellStyle name="Separador de milhares 3 12 3" xfId="11117" xr:uid="{00000000-0005-0000-0000-000055280000}"/>
    <cellStyle name="Separador de milhares 3 12 4" xfId="11601" xr:uid="{00000000-0005-0000-0000-000056280000}"/>
    <cellStyle name="Separador de milhares 3 13" xfId="8403" xr:uid="{00000000-0005-0000-0000-000057280000}"/>
    <cellStyle name="Separador de milhares 3 13 2" xfId="8404" xr:uid="{00000000-0005-0000-0000-000058280000}"/>
    <cellStyle name="Separador de milhares 3 13 2 2" xfId="11074" xr:uid="{00000000-0005-0000-0000-000059280000}"/>
    <cellStyle name="Separador de milhares 3 13 2 3" xfId="11538" xr:uid="{00000000-0005-0000-0000-00005A280000}"/>
    <cellStyle name="Separador de milhares 3 13 3" xfId="12382" xr:uid="{00000000-0005-0000-0000-00005B280000}"/>
    <cellStyle name="Separador de milhares 3 13 4" xfId="11743" xr:uid="{00000000-0005-0000-0000-00005C280000}"/>
    <cellStyle name="Separador de milhares 3 2" xfId="111" xr:uid="{00000000-0005-0000-0000-00005D280000}"/>
    <cellStyle name="Separador de milhares 3 2 10" xfId="2135" xr:uid="{00000000-0005-0000-0000-00005E280000}"/>
    <cellStyle name="Separador de milhares 3 2 10 2" xfId="3264" xr:uid="{00000000-0005-0000-0000-00005F280000}"/>
    <cellStyle name="Separador de milhares 3 2 10 2 2" xfId="4600" xr:uid="{00000000-0005-0000-0000-000060280000}"/>
    <cellStyle name="Separador de milhares 3 2 10 2 2 2" xfId="21640" xr:uid="{00000000-0005-0000-0000-000061280000}"/>
    <cellStyle name="Separador de milhares 3 2 10 2 2 3" xfId="17635" xr:uid="{00000000-0005-0000-0000-000062280000}"/>
    <cellStyle name="Separador de milhares 3 2 10 2 3" xfId="5433" xr:uid="{00000000-0005-0000-0000-000063280000}"/>
    <cellStyle name="Separador de milhares 3 2 10 2 3 2" xfId="11902" xr:uid="{00000000-0005-0000-0000-000064280000}"/>
    <cellStyle name="Separador de milhares 3 2 10 2 3 2 2" xfId="22432" xr:uid="{00000000-0005-0000-0000-000065280000}"/>
    <cellStyle name="Separador de milhares 3 2 10 2 3 3" xfId="11441" xr:uid="{00000000-0005-0000-0000-000066280000}"/>
    <cellStyle name="Separador de milhares 3 2 10 2 3 4" xfId="18468" xr:uid="{00000000-0005-0000-0000-000067280000}"/>
    <cellStyle name="Separador de milhares 3 2 10 2 4" xfId="13626" xr:uid="{00000000-0005-0000-0000-000068280000}"/>
    <cellStyle name="Separador de milhares 3 2 10 2 4 2" xfId="20332" xr:uid="{00000000-0005-0000-0000-000069280000}"/>
    <cellStyle name="Separador de milhares 3 2 10 2 5" xfId="16308" xr:uid="{00000000-0005-0000-0000-00006A280000}"/>
    <cellStyle name="Separador de milhares 3 2 10 3" xfId="4169" xr:uid="{00000000-0005-0000-0000-00006B280000}"/>
    <cellStyle name="Separador de milhares 3 2 10 3 2" xfId="6163" xr:uid="{00000000-0005-0000-0000-00006C280000}"/>
    <cellStyle name="Separador de milhares 3 2 10 3 2 2" xfId="23145" xr:uid="{00000000-0005-0000-0000-00006D280000}"/>
    <cellStyle name="Separador de milhares 3 2 10 3 2 3" xfId="19198" xr:uid="{00000000-0005-0000-0000-00006E280000}"/>
    <cellStyle name="Separador de milhares 3 2 10 3 3" xfId="21216" xr:uid="{00000000-0005-0000-0000-00006F280000}"/>
    <cellStyle name="Separador de milhares 3 2 10 3 4" xfId="17209" xr:uid="{00000000-0005-0000-0000-000070280000}"/>
    <cellStyle name="Separador de milhares 3 2 10 4" xfId="8405" xr:uid="{00000000-0005-0000-0000-000071280000}"/>
    <cellStyle name="Separador de milhares 3 2 11" xfId="2980" xr:uid="{00000000-0005-0000-0000-000072280000}"/>
    <cellStyle name="Separador de milhares 3 2 11 2" xfId="3671" xr:uid="{00000000-0005-0000-0000-000073280000}"/>
    <cellStyle name="Separador de milhares 3 2 11 2 2" xfId="4949" xr:uid="{00000000-0005-0000-0000-000074280000}"/>
    <cellStyle name="Separador de milhares 3 2 11 2 2 2" xfId="21989" xr:uid="{00000000-0005-0000-0000-000075280000}"/>
    <cellStyle name="Separador de milhares 3 2 11 2 2 3" xfId="17984" xr:uid="{00000000-0005-0000-0000-000076280000}"/>
    <cellStyle name="Separador de milhares 3 2 11 2 3" xfId="5840" xr:uid="{00000000-0005-0000-0000-000077280000}"/>
    <cellStyle name="Separador de milhares 3 2 11 2 3 2" xfId="11994" xr:uid="{00000000-0005-0000-0000-000078280000}"/>
    <cellStyle name="Separador de milhares 3 2 11 2 3 2 2" xfId="22839" xr:uid="{00000000-0005-0000-0000-000079280000}"/>
    <cellStyle name="Separador de milhares 3 2 11 2 3 3" xfId="11345" xr:uid="{00000000-0005-0000-0000-00007A280000}"/>
    <cellStyle name="Separador de milhares 3 2 11 2 3 4" xfId="18875" xr:uid="{00000000-0005-0000-0000-00007B280000}"/>
    <cellStyle name="Separador de milhares 3 2 11 2 4" xfId="12307" xr:uid="{00000000-0005-0000-0000-00007C280000}"/>
    <cellStyle name="Separador de milhares 3 2 11 2 4 2" xfId="15378" xr:uid="{00000000-0005-0000-0000-00007D280000}"/>
    <cellStyle name="Separador de milhares 3 2 11 2 4 3" xfId="13636" xr:uid="{00000000-0005-0000-0000-00007E280000}"/>
    <cellStyle name="Separador de milhares 3 2 11 2 4 4" xfId="20739" xr:uid="{00000000-0005-0000-0000-00007F280000}"/>
    <cellStyle name="Separador de milhares 3 2 11 2 5" xfId="16715" xr:uid="{00000000-0005-0000-0000-000080280000}"/>
    <cellStyle name="Separador de milhares 3 2 11 3" xfId="4187" xr:uid="{00000000-0005-0000-0000-000081280000}"/>
    <cellStyle name="Separador de milhares 3 2 11 3 2" xfId="5892" xr:uid="{00000000-0005-0000-0000-000082280000}"/>
    <cellStyle name="Separador de milhares 3 2 11 3 2 2" xfId="11403" xr:uid="{00000000-0005-0000-0000-000083280000}"/>
    <cellStyle name="Separador de milhares 3 2 11 3 2 2 2" xfId="22888" xr:uid="{00000000-0005-0000-0000-000084280000}"/>
    <cellStyle name="Separador de milhares 3 2 11 3 2 3" xfId="11609" xr:uid="{00000000-0005-0000-0000-000085280000}"/>
    <cellStyle name="Separador de milhares 3 2 11 3 2 4" xfId="18927" xr:uid="{00000000-0005-0000-0000-000086280000}"/>
    <cellStyle name="Separador de milhares 3 2 11 3 3" xfId="11927" xr:uid="{00000000-0005-0000-0000-000087280000}"/>
    <cellStyle name="Separador de milhares 3 2 11 3 3 2" xfId="21233" xr:uid="{00000000-0005-0000-0000-000088280000}"/>
    <cellStyle name="Separador de milhares 3 2 11 3 4" xfId="17226" xr:uid="{00000000-0005-0000-0000-000089280000}"/>
    <cellStyle name="Separador de milhares 3 2 11 4" xfId="8406" xr:uid="{00000000-0005-0000-0000-00008A280000}"/>
    <cellStyle name="Separador de milhares 3 2 11 4 2" xfId="13160" xr:uid="{00000000-0005-0000-0000-00008B280000}"/>
    <cellStyle name="Separador de milhares 3 2 11 4 3" xfId="13096" xr:uid="{00000000-0005-0000-0000-00008C280000}"/>
    <cellStyle name="Separador de milhares 3 2 11 5" xfId="13545" xr:uid="{00000000-0005-0000-0000-00008D280000}"/>
    <cellStyle name="Separador de milhares 3 2 12" xfId="8407" xr:uid="{00000000-0005-0000-0000-00008E280000}"/>
    <cellStyle name="Separador de milhares 3 2 12 2" xfId="14038" xr:uid="{00000000-0005-0000-0000-00008F280000}"/>
    <cellStyle name="Separador de milhares 3 2 12 3" xfId="13380" xr:uid="{00000000-0005-0000-0000-000090280000}"/>
    <cellStyle name="Separador de milhares 3 2 2" xfId="112" xr:uid="{00000000-0005-0000-0000-000091280000}"/>
    <cellStyle name="Separador de milhares 3 2 2 2" xfId="850" xr:uid="{00000000-0005-0000-0000-000092280000}"/>
    <cellStyle name="Separador de milhares 3 2 2 2 2" xfId="3135" xr:uid="{00000000-0005-0000-0000-000093280000}"/>
    <cellStyle name="Separador de milhares 3 2 2 2 2 2" xfId="4340" xr:uid="{00000000-0005-0000-0000-000094280000}"/>
    <cellStyle name="Separador de milhares 3 2 2 2 2 2 2" xfId="6535" xr:uid="{00000000-0005-0000-0000-000095280000}"/>
    <cellStyle name="Separador de milhares 3 2 2 2 2 2 2 2" xfId="23517" xr:uid="{00000000-0005-0000-0000-000096280000}"/>
    <cellStyle name="Separador de milhares 3 2 2 2 2 2 2 3" xfId="19570" xr:uid="{00000000-0005-0000-0000-000097280000}"/>
    <cellStyle name="Separador de milhares 3 2 2 2 2 2 3" xfId="21384" xr:uid="{00000000-0005-0000-0000-000098280000}"/>
    <cellStyle name="Separador de milhares 3 2 2 2 2 2 4" xfId="17377" xr:uid="{00000000-0005-0000-0000-000099280000}"/>
    <cellStyle name="Separador de milhares 3 2 2 2 2 3" xfId="5304" xr:uid="{00000000-0005-0000-0000-00009A280000}"/>
    <cellStyle name="Separador de milhares 3 2 2 2 2 3 2" xfId="12939" xr:uid="{00000000-0005-0000-0000-00009B280000}"/>
    <cellStyle name="Separador de milhares 3 2 2 2 2 3 2 2" xfId="22303" xr:uid="{00000000-0005-0000-0000-00009C280000}"/>
    <cellStyle name="Separador de milhares 3 2 2 2 2 3 3" xfId="12450" xr:uid="{00000000-0005-0000-0000-00009D280000}"/>
    <cellStyle name="Separador de milhares 3 2 2 2 2 3 4" xfId="18339" xr:uid="{00000000-0005-0000-0000-00009E280000}"/>
    <cellStyle name="Separador de milhares 3 2 2 2 2 4" xfId="12361" xr:uid="{00000000-0005-0000-0000-00009F280000}"/>
    <cellStyle name="Separador de milhares 3 2 2 2 2 4 2" xfId="15390" xr:uid="{00000000-0005-0000-0000-0000A0280000}"/>
    <cellStyle name="Separador de milhares 3 2 2 2 2 4 3" xfId="13604" xr:uid="{00000000-0005-0000-0000-0000A1280000}"/>
    <cellStyle name="Separador de milhares 3 2 2 2 2 4 4" xfId="20203" xr:uid="{00000000-0005-0000-0000-0000A2280000}"/>
    <cellStyle name="Separador de milhares 3 2 2 2 2 5" xfId="16179" xr:uid="{00000000-0005-0000-0000-0000A3280000}"/>
    <cellStyle name="Separador de milhares 3 2 2 2 3" xfId="3884" xr:uid="{00000000-0005-0000-0000-0000A4280000}"/>
    <cellStyle name="Separador de milhares 3 2 2 2 3 2" xfId="6025" xr:uid="{00000000-0005-0000-0000-0000A5280000}"/>
    <cellStyle name="Separador de milhares 3 2 2 2 3 2 2" xfId="23014" xr:uid="{00000000-0005-0000-0000-0000A6280000}"/>
    <cellStyle name="Separador de milhares 3 2 2 2 3 2 3" xfId="19060" xr:uid="{00000000-0005-0000-0000-0000A7280000}"/>
    <cellStyle name="Separador de milhares 3 2 2 2 3 3" xfId="20941" xr:uid="{00000000-0005-0000-0000-0000A8280000}"/>
    <cellStyle name="Separador de milhares 3 2 2 2 3 4" xfId="16926" xr:uid="{00000000-0005-0000-0000-0000A9280000}"/>
    <cellStyle name="Separador de milhares 3 2 2 2 4" xfId="6720" xr:uid="{00000000-0005-0000-0000-0000AA280000}"/>
    <cellStyle name="Separador de milhares 3 2 2 2 4 2" xfId="23693" xr:uid="{00000000-0005-0000-0000-0000AB280000}"/>
    <cellStyle name="Separador de milhares 3 2 2 2 4 3" xfId="19755" xr:uid="{00000000-0005-0000-0000-0000AC280000}"/>
    <cellStyle name="Separador de milhares 3 2 2 2 5" xfId="5038" xr:uid="{00000000-0005-0000-0000-0000AD280000}"/>
    <cellStyle name="Separador de milhares 3 2 2 2 5 2" xfId="22046" xr:uid="{00000000-0005-0000-0000-0000AE280000}"/>
    <cellStyle name="Separador de milhares 3 2 2 2 5 3" xfId="18073" xr:uid="{00000000-0005-0000-0000-0000AF280000}"/>
    <cellStyle name="Separador de milhares 3 2 2 2 6" xfId="19946" xr:uid="{00000000-0005-0000-0000-0000B0280000}"/>
    <cellStyle name="Separador de milhares 3 2 2 2 7" xfId="15906" xr:uid="{00000000-0005-0000-0000-0000B1280000}"/>
    <cellStyle name="Separador de milhares 3 2 2 3" xfId="2981" xr:uid="{00000000-0005-0000-0000-0000B2280000}"/>
    <cellStyle name="Separador de milhares 3 2 2 3 2" xfId="3672" xr:uid="{00000000-0005-0000-0000-0000B3280000}"/>
    <cellStyle name="Separador de milhares 3 2 2 3 2 2" xfId="4950" xr:uid="{00000000-0005-0000-0000-0000B4280000}"/>
    <cellStyle name="Separador de milhares 3 2 2 3 2 2 2" xfId="21990" xr:uid="{00000000-0005-0000-0000-0000B5280000}"/>
    <cellStyle name="Separador de milhares 3 2 2 3 2 2 3" xfId="17985" xr:uid="{00000000-0005-0000-0000-0000B6280000}"/>
    <cellStyle name="Separador de milhares 3 2 2 3 2 3" xfId="5841" xr:uid="{00000000-0005-0000-0000-0000B7280000}"/>
    <cellStyle name="Separador de milhares 3 2 2 3 2 3 2" xfId="12489" xr:uid="{00000000-0005-0000-0000-0000B8280000}"/>
    <cellStyle name="Separador de milhares 3 2 2 3 2 3 2 2" xfId="22840" xr:uid="{00000000-0005-0000-0000-0000B9280000}"/>
    <cellStyle name="Separador de milhares 3 2 2 3 2 3 3" xfId="11346" xr:uid="{00000000-0005-0000-0000-0000BA280000}"/>
    <cellStyle name="Separador de milhares 3 2 2 3 2 3 4" xfId="18876" xr:uid="{00000000-0005-0000-0000-0000BB280000}"/>
    <cellStyle name="Separador de milhares 3 2 2 3 2 4" xfId="11256" xr:uid="{00000000-0005-0000-0000-0000BC280000}"/>
    <cellStyle name="Separador de milhares 3 2 2 3 2 4 2" xfId="20740" xr:uid="{00000000-0005-0000-0000-0000BD280000}"/>
    <cellStyle name="Separador de milhares 3 2 2 3 2 5" xfId="16716" xr:uid="{00000000-0005-0000-0000-0000BE280000}"/>
    <cellStyle name="Separador de milhares 3 2 2 3 3" xfId="8408" xr:uid="{00000000-0005-0000-0000-0000BF280000}"/>
    <cellStyle name="Separador de milhares 3 2 2 3 3 2" xfId="12902" xr:uid="{00000000-0005-0000-0000-0000C0280000}"/>
    <cellStyle name="Separador de milhares 3 2 2 3 3 3" xfId="10955" xr:uid="{00000000-0005-0000-0000-0000C1280000}"/>
    <cellStyle name="Separador de milhares 3 2 2 3 4" xfId="11301" xr:uid="{00000000-0005-0000-0000-0000C2280000}"/>
    <cellStyle name="Separador de milhares 3 2 2 3 4 2" xfId="14976" xr:uid="{00000000-0005-0000-0000-0000C3280000}"/>
    <cellStyle name="Separador de milhares 3 2 2 3 4 3" xfId="13546" xr:uid="{00000000-0005-0000-0000-0000C4280000}"/>
    <cellStyle name="Separador de milhares 3 2 2 4" xfId="5893" xr:uid="{00000000-0005-0000-0000-0000C5280000}"/>
    <cellStyle name="Separador de milhares 3 2 2 4 2" xfId="12309" xr:uid="{00000000-0005-0000-0000-0000C6280000}"/>
    <cellStyle name="Separador de milhares 3 2 2 4 2 2" xfId="15379" xr:uid="{00000000-0005-0000-0000-0000C7280000}"/>
    <cellStyle name="Separador de milhares 3 2 2 4 2 3" xfId="13752" xr:uid="{00000000-0005-0000-0000-0000C8280000}"/>
    <cellStyle name="Separador de milhares 3 2 2 4 2 4" xfId="22889" xr:uid="{00000000-0005-0000-0000-0000C9280000}"/>
    <cellStyle name="Separador de milhares 3 2 2 4 3" xfId="11055" xr:uid="{00000000-0005-0000-0000-0000CA280000}"/>
    <cellStyle name="Separador de milhares 3 2 2 4 4" xfId="11344" xr:uid="{00000000-0005-0000-0000-0000CB280000}"/>
    <cellStyle name="Separador de milhares 3 2 2 4 5" xfId="18928" xr:uid="{00000000-0005-0000-0000-0000CC280000}"/>
    <cellStyle name="Separador de milhares 3 2 3" xfId="327" xr:uid="{00000000-0005-0000-0000-0000CD280000}"/>
    <cellStyle name="Separador de milhares 3 2 3 2" xfId="582" xr:uid="{00000000-0005-0000-0000-0000CE280000}"/>
    <cellStyle name="Separador de milhares 3 2 3 2 2" xfId="851" xr:uid="{00000000-0005-0000-0000-0000CF280000}"/>
    <cellStyle name="Separador de milhares 3 2 3 2 2 2" xfId="3136" xr:uid="{00000000-0005-0000-0000-0000D0280000}"/>
    <cellStyle name="Separador de milhares 3 2 3 2 2 2 2" xfId="4374" xr:uid="{00000000-0005-0000-0000-0000D1280000}"/>
    <cellStyle name="Separador de milhares 3 2 3 2 2 2 2 2" xfId="6536" xr:uid="{00000000-0005-0000-0000-0000D2280000}"/>
    <cellStyle name="Separador de milhares 3 2 3 2 2 2 2 2 2" xfId="23518" xr:uid="{00000000-0005-0000-0000-0000D3280000}"/>
    <cellStyle name="Separador de milhares 3 2 3 2 2 2 2 2 3" xfId="19571" xr:uid="{00000000-0005-0000-0000-0000D4280000}"/>
    <cellStyle name="Separador de milhares 3 2 3 2 2 2 2 3" xfId="21418" xr:uid="{00000000-0005-0000-0000-0000D5280000}"/>
    <cellStyle name="Separador de milhares 3 2 3 2 2 2 2 4" xfId="17411" xr:uid="{00000000-0005-0000-0000-0000D6280000}"/>
    <cellStyle name="Separador de milhares 3 2 3 2 2 2 3" xfId="5305" xr:uid="{00000000-0005-0000-0000-0000D7280000}"/>
    <cellStyle name="Separador de milhares 3 2 3 2 2 2 3 2" xfId="22304" xr:uid="{00000000-0005-0000-0000-0000D8280000}"/>
    <cellStyle name="Separador de milhares 3 2 3 2 2 2 3 3" xfId="18340" xr:uid="{00000000-0005-0000-0000-0000D9280000}"/>
    <cellStyle name="Separador de milhares 3 2 3 2 2 2 4" xfId="20204" xr:uid="{00000000-0005-0000-0000-0000DA280000}"/>
    <cellStyle name="Separador de milhares 3 2 3 2 2 2 5" xfId="16180" xr:uid="{00000000-0005-0000-0000-0000DB280000}"/>
    <cellStyle name="Separador de milhares 3 2 3 2 2 3" xfId="3885" xr:uid="{00000000-0005-0000-0000-0000DC280000}"/>
    <cellStyle name="Separador de milhares 3 2 3 2 2 3 2" xfId="6026" xr:uid="{00000000-0005-0000-0000-0000DD280000}"/>
    <cellStyle name="Separador de milhares 3 2 3 2 2 3 2 2" xfId="23015" xr:uid="{00000000-0005-0000-0000-0000DE280000}"/>
    <cellStyle name="Separador de milhares 3 2 3 2 2 3 2 3" xfId="19061" xr:uid="{00000000-0005-0000-0000-0000DF280000}"/>
    <cellStyle name="Separador de milhares 3 2 3 2 2 3 3" xfId="20942" xr:uid="{00000000-0005-0000-0000-0000E0280000}"/>
    <cellStyle name="Separador de milhares 3 2 3 2 2 3 4" xfId="16927" xr:uid="{00000000-0005-0000-0000-0000E1280000}"/>
    <cellStyle name="Separador de milhares 3 2 3 2 2 4" xfId="6721" xr:uid="{00000000-0005-0000-0000-0000E2280000}"/>
    <cellStyle name="Separador de milhares 3 2 3 2 2 4 2" xfId="23694" xr:uid="{00000000-0005-0000-0000-0000E3280000}"/>
    <cellStyle name="Separador de milhares 3 2 3 2 2 4 3" xfId="19756" xr:uid="{00000000-0005-0000-0000-0000E4280000}"/>
    <cellStyle name="Separador de milhares 3 2 3 2 2 5" xfId="5039" xr:uid="{00000000-0005-0000-0000-0000E5280000}"/>
    <cellStyle name="Separador de milhares 3 2 3 2 2 5 2" xfId="22047" xr:uid="{00000000-0005-0000-0000-0000E6280000}"/>
    <cellStyle name="Separador de milhares 3 2 3 2 2 5 3" xfId="18074" xr:uid="{00000000-0005-0000-0000-0000E7280000}"/>
    <cellStyle name="Separador de milhares 3 2 3 2 2 6" xfId="19947" xr:uid="{00000000-0005-0000-0000-0000E8280000}"/>
    <cellStyle name="Separador de milhares 3 2 3 2 2 7" xfId="15907" xr:uid="{00000000-0005-0000-0000-0000E9280000}"/>
    <cellStyle name="Separador de milhares 3 2 3 2 3" xfId="5928" xr:uid="{00000000-0005-0000-0000-0000EA280000}"/>
    <cellStyle name="Separador de milhares 3 2 3 2 3 2" xfId="22922" xr:uid="{00000000-0005-0000-0000-0000EB280000}"/>
    <cellStyle name="Separador de milhares 3 2 3 2 3 3" xfId="18963" xr:uid="{00000000-0005-0000-0000-0000EC280000}"/>
    <cellStyle name="Separador de milhares 3 2 3 3" xfId="852" xr:uid="{00000000-0005-0000-0000-0000ED280000}"/>
    <cellStyle name="Separador de milhares 3 2 3 3 2" xfId="2136" xr:uid="{00000000-0005-0000-0000-0000EE280000}"/>
    <cellStyle name="Separador de milhares 3 2 3 3 2 2" xfId="3265" xr:uid="{00000000-0005-0000-0000-0000EF280000}"/>
    <cellStyle name="Separador de milhares 3 2 3 3 2 2 2" xfId="4601" xr:uid="{00000000-0005-0000-0000-0000F0280000}"/>
    <cellStyle name="Separador de milhares 3 2 3 3 2 2 2 2" xfId="21641" xr:uid="{00000000-0005-0000-0000-0000F1280000}"/>
    <cellStyle name="Separador de milhares 3 2 3 3 2 2 2 3" xfId="17636" xr:uid="{00000000-0005-0000-0000-0000F2280000}"/>
    <cellStyle name="Separador de milhares 3 2 3 3 2 2 3" xfId="5434" xr:uid="{00000000-0005-0000-0000-0000F3280000}"/>
    <cellStyle name="Separador de milhares 3 2 3 3 2 2 3 2" xfId="11684" xr:uid="{00000000-0005-0000-0000-0000F4280000}"/>
    <cellStyle name="Separador de milhares 3 2 3 3 2 2 3 2 2" xfId="22433" xr:uid="{00000000-0005-0000-0000-0000F5280000}"/>
    <cellStyle name="Separador de milhares 3 2 3 3 2 2 3 3" xfId="11347" xr:uid="{00000000-0005-0000-0000-0000F6280000}"/>
    <cellStyle name="Separador de milhares 3 2 3 3 2 2 3 4" xfId="18469" xr:uid="{00000000-0005-0000-0000-0000F7280000}"/>
    <cellStyle name="Separador de milhares 3 2 3 3 2 2 4" xfId="12308" xr:uid="{00000000-0005-0000-0000-0000F8280000}"/>
    <cellStyle name="Separador de milhares 3 2 3 3 2 2 4 2" xfId="20333" xr:uid="{00000000-0005-0000-0000-0000F9280000}"/>
    <cellStyle name="Separador de milhares 3 2 3 3 2 2 5" xfId="16309" xr:uid="{00000000-0005-0000-0000-0000FA280000}"/>
    <cellStyle name="Separador de milhares 3 2 3 3 2 3" xfId="4023" xr:uid="{00000000-0005-0000-0000-0000FB280000}"/>
    <cellStyle name="Separador de milhares 3 2 3 3 2 3 2" xfId="6164" xr:uid="{00000000-0005-0000-0000-0000FC280000}"/>
    <cellStyle name="Separador de milhares 3 2 3 3 2 3 2 2" xfId="23146" xr:uid="{00000000-0005-0000-0000-0000FD280000}"/>
    <cellStyle name="Separador de milhares 3 2 3 3 2 3 2 3" xfId="19199" xr:uid="{00000000-0005-0000-0000-0000FE280000}"/>
    <cellStyle name="Separador de milhares 3 2 3 3 2 3 3" xfId="21075" xr:uid="{00000000-0005-0000-0000-0000FF280000}"/>
    <cellStyle name="Separador de milhares 3 2 3 3 2 3 4" xfId="17064" xr:uid="{00000000-0005-0000-0000-000000290000}"/>
    <cellStyle name="Separador de milhares 3 2 3 3 2 4" xfId="13507" xr:uid="{00000000-0005-0000-0000-000001290000}"/>
    <cellStyle name="Separador de milhares 3 2 3 3 3" xfId="3137" xr:uid="{00000000-0005-0000-0000-000002290000}"/>
    <cellStyle name="Separador de milhares 3 2 3 3 3 2" xfId="3796" xr:uid="{00000000-0005-0000-0000-000003290000}"/>
    <cellStyle name="Separador de milhares 3 2 3 3 3 2 2" xfId="6537" xr:uid="{00000000-0005-0000-0000-000004290000}"/>
    <cellStyle name="Separador de milhares 3 2 3 3 3 2 2 2" xfId="23519" xr:uid="{00000000-0005-0000-0000-000005290000}"/>
    <cellStyle name="Separador de milhares 3 2 3 3 3 2 2 3" xfId="19572" xr:uid="{00000000-0005-0000-0000-000006290000}"/>
    <cellStyle name="Separador de milhares 3 2 3 3 3 2 3" xfId="20858" xr:uid="{00000000-0005-0000-0000-000007290000}"/>
    <cellStyle name="Separador de milhares 3 2 3 3 3 2 4" xfId="16838" xr:uid="{00000000-0005-0000-0000-000008290000}"/>
    <cellStyle name="Separador de milhares 3 2 3 3 3 3" xfId="5306" xr:uid="{00000000-0005-0000-0000-000009290000}"/>
    <cellStyle name="Separador de milhares 3 2 3 3 3 3 2" xfId="12472" xr:uid="{00000000-0005-0000-0000-00000A290000}"/>
    <cellStyle name="Separador de milhares 3 2 3 3 3 3 2 2" xfId="22305" xr:uid="{00000000-0005-0000-0000-00000B290000}"/>
    <cellStyle name="Separador de milhares 3 2 3 3 3 3 3" xfId="11348" xr:uid="{00000000-0005-0000-0000-00000C290000}"/>
    <cellStyle name="Separador de milhares 3 2 3 3 3 3 4" xfId="18341" xr:uid="{00000000-0005-0000-0000-00000D290000}"/>
    <cellStyle name="Separador de milhares 3 2 3 3 3 4" xfId="11275" xr:uid="{00000000-0005-0000-0000-00000E290000}"/>
    <cellStyle name="Separador de milhares 3 2 3 3 3 4 2" xfId="14972" xr:uid="{00000000-0005-0000-0000-00000F290000}"/>
    <cellStyle name="Separador de milhares 3 2 3 3 3 4 3" xfId="13605" xr:uid="{00000000-0005-0000-0000-000010290000}"/>
    <cellStyle name="Separador de milhares 3 2 3 3 3 4 4" xfId="20205" xr:uid="{00000000-0005-0000-0000-000011290000}"/>
    <cellStyle name="Separador de milhares 3 2 3 3 3 5" xfId="16181" xr:uid="{00000000-0005-0000-0000-000012290000}"/>
    <cellStyle name="Separador de milhares 3 2 3 3 4" xfId="3886" xr:uid="{00000000-0005-0000-0000-000013290000}"/>
    <cellStyle name="Separador de milhares 3 2 3 3 4 2" xfId="6027" xr:uid="{00000000-0005-0000-0000-000014290000}"/>
    <cellStyle name="Separador de milhares 3 2 3 3 4 2 2" xfId="11889" xr:uid="{00000000-0005-0000-0000-000015290000}"/>
    <cellStyle name="Separador de milhares 3 2 3 3 4 2 2 2" xfId="23016" xr:uid="{00000000-0005-0000-0000-000016290000}"/>
    <cellStyle name="Separador de milhares 3 2 3 3 4 2 3" xfId="11122" xr:uid="{00000000-0005-0000-0000-000017290000}"/>
    <cellStyle name="Separador de milhares 3 2 3 3 4 2 4" xfId="19062" xr:uid="{00000000-0005-0000-0000-000018290000}"/>
    <cellStyle name="Separador de milhares 3 2 3 3 4 3" xfId="12854" xr:uid="{00000000-0005-0000-0000-000019290000}"/>
    <cellStyle name="Separador de milhares 3 2 3 3 4 3 2" xfId="15682" xr:uid="{00000000-0005-0000-0000-00001A290000}"/>
    <cellStyle name="Separador de milhares 3 2 3 3 4 3 3" xfId="13656" xr:uid="{00000000-0005-0000-0000-00001B290000}"/>
    <cellStyle name="Separador de milhares 3 2 3 3 4 3 4" xfId="20943" xr:uid="{00000000-0005-0000-0000-00001C290000}"/>
    <cellStyle name="Separador de milhares 3 2 3 3 4 4" xfId="16928" xr:uid="{00000000-0005-0000-0000-00001D290000}"/>
    <cellStyle name="Separador de milhares 3 2 3 3 5" xfId="6722" xr:uid="{00000000-0005-0000-0000-00001E290000}"/>
    <cellStyle name="Separador de milhares 3 2 3 3 5 2" xfId="23695" xr:uid="{00000000-0005-0000-0000-00001F290000}"/>
    <cellStyle name="Separador de milhares 3 2 3 3 5 3" xfId="19757" xr:uid="{00000000-0005-0000-0000-000020290000}"/>
    <cellStyle name="Separador de milhares 3 2 3 3 6" xfId="5040" xr:uid="{00000000-0005-0000-0000-000021290000}"/>
    <cellStyle name="Separador de milhares 3 2 3 3 6 2" xfId="22048" xr:uid="{00000000-0005-0000-0000-000022290000}"/>
    <cellStyle name="Separador de milhares 3 2 3 3 6 3" xfId="18075" xr:uid="{00000000-0005-0000-0000-000023290000}"/>
    <cellStyle name="Separador de milhares 3 2 3 3 7" xfId="19948" xr:uid="{00000000-0005-0000-0000-000024290000}"/>
    <cellStyle name="Separador de milhares 3 2 3 3 8" xfId="15908" xr:uid="{00000000-0005-0000-0000-000025290000}"/>
    <cellStyle name="Separador de milhares 3 2 3 4" xfId="5906" xr:uid="{00000000-0005-0000-0000-000026290000}"/>
    <cellStyle name="Separador de milhares 3 2 3 4 2" xfId="11628" xr:uid="{00000000-0005-0000-0000-000027290000}"/>
    <cellStyle name="Separador de milhares 3 2 3 4 2 2" xfId="15054" xr:uid="{00000000-0005-0000-0000-000028290000}"/>
    <cellStyle name="Separador de milhares 3 2 3 4 2 3" xfId="13753" xr:uid="{00000000-0005-0000-0000-000029290000}"/>
    <cellStyle name="Separador de milhares 3 2 3 4 2 4" xfId="22901" xr:uid="{00000000-0005-0000-0000-00002A290000}"/>
    <cellStyle name="Separador de milhares 3 2 3 4 3" xfId="13334" xr:uid="{00000000-0005-0000-0000-00002B290000}"/>
    <cellStyle name="Separador de milhares 3 2 3 4 4" xfId="11706" xr:uid="{00000000-0005-0000-0000-00002C290000}"/>
    <cellStyle name="Separador de milhares 3 2 3 4 5" xfId="18941" xr:uid="{00000000-0005-0000-0000-00002D290000}"/>
    <cellStyle name="Separador de milhares 3 2 4" xfId="583" xr:uid="{00000000-0005-0000-0000-00002E290000}"/>
    <cellStyle name="Separador de milhares 3 2 4 10" xfId="8409" xr:uid="{00000000-0005-0000-0000-00002F290000}"/>
    <cellStyle name="Separador de milhares 3 2 4 10 2" xfId="13270" xr:uid="{00000000-0005-0000-0000-000030290000}"/>
    <cellStyle name="Separador de milhares 3 2 4 10 3" xfId="11271" xr:uid="{00000000-0005-0000-0000-000031290000}"/>
    <cellStyle name="Separador de milhares 3 2 4 2" xfId="853" xr:uid="{00000000-0005-0000-0000-000032290000}"/>
    <cellStyle name="Separador de milhares 3 2 4 2 2" xfId="2138" xr:uid="{00000000-0005-0000-0000-000033290000}"/>
    <cellStyle name="Separador de milhares 3 2 4 2 2 2" xfId="3267" xr:uid="{00000000-0005-0000-0000-000034290000}"/>
    <cellStyle name="Separador de milhares 3 2 4 2 2 2 2" xfId="4603" xr:uid="{00000000-0005-0000-0000-000035290000}"/>
    <cellStyle name="Separador de milhares 3 2 4 2 2 2 2 2" xfId="21643" xr:uid="{00000000-0005-0000-0000-000036290000}"/>
    <cellStyle name="Separador de milhares 3 2 4 2 2 2 2 3" xfId="17638" xr:uid="{00000000-0005-0000-0000-000037290000}"/>
    <cellStyle name="Separador de milhares 3 2 4 2 2 2 3" xfId="5436" xr:uid="{00000000-0005-0000-0000-000038290000}"/>
    <cellStyle name="Separador de milhares 3 2 4 2 2 2 3 2" xfId="11184" xr:uid="{00000000-0005-0000-0000-000039290000}"/>
    <cellStyle name="Separador de milhares 3 2 4 2 2 2 3 2 2" xfId="22435" xr:uid="{00000000-0005-0000-0000-00003A290000}"/>
    <cellStyle name="Separador de milhares 3 2 4 2 2 2 3 3" xfId="11909" xr:uid="{00000000-0005-0000-0000-00003B290000}"/>
    <cellStyle name="Separador de milhares 3 2 4 2 2 2 3 4" xfId="18471" xr:uid="{00000000-0005-0000-0000-00003C290000}"/>
    <cellStyle name="Separador de milhares 3 2 4 2 2 2 4" xfId="13627" xr:uid="{00000000-0005-0000-0000-00003D290000}"/>
    <cellStyle name="Separador de milhares 3 2 4 2 2 2 4 2" xfId="20335" xr:uid="{00000000-0005-0000-0000-00003E290000}"/>
    <cellStyle name="Separador de milhares 3 2 4 2 2 2 5" xfId="16311" xr:uid="{00000000-0005-0000-0000-00003F290000}"/>
    <cellStyle name="Separador de milhares 3 2 4 2 2 3" xfId="3861" xr:uid="{00000000-0005-0000-0000-000040290000}"/>
    <cellStyle name="Separador de milhares 3 2 4 2 2 3 2" xfId="6166" xr:uid="{00000000-0005-0000-0000-000041290000}"/>
    <cellStyle name="Separador de milhares 3 2 4 2 2 3 2 2" xfId="12967" xr:uid="{00000000-0005-0000-0000-000042290000}"/>
    <cellStyle name="Separador de milhares 3 2 4 2 2 3 2 2 2" xfId="23148" xr:uid="{00000000-0005-0000-0000-000043290000}"/>
    <cellStyle name="Separador de milhares 3 2 4 2 2 3 2 3" xfId="12451" xr:uid="{00000000-0005-0000-0000-000044290000}"/>
    <cellStyle name="Separador de milhares 3 2 4 2 2 3 2 4" xfId="19201" xr:uid="{00000000-0005-0000-0000-000045290000}"/>
    <cellStyle name="Separador de milhares 3 2 4 2 2 3 3" xfId="10958" xr:uid="{00000000-0005-0000-0000-000046290000}"/>
    <cellStyle name="Separador de milhares 3 2 4 2 2 3 3 2" xfId="20922" xr:uid="{00000000-0005-0000-0000-000047290000}"/>
    <cellStyle name="Separador de milhares 3 2 4 2 2 3 4" xfId="16903" xr:uid="{00000000-0005-0000-0000-000048290000}"/>
    <cellStyle name="Separador de milhares 3 2 4 2 2 4" xfId="8410" xr:uid="{00000000-0005-0000-0000-000049290000}"/>
    <cellStyle name="Separador de milhares 3 2 4 2 3" xfId="3138" xr:uid="{00000000-0005-0000-0000-00004A290000}"/>
    <cellStyle name="Separador de milhares 3 2 4 2 3 2" xfId="3991" xr:uid="{00000000-0005-0000-0000-00004B290000}"/>
    <cellStyle name="Separador de milhares 3 2 4 2 3 2 2" xfId="6538" xr:uid="{00000000-0005-0000-0000-00004C290000}"/>
    <cellStyle name="Separador de milhares 3 2 4 2 3 2 2 2" xfId="23520" xr:uid="{00000000-0005-0000-0000-00004D290000}"/>
    <cellStyle name="Separador de milhares 3 2 4 2 3 2 2 3" xfId="19573" xr:uid="{00000000-0005-0000-0000-00004E290000}"/>
    <cellStyle name="Separador de milhares 3 2 4 2 3 2 3" xfId="21047" xr:uid="{00000000-0005-0000-0000-00004F290000}"/>
    <cellStyle name="Separador de milhares 3 2 4 2 3 2 4" xfId="17033" xr:uid="{00000000-0005-0000-0000-000050290000}"/>
    <cellStyle name="Separador de milhares 3 2 4 2 3 3" xfId="5307" xr:uid="{00000000-0005-0000-0000-000051290000}"/>
    <cellStyle name="Separador de milhares 3 2 4 2 3 3 2" xfId="12473" xr:uid="{00000000-0005-0000-0000-000052290000}"/>
    <cellStyle name="Separador de milhares 3 2 4 2 3 3 2 2" xfId="22306" xr:uid="{00000000-0005-0000-0000-000053290000}"/>
    <cellStyle name="Separador de milhares 3 2 4 2 3 3 3" xfId="12310" xr:uid="{00000000-0005-0000-0000-000054290000}"/>
    <cellStyle name="Separador de milhares 3 2 4 2 3 3 4" xfId="18342" xr:uid="{00000000-0005-0000-0000-000055290000}"/>
    <cellStyle name="Separador de milhares 3 2 4 2 3 4" xfId="13606" xr:uid="{00000000-0005-0000-0000-000056290000}"/>
    <cellStyle name="Separador de milhares 3 2 4 2 3 4 2" xfId="20206" xr:uid="{00000000-0005-0000-0000-000057290000}"/>
    <cellStyle name="Separador de milhares 3 2 4 2 3 5" xfId="13403" xr:uid="{00000000-0005-0000-0000-000058290000}"/>
    <cellStyle name="Separador de milhares 3 2 4 2 3 6" xfId="16182" xr:uid="{00000000-0005-0000-0000-000059290000}"/>
    <cellStyle name="Separador de milhares 3 2 4 2 4" xfId="3887" xr:uid="{00000000-0005-0000-0000-00005A290000}"/>
    <cellStyle name="Separador de milhares 3 2 4 2 4 2" xfId="6028" xr:uid="{00000000-0005-0000-0000-00005B290000}"/>
    <cellStyle name="Separador de milhares 3 2 4 2 4 2 2" xfId="23017" xr:uid="{00000000-0005-0000-0000-00005C290000}"/>
    <cellStyle name="Separador de milhares 3 2 4 2 4 2 3" xfId="19063" xr:uid="{00000000-0005-0000-0000-00005D290000}"/>
    <cellStyle name="Separador de milhares 3 2 4 2 4 3" xfId="20944" xr:uid="{00000000-0005-0000-0000-00005E290000}"/>
    <cellStyle name="Separador de milhares 3 2 4 2 4 4" xfId="16929" xr:uid="{00000000-0005-0000-0000-00005F290000}"/>
    <cellStyle name="Separador de milhares 3 2 4 2 5" xfId="6723" xr:uid="{00000000-0005-0000-0000-000060290000}"/>
    <cellStyle name="Separador de milhares 3 2 4 2 5 2" xfId="23696" xr:uid="{00000000-0005-0000-0000-000061290000}"/>
    <cellStyle name="Separador de milhares 3 2 4 2 5 3" xfId="19758" xr:uid="{00000000-0005-0000-0000-000062290000}"/>
    <cellStyle name="Separador de milhares 3 2 4 2 6" xfId="5041" xr:uid="{00000000-0005-0000-0000-000063290000}"/>
    <cellStyle name="Separador de milhares 3 2 4 2 6 2" xfId="22049" xr:uid="{00000000-0005-0000-0000-000064290000}"/>
    <cellStyle name="Separador de milhares 3 2 4 2 6 3" xfId="18076" xr:uid="{00000000-0005-0000-0000-000065290000}"/>
    <cellStyle name="Separador de milhares 3 2 4 2 7" xfId="19949" xr:uid="{00000000-0005-0000-0000-000066290000}"/>
    <cellStyle name="Separador de milhares 3 2 4 2 8" xfId="15909" xr:uid="{00000000-0005-0000-0000-000067290000}"/>
    <cellStyle name="Separador de milhares 3 2 4 3" xfId="2139" xr:uid="{00000000-0005-0000-0000-000068290000}"/>
    <cellStyle name="Separador de milhares 3 2 4 3 2" xfId="3268" xr:uid="{00000000-0005-0000-0000-000069290000}"/>
    <cellStyle name="Separador de milhares 3 2 4 3 2 2" xfId="4604" xr:uid="{00000000-0005-0000-0000-00006A290000}"/>
    <cellStyle name="Separador de milhares 3 2 4 3 2 2 2" xfId="21644" xr:uid="{00000000-0005-0000-0000-00006B290000}"/>
    <cellStyle name="Separador de milhares 3 2 4 3 2 2 3" xfId="17639" xr:uid="{00000000-0005-0000-0000-00006C290000}"/>
    <cellStyle name="Separador de milhares 3 2 4 3 2 3" xfId="5437" xr:uid="{00000000-0005-0000-0000-00006D290000}"/>
    <cellStyle name="Separador de milhares 3 2 4 3 2 3 2" xfId="22436" xr:uid="{00000000-0005-0000-0000-00006E290000}"/>
    <cellStyle name="Separador de milhares 3 2 4 3 2 3 3" xfId="18472" xr:uid="{00000000-0005-0000-0000-00006F290000}"/>
    <cellStyle name="Separador de milhares 3 2 4 3 2 4" xfId="20336" xr:uid="{00000000-0005-0000-0000-000070290000}"/>
    <cellStyle name="Separador de milhares 3 2 4 3 2 5" xfId="16312" xr:uid="{00000000-0005-0000-0000-000071290000}"/>
    <cellStyle name="Separador de milhares 3 2 4 3 3" xfId="3803" xr:uid="{00000000-0005-0000-0000-000072290000}"/>
    <cellStyle name="Separador de milhares 3 2 4 3 3 2" xfId="6167" xr:uid="{00000000-0005-0000-0000-000073290000}"/>
    <cellStyle name="Separador de milhares 3 2 4 3 3 2 2" xfId="23149" xr:uid="{00000000-0005-0000-0000-000074290000}"/>
    <cellStyle name="Separador de milhares 3 2 4 3 3 2 3" xfId="19202" xr:uid="{00000000-0005-0000-0000-000075290000}"/>
    <cellStyle name="Separador de milhares 3 2 4 3 3 3" xfId="20865" xr:uid="{00000000-0005-0000-0000-000076290000}"/>
    <cellStyle name="Separador de milhares 3 2 4 3 3 4" xfId="16845" xr:uid="{00000000-0005-0000-0000-000077290000}"/>
    <cellStyle name="Separador de milhares 3 2 4 4" xfId="2140" xr:uid="{00000000-0005-0000-0000-000078290000}"/>
    <cellStyle name="Separador de milhares 3 2 4 4 2" xfId="3269" xr:uid="{00000000-0005-0000-0000-000079290000}"/>
    <cellStyle name="Separador de milhares 3 2 4 4 2 2" xfId="4605" xr:uid="{00000000-0005-0000-0000-00007A290000}"/>
    <cellStyle name="Separador de milhares 3 2 4 4 2 2 2" xfId="21645" xr:uid="{00000000-0005-0000-0000-00007B290000}"/>
    <cellStyle name="Separador de milhares 3 2 4 4 2 2 3" xfId="17640" xr:uid="{00000000-0005-0000-0000-00007C290000}"/>
    <cellStyle name="Separador de milhares 3 2 4 4 2 3" xfId="5438" xr:uid="{00000000-0005-0000-0000-00007D290000}"/>
    <cellStyle name="Separador de milhares 3 2 4 4 2 3 2" xfId="22437" xr:uid="{00000000-0005-0000-0000-00007E290000}"/>
    <cellStyle name="Separador de milhares 3 2 4 4 2 3 3" xfId="18473" xr:uid="{00000000-0005-0000-0000-00007F290000}"/>
    <cellStyle name="Separador de milhares 3 2 4 4 2 4" xfId="20337" xr:uid="{00000000-0005-0000-0000-000080290000}"/>
    <cellStyle name="Separador de milhares 3 2 4 4 2 5" xfId="16313" xr:uid="{00000000-0005-0000-0000-000081290000}"/>
    <cellStyle name="Separador de milhares 3 2 4 4 3" xfId="4338" xr:uid="{00000000-0005-0000-0000-000082290000}"/>
    <cellStyle name="Separador de milhares 3 2 4 4 3 2" xfId="6168" xr:uid="{00000000-0005-0000-0000-000083290000}"/>
    <cellStyle name="Separador de milhares 3 2 4 4 3 2 2" xfId="23150" xr:uid="{00000000-0005-0000-0000-000084290000}"/>
    <cellStyle name="Separador de milhares 3 2 4 4 3 2 3" xfId="19203" xr:uid="{00000000-0005-0000-0000-000085290000}"/>
    <cellStyle name="Separador de milhares 3 2 4 4 3 3" xfId="21382" xr:uid="{00000000-0005-0000-0000-000086290000}"/>
    <cellStyle name="Separador de milhares 3 2 4 4 3 4" xfId="17375" xr:uid="{00000000-0005-0000-0000-000087290000}"/>
    <cellStyle name="Separador de milhares 3 2 4 5" xfId="2141" xr:uid="{00000000-0005-0000-0000-000088290000}"/>
    <cellStyle name="Separador de milhares 3 2 4 5 2" xfId="3270" xr:uid="{00000000-0005-0000-0000-000089290000}"/>
    <cellStyle name="Separador de milhares 3 2 4 5 2 2" xfId="4606" xr:uid="{00000000-0005-0000-0000-00008A290000}"/>
    <cellStyle name="Separador de milhares 3 2 4 5 2 2 2" xfId="21646" xr:uid="{00000000-0005-0000-0000-00008B290000}"/>
    <cellStyle name="Separador de milhares 3 2 4 5 2 2 3" xfId="17641" xr:uid="{00000000-0005-0000-0000-00008C290000}"/>
    <cellStyle name="Separador de milhares 3 2 4 5 2 3" xfId="5439" xr:uid="{00000000-0005-0000-0000-00008D290000}"/>
    <cellStyle name="Separador de milhares 3 2 4 5 2 3 2" xfId="22438" xr:uid="{00000000-0005-0000-0000-00008E290000}"/>
    <cellStyle name="Separador de milhares 3 2 4 5 2 3 3" xfId="18474" xr:uid="{00000000-0005-0000-0000-00008F290000}"/>
    <cellStyle name="Separador de milhares 3 2 4 5 2 4" xfId="20338" xr:uid="{00000000-0005-0000-0000-000090290000}"/>
    <cellStyle name="Separador de milhares 3 2 4 5 2 5" xfId="16314" xr:uid="{00000000-0005-0000-0000-000091290000}"/>
    <cellStyle name="Separador de milhares 3 2 4 5 3" xfId="3875" xr:uid="{00000000-0005-0000-0000-000092290000}"/>
    <cellStyle name="Separador de milhares 3 2 4 5 3 2" xfId="6169" xr:uid="{00000000-0005-0000-0000-000093290000}"/>
    <cellStyle name="Separador de milhares 3 2 4 5 3 2 2" xfId="23151" xr:uid="{00000000-0005-0000-0000-000094290000}"/>
    <cellStyle name="Separador de milhares 3 2 4 5 3 2 3" xfId="19204" xr:uid="{00000000-0005-0000-0000-000095290000}"/>
    <cellStyle name="Separador de milhares 3 2 4 5 3 3" xfId="20936" xr:uid="{00000000-0005-0000-0000-000096290000}"/>
    <cellStyle name="Separador de milhares 3 2 4 5 3 4" xfId="16917" xr:uid="{00000000-0005-0000-0000-000097290000}"/>
    <cellStyle name="Separador de milhares 3 2 4 6" xfId="2137" xr:uid="{00000000-0005-0000-0000-000098290000}"/>
    <cellStyle name="Separador de milhares 3 2 4 6 2" xfId="3266" xr:uid="{00000000-0005-0000-0000-000099290000}"/>
    <cellStyle name="Separador de milhares 3 2 4 6 2 2" xfId="4602" xr:uid="{00000000-0005-0000-0000-00009A290000}"/>
    <cellStyle name="Separador de milhares 3 2 4 6 2 2 2" xfId="21642" xr:uid="{00000000-0005-0000-0000-00009B290000}"/>
    <cellStyle name="Separador de milhares 3 2 4 6 2 2 3" xfId="17637" xr:uid="{00000000-0005-0000-0000-00009C290000}"/>
    <cellStyle name="Separador de milhares 3 2 4 6 2 3" xfId="5435" xr:uid="{00000000-0005-0000-0000-00009D290000}"/>
    <cellStyle name="Separador de milhares 3 2 4 6 2 3 2" xfId="22434" xr:uid="{00000000-0005-0000-0000-00009E290000}"/>
    <cellStyle name="Separador de milhares 3 2 4 6 2 3 3" xfId="18470" xr:uid="{00000000-0005-0000-0000-00009F290000}"/>
    <cellStyle name="Separador de milhares 3 2 4 6 2 4" xfId="20334" xr:uid="{00000000-0005-0000-0000-0000A0290000}"/>
    <cellStyle name="Separador de milhares 3 2 4 6 2 5" xfId="16310" xr:uid="{00000000-0005-0000-0000-0000A1290000}"/>
    <cellStyle name="Separador de milhares 3 2 4 6 3" xfId="3786" xr:uid="{00000000-0005-0000-0000-0000A2290000}"/>
    <cellStyle name="Separador de milhares 3 2 4 6 3 2" xfId="6165" xr:uid="{00000000-0005-0000-0000-0000A3290000}"/>
    <cellStyle name="Separador de milhares 3 2 4 6 3 2 2" xfId="23147" xr:uid="{00000000-0005-0000-0000-0000A4290000}"/>
    <cellStyle name="Separador de milhares 3 2 4 6 3 2 3" xfId="19200" xr:uid="{00000000-0005-0000-0000-0000A5290000}"/>
    <cellStyle name="Separador de milhares 3 2 4 6 3 3" xfId="20848" xr:uid="{00000000-0005-0000-0000-0000A6290000}"/>
    <cellStyle name="Separador de milhares 3 2 4 6 3 4" xfId="16828" xr:uid="{00000000-0005-0000-0000-0000A7290000}"/>
    <cellStyle name="Separador de milhares 3 2 4 7" xfId="5929" xr:uid="{00000000-0005-0000-0000-0000A8290000}"/>
    <cellStyle name="Separador de milhares 3 2 4 7 2" xfId="11522" xr:uid="{00000000-0005-0000-0000-0000A9290000}"/>
    <cellStyle name="Separador de milhares 3 2 4 7 2 2" xfId="15035" xr:uid="{00000000-0005-0000-0000-0000AA290000}"/>
    <cellStyle name="Separador de milhares 3 2 4 7 2 3" xfId="13755" xr:uid="{00000000-0005-0000-0000-0000AB290000}"/>
    <cellStyle name="Separador de milhares 3 2 4 7 2 4" xfId="22923" xr:uid="{00000000-0005-0000-0000-0000AC290000}"/>
    <cellStyle name="Separador de milhares 3 2 4 7 3" xfId="11948" xr:uid="{00000000-0005-0000-0000-0000AD290000}"/>
    <cellStyle name="Separador de milhares 3 2 4 7 4" xfId="12002" xr:uid="{00000000-0005-0000-0000-0000AE290000}"/>
    <cellStyle name="Separador de milhares 3 2 4 7 5" xfId="18964" xr:uid="{00000000-0005-0000-0000-0000AF290000}"/>
    <cellStyle name="Separador de milhares 3 2 4 8" xfId="8411" xr:uid="{00000000-0005-0000-0000-0000B0290000}"/>
    <cellStyle name="Separador de milhares 3 2 4 8 2" xfId="12312" xr:uid="{00000000-0005-0000-0000-0000B1290000}"/>
    <cellStyle name="Separador de milhares 3 2 4 8 3" xfId="11349" xr:uid="{00000000-0005-0000-0000-0000B2290000}"/>
    <cellStyle name="Separador de milhares 3 2 4 9" xfId="8412" xr:uid="{00000000-0005-0000-0000-0000B3290000}"/>
    <cellStyle name="Separador de milhares 3 2 4 9 2" xfId="12311" xr:uid="{00000000-0005-0000-0000-0000B4290000}"/>
    <cellStyle name="Separador de milhares 3 2 4 9 3" xfId="11350" xr:uid="{00000000-0005-0000-0000-0000B5290000}"/>
    <cellStyle name="Separador de milhares 3 2 5" xfId="584" xr:uid="{00000000-0005-0000-0000-0000B6290000}"/>
    <cellStyle name="Separador de milhares 3 2 5 2" xfId="854" xr:uid="{00000000-0005-0000-0000-0000B7290000}"/>
    <cellStyle name="Separador de milhares 3 2 5 2 2" xfId="2143" xr:uid="{00000000-0005-0000-0000-0000B8290000}"/>
    <cellStyle name="Separador de milhares 3 2 5 2 2 2" xfId="3272" xr:uid="{00000000-0005-0000-0000-0000B9290000}"/>
    <cellStyle name="Separador de milhares 3 2 5 2 2 2 2" xfId="4608" xr:uid="{00000000-0005-0000-0000-0000BA290000}"/>
    <cellStyle name="Separador de milhares 3 2 5 2 2 2 2 2" xfId="21648" xr:uid="{00000000-0005-0000-0000-0000BB290000}"/>
    <cellStyle name="Separador de milhares 3 2 5 2 2 2 2 3" xfId="17643" xr:uid="{00000000-0005-0000-0000-0000BC290000}"/>
    <cellStyle name="Separador de milhares 3 2 5 2 2 2 3" xfId="5441" xr:uid="{00000000-0005-0000-0000-0000BD290000}"/>
    <cellStyle name="Separador de milhares 3 2 5 2 2 2 3 2" xfId="22440" xr:uid="{00000000-0005-0000-0000-0000BE290000}"/>
    <cellStyle name="Separador de milhares 3 2 5 2 2 2 3 3" xfId="18476" xr:uid="{00000000-0005-0000-0000-0000BF290000}"/>
    <cellStyle name="Separador de milhares 3 2 5 2 2 2 4" xfId="20340" xr:uid="{00000000-0005-0000-0000-0000C0290000}"/>
    <cellStyle name="Separador de milhares 3 2 5 2 2 2 5" xfId="16316" xr:uid="{00000000-0005-0000-0000-0000C1290000}"/>
    <cellStyle name="Separador de milhares 3 2 5 2 2 3" xfId="3797" xr:uid="{00000000-0005-0000-0000-0000C2290000}"/>
    <cellStyle name="Separador de milhares 3 2 5 2 2 3 2" xfId="6171" xr:uid="{00000000-0005-0000-0000-0000C3290000}"/>
    <cellStyle name="Separador de milhares 3 2 5 2 2 3 2 2" xfId="23153" xr:uid="{00000000-0005-0000-0000-0000C4290000}"/>
    <cellStyle name="Separador de milhares 3 2 5 2 2 3 2 3" xfId="19206" xr:uid="{00000000-0005-0000-0000-0000C5290000}"/>
    <cellStyle name="Separador de milhares 3 2 5 2 2 3 3" xfId="20859" xr:uid="{00000000-0005-0000-0000-0000C6290000}"/>
    <cellStyle name="Separador de milhares 3 2 5 2 2 3 4" xfId="16839" xr:uid="{00000000-0005-0000-0000-0000C7290000}"/>
    <cellStyle name="Separador de milhares 3 2 5 2 2 4" xfId="13508" xr:uid="{00000000-0005-0000-0000-0000C8290000}"/>
    <cellStyle name="Separador de milhares 3 2 5 2 2 5" xfId="13404" xr:uid="{00000000-0005-0000-0000-0000C9290000}"/>
    <cellStyle name="Separador de milhares 3 2 5 2 3" xfId="3139" xr:uid="{00000000-0005-0000-0000-0000CA290000}"/>
    <cellStyle name="Separador de milhares 3 2 5 2 3 2" xfId="3869" xr:uid="{00000000-0005-0000-0000-0000CB290000}"/>
    <cellStyle name="Separador de milhares 3 2 5 2 3 2 2" xfId="6539" xr:uid="{00000000-0005-0000-0000-0000CC290000}"/>
    <cellStyle name="Separador de milhares 3 2 5 2 3 2 2 2" xfId="23521" xr:uid="{00000000-0005-0000-0000-0000CD290000}"/>
    <cellStyle name="Separador de milhares 3 2 5 2 3 2 2 3" xfId="19574" xr:uid="{00000000-0005-0000-0000-0000CE290000}"/>
    <cellStyle name="Separador de milhares 3 2 5 2 3 2 3" xfId="20930" xr:uid="{00000000-0005-0000-0000-0000CF290000}"/>
    <cellStyle name="Separador de milhares 3 2 5 2 3 2 4" xfId="16911" xr:uid="{00000000-0005-0000-0000-0000D0290000}"/>
    <cellStyle name="Separador de milhares 3 2 5 2 3 3" xfId="5308" xr:uid="{00000000-0005-0000-0000-0000D1290000}"/>
    <cellStyle name="Separador de milhares 3 2 5 2 3 3 2" xfId="12474" xr:uid="{00000000-0005-0000-0000-0000D2290000}"/>
    <cellStyle name="Separador de milhares 3 2 5 2 3 3 2 2" xfId="22307" xr:uid="{00000000-0005-0000-0000-0000D3290000}"/>
    <cellStyle name="Separador de milhares 3 2 5 2 3 3 3" xfId="11781" xr:uid="{00000000-0005-0000-0000-0000D4290000}"/>
    <cellStyle name="Separador de milhares 3 2 5 2 3 3 4" xfId="18343" xr:uid="{00000000-0005-0000-0000-0000D5290000}"/>
    <cellStyle name="Separador de milhares 3 2 5 2 3 4" xfId="20207" xr:uid="{00000000-0005-0000-0000-0000D6290000}"/>
    <cellStyle name="Separador de milhares 3 2 5 2 3 5" xfId="16183" xr:uid="{00000000-0005-0000-0000-0000D7290000}"/>
    <cellStyle name="Separador de milhares 3 2 5 2 4" xfId="3888" xr:uid="{00000000-0005-0000-0000-0000D8290000}"/>
    <cellStyle name="Separador de milhares 3 2 5 2 4 2" xfId="6029" xr:uid="{00000000-0005-0000-0000-0000D9290000}"/>
    <cellStyle name="Separador de milhares 3 2 5 2 4 2 2" xfId="23018" xr:uid="{00000000-0005-0000-0000-0000DA290000}"/>
    <cellStyle name="Separador de milhares 3 2 5 2 4 2 3" xfId="19064" xr:uid="{00000000-0005-0000-0000-0000DB290000}"/>
    <cellStyle name="Separador de milhares 3 2 5 2 4 3" xfId="20945" xr:uid="{00000000-0005-0000-0000-0000DC290000}"/>
    <cellStyle name="Separador de milhares 3 2 5 2 4 4" xfId="16930" xr:uid="{00000000-0005-0000-0000-0000DD290000}"/>
    <cellStyle name="Separador de milhares 3 2 5 2 5" xfId="6724" xr:uid="{00000000-0005-0000-0000-0000DE290000}"/>
    <cellStyle name="Separador de milhares 3 2 5 2 5 2" xfId="23697" xr:uid="{00000000-0005-0000-0000-0000DF290000}"/>
    <cellStyle name="Separador de milhares 3 2 5 2 5 3" xfId="19759" xr:uid="{00000000-0005-0000-0000-0000E0290000}"/>
    <cellStyle name="Separador de milhares 3 2 5 2 6" xfId="5042" xr:uid="{00000000-0005-0000-0000-0000E1290000}"/>
    <cellStyle name="Separador de milhares 3 2 5 2 6 2" xfId="22050" xr:uid="{00000000-0005-0000-0000-0000E2290000}"/>
    <cellStyle name="Separador de milhares 3 2 5 2 6 3" xfId="18077" xr:uid="{00000000-0005-0000-0000-0000E3290000}"/>
    <cellStyle name="Separador de milhares 3 2 5 2 7" xfId="19950" xr:uid="{00000000-0005-0000-0000-0000E4290000}"/>
    <cellStyle name="Separador de milhares 3 2 5 2 8" xfId="15910" xr:uid="{00000000-0005-0000-0000-0000E5290000}"/>
    <cellStyle name="Separador de milhares 3 2 5 3" xfId="2144" xr:uid="{00000000-0005-0000-0000-0000E6290000}"/>
    <cellStyle name="Separador de milhares 3 2 5 3 2" xfId="3273" xr:uid="{00000000-0005-0000-0000-0000E7290000}"/>
    <cellStyle name="Separador de milhares 3 2 5 3 2 2" xfId="4609" xr:uid="{00000000-0005-0000-0000-0000E8290000}"/>
    <cellStyle name="Separador de milhares 3 2 5 3 2 2 2" xfId="21649" xr:uid="{00000000-0005-0000-0000-0000E9290000}"/>
    <cellStyle name="Separador de milhares 3 2 5 3 2 2 3" xfId="17644" xr:uid="{00000000-0005-0000-0000-0000EA290000}"/>
    <cellStyle name="Separador de milhares 3 2 5 3 2 3" xfId="5442" xr:uid="{00000000-0005-0000-0000-0000EB290000}"/>
    <cellStyle name="Separador de milhares 3 2 5 3 2 3 2" xfId="22441" xr:uid="{00000000-0005-0000-0000-0000EC290000}"/>
    <cellStyle name="Separador de milhares 3 2 5 3 2 3 3" xfId="18477" xr:uid="{00000000-0005-0000-0000-0000ED290000}"/>
    <cellStyle name="Separador de milhares 3 2 5 3 2 4" xfId="20341" xr:uid="{00000000-0005-0000-0000-0000EE290000}"/>
    <cellStyle name="Separador de milhares 3 2 5 3 2 5" xfId="16317" xr:uid="{00000000-0005-0000-0000-0000EF290000}"/>
    <cellStyle name="Separador de milhares 3 2 5 3 3" xfId="3702" xr:uid="{00000000-0005-0000-0000-0000F0290000}"/>
    <cellStyle name="Separador de milhares 3 2 5 3 3 2" xfId="6172" xr:uid="{00000000-0005-0000-0000-0000F1290000}"/>
    <cellStyle name="Separador de milhares 3 2 5 3 3 2 2" xfId="23154" xr:uid="{00000000-0005-0000-0000-0000F2290000}"/>
    <cellStyle name="Separador de milhares 3 2 5 3 3 2 3" xfId="19207" xr:uid="{00000000-0005-0000-0000-0000F3290000}"/>
    <cellStyle name="Separador de milhares 3 2 5 3 3 3" xfId="20770" xr:uid="{00000000-0005-0000-0000-0000F4290000}"/>
    <cellStyle name="Separador de milhares 3 2 5 3 3 4" xfId="16746" xr:uid="{00000000-0005-0000-0000-0000F5290000}"/>
    <cellStyle name="Separador de milhares 3 2 5 4" xfId="2145" xr:uid="{00000000-0005-0000-0000-0000F6290000}"/>
    <cellStyle name="Separador de milhares 3 2 5 4 2" xfId="3274" xr:uid="{00000000-0005-0000-0000-0000F7290000}"/>
    <cellStyle name="Separador de milhares 3 2 5 4 2 2" xfId="4610" xr:uid="{00000000-0005-0000-0000-0000F8290000}"/>
    <cellStyle name="Separador de milhares 3 2 5 4 2 2 2" xfId="21650" xr:uid="{00000000-0005-0000-0000-0000F9290000}"/>
    <cellStyle name="Separador de milhares 3 2 5 4 2 2 3" xfId="17645" xr:uid="{00000000-0005-0000-0000-0000FA290000}"/>
    <cellStyle name="Separador de milhares 3 2 5 4 2 3" xfId="5443" xr:uid="{00000000-0005-0000-0000-0000FB290000}"/>
    <cellStyle name="Separador de milhares 3 2 5 4 2 3 2" xfId="22442" xr:uid="{00000000-0005-0000-0000-0000FC290000}"/>
    <cellStyle name="Separador de milhares 3 2 5 4 2 3 3" xfId="18478" xr:uid="{00000000-0005-0000-0000-0000FD290000}"/>
    <cellStyle name="Separador de milhares 3 2 5 4 2 4" xfId="20342" xr:uid="{00000000-0005-0000-0000-0000FE290000}"/>
    <cellStyle name="Separador de milhares 3 2 5 4 2 5" xfId="16318" xr:uid="{00000000-0005-0000-0000-0000FF290000}"/>
    <cellStyle name="Separador de milhares 3 2 5 4 3" xfId="4249" xr:uid="{00000000-0005-0000-0000-0000002A0000}"/>
    <cellStyle name="Separador de milhares 3 2 5 4 3 2" xfId="6173" xr:uid="{00000000-0005-0000-0000-0000012A0000}"/>
    <cellStyle name="Separador de milhares 3 2 5 4 3 2 2" xfId="23155" xr:uid="{00000000-0005-0000-0000-0000022A0000}"/>
    <cellStyle name="Separador de milhares 3 2 5 4 3 2 3" xfId="19208" xr:uid="{00000000-0005-0000-0000-0000032A0000}"/>
    <cellStyle name="Separador de milhares 3 2 5 4 3 3" xfId="21293" xr:uid="{00000000-0005-0000-0000-0000042A0000}"/>
    <cellStyle name="Separador de milhares 3 2 5 4 3 4" xfId="17286" xr:uid="{00000000-0005-0000-0000-0000052A0000}"/>
    <cellStyle name="Separador de milhares 3 2 5 5" xfId="2142" xr:uid="{00000000-0005-0000-0000-0000062A0000}"/>
    <cellStyle name="Separador de milhares 3 2 5 5 2" xfId="3271" xr:uid="{00000000-0005-0000-0000-0000072A0000}"/>
    <cellStyle name="Separador de milhares 3 2 5 5 2 2" xfId="4607" xr:uid="{00000000-0005-0000-0000-0000082A0000}"/>
    <cellStyle name="Separador de milhares 3 2 5 5 2 2 2" xfId="21647" xr:uid="{00000000-0005-0000-0000-0000092A0000}"/>
    <cellStyle name="Separador de milhares 3 2 5 5 2 2 3" xfId="17642" xr:uid="{00000000-0005-0000-0000-00000A2A0000}"/>
    <cellStyle name="Separador de milhares 3 2 5 5 2 3" xfId="5440" xr:uid="{00000000-0005-0000-0000-00000B2A0000}"/>
    <cellStyle name="Separador de milhares 3 2 5 5 2 3 2" xfId="22439" xr:uid="{00000000-0005-0000-0000-00000C2A0000}"/>
    <cellStyle name="Separador de milhares 3 2 5 5 2 3 3" xfId="18475" xr:uid="{00000000-0005-0000-0000-00000D2A0000}"/>
    <cellStyle name="Separador de milhares 3 2 5 5 2 4" xfId="20339" xr:uid="{00000000-0005-0000-0000-00000E2A0000}"/>
    <cellStyle name="Separador de milhares 3 2 5 5 2 5" xfId="16315" xr:uid="{00000000-0005-0000-0000-00000F2A0000}"/>
    <cellStyle name="Separador de milhares 3 2 5 5 3" xfId="4028" xr:uid="{00000000-0005-0000-0000-0000102A0000}"/>
    <cellStyle name="Separador de milhares 3 2 5 5 3 2" xfId="6170" xr:uid="{00000000-0005-0000-0000-0000112A0000}"/>
    <cellStyle name="Separador de milhares 3 2 5 5 3 2 2" xfId="23152" xr:uid="{00000000-0005-0000-0000-0000122A0000}"/>
    <cellStyle name="Separador de milhares 3 2 5 5 3 2 3" xfId="19205" xr:uid="{00000000-0005-0000-0000-0000132A0000}"/>
    <cellStyle name="Separador de milhares 3 2 5 5 3 3" xfId="21077" xr:uid="{00000000-0005-0000-0000-0000142A0000}"/>
    <cellStyle name="Separador de milhares 3 2 5 5 3 4" xfId="17069" xr:uid="{00000000-0005-0000-0000-0000152A0000}"/>
    <cellStyle name="Separador de milhares 3 2 5 6" xfId="5930" xr:uid="{00000000-0005-0000-0000-0000162A0000}"/>
    <cellStyle name="Separador de milhares 3 2 5 6 2" xfId="22924" xr:uid="{00000000-0005-0000-0000-0000172A0000}"/>
    <cellStyle name="Separador de milhares 3 2 5 6 3" xfId="18965" xr:uid="{00000000-0005-0000-0000-0000182A0000}"/>
    <cellStyle name="Separador de milhares 3 2 6" xfId="855" xr:uid="{00000000-0005-0000-0000-0000192A0000}"/>
    <cellStyle name="Separador de milhares 3 2 6 2" xfId="1078" xr:uid="{00000000-0005-0000-0000-00001A2A0000}"/>
    <cellStyle name="Separador de milhares 3 2 6 2 2" xfId="3210" xr:uid="{00000000-0005-0000-0000-00001B2A0000}"/>
    <cellStyle name="Separador de milhares 3 2 6 2 2 2" xfId="4552" xr:uid="{00000000-0005-0000-0000-00001C2A0000}"/>
    <cellStyle name="Separador de milhares 3 2 6 2 2 2 2" xfId="21592" xr:uid="{00000000-0005-0000-0000-00001D2A0000}"/>
    <cellStyle name="Separador de milhares 3 2 6 2 2 2 3" xfId="17587" xr:uid="{00000000-0005-0000-0000-00001E2A0000}"/>
    <cellStyle name="Separador de milhares 3 2 6 2 2 3" xfId="5379" xr:uid="{00000000-0005-0000-0000-00001F2A0000}"/>
    <cellStyle name="Separador de milhares 3 2 6 2 2 3 2" xfId="22378" xr:uid="{00000000-0005-0000-0000-0000202A0000}"/>
    <cellStyle name="Separador de milhares 3 2 6 2 2 3 3" xfId="18414" xr:uid="{00000000-0005-0000-0000-0000212A0000}"/>
    <cellStyle name="Separador de milhares 3 2 6 2 2 4" xfId="20278" xr:uid="{00000000-0005-0000-0000-0000222A0000}"/>
    <cellStyle name="Separador de milhares 3 2 6 2 2 5" xfId="16254" xr:uid="{00000000-0005-0000-0000-0000232A0000}"/>
    <cellStyle name="Separador de milhares 3 2 6 2 3" xfId="3742" xr:uid="{00000000-0005-0000-0000-0000242A0000}"/>
    <cellStyle name="Separador de milhares 3 2 6 2 3 2" xfId="6103" xr:uid="{00000000-0005-0000-0000-0000252A0000}"/>
    <cellStyle name="Separador de milhares 3 2 6 2 3 2 2" xfId="23091" xr:uid="{00000000-0005-0000-0000-0000262A0000}"/>
    <cellStyle name="Separador de milhares 3 2 6 2 3 2 3" xfId="19138" xr:uid="{00000000-0005-0000-0000-0000272A0000}"/>
    <cellStyle name="Separador de milhares 3 2 6 2 3 3" xfId="20806" xr:uid="{00000000-0005-0000-0000-0000282A0000}"/>
    <cellStyle name="Separador de milhares 3 2 6 2 3 4" xfId="16785" xr:uid="{00000000-0005-0000-0000-0000292A0000}"/>
    <cellStyle name="Separador de milhares 3 2 6 3" xfId="2146" xr:uid="{00000000-0005-0000-0000-00002A2A0000}"/>
    <cellStyle name="Separador de milhares 3 2 6 3 2" xfId="3275" xr:uid="{00000000-0005-0000-0000-00002B2A0000}"/>
    <cellStyle name="Separador de milhares 3 2 6 3 2 2" xfId="4611" xr:uid="{00000000-0005-0000-0000-00002C2A0000}"/>
    <cellStyle name="Separador de milhares 3 2 6 3 2 2 2" xfId="21651" xr:uid="{00000000-0005-0000-0000-00002D2A0000}"/>
    <cellStyle name="Separador de milhares 3 2 6 3 2 2 3" xfId="17646" xr:uid="{00000000-0005-0000-0000-00002E2A0000}"/>
    <cellStyle name="Separador de milhares 3 2 6 3 2 3" xfId="5444" xr:uid="{00000000-0005-0000-0000-00002F2A0000}"/>
    <cellStyle name="Separador de milhares 3 2 6 3 2 3 2" xfId="12482" xr:uid="{00000000-0005-0000-0000-0000302A0000}"/>
    <cellStyle name="Separador de milhares 3 2 6 3 2 3 2 2" xfId="22443" xr:uid="{00000000-0005-0000-0000-0000312A0000}"/>
    <cellStyle name="Separador de milhares 3 2 6 3 2 3 3" xfId="11159" xr:uid="{00000000-0005-0000-0000-0000322A0000}"/>
    <cellStyle name="Separador de milhares 3 2 6 3 2 3 4" xfId="18479" xr:uid="{00000000-0005-0000-0000-0000332A0000}"/>
    <cellStyle name="Separador de milhares 3 2 6 3 2 4" xfId="11255" xr:uid="{00000000-0005-0000-0000-0000342A0000}"/>
    <cellStyle name="Separador de milhares 3 2 6 3 2 4 2" xfId="20343" xr:uid="{00000000-0005-0000-0000-0000352A0000}"/>
    <cellStyle name="Separador de milhares 3 2 6 3 2 5" xfId="16319" xr:uid="{00000000-0005-0000-0000-0000362A0000}"/>
    <cellStyle name="Separador de milhares 3 2 6 3 3" xfId="4232" xr:uid="{00000000-0005-0000-0000-0000372A0000}"/>
    <cellStyle name="Separador de milhares 3 2 6 3 3 2" xfId="6174" xr:uid="{00000000-0005-0000-0000-0000382A0000}"/>
    <cellStyle name="Separador de milhares 3 2 6 3 3 2 2" xfId="23156" xr:uid="{00000000-0005-0000-0000-0000392A0000}"/>
    <cellStyle name="Separador de milhares 3 2 6 3 3 2 3" xfId="19209" xr:uid="{00000000-0005-0000-0000-00003A2A0000}"/>
    <cellStyle name="Separador de milhares 3 2 6 3 3 3" xfId="21278" xr:uid="{00000000-0005-0000-0000-00003B2A0000}"/>
    <cellStyle name="Separador de milhares 3 2 6 3 3 4" xfId="17271" xr:uid="{00000000-0005-0000-0000-00003C2A0000}"/>
    <cellStyle name="Separador de milhares 3 2 6 3 4" xfId="13509" xr:uid="{00000000-0005-0000-0000-00003D2A0000}"/>
    <cellStyle name="Separador de milhares 3 2 6 4" xfId="3140" xr:uid="{00000000-0005-0000-0000-00003E2A0000}"/>
    <cellStyle name="Separador de milhares 3 2 6 4 2" xfId="4119" xr:uid="{00000000-0005-0000-0000-00003F2A0000}"/>
    <cellStyle name="Separador de milhares 3 2 6 4 2 2" xfId="6540" xr:uid="{00000000-0005-0000-0000-0000402A0000}"/>
    <cellStyle name="Separador de milhares 3 2 6 4 2 2 2" xfId="23522" xr:uid="{00000000-0005-0000-0000-0000412A0000}"/>
    <cellStyle name="Separador de milhares 3 2 6 4 2 2 3" xfId="19575" xr:uid="{00000000-0005-0000-0000-0000422A0000}"/>
    <cellStyle name="Separador de milhares 3 2 6 4 2 3" xfId="21167" xr:uid="{00000000-0005-0000-0000-0000432A0000}"/>
    <cellStyle name="Separador de milhares 3 2 6 4 2 4" xfId="17159" xr:uid="{00000000-0005-0000-0000-0000442A0000}"/>
    <cellStyle name="Separador de milhares 3 2 6 4 3" xfId="5309" xr:uid="{00000000-0005-0000-0000-0000452A0000}"/>
    <cellStyle name="Separador de milhares 3 2 6 4 3 2" xfId="12475" xr:uid="{00000000-0005-0000-0000-0000462A0000}"/>
    <cellStyle name="Separador de milhares 3 2 6 4 3 2 2" xfId="22308" xr:uid="{00000000-0005-0000-0000-0000472A0000}"/>
    <cellStyle name="Separador de milhares 3 2 6 4 3 3" xfId="11490" xr:uid="{00000000-0005-0000-0000-0000482A0000}"/>
    <cellStyle name="Separador de milhares 3 2 6 4 3 4" xfId="18344" xr:uid="{00000000-0005-0000-0000-0000492A0000}"/>
    <cellStyle name="Separador de milhares 3 2 6 4 4" xfId="20208" xr:uid="{00000000-0005-0000-0000-00004A2A0000}"/>
    <cellStyle name="Separador de milhares 3 2 6 4 5" xfId="16184" xr:uid="{00000000-0005-0000-0000-00004B2A0000}"/>
    <cellStyle name="Separador de milhares 3 2 6 5" xfId="3889" xr:uid="{00000000-0005-0000-0000-00004C2A0000}"/>
    <cellStyle name="Separador de milhares 3 2 6 5 2" xfId="6030" xr:uid="{00000000-0005-0000-0000-00004D2A0000}"/>
    <cellStyle name="Separador de milhares 3 2 6 5 2 2" xfId="23019" xr:uid="{00000000-0005-0000-0000-00004E2A0000}"/>
    <cellStyle name="Separador de milhares 3 2 6 5 2 3" xfId="19065" xr:uid="{00000000-0005-0000-0000-00004F2A0000}"/>
    <cellStyle name="Separador de milhares 3 2 6 5 3" xfId="20946" xr:uid="{00000000-0005-0000-0000-0000502A0000}"/>
    <cellStyle name="Separador de milhares 3 2 6 5 4" xfId="16931" xr:uid="{00000000-0005-0000-0000-0000512A0000}"/>
    <cellStyle name="Separador de milhares 3 2 6 6" xfId="6725" xr:uid="{00000000-0005-0000-0000-0000522A0000}"/>
    <cellStyle name="Separador de milhares 3 2 6 6 2" xfId="23698" xr:uid="{00000000-0005-0000-0000-0000532A0000}"/>
    <cellStyle name="Separador de milhares 3 2 6 6 3" xfId="19760" xr:uid="{00000000-0005-0000-0000-0000542A0000}"/>
    <cellStyle name="Separador de milhares 3 2 6 7" xfId="5043" xr:uid="{00000000-0005-0000-0000-0000552A0000}"/>
    <cellStyle name="Separador de milhares 3 2 6 7 2" xfId="22051" xr:uid="{00000000-0005-0000-0000-0000562A0000}"/>
    <cellStyle name="Separador de milhares 3 2 6 7 3" xfId="18078" xr:uid="{00000000-0005-0000-0000-0000572A0000}"/>
    <cellStyle name="Separador de milhares 3 2 6 8" xfId="19951" xr:uid="{00000000-0005-0000-0000-0000582A0000}"/>
    <cellStyle name="Separador de milhares 3 2 6 9" xfId="15911" xr:uid="{00000000-0005-0000-0000-0000592A0000}"/>
    <cellStyle name="Separador de milhares 3 2 7" xfId="1079" xr:uid="{00000000-0005-0000-0000-00005A2A0000}"/>
    <cellStyle name="Separador de milhares 3 2 7 2" xfId="2148" xr:uid="{00000000-0005-0000-0000-00005B2A0000}"/>
    <cellStyle name="Separador de milhares 3 2 7 2 2" xfId="3277" xr:uid="{00000000-0005-0000-0000-00005C2A0000}"/>
    <cellStyle name="Separador de milhares 3 2 7 2 2 2" xfId="4613" xr:uid="{00000000-0005-0000-0000-00005D2A0000}"/>
    <cellStyle name="Separador de milhares 3 2 7 2 2 2 2" xfId="21653" xr:uid="{00000000-0005-0000-0000-00005E2A0000}"/>
    <cellStyle name="Separador de milhares 3 2 7 2 2 2 3" xfId="17648" xr:uid="{00000000-0005-0000-0000-00005F2A0000}"/>
    <cellStyle name="Separador de milhares 3 2 7 2 2 3" xfId="5446" xr:uid="{00000000-0005-0000-0000-0000602A0000}"/>
    <cellStyle name="Separador de milhares 3 2 7 2 2 3 2" xfId="22445" xr:uid="{00000000-0005-0000-0000-0000612A0000}"/>
    <cellStyle name="Separador de milhares 3 2 7 2 2 3 3" xfId="18481" xr:uid="{00000000-0005-0000-0000-0000622A0000}"/>
    <cellStyle name="Separador de milhares 3 2 7 2 2 4" xfId="20345" xr:uid="{00000000-0005-0000-0000-0000632A0000}"/>
    <cellStyle name="Separador de milhares 3 2 7 2 2 5" xfId="16321" xr:uid="{00000000-0005-0000-0000-0000642A0000}"/>
    <cellStyle name="Separador de milhares 3 2 7 2 3" xfId="3748" xr:uid="{00000000-0005-0000-0000-0000652A0000}"/>
    <cellStyle name="Separador de milhares 3 2 7 2 3 2" xfId="6176" xr:uid="{00000000-0005-0000-0000-0000662A0000}"/>
    <cellStyle name="Separador de milhares 3 2 7 2 3 2 2" xfId="23158" xr:uid="{00000000-0005-0000-0000-0000672A0000}"/>
    <cellStyle name="Separador de milhares 3 2 7 2 3 2 3" xfId="19211" xr:uid="{00000000-0005-0000-0000-0000682A0000}"/>
    <cellStyle name="Separador de milhares 3 2 7 2 3 3" xfId="20812" xr:uid="{00000000-0005-0000-0000-0000692A0000}"/>
    <cellStyle name="Separador de milhares 3 2 7 2 3 4" xfId="16791" xr:uid="{00000000-0005-0000-0000-00006A2A0000}"/>
    <cellStyle name="Separador de milhares 3 2 7 3" xfId="2147" xr:uid="{00000000-0005-0000-0000-00006B2A0000}"/>
    <cellStyle name="Separador de milhares 3 2 7 3 2" xfId="3276" xr:uid="{00000000-0005-0000-0000-00006C2A0000}"/>
    <cellStyle name="Separador de milhares 3 2 7 3 2 2" xfId="4612" xr:uid="{00000000-0005-0000-0000-00006D2A0000}"/>
    <cellStyle name="Separador de milhares 3 2 7 3 2 2 2" xfId="21652" xr:uid="{00000000-0005-0000-0000-00006E2A0000}"/>
    <cellStyle name="Separador de milhares 3 2 7 3 2 2 3" xfId="17647" xr:uid="{00000000-0005-0000-0000-00006F2A0000}"/>
    <cellStyle name="Separador de milhares 3 2 7 3 2 3" xfId="5445" xr:uid="{00000000-0005-0000-0000-0000702A0000}"/>
    <cellStyle name="Separador de milhares 3 2 7 3 2 3 2" xfId="22444" xr:uid="{00000000-0005-0000-0000-0000712A0000}"/>
    <cellStyle name="Separador de milhares 3 2 7 3 2 3 3" xfId="18480" xr:uid="{00000000-0005-0000-0000-0000722A0000}"/>
    <cellStyle name="Separador de milhares 3 2 7 3 2 4" xfId="20344" xr:uid="{00000000-0005-0000-0000-0000732A0000}"/>
    <cellStyle name="Separador de milhares 3 2 7 3 2 5" xfId="16320" xr:uid="{00000000-0005-0000-0000-0000742A0000}"/>
    <cellStyle name="Separador de milhares 3 2 7 3 3" xfId="4477" xr:uid="{00000000-0005-0000-0000-0000752A0000}"/>
    <cellStyle name="Separador de milhares 3 2 7 3 3 2" xfId="6175" xr:uid="{00000000-0005-0000-0000-0000762A0000}"/>
    <cellStyle name="Separador de milhares 3 2 7 3 3 2 2" xfId="23157" xr:uid="{00000000-0005-0000-0000-0000772A0000}"/>
    <cellStyle name="Separador de milhares 3 2 7 3 3 2 3" xfId="19210" xr:uid="{00000000-0005-0000-0000-0000782A0000}"/>
    <cellStyle name="Separador de milhares 3 2 7 3 3 3" xfId="21517" xr:uid="{00000000-0005-0000-0000-0000792A0000}"/>
    <cellStyle name="Separador de milhares 3 2 7 3 3 4" xfId="17512" xr:uid="{00000000-0005-0000-0000-00007A2A0000}"/>
    <cellStyle name="Separador de milhares 3 2 7 4" xfId="3211" xr:uid="{00000000-0005-0000-0000-00007B2A0000}"/>
    <cellStyle name="Separador de milhares 3 2 7 4 2" xfId="4553" xr:uid="{00000000-0005-0000-0000-00007C2A0000}"/>
    <cellStyle name="Separador de milhares 3 2 7 4 2 2" xfId="21593" xr:uid="{00000000-0005-0000-0000-00007D2A0000}"/>
    <cellStyle name="Separador de milhares 3 2 7 4 2 3" xfId="17588" xr:uid="{00000000-0005-0000-0000-00007E2A0000}"/>
    <cellStyle name="Separador de milhares 3 2 7 4 3" xfId="5380" xr:uid="{00000000-0005-0000-0000-00007F2A0000}"/>
    <cellStyle name="Separador de milhares 3 2 7 4 3 2" xfId="11180" xr:uid="{00000000-0005-0000-0000-0000802A0000}"/>
    <cellStyle name="Separador de milhares 3 2 7 4 3 2 2" xfId="22379" xr:uid="{00000000-0005-0000-0000-0000812A0000}"/>
    <cellStyle name="Separador de milhares 3 2 7 4 3 3" xfId="12855" xr:uid="{00000000-0005-0000-0000-0000822A0000}"/>
    <cellStyle name="Separador de milhares 3 2 7 4 3 4" xfId="18415" xr:uid="{00000000-0005-0000-0000-0000832A0000}"/>
    <cellStyle name="Separador de milhares 3 2 7 4 4" xfId="20279" xr:uid="{00000000-0005-0000-0000-0000842A0000}"/>
    <cellStyle name="Separador de milhares 3 2 7 4 5" xfId="16255" xr:uid="{00000000-0005-0000-0000-0000852A0000}"/>
    <cellStyle name="Separador de milhares 3 2 7 5" xfId="4141" xr:uid="{00000000-0005-0000-0000-0000862A0000}"/>
    <cellStyle name="Separador de milhares 3 2 7 5 2" xfId="6104" xr:uid="{00000000-0005-0000-0000-0000872A0000}"/>
    <cellStyle name="Separador de milhares 3 2 7 5 2 2" xfId="23092" xr:uid="{00000000-0005-0000-0000-0000882A0000}"/>
    <cellStyle name="Separador de milhares 3 2 7 5 2 3" xfId="19139" xr:uid="{00000000-0005-0000-0000-0000892A0000}"/>
    <cellStyle name="Separador de milhares 3 2 7 5 3" xfId="21189" xr:uid="{00000000-0005-0000-0000-00008A2A0000}"/>
    <cellStyle name="Separador de milhares 3 2 7 5 4" xfId="17181" xr:uid="{00000000-0005-0000-0000-00008B2A0000}"/>
    <cellStyle name="Separador de milhares 3 2 8" xfId="2149" xr:uid="{00000000-0005-0000-0000-00008C2A0000}"/>
    <cellStyle name="Separador de milhares 3 2 8 2" xfId="2150" xr:uid="{00000000-0005-0000-0000-00008D2A0000}"/>
    <cellStyle name="Separador de milhares 3 2 8 2 2" xfId="3279" xr:uid="{00000000-0005-0000-0000-00008E2A0000}"/>
    <cellStyle name="Separador de milhares 3 2 8 2 2 2" xfId="4615" xr:uid="{00000000-0005-0000-0000-00008F2A0000}"/>
    <cellStyle name="Separador de milhares 3 2 8 2 2 2 2" xfId="21655" xr:uid="{00000000-0005-0000-0000-0000902A0000}"/>
    <cellStyle name="Separador de milhares 3 2 8 2 2 2 3" xfId="17650" xr:uid="{00000000-0005-0000-0000-0000912A0000}"/>
    <cellStyle name="Separador de milhares 3 2 8 2 2 3" xfId="5448" xr:uid="{00000000-0005-0000-0000-0000922A0000}"/>
    <cellStyle name="Separador de milhares 3 2 8 2 2 3 2" xfId="22447" xr:uid="{00000000-0005-0000-0000-0000932A0000}"/>
    <cellStyle name="Separador de milhares 3 2 8 2 2 3 3" xfId="18483" xr:uid="{00000000-0005-0000-0000-0000942A0000}"/>
    <cellStyle name="Separador de milhares 3 2 8 2 2 4" xfId="20347" xr:uid="{00000000-0005-0000-0000-0000952A0000}"/>
    <cellStyle name="Separador de milhares 3 2 8 2 2 5" xfId="16323" xr:uid="{00000000-0005-0000-0000-0000962A0000}"/>
    <cellStyle name="Separador de milhares 3 2 8 2 3" xfId="4006" xr:uid="{00000000-0005-0000-0000-0000972A0000}"/>
    <cellStyle name="Separador de milhares 3 2 8 2 3 2" xfId="6178" xr:uid="{00000000-0005-0000-0000-0000982A0000}"/>
    <cellStyle name="Separador de milhares 3 2 8 2 3 2 2" xfId="23160" xr:uid="{00000000-0005-0000-0000-0000992A0000}"/>
    <cellStyle name="Separador de milhares 3 2 8 2 3 2 3" xfId="19213" xr:uid="{00000000-0005-0000-0000-00009A2A0000}"/>
    <cellStyle name="Separador de milhares 3 2 8 2 3 3" xfId="21058" xr:uid="{00000000-0005-0000-0000-00009B2A0000}"/>
    <cellStyle name="Separador de milhares 3 2 8 2 3 4" xfId="17047" xr:uid="{00000000-0005-0000-0000-00009C2A0000}"/>
    <cellStyle name="Separador de milhares 3 2 8 3" xfId="3278" xr:uid="{00000000-0005-0000-0000-00009D2A0000}"/>
    <cellStyle name="Separador de milhares 3 2 8 3 2" xfId="4614" xr:uid="{00000000-0005-0000-0000-00009E2A0000}"/>
    <cellStyle name="Separador de milhares 3 2 8 3 2 2" xfId="21654" xr:uid="{00000000-0005-0000-0000-00009F2A0000}"/>
    <cellStyle name="Separador de milhares 3 2 8 3 2 3" xfId="17649" xr:uid="{00000000-0005-0000-0000-0000A02A0000}"/>
    <cellStyle name="Separador de milhares 3 2 8 3 3" xfId="5447" xr:uid="{00000000-0005-0000-0000-0000A12A0000}"/>
    <cellStyle name="Separador de milhares 3 2 8 3 3 2" xfId="22446" xr:uid="{00000000-0005-0000-0000-0000A22A0000}"/>
    <cellStyle name="Separador de milhares 3 2 8 3 3 3" xfId="18482" xr:uid="{00000000-0005-0000-0000-0000A32A0000}"/>
    <cellStyle name="Separador de milhares 3 2 8 3 4" xfId="20346" xr:uid="{00000000-0005-0000-0000-0000A42A0000}"/>
    <cellStyle name="Separador de milhares 3 2 8 3 5" xfId="16322" xr:uid="{00000000-0005-0000-0000-0000A52A0000}"/>
    <cellStyle name="Separador de milhares 3 2 8 4" xfId="4124" xr:uid="{00000000-0005-0000-0000-0000A62A0000}"/>
    <cellStyle name="Separador de milhares 3 2 8 4 2" xfId="6177" xr:uid="{00000000-0005-0000-0000-0000A72A0000}"/>
    <cellStyle name="Separador de milhares 3 2 8 4 2 2" xfId="23159" xr:uid="{00000000-0005-0000-0000-0000A82A0000}"/>
    <cellStyle name="Separador de milhares 3 2 8 4 2 3" xfId="19212" xr:uid="{00000000-0005-0000-0000-0000A92A0000}"/>
    <cellStyle name="Separador de milhares 3 2 8 4 3" xfId="21172" xr:uid="{00000000-0005-0000-0000-0000AA2A0000}"/>
    <cellStyle name="Separador de milhares 3 2 8 4 4" xfId="17164" xr:uid="{00000000-0005-0000-0000-0000AB2A0000}"/>
    <cellStyle name="Separador de milhares 3 2 9" xfId="2151" xr:uid="{00000000-0005-0000-0000-0000AC2A0000}"/>
    <cellStyle name="Separador de milhares 3 2 9 2" xfId="2152" xr:uid="{00000000-0005-0000-0000-0000AD2A0000}"/>
    <cellStyle name="Separador de milhares 3 2 9 2 2" xfId="3281" xr:uid="{00000000-0005-0000-0000-0000AE2A0000}"/>
    <cellStyle name="Separador de milhares 3 2 9 2 2 2" xfId="4617" xr:uid="{00000000-0005-0000-0000-0000AF2A0000}"/>
    <cellStyle name="Separador de milhares 3 2 9 2 2 2 2" xfId="21657" xr:uid="{00000000-0005-0000-0000-0000B02A0000}"/>
    <cellStyle name="Separador de milhares 3 2 9 2 2 2 3" xfId="17652" xr:uid="{00000000-0005-0000-0000-0000B12A0000}"/>
    <cellStyle name="Separador de milhares 3 2 9 2 2 3" xfId="5450" xr:uid="{00000000-0005-0000-0000-0000B22A0000}"/>
    <cellStyle name="Separador de milhares 3 2 9 2 2 3 2" xfId="22449" xr:uid="{00000000-0005-0000-0000-0000B32A0000}"/>
    <cellStyle name="Separador de milhares 3 2 9 2 2 3 3" xfId="18485" xr:uid="{00000000-0005-0000-0000-0000B42A0000}"/>
    <cellStyle name="Separador de milhares 3 2 9 2 2 4" xfId="20349" xr:uid="{00000000-0005-0000-0000-0000B52A0000}"/>
    <cellStyle name="Separador de milhares 3 2 9 2 2 5" xfId="16325" xr:uid="{00000000-0005-0000-0000-0000B62A0000}"/>
    <cellStyle name="Separador de milhares 3 2 9 2 3" xfId="3824" xr:uid="{00000000-0005-0000-0000-0000B72A0000}"/>
    <cellStyle name="Separador de milhares 3 2 9 2 3 2" xfId="6180" xr:uid="{00000000-0005-0000-0000-0000B82A0000}"/>
    <cellStyle name="Separador de milhares 3 2 9 2 3 2 2" xfId="23162" xr:uid="{00000000-0005-0000-0000-0000B92A0000}"/>
    <cellStyle name="Separador de milhares 3 2 9 2 3 2 3" xfId="19215" xr:uid="{00000000-0005-0000-0000-0000BA2A0000}"/>
    <cellStyle name="Separador de milhares 3 2 9 2 3 3" xfId="20886" xr:uid="{00000000-0005-0000-0000-0000BB2A0000}"/>
    <cellStyle name="Separador de milhares 3 2 9 2 3 4" xfId="16866" xr:uid="{00000000-0005-0000-0000-0000BC2A0000}"/>
    <cellStyle name="Separador de milhares 3 2 9 3" xfId="3280" xr:uid="{00000000-0005-0000-0000-0000BD2A0000}"/>
    <cellStyle name="Separador de milhares 3 2 9 3 2" xfId="4616" xr:uid="{00000000-0005-0000-0000-0000BE2A0000}"/>
    <cellStyle name="Separador de milhares 3 2 9 3 2 2" xfId="21656" xr:uid="{00000000-0005-0000-0000-0000BF2A0000}"/>
    <cellStyle name="Separador de milhares 3 2 9 3 2 3" xfId="17651" xr:uid="{00000000-0005-0000-0000-0000C02A0000}"/>
    <cellStyle name="Separador de milhares 3 2 9 3 3" xfId="5449" xr:uid="{00000000-0005-0000-0000-0000C12A0000}"/>
    <cellStyle name="Separador de milhares 3 2 9 3 3 2" xfId="22448" xr:uid="{00000000-0005-0000-0000-0000C22A0000}"/>
    <cellStyle name="Separador de milhares 3 2 9 3 3 3" xfId="18484" xr:uid="{00000000-0005-0000-0000-0000C32A0000}"/>
    <cellStyle name="Separador de milhares 3 2 9 3 4" xfId="20348" xr:uid="{00000000-0005-0000-0000-0000C42A0000}"/>
    <cellStyle name="Separador de milhares 3 2 9 3 5" xfId="16324" xr:uid="{00000000-0005-0000-0000-0000C52A0000}"/>
    <cellStyle name="Separador de milhares 3 2 9 4" xfId="3788" xr:uid="{00000000-0005-0000-0000-0000C62A0000}"/>
    <cellStyle name="Separador de milhares 3 2 9 4 2" xfId="6179" xr:uid="{00000000-0005-0000-0000-0000C72A0000}"/>
    <cellStyle name="Separador de milhares 3 2 9 4 2 2" xfId="23161" xr:uid="{00000000-0005-0000-0000-0000C82A0000}"/>
    <cellStyle name="Separador de milhares 3 2 9 4 2 3" xfId="19214" xr:uid="{00000000-0005-0000-0000-0000C92A0000}"/>
    <cellStyle name="Separador de milhares 3 2 9 4 3" xfId="20850" xr:uid="{00000000-0005-0000-0000-0000CA2A0000}"/>
    <cellStyle name="Separador de milhares 3 2 9 4 4" xfId="16830" xr:uid="{00000000-0005-0000-0000-0000CB2A0000}"/>
    <cellStyle name="Separador de milhares 3 3" xfId="113" xr:uid="{00000000-0005-0000-0000-0000CC2A0000}"/>
    <cellStyle name="Separador de milhares 3 3 2" xfId="328" xr:uid="{00000000-0005-0000-0000-0000CD2A0000}"/>
    <cellStyle name="Separador de milhares 3 3 2 2" xfId="585" xr:uid="{00000000-0005-0000-0000-0000CE2A0000}"/>
    <cellStyle name="Separador de milhares 3 3 2 2 2" xfId="856" xr:uid="{00000000-0005-0000-0000-0000CF2A0000}"/>
    <cellStyle name="Separador de milhares 3 3 2 2 2 2" xfId="3141" xr:uid="{00000000-0005-0000-0000-0000D02A0000}"/>
    <cellStyle name="Separador de milhares 3 3 2 2 2 2 2" xfId="4087" xr:uid="{00000000-0005-0000-0000-0000D12A0000}"/>
    <cellStyle name="Separador de milhares 3 3 2 2 2 2 2 2" xfId="6541" xr:uid="{00000000-0005-0000-0000-0000D22A0000}"/>
    <cellStyle name="Separador de milhares 3 3 2 2 2 2 2 2 2" xfId="23523" xr:uid="{00000000-0005-0000-0000-0000D32A0000}"/>
    <cellStyle name="Separador de milhares 3 3 2 2 2 2 2 2 3" xfId="19576" xr:uid="{00000000-0005-0000-0000-0000D42A0000}"/>
    <cellStyle name="Separador de milhares 3 3 2 2 2 2 2 3" xfId="21135" xr:uid="{00000000-0005-0000-0000-0000D52A0000}"/>
    <cellStyle name="Separador de milhares 3 3 2 2 2 2 2 4" xfId="17127" xr:uid="{00000000-0005-0000-0000-0000D62A0000}"/>
    <cellStyle name="Separador de milhares 3 3 2 2 2 2 3" xfId="5310" xr:uid="{00000000-0005-0000-0000-0000D72A0000}"/>
    <cellStyle name="Separador de milhares 3 3 2 2 2 2 3 2" xfId="22309" xr:uid="{00000000-0005-0000-0000-0000D82A0000}"/>
    <cellStyle name="Separador de milhares 3 3 2 2 2 2 3 3" xfId="18345" xr:uid="{00000000-0005-0000-0000-0000D92A0000}"/>
    <cellStyle name="Separador de milhares 3 3 2 2 2 2 4" xfId="20209" xr:uid="{00000000-0005-0000-0000-0000DA2A0000}"/>
    <cellStyle name="Separador de milhares 3 3 2 2 2 2 5" xfId="16185" xr:uid="{00000000-0005-0000-0000-0000DB2A0000}"/>
    <cellStyle name="Separador de milhares 3 3 2 2 2 3" xfId="3890" xr:uid="{00000000-0005-0000-0000-0000DC2A0000}"/>
    <cellStyle name="Separador de milhares 3 3 2 2 2 3 2" xfId="6031" xr:uid="{00000000-0005-0000-0000-0000DD2A0000}"/>
    <cellStyle name="Separador de milhares 3 3 2 2 2 3 2 2" xfId="23020" xr:uid="{00000000-0005-0000-0000-0000DE2A0000}"/>
    <cellStyle name="Separador de milhares 3 3 2 2 2 3 2 3" xfId="19066" xr:uid="{00000000-0005-0000-0000-0000DF2A0000}"/>
    <cellStyle name="Separador de milhares 3 3 2 2 2 3 3" xfId="20947" xr:uid="{00000000-0005-0000-0000-0000E02A0000}"/>
    <cellStyle name="Separador de milhares 3 3 2 2 2 3 4" xfId="16932" xr:uid="{00000000-0005-0000-0000-0000E12A0000}"/>
    <cellStyle name="Separador de milhares 3 3 2 2 2 4" xfId="6726" xr:uid="{00000000-0005-0000-0000-0000E22A0000}"/>
    <cellStyle name="Separador de milhares 3 3 2 2 2 4 2" xfId="23699" xr:uid="{00000000-0005-0000-0000-0000E32A0000}"/>
    <cellStyle name="Separador de milhares 3 3 2 2 2 4 3" xfId="19761" xr:uid="{00000000-0005-0000-0000-0000E42A0000}"/>
    <cellStyle name="Separador de milhares 3 3 2 2 2 5" xfId="5044" xr:uid="{00000000-0005-0000-0000-0000E52A0000}"/>
    <cellStyle name="Separador de milhares 3 3 2 2 2 5 2" xfId="22052" xr:uid="{00000000-0005-0000-0000-0000E62A0000}"/>
    <cellStyle name="Separador de milhares 3 3 2 2 2 5 3" xfId="18079" xr:uid="{00000000-0005-0000-0000-0000E72A0000}"/>
    <cellStyle name="Separador de milhares 3 3 2 2 2 6" xfId="19952" xr:uid="{00000000-0005-0000-0000-0000E82A0000}"/>
    <cellStyle name="Separador de milhares 3 3 2 2 2 7" xfId="15912" xr:uid="{00000000-0005-0000-0000-0000E92A0000}"/>
    <cellStyle name="Separador de milhares 3 3 2 2 3" xfId="5931" xr:uid="{00000000-0005-0000-0000-0000EA2A0000}"/>
    <cellStyle name="Separador de milhares 3 3 2 2 3 2" xfId="22925" xr:uid="{00000000-0005-0000-0000-0000EB2A0000}"/>
    <cellStyle name="Separador de milhares 3 3 2 2 3 3" xfId="18966" xr:uid="{00000000-0005-0000-0000-0000EC2A0000}"/>
    <cellStyle name="Separador de milhares 3 3 2 3" xfId="857" xr:uid="{00000000-0005-0000-0000-0000ED2A0000}"/>
    <cellStyle name="Separador de milhares 3 3 2 3 2" xfId="1080" xr:uid="{00000000-0005-0000-0000-0000EE2A0000}"/>
    <cellStyle name="Separador de milhares 3 3 2 3 2 2" xfId="2153" xr:uid="{00000000-0005-0000-0000-0000EF2A0000}"/>
    <cellStyle name="Separador de milhares 3 3 2 3 2 2 2" xfId="3282" xr:uid="{00000000-0005-0000-0000-0000F02A0000}"/>
    <cellStyle name="Separador de milhares 3 3 2 3 2 2 2 2" xfId="4618" xr:uid="{00000000-0005-0000-0000-0000F12A0000}"/>
    <cellStyle name="Separador de milhares 3 3 2 3 2 2 2 2 2" xfId="21658" xr:uid="{00000000-0005-0000-0000-0000F22A0000}"/>
    <cellStyle name="Separador de milhares 3 3 2 3 2 2 2 2 3" xfId="17653" xr:uid="{00000000-0005-0000-0000-0000F32A0000}"/>
    <cellStyle name="Separador de milhares 3 3 2 3 2 2 2 3" xfId="5451" xr:uid="{00000000-0005-0000-0000-0000F42A0000}"/>
    <cellStyle name="Separador de milhares 3 3 2 3 2 2 2 3 2" xfId="22450" xr:uid="{00000000-0005-0000-0000-0000F52A0000}"/>
    <cellStyle name="Separador de milhares 3 3 2 3 2 2 2 3 3" xfId="18486" xr:uid="{00000000-0005-0000-0000-0000F62A0000}"/>
    <cellStyle name="Separador de milhares 3 3 2 3 2 2 2 4" xfId="20350" xr:uid="{00000000-0005-0000-0000-0000F72A0000}"/>
    <cellStyle name="Separador de milhares 3 3 2 3 2 2 2 5" xfId="16326" xr:uid="{00000000-0005-0000-0000-0000F82A0000}"/>
    <cellStyle name="Separador de milhares 3 3 2 3 2 2 3" xfId="4389" xr:uid="{00000000-0005-0000-0000-0000F92A0000}"/>
    <cellStyle name="Separador de milhares 3 3 2 3 2 2 3 2" xfId="6181" xr:uid="{00000000-0005-0000-0000-0000FA2A0000}"/>
    <cellStyle name="Separador de milhares 3 3 2 3 2 2 3 2 2" xfId="23163" xr:uid="{00000000-0005-0000-0000-0000FB2A0000}"/>
    <cellStyle name="Separador de milhares 3 3 2 3 2 2 3 2 3" xfId="19216" xr:uid="{00000000-0005-0000-0000-0000FC2A0000}"/>
    <cellStyle name="Separador de milhares 3 3 2 3 2 2 3 3" xfId="21433" xr:uid="{00000000-0005-0000-0000-0000FD2A0000}"/>
    <cellStyle name="Separador de milhares 3 3 2 3 2 2 3 4" xfId="17426" xr:uid="{00000000-0005-0000-0000-0000FE2A0000}"/>
    <cellStyle name="Separador de milhares 3 3 2 3 2 3" xfId="3212" xr:uid="{00000000-0005-0000-0000-0000FF2A0000}"/>
    <cellStyle name="Separador de milhares 3 3 2 3 2 3 2" xfId="4554" xr:uid="{00000000-0005-0000-0000-0000002B0000}"/>
    <cellStyle name="Separador de milhares 3 3 2 3 2 3 2 2" xfId="21594" xr:uid="{00000000-0005-0000-0000-0000012B0000}"/>
    <cellStyle name="Separador de milhares 3 3 2 3 2 3 2 3" xfId="17589" xr:uid="{00000000-0005-0000-0000-0000022B0000}"/>
    <cellStyle name="Separador de milhares 3 3 2 3 2 3 3" xfId="5381" xr:uid="{00000000-0005-0000-0000-0000032B0000}"/>
    <cellStyle name="Separador de milhares 3 3 2 3 2 3 3 2" xfId="11181" xr:uid="{00000000-0005-0000-0000-0000042B0000}"/>
    <cellStyle name="Separador de milhares 3 3 2 3 2 3 3 2 2" xfId="22380" xr:uid="{00000000-0005-0000-0000-0000052B0000}"/>
    <cellStyle name="Separador de milhares 3 3 2 3 2 3 3 3" xfId="13313" xr:uid="{00000000-0005-0000-0000-0000062B0000}"/>
    <cellStyle name="Separador de milhares 3 3 2 3 2 3 3 4" xfId="18416" xr:uid="{00000000-0005-0000-0000-0000072B0000}"/>
    <cellStyle name="Separador de milhares 3 3 2 3 2 3 4" xfId="20280" xr:uid="{00000000-0005-0000-0000-0000082B0000}"/>
    <cellStyle name="Separador de milhares 3 3 2 3 2 3 5" xfId="16256" xr:uid="{00000000-0005-0000-0000-0000092B0000}"/>
    <cellStyle name="Separador de milhares 3 3 2 3 2 4" xfId="4077" xr:uid="{00000000-0005-0000-0000-00000A2B0000}"/>
    <cellStyle name="Separador de milhares 3 3 2 3 2 4 2" xfId="6105" xr:uid="{00000000-0005-0000-0000-00000B2B0000}"/>
    <cellStyle name="Separador de milhares 3 3 2 3 2 4 2 2" xfId="23093" xr:uid="{00000000-0005-0000-0000-00000C2B0000}"/>
    <cellStyle name="Separador de milhares 3 3 2 3 2 4 2 3" xfId="19140" xr:uid="{00000000-0005-0000-0000-00000D2B0000}"/>
    <cellStyle name="Separador de milhares 3 3 2 3 2 4 3" xfId="21125" xr:uid="{00000000-0005-0000-0000-00000E2B0000}"/>
    <cellStyle name="Separador de milhares 3 3 2 3 2 4 4" xfId="17117" xr:uid="{00000000-0005-0000-0000-00000F2B0000}"/>
    <cellStyle name="Separador de milhares 3 3 2 3 3" xfId="3142" xr:uid="{00000000-0005-0000-0000-0000102B0000}"/>
    <cellStyle name="Separador de milhares 3 3 2 3 3 2" xfId="3759" xr:uid="{00000000-0005-0000-0000-0000112B0000}"/>
    <cellStyle name="Separador de milhares 3 3 2 3 3 2 2" xfId="6542" xr:uid="{00000000-0005-0000-0000-0000122B0000}"/>
    <cellStyle name="Separador de milhares 3 3 2 3 3 2 2 2" xfId="23524" xr:uid="{00000000-0005-0000-0000-0000132B0000}"/>
    <cellStyle name="Separador de milhares 3 3 2 3 3 2 2 3" xfId="19577" xr:uid="{00000000-0005-0000-0000-0000142B0000}"/>
    <cellStyle name="Separador de milhares 3 3 2 3 3 2 3" xfId="20823" xr:uid="{00000000-0005-0000-0000-0000152B0000}"/>
    <cellStyle name="Separador de milhares 3 3 2 3 3 2 4" xfId="16802" xr:uid="{00000000-0005-0000-0000-0000162B0000}"/>
    <cellStyle name="Separador de milhares 3 3 2 3 3 3" xfId="5311" xr:uid="{00000000-0005-0000-0000-0000172B0000}"/>
    <cellStyle name="Separador de milhares 3 3 2 3 3 3 2" xfId="11144" xr:uid="{00000000-0005-0000-0000-0000182B0000}"/>
    <cellStyle name="Separador de milhares 3 3 2 3 3 3 2 2" xfId="22310" xr:uid="{00000000-0005-0000-0000-0000192B0000}"/>
    <cellStyle name="Separador de milhares 3 3 2 3 3 3 3" xfId="13247" xr:uid="{00000000-0005-0000-0000-00001A2B0000}"/>
    <cellStyle name="Separador de milhares 3 3 2 3 3 3 4" xfId="18346" xr:uid="{00000000-0005-0000-0000-00001B2B0000}"/>
    <cellStyle name="Separador de milhares 3 3 2 3 3 4" xfId="13607" xr:uid="{00000000-0005-0000-0000-00001C2B0000}"/>
    <cellStyle name="Separador de milhares 3 3 2 3 3 4 2" xfId="20210" xr:uid="{00000000-0005-0000-0000-00001D2B0000}"/>
    <cellStyle name="Separador de milhares 3 3 2 3 3 5" xfId="16186" xr:uid="{00000000-0005-0000-0000-00001E2B0000}"/>
    <cellStyle name="Separador de milhares 3 3 2 3 4" xfId="3891" xr:uid="{00000000-0005-0000-0000-00001F2B0000}"/>
    <cellStyle name="Separador de milhares 3 3 2 3 4 2" xfId="6032" xr:uid="{00000000-0005-0000-0000-0000202B0000}"/>
    <cellStyle name="Separador de milhares 3 3 2 3 4 2 2" xfId="11988" xr:uid="{00000000-0005-0000-0000-0000212B0000}"/>
    <cellStyle name="Separador de milhares 3 3 2 3 4 2 2 2" xfId="23021" xr:uid="{00000000-0005-0000-0000-0000222B0000}"/>
    <cellStyle name="Separador de milhares 3 3 2 3 4 2 3" xfId="13252" xr:uid="{00000000-0005-0000-0000-0000232B0000}"/>
    <cellStyle name="Separador de milhares 3 3 2 3 4 2 4" xfId="19067" xr:uid="{00000000-0005-0000-0000-0000242B0000}"/>
    <cellStyle name="Separador de milhares 3 3 2 3 4 3" xfId="13657" xr:uid="{00000000-0005-0000-0000-0000252B0000}"/>
    <cellStyle name="Separador de milhares 3 3 2 3 4 3 2" xfId="20948" xr:uid="{00000000-0005-0000-0000-0000262B0000}"/>
    <cellStyle name="Separador de milhares 3 3 2 3 4 4" xfId="13405" xr:uid="{00000000-0005-0000-0000-0000272B0000}"/>
    <cellStyle name="Separador de milhares 3 3 2 3 4 5" xfId="16933" xr:uid="{00000000-0005-0000-0000-0000282B0000}"/>
    <cellStyle name="Separador de milhares 3 3 2 3 5" xfId="6727" xr:uid="{00000000-0005-0000-0000-0000292B0000}"/>
    <cellStyle name="Separador de milhares 3 3 2 3 5 2" xfId="23700" xr:uid="{00000000-0005-0000-0000-00002A2B0000}"/>
    <cellStyle name="Separador de milhares 3 3 2 3 5 3" xfId="19762" xr:uid="{00000000-0005-0000-0000-00002B2B0000}"/>
    <cellStyle name="Separador de milhares 3 3 2 3 6" xfId="5045" xr:uid="{00000000-0005-0000-0000-00002C2B0000}"/>
    <cellStyle name="Separador de milhares 3 3 2 3 6 2" xfId="22053" xr:uid="{00000000-0005-0000-0000-00002D2B0000}"/>
    <cellStyle name="Separador de milhares 3 3 2 3 6 3" xfId="18080" xr:uid="{00000000-0005-0000-0000-00002E2B0000}"/>
    <cellStyle name="Separador de milhares 3 3 2 3 7" xfId="19953" xr:uid="{00000000-0005-0000-0000-00002F2B0000}"/>
    <cellStyle name="Separador de milhares 3 3 2 3 8" xfId="15913" xr:uid="{00000000-0005-0000-0000-0000302B0000}"/>
    <cellStyle name="Separador de milhares 3 3 2 4" xfId="5907" xr:uid="{00000000-0005-0000-0000-0000312B0000}"/>
    <cellStyle name="Separador de milhares 3 3 2 4 2" xfId="8413" xr:uid="{00000000-0005-0000-0000-0000322B0000}"/>
    <cellStyle name="Separador de milhares 3 3 2 4 2 2" xfId="11141" xr:uid="{00000000-0005-0000-0000-0000332B0000}"/>
    <cellStyle name="Separador de milhares 3 3 2 4 2 3" xfId="12963" xr:uid="{00000000-0005-0000-0000-0000342B0000}"/>
    <cellStyle name="Separador de milhares 3 3 2 4 2 4" xfId="22902" xr:uid="{00000000-0005-0000-0000-0000352B0000}"/>
    <cellStyle name="Separador de milhares 3 3 2 4 3" xfId="12313" xr:uid="{00000000-0005-0000-0000-0000362B0000}"/>
    <cellStyle name="Separador de milhares 3 3 2 4 3 2" xfId="15380" xr:uid="{00000000-0005-0000-0000-0000372B0000}"/>
    <cellStyle name="Separador de milhares 3 3 2 4 3 3" xfId="13754" xr:uid="{00000000-0005-0000-0000-0000382B0000}"/>
    <cellStyle name="Separador de milhares 3 3 2 4 4" xfId="12026" xr:uid="{00000000-0005-0000-0000-0000392B0000}"/>
    <cellStyle name="Separador de milhares 3 3 2 4 5" xfId="13088" xr:uid="{00000000-0005-0000-0000-00003A2B0000}"/>
    <cellStyle name="Separador de milhares 3 3 2 4 6" xfId="18942" xr:uid="{00000000-0005-0000-0000-00003B2B0000}"/>
    <cellStyle name="Separador de milhares 3 3 2 5" xfId="8414" xr:uid="{00000000-0005-0000-0000-00003C2B0000}"/>
    <cellStyle name="Separador de milhares 3 3 2 5 2" xfId="8415" xr:uid="{00000000-0005-0000-0000-00003D2B0000}"/>
    <cellStyle name="Separador de milhares 3 3 2 5 2 2" xfId="11118" xr:uid="{00000000-0005-0000-0000-00003E2B0000}"/>
    <cellStyle name="Separador de milhares 3 3 2 5 2 3" xfId="11879" xr:uid="{00000000-0005-0000-0000-00003F2B0000}"/>
    <cellStyle name="Separador de milhares 3 3 2 5 3" xfId="12399" xr:uid="{00000000-0005-0000-0000-0000402B0000}"/>
    <cellStyle name="Separador de milhares 3 3 2 5 4" xfId="13238" xr:uid="{00000000-0005-0000-0000-0000412B0000}"/>
    <cellStyle name="Separador de milhares 3 3 2 6" xfId="8416" xr:uid="{00000000-0005-0000-0000-0000422B0000}"/>
    <cellStyle name="Separador de milhares 3 3 2 6 2" xfId="8417" xr:uid="{00000000-0005-0000-0000-0000432B0000}"/>
    <cellStyle name="Separador de milhares 3 3 2 6 2 2" xfId="11512" xr:uid="{00000000-0005-0000-0000-0000442B0000}"/>
    <cellStyle name="Separador de milhares 3 3 2 6 2 3" xfId="13282" xr:uid="{00000000-0005-0000-0000-0000452B0000}"/>
    <cellStyle name="Separador de milhares 3 3 2 6 3" xfId="10959" xr:uid="{00000000-0005-0000-0000-0000462B0000}"/>
    <cellStyle name="Separador de milhares 3 3 2 6 4" xfId="13304" xr:uid="{00000000-0005-0000-0000-0000472B0000}"/>
    <cellStyle name="Separador de milhares 3 3 2 7" xfId="8418" xr:uid="{00000000-0005-0000-0000-0000482B0000}"/>
    <cellStyle name="Separador de milhares 3 3 2 7 2" xfId="8419" xr:uid="{00000000-0005-0000-0000-0000492B0000}"/>
    <cellStyle name="Separador de milhares 3 3 2 7 2 2" xfId="11665" xr:uid="{00000000-0005-0000-0000-00004A2B0000}"/>
    <cellStyle name="Separador de milhares 3 3 2 7 2 3" xfId="13206" xr:uid="{00000000-0005-0000-0000-00004B2B0000}"/>
    <cellStyle name="Separador de milhares 3 3 2 7 3" xfId="11157" xr:uid="{00000000-0005-0000-0000-00004C2B0000}"/>
    <cellStyle name="Separador de milhares 3 3 2 7 4" xfId="13242" xr:uid="{00000000-0005-0000-0000-00004D2B0000}"/>
    <cellStyle name="Separador de milhares 3 3 2 8" xfId="8420" xr:uid="{00000000-0005-0000-0000-00004E2B0000}"/>
    <cellStyle name="Separador de milhares 3 3 2 8 2" xfId="8421" xr:uid="{00000000-0005-0000-0000-00004F2B0000}"/>
    <cellStyle name="Separador de milhares 3 3 2 8 2 2" xfId="13229" xr:uid="{00000000-0005-0000-0000-0000502B0000}"/>
    <cellStyle name="Separador de milhares 3 3 2 8 2 3" xfId="10965" xr:uid="{00000000-0005-0000-0000-0000512B0000}"/>
    <cellStyle name="Separador de milhares 3 3 2 8 3" xfId="13292" xr:uid="{00000000-0005-0000-0000-0000522B0000}"/>
    <cellStyle name="Separador de milhares 3 3 2 8 4" xfId="13209" xr:uid="{00000000-0005-0000-0000-0000532B0000}"/>
    <cellStyle name="Separador de milhares 3 3 2 9" xfId="8422" xr:uid="{00000000-0005-0000-0000-0000542B0000}"/>
    <cellStyle name="Separador de milhares 3 3 2 9 2" xfId="8423" xr:uid="{00000000-0005-0000-0000-0000552B0000}"/>
    <cellStyle name="Separador de milhares 3 3 2 9 2 2" xfId="12866" xr:uid="{00000000-0005-0000-0000-0000562B0000}"/>
    <cellStyle name="Separador de milhares 3 3 2 9 2 3" xfId="13208" xr:uid="{00000000-0005-0000-0000-0000572B0000}"/>
    <cellStyle name="Separador de milhares 3 3 2 9 3" xfId="13090" xr:uid="{00000000-0005-0000-0000-0000582B0000}"/>
    <cellStyle name="Separador de milhares 3 3 2 9 4" xfId="13207" xr:uid="{00000000-0005-0000-0000-0000592B0000}"/>
    <cellStyle name="Separador de milhares 3 3 3" xfId="858" xr:uid="{00000000-0005-0000-0000-00005A2B0000}"/>
    <cellStyle name="Separador de milhares 3 3 3 2" xfId="2155" xr:uid="{00000000-0005-0000-0000-00005B2B0000}"/>
    <cellStyle name="Separador de milhares 3 3 3 2 2" xfId="3284" xr:uid="{00000000-0005-0000-0000-00005C2B0000}"/>
    <cellStyle name="Separador de milhares 3 3 3 2 2 2" xfId="4620" xr:uid="{00000000-0005-0000-0000-00005D2B0000}"/>
    <cellStyle name="Separador de milhares 3 3 3 2 2 2 2" xfId="21660" xr:uid="{00000000-0005-0000-0000-00005E2B0000}"/>
    <cellStyle name="Separador de milhares 3 3 3 2 2 2 3" xfId="17655" xr:uid="{00000000-0005-0000-0000-00005F2B0000}"/>
    <cellStyle name="Separador de milhares 3 3 3 2 2 3" xfId="5453" xr:uid="{00000000-0005-0000-0000-0000602B0000}"/>
    <cellStyle name="Separador de milhares 3 3 3 2 2 3 2" xfId="22452" xr:uid="{00000000-0005-0000-0000-0000612B0000}"/>
    <cellStyle name="Separador de milhares 3 3 3 2 2 3 3" xfId="18488" xr:uid="{00000000-0005-0000-0000-0000622B0000}"/>
    <cellStyle name="Separador de milhares 3 3 3 2 2 4" xfId="20352" xr:uid="{00000000-0005-0000-0000-0000632B0000}"/>
    <cellStyle name="Separador de milhares 3 3 3 2 2 5" xfId="16328" xr:uid="{00000000-0005-0000-0000-0000642B0000}"/>
    <cellStyle name="Separador de milhares 3 3 3 2 3" xfId="4100" xr:uid="{00000000-0005-0000-0000-0000652B0000}"/>
    <cellStyle name="Separador de milhares 3 3 3 2 3 2" xfId="6183" xr:uid="{00000000-0005-0000-0000-0000662B0000}"/>
    <cellStyle name="Separador de milhares 3 3 3 2 3 2 2" xfId="23165" xr:uid="{00000000-0005-0000-0000-0000672B0000}"/>
    <cellStyle name="Separador de milhares 3 3 3 2 3 2 3" xfId="19218" xr:uid="{00000000-0005-0000-0000-0000682B0000}"/>
    <cellStyle name="Separador de milhares 3 3 3 2 3 3" xfId="21148" xr:uid="{00000000-0005-0000-0000-0000692B0000}"/>
    <cellStyle name="Separador de milhares 3 3 3 2 3 4" xfId="17140" xr:uid="{00000000-0005-0000-0000-00006A2B0000}"/>
    <cellStyle name="Separador de milhares 3 3 3 3" xfId="2154" xr:uid="{00000000-0005-0000-0000-00006B2B0000}"/>
    <cellStyle name="Separador de milhares 3 3 3 3 2" xfId="3283" xr:uid="{00000000-0005-0000-0000-00006C2B0000}"/>
    <cellStyle name="Separador de milhares 3 3 3 3 2 2" xfId="4619" xr:uid="{00000000-0005-0000-0000-00006D2B0000}"/>
    <cellStyle name="Separador de milhares 3 3 3 3 2 2 2" xfId="21659" xr:uid="{00000000-0005-0000-0000-00006E2B0000}"/>
    <cellStyle name="Separador de milhares 3 3 3 3 2 2 3" xfId="17654" xr:uid="{00000000-0005-0000-0000-00006F2B0000}"/>
    <cellStyle name="Separador de milhares 3 3 3 3 2 3" xfId="5452" xr:uid="{00000000-0005-0000-0000-0000702B0000}"/>
    <cellStyle name="Separador de milhares 3 3 3 3 2 3 2" xfId="22451" xr:uid="{00000000-0005-0000-0000-0000712B0000}"/>
    <cellStyle name="Separador de milhares 3 3 3 3 2 3 3" xfId="18487" xr:uid="{00000000-0005-0000-0000-0000722B0000}"/>
    <cellStyle name="Separador de milhares 3 3 3 3 2 4" xfId="20351" xr:uid="{00000000-0005-0000-0000-0000732B0000}"/>
    <cellStyle name="Separador de milhares 3 3 3 3 2 5" xfId="16327" xr:uid="{00000000-0005-0000-0000-0000742B0000}"/>
    <cellStyle name="Separador de milhares 3 3 3 3 3" xfId="4358" xr:uid="{00000000-0005-0000-0000-0000752B0000}"/>
    <cellStyle name="Separador de milhares 3 3 3 3 3 2" xfId="6182" xr:uid="{00000000-0005-0000-0000-0000762B0000}"/>
    <cellStyle name="Separador de milhares 3 3 3 3 3 2 2" xfId="23164" xr:uid="{00000000-0005-0000-0000-0000772B0000}"/>
    <cellStyle name="Separador de milhares 3 3 3 3 3 2 3" xfId="19217" xr:uid="{00000000-0005-0000-0000-0000782B0000}"/>
    <cellStyle name="Separador de milhares 3 3 3 3 3 3" xfId="21402" xr:uid="{00000000-0005-0000-0000-0000792B0000}"/>
    <cellStyle name="Separador de milhares 3 3 3 3 3 4" xfId="17395" xr:uid="{00000000-0005-0000-0000-00007A2B0000}"/>
    <cellStyle name="Separador de milhares 3 3 3 4" xfId="3143" xr:uid="{00000000-0005-0000-0000-00007B2B0000}"/>
    <cellStyle name="Separador de milhares 3 3 3 4 2" xfId="3973" xr:uid="{00000000-0005-0000-0000-00007C2B0000}"/>
    <cellStyle name="Separador de milhares 3 3 3 4 2 2" xfId="6543" xr:uid="{00000000-0005-0000-0000-00007D2B0000}"/>
    <cellStyle name="Separador de milhares 3 3 3 4 2 2 2" xfId="23525" xr:uid="{00000000-0005-0000-0000-00007E2B0000}"/>
    <cellStyle name="Separador de milhares 3 3 3 4 2 2 3" xfId="19578" xr:uid="{00000000-0005-0000-0000-00007F2B0000}"/>
    <cellStyle name="Separador de milhares 3 3 3 4 2 3" xfId="21029" xr:uid="{00000000-0005-0000-0000-0000802B0000}"/>
    <cellStyle name="Separador de milhares 3 3 3 4 2 4" xfId="17015" xr:uid="{00000000-0005-0000-0000-0000812B0000}"/>
    <cellStyle name="Separador de milhares 3 3 3 4 3" xfId="5312" xr:uid="{00000000-0005-0000-0000-0000822B0000}"/>
    <cellStyle name="Separador de milhares 3 3 3 4 3 2" xfId="22311" xr:uid="{00000000-0005-0000-0000-0000832B0000}"/>
    <cellStyle name="Separador de milhares 3 3 3 4 3 3" xfId="18347" xr:uid="{00000000-0005-0000-0000-0000842B0000}"/>
    <cellStyle name="Separador de milhares 3 3 3 4 4" xfId="20211" xr:uid="{00000000-0005-0000-0000-0000852B0000}"/>
    <cellStyle name="Separador de milhares 3 3 3 4 5" xfId="16187" xr:uid="{00000000-0005-0000-0000-0000862B0000}"/>
    <cellStyle name="Separador de milhares 3 3 3 5" xfId="3892" xr:uid="{00000000-0005-0000-0000-0000872B0000}"/>
    <cellStyle name="Separador de milhares 3 3 3 5 2" xfId="6033" xr:uid="{00000000-0005-0000-0000-0000882B0000}"/>
    <cellStyle name="Separador de milhares 3 3 3 5 2 2" xfId="23022" xr:uid="{00000000-0005-0000-0000-0000892B0000}"/>
    <cellStyle name="Separador de milhares 3 3 3 5 2 3" xfId="19068" xr:uid="{00000000-0005-0000-0000-00008A2B0000}"/>
    <cellStyle name="Separador de milhares 3 3 3 5 3" xfId="20949" xr:uid="{00000000-0005-0000-0000-00008B2B0000}"/>
    <cellStyle name="Separador de milhares 3 3 3 5 4" xfId="16934" xr:uid="{00000000-0005-0000-0000-00008C2B0000}"/>
    <cellStyle name="Separador de milhares 3 3 3 6" xfId="6728" xr:uid="{00000000-0005-0000-0000-00008D2B0000}"/>
    <cellStyle name="Separador de milhares 3 3 3 6 2" xfId="23701" xr:uid="{00000000-0005-0000-0000-00008E2B0000}"/>
    <cellStyle name="Separador de milhares 3 3 3 6 3" xfId="19763" xr:uid="{00000000-0005-0000-0000-00008F2B0000}"/>
    <cellStyle name="Separador de milhares 3 3 3 7" xfId="5046" xr:uid="{00000000-0005-0000-0000-0000902B0000}"/>
    <cellStyle name="Separador de milhares 3 3 3 7 2" xfId="22054" xr:uid="{00000000-0005-0000-0000-0000912B0000}"/>
    <cellStyle name="Separador de milhares 3 3 3 7 3" xfId="18081" xr:uid="{00000000-0005-0000-0000-0000922B0000}"/>
    <cellStyle name="Separador de milhares 3 3 3 8" xfId="19954" xr:uid="{00000000-0005-0000-0000-0000932B0000}"/>
    <cellStyle name="Separador de milhares 3 3 3 9" xfId="15914" xr:uid="{00000000-0005-0000-0000-0000942B0000}"/>
    <cellStyle name="Separador de milhares 3 3 4" xfId="2982" xr:uid="{00000000-0005-0000-0000-0000952B0000}"/>
    <cellStyle name="Separador de milhares 3 3 4 2" xfId="3713" xr:uid="{00000000-0005-0000-0000-0000962B0000}"/>
    <cellStyle name="Separador de milhares 3 3 4 2 2" xfId="5894" xr:uid="{00000000-0005-0000-0000-0000972B0000}"/>
    <cellStyle name="Separador de milhares 3 3 4 2 2 2" xfId="11982" xr:uid="{00000000-0005-0000-0000-0000982B0000}"/>
    <cellStyle name="Separador de milhares 3 3 4 2 2 2 2" xfId="22890" xr:uid="{00000000-0005-0000-0000-0000992B0000}"/>
    <cellStyle name="Separador de milhares 3 3 4 2 2 3" xfId="11132" xr:uid="{00000000-0005-0000-0000-00009A2B0000}"/>
    <cellStyle name="Separador de milhares 3 3 4 2 2 4" xfId="18929" xr:uid="{00000000-0005-0000-0000-00009B2B0000}"/>
    <cellStyle name="Separador de milhares 3 3 4 2 3" xfId="13674" xr:uid="{00000000-0005-0000-0000-00009C2B0000}"/>
    <cellStyle name="Separador de milhares 3 3 4 2 3 2" xfId="20781" xr:uid="{00000000-0005-0000-0000-00009D2B0000}"/>
    <cellStyle name="Separador de milhares 3 3 4 2 4" xfId="16757" xr:uid="{00000000-0005-0000-0000-00009E2B0000}"/>
    <cellStyle name="Separador de milhares 3 3 5" xfId="8424" xr:uid="{00000000-0005-0000-0000-00009F2B0000}"/>
    <cellStyle name="Separador de milhares 3 3 5 2" xfId="11458" xr:uid="{00000000-0005-0000-0000-0000A02B0000}"/>
    <cellStyle name="Separador de milhares 3 3 5 3" xfId="11069" xr:uid="{00000000-0005-0000-0000-0000A12B0000}"/>
    <cellStyle name="Separador de milhares 3 3 6" xfId="8425" xr:uid="{00000000-0005-0000-0000-0000A22B0000}"/>
    <cellStyle name="Separador de milhares 3 3 6 2" xfId="14039" xr:uid="{00000000-0005-0000-0000-0000A32B0000}"/>
    <cellStyle name="Separador de milhares 3 3 6 3" xfId="13381" xr:uid="{00000000-0005-0000-0000-0000A42B0000}"/>
    <cellStyle name="Separador de milhares 3 4" xfId="114" xr:uid="{00000000-0005-0000-0000-0000A52B0000}"/>
    <cellStyle name="Separador de milhares 3 4 2" xfId="859" xr:uid="{00000000-0005-0000-0000-0000A62B0000}"/>
    <cellStyle name="Separador de milhares 3 4 2 2" xfId="3144" xr:uid="{00000000-0005-0000-0000-0000A72B0000}"/>
    <cellStyle name="Separador de milhares 3 4 2 2 2" xfId="3785" xr:uid="{00000000-0005-0000-0000-0000A82B0000}"/>
    <cellStyle name="Separador de milhares 3 4 2 2 2 2" xfId="6544" xr:uid="{00000000-0005-0000-0000-0000A92B0000}"/>
    <cellStyle name="Separador de milhares 3 4 2 2 2 2 2" xfId="23526" xr:uid="{00000000-0005-0000-0000-0000AA2B0000}"/>
    <cellStyle name="Separador de milhares 3 4 2 2 2 2 3" xfId="19579" xr:uid="{00000000-0005-0000-0000-0000AB2B0000}"/>
    <cellStyle name="Separador de milhares 3 4 2 2 2 3" xfId="20847" xr:uid="{00000000-0005-0000-0000-0000AC2B0000}"/>
    <cellStyle name="Separador de milhares 3 4 2 2 2 4" xfId="16827" xr:uid="{00000000-0005-0000-0000-0000AD2B0000}"/>
    <cellStyle name="Separador de milhares 3 4 2 2 3" xfId="5313" xr:uid="{00000000-0005-0000-0000-0000AE2B0000}"/>
    <cellStyle name="Separador de milhares 3 4 2 2 3 2" xfId="22312" xr:uid="{00000000-0005-0000-0000-0000AF2B0000}"/>
    <cellStyle name="Separador de milhares 3 4 2 2 3 3" xfId="18348" xr:uid="{00000000-0005-0000-0000-0000B02B0000}"/>
    <cellStyle name="Separador de milhares 3 4 2 2 4" xfId="20212" xr:uid="{00000000-0005-0000-0000-0000B12B0000}"/>
    <cellStyle name="Separador de milhares 3 4 2 2 5" xfId="16188" xr:uid="{00000000-0005-0000-0000-0000B22B0000}"/>
    <cellStyle name="Separador de milhares 3 4 2 3" xfId="3893" xr:uid="{00000000-0005-0000-0000-0000B32B0000}"/>
    <cellStyle name="Separador de milhares 3 4 2 3 2" xfId="6034" xr:uid="{00000000-0005-0000-0000-0000B42B0000}"/>
    <cellStyle name="Separador de milhares 3 4 2 3 2 2" xfId="23023" xr:uid="{00000000-0005-0000-0000-0000B52B0000}"/>
    <cellStyle name="Separador de milhares 3 4 2 3 2 3" xfId="19069" xr:uid="{00000000-0005-0000-0000-0000B62B0000}"/>
    <cellStyle name="Separador de milhares 3 4 2 3 3" xfId="20950" xr:uid="{00000000-0005-0000-0000-0000B72B0000}"/>
    <cellStyle name="Separador de milhares 3 4 2 3 4" xfId="16935" xr:uid="{00000000-0005-0000-0000-0000B82B0000}"/>
    <cellStyle name="Separador de milhares 3 4 2 4" xfId="6729" xr:uid="{00000000-0005-0000-0000-0000B92B0000}"/>
    <cellStyle name="Separador de milhares 3 4 2 4 2" xfId="23702" xr:uid="{00000000-0005-0000-0000-0000BA2B0000}"/>
    <cellStyle name="Separador de milhares 3 4 2 4 3" xfId="19764" xr:uid="{00000000-0005-0000-0000-0000BB2B0000}"/>
    <cellStyle name="Separador de milhares 3 4 2 5" xfId="5047" xr:uid="{00000000-0005-0000-0000-0000BC2B0000}"/>
    <cellStyle name="Separador de milhares 3 4 2 5 2" xfId="22055" xr:uid="{00000000-0005-0000-0000-0000BD2B0000}"/>
    <cellStyle name="Separador de milhares 3 4 2 5 3" xfId="18082" xr:uid="{00000000-0005-0000-0000-0000BE2B0000}"/>
    <cellStyle name="Separador de milhares 3 4 2 6" xfId="19955" xr:uid="{00000000-0005-0000-0000-0000BF2B0000}"/>
    <cellStyle name="Separador de milhares 3 4 2 7" xfId="15915" xr:uid="{00000000-0005-0000-0000-0000C02B0000}"/>
    <cellStyle name="Separador de milhares 3 4 3" xfId="5895" xr:uid="{00000000-0005-0000-0000-0000C12B0000}"/>
    <cellStyle name="Separador de milhares 3 4 3 2" xfId="22891" xr:uid="{00000000-0005-0000-0000-0000C22B0000}"/>
    <cellStyle name="Separador de milhares 3 4 3 3" xfId="18930" xr:uid="{00000000-0005-0000-0000-0000C32B0000}"/>
    <cellStyle name="Separador de milhares 3 5" xfId="110" xr:uid="{00000000-0005-0000-0000-0000C42B0000}"/>
    <cellStyle name="Separador de milhares 3 5 2" xfId="860" xr:uid="{00000000-0005-0000-0000-0000C52B0000}"/>
    <cellStyle name="Separador de milhares 3 5 2 2" xfId="3145" xr:uid="{00000000-0005-0000-0000-0000C62B0000}"/>
    <cellStyle name="Separador de milhares 3 5 2 2 2" xfId="3756" xr:uid="{00000000-0005-0000-0000-0000C72B0000}"/>
    <cellStyle name="Separador de milhares 3 5 2 2 2 2" xfId="6545" xr:uid="{00000000-0005-0000-0000-0000C82B0000}"/>
    <cellStyle name="Separador de milhares 3 5 2 2 2 2 2" xfId="23527" xr:uid="{00000000-0005-0000-0000-0000C92B0000}"/>
    <cellStyle name="Separador de milhares 3 5 2 2 2 2 3" xfId="19580" xr:uid="{00000000-0005-0000-0000-0000CA2B0000}"/>
    <cellStyle name="Separador de milhares 3 5 2 2 2 3" xfId="20820" xr:uid="{00000000-0005-0000-0000-0000CB2B0000}"/>
    <cellStyle name="Separador de milhares 3 5 2 2 2 4" xfId="16799" xr:uid="{00000000-0005-0000-0000-0000CC2B0000}"/>
    <cellStyle name="Separador de milhares 3 5 2 2 3" xfId="5314" xr:uid="{00000000-0005-0000-0000-0000CD2B0000}"/>
    <cellStyle name="Separador de milhares 3 5 2 2 3 2" xfId="12918" xr:uid="{00000000-0005-0000-0000-0000CE2B0000}"/>
    <cellStyle name="Separador de milhares 3 5 2 2 3 2 2" xfId="22313" xr:uid="{00000000-0005-0000-0000-0000CF2B0000}"/>
    <cellStyle name="Separador de milhares 3 5 2 2 3 3" xfId="12960" xr:uid="{00000000-0005-0000-0000-0000D02B0000}"/>
    <cellStyle name="Separador de milhares 3 5 2 2 3 4" xfId="18349" xr:uid="{00000000-0005-0000-0000-0000D12B0000}"/>
    <cellStyle name="Separador de milhares 3 5 2 2 4" xfId="13608" xr:uid="{00000000-0005-0000-0000-0000D22B0000}"/>
    <cellStyle name="Separador de milhares 3 5 2 2 4 2" xfId="20213" xr:uid="{00000000-0005-0000-0000-0000D32B0000}"/>
    <cellStyle name="Separador de milhares 3 5 2 2 5" xfId="16189" xr:uid="{00000000-0005-0000-0000-0000D42B0000}"/>
    <cellStyle name="Separador de milhares 3 5 2 3" xfId="3894" xr:uid="{00000000-0005-0000-0000-0000D52B0000}"/>
    <cellStyle name="Separador de milhares 3 5 2 3 2" xfId="6035" xr:uid="{00000000-0005-0000-0000-0000D62B0000}"/>
    <cellStyle name="Separador de milhares 3 5 2 3 2 2" xfId="23024" xr:uid="{00000000-0005-0000-0000-0000D72B0000}"/>
    <cellStyle name="Separador de milhares 3 5 2 3 2 3" xfId="19070" xr:uid="{00000000-0005-0000-0000-0000D82B0000}"/>
    <cellStyle name="Separador de milhares 3 5 2 3 3" xfId="20951" xr:uid="{00000000-0005-0000-0000-0000D92B0000}"/>
    <cellStyle name="Separador de milhares 3 5 2 3 4" xfId="16936" xr:uid="{00000000-0005-0000-0000-0000DA2B0000}"/>
    <cellStyle name="Separador de milhares 3 5 2 4" xfId="6730" xr:uid="{00000000-0005-0000-0000-0000DB2B0000}"/>
    <cellStyle name="Separador de milhares 3 5 2 4 2" xfId="23703" xr:uid="{00000000-0005-0000-0000-0000DC2B0000}"/>
    <cellStyle name="Separador de milhares 3 5 2 4 3" xfId="19765" xr:uid="{00000000-0005-0000-0000-0000DD2B0000}"/>
    <cellStyle name="Separador de milhares 3 5 2 5" xfId="5048" xr:uid="{00000000-0005-0000-0000-0000DE2B0000}"/>
    <cellStyle name="Separador de milhares 3 5 2 5 2" xfId="22056" xr:uid="{00000000-0005-0000-0000-0000DF2B0000}"/>
    <cellStyle name="Separador de milhares 3 5 2 5 3" xfId="18083" xr:uid="{00000000-0005-0000-0000-0000E02B0000}"/>
    <cellStyle name="Separador de milhares 3 5 2 6" xfId="19956" xr:uid="{00000000-0005-0000-0000-0000E12B0000}"/>
    <cellStyle name="Separador de milhares 3 5 2 7" xfId="15916" xr:uid="{00000000-0005-0000-0000-0000E22B0000}"/>
    <cellStyle name="Separador de milhares 3 5 3" xfId="2983" xr:uid="{00000000-0005-0000-0000-0000E32B0000}"/>
    <cellStyle name="Separador de milhares 3 5 3 2" xfId="8426" xr:uid="{00000000-0005-0000-0000-0000E42B0000}"/>
    <cellStyle name="Separador de milhares 3 5 3 2 2" xfId="12413" xr:uid="{00000000-0005-0000-0000-0000E52B0000}"/>
    <cellStyle name="Separador de milhares 3 5 3 2 3" xfId="11072" xr:uid="{00000000-0005-0000-0000-0000E62B0000}"/>
    <cellStyle name="Separador de milhares 3 5 3 3" xfId="8427" xr:uid="{00000000-0005-0000-0000-0000E72B0000}"/>
    <cellStyle name="Separador de milhares 3 5 3 4" xfId="13547" xr:uid="{00000000-0005-0000-0000-0000E82B0000}"/>
    <cellStyle name="Separador de milhares 3 5 4" xfId="5891" xr:uid="{00000000-0005-0000-0000-0000E92B0000}"/>
    <cellStyle name="Separador de milhares 3 5 4 2" xfId="11406" xr:uid="{00000000-0005-0000-0000-0000EA2B0000}"/>
    <cellStyle name="Separador de milhares 3 5 4 2 2" xfId="22887" xr:uid="{00000000-0005-0000-0000-0000EB2B0000}"/>
    <cellStyle name="Separador de milhares 3 5 4 3" xfId="13303" xr:uid="{00000000-0005-0000-0000-0000EC2B0000}"/>
    <cellStyle name="Separador de milhares 3 5 4 4" xfId="18926" xr:uid="{00000000-0005-0000-0000-0000ED2B0000}"/>
    <cellStyle name="Separador de milhares 3 6" xfId="586" xr:uid="{00000000-0005-0000-0000-0000EE2B0000}"/>
    <cellStyle name="Separador de milhares 3 6 2" xfId="587" xr:uid="{00000000-0005-0000-0000-0000EF2B0000}"/>
    <cellStyle name="Separador de milhares 3 6 2 2" xfId="861" xr:uid="{00000000-0005-0000-0000-0000F02B0000}"/>
    <cellStyle name="Separador de milhares 3 6 2 2 2" xfId="3146" xr:uid="{00000000-0005-0000-0000-0000F12B0000}"/>
    <cellStyle name="Separador de milhares 3 6 2 2 2 2" xfId="4339" xr:uid="{00000000-0005-0000-0000-0000F22B0000}"/>
    <cellStyle name="Separador de milhares 3 6 2 2 2 2 2" xfId="6546" xr:uid="{00000000-0005-0000-0000-0000F32B0000}"/>
    <cellStyle name="Separador de milhares 3 6 2 2 2 2 2 2" xfId="23528" xr:uid="{00000000-0005-0000-0000-0000F42B0000}"/>
    <cellStyle name="Separador de milhares 3 6 2 2 2 2 2 3" xfId="19581" xr:uid="{00000000-0005-0000-0000-0000F52B0000}"/>
    <cellStyle name="Separador de milhares 3 6 2 2 2 2 3" xfId="21383" xr:uid="{00000000-0005-0000-0000-0000F62B0000}"/>
    <cellStyle name="Separador de milhares 3 6 2 2 2 2 4" xfId="17376" xr:uid="{00000000-0005-0000-0000-0000F72B0000}"/>
    <cellStyle name="Separador de milhares 3 6 2 2 2 3" xfId="5315" xr:uid="{00000000-0005-0000-0000-0000F82B0000}"/>
    <cellStyle name="Separador de milhares 3 6 2 2 2 3 2" xfId="22314" xr:uid="{00000000-0005-0000-0000-0000F92B0000}"/>
    <cellStyle name="Separador de milhares 3 6 2 2 2 3 3" xfId="18350" xr:uid="{00000000-0005-0000-0000-0000FA2B0000}"/>
    <cellStyle name="Separador de milhares 3 6 2 2 2 4" xfId="20214" xr:uid="{00000000-0005-0000-0000-0000FB2B0000}"/>
    <cellStyle name="Separador de milhares 3 6 2 2 2 5" xfId="16190" xr:uid="{00000000-0005-0000-0000-0000FC2B0000}"/>
    <cellStyle name="Separador de milhares 3 6 2 2 3" xfId="3895" xr:uid="{00000000-0005-0000-0000-0000FD2B0000}"/>
    <cellStyle name="Separador de milhares 3 6 2 2 3 2" xfId="6036" xr:uid="{00000000-0005-0000-0000-0000FE2B0000}"/>
    <cellStyle name="Separador de milhares 3 6 2 2 3 2 2" xfId="23025" xr:uid="{00000000-0005-0000-0000-0000FF2B0000}"/>
    <cellStyle name="Separador de milhares 3 6 2 2 3 2 3" xfId="19071" xr:uid="{00000000-0005-0000-0000-0000002C0000}"/>
    <cellStyle name="Separador de milhares 3 6 2 2 3 3" xfId="20952" xr:uid="{00000000-0005-0000-0000-0000012C0000}"/>
    <cellStyle name="Separador de milhares 3 6 2 2 3 4" xfId="16937" xr:uid="{00000000-0005-0000-0000-0000022C0000}"/>
    <cellStyle name="Separador de milhares 3 6 2 2 4" xfId="6731" xr:uid="{00000000-0005-0000-0000-0000032C0000}"/>
    <cellStyle name="Separador de milhares 3 6 2 2 4 2" xfId="23704" xr:uid="{00000000-0005-0000-0000-0000042C0000}"/>
    <cellStyle name="Separador de milhares 3 6 2 2 4 3" xfId="19766" xr:uid="{00000000-0005-0000-0000-0000052C0000}"/>
    <cellStyle name="Separador de milhares 3 6 2 2 5" xfId="5049" xr:uid="{00000000-0005-0000-0000-0000062C0000}"/>
    <cellStyle name="Separador de milhares 3 6 2 2 5 2" xfId="22057" xr:uid="{00000000-0005-0000-0000-0000072C0000}"/>
    <cellStyle name="Separador de milhares 3 6 2 2 5 3" xfId="18084" xr:uid="{00000000-0005-0000-0000-0000082C0000}"/>
    <cellStyle name="Separador de milhares 3 6 2 2 6" xfId="19957" xr:uid="{00000000-0005-0000-0000-0000092C0000}"/>
    <cellStyle name="Separador de milhares 3 6 2 2 7" xfId="15917" xr:uid="{00000000-0005-0000-0000-00000A2C0000}"/>
    <cellStyle name="Separador de milhares 3 6 2 3" xfId="5933" xr:uid="{00000000-0005-0000-0000-00000B2C0000}"/>
    <cellStyle name="Separador de milhares 3 6 2 3 2" xfId="22927" xr:uid="{00000000-0005-0000-0000-00000C2C0000}"/>
    <cellStyle name="Separador de milhares 3 6 2 3 3" xfId="18968" xr:uid="{00000000-0005-0000-0000-00000D2C0000}"/>
    <cellStyle name="Separador de milhares 3 6 3" xfId="862" xr:uid="{00000000-0005-0000-0000-00000E2C0000}"/>
    <cellStyle name="Separador de milhares 3 6 3 2" xfId="3147" xr:uid="{00000000-0005-0000-0000-00000F2C0000}"/>
    <cellStyle name="Separador de milhares 3 6 3 2 2" xfId="3825" xr:uid="{00000000-0005-0000-0000-0000102C0000}"/>
    <cellStyle name="Separador de milhares 3 6 3 2 2 2" xfId="6547" xr:uid="{00000000-0005-0000-0000-0000112C0000}"/>
    <cellStyle name="Separador de milhares 3 6 3 2 2 2 2" xfId="23529" xr:uid="{00000000-0005-0000-0000-0000122C0000}"/>
    <cellStyle name="Separador de milhares 3 6 3 2 2 2 3" xfId="19582" xr:uid="{00000000-0005-0000-0000-0000132C0000}"/>
    <cellStyle name="Separador de milhares 3 6 3 2 2 3" xfId="20887" xr:uid="{00000000-0005-0000-0000-0000142C0000}"/>
    <cellStyle name="Separador de milhares 3 6 3 2 2 4" xfId="16867" xr:uid="{00000000-0005-0000-0000-0000152C0000}"/>
    <cellStyle name="Separador de milhares 3 6 3 2 3" xfId="5316" xr:uid="{00000000-0005-0000-0000-0000162C0000}"/>
    <cellStyle name="Separador de milhares 3 6 3 2 3 2" xfId="22315" xr:uid="{00000000-0005-0000-0000-0000172C0000}"/>
    <cellStyle name="Separador de milhares 3 6 3 2 3 3" xfId="18351" xr:uid="{00000000-0005-0000-0000-0000182C0000}"/>
    <cellStyle name="Separador de milhares 3 6 3 2 4" xfId="20215" xr:uid="{00000000-0005-0000-0000-0000192C0000}"/>
    <cellStyle name="Separador de milhares 3 6 3 2 5" xfId="16191" xr:uid="{00000000-0005-0000-0000-00001A2C0000}"/>
    <cellStyle name="Separador de milhares 3 6 3 3" xfId="3896" xr:uid="{00000000-0005-0000-0000-00001B2C0000}"/>
    <cellStyle name="Separador de milhares 3 6 3 3 2" xfId="6037" xr:uid="{00000000-0005-0000-0000-00001C2C0000}"/>
    <cellStyle name="Separador de milhares 3 6 3 3 2 2" xfId="23026" xr:uid="{00000000-0005-0000-0000-00001D2C0000}"/>
    <cellStyle name="Separador de milhares 3 6 3 3 2 3" xfId="19072" xr:uid="{00000000-0005-0000-0000-00001E2C0000}"/>
    <cellStyle name="Separador de milhares 3 6 3 3 3" xfId="20953" xr:uid="{00000000-0005-0000-0000-00001F2C0000}"/>
    <cellStyle name="Separador de milhares 3 6 3 3 4" xfId="16938" xr:uid="{00000000-0005-0000-0000-0000202C0000}"/>
    <cellStyle name="Separador de milhares 3 6 3 4" xfId="6732" xr:uid="{00000000-0005-0000-0000-0000212C0000}"/>
    <cellStyle name="Separador de milhares 3 6 3 4 2" xfId="23705" xr:uid="{00000000-0005-0000-0000-0000222C0000}"/>
    <cellStyle name="Separador de milhares 3 6 3 4 3" xfId="19767" xr:uid="{00000000-0005-0000-0000-0000232C0000}"/>
    <cellStyle name="Separador de milhares 3 6 3 5" xfId="5050" xr:uid="{00000000-0005-0000-0000-0000242C0000}"/>
    <cellStyle name="Separador de milhares 3 6 3 5 2" xfId="22058" xr:uid="{00000000-0005-0000-0000-0000252C0000}"/>
    <cellStyle name="Separador de milhares 3 6 3 5 3" xfId="18085" xr:uid="{00000000-0005-0000-0000-0000262C0000}"/>
    <cellStyle name="Separador de milhares 3 6 3 6" xfId="19958" xr:uid="{00000000-0005-0000-0000-0000272C0000}"/>
    <cellStyle name="Separador de milhares 3 6 3 7" xfId="15918" xr:uid="{00000000-0005-0000-0000-0000282C0000}"/>
    <cellStyle name="Separador de milhares 3 6 4" xfId="5932" xr:uid="{00000000-0005-0000-0000-0000292C0000}"/>
    <cellStyle name="Separador de milhares 3 6 4 2" xfId="22926" xr:uid="{00000000-0005-0000-0000-00002A2C0000}"/>
    <cellStyle name="Separador de milhares 3 6 4 3" xfId="18967" xr:uid="{00000000-0005-0000-0000-00002B2C0000}"/>
    <cellStyle name="Separador de milhares 3 7" xfId="588" xr:uid="{00000000-0005-0000-0000-00002C2C0000}"/>
    <cellStyle name="Separador de milhares 3 7 2" xfId="863" xr:uid="{00000000-0005-0000-0000-00002D2C0000}"/>
    <cellStyle name="Separador de milhares 3 7 2 2" xfId="2156" xr:uid="{00000000-0005-0000-0000-00002E2C0000}"/>
    <cellStyle name="Separador de milhares 3 7 2 2 2" xfId="3285" xr:uid="{00000000-0005-0000-0000-00002F2C0000}"/>
    <cellStyle name="Separador de milhares 3 7 2 2 2 2" xfId="4621" xr:uid="{00000000-0005-0000-0000-0000302C0000}"/>
    <cellStyle name="Separador de milhares 3 7 2 2 2 2 2" xfId="21661" xr:uid="{00000000-0005-0000-0000-0000312C0000}"/>
    <cellStyle name="Separador de milhares 3 7 2 2 2 2 3" xfId="17656" xr:uid="{00000000-0005-0000-0000-0000322C0000}"/>
    <cellStyle name="Separador de milhares 3 7 2 2 2 3" xfId="5454" xr:uid="{00000000-0005-0000-0000-0000332C0000}"/>
    <cellStyle name="Separador de milhares 3 7 2 2 2 3 2" xfId="22453" xr:uid="{00000000-0005-0000-0000-0000342C0000}"/>
    <cellStyle name="Separador de milhares 3 7 2 2 2 3 3" xfId="18489" xr:uid="{00000000-0005-0000-0000-0000352C0000}"/>
    <cellStyle name="Separador de milhares 3 7 2 2 2 4" xfId="20353" xr:uid="{00000000-0005-0000-0000-0000362C0000}"/>
    <cellStyle name="Separador de milhares 3 7 2 2 2 5" xfId="16329" xr:uid="{00000000-0005-0000-0000-0000372C0000}"/>
    <cellStyle name="Separador de milhares 3 7 2 2 3" xfId="4413" xr:uid="{00000000-0005-0000-0000-0000382C0000}"/>
    <cellStyle name="Separador de milhares 3 7 2 2 3 2" xfId="6184" xr:uid="{00000000-0005-0000-0000-0000392C0000}"/>
    <cellStyle name="Separador de milhares 3 7 2 2 3 2 2" xfId="23166" xr:uid="{00000000-0005-0000-0000-00003A2C0000}"/>
    <cellStyle name="Separador de milhares 3 7 2 2 3 2 3" xfId="19219" xr:uid="{00000000-0005-0000-0000-00003B2C0000}"/>
    <cellStyle name="Separador de milhares 3 7 2 2 3 3" xfId="21456" xr:uid="{00000000-0005-0000-0000-00003C2C0000}"/>
    <cellStyle name="Separador de milhares 3 7 2 2 3 4" xfId="17450" xr:uid="{00000000-0005-0000-0000-00003D2C0000}"/>
    <cellStyle name="Separador de milhares 3 7 2 3" xfId="3148" xr:uid="{00000000-0005-0000-0000-00003E2C0000}"/>
    <cellStyle name="Separador de milhares 3 7 2 3 2" xfId="4113" xr:uid="{00000000-0005-0000-0000-00003F2C0000}"/>
    <cellStyle name="Separador de milhares 3 7 2 3 2 2" xfId="6548" xr:uid="{00000000-0005-0000-0000-0000402C0000}"/>
    <cellStyle name="Separador de milhares 3 7 2 3 2 2 2" xfId="23530" xr:uid="{00000000-0005-0000-0000-0000412C0000}"/>
    <cellStyle name="Separador de milhares 3 7 2 3 2 2 3" xfId="19583" xr:uid="{00000000-0005-0000-0000-0000422C0000}"/>
    <cellStyle name="Separador de milhares 3 7 2 3 2 3" xfId="21161" xr:uid="{00000000-0005-0000-0000-0000432C0000}"/>
    <cellStyle name="Separador de milhares 3 7 2 3 2 4" xfId="17153" xr:uid="{00000000-0005-0000-0000-0000442C0000}"/>
    <cellStyle name="Separador de milhares 3 7 2 3 3" xfId="5317" xr:uid="{00000000-0005-0000-0000-0000452C0000}"/>
    <cellStyle name="Separador de milhares 3 7 2 3 3 2" xfId="22316" xr:uid="{00000000-0005-0000-0000-0000462C0000}"/>
    <cellStyle name="Separador de milhares 3 7 2 3 3 3" xfId="18352" xr:uid="{00000000-0005-0000-0000-0000472C0000}"/>
    <cellStyle name="Separador de milhares 3 7 2 3 4" xfId="20216" xr:uid="{00000000-0005-0000-0000-0000482C0000}"/>
    <cellStyle name="Separador de milhares 3 7 2 3 5" xfId="16192" xr:uid="{00000000-0005-0000-0000-0000492C0000}"/>
    <cellStyle name="Separador de milhares 3 7 2 4" xfId="3897" xr:uid="{00000000-0005-0000-0000-00004A2C0000}"/>
    <cellStyle name="Separador de milhares 3 7 2 4 2" xfId="6038" xr:uid="{00000000-0005-0000-0000-00004B2C0000}"/>
    <cellStyle name="Separador de milhares 3 7 2 4 2 2" xfId="23027" xr:uid="{00000000-0005-0000-0000-00004C2C0000}"/>
    <cellStyle name="Separador de milhares 3 7 2 4 2 3" xfId="19073" xr:uid="{00000000-0005-0000-0000-00004D2C0000}"/>
    <cellStyle name="Separador de milhares 3 7 2 4 3" xfId="20954" xr:uid="{00000000-0005-0000-0000-00004E2C0000}"/>
    <cellStyle name="Separador de milhares 3 7 2 4 4" xfId="16939" xr:uid="{00000000-0005-0000-0000-00004F2C0000}"/>
    <cellStyle name="Separador de milhares 3 7 2 5" xfId="6733" xr:uid="{00000000-0005-0000-0000-0000502C0000}"/>
    <cellStyle name="Separador de milhares 3 7 2 5 2" xfId="23706" xr:uid="{00000000-0005-0000-0000-0000512C0000}"/>
    <cellStyle name="Separador de milhares 3 7 2 5 3" xfId="19768" xr:uid="{00000000-0005-0000-0000-0000522C0000}"/>
    <cellStyle name="Separador de milhares 3 7 2 6" xfId="5051" xr:uid="{00000000-0005-0000-0000-0000532C0000}"/>
    <cellStyle name="Separador de milhares 3 7 2 6 2" xfId="22059" xr:uid="{00000000-0005-0000-0000-0000542C0000}"/>
    <cellStyle name="Separador de milhares 3 7 2 6 3" xfId="18086" xr:uid="{00000000-0005-0000-0000-0000552C0000}"/>
    <cellStyle name="Separador de milhares 3 7 2 7" xfId="19959" xr:uid="{00000000-0005-0000-0000-0000562C0000}"/>
    <cellStyle name="Separador de milhares 3 7 2 8" xfId="15919" xr:uid="{00000000-0005-0000-0000-0000572C0000}"/>
    <cellStyle name="Separador de milhares 3 7 3" xfId="5934" xr:uid="{00000000-0005-0000-0000-0000582C0000}"/>
    <cellStyle name="Separador de milhares 3 7 3 2" xfId="22928" xr:uid="{00000000-0005-0000-0000-0000592C0000}"/>
    <cellStyle name="Separador de milhares 3 7 3 3" xfId="18969" xr:uid="{00000000-0005-0000-0000-00005A2C0000}"/>
    <cellStyle name="Separador de milhares 3 8" xfId="864" xr:uid="{00000000-0005-0000-0000-00005B2C0000}"/>
    <cellStyle name="Separador de milhares 3 8 2" xfId="1081" xr:uid="{00000000-0005-0000-0000-00005C2C0000}"/>
    <cellStyle name="Separador de milhares 3 8 2 2" xfId="2158" xr:uid="{00000000-0005-0000-0000-00005D2C0000}"/>
    <cellStyle name="Separador de milhares 3 8 2 2 2" xfId="3287" xr:uid="{00000000-0005-0000-0000-00005E2C0000}"/>
    <cellStyle name="Separador de milhares 3 8 2 2 2 2" xfId="4623" xr:uid="{00000000-0005-0000-0000-00005F2C0000}"/>
    <cellStyle name="Separador de milhares 3 8 2 2 2 2 2" xfId="21663" xr:uid="{00000000-0005-0000-0000-0000602C0000}"/>
    <cellStyle name="Separador de milhares 3 8 2 2 2 2 3" xfId="17658" xr:uid="{00000000-0005-0000-0000-0000612C0000}"/>
    <cellStyle name="Separador de milhares 3 8 2 2 2 3" xfId="5456" xr:uid="{00000000-0005-0000-0000-0000622C0000}"/>
    <cellStyle name="Separador de milhares 3 8 2 2 2 3 2" xfId="22455" xr:uid="{00000000-0005-0000-0000-0000632C0000}"/>
    <cellStyle name="Separador de milhares 3 8 2 2 2 3 3" xfId="18491" xr:uid="{00000000-0005-0000-0000-0000642C0000}"/>
    <cellStyle name="Separador de milhares 3 8 2 2 2 4" xfId="20355" xr:uid="{00000000-0005-0000-0000-0000652C0000}"/>
    <cellStyle name="Separador de milhares 3 8 2 2 2 5" xfId="16331" xr:uid="{00000000-0005-0000-0000-0000662C0000}"/>
    <cellStyle name="Separador de milhares 3 8 2 2 3" xfId="4197" xr:uid="{00000000-0005-0000-0000-0000672C0000}"/>
    <cellStyle name="Separador de milhares 3 8 2 2 3 2" xfId="6186" xr:uid="{00000000-0005-0000-0000-0000682C0000}"/>
    <cellStyle name="Separador de milhares 3 8 2 2 3 2 2" xfId="23168" xr:uid="{00000000-0005-0000-0000-0000692C0000}"/>
    <cellStyle name="Separador de milhares 3 8 2 2 3 2 3" xfId="19221" xr:uid="{00000000-0005-0000-0000-00006A2C0000}"/>
    <cellStyle name="Separador de milhares 3 8 2 2 3 3" xfId="21243" xr:uid="{00000000-0005-0000-0000-00006B2C0000}"/>
    <cellStyle name="Separador de milhares 3 8 2 2 3 4" xfId="17236" xr:uid="{00000000-0005-0000-0000-00006C2C0000}"/>
    <cellStyle name="Separador de milhares 3 8 2 3" xfId="3213" xr:uid="{00000000-0005-0000-0000-00006D2C0000}"/>
    <cellStyle name="Separador de milhares 3 8 2 3 2" xfId="4555" xr:uid="{00000000-0005-0000-0000-00006E2C0000}"/>
    <cellStyle name="Separador de milhares 3 8 2 3 2 2" xfId="21595" xr:uid="{00000000-0005-0000-0000-00006F2C0000}"/>
    <cellStyle name="Separador de milhares 3 8 2 3 2 3" xfId="17590" xr:uid="{00000000-0005-0000-0000-0000702C0000}"/>
    <cellStyle name="Separador de milhares 3 8 2 3 3" xfId="5382" xr:uid="{00000000-0005-0000-0000-0000712C0000}"/>
    <cellStyle name="Separador de milhares 3 8 2 3 3 2" xfId="12480" xr:uid="{00000000-0005-0000-0000-0000722C0000}"/>
    <cellStyle name="Separador de milhares 3 8 2 3 3 2 2" xfId="22381" xr:uid="{00000000-0005-0000-0000-0000732C0000}"/>
    <cellStyle name="Separador de milhares 3 8 2 3 3 3" xfId="11121" xr:uid="{00000000-0005-0000-0000-0000742C0000}"/>
    <cellStyle name="Separador de milhares 3 8 2 3 3 4" xfId="18417" xr:uid="{00000000-0005-0000-0000-0000752C0000}"/>
    <cellStyle name="Separador de milhares 3 8 2 3 4" xfId="20281" xr:uid="{00000000-0005-0000-0000-0000762C0000}"/>
    <cellStyle name="Separador de milhares 3 8 2 3 5" xfId="16257" xr:uid="{00000000-0005-0000-0000-0000772C0000}"/>
    <cellStyle name="Separador de milhares 3 8 2 4" xfId="4129" xr:uid="{00000000-0005-0000-0000-0000782C0000}"/>
    <cellStyle name="Separador de milhares 3 8 2 4 2" xfId="6106" xr:uid="{00000000-0005-0000-0000-0000792C0000}"/>
    <cellStyle name="Separador de milhares 3 8 2 4 2 2" xfId="23094" xr:uid="{00000000-0005-0000-0000-00007A2C0000}"/>
    <cellStyle name="Separador de milhares 3 8 2 4 2 3" xfId="19141" xr:uid="{00000000-0005-0000-0000-00007B2C0000}"/>
    <cellStyle name="Separador de milhares 3 8 2 4 3" xfId="21177" xr:uid="{00000000-0005-0000-0000-00007C2C0000}"/>
    <cellStyle name="Separador de milhares 3 8 2 4 4" xfId="17169" xr:uid="{00000000-0005-0000-0000-00007D2C0000}"/>
    <cellStyle name="Separador de milhares 3 8 3" xfId="2157" xr:uid="{00000000-0005-0000-0000-00007E2C0000}"/>
    <cellStyle name="Separador de milhares 3 8 3 2" xfId="3286" xr:uid="{00000000-0005-0000-0000-00007F2C0000}"/>
    <cellStyle name="Separador de milhares 3 8 3 2 2" xfId="4622" xr:uid="{00000000-0005-0000-0000-0000802C0000}"/>
    <cellStyle name="Separador de milhares 3 8 3 2 2 2" xfId="21662" xr:uid="{00000000-0005-0000-0000-0000812C0000}"/>
    <cellStyle name="Separador de milhares 3 8 3 2 2 3" xfId="17657" xr:uid="{00000000-0005-0000-0000-0000822C0000}"/>
    <cellStyle name="Separador de milhares 3 8 3 2 3" xfId="5455" xr:uid="{00000000-0005-0000-0000-0000832C0000}"/>
    <cellStyle name="Separador de milhares 3 8 3 2 3 2" xfId="22454" xr:uid="{00000000-0005-0000-0000-0000842C0000}"/>
    <cellStyle name="Separador de milhares 3 8 3 2 3 3" xfId="18490" xr:uid="{00000000-0005-0000-0000-0000852C0000}"/>
    <cellStyle name="Separador de milhares 3 8 3 2 4" xfId="20354" xr:uid="{00000000-0005-0000-0000-0000862C0000}"/>
    <cellStyle name="Separador de milhares 3 8 3 2 5" xfId="16330" xr:uid="{00000000-0005-0000-0000-0000872C0000}"/>
    <cellStyle name="Separador de milhares 3 8 3 3" xfId="4456" xr:uid="{00000000-0005-0000-0000-0000882C0000}"/>
    <cellStyle name="Separador de milhares 3 8 3 3 2" xfId="6185" xr:uid="{00000000-0005-0000-0000-0000892C0000}"/>
    <cellStyle name="Separador de milhares 3 8 3 3 2 2" xfId="23167" xr:uid="{00000000-0005-0000-0000-00008A2C0000}"/>
    <cellStyle name="Separador de milhares 3 8 3 3 2 3" xfId="19220" xr:uid="{00000000-0005-0000-0000-00008B2C0000}"/>
    <cellStyle name="Separador de milhares 3 8 3 3 3" xfId="21497" xr:uid="{00000000-0005-0000-0000-00008C2C0000}"/>
    <cellStyle name="Separador de milhares 3 8 3 3 4" xfId="17492" xr:uid="{00000000-0005-0000-0000-00008D2C0000}"/>
    <cellStyle name="Separador de milhares 3 8 4" xfId="3149" xr:uid="{00000000-0005-0000-0000-00008E2C0000}"/>
    <cellStyle name="Separador de milhares 3 8 4 2" xfId="4192" xr:uid="{00000000-0005-0000-0000-00008F2C0000}"/>
    <cellStyle name="Separador de milhares 3 8 4 2 2" xfId="6549" xr:uid="{00000000-0005-0000-0000-0000902C0000}"/>
    <cellStyle name="Separador de milhares 3 8 4 2 2 2" xfId="23531" xr:uid="{00000000-0005-0000-0000-0000912C0000}"/>
    <cellStyle name="Separador de milhares 3 8 4 2 2 3" xfId="19584" xr:uid="{00000000-0005-0000-0000-0000922C0000}"/>
    <cellStyle name="Separador de milhares 3 8 4 2 3" xfId="21238" xr:uid="{00000000-0005-0000-0000-0000932C0000}"/>
    <cellStyle name="Separador de milhares 3 8 4 2 4" xfId="17231" xr:uid="{00000000-0005-0000-0000-0000942C0000}"/>
    <cellStyle name="Separador de milhares 3 8 4 3" xfId="5318" xr:uid="{00000000-0005-0000-0000-0000952C0000}"/>
    <cellStyle name="Separador de milhares 3 8 4 3 2" xfId="11168" xr:uid="{00000000-0005-0000-0000-0000962C0000}"/>
    <cellStyle name="Separador de milhares 3 8 4 3 2 2" xfId="22317" xr:uid="{00000000-0005-0000-0000-0000972C0000}"/>
    <cellStyle name="Separador de milhares 3 8 4 3 3" xfId="13342" xr:uid="{00000000-0005-0000-0000-0000982C0000}"/>
    <cellStyle name="Separador de milhares 3 8 4 3 4" xfId="18353" xr:uid="{00000000-0005-0000-0000-0000992C0000}"/>
    <cellStyle name="Separador de milhares 3 8 4 4" xfId="12314" xr:uid="{00000000-0005-0000-0000-00009A2C0000}"/>
    <cellStyle name="Separador de milhares 3 8 4 4 2" xfId="20217" xr:uid="{00000000-0005-0000-0000-00009B2C0000}"/>
    <cellStyle name="Separador de milhares 3 8 4 5" xfId="16193" xr:uid="{00000000-0005-0000-0000-00009C2C0000}"/>
    <cellStyle name="Separador de milhares 3 8 5" xfId="3898" xr:uid="{00000000-0005-0000-0000-00009D2C0000}"/>
    <cellStyle name="Separador de milhares 3 8 5 2" xfId="6039" xr:uid="{00000000-0005-0000-0000-00009E2C0000}"/>
    <cellStyle name="Separador de milhares 3 8 5 2 2" xfId="23028" xr:uid="{00000000-0005-0000-0000-00009F2C0000}"/>
    <cellStyle name="Separador de milhares 3 8 5 2 3" xfId="19074" xr:uid="{00000000-0005-0000-0000-0000A02C0000}"/>
    <cellStyle name="Separador de milhares 3 8 5 3" xfId="20955" xr:uid="{00000000-0005-0000-0000-0000A12C0000}"/>
    <cellStyle name="Separador de milhares 3 8 5 4" xfId="16940" xr:uid="{00000000-0005-0000-0000-0000A22C0000}"/>
    <cellStyle name="Separador de milhares 3 8 6" xfId="6734" xr:uid="{00000000-0005-0000-0000-0000A32C0000}"/>
    <cellStyle name="Separador de milhares 3 8 6 2" xfId="23707" xr:uid="{00000000-0005-0000-0000-0000A42C0000}"/>
    <cellStyle name="Separador de milhares 3 8 6 3" xfId="19769" xr:uid="{00000000-0005-0000-0000-0000A52C0000}"/>
    <cellStyle name="Separador de milhares 3 8 7" xfId="5052" xr:uid="{00000000-0005-0000-0000-0000A62C0000}"/>
    <cellStyle name="Separador de milhares 3 8 7 2" xfId="22060" xr:uid="{00000000-0005-0000-0000-0000A72C0000}"/>
    <cellStyle name="Separador de milhares 3 8 7 3" xfId="18087" xr:uid="{00000000-0005-0000-0000-0000A82C0000}"/>
    <cellStyle name="Separador de milhares 3 8 8" xfId="19960" xr:uid="{00000000-0005-0000-0000-0000A92C0000}"/>
    <cellStyle name="Separador de milhares 3 8 9" xfId="15920" xr:uid="{00000000-0005-0000-0000-0000AA2C0000}"/>
    <cellStyle name="Separador de milhares 3 9" xfId="2159" xr:uid="{00000000-0005-0000-0000-0000AB2C0000}"/>
    <cellStyle name="Separador de milhares 3 9 2" xfId="2160" xr:uid="{00000000-0005-0000-0000-0000AC2C0000}"/>
    <cellStyle name="Separador de milhares 3 9 2 2" xfId="3289" xr:uid="{00000000-0005-0000-0000-0000AD2C0000}"/>
    <cellStyle name="Separador de milhares 3 9 2 2 2" xfId="4625" xr:uid="{00000000-0005-0000-0000-0000AE2C0000}"/>
    <cellStyle name="Separador de milhares 3 9 2 2 2 2" xfId="21665" xr:uid="{00000000-0005-0000-0000-0000AF2C0000}"/>
    <cellStyle name="Separador de milhares 3 9 2 2 2 3" xfId="17660" xr:uid="{00000000-0005-0000-0000-0000B02C0000}"/>
    <cellStyle name="Separador de milhares 3 9 2 2 3" xfId="5458" xr:uid="{00000000-0005-0000-0000-0000B12C0000}"/>
    <cellStyle name="Separador de milhares 3 9 2 2 3 2" xfId="22457" xr:uid="{00000000-0005-0000-0000-0000B22C0000}"/>
    <cellStyle name="Separador de milhares 3 9 2 2 3 3" xfId="18493" xr:uid="{00000000-0005-0000-0000-0000B32C0000}"/>
    <cellStyle name="Separador de milhares 3 9 2 2 4" xfId="20357" xr:uid="{00000000-0005-0000-0000-0000B42C0000}"/>
    <cellStyle name="Separador de milhares 3 9 2 2 5" xfId="16333" xr:uid="{00000000-0005-0000-0000-0000B52C0000}"/>
    <cellStyle name="Separador de milhares 3 9 2 3" xfId="3752" xr:uid="{00000000-0005-0000-0000-0000B62C0000}"/>
    <cellStyle name="Separador de milhares 3 9 2 3 2" xfId="6188" xr:uid="{00000000-0005-0000-0000-0000B72C0000}"/>
    <cellStyle name="Separador de milhares 3 9 2 3 2 2" xfId="23170" xr:uid="{00000000-0005-0000-0000-0000B82C0000}"/>
    <cellStyle name="Separador de milhares 3 9 2 3 2 3" xfId="19223" xr:uid="{00000000-0005-0000-0000-0000B92C0000}"/>
    <cellStyle name="Separador de milhares 3 9 2 3 3" xfId="20816" xr:uid="{00000000-0005-0000-0000-0000BA2C0000}"/>
    <cellStyle name="Separador de milhares 3 9 2 3 4" xfId="16795" xr:uid="{00000000-0005-0000-0000-0000BB2C0000}"/>
    <cellStyle name="Separador de milhares 3 9 3" xfId="3288" xr:uid="{00000000-0005-0000-0000-0000BC2C0000}"/>
    <cellStyle name="Separador de milhares 3 9 3 2" xfId="4624" xr:uid="{00000000-0005-0000-0000-0000BD2C0000}"/>
    <cellStyle name="Separador de milhares 3 9 3 2 2" xfId="21664" xr:uid="{00000000-0005-0000-0000-0000BE2C0000}"/>
    <cellStyle name="Separador de milhares 3 9 3 2 3" xfId="17659" xr:uid="{00000000-0005-0000-0000-0000BF2C0000}"/>
    <cellStyle name="Separador de milhares 3 9 3 3" xfId="5457" xr:uid="{00000000-0005-0000-0000-0000C02C0000}"/>
    <cellStyle name="Separador de milhares 3 9 3 3 2" xfId="22456" xr:uid="{00000000-0005-0000-0000-0000C12C0000}"/>
    <cellStyle name="Separador de milhares 3 9 3 3 3" xfId="18492" xr:uid="{00000000-0005-0000-0000-0000C22C0000}"/>
    <cellStyle name="Separador de milhares 3 9 3 4" xfId="20356" xr:uid="{00000000-0005-0000-0000-0000C32C0000}"/>
    <cellStyle name="Separador de milhares 3 9 3 5" xfId="16332" xr:uid="{00000000-0005-0000-0000-0000C42C0000}"/>
    <cellStyle name="Separador de milhares 3 9 4" xfId="3857" xr:uid="{00000000-0005-0000-0000-0000C52C0000}"/>
    <cellStyle name="Separador de milhares 3 9 4 2" xfId="6187" xr:uid="{00000000-0005-0000-0000-0000C62C0000}"/>
    <cellStyle name="Separador de milhares 3 9 4 2 2" xfId="23169" xr:uid="{00000000-0005-0000-0000-0000C72C0000}"/>
    <cellStyle name="Separador de milhares 3 9 4 2 3" xfId="19222" xr:uid="{00000000-0005-0000-0000-0000C82C0000}"/>
    <cellStyle name="Separador de milhares 3 9 4 3" xfId="20918" xr:uid="{00000000-0005-0000-0000-0000C92C0000}"/>
    <cellStyle name="Separador de milhares 3 9 4 4" xfId="16899" xr:uid="{00000000-0005-0000-0000-0000CA2C0000}"/>
    <cellStyle name="Separador de milhares 4" xfId="329" xr:uid="{00000000-0005-0000-0000-0000CB2C0000}"/>
    <cellStyle name="Separador de milhares 4 2" xfId="991" xr:uid="{00000000-0005-0000-0000-0000CC2C0000}"/>
    <cellStyle name="Separador de milhares 4 2 2" xfId="2985" xr:uid="{00000000-0005-0000-0000-0000CD2C0000}"/>
    <cellStyle name="Separador de milhares 4 2 2 2" xfId="3674" xr:uid="{00000000-0005-0000-0000-0000CE2C0000}"/>
    <cellStyle name="Separador de milhares 4 2 2 2 2" xfId="4952" xr:uid="{00000000-0005-0000-0000-0000CF2C0000}"/>
    <cellStyle name="Separador de milhares 4 2 2 2 2 2" xfId="21992" xr:uid="{00000000-0005-0000-0000-0000D02C0000}"/>
    <cellStyle name="Separador de milhares 4 2 2 2 2 3" xfId="17987" xr:uid="{00000000-0005-0000-0000-0000D12C0000}"/>
    <cellStyle name="Separador de milhares 4 2 2 2 3" xfId="5843" xr:uid="{00000000-0005-0000-0000-0000D22C0000}"/>
    <cellStyle name="Separador de milhares 4 2 2 2 3 2" xfId="11735" xr:uid="{00000000-0005-0000-0000-0000D32C0000}"/>
    <cellStyle name="Separador de milhares 4 2 2 2 3 2 2" xfId="22842" xr:uid="{00000000-0005-0000-0000-0000D42C0000}"/>
    <cellStyle name="Separador de milhares 4 2 2 2 3 3" xfId="13241" xr:uid="{00000000-0005-0000-0000-0000D52C0000}"/>
    <cellStyle name="Separador de milhares 4 2 2 2 3 4" xfId="18878" xr:uid="{00000000-0005-0000-0000-0000D62C0000}"/>
    <cellStyle name="Separador de milhares 4 2 2 2 4" xfId="13637" xr:uid="{00000000-0005-0000-0000-0000D72C0000}"/>
    <cellStyle name="Separador de milhares 4 2 2 2 4 2" xfId="20742" xr:uid="{00000000-0005-0000-0000-0000D82C0000}"/>
    <cellStyle name="Separador de milhares 4 2 2 2 5" xfId="16718" xr:uid="{00000000-0005-0000-0000-0000D92C0000}"/>
    <cellStyle name="Separador de milhares 4 2 2 3" xfId="8428" xr:uid="{00000000-0005-0000-0000-0000DA2C0000}"/>
    <cellStyle name="Separador de milhares 4 2 2 3 2" xfId="11535" xr:uid="{00000000-0005-0000-0000-0000DB2C0000}"/>
    <cellStyle name="Separador de milhares 4 2 2 4" xfId="8429" xr:uid="{00000000-0005-0000-0000-0000DC2C0000}"/>
    <cellStyle name="Separador de milhares 4 2 3" xfId="2984" xr:uid="{00000000-0005-0000-0000-0000DD2C0000}"/>
    <cellStyle name="Separador de milhares 4 2 3 2" xfId="3673" xr:uid="{00000000-0005-0000-0000-0000DE2C0000}"/>
    <cellStyle name="Separador de milhares 4 2 3 2 2" xfId="4951" xr:uid="{00000000-0005-0000-0000-0000DF2C0000}"/>
    <cellStyle name="Separador de milhares 4 2 3 2 2 2" xfId="21991" xr:uid="{00000000-0005-0000-0000-0000E02C0000}"/>
    <cellStyle name="Separador de milhares 4 2 3 2 2 3" xfId="17986" xr:uid="{00000000-0005-0000-0000-0000E12C0000}"/>
    <cellStyle name="Separador de milhares 4 2 3 2 3" xfId="5842" xr:uid="{00000000-0005-0000-0000-0000E22C0000}"/>
    <cellStyle name="Separador de milhares 4 2 3 2 3 2" xfId="22841" xr:uid="{00000000-0005-0000-0000-0000E32C0000}"/>
    <cellStyle name="Separador de milhares 4 2 3 2 3 3" xfId="18877" xr:uid="{00000000-0005-0000-0000-0000E42C0000}"/>
    <cellStyle name="Separador de milhares 4 2 3 2 4" xfId="20741" xr:uid="{00000000-0005-0000-0000-0000E52C0000}"/>
    <cellStyle name="Separador de milhares 4 2 3 2 5" xfId="16717" xr:uid="{00000000-0005-0000-0000-0000E62C0000}"/>
    <cellStyle name="Separador de milhares 4 2 3 3" xfId="4417" xr:uid="{00000000-0005-0000-0000-0000E72C0000}"/>
    <cellStyle name="Separador de milhares 4 2 3 3 2" xfId="6866" xr:uid="{00000000-0005-0000-0000-0000E82C0000}"/>
    <cellStyle name="Separador de milhares 4 2 3 3 2 2" xfId="23831" xr:uid="{00000000-0005-0000-0000-0000E92C0000}"/>
    <cellStyle name="Separador de milhares 4 2 3 3 2 3" xfId="19901" xr:uid="{00000000-0005-0000-0000-0000EA2C0000}"/>
    <cellStyle name="Separador de milhares 4 2 3 3 3" xfId="21460" xr:uid="{00000000-0005-0000-0000-0000EB2C0000}"/>
    <cellStyle name="Separador de milhares 4 2 3 3 4" xfId="17454" xr:uid="{00000000-0005-0000-0000-0000EC2C0000}"/>
    <cellStyle name="Separador de milhares 4 2 3 4" xfId="5184" xr:uid="{00000000-0005-0000-0000-0000ED2C0000}"/>
    <cellStyle name="Separador de milhares 4 2 3 4 2" xfId="22184" xr:uid="{00000000-0005-0000-0000-0000EE2C0000}"/>
    <cellStyle name="Separador de milhares 4 2 3 4 3" xfId="18219" xr:uid="{00000000-0005-0000-0000-0000EF2C0000}"/>
    <cellStyle name="Separador de milhares 4 2 3 5" xfId="20084" xr:uid="{00000000-0005-0000-0000-0000F02C0000}"/>
    <cellStyle name="Separador de milhares 4 2 3 6" xfId="16058" xr:uid="{00000000-0005-0000-0000-0000F12C0000}"/>
    <cellStyle name="Separador de milhares 4 2 4" xfId="6100" xr:uid="{00000000-0005-0000-0000-0000F22C0000}"/>
    <cellStyle name="Separador de milhares 4 2 4 2" xfId="23088" xr:uid="{00000000-0005-0000-0000-0000F32C0000}"/>
    <cellStyle name="Separador de milhares 4 2 4 3" xfId="19135" xr:uid="{00000000-0005-0000-0000-0000F42C0000}"/>
    <cellStyle name="Separador de milhares 4 2 5" xfId="8430" xr:uid="{00000000-0005-0000-0000-0000F52C0000}"/>
    <cellStyle name="Separador de milhares 4 3" xfId="992" xr:uid="{00000000-0005-0000-0000-0000F62C0000}"/>
    <cellStyle name="Separador de milhares 4 3 2" xfId="2986" xr:uid="{00000000-0005-0000-0000-0000F72C0000}"/>
    <cellStyle name="Separador de milhares 4 3 2 2" xfId="3675" xr:uid="{00000000-0005-0000-0000-0000F82C0000}"/>
    <cellStyle name="Separador de milhares 4 3 2 2 2" xfId="4953" xr:uid="{00000000-0005-0000-0000-0000F92C0000}"/>
    <cellStyle name="Separador de milhares 4 3 2 2 2 2" xfId="21993" xr:uid="{00000000-0005-0000-0000-0000FA2C0000}"/>
    <cellStyle name="Separador de milhares 4 3 2 2 2 3" xfId="17988" xr:uid="{00000000-0005-0000-0000-0000FB2C0000}"/>
    <cellStyle name="Separador de milhares 4 3 2 2 3" xfId="5844" xr:uid="{00000000-0005-0000-0000-0000FC2C0000}"/>
    <cellStyle name="Separador de milhares 4 3 2 2 3 2" xfId="11850" xr:uid="{00000000-0005-0000-0000-0000FD2C0000}"/>
    <cellStyle name="Separador de milhares 4 3 2 2 3 2 2" xfId="22843" xr:uid="{00000000-0005-0000-0000-0000FE2C0000}"/>
    <cellStyle name="Separador de milhares 4 3 2 2 3 3" xfId="11754" xr:uid="{00000000-0005-0000-0000-0000FF2C0000}"/>
    <cellStyle name="Separador de milhares 4 3 2 2 3 4" xfId="18879" xr:uid="{00000000-0005-0000-0000-0000002D0000}"/>
    <cellStyle name="Separador de milhares 4 3 2 2 4" xfId="20743" xr:uid="{00000000-0005-0000-0000-0000012D0000}"/>
    <cellStyle name="Separador de milhares 4 3 2 2 5" xfId="16719" xr:uid="{00000000-0005-0000-0000-0000022D0000}"/>
    <cellStyle name="Separador de milhares 4 3 2 3" xfId="8431" xr:uid="{00000000-0005-0000-0000-0000032D0000}"/>
    <cellStyle name="Separador de milhares 4 3 3" xfId="3209" xr:uid="{00000000-0005-0000-0000-0000042D0000}"/>
    <cellStyle name="Separador de milhares 4 3 3 2" xfId="4551" xr:uid="{00000000-0005-0000-0000-0000052D0000}"/>
    <cellStyle name="Separador de milhares 4 3 3 2 2" xfId="21591" xr:uid="{00000000-0005-0000-0000-0000062D0000}"/>
    <cellStyle name="Separador de milhares 4 3 3 2 3" xfId="17586" xr:uid="{00000000-0005-0000-0000-0000072D0000}"/>
    <cellStyle name="Separador de milhares 4 3 3 3" xfId="5378" xr:uid="{00000000-0005-0000-0000-0000082D0000}"/>
    <cellStyle name="Separador de milhares 4 3 3 3 2" xfId="11179" xr:uid="{00000000-0005-0000-0000-0000092D0000}"/>
    <cellStyle name="Separador de milhares 4 3 3 3 2 2" xfId="22377" xr:uid="{00000000-0005-0000-0000-00000A2D0000}"/>
    <cellStyle name="Separador de milhares 4 3 3 3 3" xfId="11163" xr:uid="{00000000-0005-0000-0000-00000B2D0000}"/>
    <cellStyle name="Separador de milhares 4 3 3 3 4" xfId="18413" xr:uid="{00000000-0005-0000-0000-00000C2D0000}"/>
    <cellStyle name="Separador de milhares 4 3 3 4" xfId="13619" xr:uid="{00000000-0005-0000-0000-00000D2D0000}"/>
    <cellStyle name="Separador de milhares 4 3 3 4 2" xfId="20277" xr:uid="{00000000-0005-0000-0000-00000E2D0000}"/>
    <cellStyle name="Separador de milhares 4 3 3 5" xfId="13406" xr:uid="{00000000-0005-0000-0000-00000F2D0000}"/>
    <cellStyle name="Separador de milhares 4 3 3 6" xfId="16253" xr:uid="{00000000-0005-0000-0000-0000102D0000}"/>
    <cellStyle name="Separador de milhares 4 3 4" xfId="4449" xr:uid="{00000000-0005-0000-0000-0000112D0000}"/>
    <cellStyle name="Separador de milhares 4 3 4 2" xfId="6101" xr:uid="{00000000-0005-0000-0000-0000122D0000}"/>
    <cellStyle name="Separador de milhares 4 3 4 2 2" xfId="23089" xr:uid="{00000000-0005-0000-0000-0000132D0000}"/>
    <cellStyle name="Separador de milhares 4 3 4 2 3" xfId="19136" xr:uid="{00000000-0005-0000-0000-0000142D0000}"/>
    <cellStyle name="Separador de milhares 4 3 4 3" xfId="21490" xr:uid="{00000000-0005-0000-0000-0000152D0000}"/>
    <cellStyle name="Separador de milhares 4 3 4 4" xfId="17485" xr:uid="{00000000-0005-0000-0000-0000162D0000}"/>
    <cellStyle name="Separador de milhares 4 4" xfId="8432" xr:uid="{00000000-0005-0000-0000-0000172D0000}"/>
    <cellStyle name="Separador de milhares 4 4 2" xfId="12316" xr:uid="{00000000-0005-0000-0000-0000182D0000}"/>
    <cellStyle name="Separador de milhares 4 4 3" xfId="13205" xr:uid="{00000000-0005-0000-0000-0000192D0000}"/>
    <cellStyle name="Separador de milhares 4 5" xfId="8433" xr:uid="{00000000-0005-0000-0000-00001A2D0000}"/>
    <cellStyle name="Separador de milhares 4 5 2" xfId="12315" xr:uid="{00000000-0005-0000-0000-00001B2D0000}"/>
    <cellStyle name="Separador de milhares 4 5 3" xfId="13097" xr:uid="{00000000-0005-0000-0000-00001C2D0000}"/>
    <cellStyle name="Separador de milhares 5" xfId="2987" xr:uid="{00000000-0005-0000-0000-00001D2D0000}"/>
    <cellStyle name="Separador de milhares 5 2" xfId="2988" xr:uid="{00000000-0005-0000-0000-00001E2D0000}"/>
    <cellStyle name="Separador de milhares 5 2 2" xfId="8434" xr:uid="{00000000-0005-0000-0000-00001F2D0000}"/>
    <cellStyle name="Separador de milhares 5 3" xfId="3676" xr:uid="{00000000-0005-0000-0000-0000202D0000}"/>
    <cellStyle name="Separador de milhares 5 3 2" xfId="4954" xr:uid="{00000000-0005-0000-0000-0000212D0000}"/>
    <cellStyle name="Separador de milhares 5 3 2 2" xfId="21994" xr:uid="{00000000-0005-0000-0000-0000222D0000}"/>
    <cellStyle name="Separador de milhares 5 3 2 3" xfId="17989" xr:uid="{00000000-0005-0000-0000-0000232D0000}"/>
    <cellStyle name="Separador de milhares 5 3 3" xfId="5845" xr:uid="{00000000-0005-0000-0000-0000242D0000}"/>
    <cellStyle name="Separador de milhares 5 3 3 2" xfId="11604" xr:uid="{00000000-0005-0000-0000-0000252D0000}"/>
    <cellStyle name="Separador de milhares 5 3 3 2 2" xfId="22844" xr:uid="{00000000-0005-0000-0000-0000262D0000}"/>
    <cellStyle name="Separador de milhares 5 3 3 3" xfId="12004" xr:uid="{00000000-0005-0000-0000-0000272D0000}"/>
    <cellStyle name="Separador de milhares 5 3 3 4" xfId="18880" xr:uid="{00000000-0005-0000-0000-0000282D0000}"/>
    <cellStyle name="Separador de milhares 5 3 4" xfId="20744" xr:uid="{00000000-0005-0000-0000-0000292D0000}"/>
    <cellStyle name="Separador de milhares 5 3 5" xfId="16720" xr:uid="{00000000-0005-0000-0000-00002A2D0000}"/>
    <cellStyle name="Separador de milhares 5 4" xfId="8435" xr:uid="{00000000-0005-0000-0000-00002B2D0000}"/>
    <cellStyle name="Separador de milhares 6" xfId="2989" xr:uid="{00000000-0005-0000-0000-00002C2D0000}"/>
    <cellStyle name="Separador de milhares 7" xfId="2990" xr:uid="{00000000-0005-0000-0000-00002D2D0000}"/>
    <cellStyle name="Separador de milhares 7 10" xfId="8436" xr:uid="{00000000-0005-0000-0000-00002E2D0000}"/>
    <cellStyle name="Separador de milhares 7 2" xfId="2991" xr:uid="{00000000-0005-0000-0000-00002F2D0000}"/>
    <cellStyle name="Separador de milhares 7 2 2" xfId="3678" xr:uid="{00000000-0005-0000-0000-0000302D0000}"/>
    <cellStyle name="Separador de milhares 7 2 2 2" xfId="4956" xr:uid="{00000000-0005-0000-0000-0000312D0000}"/>
    <cellStyle name="Separador de milhares 7 2 2 2 2" xfId="21996" xr:uid="{00000000-0005-0000-0000-0000322D0000}"/>
    <cellStyle name="Separador de milhares 7 2 2 2 3" xfId="17991" xr:uid="{00000000-0005-0000-0000-0000332D0000}"/>
    <cellStyle name="Separador de milhares 7 2 2 3" xfId="5847" xr:uid="{00000000-0005-0000-0000-0000342D0000}"/>
    <cellStyle name="Separador de milhares 7 2 2 3 2" xfId="11990" xr:uid="{00000000-0005-0000-0000-0000352D0000}"/>
    <cellStyle name="Separador de milhares 7 2 2 3 2 2" xfId="22846" xr:uid="{00000000-0005-0000-0000-0000362D0000}"/>
    <cellStyle name="Separador de milhares 7 2 2 3 3" xfId="13204" xr:uid="{00000000-0005-0000-0000-0000372D0000}"/>
    <cellStyle name="Separador de milhares 7 2 2 3 4" xfId="18882" xr:uid="{00000000-0005-0000-0000-0000382D0000}"/>
    <cellStyle name="Separador de milhares 7 2 2 4" xfId="13639" xr:uid="{00000000-0005-0000-0000-0000392D0000}"/>
    <cellStyle name="Separador de milhares 7 2 2 4 2" xfId="20746" xr:uid="{00000000-0005-0000-0000-00003A2D0000}"/>
    <cellStyle name="Separador de milhares 7 2 2 5" xfId="16722" xr:uid="{00000000-0005-0000-0000-00003B2D0000}"/>
    <cellStyle name="Separador de milhares 7 2 3" xfId="8437" xr:uid="{00000000-0005-0000-0000-00003C2D0000}"/>
    <cellStyle name="Separador de milhares 7 2 3 2" xfId="13311" xr:uid="{00000000-0005-0000-0000-00003D2D0000}"/>
    <cellStyle name="Separador de milhares 7 2 4" xfId="8438" xr:uid="{00000000-0005-0000-0000-00003E2D0000}"/>
    <cellStyle name="Separador de milhares 7 3" xfId="2992" xr:uid="{00000000-0005-0000-0000-00003F2D0000}"/>
    <cellStyle name="Separador de milhares 7 3 2" xfId="3679" xr:uid="{00000000-0005-0000-0000-0000402D0000}"/>
    <cellStyle name="Separador de milhares 7 3 2 2" xfId="4957" xr:uid="{00000000-0005-0000-0000-0000412D0000}"/>
    <cellStyle name="Separador de milhares 7 3 2 2 2" xfId="21997" xr:uid="{00000000-0005-0000-0000-0000422D0000}"/>
    <cellStyle name="Separador de milhares 7 3 2 2 3" xfId="17992" xr:uid="{00000000-0005-0000-0000-0000432D0000}"/>
    <cellStyle name="Separador de milhares 7 3 2 3" xfId="5848" xr:uid="{00000000-0005-0000-0000-0000442D0000}"/>
    <cellStyle name="Separador de milhares 7 3 2 3 2" xfId="11861" xr:uid="{00000000-0005-0000-0000-0000452D0000}"/>
    <cellStyle name="Separador de milhares 7 3 2 3 2 2" xfId="22847" xr:uid="{00000000-0005-0000-0000-0000462D0000}"/>
    <cellStyle name="Separador de milhares 7 3 2 3 3" xfId="12355" xr:uid="{00000000-0005-0000-0000-0000472D0000}"/>
    <cellStyle name="Separador de milhares 7 3 2 3 4" xfId="18883" xr:uid="{00000000-0005-0000-0000-0000482D0000}"/>
    <cellStyle name="Separador de milhares 7 3 2 4" xfId="13640" xr:uid="{00000000-0005-0000-0000-0000492D0000}"/>
    <cellStyle name="Separador de milhares 7 3 2 4 2" xfId="20747" xr:uid="{00000000-0005-0000-0000-00004A2D0000}"/>
    <cellStyle name="Separador de milhares 7 3 2 5" xfId="16723" xr:uid="{00000000-0005-0000-0000-00004B2D0000}"/>
    <cellStyle name="Separador de milhares 7 3 3" xfId="8439" xr:uid="{00000000-0005-0000-0000-00004C2D0000}"/>
    <cellStyle name="Separador de milhares 7 3 3 2" xfId="11709" xr:uid="{00000000-0005-0000-0000-00004D2D0000}"/>
    <cellStyle name="Separador de milhares 7 3 4" xfId="8440" xr:uid="{00000000-0005-0000-0000-00004E2D0000}"/>
    <cellStyle name="Separador de milhares 7 4" xfId="2993" xr:uid="{00000000-0005-0000-0000-00004F2D0000}"/>
    <cellStyle name="Separador de milhares 7 4 2" xfId="3680" xr:uid="{00000000-0005-0000-0000-0000502D0000}"/>
    <cellStyle name="Separador de milhares 7 4 2 2" xfId="4958" xr:uid="{00000000-0005-0000-0000-0000512D0000}"/>
    <cellStyle name="Separador de milhares 7 4 2 2 2" xfId="21998" xr:uid="{00000000-0005-0000-0000-0000522D0000}"/>
    <cellStyle name="Separador de milhares 7 4 2 2 3" xfId="17993" xr:uid="{00000000-0005-0000-0000-0000532D0000}"/>
    <cellStyle name="Separador de milhares 7 4 2 3" xfId="5849" xr:uid="{00000000-0005-0000-0000-0000542D0000}"/>
    <cellStyle name="Separador de milhares 7 4 2 3 2" xfId="11680" xr:uid="{00000000-0005-0000-0000-0000552D0000}"/>
    <cellStyle name="Separador de milhares 7 4 2 3 2 2" xfId="22848" xr:uid="{00000000-0005-0000-0000-0000562D0000}"/>
    <cellStyle name="Separador de milhares 7 4 2 3 3" xfId="11158" xr:uid="{00000000-0005-0000-0000-0000572D0000}"/>
    <cellStyle name="Separador de milhares 7 4 2 3 4" xfId="18884" xr:uid="{00000000-0005-0000-0000-0000582D0000}"/>
    <cellStyle name="Separador de milhares 7 4 2 4" xfId="13641" xr:uid="{00000000-0005-0000-0000-0000592D0000}"/>
    <cellStyle name="Separador de milhares 7 4 2 4 2" xfId="20748" xr:uid="{00000000-0005-0000-0000-00005A2D0000}"/>
    <cellStyle name="Separador de milhares 7 4 2 5" xfId="16724" xr:uid="{00000000-0005-0000-0000-00005B2D0000}"/>
    <cellStyle name="Separador de milhares 7 4 3" xfId="8441" xr:uid="{00000000-0005-0000-0000-00005C2D0000}"/>
    <cellStyle name="Separador de milhares 7 4 3 2" xfId="13250" xr:uid="{00000000-0005-0000-0000-00005D2D0000}"/>
    <cellStyle name="Separador de milhares 7 4 4" xfId="8442" xr:uid="{00000000-0005-0000-0000-00005E2D0000}"/>
    <cellStyle name="Separador de milhares 7 5" xfId="2994" xr:uid="{00000000-0005-0000-0000-00005F2D0000}"/>
    <cellStyle name="Separador de milhares 7 5 2" xfId="3681" xr:uid="{00000000-0005-0000-0000-0000602D0000}"/>
    <cellStyle name="Separador de milhares 7 5 2 2" xfId="4959" xr:uid="{00000000-0005-0000-0000-0000612D0000}"/>
    <cellStyle name="Separador de milhares 7 5 2 2 2" xfId="21999" xr:uid="{00000000-0005-0000-0000-0000622D0000}"/>
    <cellStyle name="Separador de milhares 7 5 2 2 3" xfId="17994" xr:uid="{00000000-0005-0000-0000-0000632D0000}"/>
    <cellStyle name="Separador de milhares 7 5 2 3" xfId="5850" xr:uid="{00000000-0005-0000-0000-0000642D0000}"/>
    <cellStyle name="Separador de milhares 7 5 2 3 2" xfId="11935" xr:uid="{00000000-0005-0000-0000-0000652D0000}"/>
    <cellStyle name="Separador de milhares 7 5 2 3 2 2" xfId="22849" xr:uid="{00000000-0005-0000-0000-0000662D0000}"/>
    <cellStyle name="Separador de milhares 7 5 2 3 3" xfId="10933" xr:uid="{00000000-0005-0000-0000-0000672D0000}"/>
    <cellStyle name="Separador de milhares 7 5 2 3 4" xfId="18885" xr:uid="{00000000-0005-0000-0000-0000682D0000}"/>
    <cellStyle name="Separador de milhares 7 5 2 4" xfId="13642" xr:uid="{00000000-0005-0000-0000-0000692D0000}"/>
    <cellStyle name="Separador de milhares 7 5 2 4 2" xfId="20749" xr:uid="{00000000-0005-0000-0000-00006A2D0000}"/>
    <cellStyle name="Separador de milhares 7 5 2 5" xfId="16725" xr:uid="{00000000-0005-0000-0000-00006B2D0000}"/>
    <cellStyle name="Separador de milhares 7 5 3" xfId="8443" xr:uid="{00000000-0005-0000-0000-00006C2D0000}"/>
    <cellStyle name="Separador de milhares 7 5 3 2" xfId="11954" xr:uid="{00000000-0005-0000-0000-00006D2D0000}"/>
    <cellStyle name="Separador de milhares 7 5 4" xfId="8444" xr:uid="{00000000-0005-0000-0000-00006E2D0000}"/>
    <cellStyle name="Separador de milhares 7 6" xfId="2995" xr:uid="{00000000-0005-0000-0000-00006F2D0000}"/>
    <cellStyle name="Separador de milhares 7 6 2" xfId="3682" xr:uid="{00000000-0005-0000-0000-0000702D0000}"/>
    <cellStyle name="Separador de milhares 7 6 2 2" xfId="4960" xr:uid="{00000000-0005-0000-0000-0000712D0000}"/>
    <cellStyle name="Separador de milhares 7 6 2 2 2" xfId="22000" xr:uid="{00000000-0005-0000-0000-0000722D0000}"/>
    <cellStyle name="Separador de milhares 7 6 2 2 3" xfId="17995" xr:uid="{00000000-0005-0000-0000-0000732D0000}"/>
    <cellStyle name="Separador de milhares 7 6 2 3" xfId="5851" xr:uid="{00000000-0005-0000-0000-0000742D0000}"/>
    <cellStyle name="Separador de milhares 7 6 2 3 2" xfId="11747" xr:uid="{00000000-0005-0000-0000-0000752D0000}"/>
    <cellStyle name="Separador de milhares 7 6 2 3 2 2" xfId="22850" xr:uid="{00000000-0005-0000-0000-0000762D0000}"/>
    <cellStyle name="Separador de milhares 7 6 2 3 3" xfId="13203" xr:uid="{00000000-0005-0000-0000-0000772D0000}"/>
    <cellStyle name="Separador de milhares 7 6 2 3 4" xfId="18886" xr:uid="{00000000-0005-0000-0000-0000782D0000}"/>
    <cellStyle name="Separador de milhares 7 6 2 4" xfId="13643" xr:uid="{00000000-0005-0000-0000-0000792D0000}"/>
    <cellStyle name="Separador de milhares 7 6 2 4 2" xfId="20750" xr:uid="{00000000-0005-0000-0000-00007A2D0000}"/>
    <cellStyle name="Separador de milhares 7 6 2 5" xfId="16726" xr:uid="{00000000-0005-0000-0000-00007B2D0000}"/>
    <cellStyle name="Separador de milhares 7 6 3" xfId="8445" xr:uid="{00000000-0005-0000-0000-00007C2D0000}"/>
    <cellStyle name="Separador de milhares 7 6 3 2" xfId="12327" xr:uid="{00000000-0005-0000-0000-00007D2D0000}"/>
    <cellStyle name="Separador de milhares 7 6 4" xfId="8446" xr:uid="{00000000-0005-0000-0000-00007E2D0000}"/>
    <cellStyle name="Separador de milhares 7 7" xfId="2996" xr:uid="{00000000-0005-0000-0000-00007F2D0000}"/>
    <cellStyle name="Separador de milhares 7 7 2" xfId="3683" xr:uid="{00000000-0005-0000-0000-0000802D0000}"/>
    <cellStyle name="Separador de milhares 7 7 2 2" xfId="4961" xr:uid="{00000000-0005-0000-0000-0000812D0000}"/>
    <cellStyle name="Separador de milhares 7 7 2 2 2" xfId="22001" xr:uid="{00000000-0005-0000-0000-0000822D0000}"/>
    <cellStyle name="Separador de milhares 7 7 2 2 3" xfId="17996" xr:uid="{00000000-0005-0000-0000-0000832D0000}"/>
    <cellStyle name="Separador de milhares 7 7 2 3" xfId="5852" xr:uid="{00000000-0005-0000-0000-0000842D0000}"/>
    <cellStyle name="Separador de milhares 7 7 2 3 2" xfId="12490" xr:uid="{00000000-0005-0000-0000-0000852D0000}"/>
    <cellStyle name="Separador de milhares 7 7 2 3 2 2" xfId="22851" xr:uid="{00000000-0005-0000-0000-0000862D0000}"/>
    <cellStyle name="Separador de milhares 7 7 2 3 3" xfId="11541" xr:uid="{00000000-0005-0000-0000-0000872D0000}"/>
    <cellStyle name="Separador de milhares 7 7 2 3 4" xfId="18887" xr:uid="{00000000-0005-0000-0000-0000882D0000}"/>
    <cellStyle name="Separador de milhares 7 7 2 4" xfId="13644" xr:uid="{00000000-0005-0000-0000-0000892D0000}"/>
    <cellStyle name="Separador de milhares 7 7 2 4 2" xfId="20751" xr:uid="{00000000-0005-0000-0000-00008A2D0000}"/>
    <cellStyle name="Separador de milhares 7 7 2 5" xfId="16727" xr:uid="{00000000-0005-0000-0000-00008B2D0000}"/>
    <cellStyle name="Separador de milhares 7 7 3" xfId="8447" xr:uid="{00000000-0005-0000-0000-00008C2D0000}"/>
    <cellStyle name="Separador de milhares 7 7 3 2" xfId="12031" xr:uid="{00000000-0005-0000-0000-00008D2D0000}"/>
    <cellStyle name="Separador de milhares 7 7 4" xfId="8448" xr:uid="{00000000-0005-0000-0000-00008E2D0000}"/>
    <cellStyle name="Separador de milhares 7 8" xfId="3677" xr:uid="{00000000-0005-0000-0000-00008F2D0000}"/>
    <cellStyle name="Separador de milhares 7 8 2" xfId="4955" xr:uid="{00000000-0005-0000-0000-0000902D0000}"/>
    <cellStyle name="Separador de milhares 7 8 2 2" xfId="21995" xr:uid="{00000000-0005-0000-0000-0000912D0000}"/>
    <cellStyle name="Separador de milhares 7 8 2 3" xfId="17990" xr:uid="{00000000-0005-0000-0000-0000922D0000}"/>
    <cellStyle name="Separador de milhares 7 8 3" xfId="5846" xr:uid="{00000000-0005-0000-0000-0000932D0000}"/>
    <cellStyle name="Separador de milhares 7 8 3 2" xfId="11707" xr:uid="{00000000-0005-0000-0000-0000942D0000}"/>
    <cellStyle name="Separador de milhares 7 8 3 2 2" xfId="22845" xr:uid="{00000000-0005-0000-0000-0000952D0000}"/>
    <cellStyle name="Separador de milhares 7 8 3 3" xfId="13001" xr:uid="{00000000-0005-0000-0000-0000962D0000}"/>
    <cellStyle name="Separador de milhares 7 8 3 4" xfId="18881" xr:uid="{00000000-0005-0000-0000-0000972D0000}"/>
    <cellStyle name="Separador de milhares 7 8 4" xfId="13638" xr:uid="{00000000-0005-0000-0000-0000982D0000}"/>
    <cellStyle name="Separador de milhares 7 8 4 2" xfId="20745" xr:uid="{00000000-0005-0000-0000-0000992D0000}"/>
    <cellStyle name="Separador de milhares 7 8 5" xfId="16721" xr:uid="{00000000-0005-0000-0000-00009A2D0000}"/>
    <cellStyle name="Separador de milhares 7 9" xfId="8449" xr:uid="{00000000-0005-0000-0000-00009B2D0000}"/>
    <cellStyle name="Separador de milhares 7 9 2" xfId="11881" xr:uid="{00000000-0005-0000-0000-00009C2D0000}"/>
    <cellStyle name="Separador de milhares 8" xfId="2997" xr:uid="{00000000-0005-0000-0000-00009D2D0000}"/>
    <cellStyle name="Separador de milhares 8 2" xfId="8450" xr:uid="{00000000-0005-0000-0000-00009E2D0000}"/>
    <cellStyle name="Sepavador de milhares [0]_Pasta2" xfId="330" xr:uid="{00000000-0005-0000-0000-00009F2D0000}"/>
    <cellStyle name="Standard_RP100_01 (metr.)" xfId="331" xr:uid="{00000000-0005-0000-0000-0000A02D0000}"/>
    <cellStyle name="sub-total" xfId="2998" xr:uid="{00000000-0005-0000-0000-0000A12D0000}"/>
    <cellStyle name="sub-total 2" xfId="3684" xr:uid="{00000000-0005-0000-0000-0000A22D0000}"/>
    <cellStyle name="sub-total 2 2" xfId="4962" xr:uid="{00000000-0005-0000-0000-0000A32D0000}"/>
    <cellStyle name="sub-total 2 2 2" xfId="22002" xr:uid="{00000000-0005-0000-0000-0000A42D0000}"/>
    <cellStyle name="sub-total 2 2 3" xfId="17997" xr:uid="{00000000-0005-0000-0000-0000A52D0000}"/>
    <cellStyle name="sub-total 2 3" xfId="5853" xr:uid="{00000000-0005-0000-0000-0000A62D0000}"/>
    <cellStyle name="sub-total 2 3 2" xfId="22852" xr:uid="{00000000-0005-0000-0000-0000A72D0000}"/>
    <cellStyle name="sub-total 2 3 3" xfId="18888" xr:uid="{00000000-0005-0000-0000-0000A82D0000}"/>
    <cellStyle name="sub-total 2 4" xfId="20752" xr:uid="{00000000-0005-0000-0000-0000A92D0000}"/>
    <cellStyle name="sub-total 2 5" xfId="16728" xr:uid="{00000000-0005-0000-0000-0000AA2D0000}"/>
    <cellStyle name="sub-total 3" xfId="4421" xr:uid="{00000000-0005-0000-0000-0000AB2D0000}"/>
    <cellStyle name="sub-total 3 2" xfId="6867" xr:uid="{00000000-0005-0000-0000-0000AC2D0000}"/>
    <cellStyle name="sub-total 3 2 2" xfId="23832" xr:uid="{00000000-0005-0000-0000-0000AD2D0000}"/>
    <cellStyle name="sub-total 3 2 3" xfId="19902" xr:uid="{00000000-0005-0000-0000-0000AE2D0000}"/>
    <cellStyle name="sub-total 3 3" xfId="21464" xr:uid="{00000000-0005-0000-0000-0000AF2D0000}"/>
    <cellStyle name="sub-total 3 4" xfId="17458" xr:uid="{00000000-0005-0000-0000-0000B02D0000}"/>
    <cellStyle name="sub-total 4" xfId="5185" xr:uid="{00000000-0005-0000-0000-0000B12D0000}"/>
    <cellStyle name="sub-total 4 2" xfId="22185" xr:uid="{00000000-0005-0000-0000-0000B22D0000}"/>
    <cellStyle name="sub-total 4 3" xfId="18220" xr:uid="{00000000-0005-0000-0000-0000B32D0000}"/>
    <cellStyle name="sub-total 5" xfId="20085" xr:uid="{00000000-0005-0000-0000-0000B42D0000}"/>
    <cellStyle name="sub-total 6" xfId="16059" xr:uid="{00000000-0005-0000-0000-0000B52D0000}"/>
    <cellStyle name="Texto de Aviso 2" xfId="420" xr:uid="{00000000-0005-0000-0000-0000B62D0000}"/>
    <cellStyle name="Texto de Aviso 2 2" xfId="2999" xr:uid="{00000000-0005-0000-0000-0000B72D0000}"/>
    <cellStyle name="Texto Explicativo 2" xfId="421" xr:uid="{00000000-0005-0000-0000-0000B82D0000}"/>
    <cellStyle name="Texto Explicativo 2 2" xfId="3000" xr:uid="{00000000-0005-0000-0000-0000B92D0000}"/>
    <cellStyle name="Title" xfId="422" xr:uid="{00000000-0005-0000-0000-0000BA2D0000}"/>
    <cellStyle name="Título 1 1" xfId="3001" xr:uid="{00000000-0005-0000-0000-0000BB2D0000}"/>
    <cellStyle name="Título 1 2" xfId="423" xr:uid="{00000000-0005-0000-0000-0000BC2D0000}"/>
    <cellStyle name="Título 1 2 2" xfId="3002" xr:uid="{00000000-0005-0000-0000-0000BD2D0000}"/>
    <cellStyle name="Título 1 2 3" xfId="10643" xr:uid="{00000000-0005-0000-0000-0000BE2D0000}"/>
    <cellStyle name="Título 2 2" xfId="424" xr:uid="{00000000-0005-0000-0000-0000BF2D0000}"/>
    <cellStyle name="Título 2 2 2" xfId="3003" xr:uid="{00000000-0005-0000-0000-0000C02D0000}"/>
    <cellStyle name="Título 2 2 3" xfId="10644" xr:uid="{00000000-0005-0000-0000-0000C12D0000}"/>
    <cellStyle name="Título 3 2" xfId="425" xr:uid="{00000000-0005-0000-0000-0000C22D0000}"/>
    <cellStyle name="Título 3 2 2" xfId="3004" xr:uid="{00000000-0005-0000-0000-0000C32D0000}"/>
    <cellStyle name="Título 3 2 3" xfId="10645" xr:uid="{00000000-0005-0000-0000-0000C42D0000}"/>
    <cellStyle name="Título 4 2" xfId="426" xr:uid="{00000000-0005-0000-0000-0000C52D0000}"/>
    <cellStyle name="Título 4 2 2" xfId="3005" xr:uid="{00000000-0005-0000-0000-0000C62D0000}"/>
    <cellStyle name="Título 4 2 3" xfId="10646" xr:uid="{00000000-0005-0000-0000-0000C72D0000}"/>
    <cellStyle name="Título 5" xfId="427" xr:uid="{00000000-0005-0000-0000-0000C82D0000}"/>
    <cellStyle name="Título 5 2" xfId="3006" xr:uid="{00000000-0005-0000-0000-0000C92D0000}"/>
    <cellStyle name="Titulo1" xfId="332" xr:uid="{00000000-0005-0000-0000-0000CA2D0000}"/>
    <cellStyle name="Titulo2" xfId="333" xr:uid="{00000000-0005-0000-0000-0000CB2D0000}"/>
    <cellStyle name="Total 2" xfId="428" xr:uid="{00000000-0005-0000-0000-0000CC2D0000}"/>
    <cellStyle name="Total 2 10" xfId="6888" xr:uid="{00000000-0005-0000-0000-0000CD2D0000}"/>
    <cellStyle name="Total 2 10 2" xfId="12057" xr:uid="{00000000-0005-0000-0000-0000CE2D0000}"/>
    <cellStyle name="Total 2 10 2 2" xfId="15141" xr:uid="{00000000-0005-0000-0000-0000CF2D0000}"/>
    <cellStyle name="Total 2 10 3" xfId="12929" xr:uid="{00000000-0005-0000-0000-0000D02D0000}"/>
    <cellStyle name="Total 2 10 3 2" xfId="15700" xr:uid="{00000000-0005-0000-0000-0000D12D0000}"/>
    <cellStyle name="Total 2 10 4" xfId="14414" xr:uid="{00000000-0005-0000-0000-0000D22D0000}"/>
    <cellStyle name="Total 2 10 5" xfId="13775" xr:uid="{00000000-0005-0000-0000-0000D32D0000}"/>
    <cellStyle name="Total 2 11" xfId="13194" xr:uid="{00000000-0005-0000-0000-0000D42D0000}"/>
    <cellStyle name="Total 2 11 2" xfId="15782" xr:uid="{00000000-0005-0000-0000-0000D52D0000}"/>
    <cellStyle name="Total 2 12" xfId="11048" xr:uid="{00000000-0005-0000-0000-0000D62D0000}"/>
    <cellStyle name="Total 2 12 2" xfId="14932" xr:uid="{00000000-0005-0000-0000-0000D72D0000}"/>
    <cellStyle name="Total 2 13" xfId="12546" xr:uid="{00000000-0005-0000-0000-0000D82D0000}"/>
    <cellStyle name="Total 2 13 2" xfId="15434" xr:uid="{00000000-0005-0000-0000-0000D92D0000}"/>
    <cellStyle name="Total 2 14" xfId="14579" xr:uid="{00000000-0005-0000-0000-0000DA2D0000}"/>
    <cellStyle name="Total 2 15" xfId="13375" xr:uid="{00000000-0005-0000-0000-0000DB2D0000}"/>
    <cellStyle name="Total 2 16" xfId="15869" xr:uid="{00000000-0005-0000-0000-0000DC2D0000}"/>
    <cellStyle name="Total 2 2" xfId="3007" xr:uid="{00000000-0005-0000-0000-0000DD2D0000}"/>
    <cellStyle name="Total 2 2 10" xfId="13202" xr:uid="{00000000-0005-0000-0000-0000DE2D0000}"/>
    <cellStyle name="Total 2 2 10 2" xfId="15790" xr:uid="{00000000-0005-0000-0000-0000DF2D0000}"/>
    <cellStyle name="Total 2 2 11" xfId="11596" xr:uid="{00000000-0005-0000-0000-0000E02D0000}"/>
    <cellStyle name="Total 2 2 11 2" xfId="15045" xr:uid="{00000000-0005-0000-0000-0000E12D0000}"/>
    <cellStyle name="Total 2 2 12" xfId="11946" xr:uid="{00000000-0005-0000-0000-0000E22D0000}"/>
    <cellStyle name="Total 2 2 12 2" xfId="15121" xr:uid="{00000000-0005-0000-0000-0000E32D0000}"/>
    <cellStyle name="Total 2 2 13" xfId="14603" xr:uid="{00000000-0005-0000-0000-0000E42D0000}"/>
    <cellStyle name="Total 2 2 14" xfId="13407" xr:uid="{00000000-0005-0000-0000-0000E52D0000}"/>
    <cellStyle name="Total 2 2 15" xfId="16060" xr:uid="{00000000-0005-0000-0000-0000E62D0000}"/>
    <cellStyle name="Total 2 2 2" xfId="4969" xr:uid="{00000000-0005-0000-0000-0000E72D0000}"/>
    <cellStyle name="Total 2 2 2 10" xfId="11799" xr:uid="{00000000-0005-0000-0000-0000E82D0000}"/>
    <cellStyle name="Total 2 2 2 10 2" xfId="12999" xr:uid="{00000000-0005-0000-0000-0000E92D0000}"/>
    <cellStyle name="Total 2 2 2 10 2 2" xfId="15712" xr:uid="{00000000-0005-0000-0000-0000EA2D0000}"/>
    <cellStyle name="Total 2 2 2 10 3" xfId="15085" xr:uid="{00000000-0005-0000-0000-0000EB2D0000}"/>
    <cellStyle name="Total 2 2 2 11" xfId="12548" xr:uid="{00000000-0005-0000-0000-0000EC2D0000}"/>
    <cellStyle name="Total 2 2 2 11 2" xfId="15436" xr:uid="{00000000-0005-0000-0000-0000ED2D0000}"/>
    <cellStyle name="Total 2 2 2 12" xfId="14586" xr:uid="{00000000-0005-0000-0000-0000EE2D0000}"/>
    <cellStyle name="Total 2 2 2 13" xfId="13726" xr:uid="{00000000-0005-0000-0000-0000EF2D0000}"/>
    <cellStyle name="Total 2 2 2 14" xfId="18004" xr:uid="{00000000-0005-0000-0000-0000F02D0000}"/>
    <cellStyle name="Total 2 2 2 2" xfId="7054" xr:uid="{00000000-0005-0000-0000-0000F12D0000}"/>
    <cellStyle name="Total 2 2 2 2 2" xfId="8862" xr:uid="{00000000-0005-0000-0000-0000F22D0000}"/>
    <cellStyle name="Total 2 2 2 2 2 2" xfId="12727" xr:uid="{00000000-0005-0000-0000-0000F32D0000}"/>
    <cellStyle name="Total 2 2 2 2 2 2 2" xfId="15578" xr:uid="{00000000-0005-0000-0000-0000F42D0000}"/>
    <cellStyle name="Total 2 2 2 2 2 3" xfId="12527" xr:uid="{00000000-0005-0000-0000-0000F52D0000}"/>
    <cellStyle name="Total 2 2 2 2 2 3 2" xfId="15421" xr:uid="{00000000-0005-0000-0000-0000F62D0000}"/>
    <cellStyle name="Total 2 2 2 2 2 4" xfId="14847" xr:uid="{00000000-0005-0000-0000-0000F72D0000}"/>
    <cellStyle name="Total 2 2 2 2 2 5" xfId="14198" xr:uid="{00000000-0005-0000-0000-0000F82D0000}"/>
    <cellStyle name="Total 2 2 2 2 3" xfId="12212" xr:uid="{00000000-0005-0000-0000-0000F92D0000}"/>
    <cellStyle name="Total 2 2 2 2 3 2" xfId="15288" xr:uid="{00000000-0005-0000-0000-0000FA2D0000}"/>
    <cellStyle name="Total 2 2 2 2 4" xfId="12340" xr:uid="{00000000-0005-0000-0000-0000FB2D0000}"/>
    <cellStyle name="Total 2 2 2 2 4 2" xfId="15384" xr:uid="{00000000-0005-0000-0000-0000FC2D0000}"/>
    <cellStyle name="Total 2 2 2 2 5" xfId="14472" xr:uid="{00000000-0005-0000-0000-0000FD2D0000}"/>
    <cellStyle name="Total 2 2 2 2 6" xfId="13935" xr:uid="{00000000-0005-0000-0000-0000FE2D0000}"/>
    <cellStyle name="Total 2 2 2 3" xfId="7076" xr:uid="{00000000-0005-0000-0000-0000FF2D0000}"/>
    <cellStyle name="Total 2 2 2 3 2" xfId="8883" xr:uid="{00000000-0005-0000-0000-0000002E0000}"/>
    <cellStyle name="Total 2 2 2 3 2 2" xfId="12746" xr:uid="{00000000-0005-0000-0000-0000012E0000}"/>
    <cellStyle name="Total 2 2 2 3 2 2 2" xfId="15596" xr:uid="{00000000-0005-0000-0000-0000022E0000}"/>
    <cellStyle name="Total 2 2 2 3 2 3" xfId="11625" xr:uid="{00000000-0005-0000-0000-0000032E0000}"/>
    <cellStyle name="Total 2 2 2 3 2 3 2" xfId="15053" xr:uid="{00000000-0005-0000-0000-0000042E0000}"/>
    <cellStyle name="Total 2 2 2 3 2 4" xfId="14861" xr:uid="{00000000-0005-0000-0000-0000052E0000}"/>
    <cellStyle name="Total 2 2 2 3 2 5" xfId="14219" xr:uid="{00000000-0005-0000-0000-0000062E0000}"/>
    <cellStyle name="Total 2 2 2 3 3" xfId="12232" xr:uid="{00000000-0005-0000-0000-0000072E0000}"/>
    <cellStyle name="Total 2 2 2 3 3 2" xfId="15306" xr:uid="{00000000-0005-0000-0000-0000082E0000}"/>
    <cellStyle name="Total 2 2 2 3 4" xfId="13051" xr:uid="{00000000-0005-0000-0000-0000092E0000}"/>
    <cellStyle name="Total 2 2 2 3 4 2" xfId="15722" xr:uid="{00000000-0005-0000-0000-00000A2E0000}"/>
    <cellStyle name="Total 2 2 2 3 5" xfId="14466" xr:uid="{00000000-0005-0000-0000-00000B2E0000}"/>
    <cellStyle name="Total 2 2 2 3 6" xfId="13956" xr:uid="{00000000-0005-0000-0000-00000C2E0000}"/>
    <cellStyle name="Total 2 2 2 4" xfId="7011" xr:uid="{00000000-0005-0000-0000-00000D2E0000}"/>
    <cellStyle name="Total 2 2 2 4 2" xfId="8828" xr:uid="{00000000-0005-0000-0000-00000E2E0000}"/>
    <cellStyle name="Total 2 2 2 4 2 2" xfId="12695" xr:uid="{00000000-0005-0000-0000-00000F2E0000}"/>
    <cellStyle name="Total 2 2 2 4 2 2 2" xfId="15549" xr:uid="{00000000-0005-0000-0000-0000102E0000}"/>
    <cellStyle name="Total 2 2 2 4 2 3" xfId="11852" xr:uid="{00000000-0005-0000-0000-0000112E0000}"/>
    <cellStyle name="Total 2 2 2 4 2 3 2" xfId="15101" xr:uid="{00000000-0005-0000-0000-0000122E0000}"/>
    <cellStyle name="Total 2 2 2 4 2 4" xfId="14402" xr:uid="{00000000-0005-0000-0000-0000132E0000}"/>
    <cellStyle name="Total 2 2 2 4 2 5" xfId="14164" xr:uid="{00000000-0005-0000-0000-0000142E0000}"/>
    <cellStyle name="Total 2 2 2 4 3" xfId="12172" xr:uid="{00000000-0005-0000-0000-0000152E0000}"/>
    <cellStyle name="Total 2 2 2 4 3 2" xfId="15250" xr:uid="{00000000-0005-0000-0000-0000162E0000}"/>
    <cellStyle name="Total 2 2 2 4 4" xfId="11793" xr:uid="{00000000-0005-0000-0000-0000172E0000}"/>
    <cellStyle name="Total 2 2 2 4 4 2" xfId="15084" xr:uid="{00000000-0005-0000-0000-0000182E0000}"/>
    <cellStyle name="Total 2 2 2 4 5" xfId="14492" xr:uid="{00000000-0005-0000-0000-0000192E0000}"/>
    <cellStyle name="Total 2 2 2 4 6" xfId="13893" xr:uid="{00000000-0005-0000-0000-00001A2E0000}"/>
    <cellStyle name="Total 2 2 2 5" xfId="7087" xr:uid="{00000000-0005-0000-0000-00001B2E0000}"/>
    <cellStyle name="Total 2 2 2 5 2" xfId="8894" xr:uid="{00000000-0005-0000-0000-00001C2E0000}"/>
    <cellStyle name="Total 2 2 2 5 2 2" xfId="12757" xr:uid="{00000000-0005-0000-0000-00001D2E0000}"/>
    <cellStyle name="Total 2 2 2 5 2 2 2" xfId="15607" xr:uid="{00000000-0005-0000-0000-00001E2E0000}"/>
    <cellStyle name="Total 2 2 2 5 2 3" xfId="11693" xr:uid="{00000000-0005-0000-0000-00001F2E0000}"/>
    <cellStyle name="Total 2 2 2 5 2 3 2" xfId="15069" xr:uid="{00000000-0005-0000-0000-0000202E0000}"/>
    <cellStyle name="Total 2 2 2 5 2 4" xfId="14559" xr:uid="{00000000-0005-0000-0000-0000212E0000}"/>
    <cellStyle name="Total 2 2 2 5 2 5" xfId="14230" xr:uid="{00000000-0005-0000-0000-0000222E0000}"/>
    <cellStyle name="Total 2 2 2 5 3" xfId="12243" xr:uid="{00000000-0005-0000-0000-0000232E0000}"/>
    <cellStyle name="Total 2 2 2 5 3 2" xfId="15317" xr:uid="{00000000-0005-0000-0000-0000242E0000}"/>
    <cellStyle name="Total 2 2 2 5 4" xfId="12342" xr:uid="{00000000-0005-0000-0000-0000252E0000}"/>
    <cellStyle name="Total 2 2 2 5 4 2" xfId="15385" xr:uid="{00000000-0005-0000-0000-0000262E0000}"/>
    <cellStyle name="Total 2 2 2 5 5" xfId="14734" xr:uid="{00000000-0005-0000-0000-0000272E0000}"/>
    <cellStyle name="Total 2 2 2 5 6" xfId="13967" xr:uid="{00000000-0005-0000-0000-0000282E0000}"/>
    <cellStyle name="Total 2 2 2 6" xfId="6978" xr:uid="{00000000-0005-0000-0000-0000292E0000}"/>
    <cellStyle name="Total 2 2 2 6 2" xfId="8801" xr:uid="{00000000-0005-0000-0000-00002A2E0000}"/>
    <cellStyle name="Total 2 2 2 6 2 2" xfId="12670" xr:uid="{00000000-0005-0000-0000-00002B2E0000}"/>
    <cellStyle name="Total 2 2 2 6 2 2 2" xfId="15525" xr:uid="{00000000-0005-0000-0000-00002C2E0000}"/>
    <cellStyle name="Total 2 2 2 6 2 3" xfId="10979" xr:uid="{00000000-0005-0000-0000-00002D2E0000}"/>
    <cellStyle name="Total 2 2 2 6 2 3 2" xfId="14923" xr:uid="{00000000-0005-0000-0000-00002E2E0000}"/>
    <cellStyle name="Total 2 2 2 6 2 4" xfId="14427" xr:uid="{00000000-0005-0000-0000-00002F2E0000}"/>
    <cellStyle name="Total 2 2 2 6 2 5" xfId="14137" xr:uid="{00000000-0005-0000-0000-0000302E0000}"/>
    <cellStyle name="Total 2 2 2 6 3" xfId="12141" xr:uid="{00000000-0005-0000-0000-0000312E0000}"/>
    <cellStyle name="Total 2 2 2 6 3 2" xfId="15220" xr:uid="{00000000-0005-0000-0000-0000322E0000}"/>
    <cellStyle name="Total 2 2 2 6 4" xfId="11654" xr:uid="{00000000-0005-0000-0000-0000332E0000}"/>
    <cellStyle name="Total 2 2 2 6 4 2" xfId="15061" xr:uid="{00000000-0005-0000-0000-0000342E0000}"/>
    <cellStyle name="Total 2 2 2 6 5" xfId="14759" xr:uid="{00000000-0005-0000-0000-0000352E0000}"/>
    <cellStyle name="Total 2 2 2 6 6" xfId="13860" xr:uid="{00000000-0005-0000-0000-0000362E0000}"/>
    <cellStyle name="Total 2 2 2 7" xfId="7112" xr:uid="{00000000-0005-0000-0000-0000372E0000}"/>
    <cellStyle name="Total 2 2 2 7 2" xfId="8919" xr:uid="{00000000-0005-0000-0000-0000382E0000}"/>
    <cellStyle name="Total 2 2 2 7 2 2" xfId="12778" xr:uid="{00000000-0005-0000-0000-0000392E0000}"/>
    <cellStyle name="Total 2 2 2 7 2 2 2" xfId="15628" xr:uid="{00000000-0005-0000-0000-00003A2E0000}"/>
    <cellStyle name="Total 2 2 2 7 2 3" xfId="12582" xr:uid="{00000000-0005-0000-0000-00003B2E0000}"/>
    <cellStyle name="Total 2 2 2 7 2 3 2" xfId="15442" xr:uid="{00000000-0005-0000-0000-00003C2E0000}"/>
    <cellStyle name="Total 2 2 2 7 2 4" xfId="14676" xr:uid="{00000000-0005-0000-0000-00003D2E0000}"/>
    <cellStyle name="Total 2 2 2 7 2 5" xfId="14255" xr:uid="{00000000-0005-0000-0000-00003E2E0000}"/>
    <cellStyle name="Total 2 2 2 7 3" xfId="12264" xr:uid="{00000000-0005-0000-0000-00003F2E0000}"/>
    <cellStyle name="Total 2 2 2 7 3 2" xfId="15338" xr:uid="{00000000-0005-0000-0000-0000402E0000}"/>
    <cellStyle name="Total 2 2 2 7 4" xfId="11063" xr:uid="{00000000-0005-0000-0000-0000412E0000}"/>
    <cellStyle name="Total 2 2 2 7 4 2" xfId="14938" xr:uid="{00000000-0005-0000-0000-0000422E0000}"/>
    <cellStyle name="Total 2 2 2 7 5" xfId="14450" xr:uid="{00000000-0005-0000-0000-0000432E0000}"/>
    <cellStyle name="Total 2 2 2 7 6" xfId="13992" xr:uid="{00000000-0005-0000-0000-0000442E0000}"/>
    <cellStyle name="Total 2 2 2 8" xfId="7134" xr:uid="{00000000-0005-0000-0000-0000452E0000}"/>
    <cellStyle name="Total 2 2 2 8 2" xfId="8941" xr:uid="{00000000-0005-0000-0000-0000462E0000}"/>
    <cellStyle name="Total 2 2 2 8 2 2" xfId="12798" xr:uid="{00000000-0005-0000-0000-0000472E0000}"/>
    <cellStyle name="Total 2 2 2 8 2 2 2" xfId="15647" xr:uid="{00000000-0005-0000-0000-0000482E0000}"/>
    <cellStyle name="Total 2 2 2 8 2 3" xfId="11445" xr:uid="{00000000-0005-0000-0000-0000492E0000}"/>
    <cellStyle name="Total 2 2 2 8 2 3 2" xfId="15025" xr:uid="{00000000-0005-0000-0000-00004A2E0000}"/>
    <cellStyle name="Total 2 2 2 8 2 4" xfId="14632" xr:uid="{00000000-0005-0000-0000-00004B2E0000}"/>
    <cellStyle name="Total 2 2 2 8 2 5" xfId="14277" xr:uid="{00000000-0005-0000-0000-00004C2E0000}"/>
    <cellStyle name="Total 2 2 2 8 3" xfId="12284" xr:uid="{00000000-0005-0000-0000-00004D2E0000}"/>
    <cellStyle name="Total 2 2 2 8 3 2" xfId="15357" xr:uid="{00000000-0005-0000-0000-00004E2E0000}"/>
    <cellStyle name="Total 2 2 2 8 4" xfId="13244" xr:uid="{00000000-0005-0000-0000-00004F2E0000}"/>
    <cellStyle name="Total 2 2 2 8 4 2" xfId="15795" xr:uid="{00000000-0005-0000-0000-0000502E0000}"/>
    <cellStyle name="Total 2 2 2 8 5" xfId="14437" xr:uid="{00000000-0005-0000-0000-0000512E0000}"/>
    <cellStyle name="Total 2 2 2 8 6" xfId="14014" xr:uid="{00000000-0005-0000-0000-0000522E0000}"/>
    <cellStyle name="Total 2 2 2 9" xfId="6962" xr:uid="{00000000-0005-0000-0000-0000532E0000}"/>
    <cellStyle name="Total 2 2 2 9 2" xfId="12125" xr:uid="{00000000-0005-0000-0000-0000542E0000}"/>
    <cellStyle name="Total 2 2 2 9 2 2" xfId="15205" xr:uid="{00000000-0005-0000-0000-0000552E0000}"/>
    <cellStyle name="Total 2 2 2 9 3" xfId="11983" xr:uid="{00000000-0005-0000-0000-0000562E0000}"/>
    <cellStyle name="Total 2 2 2 9 3 2" xfId="15124" xr:uid="{00000000-0005-0000-0000-0000572E0000}"/>
    <cellStyle name="Total 2 2 2 9 4" xfId="14762" xr:uid="{00000000-0005-0000-0000-0000582E0000}"/>
    <cellStyle name="Total 2 2 2 9 5" xfId="13844" xr:uid="{00000000-0005-0000-0000-0000592E0000}"/>
    <cellStyle name="Total 2 2 3" xfId="6995" xr:uid="{00000000-0005-0000-0000-00005A2E0000}"/>
    <cellStyle name="Total 2 2 3 2" xfId="8815" xr:uid="{00000000-0005-0000-0000-00005B2E0000}"/>
    <cellStyle name="Total 2 2 3 2 2" xfId="12683" xr:uid="{00000000-0005-0000-0000-00005C2E0000}"/>
    <cellStyle name="Total 2 2 3 2 2 2" xfId="15537" xr:uid="{00000000-0005-0000-0000-00005D2E0000}"/>
    <cellStyle name="Total 2 2 3 2 3" xfId="12819" xr:uid="{00000000-0005-0000-0000-00005E2E0000}"/>
    <cellStyle name="Total 2 2 3 2 3 2" xfId="15666" xr:uid="{00000000-0005-0000-0000-00005F2E0000}"/>
    <cellStyle name="Total 2 2 3 2 4" xfId="14700" xr:uid="{00000000-0005-0000-0000-0000602E0000}"/>
    <cellStyle name="Total 2 2 3 2 5" xfId="14151" xr:uid="{00000000-0005-0000-0000-0000612E0000}"/>
    <cellStyle name="Total 2 2 3 3" xfId="12157" xr:uid="{00000000-0005-0000-0000-0000622E0000}"/>
    <cellStyle name="Total 2 2 3 3 2" xfId="15235" xr:uid="{00000000-0005-0000-0000-0000632E0000}"/>
    <cellStyle name="Total 2 2 3 4" xfId="12822" xr:uid="{00000000-0005-0000-0000-0000642E0000}"/>
    <cellStyle name="Total 2 2 3 4 2" xfId="15669" xr:uid="{00000000-0005-0000-0000-0000652E0000}"/>
    <cellStyle name="Total 2 2 3 5" xfId="14757" xr:uid="{00000000-0005-0000-0000-0000662E0000}"/>
    <cellStyle name="Total 2 2 3 6" xfId="13877" xr:uid="{00000000-0005-0000-0000-0000672E0000}"/>
    <cellStyle name="Total 2 2 4" xfId="6877" xr:uid="{00000000-0005-0000-0000-0000682E0000}"/>
    <cellStyle name="Total 2 2 4 2" xfId="8717" xr:uid="{00000000-0005-0000-0000-0000692E0000}"/>
    <cellStyle name="Total 2 2 4 2 2" xfId="12591" xr:uid="{00000000-0005-0000-0000-00006A2E0000}"/>
    <cellStyle name="Total 2 2 4 2 2 2" xfId="15449" xr:uid="{00000000-0005-0000-0000-00006B2E0000}"/>
    <cellStyle name="Total 2 2 4 2 3" xfId="12503" xr:uid="{00000000-0005-0000-0000-00006C2E0000}"/>
    <cellStyle name="Total 2 2 4 2 3 2" xfId="15413" xr:uid="{00000000-0005-0000-0000-00006D2E0000}"/>
    <cellStyle name="Total 2 2 4 2 4" xfId="14390" xr:uid="{00000000-0005-0000-0000-00006E2E0000}"/>
    <cellStyle name="Total 2 2 4 2 5" xfId="14053" xr:uid="{00000000-0005-0000-0000-00006F2E0000}"/>
    <cellStyle name="Total 2 2 4 3" xfId="12046" xr:uid="{00000000-0005-0000-0000-0000702E0000}"/>
    <cellStyle name="Total 2 2 4 3 2" xfId="15131" xr:uid="{00000000-0005-0000-0000-0000712E0000}"/>
    <cellStyle name="Total 2 2 4 4" xfId="11714" xr:uid="{00000000-0005-0000-0000-0000722E0000}"/>
    <cellStyle name="Total 2 2 4 4 2" xfId="15070" xr:uid="{00000000-0005-0000-0000-0000732E0000}"/>
    <cellStyle name="Total 2 2 4 5" xfId="14417" xr:uid="{00000000-0005-0000-0000-0000742E0000}"/>
    <cellStyle name="Total 2 2 4 6" xfId="13764" xr:uid="{00000000-0005-0000-0000-0000752E0000}"/>
    <cellStyle name="Total 2 2 5" xfId="6972" xr:uid="{00000000-0005-0000-0000-0000762E0000}"/>
    <cellStyle name="Total 2 2 5 2" xfId="8798" xr:uid="{00000000-0005-0000-0000-0000772E0000}"/>
    <cellStyle name="Total 2 2 5 2 2" xfId="12667" xr:uid="{00000000-0005-0000-0000-0000782E0000}"/>
    <cellStyle name="Total 2 2 5 2 2 2" xfId="15522" xr:uid="{00000000-0005-0000-0000-0000792E0000}"/>
    <cellStyle name="Total 2 2 5 2 3" xfId="11663" xr:uid="{00000000-0005-0000-0000-00007A2E0000}"/>
    <cellStyle name="Total 2 2 5 2 3 2" xfId="15065" xr:uid="{00000000-0005-0000-0000-00007B2E0000}"/>
    <cellStyle name="Total 2 2 5 2 4" xfId="14702" xr:uid="{00000000-0005-0000-0000-00007C2E0000}"/>
    <cellStyle name="Total 2 2 5 2 5" xfId="14134" xr:uid="{00000000-0005-0000-0000-00007D2E0000}"/>
    <cellStyle name="Total 2 2 5 3" xfId="12135" xr:uid="{00000000-0005-0000-0000-00007E2E0000}"/>
    <cellStyle name="Total 2 2 5 3 2" xfId="15214" xr:uid="{00000000-0005-0000-0000-00007F2E0000}"/>
    <cellStyle name="Total 2 2 5 4" xfId="12824" xr:uid="{00000000-0005-0000-0000-0000802E0000}"/>
    <cellStyle name="Total 2 2 5 4 2" xfId="15670" xr:uid="{00000000-0005-0000-0000-0000812E0000}"/>
    <cellStyle name="Total 2 2 5 5" xfId="14514" xr:uid="{00000000-0005-0000-0000-0000822E0000}"/>
    <cellStyle name="Total 2 2 5 6" xfId="13854" xr:uid="{00000000-0005-0000-0000-0000832E0000}"/>
    <cellStyle name="Total 2 2 6" xfId="7007" xr:uid="{00000000-0005-0000-0000-0000842E0000}"/>
    <cellStyle name="Total 2 2 6 2" xfId="8825" xr:uid="{00000000-0005-0000-0000-0000852E0000}"/>
    <cellStyle name="Total 2 2 6 2 2" xfId="12692" xr:uid="{00000000-0005-0000-0000-0000862E0000}"/>
    <cellStyle name="Total 2 2 6 2 2 2" xfId="15546" xr:uid="{00000000-0005-0000-0000-0000872E0000}"/>
    <cellStyle name="Total 2 2 6 2 3" xfId="11967" xr:uid="{00000000-0005-0000-0000-0000882E0000}"/>
    <cellStyle name="Total 2 2 6 2 3 2" xfId="15123" xr:uid="{00000000-0005-0000-0000-0000892E0000}"/>
    <cellStyle name="Total 2 2 6 2 4" xfId="14326" xr:uid="{00000000-0005-0000-0000-00008A2E0000}"/>
    <cellStyle name="Total 2 2 6 2 5" xfId="14161" xr:uid="{00000000-0005-0000-0000-00008B2E0000}"/>
    <cellStyle name="Total 2 2 6 3" xfId="12168" xr:uid="{00000000-0005-0000-0000-00008C2E0000}"/>
    <cellStyle name="Total 2 2 6 3 2" xfId="15246" xr:uid="{00000000-0005-0000-0000-00008D2E0000}"/>
    <cellStyle name="Total 2 2 6 4" xfId="11058" xr:uid="{00000000-0005-0000-0000-00008E2E0000}"/>
    <cellStyle name="Total 2 2 6 4 2" xfId="14936" xr:uid="{00000000-0005-0000-0000-00008F2E0000}"/>
    <cellStyle name="Total 2 2 6 5" xfId="14308" xr:uid="{00000000-0005-0000-0000-0000902E0000}"/>
    <cellStyle name="Total 2 2 6 6" xfId="13889" xr:uid="{00000000-0005-0000-0000-0000912E0000}"/>
    <cellStyle name="Total 2 2 7" xfId="7027" xr:uid="{00000000-0005-0000-0000-0000922E0000}"/>
    <cellStyle name="Total 2 2 7 2" xfId="8840" xr:uid="{00000000-0005-0000-0000-0000932E0000}"/>
    <cellStyle name="Total 2 2 7 2 2" xfId="12706" xr:uid="{00000000-0005-0000-0000-0000942E0000}"/>
    <cellStyle name="Total 2 2 7 2 2 2" xfId="15559" xr:uid="{00000000-0005-0000-0000-0000952E0000}"/>
    <cellStyle name="Total 2 2 7 2 3" xfId="11632" xr:uid="{00000000-0005-0000-0000-0000962E0000}"/>
    <cellStyle name="Total 2 2 7 2 3 2" xfId="15056" xr:uid="{00000000-0005-0000-0000-0000972E0000}"/>
    <cellStyle name="Total 2 2 7 2 4" xfId="14564" xr:uid="{00000000-0005-0000-0000-0000982E0000}"/>
    <cellStyle name="Total 2 2 7 2 5" xfId="14176" xr:uid="{00000000-0005-0000-0000-0000992E0000}"/>
    <cellStyle name="Total 2 2 7 3" xfId="12187" xr:uid="{00000000-0005-0000-0000-00009A2E0000}"/>
    <cellStyle name="Total 2 2 7 3 2" xfId="15264" xr:uid="{00000000-0005-0000-0000-00009B2E0000}"/>
    <cellStyle name="Total 2 2 7 4" xfId="11218" xr:uid="{00000000-0005-0000-0000-00009C2E0000}"/>
    <cellStyle name="Total 2 2 7 4 2" xfId="14962" xr:uid="{00000000-0005-0000-0000-00009D2E0000}"/>
    <cellStyle name="Total 2 2 7 5" xfId="14484" xr:uid="{00000000-0005-0000-0000-00009E2E0000}"/>
    <cellStyle name="Total 2 2 7 6" xfId="13908" xr:uid="{00000000-0005-0000-0000-00009F2E0000}"/>
    <cellStyle name="Total 2 2 8" xfId="6955" xr:uid="{00000000-0005-0000-0000-0000A02E0000}"/>
    <cellStyle name="Total 2 2 8 2" xfId="8784" xr:uid="{00000000-0005-0000-0000-0000A12E0000}"/>
    <cellStyle name="Total 2 2 8 2 2" xfId="12653" xr:uid="{00000000-0005-0000-0000-0000A22E0000}"/>
    <cellStyle name="Total 2 2 8 2 2 2" xfId="15509" xr:uid="{00000000-0005-0000-0000-0000A32E0000}"/>
    <cellStyle name="Total 2 2 8 2 3" xfId="11611" xr:uid="{00000000-0005-0000-0000-0000A42E0000}"/>
    <cellStyle name="Total 2 2 8 2 3 2" xfId="15047" xr:uid="{00000000-0005-0000-0000-0000A52E0000}"/>
    <cellStyle name="Total 2 2 8 2 4" xfId="14667" xr:uid="{00000000-0005-0000-0000-0000A62E0000}"/>
    <cellStyle name="Total 2 2 8 2 5" xfId="14120" xr:uid="{00000000-0005-0000-0000-0000A72E0000}"/>
    <cellStyle name="Total 2 2 8 3" xfId="12118" xr:uid="{00000000-0005-0000-0000-0000A82E0000}"/>
    <cellStyle name="Total 2 2 8 3 2" xfId="15198" xr:uid="{00000000-0005-0000-0000-0000A92E0000}"/>
    <cellStyle name="Total 2 2 8 4" xfId="11911" xr:uid="{00000000-0005-0000-0000-0000AA2E0000}"/>
    <cellStyle name="Total 2 2 8 4 2" xfId="15113" xr:uid="{00000000-0005-0000-0000-0000AB2E0000}"/>
    <cellStyle name="Total 2 2 8 5" xfId="14768" xr:uid="{00000000-0005-0000-0000-0000AC2E0000}"/>
    <cellStyle name="Total 2 2 8 6" xfId="13837" xr:uid="{00000000-0005-0000-0000-0000AD2E0000}"/>
    <cellStyle name="Total 2 2 9" xfId="7155" xr:uid="{00000000-0005-0000-0000-0000AE2E0000}"/>
    <cellStyle name="Total 2 2 9 2" xfId="12303" xr:uid="{00000000-0005-0000-0000-0000AF2E0000}"/>
    <cellStyle name="Total 2 2 9 2 2" xfId="15375" xr:uid="{00000000-0005-0000-0000-0000B02E0000}"/>
    <cellStyle name="Total 2 2 9 3" xfId="12347" xr:uid="{00000000-0005-0000-0000-0000B12E0000}"/>
    <cellStyle name="Total 2 2 9 3 2" xfId="15387" xr:uid="{00000000-0005-0000-0000-0000B22E0000}"/>
    <cellStyle name="Total 2 2 9 4" xfId="14719" xr:uid="{00000000-0005-0000-0000-0000B32E0000}"/>
    <cellStyle name="Total 2 2 9 5" xfId="14035" xr:uid="{00000000-0005-0000-0000-0000B42E0000}"/>
    <cellStyle name="Total 2 3" xfId="4986" xr:uid="{00000000-0005-0000-0000-0000B52E0000}"/>
    <cellStyle name="Total 2 3 10" xfId="11815" xr:uid="{00000000-0005-0000-0000-0000B62E0000}"/>
    <cellStyle name="Total 2 3 10 2" xfId="12431" xr:uid="{00000000-0005-0000-0000-0000B72E0000}"/>
    <cellStyle name="Total 2 3 10 2 2" xfId="15395" xr:uid="{00000000-0005-0000-0000-0000B82E0000}"/>
    <cellStyle name="Total 2 3 10 3" xfId="15092" xr:uid="{00000000-0005-0000-0000-0000B92E0000}"/>
    <cellStyle name="Total 2 3 11" xfId="11084" xr:uid="{00000000-0005-0000-0000-0000BA2E0000}"/>
    <cellStyle name="Total 2 3 11 2" xfId="14946" xr:uid="{00000000-0005-0000-0000-0000BB2E0000}"/>
    <cellStyle name="Total 2 3 12" xfId="14587" xr:uid="{00000000-0005-0000-0000-0000BC2E0000}"/>
    <cellStyle name="Total 2 3 13" xfId="13741" xr:uid="{00000000-0005-0000-0000-0000BD2E0000}"/>
    <cellStyle name="Total 2 3 14" xfId="18021" xr:uid="{00000000-0005-0000-0000-0000BE2E0000}"/>
    <cellStyle name="Total 2 3 2" xfId="7071" xr:uid="{00000000-0005-0000-0000-0000BF2E0000}"/>
    <cellStyle name="Total 2 3 2 2" xfId="8879" xr:uid="{00000000-0005-0000-0000-0000C02E0000}"/>
    <cellStyle name="Total 2 3 2 2 2" xfId="12743" xr:uid="{00000000-0005-0000-0000-0000C12E0000}"/>
    <cellStyle name="Total 2 3 2 2 2 2" xfId="15593" xr:uid="{00000000-0005-0000-0000-0000C22E0000}"/>
    <cellStyle name="Total 2 3 2 2 3" xfId="11447" xr:uid="{00000000-0005-0000-0000-0000C32E0000}"/>
    <cellStyle name="Total 2 3 2 2 3 2" xfId="15027" xr:uid="{00000000-0005-0000-0000-0000C42E0000}"/>
    <cellStyle name="Total 2 3 2 2 4" xfId="14871" xr:uid="{00000000-0005-0000-0000-0000C52E0000}"/>
    <cellStyle name="Total 2 3 2 2 5" xfId="14215" xr:uid="{00000000-0005-0000-0000-0000C62E0000}"/>
    <cellStyle name="Total 2 3 2 3" xfId="12228" xr:uid="{00000000-0005-0000-0000-0000C72E0000}"/>
    <cellStyle name="Total 2 3 2 3 2" xfId="15302" xr:uid="{00000000-0005-0000-0000-0000C82E0000}"/>
    <cellStyle name="Total 2 3 2 4" xfId="11229" xr:uid="{00000000-0005-0000-0000-0000C92E0000}"/>
    <cellStyle name="Total 2 3 2 4 2" xfId="14965" xr:uid="{00000000-0005-0000-0000-0000CA2E0000}"/>
    <cellStyle name="Total 2 3 2 5" xfId="14737" xr:uid="{00000000-0005-0000-0000-0000CB2E0000}"/>
    <cellStyle name="Total 2 3 2 6" xfId="13951" xr:uid="{00000000-0005-0000-0000-0000CC2E0000}"/>
    <cellStyle name="Total 2 3 3" xfId="7079" xr:uid="{00000000-0005-0000-0000-0000CD2E0000}"/>
    <cellStyle name="Total 2 3 3 2" xfId="8886" xr:uid="{00000000-0005-0000-0000-0000CE2E0000}"/>
    <cellStyle name="Total 2 3 3 2 2" xfId="12749" xr:uid="{00000000-0005-0000-0000-0000CF2E0000}"/>
    <cellStyle name="Total 2 3 3 2 2 2" xfId="15599" xr:uid="{00000000-0005-0000-0000-0000D02E0000}"/>
    <cellStyle name="Total 2 3 3 2 3" xfId="12011" xr:uid="{00000000-0005-0000-0000-0000D12E0000}"/>
    <cellStyle name="Total 2 3 3 2 3 2" xfId="15126" xr:uid="{00000000-0005-0000-0000-0000D22E0000}"/>
    <cellStyle name="Total 2 3 3 2 4" xfId="14677" xr:uid="{00000000-0005-0000-0000-0000D32E0000}"/>
    <cellStyle name="Total 2 3 3 2 5" xfId="14222" xr:uid="{00000000-0005-0000-0000-0000D42E0000}"/>
    <cellStyle name="Total 2 3 3 3" xfId="12235" xr:uid="{00000000-0005-0000-0000-0000D52E0000}"/>
    <cellStyle name="Total 2 3 3 3 2" xfId="15309" xr:uid="{00000000-0005-0000-0000-0000D62E0000}"/>
    <cellStyle name="Total 2 3 3 4" xfId="11231" xr:uid="{00000000-0005-0000-0000-0000D72E0000}"/>
    <cellStyle name="Total 2 3 3 4 2" xfId="14967" xr:uid="{00000000-0005-0000-0000-0000D82E0000}"/>
    <cellStyle name="Total 2 3 3 5" xfId="14464" xr:uid="{00000000-0005-0000-0000-0000D92E0000}"/>
    <cellStyle name="Total 2 3 3 6" xfId="13959" xr:uid="{00000000-0005-0000-0000-0000DA2E0000}"/>
    <cellStyle name="Total 2 3 4" xfId="7084" xr:uid="{00000000-0005-0000-0000-0000DB2E0000}"/>
    <cellStyle name="Total 2 3 4 2" xfId="8891" xr:uid="{00000000-0005-0000-0000-0000DC2E0000}"/>
    <cellStyle name="Total 2 3 4 2 2" xfId="12754" xr:uid="{00000000-0005-0000-0000-0000DD2E0000}"/>
    <cellStyle name="Total 2 3 4 2 2 2" xfId="15604" xr:uid="{00000000-0005-0000-0000-0000DE2E0000}"/>
    <cellStyle name="Total 2 3 4 2 3" xfId="12533" xr:uid="{00000000-0005-0000-0000-0000DF2E0000}"/>
    <cellStyle name="Total 2 3 4 2 3 2" xfId="15422" xr:uid="{00000000-0005-0000-0000-0000E02E0000}"/>
    <cellStyle name="Total 2 3 4 2 4" xfId="14355" xr:uid="{00000000-0005-0000-0000-0000E12E0000}"/>
    <cellStyle name="Total 2 3 4 2 5" xfId="14227" xr:uid="{00000000-0005-0000-0000-0000E22E0000}"/>
    <cellStyle name="Total 2 3 4 3" xfId="12240" xr:uid="{00000000-0005-0000-0000-0000E32E0000}"/>
    <cellStyle name="Total 2 3 4 3 2" xfId="15314" xr:uid="{00000000-0005-0000-0000-0000E42E0000}"/>
    <cellStyle name="Total 2 3 4 4" xfId="13324" xr:uid="{00000000-0005-0000-0000-0000E52E0000}"/>
    <cellStyle name="Total 2 3 4 4 2" xfId="15800" xr:uid="{00000000-0005-0000-0000-0000E62E0000}"/>
    <cellStyle name="Total 2 3 4 5" xfId="14459" xr:uid="{00000000-0005-0000-0000-0000E72E0000}"/>
    <cellStyle name="Total 2 3 4 6" xfId="13964" xr:uid="{00000000-0005-0000-0000-0000E82E0000}"/>
    <cellStyle name="Total 2 3 5" xfId="7104" xr:uid="{00000000-0005-0000-0000-0000E92E0000}"/>
    <cellStyle name="Total 2 3 5 2" xfId="8911" xr:uid="{00000000-0005-0000-0000-0000EA2E0000}"/>
    <cellStyle name="Total 2 3 5 2 2" xfId="12772" xr:uid="{00000000-0005-0000-0000-0000EB2E0000}"/>
    <cellStyle name="Total 2 3 5 2 2 2" xfId="15622" xr:uid="{00000000-0005-0000-0000-0000EC2E0000}"/>
    <cellStyle name="Total 2 3 5 2 3" xfId="11856" xr:uid="{00000000-0005-0000-0000-0000ED2E0000}"/>
    <cellStyle name="Total 2 3 5 2 3 2" xfId="15103" xr:uid="{00000000-0005-0000-0000-0000EE2E0000}"/>
    <cellStyle name="Total 2 3 5 2 4" xfId="14645" xr:uid="{00000000-0005-0000-0000-0000EF2E0000}"/>
    <cellStyle name="Total 2 3 5 2 5" xfId="14247" xr:uid="{00000000-0005-0000-0000-0000F02E0000}"/>
    <cellStyle name="Total 2 3 5 3" xfId="12258" xr:uid="{00000000-0005-0000-0000-0000F12E0000}"/>
    <cellStyle name="Total 2 3 5 3 2" xfId="15332" xr:uid="{00000000-0005-0000-0000-0000F22E0000}"/>
    <cellStyle name="Total 2 3 5 4" xfId="13239" xr:uid="{00000000-0005-0000-0000-0000F32E0000}"/>
    <cellStyle name="Total 2 3 5 4 2" xfId="15794" xr:uid="{00000000-0005-0000-0000-0000F42E0000}"/>
    <cellStyle name="Total 2 3 5 5" xfId="14454" xr:uid="{00000000-0005-0000-0000-0000F52E0000}"/>
    <cellStyle name="Total 2 3 5 6" xfId="13984" xr:uid="{00000000-0005-0000-0000-0000F62E0000}"/>
    <cellStyle name="Total 2 3 6" xfId="6923" xr:uid="{00000000-0005-0000-0000-0000F72E0000}"/>
    <cellStyle name="Total 2 3 6 2" xfId="8755" xr:uid="{00000000-0005-0000-0000-0000F82E0000}"/>
    <cellStyle name="Total 2 3 6 2 2" xfId="12626" xr:uid="{00000000-0005-0000-0000-0000F92E0000}"/>
    <cellStyle name="Total 2 3 6 2 2 2" xfId="15482" xr:uid="{00000000-0005-0000-0000-0000FA2E0000}"/>
    <cellStyle name="Total 2 3 6 2 3" xfId="13211" xr:uid="{00000000-0005-0000-0000-0000FB2E0000}"/>
    <cellStyle name="Total 2 3 6 2 3 2" xfId="15791" xr:uid="{00000000-0005-0000-0000-0000FC2E0000}"/>
    <cellStyle name="Total 2 3 6 2 4" xfId="14877" xr:uid="{00000000-0005-0000-0000-0000FD2E0000}"/>
    <cellStyle name="Total 2 3 6 2 5" xfId="14091" xr:uid="{00000000-0005-0000-0000-0000FE2E0000}"/>
    <cellStyle name="Total 2 3 6 3" xfId="12088" xr:uid="{00000000-0005-0000-0000-0000FF2E0000}"/>
    <cellStyle name="Total 2 3 6 3 2" xfId="15168" xr:uid="{00000000-0005-0000-0000-0000002F0000}"/>
    <cellStyle name="Total 2 3 6 4" xfId="11109" xr:uid="{00000000-0005-0000-0000-0000012F0000}"/>
    <cellStyle name="Total 2 3 6 4 2" xfId="14948" xr:uid="{00000000-0005-0000-0000-0000022F0000}"/>
    <cellStyle name="Total 2 3 6 5" xfId="14771" xr:uid="{00000000-0005-0000-0000-0000032F0000}"/>
    <cellStyle name="Total 2 3 6 6" xfId="13808" xr:uid="{00000000-0005-0000-0000-0000042F0000}"/>
    <cellStyle name="Total 2 3 7" xfId="7129" xr:uid="{00000000-0005-0000-0000-0000052F0000}"/>
    <cellStyle name="Total 2 3 7 2" xfId="8936" xr:uid="{00000000-0005-0000-0000-0000062F0000}"/>
    <cellStyle name="Total 2 3 7 2 2" xfId="12794" xr:uid="{00000000-0005-0000-0000-0000072F0000}"/>
    <cellStyle name="Total 2 3 7 2 2 2" xfId="15643" xr:uid="{00000000-0005-0000-0000-0000082F0000}"/>
    <cellStyle name="Total 2 3 7 2 3" xfId="11656" xr:uid="{00000000-0005-0000-0000-0000092F0000}"/>
    <cellStyle name="Total 2 3 7 2 3 2" xfId="15063" xr:uid="{00000000-0005-0000-0000-00000A2F0000}"/>
    <cellStyle name="Total 2 3 7 2 4" xfId="14635" xr:uid="{00000000-0005-0000-0000-00000B2F0000}"/>
    <cellStyle name="Total 2 3 7 2 5" xfId="14272" xr:uid="{00000000-0005-0000-0000-00000C2F0000}"/>
    <cellStyle name="Total 2 3 7 3" xfId="12280" xr:uid="{00000000-0005-0000-0000-00000D2F0000}"/>
    <cellStyle name="Total 2 3 7 3 2" xfId="15353" xr:uid="{00000000-0005-0000-0000-00000E2F0000}"/>
    <cellStyle name="Total 2 3 7 4" xfId="11260" xr:uid="{00000000-0005-0000-0000-00000F2F0000}"/>
    <cellStyle name="Total 2 3 7 4 2" xfId="14970" xr:uid="{00000000-0005-0000-0000-0000102F0000}"/>
    <cellStyle name="Total 2 3 7 5" xfId="14441" xr:uid="{00000000-0005-0000-0000-0000112F0000}"/>
    <cellStyle name="Total 2 3 7 6" xfId="14009" xr:uid="{00000000-0005-0000-0000-0000122F0000}"/>
    <cellStyle name="Total 2 3 8" xfId="7151" xr:uid="{00000000-0005-0000-0000-0000132F0000}"/>
    <cellStyle name="Total 2 3 8 2" xfId="8958" xr:uid="{00000000-0005-0000-0000-0000142F0000}"/>
    <cellStyle name="Total 2 3 8 2 2" xfId="12814" xr:uid="{00000000-0005-0000-0000-0000152F0000}"/>
    <cellStyle name="Total 2 3 8 2 2 2" xfId="15662" xr:uid="{00000000-0005-0000-0000-0000162F0000}"/>
    <cellStyle name="Total 2 3 8 2 3" xfId="11770" xr:uid="{00000000-0005-0000-0000-0000172F0000}"/>
    <cellStyle name="Total 2 3 8 2 3 2" xfId="15078" xr:uid="{00000000-0005-0000-0000-0000182F0000}"/>
    <cellStyle name="Total 2 3 8 2 4" xfId="14839" xr:uid="{00000000-0005-0000-0000-0000192F0000}"/>
    <cellStyle name="Total 2 3 8 2 5" xfId="14294" xr:uid="{00000000-0005-0000-0000-00001A2F0000}"/>
    <cellStyle name="Total 2 3 8 3" xfId="12300" xr:uid="{00000000-0005-0000-0000-00001B2F0000}"/>
    <cellStyle name="Total 2 3 8 3 2" xfId="15372" xr:uid="{00000000-0005-0000-0000-00001C2F0000}"/>
    <cellStyle name="Total 2 3 8 4" xfId="12346" xr:uid="{00000000-0005-0000-0000-00001D2F0000}"/>
    <cellStyle name="Total 2 3 8 4 2" xfId="15386" xr:uid="{00000000-0005-0000-0000-00001E2F0000}"/>
    <cellStyle name="Total 2 3 8 5" xfId="14721" xr:uid="{00000000-0005-0000-0000-00001F2F0000}"/>
    <cellStyle name="Total 2 3 8 6" xfId="14031" xr:uid="{00000000-0005-0000-0000-0000202F0000}"/>
    <cellStyle name="Total 2 3 9" xfId="6968" xr:uid="{00000000-0005-0000-0000-0000212F0000}"/>
    <cellStyle name="Total 2 3 9 2" xfId="12131" xr:uid="{00000000-0005-0000-0000-0000222F0000}"/>
    <cellStyle name="Total 2 3 9 2 2" xfId="15210" xr:uid="{00000000-0005-0000-0000-0000232F0000}"/>
    <cellStyle name="Total 2 3 9 3" xfId="13083" xr:uid="{00000000-0005-0000-0000-0000242F0000}"/>
    <cellStyle name="Total 2 3 9 3 2" xfId="15747" xr:uid="{00000000-0005-0000-0000-0000252F0000}"/>
    <cellStyle name="Total 2 3 9 4" xfId="14371" xr:uid="{00000000-0005-0000-0000-0000262F0000}"/>
    <cellStyle name="Total 2 3 9 5" xfId="13850" xr:uid="{00000000-0005-0000-0000-0000272F0000}"/>
    <cellStyle name="Total 2 4" xfId="6901" xr:uid="{00000000-0005-0000-0000-0000282F0000}"/>
    <cellStyle name="Total 2 4 2" xfId="8738" xr:uid="{00000000-0005-0000-0000-0000292F0000}"/>
    <cellStyle name="Total 2 4 2 2" xfId="12610" xr:uid="{00000000-0005-0000-0000-00002A2F0000}"/>
    <cellStyle name="Total 2 4 2 2 2" xfId="15467" xr:uid="{00000000-0005-0000-0000-00002B2F0000}"/>
    <cellStyle name="Total 2 4 2 3" xfId="12506" xr:uid="{00000000-0005-0000-0000-00002C2F0000}"/>
    <cellStyle name="Total 2 4 2 3 2" xfId="15414" xr:uid="{00000000-0005-0000-0000-00002D2F0000}"/>
    <cellStyle name="Total 2 4 2 4" xfId="14799" xr:uid="{00000000-0005-0000-0000-00002E2F0000}"/>
    <cellStyle name="Total 2 4 2 5" xfId="14074" xr:uid="{00000000-0005-0000-0000-00002F2F0000}"/>
    <cellStyle name="Total 2 4 3" xfId="12068" xr:uid="{00000000-0005-0000-0000-0000302F0000}"/>
    <cellStyle name="Total 2 4 3 2" xfId="13265" xr:uid="{00000000-0005-0000-0000-0000312F0000}"/>
    <cellStyle name="Total 2 4 3 2 2" xfId="15797" xr:uid="{00000000-0005-0000-0000-0000322F0000}"/>
    <cellStyle name="Total 2 4 3 3" xfId="15148" xr:uid="{00000000-0005-0000-0000-0000332F0000}"/>
    <cellStyle name="Total 2 4 4" xfId="11877" xr:uid="{00000000-0005-0000-0000-0000342F0000}"/>
    <cellStyle name="Total 2 4 4 2" xfId="15107" xr:uid="{00000000-0005-0000-0000-0000352F0000}"/>
    <cellStyle name="Total 2 4 5" xfId="14410" xr:uid="{00000000-0005-0000-0000-0000362F0000}"/>
    <cellStyle name="Total 2 4 6" xfId="13787" xr:uid="{00000000-0005-0000-0000-0000372F0000}"/>
    <cellStyle name="Total 2 5" xfId="6963" xr:uid="{00000000-0005-0000-0000-0000382F0000}"/>
    <cellStyle name="Total 2 5 2" xfId="8790" xr:uid="{00000000-0005-0000-0000-0000392F0000}"/>
    <cellStyle name="Total 2 5 2 2" xfId="12659" xr:uid="{00000000-0005-0000-0000-00003A2F0000}"/>
    <cellStyle name="Total 2 5 2 2 2" xfId="15515" xr:uid="{00000000-0005-0000-0000-00003B2F0000}"/>
    <cellStyle name="Total 2 5 2 3" xfId="11661" xr:uid="{00000000-0005-0000-0000-00003C2F0000}"/>
    <cellStyle name="Total 2 5 2 3 2" xfId="15064" xr:uid="{00000000-0005-0000-0000-00003D2F0000}"/>
    <cellStyle name="Total 2 5 2 4" xfId="14674" xr:uid="{00000000-0005-0000-0000-00003E2F0000}"/>
    <cellStyle name="Total 2 5 2 5" xfId="14126" xr:uid="{00000000-0005-0000-0000-00003F2F0000}"/>
    <cellStyle name="Total 2 5 3" xfId="12126" xr:uid="{00000000-0005-0000-0000-0000402F0000}"/>
    <cellStyle name="Total 2 5 3 2" xfId="15206" xr:uid="{00000000-0005-0000-0000-0000412F0000}"/>
    <cellStyle name="Total 2 5 4" xfId="11746" xr:uid="{00000000-0005-0000-0000-0000422F0000}"/>
    <cellStyle name="Total 2 5 4 2" xfId="15075" xr:uid="{00000000-0005-0000-0000-0000432F0000}"/>
    <cellStyle name="Total 2 5 5" xfId="14761" xr:uid="{00000000-0005-0000-0000-0000442F0000}"/>
    <cellStyle name="Total 2 5 6" xfId="13845" xr:uid="{00000000-0005-0000-0000-0000452F0000}"/>
    <cellStyle name="Total 2 6" xfId="6926" xr:uid="{00000000-0005-0000-0000-0000462F0000}"/>
    <cellStyle name="Total 2 6 2" xfId="8758" xr:uid="{00000000-0005-0000-0000-0000472F0000}"/>
    <cellStyle name="Total 2 6 2 2" xfId="12628" xr:uid="{00000000-0005-0000-0000-0000482F0000}"/>
    <cellStyle name="Total 2 6 2 2 2" xfId="15484" xr:uid="{00000000-0005-0000-0000-0000492F0000}"/>
    <cellStyle name="Total 2 6 2 3" xfId="13091" xr:uid="{00000000-0005-0000-0000-00004A2F0000}"/>
    <cellStyle name="Total 2 6 2 3 2" xfId="15748" xr:uid="{00000000-0005-0000-0000-00004B2F0000}"/>
    <cellStyle name="Total 2 6 2 4" xfId="14689" xr:uid="{00000000-0005-0000-0000-00004C2F0000}"/>
    <cellStyle name="Total 2 6 2 5" xfId="14094" xr:uid="{00000000-0005-0000-0000-00004D2F0000}"/>
    <cellStyle name="Total 2 6 3" xfId="12090" xr:uid="{00000000-0005-0000-0000-00004E2F0000}"/>
    <cellStyle name="Total 2 6 3 2" xfId="15170" xr:uid="{00000000-0005-0000-0000-00004F2F0000}"/>
    <cellStyle name="Total 2 6 4" xfId="12839" xr:uid="{00000000-0005-0000-0000-0000502F0000}"/>
    <cellStyle name="Total 2 6 4 2" xfId="15677" xr:uid="{00000000-0005-0000-0000-0000512F0000}"/>
    <cellStyle name="Total 2 6 5" xfId="14393" xr:uid="{00000000-0005-0000-0000-0000522F0000}"/>
    <cellStyle name="Total 2 6 6" xfId="13811" xr:uid="{00000000-0005-0000-0000-0000532F0000}"/>
    <cellStyle name="Total 2 7" xfId="7019" xr:uid="{00000000-0005-0000-0000-0000542F0000}"/>
    <cellStyle name="Total 2 7 2" xfId="8834" xr:uid="{00000000-0005-0000-0000-0000552F0000}"/>
    <cellStyle name="Total 2 7 2 2" xfId="12700" xr:uid="{00000000-0005-0000-0000-0000562F0000}"/>
    <cellStyle name="Total 2 7 2 2 2" xfId="15553" xr:uid="{00000000-0005-0000-0000-0000572F0000}"/>
    <cellStyle name="Total 2 7 2 3" xfId="12518" xr:uid="{00000000-0005-0000-0000-0000582F0000}"/>
    <cellStyle name="Total 2 7 2 3 2" xfId="15418" xr:uid="{00000000-0005-0000-0000-0000592F0000}"/>
    <cellStyle name="Total 2 7 2 4" xfId="14563" xr:uid="{00000000-0005-0000-0000-00005A2F0000}"/>
    <cellStyle name="Total 2 7 2 5" xfId="14170" xr:uid="{00000000-0005-0000-0000-00005B2F0000}"/>
    <cellStyle name="Total 2 7 3" xfId="12179" xr:uid="{00000000-0005-0000-0000-00005C2F0000}"/>
    <cellStyle name="Total 2 7 3 2" xfId="15256" xr:uid="{00000000-0005-0000-0000-00005D2F0000}"/>
    <cellStyle name="Total 2 7 4" xfId="11160" xr:uid="{00000000-0005-0000-0000-00005E2F0000}"/>
    <cellStyle name="Total 2 7 4 2" xfId="14954" xr:uid="{00000000-0005-0000-0000-00005F2F0000}"/>
    <cellStyle name="Total 2 7 5" xfId="14752" xr:uid="{00000000-0005-0000-0000-0000602F0000}"/>
    <cellStyle name="Total 2 7 6" xfId="13901" xr:uid="{00000000-0005-0000-0000-0000612F0000}"/>
    <cellStyle name="Total 2 8" xfId="6985" xr:uid="{00000000-0005-0000-0000-0000622F0000}"/>
    <cellStyle name="Total 2 8 2" xfId="8807" xr:uid="{00000000-0005-0000-0000-0000632F0000}"/>
    <cellStyle name="Total 2 8 2 2" xfId="12675" xr:uid="{00000000-0005-0000-0000-0000642F0000}"/>
    <cellStyle name="Total 2 8 2 2 2" xfId="15529" xr:uid="{00000000-0005-0000-0000-0000652F0000}"/>
    <cellStyle name="Total 2 8 2 3" xfId="11597" xr:uid="{00000000-0005-0000-0000-0000662F0000}"/>
    <cellStyle name="Total 2 8 2 3 2" xfId="15046" xr:uid="{00000000-0005-0000-0000-0000672F0000}"/>
    <cellStyle name="Total 2 8 2 4" xfId="14301" xr:uid="{00000000-0005-0000-0000-0000682F0000}"/>
    <cellStyle name="Total 2 8 2 5" xfId="14143" xr:uid="{00000000-0005-0000-0000-0000692F0000}"/>
    <cellStyle name="Total 2 8 3" xfId="12147" xr:uid="{00000000-0005-0000-0000-00006A2F0000}"/>
    <cellStyle name="Total 2 8 3 2" xfId="15225" xr:uid="{00000000-0005-0000-0000-00006B2F0000}"/>
    <cellStyle name="Total 2 8 4" xfId="11784" xr:uid="{00000000-0005-0000-0000-00006C2F0000}"/>
    <cellStyle name="Total 2 8 4 2" xfId="15081" xr:uid="{00000000-0005-0000-0000-00006D2F0000}"/>
    <cellStyle name="Total 2 8 5" xfId="14381" xr:uid="{00000000-0005-0000-0000-00006E2F0000}"/>
    <cellStyle name="Total 2 8 6" xfId="13867" xr:uid="{00000000-0005-0000-0000-00006F2F0000}"/>
    <cellStyle name="Total 2 9" xfId="6954" xr:uid="{00000000-0005-0000-0000-0000702F0000}"/>
    <cellStyle name="Total 2 9 2" xfId="8783" xr:uid="{00000000-0005-0000-0000-0000712F0000}"/>
    <cellStyle name="Total 2 9 2 2" xfId="12652" xr:uid="{00000000-0005-0000-0000-0000722F0000}"/>
    <cellStyle name="Total 2 9 2 2 2" xfId="15508" xr:uid="{00000000-0005-0000-0000-0000732F0000}"/>
    <cellStyle name="Total 2 9 2 3" xfId="12861" xr:uid="{00000000-0005-0000-0000-0000742F0000}"/>
    <cellStyle name="Total 2 9 2 3 2" xfId="15684" xr:uid="{00000000-0005-0000-0000-0000752F0000}"/>
    <cellStyle name="Total 2 9 2 4" xfId="14659" xr:uid="{00000000-0005-0000-0000-0000762F0000}"/>
    <cellStyle name="Total 2 9 2 5" xfId="14119" xr:uid="{00000000-0005-0000-0000-0000772F0000}"/>
    <cellStyle name="Total 2 9 3" xfId="12117" xr:uid="{00000000-0005-0000-0000-0000782F0000}"/>
    <cellStyle name="Total 2 9 3 2" xfId="15197" xr:uid="{00000000-0005-0000-0000-0000792F0000}"/>
    <cellStyle name="Total 2 9 4" xfId="11907" xr:uid="{00000000-0005-0000-0000-00007A2F0000}"/>
    <cellStyle name="Total 2 9 4 2" xfId="15111" xr:uid="{00000000-0005-0000-0000-00007B2F0000}"/>
    <cellStyle name="Total 2 9 5" xfId="14769" xr:uid="{00000000-0005-0000-0000-00007C2F0000}"/>
    <cellStyle name="Total 2 9 6" xfId="13836" xr:uid="{00000000-0005-0000-0000-00007D2F0000}"/>
    <cellStyle name="Vírgula" xfId="634" builtinId="3"/>
    <cellStyle name="Vírgula 10" xfId="334" xr:uid="{00000000-0005-0000-0000-00007F2F0000}"/>
    <cellStyle name="Vírgula 10 10" xfId="3750" xr:uid="{00000000-0005-0000-0000-0000802F0000}"/>
    <cellStyle name="Vírgula 10 10 2" xfId="6492" xr:uid="{00000000-0005-0000-0000-0000812F0000}"/>
    <cellStyle name="Vírgula 10 10 2 2" xfId="8451" xr:uid="{00000000-0005-0000-0000-0000822F0000}"/>
    <cellStyle name="Vírgula 10 10 2 2 2" xfId="23474" xr:uid="{00000000-0005-0000-0000-0000832F0000}"/>
    <cellStyle name="Vírgula 10 10 2 3" xfId="13328" xr:uid="{00000000-0005-0000-0000-0000842F0000}"/>
    <cellStyle name="Vírgula 10 10 2 4" xfId="19527" xr:uid="{00000000-0005-0000-0000-0000852F0000}"/>
    <cellStyle name="Vírgula 10 10 3" xfId="8452" xr:uid="{00000000-0005-0000-0000-0000862F0000}"/>
    <cellStyle name="Vírgula 10 10 3 2" xfId="20814" xr:uid="{00000000-0005-0000-0000-0000872F0000}"/>
    <cellStyle name="Vírgula 10 10 4" xfId="13645" xr:uid="{00000000-0005-0000-0000-0000882F0000}"/>
    <cellStyle name="Vírgula 10 10 5" xfId="16793" xr:uid="{00000000-0005-0000-0000-0000892F0000}"/>
    <cellStyle name="Vírgula 10 11" xfId="4071" xr:uid="{00000000-0005-0000-0000-00008A2F0000}"/>
    <cellStyle name="Vírgula 10 11 2" xfId="6500" xr:uid="{00000000-0005-0000-0000-00008B2F0000}"/>
    <cellStyle name="Vírgula 10 11 2 2" xfId="10969" xr:uid="{00000000-0005-0000-0000-00008C2F0000}"/>
    <cellStyle name="Vírgula 10 11 2 2 2" xfId="23482" xr:uid="{00000000-0005-0000-0000-00008D2F0000}"/>
    <cellStyle name="Vírgula 10 11 2 3" xfId="13022" xr:uid="{00000000-0005-0000-0000-00008E2F0000}"/>
    <cellStyle name="Vírgula 10 11 2 4" xfId="19535" xr:uid="{00000000-0005-0000-0000-00008F2F0000}"/>
    <cellStyle name="Vírgula 10 11 3" xfId="12383" xr:uid="{00000000-0005-0000-0000-0000902F0000}"/>
    <cellStyle name="Vírgula 10 11 3 2" xfId="15391" xr:uid="{00000000-0005-0000-0000-0000912F0000}"/>
    <cellStyle name="Vírgula 10 11 3 3" xfId="13707" xr:uid="{00000000-0005-0000-0000-0000922F0000}"/>
    <cellStyle name="Vírgula 10 11 3 4" xfId="21119" xr:uid="{00000000-0005-0000-0000-0000932F0000}"/>
    <cellStyle name="Vírgula 10 11 4" xfId="17111" xr:uid="{00000000-0005-0000-0000-0000942F0000}"/>
    <cellStyle name="Vírgula 10 12" xfId="5862" xr:uid="{00000000-0005-0000-0000-0000952F0000}"/>
    <cellStyle name="Vírgula 10 12 2" xfId="11900" xr:uid="{00000000-0005-0000-0000-0000962F0000}"/>
    <cellStyle name="Vírgula 10 12 2 2" xfId="15110" xr:uid="{00000000-0005-0000-0000-0000972F0000}"/>
    <cellStyle name="Vírgula 10 12 2 3" xfId="13749" xr:uid="{00000000-0005-0000-0000-0000982F0000}"/>
    <cellStyle name="Vírgula 10 12 2 4" xfId="22858" xr:uid="{00000000-0005-0000-0000-0000992F0000}"/>
    <cellStyle name="Vírgula 10 12 3" xfId="11085" xr:uid="{00000000-0005-0000-0000-00009A2F0000}"/>
    <cellStyle name="Vírgula 10 12 4" xfId="11487" xr:uid="{00000000-0005-0000-0000-00009B2F0000}"/>
    <cellStyle name="Vírgula 10 12 5" xfId="18897" xr:uid="{00000000-0005-0000-0000-00009C2F0000}"/>
    <cellStyle name="Vírgula 10 13" xfId="6678" xr:uid="{00000000-0005-0000-0000-00009D2F0000}"/>
    <cellStyle name="Vírgula 10 13 2" xfId="8453" xr:uid="{00000000-0005-0000-0000-00009E2F0000}"/>
    <cellStyle name="Vírgula 10 13 2 2" xfId="8454" xr:uid="{00000000-0005-0000-0000-00009F2F0000}"/>
    <cellStyle name="Vírgula 10 13 2 3" xfId="23657" xr:uid="{00000000-0005-0000-0000-0000A02F0000}"/>
    <cellStyle name="Vírgula 10 13 3" xfId="8455" xr:uid="{00000000-0005-0000-0000-0000A12F0000}"/>
    <cellStyle name="Vírgula 10 13 4" xfId="11145" xr:uid="{00000000-0005-0000-0000-0000A22F0000}"/>
    <cellStyle name="Vírgula 10 13 5" xfId="19713" xr:uid="{00000000-0005-0000-0000-0000A32F0000}"/>
    <cellStyle name="Vírgula 10 14" xfId="4995" xr:uid="{00000000-0005-0000-0000-0000A42F0000}"/>
    <cellStyle name="Vírgula 10 14 2" xfId="8456" xr:uid="{00000000-0005-0000-0000-0000A52F0000}"/>
    <cellStyle name="Vírgula 10 14 2 2" xfId="8457" xr:uid="{00000000-0005-0000-0000-0000A62F0000}"/>
    <cellStyle name="Vírgula 10 14 2 3" xfId="22010" xr:uid="{00000000-0005-0000-0000-0000A72F0000}"/>
    <cellStyle name="Vírgula 10 14 3" xfId="8458" xr:uid="{00000000-0005-0000-0000-0000A82F0000}"/>
    <cellStyle name="Vírgula 10 14 4" xfId="18030" xr:uid="{00000000-0005-0000-0000-0000A92F0000}"/>
    <cellStyle name="Vírgula 10 15" xfId="8459" xr:uid="{00000000-0005-0000-0000-0000AA2F0000}"/>
    <cellStyle name="Vírgula 10 15 2" xfId="12421" xr:uid="{00000000-0005-0000-0000-0000AB2F0000}"/>
    <cellStyle name="Vírgula 10 15 3" xfId="12387" xr:uid="{00000000-0005-0000-0000-0000AC2F0000}"/>
    <cellStyle name="Vírgula 10 15 4" xfId="19910" xr:uid="{00000000-0005-0000-0000-0000AD2F0000}"/>
    <cellStyle name="Vírgula 10 16" xfId="8460" xr:uid="{00000000-0005-0000-0000-0000AE2F0000}"/>
    <cellStyle name="Vírgula 10 16 2" xfId="12318" xr:uid="{00000000-0005-0000-0000-0000AF2F0000}"/>
    <cellStyle name="Vírgula 10 16 3" xfId="11554" xr:uid="{00000000-0005-0000-0000-0000B02F0000}"/>
    <cellStyle name="Vírgula 10 17" xfId="8461" xr:uid="{00000000-0005-0000-0000-0000B12F0000}"/>
    <cellStyle name="Vírgula 10 18" xfId="8462" xr:uid="{00000000-0005-0000-0000-0000B22F0000}"/>
    <cellStyle name="Vírgula 10 19" xfId="8463" xr:uid="{00000000-0005-0000-0000-0000B32F0000}"/>
    <cellStyle name="Vírgula 10 2" xfId="335" xr:uid="{00000000-0005-0000-0000-0000B42F0000}"/>
    <cellStyle name="Vírgula 10 2 10" xfId="4996" xr:uid="{00000000-0005-0000-0000-0000B52F0000}"/>
    <cellStyle name="Vírgula 10 2 10 2" xfId="22011" xr:uid="{00000000-0005-0000-0000-0000B62F0000}"/>
    <cellStyle name="Vírgula 10 2 10 3" xfId="18031" xr:uid="{00000000-0005-0000-0000-0000B72F0000}"/>
    <cellStyle name="Vírgula 10 2 11" xfId="10813" xr:uid="{00000000-0005-0000-0000-0000B82F0000}"/>
    <cellStyle name="Vírgula 10 2 11 2" xfId="19911" xr:uid="{00000000-0005-0000-0000-0000B92F0000}"/>
    <cellStyle name="Vírgula 10 2 12" xfId="15857" xr:uid="{00000000-0005-0000-0000-0000BA2F0000}"/>
    <cellStyle name="Vírgula 10 2 2" xfId="589" xr:uid="{00000000-0005-0000-0000-0000BB2F0000}"/>
    <cellStyle name="Vírgula 10 2 2 2" xfId="865" xr:uid="{00000000-0005-0000-0000-0000BC2F0000}"/>
    <cellStyle name="Vírgula 10 2 2 2 2" xfId="3150" xr:uid="{00000000-0005-0000-0000-0000BD2F0000}"/>
    <cellStyle name="Vírgula 10 2 2 2 2 2" xfId="4466" xr:uid="{00000000-0005-0000-0000-0000BE2F0000}"/>
    <cellStyle name="Vírgula 10 2 2 2 2 2 2" xfId="6550" xr:uid="{00000000-0005-0000-0000-0000BF2F0000}"/>
    <cellStyle name="Vírgula 10 2 2 2 2 2 2 2" xfId="23532" xr:uid="{00000000-0005-0000-0000-0000C02F0000}"/>
    <cellStyle name="Vírgula 10 2 2 2 2 2 2 3" xfId="19585" xr:uid="{00000000-0005-0000-0000-0000C12F0000}"/>
    <cellStyle name="Vírgula 10 2 2 2 2 2 3" xfId="10427" xr:uid="{00000000-0005-0000-0000-0000C22F0000}"/>
    <cellStyle name="Vírgula 10 2 2 2 2 2 3 2" xfId="21506" xr:uid="{00000000-0005-0000-0000-0000C32F0000}"/>
    <cellStyle name="Vírgula 10 2 2 2 2 2 4" xfId="17501" xr:uid="{00000000-0005-0000-0000-0000C42F0000}"/>
    <cellStyle name="Vírgula 10 2 2 2 2 3" xfId="5319" xr:uid="{00000000-0005-0000-0000-0000C52F0000}"/>
    <cellStyle name="Vírgula 10 2 2 2 2 3 2" xfId="22318" xr:uid="{00000000-0005-0000-0000-0000C62F0000}"/>
    <cellStyle name="Vírgula 10 2 2 2 2 3 3" xfId="18354" xr:uid="{00000000-0005-0000-0000-0000C72F0000}"/>
    <cellStyle name="Vírgula 10 2 2 2 2 4" xfId="9794" xr:uid="{00000000-0005-0000-0000-0000C82F0000}"/>
    <cellStyle name="Vírgula 10 2 2 2 2 4 2" xfId="20218" xr:uid="{00000000-0005-0000-0000-0000C92F0000}"/>
    <cellStyle name="Vírgula 10 2 2 2 2 5" xfId="16194" xr:uid="{00000000-0005-0000-0000-0000CA2F0000}"/>
    <cellStyle name="Vírgula 10 2 2 2 3" xfId="3899" xr:uid="{00000000-0005-0000-0000-0000CB2F0000}"/>
    <cellStyle name="Vírgula 10 2 2 2 3 2" xfId="6040" xr:uid="{00000000-0005-0000-0000-0000CC2F0000}"/>
    <cellStyle name="Vírgula 10 2 2 2 3 2 2" xfId="23029" xr:uid="{00000000-0005-0000-0000-0000CD2F0000}"/>
    <cellStyle name="Vírgula 10 2 2 2 3 2 3" xfId="19075" xr:uid="{00000000-0005-0000-0000-0000CE2F0000}"/>
    <cellStyle name="Vírgula 10 2 2 2 3 3" xfId="10426" xr:uid="{00000000-0005-0000-0000-0000CF2F0000}"/>
    <cellStyle name="Vírgula 10 2 2 2 3 3 2" xfId="20956" xr:uid="{00000000-0005-0000-0000-0000D02F0000}"/>
    <cellStyle name="Vírgula 10 2 2 2 3 4" xfId="16941" xr:uid="{00000000-0005-0000-0000-0000D12F0000}"/>
    <cellStyle name="Vírgula 10 2 2 2 4" xfId="6735" xr:uid="{00000000-0005-0000-0000-0000D22F0000}"/>
    <cellStyle name="Vírgula 10 2 2 2 4 2" xfId="23708" xr:uid="{00000000-0005-0000-0000-0000D32F0000}"/>
    <cellStyle name="Vírgula 10 2 2 2 4 3" xfId="19770" xr:uid="{00000000-0005-0000-0000-0000D42F0000}"/>
    <cellStyle name="Vírgula 10 2 2 2 5" xfId="5053" xr:uid="{00000000-0005-0000-0000-0000D52F0000}"/>
    <cellStyle name="Vírgula 10 2 2 2 5 2" xfId="22061" xr:uid="{00000000-0005-0000-0000-0000D62F0000}"/>
    <cellStyle name="Vírgula 10 2 2 2 5 3" xfId="18088" xr:uid="{00000000-0005-0000-0000-0000D72F0000}"/>
    <cellStyle name="Vírgula 10 2 2 2 6" xfId="9376" xr:uid="{00000000-0005-0000-0000-0000D82F0000}"/>
    <cellStyle name="Vírgula 10 2 2 2 6 2" xfId="19961" xr:uid="{00000000-0005-0000-0000-0000D92F0000}"/>
    <cellStyle name="Vírgula 10 2 2 2 7" xfId="15921" xr:uid="{00000000-0005-0000-0000-0000DA2F0000}"/>
    <cellStyle name="Vírgula 10 2 2 3" xfId="3060" xr:uid="{00000000-0005-0000-0000-0000DB2F0000}"/>
    <cellStyle name="Vírgula 10 2 2 3 2" xfId="3757" xr:uid="{00000000-0005-0000-0000-0000DC2F0000}"/>
    <cellStyle name="Vírgula 10 2 2 3 2 2" xfId="6510" xr:uid="{00000000-0005-0000-0000-0000DD2F0000}"/>
    <cellStyle name="Vírgula 10 2 2 3 2 2 2" xfId="23492" xr:uid="{00000000-0005-0000-0000-0000DE2F0000}"/>
    <cellStyle name="Vírgula 10 2 2 3 2 2 3" xfId="19545" xr:uid="{00000000-0005-0000-0000-0000DF2F0000}"/>
    <cellStyle name="Vírgula 10 2 2 3 2 3" xfId="10428" xr:uid="{00000000-0005-0000-0000-0000E02F0000}"/>
    <cellStyle name="Vírgula 10 2 2 3 2 3 2" xfId="20821" xr:uid="{00000000-0005-0000-0000-0000E12F0000}"/>
    <cellStyle name="Vírgula 10 2 2 3 2 4" xfId="16800" xr:uid="{00000000-0005-0000-0000-0000E22F0000}"/>
    <cellStyle name="Vírgula 10 2 2 3 3" xfId="5229" xr:uid="{00000000-0005-0000-0000-0000E32F0000}"/>
    <cellStyle name="Vírgula 10 2 2 3 3 2" xfId="22228" xr:uid="{00000000-0005-0000-0000-0000E42F0000}"/>
    <cellStyle name="Vírgula 10 2 2 3 3 3" xfId="18264" xr:uid="{00000000-0005-0000-0000-0000E52F0000}"/>
    <cellStyle name="Vírgula 10 2 2 3 4" xfId="9513" xr:uid="{00000000-0005-0000-0000-0000E62F0000}"/>
    <cellStyle name="Vírgula 10 2 2 3 4 2" xfId="20128" xr:uid="{00000000-0005-0000-0000-0000E72F0000}"/>
    <cellStyle name="Vírgula 10 2 2 3 5" xfId="16104" xr:uid="{00000000-0005-0000-0000-0000E82F0000}"/>
    <cellStyle name="Vírgula 10 2 2 4" xfId="3808" xr:uid="{00000000-0005-0000-0000-0000E92F0000}"/>
    <cellStyle name="Vírgula 10 2 2 4 2" xfId="5935" xr:uid="{00000000-0005-0000-0000-0000EA2F0000}"/>
    <cellStyle name="Vírgula 10 2 2 4 2 2" xfId="22929" xr:uid="{00000000-0005-0000-0000-0000EB2F0000}"/>
    <cellStyle name="Vírgula 10 2 2 4 2 3" xfId="18970" xr:uid="{00000000-0005-0000-0000-0000EC2F0000}"/>
    <cellStyle name="Vírgula 10 2 2 4 3" xfId="10425" xr:uid="{00000000-0005-0000-0000-0000ED2F0000}"/>
    <cellStyle name="Vírgula 10 2 2 4 3 2" xfId="20870" xr:uid="{00000000-0005-0000-0000-0000EE2F0000}"/>
    <cellStyle name="Vírgula 10 2 2 4 4" xfId="16850" xr:uid="{00000000-0005-0000-0000-0000EF2F0000}"/>
    <cellStyle name="Vírgula 10 2 2 5" xfId="6689" xr:uid="{00000000-0005-0000-0000-0000F02F0000}"/>
    <cellStyle name="Vírgula 10 2 2 5 2" xfId="10726" xr:uid="{00000000-0005-0000-0000-0000F12F0000}"/>
    <cellStyle name="Vírgula 10 2 2 5 2 2" xfId="23667" xr:uid="{00000000-0005-0000-0000-0000F22F0000}"/>
    <cellStyle name="Vírgula 10 2 2 5 3" xfId="19724" xr:uid="{00000000-0005-0000-0000-0000F32F0000}"/>
    <cellStyle name="Vírgula 10 2 2 6" xfId="5007" xr:uid="{00000000-0005-0000-0000-0000F42F0000}"/>
    <cellStyle name="Vírgula 10 2 2 6 2" xfId="10857" xr:uid="{00000000-0005-0000-0000-0000F52F0000}"/>
    <cellStyle name="Vírgula 10 2 2 6 2 2" xfId="22020" xr:uid="{00000000-0005-0000-0000-0000F62F0000}"/>
    <cellStyle name="Vírgula 10 2 2 6 3" xfId="18042" xr:uid="{00000000-0005-0000-0000-0000F72F0000}"/>
    <cellStyle name="Vírgula 10 2 2 7" xfId="9258" xr:uid="{00000000-0005-0000-0000-0000F82F0000}"/>
    <cellStyle name="Vírgula 10 2 2 7 2" xfId="19921" xr:uid="{00000000-0005-0000-0000-0000F92F0000}"/>
    <cellStyle name="Vírgula 10 2 2 8" xfId="15876" xr:uid="{00000000-0005-0000-0000-0000FA2F0000}"/>
    <cellStyle name="Vírgula 10 2 3" xfId="866" xr:uid="{00000000-0005-0000-0000-0000FB2F0000}"/>
    <cellStyle name="Vírgula 10 2 3 2" xfId="2165" xr:uid="{00000000-0005-0000-0000-0000FC2F0000}"/>
    <cellStyle name="Vírgula 10 2 3 2 2" xfId="3294" xr:uid="{00000000-0005-0000-0000-0000FD2F0000}"/>
    <cellStyle name="Vírgula 10 2 3 2 2 2" xfId="4401" xr:uid="{00000000-0005-0000-0000-0000FE2F0000}"/>
    <cellStyle name="Vírgula 10 2 3 2 2 2 2" xfId="6616" xr:uid="{00000000-0005-0000-0000-0000FF2F0000}"/>
    <cellStyle name="Vírgula 10 2 3 2 2 2 2 2" xfId="23598" xr:uid="{00000000-0005-0000-0000-000000300000}"/>
    <cellStyle name="Vírgula 10 2 3 2 2 2 2 3" xfId="19651" xr:uid="{00000000-0005-0000-0000-000001300000}"/>
    <cellStyle name="Vírgula 10 2 3 2 2 2 3" xfId="10430" xr:uid="{00000000-0005-0000-0000-000002300000}"/>
    <cellStyle name="Vírgula 10 2 3 2 2 2 3 2" xfId="21444" xr:uid="{00000000-0005-0000-0000-000003300000}"/>
    <cellStyle name="Vírgula 10 2 3 2 2 2 4" xfId="17438" xr:uid="{00000000-0005-0000-0000-000004300000}"/>
    <cellStyle name="Vírgula 10 2 3 2 2 3" xfId="5463" xr:uid="{00000000-0005-0000-0000-000005300000}"/>
    <cellStyle name="Vírgula 10 2 3 2 2 3 2" xfId="22462" xr:uid="{00000000-0005-0000-0000-000006300000}"/>
    <cellStyle name="Vírgula 10 2 3 2 2 3 3" xfId="18498" xr:uid="{00000000-0005-0000-0000-000007300000}"/>
    <cellStyle name="Vírgula 10 2 3 2 2 4" xfId="9836" xr:uid="{00000000-0005-0000-0000-000008300000}"/>
    <cellStyle name="Vírgula 10 2 3 2 2 4 2" xfId="20362" xr:uid="{00000000-0005-0000-0000-000009300000}"/>
    <cellStyle name="Vírgula 10 2 3 2 2 5" xfId="16338" xr:uid="{00000000-0005-0000-0000-00000A300000}"/>
    <cellStyle name="Vírgula 10 2 3 2 3" xfId="4200" xr:uid="{00000000-0005-0000-0000-00000B300000}"/>
    <cellStyle name="Vírgula 10 2 3 2 3 2" xfId="6193" xr:uid="{00000000-0005-0000-0000-00000C300000}"/>
    <cellStyle name="Vírgula 10 2 3 2 3 2 2" xfId="23175" xr:uid="{00000000-0005-0000-0000-00000D300000}"/>
    <cellStyle name="Vírgula 10 2 3 2 3 2 3" xfId="19228" xr:uid="{00000000-0005-0000-0000-00000E300000}"/>
    <cellStyle name="Vírgula 10 2 3 2 3 3" xfId="10429" xr:uid="{00000000-0005-0000-0000-00000F300000}"/>
    <cellStyle name="Vírgula 10 2 3 2 3 3 2" xfId="21246" xr:uid="{00000000-0005-0000-0000-000010300000}"/>
    <cellStyle name="Vírgula 10 2 3 2 3 4" xfId="17239" xr:uid="{00000000-0005-0000-0000-000011300000}"/>
    <cellStyle name="Vírgula 10 2 3 2 4" xfId="6808" xr:uid="{00000000-0005-0000-0000-000012300000}"/>
    <cellStyle name="Vírgula 10 2 3 2 4 2" xfId="23774" xr:uid="{00000000-0005-0000-0000-000013300000}"/>
    <cellStyle name="Vírgula 10 2 3 2 4 3" xfId="19843" xr:uid="{00000000-0005-0000-0000-000014300000}"/>
    <cellStyle name="Vírgula 10 2 3 2 5" xfId="5126" xr:uid="{00000000-0005-0000-0000-000015300000}"/>
    <cellStyle name="Vírgula 10 2 3 2 5 2" xfId="22127" xr:uid="{00000000-0005-0000-0000-000016300000}"/>
    <cellStyle name="Vírgula 10 2 3 2 5 3" xfId="18161" xr:uid="{00000000-0005-0000-0000-000017300000}"/>
    <cellStyle name="Vírgula 10 2 3 2 6" xfId="9415" xr:uid="{00000000-0005-0000-0000-000018300000}"/>
    <cellStyle name="Vírgula 10 2 3 2 6 2" xfId="20027" xr:uid="{00000000-0005-0000-0000-000019300000}"/>
    <cellStyle name="Vírgula 10 2 3 2 7" xfId="15996" xr:uid="{00000000-0005-0000-0000-00001A300000}"/>
    <cellStyle name="Vírgula 10 2 3 3" xfId="2164" xr:uid="{00000000-0005-0000-0000-00001B300000}"/>
    <cellStyle name="Vírgula 10 2 3 3 2" xfId="3293" xr:uid="{00000000-0005-0000-0000-00001C300000}"/>
    <cellStyle name="Vírgula 10 2 3 3 2 2" xfId="4406" xr:uid="{00000000-0005-0000-0000-00001D300000}"/>
    <cellStyle name="Vírgula 10 2 3 3 2 2 2" xfId="6615" xr:uid="{00000000-0005-0000-0000-00001E300000}"/>
    <cellStyle name="Vírgula 10 2 3 3 2 2 2 2" xfId="23597" xr:uid="{00000000-0005-0000-0000-00001F300000}"/>
    <cellStyle name="Vírgula 10 2 3 3 2 2 2 3" xfId="19650" xr:uid="{00000000-0005-0000-0000-000020300000}"/>
    <cellStyle name="Vírgula 10 2 3 3 2 2 3" xfId="21449" xr:uid="{00000000-0005-0000-0000-000021300000}"/>
    <cellStyle name="Vírgula 10 2 3 3 2 2 4" xfId="17443" xr:uid="{00000000-0005-0000-0000-000022300000}"/>
    <cellStyle name="Vírgula 10 2 3 3 2 3" xfId="5462" xr:uid="{00000000-0005-0000-0000-000023300000}"/>
    <cellStyle name="Vírgula 10 2 3 3 2 3 2" xfId="22461" xr:uid="{00000000-0005-0000-0000-000024300000}"/>
    <cellStyle name="Vírgula 10 2 3 3 2 3 3" xfId="18497" xr:uid="{00000000-0005-0000-0000-000025300000}"/>
    <cellStyle name="Vírgula 10 2 3 3 2 4" xfId="10431" xr:uid="{00000000-0005-0000-0000-000026300000}"/>
    <cellStyle name="Vírgula 10 2 3 3 2 4 2" xfId="20361" xr:uid="{00000000-0005-0000-0000-000027300000}"/>
    <cellStyle name="Vírgula 10 2 3 3 2 5" xfId="16337" xr:uid="{00000000-0005-0000-0000-000028300000}"/>
    <cellStyle name="Vírgula 10 2 3 3 3" xfId="4199" xr:uid="{00000000-0005-0000-0000-000029300000}"/>
    <cellStyle name="Vírgula 10 2 3 3 3 2" xfId="6192" xr:uid="{00000000-0005-0000-0000-00002A300000}"/>
    <cellStyle name="Vírgula 10 2 3 3 3 2 2" xfId="23174" xr:uid="{00000000-0005-0000-0000-00002B300000}"/>
    <cellStyle name="Vírgula 10 2 3 3 3 2 3" xfId="19227" xr:uid="{00000000-0005-0000-0000-00002C300000}"/>
    <cellStyle name="Vírgula 10 2 3 3 3 3" xfId="21245" xr:uid="{00000000-0005-0000-0000-00002D300000}"/>
    <cellStyle name="Vírgula 10 2 3 3 3 4" xfId="17238" xr:uid="{00000000-0005-0000-0000-00002E300000}"/>
    <cellStyle name="Vírgula 10 2 3 3 4" xfId="6807" xr:uid="{00000000-0005-0000-0000-00002F300000}"/>
    <cellStyle name="Vírgula 10 2 3 3 4 2" xfId="23773" xr:uid="{00000000-0005-0000-0000-000030300000}"/>
    <cellStyle name="Vírgula 10 2 3 3 4 3" xfId="19842" xr:uid="{00000000-0005-0000-0000-000031300000}"/>
    <cellStyle name="Vírgula 10 2 3 3 5" xfId="5125" xr:uid="{00000000-0005-0000-0000-000032300000}"/>
    <cellStyle name="Vírgula 10 2 3 3 5 2" xfId="22126" xr:uid="{00000000-0005-0000-0000-000033300000}"/>
    <cellStyle name="Vírgula 10 2 3 3 5 3" xfId="18160" xr:uid="{00000000-0005-0000-0000-000034300000}"/>
    <cellStyle name="Vírgula 10 2 3 3 6" xfId="9555" xr:uid="{00000000-0005-0000-0000-000035300000}"/>
    <cellStyle name="Vírgula 10 2 3 3 6 2" xfId="20026" xr:uid="{00000000-0005-0000-0000-000036300000}"/>
    <cellStyle name="Vírgula 10 2 3 3 7" xfId="15995" xr:uid="{00000000-0005-0000-0000-000037300000}"/>
    <cellStyle name="Vírgula 10 2 3 4" xfId="3151" xr:uid="{00000000-0005-0000-0000-000038300000}"/>
    <cellStyle name="Vírgula 10 2 3 4 2" xfId="4045" xr:uid="{00000000-0005-0000-0000-000039300000}"/>
    <cellStyle name="Vírgula 10 2 3 4 2 2" xfId="6551" xr:uid="{00000000-0005-0000-0000-00003A300000}"/>
    <cellStyle name="Vírgula 10 2 3 4 2 2 2" xfId="23533" xr:uid="{00000000-0005-0000-0000-00003B300000}"/>
    <cellStyle name="Vírgula 10 2 3 4 2 2 3" xfId="19586" xr:uid="{00000000-0005-0000-0000-00003C300000}"/>
    <cellStyle name="Vírgula 10 2 3 4 2 3" xfId="21094" xr:uid="{00000000-0005-0000-0000-00003D300000}"/>
    <cellStyle name="Vírgula 10 2 3 4 2 4" xfId="17086" xr:uid="{00000000-0005-0000-0000-00003E300000}"/>
    <cellStyle name="Vírgula 10 2 3 4 3" xfId="5320" xr:uid="{00000000-0005-0000-0000-00003F300000}"/>
    <cellStyle name="Vírgula 10 2 3 4 3 2" xfId="11401" xr:uid="{00000000-0005-0000-0000-000040300000}"/>
    <cellStyle name="Vírgula 10 2 3 4 3 2 2" xfId="22319" xr:uid="{00000000-0005-0000-0000-000041300000}"/>
    <cellStyle name="Vírgula 10 2 3 4 3 3" xfId="12317" xr:uid="{00000000-0005-0000-0000-000042300000}"/>
    <cellStyle name="Vírgula 10 2 3 4 3 4" xfId="18355" xr:uid="{00000000-0005-0000-0000-000043300000}"/>
    <cellStyle name="Vírgula 10 2 3 4 4" xfId="20219" xr:uid="{00000000-0005-0000-0000-000044300000}"/>
    <cellStyle name="Vírgula 10 2 3 4 5" xfId="16195" xr:uid="{00000000-0005-0000-0000-000045300000}"/>
    <cellStyle name="Vírgula 10 2 3 5" xfId="3900" xr:uid="{00000000-0005-0000-0000-000046300000}"/>
    <cellStyle name="Vírgula 10 2 3 5 2" xfId="6041" xr:uid="{00000000-0005-0000-0000-000047300000}"/>
    <cellStyle name="Vírgula 10 2 3 5 2 2" xfId="12941" xr:uid="{00000000-0005-0000-0000-000048300000}"/>
    <cellStyle name="Vírgula 10 2 3 5 2 2 2" xfId="23030" xr:uid="{00000000-0005-0000-0000-000049300000}"/>
    <cellStyle name="Vírgula 10 2 3 5 2 3" xfId="11640" xr:uid="{00000000-0005-0000-0000-00004A300000}"/>
    <cellStyle name="Vírgula 10 2 3 5 2 4" xfId="19076" xr:uid="{00000000-0005-0000-0000-00004B300000}"/>
    <cellStyle name="Vírgula 10 2 3 5 3" xfId="20957" xr:uid="{00000000-0005-0000-0000-00004C300000}"/>
    <cellStyle name="Vírgula 10 2 3 5 4" xfId="16942" xr:uid="{00000000-0005-0000-0000-00004D300000}"/>
    <cellStyle name="Vírgula 10 2 3 6" xfId="6736" xr:uid="{00000000-0005-0000-0000-00004E300000}"/>
    <cellStyle name="Vírgula 10 2 3 6 2" xfId="23709" xr:uid="{00000000-0005-0000-0000-00004F300000}"/>
    <cellStyle name="Vírgula 10 2 3 6 3" xfId="19771" xr:uid="{00000000-0005-0000-0000-000050300000}"/>
    <cellStyle name="Vírgula 10 2 3 7" xfId="5054" xr:uid="{00000000-0005-0000-0000-000051300000}"/>
    <cellStyle name="Vírgula 10 2 3 7 2" xfId="22062" xr:uid="{00000000-0005-0000-0000-000052300000}"/>
    <cellStyle name="Vírgula 10 2 3 7 3" xfId="18089" xr:uid="{00000000-0005-0000-0000-000053300000}"/>
    <cellStyle name="Vírgula 10 2 3 8" xfId="19962" xr:uid="{00000000-0005-0000-0000-000054300000}"/>
    <cellStyle name="Vírgula 10 2 3 9" xfId="15922" xr:uid="{00000000-0005-0000-0000-000055300000}"/>
    <cellStyle name="Vírgula 10 2 4" xfId="2166" xr:uid="{00000000-0005-0000-0000-000056300000}"/>
    <cellStyle name="Vírgula 10 2 4 2" xfId="3295" xr:uid="{00000000-0005-0000-0000-000057300000}"/>
    <cellStyle name="Vírgula 10 2 4 2 2" xfId="4469" xr:uid="{00000000-0005-0000-0000-000058300000}"/>
    <cellStyle name="Vírgula 10 2 4 2 2 2" xfId="6617" xr:uid="{00000000-0005-0000-0000-000059300000}"/>
    <cellStyle name="Vírgula 10 2 4 2 2 2 2" xfId="23599" xr:uid="{00000000-0005-0000-0000-00005A300000}"/>
    <cellStyle name="Vírgula 10 2 4 2 2 2 3" xfId="19652" xr:uid="{00000000-0005-0000-0000-00005B300000}"/>
    <cellStyle name="Vírgula 10 2 4 2 2 3" xfId="10433" xr:uid="{00000000-0005-0000-0000-00005C300000}"/>
    <cellStyle name="Vírgula 10 2 4 2 2 3 2" xfId="21509" xr:uid="{00000000-0005-0000-0000-00005D300000}"/>
    <cellStyle name="Vírgula 10 2 4 2 2 4" xfId="17504" xr:uid="{00000000-0005-0000-0000-00005E300000}"/>
    <cellStyle name="Vírgula 10 2 4 2 3" xfId="5464" xr:uid="{00000000-0005-0000-0000-00005F300000}"/>
    <cellStyle name="Vírgula 10 2 4 2 3 2" xfId="22463" xr:uid="{00000000-0005-0000-0000-000060300000}"/>
    <cellStyle name="Vírgula 10 2 4 2 3 3" xfId="18499" xr:uid="{00000000-0005-0000-0000-000061300000}"/>
    <cellStyle name="Vírgula 10 2 4 2 4" xfId="9650" xr:uid="{00000000-0005-0000-0000-000062300000}"/>
    <cellStyle name="Vírgula 10 2 4 2 4 2" xfId="20363" xr:uid="{00000000-0005-0000-0000-000063300000}"/>
    <cellStyle name="Vírgula 10 2 4 2 5" xfId="16339" xr:uid="{00000000-0005-0000-0000-000064300000}"/>
    <cellStyle name="Vírgula 10 2 4 3" xfId="4201" xr:uid="{00000000-0005-0000-0000-000065300000}"/>
    <cellStyle name="Vírgula 10 2 4 3 2" xfId="6194" xr:uid="{00000000-0005-0000-0000-000066300000}"/>
    <cellStyle name="Vírgula 10 2 4 3 2 2" xfId="23176" xr:uid="{00000000-0005-0000-0000-000067300000}"/>
    <cellStyle name="Vírgula 10 2 4 3 2 3" xfId="19229" xr:uid="{00000000-0005-0000-0000-000068300000}"/>
    <cellStyle name="Vírgula 10 2 4 3 3" xfId="10432" xr:uid="{00000000-0005-0000-0000-000069300000}"/>
    <cellStyle name="Vírgula 10 2 4 3 3 2" xfId="21247" xr:uid="{00000000-0005-0000-0000-00006A300000}"/>
    <cellStyle name="Vírgula 10 2 4 3 4" xfId="17240" xr:uid="{00000000-0005-0000-0000-00006B300000}"/>
    <cellStyle name="Vírgula 10 2 4 4" xfId="6809" xr:uid="{00000000-0005-0000-0000-00006C300000}"/>
    <cellStyle name="Vírgula 10 2 4 4 2" xfId="23775" xr:uid="{00000000-0005-0000-0000-00006D300000}"/>
    <cellStyle name="Vírgula 10 2 4 4 3" xfId="19844" xr:uid="{00000000-0005-0000-0000-00006E300000}"/>
    <cellStyle name="Vírgula 10 2 4 5" xfId="5127" xr:uid="{00000000-0005-0000-0000-00006F300000}"/>
    <cellStyle name="Vírgula 10 2 4 5 2" xfId="22128" xr:uid="{00000000-0005-0000-0000-000070300000}"/>
    <cellStyle name="Vírgula 10 2 4 5 3" xfId="18162" xr:uid="{00000000-0005-0000-0000-000071300000}"/>
    <cellStyle name="Vírgula 10 2 4 6" xfId="9196" xr:uid="{00000000-0005-0000-0000-000072300000}"/>
    <cellStyle name="Vírgula 10 2 4 6 2" xfId="20028" xr:uid="{00000000-0005-0000-0000-000073300000}"/>
    <cellStyle name="Vírgula 10 2 4 7" xfId="15997" xr:uid="{00000000-0005-0000-0000-000074300000}"/>
    <cellStyle name="Vírgula 10 2 5" xfId="3046" xr:uid="{00000000-0005-0000-0000-000075300000}"/>
    <cellStyle name="Vírgula 10 2 5 2" xfId="4074" xr:uid="{00000000-0005-0000-0000-000076300000}"/>
    <cellStyle name="Vírgula 10 2 5 2 2" xfId="5909" xr:uid="{00000000-0005-0000-0000-000077300000}"/>
    <cellStyle name="Vírgula 10 2 5 2 2 2" xfId="12891" xr:uid="{00000000-0005-0000-0000-000078300000}"/>
    <cellStyle name="Vírgula 10 2 5 2 2 2 2" xfId="22904" xr:uid="{00000000-0005-0000-0000-000079300000}"/>
    <cellStyle name="Vírgula 10 2 5 2 2 3" xfId="11958" xr:uid="{00000000-0005-0000-0000-00007A300000}"/>
    <cellStyle name="Vírgula 10 2 5 2 2 4" xfId="18944" xr:uid="{00000000-0005-0000-0000-00007B300000}"/>
    <cellStyle name="Vírgula 10 2 5 2 3" xfId="13708" xr:uid="{00000000-0005-0000-0000-00007C300000}"/>
    <cellStyle name="Vírgula 10 2 5 2 3 2" xfId="21122" xr:uid="{00000000-0005-0000-0000-00007D300000}"/>
    <cellStyle name="Vírgula 10 2 5 2 4" xfId="17114" xr:uid="{00000000-0005-0000-0000-00007E300000}"/>
    <cellStyle name="Vírgula 10 2 5 3" xfId="5215" xr:uid="{00000000-0005-0000-0000-00007F300000}"/>
    <cellStyle name="Vírgula 10 2 5 3 2" xfId="13290" xr:uid="{00000000-0005-0000-0000-000080300000}"/>
    <cellStyle name="Vírgula 10 2 5 3 2 2" xfId="22214" xr:uid="{00000000-0005-0000-0000-000081300000}"/>
    <cellStyle name="Vírgula 10 2 5 3 3" xfId="18250" xr:uid="{00000000-0005-0000-0000-000082300000}"/>
    <cellStyle name="Vírgula 10 2 5 4" xfId="12305" xr:uid="{00000000-0005-0000-0000-000083300000}"/>
    <cellStyle name="Vírgula 10 2 5 4 2" xfId="15377" xr:uid="{00000000-0005-0000-0000-000084300000}"/>
    <cellStyle name="Vírgula 10 2 5 4 3" xfId="13574" xr:uid="{00000000-0005-0000-0000-000085300000}"/>
    <cellStyle name="Vírgula 10 2 5 4 4" xfId="20114" xr:uid="{00000000-0005-0000-0000-000086300000}"/>
    <cellStyle name="Vírgula 10 2 5 5" xfId="16090" xr:uid="{00000000-0005-0000-0000-000087300000}"/>
    <cellStyle name="Vírgula 10 2 6" xfId="3751" xr:uid="{00000000-0005-0000-0000-000088300000}"/>
    <cellStyle name="Vírgula 10 2 6 2" xfId="6493" xr:uid="{00000000-0005-0000-0000-000089300000}"/>
    <cellStyle name="Vírgula 10 2 6 2 2" xfId="8464" xr:uid="{00000000-0005-0000-0000-00008A300000}"/>
    <cellStyle name="Vírgula 10 2 6 2 2 2" xfId="10435" xr:uid="{00000000-0005-0000-0000-00008B300000}"/>
    <cellStyle name="Vírgula 10 2 6 2 2 3" xfId="23475" xr:uid="{00000000-0005-0000-0000-00008C300000}"/>
    <cellStyle name="Vírgula 10 2 6 2 3" xfId="13266" xr:uid="{00000000-0005-0000-0000-00008D300000}"/>
    <cellStyle name="Vírgula 10 2 6 2 4" xfId="19528" xr:uid="{00000000-0005-0000-0000-00008E300000}"/>
    <cellStyle name="Vírgula 10 2 6 3" xfId="8465" xr:uid="{00000000-0005-0000-0000-00008F300000}"/>
    <cellStyle name="Vírgula 10 2 6 3 2" xfId="10434" xr:uid="{00000000-0005-0000-0000-000090300000}"/>
    <cellStyle name="Vírgula 10 2 6 3 3" xfId="20815" xr:uid="{00000000-0005-0000-0000-000091300000}"/>
    <cellStyle name="Vírgula 10 2 6 4" xfId="13646" xr:uid="{00000000-0005-0000-0000-000092300000}"/>
    <cellStyle name="Vírgula 10 2 6 5" xfId="16794" xr:uid="{00000000-0005-0000-0000-000093300000}"/>
    <cellStyle name="Vírgula 10 2 7" xfId="4230" xr:uid="{00000000-0005-0000-0000-000094300000}"/>
    <cellStyle name="Vírgula 10 2 7 2" xfId="6501" xr:uid="{00000000-0005-0000-0000-000095300000}"/>
    <cellStyle name="Vírgula 10 2 7 2 2" xfId="8466" xr:uid="{00000000-0005-0000-0000-000096300000}"/>
    <cellStyle name="Vírgula 10 2 7 2 2 2" xfId="23483" xr:uid="{00000000-0005-0000-0000-000097300000}"/>
    <cellStyle name="Vírgula 10 2 7 2 3" xfId="12992" xr:uid="{00000000-0005-0000-0000-000098300000}"/>
    <cellStyle name="Vírgula 10 2 7 2 4" xfId="19536" xr:uid="{00000000-0005-0000-0000-000099300000}"/>
    <cellStyle name="Vírgula 10 2 7 3" xfId="8467" xr:uid="{00000000-0005-0000-0000-00009A300000}"/>
    <cellStyle name="Vírgula 10 2 7 3 2" xfId="21276" xr:uid="{00000000-0005-0000-0000-00009B300000}"/>
    <cellStyle name="Vírgula 10 2 7 4" xfId="17269" xr:uid="{00000000-0005-0000-0000-00009C300000}"/>
    <cellStyle name="Vírgula 10 2 8" xfId="5863" xr:uid="{00000000-0005-0000-0000-00009D300000}"/>
    <cellStyle name="Vírgula 10 2 8 2" xfId="22859" xr:uid="{00000000-0005-0000-0000-00009E300000}"/>
    <cellStyle name="Vírgula 10 2 8 3" xfId="18898" xr:uid="{00000000-0005-0000-0000-00009F300000}"/>
    <cellStyle name="Vírgula 10 2 9" xfId="6679" xr:uid="{00000000-0005-0000-0000-0000A0300000}"/>
    <cellStyle name="Vírgula 10 2 9 2" xfId="23658" xr:uid="{00000000-0005-0000-0000-0000A1300000}"/>
    <cellStyle name="Vírgula 10 2 9 3" xfId="19714" xr:uid="{00000000-0005-0000-0000-0000A2300000}"/>
    <cellStyle name="Vírgula 10 20" xfId="15856" xr:uid="{00000000-0005-0000-0000-0000A3300000}"/>
    <cellStyle name="Vírgula 10 3" xfId="590" xr:uid="{00000000-0005-0000-0000-0000A4300000}"/>
    <cellStyle name="Vírgula 10 3 2" xfId="867" xr:uid="{00000000-0005-0000-0000-0000A5300000}"/>
    <cellStyle name="Vírgula 10 3 2 2" xfId="3152" xr:uid="{00000000-0005-0000-0000-0000A6300000}"/>
    <cellStyle name="Vírgula 10 3 2 2 2" xfId="4423" xr:uid="{00000000-0005-0000-0000-0000A7300000}"/>
    <cellStyle name="Vírgula 10 3 2 2 2 2" xfId="6552" xr:uid="{00000000-0005-0000-0000-0000A8300000}"/>
    <cellStyle name="Vírgula 10 3 2 2 2 2 2" xfId="23534" xr:uid="{00000000-0005-0000-0000-0000A9300000}"/>
    <cellStyle name="Vírgula 10 3 2 2 2 2 3" xfId="19587" xr:uid="{00000000-0005-0000-0000-0000AA300000}"/>
    <cellStyle name="Vírgula 10 3 2 2 2 3" xfId="10438" xr:uid="{00000000-0005-0000-0000-0000AB300000}"/>
    <cellStyle name="Vírgula 10 3 2 2 2 3 2" xfId="21466" xr:uid="{00000000-0005-0000-0000-0000AC300000}"/>
    <cellStyle name="Vírgula 10 3 2 2 2 4" xfId="17460" xr:uid="{00000000-0005-0000-0000-0000AD300000}"/>
    <cellStyle name="Vírgula 10 3 2 2 3" xfId="5321" xr:uid="{00000000-0005-0000-0000-0000AE300000}"/>
    <cellStyle name="Vírgula 10 3 2 2 3 2" xfId="22320" xr:uid="{00000000-0005-0000-0000-0000AF300000}"/>
    <cellStyle name="Vírgula 10 3 2 2 3 3" xfId="18356" xr:uid="{00000000-0005-0000-0000-0000B0300000}"/>
    <cellStyle name="Vírgula 10 3 2 2 4" xfId="9793" xr:uid="{00000000-0005-0000-0000-0000B1300000}"/>
    <cellStyle name="Vírgula 10 3 2 2 4 2" xfId="20220" xr:uid="{00000000-0005-0000-0000-0000B2300000}"/>
    <cellStyle name="Vírgula 10 3 2 2 5" xfId="16196" xr:uid="{00000000-0005-0000-0000-0000B3300000}"/>
    <cellStyle name="Vírgula 10 3 2 3" xfId="3901" xr:uid="{00000000-0005-0000-0000-0000B4300000}"/>
    <cellStyle name="Vírgula 10 3 2 3 2" xfId="6042" xr:uid="{00000000-0005-0000-0000-0000B5300000}"/>
    <cellStyle name="Vírgula 10 3 2 3 2 2" xfId="23031" xr:uid="{00000000-0005-0000-0000-0000B6300000}"/>
    <cellStyle name="Vírgula 10 3 2 3 2 3" xfId="19077" xr:uid="{00000000-0005-0000-0000-0000B7300000}"/>
    <cellStyle name="Vírgula 10 3 2 3 3" xfId="10437" xr:uid="{00000000-0005-0000-0000-0000B8300000}"/>
    <cellStyle name="Vírgula 10 3 2 3 3 2" xfId="20958" xr:uid="{00000000-0005-0000-0000-0000B9300000}"/>
    <cellStyle name="Vírgula 10 3 2 3 4" xfId="16943" xr:uid="{00000000-0005-0000-0000-0000BA300000}"/>
    <cellStyle name="Vírgula 10 3 2 4" xfId="6737" xr:uid="{00000000-0005-0000-0000-0000BB300000}"/>
    <cellStyle name="Vírgula 10 3 2 4 2" xfId="23710" xr:uid="{00000000-0005-0000-0000-0000BC300000}"/>
    <cellStyle name="Vírgula 10 3 2 4 3" xfId="19772" xr:uid="{00000000-0005-0000-0000-0000BD300000}"/>
    <cellStyle name="Vírgula 10 3 2 5" xfId="5055" xr:uid="{00000000-0005-0000-0000-0000BE300000}"/>
    <cellStyle name="Vírgula 10 3 2 5 2" xfId="22063" xr:uid="{00000000-0005-0000-0000-0000BF300000}"/>
    <cellStyle name="Vírgula 10 3 2 5 3" xfId="18090" xr:uid="{00000000-0005-0000-0000-0000C0300000}"/>
    <cellStyle name="Vírgula 10 3 2 6" xfId="9375" xr:uid="{00000000-0005-0000-0000-0000C1300000}"/>
    <cellStyle name="Vírgula 10 3 2 6 2" xfId="19963" xr:uid="{00000000-0005-0000-0000-0000C2300000}"/>
    <cellStyle name="Vírgula 10 3 2 7" xfId="15923" xr:uid="{00000000-0005-0000-0000-0000C3300000}"/>
    <cellStyle name="Vírgula 10 3 3" xfId="3061" xr:uid="{00000000-0005-0000-0000-0000C4300000}"/>
    <cellStyle name="Vírgula 10 3 3 2" xfId="4058" xr:uid="{00000000-0005-0000-0000-0000C5300000}"/>
    <cellStyle name="Vírgula 10 3 3 2 2" xfId="6511" xr:uid="{00000000-0005-0000-0000-0000C6300000}"/>
    <cellStyle name="Vírgula 10 3 3 2 2 2" xfId="23493" xr:uid="{00000000-0005-0000-0000-0000C7300000}"/>
    <cellStyle name="Vírgula 10 3 3 2 2 3" xfId="19546" xr:uid="{00000000-0005-0000-0000-0000C8300000}"/>
    <cellStyle name="Vírgula 10 3 3 2 3" xfId="10439" xr:uid="{00000000-0005-0000-0000-0000C9300000}"/>
    <cellStyle name="Vírgula 10 3 3 2 3 2" xfId="21107" xr:uid="{00000000-0005-0000-0000-0000CA300000}"/>
    <cellStyle name="Vírgula 10 3 3 2 4" xfId="17099" xr:uid="{00000000-0005-0000-0000-0000CB300000}"/>
    <cellStyle name="Vírgula 10 3 3 3" xfId="5230" xr:uid="{00000000-0005-0000-0000-0000CC300000}"/>
    <cellStyle name="Vírgula 10 3 3 3 2" xfId="22229" xr:uid="{00000000-0005-0000-0000-0000CD300000}"/>
    <cellStyle name="Vírgula 10 3 3 3 3" xfId="18265" xr:uid="{00000000-0005-0000-0000-0000CE300000}"/>
    <cellStyle name="Vírgula 10 3 3 4" xfId="9512" xr:uid="{00000000-0005-0000-0000-0000CF300000}"/>
    <cellStyle name="Vírgula 10 3 3 4 2" xfId="20129" xr:uid="{00000000-0005-0000-0000-0000D0300000}"/>
    <cellStyle name="Vírgula 10 3 3 5" xfId="16105" xr:uid="{00000000-0005-0000-0000-0000D1300000}"/>
    <cellStyle name="Vírgula 10 3 4" xfId="3809" xr:uid="{00000000-0005-0000-0000-0000D2300000}"/>
    <cellStyle name="Vírgula 10 3 4 2" xfId="5936" xr:uid="{00000000-0005-0000-0000-0000D3300000}"/>
    <cellStyle name="Vírgula 10 3 4 2 2" xfId="22930" xr:uid="{00000000-0005-0000-0000-0000D4300000}"/>
    <cellStyle name="Vírgula 10 3 4 2 3" xfId="18971" xr:uid="{00000000-0005-0000-0000-0000D5300000}"/>
    <cellStyle name="Vírgula 10 3 4 3" xfId="10436" xr:uid="{00000000-0005-0000-0000-0000D6300000}"/>
    <cellStyle name="Vírgula 10 3 4 3 2" xfId="20871" xr:uid="{00000000-0005-0000-0000-0000D7300000}"/>
    <cellStyle name="Vírgula 10 3 4 4" xfId="16851" xr:uid="{00000000-0005-0000-0000-0000D8300000}"/>
    <cellStyle name="Vírgula 10 3 5" xfId="6690" xr:uid="{00000000-0005-0000-0000-0000D9300000}"/>
    <cellStyle name="Vírgula 10 3 5 2" xfId="10725" xr:uid="{00000000-0005-0000-0000-0000DA300000}"/>
    <cellStyle name="Vírgula 10 3 5 2 2" xfId="23668" xr:uid="{00000000-0005-0000-0000-0000DB300000}"/>
    <cellStyle name="Vírgula 10 3 5 3" xfId="19725" xr:uid="{00000000-0005-0000-0000-0000DC300000}"/>
    <cellStyle name="Vírgula 10 3 6" xfId="5008" xr:uid="{00000000-0005-0000-0000-0000DD300000}"/>
    <cellStyle name="Vírgula 10 3 6 2" xfId="10856" xr:uid="{00000000-0005-0000-0000-0000DE300000}"/>
    <cellStyle name="Vírgula 10 3 6 2 2" xfId="22021" xr:uid="{00000000-0005-0000-0000-0000DF300000}"/>
    <cellStyle name="Vírgula 10 3 6 3" xfId="18043" xr:uid="{00000000-0005-0000-0000-0000E0300000}"/>
    <cellStyle name="Vírgula 10 3 7" xfId="9257" xr:uid="{00000000-0005-0000-0000-0000E1300000}"/>
    <cellStyle name="Vírgula 10 3 7 2" xfId="19922" xr:uid="{00000000-0005-0000-0000-0000E2300000}"/>
    <cellStyle name="Vírgula 10 3 8" xfId="15877" xr:uid="{00000000-0005-0000-0000-0000E3300000}"/>
    <cellStyle name="Vírgula 10 4" xfId="868" xr:uid="{00000000-0005-0000-0000-0000E4300000}"/>
    <cellStyle name="Vírgula 10 4 2" xfId="2169" xr:uid="{00000000-0005-0000-0000-0000E5300000}"/>
    <cellStyle name="Vírgula 10 4 2 2" xfId="3298" xr:uid="{00000000-0005-0000-0000-0000E6300000}"/>
    <cellStyle name="Vírgula 10 4 2 2 2" xfId="4132" xr:uid="{00000000-0005-0000-0000-0000E7300000}"/>
    <cellStyle name="Vírgula 10 4 2 2 2 2" xfId="6619" xr:uid="{00000000-0005-0000-0000-0000E8300000}"/>
    <cellStyle name="Vírgula 10 4 2 2 2 2 2" xfId="23601" xr:uid="{00000000-0005-0000-0000-0000E9300000}"/>
    <cellStyle name="Vírgula 10 4 2 2 2 2 3" xfId="19654" xr:uid="{00000000-0005-0000-0000-0000EA300000}"/>
    <cellStyle name="Vírgula 10 4 2 2 2 3" xfId="10441" xr:uid="{00000000-0005-0000-0000-0000EB300000}"/>
    <cellStyle name="Vírgula 10 4 2 2 2 3 2" xfId="21180" xr:uid="{00000000-0005-0000-0000-0000EC300000}"/>
    <cellStyle name="Vírgula 10 4 2 2 2 4" xfId="17172" xr:uid="{00000000-0005-0000-0000-0000ED300000}"/>
    <cellStyle name="Vírgula 10 4 2 2 3" xfId="5467" xr:uid="{00000000-0005-0000-0000-0000EE300000}"/>
    <cellStyle name="Vírgula 10 4 2 2 3 2" xfId="22466" xr:uid="{00000000-0005-0000-0000-0000EF300000}"/>
    <cellStyle name="Vírgula 10 4 2 2 3 3" xfId="18502" xr:uid="{00000000-0005-0000-0000-0000F0300000}"/>
    <cellStyle name="Vírgula 10 4 2 2 4" xfId="9835" xr:uid="{00000000-0005-0000-0000-0000F1300000}"/>
    <cellStyle name="Vírgula 10 4 2 2 4 2" xfId="20366" xr:uid="{00000000-0005-0000-0000-0000F2300000}"/>
    <cellStyle name="Vírgula 10 4 2 2 5" xfId="16342" xr:uid="{00000000-0005-0000-0000-0000F3300000}"/>
    <cellStyle name="Vírgula 10 4 2 3" xfId="4204" xr:uid="{00000000-0005-0000-0000-0000F4300000}"/>
    <cellStyle name="Vírgula 10 4 2 3 2" xfId="6197" xr:uid="{00000000-0005-0000-0000-0000F5300000}"/>
    <cellStyle name="Vírgula 10 4 2 3 2 2" xfId="23179" xr:uid="{00000000-0005-0000-0000-0000F6300000}"/>
    <cellStyle name="Vírgula 10 4 2 3 2 3" xfId="19232" xr:uid="{00000000-0005-0000-0000-0000F7300000}"/>
    <cellStyle name="Vírgula 10 4 2 3 3" xfId="10440" xr:uid="{00000000-0005-0000-0000-0000F8300000}"/>
    <cellStyle name="Vírgula 10 4 2 3 3 2" xfId="21250" xr:uid="{00000000-0005-0000-0000-0000F9300000}"/>
    <cellStyle name="Vírgula 10 4 2 3 4" xfId="17243" xr:uid="{00000000-0005-0000-0000-0000FA300000}"/>
    <cellStyle name="Vírgula 10 4 2 4" xfId="6811" xr:uid="{00000000-0005-0000-0000-0000FB300000}"/>
    <cellStyle name="Vírgula 10 4 2 4 2" xfId="23777" xr:uid="{00000000-0005-0000-0000-0000FC300000}"/>
    <cellStyle name="Vírgula 10 4 2 4 3" xfId="19846" xr:uid="{00000000-0005-0000-0000-0000FD300000}"/>
    <cellStyle name="Vírgula 10 4 2 5" xfId="5129" xr:uid="{00000000-0005-0000-0000-0000FE300000}"/>
    <cellStyle name="Vírgula 10 4 2 5 2" xfId="22130" xr:uid="{00000000-0005-0000-0000-0000FF300000}"/>
    <cellStyle name="Vírgula 10 4 2 5 3" xfId="18164" xr:uid="{00000000-0005-0000-0000-000000310000}"/>
    <cellStyle name="Vírgula 10 4 2 6" xfId="9414" xr:uid="{00000000-0005-0000-0000-000001310000}"/>
    <cellStyle name="Vírgula 10 4 2 6 2" xfId="14889" xr:uid="{00000000-0005-0000-0000-000002310000}"/>
    <cellStyle name="Vírgula 10 4 2 6 3" xfId="13510" xr:uid="{00000000-0005-0000-0000-000003310000}"/>
    <cellStyle name="Vírgula 10 4 2 6 4" xfId="20030" xr:uid="{00000000-0005-0000-0000-000004310000}"/>
    <cellStyle name="Vírgula 10 4 2 7" xfId="13408" xr:uid="{00000000-0005-0000-0000-000005310000}"/>
    <cellStyle name="Vírgula 10 4 2 8" xfId="15999" xr:uid="{00000000-0005-0000-0000-000006310000}"/>
    <cellStyle name="Vírgula 10 4 3" xfId="2168" xr:uid="{00000000-0005-0000-0000-000007310000}"/>
    <cellStyle name="Vírgula 10 4 3 2" xfId="3297" xr:uid="{00000000-0005-0000-0000-000008310000}"/>
    <cellStyle name="Vírgula 10 4 3 2 2" xfId="4323" xr:uid="{00000000-0005-0000-0000-000009310000}"/>
    <cellStyle name="Vírgula 10 4 3 2 2 2" xfId="6618" xr:uid="{00000000-0005-0000-0000-00000A310000}"/>
    <cellStyle name="Vírgula 10 4 3 2 2 2 2" xfId="23600" xr:uid="{00000000-0005-0000-0000-00000B310000}"/>
    <cellStyle name="Vírgula 10 4 3 2 2 2 3" xfId="19653" xr:uid="{00000000-0005-0000-0000-00000C310000}"/>
    <cellStyle name="Vírgula 10 4 3 2 2 3" xfId="21367" xr:uid="{00000000-0005-0000-0000-00000D310000}"/>
    <cellStyle name="Vírgula 10 4 3 2 2 4" xfId="17360" xr:uid="{00000000-0005-0000-0000-00000E310000}"/>
    <cellStyle name="Vírgula 10 4 3 2 3" xfId="5466" xr:uid="{00000000-0005-0000-0000-00000F310000}"/>
    <cellStyle name="Vírgula 10 4 3 2 3 2" xfId="22465" xr:uid="{00000000-0005-0000-0000-000010310000}"/>
    <cellStyle name="Vírgula 10 4 3 2 3 3" xfId="18501" xr:uid="{00000000-0005-0000-0000-000011310000}"/>
    <cellStyle name="Vírgula 10 4 3 2 4" xfId="10442" xr:uid="{00000000-0005-0000-0000-000012310000}"/>
    <cellStyle name="Vírgula 10 4 3 2 4 2" xfId="20365" xr:uid="{00000000-0005-0000-0000-000013310000}"/>
    <cellStyle name="Vírgula 10 4 3 2 5" xfId="16341" xr:uid="{00000000-0005-0000-0000-000014310000}"/>
    <cellStyle name="Vírgula 10 4 3 3" xfId="4203" xr:uid="{00000000-0005-0000-0000-000015310000}"/>
    <cellStyle name="Vírgula 10 4 3 3 2" xfId="6196" xr:uid="{00000000-0005-0000-0000-000016310000}"/>
    <cellStyle name="Vírgula 10 4 3 3 2 2" xfId="23178" xr:uid="{00000000-0005-0000-0000-000017310000}"/>
    <cellStyle name="Vírgula 10 4 3 3 2 3" xfId="19231" xr:uid="{00000000-0005-0000-0000-000018310000}"/>
    <cellStyle name="Vírgula 10 4 3 3 3" xfId="21249" xr:uid="{00000000-0005-0000-0000-000019310000}"/>
    <cellStyle name="Vírgula 10 4 3 3 4" xfId="17242" xr:uid="{00000000-0005-0000-0000-00001A310000}"/>
    <cellStyle name="Vírgula 10 4 3 4" xfId="6810" xr:uid="{00000000-0005-0000-0000-00001B310000}"/>
    <cellStyle name="Vírgula 10 4 3 4 2" xfId="23776" xr:uid="{00000000-0005-0000-0000-00001C310000}"/>
    <cellStyle name="Vírgula 10 4 3 4 3" xfId="19845" xr:uid="{00000000-0005-0000-0000-00001D310000}"/>
    <cellStyle name="Vírgula 10 4 3 5" xfId="5128" xr:uid="{00000000-0005-0000-0000-00001E310000}"/>
    <cellStyle name="Vírgula 10 4 3 5 2" xfId="22129" xr:uid="{00000000-0005-0000-0000-00001F310000}"/>
    <cellStyle name="Vírgula 10 4 3 5 3" xfId="18163" xr:uid="{00000000-0005-0000-0000-000020310000}"/>
    <cellStyle name="Vírgula 10 4 3 6" xfId="9554" xr:uid="{00000000-0005-0000-0000-000021310000}"/>
    <cellStyle name="Vírgula 10 4 3 6 2" xfId="20029" xr:uid="{00000000-0005-0000-0000-000022310000}"/>
    <cellStyle name="Vírgula 10 4 3 7" xfId="15998" xr:uid="{00000000-0005-0000-0000-000023310000}"/>
    <cellStyle name="Vírgula 10 4 4" xfId="3153" xr:uid="{00000000-0005-0000-0000-000024310000}"/>
    <cellStyle name="Vírgula 10 4 4 2" xfId="4155" xr:uid="{00000000-0005-0000-0000-000025310000}"/>
    <cellStyle name="Vírgula 10 4 4 2 2" xfId="6553" xr:uid="{00000000-0005-0000-0000-000026310000}"/>
    <cellStyle name="Vírgula 10 4 4 2 2 2" xfId="23535" xr:uid="{00000000-0005-0000-0000-000027310000}"/>
    <cellStyle name="Vírgula 10 4 4 2 2 3" xfId="19588" xr:uid="{00000000-0005-0000-0000-000028310000}"/>
    <cellStyle name="Vírgula 10 4 4 2 3" xfId="21203" xr:uid="{00000000-0005-0000-0000-000029310000}"/>
    <cellStyle name="Vírgula 10 4 4 2 4" xfId="17195" xr:uid="{00000000-0005-0000-0000-00002A310000}"/>
    <cellStyle name="Vírgula 10 4 4 3" xfId="5322" xr:uid="{00000000-0005-0000-0000-00002B310000}"/>
    <cellStyle name="Vírgula 10 4 4 3 2" xfId="11169" xr:uid="{00000000-0005-0000-0000-00002C310000}"/>
    <cellStyle name="Vírgula 10 4 4 3 2 2" xfId="22321" xr:uid="{00000000-0005-0000-0000-00002D310000}"/>
    <cellStyle name="Vírgula 10 4 4 3 3" xfId="13240" xr:uid="{00000000-0005-0000-0000-00002E310000}"/>
    <cellStyle name="Vírgula 10 4 4 3 4" xfId="18357" xr:uid="{00000000-0005-0000-0000-00002F310000}"/>
    <cellStyle name="Vírgula 10 4 4 4" xfId="11051" xr:uid="{00000000-0005-0000-0000-000030310000}"/>
    <cellStyle name="Vírgula 10 4 4 4 2" xfId="20221" xr:uid="{00000000-0005-0000-0000-000031310000}"/>
    <cellStyle name="Vírgula 10 4 4 5" xfId="16197" xr:uid="{00000000-0005-0000-0000-000032310000}"/>
    <cellStyle name="Vírgula 10 4 5" xfId="3902" xr:uid="{00000000-0005-0000-0000-000033310000}"/>
    <cellStyle name="Vírgula 10 4 5 2" xfId="6043" xr:uid="{00000000-0005-0000-0000-000034310000}"/>
    <cellStyle name="Vírgula 10 4 5 2 2" xfId="23032" xr:uid="{00000000-0005-0000-0000-000035310000}"/>
    <cellStyle name="Vírgula 10 4 5 2 3" xfId="19078" xr:uid="{00000000-0005-0000-0000-000036310000}"/>
    <cellStyle name="Vírgula 10 4 5 3" xfId="20959" xr:uid="{00000000-0005-0000-0000-000037310000}"/>
    <cellStyle name="Vírgula 10 4 5 4" xfId="16944" xr:uid="{00000000-0005-0000-0000-000038310000}"/>
    <cellStyle name="Vírgula 10 4 6" xfId="6738" xr:uid="{00000000-0005-0000-0000-000039310000}"/>
    <cellStyle name="Vírgula 10 4 6 2" xfId="23711" xr:uid="{00000000-0005-0000-0000-00003A310000}"/>
    <cellStyle name="Vírgula 10 4 6 3" xfId="19773" xr:uid="{00000000-0005-0000-0000-00003B310000}"/>
    <cellStyle name="Vírgula 10 4 7" xfId="5056" xr:uid="{00000000-0005-0000-0000-00003C310000}"/>
    <cellStyle name="Vírgula 10 4 7 2" xfId="22064" xr:uid="{00000000-0005-0000-0000-00003D310000}"/>
    <cellStyle name="Vírgula 10 4 7 3" xfId="18091" xr:uid="{00000000-0005-0000-0000-00003E310000}"/>
    <cellStyle name="Vírgula 10 4 8" xfId="19964" xr:uid="{00000000-0005-0000-0000-00003F310000}"/>
    <cellStyle name="Vírgula 10 4 9" xfId="15924" xr:uid="{00000000-0005-0000-0000-000040310000}"/>
    <cellStyle name="Vírgula 10 5" xfId="2170" xr:uid="{00000000-0005-0000-0000-000041310000}"/>
    <cellStyle name="Vírgula 10 5 2" xfId="3299" xr:uid="{00000000-0005-0000-0000-000042310000}"/>
    <cellStyle name="Vírgula 10 5 2 2" xfId="4630" xr:uid="{00000000-0005-0000-0000-000043310000}"/>
    <cellStyle name="Vírgula 10 5 2 2 2" xfId="10444" xr:uid="{00000000-0005-0000-0000-000044310000}"/>
    <cellStyle name="Vírgula 10 5 2 2 2 2" xfId="13351" xr:uid="{00000000-0005-0000-0000-000045310000}"/>
    <cellStyle name="Vírgula 10 5 2 2 2 3" xfId="13289" xr:uid="{00000000-0005-0000-0000-000046310000}"/>
    <cellStyle name="Vírgula 10 5 2 2 2 4" xfId="21670" xr:uid="{00000000-0005-0000-0000-000047310000}"/>
    <cellStyle name="Vírgula 10 5 2 2 3" xfId="17665" xr:uid="{00000000-0005-0000-0000-000048310000}"/>
    <cellStyle name="Vírgula 10 5 2 3" xfId="5468" xr:uid="{00000000-0005-0000-0000-000049310000}"/>
    <cellStyle name="Vírgula 10 5 2 3 2" xfId="11185" xr:uid="{00000000-0005-0000-0000-00004A310000}"/>
    <cellStyle name="Vírgula 10 5 2 3 2 2" xfId="22467" xr:uid="{00000000-0005-0000-0000-00004B310000}"/>
    <cellStyle name="Vírgula 10 5 2 3 3" xfId="12348" xr:uid="{00000000-0005-0000-0000-00004C310000}"/>
    <cellStyle name="Vírgula 10 5 2 3 4" xfId="18503" xr:uid="{00000000-0005-0000-0000-00004D310000}"/>
    <cellStyle name="Vírgula 10 5 2 4" xfId="9649" xr:uid="{00000000-0005-0000-0000-00004E310000}"/>
    <cellStyle name="Vírgula 10 5 2 4 2" xfId="14895" xr:uid="{00000000-0005-0000-0000-00004F310000}"/>
    <cellStyle name="Vírgula 10 5 2 4 3" xfId="13628" xr:uid="{00000000-0005-0000-0000-000050310000}"/>
    <cellStyle name="Vírgula 10 5 2 4 4" xfId="20367" xr:uid="{00000000-0005-0000-0000-000051310000}"/>
    <cellStyle name="Vírgula 10 5 2 5" xfId="16343" xr:uid="{00000000-0005-0000-0000-000052310000}"/>
    <cellStyle name="Vírgula 10 5 3" xfId="3841" xr:uid="{00000000-0005-0000-0000-000053310000}"/>
    <cellStyle name="Vírgula 10 5 3 2" xfId="6198" xr:uid="{00000000-0005-0000-0000-000054310000}"/>
    <cellStyle name="Vírgula 10 5 3 2 2" xfId="12565" xr:uid="{00000000-0005-0000-0000-000055310000}"/>
    <cellStyle name="Vírgula 10 5 3 2 2 2" xfId="23180" xr:uid="{00000000-0005-0000-0000-000056310000}"/>
    <cellStyle name="Vírgula 10 5 3 2 3" xfId="12836" xr:uid="{00000000-0005-0000-0000-000057310000}"/>
    <cellStyle name="Vírgula 10 5 3 2 4" xfId="19233" xr:uid="{00000000-0005-0000-0000-000058310000}"/>
    <cellStyle name="Vírgula 10 5 3 3" xfId="10443" xr:uid="{00000000-0005-0000-0000-000059310000}"/>
    <cellStyle name="Vírgula 10 5 3 3 2" xfId="20903" xr:uid="{00000000-0005-0000-0000-00005A310000}"/>
    <cellStyle name="Vírgula 10 5 3 4" xfId="16883" xr:uid="{00000000-0005-0000-0000-00005B310000}"/>
    <cellStyle name="Vírgula 10 5 4" xfId="8468" xr:uid="{00000000-0005-0000-0000-00005C310000}"/>
    <cellStyle name="Vírgula 10 5 4 2" xfId="11749" xr:uid="{00000000-0005-0000-0000-00005D310000}"/>
    <cellStyle name="Vírgula 10 5 4 3" xfId="10932" xr:uid="{00000000-0005-0000-0000-00005E310000}"/>
    <cellStyle name="Vírgula 10 5 5" xfId="8469" xr:uid="{00000000-0005-0000-0000-00005F310000}"/>
    <cellStyle name="Vírgula 10 5 6" xfId="9195" xr:uid="{00000000-0005-0000-0000-000060310000}"/>
    <cellStyle name="Vírgula 10 5 6 2" xfId="14884" xr:uid="{00000000-0005-0000-0000-000061310000}"/>
    <cellStyle name="Vírgula 10 5 6 3" xfId="13511" xr:uid="{00000000-0005-0000-0000-000062310000}"/>
    <cellStyle name="Vírgula 10 6" xfId="2171" xr:uid="{00000000-0005-0000-0000-000063310000}"/>
    <cellStyle name="Vírgula 10 6 2" xfId="3300" xr:uid="{00000000-0005-0000-0000-000064310000}"/>
    <cellStyle name="Vírgula 10 6 2 2" xfId="4038" xr:uid="{00000000-0005-0000-0000-000065310000}"/>
    <cellStyle name="Vírgula 10 6 2 2 2" xfId="6620" xr:uid="{00000000-0005-0000-0000-000066310000}"/>
    <cellStyle name="Vírgula 10 6 2 2 2 2" xfId="23602" xr:uid="{00000000-0005-0000-0000-000067310000}"/>
    <cellStyle name="Vírgula 10 6 2 2 2 3" xfId="19655" xr:uid="{00000000-0005-0000-0000-000068310000}"/>
    <cellStyle name="Vírgula 10 6 2 2 3" xfId="10446" xr:uid="{00000000-0005-0000-0000-000069310000}"/>
    <cellStyle name="Vírgula 10 6 2 2 3 2" xfId="21087" xr:uid="{00000000-0005-0000-0000-00006A310000}"/>
    <cellStyle name="Vírgula 10 6 2 2 4" xfId="17079" xr:uid="{00000000-0005-0000-0000-00006B310000}"/>
    <cellStyle name="Vírgula 10 6 2 3" xfId="5469" xr:uid="{00000000-0005-0000-0000-00006C310000}"/>
    <cellStyle name="Vírgula 10 6 2 3 2" xfId="22468" xr:uid="{00000000-0005-0000-0000-00006D310000}"/>
    <cellStyle name="Vírgula 10 6 2 3 3" xfId="18504" xr:uid="{00000000-0005-0000-0000-00006E310000}"/>
    <cellStyle name="Vírgula 10 6 2 4" xfId="9751" xr:uid="{00000000-0005-0000-0000-00006F310000}"/>
    <cellStyle name="Vírgula 10 6 2 4 2" xfId="20368" xr:uid="{00000000-0005-0000-0000-000070310000}"/>
    <cellStyle name="Vírgula 10 6 2 5" xfId="16344" xr:uid="{00000000-0005-0000-0000-000071310000}"/>
    <cellStyle name="Vírgula 10 6 3" xfId="4206" xr:uid="{00000000-0005-0000-0000-000072310000}"/>
    <cellStyle name="Vírgula 10 6 3 2" xfId="6199" xr:uid="{00000000-0005-0000-0000-000073310000}"/>
    <cellStyle name="Vírgula 10 6 3 2 2" xfId="23181" xr:uid="{00000000-0005-0000-0000-000074310000}"/>
    <cellStyle name="Vírgula 10 6 3 2 3" xfId="19234" xr:uid="{00000000-0005-0000-0000-000075310000}"/>
    <cellStyle name="Vírgula 10 6 3 3" xfId="10445" xr:uid="{00000000-0005-0000-0000-000076310000}"/>
    <cellStyle name="Vírgula 10 6 3 3 2" xfId="21252" xr:uid="{00000000-0005-0000-0000-000077310000}"/>
    <cellStyle name="Vírgula 10 6 3 4" xfId="17245" xr:uid="{00000000-0005-0000-0000-000078310000}"/>
    <cellStyle name="Vírgula 10 6 4" xfId="6812" xr:uid="{00000000-0005-0000-0000-000079310000}"/>
    <cellStyle name="Vírgula 10 6 4 2" xfId="23778" xr:uid="{00000000-0005-0000-0000-00007A310000}"/>
    <cellStyle name="Vírgula 10 6 4 3" xfId="19847" xr:uid="{00000000-0005-0000-0000-00007B310000}"/>
    <cellStyle name="Vírgula 10 6 5" xfId="5130" xr:uid="{00000000-0005-0000-0000-00007C310000}"/>
    <cellStyle name="Vírgula 10 6 5 2" xfId="22131" xr:uid="{00000000-0005-0000-0000-00007D310000}"/>
    <cellStyle name="Vírgula 10 6 5 3" xfId="18165" xr:uid="{00000000-0005-0000-0000-00007E310000}"/>
    <cellStyle name="Vírgula 10 6 6" xfId="9338" xr:uid="{00000000-0005-0000-0000-00007F310000}"/>
    <cellStyle name="Vírgula 10 6 6 2" xfId="20031" xr:uid="{00000000-0005-0000-0000-000080310000}"/>
    <cellStyle name="Vírgula 10 6 7" xfId="16000" xr:uid="{00000000-0005-0000-0000-000081310000}"/>
    <cellStyle name="Vírgula 10 7" xfId="2172" xr:uid="{00000000-0005-0000-0000-000082310000}"/>
    <cellStyle name="Vírgula 10 7 2" xfId="3301" xr:uid="{00000000-0005-0000-0000-000083310000}"/>
    <cellStyle name="Vírgula 10 7 2 2" xfId="4631" xr:uid="{00000000-0005-0000-0000-000084310000}"/>
    <cellStyle name="Vírgula 10 7 2 2 2" xfId="10448" xr:uid="{00000000-0005-0000-0000-000085310000}"/>
    <cellStyle name="Vírgula 10 7 2 2 2 2" xfId="21671" xr:uid="{00000000-0005-0000-0000-000086310000}"/>
    <cellStyle name="Vírgula 10 7 2 2 3" xfId="17666" xr:uid="{00000000-0005-0000-0000-000087310000}"/>
    <cellStyle name="Vírgula 10 7 2 3" xfId="5470" xr:uid="{00000000-0005-0000-0000-000088310000}"/>
    <cellStyle name="Vírgula 10 7 2 3 2" xfId="22469" xr:uid="{00000000-0005-0000-0000-000089310000}"/>
    <cellStyle name="Vírgula 10 7 2 3 3" xfId="18505" xr:uid="{00000000-0005-0000-0000-00008A310000}"/>
    <cellStyle name="Vírgula 10 7 2 4" xfId="9602" xr:uid="{00000000-0005-0000-0000-00008B310000}"/>
    <cellStyle name="Vírgula 10 7 2 4 2" xfId="20369" xr:uid="{00000000-0005-0000-0000-00008C310000}"/>
    <cellStyle name="Vírgula 10 7 2 5" xfId="16345" xr:uid="{00000000-0005-0000-0000-00008D310000}"/>
    <cellStyle name="Vírgula 10 7 3" xfId="3704" xr:uid="{00000000-0005-0000-0000-00008E310000}"/>
    <cellStyle name="Vírgula 10 7 3 2" xfId="6200" xr:uid="{00000000-0005-0000-0000-00008F310000}"/>
    <cellStyle name="Vírgula 10 7 3 2 2" xfId="23182" xr:uid="{00000000-0005-0000-0000-000090310000}"/>
    <cellStyle name="Vírgula 10 7 3 2 3" xfId="19235" xr:uid="{00000000-0005-0000-0000-000091310000}"/>
    <cellStyle name="Vírgula 10 7 3 3" xfId="10447" xr:uid="{00000000-0005-0000-0000-000092310000}"/>
    <cellStyle name="Vírgula 10 7 3 3 2" xfId="20772" xr:uid="{00000000-0005-0000-0000-000093310000}"/>
    <cellStyle name="Vírgula 10 7 3 4" xfId="16748" xr:uid="{00000000-0005-0000-0000-000094310000}"/>
    <cellStyle name="Vírgula 10 7 4" xfId="9122" xr:uid="{00000000-0005-0000-0000-000095310000}"/>
    <cellStyle name="Vírgula 10 8" xfId="2163" xr:uid="{00000000-0005-0000-0000-000096310000}"/>
    <cellStyle name="Vírgula 10 8 2" xfId="3292" xr:uid="{00000000-0005-0000-0000-000097310000}"/>
    <cellStyle name="Vírgula 10 8 2 2" xfId="4628" xr:uid="{00000000-0005-0000-0000-000098310000}"/>
    <cellStyle name="Vírgula 10 8 2 2 2" xfId="21668" xr:uid="{00000000-0005-0000-0000-000099310000}"/>
    <cellStyle name="Vírgula 10 8 2 2 3" xfId="17663" xr:uid="{00000000-0005-0000-0000-00009A310000}"/>
    <cellStyle name="Vírgula 10 8 2 3" xfId="5461" xr:uid="{00000000-0005-0000-0000-00009B310000}"/>
    <cellStyle name="Vírgula 10 8 2 3 2" xfId="22460" xr:uid="{00000000-0005-0000-0000-00009C310000}"/>
    <cellStyle name="Vírgula 10 8 2 3 3" xfId="18496" xr:uid="{00000000-0005-0000-0000-00009D310000}"/>
    <cellStyle name="Vírgula 10 8 2 4" xfId="10449" xr:uid="{00000000-0005-0000-0000-00009E310000}"/>
    <cellStyle name="Vírgula 10 8 2 4 2" xfId="20360" xr:uid="{00000000-0005-0000-0000-00009F310000}"/>
    <cellStyle name="Vírgula 10 8 2 5" xfId="16336" xr:uid="{00000000-0005-0000-0000-0000A0310000}"/>
    <cellStyle name="Vírgula 10 8 3" xfId="4177" xr:uid="{00000000-0005-0000-0000-0000A1310000}"/>
    <cellStyle name="Vírgula 10 8 3 2" xfId="6191" xr:uid="{00000000-0005-0000-0000-0000A2310000}"/>
    <cellStyle name="Vírgula 10 8 3 2 2" xfId="23173" xr:uid="{00000000-0005-0000-0000-0000A3310000}"/>
    <cellStyle name="Vírgula 10 8 3 2 3" xfId="19226" xr:uid="{00000000-0005-0000-0000-0000A4310000}"/>
    <cellStyle name="Vírgula 10 8 3 3" xfId="21224" xr:uid="{00000000-0005-0000-0000-0000A5310000}"/>
    <cellStyle name="Vírgula 10 8 3 4" xfId="17217" xr:uid="{00000000-0005-0000-0000-0000A6310000}"/>
    <cellStyle name="Vírgula 10 8 4" xfId="9471" xr:uid="{00000000-0005-0000-0000-0000A7310000}"/>
    <cellStyle name="Vírgula 10 9" xfId="3045" xr:uid="{00000000-0005-0000-0000-0000A8310000}"/>
    <cellStyle name="Vírgula 10 9 2" xfId="4179" xr:uid="{00000000-0005-0000-0000-0000A9310000}"/>
    <cellStyle name="Vírgula 10 9 2 2" xfId="5908" xr:uid="{00000000-0005-0000-0000-0000AA310000}"/>
    <cellStyle name="Vírgula 10 9 2 2 2" xfId="11147" xr:uid="{00000000-0005-0000-0000-0000AB310000}"/>
    <cellStyle name="Vírgula 10 9 2 2 2 2" xfId="22903" xr:uid="{00000000-0005-0000-0000-0000AC310000}"/>
    <cellStyle name="Vírgula 10 9 2 2 3" xfId="13104" xr:uid="{00000000-0005-0000-0000-0000AD310000}"/>
    <cellStyle name="Vírgula 10 9 2 2 4" xfId="18943" xr:uid="{00000000-0005-0000-0000-0000AE310000}"/>
    <cellStyle name="Vírgula 10 9 2 3" xfId="13711" xr:uid="{00000000-0005-0000-0000-0000AF310000}"/>
    <cellStyle name="Vírgula 10 9 2 3 2" xfId="21226" xr:uid="{00000000-0005-0000-0000-0000B0310000}"/>
    <cellStyle name="Vírgula 10 9 2 4" xfId="17219" xr:uid="{00000000-0005-0000-0000-0000B1310000}"/>
    <cellStyle name="Vírgula 10 9 3" xfId="5214" xr:uid="{00000000-0005-0000-0000-0000B2310000}"/>
    <cellStyle name="Vírgula 10 9 3 2" xfId="13223" xr:uid="{00000000-0005-0000-0000-0000B3310000}"/>
    <cellStyle name="Vírgula 10 9 3 2 2" xfId="22213" xr:uid="{00000000-0005-0000-0000-0000B4310000}"/>
    <cellStyle name="Vírgula 10 9 3 3" xfId="18249" xr:uid="{00000000-0005-0000-0000-0000B5310000}"/>
    <cellStyle name="Vírgula 10 9 4" xfId="11555" xr:uid="{00000000-0005-0000-0000-0000B6310000}"/>
    <cellStyle name="Vírgula 10 9 4 2" xfId="15038" xr:uid="{00000000-0005-0000-0000-0000B7310000}"/>
    <cellStyle name="Vírgula 10 9 4 3" xfId="13573" xr:uid="{00000000-0005-0000-0000-0000B8310000}"/>
    <cellStyle name="Vírgula 10 9 4 4" xfId="20113" xr:uid="{00000000-0005-0000-0000-0000B9310000}"/>
    <cellStyle name="Vírgula 10 9 5" xfId="16089" xr:uid="{00000000-0005-0000-0000-0000BA310000}"/>
    <cellStyle name="Vírgula 11" xfId="336" xr:uid="{00000000-0005-0000-0000-0000BB310000}"/>
    <cellStyle name="Vírgula 11 2" xfId="780" xr:uid="{00000000-0005-0000-0000-0000BC310000}"/>
    <cellStyle name="Vírgula 11 2 2" xfId="9715" xr:uid="{00000000-0005-0000-0000-0000BD310000}"/>
    <cellStyle name="Vírgula 11 3" xfId="2173" xr:uid="{00000000-0005-0000-0000-0000BE310000}"/>
    <cellStyle name="Vírgula 11 3 2" xfId="3302" xr:uid="{00000000-0005-0000-0000-0000BF310000}"/>
    <cellStyle name="Vírgula 11 3 2 2" xfId="4632" xr:uid="{00000000-0005-0000-0000-0000C0310000}"/>
    <cellStyle name="Vírgula 11 3 2 2 2" xfId="21672" xr:uid="{00000000-0005-0000-0000-0000C1310000}"/>
    <cellStyle name="Vírgula 11 3 2 2 3" xfId="17667" xr:uid="{00000000-0005-0000-0000-0000C2310000}"/>
    <cellStyle name="Vírgula 11 3 2 3" xfId="5471" xr:uid="{00000000-0005-0000-0000-0000C3310000}"/>
    <cellStyle name="Vírgula 11 3 2 3 2" xfId="11186" xr:uid="{00000000-0005-0000-0000-0000C4310000}"/>
    <cellStyle name="Vírgula 11 3 2 3 2 2" xfId="22470" xr:uid="{00000000-0005-0000-0000-0000C5310000}"/>
    <cellStyle name="Vírgula 11 3 2 3 3" xfId="11796" xr:uid="{00000000-0005-0000-0000-0000C6310000}"/>
    <cellStyle name="Vírgula 11 3 2 3 4" xfId="18506" xr:uid="{00000000-0005-0000-0000-0000C7310000}"/>
    <cellStyle name="Vírgula 11 3 2 4" xfId="20370" xr:uid="{00000000-0005-0000-0000-0000C8310000}"/>
    <cellStyle name="Vírgula 11 3 2 5" xfId="16346" xr:uid="{00000000-0005-0000-0000-0000C9310000}"/>
    <cellStyle name="Vírgula 11 3 3" xfId="4173" xr:uid="{00000000-0005-0000-0000-0000CA310000}"/>
    <cellStyle name="Vírgula 11 3 3 2" xfId="6201" xr:uid="{00000000-0005-0000-0000-0000CB310000}"/>
    <cellStyle name="Vírgula 11 3 3 2 2" xfId="23183" xr:uid="{00000000-0005-0000-0000-0000CC310000}"/>
    <cellStyle name="Vírgula 11 3 3 2 3" xfId="19236" xr:uid="{00000000-0005-0000-0000-0000CD310000}"/>
    <cellStyle name="Vírgula 11 3 3 3" xfId="21220" xr:uid="{00000000-0005-0000-0000-0000CE310000}"/>
    <cellStyle name="Vírgula 11 3 3 4" xfId="17213" xr:uid="{00000000-0005-0000-0000-0000CF310000}"/>
    <cellStyle name="Vírgula 11 3 4" xfId="9197" xr:uid="{00000000-0005-0000-0000-0000D0310000}"/>
    <cellStyle name="Vírgula 11 3 4 2" xfId="14885" xr:uid="{00000000-0005-0000-0000-0000D1310000}"/>
    <cellStyle name="Vírgula 11 3 4 3" xfId="13512" xr:uid="{00000000-0005-0000-0000-0000D2310000}"/>
    <cellStyle name="Vírgula 11 4" xfId="8470" xr:uid="{00000000-0005-0000-0000-0000D3310000}"/>
    <cellStyle name="Vírgula 11 5" xfId="8471" xr:uid="{00000000-0005-0000-0000-0000D4310000}"/>
    <cellStyle name="Vírgula 11 6" xfId="8472" xr:uid="{00000000-0005-0000-0000-0000D5310000}"/>
    <cellStyle name="Vírgula 11 7" xfId="8473" xr:uid="{00000000-0005-0000-0000-0000D6310000}"/>
    <cellStyle name="Vírgula 11 8" xfId="8474" xr:uid="{00000000-0005-0000-0000-0000D7310000}"/>
    <cellStyle name="Vírgula 12" xfId="337" xr:uid="{00000000-0005-0000-0000-0000D8310000}"/>
    <cellStyle name="Vírgula 12 10" xfId="10683" xr:uid="{00000000-0005-0000-0000-0000D9310000}"/>
    <cellStyle name="Vírgula 12 11" xfId="10814" xr:uid="{00000000-0005-0000-0000-0000DA310000}"/>
    <cellStyle name="Vírgula 12 12" xfId="8965" xr:uid="{00000000-0005-0000-0000-0000DB310000}"/>
    <cellStyle name="Vírgula 12 2" xfId="869" xr:uid="{00000000-0005-0000-0000-0000DC310000}"/>
    <cellStyle name="Vírgula 12 2 2" xfId="3154" xr:uid="{00000000-0005-0000-0000-0000DD310000}"/>
    <cellStyle name="Vírgula 12 2 2 2" xfId="3783" xr:uid="{00000000-0005-0000-0000-0000DE310000}"/>
    <cellStyle name="Vírgula 12 2 2 2 2" xfId="6554" xr:uid="{00000000-0005-0000-0000-0000DF310000}"/>
    <cellStyle name="Vírgula 12 2 2 2 2 2" xfId="10452" xr:uid="{00000000-0005-0000-0000-0000E0310000}"/>
    <cellStyle name="Vírgula 12 2 2 2 2 2 2" xfId="23536" xr:uid="{00000000-0005-0000-0000-0000E1310000}"/>
    <cellStyle name="Vírgula 12 2 2 2 2 3" xfId="19589" xr:uid="{00000000-0005-0000-0000-0000E2310000}"/>
    <cellStyle name="Vírgula 12 2 2 2 3" xfId="9795" xr:uid="{00000000-0005-0000-0000-0000E3310000}"/>
    <cellStyle name="Vírgula 12 2 2 2 3 2" xfId="20845" xr:uid="{00000000-0005-0000-0000-0000E4310000}"/>
    <cellStyle name="Vírgula 12 2 2 2 4" xfId="16825" xr:uid="{00000000-0005-0000-0000-0000E5310000}"/>
    <cellStyle name="Vírgula 12 2 2 3" xfId="5323" xr:uid="{00000000-0005-0000-0000-0000E6310000}"/>
    <cellStyle name="Vírgula 12 2 2 3 2" xfId="10451" xr:uid="{00000000-0005-0000-0000-0000E7310000}"/>
    <cellStyle name="Vírgula 12 2 2 3 2 2" xfId="22322" xr:uid="{00000000-0005-0000-0000-0000E8310000}"/>
    <cellStyle name="Vírgula 12 2 2 3 3" xfId="11402" xr:uid="{00000000-0005-0000-0000-0000E9310000}"/>
    <cellStyle name="Vírgula 12 2 2 3 4" xfId="12356" xr:uid="{00000000-0005-0000-0000-0000EA310000}"/>
    <cellStyle name="Vírgula 12 2 2 3 5" xfId="18358" xr:uid="{00000000-0005-0000-0000-0000EB310000}"/>
    <cellStyle name="Vírgula 12 2 2 4" xfId="9377" xr:uid="{00000000-0005-0000-0000-0000EC310000}"/>
    <cellStyle name="Vírgula 12 2 2 4 2" xfId="14887" xr:uid="{00000000-0005-0000-0000-0000ED310000}"/>
    <cellStyle name="Vírgula 12 2 2 4 3" xfId="13609" xr:uid="{00000000-0005-0000-0000-0000EE310000}"/>
    <cellStyle name="Vírgula 12 2 2 4 4" xfId="20222" xr:uid="{00000000-0005-0000-0000-0000EF310000}"/>
    <cellStyle name="Vírgula 12 2 2 5" xfId="16198" xr:uid="{00000000-0005-0000-0000-0000F0310000}"/>
    <cellStyle name="Vírgula 12 2 3" xfId="3903" xr:uid="{00000000-0005-0000-0000-0000F1310000}"/>
    <cellStyle name="Vírgula 12 2 3 2" xfId="6044" xr:uid="{00000000-0005-0000-0000-0000F2310000}"/>
    <cellStyle name="Vírgula 12 2 3 2 2" xfId="10453" xr:uid="{00000000-0005-0000-0000-0000F3310000}"/>
    <cellStyle name="Vírgula 12 2 3 2 2 2" xfId="23033" xr:uid="{00000000-0005-0000-0000-0000F4310000}"/>
    <cellStyle name="Vírgula 12 2 3 2 3" xfId="19079" xr:uid="{00000000-0005-0000-0000-0000F5310000}"/>
    <cellStyle name="Vírgula 12 2 3 3" xfId="9514" xr:uid="{00000000-0005-0000-0000-0000F6310000}"/>
    <cellStyle name="Vírgula 12 2 3 3 2" xfId="20960" xr:uid="{00000000-0005-0000-0000-0000F7310000}"/>
    <cellStyle name="Vírgula 12 2 3 4" xfId="16945" xr:uid="{00000000-0005-0000-0000-0000F8310000}"/>
    <cellStyle name="Vírgula 12 2 4" xfId="6739" xr:uid="{00000000-0005-0000-0000-0000F9310000}"/>
    <cellStyle name="Vírgula 12 2 4 2" xfId="10450" xr:uid="{00000000-0005-0000-0000-0000FA310000}"/>
    <cellStyle name="Vírgula 12 2 4 2 2" xfId="23712" xr:uid="{00000000-0005-0000-0000-0000FB310000}"/>
    <cellStyle name="Vírgula 12 2 4 3" xfId="19774" xr:uid="{00000000-0005-0000-0000-0000FC310000}"/>
    <cellStyle name="Vírgula 12 2 5" xfId="5057" xr:uid="{00000000-0005-0000-0000-0000FD310000}"/>
    <cellStyle name="Vírgula 12 2 5 2" xfId="10727" xr:uid="{00000000-0005-0000-0000-0000FE310000}"/>
    <cellStyle name="Vírgula 12 2 5 2 2" xfId="22065" xr:uid="{00000000-0005-0000-0000-0000FF310000}"/>
    <cellStyle name="Vírgula 12 2 5 3" xfId="18092" xr:uid="{00000000-0005-0000-0000-000000320000}"/>
    <cellStyle name="Vírgula 12 2 6" xfId="10858" xr:uid="{00000000-0005-0000-0000-000001320000}"/>
    <cellStyle name="Vírgula 12 2 6 2" xfId="19965" xr:uid="{00000000-0005-0000-0000-000002320000}"/>
    <cellStyle name="Vírgula 12 2 7" xfId="9259" xr:uid="{00000000-0005-0000-0000-000003320000}"/>
    <cellStyle name="Vírgula 12 2 8" xfId="15925" xr:uid="{00000000-0005-0000-0000-000004320000}"/>
    <cellStyle name="Vírgula 12 3" xfId="4082" xr:uid="{00000000-0005-0000-0000-000005320000}"/>
    <cellStyle name="Vírgula 12 3 2" xfId="5910" xr:uid="{00000000-0005-0000-0000-000006320000}"/>
    <cellStyle name="Vírgula 12 3 2 2" xfId="9837" xr:uid="{00000000-0005-0000-0000-000007320000}"/>
    <cellStyle name="Vírgula 12 3 2 2 2" xfId="10456" xr:uid="{00000000-0005-0000-0000-000008320000}"/>
    <cellStyle name="Vírgula 12 3 2 2 3" xfId="22905" xr:uid="{00000000-0005-0000-0000-000009320000}"/>
    <cellStyle name="Vírgula 12 3 2 3" xfId="10455" xr:uid="{00000000-0005-0000-0000-00000A320000}"/>
    <cellStyle name="Vírgula 12 3 2 4" xfId="9416" xr:uid="{00000000-0005-0000-0000-00000B320000}"/>
    <cellStyle name="Vírgula 12 3 2 5" xfId="18945" xr:uid="{00000000-0005-0000-0000-00000C320000}"/>
    <cellStyle name="Vírgula 12 3 3" xfId="9556" xr:uid="{00000000-0005-0000-0000-00000D320000}"/>
    <cellStyle name="Vírgula 12 3 3 2" xfId="10457" xr:uid="{00000000-0005-0000-0000-00000E320000}"/>
    <cellStyle name="Vírgula 12 3 3 3" xfId="21130" xr:uid="{00000000-0005-0000-0000-00000F320000}"/>
    <cellStyle name="Vírgula 12 3 4" xfId="10454" xr:uid="{00000000-0005-0000-0000-000010320000}"/>
    <cellStyle name="Vírgula 12 3 5" xfId="10766" xr:uid="{00000000-0005-0000-0000-000011320000}"/>
    <cellStyle name="Vírgula 12 3 6" xfId="10896" xr:uid="{00000000-0005-0000-0000-000012320000}"/>
    <cellStyle name="Vírgula 12 3 7" xfId="9294" xr:uid="{00000000-0005-0000-0000-000013320000}"/>
    <cellStyle name="Vírgula 12 3 8" xfId="17122" xr:uid="{00000000-0005-0000-0000-000014320000}"/>
    <cellStyle name="Vírgula 12 4" xfId="9198" xr:uid="{00000000-0005-0000-0000-000015320000}"/>
    <cellStyle name="Vírgula 12 4 2" xfId="9651" xr:uid="{00000000-0005-0000-0000-000016320000}"/>
    <cellStyle name="Vírgula 12 4 2 2" xfId="10459" xr:uid="{00000000-0005-0000-0000-000017320000}"/>
    <cellStyle name="Vírgula 12 4 3" xfId="10458" xr:uid="{00000000-0005-0000-0000-000018320000}"/>
    <cellStyle name="Vírgula 12 5" xfId="9339" xr:uid="{00000000-0005-0000-0000-000019320000}"/>
    <cellStyle name="Vírgula 12 5 2" xfId="9752" xr:uid="{00000000-0005-0000-0000-00001A320000}"/>
    <cellStyle name="Vírgula 12 5 2 2" xfId="10461" xr:uid="{00000000-0005-0000-0000-00001B320000}"/>
    <cellStyle name="Vírgula 12 5 3" xfId="10460" xr:uid="{00000000-0005-0000-0000-00001C320000}"/>
    <cellStyle name="Vírgula 12 6" xfId="9123" xr:uid="{00000000-0005-0000-0000-00001D320000}"/>
    <cellStyle name="Vírgula 12 6 2" xfId="9603" xr:uid="{00000000-0005-0000-0000-00001E320000}"/>
    <cellStyle name="Vírgula 12 6 2 2" xfId="10463" xr:uid="{00000000-0005-0000-0000-00001F320000}"/>
    <cellStyle name="Vírgula 12 6 3" xfId="10462" xr:uid="{00000000-0005-0000-0000-000020320000}"/>
    <cellStyle name="Vírgula 12 7" xfId="9472" xr:uid="{00000000-0005-0000-0000-000021320000}"/>
    <cellStyle name="Vírgula 12 7 2" xfId="10464" xr:uid="{00000000-0005-0000-0000-000022320000}"/>
    <cellStyle name="Vírgula 12 8" xfId="9896" xr:uid="{00000000-0005-0000-0000-000023320000}"/>
    <cellStyle name="Vírgula 12 9" xfId="9056" xr:uid="{00000000-0005-0000-0000-000024320000}"/>
    <cellStyle name="Vírgula 13" xfId="993" xr:uid="{00000000-0005-0000-0000-000025320000}"/>
    <cellStyle name="Vírgula 13 2" xfId="1082" xr:uid="{00000000-0005-0000-0000-000026320000}"/>
    <cellStyle name="Vírgula 13 2 2" xfId="3214" xr:uid="{00000000-0005-0000-0000-000027320000}"/>
    <cellStyle name="Vírgula 13 2 2 2" xfId="4154" xr:uid="{00000000-0005-0000-0000-000028320000}"/>
    <cellStyle name="Vírgula 13 2 2 2 2" xfId="6609" xr:uid="{00000000-0005-0000-0000-000029320000}"/>
    <cellStyle name="Vírgula 13 2 2 2 2 2" xfId="23591" xr:uid="{00000000-0005-0000-0000-00002A320000}"/>
    <cellStyle name="Vírgula 13 2 2 2 2 3" xfId="19644" xr:uid="{00000000-0005-0000-0000-00002B320000}"/>
    <cellStyle name="Vírgula 13 2 2 2 3" xfId="21202" xr:uid="{00000000-0005-0000-0000-00002C320000}"/>
    <cellStyle name="Vírgula 13 2 2 2 4" xfId="17194" xr:uid="{00000000-0005-0000-0000-00002D320000}"/>
    <cellStyle name="Vírgula 13 2 2 3" xfId="5383" xr:uid="{00000000-0005-0000-0000-00002E320000}"/>
    <cellStyle name="Vírgula 13 2 2 3 2" xfId="22382" xr:uid="{00000000-0005-0000-0000-00002F320000}"/>
    <cellStyle name="Vírgula 13 2 2 3 3" xfId="18418" xr:uid="{00000000-0005-0000-0000-000030320000}"/>
    <cellStyle name="Vírgula 13 2 2 4" xfId="20282" xr:uid="{00000000-0005-0000-0000-000031320000}"/>
    <cellStyle name="Vírgula 13 2 2 5" xfId="16258" xr:uid="{00000000-0005-0000-0000-000032320000}"/>
    <cellStyle name="Vírgula 13 2 3" xfId="3992" xr:uid="{00000000-0005-0000-0000-000033320000}"/>
    <cellStyle name="Vírgula 13 2 3 2" xfId="6107" xr:uid="{00000000-0005-0000-0000-000034320000}"/>
    <cellStyle name="Vírgula 13 2 3 2 2" xfId="23095" xr:uid="{00000000-0005-0000-0000-000035320000}"/>
    <cellStyle name="Vírgula 13 2 3 2 3" xfId="19142" xr:uid="{00000000-0005-0000-0000-000036320000}"/>
    <cellStyle name="Vírgula 13 2 3 3" xfId="21048" xr:uid="{00000000-0005-0000-0000-000037320000}"/>
    <cellStyle name="Vírgula 13 2 3 4" xfId="17034" xr:uid="{00000000-0005-0000-0000-000038320000}"/>
    <cellStyle name="Vírgula 13 2 4" xfId="6795" xr:uid="{00000000-0005-0000-0000-000039320000}"/>
    <cellStyle name="Vírgula 13 2 4 2" xfId="23767" xr:uid="{00000000-0005-0000-0000-00003A320000}"/>
    <cellStyle name="Vírgula 13 2 4 3" xfId="19830" xr:uid="{00000000-0005-0000-0000-00003B320000}"/>
    <cellStyle name="Vírgula 13 2 5" xfId="5113" xr:uid="{00000000-0005-0000-0000-00003C320000}"/>
    <cellStyle name="Vírgula 13 2 5 2" xfId="22120" xr:uid="{00000000-0005-0000-0000-00003D320000}"/>
    <cellStyle name="Vírgula 13 2 5 3" xfId="18148" xr:uid="{00000000-0005-0000-0000-00003E320000}"/>
    <cellStyle name="Vírgula 13 2 6" xfId="9616" xr:uid="{00000000-0005-0000-0000-00003F320000}"/>
    <cellStyle name="Vírgula 13 2 6 2" xfId="20020" xr:uid="{00000000-0005-0000-0000-000040320000}"/>
    <cellStyle name="Vírgula 13 2 7" xfId="15983" xr:uid="{00000000-0005-0000-0000-000041320000}"/>
    <cellStyle name="Vírgula 13 3" xfId="2174" xr:uid="{00000000-0005-0000-0000-000042320000}"/>
    <cellStyle name="Vírgula 13 3 2" xfId="3303" xr:uid="{00000000-0005-0000-0000-000043320000}"/>
    <cellStyle name="Vírgula 13 3 2 2" xfId="4633" xr:uid="{00000000-0005-0000-0000-000044320000}"/>
    <cellStyle name="Vírgula 13 3 2 2 2" xfId="21673" xr:uid="{00000000-0005-0000-0000-000045320000}"/>
    <cellStyle name="Vírgula 13 3 2 2 3" xfId="17668" xr:uid="{00000000-0005-0000-0000-000046320000}"/>
    <cellStyle name="Vírgula 13 3 2 3" xfId="5472" xr:uid="{00000000-0005-0000-0000-000047320000}"/>
    <cellStyle name="Vírgula 13 3 2 3 2" xfId="22471" xr:uid="{00000000-0005-0000-0000-000048320000}"/>
    <cellStyle name="Vírgula 13 3 2 3 3" xfId="18507" xr:uid="{00000000-0005-0000-0000-000049320000}"/>
    <cellStyle name="Vírgula 13 3 2 4" xfId="20371" xr:uid="{00000000-0005-0000-0000-00004A320000}"/>
    <cellStyle name="Vírgula 13 3 2 5" xfId="16347" xr:uid="{00000000-0005-0000-0000-00004B320000}"/>
    <cellStyle name="Vírgula 13 3 3" xfId="4125" xr:uid="{00000000-0005-0000-0000-00004C320000}"/>
    <cellStyle name="Vírgula 13 3 3 2" xfId="6202" xr:uid="{00000000-0005-0000-0000-00004D320000}"/>
    <cellStyle name="Vírgula 13 3 3 2 2" xfId="23184" xr:uid="{00000000-0005-0000-0000-00004E320000}"/>
    <cellStyle name="Vírgula 13 3 3 2 3" xfId="19237" xr:uid="{00000000-0005-0000-0000-00004F320000}"/>
    <cellStyle name="Vírgula 13 3 3 3" xfId="21173" xr:uid="{00000000-0005-0000-0000-000050320000}"/>
    <cellStyle name="Vírgula 13 3 3 4" xfId="17165" xr:uid="{00000000-0005-0000-0000-000051320000}"/>
    <cellStyle name="Vírgula 13 4" xfId="6102" xr:uid="{00000000-0005-0000-0000-000052320000}"/>
    <cellStyle name="Vírgula 13 4 2" xfId="23090" xr:uid="{00000000-0005-0000-0000-000053320000}"/>
    <cellStyle name="Vírgula 13 4 3" xfId="19137" xr:uid="{00000000-0005-0000-0000-000054320000}"/>
    <cellStyle name="Vírgula 14" xfId="1083" xr:uid="{00000000-0005-0000-0000-000055320000}"/>
    <cellStyle name="Vírgula 14 2" xfId="2175" xr:uid="{00000000-0005-0000-0000-000056320000}"/>
    <cellStyle name="Vírgula 14 2 2" xfId="3304" xr:uid="{00000000-0005-0000-0000-000057320000}"/>
    <cellStyle name="Vírgula 14 2 2 2" xfId="4634" xr:uid="{00000000-0005-0000-0000-000058320000}"/>
    <cellStyle name="Vírgula 14 2 2 2 2" xfId="21674" xr:uid="{00000000-0005-0000-0000-000059320000}"/>
    <cellStyle name="Vírgula 14 2 2 2 3" xfId="17669" xr:uid="{00000000-0005-0000-0000-00005A320000}"/>
    <cellStyle name="Vírgula 14 2 2 3" xfId="5473" xr:uid="{00000000-0005-0000-0000-00005B320000}"/>
    <cellStyle name="Vírgula 14 2 2 3 2" xfId="22472" xr:uid="{00000000-0005-0000-0000-00005C320000}"/>
    <cellStyle name="Vírgula 14 2 2 3 3" xfId="18508" xr:uid="{00000000-0005-0000-0000-00005D320000}"/>
    <cellStyle name="Vírgula 14 2 2 4" xfId="20372" xr:uid="{00000000-0005-0000-0000-00005E320000}"/>
    <cellStyle name="Vírgula 14 2 2 5" xfId="16348" xr:uid="{00000000-0005-0000-0000-00005F320000}"/>
    <cellStyle name="Vírgula 14 2 3" xfId="3782" xr:uid="{00000000-0005-0000-0000-000060320000}"/>
    <cellStyle name="Vírgula 14 2 3 2" xfId="6203" xr:uid="{00000000-0005-0000-0000-000061320000}"/>
    <cellStyle name="Vírgula 14 2 3 2 2" xfId="23185" xr:uid="{00000000-0005-0000-0000-000062320000}"/>
    <cellStyle name="Vírgula 14 2 3 2 3" xfId="19238" xr:uid="{00000000-0005-0000-0000-000063320000}"/>
    <cellStyle name="Vírgula 14 2 3 3" xfId="20844" xr:uid="{00000000-0005-0000-0000-000064320000}"/>
    <cellStyle name="Vírgula 14 2 3 4" xfId="16824" xr:uid="{00000000-0005-0000-0000-000065320000}"/>
    <cellStyle name="Vírgula 14 2 4" xfId="10679" xr:uid="{00000000-0005-0000-0000-000066320000}"/>
    <cellStyle name="Vírgula 14 3" xfId="3215" xr:uid="{00000000-0005-0000-0000-000067320000}"/>
    <cellStyle name="Vírgula 14 3 2" xfId="4250" xr:uid="{00000000-0005-0000-0000-000068320000}"/>
    <cellStyle name="Vírgula 14 3 2 2" xfId="6610" xr:uid="{00000000-0005-0000-0000-000069320000}"/>
    <cellStyle name="Vírgula 14 3 2 2 2" xfId="23592" xr:uid="{00000000-0005-0000-0000-00006A320000}"/>
    <cellStyle name="Vírgula 14 3 2 2 3" xfId="19645" xr:uid="{00000000-0005-0000-0000-00006B320000}"/>
    <cellStyle name="Vírgula 14 3 2 3" xfId="21294" xr:uid="{00000000-0005-0000-0000-00006C320000}"/>
    <cellStyle name="Vírgula 14 3 2 4" xfId="17287" xr:uid="{00000000-0005-0000-0000-00006D320000}"/>
    <cellStyle name="Vírgula 14 3 3" xfId="5384" xr:uid="{00000000-0005-0000-0000-00006E320000}"/>
    <cellStyle name="Vírgula 14 3 3 2" xfId="22383" xr:uid="{00000000-0005-0000-0000-00006F320000}"/>
    <cellStyle name="Vírgula 14 3 3 3" xfId="18419" xr:uid="{00000000-0005-0000-0000-000070320000}"/>
    <cellStyle name="Vírgula 14 3 4" xfId="20283" xr:uid="{00000000-0005-0000-0000-000071320000}"/>
    <cellStyle name="Vírgula 14 3 5" xfId="16259" xr:uid="{00000000-0005-0000-0000-000072320000}"/>
    <cellStyle name="Vírgula 14 4" xfId="3993" xr:uid="{00000000-0005-0000-0000-000073320000}"/>
    <cellStyle name="Vírgula 14 4 2" xfId="6108" xr:uid="{00000000-0005-0000-0000-000074320000}"/>
    <cellStyle name="Vírgula 14 4 2 2" xfId="23096" xr:uid="{00000000-0005-0000-0000-000075320000}"/>
    <cellStyle name="Vírgula 14 4 2 3" xfId="19143" xr:uid="{00000000-0005-0000-0000-000076320000}"/>
    <cellStyle name="Vírgula 14 4 3" xfId="21049" xr:uid="{00000000-0005-0000-0000-000077320000}"/>
    <cellStyle name="Vírgula 14 4 4" xfId="17035" xr:uid="{00000000-0005-0000-0000-000078320000}"/>
    <cellStyle name="Vírgula 14 5" xfId="6796" xr:uid="{00000000-0005-0000-0000-000079320000}"/>
    <cellStyle name="Vírgula 14 5 2" xfId="23768" xr:uid="{00000000-0005-0000-0000-00007A320000}"/>
    <cellStyle name="Vírgula 14 5 3" xfId="19831" xr:uid="{00000000-0005-0000-0000-00007B320000}"/>
    <cellStyle name="Vírgula 14 6" xfId="5114" xr:uid="{00000000-0005-0000-0000-00007C320000}"/>
    <cellStyle name="Vírgula 14 6 2" xfId="22121" xr:uid="{00000000-0005-0000-0000-00007D320000}"/>
    <cellStyle name="Vírgula 14 6 3" xfId="18149" xr:uid="{00000000-0005-0000-0000-00007E320000}"/>
    <cellStyle name="Vírgula 14 7" xfId="20021" xr:uid="{00000000-0005-0000-0000-00007F320000}"/>
    <cellStyle name="Vírgula 14 8" xfId="15984" xr:uid="{00000000-0005-0000-0000-000080320000}"/>
    <cellStyle name="Vírgula 15" xfId="2176" xr:uid="{00000000-0005-0000-0000-000081320000}"/>
    <cellStyle name="Vírgula 15 2" xfId="3305" xr:uid="{00000000-0005-0000-0000-000082320000}"/>
    <cellStyle name="Vírgula 15 2 2" xfId="4635" xr:uid="{00000000-0005-0000-0000-000083320000}"/>
    <cellStyle name="Vírgula 15 2 2 2" xfId="21675" xr:uid="{00000000-0005-0000-0000-000084320000}"/>
    <cellStyle name="Vírgula 15 2 2 3" xfId="17670" xr:uid="{00000000-0005-0000-0000-000085320000}"/>
    <cellStyle name="Vírgula 15 2 3" xfId="5474" xr:uid="{00000000-0005-0000-0000-000086320000}"/>
    <cellStyle name="Vírgula 15 2 3 2" xfId="22473" xr:uid="{00000000-0005-0000-0000-000087320000}"/>
    <cellStyle name="Vírgula 15 2 3 3" xfId="18509" xr:uid="{00000000-0005-0000-0000-000088320000}"/>
    <cellStyle name="Vírgula 15 2 4" xfId="20373" xr:uid="{00000000-0005-0000-0000-000089320000}"/>
    <cellStyle name="Vírgula 15 2 5" xfId="16349" xr:uid="{00000000-0005-0000-0000-00008A320000}"/>
    <cellStyle name="Vírgula 15 3" xfId="4207" xr:uid="{00000000-0005-0000-0000-00008B320000}"/>
    <cellStyle name="Vírgula 15 3 2" xfId="6204" xr:uid="{00000000-0005-0000-0000-00008C320000}"/>
    <cellStyle name="Vírgula 15 3 2 2" xfId="23186" xr:uid="{00000000-0005-0000-0000-00008D320000}"/>
    <cellStyle name="Vírgula 15 3 2 3" xfId="19239" xr:uid="{00000000-0005-0000-0000-00008E320000}"/>
    <cellStyle name="Vírgula 15 3 3" xfId="21253" xr:uid="{00000000-0005-0000-0000-00008F320000}"/>
    <cellStyle name="Vírgula 15 3 4" xfId="17246" xr:uid="{00000000-0005-0000-0000-000090320000}"/>
    <cellStyle name="Vírgula 16" xfId="2177" xr:uid="{00000000-0005-0000-0000-000091320000}"/>
    <cellStyle name="Vírgula 16 2" xfId="3306" xr:uid="{00000000-0005-0000-0000-000092320000}"/>
    <cellStyle name="Vírgula 16 2 2" xfId="4636" xr:uid="{00000000-0005-0000-0000-000093320000}"/>
    <cellStyle name="Vírgula 16 2 2 2" xfId="21676" xr:uid="{00000000-0005-0000-0000-000094320000}"/>
    <cellStyle name="Vírgula 16 2 2 3" xfId="17671" xr:uid="{00000000-0005-0000-0000-000095320000}"/>
    <cellStyle name="Vírgula 16 2 3" xfId="5475" xr:uid="{00000000-0005-0000-0000-000096320000}"/>
    <cellStyle name="Vírgula 16 2 3 2" xfId="22474" xr:uid="{00000000-0005-0000-0000-000097320000}"/>
    <cellStyle name="Vírgula 16 2 3 3" xfId="18510" xr:uid="{00000000-0005-0000-0000-000098320000}"/>
    <cellStyle name="Vírgula 16 2 4" xfId="20374" xr:uid="{00000000-0005-0000-0000-000099320000}"/>
    <cellStyle name="Vírgula 16 2 5" xfId="16350" xr:uid="{00000000-0005-0000-0000-00009A320000}"/>
    <cellStyle name="Vírgula 16 3" xfId="4231" xr:uid="{00000000-0005-0000-0000-00009B320000}"/>
    <cellStyle name="Vírgula 16 3 2" xfId="6205" xr:uid="{00000000-0005-0000-0000-00009C320000}"/>
    <cellStyle name="Vírgula 16 3 2 2" xfId="23187" xr:uid="{00000000-0005-0000-0000-00009D320000}"/>
    <cellStyle name="Vírgula 16 3 2 3" xfId="19240" xr:uid="{00000000-0005-0000-0000-00009E320000}"/>
    <cellStyle name="Vírgula 16 3 3" xfId="21277" xr:uid="{00000000-0005-0000-0000-00009F320000}"/>
    <cellStyle name="Vírgula 16 3 4" xfId="17270" xr:uid="{00000000-0005-0000-0000-0000A0320000}"/>
    <cellStyle name="Vírgula 17" xfId="3095" xr:uid="{00000000-0005-0000-0000-0000A1320000}"/>
    <cellStyle name="Vírgula 17 2" xfId="4510" xr:uid="{00000000-0005-0000-0000-0000A2320000}"/>
    <cellStyle name="Vírgula 17 2 2" xfId="21550" xr:uid="{00000000-0005-0000-0000-0000A3320000}"/>
    <cellStyle name="Vírgula 17 2 3" xfId="17545" xr:uid="{00000000-0005-0000-0000-0000A4320000}"/>
    <cellStyle name="Vírgula 17 3" xfId="5264" xr:uid="{00000000-0005-0000-0000-0000A5320000}"/>
    <cellStyle name="Vírgula 17 3 2" xfId="13288" xr:uid="{00000000-0005-0000-0000-0000A6320000}"/>
    <cellStyle name="Vírgula 17 3 2 2" xfId="22263" xr:uid="{00000000-0005-0000-0000-0000A7320000}"/>
    <cellStyle name="Vírgula 17 3 3" xfId="12896" xr:uid="{00000000-0005-0000-0000-0000A8320000}"/>
    <cellStyle name="Vírgula 17 3 4" xfId="18299" xr:uid="{00000000-0005-0000-0000-0000A9320000}"/>
    <cellStyle name="Vírgula 17 4" xfId="20163" xr:uid="{00000000-0005-0000-0000-0000AA320000}"/>
    <cellStyle name="Vírgula 17 5" xfId="16139" xr:uid="{00000000-0005-0000-0000-0000AB320000}"/>
    <cellStyle name="Vírgula 18" xfId="3838" xr:uid="{00000000-0005-0000-0000-0000AC320000}"/>
    <cellStyle name="Vírgula 18 2" xfId="6714" xr:uid="{00000000-0005-0000-0000-0000AD320000}"/>
    <cellStyle name="Vírgula 18 2 2" xfId="23692" xr:uid="{00000000-0005-0000-0000-0000AE320000}"/>
    <cellStyle name="Vírgula 18 2 3" xfId="19749" xr:uid="{00000000-0005-0000-0000-0000AF320000}"/>
    <cellStyle name="Vírgula 18 3" xfId="20900" xr:uid="{00000000-0005-0000-0000-0000B0320000}"/>
    <cellStyle name="Vírgula 18 4" xfId="16880" xr:uid="{00000000-0005-0000-0000-0000B1320000}"/>
    <cellStyle name="Vírgula 19" xfId="5032" xr:uid="{00000000-0005-0000-0000-0000B2320000}"/>
    <cellStyle name="Vírgula 19 2" xfId="22045" xr:uid="{00000000-0005-0000-0000-0000B3320000}"/>
    <cellStyle name="Vírgula 19 3" xfId="18067" xr:uid="{00000000-0005-0000-0000-0000B4320000}"/>
    <cellStyle name="Vírgula 2" xfId="50" xr:uid="{00000000-0005-0000-0000-0000B5320000}"/>
    <cellStyle name="Vírgula 2 10" xfId="641" xr:uid="{00000000-0005-0000-0000-0000B6320000}"/>
    <cellStyle name="Vírgula 2 10 2" xfId="3097" xr:uid="{00000000-0005-0000-0000-0000B7320000}"/>
    <cellStyle name="Vírgula 2 10 2 2" xfId="4512" xr:uid="{00000000-0005-0000-0000-0000B8320000}"/>
    <cellStyle name="Vírgula 2 10 2 2 2" xfId="21552" xr:uid="{00000000-0005-0000-0000-0000B9320000}"/>
    <cellStyle name="Vírgula 2 10 2 2 3" xfId="17547" xr:uid="{00000000-0005-0000-0000-0000BA320000}"/>
    <cellStyle name="Vírgula 2 10 2 3" xfId="5266" xr:uid="{00000000-0005-0000-0000-0000BB320000}"/>
    <cellStyle name="Vírgula 2 10 2 3 2" xfId="22265" xr:uid="{00000000-0005-0000-0000-0000BC320000}"/>
    <cellStyle name="Vírgula 2 10 2 3 3" xfId="18301" xr:uid="{00000000-0005-0000-0000-0000BD320000}"/>
    <cellStyle name="Vírgula 2 10 2 4" xfId="20165" xr:uid="{00000000-0005-0000-0000-0000BE320000}"/>
    <cellStyle name="Vírgula 2 10 2 5" xfId="16141" xr:uid="{00000000-0005-0000-0000-0000BF320000}"/>
    <cellStyle name="Vírgula 2 10 3" xfId="4468" xr:uid="{00000000-0005-0000-0000-0000C0320000}"/>
    <cellStyle name="Vírgula 2 10 3 2" xfId="5981" xr:uid="{00000000-0005-0000-0000-0000C1320000}"/>
    <cellStyle name="Vírgula 2 10 3 2 2" xfId="22975" xr:uid="{00000000-0005-0000-0000-0000C2320000}"/>
    <cellStyle name="Vírgula 2 10 3 2 3" xfId="19016" xr:uid="{00000000-0005-0000-0000-0000C3320000}"/>
    <cellStyle name="Vírgula 2 10 3 3" xfId="21508" xr:uid="{00000000-0005-0000-0000-0000C4320000}"/>
    <cellStyle name="Vírgula 2 10 3 4" xfId="17503" xr:uid="{00000000-0005-0000-0000-0000C5320000}"/>
    <cellStyle name="Vírgula 2 11" xfId="2178" xr:uid="{00000000-0005-0000-0000-0000C6320000}"/>
    <cellStyle name="Vírgula 2 11 2" xfId="3307" xr:uid="{00000000-0005-0000-0000-0000C7320000}"/>
    <cellStyle name="Vírgula 2 11 2 2" xfId="4637" xr:uid="{00000000-0005-0000-0000-0000C8320000}"/>
    <cellStyle name="Vírgula 2 11 2 2 2" xfId="21677" xr:uid="{00000000-0005-0000-0000-0000C9320000}"/>
    <cellStyle name="Vírgula 2 11 2 2 3" xfId="17672" xr:uid="{00000000-0005-0000-0000-0000CA320000}"/>
    <cellStyle name="Vírgula 2 11 2 3" xfId="5476" xr:uid="{00000000-0005-0000-0000-0000CB320000}"/>
    <cellStyle name="Vírgula 2 11 2 3 2" xfId="22475" xr:uid="{00000000-0005-0000-0000-0000CC320000}"/>
    <cellStyle name="Vírgula 2 11 2 3 3" xfId="18511" xr:uid="{00000000-0005-0000-0000-0000CD320000}"/>
    <cellStyle name="Vírgula 2 11 2 4" xfId="20375" xr:uid="{00000000-0005-0000-0000-0000CE320000}"/>
    <cellStyle name="Vírgula 2 11 2 5" xfId="16351" xr:uid="{00000000-0005-0000-0000-0000CF320000}"/>
    <cellStyle name="Vírgula 2 11 3" xfId="4122" xr:uid="{00000000-0005-0000-0000-0000D0320000}"/>
    <cellStyle name="Vírgula 2 11 3 2" xfId="6206" xr:uid="{00000000-0005-0000-0000-0000D1320000}"/>
    <cellStyle name="Vírgula 2 11 3 2 2" xfId="23188" xr:uid="{00000000-0005-0000-0000-0000D2320000}"/>
    <cellStyle name="Vírgula 2 11 3 2 3" xfId="19241" xr:uid="{00000000-0005-0000-0000-0000D3320000}"/>
    <cellStyle name="Vírgula 2 11 3 3" xfId="21170" xr:uid="{00000000-0005-0000-0000-0000D4320000}"/>
    <cellStyle name="Vírgula 2 11 3 4" xfId="17162" xr:uid="{00000000-0005-0000-0000-0000D5320000}"/>
    <cellStyle name="Vírgula 2 12" xfId="4194" xr:uid="{00000000-0005-0000-0000-0000D6320000}"/>
    <cellStyle name="Vírgula 2 12 2" xfId="5873" xr:uid="{00000000-0005-0000-0000-0000D7320000}"/>
    <cellStyle name="Vírgula 2 12 2 2" xfId="13082" xr:uid="{00000000-0005-0000-0000-0000D8320000}"/>
    <cellStyle name="Vírgula 2 12 2 2 2" xfId="22869" xr:uid="{00000000-0005-0000-0000-0000D9320000}"/>
    <cellStyle name="Vírgula 2 12 2 3" xfId="10971" xr:uid="{00000000-0005-0000-0000-0000DA320000}"/>
    <cellStyle name="Vírgula 2 12 2 4" xfId="18908" xr:uid="{00000000-0005-0000-0000-0000DB320000}"/>
    <cellStyle name="Vírgula 2 12 3" xfId="13714" xr:uid="{00000000-0005-0000-0000-0000DC320000}"/>
    <cellStyle name="Vírgula 2 12 3 2" xfId="21240" xr:uid="{00000000-0005-0000-0000-0000DD320000}"/>
    <cellStyle name="Vírgula 2 12 4" xfId="17233" xr:uid="{00000000-0005-0000-0000-0000DE320000}"/>
    <cellStyle name="Vírgula 2 13" xfId="8475" xr:uid="{00000000-0005-0000-0000-0000DF320000}"/>
    <cellStyle name="Vírgula 2 13 2" xfId="13012" xr:uid="{00000000-0005-0000-0000-0000E0320000}"/>
    <cellStyle name="Vírgula 2 13 3" xfId="10986" xr:uid="{00000000-0005-0000-0000-0000E1320000}"/>
    <cellStyle name="Vírgula 2 2" xfId="51" xr:uid="{00000000-0005-0000-0000-0000E2320000}"/>
    <cellStyle name="Vírgula 2 2 10" xfId="643" xr:uid="{00000000-0005-0000-0000-0000E3320000}"/>
    <cellStyle name="Vírgula 2 2 10 2" xfId="3098" xr:uid="{00000000-0005-0000-0000-0000E4320000}"/>
    <cellStyle name="Vírgula 2 2 10 2 2" xfId="4513" xr:uid="{00000000-0005-0000-0000-0000E5320000}"/>
    <cellStyle name="Vírgula 2 2 10 2 2 2" xfId="21553" xr:uid="{00000000-0005-0000-0000-0000E6320000}"/>
    <cellStyle name="Vírgula 2 2 10 2 2 3" xfId="17548" xr:uid="{00000000-0005-0000-0000-0000E7320000}"/>
    <cellStyle name="Vírgula 2 2 10 2 3" xfId="5267" xr:uid="{00000000-0005-0000-0000-0000E8320000}"/>
    <cellStyle name="Vírgula 2 2 10 2 3 2" xfId="22266" xr:uid="{00000000-0005-0000-0000-0000E9320000}"/>
    <cellStyle name="Vírgula 2 2 10 2 3 3" xfId="18302" xr:uid="{00000000-0005-0000-0000-0000EA320000}"/>
    <cellStyle name="Vírgula 2 2 10 2 4" xfId="20166" xr:uid="{00000000-0005-0000-0000-0000EB320000}"/>
    <cellStyle name="Vírgula 2 2 10 2 5" xfId="16142" xr:uid="{00000000-0005-0000-0000-0000EC320000}"/>
    <cellStyle name="Vírgula 2 2 10 3" xfId="3981" xr:uid="{00000000-0005-0000-0000-0000ED320000}"/>
    <cellStyle name="Vírgula 2 2 10 3 2" xfId="5982" xr:uid="{00000000-0005-0000-0000-0000EE320000}"/>
    <cellStyle name="Vírgula 2 2 10 3 2 2" xfId="22976" xr:uid="{00000000-0005-0000-0000-0000EF320000}"/>
    <cellStyle name="Vírgula 2 2 10 3 2 3" xfId="19017" xr:uid="{00000000-0005-0000-0000-0000F0320000}"/>
    <cellStyle name="Vírgula 2 2 10 3 3" xfId="21037" xr:uid="{00000000-0005-0000-0000-0000F1320000}"/>
    <cellStyle name="Vírgula 2 2 10 3 4" xfId="17023" xr:uid="{00000000-0005-0000-0000-0000F2320000}"/>
    <cellStyle name="Vírgula 2 2 11" xfId="4451" xr:uid="{00000000-0005-0000-0000-0000F3320000}"/>
    <cellStyle name="Vírgula 2 2 11 2" xfId="5874" xr:uid="{00000000-0005-0000-0000-0000F4320000}"/>
    <cellStyle name="Vírgula 2 2 11 2 2" xfId="11872" xr:uid="{00000000-0005-0000-0000-0000F5320000}"/>
    <cellStyle name="Vírgula 2 2 11 2 2 2" xfId="22870" xr:uid="{00000000-0005-0000-0000-0000F6320000}"/>
    <cellStyle name="Vírgula 2 2 11 2 3" xfId="10985" xr:uid="{00000000-0005-0000-0000-0000F7320000}"/>
    <cellStyle name="Vírgula 2 2 11 2 4" xfId="18909" xr:uid="{00000000-0005-0000-0000-0000F8320000}"/>
    <cellStyle name="Vírgula 2 2 11 3" xfId="13723" xr:uid="{00000000-0005-0000-0000-0000F9320000}"/>
    <cellStyle name="Vírgula 2 2 11 3 2" xfId="21492" xr:uid="{00000000-0005-0000-0000-0000FA320000}"/>
    <cellStyle name="Vírgula 2 2 11 4" xfId="17487" xr:uid="{00000000-0005-0000-0000-0000FB320000}"/>
    <cellStyle name="Vírgula 2 2 12" xfId="8476" xr:uid="{00000000-0005-0000-0000-0000FC320000}"/>
    <cellStyle name="Vírgula 2 2 12 2" xfId="13080" xr:uid="{00000000-0005-0000-0000-0000FD320000}"/>
    <cellStyle name="Vírgula 2 2 12 3" xfId="11500" xr:uid="{00000000-0005-0000-0000-0000FE320000}"/>
    <cellStyle name="Vírgula 2 2 2" xfId="52" xr:uid="{00000000-0005-0000-0000-0000FF320000}"/>
    <cellStyle name="Vírgula 2 2 2 10" xfId="2180" xr:uid="{00000000-0005-0000-0000-000000330000}"/>
    <cellStyle name="Vírgula 2 2 2 10 2" xfId="3309" xr:uid="{00000000-0005-0000-0000-000001330000}"/>
    <cellStyle name="Vírgula 2 2 2 10 2 2" xfId="4639" xr:uid="{00000000-0005-0000-0000-000002330000}"/>
    <cellStyle name="Vírgula 2 2 2 10 2 2 2" xfId="21679" xr:uid="{00000000-0005-0000-0000-000003330000}"/>
    <cellStyle name="Vírgula 2 2 2 10 2 2 3" xfId="17674" xr:uid="{00000000-0005-0000-0000-000004330000}"/>
    <cellStyle name="Vírgula 2 2 2 10 2 3" xfId="5478" xr:uid="{00000000-0005-0000-0000-000005330000}"/>
    <cellStyle name="Vírgula 2 2 2 10 2 3 2" xfId="22477" xr:uid="{00000000-0005-0000-0000-000006330000}"/>
    <cellStyle name="Vírgula 2 2 2 10 2 3 3" xfId="18513" xr:uid="{00000000-0005-0000-0000-000007330000}"/>
    <cellStyle name="Vírgula 2 2 2 10 2 4" xfId="20377" xr:uid="{00000000-0005-0000-0000-000008330000}"/>
    <cellStyle name="Vírgula 2 2 2 10 2 5" xfId="16353" xr:uid="{00000000-0005-0000-0000-000009330000}"/>
    <cellStyle name="Vírgula 2 2 2 10 3" xfId="4031" xr:uid="{00000000-0005-0000-0000-00000A330000}"/>
    <cellStyle name="Vírgula 2 2 2 10 3 2" xfId="6208" xr:uid="{00000000-0005-0000-0000-00000B330000}"/>
    <cellStyle name="Vírgula 2 2 2 10 3 2 2" xfId="23190" xr:uid="{00000000-0005-0000-0000-00000C330000}"/>
    <cellStyle name="Vírgula 2 2 2 10 3 2 3" xfId="19243" xr:uid="{00000000-0005-0000-0000-00000D330000}"/>
    <cellStyle name="Vírgula 2 2 2 10 3 3" xfId="21080" xr:uid="{00000000-0005-0000-0000-00000E330000}"/>
    <cellStyle name="Vírgula 2 2 2 10 3 4" xfId="17072" xr:uid="{00000000-0005-0000-0000-00000F330000}"/>
    <cellStyle name="Vírgula 2 2 2 11" xfId="3865" xr:uid="{00000000-0005-0000-0000-000010330000}"/>
    <cellStyle name="Vírgula 2 2 2 11 2" xfId="5875" xr:uid="{00000000-0005-0000-0000-000011330000}"/>
    <cellStyle name="Vírgula 2 2 2 11 2 2" xfId="11678" xr:uid="{00000000-0005-0000-0000-000012330000}"/>
    <cellStyle name="Vírgula 2 2 2 11 2 2 2" xfId="22871" xr:uid="{00000000-0005-0000-0000-000013330000}"/>
    <cellStyle name="Vírgula 2 2 2 11 2 3" xfId="12893" xr:uid="{00000000-0005-0000-0000-000014330000}"/>
    <cellStyle name="Vírgula 2 2 2 11 2 4" xfId="18910" xr:uid="{00000000-0005-0000-0000-000015330000}"/>
    <cellStyle name="Vírgula 2 2 2 11 3" xfId="13686" xr:uid="{00000000-0005-0000-0000-000016330000}"/>
    <cellStyle name="Vírgula 2 2 2 11 3 2" xfId="20926" xr:uid="{00000000-0005-0000-0000-000017330000}"/>
    <cellStyle name="Vírgula 2 2 2 11 4" xfId="16907" xr:uid="{00000000-0005-0000-0000-000018330000}"/>
    <cellStyle name="Vírgula 2 2 2 12" xfId="8477" xr:uid="{00000000-0005-0000-0000-000019330000}"/>
    <cellStyle name="Vírgula 2 2 2 12 2" xfId="12877" xr:uid="{00000000-0005-0000-0000-00001A330000}"/>
    <cellStyle name="Vírgula 2 2 2 12 3" xfId="11281" xr:uid="{00000000-0005-0000-0000-00001B330000}"/>
    <cellStyle name="Vírgula 2 2 2 2" xfId="73" xr:uid="{00000000-0005-0000-0000-00001C330000}"/>
    <cellStyle name="Vírgula 2 2 2 2 10" xfId="5888" xr:uid="{00000000-0005-0000-0000-00001D330000}"/>
    <cellStyle name="Vírgula 2 2 2 2 10 2" xfId="11818" xr:uid="{00000000-0005-0000-0000-00001E330000}"/>
    <cellStyle name="Vírgula 2 2 2 2 10 2 2" xfId="22884" xr:uid="{00000000-0005-0000-0000-00001F330000}"/>
    <cellStyle name="Vírgula 2 2 2 2 10 3" xfId="13021" xr:uid="{00000000-0005-0000-0000-000020330000}"/>
    <cellStyle name="Vírgula 2 2 2 2 10 4" xfId="18923" xr:uid="{00000000-0005-0000-0000-000021330000}"/>
    <cellStyle name="Vírgula 2 2 2 2 11" xfId="8478" xr:uid="{00000000-0005-0000-0000-000022330000}"/>
    <cellStyle name="Vírgula 2 2 2 2 11 2" xfId="10960" xr:uid="{00000000-0005-0000-0000-000023330000}"/>
    <cellStyle name="Vírgula 2 2 2 2 11 3" xfId="12914" xr:uid="{00000000-0005-0000-0000-000024330000}"/>
    <cellStyle name="Vírgula 2 2 2 2 2" xfId="637" xr:uid="{00000000-0005-0000-0000-000025330000}"/>
    <cellStyle name="Vírgula 2 2 2 2 2 2" xfId="3096" xr:uid="{00000000-0005-0000-0000-000026330000}"/>
    <cellStyle name="Vírgula 2 2 2 2 2 2 2" xfId="4511" xr:uid="{00000000-0005-0000-0000-000027330000}"/>
    <cellStyle name="Vírgula 2 2 2 2 2 2 2 2" xfId="21551" xr:uid="{00000000-0005-0000-0000-000028330000}"/>
    <cellStyle name="Vírgula 2 2 2 2 2 2 2 3" xfId="17546" xr:uid="{00000000-0005-0000-0000-000029330000}"/>
    <cellStyle name="Vírgula 2 2 2 2 2 2 3" xfId="5265" xr:uid="{00000000-0005-0000-0000-00002A330000}"/>
    <cellStyle name="Vírgula 2 2 2 2 2 2 3 2" xfId="22264" xr:uid="{00000000-0005-0000-0000-00002B330000}"/>
    <cellStyle name="Vírgula 2 2 2 2 2 2 3 3" xfId="18300" xr:uid="{00000000-0005-0000-0000-00002C330000}"/>
    <cellStyle name="Vírgula 2 2 2 2 2 2 4" xfId="20164" xr:uid="{00000000-0005-0000-0000-00002D330000}"/>
    <cellStyle name="Vírgula 2 2 2 2 2 2 5" xfId="16140" xr:uid="{00000000-0005-0000-0000-00002E330000}"/>
    <cellStyle name="Vírgula 2 2 2 2 2 3" xfId="4073" xr:uid="{00000000-0005-0000-0000-00002F330000}"/>
    <cellStyle name="Vírgula 2 2 2 2 2 3 2" xfId="5980" xr:uid="{00000000-0005-0000-0000-000030330000}"/>
    <cellStyle name="Vírgula 2 2 2 2 2 3 2 2" xfId="22974" xr:uid="{00000000-0005-0000-0000-000031330000}"/>
    <cellStyle name="Vírgula 2 2 2 2 2 3 2 3" xfId="19015" xr:uid="{00000000-0005-0000-0000-000032330000}"/>
    <cellStyle name="Vírgula 2 2 2 2 2 3 3" xfId="21121" xr:uid="{00000000-0005-0000-0000-000033330000}"/>
    <cellStyle name="Vírgula 2 2 2 2 2 3 4" xfId="17113" xr:uid="{00000000-0005-0000-0000-000034330000}"/>
    <cellStyle name="Vírgula 2 2 2 2 3" xfId="870" xr:uid="{00000000-0005-0000-0000-000035330000}"/>
    <cellStyle name="Vírgula 2 2 2 2 3 2" xfId="2181" xr:uid="{00000000-0005-0000-0000-000036330000}"/>
    <cellStyle name="Vírgula 2 2 2 2 3 2 2" xfId="3310" xr:uid="{00000000-0005-0000-0000-000037330000}"/>
    <cellStyle name="Vírgula 2 2 2 2 3 2 2 2" xfId="4640" xr:uid="{00000000-0005-0000-0000-000038330000}"/>
    <cellStyle name="Vírgula 2 2 2 2 3 2 2 2 2" xfId="21680" xr:uid="{00000000-0005-0000-0000-000039330000}"/>
    <cellStyle name="Vírgula 2 2 2 2 3 2 2 2 3" xfId="17675" xr:uid="{00000000-0005-0000-0000-00003A330000}"/>
    <cellStyle name="Vírgula 2 2 2 2 3 2 2 3" xfId="5479" xr:uid="{00000000-0005-0000-0000-00003B330000}"/>
    <cellStyle name="Vírgula 2 2 2 2 3 2 2 3 2" xfId="22478" xr:uid="{00000000-0005-0000-0000-00003C330000}"/>
    <cellStyle name="Vírgula 2 2 2 2 3 2 2 3 3" xfId="18514" xr:uid="{00000000-0005-0000-0000-00003D330000}"/>
    <cellStyle name="Vírgula 2 2 2 2 3 2 2 4" xfId="20378" xr:uid="{00000000-0005-0000-0000-00003E330000}"/>
    <cellStyle name="Vírgula 2 2 2 2 3 2 2 5" xfId="16354" xr:uid="{00000000-0005-0000-0000-00003F330000}"/>
    <cellStyle name="Vírgula 2 2 2 2 3 2 3" xfId="4011" xr:uid="{00000000-0005-0000-0000-000040330000}"/>
    <cellStyle name="Vírgula 2 2 2 2 3 2 3 2" xfId="6209" xr:uid="{00000000-0005-0000-0000-000041330000}"/>
    <cellStyle name="Vírgula 2 2 2 2 3 2 3 2 2" xfId="23191" xr:uid="{00000000-0005-0000-0000-000042330000}"/>
    <cellStyle name="Vírgula 2 2 2 2 3 2 3 2 3" xfId="19244" xr:uid="{00000000-0005-0000-0000-000043330000}"/>
    <cellStyle name="Vírgula 2 2 2 2 3 2 3 3" xfId="21063" xr:uid="{00000000-0005-0000-0000-000044330000}"/>
    <cellStyle name="Vírgula 2 2 2 2 3 2 3 4" xfId="17052" xr:uid="{00000000-0005-0000-0000-000045330000}"/>
    <cellStyle name="Vírgula 2 2 2 2 3 3" xfId="3155" xr:uid="{00000000-0005-0000-0000-000046330000}"/>
    <cellStyle name="Vírgula 2 2 2 2 3 3 2" xfId="4052" xr:uid="{00000000-0005-0000-0000-000047330000}"/>
    <cellStyle name="Vírgula 2 2 2 2 3 3 2 2" xfId="6555" xr:uid="{00000000-0005-0000-0000-000048330000}"/>
    <cellStyle name="Vírgula 2 2 2 2 3 3 2 2 2" xfId="23537" xr:uid="{00000000-0005-0000-0000-000049330000}"/>
    <cellStyle name="Vírgula 2 2 2 2 3 3 2 2 3" xfId="19590" xr:uid="{00000000-0005-0000-0000-00004A330000}"/>
    <cellStyle name="Vírgula 2 2 2 2 3 3 2 3" xfId="21101" xr:uid="{00000000-0005-0000-0000-00004B330000}"/>
    <cellStyle name="Vírgula 2 2 2 2 3 3 2 4" xfId="17093" xr:uid="{00000000-0005-0000-0000-00004C330000}"/>
    <cellStyle name="Vírgula 2 2 2 2 3 3 3" xfId="5324" xr:uid="{00000000-0005-0000-0000-00004D330000}"/>
    <cellStyle name="Vírgula 2 2 2 2 3 3 3 2" xfId="22323" xr:uid="{00000000-0005-0000-0000-00004E330000}"/>
    <cellStyle name="Vírgula 2 2 2 2 3 3 3 3" xfId="18359" xr:uid="{00000000-0005-0000-0000-00004F330000}"/>
    <cellStyle name="Vírgula 2 2 2 2 3 3 4" xfId="20223" xr:uid="{00000000-0005-0000-0000-000050330000}"/>
    <cellStyle name="Vírgula 2 2 2 2 3 3 5" xfId="16199" xr:uid="{00000000-0005-0000-0000-000051330000}"/>
    <cellStyle name="Vírgula 2 2 2 2 3 4" xfId="3904" xr:uid="{00000000-0005-0000-0000-000052330000}"/>
    <cellStyle name="Vírgula 2 2 2 2 3 4 2" xfId="6045" xr:uid="{00000000-0005-0000-0000-000053330000}"/>
    <cellStyle name="Vírgula 2 2 2 2 3 4 2 2" xfId="23034" xr:uid="{00000000-0005-0000-0000-000054330000}"/>
    <cellStyle name="Vírgula 2 2 2 2 3 4 2 3" xfId="19080" xr:uid="{00000000-0005-0000-0000-000055330000}"/>
    <cellStyle name="Vírgula 2 2 2 2 3 4 3" xfId="20961" xr:uid="{00000000-0005-0000-0000-000056330000}"/>
    <cellStyle name="Vírgula 2 2 2 2 3 4 4" xfId="16946" xr:uid="{00000000-0005-0000-0000-000057330000}"/>
    <cellStyle name="Vírgula 2 2 2 2 3 5" xfId="6740" xr:uid="{00000000-0005-0000-0000-000058330000}"/>
    <cellStyle name="Vírgula 2 2 2 2 3 5 2" xfId="23713" xr:uid="{00000000-0005-0000-0000-000059330000}"/>
    <cellStyle name="Vírgula 2 2 2 2 3 5 3" xfId="19775" xr:uid="{00000000-0005-0000-0000-00005A330000}"/>
    <cellStyle name="Vírgula 2 2 2 2 3 6" xfId="5058" xr:uid="{00000000-0005-0000-0000-00005B330000}"/>
    <cellStyle name="Vírgula 2 2 2 2 3 6 2" xfId="22066" xr:uid="{00000000-0005-0000-0000-00005C330000}"/>
    <cellStyle name="Vírgula 2 2 2 2 3 6 3" xfId="18093" xr:uid="{00000000-0005-0000-0000-00005D330000}"/>
    <cellStyle name="Vírgula 2 2 2 2 3 7" xfId="19966" xr:uid="{00000000-0005-0000-0000-00005E330000}"/>
    <cellStyle name="Vírgula 2 2 2 2 3 8" xfId="15926" xr:uid="{00000000-0005-0000-0000-00005F330000}"/>
    <cellStyle name="Vírgula 2 2 2 2 4" xfId="2182" xr:uid="{00000000-0005-0000-0000-000060330000}"/>
    <cellStyle name="Vírgula 2 2 2 2 4 2" xfId="3311" xr:uid="{00000000-0005-0000-0000-000061330000}"/>
    <cellStyle name="Vírgula 2 2 2 2 4 2 2" xfId="4641" xr:uid="{00000000-0005-0000-0000-000062330000}"/>
    <cellStyle name="Vírgula 2 2 2 2 4 2 2 2" xfId="21681" xr:uid="{00000000-0005-0000-0000-000063330000}"/>
    <cellStyle name="Vírgula 2 2 2 2 4 2 2 3" xfId="17676" xr:uid="{00000000-0005-0000-0000-000064330000}"/>
    <cellStyle name="Vírgula 2 2 2 2 4 2 3" xfId="5480" xr:uid="{00000000-0005-0000-0000-000065330000}"/>
    <cellStyle name="Vírgula 2 2 2 2 4 2 3 2" xfId="22479" xr:uid="{00000000-0005-0000-0000-000066330000}"/>
    <cellStyle name="Vírgula 2 2 2 2 4 2 3 3" xfId="18515" xr:uid="{00000000-0005-0000-0000-000067330000}"/>
    <cellStyle name="Vírgula 2 2 2 2 4 2 4" xfId="20379" xr:uid="{00000000-0005-0000-0000-000068330000}"/>
    <cellStyle name="Vírgula 2 2 2 2 4 2 5" xfId="16355" xr:uid="{00000000-0005-0000-0000-000069330000}"/>
    <cellStyle name="Vírgula 2 2 2 2 4 3" xfId="4075" xr:uid="{00000000-0005-0000-0000-00006A330000}"/>
    <cellStyle name="Vírgula 2 2 2 2 4 3 2" xfId="6210" xr:uid="{00000000-0005-0000-0000-00006B330000}"/>
    <cellStyle name="Vírgula 2 2 2 2 4 3 2 2" xfId="23192" xr:uid="{00000000-0005-0000-0000-00006C330000}"/>
    <cellStyle name="Vírgula 2 2 2 2 4 3 2 3" xfId="19245" xr:uid="{00000000-0005-0000-0000-00006D330000}"/>
    <cellStyle name="Vírgula 2 2 2 2 4 3 3" xfId="21123" xr:uid="{00000000-0005-0000-0000-00006E330000}"/>
    <cellStyle name="Vírgula 2 2 2 2 4 3 4" xfId="17115" xr:uid="{00000000-0005-0000-0000-00006F330000}"/>
    <cellStyle name="Vírgula 2 2 2 2 5" xfId="2183" xr:uid="{00000000-0005-0000-0000-000070330000}"/>
    <cellStyle name="Vírgula 2 2 2 2 5 2" xfId="3312" xr:uid="{00000000-0005-0000-0000-000071330000}"/>
    <cellStyle name="Vírgula 2 2 2 2 5 2 2" xfId="4642" xr:uid="{00000000-0005-0000-0000-000072330000}"/>
    <cellStyle name="Vírgula 2 2 2 2 5 2 2 2" xfId="21682" xr:uid="{00000000-0005-0000-0000-000073330000}"/>
    <cellStyle name="Vírgula 2 2 2 2 5 2 2 3" xfId="17677" xr:uid="{00000000-0005-0000-0000-000074330000}"/>
    <cellStyle name="Vírgula 2 2 2 2 5 2 3" xfId="5481" xr:uid="{00000000-0005-0000-0000-000075330000}"/>
    <cellStyle name="Vírgula 2 2 2 2 5 2 3 2" xfId="22480" xr:uid="{00000000-0005-0000-0000-000076330000}"/>
    <cellStyle name="Vírgula 2 2 2 2 5 2 3 3" xfId="18516" xr:uid="{00000000-0005-0000-0000-000077330000}"/>
    <cellStyle name="Vírgula 2 2 2 2 5 2 4" xfId="20380" xr:uid="{00000000-0005-0000-0000-000078330000}"/>
    <cellStyle name="Vírgula 2 2 2 2 5 2 5" xfId="16356" xr:uid="{00000000-0005-0000-0000-000079330000}"/>
    <cellStyle name="Vírgula 2 2 2 2 5 3" xfId="3698" xr:uid="{00000000-0005-0000-0000-00007A330000}"/>
    <cellStyle name="Vírgula 2 2 2 2 5 3 2" xfId="6211" xr:uid="{00000000-0005-0000-0000-00007B330000}"/>
    <cellStyle name="Vírgula 2 2 2 2 5 3 2 2" xfId="23193" xr:uid="{00000000-0005-0000-0000-00007C330000}"/>
    <cellStyle name="Vírgula 2 2 2 2 5 3 2 3" xfId="19246" xr:uid="{00000000-0005-0000-0000-00007D330000}"/>
    <cellStyle name="Vírgula 2 2 2 2 5 3 3" xfId="20766" xr:uid="{00000000-0005-0000-0000-00007E330000}"/>
    <cellStyle name="Vírgula 2 2 2 2 5 3 4" xfId="16742" xr:uid="{00000000-0005-0000-0000-00007F330000}"/>
    <cellStyle name="Vírgula 2 2 2 2 6" xfId="2184" xr:uid="{00000000-0005-0000-0000-000080330000}"/>
    <cellStyle name="Vírgula 2 2 2 2 6 2" xfId="3313" xr:uid="{00000000-0005-0000-0000-000081330000}"/>
    <cellStyle name="Vírgula 2 2 2 2 6 2 2" xfId="4643" xr:uid="{00000000-0005-0000-0000-000082330000}"/>
    <cellStyle name="Vírgula 2 2 2 2 6 2 2 2" xfId="21683" xr:uid="{00000000-0005-0000-0000-000083330000}"/>
    <cellStyle name="Vírgula 2 2 2 2 6 2 2 3" xfId="17678" xr:uid="{00000000-0005-0000-0000-000084330000}"/>
    <cellStyle name="Vírgula 2 2 2 2 6 2 3" xfId="5482" xr:uid="{00000000-0005-0000-0000-000085330000}"/>
    <cellStyle name="Vírgula 2 2 2 2 6 2 3 2" xfId="22481" xr:uid="{00000000-0005-0000-0000-000086330000}"/>
    <cellStyle name="Vírgula 2 2 2 2 6 2 3 3" xfId="18517" xr:uid="{00000000-0005-0000-0000-000087330000}"/>
    <cellStyle name="Vírgula 2 2 2 2 6 2 4" xfId="20381" xr:uid="{00000000-0005-0000-0000-000088330000}"/>
    <cellStyle name="Vírgula 2 2 2 2 6 2 5" xfId="16357" xr:uid="{00000000-0005-0000-0000-000089330000}"/>
    <cellStyle name="Vírgula 2 2 2 2 6 3" xfId="4106" xr:uid="{00000000-0005-0000-0000-00008A330000}"/>
    <cellStyle name="Vírgula 2 2 2 2 6 3 2" xfId="6212" xr:uid="{00000000-0005-0000-0000-00008B330000}"/>
    <cellStyle name="Vírgula 2 2 2 2 6 3 2 2" xfId="23194" xr:uid="{00000000-0005-0000-0000-00008C330000}"/>
    <cellStyle name="Vírgula 2 2 2 2 6 3 2 3" xfId="19247" xr:uid="{00000000-0005-0000-0000-00008D330000}"/>
    <cellStyle name="Vírgula 2 2 2 2 6 3 3" xfId="21154" xr:uid="{00000000-0005-0000-0000-00008E330000}"/>
    <cellStyle name="Vírgula 2 2 2 2 6 3 4" xfId="17146" xr:uid="{00000000-0005-0000-0000-00008F330000}"/>
    <cellStyle name="Vírgula 2 2 2 2 7" xfId="2185" xr:uid="{00000000-0005-0000-0000-000090330000}"/>
    <cellStyle name="Vírgula 2 2 2 2 7 2" xfId="3314" xr:uid="{00000000-0005-0000-0000-000091330000}"/>
    <cellStyle name="Vírgula 2 2 2 2 7 2 2" xfId="4644" xr:uid="{00000000-0005-0000-0000-000092330000}"/>
    <cellStyle name="Vírgula 2 2 2 2 7 2 2 2" xfId="21684" xr:uid="{00000000-0005-0000-0000-000093330000}"/>
    <cellStyle name="Vírgula 2 2 2 2 7 2 2 3" xfId="17679" xr:uid="{00000000-0005-0000-0000-000094330000}"/>
    <cellStyle name="Vírgula 2 2 2 2 7 2 3" xfId="5483" xr:uid="{00000000-0005-0000-0000-000095330000}"/>
    <cellStyle name="Vírgula 2 2 2 2 7 2 3 2" xfId="22482" xr:uid="{00000000-0005-0000-0000-000096330000}"/>
    <cellStyle name="Vírgula 2 2 2 2 7 2 3 3" xfId="18518" xr:uid="{00000000-0005-0000-0000-000097330000}"/>
    <cellStyle name="Vírgula 2 2 2 2 7 2 4" xfId="20382" xr:uid="{00000000-0005-0000-0000-000098330000}"/>
    <cellStyle name="Vírgula 2 2 2 2 7 2 5" xfId="16358" xr:uid="{00000000-0005-0000-0000-000099330000}"/>
    <cellStyle name="Vírgula 2 2 2 2 7 3" xfId="4387" xr:uid="{00000000-0005-0000-0000-00009A330000}"/>
    <cellStyle name="Vírgula 2 2 2 2 7 3 2" xfId="6213" xr:uid="{00000000-0005-0000-0000-00009B330000}"/>
    <cellStyle name="Vírgula 2 2 2 2 7 3 2 2" xfId="23195" xr:uid="{00000000-0005-0000-0000-00009C330000}"/>
    <cellStyle name="Vírgula 2 2 2 2 7 3 2 3" xfId="19248" xr:uid="{00000000-0005-0000-0000-00009D330000}"/>
    <cellStyle name="Vírgula 2 2 2 2 7 3 3" xfId="21431" xr:uid="{00000000-0005-0000-0000-00009E330000}"/>
    <cellStyle name="Vírgula 2 2 2 2 7 3 4" xfId="17424" xr:uid="{00000000-0005-0000-0000-00009F330000}"/>
    <cellStyle name="Vírgula 2 2 2 2 8" xfId="2186" xr:uid="{00000000-0005-0000-0000-0000A0330000}"/>
    <cellStyle name="Vírgula 2 2 2 2 8 2" xfId="3315" xr:uid="{00000000-0005-0000-0000-0000A1330000}"/>
    <cellStyle name="Vírgula 2 2 2 2 8 2 2" xfId="4645" xr:uid="{00000000-0005-0000-0000-0000A2330000}"/>
    <cellStyle name="Vírgula 2 2 2 2 8 2 2 2" xfId="21685" xr:uid="{00000000-0005-0000-0000-0000A3330000}"/>
    <cellStyle name="Vírgula 2 2 2 2 8 2 2 3" xfId="17680" xr:uid="{00000000-0005-0000-0000-0000A4330000}"/>
    <cellStyle name="Vírgula 2 2 2 2 8 2 3" xfId="5484" xr:uid="{00000000-0005-0000-0000-0000A5330000}"/>
    <cellStyle name="Vírgula 2 2 2 2 8 2 3 2" xfId="22483" xr:uid="{00000000-0005-0000-0000-0000A6330000}"/>
    <cellStyle name="Vírgula 2 2 2 2 8 2 3 3" xfId="18519" xr:uid="{00000000-0005-0000-0000-0000A7330000}"/>
    <cellStyle name="Vírgula 2 2 2 2 8 2 4" xfId="20383" xr:uid="{00000000-0005-0000-0000-0000A8330000}"/>
    <cellStyle name="Vírgula 2 2 2 2 8 2 5" xfId="16359" xr:uid="{00000000-0005-0000-0000-0000A9330000}"/>
    <cellStyle name="Vírgula 2 2 2 2 8 3" xfId="4471" xr:uid="{00000000-0005-0000-0000-0000AA330000}"/>
    <cellStyle name="Vírgula 2 2 2 2 8 3 2" xfId="6214" xr:uid="{00000000-0005-0000-0000-0000AB330000}"/>
    <cellStyle name="Vírgula 2 2 2 2 8 3 2 2" xfId="23196" xr:uid="{00000000-0005-0000-0000-0000AC330000}"/>
    <cellStyle name="Vírgula 2 2 2 2 8 3 2 3" xfId="19249" xr:uid="{00000000-0005-0000-0000-0000AD330000}"/>
    <cellStyle name="Vírgula 2 2 2 2 8 3 3" xfId="21511" xr:uid="{00000000-0005-0000-0000-0000AE330000}"/>
    <cellStyle name="Vírgula 2 2 2 2 8 3 4" xfId="17506" xr:uid="{00000000-0005-0000-0000-0000AF330000}"/>
    <cellStyle name="Vírgula 2 2 2 2 9" xfId="2187" xr:uid="{00000000-0005-0000-0000-0000B0330000}"/>
    <cellStyle name="Vírgula 2 2 2 2 9 2" xfId="3316" xr:uid="{00000000-0005-0000-0000-0000B1330000}"/>
    <cellStyle name="Vírgula 2 2 2 2 9 2 2" xfId="4646" xr:uid="{00000000-0005-0000-0000-0000B2330000}"/>
    <cellStyle name="Vírgula 2 2 2 2 9 2 2 2" xfId="21686" xr:uid="{00000000-0005-0000-0000-0000B3330000}"/>
    <cellStyle name="Vírgula 2 2 2 2 9 2 2 3" xfId="17681" xr:uid="{00000000-0005-0000-0000-0000B4330000}"/>
    <cellStyle name="Vírgula 2 2 2 2 9 2 3" xfId="5485" xr:uid="{00000000-0005-0000-0000-0000B5330000}"/>
    <cellStyle name="Vírgula 2 2 2 2 9 2 3 2" xfId="22484" xr:uid="{00000000-0005-0000-0000-0000B6330000}"/>
    <cellStyle name="Vírgula 2 2 2 2 9 2 3 3" xfId="18520" xr:uid="{00000000-0005-0000-0000-0000B7330000}"/>
    <cellStyle name="Vírgula 2 2 2 2 9 2 4" xfId="20384" xr:uid="{00000000-0005-0000-0000-0000B8330000}"/>
    <cellStyle name="Vírgula 2 2 2 2 9 2 5" xfId="16360" xr:uid="{00000000-0005-0000-0000-0000B9330000}"/>
    <cellStyle name="Vírgula 2 2 2 2 9 3" xfId="4107" xr:uid="{00000000-0005-0000-0000-0000BA330000}"/>
    <cellStyle name="Vírgula 2 2 2 2 9 3 2" xfId="6215" xr:uid="{00000000-0005-0000-0000-0000BB330000}"/>
    <cellStyle name="Vírgula 2 2 2 2 9 3 2 2" xfId="23197" xr:uid="{00000000-0005-0000-0000-0000BC330000}"/>
    <cellStyle name="Vírgula 2 2 2 2 9 3 2 3" xfId="19250" xr:uid="{00000000-0005-0000-0000-0000BD330000}"/>
    <cellStyle name="Vírgula 2 2 2 2 9 3 3" xfId="21155" xr:uid="{00000000-0005-0000-0000-0000BE330000}"/>
    <cellStyle name="Vírgula 2 2 2 2 9 3 4" xfId="17147" xr:uid="{00000000-0005-0000-0000-0000BF330000}"/>
    <cellStyle name="Vírgula 2 2 2 3" xfId="871" xr:uid="{00000000-0005-0000-0000-0000C0330000}"/>
    <cellStyle name="Vírgula 2 2 2 3 2" xfId="1084" xr:uid="{00000000-0005-0000-0000-0000C1330000}"/>
    <cellStyle name="Vírgula 2 2 2 3 2 2" xfId="3216" xr:uid="{00000000-0005-0000-0000-0000C2330000}"/>
    <cellStyle name="Vírgula 2 2 2 3 2 2 2" xfId="4556" xr:uid="{00000000-0005-0000-0000-0000C3330000}"/>
    <cellStyle name="Vírgula 2 2 2 3 2 2 2 2" xfId="21596" xr:uid="{00000000-0005-0000-0000-0000C4330000}"/>
    <cellStyle name="Vírgula 2 2 2 3 2 2 2 3" xfId="17591" xr:uid="{00000000-0005-0000-0000-0000C5330000}"/>
    <cellStyle name="Vírgula 2 2 2 3 2 2 3" xfId="5385" xr:uid="{00000000-0005-0000-0000-0000C6330000}"/>
    <cellStyle name="Vírgula 2 2 2 3 2 2 3 2" xfId="22384" xr:uid="{00000000-0005-0000-0000-0000C7330000}"/>
    <cellStyle name="Vírgula 2 2 2 3 2 2 3 3" xfId="18420" xr:uid="{00000000-0005-0000-0000-0000C8330000}"/>
    <cellStyle name="Vírgula 2 2 2 3 2 2 4" xfId="20284" xr:uid="{00000000-0005-0000-0000-0000C9330000}"/>
    <cellStyle name="Vírgula 2 2 2 3 2 2 5" xfId="16260" xr:uid="{00000000-0005-0000-0000-0000CA330000}"/>
    <cellStyle name="Vírgula 2 2 2 3 2 3" xfId="4050" xr:uid="{00000000-0005-0000-0000-0000CB330000}"/>
    <cellStyle name="Vírgula 2 2 2 3 2 3 2" xfId="6109" xr:uid="{00000000-0005-0000-0000-0000CC330000}"/>
    <cellStyle name="Vírgula 2 2 2 3 2 3 2 2" xfId="23097" xr:uid="{00000000-0005-0000-0000-0000CD330000}"/>
    <cellStyle name="Vírgula 2 2 2 3 2 3 2 3" xfId="19144" xr:uid="{00000000-0005-0000-0000-0000CE330000}"/>
    <cellStyle name="Vírgula 2 2 2 3 2 3 3" xfId="21099" xr:uid="{00000000-0005-0000-0000-0000CF330000}"/>
    <cellStyle name="Vírgula 2 2 2 3 2 3 4" xfId="17091" xr:uid="{00000000-0005-0000-0000-0000D0330000}"/>
    <cellStyle name="Vírgula 2 2 2 3 3" xfId="3156" xr:uid="{00000000-0005-0000-0000-0000D1330000}"/>
    <cellStyle name="Vírgula 2 2 2 3 3 2" xfId="4140" xr:uid="{00000000-0005-0000-0000-0000D2330000}"/>
    <cellStyle name="Vírgula 2 2 2 3 3 2 2" xfId="6556" xr:uid="{00000000-0005-0000-0000-0000D3330000}"/>
    <cellStyle name="Vírgula 2 2 2 3 3 2 2 2" xfId="23538" xr:uid="{00000000-0005-0000-0000-0000D4330000}"/>
    <cellStyle name="Vírgula 2 2 2 3 3 2 2 3" xfId="19591" xr:uid="{00000000-0005-0000-0000-0000D5330000}"/>
    <cellStyle name="Vírgula 2 2 2 3 3 2 3" xfId="21188" xr:uid="{00000000-0005-0000-0000-0000D6330000}"/>
    <cellStyle name="Vírgula 2 2 2 3 3 2 4" xfId="17180" xr:uid="{00000000-0005-0000-0000-0000D7330000}"/>
    <cellStyle name="Vírgula 2 2 2 3 3 3" xfId="5325" xr:uid="{00000000-0005-0000-0000-0000D8330000}"/>
    <cellStyle name="Vírgula 2 2 2 3 3 3 2" xfId="22324" xr:uid="{00000000-0005-0000-0000-0000D9330000}"/>
    <cellStyle name="Vírgula 2 2 2 3 3 3 3" xfId="18360" xr:uid="{00000000-0005-0000-0000-0000DA330000}"/>
    <cellStyle name="Vírgula 2 2 2 3 3 4" xfId="20224" xr:uid="{00000000-0005-0000-0000-0000DB330000}"/>
    <cellStyle name="Vírgula 2 2 2 3 3 5" xfId="16200" xr:uid="{00000000-0005-0000-0000-0000DC330000}"/>
    <cellStyle name="Vírgula 2 2 2 3 4" xfId="3905" xr:uid="{00000000-0005-0000-0000-0000DD330000}"/>
    <cellStyle name="Vírgula 2 2 2 3 4 2" xfId="6046" xr:uid="{00000000-0005-0000-0000-0000DE330000}"/>
    <cellStyle name="Vírgula 2 2 2 3 4 2 2" xfId="23035" xr:uid="{00000000-0005-0000-0000-0000DF330000}"/>
    <cellStyle name="Vírgula 2 2 2 3 4 2 3" xfId="19081" xr:uid="{00000000-0005-0000-0000-0000E0330000}"/>
    <cellStyle name="Vírgula 2 2 2 3 4 3" xfId="20962" xr:uid="{00000000-0005-0000-0000-0000E1330000}"/>
    <cellStyle name="Vírgula 2 2 2 3 4 4" xfId="16947" xr:uid="{00000000-0005-0000-0000-0000E2330000}"/>
    <cellStyle name="Vírgula 2 2 2 3 5" xfId="6741" xr:uid="{00000000-0005-0000-0000-0000E3330000}"/>
    <cellStyle name="Vírgula 2 2 2 3 5 2" xfId="23714" xr:uid="{00000000-0005-0000-0000-0000E4330000}"/>
    <cellStyle name="Vírgula 2 2 2 3 5 3" xfId="19776" xr:uid="{00000000-0005-0000-0000-0000E5330000}"/>
    <cellStyle name="Vírgula 2 2 2 3 6" xfId="5059" xr:uid="{00000000-0005-0000-0000-0000E6330000}"/>
    <cellStyle name="Vírgula 2 2 2 3 6 2" xfId="22067" xr:uid="{00000000-0005-0000-0000-0000E7330000}"/>
    <cellStyle name="Vírgula 2 2 2 3 6 3" xfId="18094" xr:uid="{00000000-0005-0000-0000-0000E8330000}"/>
    <cellStyle name="Vírgula 2 2 2 3 7" xfId="19967" xr:uid="{00000000-0005-0000-0000-0000E9330000}"/>
    <cellStyle name="Vírgula 2 2 2 3 8" xfId="15927" xr:uid="{00000000-0005-0000-0000-0000EA330000}"/>
    <cellStyle name="Vírgula 2 2 2 4" xfId="2188" xr:uid="{00000000-0005-0000-0000-0000EB330000}"/>
    <cellStyle name="Vírgula 2 2 2 4 2" xfId="3317" xr:uid="{00000000-0005-0000-0000-0000EC330000}"/>
    <cellStyle name="Vírgula 2 2 2 4 2 2" xfId="4647" xr:uid="{00000000-0005-0000-0000-0000ED330000}"/>
    <cellStyle name="Vírgula 2 2 2 4 2 2 2" xfId="21687" xr:uid="{00000000-0005-0000-0000-0000EE330000}"/>
    <cellStyle name="Vírgula 2 2 2 4 2 2 3" xfId="17682" xr:uid="{00000000-0005-0000-0000-0000EF330000}"/>
    <cellStyle name="Vírgula 2 2 2 4 2 3" xfId="5486" xr:uid="{00000000-0005-0000-0000-0000F0330000}"/>
    <cellStyle name="Vírgula 2 2 2 4 2 3 2" xfId="22485" xr:uid="{00000000-0005-0000-0000-0000F1330000}"/>
    <cellStyle name="Vírgula 2 2 2 4 2 3 3" xfId="18521" xr:uid="{00000000-0005-0000-0000-0000F2330000}"/>
    <cellStyle name="Vírgula 2 2 2 4 2 4" xfId="20385" xr:uid="{00000000-0005-0000-0000-0000F3330000}"/>
    <cellStyle name="Vírgula 2 2 2 4 2 5" xfId="16361" xr:uid="{00000000-0005-0000-0000-0000F4330000}"/>
    <cellStyle name="Vírgula 2 2 2 4 3" xfId="3862" xr:uid="{00000000-0005-0000-0000-0000F5330000}"/>
    <cellStyle name="Vírgula 2 2 2 4 3 2" xfId="6216" xr:uid="{00000000-0005-0000-0000-0000F6330000}"/>
    <cellStyle name="Vírgula 2 2 2 4 3 2 2" xfId="23198" xr:uid="{00000000-0005-0000-0000-0000F7330000}"/>
    <cellStyle name="Vírgula 2 2 2 4 3 2 3" xfId="19251" xr:uid="{00000000-0005-0000-0000-0000F8330000}"/>
    <cellStyle name="Vírgula 2 2 2 4 3 3" xfId="20923" xr:uid="{00000000-0005-0000-0000-0000F9330000}"/>
    <cellStyle name="Vírgula 2 2 2 4 3 4" xfId="16904" xr:uid="{00000000-0005-0000-0000-0000FA330000}"/>
    <cellStyle name="Vírgula 2 2 2 5" xfId="2189" xr:uid="{00000000-0005-0000-0000-0000FB330000}"/>
    <cellStyle name="Vírgula 2 2 2 5 2" xfId="3318" xr:uid="{00000000-0005-0000-0000-0000FC330000}"/>
    <cellStyle name="Vírgula 2 2 2 5 2 2" xfId="4648" xr:uid="{00000000-0005-0000-0000-0000FD330000}"/>
    <cellStyle name="Vírgula 2 2 2 5 2 2 2" xfId="21688" xr:uid="{00000000-0005-0000-0000-0000FE330000}"/>
    <cellStyle name="Vírgula 2 2 2 5 2 2 3" xfId="17683" xr:uid="{00000000-0005-0000-0000-0000FF330000}"/>
    <cellStyle name="Vírgula 2 2 2 5 2 3" xfId="5487" xr:uid="{00000000-0005-0000-0000-000000340000}"/>
    <cellStyle name="Vírgula 2 2 2 5 2 3 2" xfId="22486" xr:uid="{00000000-0005-0000-0000-000001340000}"/>
    <cellStyle name="Vírgula 2 2 2 5 2 3 3" xfId="18522" xr:uid="{00000000-0005-0000-0000-000002340000}"/>
    <cellStyle name="Vírgula 2 2 2 5 2 4" xfId="20386" xr:uid="{00000000-0005-0000-0000-000003340000}"/>
    <cellStyle name="Vírgula 2 2 2 5 2 5" xfId="16362" xr:uid="{00000000-0005-0000-0000-000004340000}"/>
    <cellStyle name="Vírgula 2 2 2 5 3" xfId="4318" xr:uid="{00000000-0005-0000-0000-000005340000}"/>
    <cellStyle name="Vírgula 2 2 2 5 3 2" xfId="6217" xr:uid="{00000000-0005-0000-0000-000006340000}"/>
    <cellStyle name="Vírgula 2 2 2 5 3 2 2" xfId="23199" xr:uid="{00000000-0005-0000-0000-000007340000}"/>
    <cellStyle name="Vírgula 2 2 2 5 3 2 3" xfId="19252" xr:uid="{00000000-0005-0000-0000-000008340000}"/>
    <cellStyle name="Vírgula 2 2 2 5 3 3" xfId="21362" xr:uid="{00000000-0005-0000-0000-000009340000}"/>
    <cellStyle name="Vírgula 2 2 2 5 3 4" xfId="17355" xr:uid="{00000000-0005-0000-0000-00000A340000}"/>
    <cellStyle name="Vírgula 2 2 2 6" xfId="2190" xr:uid="{00000000-0005-0000-0000-00000B340000}"/>
    <cellStyle name="Vírgula 2 2 2 6 2" xfId="3319" xr:uid="{00000000-0005-0000-0000-00000C340000}"/>
    <cellStyle name="Vírgula 2 2 2 6 2 2" xfId="4649" xr:uid="{00000000-0005-0000-0000-00000D340000}"/>
    <cellStyle name="Vírgula 2 2 2 6 2 2 2" xfId="21689" xr:uid="{00000000-0005-0000-0000-00000E340000}"/>
    <cellStyle name="Vírgula 2 2 2 6 2 2 3" xfId="17684" xr:uid="{00000000-0005-0000-0000-00000F340000}"/>
    <cellStyle name="Vírgula 2 2 2 6 2 3" xfId="5488" xr:uid="{00000000-0005-0000-0000-000010340000}"/>
    <cellStyle name="Vírgula 2 2 2 6 2 3 2" xfId="22487" xr:uid="{00000000-0005-0000-0000-000011340000}"/>
    <cellStyle name="Vírgula 2 2 2 6 2 3 3" xfId="18523" xr:uid="{00000000-0005-0000-0000-000012340000}"/>
    <cellStyle name="Vírgula 2 2 2 6 2 4" xfId="20387" xr:uid="{00000000-0005-0000-0000-000013340000}"/>
    <cellStyle name="Vírgula 2 2 2 6 2 5" xfId="16363" xr:uid="{00000000-0005-0000-0000-000014340000}"/>
    <cellStyle name="Vírgula 2 2 2 6 3" xfId="4486" xr:uid="{00000000-0005-0000-0000-000015340000}"/>
    <cellStyle name="Vírgula 2 2 2 6 3 2" xfId="6218" xr:uid="{00000000-0005-0000-0000-000016340000}"/>
    <cellStyle name="Vírgula 2 2 2 6 3 2 2" xfId="23200" xr:uid="{00000000-0005-0000-0000-000017340000}"/>
    <cellStyle name="Vírgula 2 2 2 6 3 2 3" xfId="19253" xr:uid="{00000000-0005-0000-0000-000018340000}"/>
    <cellStyle name="Vírgula 2 2 2 6 3 3" xfId="21526" xr:uid="{00000000-0005-0000-0000-000019340000}"/>
    <cellStyle name="Vírgula 2 2 2 6 3 4" xfId="17521" xr:uid="{00000000-0005-0000-0000-00001A340000}"/>
    <cellStyle name="Vírgula 2 2 2 7" xfId="2191" xr:uid="{00000000-0005-0000-0000-00001B340000}"/>
    <cellStyle name="Vírgula 2 2 2 7 2" xfId="3320" xr:uid="{00000000-0005-0000-0000-00001C340000}"/>
    <cellStyle name="Vírgula 2 2 2 7 2 2" xfId="4650" xr:uid="{00000000-0005-0000-0000-00001D340000}"/>
    <cellStyle name="Vírgula 2 2 2 7 2 2 2" xfId="21690" xr:uid="{00000000-0005-0000-0000-00001E340000}"/>
    <cellStyle name="Vírgula 2 2 2 7 2 2 3" xfId="17685" xr:uid="{00000000-0005-0000-0000-00001F340000}"/>
    <cellStyle name="Vírgula 2 2 2 7 2 3" xfId="5489" xr:uid="{00000000-0005-0000-0000-000020340000}"/>
    <cellStyle name="Vírgula 2 2 2 7 2 3 2" xfId="22488" xr:uid="{00000000-0005-0000-0000-000021340000}"/>
    <cellStyle name="Vírgula 2 2 2 7 2 3 3" xfId="18524" xr:uid="{00000000-0005-0000-0000-000022340000}"/>
    <cellStyle name="Vírgula 2 2 2 7 2 4" xfId="20388" xr:uid="{00000000-0005-0000-0000-000023340000}"/>
    <cellStyle name="Vírgula 2 2 2 7 2 5" xfId="16364" xr:uid="{00000000-0005-0000-0000-000024340000}"/>
    <cellStyle name="Vírgula 2 2 2 7 3" xfId="3747" xr:uid="{00000000-0005-0000-0000-000025340000}"/>
    <cellStyle name="Vírgula 2 2 2 7 3 2" xfId="6219" xr:uid="{00000000-0005-0000-0000-000026340000}"/>
    <cellStyle name="Vírgula 2 2 2 7 3 2 2" xfId="23201" xr:uid="{00000000-0005-0000-0000-000027340000}"/>
    <cellStyle name="Vírgula 2 2 2 7 3 2 3" xfId="19254" xr:uid="{00000000-0005-0000-0000-000028340000}"/>
    <cellStyle name="Vírgula 2 2 2 7 3 3" xfId="20811" xr:uid="{00000000-0005-0000-0000-000029340000}"/>
    <cellStyle name="Vírgula 2 2 2 7 3 4" xfId="16790" xr:uid="{00000000-0005-0000-0000-00002A340000}"/>
    <cellStyle name="Vírgula 2 2 2 8" xfId="2192" xr:uid="{00000000-0005-0000-0000-00002B340000}"/>
    <cellStyle name="Vírgula 2 2 2 8 2" xfId="3321" xr:uid="{00000000-0005-0000-0000-00002C340000}"/>
    <cellStyle name="Vírgula 2 2 2 8 2 2" xfId="4651" xr:uid="{00000000-0005-0000-0000-00002D340000}"/>
    <cellStyle name="Vírgula 2 2 2 8 2 2 2" xfId="21691" xr:uid="{00000000-0005-0000-0000-00002E340000}"/>
    <cellStyle name="Vírgula 2 2 2 8 2 2 3" xfId="17686" xr:uid="{00000000-0005-0000-0000-00002F340000}"/>
    <cellStyle name="Vírgula 2 2 2 8 2 3" xfId="5490" xr:uid="{00000000-0005-0000-0000-000030340000}"/>
    <cellStyle name="Vírgula 2 2 2 8 2 3 2" xfId="22489" xr:uid="{00000000-0005-0000-0000-000031340000}"/>
    <cellStyle name="Vírgula 2 2 2 8 2 3 3" xfId="18525" xr:uid="{00000000-0005-0000-0000-000032340000}"/>
    <cellStyle name="Vírgula 2 2 2 8 2 4" xfId="20389" xr:uid="{00000000-0005-0000-0000-000033340000}"/>
    <cellStyle name="Vírgula 2 2 2 8 2 5" xfId="16365" xr:uid="{00000000-0005-0000-0000-000034340000}"/>
    <cellStyle name="Vírgula 2 2 2 8 3" xfId="4008" xr:uid="{00000000-0005-0000-0000-000035340000}"/>
    <cellStyle name="Vírgula 2 2 2 8 3 2" xfId="6220" xr:uid="{00000000-0005-0000-0000-000036340000}"/>
    <cellStyle name="Vírgula 2 2 2 8 3 2 2" xfId="23202" xr:uid="{00000000-0005-0000-0000-000037340000}"/>
    <cellStyle name="Vírgula 2 2 2 8 3 2 3" xfId="19255" xr:uid="{00000000-0005-0000-0000-000038340000}"/>
    <cellStyle name="Vírgula 2 2 2 8 3 3" xfId="21060" xr:uid="{00000000-0005-0000-0000-000039340000}"/>
    <cellStyle name="Vírgula 2 2 2 8 3 4" xfId="17049" xr:uid="{00000000-0005-0000-0000-00003A340000}"/>
    <cellStyle name="Vírgula 2 2 2 9" xfId="2193" xr:uid="{00000000-0005-0000-0000-00003B340000}"/>
    <cellStyle name="Vírgula 2 2 2 9 2" xfId="3322" xr:uid="{00000000-0005-0000-0000-00003C340000}"/>
    <cellStyle name="Vírgula 2 2 2 9 2 2" xfId="4652" xr:uid="{00000000-0005-0000-0000-00003D340000}"/>
    <cellStyle name="Vírgula 2 2 2 9 2 2 2" xfId="21692" xr:uid="{00000000-0005-0000-0000-00003E340000}"/>
    <cellStyle name="Vírgula 2 2 2 9 2 2 3" xfId="17687" xr:uid="{00000000-0005-0000-0000-00003F340000}"/>
    <cellStyle name="Vírgula 2 2 2 9 2 3" xfId="5491" xr:uid="{00000000-0005-0000-0000-000040340000}"/>
    <cellStyle name="Vírgula 2 2 2 9 2 3 2" xfId="22490" xr:uid="{00000000-0005-0000-0000-000041340000}"/>
    <cellStyle name="Vírgula 2 2 2 9 2 3 3" xfId="18526" xr:uid="{00000000-0005-0000-0000-000042340000}"/>
    <cellStyle name="Vírgula 2 2 2 9 2 4" xfId="20390" xr:uid="{00000000-0005-0000-0000-000043340000}"/>
    <cellStyle name="Vírgula 2 2 2 9 2 5" xfId="16366" xr:uid="{00000000-0005-0000-0000-000044340000}"/>
    <cellStyle name="Vírgula 2 2 2 9 3" xfId="4455" xr:uid="{00000000-0005-0000-0000-000045340000}"/>
    <cellStyle name="Vírgula 2 2 2 9 3 2" xfId="6221" xr:uid="{00000000-0005-0000-0000-000046340000}"/>
    <cellStyle name="Vírgula 2 2 2 9 3 2 2" xfId="23203" xr:uid="{00000000-0005-0000-0000-000047340000}"/>
    <cellStyle name="Vírgula 2 2 2 9 3 2 3" xfId="19256" xr:uid="{00000000-0005-0000-0000-000048340000}"/>
    <cellStyle name="Vírgula 2 2 2 9 3 3" xfId="21496" xr:uid="{00000000-0005-0000-0000-000049340000}"/>
    <cellStyle name="Vírgula 2 2 2 9 3 4" xfId="17491" xr:uid="{00000000-0005-0000-0000-00004A340000}"/>
    <cellStyle name="Vírgula 2 2 3" xfId="872" xr:uid="{00000000-0005-0000-0000-00004B340000}"/>
    <cellStyle name="Vírgula 2 2 3 2" xfId="2194" xr:uid="{00000000-0005-0000-0000-00004C340000}"/>
    <cellStyle name="Vírgula 2 2 3 2 2" xfId="3323" xr:uid="{00000000-0005-0000-0000-00004D340000}"/>
    <cellStyle name="Vírgula 2 2 3 2 2 2" xfId="4653" xr:uid="{00000000-0005-0000-0000-00004E340000}"/>
    <cellStyle name="Vírgula 2 2 3 2 2 2 2" xfId="21693" xr:uid="{00000000-0005-0000-0000-00004F340000}"/>
    <cellStyle name="Vírgula 2 2 3 2 2 2 3" xfId="17688" xr:uid="{00000000-0005-0000-0000-000050340000}"/>
    <cellStyle name="Vírgula 2 2 3 2 2 3" xfId="5492" xr:uid="{00000000-0005-0000-0000-000051340000}"/>
    <cellStyle name="Vírgula 2 2 3 2 2 3 2" xfId="11187" xr:uid="{00000000-0005-0000-0000-000052340000}"/>
    <cellStyle name="Vírgula 2 2 3 2 2 3 2 2" xfId="22491" xr:uid="{00000000-0005-0000-0000-000053340000}"/>
    <cellStyle name="Vírgula 2 2 3 2 2 3 3" xfId="13302" xr:uid="{00000000-0005-0000-0000-000054340000}"/>
    <cellStyle name="Vírgula 2 2 3 2 2 3 4" xfId="18527" xr:uid="{00000000-0005-0000-0000-000055340000}"/>
    <cellStyle name="Vírgula 2 2 3 2 2 4" xfId="20391" xr:uid="{00000000-0005-0000-0000-000056340000}"/>
    <cellStyle name="Vírgula 2 2 3 2 2 5" xfId="16367" xr:uid="{00000000-0005-0000-0000-000057340000}"/>
    <cellStyle name="Vírgula 2 2 3 2 3" xfId="4392" xr:uid="{00000000-0005-0000-0000-000058340000}"/>
    <cellStyle name="Vírgula 2 2 3 2 3 2" xfId="6222" xr:uid="{00000000-0005-0000-0000-000059340000}"/>
    <cellStyle name="Vírgula 2 2 3 2 3 2 2" xfId="23204" xr:uid="{00000000-0005-0000-0000-00005A340000}"/>
    <cellStyle name="Vírgula 2 2 3 2 3 2 3" xfId="19257" xr:uid="{00000000-0005-0000-0000-00005B340000}"/>
    <cellStyle name="Vírgula 2 2 3 2 3 3" xfId="21436" xr:uid="{00000000-0005-0000-0000-00005C340000}"/>
    <cellStyle name="Vírgula 2 2 3 2 3 4" xfId="17429" xr:uid="{00000000-0005-0000-0000-00005D340000}"/>
    <cellStyle name="Vírgula 2 2 3 2 4" xfId="13513" xr:uid="{00000000-0005-0000-0000-00005E340000}"/>
    <cellStyle name="Vírgula 2 2 3 3" xfId="3008" xr:uid="{00000000-0005-0000-0000-00005F340000}"/>
    <cellStyle name="Vírgula 2 2 3 3 2" xfId="4360" xr:uid="{00000000-0005-0000-0000-000060340000}"/>
    <cellStyle name="Vírgula 2 2 3 3 2 2" xfId="6557" xr:uid="{00000000-0005-0000-0000-000061340000}"/>
    <cellStyle name="Vírgula 2 2 3 3 2 2 2" xfId="12851" xr:uid="{00000000-0005-0000-0000-000062340000}"/>
    <cellStyle name="Vírgula 2 2 3 3 2 2 2 2" xfId="23539" xr:uid="{00000000-0005-0000-0000-000063340000}"/>
    <cellStyle name="Vírgula 2 2 3 3 2 2 3" xfId="12921" xr:uid="{00000000-0005-0000-0000-000064340000}"/>
    <cellStyle name="Vírgula 2 2 3 3 2 2 4" xfId="19592" xr:uid="{00000000-0005-0000-0000-000065340000}"/>
    <cellStyle name="Vírgula 2 2 3 3 2 3" xfId="21404" xr:uid="{00000000-0005-0000-0000-000066340000}"/>
    <cellStyle name="Vírgula 2 2 3 3 2 4" xfId="17397" xr:uid="{00000000-0005-0000-0000-000067340000}"/>
    <cellStyle name="Vírgula 2 2 3 3 3" xfId="8479" xr:uid="{00000000-0005-0000-0000-000068340000}"/>
    <cellStyle name="Vírgula 2 2 3 3 4" xfId="13548" xr:uid="{00000000-0005-0000-0000-000069340000}"/>
    <cellStyle name="Vírgula 2 2 3 3 5" xfId="13409" xr:uid="{00000000-0005-0000-0000-00006A340000}"/>
    <cellStyle name="Vírgula 2 2 3 4" xfId="3157" xr:uid="{00000000-0005-0000-0000-00006B340000}"/>
    <cellStyle name="Vírgula 2 2 3 4 2" xfId="4550" xr:uid="{00000000-0005-0000-0000-00006C340000}"/>
    <cellStyle name="Vírgula 2 2 3 4 2 2" xfId="21590" xr:uid="{00000000-0005-0000-0000-00006D340000}"/>
    <cellStyle name="Vírgula 2 2 3 4 2 3" xfId="17585" xr:uid="{00000000-0005-0000-0000-00006E340000}"/>
    <cellStyle name="Vírgula 2 2 3 4 3" xfId="5326" xr:uid="{00000000-0005-0000-0000-00006F340000}"/>
    <cellStyle name="Vírgula 2 2 3 4 3 2" xfId="22325" xr:uid="{00000000-0005-0000-0000-000070340000}"/>
    <cellStyle name="Vírgula 2 2 3 4 3 3" xfId="18361" xr:uid="{00000000-0005-0000-0000-000071340000}"/>
    <cellStyle name="Vírgula 2 2 3 4 4" xfId="20225" xr:uid="{00000000-0005-0000-0000-000072340000}"/>
    <cellStyle name="Vírgula 2 2 3 4 5" xfId="16201" xr:uid="{00000000-0005-0000-0000-000073340000}"/>
    <cellStyle name="Vírgula 2 2 3 5" xfId="3906" xr:uid="{00000000-0005-0000-0000-000074340000}"/>
    <cellStyle name="Vírgula 2 2 3 5 2" xfId="6047" xr:uid="{00000000-0005-0000-0000-000075340000}"/>
    <cellStyle name="Vírgula 2 2 3 5 2 2" xfId="23036" xr:uid="{00000000-0005-0000-0000-000076340000}"/>
    <cellStyle name="Vírgula 2 2 3 5 2 3" xfId="19082" xr:uid="{00000000-0005-0000-0000-000077340000}"/>
    <cellStyle name="Vírgula 2 2 3 5 3" xfId="20963" xr:uid="{00000000-0005-0000-0000-000078340000}"/>
    <cellStyle name="Vírgula 2 2 3 5 4" xfId="16948" xr:uid="{00000000-0005-0000-0000-000079340000}"/>
    <cellStyle name="Vírgula 2 2 3 6" xfId="6742" xr:uid="{00000000-0005-0000-0000-00007A340000}"/>
    <cellStyle name="Vírgula 2 2 3 6 2" xfId="23715" xr:uid="{00000000-0005-0000-0000-00007B340000}"/>
    <cellStyle name="Vírgula 2 2 3 6 3" xfId="19777" xr:uid="{00000000-0005-0000-0000-00007C340000}"/>
    <cellStyle name="Vírgula 2 2 3 7" xfId="5060" xr:uid="{00000000-0005-0000-0000-00007D340000}"/>
    <cellStyle name="Vírgula 2 2 3 7 2" xfId="22068" xr:uid="{00000000-0005-0000-0000-00007E340000}"/>
    <cellStyle name="Vírgula 2 2 3 7 3" xfId="18095" xr:uid="{00000000-0005-0000-0000-00007F340000}"/>
    <cellStyle name="Vírgula 2 2 3 8" xfId="19968" xr:uid="{00000000-0005-0000-0000-000080340000}"/>
    <cellStyle name="Vírgula 2 2 3 9" xfId="15928" xr:uid="{00000000-0005-0000-0000-000081340000}"/>
    <cellStyle name="Vírgula 2 2 4" xfId="2195" xr:uid="{00000000-0005-0000-0000-000082340000}"/>
    <cellStyle name="Vírgula 2 2 4 2" xfId="3324" xr:uid="{00000000-0005-0000-0000-000083340000}"/>
    <cellStyle name="Vírgula 2 2 4 2 2" xfId="4654" xr:uid="{00000000-0005-0000-0000-000084340000}"/>
    <cellStyle name="Vírgula 2 2 4 2 2 2" xfId="21694" xr:uid="{00000000-0005-0000-0000-000085340000}"/>
    <cellStyle name="Vírgula 2 2 4 2 2 3" xfId="17689" xr:uid="{00000000-0005-0000-0000-000086340000}"/>
    <cellStyle name="Vírgula 2 2 4 2 3" xfId="5493" xr:uid="{00000000-0005-0000-0000-000087340000}"/>
    <cellStyle name="Vírgula 2 2 4 2 3 2" xfId="12483" xr:uid="{00000000-0005-0000-0000-000088340000}"/>
    <cellStyle name="Vírgula 2 2 4 2 3 2 2" xfId="22492" xr:uid="{00000000-0005-0000-0000-000089340000}"/>
    <cellStyle name="Vírgula 2 2 4 2 3 3" xfId="13087" xr:uid="{00000000-0005-0000-0000-00008A340000}"/>
    <cellStyle name="Vírgula 2 2 4 2 3 4" xfId="18528" xr:uid="{00000000-0005-0000-0000-00008B340000}"/>
    <cellStyle name="Vírgula 2 2 4 2 4" xfId="13629" xr:uid="{00000000-0005-0000-0000-00008C340000}"/>
    <cellStyle name="Vírgula 2 2 4 2 4 2" xfId="20392" xr:uid="{00000000-0005-0000-0000-00008D340000}"/>
    <cellStyle name="Vírgula 2 2 4 2 5" xfId="16368" xr:uid="{00000000-0005-0000-0000-00008E340000}"/>
    <cellStyle name="Vírgula 2 2 4 3" xfId="4403" xr:uid="{00000000-0005-0000-0000-00008F340000}"/>
    <cellStyle name="Vírgula 2 2 4 3 2" xfId="6223" xr:uid="{00000000-0005-0000-0000-000090340000}"/>
    <cellStyle name="Vírgula 2 2 4 3 2 2" xfId="23205" xr:uid="{00000000-0005-0000-0000-000091340000}"/>
    <cellStyle name="Vírgula 2 2 4 3 2 3" xfId="19258" xr:uid="{00000000-0005-0000-0000-000092340000}"/>
    <cellStyle name="Vírgula 2 2 4 3 3" xfId="21446" xr:uid="{00000000-0005-0000-0000-000093340000}"/>
    <cellStyle name="Vírgula 2 2 4 3 4" xfId="17440" xr:uid="{00000000-0005-0000-0000-000094340000}"/>
    <cellStyle name="Vírgula 2 2 4 4" xfId="8480" xr:uid="{00000000-0005-0000-0000-000095340000}"/>
    <cellStyle name="Vírgula 2 2 4 5" xfId="10648" xr:uid="{00000000-0005-0000-0000-000096340000}"/>
    <cellStyle name="Vírgula 2 2 5" xfId="2196" xr:uid="{00000000-0005-0000-0000-000097340000}"/>
    <cellStyle name="Vírgula 2 2 5 2" xfId="3325" xr:uid="{00000000-0005-0000-0000-000098340000}"/>
    <cellStyle name="Vírgula 2 2 5 2 2" xfId="4655" xr:uid="{00000000-0005-0000-0000-000099340000}"/>
    <cellStyle name="Vírgula 2 2 5 2 2 2" xfId="21695" xr:uid="{00000000-0005-0000-0000-00009A340000}"/>
    <cellStyle name="Vírgula 2 2 5 2 2 3" xfId="17690" xr:uid="{00000000-0005-0000-0000-00009B340000}"/>
    <cellStyle name="Vírgula 2 2 5 2 3" xfId="5494" xr:uid="{00000000-0005-0000-0000-00009C340000}"/>
    <cellStyle name="Vírgula 2 2 5 2 3 2" xfId="22493" xr:uid="{00000000-0005-0000-0000-00009D340000}"/>
    <cellStyle name="Vírgula 2 2 5 2 3 3" xfId="18529" xr:uid="{00000000-0005-0000-0000-00009E340000}"/>
    <cellStyle name="Vírgula 2 2 5 2 4" xfId="20393" xr:uid="{00000000-0005-0000-0000-00009F340000}"/>
    <cellStyle name="Vírgula 2 2 5 2 5" xfId="16369" xr:uid="{00000000-0005-0000-0000-0000A0340000}"/>
    <cellStyle name="Vírgula 2 2 5 3" xfId="4326" xr:uid="{00000000-0005-0000-0000-0000A1340000}"/>
    <cellStyle name="Vírgula 2 2 5 3 2" xfId="6224" xr:uid="{00000000-0005-0000-0000-0000A2340000}"/>
    <cellStyle name="Vírgula 2 2 5 3 2 2" xfId="23206" xr:uid="{00000000-0005-0000-0000-0000A3340000}"/>
    <cellStyle name="Vírgula 2 2 5 3 2 3" xfId="19259" xr:uid="{00000000-0005-0000-0000-0000A4340000}"/>
    <cellStyle name="Vírgula 2 2 5 3 3" xfId="21370" xr:uid="{00000000-0005-0000-0000-0000A5340000}"/>
    <cellStyle name="Vírgula 2 2 5 3 4" xfId="17363" xr:uid="{00000000-0005-0000-0000-0000A6340000}"/>
    <cellStyle name="Vírgula 2 2 6" xfId="2197" xr:uid="{00000000-0005-0000-0000-0000A7340000}"/>
    <cellStyle name="Vírgula 2 2 6 2" xfId="3326" xr:uid="{00000000-0005-0000-0000-0000A8340000}"/>
    <cellStyle name="Vírgula 2 2 6 2 2" xfId="4656" xr:uid="{00000000-0005-0000-0000-0000A9340000}"/>
    <cellStyle name="Vírgula 2 2 6 2 2 2" xfId="21696" xr:uid="{00000000-0005-0000-0000-0000AA340000}"/>
    <cellStyle name="Vírgula 2 2 6 2 2 3" xfId="17691" xr:uid="{00000000-0005-0000-0000-0000AB340000}"/>
    <cellStyle name="Vírgula 2 2 6 2 3" xfId="5495" xr:uid="{00000000-0005-0000-0000-0000AC340000}"/>
    <cellStyle name="Vírgula 2 2 6 2 3 2" xfId="22494" xr:uid="{00000000-0005-0000-0000-0000AD340000}"/>
    <cellStyle name="Vírgula 2 2 6 2 3 3" xfId="18530" xr:uid="{00000000-0005-0000-0000-0000AE340000}"/>
    <cellStyle name="Vírgula 2 2 6 2 4" xfId="20394" xr:uid="{00000000-0005-0000-0000-0000AF340000}"/>
    <cellStyle name="Vírgula 2 2 6 2 5" xfId="16370" xr:uid="{00000000-0005-0000-0000-0000B0340000}"/>
    <cellStyle name="Vírgula 2 2 6 3" xfId="4162" xr:uid="{00000000-0005-0000-0000-0000B1340000}"/>
    <cellStyle name="Vírgula 2 2 6 3 2" xfId="6225" xr:uid="{00000000-0005-0000-0000-0000B2340000}"/>
    <cellStyle name="Vírgula 2 2 6 3 2 2" xfId="23207" xr:uid="{00000000-0005-0000-0000-0000B3340000}"/>
    <cellStyle name="Vírgula 2 2 6 3 2 3" xfId="19260" xr:uid="{00000000-0005-0000-0000-0000B4340000}"/>
    <cellStyle name="Vírgula 2 2 6 3 3" xfId="21209" xr:uid="{00000000-0005-0000-0000-0000B5340000}"/>
    <cellStyle name="Vírgula 2 2 6 3 4" xfId="17202" xr:uid="{00000000-0005-0000-0000-0000B6340000}"/>
    <cellStyle name="Vírgula 2 2 7" xfId="2198" xr:uid="{00000000-0005-0000-0000-0000B7340000}"/>
    <cellStyle name="Vírgula 2 2 7 2" xfId="3327" xr:uid="{00000000-0005-0000-0000-0000B8340000}"/>
    <cellStyle name="Vírgula 2 2 7 2 2" xfId="4657" xr:uid="{00000000-0005-0000-0000-0000B9340000}"/>
    <cellStyle name="Vírgula 2 2 7 2 2 2" xfId="21697" xr:uid="{00000000-0005-0000-0000-0000BA340000}"/>
    <cellStyle name="Vírgula 2 2 7 2 2 3" xfId="17692" xr:uid="{00000000-0005-0000-0000-0000BB340000}"/>
    <cellStyle name="Vírgula 2 2 7 2 3" xfId="5496" xr:uid="{00000000-0005-0000-0000-0000BC340000}"/>
    <cellStyle name="Vírgula 2 2 7 2 3 2" xfId="22495" xr:uid="{00000000-0005-0000-0000-0000BD340000}"/>
    <cellStyle name="Vírgula 2 2 7 2 3 3" xfId="18531" xr:uid="{00000000-0005-0000-0000-0000BE340000}"/>
    <cellStyle name="Vírgula 2 2 7 2 4" xfId="20395" xr:uid="{00000000-0005-0000-0000-0000BF340000}"/>
    <cellStyle name="Vírgula 2 2 7 2 5" xfId="16371" xr:uid="{00000000-0005-0000-0000-0000C0340000}"/>
    <cellStyle name="Vírgula 2 2 7 3" xfId="4400" xr:uid="{00000000-0005-0000-0000-0000C1340000}"/>
    <cellStyle name="Vírgula 2 2 7 3 2" xfId="6226" xr:uid="{00000000-0005-0000-0000-0000C2340000}"/>
    <cellStyle name="Vírgula 2 2 7 3 2 2" xfId="23208" xr:uid="{00000000-0005-0000-0000-0000C3340000}"/>
    <cellStyle name="Vírgula 2 2 7 3 2 3" xfId="19261" xr:uid="{00000000-0005-0000-0000-0000C4340000}"/>
    <cellStyle name="Vírgula 2 2 7 3 3" xfId="21443" xr:uid="{00000000-0005-0000-0000-0000C5340000}"/>
    <cellStyle name="Vírgula 2 2 7 3 4" xfId="17437" xr:uid="{00000000-0005-0000-0000-0000C6340000}"/>
    <cellStyle name="Vírgula 2 2 8" xfId="2199" xr:uid="{00000000-0005-0000-0000-0000C7340000}"/>
    <cellStyle name="Vírgula 2 2 8 2" xfId="3328" xr:uid="{00000000-0005-0000-0000-0000C8340000}"/>
    <cellStyle name="Vírgula 2 2 8 2 2" xfId="4658" xr:uid="{00000000-0005-0000-0000-0000C9340000}"/>
    <cellStyle name="Vírgula 2 2 8 2 2 2" xfId="21698" xr:uid="{00000000-0005-0000-0000-0000CA340000}"/>
    <cellStyle name="Vírgula 2 2 8 2 2 3" xfId="17693" xr:uid="{00000000-0005-0000-0000-0000CB340000}"/>
    <cellStyle name="Vírgula 2 2 8 2 3" xfId="5497" xr:uid="{00000000-0005-0000-0000-0000CC340000}"/>
    <cellStyle name="Vírgula 2 2 8 2 3 2" xfId="22496" xr:uid="{00000000-0005-0000-0000-0000CD340000}"/>
    <cellStyle name="Vírgula 2 2 8 2 3 3" xfId="18532" xr:uid="{00000000-0005-0000-0000-0000CE340000}"/>
    <cellStyle name="Vírgula 2 2 8 2 4" xfId="20396" xr:uid="{00000000-0005-0000-0000-0000CF340000}"/>
    <cellStyle name="Vírgula 2 2 8 2 5" xfId="16372" xr:uid="{00000000-0005-0000-0000-0000D0340000}"/>
    <cellStyle name="Vírgula 2 2 8 3" xfId="4016" xr:uid="{00000000-0005-0000-0000-0000D1340000}"/>
    <cellStyle name="Vírgula 2 2 8 3 2" xfId="6227" xr:uid="{00000000-0005-0000-0000-0000D2340000}"/>
    <cellStyle name="Vírgula 2 2 8 3 2 2" xfId="23209" xr:uid="{00000000-0005-0000-0000-0000D3340000}"/>
    <cellStyle name="Vírgula 2 2 8 3 2 3" xfId="19262" xr:uid="{00000000-0005-0000-0000-0000D4340000}"/>
    <cellStyle name="Vírgula 2 2 8 3 3" xfId="21068" xr:uid="{00000000-0005-0000-0000-0000D5340000}"/>
    <cellStyle name="Vírgula 2 2 8 3 4" xfId="17057" xr:uid="{00000000-0005-0000-0000-0000D6340000}"/>
    <cellStyle name="Vírgula 2 2 9" xfId="2200" xr:uid="{00000000-0005-0000-0000-0000D7340000}"/>
    <cellStyle name="Vírgula 2 2 9 2" xfId="3329" xr:uid="{00000000-0005-0000-0000-0000D8340000}"/>
    <cellStyle name="Vírgula 2 2 9 2 2" xfId="4659" xr:uid="{00000000-0005-0000-0000-0000D9340000}"/>
    <cellStyle name="Vírgula 2 2 9 2 2 2" xfId="21699" xr:uid="{00000000-0005-0000-0000-0000DA340000}"/>
    <cellStyle name="Vírgula 2 2 9 2 2 3" xfId="17694" xr:uid="{00000000-0005-0000-0000-0000DB340000}"/>
    <cellStyle name="Vírgula 2 2 9 2 3" xfId="5498" xr:uid="{00000000-0005-0000-0000-0000DC340000}"/>
    <cellStyle name="Vírgula 2 2 9 2 3 2" xfId="22497" xr:uid="{00000000-0005-0000-0000-0000DD340000}"/>
    <cellStyle name="Vírgula 2 2 9 2 3 3" xfId="18533" xr:uid="{00000000-0005-0000-0000-0000DE340000}"/>
    <cellStyle name="Vírgula 2 2 9 2 4" xfId="20397" xr:uid="{00000000-0005-0000-0000-0000DF340000}"/>
    <cellStyle name="Vírgula 2 2 9 2 5" xfId="16373" xr:uid="{00000000-0005-0000-0000-0000E0340000}"/>
    <cellStyle name="Vírgula 2 2 9 3" xfId="4488" xr:uid="{00000000-0005-0000-0000-0000E1340000}"/>
    <cellStyle name="Vírgula 2 2 9 3 2" xfId="6228" xr:uid="{00000000-0005-0000-0000-0000E2340000}"/>
    <cellStyle name="Vírgula 2 2 9 3 2 2" xfId="23210" xr:uid="{00000000-0005-0000-0000-0000E3340000}"/>
    <cellStyle name="Vírgula 2 2 9 3 2 3" xfId="19263" xr:uid="{00000000-0005-0000-0000-0000E4340000}"/>
    <cellStyle name="Vírgula 2 2 9 3 3" xfId="21528" xr:uid="{00000000-0005-0000-0000-0000E5340000}"/>
    <cellStyle name="Vírgula 2 2 9 3 4" xfId="17523" xr:uid="{00000000-0005-0000-0000-0000E6340000}"/>
    <cellStyle name="Vírgula 2 3" xfId="53" xr:uid="{00000000-0005-0000-0000-0000E7340000}"/>
    <cellStyle name="Vírgula 2 3 10" xfId="3970" xr:uid="{00000000-0005-0000-0000-0000E8340000}"/>
    <cellStyle name="Vírgula 2 3 10 2" xfId="5876" xr:uid="{00000000-0005-0000-0000-0000E9340000}"/>
    <cellStyle name="Vírgula 2 3 10 2 2" xfId="11700" xr:uid="{00000000-0005-0000-0000-0000EA340000}"/>
    <cellStyle name="Vírgula 2 3 10 2 2 2" xfId="22872" xr:uid="{00000000-0005-0000-0000-0000EB340000}"/>
    <cellStyle name="Vírgula 2 3 10 2 3" xfId="13034" xr:uid="{00000000-0005-0000-0000-0000EC340000}"/>
    <cellStyle name="Vírgula 2 3 10 2 4" xfId="18911" xr:uid="{00000000-0005-0000-0000-0000ED340000}"/>
    <cellStyle name="Vírgula 2 3 10 3" xfId="13695" xr:uid="{00000000-0005-0000-0000-0000EE340000}"/>
    <cellStyle name="Vírgula 2 3 10 3 2" xfId="21026" xr:uid="{00000000-0005-0000-0000-0000EF340000}"/>
    <cellStyle name="Vírgula 2 3 10 4" xfId="17012" xr:uid="{00000000-0005-0000-0000-0000F0340000}"/>
    <cellStyle name="Vírgula 2 3 11" xfId="8481" xr:uid="{00000000-0005-0000-0000-0000F1340000}"/>
    <cellStyle name="Vírgula 2 3 11 2" xfId="11276" xr:uid="{00000000-0005-0000-0000-0000F2340000}"/>
    <cellStyle name="Vírgula 2 3 11 3" xfId="13031" xr:uid="{00000000-0005-0000-0000-0000F3340000}"/>
    <cellStyle name="Vírgula 2 3 2" xfId="338" xr:uid="{00000000-0005-0000-0000-0000F4340000}"/>
    <cellStyle name="Vírgula 2 3 2 10" xfId="8482" xr:uid="{00000000-0005-0000-0000-0000F5340000}"/>
    <cellStyle name="Vírgula 2 3 2 2" xfId="781" xr:uid="{00000000-0005-0000-0000-0000F6340000}"/>
    <cellStyle name="Vírgula 2 3 2 2 2" xfId="3120" xr:uid="{00000000-0005-0000-0000-0000F7340000}"/>
    <cellStyle name="Vírgula 2 3 2 2 2 2" xfId="4535" xr:uid="{00000000-0005-0000-0000-0000F8340000}"/>
    <cellStyle name="Vírgula 2 3 2 2 2 2 2" xfId="21575" xr:uid="{00000000-0005-0000-0000-0000F9340000}"/>
    <cellStyle name="Vírgula 2 3 2 2 2 2 3" xfId="17570" xr:uid="{00000000-0005-0000-0000-0000FA340000}"/>
    <cellStyle name="Vírgula 2 3 2 2 2 3" xfId="5289" xr:uid="{00000000-0005-0000-0000-0000FB340000}"/>
    <cellStyle name="Vírgula 2 3 2 2 2 3 2" xfId="11854" xr:uid="{00000000-0005-0000-0000-0000FC340000}"/>
    <cellStyle name="Vírgula 2 3 2 2 2 3 2 2" xfId="22288" xr:uid="{00000000-0005-0000-0000-0000FD340000}"/>
    <cellStyle name="Vírgula 2 3 2 2 2 3 3" xfId="13018" xr:uid="{00000000-0005-0000-0000-0000FE340000}"/>
    <cellStyle name="Vírgula 2 3 2 2 2 3 4" xfId="18324" xr:uid="{00000000-0005-0000-0000-0000FF340000}"/>
    <cellStyle name="Vírgula 2 3 2 2 2 4" xfId="13602" xr:uid="{00000000-0005-0000-0000-000000350000}"/>
    <cellStyle name="Vírgula 2 3 2 2 2 4 2" xfId="20188" xr:uid="{00000000-0005-0000-0000-000001350000}"/>
    <cellStyle name="Vírgula 2 3 2 2 2 5" xfId="16164" xr:uid="{00000000-0005-0000-0000-000002350000}"/>
    <cellStyle name="Vírgula 2 3 2 2 3" xfId="3792" xr:uid="{00000000-0005-0000-0000-000003350000}"/>
    <cellStyle name="Vírgula 2 3 2 2 3 2" xfId="6006" xr:uid="{00000000-0005-0000-0000-000004350000}"/>
    <cellStyle name="Vírgula 2 3 2 2 3 2 2" xfId="22999" xr:uid="{00000000-0005-0000-0000-000005350000}"/>
    <cellStyle name="Vírgula 2 3 2 2 3 2 3" xfId="19041" xr:uid="{00000000-0005-0000-0000-000006350000}"/>
    <cellStyle name="Vírgula 2 3 2 2 3 3" xfId="20854" xr:uid="{00000000-0005-0000-0000-000007350000}"/>
    <cellStyle name="Vírgula 2 3 2 2 3 4" xfId="16834" xr:uid="{00000000-0005-0000-0000-000008350000}"/>
    <cellStyle name="Vírgula 2 3 2 2 4" xfId="8483" xr:uid="{00000000-0005-0000-0000-000009350000}"/>
    <cellStyle name="Vírgula 2 3 2 3" xfId="3009" xr:uid="{00000000-0005-0000-0000-00000A350000}"/>
    <cellStyle name="Vírgula 2 3 2 3 2" xfId="4131" xr:uid="{00000000-0005-0000-0000-00000B350000}"/>
    <cellStyle name="Vírgula 2 3 2 3 2 2" xfId="5911" xr:uid="{00000000-0005-0000-0000-00000C350000}"/>
    <cellStyle name="Vírgula 2 3 2 3 2 2 2" xfId="11086" xr:uid="{00000000-0005-0000-0000-00000D350000}"/>
    <cellStyle name="Vírgula 2 3 2 3 2 2 2 2" xfId="22906" xr:uid="{00000000-0005-0000-0000-00000E350000}"/>
    <cellStyle name="Vírgula 2 3 2 3 2 2 3" xfId="11517" xr:uid="{00000000-0005-0000-0000-00000F350000}"/>
    <cellStyle name="Vírgula 2 3 2 3 2 2 4" xfId="18946" xr:uid="{00000000-0005-0000-0000-000010350000}"/>
    <cellStyle name="Vírgula 2 3 2 3 2 3" xfId="13709" xr:uid="{00000000-0005-0000-0000-000011350000}"/>
    <cellStyle name="Vírgula 2 3 2 3 2 3 2" xfId="21179" xr:uid="{00000000-0005-0000-0000-000012350000}"/>
    <cellStyle name="Vírgula 2 3 2 3 2 4" xfId="17171" xr:uid="{00000000-0005-0000-0000-000013350000}"/>
    <cellStyle name="Vírgula 2 3 2 3 3" xfId="8484" xr:uid="{00000000-0005-0000-0000-000014350000}"/>
    <cellStyle name="Vírgula 2 3 2 3 3 2" xfId="11723" xr:uid="{00000000-0005-0000-0000-000015350000}"/>
    <cellStyle name="Vírgula 2 3 2 3 3 3" xfId="11506" xr:uid="{00000000-0005-0000-0000-000016350000}"/>
    <cellStyle name="Vírgula 2 3 2 3 4" xfId="12707" xr:uid="{00000000-0005-0000-0000-000017350000}"/>
    <cellStyle name="Vírgula 2 3 2 4" xfId="3047" xr:uid="{00000000-0005-0000-0000-000018350000}"/>
    <cellStyle name="Vírgula 2 3 2 4 2" xfId="4495" xr:uid="{00000000-0005-0000-0000-000019350000}"/>
    <cellStyle name="Vírgula 2 3 2 4 2 2" xfId="21535" xr:uid="{00000000-0005-0000-0000-00001A350000}"/>
    <cellStyle name="Vírgula 2 3 2 4 2 3" xfId="17530" xr:uid="{00000000-0005-0000-0000-00001B350000}"/>
    <cellStyle name="Vírgula 2 3 2 4 3" xfId="5216" xr:uid="{00000000-0005-0000-0000-00001C350000}"/>
    <cellStyle name="Vírgula 2 3 2 4 3 2" xfId="13248" xr:uid="{00000000-0005-0000-0000-00001D350000}"/>
    <cellStyle name="Vírgula 2 3 2 4 3 2 2" xfId="22215" xr:uid="{00000000-0005-0000-0000-00001E350000}"/>
    <cellStyle name="Vírgula 2 3 2 4 3 3" xfId="12823" xr:uid="{00000000-0005-0000-0000-00001F350000}"/>
    <cellStyle name="Vírgula 2 3 2 4 3 4" xfId="18251" xr:uid="{00000000-0005-0000-0000-000020350000}"/>
    <cellStyle name="Vírgula 2 3 2 4 4" xfId="13575" xr:uid="{00000000-0005-0000-0000-000021350000}"/>
    <cellStyle name="Vírgula 2 3 2 4 4 2" xfId="20115" xr:uid="{00000000-0005-0000-0000-000022350000}"/>
    <cellStyle name="Vírgula 2 3 2 4 5" xfId="16091" xr:uid="{00000000-0005-0000-0000-000023350000}"/>
    <cellStyle name="Vírgula 2 3 2 5" xfId="8485" xr:uid="{00000000-0005-0000-0000-000024350000}"/>
    <cellStyle name="Vírgula 2 3 2 5 2" xfId="11674" xr:uid="{00000000-0005-0000-0000-000025350000}"/>
    <cellStyle name="Vírgula 2 3 2 5 3" xfId="12029" xr:uid="{00000000-0005-0000-0000-000026350000}"/>
    <cellStyle name="Vírgula 2 3 2 6" xfId="8486" xr:uid="{00000000-0005-0000-0000-000027350000}"/>
    <cellStyle name="Vírgula 2 3 2 6 2" xfId="12864" xr:uid="{00000000-0005-0000-0000-000028350000}"/>
    <cellStyle name="Vírgula 2 3 2 6 3" xfId="13152" xr:uid="{00000000-0005-0000-0000-000029350000}"/>
    <cellStyle name="Vírgula 2 3 2 7" xfId="8487" xr:uid="{00000000-0005-0000-0000-00002A350000}"/>
    <cellStyle name="Vírgula 2 3 2 7 2" xfId="13333" xr:uid="{00000000-0005-0000-0000-00002B350000}"/>
    <cellStyle name="Vírgula 2 3 2 7 3" xfId="12837" xr:uid="{00000000-0005-0000-0000-00002C350000}"/>
    <cellStyle name="Vírgula 2 3 2 8" xfId="8488" xr:uid="{00000000-0005-0000-0000-00002D350000}"/>
    <cellStyle name="Vírgula 2 3 2 8 2" xfId="13269" xr:uid="{00000000-0005-0000-0000-00002E350000}"/>
    <cellStyle name="Vírgula 2 3 2 8 3" xfId="13015" xr:uid="{00000000-0005-0000-0000-00002F350000}"/>
    <cellStyle name="Vírgula 2 3 2 9" xfId="8489" xr:uid="{00000000-0005-0000-0000-000030350000}"/>
    <cellStyle name="Vírgula 2 3 3" xfId="668" xr:uid="{00000000-0005-0000-0000-000031350000}"/>
    <cellStyle name="Vírgula 2 3 3 2" xfId="3102" xr:uid="{00000000-0005-0000-0000-000032350000}"/>
    <cellStyle name="Vírgula 2 3 3 2 2" xfId="4517" xr:uid="{00000000-0005-0000-0000-000033350000}"/>
    <cellStyle name="Vírgula 2 3 3 2 2 2" xfId="21557" xr:uid="{00000000-0005-0000-0000-000034350000}"/>
    <cellStyle name="Vírgula 2 3 3 2 2 3" xfId="17552" xr:uid="{00000000-0005-0000-0000-000035350000}"/>
    <cellStyle name="Vírgula 2 3 3 2 3" xfId="5271" xr:uid="{00000000-0005-0000-0000-000036350000}"/>
    <cellStyle name="Vírgula 2 3 3 2 3 2" xfId="22270" xr:uid="{00000000-0005-0000-0000-000037350000}"/>
    <cellStyle name="Vírgula 2 3 3 2 3 3" xfId="18306" xr:uid="{00000000-0005-0000-0000-000038350000}"/>
    <cellStyle name="Vírgula 2 3 3 2 4" xfId="20170" xr:uid="{00000000-0005-0000-0000-000039350000}"/>
    <cellStyle name="Vírgula 2 3 3 2 5" xfId="16146" xr:uid="{00000000-0005-0000-0000-00003A350000}"/>
    <cellStyle name="Vírgula 2 3 3 3" xfId="4076" xr:uid="{00000000-0005-0000-0000-00003B350000}"/>
    <cellStyle name="Vírgula 2 3 3 3 2" xfId="5986" xr:uid="{00000000-0005-0000-0000-00003C350000}"/>
    <cellStyle name="Vírgula 2 3 3 3 2 2" xfId="22980" xr:uid="{00000000-0005-0000-0000-00003D350000}"/>
    <cellStyle name="Vírgula 2 3 3 3 2 3" xfId="19021" xr:uid="{00000000-0005-0000-0000-00003E350000}"/>
    <cellStyle name="Vírgula 2 3 3 3 3" xfId="21124" xr:uid="{00000000-0005-0000-0000-00003F350000}"/>
    <cellStyle name="Vírgula 2 3 3 3 4" xfId="17116" xr:uid="{00000000-0005-0000-0000-000040350000}"/>
    <cellStyle name="Vírgula 2 3 4" xfId="873" xr:uid="{00000000-0005-0000-0000-000041350000}"/>
    <cellStyle name="Vírgula 2 3 4 2" xfId="2201" xr:uid="{00000000-0005-0000-0000-000042350000}"/>
    <cellStyle name="Vírgula 2 3 4 2 2" xfId="3330" xr:uid="{00000000-0005-0000-0000-000043350000}"/>
    <cellStyle name="Vírgula 2 3 4 2 2 2" xfId="4660" xr:uid="{00000000-0005-0000-0000-000044350000}"/>
    <cellStyle name="Vírgula 2 3 4 2 2 2 2" xfId="21700" xr:uid="{00000000-0005-0000-0000-000045350000}"/>
    <cellStyle name="Vírgula 2 3 4 2 2 2 3" xfId="17695" xr:uid="{00000000-0005-0000-0000-000046350000}"/>
    <cellStyle name="Vírgula 2 3 4 2 2 3" xfId="5499" xr:uid="{00000000-0005-0000-0000-000047350000}"/>
    <cellStyle name="Vírgula 2 3 4 2 2 3 2" xfId="22498" xr:uid="{00000000-0005-0000-0000-000048350000}"/>
    <cellStyle name="Vírgula 2 3 4 2 2 3 3" xfId="18534" xr:uid="{00000000-0005-0000-0000-000049350000}"/>
    <cellStyle name="Vírgula 2 3 4 2 2 4" xfId="20398" xr:uid="{00000000-0005-0000-0000-00004A350000}"/>
    <cellStyle name="Vírgula 2 3 4 2 2 5" xfId="16374" xr:uid="{00000000-0005-0000-0000-00004B350000}"/>
    <cellStyle name="Vírgula 2 3 4 2 3" xfId="3805" xr:uid="{00000000-0005-0000-0000-00004C350000}"/>
    <cellStyle name="Vírgula 2 3 4 2 3 2" xfId="6229" xr:uid="{00000000-0005-0000-0000-00004D350000}"/>
    <cellStyle name="Vírgula 2 3 4 2 3 2 2" xfId="23211" xr:uid="{00000000-0005-0000-0000-00004E350000}"/>
    <cellStyle name="Vírgula 2 3 4 2 3 2 3" xfId="19264" xr:uid="{00000000-0005-0000-0000-00004F350000}"/>
    <cellStyle name="Vírgula 2 3 4 2 3 3" xfId="20867" xr:uid="{00000000-0005-0000-0000-000050350000}"/>
    <cellStyle name="Vírgula 2 3 4 2 3 4" xfId="16847" xr:uid="{00000000-0005-0000-0000-000051350000}"/>
    <cellStyle name="Vírgula 2 3 4 3" xfId="3158" xr:uid="{00000000-0005-0000-0000-000052350000}"/>
    <cellStyle name="Vírgula 2 3 4 3 2" xfId="4121" xr:uid="{00000000-0005-0000-0000-000053350000}"/>
    <cellStyle name="Vírgula 2 3 4 3 2 2" xfId="6558" xr:uid="{00000000-0005-0000-0000-000054350000}"/>
    <cellStyle name="Vírgula 2 3 4 3 2 2 2" xfId="23540" xr:uid="{00000000-0005-0000-0000-000055350000}"/>
    <cellStyle name="Vírgula 2 3 4 3 2 2 3" xfId="19593" xr:uid="{00000000-0005-0000-0000-000056350000}"/>
    <cellStyle name="Vírgula 2 3 4 3 2 3" xfId="21169" xr:uid="{00000000-0005-0000-0000-000057350000}"/>
    <cellStyle name="Vírgula 2 3 4 3 2 4" xfId="17161" xr:uid="{00000000-0005-0000-0000-000058350000}"/>
    <cellStyle name="Vírgula 2 3 4 3 3" xfId="5327" xr:uid="{00000000-0005-0000-0000-000059350000}"/>
    <cellStyle name="Vírgula 2 3 4 3 3 2" xfId="22326" xr:uid="{00000000-0005-0000-0000-00005A350000}"/>
    <cellStyle name="Vírgula 2 3 4 3 3 3" xfId="18362" xr:uid="{00000000-0005-0000-0000-00005B350000}"/>
    <cellStyle name="Vírgula 2 3 4 3 4" xfId="20226" xr:uid="{00000000-0005-0000-0000-00005C350000}"/>
    <cellStyle name="Vírgula 2 3 4 3 5" xfId="16202" xr:uid="{00000000-0005-0000-0000-00005D350000}"/>
    <cellStyle name="Vírgula 2 3 4 4" xfId="3907" xr:uid="{00000000-0005-0000-0000-00005E350000}"/>
    <cellStyle name="Vírgula 2 3 4 4 2" xfId="6048" xr:uid="{00000000-0005-0000-0000-00005F350000}"/>
    <cellStyle name="Vírgula 2 3 4 4 2 2" xfId="23037" xr:uid="{00000000-0005-0000-0000-000060350000}"/>
    <cellStyle name="Vírgula 2 3 4 4 2 3" xfId="19083" xr:uid="{00000000-0005-0000-0000-000061350000}"/>
    <cellStyle name="Vírgula 2 3 4 4 3" xfId="20964" xr:uid="{00000000-0005-0000-0000-000062350000}"/>
    <cellStyle name="Vírgula 2 3 4 4 4" xfId="16949" xr:uid="{00000000-0005-0000-0000-000063350000}"/>
    <cellStyle name="Vírgula 2 3 4 5" xfId="6743" xr:uid="{00000000-0005-0000-0000-000064350000}"/>
    <cellStyle name="Vírgula 2 3 4 5 2" xfId="23716" xr:uid="{00000000-0005-0000-0000-000065350000}"/>
    <cellStyle name="Vírgula 2 3 4 5 3" xfId="19778" xr:uid="{00000000-0005-0000-0000-000066350000}"/>
    <cellStyle name="Vírgula 2 3 4 6" xfId="5061" xr:uid="{00000000-0005-0000-0000-000067350000}"/>
    <cellStyle name="Vírgula 2 3 4 6 2" xfId="22069" xr:uid="{00000000-0005-0000-0000-000068350000}"/>
    <cellStyle name="Vírgula 2 3 4 6 3" xfId="18096" xr:uid="{00000000-0005-0000-0000-000069350000}"/>
    <cellStyle name="Vírgula 2 3 4 7" xfId="19969" xr:uid="{00000000-0005-0000-0000-00006A350000}"/>
    <cellStyle name="Vírgula 2 3 4 8" xfId="15929" xr:uid="{00000000-0005-0000-0000-00006B350000}"/>
    <cellStyle name="Vírgula 2 3 5" xfId="2202" xr:uid="{00000000-0005-0000-0000-00006C350000}"/>
    <cellStyle name="Vírgula 2 3 5 2" xfId="3331" xr:uid="{00000000-0005-0000-0000-00006D350000}"/>
    <cellStyle name="Vírgula 2 3 5 2 2" xfId="4661" xr:uid="{00000000-0005-0000-0000-00006E350000}"/>
    <cellStyle name="Vírgula 2 3 5 2 2 2" xfId="21701" xr:uid="{00000000-0005-0000-0000-00006F350000}"/>
    <cellStyle name="Vírgula 2 3 5 2 2 3" xfId="17696" xr:uid="{00000000-0005-0000-0000-000070350000}"/>
    <cellStyle name="Vírgula 2 3 5 2 3" xfId="5500" xr:uid="{00000000-0005-0000-0000-000071350000}"/>
    <cellStyle name="Vírgula 2 3 5 2 3 2" xfId="22499" xr:uid="{00000000-0005-0000-0000-000072350000}"/>
    <cellStyle name="Vírgula 2 3 5 2 3 3" xfId="18535" xr:uid="{00000000-0005-0000-0000-000073350000}"/>
    <cellStyle name="Vírgula 2 3 5 2 4" xfId="20399" xr:uid="{00000000-0005-0000-0000-000074350000}"/>
    <cellStyle name="Vírgula 2 3 5 2 5" xfId="16375" xr:uid="{00000000-0005-0000-0000-000075350000}"/>
    <cellStyle name="Vírgula 2 3 5 3" xfId="4172" xr:uid="{00000000-0005-0000-0000-000076350000}"/>
    <cellStyle name="Vírgula 2 3 5 3 2" xfId="6230" xr:uid="{00000000-0005-0000-0000-000077350000}"/>
    <cellStyle name="Vírgula 2 3 5 3 2 2" xfId="23212" xr:uid="{00000000-0005-0000-0000-000078350000}"/>
    <cellStyle name="Vírgula 2 3 5 3 2 3" xfId="19265" xr:uid="{00000000-0005-0000-0000-000079350000}"/>
    <cellStyle name="Vírgula 2 3 5 3 3" xfId="21219" xr:uid="{00000000-0005-0000-0000-00007A350000}"/>
    <cellStyle name="Vírgula 2 3 5 3 4" xfId="17212" xr:uid="{00000000-0005-0000-0000-00007B350000}"/>
    <cellStyle name="Vírgula 2 3 6" xfId="2203" xr:uid="{00000000-0005-0000-0000-00007C350000}"/>
    <cellStyle name="Vírgula 2 3 6 2" xfId="3332" xr:uid="{00000000-0005-0000-0000-00007D350000}"/>
    <cellStyle name="Vírgula 2 3 6 2 2" xfId="4662" xr:uid="{00000000-0005-0000-0000-00007E350000}"/>
    <cellStyle name="Vírgula 2 3 6 2 2 2" xfId="21702" xr:uid="{00000000-0005-0000-0000-00007F350000}"/>
    <cellStyle name="Vírgula 2 3 6 2 2 3" xfId="17697" xr:uid="{00000000-0005-0000-0000-000080350000}"/>
    <cellStyle name="Vírgula 2 3 6 2 3" xfId="5501" xr:uid="{00000000-0005-0000-0000-000081350000}"/>
    <cellStyle name="Vírgula 2 3 6 2 3 2" xfId="22500" xr:uid="{00000000-0005-0000-0000-000082350000}"/>
    <cellStyle name="Vírgula 2 3 6 2 3 3" xfId="18536" xr:uid="{00000000-0005-0000-0000-000083350000}"/>
    <cellStyle name="Vírgula 2 3 6 2 4" xfId="20400" xr:uid="{00000000-0005-0000-0000-000084350000}"/>
    <cellStyle name="Vírgula 2 3 6 2 5" xfId="16376" xr:uid="{00000000-0005-0000-0000-000085350000}"/>
    <cellStyle name="Vírgula 2 3 6 3" xfId="3979" xr:uid="{00000000-0005-0000-0000-000086350000}"/>
    <cellStyle name="Vírgula 2 3 6 3 2" xfId="6231" xr:uid="{00000000-0005-0000-0000-000087350000}"/>
    <cellStyle name="Vírgula 2 3 6 3 2 2" xfId="23213" xr:uid="{00000000-0005-0000-0000-000088350000}"/>
    <cellStyle name="Vírgula 2 3 6 3 2 3" xfId="19266" xr:uid="{00000000-0005-0000-0000-000089350000}"/>
    <cellStyle name="Vírgula 2 3 6 3 3" xfId="21035" xr:uid="{00000000-0005-0000-0000-00008A350000}"/>
    <cellStyle name="Vírgula 2 3 6 3 4" xfId="17021" xr:uid="{00000000-0005-0000-0000-00008B350000}"/>
    <cellStyle name="Vírgula 2 3 7" xfId="2204" xr:uid="{00000000-0005-0000-0000-00008C350000}"/>
    <cellStyle name="Vírgula 2 3 7 2" xfId="3333" xr:uid="{00000000-0005-0000-0000-00008D350000}"/>
    <cellStyle name="Vírgula 2 3 7 2 2" xfId="4663" xr:uid="{00000000-0005-0000-0000-00008E350000}"/>
    <cellStyle name="Vírgula 2 3 7 2 2 2" xfId="21703" xr:uid="{00000000-0005-0000-0000-00008F350000}"/>
    <cellStyle name="Vírgula 2 3 7 2 2 3" xfId="17698" xr:uid="{00000000-0005-0000-0000-000090350000}"/>
    <cellStyle name="Vírgula 2 3 7 2 3" xfId="5502" xr:uid="{00000000-0005-0000-0000-000091350000}"/>
    <cellStyle name="Vírgula 2 3 7 2 3 2" xfId="22501" xr:uid="{00000000-0005-0000-0000-000092350000}"/>
    <cellStyle name="Vírgula 2 3 7 2 3 3" xfId="18537" xr:uid="{00000000-0005-0000-0000-000093350000}"/>
    <cellStyle name="Vírgula 2 3 7 2 4" xfId="20401" xr:uid="{00000000-0005-0000-0000-000094350000}"/>
    <cellStyle name="Vírgula 2 3 7 2 5" xfId="16377" xr:uid="{00000000-0005-0000-0000-000095350000}"/>
    <cellStyle name="Vírgula 2 3 7 3" xfId="4176" xr:uid="{00000000-0005-0000-0000-000096350000}"/>
    <cellStyle name="Vírgula 2 3 7 3 2" xfId="6232" xr:uid="{00000000-0005-0000-0000-000097350000}"/>
    <cellStyle name="Vírgula 2 3 7 3 2 2" xfId="23214" xr:uid="{00000000-0005-0000-0000-000098350000}"/>
    <cellStyle name="Vírgula 2 3 7 3 2 3" xfId="19267" xr:uid="{00000000-0005-0000-0000-000099350000}"/>
    <cellStyle name="Vírgula 2 3 7 3 3" xfId="21223" xr:uid="{00000000-0005-0000-0000-00009A350000}"/>
    <cellStyle name="Vírgula 2 3 7 3 4" xfId="17216" xr:uid="{00000000-0005-0000-0000-00009B350000}"/>
    <cellStyle name="Vírgula 2 3 8" xfId="2205" xr:uid="{00000000-0005-0000-0000-00009C350000}"/>
    <cellStyle name="Vírgula 2 3 8 2" xfId="3334" xr:uid="{00000000-0005-0000-0000-00009D350000}"/>
    <cellStyle name="Vírgula 2 3 8 2 2" xfId="4664" xr:uid="{00000000-0005-0000-0000-00009E350000}"/>
    <cellStyle name="Vírgula 2 3 8 2 2 2" xfId="21704" xr:uid="{00000000-0005-0000-0000-00009F350000}"/>
    <cellStyle name="Vírgula 2 3 8 2 2 3" xfId="17699" xr:uid="{00000000-0005-0000-0000-0000A0350000}"/>
    <cellStyle name="Vírgula 2 3 8 2 3" xfId="5503" xr:uid="{00000000-0005-0000-0000-0000A1350000}"/>
    <cellStyle name="Vírgula 2 3 8 2 3 2" xfId="22502" xr:uid="{00000000-0005-0000-0000-0000A2350000}"/>
    <cellStyle name="Vírgula 2 3 8 2 3 3" xfId="18538" xr:uid="{00000000-0005-0000-0000-0000A3350000}"/>
    <cellStyle name="Vírgula 2 3 8 2 4" xfId="20402" xr:uid="{00000000-0005-0000-0000-0000A4350000}"/>
    <cellStyle name="Vírgula 2 3 8 2 5" xfId="16378" xr:uid="{00000000-0005-0000-0000-0000A5350000}"/>
    <cellStyle name="Vírgula 2 3 8 3" xfId="4416" xr:uid="{00000000-0005-0000-0000-0000A6350000}"/>
    <cellStyle name="Vírgula 2 3 8 3 2" xfId="6233" xr:uid="{00000000-0005-0000-0000-0000A7350000}"/>
    <cellStyle name="Vírgula 2 3 8 3 2 2" xfId="23215" xr:uid="{00000000-0005-0000-0000-0000A8350000}"/>
    <cellStyle name="Vírgula 2 3 8 3 2 3" xfId="19268" xr:uid="{00000000-0005-0000-0000-0000A9350000}"/>
    <cellStyle name="Vírgula 2 3 8 3 3" xfId="21459" xr:uid="{00000000-0005-0000-0000-0000AA350000}"/>
    <cellStyle name="Vírgula 2 3 8 3 4" xfId="17453" xr:uid="{00000000-0005-0000-0000-0000AB350000}"/>
    <cellStyle name="Vírgula 2 3 9" xfId="2206" xr:uid="{00000000-0005-0000-0000-0000AC350000}"/>
    <cellStyle name="Vírgula 2 3 9 2" xfId="3335" xr:uid="{00000000-0005-0000-0000-0000AD350000}"/>
    <cellStyle name="Vírgula 2 3 9 2 2" xfId="4665" xr:uid="{00000000-0005-0000-0000-0000AE350000}"/>
    <cellStyle name="Vírgula 2 3 9 2 2 2" xfId="21705" xr:uid="{00000000-0005-0000-0000-0000AF350000}"/>
    <cellStyle name="Vírgula 2 3 9 2 2 3" xfId="17700" xr:uid="{00000000-0005-0000-0000-0000B0350000}"/>
    <cellStyle name="Vírgula 2 3 9 2 3" xfId="5504" xr:uid="{00000000-0005-0000-0000-0000B1350000}"/>
    <cellStyle name="Vírgula 2 3 9 2 3 2" xfId="22503" xr:uid="{00000000-0005-0000-0000-0000B2350000}"/>
    <cellStyle name="Vírgula 2 3 9 2 3 3" xfId="18539" xr:uid="{00000000-0005-0000-0000-0000B3350000}"/>
    <cellStyle name="Vírgula 2 3 9 2 4" xfId="20403" xr:uid="{00000000-0005-0000-0000-0000B4350000}"/>
    <cellStyle name="Vírgula 2 3 9 2 5" xfId="16379" xr:uid="{00000000-0005-0000-0000-0000B5350000}"/>
    <cellStyle name="Vírgula 2 3 9 3" xfId="4130" xr:uid="{00000000-0005-0000-0000-0000B6350000}"/>
    <cellStyle name="Vírgula 2 3 9 3 2" xfId="6234" xr:uid="{00000000-0005-0000-0000-0000B7350000}"/>
    <cellStyle name="Vírgula 2 3 9 3 2 2" xfId="23216" xr:uid="{00000000-0005-0000-0000-0000B8350000}"/>
    <cellStyle name="Vírgula 2 3 9 3 2 3" xfId="19269" xr:uid="{00000000-0005-0000-0000-0000B9350000}"/>
    <cellStyle name="Vírgula 2 3 9 3 3" xfId="21178" xr:uid="{00000000-0005-0000-0000-0000BA350000}"/>
    <cellStyle name="Vírgula 2 3 9 3 4" xfId="17170" xr:uid="{00000000-0005-0000-0000-0000BB350000}"/>
    <cellStyle name="Vírgula 2 4" xfId="339" xr:uid="{00000000-0005-0000-0000-0000BC350000}"/>
    <cellStyle name="Vírgula 2 4 10" xfId="8490" xr:uid="{00000000-0005-0000-0000-0000BD350000}"/>
    <cellStyle name="Vírgula 2 4 11" xfId="9135" xr:uid="{00000000-0005-0000-0000-0000BE350000}"/>
    <cellStyle name="Vírgula 2 4 2" xfId="782" xr:uid="{00000000-0005-0000-0000-0000BF350000}"/>
    <cellStyle name="Vírgula 2 4 2 2" xfId="3121" xr:uid="{00000000-0005-0000-0000-0000C0350000}"/>
    <cellStyle name="Vírgula 2 4 2 2 2" xfId="4536" xr:uid="{00000000-0005-0000-0000-0000C1350000}"/>
    <cellStyle name="Vírgula 2 4 2 2 2 2" xfId="13027" xr:uid="{00000000-0005-0000-0000-0000C2350000}"/>
    <cellStyle name="Vírgula 2 4 2 2 2 2 2" xfId="21576" xr:uid="{00000000-0005-0000-0000-0000C3350000}"/>
    <cellStyle name="Vírgula 2 4 2 2 2 3" xfId="17571" xr:uid="{00000000-0005-0000-0000-0000C4350000}"/>
    <cellStyle name="Vírgula 2 4 2 2 3" xfId="5290" xr:uid="{00000000-0005-0000-0000-0000C5350000}"/>
    <cellStyle name="Vírgula 2 4 2 2 3 2" xfId="11400" xr:uid="{00000000-0005-0000-0000-0000C6350000}"/>
    <cellStyle name="Vírgula 2 4 2 2 3 2 2" xfId="22289" xr:uid="{00000000-0005-0000-0000-0000C7350000}"/>
    <cellStyle name="Vírgula 2 4 2 2 3 3" xfId="11492" xr:uid="{00000000-0005-0000-0000-0000C8350000}"/>
    <cellStyle name="Vírgula 2 4 2 2 3 4" xfId="18325" xr:uid="{00000000-0005-0000-0000-0000C9350000}"/>
    <cellStyle name="Vírgula 2 4 2 2 4" xfId="13603" xr:uid="{00000000-0005-0000-0000-0000CA350000}"/>
    <cellStyle name="Vírgula 2 4 2 2 4 2" xfId="20189" xr:uid="{00000000-0005-0000-0000-0000CB350000}"/>
    <cellStyle name="Vírgula 2 4 2 2 5" xfId="16165" xr:uid="{00000000-0005-0000-0000-0000CC350000}"/>
    <cellStyle name="Vírgula 2 4 2 3" xfId="4253" xr:uid="{00000000-0005-0000-0000-0000CD350000}"/>
    <cellStyle name="Vírgula 2 4 2 3 2" xfId="6007" xr:uid="{00000000-0005-0000-0000-0000CE350000}"/>
    <cellStyle name="Vírgula 2 4 2 3 2 2" xfId="23000" xr:uid="{00000000-0005-0000-0000-0000CF350000}"/>
    <cellStyle name="Vírgula 2 4 2 3 2 3" xfId="19042" xr:uid="{00000000-0005-0000-0000-0000D0350000}"/>
    <cellStyle name="Vírgula 2 4 2 3 3" xfId="21297" xr:uid="{00000000-0005-0000-0000-0000D1350000}"/>
    <cellStyle name="Vírgula 2 4 2 3 4" xfId="17290" xr:uid="{00000000-0005-0000-0000-0000D2350000}"/>
    <cellStyle name="Vírgula 2 4 2 4" xfId="8491" xr:uid="{00000000-0005-0000-0000-0000D3350000}"/>
    <cellStyle name="Vírgula 2 4 3" xfId="3010" xr:uid="{00000000-0005-0000-0000-0000D4350000}"/>
    <cellStyle name="Vírgula 2 4 3 2" xfId="3685" xr:uid="{00000000-0005-0000-0000-0000D5350000}"/>
    <cellStyle name="Vírgula 2 4 3 2 2" xfId="4963" xr:uid="{00000000-0005-0000-0000-0000D6350000}"/>
    <cellStyle name="Vírgula 2 4 3 2 2 2" xfId="22003" xr:uid="{00000000-0005-0000-0000-0000D7350000}"/>
    <cellStyle name="Vírgula 2 4 3 2 2 3" xfId="17998" xr:uid="{00000000-0005-0000-0000-0000D8350000}"/>
    <cellStyle name="Vírgula 2 4 3 2 3" xfId="5854" xr:uid="{00000000-0005-0000-0000-0000D9350000}"/>
    <cellStyle name="Vírgula 2 4 3 2 3 2" xfId="13095" xr:uid="{00000000-0005-0000-0000-0000DA350000}"/>
    <cellStyle name="Vírgula 2 4 3 2 3 2 2" xfId="22853" xr:uid="{00000000-0005-0000-0000-0000DB350000}"/>
    <cellStyle name="Vírgula 2 4 3 2 3 3" xfId="11499" xr:uid="{00000000-0005-0000-0000-0000DC350000}"/>
    <cellStyle name="Vírgula 2 4 3 2 3 4" xfId="18889" xr:uid="{00000000-0005-0000-0000-0000DD350000}"/>
    <cellStyle name="Vírgula 2 4 3 2 4" xfId="20753" xr:uid="{00000000-0005-0000-0000-0000DE350000}"/>
    <cellStyle name="Vírgula 2 4 3 2 5" xfId="16729" xr:uid="{00000000-0005-0000-0000-0000DF350000}"/>
    <cellStyle name="Vírgula 2 4 3 3" xfId="4424" xr:uid="{00000000-0005-0000-0000-0000E0350000}"/>
    <cellStyle name="Vírgula 2 4 3 3 2" xfId="5912" xr:uid="{00000000-0005-0000-0000-0000E1350000}"/>
    <cellStyle name="Vírgula 2 4 3 3 2 2" xfId="22907" xr:uid="{00000000-0005-0000-0000-0000E2350000}"/>
    <cellStyle name="Vírgula 2 4 3 3 2 3" xfId="18947" xr:uid="{00000000-0005-0000-0000-0000E3350000}"/>
    <cellStyle name="Vírgula 2 4 3 3 3" xfId="21467" xr:uid="{00000000-0005-0000-0000-0000E4350000}"/>
    <cellStyle name="Vírgula 2 4 3 3 4" xfId="17461" xr:uid="{00000000-0005-0000-0000-0000E5350000}"/>
    <cellStyle name="Vírgula 2 4 3 4" xfId="4297" xr:uid="{00000000-0005-0000-0000-0000E6350000}"/>
    <cellStyle name="Vírgula 2 4 3 4 2" xfId="6868" xr:uid="{00000000-0005-0000-0000-0000E7350000}"/>
    <cellStyle name="Vírgula 2 4 3 4 2 2" xfId="23833" xr:uid="{00000000-0005-0000-0000-0000E8350000}"/>
    <cellStyle name="Vírgula 2 4 3 4 2 3" xfId="19903" xr:uid="{00000000-0005-0000-0000-0000E9350000}"/>
    <cellStyle name="Vírgula 2 4 3 4 3" xfId="21341" xr:uid="{00000000-0005-0000-0000-0000EA350000}"/>
    <cellStyle name="Vírgula 2 4 3 4 4" xfId="17334" xr:uid="{00000000-0005-0000-0000-0000EB350000}"/>
    <cellStyle name="Vírgula 2 4 3 5" xfId="5186" xr:uid="{00000000-0005-0000-0000-0000EC350000}"/>
    <cellStyle name="Vírgula 2 4 3 5 2" xfId="22186" xr:uid="{00000000-0005-0000-0000-0000ED350000}"/>
    <cellStyle name="Vírgula 2 4 3 5 3" xfId="18221" xr:uid="{00000000-0005-0000-0000-0000EE350000}"/>
    <cellStyle name="Vírgula 2 4 3 6" xfId="13549" xr:uid="{00000000-0005-0000-0000-0000EF350000}"/>
    <cellStyle name="Vírgula 2 4 3 6 2" xfId="20086" xr:uid="{00000000-0005-0000-0000-0000F0350000}"/>
    <cellStyle name="Vírgula 2 4 3 7" xfId="16061" xr:uid="{00000000-0005-0000-0000-0000F1350000}"/>
    <cellStyle name="Vírgula 2 4 4" xfId="3048" xr:uid="{00000000-0005-0000-0000-0000F2350000}"/>
    <cellStyle name="Vírgula 2 4 4 2" xfId="4496" xr:uid="{00000000-0005-0000-0000-0000F3350000}"/>
    <cellStyle name="Vírgula 2 4 4 2 2" xfId="21536" xr:uid="{00000000-0005-0000-0000-0000F4350000}"/>
    <cellStyle name="Vírgula 2 4 4 2 3" xfId="17531" xr:uid="{00000000-0005-0000-0000-0000F5350000}"/>
    <cellStyle name="Vírgula 2 4 4 3" xfId="5217" xr:uid="{00000000-0005-0000-0000-0000F6350000}"/>
    <cellStyle name="Vírgula 2 4 4 3 2" xfId="11199" xr:uid="{00000000-0005-0000-0000-0000F7350000}"/>
    <cellStyle name="Vírgula 2 4 4 3 2 2" xfId="22216" xr:uid="{00000000-0005-0000-0000-0000F8350000}"/>
    <cellStyle name="Vírgula 2 4 4 3 3" xfId="11302" xr:uid="{00000000-0005-0000-0000-0000F9350000}"/>
    <cellStyle name="Vírgula 2 4 4 3 4" xfId="18252" xr:uid="{00000000-0005-0000-0000-0000FA350000}"/>
    <cellStyle name="Vírgula 2 4 4 4" xfId="13576" xr:uid="{00000000-0005-0000-0000-0000FB350000}"/>
    <cellStyle name="Vírgula 2 4 4 4 2" xfId="20116" xr:uid="{00000000-0005-0000-0000-0000FC350000}"/>
    <cellStyle name="Vírgula 2 4 4 5" xfId="16092" xr:uid="{00000000-0005-0000-0000-0000FD350000}"/>
    <cellStyle name="Vírgula 2 4 5" xfId="8492" xr:uid="{00000000-0005-0000-0000-0000FE350000}"/>
    <cellStyle name="Vírgula 2 4 5 2" xfId="12319" xr:uid="{00000000-0005-0000-0000-0000FF350000}"/>
    <cellStyle name="Vírgula 2 4 5 3" xfId="11838" xr:uid="{00000000-0005-0000-0000-000000360000}"/>
    <cellStyle name="Vírgula 2 4 6" xfId="8493" xr:uid="{00000000-0005-0000-0000-000001360000}"/>
    <cellStyle name="Vírgula 2 4 6 2" xfId="11503" xr:uid="{00000000-0005-0000-0000-000002360000}"/>
    <cellStyle name="Vírgula 2 4 6 3" xfId="13175" xr:uid="{00000000-0005-0000-0000-000003360000}"/>
    <cellStyle name="Vírgula 2 4 7" xfId="8494" xr:uid="{00000000-0005-0000-0000-000004360000}"/>
    <cellStyle name="Vírgula 2 4 7 2" xfId="12321" xr:uid="{00000000-0005-0000-0000-000005360000}"/>
    <cellStyle name="Vírgula 2 4 7 3" xfId="12924" xr:uid="{00000000-0005-0000-0000-000006360000}"/>
    <cellStyle name="Vírgula 2 4 8" xfId="8495" xr:uid="{00000000-0005-0000-0000-000007360000}"/>
    <cellStyle name="Vírgula 2 4 8 2" xfId="12320" xr:uid="{00000000-0005-0000-0000-000008360000}"/>
    <cellStyle name="Vírgula 2 4 8 3" xfId="13147" xr:uid="{00000000-0005-0000-0000-000009360000}"/>
    <cellStyle name="Vírgula 2 4 9" xfId="8496" xr:uid="{00000000-0005-0000-0000-00000A360000}"/>
    <cellStyle name="Vírgula 2 5" xfId="340" xr:uid="{00000000-0005-0000-0000-00000B360000}"/>
    <cellStyle name="Vírgula 2 5 2" xfId="874" xr:uid="{00000000-0005-0000-0000-00000C360000}"/>
    <cellStyle name="Vírgula 2 5 2 2" xfId="2209" xr:uid="{00000000-0005-0000-0000-00000D360000}"/>
    <cellStyle name="Vírgula 2 5 2 2 2" xfId="3338" xr:uid="{00000000-0005-0000-0000-00000E360000}"/>
    <cellStyle name="Vírgula 2 5 2 2 2 2" xfId="4668" xr:uid="{00000000-0005-0000-0000-00000F360000}"/>
    <cellStyle name="Vírgula 2 5 2 2 2 2 2" xfId="21708" xr:uid="{00000000-0005-0000-0000-000010360000}"/>
    <cellStyle name="Vírgula 2 5 2 2 2 2 3" xfId="17703" xr:uid="{00000000-0005-0000-0000-000011360000}"/>
    <cellStyle name="Vírgula 2 5 2 2 2 3" xfId="5507" xr:uid="{00000000-0005-0000-0000-000012360000}"/>
    <cellStyle name="Vírgula 2 5 2 2 2 3 2" xfId="22506" xr:uid="{00000000-0005-0000-0000-000013360000}"/>
    <cellStyle name="Vírgula 2 5 2 2 2 3 3" xfId="18542" xr:uid="{00000000-0005-0000-0000-000014360000}"/>
    <cellStyle name="Vírgula 2 5 2 2 2 4" xfId="20406" xr:uid="{00000000-0005-0000-0000-000015360000}"/>
    <cellStyle name="Vírgula 2 5 2 2 2 5" xfId="16382" xr:uid="{00000000-0005-0000-0000-000016360000}"/>
    <cellStyle name="Vírgula 2 5 2 2 3" xfId="3699" xr:uid="{00000000-0005-0000-0000-000017360000}"/>
    <cellStyle name="Vírgula 2 5 2 2 3 2" xfId="6237" xr:uid="{00000000-0005-0000-0000-000018360000}"/>
    <cellStyle name="Vírgula 2 5 2 2 3 2 2" xfId="23219" xr:uid="{00000000-0005-0000-0000-000019360000}"/>
    <cellStyle name="Vírgula 2 5 2 2 3 2 3" xfId="19272" xr:uid="{00000000-0005-0000-0000-00001A360000}"/>
    <cellStyle name="Vírgula 2 5 2 2 3 3" xfId="20767" xr:uid="{00000000-0005-0000-0000-00001B360000}"/>
    <cellStyle name="Vírgula 2 5 2 2 3 4" xfId="16743" xr:uid="{00000000-0005-0000-0000-00001C360000}"/>
    <cellStyle name="Vírgula 2 5 2 2 4" xfId="13514" xr:uid="{00000000-0005-0000-0000-00001D360000}"/>
    <cellStyle name="Vírgula 2 5 2 2 5" xfId="13410" xr:uid="{00000000-0005-0000-0000-00001E360000}"/>
    <cellStyle name="Vírgula 2 5 2 3" xfId="3159" xr:uid="{00000000-0005-0000-0000-00001F360000}"/>
    <cellStyle name="Vírgula 2 5 2 3 2" xfId="4308" xr:uid="{00000000-0005-0000-0000-000020360000}"/>
    <cellStyle name="Vírgula 2 5 2 3 2 2" xfId="6559" xr:uid="{00000000-0005-0000-0000-000021360000}"/>
    <cellStyle name="Vírgula 2 5 2 3 2 2 2" xfId="23541" xr:uid="{00000000-0005-0000-0000-000022360000}"/>
    <cellStyle name="Vírgula 2 5 2 3 2 2 3" xfId="19594" xr:uid="{00000000-0005-0000-0000-000023360000}"/>
    <cellStyle name="Vírgula 2 5 2 3 2 3" xfId="21352" xr:uid="{00000000-0005-0000-0000-000024360000}"/>
    <cellStyle name="Vírgula 2 5 2 3 2 4" xfId="17345" xr:uid="{00000000-0005-0000-0000-000025360000}"/>
    <cellStyle name="Vírgula 2 5 2 3 3" xfId="5328" xr:uid="{00000000-0005-0000-0000-000026360000}"/>
    <cellStyle name="Vírgula 2 5 2 3 3 2" xfId="11531" xr:uid="{00000000-0005-0000-0000-000027360000}"/>
    <cellStyle name="Vírgula 2 5 2 3 3 2 2" xfId="22327" xr:uid="{00000000-0005-0000-0000-000028360000}"/>
    <cellStyle name="Vírgula 2 5 2 3 3 3" xfId="12848" xr:uid="{00000000-0005-0000-0000-000029360000}"/>
    <cellStyle name="Vírgula 2 5 2 3 3 4" xfId="18363" xr:uid="{00000000-0005-0000-0000-00002A360000}"/>
    <cellStyle name="Vírgula 2 5 2 3 4" xfId="12411" xr:uid="{00000000-0005-0000-0000-00002B360000}"/>
    <cellStyle name="Vírgula 2 5 2 3 4 2" xfId="20227" xr:uid="{00000000-0005-0000-0000-00002C360000}"/>
    <cellStyle name="Vírgula 2 5 2 3 5" xfId="16203" xr:uid="{00000000-0005-0000-0000-00002D360000}"/>
    <cellStyle name="Vírgula 2 5 2 4" xfId="3908" xr:uid="{00000000-0005-0000-0000-00002E360000}"/>
    <cellStyle name="Vírgula 2 5 2 4 2" xfId="6049" xr:uid="{00000000-0005-0000-0000-00002F360000}"/>
    <cellStyle name="Vírgula 2 5 2 4 2 2" xfId="23038" xr:uid="{00000000-0005-0000-0000-000030360000}"/>
    <cellStyle name="Vírgula 2 5 2 4 2 3" xfId="19084" xr:uid="{00000000-0005-0000-0000-000031360000}"/>
    <cellStyle name="Vírgula 2 5 2 4 3" xfId="20965" xr:uid="{00000000-0005-0000-0000-000032360000}"/>
    <cellStyle name="Vírgula 2 5 2 4 4" xfId="16950" xr:uid="{00000000-0005-0000-0000-000033360000}"/>
    <cellStyle name="Vírgula 2 5 2 5" xfId="6744" xr:uid="{00000000-0005-0000-0000-000034360000}"/>
    <cellStyle name="Vírgula 2 5 2 5 2" xfId="23717" xr:uid="{00000000-0005-0000-0000-000035360000}"/>
    <cellStyle name="Vírgula 2 5 2 5 3" xfId="19779" xr:uid="{00000000-0005-0000-0000-000036360000}"/>
    <cellStyle name="Vírgula 2 5 2 6" xfId="5062" xr:uid="{00000000-0005-0000-0000-000037360000}"/>
    <cellStyle name="Vírgula 2 5 2 6 2" xfId="22070" xr:uid="{00000000-0005-0000-0000-000038360000}"/>
    <cellStyle name="Vírgula 2 5 2 6 3" xfId="18097" xr:uid="{00000000-0005-0000-0000-000039360000}"/>
    <cellStyle name="Vírgula 2 5 2 7" xfId="19970" xr:uid="{00000000-0005-0000-0000-00003A360000}"/>
    <cellStyle name="Vírgula 2 5 2 8" xfId="15930" xr:uid="{00000000-0005-0000-0000-00003B360000}"/>
    <cellStyle name="Vírgula 2 5 3" xfId="2210" xr:uid="{00000000-0005-0000-0000-00003C360000}"/>
    <cellStyle name="Vírgula 2 5 3 2" xfId="3339" xr:uid="{00000000-0005-0000-0000-00003D360000}"/>
    <cellStyle name="Vírgula 2 5 3 2 2" xfId="4669" xr:uid="{00000000-0005-0000-0000-00003E360000}"/>
    <cellStyle name="Vírgula 2 5 3 2 2 2" xfId="21709" xr:uid="{00000000-0005-0000-0000-00003F360000}"/>
    <cellStyle name="Vírgula 2 5 3 2 2 3" xfId="17704" xr:uid="{00000000-0005-0000-0000-000040360000}"/>
    <cellStyle name="Vírgula 2 5 3 2 3" xfId="5508" xr:uid="{00000000-0005-0000-0000-000041360000}"/>
    <cellStyle name="Vírgula 2 5 3 2 3 2" xfId="11905" xr:uid="{00000000-0005-0000-0000-000042360000}"/>
    <cellStyle name="Vírgula 2 5 3 2 3 2 2" xfId="22507" xr:uid="{00000000-0005-0000-0000-000043360000}"/>
    <cellStyle name="Vírgula 2 5 3 2 3 3" xfId="13143" xr:uid="{00000000-0005-0000-0000-000044360000}"/>
    <cellStyle name="Vírgula 2 5 3 2 3 4" xfId="18543" xr:uid="{00000000-0005-0000-0000-000045360000}"/>
    <cellStyle name="Vírgula 2 5 3 2 4" xfId="13630" xr:uid="{00000000-0005-0000-0000-000046360000}"/>
    <cellStyle name="Vírgula 2 5 3 2 4 2" xfId="20407" xr:uid="{00000000-0005-0000-0000-000047360000}"/>
    <cellStyle name="Vírgula 2 5 3 2 5" xfId="16383" xr:uid="{00000000-0005-0000-0000-000048360000}"/>
    <cellStyle name="Vírgula 2 5 3 3" xfId="4463" xr:uid="{00000000-0005-0000-0000-000049360000}"/>
    <cellStyle name="Vírgula 2 5 3 3 2" xfId="6238" xr:uid="{00000000-0005-0000-0000-00004A360000}"/>
    <cellStyle name="Vírgula 2 5 3 3 2 2" xfId="12495" xr:uid="{00000000-0005-0000-0000-00004B360000}"/>
    <cellStyle name="Vírgula 2 5 3 3 2 2 2" xfId="23220" xr:uid="{00000000-0005-0000-0000-00004C360000}"/>
    <cellStyle name="Vírgula 2 5 3 3 2 3" xfId="11484" xr:uid="{00000000-0005-0000-0000-00004D360000}"/>
    <cellStyle name="Vírgula 2 5 3 3 2 4" xfId="19273" xr:uid="{00000000-0005-0000-0000-00004E360000}"/>
    <cellStyle name="Vírgula 2 5 3 3 3" xfId="12027" xr:uid="{00000000-0005-0000-0000-00004F360000}"/>
    <cellStyle name="Vírgula 2 5 3 3 3 2" xfId="21503" xr:uid="{00000000-0005-0000-0000-000050360000}"/>
    <cellStyle name="Vírgula 2 5 3 3 4" xfId="17498" xr:uid="{00000000-0005-0000-0000-000051360000}"/>
    <cellStyle name="Vírgula 2 5 3 4" xfId="8497" xr:uid="{00000000-0005-0000-0000-000052360000}"/>
    <cellStyle name="Vírgula 2 5 4" xfId="2211" xr:uid="{00000000-0005-0000-0000-000053360000}"/>
    <cellStyle name="Vírgula 2 5 4 2" xfId="3340" xr:uid="{00000000-0005-0000-0000-000054360000}"/>
    <cellStyle name="Vírgula 2 5 4 2 2" xfId="4670" xr:uid="{00000000-0005-0000-0000-000055360000}"/>
    <cellStyle name="Vírgula 2 5 4 2 2 2" xfId="21710" xr:uid="{00000000-0005-0000-0000-000056360000}"/>
    <cellStyle name="Vírgula 2 5 4 2 2 3" xfId="17705" xr:uid="{00000000-0005-0000-0000-000057360000}"/>
    <cellStyle name="Vírgula 2 5 4 2 3" xfId="5509" xr:uid="{00000000-0005-0000-0000-000058360000}"/>
    <cellStyle name="Vírgula 2 5 4 2 3 2" xfId="22508" xr:uid="{00000000-0005-0000-0000-000059360000}"/>
    <cellStyle name="Vírgula 2 5 4 2 3 3" xfId="18544" xr:uid="{00000000-0005-0000-0000-00005A360000}"/>
    <cellStyle name="Vírgula 2 5 4 2 4" xfId="20408" xr:uid="{00000000-0005-0000-0000-00005B360000}"/>
    <cellStyle name="Vírgula 2 5 4 2 5" xfId="16384" xr:uid="{00000000-0005-0000-0000-00005C360000}"/>
    <cellStyle name="Vírgula 2 5 4 3" xfId="4099" xr:uid="{00000000-0005-0000-0000-00005D360000}"/>
    <cellStyle name="Vírgula 2 5 4 3 2" xfId="6239" xr:uid="{00000000-0005-0000-0000-00005E360000}"/>
    <cellStyle name="Vírgula 2 5 4 3 2 2" xfId="23221" xr:uid="{00000000-0005-0000-0000-00005F360000}"/>
    <cellStyle name="Vírgula 2 5 4 3 2 3" xfId="19274" xr:uid="{00000000-0005-0000-0000-000060360000}"/>
    <cellStyle name="Vírgula 2 5 4 3 3" xfId="21147" xr:uid="{00000000-0005-0000-0000-000061360000}"/>
    <cellStyle name="Vírgula 2 5 4 3 4" xfId="17139" xr:uid="{00000000-0005-0000-0000-000062360000}"/>
    <cellStyle name="Vírgula 2 5 5" xfId="2208" xr:uid="{00000000-0005-0000-0000-000063360000}"/>
    <cellStyle name="Vírgula 2 5 5 2" xfId="3337" xr:uid="{00000000-0005-0000-0000-000064360000}"/>
    <cellStyle name="Vírgula 2 5 5 2 2" xfId="4667" xr:uid="{00000000-0005-0000-0000-000065360000}"/>
    <cellStyle name="Vírgula 2 5 5 2 2 2" xfId="21707" xr:uid="{00000000-0005-0000-0000-000066360000}"/>
    <cellStyle name="Vírgula 2 5 5 2 2 3" xfId="17702" xr:uid="{00000000-0005-0000-0000-000067360000}"/>
    <cellStyle name="Vírgula 2 5 5 2 3" xfId="5506" xr:uid="{00000000-0005-0000-0000-000068360000}"/>
    <cellStyle name="Vírgula 2 5 5 2 3 2" xfId="22505" xr:uid="{00000000-0005-0000-0000-000069360000}"/>
    <cellStyle name="Vírgula 2 5 5 2 3 3" xfId="18541" xr:uid="{00000000-0005-0000-0000-00006A360000}"/>
    <cellStyle name="Vírgula 2 5 5 2 4" xfId="20405" xr:uid="{00000000-0005-0000-0000-00006B360000}"/>
    <cellStyle name="Vírgula 2 5 5 2 5" xfId="16381" xr:uid="{00000000-0005-0000-0000-00006C360000}"/>
    <cellStyle name="Vírgula 2 5 5 3" xfId="4213" xr:uid="{00000000-0005-0000-0000-00006D360000}"/>
    <cellStyle name="Vírgula 2 5 5 3 2" xfId="6236" xr:uid="{00000000-0005-0000-0000-00006E360000}"/>
    <cellStyle name="Vírgula 2 5 5 3 2 2" xfId="23218" xr:uid="{00000000-0005-0000-0000-00006F360000}"/>
    <cellStyle name="Vírgula 2 5 5 3 2 3" xfId="19271" xr:uid="{00000000-0005-0000-0000-000070360000}"/>
    <cellStyle name="Vírgula 2 5 5 3 3" xfId="21259" xr:uid="{00000000-0005-0000-0000-000071360000}"/>
    <cellStyle name="Vírgula 2 5 5 3 4" xfId="17252" xr:uid="{00000000-0005-0000-0000-000072360000}"/>
    <cellStyle name="Vírgula 2 5 6" xfId="4224" xr:uid="{00000000-0005-0000-0000-000073360000}"/>
    <cellStyle name="Vírgula 2 5 6 2" xfId="5913" xr:uid="{00000000-0005-0000-0000-000074360000}"/>
    <cellStyle name="Vírgula 2 5 6 2 2" xfId="11087" xr:uid="{00000000-0005-0000-0000-000075360000}"/>
    <cellStyle name="Vírgula 2 5 6 2 2 2" xfId="22908" xr:uid="{00000000-0005-0000-0000-000076360000}"/>
    <cellStyle name="Vírgula 2 5 6 2 3" xfId="12882" xr:uid="{00000000-0005-0000-0000-000077360000}"/>
    <cellStyle name="Vírgula 2 5 6 2 4" xfId="18948" xr:uid="{00000000-0005-0000-0000-000078360000}"/>
    <cellStyle name="Vírgula 2 5 6 3" xfId="13312" xr:uid="{00000000-0005-0000-0000-000079360000}"/>
    <cellStyle name="Vírgula 2 5 6 3 2" xfId="15799" xr:uid="{00000000-0005-0000-0000-00007A360000}"/>
    <cellStyle name="Vírgula 2 5 6 3 3" xfId="13716" xr:uid="{00000000-0005-0000-0000-00007B360000}"/>
    <cellStyle name="Vírgula 2 5 6 3 4" xfId="21270" xr:uid="{00000000-0005-0000-0000-00007C360000}"/>
    <cellStyle name="Vírgula 2 5 6 4" xfId="17263" xr:uid="{00000000-0005-0000-0000-00007D360000}"/>
    <cellStyle name="Vírgula 2 5 7" xfId="8498" xr:uid="{00000000-0005-0000-0000-00007E360000}"/>
    <cellStyle name="Vírgula 2 5 7 2" xfId="13251" xr:uid="{00000000-0005-0000-0000-00007F360000}"/>
    <cellStyle name="Vírgula 2 5 7 3" xfId="12865" xr:uid="{00000000-0005-0000-0000-000080360000}"/>
    <cellStyle name="Vírgula 2 5 8" xfId="8499" xr:uid="{00000000-0005-0000-0000-000081360000}"/>
    <cellStyle name="Vírgula 2 5 8 2" xfId="11056" xr:uid="{00000000-0005-0000-0000-000082360000}"/>
    <cellStyle name="Vírgula 2 5 8 3" xfId="13032" xr:uid="{00000000-0005-0000-0000-000083360000}"/>
    <cellStyle name="Vírgula 2 5 9" xfId="8500" xr:uid="{00000000-0005-0000-0000-000084360000}"/>
    <cellStyle name="Vírgula 2 5 9 2" xfId="12322" xr:uid="{00000000-0005-0000-0000-000085360000}"/>
    <cellStyle name="Vírgula 2 5 9 3" xfId="13168" xr:uid="{00000000-0005-0000-0000-000086360000}"/>
    <cellStyle name="Vírgula 2 6" xfId="875" xr:uid="{00000000-0005-0000-0000-000087360000}"/>
    <cellStyle name="Vírgula 2 6 2" xfId="2212" xr:uid="{00000000-0005-0000-0000-000088360000}"/>
    <cellStyle name="Vírgula 2 6 2 2" xfId="3341" xr:uid="{00000000-0005-0000-0000-000089360000}"/>
    <cellStyle name="Vírgula 2 6 2 2 2" xfId="4671" xr:uid="{00000000-0005-0000-0000-00008A360000}"/>
    <cellStyle name="Vírgula 2 6 2 2 2 2" xfId="21711" xr:uid="{00000000-0005-0000-0000-00008B360000}"/>
    <cellStyle name="Vírgula 2 6 2 2 2 3" xfId="17706" xr:uid="{00000000-0005-0000-0000-00008C360000}"/>
    <cellStyle name="Vírgula 2 6 2 2 3" xfId="5510" xr:uid="{00000000-0005-0000-0000-00008D360000}"/>
    <cellStyle name="Vírgula 2 6 2 2 3 2" xfId="22509" xr:uid="{00000000-0005-0000-0000-00008E360000}"/>
    <cellStyle name="Vírgula 2 6 2 2 3 3" xfId="18545" xr:uid="{00000000-0005-0000-0000-00008F360000}"/>
    <cellStyle name="Vírgula 2 6 2 2 4" xfId="20409" xr:uid="{00000000-0005-0000-0000-000090360000}"/>
    <cellStyle name="Vírgula 2 6 2 2 5" xfId="16385" xr:uid="{00000000-0005-0000-0000-000091360000}"/>
    <cellStyle name="Vírgula 2 6 2 3" xfId="4460" xr:uid="{00000000-0005-0000-0000-000092360000}"/>
    <cellStyle name="Vírgula 2 6 2 3 2" xfId="6240" xr:uid="{00000000-0005-0000-0000-000093360000}"/>
    <cellStyle name="Vírgula 2 6 2 3 2 2" xfId="23222" xr:uid="{00000000-0005-0000-0000-000094360000}"/>
    <cellStyle name="Vírgula 2 6 2 3 2 3" xfId="19275" xr:uid="{00000000-0005-0000-0000-000095360000}"/>
    <cellStyle name="Vírgula 2 6 2 3 3" xfId="21500" xr:uid="{00000000-0005-0000-0000-000096360000}"/>
    <cellStyle name="Vírgula 2 6 2 3 4" xfId="17495" xr:uid="{00000000-0005-0000-0000-000097360000}"/>
    <cellStyle name="Vírgula 2 6 3" xfId="3160" xr:uid="{00000000-0005-0000-0000-000098360000}"/>
    <cellStyle name="Vírgula 2 6 3 2" xfId="3977" xr:uid="{00000000-0005-0000-0000-000099360000}"/>
    <cellStyle name="Vírgula 2 6 3 2 2" xfId="6560" xr:uid="{00000000-0005-0000-0000-00009A360000}"/>
    <cellStyle name="Vírgula 2 6 3 2 2 2" xfId="23542" xr:uid="{00000000-0005-0000-0000-00009B360000}"/>
    <cellStyle name="Vírgula 2 6 3 2 2 3" xfId="19595" xr:uid="{00000000-0005-0000-0000-00009C360000}"/>
    <cellStyle name="Vírgula 2 6 3 2 3" xfId="21033" xr:uid="{00000000-0005-0000-0000-00009D360000}"/>
    <cellStyle name="Vírgula 2 6 3 2 4" xfId="17019" xr:uid="{00000000-0005-0000-0000-00009E360000}"/>
    <cellStyle name="Vírgula 2 6 3 3" xfId="5329" xr:uid="{00000000-0005-0000-0000-00009F360000}"/>
    <cellStyle name="Vírgula 2 6 3 3 2" xfId="22328" xr:uid="{00000000-0005-0000-0000-0000A0360000}"/>
    <cellStyle name="Vírgula 2 6 3 3 3" xfId="18364" xr:uid="{00000000-0005-0000-0000-0000A1360000}"/>
    <cellStyle name="Vírgula 2 6 3 4" xfId="20228" xr:uid="{00000000-0005-0000-0000-0000A2360000}"/>
    <cellStyle name="Vírgula 2 6 3 5" xfId="16204" xr:uid="{00000000-0005-0000-0000-0000A3360000}"/>
    <cellStyle name="Vírgula 2 6 4" xfId="3909" xr:uid="{00000000-0005-0000-0000-0000A4360000}"/>
    <cellStyle name="Vírgula 2 6 4 2" xfId="6050" xr:uid="{00000000-0005-0000-0000-0000A5360000}"/>
    <cellStyle name="Vírgula 2 6 4 2 2" xfId="23039" xr:uid="{00000000-0005-0000-0000-0000A6360000}"/>
    <cellStyle name="Vírgula 2 6 4 2 3" xfId="19085" xr:uid="{00000000-0005-0000-0000-0000A7360000}"/>
    <cellStyle name="Vírgula 2 6 4 3" xfId="20966" xr:uid="{00000000-0005-0000-0000-0000A8360000}"/>
    <cellStyle name="Vírgula 2 6 4 4" xfId="16951" xr:uid="{00000000-0005-0000-0000-0000A9360000}"/>
    <cellStyle name="Vírgula 2 6 5" xfId="6745" xr:uid="{00000000-0005-0000-0000-0000AA360000}"/>
    <cellStyle name="Vírgula 2 6 5 2" xfId="23718" xr:uid="{00000000-0005-0000-0000-0000AB360000}"/>
    <cellStyle name="Vírgula 2 6 5 3" xfId="19780" xr:uid="{00000000-0005-0000-0000-0000AC360000}"/>
    <cellStyle name="Vírgula 2 6 6" xfId="5063" xr:uid="{00000000-0005-0000-0000-0000AD360000}"/>
    <cellStyle name="Vírgula 2 6 6 2" xfId="22071" xr:uid="{00000000-0005-0000-0000-0000AE360000}"/>
    <cellStyle name="Vírgula 2 6 6 3" xfId="18098" xr:uid="{00000000-0005-0000-0000-0000AF360000}"/>
    <cellStyle name="Vírgula 2 6 7" xfId="10606" xr:uid="{00000000-0005-0000-0000-0000B0360000}"/>
    <cellStyle name="Vírgula 2 6 7 2" xfId="19971" xr:uid="{00000000-0005-0000-0000-0000B1360000}"/>
    <cellStyle name="Vírgula 2 6 8" xfId="15931" xr:uid="{00000000-0005-0000-0000-0000B2360000}"/>
    <cellStyle name="Vírgula 2 7" xfId="2213" xr:uid="{00000000-0005-0000-0000-0000B3360000}"/>
    <cellStyle name="Vírgula 2 7 2" xfId="3342" xr:uid="{00000000-0005-0000-0000-0000B4360000}"/>
    <cellStyle name="Vírgula 2 7 2 2" xfId="4672" xr:uid="{00000000-0005-0000-0000-0000B5360000}"/>
    <cellStyle name="Vírgula 2 7 2 2 2" xfId="21712" xr:uid="{00000000-0005-0000-0000-0000B6360000}"/>
    <cellStyle name="Vírgula 2 7 2 2 3" xfId="17707" xr:uid="{00000000-0005-0000-0000-0000B7360000}"/>
    <cellStyle name="Vírgula 2 7 2 3" xfId="5511" xr:uid="{00000000-0005-0000-0000-0000B8360000}"/>
    <cellStyle name="Vírgula 2 7 2 3 2" xfId="22510" xr:uid="{00000000-0005-0000-0000-0000B9360000}"/>
    <cellStyle name="Vírgula 2 7 2 3 3" xfId="18546" xr:uid="{00000000-0005-0000-0000-0000BA360000}"/>
    <cellStyle name="Vírgula 2 7 2 4" xfId="20410" xr:uid="{00000000-0005-0000-0000-0000BB360000}"/>
    <cellStyle name="Vírgula 2 7 2 5" xfId="16386" xr:uid="{00000000-0005-0000-0000-0000BC360000}"/>
    <cellStyle name="Vírgula 2 7 3" xfId="4012" xr:uid="{00000000-0005-0000-0000-0000BD360000}"/>
    <cellStyle name="Vírgula 2 7 3 2" xfId="6241" xr:uid="{00000000-0005-0000-0000-0000BE360000}"/>
    <cellStyle name="Vírgula 2 7 3 2 2" xfId="23223" xr:uid="{00000000-0005-0000-0000-0000BF360000}"/>
    <cellStyle name="Vírgula 2 7 3 2 3" xfId="19276" xr:uid="{00000000-0005-0000-0000-0000C0360000}"/>
    <cellStyle name="Vírgula 2 7 3 3" xfId="21064" xr:uid="{00000000-0005-0000-0000-0000C1360000}"/>
    <cellStyle name="Vírgula 2 7 3 4" xfId="17053" xr:uid="{00000000-0005-0000-0000-0000C2360000}"/>
    <cellStyle name="Vírgula 2 8" xfId="2214" xr:uid="{00000000-0005-0000-0000-0000C3360000}"/>
    <cellStyle name="Vírgula 2 8 2" xfId="3343" xr:uid="{00000000-0005-0000-0000-0000C4360000}"/>
    <cellStyle name="Vírgula 2 8 2 2" xfId="4673" xr:uid="{00000000-0005-0000-0000-0000C5360000}"/>
    <cellStyle name="Vírgula 2 8 2 2 2" xfId="21713" xr:uid="{00000000-0005-0000-0000-0000C6360000}"/>
    <cellStyle name="Vírgula 2 8 2 2 3" xfId="17708" xr:uid="{00000000-0005-0000-0000-0000C7360000}"/>
    <cellStyle name="Vírgula 2 8 2 3" xfId="5512" xr:uid="{00000000-0005-0000-0000-0000C8360000}"/>
    <cellStyle name="Vírgula 2 8 2 3 2" xfId="22511" xr:uid="{00000000-0005-0000-0000-0000C9360000}"/>
    <cellStyle name="Vírgula 2 8 2 3 3" xfId="18547" xr:uid="{00000000-0005-0000-0000-0000CA360000}"/>
    <cellStyle name="Vírgula 2 8 2 4" xfId="20411" xr:uid="{00000000-0005-0000-0000-0000CB360000}"/>
    <cellStyle name="Vírgula 2 8 2 5" xfId="16387" xr:uid="{00000000-0005-0000-0000-0000CC360000}"/>
    <cellStyle name="Vírgula 2 8 3" xfId="4402" xr:uid="{00000000-0005-0000-0000-0000CD360000}"/>
    <cellStyle name="Vírgula 2 8 3 2" xfId="6242" xr:uid="{00000000-0005-0000-0000-0000CE360000}"/>
    <cellStyle name="Vírgula 2 8 3 2 2" xfId="23224" xr:uid="{00000000-0005-0000-0000-0000CF360000}"/>
    <cellStyle name="Vírgula 2 8 3 2 3" xfId="19277" xr:uid="{00000000-0005-0000-0000-0000D0360000}"/>
    <cellStyle name="Vírgula 2 8 3 3" xfId="21445" xr:uid="{00000000-0005-0000-0000-0000D1360000}"/>
    <cellStyle name="Vírgula 2 8 3 4" xfId="17439" xr:uid="{00000000-0005-0000-0000-0000D2360000}"/>
    <cellStyle name="Vírgula 2 9" xfId="2215" xr:uid="{00000000-0005-0000-0000-0000D3360000}"/>
    <cellStyle name="Vírgula 2 9 2" xfId="3344" xr:uid="{00000000-0005-0000-0000-0000D4360000}"/>
    <cellStyle name="Vírgula 2 9 2 2" xfId="4674" xr:uid="{00000000-0005-0000-0000-0000D5360000}"/>
    <cellStyle name="Vírgula 2 9 2 2 2" xfId="21714" xr:uid="{00000000-0005-0000-0000-0000D6360000}"/>
    <cellStyle name="Vírgula 2 9 2 2 3" xfId="17709" xr:uid="{00000000-0005-0000-0000-0000D7360000}"/>
    <cellStyle name="Vírgula 2 9 2 3" xfId="5513" xr:uid="{00000000-0005-0000-0000-0000D8360000}"/>
    <cellStyle name="Vírgula 2 9 2 3 2" xfId="22512" xr:uid="{00000000-0005-0000-0000-0000D9360000}"/>
    <cellStyle name="Vírgula 2 9 2 3 3" xfId="18548" xr:uid="{00000000-0005-0000-0000-0000DA360000}"/>
    <cellStyle name="Vírgula 2 9 2 4" xfId="20412" xr:uid="{00000000-0005-0000-0000-0000DB360000}"/>
    <cellStyle name="Vírgula 2 9 2 5" xfId="16388" xr:uid="{00000000-0005-0000-0000-0000DC360000}"/>
    <cellStyle name="Vírgula 2 9 3" xfId="3866" xr:uid="{00000000-0005-0000-0000-0000DD360000}"/>
    <cellStyle name="Vírgula 2 9 3 2" xfId="6243" xr:uid="{00000000-0005-0000-0000-0000DE360000}"/>
    <cellStyle name="Vírgula 2 9 3 2 2" xfId="23225" xr:uid="{00000000-0005-0000-0000-0000DF360000}"/>
    <cellStyle name="Vírgula 2 9 3 2 3" xfId="19278" xr:uid="{00000000-0005-0000-0000-0000E0360000}"/>
    <cellStyle name="Vírgula 2 9 3 3" xfId="20927" xr:uid="{00000000-0005-0000-0000-0000E1360000}"/>
    <cellStyle name="Vírgula 2 9 3 4" xfId="16908" xr:uid="{00000000-0005-0000-0000-0000E2360000}"/>
    <cellStyle name="Vírgula 20" xfId="23838" xr:uid="{00000000-0005-0000-0000-0000E3360000}"/>
    <cellStyle name="Vírgula 3" xfId="54" xr:uid="{00000000-0005-0000-0000-0000E4360000}"/>
    <cellStyle name="Vírgula 3 10" xfId="2216" xr:uid="{00000000-0005-0000-0000-0000E5360000}"/>
    <cellStyle name="Vírgula 3 10 2" xfId="3345" xr:uid="{00000000-0005-0000-0000-0000E6360000}"/>
    <cellStyle name="Vírgula 3 10 2 2" xfId="4675" xr:uid="{00000000-0005-0000-0000-0000E7360000}"/>
    <cellStyle name="Vírgula 3 10 2 2 2" xfId="21715" xr:uid="{00000000-0005-0000-0000-0000E8360000}"/>
    <cellStyle name="Vírgula 3 10 2 2 3" xfId="17710" xr:uid="{00000000-0005-0000-0000-0000E9360000}"/>
    <cellStyle name="Vírgula 3 10 2 3" xfId="5514" xr:uid="{00000000-0005-0000-0000-0000EA360000}"/>
    <cellStyle name="Vírgula 3 10 2 3 2" xfId="22513" xr:uid="{00000000-0005-0000-0000-0000EB360000}"/>
    <cellStyle name="Vírgula 3 10 2 3 3" xfId="18549" xr:uid="{00000000-0005-0000-0000-0000EC360000}"/>
    <cellStyle name="Vírgula 3 10 2 4" xfId="20413" xr:uid="{00000000-0005-0000-0000-0000ED360000}"/>
    <cellStyle name="Vírgula 3 10 2 5" xfId="16389" xr:uid="{00000000-0005-0000-0000-0000EE360000}"/>
    <cellStyle name="Vírgula 3 10 3" xfId="3851" xr:uid="{00000000-0005-0000-0000-0000EF360000}"/>
    <cellStyle name="Vírgula 3 10 3 2" xfId="6244" xr:uid="{00000000-0005-0000-0000-0000F0360000}"/>
    <cellStyle name="Vírgula 3 10 3 2 2" xfId="23226" xr:uid="{00000000-0005-0000-0000-0000F1360000}"/>
    <cellStyle name="Vírgula 3 10 3 2 3" xfId="19279" xr:uid="{00000000-0005-0000-0000-0000F2360000}"/>
    <cellStyle name="Vírgula 3 10 3 3" xfId="20913" xr:uid="{00000000-0005-0000-0000-0000F3360000}"/>
    <cellStyle name="Vírgula 3 10 3 4" xfId="16893" xr:uid="{00000000-0005-0000-0000-0000F4360000}"/>
    <cellStyle name="Vírgula 3 11" xfId="2217" xr:uid="{00000000-0005-0000-0000-0000F5360000}"/>
    <cellStyle name="Vírgula 3 11 2" xfId="3346" xr:uid="{00000000-0005-0000-0000-0000F6360000}"/>
    <cellStyle name="Vírgula 3 11 2 2" xfId="4676" xr:uid="{00000000-0005-0000-0000-0000F7360000}"/>
    <cellStyle name="Vírgula 3 11 2 2 2" xfId="21716" xr:uid="{00000000-0005-0000-0000-0000F8360000}"/>
    <cellStyle name="Vírgula 3 11 2 2 3" xfId="17711" xr:uid="{00000000-0005-0000-0000-0000F9360000}"/>
    <cellStyle name="Vírgula 3 11 2 3" xfId="5515" xr:uid="{00000000-0005-0000-0000-0000FA360000}"/>
    <cellStyle name="Vírgula 3 11 2 3 2" xfId="22514" xr:uid="{00000000-0005-0000-0000-0000FB360000}"/>
    <cellStyle name="Vírgula 3 11 2 3 3" xfId="18550" xr:uid="{00000000-0005-0000-0000-0000FC360000}"/>
    <cellStyle name="Vírgula 3 11 2 4" xfId="20414" xr:uid="{00000000-0005-0000-0000-0000FD360000}"/>
    <cellStyle name="Vírgula 3 11 2 5" xfId="16390" xr:uid="{00000000-0005-0000-0000-0000FE360000}"/>
    <cellStyle name="Vírgula 3 11 3" xfId="4078" xr:uid="{00000000-0005-0000-0000-0000FF360000}"/>
    <cellStyle name="Vírgula 3 11 3 2" xfId="6245" xr:uid="{00000000-0005-0000-0000-000000370000}"/>
    <cellStyle name="Vírgula 3 11 3 2 2" xfId="23227" xr:uid="{00000000-0005-0000-0000-000001370000}"/>
    <cellStyle name="Vírgula 3 11 3 2 3" xfId="19280" xr:uid="{00000000-0005-0000-0000-000002370000}"/>
    <cellStyle name="Vírgula 3 11 3 3" xfId="21126" xr:uid="{00000000-0005-0000-0000-000003370000}"/>
    <cellStyle name="Vírgula 3 11 3 4" xfId="17118" xr:uid="{00000000-0005-0000-0000-000004370000}"/>
    <cellStyle name="Vírgula 3 12" xfId="2218" xr:uid="{00000000-0005-0000-0000-000005370000}"/>
    <cellStyle name="Vírgula 3 12 2" xfId="3347" xr:uid="{00000000-0005-0000-0000-000006370000}"/>
    <cellStyle name="Vírgula 3 12 2 2" xfId="4677" xr:uid="{00000000-0005-0000-0000-000007370000}"/>
    <cellStyle name="Vírgula 3 12 2 2 2" xfId="21717" xr:uid="{00000000-0005-0000-0000-000008370000}"/>
    <cellStyle name="Vírgula 3 12 2 2 3" xfId="17712" xr:uid="{00000000-0005-0000-0000-000009370000}"/>
    <cellStyle name="Vírgula 3 12 2 3" xfId="5516" xr:uid="{00000000-0005-0000-0000-00000A370000}"/>
    <cellStyle name="Vírgula 3 12 2 3 2" xfId="22515" xr:uid="{00000000-0005-0000-0000-00000B370000}"/>
    <cellStyle name="Vírgula 3 12 2 3 3" xfId="18551" xr:uid="{00000000-0005-0000-0000-00000C370000}"/>
    <cellStyle name="Vírgula 3 12 2 4" xfId="20415" xr:uid="{00000000-0005-0000-0000-00000D370000}"/>
    <cellStyle name="Vírgula 3 12 2 5" xfId="16391" xr:uid="{00000000-0005-0000-0000-00000E370000}"/>
    <cellStyle name="Vírgula 3 12 3" xfId="3972" xr:uid="{00000000-0005-0000-0000-00000F370000}"/>
    <cellStyle name="Vírgula 3 12 3 2" xfId="6246" xr:uid="{00000000-0005-0000-0000-000010370000}"/>
    <cellStyle name="Vírgula 3 12 3 2 2" xfId="23228" xr:uid="{00000000-0005-0000-0000-000011370000}"/>
    <cellStyle name="Vírgula 3 12 3 2 3" xfId="19281" xr:uid="{00000000-0005-0000-0000-000012370000}"/>
    <cellStyle name="Vírgula 3 12 3 3" xfId="21028" xr:uid="{00000000-0005-0000-0000-000013370000}"/>
    <cellStyle name="Vírgula 3 12 3 4" xfId="17014" xr:uid="{00000000-0005-0000-0000-000014370000}"/>
    <cellStyle name="Vírgula 3 13" xfId="3027" xr:uid="{00000000-0005-0000-0000-000015370000}"/>
    <cellStyle name="Vírgula 3 13 2" xfId="3724" xr:uid="{00000000-0005-0000-0000-000016370000}"/>
    <cellStyle name="Vírgula 3 13 2 2" xfId="5877" xr:uid="{00000000-0005-0000-0000-000017370000}"/>
    <cellStyle name="Vírgula 3 13 2 2 2" xfId="22873" xr:uid="{00000000-0005-0000-0000-000018370000}"/>
    <cellStyle name="Vírgula 3 13 2 2 3" xfId="18912" xr:uid="{00000000-0005-0000-0000-000019370000}"/>
    <cellStyle name="Vírgula 3 13 2 3" xfId="20789" xr:uid="{00000000-0005-0000-0000-00001A370000}"/>
    <cellStyle name="Vírgula 3 13 2 4" xfId="16768" xr:uid="{00000000-0005-0000-0000-00001B370000}"/>
    <cellStyle name="Vírgula 3 13 3" xfId="5196" xr:uid="{00000000-0005-0000-0000-00001C370000}"/>
    <cellStyle name="Vírgula 3 13 3 2" xfId="12328" xr:uid="{00000000-0005-0000-0000-00001D370000}"/>
    <cellStyle name="Vírgula 3 13 3 2 2" xfId="22195" xr:uid="{00000000-0005-0000-0000-00001E370000}"/>
    <cellStyle name="Vírgula 3 13 3 3" xfId="12424" xr:uid="{00000000-0005-0000-0000-00001F370000}"/>
    <cellStyle name="Vírgula 3 13 3 4" xfId="18231" xr:uid="{00000000-0005-0000-0000-000020370000}"/>
    <cellStyle name="Vírgula 3 13 4" xfId="13558" xr:uid="{00000000-0005-0000-0000-000021370000}"/>
    <cellStyle name="Vírgula 3 13 4 2" xfId="20095" xr:uid="{00000000-0005-0000-0000-000022370000}"/>
    <cellStyle name="Vírgula 3 13 5" xfId="16071" xr:uid="{00000000-0005-0000-0000-000023370000}"/>
    <cellStyle name="Vírgula 3 14" xfId="8501" xr:uid="{00000000-0005-0000-0000-000024370000}"/>
    <cellStyle name="Vírgula 3 14 2" xfId="12400" xr:uid="{00000000-0005-0000-0000-000025370000}"/>
    <cellStyle name="Vírgula 3 14 3" xfId="11060" xr:uid="{00000000-0005-0000-0000-000026370000}"/>
    <cellStyle name="Vírgula 3 15" xfId="8502" xr:uid="{00000000-0005-0000-0000-000027370000}"/>
    <cellStyle name="Vírgula 3 16" xfId="8503" xr:uid="{00000000-0005-0000-0000-000028370000}"/>
    <cellStyle name="Vírgula 3 2" xfId="55" xr:uid="{00000000-0005-0000-0000-000029370000}"/>
    <cellStyle name="Vírgula 3 2 10" xfId="2219" xr:uid="{00000000-0005-0000-0000-00002A370000}"/>
    <cellStyle name="Vírgula 3 2 10 2" xfId="3348" xr:uid="{00000000-0005-0000-0000-00002B370000}"/>
    <cellStyle name="Vírgula 3 2 10 2 2" xfId="4678" xr:uid="{00000000-0005-0000-0000-00002C370000}"/>
    <cellStyle name="Vírgula 3 2 10 2 2 2" xfId="21718" xr:uid="{00000000-0005-0000-0000-00002D370000}"/>
    <cellStyle name="Vírgula 3 2 10 2 2 3" xfId="17713" xr:uid="{00000000-0005-0000-0000-00002E370000}"/>
    <cellStyle name="Vírgula 3 2 10 2 3" xfId="5517" xr:uid="{00000000-0005-0000-0000-00002F370000}"/>
    <cellStyle name="Vírgula 3 2 10 2 3 2" xfId="22516" xr:uid="{00000000-0005-0000-0000-000030370000}"/>
    <cellStyle name="Vírgula 3 2 10 2 3 3" xfId="18552" xr:uid="{00000000-0005-0000-0000-000031370000}"/>
    <cellStyle name="Vírgula 3 2 10 2 4" xfId="20416" xr:uid="{00000000-0005-0000-0000-000032370000}"/>
    <cellStyle name="Vírgula 3 2 10 2 5" xfId="16392" xr:uid="{00000000-0005-0000-0000-000033370000}"/>
    <cellStyle name="Vírgula 3 2 10 3" xfId="4375" xr:uid="{00000000-0005-0000-0000-000034370000}"/>
    <cellStyle name="Vírgula 3 2 10 3 2" xfId="6247" xr:uid="{00000000-0005-0000-0000-000035370000}"/>
    <cellStyle name="Vírgula 3 2 10 3 2 2" xfId="23229" xr:uid="{00000000-0005-0000-0000-000036370000}"/>
    <cellStyle name="Vírgula 3 2 10 3 2 3" xfId="19282" xr:uid="{00000000-0005-0000-0000-000037370000}"/>
    <cellStyle name="Vírgula 3 2 10 3 3" xfId="21419" xr:uid="{00000000-0005-0000-0000-000038370000}"/>
    <cellStyle name="Vírgula 3 2 10 3 4" xfId="17412" xr:uid="{00000000-0005-0000-0000-000039370000}"/>
    <cellStyle name="Vírgula 3 2 11" xfId="2220" xr:uid="{00000000-0005-0000-0000-00003A370000}"/>
    <cellStyle name="Vírgula 3 2 11 2" xfId="3349" xr:uid="{00000000-0005-0000-0000-00003B370000}"/>
    <cellStyle name="Vírgula 3 2 11 2 2" xfId="4679" xr:uid="{00000000-0005-0000-0000-00003C370000}"/>
    <cellStyle name="Vírgula 3 2 11 2 2 2" xfId="21719" xr:uid="{00000000-0005-0000-0000-00003D370000}"/>
    <cellStyle name="Vírgula 3 2 11 2 2 3" xfId="17714" xr:uid="{00000000-0005-0000-0000-00003E370000}"/>
    <cellStyle name="Vírgula 3 2 11 2 3" xfId="5518" xr:uid="{00000000-0005-0000-0000-00003F370000}"/>
    <cellStyle name="Vírgula 3 2 11 2 3 2" xfId="22517" xr:uid="{00000000-0005-0000-0000-000040370000}"/>
    <cellStyle name="Vírgula 3 2 11 2 3 3" xfId="18553" xr:uid="{00000000-0005-0000-0000-000041370000}"/>
    <cellStyle name="Vírgula 3 2 11 2 4" xfId="20417" xr:uid="{00000000-0005-0000-0000-000042370000}"/>
    <cellStyle name="Vírgula 3 2 11 2 5" xfId="16393" xr:uid="{00000000-0005-0000-0000-000043370000}"/>
    <cellStyle name="Vírgula 3 2 11 3" xfId="4143" xr:uid="{00000000-0005-0000-0000-000044370000}"/>
    <cellStyle name="Vírgula 3 2 11 3 2" xfId="6248" xr:uid="{00000000-0005-0000-0000-000045370000}"/>
    <cellStyle name="Vírgula 3 2 11 3 2 2" xfId="23230" xr:uid="{00000000-0005-0000-0000-000046370000}"/>
    <cellStyle name="Vírgula 3 2 11 3 2 3" xfId="19283" xr:uid="{00000000-0005-0000-0000-000047370000}"/>
    <cellStyle name="Vírgula 3 2 11 3 3" xfId="21191" xr:uid="{00000000-0005-0000-0000-000048370000}"/>
    <cellStyle name="Vírgula 3 2 11 3 4" xfId="17183" xr:uid="{00000000-0005-0000-0000-000049370000}"/>
    <cellStyle name="Vírgula 3 2 12" xfId="3028" xr:uid="{00000000-0005-0000-0000-00004A370000}"/>
    <cellStyle name="Vírgula 3 2 12 2" xfId="4191" xr:uid="{00000000-0005-0000-0000-00004B370000}"/>
    <cellStyle name="Vírgula 3 2 12 2 2" xfId="5878" xr:uid="{00000000-0005-0000-0000-00004C370000}"/>
    <cellStyle name="Vírgula 3 2 12 2 2 2" xfId="22874" xr:uid="{00000000-0005-0000-0000-00004D370000}"/>
    <cellStyle name="Vírgula 3 2 12 2 2 3" xfId="18913" xr:uid="{00000000-0005-0000-0000-00004E370000}"/>
    <cellStyle name="Vírgula 3 2 12 2 3" xfId="21237" xr:uid="{00000000-0005-0000-0000-00004F370000}"/>
    <cellStyle name="Vírgula 3 2 12 2 4" xfId="17230" xr:uid="{00000000-0005-0000-0000-000050370000}"/>
    <cellStyle name="Vírgula 3 2 12 3" xfId="5197" xr:uid="{00000000-0005-0000-0000-000051370000}"/>
    <cellStyle name="Vírgula 3 2 12 3 2" xfId="12363" xr:uid="{00000000-0005-0000-0000-000052370000}"/>
    <cellStyle name="Vírgula 3 2 12 3 2 2" xfId="22196" xr:uid="{00000000-0005-0000-0000-000053370000}"/>
    <cellStyle name="Vírgula 3 2 12 3 3" xfId="13165" xr:uid="{00000000-0005-0000-0000-000054370000}"/>
    <cellStyle name="Vírgula 3 2 12 3 4" xfId="18232" xr:uid="{00000000-0005-0000-0000-000055370000}"/>
    <cellStyle name="Vírgula 3 2 12 4" xfId="13559" xr:uid="{00000000-0005-0000-0000-000056370000}"/>
    <cellStyle name="Vírgula 3 2 12 4 2" xfId="20096" xr:uid="{00000000-0005-0000-0000-000057370000}"/>
    <cellStyle name="Vírgula 3 2 12 5" xfId="16072" xr:uid="{00000000-0005-0000-0000-000058370000}"/>
    <cellStyle name="Vírgula 3 2 13" xfId="8504" xr:uid="{00000000-0005-0000-0000-000059370000}"/>
    <cellStyle name="Vírgula 3 2 13 2" xfId="12323" xr:uid="{00000000-0005-0000-0000-00005A370000}"/>
    <cellStyle name="Vírgula 3 2 13 3" xfId="11610" xr:uid="{00000000-0005-0000-0000-00005B370000}"/>
    <cellStyle name="Vírgula 3 2 14" xfId="8505" xr:uid="{00000000-0005-0000-0000-00005C370000}"/>
    <cellStyle name="Vírgula 3 2 15" xfId="8506" xr:uid="{00000000-0005-0000-0000-00005D370000}"/>
    <cellStyle name="Vírgula 3 2 2" xfId="56" xr:uid="{00000000-0005-0000-0000-00005E370000}"/>
    <cellStyle name="Vírgula 3 2 2 10" xfId="3029" xr:uid="{00000000-0005-0000-0000-00005F370000}"/>
    <cellStyle name="Vírgula 3 2 2 10 2" xfId="3812" xr:uid="{00000000-0005-0000-0000-000060370000}"/>
    <cellStyle name="Vírgula 3 2 2 10 2 2" xfId="5879" xr:uid="{00000000-0005-0000-0000-000061370000}"/>
    <cellStyle name="Vírgula 3 2 2 10 2 2 2" xfId="22875" xr:uid="{00000000-0005-0000-0000-000062370000}"/>
    <cellStyle name="Vírgula 3 2 2 10 2 2 3" xfId="18914" xr:uid="{00000000-0005-0000-0000-000063370000}"/>
    <cellStyle name="Vírgula 3 2 2 10 2 3" xfId="20874" xr:uid="{00000000-0005-0000-0000-000064370000}"/>
    <cellStyle name="Vírgula 3 2 2 10 2 4" xfId="16854" xr:uid="{00000000-0005-0000-0000-000065370000}"/>
    <cellStyle name="Vírgula 3 2 2 10 3" xfId="5198" xr:uid="{00000000-0005-0000-0000-000066370000}"/>
    <cellStyle name="Vírgula 3 2 2 10 3 2" xfId="12985" xr:uid="{00000000-0005-0000-0000-000067370000}"/>
    <cellStyle name="Vírgula 3 2 2 10 3 2 2" xfId="22197" xr:uid="{00000000-0005-0000-0000-000068370000}"/>
    <cellStyle name="Vírgula 3 2 2 10 3 3" xfId="12947" xr:uid="{00000000-0005-0000-0000-000069370000}"/>
    <cellStyle name="Vírgula 3 2 2 10 3 4" xfId="18233" xr:uid="{00000000-0005-0000-0000-00006A370000}"/>
    <cellStyle name="Vírgula 3 2 2 10 4" xfId="13560" xr:uid="{00000000-0005-0000-0000-00006B370000}"/>
    <cellStyle name="Vírgula 3 2 2 10 4 2" xfId="20097" xr:uid="{00000000-0005-0000-0000-00006C370000}"/>
    <cellStyle name="Vírgula 3 2 2 10 5" xfId="16073" xr:uid="{00000000-0005-0000-0000-00006D370000}"/>
    <cellStyle name="Vírgula 3 2 2 11" xfId="8507" xr:uid="{00000000-0005-0000-0000-00006E370000}"/>
    <cellStyle name="Vírgula 3 2 2 11 2" xfId="11795" xr:uid="{00000000-0005-0000-0000-00006F370000}"/>
    <cellStyle name="Vírgula 3 2 2 11 3" xfId="10988" xr:uid="{00000000-0005-0000-0000-000070370000}"/>
    <cellStyle name="Vírgula 3 2 2 12" xfId="8508" xr:uid="{00000000-0005-0000-0000-000071370000}"/>
    <cellStyle name="Vírgula 3 2 2 13" xfId="8509" xr:uid="{00000000-0005-0000-0000-000072370000}"/>
    <cellStyle name="Vírgula 3 2 2 2" xfId="695" xr:uid="{00000000-0005-0000-0000-000073370000}"/>
    <cellStyle name="Vírgula 3 2 2 2 2" xfId="3109" xr:uid="{00000000-0005-0000-0000-000074370000}"/>
    <cellStyle name="Vírgula 3 2 2 2 2 2" xfId="4524" xr:uid="{00000000-0005-0000-0000-000075370000}"/>
    <cellStyle name="Vírgula 3 2 2 2 2 2 2" xfId="21564" xr:uid="{00000000-0005-0000-0000-000076370000}"/>
    <cellStyle name="Vírgula 3 2 2 2 2 2 3" xfId="17559" xr:uid="{00000000-0005-0000-0000-000077370000}"/>
    <cellStyle name="Vírgula 3 2 2 2 2 3" xfId="5278" xr:uid="{00000000-0005-0000-0000-000078370000}"/>
    <cellStyle name="Vírgula 3 2 2 2 2 3 2" xfId="22277" xr:uid="{00000000-0005-0000-0000-000079370000}"/>
    <cellStyle name="Vírgula 3 2 2 2 2 3 3" xfId="18313" xr:uid="{00000000-0005-0000-0000-00007A370000}"/>
    <cellStyle name="Vírgula 3 2 2 2 2 4" xfId="20177" xr:uid="{00000000-0005-0000-0000-00007B370000}"/>
    <cellStyle name="Vírgula 3 2 2 2 2 5" xfId="16153" xr:uid="{00000000-0005-0000-0000-00007C370000}"/>
    <cellStyle name="Vírgula 3 2 2 2 3" xfId="4419" xr:uid="{00000000-0005-0000-0000-00007D370000}"/>
    <cellStyle name="Vírgula 3 2 2 2 3 2" xfId="5994" xr:uid="{00000000-0005-0000-0000-00007E370000}"/>
    <cellStyle name="Vírgula 3 2 2 2 3 2 2" xfId="22988" xr:uid="{00000000-0005-0000-0000-00007F370000}"/>
    <cellStyle name="Vírgula 3 2 2 2 3 2 3" xfId="19029" xr:uid="{00000000-0005-0000-0000-000080370000}"/>
    <cellStyle name="Vírgula 3 2 2 2 3 3" xfId="21462" xr:uid="{00000000-0005-0000-0000-000081370000}"/>
    <cellStyle name="Vírgula 3 2 2 2 3 4" xfId="17456" xr:uid="{00000000-0005-0000-0000-000082370000}"/>
    <cellStyle name="Vírgula 3 2 2 3" xfId="2221" xr:uid="{00000000-0005-0000-0000-000083370000}"/>
    <cellStyle name="Vírgula 3 2 2 3 2" xfId="3350" xr:uid="{00000000-0005-0000-0000-000084370000}"/>
    <cellStyle name="Vírgula 3 2 2 3 2 2" xfId="4680" xr:uid="{00000000-0005-0000-0000-000085370000}"/>
    <cellStyle name="Vírgula 3 2 2 3 2 2 2" xfId="21720" xr:uid="{00000000-0005-0000-0000-000086370000}"/>
    <cellStyle name="Vírgula 3 2 2 3 2 2 3" xfId="17715" xr:uid="{00000000-0005-0000-0000-000087370000}"/>
    <cellStyle name="Vírgula 3 2 2 3 2 3" xfId="5519" xr:uid="{00000000-0005-0000-0000-000088370000}"/>
    <cellStyle name="Vírgula 3 2 2 3 2 3 2" xfId="22518" xr:uid="{00000000-0005-0000-0000-000089370000}"/>
    <cellStyle name="Vírgula 3 2 2 3 2 3 3" xfId="18554" xr:uid="{00000000-0005-0000-0000-00008A370000}"/>
    <cellStyle name="Vírgula 3 2 2 3 2 4" xfId="20418" xr:uid="{00000000-0005-0000-0000-00008B370000}"/>
    <cellStyle name="Vírgula 3 2 2 3 2 5" xfId="16394" xr:uid="{00000000-0005-0000-0000-00008C370000}"/>
    <cellStyle name="Vírgula 3 2 2 3 3" xfId="4084" xr:uid="{00000000-0005-0000-0000-00008D370000}"/>
    <cellStyle name="Vírgula 3 2 2 3 3 2" xfId="6249" xr:uid="{00000000-0005-0000-0000-00008E370000}"/>
    <cellStyle name="Vírgula 3 2 2 3 3 2 2" xfId="23231" xr:uid="{00000000-0005-0000-0000-00008F370000}"/>
    <cellStyle name="Vírgula 3 2 2 3 3 2 3" xfId="19284" xr:uid="{00000000-0005-0000-0000-000090370000}"/>
    <cellStyle name="Vírgula 3 2 2 3 3 3" xfId="21132" xr:uid="{00000000-0005-0000-0000-000091370000}"/>
    <cellStyle name="Vírgula 3 2 2 3 3 4" xfId="17124" xr:uid="{00000000-0005-0000-0000-000092370000}"/>
    <cellStyle name="Vírgula 3 2 2 4" xfId="2222" xr:uid="{00000000-0005-0000-0000-000093370000}"/>
    <cellStyle name="Vírgula 3 2 2 4 2" xfId="3351" xr:uid="{00000000-0005-0000-0000-000094370000}"/>
    <cellStyle name="Vírgula 3 2 2 4 2 2" xfId="4681" xr:uid="{00000000-0005-0000-0000-000095370000}"/>
    <cellStyle name="Vírgula 3 2 2 4 2 2 2" xfId="21721" xr:uid="{00000000-0005-0000-0000-000096370000}"/>
    <cellStyle name="Vírgula 3 2 2 4 2 2 3" xfId="17716" xr:uid="{00000000-0005-0000-0000-000097370000}"/>
    <cellStyle name="Vírgula 3 2 2 4 2 3" xfId="5520" xr:uid="{00000000-0005-0000-0000-000098370000}"/>
    <cellStyle name="Vírgula 3 2 2 4 2 3 2" xfId="22519" xr:uid="{00000000-0005-0000-0000-000099370000}"/>
    <cellStyle name="Vírgula 3 2 2 4 2 3 3" xfId="18555" xr:uid="{00000000-0005-0000-0000-00009A370000}"/>
    <cellStyle name="Vírgula 3 2 2 4 2 4" xfId="20419" xr:uid="{00000000-0005-0000-0000-00009B370000}"/>
    <cellStyle name="Vírgula 3 2 2 4 2 5" xfId="16395" xr:uid="{00000000-0005-0000-0000-00009C370000}"/>
    <cellStyle name="Vírgula 3 2 2 4 3" xfId="4394" xr:uid="{00000000-0005-0000-0000-00009D370000}"/>
    <cellStyle name="Vírgula 3 2 2 4 3 2" xfId="6250" xr:uid="{00000000-0005-0000-0000-00009E370000}"/>
    <cellStyle name="Vírgula 3 2 2 4 3 2 2" xfId="23232" xr:uid="{00000000-0005-0000-0000-00009F370000}"/>
    <cellStyle name="Vírgula 3 2 2 4 3 2 3" xfId="19285" xr:uid="{00000000-0005-0000-0000-0000A0370000}"/>
    <cellStyle name="Vírgula 3 2 2 4 3 3" xfId="21438" xr:uid="{00000000-0005-0000-0000-0000A1370000}"/>
    <cellStyle name="Vírgula 3 2 2 4 3 4" xfId="17431" xr:uid="{00000000-0005-0000-0000-0000A2370000}"/>
    <cellStyle name="Vírgula 3 2 2 5" xfId="2223" xr:uid="{00000000-0005-0000-0000-0000A3370000}"/>
    <cellStyle name="Vírgula 3 2 2 5 2" xfId="3352" xr:uid="{00000000-0005-0000-0000-0000A4370000}"/>
    <cellStyle name="Vírgula 3 2 2 5 2 2" xfId="4682" xr:uid="{00000000-0005-0000-0000-0000A5370000}"/>
    <cellStyle name="Vírgula 3 2 2 5 2 2 2" xfId="21722" xr:uid="{00000000-0005-0000-0000-0000A6370000}"/>
    <cellStyle name="Vírgula 3 2 2 5 2 2 3" xfId="17717" xr:uid="{00000000-0005-0000-0000-0000A7370000}"/>
    <cellStyle name="Vírgula 3 2 2 5 2 3" xfId="5521" xr:uid="{00000000-0005-0000-0000-0000A8370000}"/>
    <cellStyle name="Vírgula 3 2 2 5 2 3 2" xfId="22520" xr:uid="{00000000-0005-0000-0000-0000A9370000}"/>
    <cellStyle name="Vírgula 3 2 2 5 2 3 3" xfId="18556" xr:uid="{00000000-0005-0000-0000-0000AA370000}"/>
    <cellStyle name="Vírgula 3 2 2 5 2 4" xfId="20420" xr:uid="{00000000-0005-0000-0000-0000AB370000}"/>
    <cellStyle name="Vírgula 3 2 2 5 2 5" xfId="16396" xr:uid="{00000000-0005-0000-0000-0000AC370000}"/>
    <cellStyle name="Vírgula 3 2 2 5 3" xfId="4410" xr:uid="{00000000-0005-0000-0000-0000AD370000}"/>
    <cellStyle name="Vírgula 3 2 2 5 3 2" xfId="6251" xr:uid="{00000000-0005-0000-0000-0000AE370000}"/>
    <cellStyle name="Vírgula 3 2 2 5 3 2 2" xfId="23233" xr:uid="{00000000-0005-0000-0000-0000AF370000}"/>
    <cellStyle name="Vírgula 3 2 2 5 3 2 3" xfId="19286" xr:uid="{00000000-0005-0000-0000-0000B0370000}"/>
    <cellStyle name="Vírgula 3 2 2 5 3 3" xfId="21453" xr:uid="{00000000-0005-0000-0000-0000B1370000}"/>
    <cellStyle name="Vírgula 3 2 2 5 3 4" xfId="17447" xr:uid="{00000000-0005-0000-0000-0000B2370000}"/>
    <cellStyle name="Vírgula 3 2 2 6" xfId="2224" xr:uid="{00000000-0005-0000-0000-0000B3370000}"/>
    <cellStyle name="Vírgula 3 2 2 6 2" xfId="3353" xr:uid="{00000000-0005-0000-0000-0000B4370000}"/>
    <cellStyle name="Vírgula 3 2 2 6 2 2" xfId="4683" xr:uid="{00000000-0005-0000-0000-0000B5370000}"/>
    <cellStyle name="Vírgula 3 2 2 6 2 2 2" xfId="21723" xr:uid="{00000000-0005-0000-0000-0000B6370000}"/>
    <cellStyle name="Vírgula 3 2 2 6 2 2 3" xfId="17718" xr:uid="{00000000-0005-0000-0000-0000B7370000}"/>
    <cellStyle name="Vírgula 3 2 2 6 2 3" xfId="5522" xr:uid="{00000000-0005-0000-0000-0000B8370000}"/>
    <cellStyle name="Vírgula 3 2 2 6 2 3 2" xfId="22521" xr:uid="{00000000-0005-0000-0000-0000B9370000}"/>
    <cellStyle name="Vírgula 3 2 2 6 2 3 3" xfId="18557" xr:uid="{00000000-0005-0000-0000-0000BA370000}"/>
    <cellStyle name="Vírgula 3 2 2 6 2 4" xfId="20421" xr:uid="{00000000-0005-0000-0000-0000BB370000}"/>
    <cellStyle name="Vírgula 3 2 2 6 2 5" xfId="16397" xr:uid="{00000000-0005-0000-0000-0000BC370000}"/>
    <cellStyle name="Vírgula 3 2 2 6 3" xfId="4134" xr:uid="{00000000-0005-0000-0000-0000BD370000}"/>
    <cellStyle name="Vírgula 3 2 2 6 3 2" xfId="6252" xr:uid="{00000000-0005-0000-0000-0000BE370000}"/>
    <cellStyle name="Vírgula 3 2 2 6 3 2 2" xfId="23234" xr:uid="{00000000-0005-0000-0000-0000BF370000}"/>
    <cellStyle name="Vírgula 3 2 2 6 3 2 3" xfId="19287" xr:uid="{00000000-0005-0000-0000-0000C0370000}"/>
    <cellStyle name="Vírgula 3 2 2 6 3 3" xfId="21182" xr:uid="{00000000-0005-0000-0000-0000C1370000}"/>
    <cellStyle name="Vírgula 3 2 2 6 3 4" xfId="17174" xr:uid="{00000000-0005-0000-0000-0000C2370000}"/>
    <cellStyle name="Vírgula 3 2 2 7" xfId="2225" xr:uid="{00000000-0005-0000-0000-0000C3370000}"/>
    <cellStyle name="Vírgula 3 2 2 7 2" xfId="3354" xr:uid="{00000000-0005-0000-0000-0000C4370000}"/>
    <cellStyle name="Vírgula 3 2 2 7 2 2" xfId="4684" xr:uid="{00000000-0005-0000-0000-0000C5370000}"/>
    <cellStyle name="Vírgula 3 2 2 7 2 2 2" xfId="21724" xr:uid="{00000000-0005-0000-0000-0000C6370000}"/>
    <cellStyle name="Vírgula 3 2 2 7 2 2 3" xfId="17719" xr:uid="{00000000-0005-0000-0000-0000C7370000}"/>
    <cellStyle name="Vírgula 3 2 2 7 2 3" xfId="5523" xr:uid="{00000000-0005-0000-0000-0000C8370000}"/>
    <cellStyle name="Vírgula 3 2 2 7 2 3 2" xfId="22522" xr:uid="{00000000-0005-0000-0000-0000C9370000}"/>
    <cellStyle name="Vírgula 3 2 2 7 2 3 3" xfId="18558" xr:uid="{00000000-0005-0000-0000-0000CA370000}"/>
    <cellStyle name="Vírgula 3 2 2 7 2 4" xfId="20422" xr:uid="{00000000-0005-0000-0000-0000CB370000}"/>
    <cellStyle name="Vírgula 3 2 2 7 2 5" xfId="16398" xr:uid="{00000000-0005-0000-0000-0000CC370000}"/>
    <cellStyle name="Vírgula 3 2 2 7 3" xfId="4393" xr:uid="{00000000-0005-0000-0000-0000CD370000}"/>
    <cellStyle name="Vírgula 3 2 2 7 3 2" xfId="6253" xr:uid="{00000000-0005-0000-0000-0000CE370000}"/>
    <cellStyle name="Vírgula 3 2 2 7 3 2 2" xfId="23235" xr:uid="{00000000-0005-0000-0000-0000CF370000}"/>
    <cellStyle name="Vírgula 3 2 2 7 3 2 3" xfId="19288" xr:uid="{00000000-0005-0000-0000-0000D0370000}"/>
    <cellStyle name="Vírgula 3 2 2 7 3 3" xfId="21437" xr:uid="{00000000-0005-0000-0000-0000D1370000}"/>
    <cellStyle name="Vírgula 3 2 2 7 3 4" xfId="17430" xr:uid="{00000000-0005-0000-0000-0000D2370000}"/>
    <cellStyle name="Vírgula 3 2 2 8" xfId="2226" xr:uid="{00000000-0005-0000-0000-0000D3370000}"/>
    <cellStyle name="Vírgula 3 2 2 8 2" xfId="3355" xr:uid="{00000000-0005-0000-0000-0000D4370000}"/>
    <cellStyle name="Vírgula 3 2 2 8 2 2" xfId="4685" xr:uid="{00000000-0005-0000-0000-0000D5370000}"/>
    <cellStyle name="Vírgula 3 2 2 8 2 2 2" xfId="21725" xr:uid="{00000000-0005-0000-0000-0000D6370000}"/>
    <cellStyle name="Vírgula 3 2 2 8 2 2 3" xfId="17720" xr:uid="{00000000-0005-0000-0000-0000D7370000}"/>
    <cellStyle name="Vírgula 3 2 2 8 2 3" xfId="5524" xr:uid="{00000000-0005-0000-0000-0000D8370000}"/>
    <cellStyle name="Vírgula 3 2 2 8 2 3 2" xfId="22523" xr:uid="{00000000-0005-0000-0000-0000D9370000}"/>
    <cellStyle name="Vírgula 3 2 2 8 2 3 3" xfId="18559" xr:uid="{00000000-0005-0000-0000-0000DA370000}"/>
    <cellStyle name="Vírgula 3 2 2 8 2 4" xfId="20423" xr:uid="{00000000-0005-0000-0000-0000DB370000}"/>
    <cellStyle name="Vírgula 3 2 2 8 2 5" xfId="16399" xr:uid="{00000000-0005-0000-0000-0000DC370000}"/>
    <cellStyle name="Vírgula 3 2 2 8 3" xfId="3693" xr:uid="{00000000-0005-0000-0000-0000DD370000}"/>
    <cellStyle name="Vírgula 3 2 2 8 3 2" xfId="6254" xr:uid="{00000000-0005-0000-0000-0000DE370000}"/>
    <cellStyle name="Vírgula 3 2 2 8 3 2 2" xfId="23236" xr:uid="{00000000-0005-0000-0000-0000DF370000}"/>
    <cellStyle name="Vírgula 3 2 2 8 3 2 3" xfId="19289" xr:uid="{00000000-0005-0000-0000-0000E0370000}"/>
    <cellStyle name="Vírgula 3 2 2 8 3 3" xfId="20761" xr:uid="{00000000-0005-0000-0000-0000E1370000}"/>
    <cellStyle name="Vírgula 3 2 2 8 3 4" xfId="16737" xr:uid="{00000000-0005-0000-0000-0000E2370000}"/>
    <cellStyle name="Vírgula 3 2 2 9" xfId="2227" xr:uid="{00000000-0005-0000-0000-0000E3370000}"/>
    <cellStyle name="Vírgula 3 2 2 9 2" xfId="3356" xr:uid="{00000000-0005-0000-0000-0000E4370000}"/>
    <cellStyle name="Vírgula 3 2 2 9 2 2" xfId="4686" xr:uid="{00000000-0005-0000-0000-0000E5370000}"/>
    <cellStyle name="Vírgula 3 2 2 9 2 2 2" xfId="21726" xr:uid="{00000000-0005-0000-0000-0000E6370000}"/>
    <cellStyle name="Vírgula 3 2 2 9 2 2 3" xfId="17721" xr:uid="{00000000-0005-0000-0000-0000E7370000}"/>
    <cellStyle name="Vírgula 3 2 2 9 2 3" xfId="5525" xr:uid="{00000000-0005-0000-0000-0000E8370000}"/>
    <cellStyle name="Vírgula 3 2 2 9 2 3 2" xfId="22524" xr:uid="{00000000-0005-0000-0000-0000E9370000}"/>
    <cellStyle name="Vírgula 3 2 2 9 2 3 3" xfId="18560" xr:uid="{00000000-0005-0000-0000-0000EA370000}"/>
    <cellStyle name="Vírgula 3 2 2 9 2 4" xfId="20424" xr:uid="{00000000-0005-0000-0000-0000EB370000}"/>
    <cellStyle name="Vírgula 3 2 2 9 2 5" xfId="16400" xr:uid="{00000000-0005-0000-0000-0000EC370000}"/>
    <cellStyle name="Vírgula 3 2 2 9 3" xfId="3694" xr:uid="{00000000-0005-0000-0000-0000ED370000}"/>
    <cellStyle name="Vírgula 3 2 2 9 3 2" xfId="6255" xr:uid="{00000000-0005-0000-0000-0000EE370000}"/>
    <cellStyle name="Vírgula 3 2 2 9 3 2 2" xfId="23237" xr:uid="{00000000-0005-0000-0000-0000EF370000}"/>
    <cellStyle name="Vírgula 3 2 2 9 3 2 3" xfId="19290" xr:uid="{00000000-0005-0000-0000-0000F0370000}"/>
    <cellStyle name="Vírgula 3 2 2 9 3 3" xfId="20762" xr:uid="{00000000-0005-0000-0000-0000F1370000}"/>
    <cellStyle name="Vírgula 3 2 2 9 3 4" xfId="16738" xr:uid="{00000000-0005-0000-0000-0000F2370000}"/>
    <cellStyle name="Vírgula 3 2 3" xfId="115" xr:uid="{00000000-0005-0000-0000-0000F3370000}"/>
    <cellStyle name="Vírgula 3 2 3 10" xfId="3038" xr:uid="{00000000-0005-0000-0000-0000F4370000}"/>
    <cellStyle name="Vírgula 3 2 3 10 2" xfId="4491" xr:uid="{00000000-0005-0000-0000-0000F5370000}"/>
    <cellStyle name="Vírgula 3 2 3 10 2 2" xfId="21531" xr:uid="{00000000-0005-0000-0000-0000F6370000}"/>
    <cellStyle name="Vírgula 3 2 3 10 2 3" xfId="17526" xr:uid="{00000000-0005-0000-0000-0000F7370000}"/>
    <cellStyle name="Vírgula 3 2 3 10 3" xfId="5207" xr:uid="{00000000-0005-0000-0000-0000F8370000}"/>
    <cellStyle name="Vírgula 3 2 3 10 3 2" xfId="11477" xr:uid="{00000000-0005-0000-0000-0000F9370000}"/>
    <cellStyle name="Vírgula 3 2 3 10 3 2 2" xfId="22206" xr:uid="{00000000-0005-0000-0000-0000FA370000}"/>
    <cellStyle name="Vírgula 3 2 3 10 3 3" xfId="11059" xr:uid="{00000000-0005-0000-0000-0000FB370000}"/>
    <cellStyle name="Vírgula 3 2 3 10 3 4" xfId="18242" xr:uid="{00000000-0005-0000-0000-0000FC370000}"/>
    <cellStyle name="Vírgula 3 2 3 10 4" xfId="13568" xr:uid="{00000000-0005-0000-0000-0000FD370000}"/>
    <cellStyle name="Vírgula 3 2 3 10 4 2" xfId="20106" xr:uid="{00000000-0005-0000-0000-0000FE370000}"/>
    <cellStyle name="Vírgula 3 2 3 10 5" xfId="16082" xr:uid="{00000000-0005-0000-0000-0000FF370000}"/>
    <cellStyle name="Vírgula 3 2 3 11" xfId="3844" xr:uid="{00000000-0005-0000-0000-000000380000}"/>
    <cellStyle name="Vírgula 3 2 3 11 2" xfId="5896" xr:uid="{00000000-0005-0000-0000-000001380000}"/>
    <cellStyle name="Vírgula 3 2 3 11 2 2" xfId="11991" xr:uid="{00000000-0005-0000-0000-000002380000}"/>
    <cellStyle name="Vírgula 3 2 3 11 2 2 2" xfId="22892" xr:uid="{00000000-0005-0000-0000-000003380000}"/>
    <cellStyle name="Vírgula 3 2 3 11 2 3" xfId="10987" xr:uid="{00000000-0005-0000-0000-000004380000}"/>
    <cellStyle name="Vírgula 3 2 3 11 2 4" xfId="18931" xr:uid="{00000000-0005-0000-0000-000005380000}"/>
    <cellStyle name="Vírgula 3 2 3 11 3" xfId="13681" xr:uid="{00000000-0005-0000-0000-000006380000}"/>
    <cellStyle name="Vírgula 3 2 3 11 3 2" xfId="20906" xr:uid="{00000000-0005-0000-0000-000007380000}"/>
    <cellStyle name="Vírgula 3 2 3 11 4" xfId="16886" xr:uid="{00000000-0005-0000-0000-000008380000}"/>
    <cellStyle name="Vírgula 3 2 3 12" xfId="8510" xr:uid="{00000000-0005-0000-0000-000009380000}"/>
    <cellStyle name="Vírgula 3 2 3 13" xfId="8511" xr:uid="{00000000-0005-0000-0000-00000A380000}"/>
    <cellStyle name="Vírgula 3 2 3 2" xfId="729" xr:uid="{00000000-0005-0000-0000-00000B380000}"/>
    <cellStyle name="Vírgula 3 2 3 2 2" xfId="3114" xr:uid="{00000000-0005-0000-0000-00000C380000}"/>
    <cellStyle name="Vírgula 3 2 3 2 2 2" xfId="4529" xr:uid="{00000000-0005-0000-0000-00000D380000}"/>
    <cellStyle name="Vírgula 3 2 3 2 2 2 2" xfId="21569" xr:uid="{00000000-0005-0000-0000-00000E380000}"/>
    <cellStyle name="Vírgula 3 2 3 2 2 2 3" xfId="17564" xr:uid="{00000000-0005-0000-0000-00000F380000}"/>
    <cellStyle name="Vírgula 3 2 3 2 2 3" xfId="5283" xr:uid="{00000000-0005-0000-0000-000010380000}"/>
    <cellStyle name="Vírgula 3 2 3 2 2 3 2" xfId="22282" xr:uid="{00000000-0005-0000-0000-000011380000}"/>
    <cellStyle name="Vírgula 3 2 3 2 2 3 3" xfId="18318" xr:uid="{00000000-0005-0000-0000-000012380000}"/>
    <cellStyle name="Vírgula 3 2 3 2 2 4" xfId="20182" xr:uid="{00000000-0005-0000-0000-000013380000}"/>
    <cellStyle name="Vírgula 3 2 3 2 2 5" xfId="16158" xr:uid="{00000000-0005-0000-0000-000014380000}"/>
    <cellStyle name="Vírgula 3 2 3 2 3" xfId="3769" xr:uid="{00000000-0005-0000-0000-000015380000}"/>
    <cellStyle name="Vírgula 3 2 3 2 3 2" xfId="5999" xr:uid="{00000000-0005-0000-0000-000016380000}"/>
    <cellStyle name="Vírgula 3 2 3 2 3 2 2" xfId="22993" xr:uid="{00000000-0005-0000-0000-000017380000}"/>
    <cellStyle name="Vírgula 3 2 3 2 3 2 3" xfId="19034" xr:uid="{00000000-0005-0000-0000-000018380000}"/>
    <cellStyle name="Vírgula 3 2 3 2 3 3" xfId="20833" xr:uid="{00000000-0005-0000-0000-000019380000}"/>
    <cellStyle name="Vírgula 3 2 3 2 3 4" xfId="16812" xr:uid="{00000000-0005-0000-0000-00001A380000}"/>
    <cellStyle name="Vírgula 3 2 3 3" xfId="2228" xr:uid="{00000000-0005-0000-0000-00001B380000}"/>
    <cellStyle name="Vírgula 3 2 3 3 2" xfId="3357" xr:uid="{00000000-0005-0000-0000-00001C380000}"/>
    <cellStyle name="Vírgula 3 2 3 3 2 2" xfId="4687" xr:uid="{00000000-0005-0000-0000-00001D380000}"/>
    <cellStyle name="Vírgula 3 2 3 3 2 2 2" xfId="21727" xr:uid="{00000000-0005-0000-0000-00001E380000}"/>
    <cellStyle name="Vírgula 3 2 3 3 2 2 3" xfId="17722" xr:uid="{00000000-0005-0000-0000-00001F380000}"/>
    <cellStyle name="Vírgula 3 2 3 3 2 3" xfId="5526" xr:uid="{00000000-0005-0000-0000-000020380000}"/>
    <cellStyle name="Vírgula 3 2 3 3 2 3 2" xfId="22525" xr:uid="{00000000-0005-0000-0000-000021380000}"/>
    <cellStyle name="Vírgula 3 2 3 3 2 3 3" xfId="18561" xr:uid="{00000000-0005-0000-0000-000022380000}"/>
    <cellStyle name="Vírgula 3 2 3 3 2 4" xfId="20425" xr:uid="{00000000-0005-0000-0000-000023380000}"/>
    <cellStyle name="Vírgula 3 2 3 3 2 5" xfId="16401" xr:uid="{00000000-0005-0000-0000-000024380000}"/>
    <cellStyle name="Vírgula 3 2 3 3 3" xfId="4397" xr:uid="{00000000-0005-0000-0000-000025380000}"/>
    <cellStyle name="Vírgula 3 2 3 3 3 2" xfId="6256" xr:uid="{00000000-0005-0000-0000-000026380000}"/>
    <cellStyle name="Vírgula 3 2 3 3 3 2 2" xfId="23238" xr:uid="{00000000-0005-0000-0000-000027380000}"/>
    <cellStyle name="Vírgula 3 2 3 3 3 2 3" xfId="19291" xr:uid="{00000000-0005-0000-0000-000028380000}"/>
    <cellStyle name="Vírgula 3 2 3 3 3 3" xfId="21441" xr:uid="{00000000-0005-0000-0000-000029380000}"/>
    <cellStyle name="Vírgula 3 2 3 3 3 4" xfId="17434" xr:uid="{00000000-0005-0000-0000-00002A380000}"/>
    <cellStyle name="Vírgula 3 2 3 4" xfId="2229" xr:uid="{00000000-0005-0000-0000-00002B380000}"/>
    <cellStyle name="Vírgula 3 2 3 4 2" xfId="3358" xr:uid="{00000000-0005-0000-0000-00002C380000}"/>
    <cellStyle name="Vírgula 3 2 3 4 2 2" xfId="4688" xr:uid="{00000000-0005-0000-0000-00002D380000}"/>
    <cellStyle name="Vírgula 3 2 3 4 2 2 2" xfId="21728" xr:uid="{00000000-0005-0000-0000-00002E380000}"/>
    <cellStyle name="Vírgula 3 2 3 4 2 2 3" xfId="17723" xr:uid="{00000000-0005-0000-0000-00002F380000}"/>
    <cellStyle name="Vírgula 3 2 3 4 2 3" xfId="5527" xr:uid="{00000000-0005-0000-0000-000030380000}"/>
    <cellStyle name="Vírgula 3 2 3 4 2 3 2" xfId="22526" xr:uid="{00000000-0005-0000-0000-000031380000}"/>
    <cellStyle name="Vírgula 3 2 3 4 2 3 3" xfId="18562" xr:uid="{00000000-0005-0000-0000-000032380000}"/>
    <cellStyle name="Vírgula 3 2 3 4 2 4" xfId="20426" xr:uid="{00000000-0005-0000-0000-000033380000}"/>
    <cellStyle name="Vírgula 3 2 3 4 2 5" xfId="16402" xr:uid="{00000000-0005-0000-0000-000034380000}"/>
    <cellStyle name="Vírgula 3 2 3 4 3" xfId="4487" xr:uid="{00000000-0005-0000-0000-000035380000}"/>
    <cellStyle name="Vírgula 3 2 3 4 3 2" xfId="6257" xr:uid="{00000000-0005-0000-0000-000036380000}"/>
    <cellStyle name="Vírgula 3 2 3 4 3 2 2" xfId="23239" xr:uid="{00000000-0005-0000-0000-000037380000}"/>
    <cellStyle name="Vírgula 3 2 3 4 3 2 3" xfId="19292" xr:uid="{00000000-0005-0000-0000-000038380000}"/>
    <cellStyle name="Vírgula 3 2 3 4 3 3" xfId="21527" xr:uid="{00000000-0005-0000-0000-000039380000}"/>
    <cellStyle name="Vírgula 3 2 3 4 3 4" xfId="17522" xr:uid="{00000000-0005-0000-0000-00003A380000}"/>
    <cellStyle name="Vírgula 3 2 3 5" xfId="2230" xr:uid="{00000000-0005-0000-0000-00003B380000}"/>
    <cellStyle name="Vírgula 3 2 3 5 2" xfId="3359" xr:uid="{00000000-0005-0000-0000-00003C380000}"/>
    <cellStyle name="Vírgula 3 2 3 5 2 2" xfId="4689" xr:uid="{00000000-0005-0000-0000-00003D380000}"/>
    <cellStyle name="Vírgula 3 2 3 5 2 2 2" xfId="21729" xr:uid="{00000000-0005-0000-0000-00003E380000}"/>
    <cellStyle name="Vírgula 3 2 3 5 2 2 3" xfId="17724" xr:uid="{00000000-0005-0000-0000-00003F380000}"/>
    <cellStyle name="Vírgula 3 2 3 5 2 3" xfId="5528" xr:uid="{00000000-0005-0000-0000-000040380000}"/>
    <cellStyle name="Vírgula 3 2 3 5 2 3 2" xfId="22527" xr:uid="{00000000-0005-0000-0000-000041380000}"/>
    <cellStyle name="Vírgula 3 2 3 5 2 3 3" xfId="18563" xr:uid="{00000000-0005-0000-0000-000042380000}"/>
    <cellStyle name="Vírgula 3 2 3 5 2 4" xfId="20427" xr:uid="{00000000-0005-0000-0000-000043380000}"/>
    <cellStyle name="Vírgula 3 2 3 5 2 5" xfId="16403" xr:uid="{00000000-0005-0000-0000-000044380000}"/>
    <cellStyle name="Vírgula 3 2 3 5 3" xfId="4097" xr:uid="{00000000-0005-0000-0000-000045380000}"/>
    <cellStyle name="Vírgula 3 2 3 5 3 2" xfId="6258" xr:uid="{00000000-0005-0000-0000-000046380000}"/>
    <cellStyle name="Vírgula 3 2 3 5 3 2 2" xfId="23240" xr:uid="{00000000-0005-0000-0000-000047380000}"/>
    <cellStyle name="Vírgula 3 2 3 5 3 2 3" xfId="19293" xr:uid="{00000000-0005-0000-0000-000048380000}"/>
    <cellStyle name="Vírgula 3 2 3 5 3 3" xfId="21145" xr:uid="{00000000-0005-0000-0000-000049380000}"/>
    <cellStyle name="Vírgula 3 2 3 5 3 4" xfId="17137" xr:uid="{00000000-0005-0000-0000-00004A380000}"/>
    <cellStyle name="Vírgula 3 2 3 6" xfId="2231" xr:uid="{00000000-0005-0000-0000-00004B380000}"/>
    <cellStyle name="Vírgula 3 2 3 6 2" xfId="3360" xr:uid="{00000000-0005-0000-0000-00004C380000}"/>
    <cellStyle name="Vírgula 3 2 3 6 2 2" xfId="4690" xr:uid="{00000000-0005-0000-0000-00004D380000}"/>
    <cellStyle name="Vírgula 3 2 3 6 2 2 2" xfId="21730" xr:uid="{00000000-0005-0000-0000-00004E380000}"/>
    <cellStyle name="Vírgula 3 2 3 6 2 2 3" xfId="17725" xr:uid="{00000000-0005-0000-0000-00004F380000}"/>
    <cellStyle name="Vírgula 3 2 3 6 2 3" xfId="5529" xr:uid="{00000000-0005-0000-0000-000050380000}"/>
    <cellStyle name="Vírgula 3 2 3 6 2 3 2" xfId="22528" xr:uid="{00000000-0005-0000-0000-000051380000}"/>
    <cellStyle name="Vírgula 3 2 3 6 2 3 3" xfId="18564" xr:uid="{00000000-0005-0000-0000-000052380000}"/>
    <cellStyle name="Vírgula 3 2 3 6 2 4" xfId="20428" xr:uid="{00000000-0005-0000-0000-000053380000}"/>
    <cellStyle name="Vírgula 3 2 3 6 2 5" xfId="16404" xr:uid="{00000000-0005-0000-0000-000054380000}"/>
    <cellStyle name="Vírgula 3 2 3 6 3" xfId="4110" xr:uid="{00000000-0005-0000-0000-000055380000}"/>
    <cellStyle name="Vírgula 3 2 3 6 3 2" xfId="6259" xr:uid="{00000000-0005-0000-0000-000056380000}"/>
    <cellStyle name="Vírgula 3 2 3 6 3 2 2" xfId="23241" xr:uid="{00000000-0005-0000-0000-000057380000}"/>
    <cellStyle name="Vírgula 3 2 3 6 3 2 3" xfId="19294" xr:uid="{00000000-0005-0000-0000-000058380000}"/>
    <cellStyle name="Vírgula 3 2 3 6 3 3" xfId="21158" xr:uid="{00000000-0005-0000-0000-000059380000}"/>
    <cellStyle name="Vírgula 3 2 3 6 3 4" xfId="17150" xr:uid="{00000000-0005-0000-0000-00005A380000}"/>
    <cellStyle name="Vírgula 3 2 3 7" xfId="2232" xr:uid="{00000000-0005-0000-0000-00005B380000}"/>
    <cellStyle name="Vírgula 3 2 3 7 2" xfId="3361" xr:uid="{00000000-0005-0000-0000-00005C380000}"/>
    <cellStyle name="Vírgula 3 2 3 7 2 2" xfId="4691" xr:uid="{00000000-0005-0000-0000-00005D380000}"/>
    <cellStyle name="Vírgula 3 2 3 7 2 2 2" xfId="21731" xr:uid="{00000000-0005-0000-0000-00005E380000}"/>
    <cellStyle name="Vírgula 3 2 3 7 2 2 3" xfId="17726" xr:uid="{00000000-0005-0000-0000-00005F380000}"/>
    <cellStyle name="Vírgula 3 2 3 7 2 3" xfId="5530" xr:uid="{00000000-0005-0000-0000-000060380000}"/>
    <cellStyle name="Vírgula 3 2 3 7 2 3 2" xfId="22529" xr:uid="{00000000-0005-0000-0000-000061380000}"/>
    <cellStyle name="Vírgula 3 2 3 7 2 3 3" xfId="18565" xr:uid="{00000000-0005-0000-0000-000062380000}"/>
    <cellStyle name="Vírgula 3 2 3 7 2 4" xfId="20429" xr:uid="{00000000-0005-0000-0000-000063380000}"/>
    <cellStyle name="Vírgula 3 2 3 7 2 5" xfId="16405" xr:uid="{00000000-0005-0000-0000-000064380000}"/>
    <cellStyle name="Vírgula 3 2 3 7 3" xfId="4435" xr:uid="{00000000-0005-0000-0000-000065380000}"/>
    <cellStyle name="Vírgula 3 2 3 7 3 2" xfId="6260" xr:uid="{00000000-0005-0000-0000-000066380000}"/>
    <cellStyle name="Vírgula 3 2 3 7 3 2 2" xfId="23242" xr:uid="{00000000-0005-0000-0000-000067380000}"/>
    <cellStyle name="Vírgula 3 2 3 7 3 2 3" xfId="19295" xr:uid="{00000000-0005-0000-0000-000068380000}"/>
    <cellStyle name="Vírgula 3 2 3 7 3 3" xfId="21476" xr:uid="{00000000-0005-0000-0000-000069380000}"/>
    <cellStyle name="Vírgula 3 2 3 7 3 4" xfId="17471" xr:uid="{00000000-0005-0000-0000-00006A380000}"/>
    <cellStyle name="Vírgula 3 2 3 8" xfId="2233" xr:uid="{00000000-0005-0000-0000-00006B380000}"/>
    <cellStyle name="Vírgula 3 2 3 8 2" xfId="3362" xr:uid="{00000000-0005-0000-0000-00006C380000}"/>
    <cellStyle name="Vírgula 3 2 3 8 2 2" xfId="4692" xr:uid="{00000000-0005-0000-0000-00006D380000}"/>
    <cellStyle name="Vírgula 3 2 3 8 2 2 2" xfId="21732" xr:uid="{00000000-0005-0000-0000-00006E380000}"/>
    <cellStyle name="Vírgula 3 2 3 8 2 2 3" xfId="17727" xr:uid="{00000000-0005-0000-0000-00006F380000}"/>
    <cellStyle name="Vírgula 3 2 3 8 2 3" xfId="5531" xr:uid="{00000000-0005-0000-0000-000070380000}"/>
    <cellStyle name="Vírgula 3 2 3 8 2 3 2" xfId="22530" xr:uid="{00000000-0005-0000-0000-000071380000}"/>
    <cellStyle name="Vírgula 3 2 3 8 2 3 3" xfId="18566" xr:uid="{00000000-0005-0000-0000-000072380000}"/>
    <cellStyle name="Vírgula 3 2 3 8 2 4" xfId="20430" xr:uid="{00000000-0005-0000-0000-000073380000}"/>
    <cellStyle name="Vírgula 3 2 3 8 2 5" xfId="16406" xr:uid="{00000000-0005-0000-0000-000074380000}"/>
    <cellStyle name="Vírgula 3 2 3 8 3" xfId="4348" xr:uid="{00000000-0005-0000-0000-000075380000}"/>
    <cellStyle name="Vírgula 3 2 3 8 3 2" xfId="6261" xr:uid="{00000000-0005-0000-0000-000076380000}"/>
    <cellStyle name="Vírgula 3 2 3 8 3 2 2" xfId="23243" xr:uid="{00000000-0005-0000-0000-000077380000}"/>
    <cellStyle name="Vírgula 3 2 3 8 3 2 3" xfId="19296" xr:uid="{00000000-0005-0000-0000-000078380000}"/>
    <cellStyle name="Vírgula 3 2 3 8 3 3" xfId="21392" xr:uid="{00000000-0005-0000-0000-000079380000}"/>
    <cellStyle name="Vírgula 3 2 3 8 3 4" xfId="17385" xr:uid="{00000000-0005-0000-0000-00007A380000}"/>
    <cellStyle name="Vírgula 3 2 3 9" xfId="2234" xr:uid="{00000000-0005-0000-0000-00007B380000}"/>
    <cellStyle name="Vírgula 3 2 3 9 2" xfId="3363" xr:uid="{00000000-0005-0000-0000-00007C380000}"/>
    <cellStyle name="Vírgula 3 2 3 9 2 2" xfId="4693" xr:uid="{00000000-0005-0000-0000-00007D380000}"/>
    <cellStyle name="Vírgula 3 2 3 9 2 2 2" xfId="21733" xr:uid="{00000000-0005-0000-0000-00007E380000}"/>
    <cellStyle name="Vírgula 3 2 3 9 2 2 3" xfId="17728" xr:uid="{00000000-0005-0000-0000-00007F380000}"/>
    <cellStyle name="Vírgula 3 2 3 9 2 3" xfId="5532" xr:uid="{00000000-0005-0000-0000-000080380000}"/>
    <cellStyle name="Vírgula 3 2 3 9 2 3 2" xfId="22531" xr:uid="{00000000-0005-0000-0000-000081380000}"/>
    <cellStyle name="Vírgula 3 2 3 9 2 3 3" xfId="18567" xr:uid="{00000000-0005-0000-0000-000082380000}"/>
    <cellStyle name="Vírgula 3 2 3 9 2 4" xfId="20431" xr:uid="{00000000-0005-0000-0000-000083380000}"/>
    <cellStyle name="Vírgula 3 2 3 9 2 5" xfId="16407" xr:uid="{00000000-0005-0000-0000-000084380000}"/>
    <cellStyle name="Vírgula 3 2 3 9 3" xfId="4120" xr:uid="{00000000-0005-0000-0000-000085380000}"/>
    <cellStyle name="Vírgula 3 2 3 9 3 2" xfId="6262" xr:uid="{00000000-0005-0000-0000-000086380000}"/>
    <cellStyle name="Vírgula 3 2 3 9 3 2 2" xfId="23244" xr:uid="{00000000-0005-0000-0000-000087380000}"/>
    <cellStyle name="Vírgula 3 2 3 9 3 2 3" xfId="19297" xr:uid="{00000000-0005-0000-0000-000088380000}"/>
    <cellStyle name="Vírgula 3 2 3 9 3 3" xfId="21168" xr:uid="{00000000-0005-0000-0000-000089380000}"/>
    <cellStyle name="Vírgula 3 2 3 9 3 4" xfId="17160" xr:uid="{00000000-0005-0000-0000-00008A380000}"/>
    <cellStyle name="Vírgula 3 2 4" xfId="670" xr:uid="{00000000-0005-0000-0000-00008B380000}"/>
    <cellStyle name="Vírgula 3 2 4 2" xfId="3104" xr:uid="{00000000-0005-0000-0000-00008C380000}"/>
    <cellStyle name="Vírgula 3 2 4 2 2" xfId="4519" xr:uid="{00000000-0005-0000-0000-00008D380000}"/>
    <cellStyle name="Vírgula 3 2 4 2 2 2" xfId="21559" xr:uid="{00000000-0005-0000-0000-00008E380000}"/>
    <cellStyle name="Vírgula 3 2 4 2 2 3" xfId="17554" xr:uid="{00000000-0005-0000-0000-00008F380000}"/>
    <cellStyle name="Vírgula 3 2 4 2 3" xfId="5273" xr:uid="{00000000-0005-0000-0000-000090380000}"/>
    <cellStyle name="Vírgula 3 2 4 2 3 2" xfId="22272" xr:uid="{00000000-0005-0000-0000-000091380000}"/>
    <cellStyle name="Vírgula 3 2 4 2 3 3" xfId="18308" xr:uid="{00000000-0005-0000-0000-000092380000}"/>
    <cellStyle name="Vírgula 3 2 4 2 4" xfId="20172" xr:uid="{00000000-0005-0000-0000-000093380000}"/>
    <cellStyle name="Vírgula 3 2 4 2 5" xfId="16148" xr:uid="{00000000-0005-0000-0000-000094380000}"/>
    <cellStyle name="Vírgula 3 2 4 3" xfId="3690" xr:uid="{00000000-0005-0000-0000-000095380000}"/>
    <cellStyle name="Vírgula 3 2 4 3 2" xfId="5988" xr:uid="{00000000-0005-0000-0000-000096380000}"/>
    <cellStyle name="Vírgula 3 2 4 3 2 2" xfId="22982" xr:uid="{00000000-0005-0000-0000-000097380000}"/>
    <cellStyle name="Vírgula 3 2 4 3 2 3" xfId="19023" xr:uid="{00000000-0005-0000-0000-000098380000}"/>
    <cellStyle name="Vírgula 3 2 4 3 3" xfId="20758" xr:uid="{00000000-0005-0000-0000-000099380000}"/>
    <cellStyle name="Vírgula 3 2 4 3 4" xfId="16734" xr:uid="{00000000-0005-0000-0000-00009A380000}"/>
    <cellStyle name="Vírgula 3 2 5" xfId="2235" xr:uid="{00000000-0005-0000-0000-00009B380000}"/>
    <cellStyle name="Vírgula 3 2 5 2" xfId="3364" xr:uid="{00000000-0005-0000-0000-00009C380000}"/>
    <cellStyle name="Vírgula 3 2 5 2 2" xfId="4694" xr:uid="{00000000-0005-0000-0000-00009D380000}"/>
    <cellStyle name="Vírgula 3 2 5 2 2 2" xfId="21734" xr:uid="{00000000-0005-0000-0000-00009E380000}"/>
    <cellStyle name="Vírgula 3 2 5 2 2 3" xfId="17729" xr:uid="{00000000-0005-0000-0000-00009F380000}"/>
    <cellStyle name="Vírgula 3 2 5 2 3" xfId="5533" xr:uid="{00000000-0005-0000-0000-0000A0380000}"/>
    <cellStyle name="Vírgula 3 2 5 2 3 2" xfId="22532" xr:uid="{00000000-0005-0000-0000-0000A1380000}"/>
    <cellStyle name="Vírgula 3 2 5 2 3 3" xfId="18568" xr:uid="{00000000-0005-0000-0000-0000A2380000}"/>
    <cellStyle name="Vírgula 3 2 5 2 4" xfId="20432" xr:uid="{00000000-0005-0000-0000-0000A3380000}"/>
    <cellStyle name="Vírgula 3 2 5 2 5" xfId="16408" xr:uid="{00000000-0005-0000-0000-0000A4380000}"/>
    <cellStyle name="Vírgula 3 2 5 3" xfId="4096" xr:uid="{00000000-0005-0000-0000-0000A5380000}"/>
    <cellStyle name="Vírgula 3 2 5 3 2" xfId="6263" xr:uid="{00000000-0005-0000-0000-0000A6380000}"/>
    <cellStyle name="Vírgula 3 2 5 3 2 2" xfId="23245" xr:uid="{00000000-0005-0000-0000-0000A7380000}"/>
    <cellStyle name="Vírgula 3 2 5 3 2 3" xfId="19298" xr:uid="{00000000-0005-0000-0000-0000A8380000}"/>
    <cellStyle name="Vírgula 3 2 5 3 3" xfId="21144" xr:uid="{00000000-0005-0000-0000-0000A9380000}"/>
    <cellStyle name="Vírgula 3 2 5 3 4" xfId="17136" xr:uid="{00000000-0005-0000-0000-0000AA380000}"/>
    <cellStyle name="Vírgula 3 2 6" xfId="2236" xr:uid="{00000000-0005-0000-0000-0000AB380000}"/>
    <cellStyle name="Vírgula 3 2 6 2" xfId="3365" xr:uid="{00000000-0005-0000-0000-0000AC380000}"/>
    <cellStyle name="Vírgula 3 2 6 2 2" xfId="4695" xr:uid="{00000000-0005-0000-0000-0000AD380000}"/>
    <cellStyle name="Vírgula 3 2 6 2 2 2" xfId="21735" xr:uid="{00000000-0005-0000-0000-0000AE380000}"/>
    <cellStyle name="Vírgula 3 2 6 2 2 3" xfId="17730" xr:uid="{00000000-0005-0000-0000-0000AF380000}"/>
    <cellStyle name="Vírgula 3 2 6 2 3" xfId="5534" xr:uid="{00000000-0005-0000-0000-0000B0380000}"/>
    <cellStyle name="Vírgula 3 2 6 2 3 2" xfId="22533" xr:uid="{00000000-0005-0000-0000-0000B1380000}"/>
    <cellStyle name="Vírgula 3 2 6 2 3 3" xfId="18569" xr:uid="{00000000-0005-0000-0000-0000B2380000}"/>
    <cellStyle name="Vírgula 3 2 6 2 4" xfId="20433" xr:uid="{00000000-0005-0000-0000-0000B3380000}"/>
    <cellStyle name="Vírgula 3 2 6 2 5" xfId="16409" xr:uid="{00000000-0005-0000-0000-0000B4380000}"/>
    <cellStyle name="Vírgula 3 2 6 3" xfId="4464" xr:uid="{00000000-0005-0000-0000-0000B5380000}"/>
    <cellStyle name="Vírgula 3 2 6 3 2" xfId="6264" xr:uid="{00000000-0005-0000-0000-0000B6380000}"/>
    <cellStyle name="Vírgula 3 2 6 3 2 2" xfId="23246" xr:uid="{00000000-0005-0000-0000-0000B7380000}"/>
    <cellStyle name="Vírgula 3 2 6 3 2 3" xfId="19299" xr:uid="{00000000-0005-0000-0000-0000B8380000}"/>
    <cellStyle name="Vírgula 3 2 6 3 3" xfId="21504" xr:uid="{00000000-0005-0000-0000-0000B9380000}"/>
    <cellStyle name="Vírgula 3 2 6 3 4" xfId="17499" xr:uid="{00000000-0005-0000-0000-0000BA380000}"/>
    <cellStyle name="Vírgula 3 2 7" xfId="2237" xr:uid="{00000000-0005-0000-0000-0000BB380000}"/>
    <cellStyle name="Vírgula 3 2 7 2" xfId="3366" xr:uid="{00000000-0005-0000-0000-0000BC380000}"/>
    <cellStyle name="Vírgula 3 2 7 2 2" xfId="4696" xr:uid="{00000000-0005-0000-0000-0000BD380000}"/>
    <cellStyle name="Vírgula 3 2 7 2 2 2" xfId="21736" xr:uid="{00000000-0005-0000-0000-0000BE380000}"/>
    <cellStyle name="Vírgula 3 2 7 2 2 3" xfId="17731" xr:uid="{00000000-0005-0000-0000-0000BF380000}"/>
    <cellStyle name="Vírgula 3 2 7 2 3" xfId="5535" xr:uid="{00000000-0005-0000-0000-0000C0380000}"/>
    <cellStyle name="Vírgula 3 2 7 2 3 2" xfId="22534" xr:uid="{00000000-0005-0000-0000-0000C1380000}"/>
    <cellStyle name="Vírgula 3 2 7 2 3 3" xfId="18570" xr:uid="{00000000-0005-0000-0000-0000C2380000}"/>
    <cellStyle name="Vírgula 3 2 7 2 4" xfId="20434" xr:uid="{00000000-0005-0000-0000-0000C3380000}"/>
    <cellStyle name="Vírgula 3 2 7 2 5" xfId="16410" xr:uid="{00000000-0005-0000-0000-0000C4380000}"/>
    <cellStyle name="Vírgula 3 2 7 3" xfId="3878" xr:uid="{00000000-0005-0000-0000-0000C5380000}"/>
    <cellStyle name="Vírgula 3 2 7 3 2" xfId="6265" xr:uid="{00000000-0005-0000-0000-0000C6380000}"/>
    <cellStyle name="Vírgula 3 2 7 3 2 2" xfId="23247" xr:uid="{00000000-0005-0000-0000-0000C7380000}"/>
    <cellStyle name="Vírgula 3 2 7 3 2 3" xfId="19300" xr:uid="{00000000-0005-0000-0000-0000C8380000}"/>
    <cellStyle name="Vírgula 3 2 7 3 3" xfId="20939" xr:uid="{00000000-0005-0000-0000-0000C9380000}"/>
    <cellStyle name="Vírgula 3 2 7 3 4" xfId="16920" xr:uid="{00000000-0005-0000-0000-0000CA380000}"/>
    <cellStyle name="Vírgula 3 2 8" xfId="2238" xr:uid="{00000000-0005-0000-0000-0000CB380000}"/>
    <cellStyle name="Vírgula 3 2 8 2" xfId="3367" xr:uid="{00000000-0005-0000-0000-0000CC380000}"/>
    <cellStyle name="Vírgula 3 2 8 2 2" xfId="4697" xr:uid="{00000000-0005-0000-0000-0000CD380000}"/>
    <cellStyle name="Vírgula 3 2 8 2 2 2" xfId="21737" xr:uid="{00000000-0005-0000-0000-0000CE380000}"/>
    <cellStyle name="Vírgula 3 2 8 2 2 3" xfId="17732" xr:uid="{00000000-0005-0000-0000-0000CF380000}"/>
    <cellStyle name="Vírgula 3 2 8 2 3" xfId="5536" xr:uid="{00000000-0005-0000-0000-0000D0380000}"/>
    <cellStyle name="Vírgula 3 2 8 2 3 2" xfId="22535" xr:uid="{00000000-0005-0000-0000-0000D1380000}"/>
    <cellStyle name="Vírgula 3 2 8 2 3 3" xfId="18571" xr:uid="{00000000-0005-0000-0000-0000D2380000}"/>
    <cellStyle name="Vírgula 3 2 8 2 4" xfId="20435" xr:uid="{00000000-0005-0000-0000-0000D3380000}"/>
    <cellStyle name="Vírgula 3 2 8 2 5" xfId="16411" xr:uid="{00000000-0005-0000-0000-0000D4380000}"/>
    <cellStyle name="Vírgula 3 2 8 3" xfId="4034" xr:uid="{00000000-0005-0000-0000-0000D5380000}"/>
    <cellStyle name="Vírgula 3 2 8 3 2" xfId="6266" xr:uid="{00000000-0005-0000-0000-0000D6380000}"/>
    <cellStyle name="Vírgula 3 2 8 3 2 2" xfId="23248" xr:uid="{00000000-0005-0000-0000-0000D7380000}"/>
    <cellStyle name="Vírgula 3 2 8 3 2 3" xfId="19301" xr:uid="{00000000-0005-0000-0000-0000D8380000}"/>
    <cellStyle name="Vírgula 3 2 8 3 3" xfId="21083" xr:uid="{00000000-0005-0000-0000-0000D9380000}"/>
    <cellStyle name="Vírgula 3 2 8 3 4" xfId="17075" xr:uid="{00000000-0005-0000-0000-0000DA380000}"/>
    <cellStyle name="Vírgula 3 2 9" xfId="2239" xr:uid="{00000000-0005-0000-0000-0000DB380000}"/>
    <cellStyle name="Vírgula 3 2 9 2" xfId="3368" xr:uid="{00000000-0005-0000-0000-0000DC380000}"/>
    <cellStyle name="Vírgula 3 2 9 2 2" xfId="4698" xr:uid="{00000000-0005-0000-0000-0000DD380000}"/>
    <cellStyle name="Vírgula 3 2 9 2 2 2" xfId="21738" xr:uid="{00000000-0005-0000-0000-0000DE380000}"/>
    <cellStyle name="Vírgula 3 2 9 2 2 3" xfId="17733" xr:uid="{00000000-0005-0000-0000-0000DF380000}"/>
    <cellStyle name="Vírgula 3 2 9 2 3" xfId="5537" xr:uid="{00000000-0005-0000-0000-0000E0380000}"/>
    <cellStyle name="Vírgula 3 2 9 2 3 2" xfId="22536" xr:uid="{00000000-0005-0000-0000-0000E1380000}"/>
    <cellStyle name="Vírgula 3 2 9 2 3 3" xfId="18572" xr:uid="{00000000-0005-0000-0000-0000E2380000}"/>
    <cellStyle name="Vírgula 3 2 9 2 4" xfId="20436" xr:uid="{00000000-0005-0000-0000-0000E3380000}"/>
    <cellStyle name="Vírgula 3 2 9 2 5" xfId="16412" xr:uid="{00000000-0005-0000-0000-0000E4380000}"/>
    <cellStyle name="Vírgula 3 2 9 3" xfId="4445" xr:uid="{00000000-0005-0000-0000-0000E5380000}"/>
    <cellStyle name="Vírgula 3 2 9 3 2" xfId="6267" xr:uid="{00000000-0005-0000-0000-0000E6380000}"/>
    <cellStyle name="Vírgula 3 2 9 3 2 2" xfId="23249" xr:uid="{00000000-0005-0000-0000-0000E7380000}"/>
    <cellStyle name="Vírgula 3 2 9 3 2 3" xfId="19302" xr:uid="{00000000-0005-0000-0000-0000E8380000}"/>
    <cellStyle name="Vírgula 3 2 9 3 3" xfId="21486" xr:uid="{00000000-0005-0000-0000-0000E9380000}"/>
    <cellStyle name="Vírgula 3 2 9 3 4" xfId="17481" xr:uid="{00000000-0005-0000-0000-0000EA380000}"/>
    <cellStyle name="Vírgula 3 3" xfId="57" xr:uid="{00000000-0005-0000-0000-0000EB380000}"/>
    <cellStyle name="Vírgula 3 3 10" xfId="3030" xr:uid="{00000000-0005-0000-0000-0000EC380000}"/>
    <cellStyle name="Vírgula 3 3 10 2" xfId="3987" xr:uid="{00000000-0005-0000-0000-0000ED380000}"/>
    <cellStyle name="Vírgula 3 3 10 2 2" xfId="5880" xr:uid="{00000000-0005-0000-0000-0000EE380000}"/>
    <cellStyle name="Vírgula 3 3 10 2 2 2" xfId="22876" xr:uid="{00000000-0005-0000-0000-0000EF380000}"/>
    <cellStyle name="Vírgula 3 3 10 2 2 3" xfId="18915" xr:uid="{00000000-0005-0000-0000-0000F0380000}"/>
    <cellStyle name="Vírgula 3 3 10 2 3" xfId="21043" xr:uid="{00000000-0005-0000-0000-0000F1380000}"/>
    <cellStyle name="Vírgula 3 3 10 2 4" xfId="17029" xr:uid="{00000000-0005-0000-0000-0000F2380000}"/>
    <cellStyle name="Vírgula 3 3 10 3" xfId="5199" xr:uid="{00000000-0005-0000-0000-0000F3380000}"/>
    <cellStyle name="Vírgula 3 3 10 3 2" xfId="12329" xr:uid="{00000000-0005-0000-0000-0000F4380000}"/>
    <cellStyle name="Vírgula 3 3 10 3 2 2" xfId="22198" xr:uid="{00000000-0005-0000-0000-0000F5380000}"/>
    <cellStyle name="Vírgula 3 3 10 3 3" xfId="11351" xr:uid="{00000000-0005-0000-0000-0000F6380000}"/>
    <cellStyle name="Vírgula 3 3 10 3 4" xfId="18234" xr:uid="{00000000-0005-0000-0000-0000F7380000}"/>
    <cellStyle name="Vírgula 3 3 10 4" xfId="13561" xr:uid="{00000000-0005-0000-0000-0000F8380000}"/>
    <cellStyle name="Vírgula 3 3 10 4 2" xfId="20098" xr:uid="{00000000-0005-0000-0000-0000F9380000}"/>
    <cellStyle name="Vírgula 3 3 10 5" xfId="16074" xr:uid="{00000000-0005-0000-0000-0000FA380000}"/>
    <cellStyle name="Vírgula 3 3 11" xfId="8512" xr:uid="{00000000-0005-0000-0000-0000FB380000}"/>
    <cellStyle name="Vírgula 3 3 11 2" xfId="11379" xr:uid="{00000000-0005-0000-0000-0000FC380000}"/>
    <cellStyle name="Vírgula 3 3 11 3" xfId="11600" xr:uid="{00000000-0005-0000-0000-0000FD380000}"/>
    <cellStyle name="Vírgula 3 3 12" xfId="8513" xr:uid="{00000000-0005-0000-0000-0000FE380000}"/>
    <cellStyle name="Vírgula 3 3 13" xfId="8514" xr:uid="{00000000-0005-0000-0000-0000FF380000}"/>
    <cellStyle name="Vírgula 3 3 2" xfId="696" xr:uid="{00000000-0005-0000-0000-000000390000}"/>
    <cellStyle name="Vírgula 3 3 2 2" xfId="3110" xr:uid="{00000000-0005-0000-0000-000001390000}"/>
    <cellStyle name="Vírgula 3 3 2 2 2" xfId="4525" xr:uid="{00000000-0005-0000-0000-000002390000}"/>
    <cellStyle name="Vírgula 3 3 2 2 2 2" xfId="21565" xr:uid="{00000000-0005-0000-0000-000003390000}"/>
    <cellStyle name="Vírgula 3 3 2 2 2 3" xfId="17560" xr:uid="{00000000-0005-0000-0000-000004390000}"/>
    <cellStyle name="Vírgula 3 3 2 2 3" xfId="5279" xr:uid="{00000000-0005-0000-0000-000005390000}"/>
    <cellStyle name="Vírgula 3 3 2 2 3 2" xfId="11166" xr:uid="{00000000-0005-0000-0000-000006390000}"/>
    <cellStyle name="Vírgula 3 3 2 2 3 2 2" xfId="22278" xr:uid="{00000000-0005-0000-0000-000007390000}"/>
    <cellStyle name="Vírgula 3 3 2 2 3 3" xfId="11303" xr:uid="{00000000-0005-0000-0000-000008390000}"/>
    <cellStyle name="Vírgula 3 3 2 2 3 4" xfId="18314" xr:uid="{00000000-0005-0000-0000-000009390000}"/>
    <cellStyle name="Vírgula 3 3 2 2 4" xfId="13598" xr:uid="{00000000-0005-0000-0000-00000A390000}"/>
    <cellStyle name="Vírgula 3 3 2 2 4 2" xfId="20178" xr:uid="{00000000-0005-0000-0000-00000B390000}"/>
    <cellStyle name="Vírgula 3 3 2 2 5" xfId="16154" xr:uid="{00000000-0005-0000-0000-00000C390000}"/>
    <cellStyle name="Vírgula 3 3 2 3" xfId="4476" xr:uid="{00000000-0005-0000-0000-00000D390000}"/>
    <cellStyle name="Vírgula 3 3 2 3 2" xfId="5995" xr:uid="{00000000-0005-0000-0000-00000E390000}"/>
    <cellStyle name="Vírgula 3 3 2 3 2 2" xfId="22989" xr:uid="{00000000-0005-0000-0000-00000F390000}"/>
    <cellStyle name="Vírgula 3 3 2 3 2 3" xfId="19030" xr:uid="{00000000-0005-0000-0000-000010390000}"/>
    <cellStyle name="Vírgula 3 3 2 3 3" xfId="21516" xr:uid="{00000000-0005-0000-0000-000011390000}"/>
    <cellStyle name="Vírgula 3 3 2 3 4" xfId="17511" xr:uid="{00000000-0005-0000-0000-000012390000}"/>
    <cellStyle name="Vírgula 3 3 2 4" xfId="8515" xr:uid="{00000000-0005-0000-0000-000013390000}"/>
    <cellStyle name="Vírgula 3 3 3" xfId="2240" xr:uid="{00000000-0005-0000-0000-000014390000}"/>
    <cellStyle name="Vírgula 3 3 3 2" xfId="3011" xr:uid="{00000000-0005-0000-0000-000015390000}"/>
    <cellStyle name="Vírgula 3 3 3 2 2" xfId="3686" xr:uid="{00000000-0005-0000-0000-000016390000}"/>
    <cellStyle name="Vírgula 3 3 3 2 2 2" xfId="4964" xr:uid="{00000000-0005-0000-0000-000017390000}"/>
    <cellStyle name="Vírgula 3 3 3 2 2 2 2" xfId="22004" xr:uid="{00000000-0005-0000-0000-000018390000}"/>
    <cellStyle name="Vírgula 3 3 3 2 2 2 3" xfId="17999" xr:uid="{00000000-0005-0000-0000-000019390000}"/>
    <cellStyle name="Vírgula 3 3 3 2 2 3" xfId="5855" xr:uid="{00000000-0005-0000-0000-00001A390000}"/>
    <cellStyle name="Vírgula 3 3 3 2 2 3 2" xfId="22854" xr:uid="{00000000-0005-0000-0000-00001B390000}"/>
    <cellStyle name="Vírgula 3 3 3 2 2 3 3" xfId="18890" xr:uid="{00000000-0005-0000-0000-00001C390000}"/>
    <cellStyle name="Vírgula 3 3 3 2 2 4" xfId="20754" xr:uid="{00000000-0005-0000-0000-00001D390000}"/>
    <cellStyle name="Vírgula 3 3 3 2 2 5" xfId="16730" xr:uid="{00000000-0005-0000-0000-00001E390000}"/>
    <cellStyle name="Vírgula 3 3 3 2 3" xfId="4425" xr:uid="{00000000-0005-0000-0000-00001F390000}"/>
    <cellStyle name="Vírgula 3 3 3 2 3 2" xfId="6869" xr:uid="{00000000-0005-0000-0000-000020390000}"/>
    <cellStyle name="Vírgula 3 3 3 2 3 2 2" xfId="23834" xr:uid="{00000000-0005-0000-0000-000021390000}"/>
    <cellStyle name="Vírgula 3 3 3 2 3 2 3" xfId="19904" xr:uid="{00000000-0005-0000-0000-000022390000}"/>
    <cellStyle name="Vírgula 3 3 3 2 3 3" xfId="21468" xr:uid="{00000000-0005-0000-0000-000023390000}"/>
    <cellStyle name="Vírgula 3 3 3 2 3 4" xfId="17462" xr:uid="{00000000-0005-0000-0000-000024390000}"/>
    <cellStyle name="Vírgula 3 3 3 2 4" xfId="5187" xr:uid="{00000000-0005-0000-0000-000025390000}"/>
    <cellStyle name="Vírgula 3 3 3 2 4 2" xfId="22187" xr:uid="{00000000-0005-0000-0000-000026390000}"/>
    <cellStyle name="Vírgula 3 3 3 2 4 3" xfId="18222" xr:uid="{00000000-0005-0000-0000-000027390000}"/>
    <cellStyle name="Vírgula 3 3 3 2 5" xfId="20087" xr:uid="{00000000-0005-0000-0000-000028390000}"/>
    <cellStyle name="Vírgula 3 3 3 2 6" xfId="16062" xr:uid="{00000000-0005-0000-0000-000029390000}"/>
    <cellStyle name="Vírgula 3 3 3 3" xfId="3369" xr:uid="{00000000-0005-0000-0000-00002A390000}"/>
    <cellStyle name="Vírgula 3 3 3 3 2" xfId="4699" xr:uid="{00000000-0005-0000-0000-00002B390000}"/>
    <cellStyle name="Vírgula 3 3 3 3 2 2" xfId="21739" xr:uid="{00000000-0005-0000-0000-00002C390000}"/>
    <cellStyle name="Vírgula 3 3 3 3 2 3" xfId="17734" xr:uid="{00000000-0005-0000-0000-00002D390000}"/>
    <cellStyle name="Vírgula 3 3 3 3 3" xfId="5538" xr:uid="{00000000-0005-0000-0000-00002E390000}"/>
    <cellStyle name="Vírgula 3 3 3 3 3 2" xfId="22537" xr:uid="{00000000-0005-0000-0000-00002F390000}"/>
    <cellStyle name="Vírgula 3 3 3 3 3 3" xfId="18573" xr:uid="{00000000-0005-0000-0000-000030390000}"/>
    <cellStyle name="Vírgula 3 3 3 3 4" xfId="20437" xr:uid="{00000000-0005-0000-0000-000031390000}"/>
    <cellStyle name="Vírgula 3 3 3 3 5" xfId="16413" xr:uid="{00000000-0005-0000-0000-000032390000}"/>
    <cellStyle name="Vírgula 3 3 3 4" xfId="4325" xr:uid="{00000000-0005-0000-0000-000033390000}"/>
    <cellStyle name="Vírgula 3 3 3 4 2" xfId="6268" xr:uid="{00000000-0005-0000-0000-000034390000}"/>
    <cellStyle name="Vírgula 3 3 3 4 2 2" xfId="23250" xr:uid="{00000000-0005-0000-0000-000035390000}"/>
    <cellStyle name="Vírgula 3 3 3 4 2 3" xfId="19303" xr:uid="{00000000-0005-0000-0000-000036390000}"/>
    <cellStyle name="Vírgula 3 3 3 4 3" xfId="21369" xr:uid="{00000000-0005-0000-0000-000037390000}"/>
    <cellStyle name="Vírgula 3 3 3 4 4" xfId="17362" xr:uid="{00000000-0005-0000-0000-000038390000}"/>
    <cellStyle name="Vírgula 3 3 4" xfId="2241" xr:uid="{00000000-0005-0000-0000-000039390000}"/>
    <cellStyle name="Vírgula 3 3 4 2" xfId="3370" xr:uid="{00000000-0005-0000-0000-00003A390000}"/>
    <cellStyle name="Vírgula 3 3 4 2 2" xfId="4700" xr:uid="{00000000-0005-0000-0000-00003B390000}"/>
    <cellStyle name="Vírgula 3 3 4 2 2 2" xfId="21740" xr:uid="{00000000-0005-0000-0000-00003C390000}"/>
    <cellStyle name="Vírgula 3 3 4 2 2 3" xfId="17735" xr:uid="{00000000-0005-0000-0000-00003D390000}"/>
    <cellStyle name="Vírgula 3 3 4 2 3" xfId="5539" xr:uid="{00000000-0005-0000-0000-00003E390000}"/>
    <cellStyle name="Vírgula 3 3 4 2 3 2" xfId="22538" xr:uid="{00000000-0005-0000-0000-00003F390000}"/>
    <cellStyle name="Vírgula 3 3 4 2 3 3" xfId="18574" xr:uid="{00000000-0005-0000-0000-000040390000}"/>
    <cellStyle name="Vírgula 3 3 4 2 4" xfId="20438" xr:uid="{00000000-0005-0000-0000-000041390000}"/>
    <cellStyle name="Vírgula 3 3 4 2 5" xfId="16414" xr:uid="{00000000-0005-0000-0000-000042390000}"/>
    <cellStyle name="Vírgula 3 3 4 3" xfId="4355" xr:uid="{00000000-0005-0000-0000-000043390000}"/>
    <cellStyle name="Vírgula 3 3 4 3 2" xfId="6269" xr:uid="{00000000-0005-0000-0000-000044390000}"/>
    <cellStyle name="Vírgula 3 3 4 3 2 2" xfId="23251" xr:uid="{00000000-0005-0000-0000-000045390000}"/>
    <cellStyle name="Vírgula 3 3 4 3 2 3" xfId="19304" xr:uid="{00000000-0005-0000-0000-000046390000}"/>
    <cellStyle name="Vírgula 3 3 4 3 3" xfId="21399" xr:uid="{00000000-0005-0000-0000-000047390000}"/>
    <cellStyle name="Vírgula 3 3 4 3 4" xfId="17392" xr:uid="{00000000-0005-0000-0000-000048390000}"/>
    <cellStyle name="Vírgula 3 3 5" xfId="2242" xr:uid="{00000000-0005-0000-0000-000049390000}"/>
    <cellStyle name="Vírgula 3 3 5 2" xfId="3371" xr:uid="{00000000-0005-0000-0000-00004A390000}"/>
    <cellStyle name="Vírgula 3 3 5 2 2" xfId="4701" xr:uid="{00000000-0005-0000-0000-00004B390000}"/>
    <cellStyle name="Vírgula 3 3 5 2 2 2" xfId="21741" xr:uid="{00000000-0005-0000-0000-00004C390000}"/>
    <cellStyle name="Vírgula 3 3 5 2 2 3" xfId="17736" xr:uid="{00000000-0005-0000-0000-00004D390000}"/>
    <cellStyle name="Vírgula 3 3 5 2 3" xfId="5540" xr:uid="{00000000-0005-0000-0000-00004E390000}"/>
    <cellStyle name="Vírgula 3 3 5 2 3 2" xfId="22539" xr:uid="{00000000-0005-0000-0000-00004F390000}"/>
    <cellStyle name="Vírgula 3 3 5 2 3 3" xfId="18575" xr:uid="{00000000-0005-0000-0000-000050390000}"/>
    <cellStyle name="Vírgula 3 3 5 2 4" xfId="20439" xr:uid="{00000000-0005-0000-0000-000051390000}"/>
    <cellStyle name="Vírgula 3 3 5 2 5" xfId="16415" xr:uid="{00000000-0005-0000-0000-000052390000}"/>
    <cellStyle name="Vírgula 3 3 5 3" xfId="4072" xr:uid="{00000000-0005-0000-0000-000053390000}"/>
    <cellStyle name="Vírgula 3 3 5 3 2" xfId="6270" xr:uid="{00000000-0005-0000-0000-000054390000}"/>
    <cellStyle name="Vírgula 3 3 5 3 2 2" xfId="23252" xr:uid="{00000000-0005-0000-0000-000055390000}"/>
    <cellStyle name="Vírgula 3 3 5 3 2 3" xfId="19305" xr:uid="{00000000-0005-0000-0000-000056390000}"/>
    <cellStyle name="Vírgula 3 3 5 3 3" xfId="21120" xr:uid="{00000000-0005-0000-0000-000057390000}"/>
    <cellStyle name="Vírgula 3 3 5 3 4" xfId="17112" xr:uid="{00000000-0005-0000-0000-000058390000}"/>
    <cellStyle name="Vírgula 3 3 6" xfId="2243" xr:uid="{00000000-0005-0000-0000-000059390000}"/>
    <cellStyle name="Vírgula 3 3 6 2" xfId="3372" xr:uid="{00000000-0005-0000-0000-00005A390000}"/>
    <cellStyle name="Vírgula 3 3 6 2 2" xfId="4702" xr:uid="{00000000-0005-0000-0000-00005B390000}"/>
    <cellStyle name="Vírgula 3 3 6 2 2 2" xfId="21742" xr:uid="{00000000-0005-0000-0000-00005C390000}"/>
    <cellStyle name="Vírgula 3 3 6 2 2 3" xfId="17737" xr:uid="{00000000-0005-0000-0000-00005D390000}"/>
    <cellStyle name="Vírgula 3 3 6 2 3" xfId="5541" xr:uid="{00000000-0005-0000-0000-00005E390000}"/>
    <cellStyle name="Vírgula 3 3 6 2 3 2" xfId="22540" xr:uid="{00000000-0005-0000-0000-00005F390000}"/>
    <cellStyle name="Vírgula 3 3 6 2 3 3" xfId="18576" xr:uid="{00000000-0005-0000-0000-000060390000}"/>
    <cellStyle name="Vírgula 3 3 6 2 4" xfId="20440" xr:uid="{00000000-0005-0000-0000-000061390000}"/>
    <cellStyle name="Vírgula 3 3 6 2 5" xfId="16416" xr:uid="{00000000-0005-0000-0000-000062390000}"/>
    <cellStyle name="Vírgula 3 3 6 3" xfId="3712" xr:uid="{00000000-0005-0000-0000-000063390000}"/>
    <cellStyle name="Vírgula 3 3 6 3 2" xfId="6271" xr:uid="{00000000-0005-0000-0000-000064390000}"/>
    <cellStyle name="Vírgula 3 3 6 3 2 2" xfId="23253" xr:uid="{00000000-0005-0000-0000-000065390000}"/>
    <cellStyle name="Vírgula 3 3 6 3 2 3" xfId="19306" xr:uid="{00000000-0005-0000-0000-000066390000}"/>
    <cellStyle name="Vírgula 3 3 6 3 3" xfId="20780" xr:uid="{00000000-0005-0000-0000-000067390000}"/>
    <cellStyle name="Vírgula 3 3 6 3 4" xfId="16756" xr:uid="{00000000-0005-0000-0000-000068390000}"/>
    <cellStyle name="Vírgula 3 3 7" xfId="2244" xr:uid="{00000000-0005-0000-0000-000069390000}"/>
    <cellStyle name="Vírgula 3 3 7 2" xfId="3373" xr:uid="{00000000-0005-0000-0000-00006A390000}"/>
    <cellStyle name="Vírgula 3 3 7 2 2" xfId="4703" xr:uid="{00000000-0005-0000-0000-00006B390000}"/>
    <cellStyle name="Vírgula 3 3 7 2 2 2" xfId="21743" xr:uid="{00000000-0005-0000-0000-00006C390000}"/>
    <cellStyle name="Vírgula 3 3 7 2 2 3" xfId="17738" xr:uid="{00000000-0005-0000-0000-00006D390000}"/>
    <cellStyle name="Vírgula 3 3 7 2 3" xfId="5542" xr:uid="{00000000-0005-0000-0000-00006E390000}"/>
    <cellStyle name="Vírgula 3 3 7 2 3 2" xfId="22541" xr:uid="{00000000-0005-0000-0000-00006F390000}"/>
    <cellStyle name="Vírgula 3 3 7 2 3 3" xfId="18577" xr:uid="{00000000-0005-0000-0000-000070390000}"/>
    <cellStyle name="Vírgula 3 3 7 2 4" xfId="20441" xr:uid="{00000000-0005-0000-0000-000071390000}"/>
    <cellStyle name="Vírgula 3 3 7 2 5" xfId="16417" xr:uid="{00000000-0005-0000-0000-000072390000}"/>
    <cellStyle name="Vírgula 3 3 7 3" xfId="4317" xr:uid="{00000000-0005-0000-0000-000073390000}"/>
    <cellStyle name="Vírgula 3 3 7 3 2" xfId="6272" xr:uid="{00000000-0005-0000-0000-000074390000}"/>
    <cellStyle name="Vírgula 3 3 7 3 2 2" xfId="23254" xr:uid="{00000000-0005-0000-0000-000075390000}"/>
    <cellStyle name="Vírgula 3 3 7 3 2 3" xfId="19307" xr:uid="{00000000-0005-0000-0000-000076390000}"/>
    <cellStyle name="Vírgula 3 3 7 3 3" xfId="21361" xr:uid="{00000000-0005-0000-0000-000077390000}"/>
    <cellStyle name="Vírgula 3 3 7 3 4" xfId="17354" xr:uid="{00000000-0005-0000-0000-000078390000}"/>
    <cellStyle name="Vírgula 3 3 8" xfId="2245" xr:uid="{00000000-0005-0000-0000-000079390000}"/>
    <cellStyle name="Vírgula 3 3 8 2" xfId="3374" xr:uid="{00000000-0005-0000-0000-00007A390000}"/>
    <cellStyle name="Vírgula 3 3 8 2 2" xfId="4704" xr:uid="{00000000-0005-0000-0000-00007B390000}"/>
    <cellStyle name="Vírgula 3 3 8 2 2 2" xfId="21744" xr:uid="{00000000-0005-0000-0000-00007C390000}"/>
    <cellStyle name="Vírgula 3 3 8 2 2 3" xfId="17739" xr:uid="{00000000-0005-0000-0000-00007D390000}"/>
    <cellStyle name="Vírgula 3 3 8 2 3" xfId="5543" xr:uid="{00000000-0005-0000-0000-00007E390000}"/>
    <cellStyle name="Vírgula 3 3 8 2 3 2" xfId="22542" xr:uid="{00000000-0005-0000-0000-00007F390000}"/>
    <cellStyle name="Vírgula 3 3 8 2 3 3" xfId="18578" xr:uid="{00000000-0005-0000-0000-000080390000}"/>
    <cellStyle name="Vírgula 3 3 8 2 4" xfId="20442" xr:uid="{00000000-0005-0000-0000-000081390000}"/>
    <cellStyle name="Vírgula 3 3 8 2 5" xfId="16418" xr:uid="{00000000-0005-0000-0000-000082390000}"/>
    <cellStyle name="Vírgula 3 3 8 3" xfId="4205" xr:uid="{00000000-0005-0000-0000-000083390000}"/>
    <cellStyle name="Vírgula 3 3 8 3 2" xfId="6273" xr:uid="{00000000-0005-0000-0000-000084390000}"/>
    <cellStyle name="Vírgula 3 3 8 3 2 2" xfId="23255" xr:uid="{00000000-0005-0000-0000-000085390000}"/>
    <cellStyle name="Vírgula 3 3 8 3 2 3" xfId="19308" xr:uid="{00000000-0005-0000-0000-000086390000}"/>
    <cellStyle name="Vírgula 3 3 8 3 3" xfId="21251" xr:uid="{00000000-0005-0000-0000-000087390000}"/>
    <cellStyle name="Vírgula 3 3 8 3 4" xfId="17244" xr:uid="{00000000-0005-0000-0000-000088390000}"/>
    <cellStyle name="Vírgula 3 3 9" xfId="2246" xr:uid="{00000000-0005-0000-0000-000089390000}"/>
    <cellStyle name="Vírgula 3 3 9 2" xfId="3375" xr:uid="{00000000-0005-0000-0000-00008A390000}"/>
    <cellStyle name="Vírgula 3 3 9 2 2" xfId="4705" xr:uid="{00000000-0005-0000-0000-00008B390000}"/>
    <cellStyle name="Vírgula 3 3 9 2 2 2" xfId="21745" xr:uid="{00000000-0005-0000-0000-00008C390000}"/>
    <cellStyle name="Vírgula 3 3 9 2 2 3" xfId="17740" xr:uid="{00000000-0005-0000-0000-00008D390000}"/>
    <cellStyle name="Vírgula 3 3 9 2 3" xfId="5544" xr:uid="{00000000-0005-0000-0000-00008E390000}"/>
    <cellStyle name="Vírgula 3 3 9 2 3 2" xfId="22543" xr:uid="{00000000-0005-0000-0000-00008F390000}"/>
    <cellStyle name="Vírgula 3 3 9 2 3 3" xfId="18579" xr:uid="{00000000-0005-0000-0000-000090390000}"/>
    <cellStyle name="Vírgula 3 3 9 2 4" xfId="20443" xr:uid="{00000000-0005-0000-0000-000091390000}"/>
    <cellStyle name="Vírgula 3 3 9 2 5" xfId="16419" xr:uid="{00000000-0005-0000-0000-000092390000}"/>
    <cellStyle name="Vírgula 3 3 9 3" xfId="4334" xr:uid="{00000000-0005-0000-0000-000093390000}"/>
    <cellStyle name="Vírgula 3 3 9 3 2" xfId="6274" xr:uid="{00000000-0005-0000-0000-000094390000}"/>
    <cellStyle name="Vírgula 3 3 9 3 2 2" xfId="23256" xr:uid="{00000000-0005-0000-0000-000095390000}"/>
    <cellStyle name="Vírgula 3 3 9 3 2 3" xfId="19309" xr:uid="{00000000-0005-0000-0000-000096390000}"/>
    <cellStyle name="Vírgula 3 3 9 3 3" xfId="21378" xr:uid="{00000000-0005-0000-0000-000097390000}"/>
    <cellStyle name="Vírgula 3 3 9 3 4" xfId="17371" xr:uid="{00000000-0005-0000-0000-000098390000}"/>
    <cellStyle name="Vírgula 3 4" xfId="116" xr:uid="{00000000-0005-0000-0000-000099390000}"/>
    <cellStyle name="Vírgula 3 4 10" xfId="3039" xr:uid="{00000000-0005-0000-0000-00009A390000}"/>
    <cellStyle name="Vírgula 3 4 10 2" xfId="4492" xr:uid="{00000000-0005-0000-0000-00009B390000}"/>
    <cellStyle name="Vírgula 3 4 10 2 2" xfId="21532" xr:uid="{00000000-0005-0000-0000-00009C390000}"/>
    <cellStyle name="Vírgula 3 4 10 2 3" xfId="17527" xr:uid="{00000000-0005-0000-0000-00009D390000}"/>
    <cellStyle name="Vírgula 3 4 10 3" xfId="5208" xr:uid="{00000000-0005-0000-0000-00009E390000}"/>
    <cellStyle name="Vírgula 3 4 10 3 2" xfId="12331" xr:uid="{00000000-0005-0000-0000-00009F390000}"/>
    <cellStyle name="Vírgula 3 4 10 3 2 2" xfId="22207" xr:uid="{00000000-0005-0000-0000-0000A0390000}"/>
    <cellStyle name="Vírgula 3 4 10 3 3" xfId="10990" xr:uid="{00000000-0005-0000-0000-0000A1390000}"/>
    <cellStyle name="Vírgula 3 4 10 3 4" xfId="18243" xr:uid="{00000000-0005-0000-0000-0000A2390000}"/>
    <cellStyle name="Vírgula 3 4 10 4" xfId="13569" xr:uid="{00000000-0005-0000-0000-0000A3390000}"/>
    <cellStyle name="Vírgula 3 4 10 4 2" xfId="20107" xr:uid="{00000000-0005-0000-0000-0000A4390000}"/>
    <cellStyle name="Vírgula 3 4 10 5" xfId="16083" xr:uid="{00000000-0005-0000-0000-0000A5390000}"/>
    <cellStyle name="Vírgula 3 4 11" xfId="3990" xr:uid="{00000000-0005-0000-0000-0000A6390000}"/>
    <cellStyle name="Vírgula 3 4 11 2" xfId="5897" xr:uid="{00000000-0005-0000-0000-0000A7390000}"/>
    <cellStyle name="Vírgula 3 4 11 2 2" xfId="11863" xr:uid="{00000000-0005-0000-0000-0000A8390000}"/>
    <cellStyle name="Vírgula 3 4 11 2 2 2" xfId="22893" xr:uid="{00000000-0005-0000-0000-0000A9390000}"/>
    <cellStyle name="Vírgula 3 4 11 2 3" xfId="12452" xr:uid="{00000000-0005-0000-0000-0000AA390000}"/>
    <cellStyle name="Vírgula 3 4 11 2 4" xfId="18932" xr:uid="{00000000-0005-0000-0000-0000AB390000}"/>
    <cellStyle name="Vírgula 3 4 11 3" xfId="13697" xr:uid="{00000000-0005-0000-0000-0000AC390000}"/>
    <cellStyle name="Vírgula 3 4 11 3 2" xfId="21046" xr:uid="{00000000-0005-0000-0000-0000AD390000}"/>
    <cellStyle name="Vírgula 3 4 11 4" xfId="17032" xr:uid="{00000000-0005-0000-0000-0000AE390000}"/>
    <cellStyle name="Vírgula 3 4 12" xfId="8516" xr:uid="{00000000-0005-0000-0000-0000AF390000}"/>
    <cellStyle name="Vírgula 3 4 13" xfId="8517" xr:uid="{00000000-0005-0000-0000-0000B0390000}"/>
    <cellStyle name="Vírgula 3 4 2" xfId="730" xr:uid="{00000000-0005-0000-0000-0000B1390000}"/>
    <cellStyle name="Vírgula 3 4 2 2" xfId="3115" xr:uid="{00000000-0005-0000-0000-0000B2390000}"/>
    <cellStyle name="Vírgula 3 4 2 2 2" xfId="4530" xr:uid="{00000000-0005-0000-0000-0000B3390000}"/>
    <cellStyle name="Vírgula 3 4 2 2 2 2" xfId="21570" xr:uid="{00000000-0005-0000-0000-0000B4390000}"/>
    <cellStyle name="Vírgula 3 4 2 2 2 3" xfId="17565" xr:uid="{00000000-0005-0000-0000-0000B5390000}"/>
    <cellStyle name="Vírgula 3 4 2 2 3" xfId="5284" xr:uid="{00000000-0005-0000-0000-0000B6390000}"/>
    <cellStyle name="Vírgula 3 4 2 2 3 2" xfId="22283" xr:uid="{00000000-0005-0000-0000-0000B7390000}"/>
    <cellStyle name="Vírgula 3 4 2 2 3 3" xfId="18319" xr:uid="{00000000-0005-0000-0000-0000B8390000}"/>
    <cellStyle name="Vírgula 3 4 2 2 4" xfId="20183" xr:uid="{00000000-0005-0000-0000-0000B9390000}"/>
    <cellStyle name="Vírgula 3 4 2 2 5" xfId="16159" xr:uid="{00000000-0005-0000-0000-0000BA390000}"/>
    <cellStyle name="Vírgula 3 4 2 3" xfId="3961" xr:uid="{00000000-0005-0000-0000-0000BB390000}"/>
    <cellStyle name="Vírgula 3 4 2 3 2" xfId="6000" xr:uid="{00000000-0005-0000-0000-0000BC390000}"/>
    <cellStyle name="Vírgula 3 4 2 3 2 2" xfId="22994" xr:uid="{00000000-0005-0000-0000-0000BD390000}"/>
    <cellStyle name="Vírgula 3 4 2 3 2 3" xfId="19035" xr:uid="{00000000-0005-0000-0000-0000BE390000}"/>
    <cellStyle name="Vírgula 3 4 2 3 3" xfId="21017" xr:uid="{00000000-0005-0000-0000-0000BF390000}"/>
    <cellStyle name="Vírgula 3 4 2 3 4" xfId="17003" xr:uid="{00000000-0005-0000-0000-0000C0390000}"/>
    <cellStyle name="Vírgula 3 4 3" xfId="2247" xr:uid="{00000000-0005-0000-0000-0000C1390000}"/>
    <cellStyle name="Vírgula 3 4 3 2" xfId="3376" xr:uid="{00000000-0005-0000-0000-0000C2390000}"/>
    <cellStyle name="Vírgula 3 4 3 2 2" xfId="4706" xr:uid="{00000000-0005-0000-0000-0000C3390000}"/>
    <cellStyle name="Vírgula 3 4 3 2 2 2" xfId="21746" xr:uid="{00000000-0005-0000-0000-0000C4390000}"/>
    <cellStyle name="Vírgula 3 4 3 2 2 3" xfId="17741" xr:uid="{00000000-0005-0000-0000-0000C5390000}"/>
    <cellStyle name="Vírgula 3 4 3 2 3" xfId="5545" xr:uid="{00000000-0005-0000-0000-0000C6390000}"/>
    <cellStyle name="Vírgula 3 4 3 2 3 2" xfId="22544" xr:uid="{00000000-0005-0000-0000-0000C7390000}"/>
    <cellStyle name="Vírgula 3 4 3 2 3 3" xfId="18580" xr:uid="{00000000-0005-0000-0000-0000C8390000}"/>
    <cellStyle name="Vírgula 3 4 3 2 4" xfId="20444" xr:uid="{00000000-0005-0000-0000-0000C9390000}"/>
    <cellStyle name="Vírgula 3 4 3 2 5" xfId="16420" xr:uid="{00000000-0005-0000-0000-0000CA390000}"/>
    <cellStyle name="Vírgula 3 4 3 3" xfId="4370" xr:uid="{00000000-0005-0000-0000-0000CB390000}"/>
    <cellStyle name="Vírgula 3 4 3 3 2" xfId="6275" xr:uid="{00000000-0005-0000-0000-0000CC390000}"/>
    <cellStyle name="Vírgula 3 4 3 3 2 2" xfId="23257" xr:uid="{00000000-0005-0000-0000-0000CD390000}"/>
    <cellStyle name="Vírgula 3 4 3 3 2 3" xfId="19310" xr:uid="{00000000-0005-0000-0000-0000CE390000}"/>
    <cellStyle name="Vírgula 3 4 3 3 3" xfId="21414" xr:uid="{00000000-0005-0000-0000-0000CF390000}"/>
    <cellStyle name="Vírgula 3 4 3 3 4" xfId="17407" xr:uid="{00000000-0005-0000-0000-0000D0390000}"/>
    <cellStyle name="Vírgula 3 4 4" xfId="2248" xr:uid="{00000000-0005-0000-0000-0000D1390000}"/>
    <cellStyle name="Vírgula 3 4 4 2" xfId="3377" xr:uid="{00000000-0005-0000-0000-0000D2390000}"/>
    <cellStyle name="Vírgula 3 4 4 2 2" xfId="4707" xr:uid="{00000000-0005-0000-0000-0000D3390000}"/>
    <cellStyle name="Vírgula 3 4 4 2 2 2" xfId="21747" xr:uid="{00000000-0005-0000-0000-0000D4390000}"/>
    <cellStyle name="Vírgula 3 4 4 2 2 3" xfId="17742" xr:uid="{00000000-0005-0000-0000-0000D5390000}"/>
    <cellStyle name="Vírgula 3 4 4 2 3" xfId="5546" xr:uid="{00000000-0005-0000-0000-0000D6390000}"/>
    <cellStyle name="Vírgula 3 4 4 2 3 2" xfId="22545" xr:uid="{00000000-0005-0000-0000-0000D7390000}"/>
    <cellStyle name="Vírgula 3 4 4 2 3 3" xfId="18581" xr:uid="{00000000-0005-0000-0000-0000D8390000}"/>
    <cellStyle name="Vírgula 3 4 4 2 4" xfId="20445" xr:uid="{00000000-0005-0000-0000-0000D9390000}"/>
    <cellStyle name="Vírgula 3 4 4 2 5" xfId="16421" xr:uid="{00000000-0005-0000-0000-0000DA390000}"/>
    <cellStyle name="Vírgula 3 4 4 3" xfId="3852" xr:uid="{00000000-0005-0000-0000-0000DB390000}"/>
    <cellStyle name="Vírgula 3 4 4 3 2" xfId="6276" xr:uid="{00000000-0005-0000-0000-0000DC390000}"/>
    <cellStyle name="Vírgula 3 4 4 3 2 2" xfId="23258" xr:uid="{00000000-0005-0000-0000-0000DD390000}"/>
    <cellStyle name="Vírgula 3 4 4 3 2 3" xfId="19311" xr:uid="{00000000-0005-0000-0000-0000DE390000}"/>
    <cellStyle name="Vírgula 3 4 4 3 3" xfId="20914" xr:uid="{00000000-0005-0000-0000-0000DF390000}"/>
    <cellStyle name="Vírgula 3 4 4 3 4" xfId="16894" xr:uid="{00000000-0005-0000-0000-0000E0390000}"/>
    <cellStyle name="Vírgula 3 4 5" xfId="2249" xr:uid="{00000000-0005-0000-0000-0000E1390000}"/>
    <cellStyle name="Vírgula 3 4 5 2" xfId="3378" xr:uid="{00000000-0005-0000-0000-0000E2390000}"/>
    <cellStyle name="Vírgula 3 4 5 2 2" xfId="4708" xr:uid="{00000000-0005-0000-0000-0000E3390000}"/>
    <cellStyle name="Vírgula 3 4 5 2 2 2" xfId="21748" xr:uid="{00000000-0005-0000-0000-0000E4390000}"/>
    <cellStyle name="Vírgula 3 4 5 2 2 3" xfId="17743" xr:uid="{00000000-0005-0000-0000-0000E5390000}"/>
    <cellStyle name="Vírgula 3 4 5 2 3" xfId="5547" xr:uid="{00000000-0005-0000-0000-0000E6390000}"/>
    <cellStyle name="Vírgula 3 4 5 2 3 2" xfId="22546" xr:uid="{00000000-0005-0000-0000-0000E7390000}"/>
    <cellStyle name="Vírgula 3 4 5 2 3 3" xfId="18582" xr:uid="{00000000-0005-0000-0000-0000E8390000}"/>
    <cellStyle name="Vírgula 3 4 5 2 4" xfId="20446" xr:uid="{00000000-0005-0000-0000-0000E9390000}"/>
    <cellStyle name="Vírgula 3 4 5 2 5" xfId="16422" xr:uid="{00000000-0005-0000-0000-0000EA390000}"/>
    <cellStyle name="Vírgula 3 4 5 3" xfId="4109" xr:uid="{00000000-0005-0000-0000-0000EB390000}"/>
    <cellStyle name="Vírgula 3 4 5 3 2" xfId="6277" xr:uid="{00000000-0005-0000-0000-0000EC390000}"/>
    <cellStyle name="Vírgula 3 4 5 3 2 2" xfId="23259" xr:uid="{00000000-0005-0000-0000-0000ED390000}"/>
    <cellStyle name="Vírgula 3 4 5 3 2 3" xfId="19312" xr:uid="{00000000-0005-0000-0000-0000EE390000}"/>
    <cellStyle name="Vírgula 3 4 5 3 3" xfId="21157" xr:uid="{00000000-0005-0000-0000-0000EF390000}"/>
    <cellStyle name="Vírgula 3 4 5 3 4" xfId="17149" xr:uid="{00000000-0005-0000-0000-0000F0390000}"/>
    <cellStyle name="Vírgula 3 4 6" xfId="2250" xr:uid="{00000000-0005-0000-0000-0000F1390000}"/>
    <cellStyle name="Vírgula 3 4 6 2" xfId="3379" xr:uid="{00000000-0005-0000-0000-0000F2390000}"/>
    <cellStyle name="Vírgula 3 4 6 2 2" xfId="4709" xr:uid="{00000000-0005-0000-0000-0000F3390000}"/>
    <cellStyle name="Vírgula 3 4 6 2 2 2" xfId="21749" xr:uid="{00000000-0005-0000-0000-0000F4390000}"/>
    <cellStyle name="Vírgula 3 4 6 2 2 3" xfId="17744" xr:uid="{00000000-0005-0000-0000-0000F5390000}"/>
    <cellStyle name="Vírgula 3 4 6 2 3" xfId="5548" xr:uid="{00000000-0005-0000-0000-0000F6390000}"/>
    <cellStyle name="Vírgula 3 4 6 2 3 2" xfId="22547" xr:uid="{00000000-0005-0000-0000-0000F7390000}"/>
    <cellStyle name="Vírgula 3 4 6 2 3 3" xfId="18583" xr:uid="{00000000-0005-0000-0000-0000F8390000}"/>
    <cellStyle name="Vírgula 3 4 6 2 4" xfId="20447" xr:uid="{00000000-0005-0000-0000-0000F9390000}"/>
    <cellStyle name="Vírgula 3 4 6 2 5" xfId="16423" xr:uid="{00000000-0005-0000-0000-0000FA390000}"/>
    <cellStyle name="Vírgula 3 4 6 3" xfId="4479" xr:uid="{00000000-0005-0000-0000-0000FB390000}"/>
    <cellStyle name="Vírgula 3 4 6 3 2" xfId="6278" xr:uid="{00000000-0005-0000-0000-0000FC390000}"/>
    <cellStyle name="Vírgula 3 4 6 3 2 2" xfId="23260" xr:uid="{00000000-0005-0000-0000-0000FD390000}"/>
    <cellStyle name="Vírgula 3 4 6 3 2 3" xfId="19313" xr:uid="{00000000-0005-0000-0000-0000FE390000}"/>
    <cellStyle name="Vírgula 3 4 6 3 3" xfId="21519" xr:uid="{00000000-0005-0000-0000-0000FF390000}"/>
    <cellStyle name="Vírgula 3 4 6 3 4" xfId="17514" xr:uid="{00000000-0005-0000-0000-0000003A0000}"/>
    <cellStyle name="Vírgula 3 4 7" xfId="2251" xr:uid="{00000000-0005-0000-0000-0000013A0000}"/>
    <cellStyle name="Vírgula 3 4 7 2" xfId="3380" xr:uid="{00000000-0005-0000-0000-0000023A0000}"/>
    <cellStyle name="Vírgula 3 4 7 2 2" xfId="4710" xr:uid="{00000000-0005-0000-0000-0000033A0000}"/>
    <cellStyle name="Vírgula 3 4 7 2 2 2" xfId="21750" xr:uid="{00000000-0005-0000-0000-0000043A0000}"/>
    <cellStyle name="Vírgula 3 4 7 2 2 3" xfId="17745" xr:uid="{00000000-0005-0000-0000-0000053A0000}"/>
    <cellStyle name="Vírgula 3 4 7 2 3" xfId="5549" xr:uid="{00000000-0005-0000-0000-0000063A0000}"/>
    <cellStyle name="Vírgula 3 4 7 2 3 2" xfId="22548" xr:uid="{00000000-0005-0000-0000-0000073A0000}"/>
    <cellStyle name="Vírgula 3 4 7 2 3 3" xfId="18584" xr:uid="{00000000-0005-0000-0000-0000083A0000}"/>
    <cellStyle name="Vírgula 3 4 7 2 4" xfId="20448" xr:uid="{00000000-0005-0000-0000-0000093A0000}"/>
    <cellStyle name="Vírgula 3 4 7 2 5" xfId="16424" xr:uid="{00000000-0005-0000-0000-00000A3A0000}"/>
    <cellStyle name="Vírgula 3 4 7 3" xfId="3847" xr:uid="{00000000-0005-0000-0000-00000B3A0000}"/>
    <cellStyle name="Vírgula 3 4 7 3 2" xfId="6279" xr:uid="{00000000-0005-0000-0000-00000C3A0000}"/>
    <cellStyle name="Vírgula 3 4 7 3 2 2" xfId="23261" xr:uid="{00000000-0005-0000-0000-00000D3A0000}"/>
    <cellStyle name="Vírgula 3 4 7 3 2 3" xfId="19314" xr:uid="{00000000-0005-0000-0000-00000E3A0000}"/>
    <cellStyle name="Vírgula 3 4 7 3 3" xfId="20909" xr:uid="{00000000-0005-0000-0000-00000F3A0000}"/>
    <cellStyle name="Vírgula 3 4 7 3 4" xfId="16889" xr:uid="{00000000-0005-0000-0000-0000103A0000}"/>
    <cellStyle name="Vírgula 3 4 8" xfId="2252" xr:uid="{00000000-0005-0000-0000-0000113A0000}"/>
    <cellStyle name="Vírgula 3 4 8 2" xfId="3381" xr:uid="{00000000-0005-0000-0000-0000123A0000}"/>
    <cellStyle name="Vírgula 3 4 8 2 2" xfId="4711" xr:uid="{00000000-0005-0000-0000-0000133A0000}"/>
    <cellStyle name="Vírgula 3 4 8 2 2 2" xfId="21751" xr:uid="{00000000-0005-0000-0000-0000143A0000}"/>
    <cellStyle name="Vírgula 3 4 8 2 2 3" xfId="17746" xr:uid="{00000000-0005-0000-0000-0000153A0000}"/>
    <cellStyle name="Vírgula 3 4 8 2 3" xfId="5550" xr:uid="{00000000-0005-0000-0000-0000163A0000}"/>
    <cellStyle name="Vírgula 3 4 8 2 3 2" xfId="22549" xr:uid="{00000000-0005-0000-0000-0000173A0000}"/>
    <cellStyle name="Vírgula 3 4 8 2 3 3" xfId="18585" xr:uid="{00000000-0005-0000-0000-0000183A0000}"/>
    <cellStyle name="Vírgula 3 4 8 2 4" xfId="20449" xr:uid="{00000000-0005-0000-0000-0000193A0000}"/>
    <cellStyle name="Vírgula 3 4 8 2 5" xfId="16425" xr:uid="{00000000-0005-0000-0000-00001A3A0000}"/>
    <cellStyle name="Vírgula 3 4 8 3" xfId="4378" xr:uid="{00000000-0005-0000-0000-00001B3A0000}"/>
    <cellStyle name="Vírgula 3 4 8 3 2" xfId="6280" xr:uid="{00000000-0005-0000-0000-00001C3A0000}"/>
    <cellStyle name="Vírgula 3 4 8 3 2 2" xfId="23262" xr:uid="{00000000-0005-0000-0000-00001D3A0000}"/>
    <cellStyle name="Vírgula 3 4 8 3 2 3" xfId="19315" xr:uid="{00000000-0005-0000-0000-00001E3A0000}"/>
    <cellStyle name="Vírgula 3 4 8 3 3" xfId="21422" xr:uid="{00000000-0005-0000-0000-00001F3A0000}"/>
    <cellStyle name="Vírgula 3 4 8 3 4" xfId="17415" xr:uid="{00000000-0005-0000-0000-0000203A0000}"/>
    <cellStyle name="Vírgula 3 4 9" xfId="2253" xr:uid="{00000000-0005-0000-0000-0000213A0000}"/>
    <cellStyle name="Vírgula 3 4 9 2" xfId="3382" xr:uid="{00000000-0005-0000-0000-0000223A0000}"/>
    <cellStyle name="Vírgula 3 4 9 2 2" xfId="4712" xr:uid="{00000000-0005-0000-0000-0000233A0000}"/>
    <cellStyle name="Vírgula 3 4 9 2 2 2" xfId="21752" xr:uid="{00000000-0005-0000-0000-0000243A0000}"/>
    <cellStyle name="Vírgula 3 4 9 2 2 3" xfId="17747" xr:uid="{00000000-0005-0000-0000-0000253A0000}"/>
    <cellStyle name="Vírgula 3 4 9 2 3" xfId="5551" xr:uid="{00000000-0005-0000-0000-0000263A0000}"/>
    <cellStyle name="Vírgula 3 4 9 2 3 2" xfId="22550" xr:uid="{00000000-0005-0000-0000-0000273A0000}"/>
    <cellStyle name="Vírgula 3 4 9 2 3 3" xfId="18586" xr:uid="{00000000-0005-0000-0000-0000283A0000}"/>
    <cellStyle name="Vírgula 3 4 9 2 4" xfId="20450" xr:uid="{00000000-0005-0000-0000-0000293A0000}"/>
    <cellStyle name="Vírgula 3 4 9 2 5" xfId="16426" xr:uid="{00000000-0005-0000-0000-00002A3A0000}"/>
    <cellStyle name="Vírgula 3 4 9 3" xfId="4442" xr:uid="{00000000-0005-0000-0000-00002B3A0000}"/>
    <cellStyle name="Vírgula 3 4 9 3 2" xfId="6281" xr:uid="{00000000-0005-0000-0000-00002C3A0000}"/>
    <cellStyle name="Vírgula 3 4 9 3 2 2" xfId="23263" xr:uid="{00000000-0005-0000-0000-00002D3A0000}"/>
    <cellStyle name="Vírgula 3 4 9 3 2 3" xfId="19316" xr:uid="{00000000-0005-0000-0000-00002E3A0000}"/>
    <cellStyle name="Vírgula 3 4 9 3 3" xfId="21483" xr:uid="{00000000-0005-0000-0000-00002F3A0000}"/>
    <cellStyle name="Vírgula 3 4 9 3 4" xfId="17478" xr:uid="{00000000-0005-0000-0000-0000303A0000}"/>
    <cellStyle name="Vírgula 3 5" xfId="669" xr:uid="{00000000-0005-0000-0000-0000313A0000}"/>
    <cellStyle name="Vírgula 3 5 2" xfId="3103" xr:uid="{00000000-0005-0000-0000-0000323A0000}"/>
    <cellStyle name="Vírgula 3 5 2 2" xfId="4518" xr:uid="{00000000-0005-0000-0000-0000333A0000}"/>
    <cellStyle name="Vírgula 3 5 2 2 2" xfId="21558" xr:uid="{00000000-0005-0000-0000-0000343A0000}"/>
    <cellStyle name="Vírgula 3 5 2 2 3" xfId="17553" xr:uid="{00000000-0005-0000-0000-0000353A0000}"/>
    <cellStyle name="Vírgula 3 5 2 3" xfId="5272" xr:uid="{00000000-0005-0000-0000-0000363A0000}"/>
    <cellStyle name="Vírgula 3 5 2 3 2" xfId="22271" xr:uid="{00000000-0005-0000-0000-0000373A0000}"/>
    <cellStyle name="Vírgula 3 5 2 3 3" xfId="18307" xr:uid="{00000000-0005-0000-0000-0000383A0000}"/>
    <cellStyle name="Vírgula 3 5 2 4" xfId="20171" xr:uid="{00000000-0005-0000-0000-0000393A0000}"/>
    <cellStyle name="Vírgula 3 5 2 5" xfId="16147" xr:uid="{00000000-0005-0000-0000-00003A3A0000}"/>
    <cellStyle name="Vírgula 3 5 3" xfId="4478" xr:uid="{00000000-0005-0000-0000-00003B3A0000}"/>
    <cellStyle name="Vírgula 3 5 3 2" xfId="5987" xr:uid="{00000000-0005-0000-0000-00003C3A0000}"/>
    <cellStyle name="Vírgula 3 5 3 2 2" xfId="22981" xr:uid="{00000000-0005-0000-0000-00003D3A0000}"/>
    <cellStyle name="Vírgula 3 5 3 2 3" xfId="19022" xr:uid="{00000000-0005-0000-0000-00003E3A0000}"/>
    <cellStyle name="Vírgula 3 5 3 3" xfId="21518" xr:uid="{00000000-0005-0000-0000-00003F3A0000}"/>
    <cellStyle name="Vírgula 3 5 3 4" xfId="17513" xr:uid="{00000000-0005-0000-0000-0000403A0000}"/>
    <cellStyle name="Vírgula 3 6" xfId="2254" xr:uid="{00000000-0005-0000-0000-0000413A0000}"/>
    <cellStyle name="Vírgula 3 6 2" xfId="3383" xr:uid="{00000000-0005-0000-0000-0000423A0000}"/>
    <cellStyle name="Vírgula 3 6 2 2" xfId="4713" xr:uid="{00000000-0005-0000-0000-0000433A0000}"/>
    <cellStyle name="Vírgula 3 6 2 2 2" xfId="21753" xr:uid="{00000000-0005-0000-0000-0000443A0000}"/>
    <cellStyle name="Vírgula 3 6 2 2 3" xfId="17748" xr:uid="{00000000-0005-0000-0000-0000453A0000}"/>
    <cellStyle name="Vírgula 3 6 2 3" xfId="5552" xr:uid="{00000000-0005-0000-0000-0000463A0000}"/>
    <cellStyle name="Vírgula 3 6 2 3 2" xfId="22551" xr:uid="{00000000-0005-0000-0000-0000473A0000}"/>
    <cellStyle name="Vírgula 3 6 2 3 3" xfId="18587" xr:uid="{00000000-0005-0000-0000-0000483A0000}"/>
    <cellStyle name="Vírgula 3 6 2 4" xfId="20451" xr:uid="{00000000-0005-0000-0000-0000493A0000}"/>
    <cellStyle name="Vírgula 3 6 2 5" xfId="16427" xr:uid="{00000000-0005-0000-0000-00004A3A0000}"/>
    <cellStyle name="Vírgula 3 6 3" xfId="4160" xr:uid="{00000000-0005-0000-0000-00004B3A0000}"/>
    <cellStyle name="Vírgula 3 6 3 2" xfId="6282" xr:uid="{00000000-0005-0000-0000-00004C3A0000}"/>
    <cellStyle name="Vírgula 3 6 3 2 2" xfId="23264" xr:uid="{00000000-0005-0000-0000-00004D3A0000}"/>
    <cellStyle name="Vírgula 3 6 3 2 3" xfId="19317" xr:uid="{00000000-0005-0000-0000-00004E3A0000}"/>
    <cellStyle name="Vírgula 3 6 3 3" xfId="21208" xr:uid="{00000000-0005-0000-0000-00004F3A0000}"/>
    <cellStyle name="Vírgula 3 6 3 4" xfId="17200" xr:uid="{00000000-0005-0000-0000-0000503A0000}"/>
    <cellStyle name="Vírgula 3 6 4" xfId="10647" xr:uid="{00000000-0005-0000-0000-0000513A0000}"/>
    <cellStyle name="Vírgula 3 7" xfId="2255" xr:uid="{00000000-0005-0000-0000-0000523A0000}"/>
    <cellStyle name="Vírgula 3 7 2" xfId="3384" xr:uid="{00000000-0005-0000-0000-0000533A0000}"/>
    <cellStyle name="Vírgula 3 7 2 2" xfId="4714" xr:uid="{00000000-0005-0000-0000-0000543A0000}"/>
    <cellStyle name="Vírgula 3 7 2 2 2" xfId="21754" xr:uid="{00000000-0005-0000-0000-0000553A0000}"/>
    <cellStyle name="Vírgula 3 7 2 2 3" xfId="17749" xr:uid="{00000000-0005-0000-0000-0000563A0000}"/>
    <cellStyle name="Vírgula 3 7 2 3" xfId="5553" xr:uid="{00000000-0005-0000-0000-0000573A0000}"/>
    <cellStyle name="Vírgula 3 7 2 3 2" xfId="22552" xr:uid="{00000000-0005-0000-0000-0000583A0000}"/>
    <cellStyle name="Vírgula 3 7 2 3 3" xfId="18588" xr:uid="{00000000-0005-0000-0000-0000593A0000}"/>
    <cellStyle name="Vírgula 3 7 2 4" xfId="20452" xr:uid="{00000000-0005-0000-0000-00005A3A0000}"/>
    <cellStyle name="Vírgula 3 7 2 5" xfId="16428" xr:uid="{00000000-0005-0000-0000-00005B3A0000}"/>
    <cellStyle name="Vírgula 3 7 3" xfId="3854" xr:uid="{00000000-0005-0000-0000-00005C3A0000}"/>
    <cellStyle name="Vírgula 3 7 3 2" xfId="6283" xr:uid="{00000000-0005-0000-0000-00005D3A0000}"/>
    <cellStyle name="Vírgula 3 7 3 2 2" xfId="23265" xr:uid="{00000000-0005-0000-0000-00005E3A0000}"/>
    <cellStyle name="Vírgula 3 7 3 2 3" xfId="19318" xr:uid="{00000000-0005-0000-0000-00005F3A0000}"/>
    <cellStyle name="Vírgula 3 7 3 3" xfId="20916" xr:uid="{00000000-0005-0000-0000-0000603A0000}"/>
    <cellStyle name="Vírgula 3 7 3 4" xfId="16896" xr:uid="{00000000-0005-0000-0000-0000613A0000}"/>
    <cellStyle name="Vírgula 3 8" xfId="2256" xr:uid="{00000000-0005-0000-0000-0000623A0000}"/>
    <cellStyle name="Vírgula 3 8 2" xfId="3385" xr:uid="{00000000-0005-0000-0000-0000633A0000}"/>
    <cellStyle name="Vírgula 3 8 2 2" xfId="4715" xr:uid="{00000000-0005-0000-0000-0000643A0000}"/>
    <cellStyle name="Vírgula 3 8 2 2 2" xfId="21755" xr:uid="{00000000-0005-0000-0000-0000653A0000}"/>
    <cellStyle name="Vírgula 3 8 2 2 3" xfId="17750" xr:uid="{00000000-0005-0000-0000-0000663A0000}"/>
    <cellStyle name="Vírgula 3 8 2 3" xfId="5554" xr:uid="{00000000-0005-0000-0000-0000673A0000}"/>
    <cellStyle name="Vírgula 3 8 2 3 2" xfId="22553" xr:uid="{00000000-0005-0000-0000-0000683A0000}"/>
    <cellStyle name="Vírgula 3 8 2 3 3" xfId="18589" xr:uid="{00000000-0005-0000-0000-0000693A0000}"/>
    <cellStyle name="Vírgula 3 8 2 4" xfId="20453" xr:uid="{00000000-0005-0000-0000-00006A3A0000}"/>
    <cellStyle name="Vírgula 3 8 2 5" xfId="16429" xr:uid="{00000000-0005-0000-0000-00006B3A0000}"/>
    <cellStyle name="Vírgula 3 8 3" xfId="3768" xr:uid="{00000000-0005-0000-0000-00006C3A0000}"/>
    <cellStyle name="Vírgula 3 8 3 2" xfId="6284" xr:uid="{00000000-0005-0000-0000-00006D3A0000}"/>
    <cellStyle name="Vírgula 3 8 3 2 2" xfId="23266" xr:uid="{00000000-0005-0000-0000-00006E3A0000}"/>
    <cellStyle name="Vírgula 3 8 3 2 3" xfId="19319" xr:uid="{00000000-0005-0000-0000-00006F3A0000}"/>
    <cellStyle name="Vírgula 3 8 3 3" xfId="20832" xr:uid="{00000000-0005-0000-0000-0000703A0000}"/>
    <cellStyle name="Vírgula 3 8 3 4" xfId="16811" xr:uid="{00000000-0005-0000-0000-0000713A0000}"/>
    <cellStyle name="Vírgula 3 9" xfId="2257" xr:uid="{00000000-0005-0000-0000-0000723A0000}"/>
    <cellStyle name="Vírgula 3 9 2" xfId="3386" xr:uid="{00000000-0005-0000-0000-0000733A0000}"/>
    <cellStyle name="Vírgula 3 9 2 2" xfId="4716" xr:uid="{00000000-0005-0000-0000-0000743A0000}"/>
    <cellStyle name="Vírgula 3 9 2 2 2" xfId="21756" xr:uid="{00000000-0005-0000-0000-0000753A0000}"/>
    <cellStyle name="Vírgula 3 9 2 2 3" xfId="17751" xr:uid="{00000000-0005-0000-0000-0000763A0000}"/>
    <cellStyle name="Vírgula 3 9 2 3" xfId="5555" xr:uid="{00000000-0005-0000-0000-0000773A0000}"/>
    <cellStyle name="Vírgula 3 9 2 3 2" xfId="22554" xr:uid="{00000000-0005-0000-0000-0000783A0000}"/>
    <cellStyle name="Vírgula 3 9 2 3 3" xfId="18590" xr:uid="{00000000-0005-0000-0000-0000793A0000}"/>
    <cellStyle name="Vírgula 3 9 2 4" xfId="20454" xr:uid="{00000000-0005-0000-0000-00007A3A0000}"/>
    <cellStyle name="Vírgula 3 9 2 5" xfId="16430" xr:uid="{00000000-0005-0000-0000-00007B3A0000}"/>
    <cellStyle name="Vírgula 3 9 3" xfId="3780" xr:uid="{00000000-0005-0000-0000-00007C3A0000}"/>
    <cellStyle name="Vírgula 3 9 3 2" xfId="6285" xr:uid="{00000000-0005-0000-0000-00007D3A0000}"/>
    <cellStyle name="Vírgula 3 9 3 2 2" xfId="23267" xr:uid="{00000000-0005-0000-0000-00007E3A0000}"/>
    <cellStyle name="Vírgula 3 9 3 2 3" xfId="19320" xr:uid="{00000000-0005-0000-0000-00007F3A0000}"/>
    <cellStyle name="Vírgula 3 9 3 3" xfId="20842" xr:uid="{00000000-0005-0000-0000-0000803A0000}"/>
    <cellStyle name="Vírgula 3 9 3 4" xfId="16822" xr:uid="{00000000-0005-0000-0000-0000813A0000}"/>
    <cellStyle name="Vírgula 4" xfId="58" xr:uid="{00000000-0005-0000-0000-0000823A0000}"/>
    <cellStyle name="Vírgula 4 10" xfId="2258" xr:uid="{00000000-0005-0000-0000-0000833A0000}"/>
    <cellStyle name="Vírgula 4 10 2" xfId="3387" xr:uid="{00000000-0005-0000-0000-0000843A0000}"/>
    <cellStyle name="Vírgula 4 10 2 2" xfId="4717" xr:uid="{00000000-0005-0000-0000-0000853A0000}"/>
    <cellStyle name="Vírgula 4 10 2 2 2" xfId="21757" xr:uid="{00000000-0005-0000-0000-0000863A0000}"/>
    <cellStyle name="Vírgula 4 10 2 2 3" xfId="17752" xr:uid="{00000000-0005-0000-0000-0000873A0000}"/>
    <cellStyle name="Vírgula 4 10 2 3" xfId="5556" xr:uid="{00000000-0005-0000-0000-0000883A0000}"/>
    <cellStyle name="Vírgula 4 10 2 3 2" xfId="22555" xr:uid="{00000000-0005-0000-0000-0000893A0000}"/>
    <cellStyle name="Vírgula 4 10 2 3 3" xfId="18591" xr:uid="{00000000-0005-0000-0000-00008A3A0000}"/>
    <cellStyle name="Vírgula 4 10 2 4" xfId="20455" xr:uid="{00000000-0005-0000-0000-00008B3A0000}"/>
    <cellStyle name="Vírgula 4 10 2 5" xfId="16431" xr:uid="{00000000-0005-0000-0000-00008C3A0000}"/>
    <cellStyle name="Vírgula 4 10 3" xfId="4356" xr:uid="{00000000-0005-0000-0000-00008D3A0000}"/>
    <cellStyle name="Vírgula 4 10 3 2" xfId="6286" xr:uid="{00000000-0005-0000-0000-00008E3A0000}"/>
    <cellStyle name="Vírgula 4 10 3 2 2" xfId="23268" xr:uid="{00000000-0005-0000-0000-00008F3A0000}"/>
    <cellStyle name="Vírgula 4 10 3 2 3" xfId="19321" xr:uid="{00000000-0005-0000-0000-0000903A0000}"/>
    <cellStyle name="Vírgula 4 10 3 3" xfId="21400" xr:uid="{00000000-0005-0000-0000-0000913A0000}"/>
    <cellStyle name="Vírgula 4 10 3 4" xfId="17393" xr:uid="{00000000-0005-0000-0000-0000923A0000}"/>
    <cellStyle name="Vírgula 4 11" xfId="2259" xr:uid="{00000000-0005-0000-0000-0000933A0000}"/>
    <cellStyle name="Vírgula 4 11 2" xfId="3388" xr:uid="{00000000-0005-0000-0000-0000943A0000}"/>
    <cellStyle name="Vírgula 4 11 2 2" xfId="4718" xr:uid="{00000000-0005-0000-0000-0000953A0000}"/>
    <cellStyle name="Vírgula 4 11 2 2 2" xfId="21758" xr:uid="{00000000-0005-0000-0000-0000963A0000}"/>
    <cellStyle name="Vírgula 4 11 2 2 3" xfId="17753" xr:uid="{00000000-0005-0000-0000-0000973A0000}"/>
    <cellStyle name="Vírgula 4 11 2 3" xfId="5557" xr:uid="{00000000-0005-0000-0000-0000983A0000}"/>
    <cellStyle name="Vírgula 4 11 2 3 2" xfId="22556" xr:uid="{00000000-0005-0000-0000-0000993A0000}"/>
    <cellStyle name="Vírgula 4 11 2 3 3" xfId="18592" xr:uid="{00000000-0005-0000-0000-00009A3A0000}"/>
    <cellStyle name="Vírgula 4 11 2 4" xfId="20456" xr:uid="{00000000-0005-0000-0000-00009B3A0000}"/>
    <cellStyle name="Vírgula 4 11 2 5" xfId="16432" xr:uid="{00000000-0005-0000-0000-00009C3A0000}"/>
    <cellStyle name="Vírgula 4 11 3" xfId="4337" xr:uid="{00000000-0005-0000-0000-00009D3A0000}"/>
    <cellStyle name="Vírgula 4 11 3 2" xfId="6287" xr:uid="{00000000-0005-0000-0000-00009E3A0000}"/>
    <cellStyle name="Vírgula 4 11 3 2 2" xfId="23269" xr:uid="{00000000-0005-0000-0000-00009F3A0000}"/>
    <cellStyle name="Vírgula 4 11 3 2 3" xfId="19322" xr:uid="{00000000-0005-0000-0000-0000A03A0000}"/>
    <cellStyle name="Vírgula 4 11 3 3" xfId="21381" xr:uid="{00000000-0005-0000-0000-0000A13A0000}"/>
    <cellStyle name="Vírgula 4 11 3 4" xfId="17374" xr:uid="{00000000-0005-0000-0000-0000A23A0000}"/>
    <cellStyle name="Vírgula 4 12" xfId="2260" xr:uid="{00000000-0005-0000-0000-0000A33A0000}"/>
    <cellStyle name="Vírgula 4 12 2" xfId="3389" xr:uid="{00000000-0005-0000-0000-0000A43A0000}"/>
    <cellStyle name="Vírgula 4 12 2 2" xfId="4719" xr:uid="{00000000-0005-0000-0000-0000A53A0000}"/>
    <cellStyle name="Vírgula 4 12 2 2 2" xfId="21759" xr:uid="{00000000-0005-0000-0000-0000A63A0000}"/>
    <cellStyle name="Vírgula 4 12 2 2 3" xfId="17754" xr:uid="{00000000-0005-0000-0000-0000A73A0000}"/>
    <cellStyle name="Vírgula 4 12 2 3" xfId="5558" xr:uid="{00000000-0005-0000-0000-0000A83A0000}"/>
    <cellStyle name="Vírgula 4 12 2 3 2" xfId="22557" xr:uid="{00000000-0005-0000-0000-0000A93A0000}"/>
    <cellStyle name="Vírgula 4 12 2 3 3" xfId="18593" xr:uid="{00000000-0005-0000-0000-0000AA3A0000}"/>
    <cellStyle name="Vírgula 4 12 2 4" xfId="20457" xr:uid="{00000000-0005-0000-0000-0000AB3A0000}"/>
    <cellStyle name="Vírgula 4 12 2 5" xfId="16433" xr:uid="{00000000-0005-0000-0000-0000AC3A0000}"/>
    <cellStyle name="Vírgula 4 12 3" xfId="4256" xr:uid="{00000000-0005-0000-0000-0000AD3A0000}"/>
    <cellStyle name="Vírgula 4 12 3 2" xfId="6288" xr:uid="{00000000-0005-0000-0000-0000AE3A0000}"/>
    <cellStyle name="Vírgula 4 12 3 2 2" xfId="23270" xr:uid="{00000000-0005-0000-0000-0000AF3A0000}"/>
    <cellStyle name="Vírgula 4 12 3 2 3" xfId="19323" xr:uid="{00000000-0005-0000-0000-0000B03A0000}"/>
    <cellStyle name="Vírgula 4 12 3 3" xfId="21300" xr:uid="{00000000-0005-0000-0000-0000B13A0000}"/>
    <cellStyle name="Vírgula 4 12 3 4" xfId="17293" xr:uid="{00000000-0005-0000-0000-0000B23A0000}"/>
    <cellStyle name="Vírgula 4 13" xfId="3031" xr:uid="{00000000-0005-0000-0000-0000B33A0000}"/>
    <cellStyle name="Vírgula 4 13 2" xfId="3860" xr:uid="{00000000-0005-0000-0000-0000B43A0000}"/>
    <cellStyle name="Vírgula 4 13 2 2" xfId="5881" xr:uid="{00000000-0005-0000-0000-0000B53A0000}"/>
    <cellStyle name="Vírgula 4 13 2 2 2" xfId="22877" xr:uid="{00000000-0005-0000-0000-0000B63A0000}"/>
    <cellStyle name="Vírgula 4 13 2 2 3" xfId="18916" xr:uid="{00000000-0005-0000-0000-0000B73A0000}"/>
    <cellStyle name="Vírgula 4 13 2 3" xfId="20921" xr:uid="{00000000-0005-0000-0000-0000B83A0000}"/>
    <cellStyle name="Vírgula 4 13 2 4" xfId="16902" xr:uid="{00000000-0005-0000-0000-0000B93A0000}"/>
    <cellStyle name="Vírgula 4 13 3" xfId="5200" xr:uid="{00000000-0005-0000-0000-0000BA3A0000}"/>
    <cellStyle name="Vírgula 4 13 3 2" xfId="11197" xr:uid="{00000000-0005-0000-0000-0000BB3A0000}"/>
    <cellStyle name="Vírgula 4 13 3 2 2" xfId="22199" xr:uid="{00000000-0005-0000-0000-0000BC3A0000}"/>
    <cellStyle name="Vírgula 4 13 3 3" xfId="11352" xr:uid="{00000000-0005-0000-0000-0000BD3A0000}"/>
    <cellStyle name="Vírgula 4 13 3 4" xfId="18235" xr:uid="{00000000-0005-0000-0000-0000BE3A0000}"/>
    <cellStyle name="Vírgula 4 13 4" xfId="13562" xr:uid="{00000000-0005-0000-0000-0000BF3A0000}"/>
    <cellStyle name="Vírgula 4 13 4 2" xfId="20099" xr:uid="{00000000-0005-0000-0000-0000C03A0000}"/>
    <cellStyle name="Vírgula 4 13 5" xfId="16075" xr:uid="{00000000-0005-0000-0000-0000C13A0000}"/>
    <cellStyle name="Vírgula 4 14" xfId="8518" xr:uid="{00000000-0005-0000-0000-0000C23A0000}"/>
    <cellStyle name="Vírgula 4 14 2" xfId="11380" xr:uid="{00000000-0005-0000-0000-0000C33A0000}"/>
    <cellStyle name="Vírgula 4 14 3" xfId="11353" xr:uid="{00000000-0005-0000-0000-0000C43A0000}"/>
    <cellStyle name="Vírgula 4 15" xfId="8519" xr:uid="{00000000-0005-0000-0000-0000C53A0000}"/>
    <cellStyle name="Vírgula 4 16" xfId="8520" xr:uid="{00000000-0005-0000-0000-0000C63A0000}"/>
    <cellStyle name="Vírgula 4 2" xfId="59" xr:uid="{00000000-0005-0000-0000-0000C73A0000}"/>
    <cellStyle name="Vírgula 4 2 10" xfId="2261" xr:uid="{00000000-0005-0000-0000-0000C83A0000}"/>
    <cellStyle name="Vírgula 4 2 10 2" xfId="3390" xr:uid="{00000000-0005-0000-0000-0000C93A0000}"/>
    <cellStyle name="Vírgula 4 2 10 2 2" xfId="4720" xr:uid="{00000000-0005-0000-0000-0000CA3A0000}"/>
    <cellStyle name="Vírgula 4 2 10 2 2 2" xfId="21760" xr:uid="{00000000-0005-0000-0000-0000CB3A0000}"/>
    <cellStyle name="Vírgula 4 2 10 2 2 3" xfId="17755" xr:uid="{00000000-0005-0000-0000-0000CC3A0000}"/>
    <cellStyle name="Vírgula 4 2 10 2 3" xfId="5559" xr:uid="{00000000-0005-0000-0000-0000CD3A0000}"/>
    <cellStyle name="Vírgula 4 2 10 2 3 2" xfId="22558" xr:uid="{00000000-0005-0000-0000-0000CE3A0000}"/>
    <cellStyle name="Vírgula 4 2 10 2 3 3" xfId="18594" xr:uid="{00000000-0005-0000-0000-0000CF3A0000}"/>
    <cellStyle name="Vírgula 4 2 10 2 4" xfId="20458" xr:uid="{00000000-0005-0000-0000-0000D03A0000}"/>
    <cellStyle name="Vírgula 4 2 10 2 5" xfId="16434" xr:uid="{00000000-0005-0000-0000-0000D13A0000}"/>
    <cellStyle name="Vírgula 4 2 10 3" xfId="4021" xr:uid="{00000000-0005-0000-0000-0000D23A0000}"/>
    <cellStyle name="Vírgula 4 2 10 3 2" xfId="6289" xr:uid="{00000000-0005-0000-0000-0000D33A0000}"/>
    <cellStyle name="Vírgula 4 2 10 3 2 2" xfId="23271" xr:uid="{00000000-0005-0000-0000-0000D43A0000}"/>
    <cellStyle name="Vírgula 4 2 10 3 2 3" xfId="19324" xr:uid="{00000000-0005-0000-0000-0000D53A0000}"/>
    <cellStyle name="Vírgula 4 2 10 3 3" xfId="21073" xr:uid="{00000000-0005-0000-0000-0000D63A0000}"/>
    <cellStyle name="Vírgula 4 2 10 3 4" xfId="17062" xr:uid="{00000000-0005-0000-0000-0000D73A0000}"/>
    <cellStyle name="Vírgula 4 2 11" xfId="3032" xr:uid="{00000000-0005-0000-0000-0000D83A0000}"/>
    <cellStyle name="Vírgula 4 2 11 2" xfId="4115" xr:uid="{00000000-0005-0000-0000-0000D93A0000}"/>
    <cellStyle name="Vírgula 4 2 11 2 2" xfId="5882" xr:uid="{00000000-0005-0000-0000-0000DA3A0000}"/>
    <cellStyle name="Vírgula 4 2 11 2 2 2" xfId="22878" xr:uid="{00000000-0005-0000-0000-0000DB3A0000}"/>
    <cellStyle name="Vírgula 4 2 11 2 2 3" xfId="18917" xr:uid="{00000000-0005-0000-0000-0000DC3A0000}"/>
    <cellStyle name="Vírgula 4 2 11 2 3" xfId="21163" xr:uid="{00000000-0005-0000-0000-0000DD3A0000}"/>
    <cellStyle name="Vírgula 4 2 11 2 4" xfId="17155" xr:uid="{00000000-0005-0000-0000-0000DE3A0000}"/>
    <cellStyle name="Vírgula 4 2 11 3" xfId="5201" xr:uid="{00000000-0005-0000-0000-0000DF3A0000}"/>
    <cellStyle name="Vírgula 4 2 11 3 2" xfId="11136" xr:uid="{00000000-0005-0000-0000-0000E03A0000}"/>
    <cellStyle name="Vírgula 4 2 11 3 2 2" xfId="22200" xr:uid="{00000000-0005-0000-0000-0000E13A0000}"/>
    <cellStyle name="Vírgula 4 2 11 3 3" xfId="11521" xr:uid="{00000000-0005-0000-0000-0000E23A0000}"/>
    <cellStyle name="Vírgula 4 2 11 3 4" xfId="18236" xr:uid="{00000000-0005-0000-0000-0000E33A0000}"/>
    <cellStyle name="Vírgula 4 2 11 4" xfId="13563" xr:uid="{00000000-0005-0000-0000-0000E43A0000}"/>
    <cellStyle name="Vírgula 4 2 11 4 2" xfId="20100" xr:uid="{00000000-0005-0000-0000-0000E53A0000}"/>
    <cellStyle name="Vírgula 4 2 11 5" xfId="16076" xr:uid="{00000000-0005-0000-0000-0000E63A0000}"/>
    <cellStyle name="Vírgula 4 2 12" xfId="8521" xr:uid="{00000000-0005-0000-0000-0000E73A0000}"/>
    <cellStyle name="Vírgula 4 2 12 2" xfId="11975" xr:uid="{00000000-0005-0000-0000-0000E83A0000}"/>
    <cellStyle name="Vírgula 4 2 12 3" xfId="11354" xr:uid="{00000000-0005-0000-0000-0000E93A0000}"/>
    <cellStyle name="Vírgula 4 2 13" xfId="8522" xr:uid="{00000000-0005-0000-0000-0000EA3A0000}"/>
    <cellStyle name="Vírgula 4 2 14" xfId="8523" xr:uid="{00000000-0005-0000-0000-0000EB3A0000}"/>
    <cellStyle name="Vírgula 4 2 2" xfId="60" xr:uid="{00000000-0005-0000-0000-0000EC3A0000}"/>
    <cellStyle name="Vírgula 4 2 2 10" xfId="3033" xr:uid="{00000000-0005-0000-0000-0000ED3A0000}"/>
    <cellStyle name="Vírgula 4 2 2 10 2" xfId="4453" xr:uid="{00000000-0005-0000-0000-0000EE3A0000}"/>
    <cellStyle name="Vírgula 4 2 2 10 2 2" xfId="5883" xr:uid="{00000000-0005-0000-0000-0000EF3A0000}"/>
    <cellStyle name="Vírgula 4 2 2 10 2 2 2" xfId="22879" xr:uid="{00000000-0005-0000-0000-0000F03A0000}"/>
    <cellStyle name="Vírgula 4 2 2 10 2 2 3" xfId="18918" xr:uid="{00000000-0005-0000-0000-0000F13A0000}"/>
    <cellStyle name="Vírgula 4 2 2 10 2 3" xfId="21494" xr:uid="{00000000-0005-0000-0000-0000F23A0000}"/>
    <cellStyle name="Vírgula 4 2 2 10 2 4" xfId="17489" xr:uid="{00000000-0005-0000-0000-0000F33A0000}"/>
    <cellStyle name="Vírgula 4 2 2 10 3" xfId="5202" xr:uid="{00000000-0005-0000-0000-0000F43A0000}"/>
    <cellStyle name="Vírgula 4 2 2 10 3 2" xfId="13009" xr:uid="{00000000-0005-0000-0000-0000F53A0000}"/>
    <cellStyle name="Vírgula 4 2 2 10 3 2 2" xfId="22201" xr:uid="{00000000-0005-0000-0000-0000F63A0000}"/>
    <cellStyle name="Vírgula 4 2 2 10 3 3" xfId="11082" xr:uid="{00000000-0005-0000-0000-0000F73A0000}"/>
    <cellStyle name="Vírgula 4 2 2 10 3 4" xfId="18237" xr:uid="{00000000-0005-0000-0000-0000F83A0000}"/>
    <cellStyle name="Vírgula 4 2 2 10 4" xfId="13564" xr:uid="{00000000-0005-0000-0000-0000F93A0000}"/>
    <cellStyle name="Vírgula 4 2 2 10 4 2" xfId="20101" xr:uid="{00000000-0005-0000-0000-0000FA3A0000}"/>
    <cellStyle name="Vírgula 4 2 2 10 5" xfId="16077" xr:uid="{00000000-0005-0000-0000-0000FB3A0000}"/>
    <cellStyle name="Vírgula 4 2 2 11" xfId="8524" xr:uid="{00000000-0005-0000-0000-0000FC3A0000}"/>
    <cellStyle name="Vírgula 4 2 2 11 2" xfId="11142" xr:uid="{00000000-0005-0000-0000-0000FD3A0000}"/>
    <cellStyle name="Vírgula 4 2 2 11 3" xfId="11140" xr:uid="{00000000-0005-0000-0000-0000FE3A0000}"/>
    <cellStyle name="Vírgula 4 2 2 12" xfId="8525" xr:uid="{00000000-0005-0000-0000-0000FF3A0000}"/>
    <cellStyle name="Vírgula 4 2 2 13" xfId="8526" xr:uid="{00000000-0005-0000-0000-0000003B0000}"/>
    <cellStyle name="Vírgula 4 2 2 2" xfId="673" xr:uid="{00000000-0005-0000-0000-0000013B0000}"/>
    <cellStyle name="Vírgula 4 2 2 2 2" xfId="3107" xr:uid="{00000000-0005-0000-0000-0000023B0000}"/>
    <cellStyle name="Vírgula 4 2 2 2 2 2" xfId="4522" xr:uid="{00000000-0005-0000-0000-0000033B0000}"/>
    <cellStyle name="Vírgula 4 2 2 2 2 2 2" xfId="21562" xr:uid="{00000000-0005-0000-0000-0000043B0000}"/>
    <cellStyle name="Vírgula 4 2 2 2 2 2 3" xfId="17557" xr:uid="{00000000-0005-0000-0000-0000053B0000}"/>
    <cellStyle name="Vírgula 4 2 2 2 2 3" xfId="5276" xr:uid="{00000000-0005-0000-0000-0000063B0000}"/>
    <cellStyle name="Vírgula 4 2 2 2 2 3 2" xfId="22275" xr:uid="{00000000-0005-0000-0000-0000073B0000}"/>
    <cellStyle name="Vírgula 4 2 2 2 2 3 3" xfId="18311" xr:uid="{00000000-0005-0000-0000-0000083B0000}"/>
    <cellStyle name="Vírgula 4 2 2 2 2 4" xfId="20175" xr:uid="{00000000-0005-0000-0000-0000093B0000}"/>
    <cellStyle name="Vírgula 4 2 2 2 2 5" xfId="16151" xr:uid="{00000000-0005-0000-0000-00000A3B0000}"/>
    <cellStyle name="Vírgula 4 2 2 2 3" xfId="3795" xr:uid="{00000000-0005-0000-0000-00000B3B0000}"/>
    <cellStyle name="Vírgula 4 2 2 2 3 2" xfId="5991" xr:uid="{00000000-0005-0000-0000-00000C3B0000}"/>
    <cellStyle name="Vírgula 4 2 2 2 3 2 2" xfId="22985" xr:uid="{00000000-0005-0000-0000-00000D3B0000}"/>
    <cellStyle name="Vírgula 4 2 2 2 3 2 3" xfId="19026" xr:uid="{00000000-0005-0000-0000-00000E3B0000}"/>
    <cellStyle name="Vírgula 4 2 2 2 3 3" xfId="20857" xr:uid="{00000000-0005-0000-0000-00000F3B0000}"/>
    <cellStyle name="Vírgula 4 2 2 2 3 4" xfId="16837" xr:uid="{00000000-0005-0000-0000-0000103B0000}"/>
    <cellStyle name="Vírgula 4 2 2 3" xfId="2262" xr:uid="{00000000-0005-0000-0000-0000113B0000}"/>
    <cellStyle name="Vírgula 4 2 2 3 2" xfId="3391" xr:uid="{00000000-0005-0000-0000-0000123B0000}"/>
    <cellStyle name="Vírgula 4 2 2 3 2 2" xfId="4721" xr:uid="{00000000-0005-0000-0000-0000133B0000}"/>
    <cellStyle name="Vírgula 4 2 2 3 2 2 2" xfId="21761" xr:uid="{00000000-0005-0000-0000-0000143B0000}"/>
    <cellStyle name="Vírgula 4 2 2 3 2 2 3" xfId="17756" xr:uid="{00000000-0005-0000-0000-0000153B0000}"/>
    <cellStyle name="Vírgula 4 2 2 3 2 3" xfId="5560" xr:uid="{00000000-0005-0000-0000-0000163B0000}"/>
    <cellStyle name="Vírgula 4 2 2 3 2 3 2" xfId="22559" xr:uid="{00000000-0005-0000-0000-0000173B0000}"/>
    <cellStyle name="Vírgula 4 2 2 3 2 3 3" xfId="18595" xr:uid="{00000000-0005-0000-0000-0000183B0000}"/>
    <cellStyle name="Vírgula 4 2 2 3 2 4" xfId="20459" xr:uid="{00000000-0005-0000-0000-0000193B0000}"/>
    <cellStyle name="Vírgula 4 2 2 3 2 5" xfId="16435" xr:uid="{00000000-0005-0000-0000-00001A3B0000}"/>
    <cellStyle name="Vírgula 4 2 2 3 3" xfId="4046" xr:uid="{00000000-0005-0000-0000-00001B3B0000}"/>
    <cellStyle name="Vírgula 4 2 2 3 3 2" xfId="6290" xr:uid="{00000000-0005-0000-0000-00001C3B0000}"/>
    <cellStyle name="Vírgula 4 2 2 3 3 2 2" xfId="23272" xr:uid="{00000000-0005-0000-0000-00001D3B0000}"/>
    <cellStyle name="Vírgula 4 2 2 3 3 2 3" xfId="19325" xr:uid="{00000000-0005-0000-0000-00001E3B0000}"/>
    <cellStyle name="Vírgula 4 2 2 3 3 3" xfId="21095" xr:uid="{00000000-0005-0000-0000-00001F3B0000}"/>
    <cellStyle name="Vírgula 4 2 2 3 3 4" xfId="17087" xr:uid="{00000000-0005-0000-0000-0000203B0000}"/>
    <cellStyle name="Vírgula 4 2 2 4" xfId="2263" xr:uid="{00000000-0005-0000-0000-0000213B0000}"/>
    <cellStyle name="Vírgula 4 2 2 4 2" xfId="3392" xr:uid="{00000000-0005-0000-0000-0000223B0000}"/>
    <cellStyle name="Vírgula 4 2 2 4 2 2" xfId="4722" xr:uid="{00000000-0005-0000-0000-0000233B0000}"/>
    <cellStyle name="Vírgula 4 2 2 4 2 2 2" xfId="21762" xr:uid="{00000000-0005-0000-0000-0000243B0000}"/>
    <cellStyle name="Vírgula 4 2 2 4 2 2 3" xfId="17757" xr:uid="{00000000-0005-0000-0000-0000253B0000}"/>
    <cellStyle name="Vírgula 4 2 2 4 2 3" xfId="5561" xr:uid="{00000000-0005-0000-0000-0000263B0000}"/>
    <cellStyle name="Vírgula 4 2 2 4 2 3 2" xfId="22560" xr:uid="{00000000-0005-0000-0000-0000273B0000}"/>
    <cellStyle name="Vírgula 4 2 2 4 2 3 3" xfId="18596" xr:uid="{00000000-0005-0000-0000-0000283B0000}"/>
    <cellStyle name="Vírgula 4 2 2 4 2 4" xfId="20460" xr:uid="{00000000-0005-0000-0000-0000293B0000}"/>
    <cellStyle name="Vírgula 4 2 2 4 2 5" xfId="16436" xr:uid="{00000000-0005-0000-0000-00002A3B0000}"/>
    <cellStyle name="Vírgula 4 2 2 4 3" xfId="3811" xr:uid="{00000000-0005-0000-0000-00002B3B0000}"/>
    <cellStyle name="Vírgula 4 2 2 4 3 2" xfId="6291" xr:uid="{00000000-0005-0000-0000-00002C3B0000}"/>
    <cellStyle name="Vírgula 4 2 2 4 3 2 2" xfId="23273" xr:uid="{00000000-0005-0000-0000-00002D3B0000}"/>
    <cellStyle name="Vírgula 4 2 2 4 3 2 3" xfId="19326" xr:uid="{00000000-0005-0000-0000-00002E3B0000}"/>
    <cellStyle name="Vírgula 4 2 2 4 3 3" xfId="20873" xr:uid="{00000000-0005-0000-0000-00002F3B0000}"/>
    <cellStyle name="Vírgula 4 2 2 4 3 4" xfId="16853" xr:uid="{00000000-0005-0000-0000-0000303B0000}"/>
    <cellStyle name="Vírgula 4 2 2 5" xfId="2264" xr:uid="{00000000-0005-0000-0000-0000313B0000}"/>
    <cellStyle name="Vírgula 4 2 2 5 2" xfId="3393" xr:uid="{00000000-0005-0000-0000-0000323B0000}"/>
    <cellStyle name="Vírgula 4 2 2 5 2 2" xfId="4723" xr:uid="{00000000-0005-0000-0000-0000333B0000}"/>
    <cellStyle name="Vírgula 4 2 2 5 2 2 2" xfId="21763" xr:uid="{00000000-0005-0000-0000-0000343B0000}"/>
    <cellStyle name="Vírgula 4 2 2 5 2 2 3" xfId="17758" xr:uid="{00000000-0005-0000-0000-0000353B0000}"/>
    <cellStyle name="Vírgula 4 2 2 5 2 3" xfId="5562" xr:uid="{00000000-0005-0000-0000-0000363B0000}"/>
    <cellStyle name="Vírgula 4 2 2 5 2 3 2" xfId="22561" xr:uid="{00000000-0005-0000-0000-0000373B0000}"/>
    <cellStyle name="Vírgula 4 2 2 5 2 3 3" xfId="18597" xr:uid="{00000000-0005-0000-0000-0000383B0000}"/>
    <cellStyle name="Vírgula 4 2 2 5 2 4" xfId="20461" xr:uid="{00000000-0005-0000-0000-0000393B0000}"/>
    <cellStyle name="Vírgula 4 2 2 5 2 5" xfId="16437" xr:uid="{00000000-0005-0000-0000-00003A3B0000}"/>
    <cellStyle name="Vírgula 4 2 2 5 3" xfId="3840" xr:uid="{00000000-0005-0000-0000-00003B3B0000}"/>
    <cellStyle name="Vírgula 4 2 2 5 3 2" xfId="6292" xr:uid="{00000000-0005-0000-0000-00003C3B0000}"/>
    <cellStyle name="Vírgula 4 2 2 5 3 2 2" xfId="23274" xr:uid="{00000000-0005-0000-0000-00003D3B0000}"/>
    <cellStyle name="Vírgula 4 2 2 5 3 2 3" xfId="19327" xr:uid="{00000000-0005-0000-0000-00003E3B0000}"/>
    <cellStyle name="Vírgula 4 2 2 5 3 3" xfId="20902" xr:uid="{00000000-0005-0000-0000-00003F3B0000}"/>
    <cellStyle name="Vírgula 4 2 2 5 3 4" xfId="16882" xr:uid="{00000000-0005-0000-0000-0000403B0000}"/>
    <cellStyle name="Vírgula 4 2 2 6" xfId="2265" xr:uid="{00000000-0005-0000-0000-0000413B0000}"/>
    <cellStyle name="Vírgula 4 2 2 6 2" xfId="3394" xr:uid="{00000000-0005-0000-0000-0000423B0000}"/>
    <cellStyle name="Vírgula 4 2 2 6 2 2" xfId="4724" xr:uid="{00000000-0005-0000-0000-0000433B0000}"/>
    <cellStyle name="Vírgula 4 2 2 6 2 2 2" xfId="21764" xr:uid="{00000000-0005-0000-0000-0000443B0000}"/>
    <cellStyle name="Vírgula 4 2 2 6 2 2 3" xfId="17759" xr:uid="{00000000-0005-0000-0000-0000453B0000}"/>
    <cellStyle name="Vírgula 4 2 2 6 2 3" xfId="5563" xr:uid="{00000000-0005-0000-0000-0000463B0000}"/>
    <cellStyle name="Vírgula 4 2 2 6 2 3 2" xfId="22562" xr:uid="{00000000-0005-0000-0000-0000473B0000}"/>
    <cellStyle name="Vírgula 4 2 2 6 2 3 3" xfId="18598" xr:uid="{00000000-0005-0000-0000-0000483B0000}"/>
    <cellStyle name="Vírgula 4 2 2 6 2 4" xfId="20462" xr:uid="{00000000-0005-0000-0000-0000493B0000}"/>
    <cellStyle name="Vírgula 4 2 2 6 2 5" xfId="16438" xr:uid="{00000000-0005-0000-0000-00004A3B0000}"/>
    <cellStyle name="Vírgula 4 2 2 6 3" xfId="3718" xr:uid="{00000000-0005-0000-0000-00004B3B0000}"/>
    <cellStyle name="Vírgula 4 2 2 6 3 2" xfId="6293" xr:uid="{00000000-0005-0000-0000-00004C3B0000}"/>
    <cellStyle name="Vírgula 4 2 2 6 3 2 2" xfId="23275" xr:uid="{00000000-0005-0000-0000-00004D3B0000}"/>
    <cellStyle name="Vírgula 4 2 2 6 3 2 3" xfId="19328" xr:uid="{00000000-0005-0000-0000-00004E3B0000}"/>
    <cellStyle name="Vírgula 4 2 2 6 3 3" xfId="20783" xr:uid="{00000000-0005-0000-0000-00004F3B0000}"/>
    <cellStyle name="Vírgula 4 2 2 6 3 4" xfId="16762" xr:uid="{00000000-0005-0000-0000-0000503B0000}"/>
    <cellStyle name="Vírgula 4 2 2 7" xfId="2266" xr:uid="{00000000-0005-0000-0000-0000513B0000}"/>
    <cellStyle name="Vírgula 4 2 2 7 2" xfId="3395" xr:uid="{00000000-0005-0000-0000-0000523B0000}"/>
    <cellStyle name="Vírgula 4 2 2 7 2 2" xfId="4725" xr:uid="{00000000-0005-0000-0000-0000533B0000}"/>
    <cellStyle name="Vírgula 4 2 2 7 2 2 2" xfId="21765" xr:uid="{00000000-0005-0000-0000-0000543B0000}"/>
    <cellStyle name="Vírgula 4 2 2 7 2 2 3" xfId="17760" xr:uid="{00000000-0005-0000-0000-0000553B0000}"/>
    <cellStyle name="Vírgula 4 2 2 7 2 3" xfId="5564" xr:uid="{00000000-0005-0000-0000-0000563B0000}"/>
    <cellStyle name="Vírgula 4 2 2 7 2 3 2" xfId="22563" xr:uid="{00000000-0005-0000-0000-0000573B0000}"/>
    <cellStyle name="Vírgula 4 2 2 7 2 3 3" xfId="18599" xr:uid="{00000000-0005-0000-0000-0000583B0000}"/>
    <cellStyle name="Vírgula 4 2 2 7 2 4" xfId="20463" xr:uid="{00000000-0005-0000-0000-0000593B0000}"/>
    <cellStyle name="Vírgula 4 2 2 7 2 5" xfId="16439" xr:uid="{00000000-0005-0000-0000-00005A3B0000}"/>
    <cellStyle name="Vírgula 4 2 2 7 3" xfId="4391" xr:uid="{00000000-0005-0000-0000-00005B3B0000}"/>
    <cellStyle name="Vírgula 4 2 2 7 3 2" xfId="6294" xr:uid="{00000000-0005-0000-0000-00005C3B0000}"/>
    <cellStyle name="Vírgula 4 2 2 7 3 2 2" xfId="23276" xr:uid="{00000000-0005-0000-0000-00005D3B0000}"/>
    <cellStyle name="Vírgula 4 2 2 7 3 2 3" xfId="19329" xr:uid="{00000000-0005-0000-0000-00005E3B0000}"/>
    <cellStyle name="Vírgula 4 2 2 7 3 3" xfId="21435" xr:uid="{00000000-0005-0000-0000-00005F3B0000}"/>
    <cellStyle name="Vírgula 4 2 2 7 3 4" xfId="17428" xr:uid="{00000000-0005-0000-0000-0000603B0000}"/>
    <cellStyle name="Vírgula 4 2 2 8" xfId="2267" xr:uid="{00000000-0005-0000-0000-0000613B0000}"/>
    <cellStyle name="Vírgula 4 2 2 8 2" xfId="3396" xr:uid="{00000000-0005-0000-0000-0000623B0000}"/>
    <cellStyle name="Vírgula 4 2 2 8 2 2" xfId="4726" xr:uid="{00000000-0005-0000-0000-0000633B0000}"/>
    <cellStyle name="Vírgula 4 2 2 8 2 2 2" xfId="21766" xr:uid="{00000000-0005-0000-0000-0000643B0000}"/>
    <cellStyle name="Vírgula 4 2 2 8 2 2 3" xfId="17761" xr:uid="{00000000-0005-0000-0000-0000653B0000}"/>
    <cellStyle name="Vírgula 4 2 2 8 2 3" xfId="5565" xr:uid="{00000000-0005-0000-0000-0000663B0000}"/>
    <cellStyle name="Vírgula 4 2 2 8 2 3 2" xfId="22564" xr:uid="{00000000-0005-0000-0000-0000673B0000}"/>
    <cellStyle name="Vírgula 4 2 2 8 2 3 3" xfId="18600" xr:uid="{00000000-0005-0000-0000-0000683B0000}"/>
    <cellStyle name="Vírgula 4 2 2 8 2 4" xfId="20464" xr:uid="{00000000-0005-0000-0000-0000693B0000}"/>
    <cellStyle name="Vírgula 4 2 2 8 2 5" xfId="16440" xr:uid="{00000000-0005-0000-0000-00006A3B0000}"/>
    <cellStyle name="Vírgula 4 2 2 8 3" xfId="4252" xr:uid="{00000000-0005-0000-0000-00006B3B0000}"/>
    <cellStyle name="Vírgula 4 2 2 8 3 2" xfId="6295" xr:uid="{00000000-0005-0000-0000-00006C3B0000}"/>
    <cellStyle name="Vírgula 4 2 2 8 3 2 2" xfId="23277" xr:uid="{00000000-0005-0000-0000-00006D3B0000}"/>
    <cellStyle name="Vírgula 4 2 2 8 3 2 3" xfId="19330" xr:uid="{00000000-0005-0000-0000-00006E3B0000}"/>
    <cellStyle name="Vírgula 4 2 2 8 3 3" xfId="21296" xr:uid="{00000000-0005-0000-0000-00006F3B0000}"/>
    <cellStyle name="Vírgula 4 2 2 8 3 4" xfId="17289" xr:uid="{00000000-0005-0000-0000-0000703B0000}"/>
    <cellStyle name="Vírgula 4 2 2 9" xfId="2268" xr:uid="{00000000-0005-0000-0000-0000713B0000}"/>
    <cellStyle name="Vírgula 4 2 2 9 2" xfId="3397" xr:uid="{00000000-0005-0000-0000-0000723B0000}"/>
    <cellStyle name="Vírgula 4 2 2 9 2 2" xfId="4727" xr:uid="{00000000-0005-0000-0000-0000733B0000}"/>
    <cellStyle name="Vírgula 4 2 2 9 2 2 2" xfId="21767" xr:uid="{00000000-0005-0000-0000-0000743B0000}"/>
    <cellStyle name="Vírgula 4 2 2 9 2 2 3" xfId="17762" xr:uid="{00000000-0005-0000-0000-0000753B0000}"/>
    <cellStyle name="Vírgula 4 2 2 9 2 3" xfId="5566" xr:uid="{00000000-0005-0000-0000-0000763B0000}"/>
    <cellStyle name="Vírgula 4 2 2 9 2 3 2" xfId="22565" xr:uid="{00000000-0005-0000-0000-0000773B0000}"/>
    <cellStyle name="Vírgula 4 2 2 9 2 3 3" xfId="18601" xr:uid="{00000000-0005-0000-0000-0000783B0000}"/>
    <cellStyle name="Vírgula 4 2 2 9 2 4" xfId="20465" xr:uid="{00000000-0005-0000-0000-0000793B0000}"/>
    <cellStyle name="Vírgula 4 2 2 9 2 5" xfId="16441" xr:uid="{00000000-0005-0000-0000-00007A3B0000}"/>
    <cellStyle name="Vírgula 4 2 2 9 3" xfId="4003" xr:uid="{00000000-0005-0000-0000-00007B3B0000}"/>
    <cellStyle name="Vírgula 4 2 2 9 3 2" xfId="6296" xr:uid="{00000000-0005-0000-0000-00007C3B0000}"/>
    <cellStyle name="Vírgula 4 2 2 9 3 2 2" xfId="23278" xr:uid="{00000000-0005-0000-0000-00007D3B0000}"/>
    <cellStyle name="Vírgula 4 2 2 9 3 2 3" xfId="19331" xr:uid="{00000000-0005-0000-0000-00007E3B0000}"/>
    <cellStyle name="Vírgula 4 2 2 9 3 3" xfId="21055" xr:uid="{00000000-0005-0000-0000-00007F3B0000}"/>
    <cellStyle name="Vírgula 4 2 2 9 3 4" xfId="17044" xr:uid="{00000000-0005-0000-0000-0000803B0000}"/>
    <cellStyle name="Vírgula 4 2 3" xfId="672" xr:uid="{00000000-0005-0000-0000-0000813B0000}"/>
    <cellStyle name="Vírgula 4 2 3 2" xfId="3012" xr:uid="{00000000-0005-0000-0000-0000823B0000}"/>
    <cellStyle name="Vírgula 4 2 3 2 2" xfId="3687" xr:uid="{00000000-0005-0000-0000-0000833B0000}"/>
    <cellStyle name="Vírgula 4 2 3 2 2 2" xfId="4965" xr:uid="{00000000-0005-0000-0000-0000843B0000}"/>
    <cellStyle name="Vírgula 4 2 3 2 2 2 2" xfId="22005" xr:uid="{00000000-0005-0000-0000-0000853B0000}"/>
    <cellStyle name="Vírgula 4 2 3 2 2 2 3" xfId="18000" xr:uid="{00000000-0005-0000-0000-0000863B0000}"/>
    <cellStyle name="Vírgula 4 2 3 2 2 3" xfId="5856" xr:uid="{00000000-0005-0000-0000-0000873B0000}"/>
    <cellStyle name="Vírgula 4 2 3 2 2 3 2" xfId="22855" xr:uid="{00000000-0005-0000-0000-0000883B0000}"/>
    <cellStyle name="Vírgula 4 2 3 2 2 3 3" xfId="18891" xr:uid="{00000000-0005-0000-0000-0000893B0000}"/>
    <cellStyle name="Vírgula 4 2 3 2 2 4" xfId="20755" xr:uid="{00000000-0005-0000-0000-00008A3B0000}"/>
    <cellStyle name="Vírgula 4 2 3 2 2 5" xfId="16731" xr:uid="{00000000-0005-0000-0000-00008B3B0000}"/>
    <cellStyle name="Vírgula 4 2 3 2 3" xfId="4426" xr:uid="{00000000-0005-0000-0000-00008C3B0000}"/>
    <cellStyle name="Vírgula 4 2 3 2 3 2" xfId="6870" xr:uid="{00000000-0005-0000-0000-00008D3B0000}"/>
    <cellStyle name="Vírgula 4 2 3 2 3 2 2" xfId="23835" xr:uid="{00000000-0005-0000-0000-00008E3B0000}"/>
    <cellStyle name="Vírgula 4 2 3 2 3 2 3" xfId="19905" xr:uid="{00000000-0005-0000-0000-00008F3B0000}"/>
    <cellStyle name="Vírgula 4 2 3 2 3 3" xfId="21469" xr:uid="{00000000-0005-0000-0000-0000903B0000}"/>
    <cellStyle name="Vírgula 4 2 3 2 3 4" xfId="17463" xr:uid="{00000000-0005-0000-0000-0000913B0000}"/>
    <cellStyle name="Vírgula 4 2 3 2 4" xfId="5188" xr:uid="{00000000-0005-0000-0000-0000923B0000}"/>
    <cellStyle name="Vírgula 4 2 3 2 4 2" xfId="22188" xr:uid="{00000000-0005-0000-0000-0000933B0000}"/>
    <cellStyle name="Vírgula 4 2 3 2 4 3" xfId="18223" xr:uid="{00000000-0005-0000-0000-0000943B0000}"/>
    <cellStyle name="Vírgula 4 2 3 2 5" xfId="20088" xr:uid="{00000000-0005-0000-0000-0000953B0000}"/>
    <cellStyle name="Vírgula 4 2 3 2 6" xfId="16063" xr:uid="{00000000-0005-0000-0000-0000963B0000}"/>
    <cellStyle name="Vírgula 4 2 3 3" xfId="3106" xr:uid="{00000000-0005-0000-0000-0000973B0000}"/>
    <cellStyle name="Vírgula 4 2 3 3 2" xfId="4521" xr:uid="{00000000-0005-0000-0000-0000983B0000}"/>
    <cellStyle name="Vírgula 4 2 3 3 2 2" xfId="21561" xr:uid="{00000000-0005-0000-0000-0000993B0000}"/>
    <cellStyle name="Vírgula 4 2 3 3 2 3" xfId="17556" xr:uid="{00000000-0005-0000-0000-00009A3B0000}"/>
    <cellStyle name="Vírgula 4 2 3 3 3" xfId="5275" xr:uid="{00000000-0005-0000-0000-00009B3B0000}"/>
    <cellStyle name="Vírgula 4 2 3 3 3 2" xfId="22274" xr:uid="{00000000-0005-0000-0000-00009C3B0000}"/>
    <cellStyle name="Vírgula 4 2 3 3 3 3" xfId="18310" xr:uid="{00000000-0005-0000-0000-00009D3B0000}"/>
    <cellStyle name="Vírgula 4 2 3 3 4" xfId="20174" xr:uid="{00000000-0005-0000-0000-00009E3B0000}"/>
    <cellStyle name="Vírgula 4 2 3 3 5" xfId="16150" xr:uid="{00000000-0005-0000-0000-00009F3B0000}"/>
    <cellStyle name="Vírgula 4 2 3 4" xfId="3767" xr:uid="{00000000-0005-0000-0000-0000A03B0000}"/>
    <cellStyle name="Vírgula 4 2 3 4 2" xfId="5990" xr:uid="{00000000-0005-0000-0000-0000A13B0000}"/>
    <cellStyle name="Vírgula 4 2 3 4 2 2" xfId="22984" xr:uid="{00000000-0005-0000-0000-0000A23B0000}"/>
    <cellStyle name="Vírgula 4 2 3 4 2 3" xfId="19025" xr:uid="{00000000-0005-0000-0000-0000A33B0000}"/>
    <cellStyle name="Vírgula 4 2 3 4 3" xfId="20831" xr:uid="{00000000-0005-0000-0000-0000A43B0000}"/>
    <cellStyle name="Vírgula 4 2 3 4 4" xfId="16810" xr:uid="{00000000-0005-0000-0000-0000A53B0000}"/>
    <cellStyle name="Vírgula 4 2 4" xfId="2269" xr:uid="{00000000-0005-0000-0000-0000A63B0000}"/>
    <cellStyle name="Vírgula 4 2 4 2" xfId="3398" xr:uid="{00000000-0005-0000-0000-0000A73B0000}"/>
    <cellStyle name="Vírgula 4 2 4 2 2" xfId="4728" xr:uid="{00000000-0005-0000-0000-0000A83B0000}"/>
    <cellStyle name="Vírgula 4 2 4 2 2 2" xfId="21768" xr:uid="{00000000-0005-0000-0000-0000A93B0000}"/>
    <cellStyle name="Vírgula 4 2 4 2 2 3" xfId="17763" xr:uid="{00000000-0005-0000-0000-0000AA3B0000}"/>
    <cellStyle name="Vírgula 4 2 4 2 3" xfId="5567" xr:uid="{00000000-0005-0000-0000-0000AB3B0000}"/>
    <cellStyle name="Vírgula 4 2 4 2 3 2" xfId="22566" xr:uid="{00000000-0005-0000-0000-0000AC3B0000}"/>
    <cellStyle name="Vírgula 4 2 4 2 3 3" xfId="18602" xr:uid="{00000000-0005-0000-0000-0000AD3B0000}"/>
    <cellStyle name="Vírgula 4 2 4 2 4" xfId="20466" xr:uid="{00000000-0005-0000-0000-0000AE3B0000}"/>
    <cellStyle name="Vírgula 4 2 4 2 5" xfId="16442" xr:uid="{00000000-0005-0000-0000-0000AF3B0000}"/>
    <cellStyle name="Vírgula 4 2 4 3" xfId="4465" xr:uid="{00000000-0005-0000-0000-0000B03B0000}"/>
    <cellStyle name="Vírgula 4 2 4 3 2" xfId="6297" xr:uid="{00000000-0005-0000-0000-0000B13B0000}"/>
    <cellStyle name="Vírgula 4 2 4 3 2 2" xfId="23279" xr:uid="{00000000-0005-0000-0000-0000B23B0000}"/>
    <cellStyle name="Vírgula 4 2 4 3 2 3" xfId="19332" xr:uid="{00000000-0005-0000-0000-0000B33B0000}"/>
    <cellStyle name="Vírgula 4 2 4 3 3" xfId="21505" xr:uid="{00000000-0005-0000-0000-0000B43B0000}"/>
    <cellStyle name="Vírgula 4 2 4 3 4" xfId="17500" xr:uid="{00000000-0005-0000-0000-0000B53B0000}"/>
    <cellStyle name="Vírgula 4 2 5" xfId="2270" xr:uid="{00000000-0005-0000-0000-0000B63B0000}"/>
    <cellStyle name="Vírgula 4 2 5 2" xfId="3399" xr:uid="{00000000-0005-0000-0000-0000B73B0000}"/>
    <cellStyle name="Vírgula 4 2 5 2 2" xfId="4729" xr:uid="{00000000-0005-0000-0000-0000B83B0000}"/>
    <cellStyle name="Vírgula 4 2 5 2 2 2" xfId="21769" xr:uid="{00000000-0005-0000-0000-0000B93B0000}"/>
    <cellStyle name="Vírgula 4 2 5 2 2 3" xfId="17764" xr:uid="{00000000-0005-0000-0000-0000BA3B0000}"/>
    <cellStyle name="Vírgula 4 2 5 2 3" xfId="5568" xr:uid="{00000000-0005-0000-0000-0000BB3B0000}"/>
    <cellStyle name="Vírgula 4 2 5 2 3 2" xfId="22567" xr:uid="{00000000-0005-0000-0000-0000BC3B0000}"/>
    <cellStyle name="Vírgula 4 2 5 2 3 3" xfId="18603" xr:uid="{00000000-0005-0000-0000-0000BD3B0000}"/>
    <cellStyle name="Vírgula 4 2 5 2 4" xfId="20467" xr:uid="{00000000-0005-0000-0000-0000BE3B0000}"/>
    <cellStyle name="Vírgula 4 2 5 2 5" xfId="16443" xr:uid="{00000000-0005-0000-0000-0000BF3B0000}"/>
    <cellStyle name="Vírgula 4 2 5 3" xfId="3725" xr:uid="{00000000-0005-0000-0000-0000C03B0000}"/>
    <cellStyle name="Vírgula 4 2 5 3 2" xfId="6298" xr:uid="{00000000-0005-0000-0000-0000C13B0000}"/>
    <cellStyle name="Vírgula 4 2 5 3 2 2" xfId="23280" xr:uid="{00000000-0005-0000-0000-0000C23B0000}"/>
    <cellStyle name="Vírgula 4 2 5 3 2 3" xfId="19333" xr:uid="{00000000-0005-0000-0000-0000C33B0000}"/>
    <cellStyle name="Vírgula 4 2 5 3 3" xfId="20790" xr:uid="{00000000-0005-0000-0000-0000C43B0000}"/>
    <cellStyle name="Vírgula 4 2 5 3 4" xfId="16769" xr:uid="{00000000-0005-0000-0000-0000C53B0000}"/>
    <cellStyle name="Vírgula 4 2 6" xfId="2271" xr:uid="{00000000-0005-0000-0000-0000C63B0000}"/>
    <cellStyle name="Vírgula 4 2 6 2" xfId="3400" xr:uid="{00000000-0005-0000-0000-0000C73B0000}"/>
    <cellStyle name="Vírgula 4 2 6 2 2" xfId="4730" xr:uid="{00000000-0005-0000-0000-0000C83B0000}"/>
    <cellStyle name="Vírgula 4 2 6 2 2 2" xfId="21770" xr:uid="{00000000-0005-0000-0000-0000C93B0000}"/>
    <cellStyle name="Vírgula 4 2 6 2 2 3" xfId="17765" xr:uid="{00000000-0005-0000-0000-0000CA3B0000}"/>
    <cellStyle name="Vírgula 4 2 6 2 3" xfId="5569" xr:uid="{00000000-0005-0000-0000-0000CB3B0000}"/>
    <cellStyle name="Vírgula 4 2 6 2 3 2" xfId="22568" xr:uid="{00000000-0005-0000-0000-0000CC3B0000}"/>
    <cellStyle name="Vírgula 4 2 6 2 3 3" xfId="18604" xr:uid="{00000000-0005-0000-0000-0000CD3B0000}"/>
    <cellStyle name="Vírgula 4 2 6 2 4" xfId="20468" xr:uid="{00000000-0005-0000-0000-0000CE3B0000}"/>
    <cellStyle name="Vírgula 4 2 6 2 5" xfId="16444" xr:uid="{00000000-0005-0000-0000-0000CF3B0000}"/>
    <cellStyle name="Vírgula 4 2 6 3" xfId="3850" xr:uid="{00000000-0005-0000-0000-0000D03B0000}"/>
    <cellStyle name="Vírgula 4 2 6 3 2" xfId="6299" xr:uid="{00000000-0005-0000-0000-0000D13B0000}"/>
    <cellStyle name="Vírgula 4 2 6 3 2 2" xfId="23281" xr:uid="{00000000-0005-0000-0000-0000D23B0000}"/>
    <cellStyle name="Vírgula 4 2 6 3 2 3" xfId="19334" xr:uid="{00000000-0005-0000-0000-0000D33B0000}"/>
    <cellStyle name="Vírgula 4 2 6 3 3" xfId="20912" xr:uid="{00000000-0005-0000-0000-0000D43B0000}"/>
    <cellStyle name="Vírgula 4 2 6 3 4" xfId="16892" xr:uid="{00000000-0005-0000-0000-0000D53B0000}"/>
    <cellStyle name="Vírgula 4 2 7" xfId="2272" xr:uid="{00000000-0005-0000-0000-0000D63B0000}"/>
    <cellStyle name="Vírgula 4 2 7 2" xfId="3401" xr:uid="{00000000-0005-0000-0000-0000D73B0000}"/>
    <cellStyle name="Vírgula 4 2 7 2 2" xfId="4731" xr:uid="{00000000-0005-0000-0000-0000D83B0000}"/>
    <cellStyle name="Vírgula 4 2 7 2 2 2" xfId="21771" xr:uid="{00000000-0005-0000-0000-0000D93B0000}"/>
    <cellStyle name="Vírgula 4 2 7 2 2 3" xfId="17766" xr:uid="{00000000-0005-0000-0000-0000DA3B0000}"/>
    <cellStyle name="Vírgula 4 2 7 2 3" xfId="5570" xr:uid="{00000000-0005-0000-0000-0000DB3B0000}"/>
    <cellStyle name="Vírgula 4 2 7 2 3 2" xfId="22569" xr:uid="{00000000-0005-0000-0000-0000DC3B0000}"/>
    <cellStyle name="Vírgula 4 2 7 2 3 3" xfId="18605" xr:uid="{00000000-0005-0000-0000-0000DD3B0000}"/>
    <cellStyle name="Vírgula 4 2 7 2 4" xfId="20469" xr:uid="{00000000-0005-0000-0000-0000DE3B0000}"/>
    <cellStyle name="Vírgula 4 2 7 2 5" xfId="16445" xr:uid="{00000000-0005-0000-0000-0000DF3B0000}"/>
    <cellStyle name="Vírgula 4 2 7 3" xfId="3761" xr:uid="{00000000-0005-0000-0000-0000E03B0000}"/>
    <cellStyle name="Vírgula 4 2 7 3 2" xfId="6300" xr:uid="{00000000-0005-0000-0000-0000E13B0000}"/>
    <cellStyle name="Vírgula 4 2 7 3 2 2" xfId="23282" xr:uid="{00000000-0005-0000-0000-0000E23B0000}"/>
    <cellStyle name="Vírgula 4 2 7 3 2 3" xfId="19335" xr:uid="{00000000-0005-0000-0000-0000E33B0000}"/>
    <cellStyle name="Vírgula 4 2 7 3 3" xfId="20825" xr:uid="{00000000-0005-0000-0000-0000E43B0000}"/>
    <cellStyle name="Vírgula 4 2 7 3 4" xfId="16804" xr:uid="{00000000-0005-0000-0000-0000E53B0000}"/>
    <cellStyle name="Vírgula 4 2 8" xfId="2273" xr:uid="{00000000-0005-0000-0000-0000E63B0000}"/>
    <cellStyle name="Vírgula 4 2 8 2" xfId="3402" xr:uid="{00000000-0005-0000-0000-0000E73B0000}"/>
    <cellStyle name="Vírgula 4 2 8 2 2" xfId="4732" xr:uid="{00000000-0005-0000-0000-0000E83B0000}"/>
    <cellStyle name="Vírgula 4 2 8 2 2 2" xfId="21772" xr:uid="{00000000-0005-0000-0000-0000E93B0000}"/>
    <cellStyle name="Vírgula 4 2 8 2 2 3" xfId="17767" xr:uid="{00000000-0005-0000-0000-0000EA3B0000}"/>
    <cellStyle name="Vírgula 4 2 8 2 3" xfId="5571" xr:uid="{00000000-0005-0000-0000-0000EB3B0000}"/>
    <cellStyle name="Vírgula 4 2 8 2 3 2" xfId="22570" xr:uid="{00000000-0005-0000-0000-0000EC3B0000}"/>
    <cellStyle name="Vírgula 4 2 8 2 3 3" xfId="18606" xr:uid="{00000000-0005-0000-0000-0000ED3B0000}"/>
    <cellStyle name="Vírgula 4 2 8 2 4" xfId="20470" xr:uid="{00000000-0005-0000-0000-0000EE3B0000}"/>
    <cellStyle name="Vírgula 4 2 8 2 5" xfId="16446" xr:uid="{00000000-0005-0000-0000-0000EF3B0000}"/>
    <cellStyle name="Vírgula 4 2 8 3" xfId="4431" xr:uid="{00000000-0005-0000-0000-0000F03B0000}"/>
    <cellStyle name="Vírgula 4 2 8 3 2" xfId="6301" xr:uid="{00000000-0005-0000-0000-0000F13B0000}"/>
    <cellStyle name="Vírgula 4 2 8 3 2 2" xfId="23283" xr:uid="{00000000-0005-0000-0000-0000F23B0000}"/>
    <cellStyle name="Vírgula 4 2 8 3 2 3" xfId="19336" xr:uid="{00000000-0005-0000-0000-0000F33B0000}"/>
    <cellStyle name="Vírgula 4 2 8 3 3" xfId="21473" xr:uid="{00000000-0005-0000-0000-0000F43B0000}"/>
    <cellStyle name="Vírgula 4 2 8 3 4" xfId="17468" xr:uid="{00000000-0005-0000-0000-0000F53B0000}"/>
    <cellStyle name="Vírgula 4 2 9" xfId="2274" xr:uid="{00000000-0005-0000-0000-0000F63B0000}"/>
    <cellStyle name="Vírgula 4 2 9 2" xfId="3403" xr:uid="{00000000-0005-0000-0000-0000F73B0000}"/>
    <cellStyle name="Vírgula 4 2 9 2 2" xfId="4733" xr:uid="{00000000-0005-0000-0000-0000F83B0000}"/>
    <cellStyle name="Vírgula 4 2 9 2 2 2" xfId="21773" xr:uid="{00000000-0005-0000-0000-0000F93B0000}"/>
    <cellStyle name="Vírgula 4 2 9 2 2 3" xfId="17768" xr:uid="{00000000-0005-0000-0000-0000FA3B0000}"/>
    <cellStyle name="Vírgula 4 2 9 2 3" xfId="5572" xr:uid="{00000000-0005-0000-0000-0000FB3B0000}"/>
    <cellStyle name="Vírgula 4 2 9 2 3 2" xfId="22571" xr:uid="{00000000-0005-0000-0000-0000FC3B0000}"/>
    <cellStyle name="Vírgula 4 2 9 2 3 3" xfId="18607" xr:uid="{00000000-0005-0000-0000-0000FD3B0000}"/>
    <cellStyle name="Vírgula 4 2 9 2 4" xfId="20471" xr:uid="{00000000-0005-0000-0000-0000FE3B0000}"/>
    <cellStyle name="Vírgula 4 2 9 2 5" xfId="16447" xr:uid="{00000000-0005-0000-0000-0000FF3B0000}"/>
    <cellStyle name="Vírgula 4 2 9 3" xfId="4459" xr:uid="{00000000-0005-0000-0000-0000003C0000}"/>
    <cellStyle name="Vírgula 4 2 9 3 2" xfId="6302" xr:uid="{00000000-0005-0000-0000-0000013C0000}"/>
    <cellStyle name="Vírgula 4 2 9 3 2 2" xfId="23284" xr:uid="{00000000-0005-0000-0000-0000023C0000}"/>
    <cellStyle name="Vírgula 4 2 9 3 2 3" xfId="19337" xr:uid="{00000000-0005-0000-0000-0000033C0000}"/>
    <cellStyle name="Vírgula 4 2 9 3 3" xfId="21499" xr:uid="{00000000-0005-0000-0000-0000043C0000}"/>
    <cellStyle name="Vírgula 4 2 9 3 4" xfId="17494" xr:uid="{00000000-0005-0000-0000-0000053C0000}"/>
    <cellStyle name="Vírgula 4 3" xfId="61" xr:uid="{00000000-0005-0000-0000-0000063C0000}"/>
    <cellStyle name="Vírgula 4 3 10" xfId="3034" xr:uid="{00000000-0005-0000-0000-0000073C0000}"/>
    <cellStyle name="Vírgula 4 3 10 2" xfId="3778" xr:uid="{00000000-0005-0000-0000-0000083C0000}"/>
    <cellStyle name="Vírgula 4 3 10 2 2" xfId="5884" xr:uid="{00000000-0005-0000-0000-0000093C0000}"/>
    <cellStyle name="Vírgula 4 3 10 2 2 2" xfId="22880" xr:uid="{00000000-0005-0000-0000-00000A3C0000}"/>
    <cellStyle name="Vírgula 4 3 10 2 2 3" xfId="18919" xr:uid="{00000000-0005-0000-0000-00000B3C0000}"/>
    <cellStyle name="Vírgula 4 3 10 2 3" xfId="20840" xr:uid="{00000000-0005-0000-0000-00000C3C0000}"/>
    <cellStyle name="Vírgula 4 3 10 2 4" xfId="16820" xr:uid="{00000000-0005-0000-0000-00000D3C0000}"/>
    <cellStyle name="Vírgula 4 3 10 3" xfId="5203" xr:uid="{00000000-0005-0000-0000-00000E3C0000}"/>
    <cellStyle name="Vírgula 4 3 10 3 2" xfId="13329" xr:uid="{00000000-0005-0000-0000-00000F3C0000}"/>
    <cellStyle name="Vírgula 4 3 10 3 2 2" xfId="22202" xr:uid="{00000000-0005-0000-0000-0000103C0000}"/>
    <cellStyle name="Vírgula 4 3 10 3 3" xfId="11762" xr:uid="{00000000-0005-0000-0000-0000113C0000}"/>
    <cellStyle name="Vírgula 4 3 10 3 4" xfId="18238" xr:uid="{00000000-0005-0000-0000-0000123C0000}"/>
    <cellStyle name="Vírgula 4 3 10 4" xfId="13565" xr:uid="{00000000-0005-0000-0000-0000133C0000}"/>
    <cellStyle name="Vírgula 4 3 10 4 2" xfId="20102" xr:uid="{00000000-0005-0000-0000-0000143C0000}"/>
    <cellStyle name="Vírgula 4 3 10 5" xfId="16078" xr:uid="{00000000-0005-0000-0000-0000153C0000}"/>
    <cellStyle name="Vírgula 4 3 11" xfId="8527" xr:uid="{00000000-0005-0000-0000-0000163C0000}"/>
    <cellStyle name="Vírgula 4 3 11 2" xfId="12426" xr:uid="{00000000-0005-0000-0000-0000173C0000}"/>
    <cellStyle name="Vírgula 4 3 11 3" xfId="11599" xr:uid="{00000000-0005-0000-0000-0000183C0000}"/>
    <cellStyle name="Vírgula 4 3 12" xfId="8528" xr:uid="{00000000-0005-0000-0000-0000193C0000}"/>
    <cellStyle name="Vírgula 4 3 13" xfId="8529" xr:uid="{00000000-0005-0000-0000-00001A3C0000}"/>
    <cellStyle name="Vírgula 4 3 2" xfId="697" xr:uid="{00000000-0005-0000-0000-00001B3C0000}"/>
    <cellStyle name="Vírgula 4 3 2 2" xfId="3111" xr:uid="{00000000-0005-0000-0000-00001C3C0000}"/>
    <cellStyle name="Vírgula 4 3 2 2 2" xfId="4526" xr:uid="{00000000-0005-0000-0000-00001D3C0000}"/>
    <cellStyle name="Vírgula 4 3 2 2 2 2" xfId="21566" xr:uid="{00000000-0005-0000-0000-00001E3C0000}"/>
    <cellStyle name="Vírgula 4 3 2 2 2 3" xfId="17561" xr:uid="{00000000-0005-0000-0000-00001F3C0000}"/>
    <cellStyle name="Vírgula 4 3 2 2 3" xfId="5280" xr:uid="{00000000-0005-0000-0000-0000203C0000}"/>
    <cellStyle name="Vírgula 4 3 2 2 3 2" xfId="22279" xr:uid="{00000000-0005-0000-0000-0000213C0000}"/>
    <cellStyle name="Vírgula 4 3 2 2 3 3" xfId="18315" xr:uid="{00000000-0005-0000-0000-0000223C0000}"/>
    <cellStyle name="Vírgula 4 3 2 2 4" xfId="20179" xr:uid="{00000000-0005-0000-0000-0000233C0000}"/>
    <cellStyle name="Vírgula 4 3 2 2 5" xfId="16155" xr:uid="{00000000-0005-0000-0000-0000243C0000}"/>
    <cellStyle name="Vírgula 4 3 2 3" xfId="4246" xr:uid="{00000000-0005-0000-0000-0000253C0000}"/>
    <cellStyle name="Vírgula 4 3 2 3 2" xfId="5996" xr:uid="{00000000-0005-0000-0000-0000263C0000}"/>
    <cellStyle name="Vírgula 4 3 2 3 2 2" xfId="22990" xr:uid="{00000000-0005-0000-0000-0000273C0000}"/>
    <cellStyle name="Vírgula 4 3 2 3 2 3" xfId="19031" xr:uid="{00000000-0005-0000-0000-0000283C0000}"/>
    <cellStyle name="Vírgula 4 3 2 3 3" xfId="21290" xr:uid="{00000000-0005-0000-0000-0000293C0000}"/>
    <cellStyle name="Vírgula 4 3 2 3 4" xfId="17283" xr:uid="{00000000-0005-0000-0000-00002A3C0000}"/>
    <cellStyle name="Vírgula 4 3 3" xfId="2276" xr:uid="{00000000-0005-0000-0000-00002B3C0000}"/>
    <cellStyle name="Vírgula 4 3 3 2" xfId="3405" xr:uid="{00000000-0005-0000-0000-00002C3C0000}"/>
    <cellStyle name="Vírgula 4 3 3 2 2" xfId="4735" xr:uid="{00000000-0005-0000-0000-00002D3C0000}"/>
    <cellStyle name="Vírgula 4 3 3 2 2 2" xfId="21775" xr:uid="{00000000-0005-0000-0000-00002E3C0000}"/>
    <cellStyle name="Vírgula 4 3 3 2 2 3" xfId="17770" xr:uid="{00000000-0005-0000-0000-00002F3C0000}"/>
    <cellStyle name="Vírgula 4 3 3 2 3" xfId="5574" xr:uid="{00000000-0005-0000-0000-0000303C0000}"/>
    <cellStyle name="Vírgula 4 3 3 2 3 2" xfId="22573" xr:uid="{00000000-0005-0000-0000-0000313C0000}"/>
    <cellStyle name="Vírgula 4 3 3 2 3 3" xfId="18609" xr:uid="{00000000-0005-0000-0000-0000323C0000}"/>
    <cellStyle name="Vírgula 4 3 3 2 4" xfId="20473" xr:uid="{00000000-0005-0000-0000-0000333C0000}"/>
    <cellStyle name="Vírgula 4 3 3 2 5" xfId="16449" xr:uid="{00000000-0005-0000-0000-0000343C0000}"/>
    <cellStyle name="Vírgula 4 3 3 3" xfId="4208" xr:uid="{00000000-0005-0000-0000-0000353C0000}"/>
    <cellStyle name="Vírgula 4 3 3 3 2" xfId="6304" xr:uid="{00000000-0005-0000-0000-0000363C0000}"/>
    <cellStyle name="Vírgula 4 3 3 3 2 2" xfId="23286" xr:uid="{00000000-0005-0000-0000-0000373C0000}"/>
    <cellStyle name="Vírgula 4 3 3 3 2 3" xfId="19339" xr:uid="{00000000-0005-0000-0000-0000383C0000}"/>
    <cellStyle name="Vírgula 4 3 3 3 3" xfId="21254" xr:uid="{00000000-0005-0000-0000-0000393C0000}"/>
    <cellStyle name="Vírgula 4 3 3 3 4" xfId="17247" xr:uid="{00000000-0005-0000-0000-00003A3C0000}"/>
    <cellStyle name="Vírgula 4 3 4" xfId="2277" xr:uid="{00000000-0005-0000-0000-00003B3C0000}"/>
    <cellStyle name="Vírgula 4 3 4 2" xfId="3406" xr:uid="{00000000-0005-0000-0000-00003C3C0000}"/>
    <cellStyle name="Vírgula 4 3 4 2 2" xfId="4736" xr:uid="{00000000-0005-0000-0000-00003D3C0000}"/>
    <cellStyle name="Vírgula 4 3 4 2 2 2" xfId="21776" xr:uid="{00000000-0005-0000-0000-00003E3C0000}"/>
    <cellStyle name="Vírgula 4 3 4 2 2 3" xfId="17771" xr:uid="{00000000-0005-0000-0000-00003F3C0000}"/>
    <cellStyle name="Vírgula 4 3 4 2 3" xfId="5575" xr:uid="{00000000-0005-0000-0000-0000403C0000}"/>
    <cellStyle name="Vírgula 4 3 4 2 3 2" xfId="22574" xr:uid="{00000000-0005-0000-0000-0000413C0000}"/>
    <cellStyle name="Vírgula 4 3 4 2 3 3" xfId="18610" xr:uid="{00000000-0005-0000-0000-0000423C0000}"/>
    <cellStyle name="Vírgula 4 3 4 2 4" xfId="20474" xr:uid="{00000000-0005-0000-0000-0000433C0000}"/>
    <cellStyle name="Vírgula 4 3 4 2 5" xfId="16450" xr:uid="{00000000-0005-0000-0000-0000443C0000}"/>
    <cellStyle name="Vírgula 4 3 4 3" xfId="4013" xr:uid="{00000000-0005-0000-0000-0000453C0000}"/>
    <cellStyle name="Vírgula 4 3 4 3 2" xfId="6305" xr:uid="{00000000-0005-0000-0000-0000463C0000}"/>
    <cellStyle name="Vírgula 4 3 4 3 2 2" xfId="23287" xr:uid="{00000000-0005-0000-0000-0000473C0000}"/>
    <cellStyle name="Vírgula 4 3 4 3 2 3" xfId="19340" xr:uid="{00000000-0005-0000-0000-0000483C0000}"/>
    <cellStyle name="Vírgula 4 3 4 3 3" xfId="21065" xr:uid="{00000000-0005-0000-0000-0000493C0000}"/>
    <cellStyle name="Vírgula 4 3 4 3 4" xfId="17054" xr:uid="{00000000-0005-0000-0000-00004A3C0000}"/>
    <cellStyle name="Vírgula 4 3 5" xfId="2278" xr:uid="{00000000-0005-0000-0000-00004B3C0000}"/>
    <cellStyle name="Vírgula 4 3 5 2" xfId="3407" xr:uid="{00000000-0005-0000-0000-00004C3C0000}"/>
    <cellStyle name="Vírgula 4 3 5 2 2" xfId="4737" xr:uid="{00000000-0005-0000-0000-00004D3C0000}"/>
    <cellStyle name="Vírgula 4 3 5 2 2 2" xfId="21777" xr:uid="{00000000-0005-0000-0000-00004E3C0000}"/>
    <cellStyle name="Vírgula 4 3 5 2 2 3" xfId="17772" xr:uid="{00000000-0005-0000-0000-00004F3C0000}"/>
    <cellStyle name="Vírgula 4 3 5 2 3" xfId="5576" xr:uid="{00000000-0005-0000-0000-0000503C0000}"/>
    <cellStyle name="Vírgula 4 3 5 2 3 2" xfId="22575" xr:uid="{00000000-0005-0000-0000-0000513C0000}"/>
    <cellStyle name="Vírgula 4 3 5 2 3 3" xfId="18611" xr:uid="{00000000-0005-0000-0000-0000523C0000}"/>
    <cellStyle name="Vírgula 4 3 5 2 4" xfId="20475" xr:uid="{00000000-0005-0000-0000-0000533C0000}"/>
    <cellStyle name="Vírgula 4 3 5 2 5" xfId="16451" xr:uid="{00000000-0005-0000-0000-0000543C0000}"/>
    <cellStyle name="Vírgula 4 3 5 3" xfId="4440" xr:uid="{00000000-0005-0000-0000-0000553C0000}"/>
    <cellStyle name="Vírgula 4 3 5 3 2" xfId="6306" xr:uid="{00000000-0005-0000-0000-0000563C0000}"/>
    <cellStyle name="Vírgula 4 3 5 3 2 2" xfId="23288" xr:uid="{00000000-0005-0000-0000-0000573C0000}"/>
    <cellStyle name="Vírgula 4 3 5 3 2 3" xfId="19341" xr:uid="{00000000-0005-0000-0000-0000583C0000}"/>
    <cellStyle name="Vírgula 4 3 5 3 3" xfId="21481" xr:uid="{00000000-0005-0000-0000-0000593C0000}"/>
    <cellStyle name="Vírgula 4 3 5 3 4" xfId="17476" xr:uid="{00000000-0005-0000-0000-00005A3C0000}"/>
    <cellStyle name="Vírgula 4 3 6" xfId="2279" xr:uid="{00000000-0005-0000-0000-00005B3C0000}"/>
    <cellStyle name="Vírgula 4 3 6 2" xfId="3408" xr:uid="{00000000-0005-0000-0000-00005C3C0000}"/>
    <cellStyle name="Vírgula 4 3 6 2 2" xfId="4738" xr:uid="{00000000-0005-0000-0000-00005D3C0000}"/>
    <cellStyle name="Vírgula 4 3 6 2 2 2" xfId="21778" xr:uid="{00000000-0005-0000-0000-00005E3C0000}"/>
    <cellStyle name="Vírgula 4 3 6 2 2 3" xfId="17773" xr:uid="{00000000-0005-0000-0000-00005F3C0000}"/>
    <cellStyle name="Vírgula 4 3 6 2 3" xfId="5577" xr:uid="{00000000-0005-0000-0000-0000603C0000}"/>
    <cellStyle name="Vírgula 4 3 6 2 3 2" xfId="22576" xr:uid="{00000000-0005-0000-0000-0000613C0000}"/>
    <cellStyle name="Vírgula 4 3 6 2 3 3" xfId="18612" xr:uid="{00000000-0005-0000-0000-0000623C0000}"/>
    <cellStyle name="Vírgula 4 3 6 2 4" xfId="20476" xr:uid="{00000000-0005-0000-0000-0000633C0000}"/>
    <cellStyle name="Vírgula 4 3 6 2 5" xfId="16452" xr:uid="{00000000-0005-0000-0000-0000643C0000}"/>
    <cellStyle name="Vírgula 4 3 6 3" xfId="3974" xr:uid="{00000000-0005-0000-0000-0000653C0000}"/>
    <cellStyle name="Vírgula 4 3 6 3 2" xfId="6307" xr:uid="{00000000-0005-0000-0000-0000663C0000}"/>
    <cellStyle name="Vírgula 4 3 6 3 2 2" xfId="23289" xr:uid="{00000000-0005-0000-0000-0000673C0000}"/>
    <cellStyle name="Vírgula 4 3 6 3 2 3" xfId="19342" xr:uid="{00000000-0005-0000-0000-0000683C0000}"/>
    <cellStyle name="Vírgula 4 3 6 3 3" xfId="21030" xr:uid="{00000000-0005-0000-0000-0000693C0000}"/>
    <cellStyle name="Vírgula 4 3 6 3 4" xfId="17016" xr:uid="{00000000-0005-0000-0000-00006A3C0000}"/>
    <cellStyle name="Vírgula 4 3 7" xfId="2280" xr:uid="{00000000-0005-0000-0000-00006B3C0000}"/>
    <cellStyle name="Vírgula 4 3 7 2" xfId="3409" xr:uid="{00000000-0005-0000-0000-00006C3C0000}"/>
    <cellStyle name="Vírgula 4 3 7 2 2" xfId="4739" xr:uid="{00000000-0005-0000-0000-00006D3C0000}"/>
    <cellStyle name="Vírgula 4 3 7 2 2 2" xfId="21779" xr:uid="{00000000-0005-0000-0000-00006E3C0000}"/>
    <cellStyle name="Vírgula 4 3 7 2 2 3" xfId="17774" xr:uid="{00000000-0005-0000-0000-00006F3C0000}"/>
    <cellStyle name="Vírgula 4 3 7 2 3" xfId="5578" xr:uid="{00000000-0005-0000-0000-0000703C0000}"/>
    <cellStyle name="Vírgula 4 3 7 2 3 2" xfId="22577" xr:uid="{00000000-0005-0000-0000-0000713C0000}"/>
    <cellStyle name="Vírgula 4 3 7 2 3 3" xfId="18613" xr:uid="{00000000-0005-0000-0000-0000723C0000}"/>
    <cellStyle name="Vírgula 4 3 7 2 4" xfId="20477" xr:uid="{00000000-0005-0000-0000-0000733C0000}"/>
    <cellStyle name="Vírgula 4 3 7 2 5" xfId="16453" xr:uid="{00000000-0005-0000-0000-0000743C0000}"/>
    <cellStyle name="Vírgula 4 3 7 3" xfId="4390" xr:uid="{00000000-0005-0000-0000-0000753C0000}"/>
    <cellStyle name="Vírgula 4 3 7 3 2" xfId="6308" xr:uid="{00000000-0005-0000-0000-0000763C0000}"/>
    <cellStyle name="Vírgula 4 3 7 3 2 2" xfId="23290" xr:uid="{00000000-0005-0000-0000-0000773C0000}"/>
    <cellStyle name="Vírgula 4 3 7 3 2 3" xfId="19343" xr:uid="{00000000-0005-0000-0000-0000783C0000}"/>
    <cellStyle name="Vírgula 4 3 7 3 3" xfId="21434" xr:uid="{00000000-0005-0000-0000-0000793C0000}"/>
    <cellStyle name="Vírgula 4 3 7 3 4" xfId="17427" xr:uid="{00000000-0005-0000-0000-00007A3C0000}"/>
    <cellStyle name="Vírgula 4 3 8" xfId="2281" xr:uid="{00000000-0005-0000-0000-00007B3C0000}"/>
    <cellStyle name="Vírgula 4 3 8 2" xfId="3410" xr:uid="{00000000-0005-0000-0000-00007C3C0000}"/>
    <cellStyle name="Vírgula 4 3 8 2 2" xfId="4740" xr:uid="{00000000-0005-0000-0000-00007D3C0000}"/>
    <cellStyle name="Vírgula 4 3 8 2 2 2" xfId="21780" xr:uid="{00000000-0005-0000-0000-00007E3C0000}"/>
    <cellStyle name="Vírgula 4 3 8 2 2 3" xfId="17775" xr:uid="{00000000-0005-0000-0000-00007F3C0000}"/>
    <cellStyle name="Vírgula 4 3 8 2 3" xfId="5579" xr:uid="{00000000-0005-0000-0000-0000803C0000}"/>
    <cellStyle name="Vírgula 4 3 8 2 3 2" xfId="22578" xr:uid="{00000000-0005-0000-0000-0000813C0000}"/>
    <cellStyle name="Vírgula 4 3 8 2 3 3" xfId="18614" xr:uid="{00000000-0005-0000-0000-0000823C0000}"/>
    <cellStyle name="Vírgula 4 3 8 2 4" xfId="20478" xr:uid="{00000000-0005-0000-0000-0000833C0000}"/>
    <cellStyle name="Vírgula 4 3 8 2 5" xfId="16454" xr:uid="{00000000-0005-0000-0000-0000843C0000}"/>
    <cellStyle name="Vírgula 4 3 8 3" xfId="3760" xr:uid="{00000000-0005-0000-0000-0000853C0000}"/>
    <cellStyle name="Vírgula 4 3 8 3 2" xfId="6309" xr:uid="{00000000-0005-0000-0000-0000863C0000}"/>
    <cellStyle name="Vírgula 4 3 8 3 2 2" xfId="23291" xr:uid="{00000000-0005-0000-0000-0000873C0000}"/>
    <cellStyle name="Vírgula 4 3 8 3 2 3" xfId="19344" xr:uid="{00000000-0005-0000-0000-0000883C0000}"/>
    <cellStyle name="Vírgula 4 3 8 3 3" xfId="20824" xr:uid="{00000000-0005-0000-0000-0000893C0000}"/>
    <cellStyle name="Vírgula 4 3 8 3 4" xfId="16803" xr:uid="{00000000-0005-0000-0000-00008A3C0000}"/>
    <cellStyle name="Vírgula 4 3 9" xfId="2282" xr:uid="{00000000-0005-0000-0000-00008B3C0000}"/>
    <cellStyle name="Vírgula 4 3 9 2" xfId="3411" xr:uid="{00000000-0005-0000-0000-00008C3C0000}"/>
    <cellStyle name="Vírgula 4 3 9 2 2" xfId="4741" xr:uid="{00000000-0005-0000-0000-00008D3C0000}"/>
    <cellStyle name="Vírgula 4 3 9 2 2 2" xfId="21781" xr:uid="{00000000-0005-0000-0000-00008E3C0000}"/>
    <cellStyle name="Vírgula 4 3 9 2 2 3" xfId="17776" xr:uid="{00000000-0005-0000-0000-00008F3C0000}"/>
    <cellStyle name="Vírgula 4 3 9 2 3" xfId="5580" xr:uid="{00000000-0005-0000-0000-0000903C0000}"/>
    <cellStyle name="Vírgula 4 3 9 2 3 2" xfId="22579" xr:uid="{00000000-0005-0000-0000-0000913C0000}"/>
    <cellStyle name="Vírgula 4 3 9 2 3 3" xfId="18615" xr:uid="{00000000-0005-0000-0000-0000923C0000}"/>
    <cellStyle name="Vírgula 4 3 9 2 4" xfId="20479" xr:uid="{00000000-0005-0000-0000-0000933C0000}"/>
    <cellStyle name="Vírgula 4 3 9 2 5" xfId="16455" xr:uid="{00000000-0005-0000-0000-0000943C0000}"/>
    <cellStyle name="Vírgula 4 3 9 3" xfId="4054" xr:uid="{00000000-0005-0000-0000-0000953C0000}"/>
    <cellStyle name="Vírgula 4 3 9 3 2" xfId="6310" xr:uid="{00000000-0005-0000-0000-0000963C0000}"/>
    <cellStyle name="Vírgula 4 3 9 3 2 2" xfId="23292" xr:uid="{00000000-0005-0000-0000-0000973C0000}"/>
    <cellStyle name="Vírgula 4 3 9 3 2 3" xfId="19345" xr:uid="{00000000-0005-0000-0000-0000983C0000}"/>
    <cellStyle name="Vírgula 4 3 9 3 3" xfId="21103" xr:uid="{00000000-0005-0000-0000-0000993C0000}"/>
    <cellStyle name="Vírgula 4 3 9 3 4" xfId="17095" xr:uid="{00000000-0005-0000-0000-00009A3C0000}"/>
    <cellStyle name="Vírgula 4 4" xfId="341" xr:uid="{00000000-0005-0000-0000-00009B3C0000}"/>
    <cellStyle name="Vírgula 4 4 10" xfId="2284" xr:uid="{00000000-0005-0000-0000-00009C3C0000}"/>
    <cellStyle name="Vírgula 4 4 10 2" xfId="3413" xr:uid="{00000000-0005-0000-0000-00009D3C0000}"/>
    <cellStyle name="Vírgula 4 4 10 2 2" xfId="4743" xr:uid="{00000000-0005-0000-0000-00009E3C0000}"/>
    <cellStyle name="Vírgula 4 4 10 2 2 2" xfId="21783" xr:uid="{00000000-0005-0000-0000-00009F3C0000}"/>
    <cellStyle name="Vírgula 4 4 10 2 2 3" xfId="17778" xr:uid="{00000000-0005-0000-0000-0000A03C0000}"/>
    <cellStyle name="Vírgula 4 4 10 2 3" xfId="5582" xr:uid="{00000000-0005-0000-0000-0000A13C0000}"/>
    <cellStyle name="Vírgula 4 4 10 2 3 2" xfId="22581" xr:uid="{00000000-0005-0000-0000-0000A23C0000}"/>
    <cellStyle name="Vírgula 4 4 10 2 3 3" xfId="18617" xr:uid="{00000000-0005-0000-0000-0000A33C0000}"/>
    <cellStyle name="Vírgula 4 4 10 2 4" xfId="20481" xr:uid="{00000000-0005-0000-0000-0000A43C0000}"/>
    <cellStyle name="Vírgula 4 4 10 2 5" xfId="16457" xr:uid="{00000000-0005-0000-0000-0000A53C0000}"/>
    <cellStyle name="Vírgula 4 4 10 3" xfId="4029" xr:uid="{00000000-0005-0000-0000-0000A63C0000}"/>
    <cellStyle name="Vírgula 4 4 10 3 2" xfId="6312" xr:uid="{00000000-0005-0000-0000-0000A73C0000}"/>
    <cellStyle name="Vírgula 4 4 10 3 2 2" xfId="23294" xr:uid="{00000000-0005-0000-0000-0000A83C0000}"/>
    <cellStyle name="Vírgula 4 4 10 3 2 3" xfId="19347" xr:uid="{00000000-0005-0000-0000-0000A93C0000}"/>
    <cellStyle name="Vírgula 4 4 10 3 3" xfId="21078" xr:uid="{00000000-0005-0000-0000-0000AA3C0000}"/>
    <cellStyle name="Vírgula 4 4 10 3 4" xfId="17070" xr:uid="{00000000-0005-0000-0000-0000AB3C0000}"/>
    <cellStyle name="Vírgula 4 4 11" xfId="2285" xr:uid="{00000000-0005-0000-0000-0000AC3C0000}"/>
    <cellStyle name="Vírgula 4 4 11 2" xfId="3414" xr:uid="{00000000-0005-0000-0000-0000AD3C0000}"/>
    <cellStyle name="Vírgula 4 4 11 2 2" xfId="4744" xr:uid="{00000000-0005-0000-0000-0000AE3C0000}"/>
    <cellStyle name="Vírgula 4 4 11 2 2 2" xfId="21784" xr:uid="{00000000-0005-0000-0000-0000AF3C0000}"/>
    <cellStyle name="Vírgula 4 4 11 2 2 3" xfId="17779" xr:uid="{00000000-0005-0000-0000-0000B03C0000}"/>
    <cellStyle name="Vírgula 4 4 11 2 3" xfId="5583" xr:uid="{00000000-0005-0000-0000-0000B13C0000}"/>
    <cellStyle name="Vírgula 4 4 11 2 3 2" xfId="22582" xr:uid="{00000000-0005-0000-0000-0000B23C0000}"/>
    <cellStyle name="Vírgula 4 4 11 2 3 3" xfId="18618" xr:uid="{00000000-0005-0000-0000-0000B33C0000}"/>
    <cellStyle name="Vírgula 4 4 11 2 4" xfId="20482" xr:uid="{00000000-0005-0000-0000-0000B43C0000}"/>
    <cellStyle name="Vírgula 4 4 11 2 5" xfId="16458" xr:uid="{00000000-0005-0000-0000-0000B53C0000}"/>
    <cellStyle name="Vírgula 4 4 11 3" xfId="3731" xr:uid="{00000000-0005-0000-0000-0000B63C0000}"/>
    <cellStyle name="Vírgula 4 4 11 3 2" xfId="6313" xr:uid="{00000000-0005-0000-0000-0000B73C0000}"/>
    <cellStyle name="Vírgula 4 4 11 3 2 2" xfId="23295" xr:uid="{00000000-0005-0000-0000-0000B83C0000}"/>
    <cellStyle name="Vírgula 4 4 11 3 2 3" xfId="19348" xr:uid="{00000000-0005-0000-0000-0000B93C0000}"/>
    <cellStyle name="Vírgula 4 4 11 3 3" xfId="20796" xr:uid="{00000000-0005-0000-0000-0000BA3C0000}"/>
    <cellStyle name="Vírgula 4 4 11 3 4" xfId="16775" xr:uid="{00000000-0005-0000-0000-0000BB3C0000}"/>
    <cellStyle name="Vírgula 4 4 12" xfId="2283" xr:uid="{00000000-0005-0000-0000-0000BC3C0000}"/>
    <cellStyle name="Vírgula 4 4 12 2" xfId="3412" xr:uid="{00000000-0005-0000-0000-0000BD3C0000}"/>
    <cellStyle name="Vírgula 4 4 12 2 2" xfId="4742" xr:uid="{00000000-0005-0000-0000-0000BE3C0000}"/>
    <cellStyle name="Vírgula 4 4 12 2 2 2" xfId="21782" xr:uid="{00000000-0005-0000-0000-0000BF3C0000}"/>
    <cellStyle name="Vírgula 4 4 12 2 2 3" xfId="17777" xr:uid="{00000000-0005-0000-0000-0000C03C0000}"/>
    <cellStyle name="Vírgula 4 4 12 2 3" xfId="5581" xr:uid="{00000000-0005-0000-0000-0000C13C0000}"/>
    <cellStyle name="Vírgula 4 4 12 2 3 2" xfId="22580" xr:uid="{00000000-0005-0000-0000-0000C23C0000}"/>
    <cellStyle name="Vírgula 4 4 12 2 3 3" xfId="18616" xr:uid="{00000000-0005-0000-0000-0000C33C0000}"/>
    <cellStyle name="Vírgula 4 4 12 2 4" xfId="20480" xr:uid="{00000000-0005-0000-0000-0000C43C0000}"/>
    <cellStyle name="Vírgula 4 4 12 2 5" xfId="16456" xr:uid="{00000000-0005-0000-0000-0000C53C0000}"/>
    <cellStyle name="Vírgula 4 4 12 3" xfId="4216" xr:uid="{00000000-0005-0000-0000-0000C63C0000}"/>
    <cellStyle name="Vírgula 4 4 12 3 2" xfId="6311" xr:uid="{00000000-0005-0000-0000-0000C73C0000}"/>
    <cellStyle name="Vírgula 4 4 12 3 2 2" xfId="23293" xr:uid="{00000000-0005-0000-0000-0000C83C0000}"/>
    <cellStyle name="Vírgula 4 4 12 3 2 3" xfId="19346" xr:uid="{00000000-0005-0000-0000-0000C93C0000}"/>
    <cellStyle name="Vírgula 4 4 12 3 3" xfId="21262" xr:uid="{00000000-0005-0000-0000-0000CA3C0000}"/>
    <cellStyle name="Vírgula 4 4 12 3 4" xfId="17255" xr:uid="{00000000-0005-0000-0000-0000CB3C0000}"/>
    <cellStyle name="Vírgula 4 4 13" xfId="4158" xr:uid="{00000000-0005-0000-0000-0000CC3C0000}"/>
    <cellStyle name="Vírgula 4 4 13 2" xfId="5914" xr:uid="{00000000-0005-0000-0000-0000CD3C0000}"/>
    <cellStyle name="Vírgula 4 4 13 2 2" xfId="22909" xr:uid="{00000000-0005-0000-0000-0000CE3C0000}"/>
    <cellStyle name="Vírgula 4 4 13 2 3" xfId="18949" xr:uid="{00000000-0005-0000-0000-0000CF3C0000}"/>
    <cellStyle name="Vírgula 4 4 13 3" xfId="21206" xr:uid="{00000000-0005-0000-0000-0000D03C0000}"/>
    <cellStyle name="Vírgula 4 4 13 4" xfId="17198" xr:uid="{00000000-0005-0000-0000-0000D13C0000}"/>
    <cellStyle name="Vírgula 4 4 2" xfId="591" xr:uid="{00000000-0005-0000-0000-0000D23C0000}"/>
    <cellStyle name="Vírgula 4 4 2 2" xfId="876" xr:uid="{00000000-0005-0000-0000-0000D33C0000}"/>
    <cellStyle name="Vírgula 4 4 2 2 2" xfId="2287" xr:uid="{00000000-0005-0000-0000-0000D43C0000}"/>
    <cellStyle name="Vírgula 4 4 2 2 2 2" xfId="3416" xr:uid="{00000000-0005-0000-0000-0000D53C0000}"/>
    <cellStyle name="Vírgula 4 4 2 2 2 2 2" xfId="4746" xr:uid="{00000000-0005-0000-0000-0000D63C0000}"/>
    <cellStyle name="Vírgula 4 4 2 2 2 2 2 2" xfId="21786" xr:uid="{00000000-0005-0000-0000-0000D73C0000}"/>
    <cellStyle name="Vírgula 4 4 2 2 2 2 2 3" xfId="17781" xr:uid="{00000000-0005-0000-0000-0000D83C0000}"/>
    <cellStyle name="Vírgula 4 4 2 2 2 2 3" xfId="5585" xr:uid="{00000000-0005-0000-0000-0000D93C0000}"/>
    <cellStyle name="Vírgula 4 4 2 2 2 2 3 2" xfId="22584" xr:uid="{00000000-0005-0000-0000-0000DA3C0000}"/>
    <cellStyle name="Vírgula 4 4 2 2 2 2 3 3" xfId="18620" xr:uid="{00000000-0005-0000-0000-0000DB3C0000}"/>
    <cellStyle name="Vírgula 4 4 2 2 2 2 4" xfId="20484" xr:uid="{00000000-0005-0000-0000-0000DC3C0000}"/>
    <cellStyle name="Vírgula 4 4 2 2 2 2 5" xfId="16460" xr:uid="{00000000-0005-0000-0000-0000DD3C0000}"/>
    <cellStyle name="Vírgula 4 4 2 2 2 3" xfId="3784" xr:uid="{00000000-0005-0000-0000-0000DE3C0000}"/>
    <cellStyle name="Vírgula 4 4 2 2 2 3 2" xfId="6315" xr:uid="{00000000-0005-0000-0000-0000DF3C0000}"/>
    <cellStyle name="Vírgula 4 4 2 2 2 3 2 2" xfId="23297" xr:uid="{00000000-0005-0000-0000-0000E03C0000}"/>
    <cellStyle name="Vírgula 4 4 2 2 2 3 2 3" xfId="19350" xr:uid="{00000000-0005-0000-0000-0000E13C0000}"/>
    <cellStyle name="Vírgula 4 4 2 2 2 3 3" xfId="20846" xr:uid="{00000000-0005-0000-0000-0000E23C0000}"/>
    <cellStyle name="Vírgula 4 4 2 2 2 3 4" xfId="16826" xr:uid="{00000000-0005-0000-0000-0000E33C0000}"/>
    <cellStyle name="Vírgula 4 4 2 2 3" xfId="3161" xr:uid="{00000000-0005-0000-0000-0000E43C0000}"/>
    <cellStyle name="Vírgula 4 4 2 2 3 2" xfId="3744" xr:uid="{00000000-0005-0000-0000-0000E53C0000}"/>
    <cellStyle name="Vírgula 4 4 2 2 3 2 2" xfId="6561" xr:uid="{00000000-0005-0000-0000-0000E63C0000}"/>
    <cellStyle name="Vírgula 4 4 2 2 3 2 2 2" xfId="23543" xr:uid="{00000000-0005-0000-0000-0000E73C0000}"/>
    <cellStyle name="Vírgula 4 4 2 2 3 2 2 3" xfId="19596" xr:uid="{00000000-0005-0000-0000-0000E83C0000}"/>
    <cellStyle name="Vírgula 4 4 2 2 3 2 3" xfId="20808" xr:uid="{00000000-0005-0000-0000-0000E93C0000}"/>
    <cellStyle name="Vírgula 4 4 2 2 3 2 4" xfId="16787" xr:uid="{00000000-0005-0000-0000-0000EA3C0000}"/>
    <cellStyle name="Vírgula 4 4 2 2 3 3" xfId="5330" xr:uid="{00000000-0005-0000-0000-0000EB3C0000}"/>
    <cellStyle name="Vírgula 4 4 2 2 3 3 2" xfId="11494" xr:uid="{00000000-0005-0000-0000-0000EC3C0000}"/>
    <cellStyle name="Vírgula 4 4 2 2 3 3 2 2" xfId="22329" xr:uid="{00000000-0005-0000-0000-0000ED3C0000}"/>
    <cellStyle name="Vírgula 4 4 2 2 3 3 3" xfId="11695" xr:uid="{00000000-0005-0000-0000-0000EE3C0000}"/>
    <cellStyle name="Vírgula 4 4 2 2 3 3 4" xfId="18365" xr:uid="{00000000-0005-0000-0000-0000EF3C0000}"/>
    <cellStyle name="Vírgula 4 4 2 2 3 4" xfId="20229" xr:uid="{00000000-0005-0000-0000-0000F03C0000}"/>
    <cellStyle name="Vírgula 4 4 2 2 3 5" xfId="16205" xr:uid="{00000000-0005-0000-0000-0000F13C0000}"/>
    <cellStyle name="Vírgula 4 4 2 2 4" xfId="3910" xr:uid="{00000000-0005-0000-0000-0000F23C0000}"/>
    <cellStyle name="Vírgula 4 4 2 2 4 2" xfId="6051" xr:uid="{00000000-0005-0000-0000-0000F33C0000}"/>
    <cellStyle name="Vírgula 4 4 2 2 4 2 2" xfId="23040" xr:uid="{00000000-0005-0000-0000-0000F43C0000}"/>
    <cellStyle name="Vírgula 4 4 2 2 4 2 3" xfId="19086" xr:uid="{00000000-0005-0000-0000-0000F53C0000}"/>
    <cellStyle name="Vírgula 4 4 2 2 4 3" xfId="20967" xr:uid="{00000000-0005-0000-0000-0000F63C0000}"/>
    <cellStyle name="Vírgula 4 4 2 2 4 4" xfId="16952" xr:uid="{00000000-0005-0000-0000-0000F73C0000}"/>
    <cellStyle name="Vírgula 4 4 2 2 5" xfId="6746" xr:uid="{00000000-0005-0000-0000-0000F83C0000}"/>
    <cellStyle name="Vírgula 4 4 2 2 5 2" xfId="23719" xr:uid="{00000000-0005-0000-0000-0000F93C0000}"/>
    <cellStyle name="Vírgula 4 4 2 2 5 3" xfId="19781" xr:uid="{00000000-0005-0000-0000-0000FA3C0000}"/>
    <cellStyle name="Vírgula 4 4 2 2 6" xfId="5064" xr:uid="{00000000-0005-0000-0000-0000FB3C0000}"/>
    <cellStyle name="Vírgula 4 4 2 2 6 2" xfId="22072" xr:uid="{00000000-0005-0000-0000-0000FC3C0000}"/>
    <cellStyle name="Vírgula 4 4 2 2 6 3" xfId="18099" xr:uid="{00000000-0005-0000-0000-0000FD3C0000}"/>
    <cellStyle name="Vírgula 4 4 2 2 7" xfId="19972" xr:uid="{00000000-0005-0000-0000-0000FE3C0000}"/>
    <cellStyle name="Vírgula 4 4 2 2 8" xfId="15932" xr:uid="{00000000-0005-0000-0000-0000FF3C0000}"/>
    <cellStyle name="Vírgula 4 4 2 3" xfId="2288" xr:uid="{00000000-0005-0000-0000-0000003D0000}"/>
    <cellStyle name="Vírgula 4 4 2 3 2" xfId="3417" xr:uid="{00000000-0005-0000-0000-0000013D0000}"/>
    <cellStyle name="Vírgula 4 4 2 3 2 2" xfId="4747" xr:uid="{00000000-0005-0000-0000-0000023D0000}"/>
    <cellStyle name="Vírgula 4 4 2 3 2 2 2" xfId="21787" xr:uid="{00000000-0005-0000-0000-0000033D0000}"/>
    <cellStyle name="Vírgula 4 4 2 3 2 2 3" xfId="17782" xr:uid="{00000000-0005-0000-0000-0000043D0000}"/>
    <cellStyle name="Vírgula 4 4 2 3 2 3" xfId="5586" xr:uid="{00000000-0005-0000-0000-0000053D0000}"/>
    <cellStyle name="Vírgula 4 4 2 3 2 3 2" xfId="22585" xr:uid="{00000000-0005-0000-0000-0000063D0000}"/>
    <cellStyle name="Vírgula 4 4 2 3 2 3 3" xfId="18621" xr:uid="{00000000-0005-0000-0000-0000073D0000}"/>
    <cellStyle name="Vírgula 4 4 2 3 2 4" xfId="20485" xr:uid="{00000000-0005-0000-0000-0000083D0000}"/>
    <cellStyle name="Vírgula 4 4 2 3 2 5" xfId="16461" xr:uid="{00000000-0005-0000-0000-0000093D0000}"/>
    <cellStyle name="Vírgula 4 4 2 3 3" xfId="4004" xr:uid="{00000000-0005-0000-0000-00000A3D0000}"/>
    <cellStyle name="Vírgula 4 4 2 3 3 2" xfId="6316" xr:uid="{00000000-0005-0000-0000-00000B3D0000}"/>
    <cellStyle name="Vírgula 4 4 2 3 3 2 2" xfId="23298" xr:uid="{00000000-0005-0000-0000-00000C3D0000}"/>
    <cellStyle name="Vírgula 4 4 2 3 3 2 3" xfId="19351" xr:uid="{00000000-0005-0000-0000-00000D3D0000}"/>
    <cellStyle name="Vírgula 4 4 2 3 3 3" xfId="21056" xr:uid="{00000000-0005-0000-0000-00000E3D0000}"/>
    <cellStyle name="Vírgula 4 4 2 3 3 4" xfId="17045" xr:uid="{00000000-0005-0000-0000-00000F3D0000}"/>
    <cellStyle name="Vírgula 4 4 2 4" xfId="2289" xr:uid="{00000000-0005-0000-0000-0000103D0000}"/>
    <cellStyle name="Vírgula 4 4 2 4 2" xfId="3418" xr:uid="{00000000-0005-0000-0000-0000113D0000}"/>
    <cellStyle name="Vírgula 4 4 2 4 2 2" xfId="4748" xr:uid="{00000000-0005-0000-0000-0000123D0000}"/>
    <cellStyle name="Vírgula 4 4 2 4 2 2 2" xfId="21788" xr:uid="{00000000-0005-0000-0000-0000133D0000}"/>
    <cellStyle name="Vírgula 4 4 2 4 2 2 3" xfId="17783" xr:uid="{00000000-0005-0000-0000-0000143D0000}"/>
    <cellStyle name="Vírgula 4 4 2 4 2 3" xfId="5587" xr:uid="{00000000-0005-0000-0000-0000153D0000}"/>
    <cellStyle name="Vírgula 4 4 2 4 2 3 2" xfId="22586" xr:uid="{00000000-0005-0000-0000-0000163D0000}"/>
    <cellStyle name="Vírgula 4 4 2 4 2 3 3" xfId="18622" xr:uid="{00000000-0005-0000-0000-0000173D0000}"/>
    <cellStyle name="Vírgula 4 4 2 4 2 4" xfId="20486" xr:uid="{00000000-0005-0000-0000-0000183D0000}"/>
    <cellStyle name="Vírgula 4 4 2 4 2 5" xfId="16462" xr:uid="{00000000-0005-0000-0000-0000193D0000}"/>
    <cellStyle name="Vírgula 4 4 2 4 3" xfId="3789" xr:uid="{00000000-0005-0000-0000-00001A3D0000}"/>
    <cellStyle name="Vírgula 4 4 2 4 3 2" xfId="6317" xr:uid="{00000000-0005-0000-0000-00001B3D0000}"/>
    <cellStyle name="Vírgula 4 4 2 4 3 2 2" xfId="23299" xr:uid="{00000000-0005-0000-0000-00001C3D0000}"/>
    <cellStyle name="Vírgula 4 4 2 4 3 2 3" xfId="19352" xr:uid="{00000000-0005-0000-0000-00001D3D0000}"/>
    <cellStyle name="Vírgula 4 4 2 4 3 3" xfId="20851" xr:uid="{00000000-0005-0000-0000-00001E3D0000}"/>
    <cellStyle name="Vírgula 4 4 2 4 3 4" xfId="16831" xr:uid="{00000000-0005-0000-0000-00001F3D0000}"/>
    <cellStyle name="Vírgula 4 4 2 5" xfId="2286" xr:uid="{00000000-0005-0000-0000-0000203D0000}"/>
    <cellStyle name="Vírgula 4 4 2 5 2" xfId="3415" xr:uid="{00000000-0005-0000-0000-0000213D0000}"/>
    <cellStyle name="Vírgula 4 4 2 5 2 2" xfId="4745" xr:uid="{00000000-0005-0000-0000-0000223D0000}"/>
    <cellStyle name="Vírgula 4 4 2 5 2 2 2" xfId="21785" xr:uid="{00000000-0005-0000-0000-0000233D0000}"/>
    <cellStyle name="Vírgula 4 4 2 5 2 2 3" xfId="17780" xr:uid="{00000000-0005-0000-0000-0000243D0000}"/>
    <cellStyle name="Vírgula 4 4 2 5 2 3" xfId="5584" xr:uid="{00000000-0005-0000-0000-0000253D0000}"/>
    <cellStyle name="Vírgula 4 4 2 5 2 3 2" xfId="22583" xr:uid="{00000000-0005-0000-0000-0000263D0000}"/>
    <cellStyle name="Vírgula 4 4 2 5 2 3 3" xfId="18619" xr:uid="{00000000-0005-0000-0000-0000273D0000}"/>
    <cellStyle name="Vírgula 4 4 2 5 2 4" xfId="20483" xr:uid="{00000000-0005-0000-0000-0000283D0000}"/>
    <cellStyle name="Vírgula 4 4 2 5 2 5" xfId="16459" xr:uid="{00000000-0005-0000-0000-0000293D0000}"/>
    <cellStyle name="Vírgula 4 4 2 5 3" xfId="4418" xr:uid="{00000000-0005-0000-0000-00002A3D0000}"/>
    <cellStyle name="Vírgula 4 4 2 5 3 2" xfId="6314" xr:uid="{00000000-0005-0000-0000-00002B3D0000}"/>
    <cellStyle name="Vírgula 4 4 2 5 3 2 2" xfId="23296" xr:uid="{00000000-0005-0000-0000-00002C3D0000}"/>
    <cellStyle name="Vírgula 4 4 2 5 3 2 3" xfId="19349" xr:uid="{00000000-0005-0000-0000-00002D3D0000}"/>
    <cellStyle name="Vírgula 4 4 2 5 3 3" xfId="21461" xr:uid="{00000000-0005-0000-0000-00002E3D0000}"/>
    <cellStyle name="Vírgula 4 4 2 5 3 4" xfId="17455" xr:uid="{00000000-0005-0000-0000-00002F3D0000}"/>
    <cellStyle name="Vírgula 4 4 2 6" xfId="5937" xr:uid="{00000000-0005-0000-0000-0000303D0000}"/>
    <cellStyle name="Vírgula 4 4 2 6 2" xfId="11137" xr:uid="{00000000-0005-0000-0000-0000313D0000}"/>
    <cellStyle name="Vírgula 4 4 2 6 2 2" xfId="14953" xr:uid="{00000000-0005-0000-0000-0000323D0000}"/>
    <cellStyle name="Vírgula 4 4 2 6 2 3" xfId="13756" xr:uid="{00000000-0005-0000-0000-0000333D0000}"/>
    <cellStyle name="Vírgula 4 4 2 6 2 4" xfId="22931" xr:uid="{00000000-0005-0000-0000-0000343D0000}"/>
    <cellStyle name="Vírgula 4 4 2 6 3" xfId="11864" xr:uid="{00000000-0005-0000-0000-0000353D0000}"/>
    <cellStyle name="Vírgula 4 4 2 6 4" xfId="11857" xr:uid="{00000000-0005-0000-0000-0000363D0000}"/>
    <cellStyle name="Vírgula 4 4 2 6 5" xfId="18972" xr:uid="{00000000-0005-0000-0000-0000373D0000}"/>
    <cellStyle name="Vírgula 4 4 2 7" xfId="8530" xr:uid="{00000000-0005-0000-0000-0000383D0000}"/>
    <cellStyle name="Vírgula 4 4 2 7 2" xfId="11381" xr:uid="{00000000-0005-0000-0000-0000393D0000}"/>
    <cellStyle name="Vírgula 4 4 2 7 3" xfId="11765" xr:uid="{00000000-0005-0000-0000-00003A3D0000}"/>
    <cellStyle name="Vírgula 4 4 2 8" xfId="8531" xr:uid="{00000000-0005-0000-0000-00003B3D0000}"/>
    <cellStyle name="Vírgula 4 4 2 8 2" xfId="12962" xr:uid="{00000000-0005-0000-0000-00003C3D0000}"/>
    <cellStyle name="Vírgula 4 4 2 8 3" xfId="11986" xr:uid="{00000000-0005-0000-0000-00003D3D0000}"/>
    <cellStyle name="Vírgula 4 4 2 9" xfId="8532" xr:uid="{00000000-0005-0000-0000-00003E3D0000}"/>
    <cellStyle name="Vírgula 4 4 2 9 2" xfId="11829" xr:uid="{00000000-0005-0000-0000-00003F3D0000}"/>
    <cellStyle name="Vírgula 4 4 2 9 3" xfId="11598" xr:uid="{00000000-0005-0000-0000-0000403D0000}"/>
    <cellStyle name="Vírgula 4 4 3" xfId="877" xr:uid="{00000000-0005-0000-0000-0000413D0000}"/>
    <cellStyle name="Vírgula 4 4 3 2" xfId="2290" xr:uid="{00000000-0005-0000-0000-0000423D0000}"/>
    <cellStyle name="Vírgula 4 4 3 2 2" xfId="3419" xr:uid="{00000000-0005-0000-0000-0000433D0000}"/>
    <cellStyle name="Vírgula 4 4 3 2 2 2" xfId="4749" xr:uid="{00000000-0005-0000-0000-0000443D0000}"/>
    <cellStyle name="Vírgula 4 4 3 2 2 2 2" xfId="21789" xr:uid="{00000000-0005-0000-0000-0000453D0000}"/>
    <cellStyle name="Vírgula 4 4 3 2 2 2 3" xfId="17784" xr:uid="{00000000-0005-0000-0000-0000463D0000}"/>
    <cellStyle name="Vírgula 4 4 3 2 2 3" xfId="5588" xr:uid="{00000000-0005-0000-0000-0000473D0000}"/>
    <cellStyle name="Vírgula 4 4 3 2 2 3 2" xfId="11717" xr:uid="{00000000-0005-0000-0000-0000483D0000}"/>
    <cellStyle name="Vírgula 4 4 3 2 2 3 2 2" xfId="22587" xr:uid="{00000000-0005-0000-0000-0000493D0000}"/>
    <cellStyle name="Vírgula 4 4 3 2 2 3 3" xfId="11603" xr:uid="{00000000-0005-0000-0000-00004A3D0000}"/>
    <cellStyle name="Vírgula 4 4 3 2 2 3 4" xfId="18623" xr:uid="{00000000-0005-0000-0000-00004B3D0000}"/>
    <cellStyle name="Vírgula 4 4 3 2 2 4" xfId="12020" xr:uid="{00000000-0005-0000-0000-00004C3D0000}"/>
    <cellStyle name="Vírgula 4 4 3 2 2 4 2" xfId="20487" xr:uid="{00000000-0005-0000-0000-00004D3D0000}"/>
    <cellStyle name="Vírgula 4 4 3 2 2 5" xfId="16463" xr:uid="{00000000-0005-0000-0000-00004E3D0000}"/>
    <cellStyle name="Vírgula 4 4 3 2 3" xfId="4415" xr:uid="{00000000-0005-0000-0000-00004F3D0000}"/>
    <cellStyle name="Vírgula 4 4 3 2 3 2" xfId="6318" xr:uid="{00000000-0005-0000-0000-0000503D0000}"/>
    <cellStyle name="Vírgula 4 4 3 2 3 2 2" xfId="23300" xr:uid="{00000000-0005-0000-0000-0000513D0000}"/>
    <cellStyle name="Vírgula 4 4 3 2 3 2 3" xfId="19353" xr:uid="{00000000-0005-0000-0000-0000523D0000}"/>
    <cellStyle name="Vírgula 4 4 3 2 3 3" xfId="21458" xr:uid="{00000000-0005-0000-0000-0000533D0000}"/>
    <cellStyle name="Vírgula 4 4 3 2 3 4" xfId="17452" xr:uid="{00000000-0005-0000-0000-0000543D0000}"/>
    <cellStyle name="Vírgula 4 4 3 2 4" xfId="13516" xr:uid="{00000000-0005-0000-0000-0000553D0000}"/>
    <cellStyle name="Vírgula 4 4 3 3" xfId="3162" xr:uid="{00000000-0005-0000-0000-0000563D0000}"/>
    <cellStyle name="Vírgula 4 4 3 3 2" xfId="4117" xr:uid="{00000000-0005-0000-0000-0000573D0000}"/>
    <cellStyle name="Vírgula 4 4 3 3 2 2" xfId="6562" xr:uid="{00000000-0005-0000-0000-0000583D0000}"/>
    <cellStyle name="Vírgula 4 4 3 3 2 2 2" xfId="23544" xr:uid="{00000000-0005-0000-0000-0000593D0000}"/>
    <cellStyle name="Vírgula 4 4 3 3 2 2 3" xfId="19597" xr:uid="{00000000-0005-0000-0000-00005A3D0000}"/>
    <cellStyle name="Vírgula 4 4 3 3 2 3" xfId="21165" xr:uid="{00000000-0005-0000-0000-00005B3D0000}"/>
    <cellStyle name="Vírgula 4 4 3 3 2 4" xfId="17157" xr:uid="{00000000-0005-0000-0000-00005C3D0000}"/>
    <cellStyle name="Vírgula 4 4 3 3 3" xfId="5331" xr:uid="{00000000-0005-0000-0000-00005D3D0000}"/>
    <cellStyle name="Vírgula 4 4 3 3 3 2" xfId="12369" xr:uid="{00000000-0005-0000-0000-00005E3D0000}"/>
    <cellStyle name="Vírgula 4 4 3 3 3 2 2" xfId="22330" xr:uid="{00000000-0005-0000-0000-00005F3D0000}"/>
    <cellStyle name="Vírgula 4 4 3 3 3 3" xfId="12362" xr:uid="{00000000-0005-0000-0000-0000603D0000}"/>
    <cellStyle name="Vírgula 4 4 3 3 3 4" xfId="18366" xr:uid="{00000000-0005-0000-0000-0000613D0000}"/>
    <cellStyle name="Vírgula 4 4 3 3 4" xfId="13610" xr:uid="{00000000-0005-0000-0000-0000623D0000}"/>
    <cellStyle name="Vírgula 4 4 3 3 4 2" xfId="20230" xr:uid="{00000000-0005-0000-0000-0000633D0000}"/>
    <cellStyle name="Vírgula 4 4 3 3 5" xfId="13411" xr:uid="{00000000-0005-0000-0000-0000643D0000}"/>
    <cellStyle name="Vírgula 4 4 3 3 6" xfId="16206" xr:uid="{00000000-0005-0000-0000-0000653D0000}"/>
    <cellStyle name="Vírgula 4 4 3 4" xfId="3911" xr:uid="{00000000-0005-0000-0000-0000663D0000}"/>
    <cellStyle name="Vírgula 4 4 3 4 2" xfId="6052" xr:uid="{00000000-0005-0000-0000-0000673D0000}"/>
    <cellStyle name="Vírgula 4 4 3 4 2 2" xfId="23041" xr:uid="{00000000-0005-0000-0000-0000683D0000}"/>
    <cellStyle name="Vírgula 4 4 3 4 2 3" xfId="19087" xr:uid="{00000000-0005-0000-0000-0000693D0000}"/>
    <cellStyle name="Vírgula 4 4 3 4 3" xfId="20968" xr:uid="{00000000-0005-0000-0000-00006A3D0000}"/>
    <cellStyle name="Vírgula 4 4 3 4 4" xfId="16953" xr:uid="{00000000-0005-0000-0000-00006B3D0000}"/>
    <cellStyle name="Vírgula 4 4 3 5" xfId="6747" xr:uid="{00000000-0005-0000-0000-00006C3D0000}"/>
    <cellStyle name="Vírgula 4 4 3 5 2" xfId="12868" xr:uid="{00000000-0005-0000-0000-00006D3D0000}"/>
    <cellStyle name="Vírgula 4 4 3 5 2 2" xfId="23720" xr:uid="{00000000-0005-0000-0000-00006E3D0000}"/>
    <cellStyle name="Vírgula 4 4 3 5 3" xfId="11435" xr:uid="{00000000-0005-0000-0000-00006F3D0000}"/>
    <cellStyle name="Vírgula 4 4 3 5 4" xfId="19782" xr:uid="{00000000-0005-0000-0000-0000703D0000}"/>
    <cellStyle name="Vírgula 4 4 3 6" xfId="5065" xr:uid="{00000000-0005-0000-0000-0000713D0000}"/>
    <cellStyle name="Vírgula 4 4 3 6 2" xfId="22073" xr:uid="{00000000-0005-0000-0000-0000723D0000}"/>
    <cellStyle name="Vírgula 4 4 3 6 3" xfId="18100" xr:uid="{00000000-0005-0000-0000-0000733D0000}"/>
    <cellStyle name="Vírgula 4 4 3 7" xfId="19973" xr:uid="{00000000-0005-0000-0000-0000743D0000}"/>
    <cellStyle name="Vírgula 4 4 3 8" xfId="15933" xr:uid="{00000000-0005-0000-0000-0000753D0000}"/>
    <cellStyle name="Vírgula 4 4 4" xfId="2291" xr:uid="{00000000-0005-0000-0000-0000763D0000}"/>
    <cellStyle name="Vírgula 4 4 4 2" xfId="3420" xr:uid="{00000000-0005-0000-0000-0000773D0000}"/>
    <cellStyle name="Vírgula 4 4 4 2 2" xfId="4750" xr:uid="{00000000-0005-0000-0000-0000783D0000}"/>
    <cellStyle name="Vírgula 4 4 4 2 2 2" xfId="21790" xr:uid="{00000000-0005-0000-0000-0000793D0000}"/>
    <cellStyle name="Vírgula 4 4 4 2 2 3" xfId="17785" xr:uid="{00000000-0005-0000-0000-00007A3D0000}"/>
    <cellStyle name="Vírgula 4 4 4 2 3" xfId="5589" xr:uid="{00000000-0005-0000-0000-00007B3D0000}"/>
    <cellStyle name="Vírgula 4 4 4 2 3 2" xfId="22588" xr:uid="{00000000-0005-0000-0000-00007C3D0000}"/>
    <cellStyle name="Vírgula 4 4 4 2 3 3" xfId="18624" xr:uid="{00000000-0005-0000-0000-00007D3D0000}"/>
    <cellStyle name="Vírgula 4 4 4 2 4" xfId="20488" xr:uid="{00000000-0005-0000-0000-00007E3D0000}"/>
    <cellStyle name="Vírgula 4 4 4 2 5" xfId="16464" xr:uid="{00000000-0005-0000-0000-00007F3D0000}"/>
    <cellStyle name="Vírgula 4 4 4 3" xfId="4165" xr:uid="{00000000-0005-0000-0000-0000803D0000}"/>
    <cellStyle name="Vírgula 4 4 4 3 2" xfId="6319" xr:uid="{00000000-0005-0000-0000-0000813D0000}"/>
    <cellStyle name="Vírgula 4 4 4 3 2 2" xfId="23301" xr:uid="{00000000-0005-0000-0000-0000823D0000}"/>
    <cellStyle name="Vírgula 4 4 4 3 2 3" xfId="19354" xr:uid="{00000000-0005-0000-0000-0000833D0000}"/>
    <cellStyle name="Vírgula 4 4 4 3 3" xfId="21212" xr:uid="{00000000-0005-0000-0000-0000843D0000}"/>
    <cellStyle name="Vírgula 4 4 4 3 4" xfId="17205" xr:uid="{00000000-0005-0000-0000-0000853D0000}"/>
    <cellStyle name="Vírgula 4 4 5" xfId="2292" xr:uid="{00000000-0005-0000-0000-0000863D0000}"/>
    <cellStyle name="Vírgula 4 4 5 2" xfId="2293" xr:uid="{00000000-0005-0000-0000-0000873D0000}"/>
    <cellStyle name="Vírgula 4 4 5 2 2" xfId="3422" xr:uid="{00000000-0005-0000-0000-0000883D0000}"/>
    <cellStyle name="Vírgula 4 4 5 2 2 2" xfId="4752" xr:uid="{00000000-0005-0000-0000-0000893D0000}"/>
    <cellStyle name="Vírgula 4 4 5 2 2 2 2" xfId="21792" xr:uid="{00000000-0005-0000-0000-00008A3D0000}"/>
    <cellStyle name="Vírgula 4 4 5 2 2 2 3" xfId="17787" xr:uid="{00000000-0005-0000-0000-00008B3D0000}"/>
    <cellStyle name="Vírgula 4 4 5 2 2 3" xfId="5591" xr:uid="{00000000-0005-0000-0000-00008C3D0000}"/>
    <cellStyle name="Vírgula 4 4 5 2 2 3 2" xfId="22590" xr:uid="{00000000-0005-0000-0000-00008D3D0000}"/>
    <cellStyle name="Vírgula 4 4 5 2 2 3 3" xfId="18626" xr:uid="{00000000-0005-0000-0000-00008E3D0000}"/>
    <cellStyle name="Vírgula 4 4 5 2 2 4" xfId="20490" xr:uid="{00000000-0005-0000-0000-00008F3D0000}"/>
    <cellStyle name="Vírgula 4 4 5 2 2 5" xfId="16466" xr:uid="{00000000-0005-0000-0000-0000903D0000}"/>
    <cellStyle name="Vírgula 4 4 5 2 3" xfId="3806" xr:uid="{00000000-0005-0000-0000-0000913D0000}"/>
    <cellStyle name="Vírgula 4 4 5 2 3 2" xfId="6321" xr:uid="{00000000-0005-0000-0000-0000923D0000}"/>
    <cellStyle name="Vírgula 4 4 5 2 3 2 2" xfId="23303" xr:uid="{00000000-0005-0000-0000-0000933D0000}"/>
    <cellStyle name="Vírgula 4 4 5 2 3 2 3" xfId="19356" xr:uid="{00000000-0005-0000-0000-0000943D0000}"/>
    <cellStyle name="Vírgula 4 4 5 2 3 3" xfId="20868" xr:uid="{00000000-0005-0000-0000-0000953D0000}"/>
    <cellStyle name="Vírgula 4 4 5 2 3 4" xfId="16848" xr:uid="{00000000-0005-0000-0000-0000963D0000}"/>
    <cellStyle name="Vírgula 4 4 5 3" xfId="2294" xr:uid="{00000000-0005-0000-0000-0000973D0000}"/>
    <cellStyle name="Vírgula 4 4 5 3 2" xfId="3423" xr:uid="{00000000-0005-0000-0000-0000983D0000}"/>
    <cellStyle name="Vírgula 4 4 5 3 2 2" xfId="4753" xr:uid="{00000000-0005-0000-0000-0000993D0000}"/>
    <cellStyle name="Vírgula 4 4 5 3 2 2 2" xfId="21793" xr:uid="{00000000-0005-0000-0000-00009A3D0000}"/>
    <cellStyle name="Vírgula 4 4 5 3 2 2 3" xfId="17788" xr:uid="{00000000-0005-0000-0000-00009B3D0000}"/>
    <cellStyle name="Vírgula 4 4 5 3 2 3" xfId="5592" xr:uid="{00000000-0005-0000-0000-00009C3D0000}"/>
    <cellStyle name="Vírgula 4 4 5 3 2 3 2" xfId="22591" xr:uid="{00000000-0005-0000-0000-00009D3D0000}"/>
    <cellStyle name="Vírgula 4 4 5 3 2 3 3" xfId="18627" xr:uid="{00000000-0005-0000-0000-00009E3D0000}"/>
    <cellStyle name="Vírgula 4 4 5 3 2 4" xfId="20491" xr:uid="{00000000-0005-0000-0000-00009F3D0000}"/>
    <cellStyle name="Vírgula 4 4 5 3 2 5" xfId="16467" xr:uid="{00000000-0005-0000-0000-0000A03D0000}"/>
    <cellStyle name="Vírgula 4 4 5 3 3" xfId="4209" xr:uid="{00000000-0005-0000-0000-0000A13D0000}"/>
    <cellStyle name="Vírgula 4 4 5 3 3 2" xfId="6322" xr:uid="{00000000-0005-0000-0000-0000A23D0000}"/>
    <cellStyle name="Vírgula 4 4 5 3 3 2 2" xfId="23304" xr:uid="{00000000-0005-0000-0000-0000A33D0000}"/>
    <cellStyle name="Vírgula 4 4 5 3 3 2 3" xfId="19357" xr:uid="{00000000-0005-0000-0000-0000A43D0000}"/>
    <cellStyle name="Vírgula 4 4 5 3 3 3" xfId="21255" xr:uid="{00000000-0005-0000-0000-0000A53D0000}"/>
    <cellStyle name="Vírgula 4 4 5 3 3 4" xfId="17248" xr:uid="{00000000-0005-0000-0000-0000A63D0000}"/>
    <cellStyle name="Vírgula 4 4 5 4" xfId="3421" xr:uid="{00000000-0005-0000-0000-0000A73D0000}"/>
    <cellStyle name="Vírgula 4 4 5 4 2" xfId="4751" xr:uid="{00000000-0005-0000-0000-0000A83D0000}"/>
    <cellStyle name="Vírgula 4 4 5 4 2 2" xfId="21791" xr:uid="{00000000-0005-0000-0000-0000A93D0000}"/>
    <cellStyle name="Vírgula 4 4 5 4 2 3" xfId="17786" xr:uid="{00000000-0005-0000-0000-0000AA3D0000}"/>
    <cellStyle name="Vírgula 4 4 5 4 3" xfId="5590" xr:uid="{00000000-0005-0000-0000-0000AB3D0000}"/>
    <cellStyle name="Vírgula 4 4 5 4 3 2" xfId="11727" xr:uid="{00000000-0005-0000-0000-0000AC3D0000}"/>
    <cellStyle name="Vírgula 4 4 5 4 3 2 2" xfId="22589" xr:uid="{00000000-0005-0000-0000-0000AD3D0000}"/>
    <cellStyle name="Vírgula 4 4 5 4 3 3" xfId="11107" xr:uid="{00000000-0005-0000-0000-0000AE3D0000}"/>
    <cellStyle name="Vírgula 4 4 5 4 3 4" xfId="18625" xr:uid="{00000000-0005-0000-0000-0000AF3D0000}"/>
    <cellStyle name="Vírgula 4 4 5 4 4" xfId="20489" xr:uid="{00000000-0005-0000-0000-0000B03D0000}"/>
    <cellStyle name="Vírgula 4 4 5 4 5" xfId="16465" xr:uid="{00000000-0005-0000-0000-0000B13D0000}"/>
    <cellStyle name="Vírgula 4 4 5 5" xfId="4363" xr:uid="{00000000-0005-0000-0000-0000B23D0000}"/>
    <cellStyle name="Vírgula 4 4 5 5 2" xfId="6320" xr:uid="{00000000-0005-0000-0000-0000B33D0000}"/>
    <cellStyle name="Vírgula 4 4 5 5 2 2" xfId="23302" xr:uid="{00000000-0005-0000-0000-0000B43D0000}"/>
    <cellStyle name="Vírgula 4 4 5 5 2 3" xfId="19355" xr:uid="{00000000-0005-0000-0000-0000B53D0000}"/>
    <cellStyle name="Vírgula 4 4 5 5 3" xfId="21407" xr:uid="{00000000-0005-0000-0000-0000B63D0000}"/>
    <cellStyle name="Vírgula 4 4 5 5 4" xfId="17400" xr:uid="{00000000-0005-0000-0000-0000B73D0000}"/>
    <cellStyle name="Vírgula 4 4 5 6" xfId="13517" xr:uid="{00000000-0005-0000-0000-0000B83D0000}"/>
    <cellStyle name="Vírgula 4 4 6" xfId="2295" xr:uid="{00000000-0005-0000-0000-0000B93D0000}"/>
    <cellStyle name="Vírgula 4 4 6 2" xfId="3424" xr:uid="{00000000-0005-0000-0000-0000BA3D0000}"/>
    <cellStyle name="Vírgula 4 4 6 2 2" xfId="4754" xr:uid="{00000000-0005-0000-0000-0000BB3D0000}"/>
    <cellStyle name="Vírgula 4 4 6 2 2 2" xfId="21794" xr:uid="{00000000-0005-0000-0000-0000BC3D0000}"/>
    <cellStyle name="Vírgula 4 4 6 2 2 3" xfId="17789" xr:uid="{00000000-0005-0000-0000-0000BD3D0000}"/>
    <cellStyle name="Vírgula 4 4 6 2 3" xfId="5593" xr:uid="{00000000-0005-0000-0000-0000BE3D0000}"/>
    <cellStyle name="Vírgula 4 4 6 2 3 2" xfId="12578" xr:uid="{00000000-0005-0000-0000-0000BF3D0000}"/>
    <cellStyle name="Vírgula 4 4 6 2 3 2 2" xfId="22592" xr:uid="{00000000-0005-0000-0000-0000C03D0000}"/>
    <cellStyle name="Vírgula 4 4 6 2 3 3" xfId="11932" xr:uid="{00000000-0005-0000-0000-0000C13D0000}"/>
    <cellStyle name="Vírgula 4 4 6 2 3 4" xfId="18628" xr:uid="{00000000-0005-0000-0000-0000C23D0000}"/>
    <cellStyle name="Vírgula 4 4 6 2 4" xfId="12954" xr:uid="{00000000-0005-0000-0000-0000C33D0000}"/>
    <cellStyle name="Vírgula 4 4 6 2 4 2" xfId="20492" xr:uid="{00000000-0005-0000-0000-0000C43D0000}"/>
    <cellStyle name="Vírgula 4 4 6 2 5" xfId="16468" xr:uid="{00000000-0005-0000-0000-0000C53D0000}"/>
    <cellStyle name="Vírgula 4 4 6 3" xfId="4175" xr:uid="{00000000-0005-0000-0000-0000C63D0000}"/>
    <cellStyle name="Vírgula 4 4 6 3 2" xfId="6323" xr:uid="{00000000-0005-0000-0000-0000C73D0000}"/>
    <cellStyle name="Vírgula 4 4 6 3 2 2" xfId="23305" xr:uid="{00000000-0005-0000-0000-0000C83D0000}"/>
    <cellStyle name="Vírgula 4 4 6 3 2 3" xfId="19358" xr:uid="{00000000-0005-0000-0000-0000C93D0000}"/>
    <cellStyle name="Vírgula 4 4 6 3 3" xfId="21222" xr:uid="{00000000-0005-0000-0000-0000CA3D0000}"/>
    <cellStyle name="Vírgula 4 4 6 3 4" xfId="17215" xr:uid="{00000000-0005-0000-0000-0000CB3D0000}"/>
    <cellStyle name="Vírgula 4 4 6 4" xfId="13518" xr:uid="{00000000-0005-0000-0000-0000CC3D0000}"/>
    <cellStyle name="Vírgula 4 4 7" xfId="2296" xr:uid="{00000000-0005-0000-0000-0000CD3D0000}"/>
    <cellStyle name="Vírgula 4 4 7 2" xfId="3425" xr:uid="{00000000-0005-0000-0000-0000CE3D0000}"/>
    <cellStyle name="Vírgula 4 4 7 2 2" xfId="4755" xr:uid="{00000000-0005-0000-0000-0000CF3D0000}"/>
    <cellStyle name="Vírgula 4 4 7 2 2 2" xfId="21795" xr:uid="{00000000-0005-0000-0000-0000D03D0000}"/>
    <cellStyle name="Vírgula 4 4 7 2 2 3" xfId="17790" xr:uid="{00000000-0005-0000-0000-0000D13D0000}"/>
    <cellStyle name="Vírgula 4 4 7 2 3" xfId="5594" xr:uid="{00000000-0005-0000-0000-0000D23D0000}"/>
    <cellStyle name="Vírgula 4 4 7 2 3 2" xfId="22593" xr:uid="{00000000-0005-0000-0000-0000D33D0000}"/>
    <cellStyle name="Vírgula 4 4 7 2 3 3" xfId="18629" xr:uid="{00000000-0005-0000-0000-0000D43D0000}"/>
    <cellStyle name="Vírgula 4 4 7 2 4" xfId="20493" xr:uid="{00000000-0005-0000-0000-0000D53D0000}"/>
    <cellStyle name="Vírgula 4 4 7 2 5" xfId="16469" xr:uid="{00000000-0005-0000-0000-0000D63D0000}"/>
    <cellStyle name="Vírgula 4 4 7 3" xfId="4086" xr:uid="{00000000-0005-0000-0000-0000D73D0000}"/>
    <cellStyle name="Vírgula 4 4 7 3 2" xfId="6324" xr:uid="{00000000-0005-0000-0000-0000D83D0000}"/>
    <cellStyle name="Vírgula 4 4 7 3 2 2" xfId="23306" xr:uid="{00000000-0005-0000-0000-0000D93D0000}"/>
    <cellStyle name="Vírgula 4 4 7 3 2 3" xfId="19359" xr:uid="{00000000-0005-0000-0000-0000DA3D0000}"/>
    <cellStyle name="Vírgula 4 4 7 3 3" xfId="21134" xr:uid="{00000000-0005-0000-0000-0000DB3D0000}"/>
    <cellStyle name="Vírgula 4 4 7 3 4" xfId="17126" xr:uid="{00000000-0005-0000-0000-0000DC3D0000}"/>
    <cellStyle name="Vírgula 4 4 8" xfId="2297" xr:uid="{00000000-0005-0000-0000-0000DD3D0000}"/>
    <cellStyle name="Vírgula 4 4 8 2" xfId="3426" xr:uid="{00000000-0005-0000-0000-0000DE3D0000}"/>
    <cellStyle name="Vírgula 4 4 8 2 2" xfId="4756" xr:uid="{00000000-0005-0000-0000-0000DF3D0000}"/>
    <cellStyle name="Vírgula 4 4 8 2 2 2" xfId="21796" xr:uid="{00000000-0005-0000-0000-0000E03D0000}"/>
    <cellStyle name="Vírgula 4 4 8 2 2 3" xfId="17791" xr:uid="{00000000-0005-0000-0000-0000E13D0000}"/>
    <cellStyle name="Vírgula 4 4 8 2 3" xfId="5595" xr:uid="{00000000-0005-0000-0000-0000E23D0000}"/>
    <cellStyle name="Vírgula 4 4 8 2 3 2" xfId="22594" xr:uid="{00000000-0005-0000-0000-0000E33D0000}"/>
    <cellStyle name="Vírgula 4 4 8 2 3 3" xfId="18630" xr:uid="{00000000-0005-0000-0000-0000E43D0000}"/>
    <cellStyle name="Vírgula 4 4 8 2 4" xfId="20494" xr:uid="{00000000-0005-0000-0000-0000E53D0000}"/>
    <cellStyle name="Vírgula 4 4 8 2 5" xfId="16470" xr:uid="{00000000-0005-0000-0000-0000E63D0000}"/>
    <cellStyle name="Vírgula 4 4 8 3" xfId="3708" xr:uid="{00000000-0005-0000-0000-0000E73D0000}"/>
    <cellStyle name="Vírgula 4 4 8 3 2" xfId="6325" xr:uid="{00000000-0005-0000-0000-0000E83D0000}"/>
    <cellStyle name="Vírgula 4 4 8 3 2 2" xfId="23307" xr:uid="{00000000-0005-0000-0000-0000E93D0000}"/>
    <cellStyle name="Vírgula 4 4 8 3 2 3" xfId="19360" xr:uid="{00000000-0005-0000-0000-0000EA3D0000}"/>
    <cellStyle name="Vírgula 4 4 8 3 3" xfId="20776" xr:uid="{00000000-0005-0000-0000-0000EB3D0000}"/>
    <cellStyle name="Vírgula 4 4 8 3 4" xfId="16752" xr:uid="{00000000-0005-0000-0000-0000EC3D0000}"/>
    <cellStyle name="Vírgula 4 4 9" xfId="2298" xr:uid="{00000000-0005-0000-0000-0000ED3D0000}"/>
    <cellStyle name="Vírgula 4 4 9 2" xfId="3427" xr:uid="{00000000-0005-0000-0000-0000EE3D0000}"/>
    <cellStyle name="Vírgula 4 4 9 2 2" xfId="4757" xr:uid="{00000000-0005-0000-0000-0000EF3D0000}"/>
    <cellStyle name="Vírgula 4 4 9 2 2 2" xfId="21797" xr:uid="{00000000-0005-0000-0000-0000F03D0000}"/>
    <cellStyle name="Vírgula 4 4 9 2 2 3" xfId="17792" xr:uid="{00000000-0005-0000-0000-0000F13D0000}"/>
    <cellStyle name="Vírgula 4 4 9 2 3" xfId="5596" xr:uid="{00000000-0005-0000-0000-0000F23D0000}"/>
    <cellStyle name="Vírgula 4 4 9 2 3 2" xfId="22595" xr:uid="{00000000-0005-0000-0000-0000F33D0000}"/>
    <cellStyle name="Vírgula 4 4 9 2 3 3" xfId="18631" xr:uid="{00000000-0005-0000-0000-0000F43D0000}"/>
    <cellStyle name="Vírgula 4 4 9 2 4" xfId="20495" xr:uid="{00000000-0005-0000-0000-0000F53D0000}"/>
    <cellStyle name="Vírgula 4 4 9 2 5" xfId="16471" xr:uid="{00000000-0005-0000-0000-0000F63D0000}"/>
    <cellStyle name="Vírgula 4 4 9 3" xfId="3700" xr:uid="{00000000-0005-0000-0000-0000F73D0000}"/>
    <cellStyle name="Vírgula 4 4 9 3 2" xfId="6326" xr:uid="{00000000-0005-0000-0000-0000F83D0000}"/>
    <cellStyle name="Vírgula 4 4 9 3 2 2" xfId="23308" xr:uid="{00000000-0005-0000-0000-0000F93D0000}"/>
    <cellStyle name="Vírgula 4 4 9 3 2 3" xfId="19361" xr:uid="{00000000-0005-0000-0000-0000FA3D0000}"/>
    <cellStyle name="Vírgula 4 4 9 3 3" xfId="20768" xr:uid="{00000000-0005-0000-0000-0000FB3D0000}"/>
    <cellStyle name="Vírgula 4 4 9 3 4" xfId="16744" xr:uid="{00000000-0005-0000-0000-0000FC3D0000}"/>
    <cellStyle name="Vírgula 4 5" xfId="671" xr:uid="{00000000-0005-0000-0000-0000FD3D0000}"/>
    <cellStyle name="Vírgula 4 5 2" xfId="3105" xr:uid="{00000000-0005-0000-0000-0000FE3D0000}"/>
    <cellStyle name="Vírgula 4 5 2 2" xfId="4520" xr:uid="{00000000-0005-0000-0000-0000FF3D0000}"/>
    <cellStyle name="Vírgula 4 5 2 2 2" xfId="21560" xr:uid="{00000000-0005-0000-0000-0000003E0000}"/>
    <cellStyle name="Vírgula 4 5 2 2 3" xfId="17555" xr:uid="{00000000-0005-0000-0000-0000013E0000}"/>
    <cellStyle name="Vírgula 4 5 2 3" xfId="5274" xr:uid="{00000000-0005-0000-0000-0000023E0000}"/>
    <cellStyle name="Vírgula 4 5 2 3 2" xfId="22273" xr:uid="{00000000-0005-0000-0000-0000033E0000}"/>
    <cellStyle name="Vírgula 4 5 2 3 3" xfId="18309" xr:uid="{00000000-0005-0000-0000-0000043E0000}"/>
    <cellStyle name="Vírgula 4 5 2 4" xfId="20173" xr:uid="{00000000-0005-0000-0000-0000053E0000}"/>
    <cellStyle name="Vírgula 4 5 2 5" xfId="16149" xr:uid="{00000000-0005-0000-0000-0000063E0000}"/>
    <cellStyle name="Vírgula 4 5 3" xfId="4198" xr:uid="{00000000-0005-0000-0000-0000073E0000}"/>
    <cellStyle name="Vírgula 4 5 3 2" xfId="5989" xr:uid="{00000000-0005-0000-0000-0000083E0000}"/>
    <cellStyle name="Vírgula 4 5 3 2 2" xfId="22983" xr:uid="{00000000-0005-0000-0000-0000093E0000}"/>
    <cellStyle name="Vírgula 4 5 3 2 3" xfId="19024" xr:uid="{00000000-0005-0000-0000-00000A3E0000}"/>
    <cellStyle name="Vírgula 4 5 3 3" xfId="21244" xr:uid="{00000000-0005-0000-0000-00000B3E0000}"/>
    <cellStyle name="Vírgula 4 5 3 4" xfId="17237" xr:uid="{00000000-0005-0000-0000-00000C3E0000}"/>
    <cellStyle name="Vírgula 4 6" xfId="2299" xr:uid="{00000000-0005-0000-0000-00000D3E0000}"/>
    <cellStyle name="Vírgula 4 6 2" xfId="3428" xr:uid="{00000000-0005-0000-0000-00000E3E0000}"/>
    <cellStyle name="Vírgula 4 6 2 2" xfId="4758" xr:uid="{00000000-0005-0000-0000-00000F3E0000}"/>
    <cellStyle name="Vírgula 4 6 2 2 2" xfId="21798" xr:uid="{00000000-0005-0000-0000-0000103E0000}"/>
    <cellStyle name="Vírgula 4 6 2 2 3" xfId="17793" xr:uid="{00000000-0005-0000-0000-0000113E0000}"/>
    <cellStyle name="Vírgula 4 6 2 3" xfId="5597" xr:uid="{00000000-0005-0000-0000-0000123E0000}"/>
    <cellStyle name="Vírgula 4 6 2 3 2" xfId="22596" xr:uid="{00000000-0005-0000-0000-0000133E0000}"/>
    <cellStyle name="Vírgula 4 6 2 3 3" xfId="18632" xr:uid="{00000000-0005-0000-0000-0000143E0000}"/>
    <cellStyle name="Vírgula 4 6 2 4" xfId="20496" xr:uid="{00000000-0005-0000-0000-0000153E0000}"/>
    <cellStyle name="Vírgula 4 6 2 5" xfId="16472" xr:uid="{00000000-0005-0000-0000-0000163E0000}"/>
    <cellStyle name="Vírgula 4 6 3" xfId="4163" xr:uid="{00000000-0005-0000-0000-0000173E0000}"/>
    <cellStyle name="Vírgula 4 6 3 2" xfId="6327" xr:uid="{00000000-0005-0000-0000-0000183E0000}"/>
    <cellStyle name="Vírgula 4 6 3 2 2" xfId="23309" xr:uid="{00000000-0005-0000-0000-0000193E0000}"/>
    <cellStyle name="Vírgula 4 6 3 2 3" xfId="19362" xr:uid="{00000000-0005-0000-0000-00001A3E0000}"/>
    <cellStyle name="Vírgula 4 6 3 3" xfId="21210" xr:uid="{00000000-0005-0000-0000-00001B3E0000}"/>
    <cellStyle name="Vírgula 4 6 3 4" xfId="17203" xr:uid="{00000000-0005-0000-0000-00001C3E0000}"/>
    <cellStyle name="Vírgula 4 7" xfId="2300" xr:uid="{00000000-0005-0000-0000-00001D3E0000}"/>
    <cellStyle name="Vírgula 4 7 2" xfId="3429" xr:uid="{00000000-0005-0000-0000-00001E3E0000}"/>
    <cellStyle name="Vírgula 4 7 2 2" xfId="4759" xr:uid="{00000000-0005-0000-0000-00001F3E0000}"/>
    <cellStyle name="Vírgula 4 7 2 2 2" xfId="21799" xr:uid="{00000000-0005-0000-0000-0000203E0000}"/>
    <cellStyle name="Vírgula 4 7 2 2 3" xfId="17794" xr:uid="{00000000-0005-0000-0000-0000213E0000}"/>
    <cellStyle name="Vírgula 4 7 2 3" xfId="5598" xr:uid="{00000000-0005-0000-0000-0000223E0000}"/>
    <cellStyle name="Vírgula 4 7 2 3 2" xfId="22597" xr:uid="{00000000-0005-0000-0000-0000233E0000}"/>
    <cellStyle name="Vírgula 4 7 2 3 3" xfId="18633" xr:uid="{00000000-0005-0000-0000-0000243E0000}"/>
    <cellStyle name="Vírgula 4 7 2 4" xfId="20497" xr:uid="{00000000-0005-0000-0000-0000253E0000}"/>
    <cellStyle name="Vírgula 4 7 2 5" xfId="16473" xr:uid="{00000000-0005-0000-0000-0000263E0000}"/>
    <cellStyle name="Vírgula 4 7 3" xfId="3989" xr:uid="{00000000-0005-0000-0000-0000273E0000}"/>
    <cellStyle name="Vírgula 4 7 3 2" xfId="6328" xr:uid="{00000000-0005-0000-0000-0000283E0000}"/>
    <cellStyle name="Vírgula 4 7 3 2 2" xfId="23310" xr:uid="{00000000-0005-0000-0000-0000293E0000}"/>
    <cellStyle name="Vírgula 4 7 3 2 3" xfId="19363" xr:uid="{00000000-0005-0000-0000-00002A3E0000}"/>
    <cellStyle name="Vírgula 4 7 3 3" xfId="21045" xr:uid="{00000000-0005-0000-0000-00002B3E0000}"/>
    <cellStyle name="Vírgula 4 7 3 4" xfId="17031" xr:uid="{00000000-0005-0000-0000-00002C3E0000}"/>
    <cellStyle name="Vírgula 4 8" xfId="2301" xr:uid="{00000000-0005-0000-0000-00002D3E0000}"/>
    <cellStyle name="Vírgula 4 8 2" xfId="3430" xr:uid="{00000000-0005-0000-0000-00002E3E0000}"/>
    <cellStyle name="Vírgula 4 8 2 2" xfId="4760" xr:uid="{00000000-0005-0000-0000-00002F3E0000}"/>
    <cellStyle name="Vírgula 4 8 2 2 2" xfId="21800" xr:uid="{00000000-0005-0000-0000-0000303E0000}"/>
    <cellStyle name="Vírgula 4 8 2 2 3" xfId="17795" xr:uid="{00000000-0005-0000-0000-0000313E0000}"/>
    <cellStyle name="Vírgula 4 8 2 3" xfId="5599" xr:uid="{00000000-0005-0000-0000-0000323E0000}"/>
    <cellStyle name="Vírgula 4 8 2 3 2" xfId="22598" xr:uid="{00000000-0005-0000-0000-0000333E0000}"/>
    <cellStyle name="Vírgula 4 8 2 3 3" xfId="18634" xr:uid="{00000000-0005-0000-0000-0000343E0000}"/>
    <cellStyle name="Vírgula 4 8 2 4" xfId="20498" xr:uid="{00000000-0005-0000-0000-0000353E0000}"/>
    <cellStyle name="Vírgula 4 8 2 5" xfId="16474" xr:uid="{00000000-0005-0000-0000-0000363E0000}"/>
    <cellStyle name="Vírgula 4 8 3" xfId="4062" xr:uid="{00000000-0005-0000-0000-0000373E0000}"/>
    <cellStyle name="Vírgula 4 8 3 2" xfId="6329" xr:uid="{00000000-0005-0000-0000-0000383E0000}"/>
    <cellStyle name="Vírgula 4 8 3 2 2" xfId="23311" xr:uid="{00000000-0005-0000-0000-0000393E0000}"/>
    <cellStyle name="Vírgula 4 8 3 2 3" xfId="19364" xr:uid="{00000000-0005-0000-0000-00003A3E0000}"/>
    <cellStyle name="Vírgula 4 8 3 3" xfId="21110" xr:uid="{00000000-0005-0000-0000-00003B3E0000}"/>
    <cellStyle name="Vírgula 4 8 3 4" xfId="17102" xr:uid="{00000000-0005-0000-0000-00003C3E0000}"/>
    <cellStyle name="Vírgula 4 9" xfId="2302" xr:uid="{00000000-0005-0000-0000-00003D3E0000}"/>
    <cellStyle name="Vírgula 4 9 2" xfId="3431" xr:uid="{00000000-0005-0000-0000-00003E3E0000}"/>
    <cellStyle name="Vírgula 4 9 2 2" xfId="4761" xr:uid="{00000000-0005-0000-0000-00003F3E0000}"/>
    <cellStyle name="Vírgula 4 9 2 2 2" xfId="21801" xr:uid="{00000000-0005-0000-0000-0000403E0000}"/>
    <cellStyle name="Vírgula 4 9 2 2 3" xfId="17796" xr:uid="{00000000-0005-0000-0000-0000413E0000}"/>
    <cellStyle name="Vírgula 4 9 2 3" xfId="5600" xr:uid="{00000000-0005-0000-0000-0000423E0000}"/>
    <cellStyle name="Vírgula 4 9 2 3 2" xfId="22599" xr:uid="{00000000-0005-0000-0000-0000433E0000}"/>
    <cellStyle name="Vírgula 4 9 2 3 3" xfId="18635" xr:uid="{00000000-0005-0000-0000-0000443E0000}"/>
    <cellStyle name="Vírgula 4 9 2 4" xfId="20499" xr:uid="{00000000-0005-0000-0000-0000453E0000}"/>
    <cellStyle name="Vírgula 4 9 2 5" xfId="16475" xr:uid="{00000000-0005-0000-0000-0000463E0000}"/>
    <cellStyle name="Vírgula 4 9 3" xfId="4103" xr:uid="{00000000-0005-0000-0000-0000473E0000}"/>
    <cellStyle name="Vírgula 4 9 3 2" xfId="6330" xr:uid="{00000000-0005-0000-0000-0000483E0000}"/>
    <cellStyle name="Vírgula 4 9 3 2 2" xfId="23312" xr:uid="{00000000-0005-0000-0000-0000493E0000}"/>
    <cellStyle name="Vírgula 4 9 3 2 3" xfId="19365" xr:uid="{00000000-0005-0000-0000-00004A3E0000}"/>
    <cellStyle name="Vírgula 4 9 3 3" xfId="21151" xr:uid="{00000000-0005-0000-0000-00004B3E0000}"/>
    <cellStyle name="Vírgula 4 9 3 4" xfId="17143" xr:uid="{00000000-0005-0000-0000-00004C3E0000}"/>
    <cellStyle name="Vírgula 5" xfId="62" xr:uid="{00000000-0005-0000-0000-00004D3E0000}"/>
    <cellStyle name="Vírgula 5 10" xfId="2303" xr:uid="{00000000-0005-0000-0000-00004E3E0000}"/>
    <cellStyle name="Vírgula 5 10 2" xfId="3432" xr:uid="{00000000-0005-0000-0000-00004F3E0000}"/>
    <cellStyle name="Vírgula 5 10 2 2" xfId="4762" xr:uid="{00000000-0005-0000-0000-0000503E0000}"/>
    <cellStyle name="Vírgula 5 10 2 2 2" xfId="21802" xr:uid="{00000000-0005-0000-0000-0000513E0000}"/>
    <cellStyle name="Vírgula 5 10 2 2 3" xfId="17797" xr:uid="{00000000-0005-0000-0000-0000523E0000}"/>
    <cellStyle name="Vírgula 5 10 2 3" xfId="5601" xr:uid="{00000000-0005-0000-0000-0000533E0000}"/>
    <cellStyle name="Vírgula 5 10 2 3 2" xfId="22600" xr:uid="{00000000-0005-0000-0000-0000543E0000}"/>
    <cellStyle name="Vírgula 5 10 2 3 3" xfId="18636" xr:uid="{00000000-0005-0000-0000-0000553E0000}"/>
    <cellStyle name="Vírgula 5 10 2 4" xfId="20500" xr:uid="{00000000-0005-0000-0000-0000563E0000}"/>
    <cellStyle name="Vírgula 5 10 2 5" xfId="16476" xr:uid="{00000000-0005-0000-0000-0000573E0000}"/>
    <cellStyle name="Vírgula 5 10 3" xfId="4254" xr:uid="{00000000-0005-0000-0000-0000583E0000}"/>
    <cellStyle name="Vírgula 5 10 3 2" xfId="6331" xr:uid="{00000000-0005-0000-0000-0000593E0000}"/>
    <cellStyle name="Vírgula 5 10 3 2 2" xfId="23313" xr:uid="{00000000-0005-0000-0000-00005A3E0000}"/>
    <cellStyle name="Vírgula 5 10 3 2 3" xfId="19366" xr:uid="{00000000-0005-0000-0000-00005B3E0000}"/>
    <cellStyle name="Vírgula 5 10 3 3" xfId="21298" xr:uid="{00000000-0005-0000-0000-00005C3E0000}"/>
    <cellStyle name="Vírgula 5 10 3 4" xfId="17291" xr:uid="{00000000-0005-0000-0000-00005D3E0000}"/>
    <cellStyle name="Vírgula 5 11" xfId="4248" xr:uid="{00000000-0005-0000-0000-00005E3E0000}"/>
    <cellStyle name="Vírgula 5 11 2" xfId="5885" xr:uid="{00000000-0005-0000-0000-00005F3E0000}"/>
    <cellStyle name="Vírgula 5 11 2 2" xfId="22881" xr:uid="{00000000-0005-0000-0000-0000603E0000}"/>
    <cellStyle name="Vírgula 5 11 2 3" xfId="18920" xr:uid="{00000000-0005-0000-0000-0000613E0000}"/>
    <cellStyle name="Vírgula 5 11 3" xfId="11859" xr:uid="{00000000-0005-0000-0000-0000623E0000}"/>
    <cellStyle name="Vírgula 5 11 3 2" xfId="15104" xr:uid="{00000000-0005-0000-0000-0000633E0000}"/>
    <cellStyle name="Vírgula 5 11 3 3" xfId="13717" xr:uid="{00000000-0005-0000-0000-0000643E0000}"/>
    <cellStyle name="Vírgula 5 11 3 4" xfId="21292" xr:uid="{00000000-0005-0000-0000-0000653E0000}"/>
    <cellStyle name="Vírgula 5 11 4" xfId="17285" xr:uid="{00000000-0005-0000-0000-0000663E0000}"/>
    <cellStyle name="Vírgula 5 12" xfId="8533" xr:uid="{00000000-0005-0000-0000-0000673E0000}"/>
    <cellStyle name="Vírgula 5 12 2" xfId="11937" xr:uid="{00000000-0005-0000-0000-0000683E0000}"/>
    <cellStyle name="Vírgula 5 12 3" xfId="10989" xr:uid="{00000000-0005-0000-0000-0000693E0000}"/>
    <cellStyle name="Vírgula 5 13" xfId="8534" xr:uid="{00000000-0005-0000-0000-00006A3E0000}"/>
    <cellStyle name="Vírgula 5 2" xfId="117" xr:uid="{00000000-0005-0000-0000-00006B3E0000}"/>
    <cellStyle name="Vírgula 5 2 10" xfId="3040" xr:uid="{00000000-0005-0000-0000-00006C3E0000}"/>
    <cellStyle name="Vírgula 5 2 10 2" xfId="4010" xr:uid="{00000000-0005-0000-0000-00006D3E0000}"/>
    <cellStyle name="Vírgula 5 2 10 2 2" xfId="5898" xr:uid="{00000000-0005-0000-0000-00006E3E0000}"/>
    <cellStyle name="Vírgula 5 2 10 2 2 2" xfId="22894" xr:uid="{00000000-0005-0000-0000-00006F3E0000}"/>
    <cellStyle name="Vírgula 5 2 10 2 2 3" xfId="18933" xr:uid="{00000000-0005-0000-0000-0000703E0000}"/>
    <cellStyle name="Vírgula 5 2 10 2 3" xfId="21062" xr:uid="{00000000-0005-0000-0000-0000713E0000}"/>
    <cellStyle name="Vírgula 5 2 10 2 4" xfId="17051" xr:uid="{00000000-0005-0000-0000-0000723E0000}"/>
    <cellStyle name="Vírgula 5 2 10 3" xfId="5209" xr:uid="{00000000-0005-0000-0000-0000733E0000}"/>
    <cellStyle name="Vírgula 5 2 10 3 2" xfId="10922" xr:uid="{00000000-0005-0000-0000-0000743E0000}"/>
    <cellStyle name="Vírgula 5 2 10 3 2 2" xfId="22208" xr:uid="{00000000-0005-0000-0000-0000753E0000}"/>
    <cellStyle name="Vírgula 5 2 10 3 3" xfId="11605" xr:uid="{00000000-0005-0000-0000-0000763E0000}"/>
    <cellStyle name="Vírgula 5 2 10 3 4" xfId="18244" xr:uid="{00000000-0005-0000-0000-0000773E0000}"/>
    <cellStyle name="Vírgula 5 2 10 4" xfId="13570" xr:uid="{00000000-0005-0000-0000-0000783E0000}"/>
    <cellStyle name="Vírgula 5 2 10 4 2" xfId="20108" xr:uid="{00000000-0005-0000-0000-0000793E0000}"/>
    <cellStyle name="Vírgula 5 2 10 5" xfId="16084" xr:uid="{00000000-0005-0000-0000-00007A3E0000}"/>
    <cellStyle name="Vírgula 5 2 11" xfId="8535" xr:uid="{00000000-0005-0000-0000-00007B3E0000}"/>
    <cellStyle name="Vírgula 5 2 11 2" xfId="11279" xr:uid="{00000000-0005-0000-0000-00007C3E0000}"/>
    <cellStyle name="Vírgula 5 2 11 3" xfId="10930" xr:uid="{00000000-0005-0000-0000-00007D3E0000}"/>
    <cellStyle name="Vírgula 5 2 12" xfId="8536" xr:uid="{00000000-0005-0000-0000-00007E3E0000}"/>
    <cellStyle name="Vírgula 5 2 13" xfId="8537" xr:uid="{00000000-0005-0000-0000-00007F3E0000}"/>
    <cellStyle name="Vírgula 5 2 2" xfId="731" xr:uid="{00000000-0005-0000-0000-0000803E0000}"/>
    <cellStyle name="Vírgula 5 2 2 2" xfId="3116" xr:uid="{00000000-0005-0000-0000-0000813E0000}"/>
    <cellStyle name="Vírgula 5 2 2 2 2" xfId="4531" xr:uid="{00000000-0005-0000-0000-0000823E0000}"/>
    <cellStyle name="Vírgula 5 2 2 2 2 2" xfId="21571" xr:uid="{00000000-0005-0000-0000-0000833E0000}"/>
    <cellStyle name="Vírgula 5 2 2 2 2 3" xfId="17566" xr:uid="{00000000-0005-0000-0000-0000843E0000}"/>
    <cellStyle name="Vírgula 5 2 2 2 3" xfId="5285" xr:uid="{00000000-0005-0000-0000-0000853E0000}"/>
    <cellStyle name="Vírgula 5 2 2 2 3 2" xfId="22284" xr:uid="{00000000-0005-0000-0000-0000863E0000}"/>
    <cellStyle name="Vírgula 5 2 2 2 3 3" xfId="18320" xr:uid="{00000000-0005-0000-0000-0000873E0000}"/>
    <cellStyle name="Vírgula 5 2 2 2 4" xfId="9609" xr:uid="{00000000-0005-0000-0000-0000883E0000}"/>
    <cellStyle name="Vírgula 5 2 2 2 4 2" xfId="20184" xr:uid="{00000000-0005-0000-0000-0000893E0000}"/>
    <cellStyle name="Vírgula 5 2 2 2 5" xfId="16160" xr:uid="{00000000-0005-0000-0000-00008A3E0000}"/>
    <cellStyle name="Vírgula 5 2 2 3" xfId="4384" xr:uid="{00000000-0005-0000-0000-00008B3E0000}"/>
    <cellStyle name="Vírgula 5 2 2 3 2" xfId="6001" xr:uid="{00000000-0005-0000-0000-00008C3E0000}"/>
    <cellStyle name="Vírgula 5 2 2 3 2 2" xfId="22995" xr:uid="{00000000-0005-0000-0000-00008D3E0000}"/>
    <cellStyle name="Vírgula 5 2 2 3 2 3" xfId="19036" xr:uid="{00000000-0005-0000-0000-00008E3E0000}"/>
    <cellStyle name="Vírgula 5 2 2 3 3" xfId="21428" xr:uid="{00000000-0005-0000-0000-00008F3E0000}"/>
    <cellStyle name="Vírgula 5 2 2 3 4" xfId="17421" xr:uid="{00000000-0005-0000-0000-0000903E0000}"/>
    <cellStyle name="Vírgula 5 2 3" xfId="2305" xr:uid="{00000000-0005-0000-0000-0000913E0000}"/>
    <cellStyle name="Vírgula 5 2 3 2" xfId="3434" xr:uid="{00000000-0005-0000-0000-0000923E0000}"/>
    <cellStyle name="Vírgula 5 2 3 2 2" xfId="4764" xr:uid="{00000000-0005-0000-0000-0000933E0000}"/>
    <cellStyle name="Vírgula 5 2 3 2 2 2" xfId="21804" xr:uid="{00000000-0005-0000-0000-0000943E0000}"/>
    <cellStyle name="Vírgula 5 2 3 2 2 3" xfId="17799" xr:uid="{00000000-0005-0000-0000-0000953E0000}"/>
    <cellStyle name="Vírgula 5 2 3 2 3" xfId="5603" xr:uid="{00000000-0005-0000-0000-0000963E0000}"/>
    <cellStyle name="Vírgula 5 2 3 2 3 2" xfId="22602" xr:uid="{00000000-0005-0000-0000-0000973E0000}"/>
    <cellStyle name="Vírgula 5 2 3 2 3 3" xfId="18638" xr:uid="{00000000-0005-0000-0000-0000983E0000}"/>
    <cellStyle name="Vírgula 5 2 3 2 4" xfId="20502" xr:uid="{00000000-0005-0000-0000-0000993E0000}"/>
    <cellStyle name="Vírgula 5 2 3 2 5" xfId="16478" xr:uid="{00000000-0005-0000-0000-00009A3E0000}"/>
    <cellStyle name="Vírgula 5 2 3 3" xfId="4373" xr:uid="{00000000-0005-0000-0000-00009B3E0000}"/>
    <cellStyle name="Vírgula 5 2 3 3 2" xfId="6333" xr:uid="{00000000-0005-0000-0000-00009C3E0000}"/>
    <cellStyle name="Vírgula 5 2 3 3 2 2" xfId="23315" xr:uid="{00000000-0005-0000-0000-00009D3E0000}"/>
    <cellStyle name="Vírgula 5 2 3 3 2 3" xfId="19368" xr:uid="{00000000-0005-0000-0000-00009E3E0000}"/>
    <cellStyle name="Vírgula 5 2 3 3 3" xfId="21417" xr:uid="{00000000-0005-0000-0000-00009F3E0000}"/>
    <cellStyle name="Vírgula 5 2 3 3 4" xfId="17410" xr:uid="{00000000-0005-0000-0000-0000A03E0000}"/>
    <cellStyle name="Vírgula 5 2 4" xfId="2306" xr:uid="{00000000-0005-0000-0000-0000A13E0000}"/>
    <cellStyle name="Vírgula 5 2 4 2" xfId="3435" xr:uid="{00000000-0005-0000-0000-0000A23E0000}"/>
    <cellStyle name="Vírgula 5 2 4 2 2" xfId="4765" xr:uid="{00000000-0005-0000-0000-0000A33E0000}"/>
    <cellStyle name="Vírgula 5 2 4 2 2 2" xfId="21805" xr:uid="{00000000-0005-0000-0000-0000A43E0000}"/>
    <cellStyle name="Vírgula 5 2 4 2 2 3" xfId="17800" xr:uid="{00000000-0005-0000-0000-0000A53E0000}"/>
    <cellStyle name="Vírgula 5 2 4 2 3" xfId="5604" xr:uid="{00000000-0005-0000-0000-0000A63E0000}"/>
    <cellStyle name="Vírgula 5 2 4 2 3 2" xfId="22603" xr:uid="{00000000-0005-0000-0000-0000A73E0000}"/>
    <cellStyle name="Vírgula 5 2 4 2 3 3" xfId="18639" xr:uid="{00000000-0005-0000-0000-0000A83E0000}"/>
    <cellStyle name="Vírgula 5 2 4 2 4" xfId="20503" xr:uid="{00000000-0005-0000-0000-0000A93E0000}"/>
    <cellStyle name="Vírgula 5 2 4 2 5" xfId="16479" xr:uid="{00000000-0005-0000-0000-0000AA3E0000}"/>
    <cellStyle name="Vírgula 5 2 4 3" xfId="4439" xr:uid="{00000000-0005-0000-0000-0000AB3E0000}"/>
    <cellStyle name="Vírgula 5 2 4 3 2" xfId="6334" xr:uid="{00000000-0005-0000-0000-0000AC3E0000}"/>
    <cellStyle name="Vírgula 5 2 4 3 2 2" xfId="23316" xr:uid="{00000000-0005-0000-0000-0000AD3E0000}"/>
    <cellStyle name="Vírgula 5 2 4 3 2 3" xfId="19369" xr:uid="{00000000-0005-0000-0000-0000AE3E0000}"/>
    <cellStyle name="Vírgula 5 2 4 3 3" xfId="21480" xr:uid="{00000000-0005-0000-0000-0000AF3E0000}"/>
    <cellStyle name="Vírgula 5 2 4 3 4" xfId="17475" xr:uid="{00000000-0005-0000-0000-0000B03E0000}"/>
    <cellStyle name="Vírgula 5 2 5" xfId="2307" xr:uid="{00000000-0005-0000-0000-0000B13E0000}"/>
    <cellStyle name="Vírgula 5 2 5 2" xfId="3436" xr:uid="{00000000-0005-0000-0000-0000B23E0000}"/>
    <cellStyle name="Vírgula 5 2 5 2 2" xfId="4766" xr:uid="{00000000-0005-0000-0000-0000B33E0000}"/>
    <cellStyle name="Vírgula 5 2 5 2 2 2" xfId="21806" xr:uid="{00000000-0005-0000-0000-0000B43E0000}"/>
    <cellStyle name="Vírgula 5 2 5 2 2 3" xfId="17801" xr:uid="{00000000-0005-0000-0000-0000B53E0000}"/>
    <cellStyle name="Vírgula 5 2 5 2 3" xfId="5605" xr:uid="{00000000-0005-0000-0000-0000B63E0000}"/>
    <cellStyle name="Vírgula 5 2 5 2 3 2" xfId="22604" xr:uid="{00000000-0005-0000-0000-0000B73E0000}"/>
    <cellStyle name="Vírgula 5 2 5 2 3 3" xfId="18640" xr:uid="{00000000-0005-0000-0000-0000B83E0000}"/>
    <cellStyle name="Vírgula 5 2 5 2 4" xfId="20504" xr:uid="{00000000-0005-0000-0000-0000B93E0000}"/>
    <cellStyle name="Vírgula 5 2 5 2 5" xfId="16480" xr:uid="{00000000-0005-0000-0000-0000BA3E0000}"/>
    <cellStyle name="Vírgula 5 2 5 3" xfId="4128" xr:uid="{00000000-0005-0000-0000-0000BB3E0000}"/>
    <cellStyle name="Vírgula 5 2 5 3 2" xfId="6335" xr:uid="{00000000-0005-0000-0000-0000BC3E0000}"/>
    <cellStyle name="Vírgula 5 2 5 3 2 2" xfId="23317" xr:uid="{00000000-0005-0000-0000-0000BD3E0000}"/>
    <cellStyle name="Vírgula 5 2 5 3 2 3" xfId="19370" xr:uid="{00000000-0005-0000-0000-0000BE3E0000}"/>
    <cellStyle name="Vírgula 5 2 5 3 3" xfId="21176" xr:uid="{00000000-0005-0000-0000-0000BF3E0000}"/>
    <cellStyle name="Vírgula 5 2 5 3 4" xfId="17168" xr:uid="{00000000-0005-0000-0000-0000C03E0000}"/>
    <cellStyle name="Vírgula 5 2 6" xfId="2308" xr:uid="{00000000-0005-0000-0000-0000C13E0000}"/>
    <cellStyle name="Vírgula 5 2 6 2" xfId="3437" xr:uid="{00000000-0005-0000-0000-0000C23E0000}"/>
    <cellStyle name="Vírgula 5 2 6 2 2" xfId="4767" xr:uid="{00000000-0005-0000-0000-0000C33E0000}"/>
    <cellStyle name="Vírgula 5 2 6 2 2 2" xfId="21807" xr:uid="{00000000-0005-0000-0000-0000C43E0000}"/>
    <cellStyle name="Vírgula 5 2 6 2 2 3" xfId="17802" xr:uid="{00000000-0005-0000-0000-0000C53E0000}"/>
    <cellStyle name="Vírgula 5 2 6 2 3" xfId="5606" xr:uid="{00000000-0005-0000-0000-0000C63E0000}"/>
    <cellStyle name="Vírgula 5 2 6 2 3 2" xfId="22605" xr:uid="{00000000-0005-0000-0000-0000C73E0000}"/>
    <cellStyle name="Vírgula 5 2 6 2 3 3" xfId="18641" xr:uid="{00000000-0005-0000-0000-0000C83E0000}"/>
    <cellStyle name="Vírgula 5 2 6 2 4" xfId="20505" xr:uid="{00000000-0005-0000-0000-0000C93E0000}"/>
    <cellStyle name="Vírgula 5 2 6 2 5" xfId="16481" xr:uid="{00000000-0005-0000-0000-0000CA3E0000}"/>
    <cellStyle name="Vírgula 5 2 6 3" xfId="4310" xr:uid="{00000000-0005-0000-0000-0000CB3E0000}"/>
    <cellStyle name="Vírgula 5 2 6 3 2" xfId="6336" xr:uid="{00000000-0005-0000-0000-0000CC3E0000}"/>
    <cellStyle name="Vírgula 5 2 6 3 2 2" xfId="23318" xr:uid="{00000000-0005-0000-0000-0000CD3E0000}"/>
    <cellStyle name="Vírgula 5 2 6 3 2 3" xfId="19371" xr:uid="{00000000-0005-0000-0000-0000CE3E0000}"/>
    <cellStyle name="Vírgula 5 2 6 3 3" xfId="21354" xr:uid="{00000000-0005-0000-0000-0000CF3E0000}"/>
    <cellStyle name="Vírgula 5 2 6 3 4" xfId="17347" xr:uid="{00000000-0005-0000-0000-0000D03E0000}"/>
    <cellStyle name="Vírgula 5 2 7" xfId="2309" xr:uid="{00000000-0005-0000-0000-0000D13E0000}"/>
    <cellStyle name="Vírgula 5 2 7 2" xfId="3438" xr:uid="{00000000-0005-0000-0000-0000D23E0000}"/>
    <cellStyle name="Vírgula 5 2 7 2 2" xfId="4768" xr:uid="{00000000-0005-0000-0000-0000D33E0000}"/>
    <cellStyle name="Vírgula 5 2 7 2 2 2" xfId="21808" xr:uid="{00000000-0005-0000-0000-0000D43E0000}"/>
    <cellStyle name="Vírgula 5 2 7 2 2 3" xfId="17803" xr:uid="{00000000-0005-0000-0000-0000D53E0000}"/>
    <cellStyle name="Vírgula 5 2 7 2 3" xfId="5607" xr:uid="{00000000-0005-0000-0000-0000D63E0000}"/>
    <cellStyle name="Vírgula 5 2 7 2 3 2" xfId="22606" xr:uid="{00000000-0005-0000-0000-0000D73E0000}"/>
    <cellStyle name="Vírgula 5 2 7 2 3 3" xfId="18642" xr:uid="{00000000-0005-0000-0000-0000D83E0000}"/>
    <cellStyle name="Vírgula 5 2 7 2 4" xfId="20506" xr:uid="{00000000-0005-0000-0000-0000D93E0000}"/>
    <cellStyle name="Vírgula 5 2 7 2 5" xfId="16482" xr:uid="{00000000-0005-0000-0000-0000DA3E0000}"/>
    <cellStyle name="Vírgula 5 2 7 3" xfId="4166" xr:uid="{00000000-0005-0000-0000-0000DB3E0000}"/>
    <cellStyle name="Vírgula 5 2 7 3 2" xfId="6337" xr:uid="{00000000-0005-0000-0000-0000DC3E0000}"/>
    <cellStyle name="Vírgula 5 2 7 3 2 2" xfId="23319" xr:uid="{00000000-0005-0000-0000-0000DD3E0000}"/>
    <cellStyle name="Vírgula 5 2 7 3 2 3" xfId="19372" xr:uid="{00000000-0005-0000-0000-0000DE3E0000}"/>
    <cellStyle name="Vírgula 5 2 7 3 3" xfId="21213" xr:uid="{00000000-0005-0000-0000-0000DF3E0000}"/>
    <cellStyle name="Vírgula 5 2 7 3 4" xfId="17206" xr:uid="{00000000-0005-0000-0000-0000E03E0000}"/>
    <cellStyle name="Vírgula 5 2 8" xfId="2310" xr:uid="{00000000-0005-0000-0000-0000E13E0000}"/>
    <cellStyle name="Vírgula 5 2 8 2" xfId="3439" xr:uid="{00000000-0005-0000-0000-0000E23E0000}"/>
    <cellStyle name="Vírgula 5 2 8 2 2" xfId="4769" xr:uid="{00000000-0005-0000-0000-0000E33E0000}"/>
    <cellStyle name="Vírgula 5 2 8 2 2 2" xfId="21809" xr:uid="{00000000-0005-0000-0000-0000E43E0000}"/>
    <cellStyle name="Vírgula 5 2 8 2 2 3" xfId="17804" xr:uid="{00000000-0005-0000-0000-0000E53E0000}"/>
    <cellStyle name="Vírgula 5 2 8 2 3" xfId="5608" xr:uid="{00000000-0005-0000-0000-0000E63E0000}"/>
    <cellStyle name="Vírgula 5 2 8 2 3 2" xfId="22607" xr:uid="{00000000-0005-0000-0000-0000E73E0000}"/>
    <cellStyle name="Vírgula 5 2 8 2 3 3" xfId="18643" xr:uid="{00000000-0005-0000-0000-0000E83E0000}"/>
    <cellStyle name="Vírgula 5 2 8 2 4" xfId="20507" xr:uid="{00000000-0005-0000-0000-0000E93E0000}"/>
    <cellStyle name="Vírgula 5 2 8 2 5" xfId="16483" xr:uid="{00000000-0005-0000-0000-0000EA3E0000}"/>
    <cellStyle name="Vírgula 5 2 8 3" xfId="4053" xr:uid="{00000000-0005-0000-0000-0000EB3E0000}"/>
    <cellStyle name="Vírgula 5 2 8 3 2" xfId="6338" xr:uid="{00000000-0005-0000-0000-0000EC3E0000}"/>
    <cellStyle name="Vírgula 5 2 8 3 2 2" xfId="23320" xr:uid="{00000000-0005-0000-0000-0000ED3E0000}"/>
    <cellStyle name="Vírgula 5 2 8 3 2 3" xfId="19373" xr:uid="{00000000-0005-0000-0000-0000EE3E0000}"/>
    <cellStyle name="Vírgula 5 2 8 3 3" xfId="21102" xr:uid="{00000000-0005-0000-0000-0000EF3E0000}"/>
    <cellStyle name="Vírgula 5 2 8 3 4" xfId="17094" xr:uid="{00000000-0005-0000-0000-0000F03E0000}"/>
    <cellStyle name="Vírgula 5 2 9" xfId="2311" xr:uid="{00000000-0005-0000-0000-0000F13E0000}"/>
    <cellStyle name="Vírgula 5 2 9 2" xfId="3440" xr:uid="{00000000-0005-0000-0000-0000F23E0000}"/>
    <cellStyle name="Vírgula 5 2 9 2 2" xfId="4770" xr:uid="{00000000-0005-0000-0000-0000F33E0000}"/>
    <cellStyle name="Vírgula 5 2 9 2 2 2" xfId="21810" xr:uid="{00000000-0005-0000-0000-0000F43E0000}"/>
    <cellStyle name="Vírgula 5 2 9 2 2 3" xfId="17805" xr:uid="{00000000-0005-0000-0000-0000F53E0000}"/>
    <cellStyle name="Vírgula 5 2 9 2 3" xfId="5609" xr:uid="{00000000-0005-0000-0000-0000F63E0000}"/>
    <cellStyle name="Vírgula 5 2 9 2 3 2" xfId="22608" xr:uid="{00000000-0005-0000-0000-0000F73E0000}"/>
    <cellStyle name="Vírgula 5 2 9 2 3 3" xfId="18644" xr:uid="{00000000-0005-0000-0000-0000F83E0000}"/>
    <cellStyle name="Vírgula 5 2 9 2 4" xfId="20508" xr:uid="{00000000-0005-0000-0000-0000F93E0000}"/>
    <cellStyle name="Vírgula 5 2 9 2 5" xfId="16484" xr:uid="{00000000-0005-0000-0000-0000FA3E0000}"/>
    <cellStyle name="Vírgula 5 2 9 3" xfId="4242" xr:uid="{00000000-0005-0000-0000-0000FB3E0000}"/>
    <cellStyle name="Vírgula 5 2 9 3 2" xfId="6339" xr:uid="{00000000-0005-0000-0000-0000FC3E0000}"/>
    <cellStyle name="Vírgula 5 2 9 3 2 2" xfId="23321" xr:uid="{00000000-0005-0000-0000-0000FD3E0000}"/>
    <cellStyle name="Vírgula 5 2 9 3 2 3" xfId="19374" xr:uid="{00000000-0005-0000-0000-0000FE3E0000}"/>
    <cellStyle name="Vírgula 5 2 9 3 3" xfId="21287" xr:uid="{00000000-0005-0000-0000-0000FF3E0000}"/>
    <cellStyle name="Vírgula 5 2 9 3 4" xfId="17280" xr:uid="{00000000-0005-0000-0000-0000003F0000}"/>
    <cellStyle name="Vírgula 5 3" xfId="674" xr:uid="{00000000-0005-0000-0000-0000013F0000}"/>
    <cellStyle name="Vírgula 5 3 2" xfId="3013" xr:uid="{00000000-0005-0000-0000-0000023F0000}"/>
    <cellStyle name="Vírgula 5 3 2 2" xfId="3688" xr:uid="{00000000-0005-0000-0000-0000033F0000}"/>
    <cellStyle name="Vírgula 5 3 2 2 2" xfId="4966" xr:uid="{00000000-0005-0000-0000-0000043F0000}"/>
    <cellStyle name="Vírgula 5 3 2 2 2 2" xfId="22006" xr:uid="{00000000-0005-0000-0000-0000053F0000}"/>
    <cellStyle name="Vírgula 5 3 2 2 2 3" xfId="18001" xr:uid="{00000000-0005-0000-0000-0000063F0000}"/>
    <cellStyle name="Vírgula 5 3 2 2 3" xfId="5857" xr:uid="{00000000-0005-0000-0000-0000073F0000}"/>
    <cellStyle name="Vírgula 5 3 2 2 3 2" xfId="22856" xr:uid="{00000000-0005-0000-0000-0000083F0000}"/>
    <cellStyle name="Vírgula 5 3 2 2 3 3" xfId="18892" xr:uid="{00000000-0005-0000-0000-0000093F0000}"/>
    <cellStyle name="Vírgula 5 3 2 2 4" xfId="20756" xr:uid="{00000000-0005-0000-0000-00000A3F0000}"/>
    <cellStyle name="Vírgula 5 3 2 2 5" xfId="16732" xr:uid="{00000000-0005-0000-0000-00000B3F0000}"/>
    <cellStyle name="Vírgula 5 3 2 3" xfId="4427" xr:uid="{00000000-0005-0000-0000-00000C3F0000}"/>
    <cellStyle name="Vírgula 5 3 2 3 2" xfId="6871" xr:uid="{00000000-0005-0000-0000-00000D3F0000}"/>
    <cellStyle name="Vírgula 5 3 2 3 2 2" xfId="23836" xr:uid="{00000000-0005-0000-0000-00000E3F0000}"/>
    <cellStyle name="Vírgula 5 3 2 3 2 3" xfId="19906" xr:uid="{00000000-0005-0000-0000-00000F3F0000}"/>
    <cellStyle name="Vírgula 5 3 2 3 3" xfId="21470" xr:uid="{00000000-0005-0000-0000-0000103F0000}"/>
    <cellStyle name="Vírgula 5 3 2 3 4" xfId="17464" xr:uid="{00000000-0005-0000-0000-0000113F0000}"/>
    <cellStyle name="Vírgula 5 3 2 4" xfId="5189" xr:uid="{00000000-0005-0000-0000-0000123F0000}"/>
    <cellStyle name="Vírgula 5 3 2 4 2" xfId="22189" xr:uid="{00000000-0005-0000-0000-0000133F0000}"/>
    <cellStyle name="Vírgula 5 3 2 4 3" xfId="18224" xr:uid="{00000000-0005-0000-0000-0000143F0000}"/>
    <cellStyle name="Vírgula 5 3 2 5" xfId="20089" xr:uid="{00000000-0005-0000-0000-0000153F0000}"/>
    <cellStyle name="Vírgula 5 3 2 6" xfId="16064" xr:uid="{00000000-0005-0000-0000-0000163F0000}"/>
    <cellStyle name="Vírgula 5 3 3" xfId="5992" xr:uid="{00000000-0005-0000-0000-0000173F0000}"/>
    <cellStyle name="Vírgula 5 3 3 2" xfId="8538" xr:uid="{00000000-0005-0000-0000-0000183F0000}"/>
    <cellStyle name="Vírgula 5 3 3 2 2" xfId="22986" xr:uid="{00000000-0005-0000-0000-0000193F0000}"/>
    <cellStyle name="Vírgula 5 3 3 3" xfId="19027" xr:uid="{00000000-0005-0000-0000-00001A3F0000}"/>
    <cellStyle name="Vírgula 5 3 4" xfId="8539" xr:uid="{00000000-0005-0000-0000-00001B3F0000}"/>
    <cellStyle name="Vírgula 5 4" xfId="2312" xr:uid="{00000000-0005-0000-0000-00001C3F0000}"/>
    <cellStyle name="Vírgula 5 4 2" xfId="3441" xr:uid="{00000000-0005-0000-0000-00001D3F0000}"/>
    <cellStyle name="Vírgula 5 4 2 2" xfId="4771" xr:uid="{00000000-0005-0000-0000-00001E3F0000}"/>
    <cellStyle name="Vírgula 5 4 2 2 2" xfId="21811" xr:uid="{00000000-0005-0000-0000-00001F3F0000}"/>
    <cellStyle name="Vírgula 5 4 2 2 3" xfId="17806" xr:uid="{00000000-0005-0000-0000-0000203F0000}"/>
    <cellStyle name="Vírgula 5 4 2 3" xfId="5610" xr:uid="{00000000-0005-0000-0000-0000213F0000}"/>
    <cellStyle name="Vírgula 5 4 2 3 2" xfId="22609" xr:uid="{00000000-0005-0000-0000-0000223F0000}"/>
    <cellStyle name="Vírgula 5 4 2 3 3" xfId="18645" xr:uid="{00000000-0005-0000-0000-0000233F0000}"/>
    <cellStyle name="Vírgula 5 4 2 4" xfId="20509" xr:uid="{00000000-0005-0000-0000-0000243F0000}"/>
    <cellStyle name="Vírgula 5 4 2 5" xfId="16485" xr:uid="{00000000-0005-0000-0000-0000253F0000}"/>
    <cellStyle name="Vírgula 5 4 3" xfId="3964" xr:uid="{00000000-0005-0000-0000-0000263F0000}"/>
    <cellStyle name="Vírgula 5 4 3 2" xfId="6340" xr:uid="{00000000-0005-0000-0000-0000273F0000}"/>
    <cellStyle name="Vírgula 5 4 3 2 2" xfId="23322" xr:uid="{00000000-0005-0000-0000-0000283F0000}"/>
    <cellStyle name="Vírgula 5 4 3 2 3" xfId="19375" xr:uid="{00000000-0005-0000-0000-0000293F0000}"/>
    <cellStyle name="Vírgula 5 4 3 3" xfId="21020" xr:uid="{00000000-0005-0000-0000-00002A3F0000}"/>
    <cellStyle name="Vírgula 5 4 3 4" xfId="17006" xr:uid="{00000000-0005-0000-0000-00002B3F0000}"/>
    <cellStyle name="Vírgula 5 5" xfId="2313" xr:uid="{00000000-0005-0000-0000-00002C3F0000}"/>
    <cellStyle name="Vírgula 5 5 2" xfId="3442" xr:uid="{00000000-0005-0000-0000-00002D3F0000}"/>
    <cellStyle name="Vírgula 5 5 2 2" xfId="4772" xr:uid="{00000000-0005-0000-0000-00002E3F0000}"/>
    <cellStyle name="Vírgula 5 5 2 2 2" xfId="21812" xr:uid="{00000000-0005-0000-0000-00002F3F0000}"/>
    <cellStyle name="Vírgula 5 5 2 2 3" xfId="17807" xr:uid="{00000000-0005-0000-0000-0000303F0000}"/>
    <cellStyle name="Vírgula 5 5 2 3" xfId="5611" xr:uid="{00000000-0005-0000-0000-0000313F0000}"/>
    <cellStyle name="Vírgula 5 5 2 3 2" xfId="22610" xr:uid="{00000000-0005-0000-0000-0000323F0000}"/>
    <cellStyle name="Vírgula 5 5 2 3 3" xfId="18646" xr:uid="{00000000-0005-0000-0000-0000333F0000}"/>
    <cellStyle name="Vírgula 5 5 2 4" xfId="20510" xr:uid="{00000000-0005-0000-0000-0000343F0000}"/>
    <cellStyle name="Vírgula 5 5 2 5" xfId="16486" xr:uid="{00000000-0005-0000-0000-0000353F0000}"/>
    <cellStyle name="Vírgula 5 5 3" xfId="4174" xr:uid="{00000000-0005-0000-0000-0000363F0000}"/>
    <cellStyle name="Vírgula 5 5 3 2" xfId="6341" xr:uid="{00000000-0005-0000-0000-0000373F0000}"/>
    <cellStyle name="Vírgula 5 5 3 2 2" xfId="23323" xr:uid="{00000000-0005-0000-0000-0000383F0000}"/>
    <cellStyle name="Vírgula 5 5 3 2 3" xfId="19376" xr:uid="{00000000-0005-0000-0000-0000393F0000}"/>
    <cellStyle name="Vírgula 5 5 3 3" xfId="21221" xr:uid="{00000000-0005-0000-0000-00003A3F0000}"/>
    <cellStyle name="Vírgula 5 5 3 4" xfId="17214" xr:uid="{00000000-0005-0000-0000-00003B3F0000}"/>
    <cellStyle name="Vírgula 5 6" xfId="2314" xr:uid="{00000000-0005-0000-0000-00003C3F0000}"/>
    <cellStyle name="Vírgula 5 6 2" xfId="3443" xr:uid="{00000000-0005-0000-0000-00003D3F0000}"/>
    <cellStyle name="Vírgula 5 6 2 2" xfId="4773" xr:uid="{00000000-0005-0000-0000-00003E3F0000}"/>
    <cellStyle name="Vírgula 5 6 2 2 2" xfId="21813" xr:uid="{00000000-0005-0000-0000-00003F3F0000}"/>
    <cellStyle name="Vírgula 5 6 2 2 3" xfId="17808" xr:uid="{00000000-0005-0000-0000-0000403F0000}"/>
    <cellStyle name="Vírgula 5 6 2 3" xfId="5612" xr:uid="{00000000-0005-0000-0000-0000413F0000}"/>
    <cellStyle name="Vírgula 5 6 2 3 2" xfId="22611" xr:uid="{00000000-0005-0000-0000-0000423F0000}"/>
    <cellStyle name="Vírgula 5 6 2 3 3" xfId="18647" xr:uid="{00000000-0005-0000-0000-0000433F0000}"/>
    <cellStyle name="Vírgula 5 6 2 4" xfId="20511" xr:uid="{00000000-0005-0000-0000-0000443F0000}"/>
    <cellStyle name="Vírgula 5 6 2 5" xfId="16487" xr:uid="{00000000-0005-0000-0000-0000453F0000}"/>
    <cellStyle name="Vírgula 5 6 3" xfId="4123" xr:uid="{00000000-0005-0000-0000-0000463F0000}"/>
    <cellStyle name="Vírgula 5 6 3 2" xfId="6342" xr:uid="{00000000-0005-0000-0000-0000473F0000}"/>
    <cellStyle name="Vírgula 5 6 3 2 2" xfId="23324" xr:uid="{00000000-0005-0000-0000-0000483F0000}"/>
    <cellStyle name="Vírgula 5 6 3 2 3" xfId="19377" xr:uid="{00000000-0005-0000-0000-0000493F0000}"/>
    <cellStyle name="Vírgula 5 6 3 3" xfId="21171" xr:uid="{00000000-0005-0000-0000-00004A3F0000}"/>
    <cellStyle name="Vírgula 5 6 3 4" xfId="17163" xr:uid="{00000000-0005-0000-0000-00004B3F0000}"/>
    <cellStyle name="Vírgula 5 7" xfId="2315" xr:uid="{00000000-0005-0000-0000-00004C3F0000}"/>
    <cellStyle name="Vírgula 5 7 2" xfId="3444" xr:uid="{00000000-0005-0000-0000-00004D3F0000}"/>
    <cellStyle name="Vírgula 5 7 2 2" xfId="4774" xr:uid="{00000000-0005-0000-0000-00004E3F0000}"/>
    <cellStyle name="Vírgula 5 7 2 2 2" xfId="21814" xr:uid="{00000000-0005-0000-0000-00004F3F0000}"/>
    <cellStyle name="Vírgula 5 7 2 2 3" xfId="17809" xr:uid="{00000000-0005-0000-0000-0000503F0000}"/>
    <cellStyle name="Vírgula 5 7 2 3" xfId="5613" xr:uid="{00000000-0005-0000-0000-0000513F0000}"/>
    <cellStyle name="Vírgula 5 7 2 3 2" xfId="22612" xr:uid="{00000000-0005-0000-0000-0000523F0000}"/>
    <cellStyle name="Vírgula 5 7 2 3 3" xfId="18648" xr:uid="{00000000-0005-0000-0000-0000533F0000}"/>
    <cellStyle name="Vírgula 5 7 2 4" xfId="20512" xr:uid="{00000000-0005-0000-0000-0000543F0000}"/>
    <cellStyle name="Vírgula 5 7 2 5" xfId="16488" xr:uid="{00000000-0005-0000-0000-0000553F0000}"/>
    <cellStyle name="Vírgula 5 7 3" xfId="4353" xr:uid="{00000000-0005-0000-0000-0000563F0000}"/>
    <cellStyle name="Vírgula 5 7 3 2" xfId="6343" xr:uid="{00000000-0005-0000-0000-0000573F0000}"/>
    <cellStyle name="Vírgula 5 7 3 2 2" xfId="23325" xr:uid="{00000000-0005-0000-0000-0000583F0000}"/>
    <cellStyle name="Vírgula 5 7 3 2 3" xfId="19378" xr:uid="{00000000-0005-0000-0000-0000593F0000}"/>
    <cellStyle name="Vírgula 5 7 3 3" xfId="21397" xr:uid="{00000000-0005-0000-0000-00005A3F0000}"/>
    <cellStyle name="Vírgula 5 7 3 4" xfId="17390" xr:uid="{00000000-0005-0000-0000-00005B3F0000}"/>
    <cellStyle name="Vírgula 5 8" xfId="2316" xr:uid="{00000000-0005-0000-0000-00005C3F0000}"/>
    <cellStyle name="Vírgula 5 8 2" xfId="3445" xr:uid="{00000000-0005-0000-0000-00005D3F0000}"/>
    <cellStyle name="Vírgula 5 8 2 2" xfId="4775" xr:uid="{00000000-0005-0000-0000-00005E3F0000}"/>
    <cellStyle name="Vírgula 5 8 2 2 2" xfId="21815" xr:uid="{00000000-0005-0000-0000-00005F3F0000}"/>
    <cellStyle name="Vírgula 5 8 2 2 3" xfId="17810" xr:uid="{00000000-0005-0000-0000-0000603F0000}"/>
    <cellStyle name="Vírgula 5 8 2 3" xfId="5614" xr:uid="{00000000-0005-0000-0000-0000613F0000}"/>
    <cellStyle name="Vírgula 5 8 2 3 2" xfId="22613" xr:uid="{00000000-0005-0000-0000-0000623F0000}"/>
    <cellStyle name="Vírgula 5 8 2 3 3" xfId="18649" xr:uid="{00000000-0005-0000-0000-0000633F0000}"/>
    <cellStyle name="Vírgula 5 8 2 4" xfId="20513" xr:uid="{00000000-0005-0000-0000-0000643F0000}"/>
    <cellStyle name="Vírgula 5 8 2 5" xfId="16489" xr:uid="{00000000-0005-0000-0000-0000653F0000}"/>
    <cellStyle name="Vírgula 5 8 3" xfId="3719" xr:uid="{00000000-0005-0000-0000-0000663F0000}"/>
    <cellStyle name="Vírgula 5 8 3 2" xfId="6344" xr:uid="{00000000-0005-0000-0000-0000673F0000}"/>
    <cellStyle name="Vírgula 5 8 3 2 2" xfId="23326" xr:uid="{00000000-0005-0000-0000-0000683F0000}"/>
    <cellStyle name="Vírgula 5 8 3 2 3" xfId="19379" xr:uid="{00000000-0005-0000-0000-0000693F0000}"/>
    <cellStyle name="Vírgula 5 8 3 3" xfId="20784" xr:uid="{00000000-0005-0000-0000-00006A3F0000}"/>
    <cellStyle name="Vírgula 5 8 3 4" xfId="16763" xr:uid="{00000000-0005-0000-0000-00006B3F0000}"/>
    <cellStyle name="Vírgula 5 9" xfId="2317" xr:uid="{00000000-0005-0000-0000-00006C3F0000}"/>
    <cellStyle name="Vírgula 5 9 2" xfId="3446" xr:uid="{00000000-0005-0000-0000-00006D3F0000}"/>
    <cellStyle name="Vírgula 5 9 2 2" xfId="4776" xr:uid="{00000000-0005-0000-0000-00006E3F0000}"/>
    <cellStyle name="Vírgula 5 9 2 2 2" xfId="21816" xr:uid="{00000000-0005-0000-0000-00006F3F0000}"/>
    <cellStyle name="Vírgula 5 9 2 2 3" xfId="17811" xr:uid="{00000000-0005-0000-0000-0000703F0000}"/>
    <cellStyle name="Vírgula 5 9 2 3" xfId="5615" xr:uid="{00000000-0005-0000-0000-0000713F0000}"/>
    <cellStyle name="Vírgula 5 9 2 3 2" xfId="22614" xr:uid="{00000000-0005-0000-0000-0000723F0000}"/>
    <cellStyle name="Vírgula 5 9 2 3 3" xfId="18650" xr:uid="{00000000-0005-0000-0000-0000733F0000}"/>
    <cellStyle name="Vírgula 5 9 2 4" xfId="20514" xr:uid="{00000000-0005-0000-0000-0000743F0000}"/>
    <cellStyle name="Vírgula 5 9 2 5" xfId="16490" xr:uid="{00000000-0005-0000-0000-0000753F0000}"/>
    <cellStyle name="Vírgula 5 9 3" xfId="3858" xr:uid="{00000000-0005-0000-0000-0000763F0000}"/>
    <cellStyle name="Vírgula 5 9 3 2" xfId="6345" xr:uid="{00000000-0005-0000-0000-0000773F0000}"/>
    <cellStyle name="Vírgula 5 9 3 2 2" xfId="23327" xr:uid="{00000000-0005-0000-0000-0000783F0000}"/>
    <cellStyle name="Vírgula 5 9 3 2 3" xfId="19380" xr:uid="{00000000-0005-0000-0000-0000793F0000}"/>
    <cellStyle name="Vírgula 5 9 3 3" xfId="20919" xr:uid="{00000000-0005-0000-0000-00007A3F0000}"/>
    <cellStyle name="Vírgula 5 9 3 4" xfId="16900" xr:uid="{00000000-0005-0000-0000-00007B3F0000}"/>
    <cellStyle name="Vírgula 6" xfId="67" xr:uid="{00000000-0005-0000-0000-00007C3F0000}"/>
    <cellStyle name="Vírgula 6 10" xfId="2318" xr:uid="{00000000-0005-0000-0000-00007D3F0000}"/>
    <cellStyle name="Vírgula 6 10 2" xfId="3447" xr:uid="{00000000-0005-0000-0000-00007E3F0000}"/>
    <cellStyle name="Vírgula 6 10 2 2" xfId="4777" xr:uid="{00000000-0005-0000-0000-00007F3F0000}"/>
    <cellStyle name="Vírgula 6 10 2 2 2" xfId="21817" xr:uid="{00000000-0005-0000-0000-0000803F0000}"/>
    <cellStyle name="Vírgula 6 10 2 2 3" xfId="17812" xr:uid="{00000000-0005-0000-0000-0000813F0000}"/>
    <cellStyle name="Vírgula 6 10 2 3" xfId="5616" xr:uid="{00000000-0005-0000-0000-0000823F0000}"/>
    <cellStyle name="Vírgula 6 10 2 3 2" xfId="22615" xr:uid="{00000000-0005-0000-0000-0000833F0000}"/>
    <cellStyle name="Vírgula 6 10 2 3 3" xfId="18651" xr:uid="{00000000-0005-0000-0000-0000843F0000}"/>
    <cellStyle name="Vírgula 6 10 2 4" xfId="20515" xr:uid="{00000000-0005-0000-0000-0000853F0000}"/>
    <cellStyle name="Vírgula 6 10 2 5" xfId="16491" xr:uid="{00000000-0005-0000-0000-0000863F0000}"/>
    <cellStyle name="Vírgula 6 10 3" xfId="4473" xr:uid="{00000000-0005-0000-0000-0000873F0000}"/>
    <cellStyle name="Vírgula 6 10 3 2" xfId="6346" xr:uid="{00000000-0005-0000-0000-0000883F0000}"/>
    <cellStyle name="Vírgula 6 10 3 2 2" xfId="23328" xr:uid="{00000000-0005-0000-0000-0000893F0000}"/>
    <cellStyle name="Vírgula 6 10 3 2 3" xfId="19381" xr:uid="{00000000-0005-0000-0000-00008A3F0000}"/>
    <cellStyle name="Vírgula 6 10 3 3" xfId="21513" xr:uid="{00000000-0005-0000-0000-00008B3F0000}"/>
    <cellStyle name="Vírgula 6 10 3 4" xfId="17508" xr:uid="{00000000-0005-0000-0000-00008C3F0000}"/>
    <cellStyle name="Vírgula 6 11" xfId="2319" xr:uid="{00000000-0005-0000-0000-00008D3F0000}"/>
    <cellStyle name="Vírgula 6 11 2" xfId="3448" xr:uid="{00000000-0005-0000-0000-00008E3F0000}"/>
    <cellStyle name="Vírgula 6 11 2 2" xfId="4778" xr:uid="{00000000-0005-0000-0000-00008F3F0000}"/>
    <cellStyle name="Vírgula 6 11 2 2 2" xfId="21818" xr:uid="{00000000-0005-0000-0000-0000903F0000}"/>
    <cellStyle name="Vírgula 6 11 2 2 3" xfId="17813" xr:uid="{00000000-0005-0000-0000-0000913F0000}"/>
    <cellStyle name="Vírgula 6 11 2 3" xfId="5617" xr:uid="{00000000-0005-0000-0000-0000923F0000}"/>
    <cellStyle name="Vírgula 6 11 2 3 2" xfId="22616" xr:uid="{00000000-0005-0000-0000-0000933F0000}"/>
    <cellStyle name="Vírgula 6 11 2 3 3" xfId="18652" xr:uid="{00000000-0005-0000-0000-0000943F0000}"/>
    <cellStyle name="Vírgula 6 11 2 4" xfId="20516" xr:uid="{00000000-0005-0000-0000-0000953F0000}"/>
    <cellStyle name="Vírgula 6 11 2 5" xfId="16492" xr:uid="{00000000-0005-0000-0000-0000963F0000}"/>
    <cellStyle name="Vírgula 6 11 3" xfId="3722" xr:uid="{00000000-0005-0000-0000-0000973F0000}"/>
    <cellStyle name="Vírgula 6 11 3 2" xfId="6347" xr:uid="{00000000-0005-0000-0000-0000983F0000}"/>
    <cellStyle name="Vírgula 6 11 3 2 2" xfId="23329" xr:uid="{00000000-0005-0000-0000-0000993F0000}"/>
    <cellStyle name="Vírgula 6 11 3 2 3" xfId="19382" xr:uid="{00000000-0005-0000-0000-00009A3F0000}"/>
    <cellStyle name="Vírgula 6 11 3 3" xfId="20787" xr:uid="{00000000-0005-0000-0000-00009B3F0000}"/>
    <cellStyle name="Vírgula 6 11 3 4" xfId="16766" xr:uid="{00000000-0005-0000-0000-00009C3F0000}"/>
    <cellStyle name="Vírgula 6 12" xfId="3711" xr:uid="{00000000-0005-0000-0000-00009D3F0000}"/>
    <cellStyle name="Vírgula 6 12 2" xfId="5886" xr:uid="{00000000-0005-0000-0000-00009E3F0000}"/>
    <cellStyle name="Vírgula 6 12 2 2" xfId="12492" xr:uid="{00000000-0005-0000-0000-00009F3F0000}"/>
    <cellStyle name="Vírgula 6 12 2 2 2" xfId="22882" xr:uid="{00000000-0005-0000-0000-0000A03F0000}"/>
    <cellStyle name="Vírgula 6 12 2 3" xfId="11135" xr:uid="{00000000-0005-0000-0000-0000A13F0000}"/>
    <cellStyle name="Vírgula 6 12 2 4" xfId="18921" xr:uid="{00000000-0005-0000-0000-0000A23F0000}"/>
    <cellStyle name="Vírgula 6 12 3" xfId="20779" xr:uid="{00000000-0005-0000-0000-0000A33F0000}"/>
    <cellStyle name="Vírgula 6 12 4" xfId="16755" xr:uid="{00000000-0005-0000-0000-0000A43F0000}"/>
    <cellStyle name="Vírgula 6 2" xfId="118" xr:uid="{00000000-0005-0000-0000-0000A53F0000}"/>
    <cellStyle name="Vírgula 6 2 10" xfId="3014" xr:uid="{00000000-0005-0000-0000-0000A63F0000}"/>
    <cellStyle name="Vírgula 6 2 10 2" xfId="3689" xr:uid="{00000000-0005-0000-0000-0000A73F0000}"/>
    <cellStyle name="Vírgula 6 2 10 2 2" xfId="4967" xr:uid="{00000000-0005-0000-0000-0000A83F0000}"/>
    <cellStyle name="Vírgula 6 2 10 2 2 2" xfId="22007" xr:uid="{00000000-0005-0000-0000-0000A93F0000}"/>
    <cellStyle name="Vírgula 6 2 10 2 2 3" xfId="18002" xr:uid="{00000000-0005-0000-0000-0000AA3F0000}"/>
    <cellStyle name="Vírgula 6 2 10 2 3" xfId="5858" xr:uid="{00000000-0005-0000-0000-0000AB3F0000}"/>
    <cellStyle name="Vírgula 6 2 10 2 3 2" xfId="11823" xr:uid="{00000000-0005-0000-0000-0000AC3F0000}"/>
    <cellStyle name="Vírgula 6 2 10 2 3 2 2" xfId="22857" xr:uid="{00000000-0005-0000-0000-0000AD3F0000}"/>
    <cellStyle name="Vírgula 6 2 10 2 3 3" xfId="11630" xr:uid="{00000000-0005-0000-0000-0000AE3F0000}"/>
    <cellStyle name="Vírgula 6 2 10 2 3 4" xfId="18893" xr:uid="{00000000-0005-0000-0000-0000AF3F0000}"/>
    <cellStyle name="Vírgula 6 2 10 2 4" xfId="20757" xr:uid="{00000000-0005-0000-0000-0000B03F0000}"/>
    <cellStyle name="Vírgula 6 2 10 2 5" xfId="16733" xr:uid="{00000000-0005-0000-0000-0000B13F0000}"/>
    <cellStyle name="Vírgula 6 2 10 3" xfId="4428" xr:uid="{00000000-0005-0000-0000-0000B23F0000}"/>
    <cellStyle name="Vírgula 6 2 10 3 2" xfId="5899" xr:uid="{00000000-0005-0000-0000-0000B33F0000}"/>
    <cellStyle name="Vírgula 6 2 10 3 2 2" xfId="22895" xr:uid="{00000000-0005-0000-0000-0000B43F0000}"/>
    <cellStyle name="Vírgula 6 2 10 3 2 3" xfId="18934" xr:uid="{00000000-0005-0000-0000-0000B53F0000}"/>
    <cellStyle name="Vírgula 6 2 10 3 3" xfId="21471" xr:uid="{00000000-0005-0000-0000-0000B63F0000}"/>
    <cellStyle name="Vírgula 6 2 10 3 4" xfId="17465" xr:uid="{00000000-0005-0000-0000-0000B73F0000}"/>
    <cellStyle name="Vírgula 6 2 10 4" xfId="4065" xr:uid="{00000000-0005-0000-0000-0000B83F0000}"/>
    <cellStyle name="Vírgula 6 2 10 4 2" xfId="6872" xr:uid="{00000000-0005-0000-0000-0000B93F0000}"/>
    <cellStyle name="Vírgula 6 2 10 4 2 2" xfId="23837" xr:uid="{00000000-0005-0000-0000-0000BA3F0000}"/>
    <cellStyle name="Vírgula 6 2 10 4 2 3" xfId="19907" xr:uid="{00000000-0005-0000-0000-0000BB3F0000}"/>
    <cellStyle name="Vírgula 6 2 10 4 3" xfId="21113" xr:uid="{00000000-0005-0000-0000-0000BC3F0000}"/>
    <cellStyle name="Vírgula 6 2 10 4 4" xfId="17105" xr:uid="{00000000-0005-0000-0000-0000BD3F0000}"/>
    <cellStyle name="Vírgula 6 2 10 5" xfId="5190" xr:uid="{00000000-0005-0000-0000-0000BE3F0000}"/>
    <cellStyle name="Vírgula 6 2 10 5 2" xfId="22190" xr:uid="{00000000-0005-0000-0000-0000BF3F0000}"/>
    <cellStyle name="Vírgula 6 2 10 5 3" xfId="18225" xr:uid="{00000000-0005-0000-0000-0000C03F0000}"/>
    <cellStyle name="Vírgula 6 2 10 6" xfId="13550" xr:uid="{00000000-0005-0000-0000-0000C13F0000}"/>
    <cellStyle name="Vírgula 6 2 10 6 2" xfId="20090" xr:uid="{00000000-0005-0000-0000-0000C23F0000}"/>
    <cellStyle name="Vírgula 6 2 10 7" xfId="16065" xr:uid="{00000000-0005-0000-0000-0000C33F0000}"/>
    <cellStyle name="Vírgula 6 2 11" xfId="3041" xr:uid="{00000000-0005-0000-0000-0000C43F0000}"/>
    <cellStyle name="Vírgula 6 2 11 2" xfId="4493" xr:uid="{00000000-0005-0000-0000-0000C53F0000}"/>
    <cellStyle name="Vírgula 6 2 11 2 2" xfId="21533" xr:uid="{00000000-0005-0000-0000-0000C63F0000}"/>
    <cellStyle name="Vírgula 6 2 11 2 3" xfId="17528" xr:uid="{00000000-0005-0000-0000-0000C73F0000}"/>
    <cellStyle name="Vírgula 6 2 11 3" xfId="5210" xr:uid="{00000000-0005-0000-0000-0000C83F0000}"/>
    <cellStyle name="Vírgula 6 2 11 3 2" xfId="11259" xr:uid="{00000000-0005-0000-0000-0000C93F0000}"/>
    <cellStyle name="Vírgula 6 2 11 3 2 2" xfId="22209" xr:uid="{00000000-0005-0000-0000-0000CA3F0000}"/>
    <cellStyle name="Vírgula 6 2 11 3 3" xfId="11744" xr:uid="{00000000-0005-0000-0000-0000CB3F0000}"/>
    <cellStyle name="Vírgula 6 2 11 3 4" xfId="18245" xr:uid="{00000000-0005-0000-0000-0000CC3F0000}"/>
    <cellStyle name="Vírgula 6 2 11 4" xfId="13571" xr:uid="{00000000-0005-0000-0000-0000CD3F0000}"/>
    <cellStyle name="Vírgula 6 2 11 4 2" xfId="20109" xr:uid="{00000000-0005-0000-0000-0000CE3F0000}"/>
    <cellStyle name="Vírgula 6 2 11 5" xfId="16085" xr:uid="{00000000-0005-0000-0000-0000CF3F0000}"/>
    <cellStyle name="Vírgula 6 2 12" xfId="8540" xr:uid="{00000000-0005-0000-0000-0000D03F0000}"/>
    <cellStyle name="Vírgula 6 2 13" xfId="8541" xr:uid="{00000000-0005-0000-0000-0000D13F0000}"/>
    <cellStyle name="Vírgula 6 2 2" xfId="732" xr:uid="{00000000-0005-0000-0000-0000D23F0000}"/>
    <cellStyle name="Vírgula 6 2 2 2" xfId="3117" xr:uid="{00000000-0005-0000-0000-0000D33F0000}"/>
    <cellStyle name="Vírgula 6 2 2 2 2" xfId="4532" xr:uid="{00000000-0005-0000-0000-0000D43F0000}"/>
    <cellStyle name="Vírgula 6 2 2 2 2 2" xfId="11196" xr:uid="{00000000-0005-0000-0000-0000D53F0000}"/>
    <cellStyle name="Vírgula 6 2 2 2 2 2 2" xfId="21572" xr:uid="{00000000-0005-0000-0000-0000D63F0000}"/>
    <cellStyle name="Vírgula 6 2 2 2 2 3" xfId="17567" xr:uid="{00000000-0005-0000-0000-0000D73F0000}"/>
    <cellStyle name="Vírgula 6 2 2 2 3" xfId="5286" xr:uid="{00000000-0005-0000-0000-0000D83F0000}"/>
    <cellStyle name="Vírgula 6 2 2 2 3 2" xfId="11167" xr:uid="{00000000-0005-0000-0000-0000D93F0000}"/>
    <cellStyle name="Vírgula 6 2 2 2 3 2 2" xfId="22285" xr:uid="{00000000-0005-0000-0000-0000DA3F0000}"/>
    <cellStyle name="Vírgula 6 2 2 2 3 3" xfId="12903" xr:uid="{00000000-0005-0000-0000-0000DB3F0000}"/>
    <cellStyle name="Vírgula 6 2 2 2 3 4" xfId="18321" xr:uid="{00000000-0005-0000-0000-0000DC3F0000}"/>
    <cellStyle name="Vírgula 6 2 2 2 4" xfId="9716" xr:uid="{00000000-0005-0000-0000-0000DD3F0000}"/>
    <cellStyle name="Vírgula 6 2 2 2 4 2" xfId="14896" xr:uid="{00000000-0005-0000-0000-0000DE3F0000}"/>
    <cellStyle name="Vírgula 6 2 2 2 4 3" xfId="13600" xr:uid="{00000000-0005-0000-0000-0000DF3F0000}"/>
    <cellStyle name="Vírgula 6 2 2 2 4 4" xfId="20185" xr:uid="{00000000-0005-0000-0000-0000E03F0000}"/>
    <cellStyle name="Vírgula 6 2 2 2 5" xfId="16161" xr:uid="{00000000-0005-0000-0000-0000E13F0000}"/>
    <cellStyle name="Vírgula 6 2 2 3" xfId="4472" xr:uid="{00000000-0005-0000-0000-0000E23F0000}"/>
    <cellStyle name="Vírgula 6 2 2 3 2" xfId="6002" xr:uid="{00000000-0005-0000-0000-0000E33F0000}"/>
    <cellStyle name="Vírgula 6 2 2 3 2 2" xfId="22996" xr:uid="{00000000-0005-0000-0000-0000E43F0000}"/>
    <cellStyle name="Vírgula 6 2 2 3 2 3" xfId="19037" xr:uid="{00000000-0005-0000-0000-0000E53F0000}"/>
    <cellStyle name="Vírgula 6 2 2 3 3" xfId="21512" xr:uid="{00000000-0005-0000-0000-0000E63F0000}"/>
    <cellStyle name="Vírgula 6 2 2 3 4" xfId="17507" xr:uid="{00000000-0005-0000-0000-0000E73F0000}"/>
    <cellStyle name="Vírgula 6 2 2 4" xfId="8542" xr:uid="{00000000-0005-0000-0000-0000E83F0000}"/>
    <cellStyle name="Vírgula 6 2 3" xfId="2321" xr:uid="{00000000-0005-0000-0000-0000E93F0000}"/>
    <cellStyle name="Vírgula 6 2 3 2" xfId="3450" xr:uid="{00000000-0005-0000-0000-0000EA3F0000}"/>
    <cellStyle name="Vírgula 6 2 3 2 2" xfId="4780" xr:uid="{00000000-0005-0000-0000-0000EB3F0000}"/>
    <cellStyle name="Vírgula 6 2 3 2 2 2" xfId="21820" xr:uid="{00000000-0005-0000-0000-0000EC3F0000}"/>
    <cellStyle name="Vírgula 6 2 3 2 2 3" xfId="17815" xr:uid="{00000000-0005-0000-0000-0000ED3F0000}"/>
    <cellStyle name="Vírgula 6 2 3 2 3" xfId="5619" xr:uid="{00000000-0005-0000-0000-0000EE3F0000}"/>
    <cellStyle name="Vírgula 6 2 3 2 3 2" xfId="22618" xr:uid="{00000000-0005-0000-0000-0000EF3F0000}"/>
    <cellStyle name="Vírgula 6 2 3 2 3 3" xfId="18654" xr:uid="{00000000-0005-0000-0000-0000F03F0000}"/>
    <cellStyle name="Vírgula 6 2 3 2 4" xfId="20518" xr:uid="{00000000-0005-0000-0000-0000F13F0000}"/>
    <cellStyle name="Vírgula 6 2 3 2 5" xfId="16494" xr:uid="{00000000-0005-0000-0000-0000F23F0000}"/>
    <cellStyle name="Vírgula 6 2 3 3" xfId="4430" xr:uid="{00000000-0005-0000-0000-0000F33F0000}"/>
    <cellStyle name="Vírgula 6 2 3 3 2" xfId="6349" xr:uid="{00000000-0005-0000-0000-0000F43F0000}"/>
    <cellStyle name="Vírgula 6 2 3 3 2 2" xfId="23331" xr:uid="{00000000-0005-0000-0000-0000F53F0000}"/>
    <cellStyle name="Vírgula 6 2 3 3 2 3" xfId="19384" xr:uid="{00000000-0005-0000-0000-0000F63F0000}"/>
    <cellStyle name="Vírgula 6 2 3 3 3" xfId="21472" xr:uid="{00000000-0005-0000-0000-0000F73F0000}"/>
    <cellStyle name="Vírgula 6 2 3 3 4" xfId="17467" xr:uid="{00000000-0005-0000-0000-0000F83F0000}"/>
    <cellStyle name="Vírgula 6 2 4" xfId="2322" xr:uid="{00000000-0005-0000-0000-0000F93F0000}"/>
    <cellStyle name="Vírgula 6 2 4 2" xfId="3451" xr:uid="{00000000-0005-0000-0000-0000FA3F0000}"/>
    <cellStyle name="Vírgula 6 2 4 2 2" xfId="4781" xr:uid="{00000000-0005-0000-0000-0000FB3F0000}"/>
    <cellStyle name="Vírgula 6 2 4 2 2 2" xfId="12410" xr:uid="{00000000-0005-0000-0000-0000FC3F0000}"/>
    <cellStyle name="Vírgula 6 2 4 2 2 2 2" xfId="21821" xr:uid="{00000000-0005-0000-0000-0000FD3F0000}"/>
    <cellStyle name="Vírgula 6 2 4 2 2 3" xfId="17816" xr:uid="{00000000-0005-0000-0000-0000FE3F0000}"/>
    <cellStyle name="Vírgula 6 2 4 2 3" xfId="5620" xr:uid="{00000000-0005-0000-0000-0000FF3F0000}"/>
    <cellStyle name="Vírgula 6 2 4 2 3 2" xfId="11608" xr:uid="{00000000-0005-0000-0000-000000400000}"/>
    <cellStyle name="Vírgula 6 2 4 2 3 2 2" xfId="22619" xr:uid="{00000000-0005-0000-0000-000001400000}"/>
    <cellStyle name="Vírgula 6 2 4 2 3 3" xfId="11150" xr:uid="{00000000-0005-0000-0000-000002400000}"/>
    <cellStyle name="Vírgula 6 2 4 2 3 4" xfId="18655" xr:uid="{00000000-0005-0000-0000-000003400000}"/>
    <cellStyle name="Vírgula 6 2 4 2 4" xfId="13631" xr:uid="{00000000-0005-0000-0000-000004400000}"/>
    <cellStyle name="Vírgula 6 2 4 2 4 2" xfId="20519" xr:uid="{00000000-0005-0000-0000-000005400000}"/>
    <cellStyle name="Vírgula 6 2 4 2 5" xfId="16495" xr:uid="{00000000-0005-0000-0000-000006400000}"/>
    <cellStyle name="Vírgula 6 2 4 3" xfId="4136" xr:uid="{00000000-0005-0000-0000-000007400000}"/>
    <cellStyle name="Vírgula 6 2 4 3 2" xfId="6350" xr:uid="{00000000-0005-0000-0000-000008400000}"/>
    <cellStyle name="Vírgula 6 2 4 3 2 2" xfId="23332" xr:uid="{00000000-0005-0000-0000-000009400000}"/>
    <cellStyle name="Vírgula 6 2 4 3 2 3" xfId="19385" xr:uid="{00000000-0005-0000-0000-00000A400000}"/>
    <cellStyle name="Vírgula 6 2 4 3 3" xfId="21184" xr:uid="{00000000-0005-0000-0000-00000B400000}"/>
    <cellStyle name="Vírgula 6 2 4 3 4" xfId="17176" xr:uid="{00000000-0005-0000-0000-00000C400000}"/>
    <cellStyle name="Vírgula 6 2 4 4" xfId="8543" xr:uid="{00000000-0005-0000-0000-00000D400000}"/>
    <cellStyle name="Vírgula 6 2 5" xfId="2323" xr:uid="{00000000-0005-0000-0000-00000E400000}"/>
    <cellStyle name="Vírgula 6 2 5 2" xfId="3452" xr:uid="{00000000-0005-0000-0000-00000F400000}"/>
    <cellStyle name="Vírgula 6 2 5 2 2" xfId="4782" xr:uid="{00000000-0005-0000-0000-000010400000}"/>
    <cellStyle name="Vírgula 6 2 5 2 2 2" xfId="21822" xr:uid="{00000000-0005-0000-0000-000011400000}"/>
    <cellStyle name="Vírgula 6 2 5 2 2 3" xfId="17817" xr:uid="{00000000-0005-0000-0000-000012400000}"/>
    <cellStyle name="Vírgula 6 2 5 2 3" xfId="5621" xr:uid="{00000000-0005-0000-0000-000013400000}"/>
    <cellStyle name="Vírgula 6 2 5 2 3 2" xfId="22620" xr:uid="{00000000-0005-0000-0000-000014400000}"/>
    <cellStyle name="Vírgula 6 2 5 2 3 3" xfId="18656" xr:uid="{00000000-0005-0000-0000-000015400000}"/>
    <cellStyle name="Vírgula 6 2 5 2 4" xfId="20520" xr:uid="{00000000-0005-0000-0000-000016400000}"/>
    <cellStyle name="Vírgula 6 2 5 2 5" xfId="16496" xr:uid="{00000000-0005-0000-0000-000017400000}"/>
    <cellStyle name="Vírgula 6 2 5 3" xfId="4388" xr:uid="{00000000-0005-0000-0000-000018400000}"/>
    <cellStyle name="Vírgula 6 2 5 3 2" xfId="6351" xr:uid="{00000000-0005-0000-0000-000019400000}"/>
    <cellStyle name="Vírgula 6 2 5 3 2 2" xfId="23333" xr:uid="{00000000-0005-0000-0000-00001A400000}"/>
    <cellStyle name="Vírgula 6 2 5 3 2 3" xfId="19386" xr:uid="{00000000-0005-0000-0000-00001B400000}"/>
    <cellStyle name="Vírgula 6 2 5 3 3" xfId="21432" xr:uid="{00000000-0005-0000-0000-00001C400000}"/>
    <cellStyle name="Vírgula 6 2 5 3 4" xfId="17425" xr:uid="{00000000-0005-0000-0000-00001D400000}"/>
    <cellStyle name="Vírgula 6 2 6" xfId="2324" xr:uid="{00000000-0005-0000-0000-00001E400000}"/>
    <cellStyle name="Vírgula 6 2 6 2" xfId="3453" xr:uid="{00000000-0005-0000-0000-00001F400000}"/>
    <cellStyle name="Vírgula 6 2 6 2 2" xfId="4783" xr:uid="{00000000-0005-0000-0000-000020400000}"/>
    <cellStyle name="Vírgula 6 2 6 2 2 2" xfId="21823" xr:uid="{00000000-0005-0000-0000-000021400000}"/>
    <cellStyle name="Vírgula 6 2 6 2 2 3" xfId="17818" xr:uid="{00000000-0005-0000-0000-000022400000}"/>
    <cellStyle name="Vírgula 6 2 6 2 3" xfId="5622" xr:uid="{00000000-0005-0000-0000-000023400000}"/>
    <cellStyle name="Vírgula 6 2 6 2 3 2" xfId="22621" xr:uid="{00000000-0005-0000-0000-000024400000}"/>
    <cellStyle name="Vírgula 6 2 6 2 3 3" xfId="18657" xr:uid="{00000000-0005-0000-0000-000025400000}"/>
    <cellStyle name="Vírgula 6 2 6 2 4" xfId="20521" xr:uid="{00000000-0005-0000-0000-000026400000}"/>
    <cellStyle name="Vírgula 6 2 6 2 5" xfId="16497" xr:uid="{00000000-0005-0000-0000-000027400000}"/>
    <cellStyle name="Vírgula 6 2 6 3" xfId="4481" xr:uid="{00000000-0005-0000-0000-000028400000}"/>
    <cellStyle name="Vírgula 6 2 6 3 2" xfId="6352" xr:uid="{00000000-0005-0000-0000-000029400000}"/>
    <cellStyle name="Vírgula 6 2 6 3 2 2" xfId="23334" xr:uid="{00000000-0005-0000-0000-00002A400000}"/>
    <cellStyle name="Vírgula 6 2 6 3 2 3" xfId="19387" xr:uid="{00000000-0005-0000-0000-00002B400000}"/>
    <cellStyle name="Vírgula 6 2 6 3 3" xfId="21521" xr:uid="{00000000-0005-0000-0000-00002C400000}"/>
    <cellStyle name="Vírgula 6 2 6 3 4" xfId="17516" xr:uid="{00000000-0005-0000-0000-00002D400000}"/>
    <cellStyle name="Vírgula 6 2 7" xfId="2325" xr:uid="{00000000-0005-0000-0000-00002E400000}"/>
    <cellStyle name="Vírgula 6 2 7 2" xfId="3454" xr:uid="{00000000-0005-0000-0000-00002F400000}"/>
    <cellStyle name="Vírgula 6 2 7 2 2" xfId="4784" xr:uid="{00000000-0005-0000-0000-000030400000}"/>
    <cellStyle name="Vírgula 6 2 7 2 2 2" xfId="21824" xr:uid="{00000000-0005-0000-0000-000031400000}"/>
    <cellStyle name="Vírgula 6 2 7 2 2 3" xfId="17819" xr:uid="{00000000-0005-0000-0000-000032400000}"/>
    <cellStyle name="Vírgula 6 2 7 2 3" xfId="5623" xr:uid="{00000000-0005-0000-0000-000033400000}"/>
    <cellStyle name="Vírgula 6 2 7 2 3 2" xfId="22622" xr:uid="{00000000-0005-0000-0000-000034400000}"/>
    <cellStyle name="Vírgula 6 2 7 2 3 3" xfId="18658" xr:uid="{00000000-0005-0000-0000-000035400000}"/>
    <cellStyle name="Vírgula 6 2 7 2 4" xfId="20522" xr:uid="{00000000-0005-0000-0000-000036400000}"/>
    <cellStyle name="Vírgula 6 2 7 2 5" xfId="16498" xr:uid="{00000000-0005-0000-0000-000037400000}"/>
    <cellStyle name="Vírgula 6 2 7 3" xfId="4094" xr:uid="{00000000-0005-0000-0000-000038400000}"/>
    <cellStyle name="Vírgula 6 2 7 3 2" xfId="6353" xr:uid="{00000000-0005-0000-0000-000039400000}"/>
    <cellStyle name="Vírgula 6 2 7 3 2 2" xfId="23335" xr:uid="{00000000-0005-0000-0000-00003A400000}"/>
    <cellStyle name="Vírgula 6 2 7 3 2 3" xfId="19388" xr:uid="{00000000-0005-0000-0000-00003B400000}"/>
    <cellStyle name="Vírgula 6 2 7 3 3" xfId="21142" xr:uid="{00000000-0005-0000-0000-00003C400000}"/>
    <cellStyle name="Vírgula 6 2 7 3 4" xfId="17134" xr:uid="{00000000-0005-0000-0000-00003D400000}"/>
    <cellStyle name="Vírgula 6 2 8" xfId="2326" xr:uid="{00000000-0005-0000-0000-00003E400000}"/>
    <cellStyle name="Vírgula 6 2 8 2" xfId="3455" xr:uid="{00000000-0005-0000-0000-00003F400000}"/>
    <cellStyle name="Vírgula 6 2 8 2 2" xfId="4785" xr:uid="{00000000-0005-0000-0000-000040400000}"/>
    <cellStyle name="Vírgula 6 2 8 2 2 2" xfId="21825" xr:uid="{00000000-0005-0000-0000-000041400000}"/>
    <cellStyle name="Vírgula 6 2 8 2 2 3" xfId="17820" xr:uid="{00000000-0005-0000-0000-000042400000}"/>
    <cellStyle name="Vírgula 6 2 8 2 3" xfId="5624" xr:uid="{00000000-0005-0000-0000-000043400000}"/>
    <cellStyle name="Vírgula 6 2 8 2 3 2" xfId="22623" xr:uid="{00000000-0005-0000-0000-000044400000}"/>
    <cellStyle name="Vírgula 6 2 8 2 3 3" xfId="18659" xr:uid="{00000000-0005-0000-0000-000045400000}"/>
    <cellStyle name="Vírgula 6 2 8 2 4" xfId="20523" xr:uid="{00000000-0005-0000-0000-000046400000}"/>
    <cellStyle name="Vírgula 6 2 8 2 5" xfId="16499" xr:uid="{00000000-0005-0000-0000-000047400000}"/>
    <cellStyle name="Vírgula 6 2 8 3" xfId="3871" xr:uid="{00000000-0005-0000-0000-000048400000}"/>
    <cellStyle name="Vírgula 6 2 8 3 2" xfId="6354" xr:uid="{00000000-0005-0000-0000-000049400000}"/>
    <cellStyle name="Vírgula 6 2 8 3 2 2" xfId="23336" xr:uid="{00000000-0005-0000-0000-00004A400000}"/>
    <cellStyle name="Vírgula 6 2 8 3 2 3" xfId="19389" xr:uid="{00000000-0005-0000-0000-00004B400000}"/>
    <cellStyle name="Vírgula 6 2 8 3 3" xfId="20932" xr:uid="{00000000-0005-0000-0000-00004C400000}"/>
    <cellStyle name="Vírgula 6 2 8 3 4" xfId="16913" xr:uid="{00000000-0005-0000-0000-00004D400000}"/>
    <cellStyle name="Vírgula 6 2 9" xfId="2327" xr:uid="{00000000-0005-0000-0000-00004E400000}"/>
    <cellStyle name="Vírgula 6 2 9 2" xfId="3456" xr:uid="{00000000-0005-0000-0000-00004F400000}"/>
    <cellStyle name="Vírgula 6 2 9 2 2" xfId="4786" xr:uid="{00000000-0005-0000-0000-000050400000}"/>
    <cellStyle name="Vírgula 6 2 9 2 2 2" xfId="21826" xr:uid="{00000000-0005-0000-0000-000051400000}"/>
    <cellStyle name="Vírgula 6 2 9 2 2 3" xfId="17821" xr:uid="{00000000-0005-0000-0000-000052400000}"/>
    <cellStyle name="Vírgula 6 2 9 2 3" xfId="5625" xr:uid="{00000000-0005-0000-0000-000053400000}"/>
    <cellStyle name="Vírgula 6 2 9 2 3 2" xfId="22624" xr:uid="{00000000-0005-0000-0000-000054400000}"/>
    <cellStyle name="Vírgula 6 2 9 2 3 3" xfId="18660" xr:uid="{00000000-0005-0000-0000-000055400000}"/>
    <cellStyle name="Vírgula 6 2 9 2 4" xfId="20524" xr:uid="{00000000-0005-0000-0000-000056400000}"/>
    <cellStyle name="Vírgula 6 2 9 2 5" xfId="16500" xr:uid="{00000000-0005-0000-0000-000057400000}"/>
    <cellStyle name="Vírgula 6 2 9 3" xfId="4239" xr:uid="{00000000-0005-0000-0000-000058400000}"/>
    <cellStyle name="Vírgula 6 2 9 3 2" xfId="6355" xr:uid="{00000000-0005-0000-0000-000059400000}"/>
    <cellStyle name="Vírgula 6 2 9 3 2 2" xfId="23337" xr:uid="{00000000-0005-0000-0000-00005A400000}"/>
    <cellStyle name="Vírgula 6 2 9 3 2 3" xfId="19390" xr:uid="{00000000-0005-0000-0000-00005B400000}"/>
    <cellStyle name="Vírgula 6 2 9 3 3" xfId="21284" xr:uid="{00000000-0005-0000-0000-00005C400000}"/>
    <cellStyle name="Vírgula 6 2 9 3 4" xfId="17277" xr:uid="{00000000-0005-0000-0000-00005D400000}"/>
    <cellStyle name="Vírgula 6 3" xfId="119" xr:uid="{00000000-0005-0000-0000-00005E400000}"/>
    <cellStyle name="Vírgula 6 3 10" xfId="878" xr:uid="{00000000-0005-0000-0000-00005F400000}"/>
    <cellStyle name="Vírgula 6 3 10 2" xfId="2329" xr:uid="{00000000-0005-0000-0000-000060400000}"/>
    <cellStyle name="Vírgula 6 3 10 2 2" xfId="2877" xr:uid="{00000000-0005-0000-0000-000061400000}"/>
    <cellStyle name="Vírgula 6 3 10 2 2 2" xfId="3654" xr:uid="{00000000-0005-0000-0000-000062400000}"/>
    <cellStyle name="Vírgula 6 3 10 2 2 2 2" xfId="4932" xr:uid="{00000000-0005-0000-0000-000063400000}"/>
    <cellStyle name="Vírgula 6 3 10 2 2 2 2 2" xfId="21972" xr:uid="{00000000-0005-0000-0000-000064400000}"/>
    <cellStyle name="Vírgula 6 3 10 2 2 2 2 3" xfId="17967" xr:uid="{00000000-0005-0000-0000-000065400000}"/>
    <cellStyle name="Vírgula 6 3 10 2 2 2 3" xfId="5823" xr:uid="{00000000-0005-0000-0000-000066400000}"/>
    <cellStyle name="Vírgula 6 3 10 2 2 2 3 2" xfId="22822" xr:uid="{00000000-0005-0000-0000-000067400000}"/>
    <cellStyle name="Vírgula 6 3 10 2 2 2 3 3" xfId="18858" xr:uid="{00000000-0005-0000-0000-000068400000}"/>
    <cellStyle name="Vírgula 6 3 10 2 2 2 4" xfId="20722" xr:uid="{00000000-0005-0000-0000-000069400000}"/>
    <cellStyle name="Vírgula 6 3 10 2 2 2 5" xfId="16698" xr:uid="{00000000-0005-0000-0000-00006A400000}"/>
    <cellStyle name="Vírgula 6 3 10 2 3" xfId="2798" xr:uid="{00000000-0005-0000-0000-00006B400000}"/>
    <cellStyle name="Vírgula 6 3 10 2 3 2" xfId="3626" xr:uid="{00000000-0005-0000-0000-00006C400000}"/>
    <cellStyle name="Vírgula 6 3 10 2 3 2 2" xfId="4904" xr:uid="{00000000-0005-0000-0000-00006D400000}"/>
    <cellStyle name="Vírgula 6 3 10 2 3 2 2 2" xfId="21944" xr:uid="{00000000-0005-0000-0000-00006E400000}"/>
    <cellStyle name="Vírgula 6 3 10 2 3 2 2 3" xfId="17939" xr:uid="{00000000-0005-0000-0000-00006F400000}"/>
    <cellStyle name="Vírgula 6 3 10 2 3 2 3" xfId="5795" xr:uid="{00000000-0005-0000-0000-000070400000}"/>
    <cellStyle name="Vírgula 6 3 10 2 3 2 3 2" xfId="22794" xr:uid="{00000000-0005-0000-0000-000071400000}"/>
    <cellStyle name="Vírgula 6 3 10 2 3 2 3 3" xfId="18830" xr:uid="{00000000-0005-0000-0000-000072400000}"/>
    <cellStyle name="Vírgula 6 3 10 2 3 2 4" xfId="20694" xr:uid="{00000000-0005-0000-0000-000073400000}"/>
    <cellStyle name="Vírgula 6 3 10 2 3 2 5" xfId="16670" xr:uid="{00000000-0005-0000-0000-000074400000}"/>
    <cellStyle name="Vírgula 6 3 10 2 4" xfId="2655" xr:uid="{00000000-0005-0000-0000-000075400000}"/>
    <cellStyle name="Vírgula 6 3 10 2 4 2" xfId="3610" xr:uid="{00000000-0005-0000-0000-000076400000}"/>
    <cellStyle name="Vírgula 6 3 10 2 4 2 2" xfId="4888" xr:uid="{00000000-0005-0000-0000-000077400000}"/>
    <cellStyle name="Vírgula 6 3 10 2 4 2 2 2" xfId="21928" xr:uid="{00000000-0005-0000-0000-000078400000}"/>
    <cellStyle name="Vírgula 6 3 10 2 4 2 2 3" xfId="17923" xr:uid="{00000000-0005-0000-0000-000079400000}"/>
    <cellStyle name="Vírgula 6 3 10 2 4 2 3" xfId="5779" xr:uid="{00000000-0005-0000-0000-00007A400000}"/>
    <cellStyle name="Vírgula 6 3 10 2 4 2 3 2" xfId="22778" xr:uid="{00000000-0005-0000-0000-00007B400000}"/>
    <cellStyle name="Vírgula 6 3 10 2 4 2 3 3" xfId="18814" xr:uid="{00000000-0005-0000-0000-00007C400000}"/>
    <cellStyle name="Vírgula 6 3 10 2 4 2 4" xfId="20678" xr:uid="{00000000-0005-0000-0000-00007D400000}"/>
    <cellStyle name="Vírgula 6 3 10 2 4 2 5" xfId="16654" xr:uid="{00000000-0005-0000-0000-00007E400000}"/>
    <cellStyle name="Vírgula 6 3 10 2 5" xfId="2588" xr:uid="{00000000-0005-0000-0000-00007F400000}"/>
    <cellStyle name="Vírgula 6 3 10 2 5 2" xfId="3594" xr:uid="{00000000-0005-0000-0000-000080400000}"/>
    <cellStyle name="Vírgula 6 3 10 2 5 2 2" xfId="4872" xr:uid="{00000000-0005-0000-0000-000081400000}"/>
    <cellStyle name="Vírgula 6 3 10 2 5 2 2 2" xfId="21912" xr:uid="{00000000-0005-0000-0000-000082400000}"/>
    <cellStyle name="Vírgula 6 3 10 2 5 2 2 3" xfId="17907" xr:uid="{00000000-0005-0000-0000-000083400000}"/>
    <cellStyle name="Vírgula 6 3 10 2 5 2 3" xfId="5763" xr:uid="{00000000-0005-0000-0000-000084400000}"/>
    <cellStyle name="Vírgula 6 3 10 2 5 2 3 2" xfId="22762" xr:uid="{00000000-0005-0000-0000-000085400000}"/>
    <cellStyle name="Vírgula 6 3 10 2 5 2 3 3" xfId="18798" xr:uid="{00000000-0005-0000-0000-000086400000}"/>
    <cellStyle name="Vírgula 6 3 10 2 5 2 4" xfId="20662" xr:uid="{00000000-0005-0000-0000-000087400000}"/>
    <cellStyle name="Vírgula 6 3 10 2 5 2 5" xfId="16638" xr:uid="{00000000-0005-0000-0000-000088400000}"/>
    <cellStyle name="Vírgula 6 3 10 2 6" xfId="3458" xr:uid="{00000000-0005-0000-0000-000089400000}"/>
    <cellStyle name="Vírgula 6 3 10 2 6 2" xfId="4788" xr:uid="{00000000-0005-0000-0000-00008A400000}"/>
    <cellStyle name="Vírgula 6 3 10 2 6 2 2" xfId="21828" xr:uid="{00000000-0005-0000-0000-00008B400000}"/>
    <cellStyle name="Vírgula 6 3 10 2 6 2 3" xfId="17823" xr:uid="{00000000-0005-0000-0000-00008C400000}"/>
    <cellStyle name="Vírgula 6 3 10 2 6 3" xfId="5627" xr:uid="{00000000-0005-0000-0000-00008D400000}"/>
    <cellStyle name="Vírgula 6 3 10 2 6 3 2" xfId="22626" xr:uid="{00000000-0005-0000-0000-00008E400000}"/>
    <cellStyle name="Vírgula 6 3 10 2 6 3 3" xfId="18662" xr:uid="{00000000-0005-0000-0000-00008F400000}"/>
    <cellStyle name="Vírgula 6 3 10 2 6 4" xfId="20526" xr:uid="{00000000-0005-0000-0000-000090400000}"/>
    <cellStyle name="Vírgula 6 3 10 2 6 5" xfId="16502" xr:uid="{00000000-0005-0000-0000-000091400000}"/>
    <cellStyle name="Vírgula 6 3 10 2 7" xfId="3729" xr:uid="{00000000-0005-0000-0000-000092400000}"/>
    <cellStyle name="Vírgula 6 3 10 2 7 2" xfId="6357" xr:uid="{00000000-0005-0000-0000-000093400000}"/>
    <cellStyle name="Vírgula 6 3 10 2 7 2 2" xfId="23339" xr:uid="{00000000-0005-0000-0000-000094400000}"/>
    <cellStyle name="Vírgula 6 3 10 2 7 2 3" xfId="19392" xr:uid="{00000000-0005-0000-0000-000095400000}"/>
    <cellStyle name="Vírgula 6 3 10 2 7 3" xfId="20794" xr:uid="{00000000-0005-0000-0000-000096400000}"/>
    <cellStyle name="Vírgula 6 3 10 2 7 4" xfId="16773" xr:uid="{00000000-0005-0000-0000-000097400000}"/>
    <cellStyle name="Vírgula 6 3 10 3" xfId="2161" xr:uid="{00000000-0005-0000-0000-000098400000}"/>
    <cellStyle name="Vírgula 6 3 10 3 2" xfId="3290" xr:uid="{00000000-0005-0000-0000-000099400000}"/>
    <cellStyle name="Vírgula 6 3 10 3 2 2" xfId="4626" xr:uid="{00000000-0005-0000-0000-00009A400000}"/>
    <cellStyle name="Vírgula 6 3 10 3 2 2 2" xfId="21666" xr:uid="{00000000-0005-0000-0000-00009B400000}"/>
    <cellStyle name="Vírgula 6 3 10 3 2 2 3" xfId="17661" xr:uid="{00000000-0005-0000-0000-00009C400000}"/>
    <cellStyle name="Vírgula 6 3 10 3 2 3" xfId="5459" xr:uid="{00000000-0005-0000-0000-00009D400000}"/>
    <cellStyle name="Vírgula 6 3 10 3 2 3 2" xfId="22458" xr:uid="{00000000-0005-0000-0000-00009E400000}"/>
    <cellStyle name="Vírgula 6 3 10 3 2 3 3" xfId="18494" xr:uid="{00000000-0005-0000-0000-00009F400000}"/>
    <cellStyle name="Vírgula 6 3 10 3 2 4" xfId="20358" xr:uid="{00000000-0005-0000-0000-0000A0400000}"/>
    <cellStyle name="Vírgula 6 3 10 3 2 5" xfId="16334" xr:uid="{00000000-0005-0000-0000-0000A1400000}"/>
    <cellStyle name="Vírgula 6 3 10 3 3" xfId="4412" xr:uid="{00000000-0005-0000-0000-0000A2400000}"/>
    <cellStyle name="Vírgula 6 3 10 3 3 2" xfId="6189" xr:uid="{00000000-0005-0000-0000-0000A3400000}"/>
    <cellStyle name="Vírgula 6 3 10 3 3 2 2" xfId="23171" xr:uid="{00000000-0005-0000-0000-0000A4400000}"/>
    <cellStyle name="Vírgula 6 3 10 3 3 2 3" xfId="19224" xr:uid="{00000000-0005-0000-0000-0000A5400000}"/>
    <cellStyle name="Vírgula 6 3 10 3 3 3" xfId="21455" xr:uid="{00000000-0005-0000-0000-0000A6400000}"/>
    <cellStyle name="Vírgula 6 3 10 3 3 4" xfId="17449" xr:uid="{00000000-0005-0000-0000-0000A7400000}"/>
    <cellStyle name="Vírgula 6 3 10 4" xfId="3163" xr:uid="{00000000-0005-0000-0000-0000A8400000}"/>
    <cellStyle name="Vírgula 6 3 10 4 2" xfId="3802" xr:uid="{00000000-0005-0000-0000-0000A9400000}"/>
    <cellStyle name="Vírgula 6 3 10 4 2 2" xfId="6563" xr:uid="{00000000-0005-0000-0000-0000AA400000}"/>
    <cellStyle name="Vírgula 6 3 10 4 2 2 2" xfId="23545" xr:uid="{00000000-0005-0000-0000-0000AB400000}"/>
    <cellStyle name="Vírgula 6 3 10 4 2 2 3" xfId="19598" xr:uid="{00000000-0005-0000-0000-0000AC400000}"/>
    <cellStyle name="Vírgula 6 3 10 4 2 3" xfId="20864" xr:uid="{00000000-0005-0000-0000-0000AD400000}"/>
    <cellStyle name="Vírgula 6 3 10 4 2 4" xfId="16844" xr:uid="{00000000-0005-0000-0000-0000AE400000}"/>
    <cellStyle name="Vírgula 6 3 10 4 3" xfId="5332" xr:uid="{00000000-0005-0000-0000-0000AF400000}"/>
    <cellStyle name="Vírgula 6 3 10 4 3 2" xfId="22331" xr:uid="{00000000-0005-0000-0000-0000B0400000}"/>
    <cellStyle name="Vírgula 6 3 10 4 3 3" xfId="18367" xr:uid="{00000000-0005-0000-0000-0000B1400000}"/>
    <cellStyle name="Vírgula 6 3 10 4 4" xfId="20231" xr:uid="{00000000-0005-0000-0000-0000B2400000}"/>
    <cellStyle name="Vírgula 6 3 10 4 5" xfId="16207" xr:uid="{00000000-0005-0000-0000-0000B3400000}"/>
    <cellStyle name="Vírgula 6 3 10 5" xfId="3912" xr:uid="{00000000-0005-0000-0000-0000B4400000}"/>
    <cellStyle name="Vírgula 6 3 10 5 2" xfId="6053" xr:uid="{00000000-0005-0000-0000-0000B5400000}"/>
    <cellStyle name="Vírgula 6 3 10 5 2 2" xfId="23042" xr:uid="{00000000-0005-0000-0000-0000B6400000}"/>
    <cellStyle name="Vírgula 6 3 10 5 2 3" xfId="19088" xr:uid="{00000000-0005-0000-0000-0000B7400000}"/>
    <cellStyle name="Vírgula 6 3 10 5 3" xfId="20969" xr:uid="{00000000-0005-0000-0000-0000B8400000}"/>
    <cellStyle name="Vírgula 6 3 10 5 4" xfId="16954" xr:uid="{00000000-0005-0000-0000-0000B9400000}"/>
    <cellStyle name="Vírgula 6 3 10 6" xfId="6748" xr:uid="{00000000-0005-0000-0000-0000BA400000}"/>
    <cellStyle name="Vírgula 6 3 10 6 2" xfId="23721" xr:uid="{00000000-0005-0000-0000-0000BB400000}"/>
    <cellStyle name="Vírgula 6 3 10 6 3" xfId="19783" xr:uid="{00000000-0005-0000-0000-0000BC400000}"/>
    <cellStyle name="Vírgula 6 3 10 7" xfId="5066" xr:uid="{00000000-0005-0000-0000-0000BD400000}"/>
    <cellStyle name="Vírgula 6 3 10 7 2" xfId="22074" xr:uid="{00000000-0005-0000-0000-0000BE400000}"/>
    <cellStyle name="Vírgula 6 3 10 7 3" xfId="18101" xr:uid="{00000000-0005-0000-0000-0000BF400000}"/>
    <cellStyle name="Vírgula 6 3 10 8" xfId="19974" xr:uid="{00000000-0005-0000-0000-0000C0400000}"/>
    <cellStyle name="Vírgula 6 3 10 9" xfId="15934" xr:uid="{00000000-0005-0000-0000-0000C1400000}"/>
    <cellStyle name="Vírgula 6 3 11" xfId="2330" xr:uid="{00000000-0005-0000-0000-0000C2400000}"/>
    <cellStyle name="Vírgula 6 3 11 2" xfId="2162" xr:uid="{00000000-0005-0000-0000-0000C3400000}"/>
    <cellStyle name="Vírgula 6 3 11 2 2" xfId="3291" xr:uid="{00000000-0005-0000-0000-0000C4400000}"/>
    <cellStyle name="Vírgula 6 3 11 2 2 2" xfId="4627" xr:uid="{00000000-0005-0000-0000-0000C5400000}"/>
    <cellStyle name="Vírgula 6 3 11 2 2 2 2" xfId="21667" xr:uid="{00000000-0005-0000-0000-0000C6400000}"/>
    <cellStyle name="Vírgula 6 3 11 2 2 2 3" xfId="17662" xr:uid="{00000000-0005-0000-0000-0000C7400000}"/>
    <cellStyle name="Vírgula 6 3 11 2 2 3" xfId="5460" xr:uid="{00000000-0005-0000-0000-0000C8400000}"/>
    <cellStyle name="Vírgula 6 3 11 2 2 3 2" xfId="22459" xr:uid="{00000000-0005-0000-0000-0000C9400000}"/>
    <cellStyle name="Vírgula 6 3 11 2 2 3 3" xfId="18495" xr:uid="{00000000-0005-0000-0000-0000CA400000}"/>
    <cellStyle name="Vírgula 6 3 11 2 2 4" xfId="20359" xr:uid="{00000000-0005-0000-0000-0000CB400000}"/>
    <cellStyle name="Vírgula 6 3 11 2 2 5" xfId="16335" xr:uid="{00000000-0005-0000-0000-0000CC400000}"/>
    <cellStyle name="Vírgula 6 3 11 2 3" xfId="4093" xr:uid="{00000000-0005-0000-0000-0000CD400000}"/>
    <cellStyle name="Vírgula 6 3 11 2 3 2" xfId="6190" xr:uid="{00000000-0005-0000-0000-0000CE400000}"/>
    <cellStyle name="Vírgula 6 3 11 2 3 2 2" xfId="23172" xr:uid="{00000000-0005-0000-0000-0000CF400000}"/>
    <cellStyle name="Vírgula 6 3 11 2 3 2 3" xfId="19225" xr:uid="{00000000-0005-0000-0000-0000D0400000}"/>
    <cellStyle name="Vírgula 6 3 11 2 3 3" xfId="21141" xr:uid="{00000000-0005-0000-0000-0000D1400000}"/>
    <cellStyle name="Vírgula 6 3 11 2 3 4" xfId="17133" xr:uid="{00000000-0005-0000-0000-0000D2400000}"/>
    <cellStyle name="Vírgula 6 3 11 3" xfId="2799" xr:uid="{00000000-0005-0000-0000-0000D3400000}"/>
    <cellStyle name="Vírgula 6 3 11 3 2" xfId="3627" xr:uid="{00000000-0005-0000-0000-0000D4400000}"/>
    <cellStyle name="Vírgula 6 3 11 3 2 2" xfId="4905" xr:uid="{00000000-0005-0000-0000-0000D5400000}"/>
    <cellStyle name="Vírgula 6 3 11 3 2 2 2" xfId="21945" xr:uid="{00000000-0005-0000-0000-0000D6400000}"/>
    <cellStyle name="Vírgula 6 3 11 3 2 2 3" xfId="17940" xr:uid="{00000000-0005-0000-0000-0000D7400000}"/>
    <cellStyle name="Vírgula 6 3 11 3 2 3" xfId="5796" xr:uid="{00000000-0005-0000-0000-0000D8400000}"/>
    <cellStyle name="Vírgula 6 3 11 3 2 3 2" xfId="22795" xr:uid="{00000000-0005-0000-0000-0000D9400000}"/>
    <cellStyle name="Vírgula 6 3 11 3 2 3 3" xfId="18831" xr:uid="{00000000-0005-0000-0000-0000DA400000}"/>
    <cellStyle name="Vírgula 6 3 11 3 2 4" xfId="20695" xr:uid="{00000000-0005-0000-0000-0000DB400000}"/>
    <cellStyle name="Vírgula 6 3 11 3 2 5" xfId="16671" xr:uid="{00000000-0005-0000-0000-0000DC400000}"/>
    <cellStyle name="Vírgula 6 3 11 4" xfId="3459" xr:uid="{00000000-0005-0000-0000-0000DD400000}"/>
    <cellStyle name="Vírgula 6 3 11 4 2" xfId="4789" xr:uid="{00000000-0005-0000-0000-0000DE400000}"/>
    <cellStyle name="Vírgula 6 3 11 4 2 2" xfId="21829" xr:uid="{00000000-0005-0000-0000-0000DF400000}"/>
    <cellStyle name="Vírgula 6 3 11 4 2 3" xfId="17824" xr:uid="{00000000-0005-0000-0000-0000E0400000}"/>
    <cellStyle name="Vírgula 6 3 11 4 3" xfId="5628" xr:uid="{00000000-0005-0000-0000-0000E1400000}"/>
    <cellStyle name="Vírgula 6 3 11 4 3 2" xfId="22627" xr:uid="{00000000-0005-0000-0000-0000E2400000}"/>
    <cellStyle name="Vírgula 6 3 11 4 3 3" xfId="18663" xr:uid="{00000000-0005-0000-0000-0000E3400000}"/>
    <cellStyle name="Vírgula 6 3 11 4 4" xfId="20527" xr:uid="{00000000-0005-0000-0000-0000E4400000}"/>
    <cellStyle name="Vírgula 6 3 11 4 5" xfId="16503" xr:uid="{00000000-0005-0000-0000-0000E5400000}"/>
    <cellStyle name="Vírgula 6 3 11 5" xfId="4320" xr:uid="{00000000-0005-0000-0000-0000E6400000}"/>
    <cellStyle name="Vírgula 6 3 11 5 2" xfId="6358" xr:uid="{00000000-0005-0000-0000-0000E7400000}"/>
    <cellStyle name="Vírgula 6 3 11 5 2 2" xfId="23340" xr:uid="{00000000-0005-0000-0000-0000E8400000}"/>
    <cellStyle name="Vírgula 6 3 11 5 2 3" xfId="19393" xr:uid="{00000000-0005-0000-0000-0000E9400000}"/>
    <cellStyle name="Vírgula 6 3 11 5 3" xfId="21364" xr:uid="{00000000-0005-0000-0000-0000EA400000}"/>
    <cellStyle name="Vírgula 6 3 11 5 4" xfId="17357" xr:uid="{00000000-0005-0000-0000-0000EB400000}"/>
    <cellStyle name="Vírgula 6 3 12" xfId="2328" xr:uid="{00000000-0005-0000-0000-0000EC400000}"/>
    <cellStyle name="Vírgula 6 3 12 2" xfId="2876" xr:uid="{00000000-0005-0000-0000-0000ED400000}"/>
    <cellStyle name="Vírgula 6 3 12 2 2" xfId="3653" xr:uid="{00000000-0005-0000-0000-0000EE400000}"/>
    <cellStyle name="Vírgula 6 3 12 2 2 2" xfId="4931" xr:uid="{00000000-0005-0000-0000-0000EF400000}"/>
    <cellStyle name="Vírgula 6 3 12 2 2 2 2" xfId="21971" xr:uid="{00000000-0005-0000-0000-0000F0400000}"/>
    <cellStyle name="Vírgula 6 3 12 2 2 2 3" xfId="17966" xr:uid="{00000000-0005-0000-0000-0000F1400000}"/>
    <cellStyle name="Vírgula 6 3 12 2 2 3" xfId="5822" xr:uid="{00000000-0005-0000-0000-0000F2400000}"/>
    <cellStyle name="Vírgula 6 3 12 2 2 3 2" xfId="22821" xr:uid="{00000000-0005-0000-0000-0000F3400000}"/>
    <cellStyle name="Vírgula 6 3 12 2 2 3 3" xfId="18857" xr:uid="{00000000-0005-0000-0000-0000F4400000}"/>
    <cellStyle name="Vírgula 6 3 12 2 2 4" xfId="20721" xr:uid="{00000000-0005-0000-0000-0000F5400000}"/>
    <cellStyle name="Vírgula 6 3 12 2 2 5" xfId="16697" xr:uid="{00000000-0005-0000-0000-0000F6400000}"/>
    <cellStyle name="Vírgula 6 3 12 3" xfId="2797" xr:uid="{00000000-0005-0000-0000-0000F7400000}"/>
    <cellStyle name="Vírgula 6 3 12 3 2" xfId="3625" xr:uid="{00000000-0005-0000-0000-0000F8400000}"/>
    <cellStyle name="Vírgula 6 3 12 3 2 2" xfId="4903" xr:uid="{00000000-0005-0000-0000-0000F9400000}"/>
    <cellStyle name="Vírgula 6 3 12 3 2 2 2" xfId="21943" xr:uid="{00000000-0005-0000-0000-0000FA400000}"/>
    <cellStyle name="Vírgula 6 3 12 3 2 2 3" xfId="17938" xr:uid="{00000000-0005-0000-0000-0000FB400000}"/>
    <cellStyle name="Vírgula 6 3 12 3 2 3" xfId="5794" xr:uid="{00000000-0005-0000-0000-0000FC400000}"/>
    <cellStyle name="Vírgula 6 3 12 3 2 3 2" xfId="22793" xr:uid="{00000000-0005-0000-0000-0000FD400000}"/>
    <cellStyle name="Vírgula 6 3 12 3 2 3 3" xfId="18829" xr:uid="{00000000-0005-0000-0000-0000FE400000}"/>
    <cellStyle name="Vírgula 6 3 12 3 2 4" xfId="20693" xr:uid="{00000000-0005-0000-0000-0000FF400000}"/>
    <cellStyle name="Vírgula 6 3 12 3 2 5" xfId="16669" xr:uid="{00000000-0005-0000-0000-000000410000}"/>
    <cellStyle name="Vírgula 6 3 12 4" xfId="2654" xr:uid="{00000000-0005-0000-0000-000001410000}"/>
    <cellStyle name="Vírgula 6 3 12 4 2" xfId="3609" xr:uid="{00000000-0005-0000-0000-000002410000}"/>
    <cellStyle name="Vírgula 6 3 12 4 2 2" xfId="4887" xr:uid="{00000000-0005-0000-0000-000003410000}"/>
    <cellStyle name="Vírgula 6 3 12 4 2 2 2" xfId="21927" xr:uid="{00000000-0005-0000-0000-000004410000}"/>
    <cellStyle name="Vírgula 6 3 12 4 2 2 3" xfId="17922" xr:uid="{00000000-0005-0000-0000-000005410000}"/>
    <cellStyle name="Vírgula 6 3 12 4 2 3" xfId="5778" xr:uid="{00000000-0005-0000-0000-000006410000}"/>
    <cellStyle name="Vírgula 6 3 12 4 2 3 2" xfId="22777" xr:uid="{00000000-0005-0000-0000-000007410000}"/>
    <cellStyle name="Vírgula 6 3 12 4 2 3 3" xfId="18813" xr:uid="{00000000-0005-0000-0000-000008410000}"/>
    <cellStyle name="Vírgula 6 3 12 4 2 4" xfId="20677" xr:uid="{00000000-0005-0000-0000-000009410000}"/>
    <cellStyle name="Vírgula 6 3 12 4 2 5" xfId="16653" xr:uid="{00000000-0005-0000-0000-00000A410000}"/>
    <cellStyle name="Vírgula 6 3 12 5" xfId="2587" xr:uid="{00000000-0005-0000-0000-00000B410000}"/>
    <cellStyle name="Vírgula 6 3 12 5 2" xfId="3593" xr:uid="{00000000-0005-0000-0000-00000C410000}"/>
    <cellStyle name="Vírgula 6 3 12 5 2 2" xfId="4871" xr:uid="{00000000-0005-0000-0000-00000D410000}"/>
    <cellStyle name="Vírgula 6 3 12 5 2 2 2" xfId="21911" xr:uid="{00000000-0005-0000-0000-00000E410000}"/>
    <cellStyle name="Vírgula 6 3 12 5 2 2 3" xfId="17906" xr:uid="{00000000-0005-0000-0000-00000F410000}"/>
    <cellStyle name="Vírgula 6 3 12 5 2 3" xfId="5762" xr:uid="{00000000-0005-0000-0000-000010410000}"/>
    <cellStyle name="Vírgula 6 3 12 5 2 3 2" xfId="22761" xr:uid="{00000000-0005-0000-0000-000011410000}"/>
    <cellStyle name="Vírgula 6 3 12 5 2 3 3" xfId="18797" xr:uid="{00000000-0005-0000-0000-000012410000}"/>
    <cellStyle name="Vírgula 6 3 12 5 2 4" xfId="20661" xr:uid="{00000000-0005-0000-0000-000013410000}"/>
    <cellStyle name="Vírgula 6 3 12 5 2 5" xfId="16637" xr:uid="{00000000-0005-0000-0000-000014410000}"/>
    <cellStyle name="Vírgula 6 3 12 6" xfId="3457" xr:uid="{00000000-0005-0000-0000-000015410000}"/>
    <cellStyle name="Vírgula 6 3 12 6 2" xfId="4787" xr:uid="{00000000-0005-0000-0000-000016410000}"/>
    <cellStyle name="Vírgula 6 3 12 6 2 2" xfId="21827" xr:uid="{00000000-0005-0000-0000-000017410000}"/>
    <cellStyle name="Vírgula 6 3 12 6 2 3" xfId="17822" xr:uid="{00000000-0005-0000-0000-000018410000}"/>
    <cellStyle name="Vírgula 6 3 12 6 3" xfId="5626" xr:uid="{00000000-0005-0000-0000-000019410000}"/>
    <cellStyle name="Vírgula 6 3 12 6 3 2" xfId="22625" xr:uid="{00000000-0005-0000-0000-00001A410000}"/>
    <cellStyle name="Vírgula 6 3 12 6 3 3" xfId="18661" xr:uid="{00000000-0005-0000-0000-00001B410000}"/>
    <cellStyle name="Vírgula 6 3 12 6 4" xfId="20525" xr:uid="{00000000-0005-0000-0000-00001C410000}"/>
    <cellStyle name="Vírgula 6 3 12 6 5" xfId="16501" xr:uid="{00000000-0005-0000-0000-00001D410000}"/>
    <cellStyle name="Vírgula 6 3 12 7" xfId="4395" xr:uid="{00000000-0005-0000-0000-00001E410000}"/>
    <cellStyle name="Vírgula 6 3 12 7 2" xfId="6356" xr:uid="{00000000-0005-0000-0000-00001F410000}"/>
    <cellStyle name="Vírgula 6 3 12 7 2 2" xfId="23338" xr:uid="{00000000-0005-0000-0000-000020410000}"/>
    <cellStyle name="Vírgula 6 3 12 7 2 3" xfId="19391" xr:uid="{00000000-0005-0000-0000-000021410000}"/>
    <cellStyle name="Vírgula 6 3 12 7 3" xfId="21439" xr:uid="{00000000-0005-0000-0000-000022410000}"/>
    <cellStyle name="Vírgula 6 3 12 7 4" xfId="17432" xr:uid="{00000000-0005-0000-0000-000023410000}"/>
    <cellStyle name="Vírgula 6 3 13" xfId="5900" xr:uid="{00000000-0005-0000-0000-000024410000}"/>
    <cellStyle name="Vírgula 6 3 13 2" xfId="22896" xr:uid="{00000000-0005-0000-0000-000025410000}"/>
    <cellStyle name="Vírgula 6 3 13 3" xfId="18935" xr:uid="{00000000-0005-0000-0000-000026410000}"/>
    <cellStyle name="Vírgula 6 3 2" xfId="120" xr:uid="{00000000-0005-0000-0000-000027410000}"/>
    <cellStyle name="Vírgula 6 3 2 10" xfId="3042" xr:uid="{00000000-0005-0000-0000-000028410000}"/>
    <cellStyle name="Vírgula 6 3 2 10 2" xfId="4494" xr:uid="{00000000-0005-0000-0000-000029410000}"/>
    <cellStyle name="Vírgula 6 3 2 10 2 2" xfId="21534" xr:uid="{00000000-0005-0000-0000-00002A410000}"/>
    <cellStyle name="Vírgula 6 3 2 10 2 3" xfId="17529" xr:uid="{00000000-0005-0000-0000-00002B410000}"/>
    <cellStyle name="Vírgula 6 3 2 10 3" xfId="5211" xr:uid="{00000000-0005-0000-0000-00002C410000}"/>
    <cellStyle name="Vírgula 6 3 2 10 3 2" xfId="13100" xr:uid="{00000000-0005-0000-0000-00002D410000}"/>
    <cellStyle name="Vírgula 6 3 2 10 3 2 2" xfId="22210" xr:uid="{00000000-0005-0000-0000-00002E410000}"/>
    <cellStyle name="Vírgula 6 3 2 10 3 3" xfId="11466" xr:uid="{00000000-0005-0000-0000-00002F410000}"/>
    <cellStyle name="Vírgula 6 3 2 10 3 4" xfId="18246" xr:uid="{00000000-0005-0000-0000-000030410000}"/>
    <cellStyle name="Vírgula 6 3 2 10 4" xfId="13572" xr:uid="{00000000-0005-0000-0000-000031410000}"/>
    <cellStyle name="Vírgula 6 3 2 10 4 2" xfId="20110" xr:uid="{00000000-0005-0000-0000-000032410000}"/>
    <cellStyle name="Vírgula 6 3 2 10 5" xfId="16086" xr:uid="{00000000-0005-0000-0000-000033410000}"/>
    <cellStyle name="Vírgula 6 3 2 11" xfId="3877" xr:uid="{00000000-0005-0000-0000-000034410000}"/>
    <cellStyle name="Vírgula 6 3 2 11 2" xfId="5901" xr:uid="{00000000-0005-0000-0000-000035410000}"/>
    <cellStyle name="Vírgula 6 3 2 11 2 2" xfId="11688" xr:uid="{00000000-0005-0000-0000-000036410000}"/>
    <cellStyle name="Vírgula 6 3 2 11 2 2 2" xfId="22897" xr:uid="{00000000-0005-0000-0000-000037410000}"/>
    <cellStyle name="Vírgula 6 3 2 11 2 3" xfId="12453" xr:uid="{00000000-0005-0000-0000-000038410000}"/>
    <cellStyle name="Vírgula 6 3 2 11 2 4" xfId="18936" xr:uid="{00000000-0005-0000-0000-000039410000}"/>
    <cellStyle name="Vírgula 6 3 2 11 3" xfId="13688" xr:uid="{00000000-0005-0000-0000-00003A410000}"/>
    <cellStyle name="Vírgula 6 3 2 11 3 2" xfId="20938" xr:uid="{00000000-0005-0000-0000-00003B410000}"/>
    <cellStyle name="Vírgula 6 3 2 11 4" xfId="16919" xr:uid="{00000000-0005-0000-0000-00003C410000}"/>
    <cellStyle name="Vírgula 6 3 2 12" xfId="8544" xr:uid="{00000000-0005-0000-0000-00003D410000}"/>
    <cellStyle name="Vírgula 6 3 2 13" xfId="8545" xr:uid="{00000000-0005-0000-0000-00003E410000}"/>
    <cellStyle name="Vírgula 6 3 2 2" xfId="733" xr:uid="{00000000-0005-0000-0000-00003F410000}"/>
    <cellStyle name="Vírgula 6 3 2 2 2" xfId="3118" xr:uid="{00000000-0005-0000-0000-000040410000}"/>
    <cellStyle name="Vírgula 6 3 2 2 2 2" xfId="4533" xr:uid="{00000000-0005-0000-0000-000041410000}"/>
    <cellStyle name="Vírgula 6 3 2 2 2 2 2" xfId="21573" xr:uid="{00000000-0005-0000-0000-000042410000}"/>
    <cellStyle name="Vírgula 6 3 2 2 2 2 3" xfId="17568" xr:uid="{00000000-0005-0000-0000-000043410000}"/>
    <cellStyle name="Vírgula 6 3 2 2 2 3" xfId="5287" xr:uid="{00000000-0005-0000-0000-000044410000}"/>
    <cellStyle name="Vírgula 6 3 2 2 2 3 2" xfId="22286" xr:uid="{00000000-0005-0000-0000-000045410000}"/>
    <cellStyle name="Vírgula 6 3 2 2 2 3 3" xfId="18322" xr:uid="{00000000-0005-0000-0000-000046410000}"/>
    <cellStyle name="Vírgula 6 3 2 2 2 4" xfId="20186" xr:uid="{00000000-0005-0000-0000-000047410000}"/>
    <cellStyle name="Vírgula 6 3 2 2 2 5" xfId="16162" xr:uid="{00000000-0005-0000-0000-000048410000}"/>
    <cellStyle name="Vírgula 6 3 2 2 3" xfId="3706" xr:uid="{00000000-0005-0000-0000-000049410000}"/>
    <cellStyle name="Vírgula 6 3 2 2 3 2" xfId="6003" xr:uid="{00000000-0005-0000-0000-00004A410000}"/>
    <cellStyle name="Vírgula 6 3 2 2 3 2 2" xfId="22997" xr:uid="{00000000-0005-0000-0000-00004B410000}"/>
    <cellStyle name="Vírgula 6 3 2 2 3 2 3" xfId="19038" xr:uid="{00000000-0005-0000-0000-00004C410000}"/>
    <cellStyle name="Vírgula 6 3 2 2 3 3" xfId="20774" xr:uid="{00000000-0005-0000-0000-00004D410000}"/>
    <cellStyle name="Vírgula 6 3 2 2 3 4" xfId="16750" xr:uid="{00000000-0005-0000-0000-00004E410000}"/>
    <cellStyle name="Vírgula 6 3 2 3" xfId="2331" xr:uid="{00000000-0005-0000-0000-00004F410000}"/>
    <cellStyle name="Vírgula 6 3 2 3 2" xfId="3460" xr:uid="{00000000-0005-0000-0000-000050410000}"/>
    <cellStyle name="Vírgula 6 3 2 3 2 2" xfId="4790" xr:uid="{00000000-0005-0000-0000-000051410000}"/>
    <cellStyle name="Vírgula 6 3 2 3 2 2 2" xfId="21830" xr:uid="{00000000-0005-0000-0000-000052410000}"/>
    <cellStyle name="Vírgula 6 3 2 3 2 2 3" xfId="17825" xr:uid="{00000000-0005-0000-0000-000053410000}"/>
    <cellStyle name="Vírgula 6 3 2 3 2 3" xfId="5629" xr:uid="{00000000-0005-0000-0000-000054410000}"/>
    <cellStyle name="Vírgula 6 3 2 3 2 3 2" xfId="22628" xr:uid="{00000000-0005-0000-0000-000055410000}"/>
    <cellStyle name="Vírgula 6 3 2 3 2 3 3" xfId="18664" xr:uid="{00000000-0005-0000-0000-000056410000}"/>
    <cellStyle name="Vírgula 6 3 2 3 2 4" xfId="20528" xr:uid="{00000000-0005-0000-0000-000057410000}"/>
    <cellStyle name="Vírgula 6 3 2 3 2 5" xfId="16504" xr:uid="{00000000-0005-0000-0000-000058410000}"/>
    <cellStyle name="Vírgula 6 3 2 3 3" xfId="4184" xr:uid="{00000000-0005-0000-0000-000059410000}"/>
    <cellStyle name="Vírgula 6 3 2 3 3 2" xfId="6359" xr:uid="{00000000-0005-0000-0000-00005A410000}"/>
    <cellStyle name="Vírgula 6 3 2 3 3 2 2" xfId="23341" xr:uid="{00000000-0005-0000-0000-00005B410000}"/>
    <cellStyle name="Vírgula 6 3 2 3 3 2 3" xfId="19394" xr:uid="{00000000-0005-0000-0000-00005C410000}"/>
    <cellStyle name="Vírgula 6 3 2 3 3 3" xfId="21230" xr:uid="{00000000-0005-0000-0000-00005D410000}"/>
    <cellStyle name="Vírgula 6 3 2 3 3 4" xfId="17223" xr:uid="{00000000-0005-0000-0000-00005E410000}"/>
    <cellStyle name="Vírgula 6 3 2 4" xfId="2332" xr:uid="{00000000-0005-0000-0000-00005F410000}"/>
    <cellStyle name="Vírgula 6 3 2 4 2" xfId="3461" xr:uid="{00000000-0005-0000-0000-000060410000}"/>
    <cellStyle name="Vírgula 6 3 2 4 2 2" xfId="4791" xr:uid="{00000000-0005-0000-0000-000061410000}"/>
    <cellStyle name="Vírgula 6 3 2 4 2 2 2" xfId="21831" xr:uid="{00000000-0005-0000-0000-000062410000}"/>
    <cellStyle name="Vírgula 6 3 2 4 2 2 3" xfId="17826" xr:uid="{00000000-0005-0000-0000-000063410000}"/>
    <cellStyle name="Vírgula 6 3 2 4 2 3" xfId="5630" xr:uid="{00000000-0005-0000-0000-000064410000}"/>
    <cellStyle name="Vírgula 6 3 2 4 2 3 2" xfId="22629" xr:uid="{00000000-0005-0000-0000-000065410000}"/>
    <cellStyle name="Vírgula 6 3 2 4 2 3 3" xfId="18665" xr:uid="{00000000-0005-0000-0000-000066410000}"/>
    <cellStyle name="Vírgula 6 3 2 4 2 4" xfId="20529" xr:uid="{00000000-0005-0000-0000-000067410000}"/>
    <cellStyle name="Vírgula 6 3 2 4 2 5" xfId="16505" xr:uid="{00000000-0005-0000-0000-000068410000}"/>
    <cellStyle name="Vírgula 6 3 2 4 3" xfId="3794" xr:uid="{00000000-0005-0000-0000-000069410000}"/>
    <cellStyle name="Vírgula 6 3 2 4 3 2" xfId="6360" xr:uid="{00000000-0005-0000-0000-00006A410000}"/>
    <cellStyle name="Vírgula 6 3 2 4 3 2 2" xfId="23342" xr:uid="{00000000-0005-0000-0000-00006B410000}"/>
    <cellStyle name="Vírgula 6 3 2 4 3 2 3" xfId="19395" xr:uid="{00000000-0005-0000-0000-00006C410000}"/>
    <cellStyle name="Vírgula 6 3 2 4 3 3" xfId="20856" xr:uid="{00000000-0005-0000-0000-00006D410000}"/>
    <cellStyle name="Vírgula 6 3 2 4 3 4" xfId="16836" xr:uid="{00000000-0005-0000-0000-00006E410000}"/>
    <cellStyle name="Vírgula 6 3 2 5" xfId="2333" xr:uid="{00000000-0005-0000-0000-00006F410000}"/>
    <cellStyle name="Vírgula 6 3 2 5 2" xfId="3462" xr:uid="{00000000-0005-0000-0000-000070410000}"/>
    <cellStyle name="Vírgula 6 3 2 5 2 2" xfId="4792" xr:uid="{00000000-0005-0000-0000-000071410000}"/>
    <cellStyle name="Vírgula 6 3 2 5 2 2 2" xfId="21832" xr:uid="{00000000-0005-0000-0000-000072410000}"/>
    <cellStyle name="Vírgula 6 3 2 5 2 2 3" xfId="17827" xr:uid="{00000000-0005-0000-0000-000073410000}"/>
    <cellStyle name="Vírgula 6 3 2 5 2 3" xfId="5631" xr:uid="{00000000-0005-0000-0000-000074410000}"/>
    <cellStyle name="Vírgula 6 3 2 5 2 3 2" xfId="22630" xr:uid="{00000000-0005-0000-0000-000075410000}"/>
    <cellStyle name="Vírgula 6 3 2 5 2 3 3" xfId="18666" xr:uid="{00000000-0005-0000-0000-000076410000}"/>
    <cellStyle name="Vírgula 6 3 2 5 2 4" xfId="20530" xr:uid="{00000000-0005-0000-0000-000077410000}"/>
    <cellStyle name="Vírgula 6 3 2 5 2 5" xfId="16506" xr:uid="{00000000-0005-0000-0000-000078410000}"/>
    <cellStyle name="Vírgula 6 3 2 5 3" xfId="4233" xr:uid="{00000000-0005-0000-0000-000079410000}"/>
    <cellStyle name="Vírgula 6 3 2 5 3 2" xfId="6361" xr:uid="{00000000-0005-0000-0000-00007A410000}"/>
    <cellStyle name="Vírgula 6 3 2 5 3 2 2" xfId="23343" xr:uid="{00000000-0005-0000-0000-00007B410000}"/>
    <cellStyle name="Vírgula 6 3 2 5 3 2 3" xfId="19396" xr:uid="{00000000-0005-0000-0000-00007C410000}"/>
    <cellStyle name="Vírgula 6 3 2 5 3 3" xfId="21279" xr:uid="{00000000-0005-0000-0000-00007D410000}"/>
    <cellStyle name="Vírgula 6 3 2 5 3 4" xfId="17272" xr:uid="{00000000-0005-0000-0000-00007E410000}"/>
    <cellStyle name="Vírgula 6 3 2 6" xfId="2334" xr:uid="{00000000-0005-0000-0000-00007F410000}"/>
    <cellStyle name="Vírgula 6 3 2 6 2" xfId="3463" xr:uid="{00000000-0005-0000-0000-000080410000}"/>
    <cellStyle name="Vírgula 6 3 2 6 2 2" xfId="4793" xr:uid="{00000000-0005-0000-0000-000081410000}"/>
    <cellStyle name="Vírgula 6 3 2 6 2 2 2" xfId="21833" xr:uid="{00000000-0005-0000-0000-000082410000}"/>
    <cellStyle name="Vírgula 6 3 2 6 2 2 3" xfId="17828" xr:uid="{00000000-0005-0000-0000-000083410000}"/>
    <cellStyle name="Vírgula 6 3 2 6 2 3" xfId="5632" xr:uid="{00000000-0005-0000-0000-000084410000}"/>
    <cellStyle name="Vírgula 6 3 2 6 2 3 2" xfId="22631" xr:uid="{00000000-0005-0000-0000-000085410000}"/>
    <cellStyle name="Vírgula 6 3 2 6 2 3 3" xfId="18667" xr:uid="{00000000-0005-0000-0000-000086410000}"/>
    <cellStyle name="Vírgula 6 3 2 6 2 4" xfId="20531" xr:uid="{00000000-0005-0000-0000-000087410000}"/>
    <cellStyle name="Vírgula 6 3 2 6 2 5" xfId="16507" xr:uid="{00000000-0005-0000-0000-000088410000}"/>
    <cellStyle name="Vírgula 6 3 2 6 3" xfId="3985" xr:uid="{00000000-0005-0000-0000-000089410000}"/>
    <cellStyle name="Vírgula 6 3 2 6 3 2" xfId="6362" xr:uid="{00000000-0005-0000-0000-00008A410000}"/>
    <cellStyle name="Vírgula 6 3 2 6 3 2 2" xfId="23344" xr:uid="{00000000-0005-0000-0000-00008B410000}"/>
    <cellStyle name="Vírgula 6 3 2 6 3 2 3" xfId="19397" xr:uid="{00000000-0005-0000-0000-00008C410000}"/>
    <cellStyle name="Vírgula 6 3 2 6 3 3" xfId="21041" xr:uid="{00000000-0005-0000-0000-00008D410000}"/>
    <cellStyle name="Vírgula 6 3 2 6 3 4" xfId="17027" xr:uid="{00000000-0005-0000-0000-00008E410000}"/>
    <cellStyle name="Vírgula 6 3 2 7" xfId="2335" xr:uid="{00000000-0005-0000-0000-00008F410000}"/>
    <cellStyle name="Vírgula 6 3 2 7 2" xfId="3464" xr:uid="{00000000-0005-0000-0000-000090410000}"/>
    <cellStyle name="Vírgula 6 3 2 7 2 2" xfId="4794" xr:uid="{00000000-0005-0000-0000-000091410000}"/>
    <cellStyle name="Vírgula 6 3 2 7 2 2 2" xfId="21834" xr:uid="{00000000-0005-0000-0000-000092410000}"/>
    <cellStyle name="Vírgula 6 3 2 7 2 2 3" xfId="17829" xr:uid="{00000000-0005-0000-0000-000093410000}"/>
    <cellStyle name="Vírgula 6 3 2 7 2 3" xfId="5633" xr:uid="{00000000-0005-0000-0000-000094410000}"/>
    <cellStyle name="Vírgula 6 3 2 7 2 3 2" xfId="22632" xr:uid="{00000000-0005-0000-0000-000095410000}"/>
    <cellStyle name="Vírgula 6 3 2 7 2 3 3" xfId="18668" xr:uid="{00000000-0005-0000-0000-000096410000}"/>
    <cellStyle name="Vírgula 6 3 2 7 2 4" xfId="20532" xr:uid="{00000000-0005-0000-0000-000097410000}"/>
    <cellStyle name="Vírgula 6 3 2 7 2 5" xfId="16508" xr:uid="{00000000-0005-0000-0000-000098410000}"/>
    <cellStyle name="Vírgula 6 3 2 7 3" xfId="4167" xr:uid="{00000000-0005-0000-0000-000099410000}"/>
    <cellStyle name="Vírgula 6 3 2 7 3 2" xfId="6363" xr:uid="{00000000-0005-0000-0000-00009A410000}"/>
    <cellStyle name="Vírgula 6 3 2 7 3 2 2" xfId="23345" xr:uid="{00000000-0005-0000-0000-00009B410000}"/>
    <cellStyle name="Vírgula 6 3 2 7 3 2 3" xfId="19398" xr:uid="{00000000-0005-0000-0000-00009C410000}"/>
    <cellStyle name="Vírgula 6 3 2 7 3 3" xfId="21214" xr:uid="{00000000-0005-0000-0000-00009D410000}"/>
    <cellStyle name="Vírgula 6 3 2 7 3 4" xfId="17207" xr:uid="{00000000-0005-0000-0000-00009E410000}"/>
    <cellStyle name="Vírgula 6 3 2 8" xfId="2336" xr:uid="{00000000-0005-0000-0000-00009F410000}"/>
    <cellStyle name="Vírgula 6 3 2 8 2" xfId="3465" xr:uid="{00000000-0005-0000-0000-0000A0410000}"/>
    <cellStyle name="Vírgula 6 3 2 8 2 2" xfId="4795" xr:uid="{00000000-0005-0000-0000-0000A1410000}"/>
    <cellStyle name="Vírgula 6 3 2 8 2 2 2" xfId="21835" xr:uid="{00000000-0005-0000-0000-0000A2410000}"/>
    <cellStyle name="Vírgula 6 3 2 8 2 2 3" xfId="17830" xr:uid="{00000000-0005-0000-0000-0000A3410000}"/>
    <cellStyle name="Vírgula 6 3 2 8 2 3" xfId="5634" xr:uid="{00000000-0005-0000-0000-0000A4410000}"/>
    <cellStyle name="Vírgula 6 3 2 8 2 3 2" xfId="22633" xr:uid="{00000000-0005-0000-0000-0000A5410000}"/>
    <cellStyle name="Vírgula 6 3 2 8 2 3 3" xfId="18669" xr:uid="{00000000-0005-0000-0000-0000A6410000}"/>
    <cellStyle name="Vírgula 6 3 2 8 2 4" xfId="20533" xr:uid="{00000000-0005-0000-0000-0000A7410000}"/>
    <cellStyle name="Vírgula 6 3 2 8 2 5" xfId="16509" xr:uid="{00000000-0005-0000-0000-0000A8410000}"/>
    <cellStyle name="Vírgula 6 3 2 8 3" xfId="4133" xr:uid="{00000000-0005-0000-0000-0000A9410000}"/>
    <cellStyle name="Vírgula 6 3 2 8 3 2" xfId="6364" xr:uid="{00000000-0005-0000-0000-0000AA410000}"/>
    <cellStyle name="Vírgula 6 3 2 8 3 2 2" xfId="23346" xr:uid="{00000000-0005-0000-0000-0000AB410000}"/>
    <cellStyle name="Vírgula 6 3 2 8 3 2 3" xfId="19399" xr:uid="{00000000-0005-0000-0000-0000AC410000}"/>
    <cellStyle name="Vírgula 6 3 2 8 3 3" xfId="21181" xr:uid="{00000000-0005-0000-0000-0000AD410000}"/>
    <cellStyle name="Vírgula 6 3 2 8 3 4" xfId="17173" xr:uid="{00000000-0005-0000-0000-0000AE410000}"/>
    <cellStyle name="Vírgula 6 3 2 9" xfId="2337" xr:uid="{00000000-0005-0000-0000-0000AF410000}"/>
    <cellStyle name="Vírgula 6 3 2 9 2" xfId="3466" xr:uid="{00000000-0005-0000-0000-0000B0410000}"/>
    <cellStyle name="Vírgula 6 3 2 9 2 2" xfId="4796" xr:uid="{00000000-0005-0000-0000-0000B1410000}"/>
    <cellStyle name="Vírgula 6 3 2 9 2 2 2" xfId="21836" xr:uid="{00000000-0005-0000-0000-0000B2410000}"/>
    <cellStyle name="Vírgula 6 3 2 9 2 2 3" xfId="17831" xr:uid="{00000000-0005-0000-0000-0000B3410000}"/>
    <cellStyle name="Vírgula 6 3 2 9 2 3" xfId="5635" xr:uid="{00000000-0005-0000-0000-0000B4410000}"/>
    <cellStyle name="Vírgula 6 3 2 9 2 3 2" xfId="22634" xr:uid="{00000000-0005-0000-0000-0000B5410000}"/>
    <cellStyle name="Vírgula 6 3 2 9 2 3 3" xfId="18670" xr:uid="{00000000-0005-0000-0000-0000B6410000}"/>
    <cellStyle name="Vírgula 6 3 2 9 2 4" xfId="20534" xr:uid="{00000000-0005-0000-0000-0000B7410000}"/>
    <cellStyle name="Vírgula 6 3 2 9 2 5" xfId="16510" xr:uid="{00000000-0005-0000-0000-0000B8410000}"/>
    <cellStyle name="Vírgula 6 3 2 9 3" xfId="3723" xr:uid="{00000000-0005-0000-0000-0000B9410000}"/>
    <cellStyle name="Vírgula 6 3 2 9 3 2" xfId="6365" xr:uid="{00000000-0005-0000-0000-0000BA410000}"/>
    <cellStyle name="Vírgula 6 3 2 9 3 2 2" xfId="23347" xr:uid="{00000000-0005-0000-0000-0000BB410000}"/>
    <cellStyle name="Vírgula 6 3 2 9 3 2 3" xfId="19400" xr:uid="{00000000-0005-0000-0000-0000BC410000}"/>
    <cellStyle name="Vírgula 6 3 2 9 3 3" xfId="20788" xr:uid="{00000000-0005-0000-0000-0000BD410000}"/>
    <cellStyle name="Vírgula 6 3 2 9 3 4" xfId="16767" xr:uid="{00000000-0005-0000-0000-0000BE410000}"/>
    <cellStyle name="Vírgula 6 3 3" xfId="452" xr:uid="{00000000-0005-0000-0000-0000BF410000}"/>
    <cellStyle name="Vírgula 6 3 3 10" xfId="8546" xr:uid="{00000000-0005-0000-0000-0000C0410000}"/>
    <cellStyle name="Vírgula 6 3 3 11" xfId="8547" xr:uid="{00000000-0005-0000-0000-0000C1410000}"/>
    <cellStyle name="Vírgula 6 3 3 2" xfId="592" xr:uid="{00000000-0005-0000-0000-0000C2410000}"/>
    <cellStyle name="Vírgula 6 3 3 2 10" xfId="8548" xr:uid="{00000000-0005-0000-0000-0000C3410000}"/>
    <cellStyle name="Vírgula 6 3 3 2 2" xfId="829" xr:uid="{00000000-0005-0000-0000-0000C4410000}"/>
    <cellStyle name="Vírgula 6 3 3 2 2 2" xfId="3125" xr:uid="{00000000-0005-0000-0000-0000C5410000}"/>
    <cellStyle name="Vírgula 6 3 3 2 2 2 2" xfId="4540" xr:uid="{00000000-0005-0000-0000-0000C6410000}"/>
    <cellStyle name="Vírgula 6 3 3 2 2 2 2 2" xfId="21580" xr:uid="{00000000-0005-0000-0000-0000C7410000}"/>
    <cellStyle name="Vírgula 6 3 3 2 2 2 2 3" xfId="17575" xr:uid="{00000000-0005-0000-0000-0000C8410000}"/>
    <cellStyle name="Vírgula 6 3 3 2 2 2 3" xfId="5294" xr:uid="{00000000-0005-0000-0000-0000C9410000}"/>
    <cellStyle name="Vírgula 6 3 3 2 2 2 3 2" xfId="22293" xr:uid="{00000000-0005-0000-0000-0000CA410000}"/>
    <cellStyle name="Vírgula 6 3 3 2 2 2 3 3" xfId="18329" xr:uid="{00000000-0005-0000-0000-0000CB410000}"/>
    <cellStyle name="Vírgula 6 3 3 2 2 2 4" xfId="20193" xr:uid="{00000000-0005-0000-0000-0000CC410000}"/>
    <cellStyle name="Vírgula 6 3 3 2 2 2 5" xfId="16169" xr:uid="{00000000-0005-0000-0000-0000CD410000}"/>
    <cellStyle name="Vírgula 6 3 3 2 2 3" xfId="4226" xr:uid="{00000000-0005-0000-0000-0000CE410000}"/>
    <cellStyle name="Vírgula 6 3 3 2 2 3 2" xfId="6011" xr:uid="{00000000-0005-0000-0000-0000CF410000}"/>
    <cellStyle name="Vírgula 6 3 3 2 2 3 2 2" xfId="23004" xr:uid="{00000000-0005-0000-0000-0000D0410000}"/>
    <cellStyle name="Vírgula 6 3 3 2 2 3 2 3" xfId="19046" xr:uid="{00000000-0005-0000-0000-0000D1410000}"/>
    <cellStyle name="Vírgula 6 3 3 2 2 3 3" xfId="21272" xr:uid="{00000000-0005-0000-0000-0000D2410000}"/>
    <cellStyle name="Vírgula 6 3 3 2 2 3 4" xfId="17265" xr:uid="{00000000-0005-0000-0000-0000D3410000}"/>
    <cellStyle name="Vírgula 6 3 3 2 3" xfId="3062" xr:uid="{00000000-0005-0000-0000-0000D4410000}"/>
    <cellStyle name="Vírgula 6 3 3 2 3 2" xfId="4500" xr:uid="{00000000-0005-0000-0000-0000D5410000}"/>
    <cellStyle name="Vírgula 6 3 3 2 3 2 2" xfId="21540" xr:uid="{00000000-0005-0000-0000-0000D6410000}"/>
    <cellStyle name="Vírgula 6 3 3 2 3 2 3" xfId="17535" xr:uid="{00000000-0005-0000-0000-0000D7410000}"/>
    <cellStyle name="Vírgula 6 3 3 2 3 3" xfId="5231" xr:uid="{00000000-0005-0000-0000-0000D8410000}"/>
    <cellStyle name="Vírgula 6 3 3 2 3 3 2" xfId="11201" xr:uid="{00000000-0005-0000-0000-0000D9410000}"/>
    <cellStyle name="Vírgula 6 3 3 2 3 3 2 2" xfId="22230" xr:uid="{00000000-0005-0000-0000-0000DA410000}"/>
    <cellStyle name="Vírgula 6 3 3 2 3 3 3" xfId="12454" xr:uid="{00000000-0005-0000-0000-0000DB410000}"/>
    <cellStyle name="Vírgula 6 3 3 2 3 3 4" xfId="18266" xr:uid="{00000000-0005-0000-0000-0000DC410000}"/>
    <cellStyle name="Vírgula 6 3 3 2 3 4" xfId="13584" xr:uid="{00000000-0005-0000-0000-0000DD410000}"/>
    <cellStyle name="Vírgula 6 3 3 2 3 4 2" xfId="20130" xr:uid="{00000000-0005-0000-0000-0000DE410000}"/>
    <cellStyle name="Vírgula 6 3 3 2 3 5" xfId="16106" xr:uid="{00000000-0005-0000-0000-0000DF410000}"/>
    <cellStyle name="Vírgula 6 3 3 2 4" xfId="3848" xr:uid="{00000000-0005-0000-0000-0000E0410000}"/>
    <cellStyle name="Vírgula 6 3 3 2 4 2" xfId="5938" xr:uid="{00000000-0005-0000-0000-0000E1410000}"/>
    <cellStyle name="Vírgula 6 3 3 2 4 2 2" xfId="11689" xr:uid="{00000000-0005-0000-0000-0000E2410000}"/>
    <cellStyle name="Vírgula 6 3 3 2 4 2 2 2" xfId="22932" xr:uid="{00000000-0005-0000-0000-0000E3410000}"/>
    <cellStyle name="Vírgula 6 3 3 2 4 2 3" xfId="12455" xr:uid="{00000000-0005-0000-0000-0000E4410000}"/>
    <cellStyle name="Vírgula 6 3 3 2 4 2 4" xfId="18973" xr:uid="{00000000-0005-0000-0000-0000E5410000}"/>
    <cellStyle name="Vírgula 6 3 3 2 4 3" xfId="13683" xr:uid="{00000000-0005-0000-0000-0000E6410000}"/>
    <cellStyle name="Vírgula 6 3 3 2 4 3 2" xfId="20910" xr:uid="{00000000-0005-0000-0000-0000E7410000}"/>
    <cellStyle name="Vírgula 6 3 3 2 4 4" xfId="16890" xr:uid="{00000000-0005-0000-0000-0000E8410000}"/>
    <cellStyle name="Vírgula 6 3 3 2 5" xfId="8549" xr:uid="{00000000-0005-0000-0000-0000E9410000}"/>
    <cellStyle name="Vírgula 6 3 3 2 5 2" xfId="11192" xr:uid="{00000000-0005-0000-0000-0000EA410000}"/>
    <cellStyle name="Vírgula 6 3 3 2 5 3" xfId="13326" xr:uid="{00000000-0005-0000-0000-0000EB410000}"/>
    <cellStyle name="Vírgula 6 3 3 2 6" xfId="8550" xr:uid="{00000000-0005-0000-0000-0000EC410000}"/>
    <cellStyle name="Vírgula 6 3 3 2 6 2" xfId="12016" xr:uid="{00000000-0005-0000-0000-0000ED410000}"/>
    <cellStyle name="Vírgula 6 3 3 2 6 3" xfId="12456" xr:uid="{00000000-0005-0000-0000-0000EE410000}"/>
    <cellStyle name="Vírgula 6 3 3 2 7" xfId="8551" xr:uid="{00000000-0005-0000-0000-0000EF410000}"/>
    <cellStyle name="Vírgula 6 3 3 2 7 2" xfId="11284" xr:uid="{00000000-0005-0000-0000-0000F0410000}"/>
    <cellStyle name="Vírgula 6 3 3 2 7 3" xfId="13264" xr:uid="{00000000-0005-0000-0000-0000F1410000}"/>
    <cellStyle name="Vírgula 6 3 3 2 8" xfId="8552" xr:uid="{00000000-0005-0000-0000-0000F2410000}"/>
    <cellStyle name="Vírgula 6 3 3 2 8 2" xfId="11143" xr:uid="{00000000-0005-0000-0000-0000F3410000}"/>
    <cellStyle name="Vírgula 6 3 3 2 8 3" xfId="12457" xr:uid="{00000000-0005-0000-0000-0000F4410000}"/>
    <cellStyle name="Vírgula 6 3 3 2 9" xfId="8553" xr:uid="{00000000-0005-0000-0000-0000F5410000}"/>
    <cellStyle name="Vírgula 6 3 3 3" xfId="798" xr:uid="{00000000-0005-0000-0000-0000F6410000}"/>
    <cellStyle name="Vírgula 6 3 3 3 2" xfId="2339" xr:uid="{00000000-0005-0000-0000-0000F7410000}"/>
    <cellStyle name="Vírgula 6 3 3 3 2 2" xfId="2879" xr:uid="{00000000-0005-0000-0000-0000F8410000}"/>
    <cellStyle name="Vírgula 6 3 3 3 2 2 2" xfId="3656" xr:uid="{00000000-0005-0000-0000-0000F9410000}"/>
    <cellStyle name="Vírgula 6 3 3 3 2 2 2 2" xfId="4934" xr:uid="{00000000-0005-0000-0000-0000FA410000}"/>
    <cellStyle name="Vírgula 6 3 3 3 2 2 2 2 2" xfId="21974" xr:uid="{00000000-0005-0000-0000-0000FB410000}"/>
    <cellStyle name="Vírgula 6 3 3 3 2 2 2 2 3" xfId="17969" xr:uid="{00000000-0005-0000-0000-0000FC410000}"/>
    <cellStyle name="Vírgula 6 3 3 3 2 2 2 3" xfId="5825" xr:uid="{00000000-0005-0000-0000-0000FD410000}"/>
    <cellStyle name="Vírgula 6 3 3 3 2 2 2 3 2" xfId="22824" xr:uid="{00000000-0005-0000-0000-0000FE410000}"/>
    <cellStyle name="Vírgula 6 3 3 3 2 2 2 3 3" xfId="18860" xr:uid="{00000000-0005-0000-0000-0000FF410000}"/>
    <cellStyle name="Vírgula 6 3 3 3 2 2 2 4" xfId="20724" xr:uid="{00000000-0005-0000-0000-000000420000}"/>
    <cellStyle name="Vírgula 6 3 3 3 2 2 2 5" xfId="16700" xr:uid="{00000000-0005-0000-0000-000001420000}"/>
    <cellStyle name="Vírgula 6 3 3 3 2 3" xfId="2801" xr:uid="{00000000-0005-0000-0000-000002420000}"/>
    <cellStyle name="Vírgula 6 3 3 3 2 3 2" xfId="3629" xr:uid="{00000000-0005-0000-0000-000003420000}"/>
    <cellStyle name="Vírgula 6 3 3 3 2 3 2 2" xfId="4907" xr:uid="{00000000-0005-0000-0000-000004420000}"/>
    <cellStyle name="Vírgula 6 3 3 3 2 3 2 2 2" xfId="21947" xr:uid="{00000000-0005-0000-0000-000005420000}"/>
    <cellStyle name="Vírgula 6 3 3 3 2 3 2 2 3" xfId="17942" xr:uid="{00000000-0005-0000-0000-000006420000}"/>
    <cellStyle name="Vírgula 6 3 3 3 2 3 2 3" xfId="5798" xr:uid="{00000000-0005-0000-0000-000007420000}"/>
    <cellStyle name="Vírgula 6 3 3 3 2 3 2 3 2" xfId="22797" xr:uid="{00000000-0005-0000-0000-000008420000}"/>
    <cellStyle name="Vírgula 6 3 3 3 2 3 2 3 3" xfId="18833" xr:uid="{00000000-0005-0000-0000-000009420000}"/>
    <cellStyle name="Vírgula 6 3 3 3 2 3 2 4" xfId="20697" xr:uid="{00000000-0005-0000-0000-00000A420000}"/>
    <cellStyle name="Vírgula 6 3 3 3 2 3 2 5" xfId="16673" xr:uid="{00000000-0005-0000-0000-00000B420000}"/>
    <cellStyle name="Vírgula 6 3 3 3 2 4" xfId="2657" xr:uid="{00000000-0005-0000-0000-00000C420000}"/>
    <cellStyle name="Vírgula 6 3 3 3 2 4 2" xfId="3612" xr:uid="{00000000-0005-0000-0000-00000D420000}"/>
    <cellStyle name="Vírgula 6 3 3 3 2 4 2 2" xfId="4890" xr:uid="{00000000-0005-0000-0000-00000E420000}"/>
    <cellStyle name="Vírgula 6 3 3 3 2 4 2 2 2" xfId="21930" xr:uid="{00000000-0005-0000-0000-00000F420000}"/>
    <cellStyle name="Vírgula 6 3 3 3 2 4 2 2 3" xfId="17925" xr:uid="{00000000-0005-0000-0000-000010420000}"/>
    <cellStyle name="Vírgula 6 3 3 3 2 4 2 3" xfId="5781" xr:uid="{00000000-0005-0000-0000-000011420000}"/>
    <cellStyle name="Vírgula 6 3 3 3 2 4 2 3 2" xfId="22780" xr:uid="{00000000-0005-0000-0000-000012420000}"/>
    <cellStyle name="Vírgula 6 3 3 3 2 4 2 3 3" xfId="18816" xr:uid="{00000000-0005-0000-0000-000013420000}"/>
    <cellStyle name="Vírgula 6 3 3 3 2 4 2 4" xfId="20680" xr:uid="{00000000-0005-0000-0000-000014420000}"/>
    <cellStyle name="Vírgula 6 3 3 3 2 4 2 5" xfId="16656" xr:uid="{00000000-0005-0000-0000-000015420000}"/>
    <cellStyle name="Vírgula 6 3 3 3 2 5" xfId="2590" xr:uid="{00000000-0005-0000-0000-000016420000}"/>
    <cellStyle name="Vírgula 6 3 3 3 2 5 2" xfId="3596" xr:uid="{00000000-0005-0000-0000-000017420000}"/>
    <cellStyle name="Vírgula 6 3 3 3 2 5 2 2" xfId="4874" xr:uid="{00000000-0005-0000-0000-000018420000}"/>
    <cellStyle name="Vírgula 6 3 3 3 2 5 2 2 2" xfId="21914" xr:uid="{00000000-0005-0000-0000-000019420000}"/>
    <cellStyle name="Vírgula 6 3 3 3 2 5 2 2 3" xfId="17909" xr:uid="{00000000-0005-0000-0000-00001A420000}"/>
    <cellStyle name="Vírgula 6 3 3 3 2 5 2 3" xfId="5765" xr:uid="{00000000-0005-0000-0000-00001B420000}"/>
    <cellStyle name="Vírgula 6 3 3 3 2 5 2 3 2" xfId="22764" xr:uid="{00000000-0005-0000-0000-00001C420000}"/>
    <cellStyle name="Vírgula 6 3 3 3 2 5 2 3 3" xfId="18800" xr:uid="{00000000-0005-0000-0000-00001D420000}"/>
    <cellStyle name="Vírgula 6 3 3 3 2 5 2 4" xfId="20664" xr:uid="{00000000-0005-0000-0000-00001E420000}"/>
    <cellStyle name="Vírgula 6 3 3 3 2 5 2 5" xfId="16640" xr:uid="{00000000-0005-0000-0000-00001F420000}"/>
    <cellStyle name="Vírgula 6 3 3 3 2 6" xfId="3468" xr:uid="{00000000-0005-0000-0000-000020420000}"/>
    <cellStyle name="Vírgula 6 3 3 3 2 6 2" xfId="4798" xr:uid="{00000000-0005-0000-0000-000021420000}"/>
    <cellStyle name="Vírgula 6 3 3 3 2 6 2 2" xfId="21838" xr:uid="{00000000-0005-0000-0000-000022420000}"/>
    <cellStyle name="Vírgula 6 3 3 3 2 6 2 3" xfId="17833" xr:uid="{00000000-0005-0000-0000-000023420000}"/>
    <cellStyle name="Vírgula 6 3 3 3 2 6 3" xfId="5637" xr:uid="{00000000-0005-0000-0000-000024420000}"/>
    <cellStyle name="Vírgula 6 3 3 3 2 6 3 2" xfId="22636" xr:uid="{00000000-0005-0000-0000-000025420000}"/>
    <cellStyle name="Vírgula 6 3 3 3 2 6 3 3" xfId="18672" xr:uid="{00000000-0005-0000-0000-000026420000}"/>
    <cellStyle name="Vírgula 6 3 3 3 2 6 4" xfId="20536" xr:uid="{00000000-0005-0000-0000-000027420000}"/>
    <cellStyle name="Vírgula 6 3 3 3 2 6 5" xfId="16512" xr:uid="{00000000-0005-0000-0000-000028420000}"/>
    <cellStyle name="Vírgula 6 3 3 3 2 7" xfId="3763" xr:uid="{00000000-0005-0000-0000-000029420000}"/>
    <cellStyle name="Vírgula 6 3 3 3 2 7 2" xfId="6367" xr:uid="{00000000-0005-0000-0000-00002A420000}"/>
    <cellStyle name="Vírgula 6 3 3 3 2 7 2 2" xfId="23349" xr:uid="{00000000-0005-0000-0000-00002B420000}"/>
    <cellStyle name="Vírgula 6 3 3 3 2 7 2 3" xfId="19402" xr:uid="{00000000-0005-0000-0000-00002C420000}"/>
    <cellStyle name="Vírgula 6 3 3 3 2 7 3" xfId="20827" xr:uid="{00000000-0005-0000-0000-00002D420000}"/>
    <cellStyle name="Vírgula 6 3 3 3 2 7 4" xfId="16806" xr:uid="{00000000-0005-0000-0000-00002E420000}"/>
    <cellStyle name="Vírgula 6 3 3 3 3" xfId="3122" xr:uid="{00000000-0005-0000-0000-00002F420000}"/>
    <cellStyle name="Vírgula 6 3 3 3 3 2" xfId="4537" xr:uid="{00000000-0005-0000-0000-000030420000}"/>
    <cellStyle name="Vírgula 6 3 3 3 3 2 2" xfId="21577" xr:uid="{00000000-0005-0000-0000-000031420000}"/>
    <cellStyle name="Vírgula 6 3 3 3 3 2 3" xfId="17572" xr:uid="{00000000-0005-0000-0000-000032420000}"/>
    <cellStyle name="Vírgula 6 3 3 3 3 3" xfId="5291" xr:uid="{00000000-0005-0000-0000-000033420000}"/>
    <cellStyle name="Vírgula 6 3 3 3 3 3 2" xfId="22290" xr:uid="{00000000-0005-0000-0000-000034420000}"/>
    <cellStyle name="Vírgula 6 3 3 3 3 3 3" xfId="18326" xr:uid="{00000000-0005-0000-0000-000035420000}"/>
    <cellStyle name="Vírgula 6 3 3 3 3 4" xfId="20190" xr:uid="{00000000-0005-0000-0000-000036420000}"/>
    <cellStyle name="Vírgula 6 3 3 3 3 5" xfId="16166" xr:uid="{00000000-0005-0000-0000-000037420000}"/>
    <cellStyle name="Vírgula 6 3 3 3 4" xfId="4183" xr:uid="{00000000-0005-0000-0000-000038420000}"/>
    <cellStyle name="Vírgula 6 3 3 3 4 2" xfId="6008" xr:uid="{00000000-0005-0000-0000-000039420000}"/>
    <cellStyle name="Vírgula 6 3 3 3 4 2 2" xfId="23001" xr:uid="{00000000-0005-0000-0000-00003A420000}"/>
    <cellStyle name="Vírgula 6 3 3 3 4 2 3" xfId="19043" xr:uid="{00000000-0005-0000-0000-00003B420000}"/>
    <cellStyle name="Vírgula 6 3 3 3 4 3" xfId="21229" xr:uid="{00000000-0005-0000-0000-00003C420000}"/>
    <cellStyle name="Vírgula 6 3 3 3 4 4" xfId="17222" xr:uid="{00000000-0005-0000-0000-00003D420000}"/>
    <cellStyle name="Vírgula 6 3 3 4" xfId="2340" xr:uid="{00000000-0005-0000-0000-00003E420000}"/>
    <cellStyle name="Vírgula 6 3 3 4 2" xfId="2167" xr:uid="{00000000-0005-0000-0000-00003F420000}"/>
    <cellStyle name="Vírgula 6 3 3 4 2 2" xfId="3296" xr:uid="{00000000-0005-0000-0000-000040420000}"/>
    <cellStyle name="Vírgula 6 3 3 4 2 2 2" xfId="4629" xr:uid="{00000000-0005-0000-0000-000041420000}"/>
    <cellStyle name="Vírgula 6 3 3 4 2 2 2 2" xfId="21669" xr:uid="{00000000-0005-0000-0000-000042420000}"/>
    <cellStyle name="Vírgula 6 3 3 4 2 2 2 3" xfId="17664" xr:uid="{00000000-0005-0000-0000-000043420000}"/>
    <cellStyle name="Vírgula 6 3 3 4 2 2 3" xfId="5465" xr:uid="{00000000-0005-0000-0000-000044420000}"/>
    <cellStyle name="Vírgula 6 3 3 4 2 2 3 2" xfId="22464" xr:uid="{00000000-0005-0000-0000-000045420000}"/>
    <cellStyle name="Vírgula 6 3 3 4 2 2 3 3" xfId="18500" xr:uid="{00000000-0005-0000-0000-000046420000}"/>
    <cellStyle name="Vírgula 6 3 3 4 2 2 4" xfId="20364" xr:uid="{00000000-0005-0000-0000-000047420000}"/>
    <cellStyle name="Vírgula 6 3 3 4 2 2 5" xfId="16340" xr:uid="{00000000-0005-0000-0000-000048420000}"/>
    <cellStyle name="Vírgula 6 3 3 4 2 3" xfId="4461" xr:uid="{00000000-0005-0000-0000-000049420000}"/>
    <cellStyle name="Vírgula 6 3 3 4 2 3 2" xfId="6195" xr:uid="{00000000-0005-0000-0000-00004A420000}"/>
    <cellStyle name="Vírgula 6 3 3 4 2 3 2 2" xfId="23177" xr:uid="{00000000-0005-0000-0000-00004B420000}"/>
    <cellStyle name="Vírgula 6 3 3 4 2 3 2 3" xfId="19230" xr:uid="{00000000-0005-0000-0000-00004C420000}"/>
    <cellStyle name="Vírgula 6 3 3 4 2 3 3" xfId="21501" xr:uid="{00000000-0005-0000-0000-00004D420000}"/>
    <cellStyle name="Vírgula 6 3 3 4 2 3 4" xfId="17496" xr:uid="{00000000-0005-0000-0000-00004E420000}"/>
    <cellStyle name="Vírgula 6 3 3 4 3" xfId="2802" xr:uid="{00000000-0005-0000-0000-00004F420000}"/>
    <cellStyle name="Vírgula 6 3 3 4 3 2" xfId="3630" xr:uid="{00000000-0005-0000-0000-000050420000}"/>
    <cellStyle name="Vírgula 6 3 3 4 3 2 2" xfId="4908" xr:uid="{00000000-0005-0000-0000-000051420000}"/>
    <cellStyle name="Vírgula 6 3 3 4 3 2 2 2" xfId="21948" xr:uid="{00000000-0005-0000-0000-000052420000}"/>
    <cellStyle name="Vírgula 6 3 3 4 3 2 2 3" xfId="17943" xr:uid="{00000000-0005-0000-0000-000053420000}"/>
    <cellStyle name="Vírgula 6 3 3 4 3 2 3" xfId="5799" xr:uid="{00000000-0005-0000-0000-000054420000}"/>
    <cellStyle name="Vírgula 6 3 3 4 3 2 3 2" xfId="11721" xr:uid="{00000000-0005-0000-0000-000055420000}"/>
    <cellStyle name="Vírgula 6 3 3 4 3 2 3 2 2" xfId="22798" xr:uid="{00000000-0005-0000-0000-000056420000}"/>
    <cellStyle name="Vírgula 6 3 3 4 3 2 3 3" xfId="11901" xr:uid="{00000000-0005-0000-0000-000057420000}"/>
    <cellStyle name="Vírgula 6 3 3 4 3 2 3 4" xfId="18834" xr:uid="{00000000-0005-0000-0000-000058420000}"/>
    <cellStyle name="Vírgula 6 3 3 4 3 2 4" xfId="20698" xr:uid="{00000000-0005-0000-0000-000059420000}"/>
    <cellStyle name="Vírgula 6 3 3 4 3 2 5" xfId="16674" xr:uid="{00000000-0005-0000-0000-00005A420000}"/>
    <cellStyle name="Vírgula 6 3 3 4 3 3" xfId="8554" xr:uid="{00000000-0005-0000-0000-00005B420000}"/>
    <cellStyle name="Vírgula 6 3 3 4 4" xfId="3469" xr:uid="{00000000-0005-0000-0000-00005C420000}"/>
    <cellStyle name="Vírgula 6 3 3 4 4 2" xfId="4799" xr:uid="{00000000-0005-0000-0000-00005D420000}"/>
    <cellStyle name="Vírgula 6 3 3 4 4 2 2" xfId="21839" xr:uid="{00000000-0005-0000-0000-00005E420000}"/>
    <cellStyle name="Vírgula 6 3 3 4 4 2 3" xfId="17834" xr:uid="{00000000-0005-0000-0000-00005F420000}"/>
    <cellStyle name="Vírgula 6 3 3 4 4 3" xfId="5638" xr:uid="{00000000-0005-0000-0000-000060420000}"/>
    <cellStyle name="Vírgula 6 3 3 4 4 3 2" xfId="22637" xr:uid="{00000000-0005-0000-0000-000061420000}"/>
    <cellStyle name="Vírgula 6 3 3 4 4 3 3" xfId="18673" xr:uid="{00000000-0005-0000-0000-000062420000}"/>
    <cellStyle name="Vírgula 6 3 3 4 4 4" xfId="20537" xr:uid="{00000000-0005-0000-0000-000063420000}"/>
    <cellStyle name="Vírgula 6 3 3 4 4 5" xfId="16513" xr:uid="{00000000-0005-0000-0000-000064420000}"/>
    <cellStyle name="Vírgula 6 3 3 4 5" xfId="4137" xr:uid="{00000000-0005-0000-0000-000065420000}"/>
    <cellStyle name="Vírgula 6 3 3 4 5 2" xfId="6368" xr:uid="{00000000-0005-0000-0000-000066420000}"/>
    <cellStyle name="Vírgula 6 3 3 4 5 2 2" xfId="23350" xr:uid="{00000000-0005-0000-0000-000067420000}"/>
    <cellStyle name="Vírgula 6 3 3 4 5 2 3" xfId="19403" xr:uid="{00000000-0005-0000-0000-000068420000}"/>
    <cellStyle name="Vírgula 6 3 3 4 5 3" xfId="21185" xr:uid="{00000000-0005-0000-0000-000069420000}"/>
    <cellStyle name="Vírgula 6 3 3 4 5 4" xfId="17177" xr:uid="{00000000-0005-0000-0000-00006A420000}"/>
    <cellStyle name="Vírgula 6 3 3 5" xfId="2338" xr:uid="{00000000-0005-0000-0000-00006B420000}"/>
    <cellStyle name="Vírgula 6 3 3 5 2" xfId="2878" xr:uid="{00000000-0005-0000-0000-00006C420000}"/>
    <cellStyle name="Vírgula 6 3 3 5 2 2" xfId="3655" xr:uid="{00000000-0005-0000-0000-00006D420000}"/>
    <cellStyle name="Vírgula 6 3 3 5 2 2 2" xfId="4933" xr:uid="{00000000-0005-0000-0000-00006E420000}"/>
    <cellStyle name="Vírgula 6 3 3 5 2 2 2 2" xfId="21973" xr:uid="{00000000-0005-0000-0000-00006F420000}"/>
    <cellStyle name="Vírgula 6 3 3 5 2 2 2 3" xfId="17968" xr:uid="{00000000-0005-0000-0000-000070420000}"/>
    <cellStyle name="Vírgula 6 3 3 5 2 2 3" xfId="5824" xr:uid="{00000000-0005-0000-0000-000071420000}"/>
    <cellStyle name="Vírgula 6 3 3 5 2 2 3 2" xfId="11125" xr:uid="{00000000-0005-0000-0000-000072420000}"/>
    <cellStyle name="Vírgula 6 3 3 5 2 2 3 2 2" xfId="22823" xr:uid="{00000000-0005-0000-0000-000073420000}"/>
    <cellStyle name="Vírgula 6 3 3 5 2 2 3 3" xfId="10974" xr:uid="{00000000-0005-0000-0000-000074420000}"/>
    <cellStyle name="Vírgula 6 3 3 5 2 2 3 4" xfId="18859" xr:uid="{00000000-0005-0000-0000-000075420000}"/>
    <cellStyle name="Vírgula 6 3 3 5 2 2 4" xfId="20723" xr:uid="{00000000-0005-0000-0000-000076420000}"/>
    <cellStyle name="Vírgula 6 3 3 5 2 2 5" xfId="16699" xr:uid="{00000000-0005-0000-0000-000077420000}"/>
    <cellStyle name="Vírgula 6 3 3 5 2 3" xfId="8555" xr:uid="{00000000-0005-0000-0000-000078420000}"/>
    <cellStyle name="Vírgula 6 3 3 5 3" xfId="2800" xr:uid="{00000000-0005-0000-0000-000079420000}"/>
    <cellStyle name="Vírgula 6 3 3 5 3 2" xfId="3628" xr:uid="{00000000-0005-0000-0000-00007A420000}"/>
    <cellStyle name="Vírgula 6 3 3 5 3 2 2" xfId="4906" xr:uid="{00000000-0005-0000-0000-00007B420000}"/>
    <cellStyle name="Vírgula 6 3 3 5 3 2 2 2" xfId="21946" xr:uid="{00000000-0005-0000-0000-00007C420000}"/>
    <cellStyle name="Vírgula 6 3 3 5 3 2 2 3" xfId="17941" xr:uid="{00000000-0005-0000-0000-00007D420000}"/>
    <cellStyle name="Vírgula 6 3 3 5 3 2 3" xfId="5797" xr:uid="{00000000-0005-0000-0000-00007E420000}"/>
    <cellStyle name="Vírgula 6 3 3 5 3 2 3 2" xfId="22796" xr:uid="{00000000-0005-0000-0000-00007F420000}"/>
    <cellStyle name="Vírgula 6 3 3 5 3 2 3 3" xfId="18832" xr:uid="{00000000-0005-0000-0000-000080420000}"/>
    <cellStyle name="Vírgula 6 3 3 5 3 2 4" xfId="20696" xr:uid="{00000000-0005-0000-0000-000081420000}"/>
    <cellStyle name="Vírgula 6 3 3 5 3 2 5" xfId="16672" xr:uid="{00000000-0005-0000-0000-000082420000}"/>
    <cellStyle name="Vírgula 6 3 3 5 4" xfId="2656" xr:uid="{00000000-0005-0000-0000-000083420000}"/>
    <cellStyle name="Vírgula 6 3 3 5 4 2" xfId="3611" xr:uid="{00000000-0005-0000-0000-000084420000}"/>
    <cellStyle name="Vírgula 6 3 3 5 4 2 2" xfId="4889" xr:uid="{00000000-0005-0000-0000-000085420000}"/>
    <cellStyle name="Vírgula 6 3 3 5 4 2 2 2" xfId="21929" xr:uid="{00000000-0005-0000-0000-000086420000}"/>
    <cellStyle name="Vírgula 6 3 3 5 4 2 2 3" xfId="17924" xr:uid="{00000000-0005-0000-0000-000087420000}"/>
    <cellStyle name="Vírgula 6 3 3 5 4 2 3" xfId="5780" xr:uid="{00000000-0005-0000-0000-000088420000}"/>
    <cellStyle name="Vírgula 6 3 3 5 4 2 3 2" xfId="22779" xr:uid="{00000000-0005-0000-0000-000089420000}"/>
    <cellStyle name="Vírgula 6 3 3 5 4 2 3 3" xfId="18815" xr:uid="{00000000-0005-0000-0000-00008A420000}"/>
    <cellStyle name="Vírgula 6 3 3 5 4 2 4" xfId="20679" xr:uid="{00000000-0005-0000-0000-00008B420000}"/>
    <cellStyle name="Vírgula 6 3 3 5 4 2 5" xfId="16655" xr:uid="{00000000-0005-0000-0000-00008C420000}"/>
    <cellStyle name="Vírgula 6 3 3 5 5" xfId="2589" xr:uid="{00000000-0005-0000-0000-00008D420000}"/>
    <cellStyle name="Vírgula 6 3 3 5 5 2" xfId="3595" xr:uid="{00000000-0005-0000-0000-00008E420000}"/>
    <cellStyle name="Vírgula 6 3 3 5 5 2 2" xfId="4873" xr:uid="{00000000-0005-0000-0000-00008F420000}"/>
    <cellStyle name="Vírgula 6 3 3 5 5 2 2 2" xfId="21913" xr:uid="{00000000-0005-0000-0000-000090420000}"/>
    <cellStyle name="Vírgula 6 3 3 5 5 2 2 3" xfId="17908" xr:uid="{00000000-0005-0000-0000-000091420000}"/>
    <cellStyle name="Vírgula 6 3 3 5 5 2 3" xfId="5764" xr:uid="{00000000-0005-0000-0000-000092420000}"/>
    <cellStyle name="Vírgula 6 3 3 5 5 2 3 2" xfId="22763" xr:uid="{00000000-0005-0000-0000-000093420000}"/>
    <cellStyle name="Vírgula 6 3 3 5 5 2 3 3" xfId="18799" xr:uid="{00000000-0005-0000-0000-000094420000}"/>
    <cellStyle name="Vírgula 6 3 3 5 5 2 4" xfId="20663" xr:uid="{00000000-0005-0000-0000-000095420000}"/>
    <cellStyle name="Vírgula 6 3 3 5 5 2 5" xfId="16639" xr:uid="{00000000-0005-0000-0000-000096420000}"/>
    <cellStyle name="Vírgula 6 3 3 5 6" xfId="3467" xr:uid="{00000000-0005-0000-0000-000097420000}"/>
    <cellStyle name="Vírgula 6 3 3 5 6 2" xfId="4797" xr:uid="{00000000-0005-0000-0000-000098420000}"/>
    <cellStyle name="Vírgula 6 3 3 5 6 2 2" xfId="21837" xr:uid="{00000000-0005-0000-0000-000099420000}"/>
    <cellStyle name="Vírgula 6 3 3 5 6 2 3" xfId="17832" xr:uid="{00000000-0005-0000-0000-00009A420000}"/>
    <cellStyle name="Vírgula 6 3 3 5 6 3" xfId="5636" xr:uid="{00000000-0005-0000-0000-00009B420000}"/>
    <cellStyle name="Vírgula 6 3 3 5 6 3 2" xfId="22635" xr:uid="{00000000-0005-0000-0000-00009C420000}"/>
    <cellStyle name="Vírgula 6 3 3 5 6 3 3" xfId="18671" xr:uid="{00000000-0005-0000-0000-00009D420000}"/>
    <cellStyle name="Vírgula 6 3 3 5 6 4" xfId="20535" xr:uid="{00000000-0005-0000-0000-00009E420000}"/>
    <cellStyle name="Vírgula 6 3 3 5 6 5" xfId="16511" xr:uid="{00000000-0005-0000-0000-00009F420000}"/>
    <cellStyle name="Vírgula 6 3 3 5 7" xfId="4448" xr:uid="{00000000-0005-0000-0000-0000A0420000}"/>
    <cellStyle name="Vírgula 6 3 3 5 7 2" xfId="6366" xr:uid="{00000000-0005-0000-0000-0000A1420000}"/>
    <cellStyle name="Vírgula 6 3 3 5 7 2 2" xfId="23348" xr:uid="{00000000-0005-0000-0000-0000A2420000}"/>
    <cellStyle name="Vírgula 6 3 3 5 7 2 3" xfId="19401" xr:uid="{00000000-0005-0000-0000-0000A3420000}"/>
    <cellStyle name="Vírgula 6 3 3 5 7 3" xfId="21489" xr:uid="{00000000-0005-0000-0000-0000A4420000}"/>
    <cellStyle name="Vírgula 6 3 3 5 7 4" xfId="17484" xr:uid="{00000000-0005-0000-0000-0000A5420000}"/>
    <cellStyle name="Vírgula 6 3 3 6" xfId="3052" xr:uid="{00000000-0005-0000-0000-0000A6420000}"/>
    <cellStyle name="Vírgula 6 3 3 6 2" xfId="4497" xr:uid="{00000000-0005-0000-0000-0000A7420000}"/>
    <cellStyle name="Vírgula 6 3 3 6 2 2" xfId="21537" xr:uid="{00000000-0005-0000-0000-0000A8420000}"/>
    <cellStyle name="Vírgula 6 3 3 6 2 3" xfId="17532" xr:uid="{00000000-0005-0000-0000-0000A9420000}"/>
    <cellStyle name="Vírgula 6 3 3 6 3" xfId="5221" xr:uid="{00000000-0005-0000-0000-0000AA420000}"/>
    <cellStyle name="Vírgula 6 3 3 6 3 2" xfId="10964" xr:uid="{00000000-0005-0000-0000-0000AB420000}"/>
    <cellStyle name="Vírgula 6 3 3 6 3 2 2" xfId="22220" xr:uid="{00000000-0005-0000-0000-0000AC420000}"/>
    <cellStyle name="Vírgula 6 3 3 6 3 3" xfId="13107" xr:uid="{00000000-0005-0000-0000-0000AD420000}"/>
    <cellStyle name="Vírgula 6 3 3 6 3 4" xfId="18256" xr:uid="{00000000-0005-0000-0000-0000AE420000}"/>
    <cellStyle name="Vírgula 6 3 3 6 4" xfId="13580" xr:uid="{00000000-0005-0000-0000-0000AF420000}"/>
    <cellStyle name="Vírgula 6 3 3 6 4 2" xfId="20120" xr:uid="{00000000-0005-0000-0000-0000B0420000}"/>
    <cellStyle name="Vírgula 6 3 3 6 5" xfId="16096" xr:uid="{00000000-0005-0000-0000-0000B1420000}"/>
    <cellStyle name="Vírgula 6 3 3 7" xfId="4359" xr:uid="{00000000-0005-0000-0000-0000B2420000}"/>
    <cellStyle name="Vírgula 6 3 3 7 2" xfId="5919" xr:uid="{00000000-0005-0000-0000-0000B3420000}"/>
    <cellStyle name="Vírgula 6 3 3 7 2 2" xfId="11985" xr:uid="{00000000-0005-0000-0000-0000B4420000}"/>
    <cellStyle name="Vírgula 6 3 3 7 2 2 2" xfId="22914" xr:uid="{00000000-0005-0000-0000-0000B5420000}"/>
    <cellStyle name="Vírgula 6 3 3 7 2 3" xfId="12458" xr:uid="{00000000-0005-0000-0000-0000B6420000}"/>
    <cellStyle name="Vírgula 6 3 3 7 2 4" xfId="18954" xr:uid="{00000000-0005-0000-0000-0000B7420000}"/>
    <cellStyle name="Vírgula 6 3 3 7 3" xfId="13719" xr:uid="{00000000-0005-0000-0000-0000B8420000}"/>
    <cellStyle name="Vírgula 6 3 3 7 3 2" xfId="21403" xr:uid="{00000000-0005-0000-0000-0000B9420000}"/>
    <cellStyle name="Vírgula 6 3 3 7 4" xfId="17396" xr:uid="{00000000-0005-0000-0000-0000BA420000}"/>
    <cellStyle name="Vírgula 6 3 3 8" xfId="8556" xr:uid="{00000000-0005-0000-0000-0000BB420000}"/>
    <cellStyle name="Vírgula 6 3 3 8 2" xfId="11824" xr:uid="{00000000-0005-0000-0000-0000BC420000}"/>
    <cellStyle name="Vírgula 6 3 3 8 3" xfId="11043" xr:uid="{00000000-0005-0000-0000-0000BD420000}"/>
    <cellStyle name="Vírgula 6 3 3 9" xfId="8557" xr:uid="{00000000-0005-0000-0000-0000BE420000}"/>
    <cellStyle name="Vírgula 6 3 3 9 2" xfId="11257" xr:uid="{00000000-0005-0000-0000-0000BF420000}"/>
    <cellStyle name="Vírgula 6 3 3 9 3" xfId="10934" xr:uid="{00000000-0005-0000-0000-0000C0420000}"/>
    <cellStyle name="Vírgula 6 3 4" xfId="453" xr:uid="{00000000-0005-0000-0000-0000C1420000}"/>
    <cellStyle name="Vírgula 6 3 4 10" xfId="8558" xr:uid="{00000000-0005-0000-0000-0000C2420000}"/>
    <cellStyle name="Vírgula 6 3 4 11" xfId="8559" xr:uid="{00000000-0005-0000-0000-0000C3420000}"/>
    <cellStyle name="Vírgula 6 3 4 2" xfId="593" xr:uid="{00000000-0005-0000-0000-0000C4420000}"/>
    <cellStyle name="Vírgula 6 3 4 2 10" xfId="8560" xr:uid="{00000000-0005-0000-0000-0000C5420000}"/>
    <cellStyle name="Vírgula 6 3 4 2 2" xfId="830" xr:uid="{00000000-0005-0000-0000-0000C6420000}"/>
    <cellStyle name="Vírgula 6 3 4 2 2 2" xfId="3126" xr:uid="{00000000-0005-0000-0000-0000C7420000}"/>
    <cellStyle name="Vírgula 6 3 4 2 2 2 2" xfId="4541" xr:uid="{00000000-0005-0000-0000-0000C8420000}"/>
    <cellStyle name="Vírgula 6 3 4 2 2 2 2 2" xfId="21581" xr:uid="{00000000-0005-0000-0000-0000C9420000}"/>
    <cellStyle name="Vírgula 6 3 4 2 2 2 2 3" xfId="17576" xr:uid="{00000000-0005-0000-0000-0000CA420000}"/>
    <cellStyle name="Vírgula 6 3 4 2 2 2 3" xfId="5295" xr:uid="{00000000-0005-0000-0000-0000CB420000}"/>
    <cellStyle name="Vírgula 6 3 4 2 2 2 3 2" xfId="22294" xr:uid="{00000000-0005-0000-0000-0000CC420000}"/>
    <cellStyle name="Vírgula 6 3 4 2 2 2 3 3" xfId="18330" xr:uid="{00000000-0005-0000-0000-0000CD420000}"/>
    <cellStyle name="Vírgula 6 3 4 2 2 2 4" xfId="20194" xr:uid="{00000000-0005-0000-0000-0000CE420000}"/>
    <cellStyle name="Vírgula 6 3 4 2 2 2 5" xfId="16170" xr:uid="{00000000-0005-0000-0000-0000CF420000}"/>
    <cellStyle name="Vírgula 6 3 4 2 2 3" xfId="4319" xr:uid="{00000000-0005-0000-0000-0000D0420000}"/>
    <cellStyle name="Vírgula 6 3 4 2 2 3 2" xfId="6012" xr:uid="{00000000-0005-0000-0000-0000D1420000}"/>
    <cellStyle name="Vírgula 6 3 4 2 2 3 2 2" xfId="23005" xr:uid="{00000000-0005-0000-0000-0000D2420000}"/>
    <cellStyle name="Vírgula 6 3 4 2 2 3 2 3" xfId="19047" xr:uid="{00000000-0005-0000-0000-0000D3420000}"/>
    <cellStyle name="Vírgula 6 3 4 2 2 3 3" xfId="21363" xr:uid="{00000000-0005-0000-0000-0000D4420000}"/>
    <cellStyle name="Vírgula 6 3 4 2 2 3 4" xfId="17356" xr:uid="{00000000-0005-0000-0000-0000D5420000}"/>
    <cellStyle name="Vírgula 6 3 4 2 3" xfId="3063" xr:uid="{00000000-0005-0000-0000-0000D6420000}"/>
    <cellStyle name="Vírgula 6 3 4 2 3 2" xfId="4501" xr:uid="{00000000-0005-0000-0000-0000D7420000}"/>
    <cellStyle name="Vírgula 6 3 4 2 3 2 2" xfId="21541" xr:uid="{00000000-0005-0000-0000-0000D8420000}"/>
    <cellStyle name="Vírgula 6 3 4 2 3 2 3" xfId="17536" xr:uid="{00000000-0005-0000-0000-0000D9420000}"/>
    <cellStyle name="Vírgula 6 3 4 2 3 3" xfId="5232" xr:uid="{00000000-0005-0000-0000-0000DA420000}"/>
    <cellStyle name="Vírgula 6 3 4 2 3 3 2" xfId="11200" xr:uid="{00000000-0005-0000-0000-0000DB420000}"/>
    <cellStyle name="Vírgula 6 3 4 2 3 3 2 2" xfId="22231" xr:uid="{00000000-0005-0000-0000-0000DC420000}"/>
    <cellStyle name="Vírgula 6 3 4 2 3 3 3" xfId="11112" xr:uid="{00000000-0005-0000-0000-0000DD420000}"/>
    <cellStyle name="Vírgula 6 3 4 2 3 3 4" xfId="18267" xr:uid="{00000000-0005-0000-0000-0000DE420000}"/>
    <cellStyle name="Vírgula 6 3 4 2 3 4" xfId="13585" xr:uid="{00000000-0005-0000-0000-0000DF420000}"/>
    <cellStyle name="Vírgula 6 3 4 2 3 4 2" xfId="20131" xr:uid="{00000000-0005-0000-0000-0000E0420000}"/>
    <cellStyle name="Vírgula 6 3 4 2 3 5" xfId="16107" xr:uid="{00000000-0005-0000-0000-0000E1420000}"/>
    <cellStyle name="Vírgula 6 3 4 2 4" xfId="3978" xr:uid="{00000000-0005-0000-0000-0000E2420000}"/>
    <cellStyle name="Vírgula 6 3 4 2 4 2" xfId="5939" xr:uid="{00000000-0005-0000-0000-0000E3420000}"/>
    <cellStyle name="Vírgula 6 3 4 2 4 2 2" xfId="11938" xr:uid="{00000000-0005-0000-0000-0000E4420000}"/>
    <cellStyle name="Vírgula 6 3 4 2 4 2 2 2" xfId="22933" xr:uid="{00000000-0005-0000-0000-0000E5420000}"/>
    <cellStyle name="Vírgula 6 3 4 2 4 2 3" xfId="11355" xr:uid="{00000000-0005-0000-0000-0000E6420000}"/>
    <cellStyle name="Vírgula 6 3 4 2 4 2 4" xfId="18974" xr:uid="{00000000-0005-0000-0000-0000E7420000}"/>
    <cellStyle name="Vírgula 6 3 4 2 4 3" xfId="13696" xr:uid="{00000000-0005-0000-0000-0000E8420000}"/>
    <cellStyle name="Vírgula 6 3 4 2 4 3 2" xfId="21034" xr:uid="{00000000-0005-0000-0000-0000E9420000}"/>
    <cellStyle name="Vírgula 6 3 4 2 4 4" xfId="17020" xr:uid="{00000000-0005-0000-0000-0000EA420000}"/>
    <cellStyle name="Vírgula 6 3 4 2 5" xfId="8561" xr:uid="{00000000-0005-0000-0000-0000EB420000}"/>
    <cellStyle name="Vírgula 6 3 4 2 5 2" xfId="12414" xr:uid="{00000000-0005-0000-0000-0000EC420000}"/>
    <cellStyle name="Vírgula 6 3 4 2 5 3" xfId="12459" xr:uid="{00000000-0005-0000-0000-0000ED420000}"/>
    <cellStyle name="Vírgula 6 3 4 2 6" xfId="8562" xr:uid="{00000000-0005-0000-0000-0000EE420000}"/>
    <cellStyle name="Vírgula 6 3 4 2 6 2" xfId="11925" xr:uid="{00000000-0005-0000-0000-0000EF420000}"/>
    <cellStyle name="Vírgula 6 3 4 2 6 3" xfId="11740" xr:uid="{00000000-0005-0000-0000-0000F0420000}"/>
    <cellStyle name="Vírgula 6 3 4 2 7" xfId="8563" xr:uid="{00000000-0005-0000-0000-0000F1420000}"/>
    <cellStyle name="Vírgula 6 3 4 2 7 2" xfId="12959" xr:uid="{00000000-0005-0000-0000-0000F2420000}"/>
    <cellStyle name="Vírgula 6 3 4 2 7 3" xfId="11127" xr:uid="{00000000-0005-0000-0000-0000F3420000}"/>
    <cellStyle name="Vírgula 6 3 4 2 8" xfId="8564" xr:uid="{00000000-0005-0000-0000-0000F4420000}"/>
    <cellStyle name="Vírgula 6 3 4 2 8 2" xfId="11616" xr:uid="{00000000-0005-0000-0000-0000F5420000}"/>
    <cellStyle name="Vírgula 6 3 4 2 8 3" xfId="11174" xr:uid="{00000000-0005-0000-0000-0000F6420000}"/>
    <cellStyle name="Vírgula 6 3 4 2 9" xfId="8565" xr:uid="{00000000-0005-0000-0000-0000F7420000}"/>
    <cellStyle name="Vírgula 6 3 4 3" xfId="799" xr:uid="{00000000-0005-0000-0000-0000F8420000}"/>
    <cellStyle name="Vírgula 6 3 4 3 2" xfId="3123" xr:uid="{00000000-0005-0000-0000-0000F9420000}"/>
    <cellStyle name="Vírgula 6 3 4 3 2 2" xfId="4538" xr:uid="{00000000-0005-0000-0000-0000FA420000}"/>
    <cellStyle name="Vírgula 6 3 4 3 2 2 2" xfId="21578" xr:uid="{00000000-0005-0000-0000-0000FB420000}"/>
    <cellStyle name="Vírgula 6 3 4 3 2 2 3" xfId="17573" xr:uid="{00000000-0005-0000-0000-0000FC420000}"/>
    <cellStyle name="Vírgula 6 3 4 3 2 3" xfId="5292" xr:uid="{00000000-0005-0000-0000-0000FD420000}"/>
    <cellStyle name="Vírgula 6 3 4 3 2 3 2" xfId="22291" xr:uid="{00000000-0005-0000-0000-0000FE420000}"/>
    <cellStyle name="Vírgula 6 3 4 3 2 3 3" xfId="18327" xr:uid="{00000000-0005-0000-0000-0000FF420000}"/>
    <cellStyle name="Vírgula 6 3 4 3 2 4" xfId="20191" xr:uid="{00000000-0005-0000-0000-000000430000}"/>
    <cellStyle name="Vírgula 6 3 4 3 2 5" xfId="16167" xr:uid="{00000000-0005-0000-0000-000001430000}"/>
    <cellStyle name="Vírgula 6 3 4 3 3" xfId="4030" xr:uid="{00000000-0005-0000-0000-000002430000}"/>
    <cellStyle name="Vírgula 6 3 4 3 3 2" xfId="6009" xr:uid="{00000000-0005-0000-0000-000003430000}"/>
    <cellStyle name="Vírgula 6 3 4 3 3 2 2" xfId="23002" xr:uid="{00000000-0005-0000-0000-000004430000}"/>
    <cellStyle name="Vírgula 6 3 4 3 3 2 3" xfId="19044" xr:uid="{00000000-0005-0000-0000-000005430000}"/>
    <cellStyle name="Vírgula 6 3 4 3 3 3" xfId="21079" xr:uid="{00000000-0005-0000-0000-000006430000}"/>
    <cellStyle name="Vírgula 6 3 4 3 3 4" xfId="17071" xr:uid="{00000000-0005-0000-0000-000007430000}"/>
    <cellStyle name="Vírgula 6 3 4 4" xfId="3053" xr:uid="{00000000-0005-0000-0000-000008430000}"/>
    <cellStyle name="Vírgula 6 3 4 4 2" xfId="4498" xr:uid="{00000000-0005-0000-0000-000009430000}"/>
    <cellStyle name="Vírgula 6 3 4 4 2 2" xfId="21538" xr:uid="{00000000-0005-0000-0000-00000A430000}"/>
    <cellStyle name="Vírgula 6 3 4 4 2 3" xfId="17533" xr:uid="{00000000-0005-0000-0000-00000B430000}"/>
    <cellStyle name="Vírgula 6 3 4 4 3" xfId="5222" xr:uid="{00000000-0005-0000-0000-00000C430000}"/>
    <cellStyle name="Vírgula 6 3 4 4 3 2" xfId="11198" xr:uid="{00000000-0005-0000-0000-00000D430000}"/>
    <cellStyle name="Vírgula 6 3 4 4 3 2 2" xfId="22221" xr:uid="{00000000-0005-0000-0000-00000E430000}"/>
    <cellStyle name="Vírgula 6 3 4 4 3 3" xfId="11356" xr:uid="{00000000-0005-0000-0000-00000F430000}"/>
    <cellStyle name="Vírgula 6 3 4 4 3 4" xfId="18257" xr:uid="{00000000-0005-0000-0000-000010430000}"/>
    <cellStyle name="Vírgula 6 3 4 4 4" xfId="13581" xr:uid="{00000000-0005-0000-0000-000011430000}"/>
    <cellStyle name="Vírgula 6 3 4 4 4 2" xfId="20121" xr:uid="{00000000-0005-0000-0000-000012430000}"/>
    <cellStyle name="Vírgula 6 3 4 4 5" xfId="16097" xr:uid="{00000000-0005-0000-0000-000013430000}"/>
    <cellStyle name="Vírgula 6 3 4 5" xfId="3960" xr:uid="{00000000-0005-0000-0000-000014430000}"/>
    <cellStyle name="Vírgula 6 3 4 5 2" xfId="5920" xr:uid="{00000000-0005-0000-0000-000015430000}"/>
    <cellStyle name="Vírgula 6 3 4 5 2 2" xfId="11407" xr:uid="{00000000-0005-0000-0000-000016430000}"/>
    <cellStyle name="Vírgula 6 3 4 5 2 2 2" xfId="22915" xr:uid="{00000000-0005-0000-0000-000017430000}"/>
    <cellStyle name="Vírgula 6 3 4 5 2 3" xfId="11357" xr:uid="{00000000-0005-0000-0000-000018430000}"/>
    <cellStyle name="Vírgula 6 3 4 5 2 4" xfId="18955" xr:uid="{00000000-0005-0000-0000-000019430000}"/>
    <cellStyle name="Vírgula 6 3 4 5 3" xfId="13694" xr:uid="{00000000-0005-0000-0000-00001A430000}"/>
    <cellStyle name="Vírgula 6 3 4 5 3 2" xfId="21016" xr:uid="{00000000-0005-0000-0000-00001B430000}"/>
    <cellStyle name="Vírgula 6 3 4 5 4" xfId="17002" xr:uid="{00000000-0005-0000-0000-00001C430000}"/>
    <cellStyle name="Vírgula 6 3 4 6" xfId="8566" xr:uid="{00000000-0005-0000-0000-00001D430000}"/>
    <cellStyle name="Vírgula 6 3 4 6 2" xfId="11683" xr:uid="{00000000-0005-0000-0000-00001E430000}"/>
    <cellStyle name="Vírgula 6 3 4 6 3" xfId="11692" xr:uid="{00000000-0005-0000-0000-00001F430000}"/>
    <cellStyle name="Vírgula 6 3 4 7" xfId="8567" xr:uid="{00000000-0005-0000-0000-000020430000}"/>
    <cellStyle name="Vírgula 6 3 4 7 2" xfId="13310" xr:uid="{00000000-0005-0000-0000-000021430000}"/>
    <cellStyle name="Vírgula 6 3 4 7 3" xfId="11858" xr:uid="{00000000-0005-0000-0000-000022430000}"/>
    <cellStyle name="Vírgula 6 3 4 8" xfId="8568" xr:uid="{00000000-0005-0000-0000-000023430000}"/>
    <cellStyle name="Vírgula 6 3 4 8 2" xfId="11997" xr:uid="{00000000-0005-0000-0000-000024430000}"/>
    <cellStyle name="Vírgula 6 3 4 8 3" xfId="11116" xr:uid="{00000000-0005-0000-0000-000025430000}"/>
    <cellStyle name="Vírgula 6 3 4 9" xfId="8569" xr:uid="{00000000-0005-0000-0000-000026430000}"/>
    <cellStyle name="Vírgula 6 3 4 9 2" xfId="13249" xr:uid="{00000000-0005-0000-0000-000027430000}"/>
    <cellStyle name="Vírgula 6 3 4 9 3" xfId="11724" xr:uid="{00000000-0005-0000-0000-000028430000}"/>
    <cellStyle name="Vírgula 6 3 5" xfId="594" xr:uid="{00000000-0005-0000-0000-000029430000}"/>
    <cellStyle name="Vírgula 6 3 5 2" xfId="595" xr:uid="{00000000-0005-0000-0000-00002A430000}"/>
    <cellStyle name="Vírgula 6 3 5 2 10" xfId="8570" xr:uid="{00000000-0005-0000-0000-00002B430000}"/>
    <cellStyle name="Vírgula 6 3 5 2 2" xfId="831" xr:uid="{00000000-0005-0000-0000-00002C430000}"/>
    <cellStyle name="Vírgula 6 3 5 2 2 2" xfId="3127" xr:uid="{00000000-0005-0000-0000-00002D430000}"/>
    <cellStyle name="Vírgula 6 3 5 2 2 2 2" xfId="4542" xr:uid="{00000000-0005-0000-0000-00002E430000}"/>
    <cellStyle name="Vírgula 6 3 5 2 2 2 2 2" xfId="21582" xr:uid="{00000000-0005-0000-0000-00002F430000}"/>
    <cellStyle name="Vírgula 6 3 5 2 2 2 2 3" xfId="17577" xr:uid="{00000000-0005-0000-0000-000030430000}"/>
    <cellStyle name="Vírgula 6 3 5 2 2 2 3" xfId="5296" xr:uid="{00000000-0005-0000-0000-000031430000}"/>
    <cellStyle name="Vírgula 6 3 5 2 2 2 3 2" xfId="22295" xr:uid="{00000000-0005-0000-0000-000032430000}"/>
    <cellStyle name="Vírgula 6 3 5 2 2 2 3 3" xfId="18331" xr:uid="{00000000-0005-0000-0000-000033430000}"/>
    <cellStyle name="Vírgula 6 3 5 2 2 2 4" xfId="20195" xr:uid="{00000000-0005-0000-0000-000034430000}"/>
    <cellStyle name="Vírgula 6 3 5 2 2 2 5" xfId="16171" xr:uid="{00000000-0005-0000-0000-000035430000}"/>
    <cellStyle name="Vírgula 6 3 5 2 2 3" xfId="3770" xr:uid="{00000000-0005-0000-0000-000036430000}"/>
    <cellStyle name="Vírgula 6 3 5 2 2 3 2" xfId="6013" xr:uid="{00000000-0005-0000-0000-000037430000}"/>
    <cellStyle name="Vírgula 6 3 5 2 2 3 2 2" xfId="23006" xr:uid="{00000000-0005-0000-0000-000038430000}"/>
    <cellStyle name="Vírgula 6 3 5 2 2 3 2 3" xfId="19048" xr:uid="{00000000-0005-0000-0000-000039430000}"/>
    <cellStyle name="Vírgula 6 3 5 2 2 3 3" xfId="20834" xr:uid="{00000000-0005-0000-0000-00003A430000}"/>
    <cellStyle name="Vírgula 6 3 5 2 2 3 4" xfId="16813" xr:uid="{00000000-0005-0000-0000-00003B430000}"/>
    <cellStyle name="Vírgula 6 3 5 2 3" xfId="3064" xr:uid="{00000000-0005-0000-0000-00003C430000}"/>
    <cellStyle name="Vírgula 6 3 5 2 3 2" xfId="4502" xr:uid="{00000000-0005-0000-0000-00003D430000}"/>
    <cellStyle name="Vírgula 6 3 5 2 3 2 2" xfId="21542" xr:uid="{00000000-0005-0000-0000-00003E430000}"/>
    <cellStyle name="Vírgula 6 3 5 2 3 2 3" xfId="17537" xr:uid="{00000000-0005-0000-0000-00003F430000}"/>
    <cellStyle name="Vírgula 6 3 5 2 3 3" xfId="5233" xr:uid="{00000000-0005-0000-0000-000040430000}"/>
    <cellStyle name="Vírgula 6 3 5 2 3 3 2" xfId="12384" xr:uid="{00000000-0005-0000-0000-000041430000}"/>
    <cellStyle name="Vírgula 6 3 5 2 3 3 2 2" xfId="22232" xr:uid="{00000000-0005-0000-0000-000042430000}"/>
    <cellStyle name="Vírgula 6 3 5 2 3 3 3" xfId="11636" xr:uid="{00000000-0005-0000-0000-000043430000}"/>
    <cellStyle name="Vírgula 6 3 5 2 3 3 4" xfId="18268" xr:uid="{00000000-0005-0000-0000-000044430000}"/>
    <cellStyle name="Vírgula 6 3 5 2 3 4" xfId="13586" xr:uid="{00000000-0005-0000-0000-000045430000}"/>
    <cellStyle name="Vírgula 6 3 5 2 3 4 2" xfId="20132" xr:uid="{00000000-0005-0000-0000-000046430000}"/>
    <cellStyle name="Vírgula 6 3 5 2 3 5" xfId="16108" xr:uid="{00000000-0005-0000-0000-000047430000}"/>
    <cellStyle name="Vírgula 6 3 5 2 4" xfId="4149" xr:uid="{00000000-0005-0000-0000-000048430000}"/>
    <cellStyle name="Vírgula 6 3 5 2 4 2" xfId="5941" xr:uid="{00000000-0005-0000-0000-000049430000}"/>
    <cellStyle name="Vírgula 6 3 5 2 4 2 2" xfId="11409" xr:uid="{00000000-0005-0000-0000-00004A430000}"/>
    <cellStyle name="Vírgula 6 3 5 2 4 2 2 2" xfId="22935" xr:uid="{00000000-0005-0000-0000-00004B430000}"/>
    <cellStyle name="Vírgula 6 3 5 2 4 2 3" xfId="12560" xr:uid="{00000000-0005-0000-0000-00004C430000}"/>
    <cellStyle name="Vírgula 6 3 5 2 4 2 4" xfId="18976" xr:uid="{00000000-0005-0000-0000-00004D430000}"/>
    <cellStyle name="Vírgula 6 3 5 2 4 3" xfId="13710" xr:uid="{00000000-0005-0000-0000-00004E430000}"/>
    <cellStyle name="Vírgula 6 3 5 2 4 3 2" xfId="21197" xr:uid="{00000000-0005-0000-0000-00004F430000}"/>
    <cellStyle name="Vírgula 6 3 5 2 4 4" xfId="17189" xr:uid="{00000000-0005-0000-0000-000050430000}"/>
    <cellStyle name="Vírgula 6 3 5 2 5" xfId="8571" xr:uid="{00000000-0005-0000-0000-000051430000}"/>
    <cellStyle name="Vírgula 6 3 5 2 5 2" xfId="11871" xr:uid="{00000000-0005-0000-0000-000052430000}"/>
    <cellStyle name="Vírgula 6 3 5 2 5 3" xfId="11942" xr:uid="{00000000-0005-0000-0000-000053430000}"/>
    <cellStyle name="Vírgula 6 3 5 2 6" xfId="8572" xr:uid="{00000000-0005-0000-0000-000054430000}"/>
    <cellStyle name="Vírgula 6 3 5 2 6 2" xfId="11382" xr:uid="{00000000-0005-0000-0000-000055430000}"/>
    <cellStyle name="Vírgula 6 3 5 2 6 3" xfId="11930" xr:uid="{00000000-0005-0000-0000-000056430000}"/>
    <cellStyle name="Vírgula 6 3 5 2 7" xfId="8573" xr:uid="{00000000-0005-0000-0000-000057430000}"/>
    <cellStyle name="Vírgula 6 3 5 2 7 2" xfId="11699" xr:uid="{00000000-0005-0000-0000-000058430000}"/>
    <cellStyle name="Vírgula 6 3 5 2 7 3" xfId="11556" xr:uid="{00000000-0005-0000-0000-000059430000}"/>
    <cellStyle name="Vírgula 6 3 5 2 8" xfId="8574" xr:uid="{00000000-0005-0000-0000-00005A430000}"/>
    <cellStyle name="Vírgula 6 3 5 2 8 2" xfId="10963" xr:uid="{00000000-0005-0000-0000-00005B430000}"/>
    <cellStyle name="Vírgula 6 3 5 2 8 3" xfId="10982" xr:uid="{00000000-0005-0000-0000-00005C430000}"/>
    <cellStyle name="Vírgula 6 3 5 2 9" xfId="8575" xr:uid="{00000000-0005-0000-0000-00005D430000}"/>
    <cellStyle name="Vírgula 6 3 5 3" xfId="879" xr:uid="{00000000-0005-0000-0000-00005E430000}"/>
    <cellStyle name="Vírgula 6 3 5 3 2" xfId="3164" xr:uid="{00000000-0005-0000-0000-00005F430000}"/>
    <cellStyle name="Vírgula 6 3 5 3 2 2" xfId="4450" xr:uid="{00000000-0005-0000-0000-000060430000}"/>
    <cellStyle name="Vírgula 6 3 5 3 2 2 2" xfId="6564" xr:uid="{00000000-0005-0000-0000-000061430000}"/>
    <cellStyle name="Vírgula 6 3 5 3 2 2 2 2" xfId="23546" xr:uid="{00000000-0005-0000-0000-000062430000}"/>
    <cellStyle name="Vírgula 6 3 5 3 2 2 2 3" xfId="19599" xr:uid="{00000000-0005-0000-0000-000063430000}"/>
    <cellStyle name="Vírgula 6 3 5 3 2 2 3" xfId="21491" xr:uid="{00000000-0005-0000-0000-000064430000}"/>
    <cellStyle name="Vírgula 6 3 5 3 2 2 4" xfId="17486" xr:uid="{00000000-0005-0000-0000-000065430000}"/>
    <cellStyle name="Vírgula 6 3 5 3 2 3" xfId="5333" xr:uid="{00000000-0005-0000-0000-000066430000}"/>
    <cellStyle name="Vírgula 6 3 5 3 2 3 2" xfId="11620" xr:uid="{00000000-0005-0000-0000-000067430000}"/>
    <cellStyle name="Vírgula 6 3 5 3 2 3 2 2" xfId="22332" xr:uid="{00000000-0005-0000-0000-000068430000}"/>
    <cellStyle name="Vírgula 6 3 5 3 2 3 3" xfId="10991" xr:uid="{00000000-0005-0000-0000-000069430000}"/>
    <cellStyle name="Vírgula 6 3 5 3 2 3 4" xfId="18368" xr:uid="{00000000-0005-0000-0000-00006A430000}"/>
    <cellStyle name="Vírgula 6 3 5 3 2 4" xfId="13611" xr:uid="{00000000-0005-0000-0000-00006B430000}"/>
    <cellStyle name="Vírgula 6 3 5 3 2 4 2" xfId="20232" xr:uid="{00000000-0005-0000-0000-00006C430000}"/>
    <cellStyle name="Vírgula 6 3 5 3 2 5" xfId="16208" xr:uid="{00000000-0005-0000-0000-00006D430000}"/>
    <cellStyle name="Vírgula 6 3 5 3 3" xfId="3913" xr:uid="{00000000-0005-0000-0000-00006E430000}"/>
    <cellStyle name="Vírgula 6 3 5 3 3 2" xfId="6054" xr:uid="{00000000-0005-0000-0000-00006F430000}"/>
    <cellStyle name="Vírgula 6 3 5 3 3 2 2" xfId="11834" xr:uid="{00000000-0005-0000-0000-000070430000}"/>
    <cellStyle name="Vírgula 6 3 5 3 3 2 2 2" xfId="23043" xr:uid="{00000000-0005-0000-0000-000071430000}"/>
    <cellStyle name="Vírgula 6 3 5 3 3 2 3" xfId="11261" xr:uid="{00000000-0005-0000-0000-000072430000}"/>
    <cellStyle name="Vírgula 6 3 5 3 3 2 4" xfId="19089" xr:uid="{00000000-0005-0000-0000-000073430000}"/>
    <cellStyle name="Vírgula 6 3 5 3 3 3" xfId="13658" xr:uid="{00000000-0005-0000-0000-000074430000}"/>
    <cellStyle name="Vírgula 6 3 5 3 3 3 2" xfId="20970" xr:uid="{00000000-0005-0000-0000-000075430000}"/>
    <cellStyle name="Vírgula 6 3 5 3 3 4" xfId="16955" xr:uid="{00000000-0005-0000-0000-000076430000}"/>
    <cellStyle name="Vírgula 6 3 5 3 4" xfId="6749" xr:uid="{00000000-0005-0000-0000-000077430000}"/>
    <cellStyle name="Vírgula 6 3 5 3 4 2" xfId="23722" xr:uid="{00000000-0005-0000-0000-000078430000}"/>
    <cellStyle name="Vírgula 6 3 5 3 4 3" xfId="19784" xr:uid="{00000000-0005-0000-0000-000079430000}"/>
    <cellStyle name="Vírgula 6 3 5 3 5" xfId="5067" xr:uid="{00000000-0005-0000-0000-00007A430000}"/>
    <cellStyle name="Vírgula 6 3 5 3 5 2" xfId="22075" xr:uid="{00000000-0005-0000-0000-00007B430000}"/>
    <cellStyle name="Vírgula 6 3 5 3 5 3" xfId="18102" xr:uid="{00000000-0005-0000-0000-00007C430000}"/>
    <cellStyle name="Vírgula 6 3 5 3 6" xfId="19975" xr:uid="{00000000-0005-0000-0000-00007D430000}"/>
    <cellStyle name="Vírgula 6 3 5 3 7" xfId="15935" xr:uid="{00000000-0005-0000-0000-00007E430000}"/>
    <cellStyle name="Vírgula 6 3 5 4" xfId="2341" xr:uid="{00000000-0005-0000-0000-00007F430000}"/>
    <cellStyle name="Vírgula 6 3 5 4 2" xfId="2880" xr:uid="{00000000-0005-0000-0000-000080430000}"/>
    <cellStyle name="Vírgula 6 3 5 4 2 2" xfId="3657" xr:uid="{00000000-0005-0000-0000-000081430000}"/>
    <cellStyle name="Vírgula 6 3 5 4 2 2 2" xfId="4935" xr:uid="{00000000-0005-0000-0000-000082430000}"/>
    <cellStyle name="Vírgula 6 3 5 4 2 2 2 2" xfId="21975" xr:uid="{00000000-0005-0000-0000-000083430000}"/>
    <cellStyle name="Vírgula 6 3 5 4 2 2 2 3" xfId="17970" xr:uid="{00000000-0005-0000-0000-000084430000}"/>
    <cellStyle name="Vírgula 6 3 5 4 2 2 3" xfId="5826" xr:uid="{00000000-0005-0000-0000-000085430000}"/>
    <cellStyle name="Vírgula 6 3 5 4 2 2 3 2" xfId="22825" xr:uid="{00000000-0005-0000-0000-000086430000}"/>
    <cellStyle name="Vírgula 6 3 5 4 2 2 3 3" xfId="18861" xr:uid="{00000000-0005-0000-0000-000087430000}"/>
    <cellStyle name="Vírgula 6 3 5 4 2 2 4" xfId="20725" xr:uid="{00000000-0005-0000-0000-000088430000}"/>
    <cellStyle name="Vírgula 6 3 5 4 2 2 5" xfId="16701" xr:uid="{00000000-0005-0000-0000-000089430000}"/>
    <cellStyle name="Vírgula 6 3 5 4 3" xfId="2803" xr:uid="{00000000-0005-0000-0000-00008A430000}"/>
    <cellStyle name="Vírgula 6 3 5 4 3 2" xfId="3631" xr:uid="{00000000-0005-0000-0000-00008B430000}"/>
    <cellStyle name="Vírgula 6 3 5 4 3 2 2" xfId="4909" xr:uid="{00000000-0005-0000-0000-00008C430000}"/>
    <cellStyle name="Vírgula 6 3 5 4 3 2 2 2" xfId="21949" xr:uid="{00000000-0005-0000-0000-00008D430000}"/>
    <cellStyle name="Vírgula 6 3 5 4 3 2 2 3" xfId="17944" xr:uid="{00000000-0005-0000-0000-00008E430000}"/>
    <cellStyle name="Vírgula 6 3 5 4 3 2 3" xfId="5800" xr:uid="{00000000-0005-0000-0000-00008F430000}"/>
    <cellStyle name="Vírgula 6 3 5 4 3 2 3 2" xfId="22799" xr:uid="{00000000-0005-0000-0000-000090430000}"/>
    <cellStyle name="Vírgula 6 3 5 4 3 2 3 3" xfId="18835" xr:uid="{00000000-0005-0000-0000-000091430000}"/>
    <cellStyle name="Vírgula 6 3 5 4 3 2 4" xfId="20699" xr:uid="{00000000-0005-0000-0000-000092430000}"/>
    <cellStyle name="Vírgula 6 3 5 4 3 2 5" xfId="16675" xr:uid="{00000000-0005-0000-0000-000093430000}"/>
    <cellStyle name="Vírgula 6 3 5 4 4" xfId="2658" xr:uid="{00000000-0005-0000-0000-000094430000}"/>
    <cellStyle name="Vírgula 6 3 5 4 4 2" xfId="3613" xr:uid="{00000000-0005-0000-0000-000095430000}"/>
    <cellStyle name="Vírgula 6 3 5 4 4 2 2" xfId="4891" xr:uid="{00000000-0005-0000-0000-000096430000}"/>
    <cellStyle name="Vírgula 6 3 5 4 4 2 2 2" xfId="21931" xr:uid="{00000000-0005-0000-0000-000097430000}"/>
    <cellStyle name="Vírgula 6 3 5 4 4 2 2 3" xfId="17926" xr:uid="{00000000-0005-0000-0000-000098430000}"/>
    <cellStyle name="Vírgula 6 3 5 4 4 2 3" xfId="5782" xr:uid="{00000000-0005-0000-0000-000099430000}"/>
    <cellStyle name="Vírgula 6 3 5 4 4 2 3 2" xfId="22781" xr:uid="{00000000-0005-0000-0000-00009A430000}"/>
    <cellStyle name="Vírgula 6 3 5 4 4 2 3 3" xfId="18817" xr:uid="{00000000-0005-0000-0000-00009B430000}"/>
    <cellStyle name="Vírgula 6 3 5 4 4 2 4" xfId="20681" xr:uid="{00000000-0005-0000-0000-00009C430000}"/>
    <cellStyle name="Vírgula 6 3 5 4 4 2 5" xfId="16657" xr:uid="{00000000-0005-0000-0000-00009D430000}"/>
    <cellStyle name="Vírgula 6 3 5 4 5" xfId="2591" xr:uid="{00000000-0005-0000-0000-00009E430000}"/>
    <cellStyle name="Vírgula 6 3 5 4 5 2" xfId="3597" xr:uid="{00000000-0005-0000-0000-00009F430000}"/>
    <cellStyle name="Vírgula 6 3 5 4 5 2 2" xfId="4875" xr:uid="{00000000-0005-0000-0000-0000A0430000}"/>
    <cellStyle name="Vírgula 6 3 5 4 5 2 2 2" xfId="21915" xr:uid="{00000000-0005-0000-0000-0000A1430000}"/>
    <cellStyle name="Vírgula 6 3 5 4 5 2 2 3" xfId="17910" xr:uid="{00000000-0005-0000-0000-0000A2430000}"/>
    <cellStyle name="Vírgula 6 3 5 4 5 2 3" xfId="5766" xr:uid="{00000000-0005-0000-0000-0000A3430000}"/>
    <cellStyle name="Vírgula 6 3 5 4 5 2 3 2" xfId="22765" xr:uid="{00000000-0005-0000-0000-0000A4430000}"/>
    <cellStyle name="Vírgula 6 3 5 4 5 2 3 3" xfId="18801" xr:uid="{00000000-0005-0000-0000-0000A5430000}"/>
    <cellStyle name="Vírgula 6 3 5 4 5 2 4" xfId="20665" xr:uid="{00000000-0005-0000-0000-0000A6430000}"/>
    <cellStyle name="Vírgula 6 3 5 4 5 2 5" xfId="16641" xr:uid="{00000000-0005-0000-0000-0000A7430000}"/>
    <cellStyle name="Vírgula 6 3 5 4 6" xfId="3470" xr:uid="{00000000-0005-0000-0000-0000A8430000}"/>
    <cellStyle name="Vírgula 6 3 5 4 6 2" xfId="4800" xr:uid="{00000000-0005-0000-0000-0000A9430000}"/>
    <cellStyle name="Vírgula 6 3 5 4 6 2 2" xfId="21840" xr:uid="{00000000-0005-0000-0000-0000AA430000}"/>
    <cellStyle name="Vírgula 6 3 5 4 6 2 3" xfId="17835" xr:uid="{00000000-0005-0000-0000-0000AB430000}"/>
    <cellStyle name="Vírgula 6 3 5 4 6 3" xfId="5639" xr:uid="{00000000-0005-0000-0000-0000AC430000}"/>
    <cellStyle name="Vírgula 6 3 5 4 6 3 2" xfId="22638" xr:uid="{00000000-0005-0000-0000-0000AD430000}"/>
    <cellStyle name="Vírgula 6 3 5 4 6 3 3" xfId="18674" xr:uid="{00000000-0005-0000-0000-0000AE430000}"/>
    <cellStyle name="Vírgula 6 3 5 4 6 4" xfId="20538" xr:uid="{00000000-0005-0000-0000-0000AF430000}"/>
    <cellStyle name="Vírgula 6 3 5 4 6 5" xfId="16514" xr:uid="{00000000-0005-0000-0000-0000B0430000}"/>
    <cellStyle name="Vírgula 6 3 5 4 7" xfId="4331" xr:uid="{00000000-0005-0000-0000-0000B1430000}"/>
    <cellStyle name="Vírgula 6 3 5 4 7 2" xfId="6369" xr:uid="{00000000-0005-0000-0000-0000B2430000}"/>
    <cellStyle name="Vírgula 6 3 5 4 7 2 2" xfId="23351" xr:uid="{00000000-0005-0000-0000-0000B3430000}"/>
    <cellStyle name="Vírgula 6 3 5 4 7 2 3" xfId="19404" xr:uid="{00000000-0005-0000-0000-0000B4430000}"/>
    <cellStyle name="Vírgula 6 3 5 4 7 3" xfId="21375" xr:uid="{00000000-0005-0000-0000-0000B5430000}"/>
    <cellStyle name="Vírgula 6 3 5 4 7 4" xfId="17368" xr:uid="{00000000-0005-0000-0000-0000B6430000}"/>
    <cellStyle name="Vírgula 6 3 5 5" xfId="5940" xr:uid="{00000000-0005-0000-0000-0000B7430000}"/>
    <cellStyle name="Vírgula 6 3 5 5 2" xfId="22934" xr:uid="{00000000-0005-0000-0000-0000B8430000}"/>
    <cellStyle name="Vírgula 6 3 5 5 3" xfId="18975" xr:uid="{00000000-0005-0000-0000-0000B9430000}"/>
    <cellStyle name="Vírgula 6 3 6" xfId="596" xr:uid="{00000000-0005-0000-0000-0000BA430000}"/>
    <cellStyle name="Vírgula 6 3 6 10" xfId="8576" xr:uid="{00000000-0005-0000-0000-0000BB430000}"/>
    <cellStyle name="Vírgula 6 3 6 11" xfId="8577" xr:uid="{00000000-0005-0000-0000-0000BC430000}"/>
    <cellStyle name="Vírgula 6 3 6 2" xfId="597" xr:uid="{00000000-0005-0000-0000-0000BD430000}"/>
    <cellStyle name="Vírgula 6 3 6 2 10" xfId="8578" xr:uid="{00000000-0005-0000-0000-0000BE430000}"/>
    <cellStyle name="Vírgula 6 3 6 2 2" xfId="833" xr:uid="{00000000-0005-0000-0000-0000BF430000}"/>
    <cellStyle name="Vírgula 6 3 6 2 2 2" xfId="3129" xr:uid="{00000000-0005-0000-0000-0000C0430000}"/>
    <cellStyle name="Vírgula 6 3 6 2 2 2 2" xfId="4544" xr:uid="{00000000-0005-0000-0000-0000C1430000}"/>
    <cellStyle name="Vírgula 6 3 6 2 2 2 2 2" xfId="21584" xr:uid="{00000000-0005-0000-0000-0000C2430000}"/>
    <cellStyle name="Vírgula 6 3 6 2 2 2 2 3" xfId="17579" xr:uid="{00000000-0005-0000-0000-0000C3430000}"/>
    <cellStyle name="Vírgula 6 3 6 2 2 2 3" xfId="5298" xr:uid="{00000000-0005-0000-0000-0000C4430000}"/>
    <cellStyle name="Vírgula 6 3 6 2 2 2 3 2" xfId="22297" xr:uid="{00000000-0005-0000-0000-0000C5430000}"/>
    <cellStyle name="Vírgula 6 3 6 2 2 2 3 3" xfId="18333" xr:uid="{00000000-0005-0000-0000-0000C6430000}"/>
    <cellStyle name="Vírgula 6 3 6 2 2 2 4" xfId="20197" xr:uid="{00000000-0005-0000-0000-0000C7430000}"/>
    <cellStyle name="Vírgula 6 3 6 2 2 2 5" xfId="16173" xr:uid="{00000000-0005-0000-0000-0000C8430000}"/>
    <cellStyle name="Vírgula 6 3 6 2 2 3" xfId="3800" xr:uid="{00000000-0005-0000-0000-0000C9430000}"/>
    <cellStyle name="Vírgula 6 3 6 2 2 3 2" xfId="6015" xr:uid="{00000000-0005-0000-0000-0000CA430000}"/>
    <cellStyle name="Vírgula 6 3 6 2 2 3 2 2" xfId="23008" xr:uid="{00000000-0005-0000-0000-0000CB430000}"/>
    <cellStyle name="Vírgula 6 3 6 2 2 3 2 3" xfId="19050" xr:uid="{00000000-0005-0000-0000-0000CC430000}"/>
    <cellStyle name="Vírgula 6 3 6 2 2 3 3" xfId="20862" xr:uid="{00000000-0005-0000-0000-0000CD430000}"/>
    <cellStyle name="Vírgula 6 3 6 2 2 3 4" xfId="16842" xr:uid="{00000000-0005-0000-0000-0000CE430000}"/>
    <cellStyle name="Vírgula 6 3 6 2 3" xfId="3066" xr:uid="{00000000-0005-0000-0000-0000CF430000}"/>
    <cellStyle name="Vírgula 6 3 6 2 3 2" xfId="4504" xr:uid="{00000000-0005-0000-0000-0000D0430000}"/>
    <cellStyle name="Vírgula 6 3 6 2 3 2 2" xfId="21544" xr:uid="{00000000-0005-0000-0000-0000D1430000}"/>
    <cellStyle name="Vírgula 6 3 6 2 3 2 3" xfId="17539" xr:uid="{00000000-0005-0000-0000-0000D2430000}"/>
    <cellStyle name="Vírgula 6 3 6 2 3 3" xfId="5235" xr:uid="{00000000-0005-0000-0000-0000D3430000}"/>
    <cellStyle name="Vírgula 6 3 6 2 3 3 2" xfId="11172" xr:uid="{00000000-0005-0000-0000-0000D4430000}"/>
    <cellStyle name="Vírgula 6 3 6 2 3 3 2 2" xfId="22234" xr:uid="{00000000-0005-0000-0000-0000D5430000}"/>
    <cellStyle name="Vírgula 6 3 6 2 3 3 3" xfId="11862" xr:uid="{00000000-0005-0000-0000-0000D6430000}"/>
    <cellStyle name="Vírgula 6 3 6 2 3 3 4" xfId="18270" xr:uid="{00000000-0005-0000-0000-0000D7430000}"/>
    <cellStyle name="Vírgula 6 3 6 2 3 4" xfId="13588" xr:uid="{00000000-0005-0000-0000-0000D8430000}"/>
    <cellStyle name="Vírgula 6 3 6 2 3 4 2" xfId="20134" xr:uid="{00000000-0005-0000-0000-0000D9430000}"/>
    <cellStyle name="Vírgula 6 3 6 2 3 5" xfId="16110" xr:uid="{00000000-0005-0000-0000-0000DA430000}"/>
    <cellStyle name="Vírgula 6 3 6 2 4" xfId="4223" xr:uid="{00000000-0005-0000-0000-0000DB430000}"/>
    <cellStyle name="Vírgula 6 3 6 2 4 2" xfId="5943" xr:uid="{00000000-0005-0000-0000-0000DC430000}"/>
    <cellStyle name="Vírgula 6 3 6 2 4 2 2" xfId="13094" xr:uid="{00000000-0005-0000-0000-0000DD430000}"/>
    <cellStyle name="Vírgula 6 3 6 2 4 2 2 2" xfId="22937" xr:uid="{00000000-0005-0000-0000-0000DE430000}"/>
    <cellStyle name="Vírgula 6 3 6 2 4 2 3" xfId="11761" xr:uid="{00000000-0005-0000-0000-0000DF430000}"/>
    <cellStyle name="Vírgula 6 3 6 2 4 2 4" xfId="18978" xr:uid="{00000000-0005-0000-0000-0000E0430000}"/>
    <cellStyle name="Vírgula 6 3 6 2 4 3" xfId="13715" xr:uid="{00000000-0005-0000-0000-0000E1430000}"/>
    <cellStyle name="Vírgula 6 3 6 2 4 3 2" xfId="21269" xr:uid="{00000000-0005-0000-0000-0000E2430000}"/>
    <cellStyle name="Vírgula 6 3 6 2 4 4" xfId="17262" xr:uid="{00000000-0005-0000-0000-0000E3430000}"/>
    <cellStyle name="Vírgula 6 3 6 2 5" xfId="8579" xr:uid="{00000000-0005-0000-0000-0000E4430000}"/>
    <cellStyle name="Vírgula 6 3 6 2 5 2" xfId="11711" xr:uid="{00000000-0005-0000-0000-0000E5430000}"/>
    <cellStyle name="Vírgula 6 3 6 2 5 3" xfId="12561" xr:uid="{00000000-0005-0000-0000-0000E6430000}"/>
    <cellStyle name="Vírgula 6 3 6 2 6" xfId="8580" xr:uid="{00000000-0005-0000-0000-0000E7430000}"/>
    <cellStyle name="Vírgula 6 3 6 2 6 2" xfId="11947" xr:uid="{00000000-0005-0000-0000-0000E8430000}"/>
    <cellStyle name="Vírgula 6 3 6 2 6 3" xfId="11890" xr:uid="{00000000-0005-0000-0000-0000E9430000}"/>
    <cellStyle name="Vírgula 6 3 6 2 7" xfId="8581" xr:uid="{00000000-0005-0000-0000-0000EA430000}"/>
    <cellStyle name="Vírgula 6 3 6 2 7 2" xfId="12033" xr:uid="{00000000-0005-0000-0000-0000EB430000}"/>
    <cellStyle name="Vírgula 6 3 6 2 7 3" xfId="11455" xr:uid="{00000000-0005-0000-0000-0000EC430000}"/>
    <cellStyle name="Vírgula 6 3 6 2 8" xfId="8582" xr:uid="{00000000-0005-0000-0000-0000ED430000}"/>
    <cellStyle name="Vírgula 6 3 6 2 8 2" xfId="11956" xr:uid="{00000000-0005-0000-0000-0000EE430000}"/>
    <cellStyle name="Vírgula 6 3 6 2 8 3" xfId="13084" xr:uid="{00000000-0005-0000-0000-0000EF430000}"/>
    <cellStyle name="Vírgula 6 3 6 2 9" xfId="8583" xr:uid="{00000000-0005-0000-0000-0000F0430000}"/>
    <cellStyle name="Vírgula 6 3 6 3" xfId="832" xr:uid="{00000000-0005-0000-0000-0000F1430000}"/>
    <cellStyle name="Vírgula 6 3 6 3 2" xfId="2343" xr:uid="{00000000-0005-0000-0000-0000F2430000}"/>
    <cellStyle name="Vírgula 6 3 6 3 2 2" xfId="2882" xr:uid="{00000000-0005-0000-0000-0000F3430000}"/>
    <cellStyle name="Vírgula 6 3 6 3 2 2 2" xfId="3659" xr:uid="{00000000-0005-0000-0000-0000F4430000}"/>
    <cellStyle name="Vírgula 6 3 6 3 2 2 2 2" xfId="4937" xr:uid="{00000000-0005-0000-0000-0000F5430000}"/>
    <cellStyle name="Vírgula 6 3 6 3 2 2 2 2 2" xfId="21977" xr:uid="{00000000-0005-0000-0000-0000F6430000}"/>
    <cellStyle name="Vírgula 6 3 6 3 2 2 2 2 3" xfId="17972" xr:uid="{00000000-0005-0000-0000-0000F7430000}"/>
    <cellStyle name="Vírgula 6 3 6 3 2 2 2 3" xfId="5828" xr:uid="{00000000-0005-0000-0000-0000F8430000}"/>
    <cellStyle name="Vírgula 6 3 6 3 2 2 2 3 2" xfId="22827" xr:uid="{00000000-0005-0000-0000-0000F9430000}"/>
    <cellStyle name="Vírgula 6 3 6 3 2 2 2 3 3" xfId="18863" xr:uid="{00000000-0005-0000-0000-0000FA430000}"/>
    <cellStyle name="Vírgula 6 3 6 3 2 2 2 4" xfId="20727" xr:uid="{00000000-0005-0000-0000-0000FB430000}"/>
    <cellStyle name="Vírgula 6 3 6 3 2 2 2 5" xfId="16703" xr:uid="{00000000-0005-0000-0000-0000FC430000}"/>
    <cellStyle name="Vírgula 6 3 6 3 2 3" xfId="2805" xr:uid="{00000000-0005-0000-0000-0000FD430000}"/>
    <cellStyle name="Vírgula 6 3 6 3 2 3 2" xfId="3633" xr:uid="{00000000-0005-0000-0000-0000FE430000}"/>
    <cellStyle name="Vírgula 6 3 6 3 2 3 2 2" xfId="4911" xr:uid="{00000000-0005-0000-0000-0000FF430000}"/>
    <cellStyle name="Vírgula 6 3 6 3 2 3 2 2 2" xfId="21951" xr:uid="{00000000-0005-0000-0000-000000440000}"/>
    <cellStyle name="Vírgula 6 3 6 3 2 3 2 2 3" xfId="17946" xr:uid="{00000000-0005-0000-0000-000001440000}"/>
    <cellStyle name="Vírgula 6 3 6 3 2 3 2 3" xfId="5802" xr:uid="{00000000-0005-0000-0000-000002440000}"/>
    <cellStyle name="Vírgula 6 3 6 3 2 3 2 3 2" xfId="22801" xr:uid="{00000000-0005-0000-0000-000003440000}"/>
    <cellStyle name="Vírgula 6 3 6 3 2 3 2 3 3" xfId="18837" xr:uid="{00000000-0005-0000-0000-000004440000}"/>
    <cellStyle name="Vírgula 6 3 6 3 2 3 2 4" xfId="20701" xr:uid="{00000000-0005-0000-0000-000005440000}"/>
    <cellStyle name="Vírgula 6 3 6 3 2 3 2 5" xfId="16677" xr:uid="{00000000-0005-0000-0000-000006440000}"/>
    <cellStyle name="Vírgula 6 3 6 3 2 4" xfId="2660" xr:uid="{00000000-0005-0000-0000-000007440000}"/>
    <cellStyle name="Vírgula 6 3 6 3 2 4 2" xfId="3615" xr:uid="{00000000-0005-0000-0000-000008440000}"/>
    <cellStyle name="Vírgula 6 3 6 3 2 4 2 2" xfId="4893" xr:uid="{00000000-0005-0000-0000-000009440000}"/>
    <cellStyle name="Vírgula 6 3 6 3 2 4 2 2 2" xfId="21933" xr:uid="{00000000-0005-0000-0000-00000A440000}"/>
    <cellStyle name="Vírgula 6 3 6 3 2 4 2 2 3" xfId="17928" xr:uid="{00000000-0005-0000-0000-00000B440000}"/>
    <cellStyle name="Vírgula 6 3 6 3 2 4 2 3" xfId="5784" xr:uid="{00000000-0005-0000-0000-00000C440000}"/>
    <cellStyle name="Vírgula 6 3 6 3 2 4 2 3 2" xfId="22783" xr:uid="{00000000-0005-0000-0000-00000D440000}"/>
    <cellStyle name="Vírgula 6 3 6 3 2 4 2 3 3" xfId="18819" xr:uid="{00000000-0005-0000-0000-00000E440000}"/>
    <cellStyle name="Vírgula 6 3 6 3 2 4 2 4" xfId="20683" xr:uid="{00000000-0005-0000-0000-00000F440000}"/>
    <cellStyle name="Vírgula 6 3 6 3 2 4 2 5" xfId="16659" xr:uid="{00000000-0005-0000-0000-000010440000}"/>
    <cellStyle name="Vírgula 6 3 6 3 2 5" xfId="2593" xr:uid="{00000000-0005-0000-0000-000011440000}"/>
    <cellStyle name="Vírgula 6 3 6 3 2 5 2" xfId="3599" xr:uid="{00000000-0005-0000-0000-000012440000}"/>
    <cellStyle name="Vírgula 6 3 6 3 2 5 2 2" xfId="4877" xr:uid="{00000000-0005-0000-0000-000013440000}"/>
    <cellStyle name="Vírgula 6 3 6 3 2 5 2 2 2" xfId="21917" xr:uid="{00000000-0005-0000-0000-000014440000}"/>
    <cellStyle name="Vírgula 6 3 6 3 2 5 2 2 3" xfId="17912" xr:uid="{00000000-0005-0000-0000-000015440000}"/>
    <cellStyle name="Vírgula 6 3 6 3 2 5 2 3" xfId="5768" xr:uid="{00000000-0005-0000-0000-000016440000}"/>
    <cellStyle name="Vírgula 6 3 6 3 2 5 2 3 2" xfId="22767" xr:uid="{00000000-0005-0000-0000-000017440000}"/>
    <cellStyle name="Vírgula 6 3 6 3 2 5 2 3 3" xfId="18803" xr:uid="{00000000-0005-0000-0000-000018440000}"/>
    <cellStyle name="Vírgula 6 3 6 3 2 5 2 4" xfId="20667" xr:uid="{00000000-0005-0000-0000-000019440000}"/>
    <cellStyle name="Vírgula 6 3 6 3 2 5 2 5" xfId="16643" xr:uid="{00000000-0005-0000-0000-00001A440000}"/>
    <cellStyle name="Vírgula 6 3 6 3 2 6" xfId="3472" xr:uid="{00000000-0005-0000-0000-00001B440000}"/>
    <cellStyle name="Vírgula 6 3 6 3 2 6 2" xfId="4802" xr:uid="{00000000-0005-0000-0000-00001C440000}"/>
    <cellStyle name="Vírgula 6 3 6 3 2 6 2 2" xfId="21842" xr:uid="{00000000-0005-0000-0000-00001D440000}"/>
    <cellStyle name="Vírgula 6 3 6 3 2 6 2 3" xfId="17837" xr:uid="{00000000-0005-0000-0000-00001E440000}"/>
    <cellStyle name="Vírgula 6 3 6 3 2 6 3" xfId="5641" xr:uid="{00000000-0005-0000-0000-00001F440000}"/>
    <cellStyle name="Vírgula 6 3 6 3 2 6 3 2" xfId="22640" xr:uid="{00000000-0005-0000-0000-000020440000}"/>
    <cellStyle name="Vírgula 6 3 6 3 2 6 3 3" xfId="18676" xr:uid="{00000000-0005-0000-0000-000021440000}"/>
    <cellStyle name="Vírgula 6 3 6 3 2 6 4" xfId="20540" xr:uid="{00000000-0005-0000-0000-000022440000}"/>
    <cellStyle name="Vírgula 6 3 6 3 2 6 5" xfId="16516" xr:uid="{00000000-0005-0000-0000-000023440000}"/>
    <cellStyle name="Vírgula 6 3 6 3 2 7" xfId="4361" xr:uid="{00000000-0005-0000-0000-000024440000}"/>
    <cellStyle name="Vírgula 6 3 6 3 2 7 2" xfId="6371" xr:uid="{00000000-0005-0000-0000-000025440000}"/>
    <cellStyle name="Vírgula 6 3 6 3 2 7 2 2" xfId="23353" xr:uid="{00000000-0005-0000-0000-000026440000}"/>
    <cellStyle name="Vírgula 6 3 6 3 2 7 2 3" xfId="19406" xr:uid="{00000000-0005-0000-0000-000027440000}"/>
    <cellStyle name="Vírgula 6 3 6 3 2 7 3" xfId="21405" xr:uid="{00000000-0005-0000-0000-000028440000}"/>
    <cellStyle name="Vírgula 6 3 6 3 2 7 4" xfId="17398" xr:uid="{00000000-0005-0000-0000-000029440000}"/>
    <cellStyle name="Vírgula 6 3 6 3 3" xfId="3128" xr:uid="{00000000-0005-0000-0000-00002A440000}"/>
    <cellStyle name="Vírgula 6 3 6 3 3 2" xfId="4543" xr:uid="{00000000-0005-0000-0000-00002B440000}"/>
    <cellStyle name="Vírgula 6 3 6 3 3 2 2" xfId="21583" xr:uid="{00000000-0005-0000-0000-00002C440000}"/>
    <cellStyle name="Vírgula 6 3 6 3 3 2 3" xfId="17578" xr:uid="{00000000-0005-0000-0000-00002D440000}"/>
    <cellStyle name="Vírgula 6 3 6 3 3 3" xfId="5297" xr:uid="{00000000-0005-0000-0000-00002E440000}"/>
    <cellStyle name="Vírgula 6 3 6 3 3 3 2" xfId="22296" xr:uid="{00000000-0005-0000-0000-00002F440000}"/>
    <cellStyle name="Vírgula 6 3 6 3 3 3 3" xfId="18332" xr:uid="{00000000-0005-0000-0000-000030440000}"/>
    <cellStyle name="Vírgula 6 3 6 3 3 4" xfId="20196" xr:uid="{00000000-0005-0000-0000-000031440000}"/>
    <cellStyle name="Vírgula 6 3 6 3 3 5" xfId="16172" xr:uid="{00000000-0005-0000-0000-000032440000}"/>
    <cellStyle name="Vírgula 6 3 6 3 4" xfId="4036" xr:uid="{00000000-0005-0000-0000-000033440000}"/>
    <cellStyle name="Vírgula 6 3 6 3 4 2" xfId="6014" xr:uid="{00000000-0005-0000-0000-000034440000}"/>
    <cellStyle name="Vírgula 6 3 6 3 4 2 2" xfId="23007" xr:uid="{00000000-0005-0000-0000-000035440000}"/>
    <cellStyle name="Vírgula 6 3 6 3 4 2 3" xfId="19049" xr:uid="{00000000-0005-0000-0000-000036440000}"/>
    <cellStyle name="Vírgula 6 3 6 3 4 3" xfId="21085" xr:uid="{00000000-0005-0000-0000-000037440000}"/>
    <cellStyle name="Vírgula 6 3 6 3 4 4" xfId="17077" xr:uid="{00000000-0005-0000-0000-000038440000}"/>
    <cellStyle name="Vírgula 6 3 6 4" xfId="2344" xr:uid="{00000000-0005-0000-0000-000039440000}"/>
    <cellStyle name="Vírgula 6 3 6 4 2" xfId="2179" xr:uid="{00000000-0005-0000-0000-00003A440000}"/>
    <cellStyle name="Vírgula 6 3 6 4 2 2" xfId="3308" xr:uid="{00000000-0005-0000-0000-00003B440000}"/>
    <cellStyle name="Vírgula 6 3 6 4 2 2 2" xfId="4638" xr:uid="{00000000-0005-0000-0000-00003C440000}"/>
    <cellStyle name="Vírgula 6 3 6 4 2 2 2 2" xfId="21678" xr:uid="{00000000-0005-0000-0000-00003D440000}"/>
    <cellStyle name="Vírgula 6 3 6 4 2 2 2 3" xfId="17673" xr:uid="{00000000-0005-0000-0000-00003E440000}"/>
    <cellStyle name="Vírgula 6 3 6 4 2 2 3" xfId="5477" xr:uid="{00000000-0005-0000-0000-00003F440000}"/>
    <cellStyle name="Vírgula 6 3 6 4 2 2 3 2" xfId="22476" xr:uid="{00000000-0005-0000-0000-000040440000}"/>
    <cellStyle name="Vírgula 6 3 6 4 2 2 3 3" xfId="18512" xr:uid="{00000000-0005-0000-0000-000041440000}"/>
    <cellStyle name="Vírgula 6 3 6 4 2 2 4" xfId="20376" xr:uid="{00000000-0005-0000-0000-000042440000}"/>
    <cellStyle name="Vírgula 6 3 6 4 2 2 5" xfId="16352" xr:uid="{00000000-0005-0000-0000-000043440000}"/>
    <cellStyle name="Vírgula 6 3 6 4 2 3" xfId="4240" xr:uid="{00000000-0005-0000-0000-000044440000}"/>
    <cellStyle name="Vírgula 6 3 6 4 2 3 2" xfId="6207" xr:uid="{00000000-0005-0000-0000-000045440000}"/>
    <cellStyle name="Vírgula 6 3 6 4 2 3 2 2" xfId="23189" xr:uid="{00000000-0005-0000-0000-000046440000}"/>
    <cellStyle name="Vírgula 6 3 6 4 2 3 2 3" xfId="19242" xr:uid="{00000000-0005-0000-0000-000047440000}"/>
    <cellStyle name="Vírgula 6 3 6 4 2 3 3" xfId="21285" xr:uid="{00000000-0005-0000-0000-000048440000}"/>
    <cellStyle name="Vírgula 6 3 6 4 2 3 4" xfId="17278" xr:uid="{00000000-0005-0000-0000-000049440000}"/>
    <cellStyle name="Vírgula 6 3 6 4 3" xfId="2806" xr:uid="{00000000-0005-0000-0000-00004A440000}"/>
    <cellStyle name="Vírgula 6 3 6 4 3 2" xfId="3634" xr:uid="{00000000-0005-0000-0000-00004B440000}"/>
    <cellStyle name="Vírgula 6 3 6 4 3 2 2" xfId="4912" xr:uid="{00000000-0005-0000-0000-00004C440000}"/>
    <cellStyle name="Vírgula 6 3 6 4 3 2 2 2" xfId="21952" xr:uid="{00000000-0005-0000-0000-00004D440000}"/>
    <cellStyle name="Vírgula 6 3 6 4 3 2 2 3" xfId="17947" xr:uid="{00000000-0005-0000-0000-00004E440000}"/>
    <cellStyle name="Vírgula 6 3 6 4 3 2 3" xfId="5803" xr:uid="{00000000-0005-0000-0000-00004F440000}"/>
    <cellStyle name="Vírgula 6 3 6 4 3 2 3 2" xfId="10917" xr:uid="{00000000-0005-0000-0000-000050440000}"/>
    <cellStyle name="Vírgula 6 3 6 4 3 2 3 2 2" xfId="22802" xr:uid="{00000000-0005-0000-0000-000051440000}"/>
    <cellStyle name="Vírgula 6 3 6 4 3 2 3 3" xfId="11195" xr:uid="{00000000-0005-0000-0000-000052440000}"/>
    <cellStyle name="Vírgula 6 3 6 4 3 2 3 4" xfId="18838" xr:uid="{00000000-0005-0000-0000-000053440000}"/>
    <cellStyle name="Vírgula 6 3 6 4 3 2 4" xfId="20702" xr:uid="{00000000-0005-0000-0000-000054440000}"/>
    <cellStyle name="Vírgula 6 3 6 4 3 2 5" xfId="16678" xr:uid="{00000000-0005-0000-0000-000055440000}"/>
    <cellStyle name="Vírgula 6 3 6 4 3 3" xfId="8584" xr:uid="{00000000-0005-0000-0000-000056440000}"/>
    <cellStyle name="Vírgula 6 3 6 4 4" xfId="3473" xr:uid="{00000000-0005-0000-0000-000057440000}"/>
    <cellStyle name="Vírgula 6 3 6 4 4 2" xfId="4803" xr:uid="{00000000-0005-0000-0000-000058440000}"/>
    <cellStyle name="Vírgula 6 3 6 4 4 2 2" xfId="21843" xr:uid="{00000000-0005-0000-0000-000059440000}"/>
    <cellStyle name="Vírgula 6 3 6 4 4 2 3" xfId="17838" xr:uid="{00000000-0005-0000-0000-00005A440000}"/>
    <cellStyle name="Vírgula 6 3 6 4 4 3" xfId="5642" xr:uid="{00000000-0005-0000-0000-00005B440000}"/>
    <cellStyle name="Vírgula 6 3 6 4 4 3 2" xfId="22641" xr:uid="{00000000-0005-0000-0000-00005C440000}"/>
    <cellStyle name="Vírgula 6 3 6 4 4 3 3" xfId="18677" xr:uid="{00000000-0005-0000-0000-00005D440000}"/>
    <cellStyle name="Vírgula 6 3 6 4 4 4" xfId="20541" xr:uid="{00000000-0005-0000-0000-00005E440000}"/>
    <cellStyle name="Vírgula 6 3 6 4 4 5" xfId="16517" xr:uid="{00000000-0005-0000-0000-00005F440000}"/>
    <cellStyle name="Vírgula 6 3 6 4 5" xfId="4164" xr:uid="{00000000-0005-0000-0000-000060440000}"/>
    <cellStyle name="Vírgula 6 3 6 4 5 2" xfId="6372" xr:uid="{00000000-0005-0000-0000-000061440000}"/>
    <cellStyle name="Vírgula 6 3 6 4 5 2 2" xfId="23354" xr:uid="{00000000-0005-0000-0000-000062440000}"/>
    <cellStyle name="Vírgula 6 3 6 4 5 2 3" xfId="19407" xr:uid="{00000000-0005-0000-0000-000063440000}"/>
    <cellStyle name="Vírgula 6 3 6 4 5 3" xfId="21211" xr:uid="{00000000-0005-0000-0000-000064440000}"/>
    <cellStyle name="Vírgula 6 3 6 4 5 4" xfId="17204" xr:uid="{00000000-0005-0000-0000-000065440000}"/>
    <cellStyle name="Vírgula 6 3 6 5" xfId="2342" xr:uid="{00000000-0005-0000-0000-000066440000}"/>
    <cellStyle name="Vírgula 6 3 6 5 2" xfId="2881" xr:uid="{00000000-0005-0000-0000-000067440000}"/>
    <cellStyle name="Vírgula 6 3 6 5 2 2" xfId="3658" xr:uid="{00000000-0005-0000-0000-000068440000}"/>
    <cellStyle name="Vírgula 6 3 6 5 2 2 2" xfId="4936" xr:uid="{00000000-0005-0000-0000-000069440000}"/>
    <cellStyle name="Vírgula 6 3 6 5 2 2 2 2" xfId="21976" xr:uid="{00000000-0005-0000-0000-00006A440000}"/>
    <cellStyle name="Vírgula 6 3 6 5 2 2 2 3" xfId="17971" xr:uid="{00000000-0005-0000-0000-00006B440000}"/>
    <cellStyle name="Vírgula 6 3 6 5 2 2 3" xfId="5827" xr:uid="{00000000-0005-0000-0000-00006C440000}"/>
    <cellStyle name="Vírgula 6 3 6 5 2 2 3 2" xfId="11738" xr:uid="{00000000-0005-0000-0000-00006D440000}"/>
    <cellStyle name="Vírgula 6 3 6 5 2 2 3 2 2" xfId="22826" xr:uid="{00000000-0005-0000-0000-00006E440000}"/>
    <cellStyle name="Vírgula 6 3 6 5 2 2 3 3" xfId="11123" xr:uid="{00000000-0005-0000-0000-00006F440000}"/>
    <cellStyle name="Vírgula 6 3 6 5 2 2 3 4" xfId="18862" xr:uid="{00000000-0005-0000-0000-000070440000}"/>
    <cellStyle name="Vírgula 6 3 6 5 2 2 4" xfId="20726" xr:uid="{00000000-0005-0000-0000-000071440000}"/>
    <cellStyle name="Vírgula 6 3 6 5 2 2 5" xfId="16702" xr:uid="{00000000-0005-0000-0000-000072440000}"/>
    <cellStyle name="Vírgula 6 3 6 5 2 3" xfId="8585" xr:uid="{00000000-0005-0000-0000-000073440000}"/>
    <cellStyle name="Vírgula 6 3 6 5 3" xfId="2804" xr:uid="{00000000-0005-0000-0000-000074440000}"/>
    <cellStyle name="Vírgula 6 3 6 5 3 2" xfId="3632" xr:uid="{00000000-0005-0000-0000-000075440000}"/>
    <cellStyle name="Vírgula 6 3 6 5 3 2 2" xfId="4910" xr:uid="{00000000-0005-0000-0000-000076440000}"/>
    <cellStyle name="Vírgula 6 3 6 5 3 2 2 2" xfId="21950" xr:uid="{00000000-0005-0000-0000-000077440000}"/>
    <cellStyle name="Vírgula 6 3 6 5 3 2 2 3" xfId="17945" xr:uid="{00000000-0005-0000-0000-000078440000}"/>
    <cellStyle name="Vírgula 6 3 6 5 3 2 3" xfId="5801" xr:uid="{00000000-0005-0000-0000-000079440000}"/>
    <cellStyle name="Vírgula 6 3 6 5 3 2 3 2" xfId="22800" xr:uid="{00000000-0005-0000-0000-00007A440000}"/>
    <cellStyle name="Vírgula 6 3 6 5 3 2 3 3" xfId="18836" xr:uid="{00000000-0005-0000-0000-00007B440000}"/>
    <cellStyle name="Vírgula 6 3 6 5 3 2 4" xfId="20700" xr:uid="{00000000-0005-0000-0000-00007C440000}"/>
    <cellStyle name="Vírgula 6 3 6 5 3 2 5" xfId="16676" xr:uid="{00000000-0005-0000-0000-00007D440000}"/>
    <cellStyle name="Vírgula 6 3 6 5 4" xfId="2659" xr:uid="{00000000-0005-0000-0000-00007E440000}"/>
    <cellStyle name="Vírgula 6 3 6 5 4 2" xfId="3614" xr:uid="{00000000-0005-0000-0000-00007F440000}"/>
    <cellStyle name="Vírgula 6 3 6 5 4 2 2" xfId="4892" xr:uid="{00000000-0005-0000-0000-000080440000}"/>
    <cellStyle name="Vírgula 6 3 6 5 4 2 2 2" xfId="21932" xr:uid="{00000000-0005-0000-0000-000081440000}"/>
    <cellStyle name="Vírgula 6 3 6 5 4 2 2 3" xfId="17927" xr:uid="{00000000-0005-0000-0000-000082440000}"/>
    <cellStyle name="Vírgula 6 3 6 5 4 2 3" xfId="5783" xr:uid="{00000000-0005-0000-0000-000083440000}"/>
    <cellStyle name="Vírgula 6 3 6 5 4 2 3 2" xfId="22782" xr:uid="{00000000-0005-0000-0000-000084440000}"/>
    <cellStyle name="Vírgula 6 3 6 5 4 2 3 3" xfId="18818" xr:uid="{00000000-0005-0000-0000-000085440000}"/>
    <cellStyle name="Vírgula 6 3 6 5 4 2 4" xfId="20682" xr:uid="{00000000-0005-0000-0000-000086440000}"/>
    <cellStyle name="Vírgula 6 3 6 5 4 2 5" xfId="16658" xr:uid="{00000000-0005-0000-0000-000087440000}"/>
    <cellStyle name="Vírgula 6 3 6 5 5" xfId="2592" xr:uid="{00000000-0005-0000-0000-000088440000}"/>
    <cellStyle name="Vírgula 6 3 6 5 5 2" xfId="3598" xr:uid="{00000000-0005-0000-0000-000089440000}"/>
    <cellStyle name="Vírgula 6 3 6 5 5 2 2" xfId="4876" xr:uid="{00000000-0005-0000-0000-00008A440000}"/>
    <cellStyle name="Vírgula 6 3 6 5 5 2 2 2" xfId="21916" xr:uid="{00000000-0005-0000-0000-00008B440000}"/>
    <cellStyle name="Vírgula 6 3 6 5 5 2 2 3" xfId="17911" xr:uid="{00000000-0005-0000-0000-00008C440000}"/>
    <cellStyle name="Vírgula 6 3 6 5 5 2 3" xfId="5767" xr:uid="{00000000-0005-0000-0000-00008D440000}"/>
    <cellStyle name="Vírgula 6 3 6 5 5 2 3 2" xfId="22766" xr:uid="{00000000-0005-0000-0000-00008E440000}"/>
    <cellStyle name="Vírgula 6 3 6 5 5 2 3 3" xfId="18802" xr:uid="{00000000-0005-0000-0000-00008F440000}"/>
    <cellStyle name="Vírgula 6 3 6 5 5 2 4" xfId="20666" xr:uid="{00000000-0005-0000-0000-000090440000}"/>
    <cellStyle name="Vírgula 6 3 6 5 5 2 5" xfId="16642" xr:uid="{00000000-0005-0000-0000-000091440000}"/>
    <cellStyle name="Vírgula 6 3 6 5 6" xfId="3471" xr:uid="{00000000-0005-0000-0000-000092440000}"/>
    <cellStyle name="Vírgula 6 3 6 5 6 2" xfId="4801" xr:uid="{00000000-0005-0000-0000-000093440000}"/>
    <cellStyle name="Vírgula 6 3 6 5 6 2 2" xfId="21841" xr:uid="{00000000-0005-0000-0000-000094440000}"/>
    <cellStyle name="Vírgula 6 3 6 5 6 2 3" xfId="17836" xr:uid="{00000000-0005-0000-0000-000095440000}"/>
    <cellStyle name="Vírgula 6 3 6 5 6 3" xfId="5640" xr:uid="{00000000-0005-0000-0000-000096440000}"/>
    <cellStyle name="Vírgula 6 3 6 5 6 3 2" xfId="22639" xr:uid="{00000000-0005-0000-0000-000097440000}"/>
    <cellStyle name="Vírgula 6 3 6 5 6 3 3" xfId="18675" xr:uid="{00000000-0005-0000-0000-000098440000}"/>
    <cellStyle name="Vírgula 6 3 6 5 6 4" xfId="20539" xr:uid="{00000000-0005-0000-0000-000099440000}"/>
    <cellStyle name="Vírgula 6 3 6 5 6 5" xfId="16515" xr:uid="{00000000-0005-0000-0000-00009A440000}"/>
    <cellStyle name="Vírgula 6 3 6 5 7" xfId="4116" xr:uid="{00000000-0005-0000-0000-00009B440000}"/>
    <cellStyle name="Vírgula 6 3 6 5 7 2" xfId="6370" xr:uid="{00000000-0005-0000-0000-00009C440000}"/>
    <cellStyle name="Vírgula 6 3 6 5 7 2 2" xfId="23352" xr:uid="{00000000-0005-0000-0000-00009D440000}"/>
    <cellStyle name="Vírgula 6 3 6 5 7 2 3" xfId="19405" xr:uid="{00000000-0005-0000-0000-00009E440000}"/>
    <cellStyle name="Vírgula 6 3 6 5 7 3" xfId="21164" xr:uid="{00000000-0005-0000-0000-00009F440000}"/>
    <cellStyle name="Vírgula 6 3 6 5 7 4" xfId="17156" xr:uid="{00000000-0005-0000-0000-0000A0440000}"/>
    <cellStyle name="Vírgula 6 3 6 6" xfId="3065" xr:uid="{00000000-0005-0000-0000-0000A1440000}"/>
    <cellStyle name="Vírgula 6 3 6 6 2" xfId="4503" xr:uid="{00000000-0005-0000-0000-0000A2440000}"/>
    <cellStyle name="Vírgula 6 3 6 6 2 2" xfId="21543" xr:uid="{00000000-0005-0000-0000-0000A3440000}"/>
    <cellStyle name="Vírgula 6 3 6 6 2 3" xfId="17538" xr:uid="{00000000-0005-0000-0000-0000A4440000}"/>
    <cellStyle name="Vírgula 6 3 6 6 3" xfId="5234" xr:uid="{00000000-0005-0000-0000-0000A5440000}"/>
    <cellStyle name="Vírgula 6 3 6 6 3 2" xfId="13138" xr:uid="{00000000-0005-0000-0000-0000A6440000}"/>
    <cellStyle name="Vírgula 6 3 6 6 3 2 2" xfId="22233" xr:uid="{00000000-0005-0000-0000-0000A7440000}"/>
    <cellStyle name="Vírgula 6 3 6 6 3 3" xfId="11649" xr:uid="{00000000-0005-0000-0000-0000A8440000}"/>
    <cellStyle name="Vírgula 6 3 6 6 3 4" xfId="18269" xr:uid="{00000000-0005-0000-0000-0000A9440000}"/>
    <cellStyle name="Vírgula 6 3 6 6 4" xfId="13587" xr:uid="{00000000-0005-0000-0000-0000AA440000}"/>
    <cellStyle name="Vírgula 6 3 6 6 4 2" xfId="20133" xr:uid="{00000000-0005-0000-0000-0000AB440000}"/>
    <cellStyle name="Vírgula 6 3 6 6 5" xfId="16109" xr:uid="{00000000-0005-0000-0000-0000AC440000}"/>
    <cellStyle name="Vírgula 6 3 6 7" xfId="4352" xr:uid="{00000000-0005-0000-0000-0000AD440000}"/>
    <cellStyle name="Vírgula 6 3 6 7 2" xfId="5942" xr:uid="{00000000-0005-0000-0000-0000AE440000}"/>
    <cellStyle name="Vírgula 6 3 6 7 2 2" xfId="11410" xr:uid="{00000000-0005-0000-0000-0000AF440000}"/>
    <cellStyle name="Vírgula 6 3 6 7 2 2 2" xfId="22936" xr:uid="{00000000-0005-0000-0000-0000B0440000}"/>
    <cellStyle name="Vírgula 6 3 6 7 2 3" xfId="12994" xr:uid="{00000000-0005-0000-0000-0000B1440000}"/>
    <cellStyle name="Vírgula 6 3 6 7 2 4" xfId="18977" xr:uid="{00000000-0005-0000-0000-0000B2440000}"/>
    <cellStyle name="Vírgula 6 3 6 7 3" xfId="13718" xr:uid="{00000000-0005-0000-0000-0000B3440000}"/>
    <cellStyle name="Vírgula 6 3 6 7 3 2" xfId="21396" xr:uid="{00000000-0005-0000-0000-0000B4440000}"/>
    <cellStyle name="Vírgula 6 3 6 7 4" xfId="17389" xr:uid="{00000000-0005-0000-0000-0000B5440000}"/>
    <cellStyle name="Vírgula 6 3 6 8" xfId="8586" xr:uid="{00000000-0005-0000-0000-0000B6440000}"/>
    <cellStyle name="Vírgula 6 3 6 8 2" xfId="11383" xr:uid="{00000000-0005-0000-0000-0000B7440000}"/>
    <cellStyle name="Vírgula 6 3 6 8 3" xfId="11675" xr:uid="{00000000-0005-0000-0000-0000B8440000}"/>
    <cellStyle name="Vírgula 6 3 6 9" xfId="8587" xr:uid="{00000000-0005-0000-0000-0000B9440000}"/>
    <cellStyle name="Vírgula 6 3 6 9 2" xfId="13156" xr:uid="{00000000-0005-0000-0000-0000BA440000}"/>
    <cellStyle name="Vírgula 6 3 6 9 3" xfId="11358" xr:uid="{00000000-0005-0000-0000-0000BB440000}"/>
    <cellStyle name="Vírgula 6 3 7" xfId="598" xr:uid="{00000000-0005-0000-0000-0000BC440000}"/>
    <cellStyle name="Vírgula 6 3 7 2" xfId="880" xr:uid="{00000000-0005-0000-0000-0000BD440000}"/>
    <cellStyle name="Vírgula 6 3 7 2 2" xfId="2346" xr:uid="{00000000-0005-0000-0000-0000BE440000}"/>
    <cellStyle name="Vírgula 6 3 7 2 2 2" xfId="3475" xr:uid="{00000000-0005-0000-0000-0000BF440000}"/>
    <cellStyle name="Vírgula 6 3 7 2 2 2 2" xfId="4805" xr:uid="{00000000-0005-0000-0000-0000C0440000}"/>
    <cellStyle name="Vírgula 6 3 7 2 2 2 2 2" xfId="21845" xr:uid="{00000000-0005-0000-0000-0000C1440000}"/>
    <cellStyle name="Vírgula 6 3 7 2 2 2 2 3" xfId="17840" xr:uid="{00000000-0005-0000-0000-0000C2440000}"/>
    <cellStyle name="Vírgula 6 3 7 2 2 2 3" xfId="5644" xr:uid="{00000000-0005-0000-0000-0000C3440000}"/>
    <cellStyle name="Vírgula 6 3 7 2 2 2 3 2" xfId="22643" xr:uid="{00000000-0005-0000-0000-0000C4440000}"/>
    <cellStyle name="Vírgula 6 3 7 2 2 2 3 3" xfId="18679" xr:uid="{00000000-0005-0000-0000-0000C5440000}"/>
    <cellStyle name="Vírgula 6 3 7 2 2 2 4" xfId="20543" xr:uid="{00000000-0005-0000-0000-0000C6440000}"/>
    <cellStyle name="Vírgula 6 3 7 2 2 2 5" xfId="16519" xr:uid="{00000000-0005-0000-0000-0000C7440000}"/>
    <cellStyle name="Vírgula 6 3 7 2 2 3" xfId="3864" xr:uid="{00000000-0005-0000-0000-0000C8440000}"/>
    <cellStyle name="Vírgula 6 3 7 2 2 3 2" xfId="6374" xr:uid="{00000000-0005-0000-0000-0000C9440000}"/>
    <cellStyle name="Vírgula 6 3 7 2 2 3 2 2" xfId="23356" xr:uid="{00000000-0005-0000-0000-0000CA440000}"/>
    <cellStyle name="Vírgula 6 3 7 2 2 3 2 3" xfId="19409" xr:uid="{00000000-0005-0000-0000-0000CB440000}"/>
    <cellStyle name="Vírgula 6 3 7 2 2 3 3" xfId="20925" xr:uid="{00000000-0005-0000-0000-0000CC440000}"/>
    <cellStyle name="Vírgula 6 3 7 2 2 3 4" xfId="16906" xr:uid="{00000000-0005-0000-0000-0000CD440000}"/>
    <cellStyle name="Vírgula 6 3 7 2 3" xfId="3165" xr:uid="{00000000-0005-0000-0000-0000CE440000}"/>
    <cellStyle name="Vírgula 6 3 7 2 3 2" xfId="4148" xr:uid="{00000000-0005-0000-0000-0000CF440000}"/>
    <cellStyle name="Vírgula 6 3 7 2 3 2 2" xfId="6565" xr:uid="{00000000-0005-0000-0000-0000D0440000}"/>
    <cellStyle name="Vírgula 6 3 7 2 3 2 2 2" xfId="23547" xr:uid="{00000000-0005-0000-0000-0000D1440000}"/>
    <cellStyle name="Vírgula 6 3 7 2 3 2 2 3" xfId="19600" xr:uid="{00000000-0005-0000-0000-0000D2440000}"/>
    <cellStyle name="Vírgula 6 3 7 2 3 2 3" xfId="21196" xr:uid="{00000000-0005-0000-0000-0000D3440000}"/>
    <cellStyle name="Vírgula 6 3 7 2 3 2 4" xfId="17188" xr:uid="{00000000-0005-0000-0000-0000D4440000}"/>
    <cellStyle name="Vírgula 6 3 7 2 3 3" xfId="5334" xr:uid="{00000000-0005-0000-0000-0000D5440000}"/>
    <cellStyle name="Vírgula 6 3 7 2 3 3 2" xfId="22333" xr:uid="{00000000-0005-0000-0000-0000D6440000}"/>
    <cellStyle name="Vírgula 6 3 7 2 3 3 3" xfId="18369" xr:uid="{00000000-0005-0000-0000-0000D7440000}"/>
    <cellStyle name="Vírgula 6 3 7 2 3 4" xfId="13612" xr:uid="{00000000-0005-0000-0000-0000D8440000}"/>
    <cellStyle name="Vírgula 6 3 7 2 3 4 2" xfId="20233" xr:uid="{00000000-0005-0000-0000-0000D9440000}"/>
    <cellStyle name="Vírgula 6 3 7 2 3 5" xfId="13412" xr:uid="{00000000-0005-0000-0000-0000DA440000}"/>
    <cellStyle name="Vírgula 6 3 7 2 3 6" xfId="16209" xr:uid="{00000000-0005-0000-0000-0000DB440000}"/>
    <cellStyle name="Vírgula 6 3 7 2 4" xfId="3914" xr:uid="{00000000-0005-0000-0000-0000DC440000}"/>
    <cellStyle name="Vírgula 6 3 7 2 4 2" xfId="6055" xr:uid="{00000000-0005-0000-0000-0000DD440000}"/>
    <cellStyle name="Vírgula 6 3 7 2 4 2 2" xfId="23044" xr:uid="{00000000-0005-0000-0000-0000DE440000}"/>
    <cellStyle name="Vírgula 6 3 7 2 4 2 3" xfId="19090" xr:uid="{00000000-0005-0000-0000-0000DF440000}"/>
    <cellStyle name="Vírgula 6 3 7 2 4 3" xfId="20971" xr:uid="{00000000-0005-0000-0000-0000E0440000}"/>
    <cellStyle name="Vírgula 6 3 7 2 4 4" xfId="16956" xr:uid="{00000000-0005-0000-0000-0000E1440000}"/>
    <cellStyle name="Vírgula 6 3 7 2 5" xfId="6750" xr:uid="{00000000-0005-0000-0000-0000E2440000}"/>
    <cellStyle name="Vírgula 6 3 7 2 5 2" xfId="23723" xr:uid="{00000000-0005-0000-0000-0000E3440000}"/>
    <cellStyle name="Vírgula 6 3 7 2 5 3" xfId="19785" xr:uid="{00000000-0005-0000-0000-0000E4440000}"/>
    <cellStyle name="Vírgula 6 3 7 2 6" xfId="5068" xr:uid="{00000000-0005-0000-0000-0000E5440000}"/>
    <cellStyle name="Vírgula 6 3 7 2 6 2" xfId="22076" xr:uid="{00000000-0005-0000-0000-0000E6440000}"/>
    <cellStyle name="Vírgula 6 3 7 2 6 3" xfId="18103" xr:uid="{00000000-0005-0000-0000-0000E7440000}"/>
    <cellStyle name="Vírgula 6 3 7 2 7" xfId="19976" xr:uid="{00000000-0005-0000-0000-0000E8440000}"/>
    <cellStyle name="Vírgula 6 3 7 2 8" xfId="15936" xr:uid="{00000000-0005-0000-0000-0000E9440000}"/>
    <cellStyle name="Vírgula 6 3 7 3" xfId="2345" xr:uid="{00000000-0005-0000-0000-0000EA440000}"/>
    <cellStyle name="Vírgula 6 3 7 3 2" xfId="2883" xr:uid="{00000000-0005-0000-0000-0000EB440000}"/>
    <cellStyle name="Vírgula 6 3 7 3 2 2" xfId="3660" xr:uid="{00000000-0005-0000-0000-0000EC440000}"/>
    <cellStyle name="Vírgula 6 3 7 3 2 2 2" xfId="4938" xr:uid="{00000000-0005-0000-0000-0000ED440000}"/>
    <cellStyle name="Vírgula 6 3 7 3 2 2 2 2" xfId="21978" xr:uid="{00000000-0005-0000-0000-0000EE440000}"/>
    <cellStyle name="Vírgula 6 3 7 3 2 2 2 3" xfId="17973" xr:uid="{00000000-0005-0000-0000-0000EF440000}"/>
    <cellStyle name="Vírgula 6 3 7 3 2 2 3" xfId="5829" xr:uid="{00000000-0005-0000-0000-0000F0440000}"/>
    <cellStyle name="Vírgula 6 3 7 3 2 2 3 2" xfId="22828" xr:uid="{00000000-0005-0000-0000-0000F1440000}"/>
    <cellStyle name="Vírgula 6 3 7 3 2 2 3 3" xfId="18864" xr:uid="{00000000-0005-0000-0000-0000F2440000}"/>
    <cellStyle name="Vírgula 6 3 7 3 2 2 4" xfId="20728" xr:uid="{00000000-0005-0000-0000-0000F3440000}"/>
    <cellStyle name="Vírgula 6 3 7 3 2 2 5" xfId="16704" xr:uid="{00000000-0005-0000-0000-0000F4440000}"/>
    <cellStyle name="Vírgula 6 3 7 3 3" xfId="2807" xr:uid="{00000000-0005-0000-0000-0000F5440000}"/>
    <cellStyle name="Vírgula 6 3 7 3 3 2" xfId="3635" xr:uid="{00000000-0005-0000-0000-0000F6440000}"/>
    <cellStyle name="Vírgula 6 3 7 3 3 2 2" xfId="4913" xr:uid="{00000000-0005-0000-0000-0000F7440000}"/>
    <cellStyle name="Vírgula 6 3 7 3 3 2 2 2" xfId="21953" xr:uid="{00000000-0005-0000-0000-0000F8440000}"/>
    <cellStyle name="Vírgula 6 3 7 3 3 2 2 3" xfId="17948" xr:uid="{00000000-0005-0000-0000-0000F9440000}"/>
    <cellStyle name="Vírgula 6 3 7 3 3 2 3" xfId="5804" xr:uid="{00000000-0005-0000-0000-0000FA440000}"/>
    <cellStyle name="Vírgula 6 3 7 3 3 2 3 2" xfId="22803" xr:uid="{00000000-0005-0000-0000-0000FB440000}"/>
    <cellStyle name="Vírgula 6 3 7 3 3 2 3 3" xfId="18839" xr:uid="{00000000-0005-0000-0000-0000FC440000}"/>
    <cellStyle name="Vírgula 6 3 7 3 3 2 4" xfId="20703" xr:uid="{00000000-0005-0000-0000-0000FD440000}"/>
    <cellStyle name="Vírgula 6 3 7 3 3 2 5" xfId="16679" xr:uid="{00000000-0005-0000-0000-0000FE440000}"/>
    <cellStyle name="Vírgula 6 3 7 3 4" xfId="2661" xr:uid="{00000000-0005-0000-0000-0000FF440000}"/>
    <cellStyle name="Vírgula 6 3 7 3 4 2" xfId="3616" xr:uid="{00000000-0005-0000-0000-000000450000}"/>
    <cellStyle name="Vírgula 6 3 7 3 4 2 2" xfId="4894" xr:uid="{00000000-0005-0000-0000-000001450000}"/>
    <cellStyle name="Vírgula 6 3 7 3 4 2 2 2" xfId="21934" xr:uid="{00000000-0005-0000-0000-000002450000}"/>
    <cellStyle name="Vírgula 6 3 7 3 4 2 2 3" xfId="17929" xr:uid="{00000000-0005-0000-0000-000003450000}"/>
    <cellStyle name="Vírgula 6 3 7 3 4 2 3" xfId="5785" xr:uid="{00000000-0005-0000-0000-000004450000}"/>
    <cellStyle name="Vírgula 6 3 7 3 4 2 3 2" xfId="22784" xr:uid="{00000000-0005-0000-0000-000005450000}"/>
    <cellStyle name="Vírgula 6 3 7 3 4 2 3 3" xfId="18820" xr:uid="{00000000-0005-0000-0000-000006450000}"/>
    <cellStyle name="Vírgula 6 3 7 3 4 2 4" xfId="20684" xr:uid="{00000000-0005-0000-0000-000007450000}"/>
    <cellStyle name="Vírgula 6 3 7 3 4 2 5" xfId="16660" xr:uid="{00000000-0005-0000-0000-000008450000}"/>
    <cellStyle name="Vírgula 6 3 7 3 5" xfId="2594" xr:uid="{00000000-0005-0000-0000-000009450000}"/>
    <cellStyle name="Vírgula 6 3 7 3 5 2" xfId="3600" xr:uid="{00000000-0005-0000-0000-00000A450000}"/>
    <cellStyle name="Vírgula 6 3 7 3 5 2 2" xfId="4878" xr:uid="{00000000-0005-0000-0000-00000B450000}"/>
    <cellStyle name="Vírgula 6 3 7 3 5 2 2 2" xfId="21918" xr:uid="{00000000-0005-0000-0000-00000C450000}"/>
    <cellStyle name="Vírgula 6 3 7 3 5 2 2 3" xfId="17913" xr:uid="{00000000-0005-0000-0000-00000D450000}"/>
    <cellStyle name="Vírgula 6 3 7 3 5 2 3" xfId="5769" xr:uid="{00000000-0005-0000-0000-00000E450000}"/>
    <cellStyle name="Vírgula 6 3 7 3 5 2 3 2" xfId="22768" xr:uid="{00000000-0005-0000-0000-00000F450000}"/>
    <cellStyle name="Vírgula 6 3 7 3 5 2 3 3" xfId="18804" xr:uid="{00000000-0005-0000-0000-000010450000}"/>
    <cellStyle name="Vírgula 6 3 7 3 5 2 4" xfId="20668" xr:uid="{00000000-0005-0000-0000-000011450000}"/>
    <cellStyle name="Vírgula 6 3 7 3 5 2 5" xfId="16644" xr:uid="{00000000-0005-0000-0000-000012450000}"/>
    <cellStyle name="Vírgula 6 3 7 3 6" xfId="3474" xr:uid="{00000000-0005-0000-0000-000013450000}"/>
    <cellStyle name="Vírgula 6 3 7 3 6 2" xfId="4804" xr:uid="{00000000-0005-0000-0000-000014450000}"/>
    <cellStyle name="Vírgula 6 3 7 3 6 2 2" xfId="21844" xr:uid="{00000000-0005-0000-0000-000015450000}"/>
    <cellStyle name="Vírgula 6 3 7 3 6 2 3" xfId="17839" xr:uid="{00000000-0005-0000-0000-000016450000}"/>
    <cellStyle name="Vírgula 6 3 7 3 6 3" xfId="5643" xr:uid="{00000000-0005-0000-0000-000017450000}"/>
    <cellStyle name="Vírgula 6 3 7 3 6 3 2" xfId="22642" xr:uid="{00000000-0005-0000-0000-000018450000}"/>
    <cellStyle name="Vírgula 6 3 7 3 6 3 3" xfId="18678" xr:uid="{00000000-0005-0000-0000-000019450000}"/>
    <cellStyle name="Vírgula 6 3 7 3 6 4" xfId="20542" xr:uid="{00000000-0005-0000-0000-00001A450000}"/>
    <cellStyle name="Vírgula 6 3 7 3 6 5" xfId="16518" xr:uid="{00000000-0005-0000-0000-00001B450000}"/>
    <cellStyle name="Vírgula 6 3 7 3 7" xfId="4089" xr:uid="{00000000-0005-0000-0000-00001C450000}"/>
    <cellStyle name="Vírgula 6 3 7 3 7 2" xfId="6373" xr:uid="{00000000-0005-0000-0000-00001D450000}"/>
    <cellStyle name="Vírgula 6 3 7 3 7 2 2" xfId="23355" xr:uid="{00000000-0005-0000-0000-00001E450000}"/>
    <cellStyle name="Vírgula 6 3 7 3 7 2 3" xfId="19408" xr:uid="{00000000-0005-0000-0000-00001F450000}"/>
    <cellStyle name="Vírgula 6 3 7 3 7 3" xfId="21137" xr:uid="{00000000-0005-0000-0000-000020450000}"/>
    <cellStyle name="Vírgula 6 3 7 3 7 4" xfId="17129" xr:uid="{00000000-0005-0000-0000-000021450000}"/>
    <cellStyle name="Vírgula 6 3 7 4" xfId="5944" xr:uid="{00000000-0005-0000-0000-000022450000}"/>
    <cellStyle name="Vírgula 6 3 7 4 2" xfId="22938" xr:uid="{00000000-0005-0000-0000-000023450000}"/>
    <cellStyle name="Vírgula 6 3 7 4 3" xfId="18979" xr:uid="{00000000-0005-0000-0000-000024450000}"/>
    <cellStyle name="Vírgula 6 3 8" xfId="599" xr:uid="{00000000-0005-0000-0000-000025450000}"/>
    <cellStyle name="Vírgula 6 3 8 2" xfId="881" xr:uid="{00000000-0005-0000-0000-000026450000}"/>
    <cellStyle name="Vírgula 6 3 8 2 2" xfId="2347" xr:uid="{00000000-0005-0000-0000-000027450000}"/>
    <cellStyle name="Vírgula 6 3 8 2 2 2" xfId="3476" xr:uid="{00000000-0005-0000-0000-000028450000}"/>
    <cellStyle name="Vírgula 6 3 8 2 2 2 2" xfId="4806" xr:uid="{00000000-0005-0000-0000-000029450000}"/>
    <cellStyle name="Vírgula 6 3 8 2 2 2 2 2" xfId="21846" xr:uid="{00000000-0005-0000-0000-00002A450000}"/>
    <cellStyle name="Vírgula 6 3 8 2 2 2 2 3" xfId="17841" xr:uid="{00000000-0005-0000-0000-00002B450000}"/>
    <cellStyle name="Vírgula 6 3 8 2 2 2 3" xfId="5645" xr:uid="{00000000-0005-0000-0000-00002C450000}"/>
    <cellStyle name="Vírgula 6 3 8 2 2 2 3 2" xfId="22644" xr:uid="{00000000-0005-0000-0000-00002D450000}"/>
    <cellStyle name="Vírgula 6 3 8 2 2 2 3 3" xfId="18680" xr:uid="{00000000-0005-0000-0000-00002E450000}"/>
    <cellStyle name="Vírgula 6 3 8 2 2 2 4" xfId="20544" xr:uid="{00000000-0005-0000-0000-00002F450000}"/>
    <cellStyle name="Vírgula 6 3 8 2 2 2 5" xfId="16520" xr:uid="{00000000-0005-0000-0000-000030450000}"/>
    <cellStyle name="Vírgula 6 3 8 2 2 3" xfId="3692" xr:uid="{00000000-0005-0000-0000-000031450000}"/>
    <cellStyle name="Vírgula 6 3 8 2 2 3 2" xfId="6375" xr:uid="{00000000-0005-0000-0000-000032450000}"/>
    <cellStyle name="Vírgula 6 3 8 2 2 3 2 2" xfId="23357" xr:uid="{00000000-0005-0000-0000-000033450000}"/>
    <cellStyle name="Vírgula 6 3 8 2 2 3 2 3" xfId="19410" xr:uid="{00000000-0005-0000-0000-000034450000}"/>
    <cellStyle name="Vírgula 6 3 8 2 2 3 3" xfId="20760" xr:uid="{00000000-0005-0000-0000-000035450000}"/>
    <cellStyle name="Vírgula 6 3 8 2 2 3 4" xfId="16736" xr:uid="{00000000-0005-0000-0000-000036450000}"/>
    <cellStyle name="Vírgula 6 3 8 2 3" xfId="3166" xr:uid="{00000000-0005-0000-0000-000037450000}"/>
    <cellStyle name="Vírgula 6 3 8 2 3 2" xfId="4063" xr:uid="{00000000-0005-0000-0000-000038450000}"/>
    <cellStyle name="Vírgula 6 3 8 2 3 2 2" xfId="6566" xr:uid="{00000000-0005-0000-0000-000039450000}"/>
    <cellStyle name="Vírgula 6 3 8 2 3 2 2 2" xfId="23548" xr:uid="{00000000-0005-0000-0000-00003A450000}"/>
    <cellStyle name="Vírgula 6 3 8 2 3 2 2 3" xfId="19601" xr:uid="{00000000-0005-0000-0000-00003B450000}"/>
    <cellStyle name="Vírgula 6 3 8 2 3 2 3" xfId="21111" xr:uid="{00000000-0005-0000-0000-00003C450000}"/>
    <cellStyle name="Vírgula 6 3 8 2 3 2 4" xfId="17103" xr:uid="{00000000-0005-0000-0000-00003D450000}"/>
    <cellStyle name="Vírgula 6 3 8 2 3 3" xfId="5335" xr:uid="{00000000-0005-0000-0000-00003E450000}"/>
    <cellStyle name="Vírgula 6 3 8 2 3 3 2" xfId="22334" xr:uid="{00000000-0005-0000-0000-00003F450000}"/>
    <cellStyle name="Vírgula 6 3 8 2 3 3 3" xfId="18370" xr:uid="{00000000-0005-0000-0000-000040450000}"/>
    <cellStyle name="Vírgula 6 3 8 2 3 4" xfId="13613" xr:uid="{00000000-0005-0000-0000-000041450000}"/>
    <cellStyle name="Vírgula 6 3 8 2 3 4 2" xfId="20234" xr:uid="{00000000-0005-0000-0000-000042450000}"/>
    <cellStyle name="Vírgula 6 3 8 2 3 5" xfId="13413" xr:uid="{00000000-0005-0000-0000-000043450000}"/>
    <cellStyle name="Vírgula 6 3 8 2 3 6" xfId="16210" xr:uid="{00000000-0005-0000-0000-000044450000}"/>
    <cellStyle name="Vírgula 6 3 8 2 4" xfId="3915" xr:uid="{00000000-0005-0000-0000-000045450000}"/>
    <cellStyle name="Vírgula 6 3 8 2 4 2" xfId="6056" xr:uid="{00000000-0005-0000-0000-000046450000}"/>
    <cellStyle name="Vírgula 6 3 8 2 4 2 2" xfId="23045" xr:uid="{00000000-0005-0000-0000-000047450000}"/>
    <cellStyle name="Vírgula 6 3 8 2 4 2 3" xfId="19091" xr:uid="{00000000-0005-0000-0000-000048450000}"/>
    <cellStyle name="Vírgula 6 3 8 2 4 3" xfId="20972" xr:uid="{00000000-0005-0000-0000-000049450000}"/>
    <cellStyle name="Vírgula 6 3 8 2 4 4" xfId="16957" xr:uid="{00000000-0005-0000-0000-00004A450000}"/>
    <cellStyle name="Vírgula 6 3 8 2 5" xfId="6751" xr:uid="{00000000-0005-0000-0000-00004B450000}"/>
    <cellStyle name="Vírgula 6 3 8 2 5 2" xfId="23724" xr:uid="{00000000-0005-0000-0000-00004C450000}"/>
    <cellStyle name="Vírgula 6 3 8 2 5 3" xfId="19786" xr:uid="{00000000-0005-0000-0000-00004D450000}"/>
    <cellStyle name="Vírgula 6 3 8 2 6" xfId="5069" xr:uid="{00000000-0005-0000-0000-00004E450000}"/>
    <cellStyle name="Vírgula 6 3 8 2 6 2" xfId="22077" xr:uid="{00000000-0005-0000-0000-00004F450000}"/>
    <cellStyle name="Vírgula 6 3 8 2 6 3" xfId="18104" xr:uid="{00000000-0005-0000-0000-000050450000}"/>
    <cellStyle name="Vírgula 6 3 8 2 7" xfId="19977" xr:uid="{00000000-0005-0000-0000-000051450000}"/>
    <cellStyle name="Vírgula 6 3 8 2 8" xfId="15937" xr:uid="{00000000-0005-0000-0000-000052450000}"/>
    <cellStyle name="Vírgula 6 3 8 3" xfId="2348" xr:uid="{00000000-0005-0000-0000-000053450000}"/>
    <cellStyle name="Vírgula 6 3 8 3 2" xfId="3477" xr:uid="{00000000-0005-0000-0000-000054450000}"/>
    <cellStyle name="Vírgula 6 3 8 3 2 2" xfId="4807" xr:uid="{00000000-0005-0000-0000-000055450000}"/>
    <cellStyle name="Vírgula 6 3 8 3 2 2 2" xfId="21847" xr:uid="{00000000-0005-0000-0000-000056450000}"/>
    <cellStyle name="Vírgula 6 3 8 3 2 2 3" xfId="17842" xr:uid="{00000000-0005-0000-0000-000057450000}"/>
    <cellStyle name="Vírgula 6 3 8 3 2 3" xfId="5646" xr:uid="{00000000-0005-0000-0000-000058450000}"/>
    <cellStyle name="Vírgula 6 3 8 3 2 3 2" xfId="22645" xr:uid="{00000000-0005-0000-0000-000059450000}"/>
    <cellStyle name="Vírgula 6 3 8 3 2 3 3" xfId="18681" xr:uid="{00000000-0005-0000-0000-00005A450000}"/>
    <cellStyle name="Vírgula 6 3 8 3 2 4" xfId="20545" xr:uid="{00000000-0005-0000-0000-00005B450000}"/>
    <cellStyle name="Vírgula 6 3 8 3 2 5" xfId="16521" xr:uid="{00000000-0005-0000-0000-00005C450000}"/>
    <cellStyle name="Vírgula 6 3 8 3 3" xfId="4019" xr:uid="{00000000-0005-0000-0000-00005D450000}"/>
    <cellStyle name="Vírgula 6 3 8 3 3 2" xfId="6376" xr:uid="{00000000-0005-0000-0000-00005E450000}"/>
    <cellStyle name="Vírgula 6 3 8 3 3 2 2" xfId="23358" xr:uid="{00000000-0005-0000-0000-00005F450000}"/>
    <cellStyle name="Vírgula 6 3 8 3 3 2 3" xfId="19411" xr:uid="{00000000-0005-0000-0000-000060450000}"/>
    <cellStyle name="Vírgula 6 3 8 3 3 3" xfId="21071" xr:uid="{00000000-0005-0000-0000-000061450000}"/>
    <cellStyle name="Vírgula 6 3 8 3 3 4" xfId="17060" xr:uid="{00000000-0005-0000-0000-000062450000}"/>
    <cellStyle name="Vírgula 6 3 8 4" xfId="2349" xr:uid="{00000000-0005-0000-0000-000063450000}"/>
    <cellStyle name="Vírgula 6 3 8 4 2" xfId="2207" xr:uid="{00000000-0005-0000-0000-000064450000}"/>
    <cellStyle name="Vírgula 6 3 8 4 2 2" xfId="3336" xr:uid="{00000000-0005-0000-0000-000065450000}"/>
    <cellStyle name="Vírgula 6 3 8 4 2 2 2" xfId="4666" xr:uid="{00000000-0005-0000-0000-000066450000}"/>
    <cellStyle name="Vírgula 6 3 8 4 2 2 2 2" xfId="21706" xr:uid="{00000000-0005-0000-0000-000067450000}"/>
    <cellStyle name="Vírgula 6 3 8 4 2 2 2 3" xfId="17701" xr:uid="{00000000-0005-0000-0000-000068450000}"/>
    <cellStyle name="Vírgula 6 3 8 4 2 2 3" xfId="5505" xr:uid="{00000000-0005-0000-0000-000069450000}"/>
    <cellStyle name="Vírgula 6 3 8 4 2 2 3 2" xfId="22504" xr:uid="{00000000-0005-0000-0000-00006A450000}"/>
    <cellStyle name="Vírgula 6 3 8 4 2 2 3 3" xfId="18540" xr:uid="{00000000-0005-0000-0000-00006B450000}"/>
    <cellStyle name="Vírgula 6 3 8 4 2 2 4" xfId="20404" xr:uid="{00000000-0005-0000-0000-00006C450000}"/>
    <cellStyle name="Vírgula 6 3 8 4 2 2 5" xfId="16380" xr:uid="{00000000-0005-0000-0000-00006D450000}"/>
    <cellStyle name="Vírgula 6 3 8 4 2 3" xfId="4088" xr:uid="{00000000-0005-0000-0000-00006E450000}"/>
    <cellStyle name="Vírgula 6 3 8 4 2 3 2" xfId="6235" xr:uid="{00000000-0005-0000-0000-00006F450000}"/>
    <cellStyle name="Vírgula 6 3 8 4 2 3 2 2" xfId="23217" xr:uid="{00000000-0005-0000-0000-000070450000}"/>
    <cellStyle name="Vírgula 6 3 8 4 2 3 2 3" xfId="19270" xr:uid="{00000000-0005-0000-0000-000071450000}"/>
    <cellStyle name="Vírgula 6 3 8 4 2 3 3" xfId="21136" xr:uid="{00000000-0005-0000-0000-000072450000}"/>
    <cellStyle name="Vírgula 6 3 8 4 2 3 4" xfId="17128" xr:uid="{00000000-0005-0000-0000-000073450000}"/>
    <cellStyle name="Vírgula 6 3 8 4 3" xfId="2808" xr:uid="{00000000-0005-0000-0000-000074450000}"/>
    <cellStyle name="Vírgula 6 3 8 4 3 2" xfId="3636" xr:uid="{00000000-0005-0000-0000-000075450000}"/>
    <cellStyle name="Vírgula 6 3 8 4 3 2 2" xfId="4914" xr:uid="{00000000-0005-0000-0000-000076450000}"/>
    <cellStyle name="Vírgula 6 3 8 4 3 2 2 2" xfId="21954" xr:uid="{00000000-0005-0000-0000-000077450000}"/>
    <cellStyle name="Vírgula 6 3 8 4 3 2 2 3" xfId="17949" xr:uid="{00000000-0005-0000-0000-000078450000}"/>
    <cellStyle name="Vírgula 6 3 8 4 3 2 3" xfId="5805" xr:uid="{00000000-0005-0000-0000-000079450000}"/>
    <cellStyle name="Vírgula 6 3 8 4 3 2 3 2" xfId="22804" xr:uid="{00000000-0005-0000-0000-00007A450000}"/>
    <cellStyle name="Vírgula 6 3 8 4 3 2 3 3" xfId="18840" xr:uid="{00000000-0005-0000-0000-00007B450000}"/>
    <cellStyle name="Vírgula 6 3 8 4 3 2 4" xfId="20704" xr:uid="{00000000-0005-0000-0000-00007C450000}"/>
    <cellStyle name="Vírgula 6 3 8 4 3 2 5" xfId="16680" xr:uid="{00000000-0005-0000-0000-00007D450000}"/>
    <cellStyle name="Vírgula 6 3 8 4 4" xfId="3478" xr:uid="{00000000-0005-0000-0000-00007E450000}"/>
    <cellStyle name="Vírgula 6 3 8 4 4 2" xfId="4808" xr:uid="{00000000-0005-0000-0000-00007F450000}"/>
    <cellStyle name="Vírgula 6 3 8 4 4 2 2" xfId="21848" xr:uid="{00000000-0005-0000-0000-000080450000}"/>
    <cellStyle name="Vírgula 6 3 8 4 4 2 3" xfId="17843" xr:uid="{00000000-0005-0000-0000-000081450000}"/>
    <cellStyle name="Vírgula 6 3 8 4 4 3" xfId="5647" xr:uid="{00000000-0005-0000-0000-000082450000}"/>
    <cellStyle name="Vírgula 6 3 8 4 4 3 2" xfId="22646" xr:uid="{00000000-0005-0000-0000-000083450000}"/>
    <cellStyle name="Vírgula 6 3 8 4 4 3 3" xfId="18682" xr:uid="{00000000-0005-0000-0000-000084450000}"/>
    <cellStyle name="Vírgula 6 3 8 4 4 4" xfId="20546" xr:uid="{00000000-0005-0000-0000-000085450000}"/>
    <cellStyle name="Vírgula 6 3 8 4 4 5" xfId="16522" xr:uid="{00000000-0005-0000-0000-000086450000}"/>
    <cellStyle name="Vírgula 6 3 8 4 5" xfId="3867" xr:uid="{00000000-0005-0000-0000-000087450000}"/>
    <cellStyle name="Vírgula 6 3 8 4 5 2" xfId="6377" xr:uid="{00000000-0005-0000-0000-000088450000}"/>
    <cellStyle name="Vírgula 6 3 8 4 5 2 2" xfId="23359" xr:uid="{00000000-0005-0000-0000-000089450000}"/>
    <cellStyle name="Vírgula 6 3 8 4 5 2 3" xfId="19412" xr:uid="{00000000-0005-0000-0000-00008A450000}"/>
    <cellStyle name="Vírgula 6 3 8 4 5 3" xfId="20928" xr:uid="{00000000-0005-0000-0000-00008B450000}"/>
    <cellStyle name="Vírgula 6 3 8 4 5 4" xfId="16909" xr:uid="{00000000-0005-0000-0000-00008C450000}"/>
    <cellStyle name="Vírgula 6 3 8 5" xfId="2350" xr:uid="{00000000-0005-0000-0000-00008D450000}"/>
    <cellStyle name="Vírgula 6 3 8 5 2" xfId="3479" xr:uid="{00000000-0005-0000-0000-00008E450000}"/>
    <cellStyle name="Vírgula 6 3 8 5 2 2" xfId="4809" xr:uid="{00000000-0005-0000-0000-00008F450000}"/>
    <cellStyle name="Vírgula 6 3 8 5 2 2 2" xfId="21849" xr:uid="{00000000-0005-0000-0000-000090450000}"/>
    <cellStyle name="Vírgula 6 3 8 5 2 2 3" xfId="17844" xr:uid="{00000000-0005-0000-0000-000091450000}"/>
    <cellStyle name="Vírgula 6 3 8 5 2 3" xfId="5648" xr:uid="{00000000-0005-0000-0000-000092450000}"/>
    <cellStyle name="Vírgula 6 3 8 5 2 3 2" xfId="22647" xr:uid="{00000000-0005-0000-0000-000093450000}"/>
    <cellStyle name="Vírgula 6 3 8 5 2 3 3" xfId="18683" xr:uid="{00000000-0005-0000-0000-000094450000}"/>
    <cellStyle name="Vírgula 6 3 8 5 2 4" xfId="20547" xr:uid="{00000000-0005-0000-0000-000095450000}"/>
    <cellStyle name="Vírgula 6 3 8 5 2 5" xfId="16523" xr:uid="{00000000-0005-0000-0000-000096450000}"/>
    <cellStyle name="Vírgula 6 3 8 5 3" xfId="4070" xr:uid="{00000000-0005-0000-0000-000097450000}"/>
    <cellStyle name="Vírgula 6 3 8 5 3 2" xfId="6378" xr:uid="{00000000-0005-0000-0000-000098450000}"/>
    <cellStyle name="Vírgula 6 3 8 5 3 2 2" xfId="23360" xr:uid="{00000000-0005-0000-0000-000099450000}"/>
    <cellStyle name="Vírgula 6 3 8 5 3 2 3" xfId="19413" xr:uid="{00000000-0005-0000-0000-00009A450000}"/>
    <cellStyle name="Vírgula 6 3 8 5 3 3" xfId="21118" xr:uid="{00000000-0005-0000-0000-00009B450000}"/>
    <cellStyle name="Vírgula 6 3 8 5 3 4" xfId="17110" xr:uid="{00000000-0005-0000-0000-00009C450000}"/>
    <cellStyle name="Vírgula 6 3 8 6" xfId="5945" xr:uid="{00000000-0005-0000-0000-00009D450000}"/>
    <cellStyle name="Vírgula 6 3 8 6 2" xfId="22939" xr:uid="{00000000-0005-0000-0000-00009E450000}"/>
    <cellStyle name="Vírgula 6 3 8 6 3" xfId="18980" xr:uid="{00000000-0005-0000-0000-00009F450000}"/>
    <cellStyle name="Vírgula 6 3 9" xfId="600" xr:uid="{00000000-0005-0000-0000-0000A0450000}"/>
    <cellStyle name="Vírgula 6 3 9 2" xfId="882" xr:uid="{00000000-0005-0000-0000-0000A1450000}"/>
    <cellStyle name="Vírgula 6 3 9 2 2" xfId="3167" xr:uid="{00000000-0005-0000-0000-0000A2450000}"/>
    <cellStyle name="Vírgula 6 3 9 2 2 2" xfId="4108" xr:uid="{00000000-0005-0000-0000-0000A3450000}"/>
    <cellStyle name="Vírgula 6 3 9 2 2 2 2" xfId="6567" xr:uid="{00000000-0005-0000-0000-0000A4450000}"/>
    <cellStyle name="Vírgula 6 3 9 2 2 2 2 2" xfId="23549" xr:uid="{00000000-0005-0000-0000-0000A5450000}"/>
    <cellStyle name="Vírgula 6 3 9 2 2 2 2 3" xfId="19602" xr:uid="{00000000-0005-0000-0000-0000A6450000}"/>
    <cellStyle name="Vírgula 6 3 9 2 2 2 3" xfId="21156" xr:uid="{00000000-0005-0000-0000-0000A7450000}"/>
    <cellStyle name="Vírgula 6 3 9 2 2 2 4" xfId="17148" xr:uid="{00000000-0005-0000-0000-0000A8450000}"/>
    <cellStyle name="Vírgula 6 3 9 2 2 3" xfId="5336" xr:uid="{00000000-0005-0000-0000-0000A9450000}"/>
    <cellStyle name="Vírgula 6 3 9 2 2 3 2" xfId="11175" xr:uid="{00000000-0005-0000-0000-0000AA450000}"/>
    <cellStyle name="Vírgula 6 3 9 2 2 3 2 2" xfId="22335" xr:uid="{00000000-0005-0000-0000-0000AB450000}"/>
    <cellStyle name="Vírgula 6 3 9 2 2 3 3" xfId="11360" xr:uid="{00000000-0005-0000-0000-0000AC450000}"/>
    <cellStyle name="Vírgula 6 3 9 2 2 3 4" xfId="18371" xr:uid="{00000000-0005-0000-0000-0000AD450000}"/>
    <cellStyle name="Vírgula 6 3 9 2 2 4" xfId="13614" xr:uid="{00000000-0005-0000-0000-0000AE450000}"/>
    <cellStyle name="Vírgula 6 3 9 2 2 4 2" xfId="20235" xr:uid="{00000000-0005-0000-0000-0000AF450000}"/>
    <cellStyle name="Vírgula 6 3 9 2 2 5" xfId="16211" xr:uid="{00000000-0005-0000-0000-0000B0450000}"/>
    <cellStyle name="Vírgula 6 3 9 2 3" xfId="3916" xr:uid="{00000000-0005-0000-0000-0000B1450000}"/>
    <cellStyle name="Vírgula 6 3 9 2 3 2" xfId="6057" xr:uid="{00000000-0005-0000-0000-0000B2450000}"/>
    <cellStyle name="Vírgula 6 3 9 2 3 2 2" xfId="11606" xr:uid="{00000000-0005-0000-0000-0000B3450000}"/>
    <cellStyle name="Vírgula 6 3 9 2 3 2 2 2" xfId="23046" xr:uid="{00000000-0005-0000-0000-0000B4450000}"/>
    <cellStyle name="Vírgula 6 3 9 2 3 2 3" xfId="11359" xr:uid="{00000000-0005-0000-0000-0000B5450000}"/>
    <cellStyle name="Vírgula 6 3 9 2 3 2 4" xfId="19092" xr:uid="{00000000-0005-0000-0000-0000B6450000}"/>
    <cellStyle name="Vírgula 6 3 9 2 3 3" xfId="13659" xr:uid="{00000000-0005-0000-0000-0000B7450000}"/>
    <cellStyle name="Vírgula 6 3 9 2 3 3 2" xfId="20973" xr:uid="{00000000-0005-0000-0000-0000B8450000}"/>
    <cellStyle name="Vírgula 6 3 9 2 3 4" xfId="16958" xr:uid="{00000000-0005-0000-0000-0000B9450000}"/>
    <cellStyle name="Vírgula 6 3 9 2 4" xfId="6752" xr:uid="{00000000-0005-0000-0000-0000BA450000}"/>
    <cellStyle name="Vírgula 6 3 9 2 4 2" xfId="23725" xr:uid="{00000000-0005-0000-0000-0000BB450000}"/>
    <cellStyle name="Vírgula 6 3 9 2 4 3" xfId="19787" xr:uid="{00000000-0005-0000-0000-0000BC450000}"/>
    <cellStyle name="Vírgula 6 3 9 2 5" xfId="5070" xr:uid="{00000000-0005-0000-0000-0000BD450000}"/>
    <cellStyle name="Vírgula 6 3 9 2 5 2" xfId="22078" xr:uid="{00000000-0005-0000-0000-0000BE450000}"/>
    <cellStyle name="Vírgula 6 3 9 2 5 3" xfId="18105" xr:uid="{00000000-0005-0000-0000-0000BF450000}"/>
    <cellStyle name="Vírgula 6 3 9 2 6" xfId="19978" xr:uid="{00000000-0005-0000-0000-0000C0450000}"/>
    <cellStyle name="Vírgula 6 3 9 2 7" xfId="15938" xr:uid="{00000000-0005-0000-0000-0000C1450000}"/>
    <cellStyle name="Vírgula 6 3 9 3" xfId="2351" xr:uid="{00000000-0005-0000-0000-0000C2450000}"/>
    <cellStyle name="Vírgula 6 3 9 3 2" xfId="2884" xr:uid="{00000000-0005-0000-0000-0000C3450000}"/>
    <cellStyle name="Vírgula 6 3 9 3 2 2" xfId="3661" xr:uid="{00000000-0005-0000-0000-0000C4450000}"/>
    <cellStyle name="Vírgula 6 3 9 3 2 2 2" xfId="4939" xr:uid="{00000000-0005-0000-0000-0000C5450000}"/>
    <cellStyle name="Vírgula 6 3 9 3 2 2 2 2" xfId="21979" xr:uid="{00000000-0005-0000-0000-0000C6450000}"/>
    <cellStyle name="Vírgula 6 3 9 3 2 2 2 3" xfId="17974" xr:uid="{00000000-0005-0000-0000-0000C7450000}"/>
    <cellStyle name="Vírgula 6 3 9 3 2 2 3" xfId="5830" xr:uid="{00000000-0005-0000-0000-0000C8450000}"/>
    <cellStyle name="Vírgula 6 3 9 3 2 2 3 2" xfId="22829" xr:uid="{00000000-0005-0000-0000-0000C9450000}"/>
    <cellStyle name="Vírgula 6 3 9 3 2 2 3 3" xfId="18865" xr:uid="{00000000-0005-0000-0000-0000CA450000}"/>
    <cellStyle name="Vírgula 6 3 9 3 2 2 4" xfId="20729" xr:uid="{00000000-0005-0000-0000-0000CB450000}"/>
    <cellStyle name="Vírgula 6 3 9 3 2 2 5" xfId="16705" xr:uid="{00000000-0005-0000-0000-0000CC450000}"/>
    <cellStyle name="Vírgula 6 3 9 3 3" xfId="2809" xr:uid="{00000000-0005-0000-0000-0000CD450000}"/>
    <cellStyle name="Vírgula 6 3 9 3 3 2" xfId="3637" xr:uid="{00000000-0005-0000-0000-0000CE450000}"/>
    <cellStyle name="Vírgula 6 3 9 3 3 2 2" xfId="4915" xr:uid="{00000000-0005-0000-0000-0000CF450000}"/>
    <cellStyle name="Vírgula 6 3 9 3 3 2 2 2" xfId="21955" xr:uid="{00000000-0005-0000-0000-0000D0450000}"/>
    <cellStyle name="Vírgula 6 3 9 3 3 2 2 3" xfId="17950" xr:uid="{00000000-0005-0000-0000-0000D1450000}"/>
    <cellStyle name="Vírgula 6 3 9 3 3 2 3" xfId="5806" xr:uid="{00000000-0005-0000-0000-0000D2450000}"/>
    <cellStyle name="Vírgula 6 3 9 3 3 2 3 2" xfId="22805" xr:uid="{00000000-0005-0000-0000-0000D3450000}"/>
    <cellStyle name="Vírgula 6 3 9 3 3 2 3 3" xfId="18841" xr:uid="{00000000-0005-0000-0000-0000D4450000}"/>
    <cellStyle name="Vírgula 6 3 9 3 3 2 4" xfId="20705" xr:uid="{00000000-0005-0000-0000-0000D5450000}"/>
    <cellStyle name="Vírgula 6 3 9 3 3 2 5" xfId="16681" xr:uid="{00000000-0005-0000-0000-0000D6450000}"/>
    <cellStyle name="Vírgula 6 3 9 3 4" xfId="2662" xr:uid="{00000000-0005-0000-0000-0000D7450000}"/>
    <cellStyle name="Vírgula 6 3 9 3 4 2" xfId="3617" xr:uid="{00000000-0005-0000-0000-0000D8450000}"/>
    <cellStyle name="Vírgula 6 3 9 3 4 2 2" xfId="4895" xr:uid="{00000000-0005-0000-0000-0000D9450000}"/>
    <cellStyle name="Vírgula 6 3 9 3 4 2 2 2" xfId="21935" xr:uid="{00000000-0005-0000-0000-0000DA450000}"/>
    <cellStyle name="Vírgula 6 3 9 3 4 2 2 3" xfId="17930" xr:uid="{00000000-0005-0000-0000-0000DB450000}"/>
    <cellStyle name="Vírgula 6 3 9 3 4 2 3" xfId="5786" xr:uid="{00000000-0005-0000-0000-0000DC450000}"/>
    <cellStyle name="Vírgula 6 3 9 3 4 2 3 2" xfId="22785" xr:uid="{00000000-0005-0000-0000-0000DD450000}"/>
    <cellStyle name="Vírgula 6 3 9 3 4 2 3 3" xfId="18821" xr:uid="{00000000-0005-0000-0000-0000DE450000}"/>
    <cellStyle name="Vírgula 6 3 9 3 4 2 4" xfId="20685" xr:uid="{00000000-0005-0000-0000-0000DF450000}"/>
    <cellStyle name="Vírgula 6 3 9 3 4 2 5" xfId="16661" xr:uid="{00000000-0005-0000-0000-0000E0450000}"/>
    <cellStyle name="Vírgula 6 3 9 3 5" xfId="2595" xr:uid="{00000000-0005-0000-0000-0000E1450000}"/>
    <cellStyle name="Vírgula 6 3 9 3 5 2" xfId="3601" xr:uid="{00000000-0005-0000-0000-0000E2450000}"/>
    <cellStyle name="Vírgula 6 3 9 3 5 2 2" xfId="4879" xr:uid="{00000000-0005-0000-0000-0000E3450000}"/>
    <cellStyle name="Vírgula 6 3 9 3 5 2 2 2" xfId="21919" xr:uid="{00000000-0005-0000-0000-0000E4450000}"/>
    <cellStyle name="Vírgula 6 3 9 3 5 2 2 3" xfId="17914" xr:uid="{00000000-0005-0000-0000-0000E5450000}"/>
    <cellStyle name="Vírgula 6 3 9 3 5 2 3" xfId="5770" xr:uid="{00000000-0005-0000-0000-0000E6450000}"/>
    <cellStyle name="Vírgula 6 3 9 3 5 2 3 2" xfId="22769" xr:uid="{00000000-0005-0000-0000-0000E7450000}"/>
    <cellStyle name="Vírgula 6 3 9 3 5 2 3 3" xfId="18805" xr:uid="{00000000-0005-0000-0000-0000E8450000}"/>
    <cellStyle name="Vírgula 6 3 9 3 5 2 4" xfId="20669" xr:uid="{00000000-0005-0000-0000-0000E9450000}"/>
    <cellStyle name="Vírgula 6 3 9 3 5 2 5" xfId="16645" xr:uid="{00000000-0005-0000-0000-0000EA450000}"/>
    <cellStyle name="Vírgula 6 3 9 3 6" xfId="3480" xr:uid="{00000000-0005-0000-0000-0000EB450000}"/>
    <cellStyle name="Vírgula 6 3 9 3 6 2" xfId="4810" xr:uid="{00000000-0005-0000-0000-0000EC450000}"/>
    <cellStyle name="Vírgula 6 3 9 3 6 2 2" xfId="21850" xr:uid="{00000000-0005-0000-0000-0000ED450000}"/>
    <cellStyle name="Vírgula 6 3 9 3 6 2 3" xfId="17845" xr:uid="{00000000-0005-0000-0000-0000EE450000}"/>
    <cellStyle name="Vírgula 6 3 9 3 6 3" xfId="5649" xr:uid="{00000000-0005-0000-0000-0000EF450000}"/>
    <cellStyle name="Vírgula 6 3 9 3 6 3 2" xfId="22648" xr:uid="{00000000-0005-0000-0000-0000F0450000}"/>
    <cellStyle name="Vírgula 6 3 9 3 6 3 3" xfId="18684" xr:uid="{00000000-0005-0000-0000-0000F1450000}"/>
    <cellStyle name="Vírgula 6 3 9 3 6 4" xfId="20548" xr:uid="{00000000-0005-0000-0000-0000F2450000}"/>
    <cellStyle name="Vírgula 6 3 9 3 6 5" xfId="16524" xr:uid="{00000000-0005-0000-0000-0000F3450000}"/>
    <cellStyle name="Vírgula 6 3 9 3 7" xfId="4367" xr:uid="{00000000-0005-0000-0000-0000F4450000}"/>
    <cellStyle name="Vírgula 6 3 9 3 7 2" xfId="6379" xr:uid="{00000000-0005-0000-0000-0000F5450000}"/>
    <cellStyle name="Vírgula 6 3 9 3 7 2 2" xfId="23361" xr:uid="{00000000-0005-0000-0000-0000F6450000}"/>
    <cellStyle name="Vírgula 6 3 9 3 7 2 3" xfId="19414" xr:uid="{00000000-0005-0000-0000-0000F7450000}"/>
    <cellStyle name="Vírgula 6 3 9 3 7 3" xfId="21411" xr:uid="{00000000-0005-0000-0000-0000F8450000}"/>
    <cellStyle name="Vírgula 6 3 9 3 7 4" xfId="17404" xr:uid="{00000000-0005-0000-0000-0000F9450000}"/>
    <cellStyle name="Vírgula 6 3 9 4" xfId="5946" xr:uid="{00000000-0005-0000-0000-0000FA450000}"/>
    <cellStyle name="Vírgula 6 3 9 4 2" xfId="22940" xr:uid="{00000000-0005-0000-0000-0000FB450000}"/>
    <cellStyle name="Vírgula 6 3 9 4 3" xfId="18981" xr:uid="{00000000-0005-0000-0000-0000FC450000}"/>
    <cellStyle name="Vírgula 6 4" xfId="883" xr:uid="{00000000-0005-0000-0000-0000FD450000}"/>
    <cellStyle name="Vírgula 6 4 2" xfId="2352" xr:uid="{00000000-0005-0000-0000-0000FE450000}"/>
    <cellStyle name="Vírgula 6 4 2 2" xfId="3481" xr:uid="{00000000-0005-0000-0000-0000FF450000}"/>
    <cellStyle name="Vírgula 6 4 2 2 2" xfId="4811" xr:uid="{00000000-0005-0000-0000-000000460000}"/>
    <cellStyle name="Vírgula 6 4 2 2 2 2" xfId="21851" xr:uid="{00000000-0005-0000-0000-000001460000}"/>
    <cellStyle name="Vírgula 6 4 2 2 2 3" xfId="17846" xr:uid="{00000000-0005-0000-0000-000002460000}"/>
    <cellStyle name="Vírgula 6 4 2 2 3" xfId="5650" xr:uid="{00000000-0005-0000-0000-000003460000}"/>
    <cellStyle name="Vírgula 6 4 2 2 3 2" xfId="22649" xr:uid="{00000000-0005-0000-0000-000004460000}"/>
    <cellStyle name="Vírgula 6 4 2 2 3 3" xfId="18685" xr:uid="{00000000-0005-0000-0000-000005460000}"/>
    <cellStyle name="Vírgula 6 4 2 2 4" xfId="20549" xr:uid="{00000000-0005-0000-0000-000006460000}"/>
    <cellStyle name="Vírgula 6 4 2 2 5" xfId="16525" xr:uid="{00000000-0005-0000-0000-000007460000}"/>
    <cellStyle name="Vírgula 6 4 2 3" xfId="4467" xr:uid="{00000000-0005-0000-0000-000008460000}"/>
    <cellStyle name="Vírgula 6 4 2 3 2" xfId="6380" xr:uid="{00000000-0005-0000-0000-000009460000}"/>
    <cellStyle name="Vírgula 6 4 2 3 2 2" xfId="23362" xr:uid="{00000000-0005-0000-0000-00000A460000}"/>
    <cellStyle name="Vírgula 6 4 2 3 2 3" xfId="19415" xr:uid="{00000000-0005-0000-0000-00000B460000}"/>
    <cellStyle name="Vírgula 6 4 2 3 3" xfId="21507" xr:uid="{00000000-0005-0000-0000-00000C460000}"/>
    <cellStyle name="Vírgula 6 4 2 3 4" xfId="17502" xr:uid="{00000000-0005-0000-0000-00000D460000}"/>
    <cellStyle name="Vírgula 6 4 3" xfId="3168" xr:uid="{00000000-0005-0000-0000-00000E460000}"/>
    <cellStyle name="Vírgula 6 4 3 2" xfId="3983" xr:uid="{00000000-0005-0000-0000-00000F460000}"/>
    <cellStyle name="Vírgula 6 4 3 2 2" xfId="6568" xr:uid="{00000000-0005-0000-0000-000010460000}"/>
    <cellStyle name="Vírgula 6 4 3 2 2 2" xfId="23550" xr:uid="{00000000-0005-0000-0000-000011460000}"/>
    <cellStyle name="Vírgula 6 4 3 2 2 3" xfId="19603" xr:uid="{00000000-0005-0000-0000-000012460000}"/>
    <cellStyle name="Vírgula 6 4 3 2 3" xfId="21039" xr:uid="{00000000-0005-0000-0000-000013460000}"/>
    <cellStyle name="Vírgula 6 4 3 2 4" xfId="17025" xr:uid="{00000000-0005-0000-0000-000014460000}"/>
    <cellStyle name="Vírgula 6 4 3 3" xfId="5337" xr:uid="{00000000-0005-0000-0000-000015460000}"/>
    <cellStyle name="Vírgula 6 4 3 3 2" xfId="22336" xr:uid="{00000000-0005-0000-0000-000016460000}"/>
    <cellStyle name="Vírgula 6 4 3 3 3" xfId="18372" xr:uid="{00000000-0005-0000-0000-000017460000}"/>
    <cellStyle name="Vírgula 6 4 3 4" xfId="20236" xr:uid="{00000000-0005-0000-0000-000018460000}"/>
    <cellStyle name="Vírgula 6 4 3 5" xfId="16212" xr:uid="{00000000-0005-0000-0000-000019460000}"/>
    <cellStyle name="Vírgula 6 4 4" xfId="3917" xr:uid="{00000000-0005-0000-0000-00001A460000}"/>
    <cellStyle name="Vírgula 6 4 4 2" xfId="6058" xr:uid="{00000000-0005-0000-0000-00001B460000}"/>
    <cellStyle name="Vírgula 6 4 4 2 2" xfId="23047" xr:uid="{00000000-0005-0000-0000-00001C460000}"/>
    <cellStyle name="Vírgula 6 4 4 2 3" xfId="19093" xr:uid="{00000000-0005-0000-0000-00001D460000}"/>
    <cellStyle name="Vírgula 6 4 4 3" xfId="20974" xr:uid="{00000000-0005-0000-0000-00001E460000}"/>
    <cellStyle name="Vírgula 6 4 4 4" xfId="16959" xr:uid="{00000000-0005-0000-0000-00001F460000}"/>
    <cellStyle name="Vírgula 6 4 5" xfId="6753" xr:uid="{00000000-0005-0000-0000-000020460000}"/>
    <cellStyle name="Vírgula 6 4 5 2" xfId="23726" xr:uid="{00000000-0005-0000-0000-000021460000}"/>
    <cellStyle name="Vírgula 6 4 5 3" xfId="19788" xr:uid="{00000000-0005-0000-0000-000022460000}"/>
    <cellStyle name="Vírgula 6 4 6" xfId="5071" xr:uid="{00000000-0005-0000-0000-000023460000}"/>
    <cellStyle name="Vírgula 6 4 6 2" xfId="22079" xr:uid="{00000000-0005-0000-0000-000024460000}"/>
    <cellStyle name="Vírgula 6 4 6 3" xfId="18106" xr:uid="{00000000-0005-0000-0000-000025460000}"/>
    <cellStyle name="Vírgula 6 4 7" xfId="19979" xr:uid="{00000000-0005-0000-0000-000026460000}"/>
    <cellStyle name="Vírgula 6 4 8" xfId="15939" xr:uid="{00000000-0005-0000-0000-000027460000}"/>
    <cellStyle name="Vírgula 6 5" xfId="2353" xr:uid="{00000000-0005-0000-0000-000028460000}"/>
    <cellStyle name="Vírgula 6 5 2" xfId="3482" xr:uid="{00000000-0005-0000-0000-000029460000}"/>
    <cellStyle name="Vírgula 6 5 2 2" xfId="4812" xr:uid="{00000000-0005-0000-0000-00002A460000}"/>
    <cellStyle name="Vírgula 6 5 2 2 2" xfId="21852" xr:uid="{00000000-0005-0000-0000-00002B460000}"/>
    <cellStyle name="Vírgula 6 5 2 2 3" xfId="17847" xr:uid="{00000000-0005-0000-0000-00002C460000}"/>
    <cellStyle name="Vírgula 6 5 2 3" xfId="5651" xr:uid="{00000000-0005-0000-0000-00002D460000}"/>
    <cellStyle name="Vírgula 6 5 2 3 2" xfId="22650" xr:uid="{00000000-0005-0000-0000-00002E460000}"/>
    <cellStyle name="Vírgula 6 5 2 3 3" xfId="18686" xr:uid="{00000000-0005-0000-0000-00002F460000}"/>
    <cellStyle name="Vírgula 6 5 2 4" xfId="20550" xr:uid="{00000000-0005-0000-0000-000030460000}"/>
    <cellStyle name="Vírgula 6 5 2 5" xfId="16526" xr:uid="{00000000-0005-0000-0000-000031460000}"/>
    <cellStyle name="Vírgula 6 5 3" xfId="4059" xr:uid="{00000000-0005-0000-0000-000032460000}"/>
    <cellStyle name="Vírgula 6 5 3 2" xfId="6381" xr:uid="{00000000-0005-0000-0000-000033460000}"/>
    <cellStyle name="Vírgula 6 5 3 2 2" xfId="23363" xr:uid="{00000000-0005-0000-0000-000034460000}"/>
    <cellStyle name="Vírgula 6 5 3 2 3" xfId="19416" xr:uid="{00000000-0005-0000-0000-000035460000}"/>
    <cellStyle name="Vírgula 6 5 3 3" xfId="21108" xr:uid="{00000000-0005-0000-0000-000036460000}"/>
    <cellStyle name="Vírgula 6 5 3 4" xfId="17100" xr:uid="{00000000-0005-0000-0000-000037460000}"/>
    <cellStyle name="Vírgula 6 6" xfId="2354" xr:uid="{00000000-0005-0000-0000-000038460000}"/>
    <cellStyle name="Vírgula 6 6 2" xfId="3483" xr:uid="{00000000-0005-0000-0000-000039460000}"/>
    <cellStyle name="Vírgula 6 6 2 2" xfId="4813" xr:uid="{00000000-0005-0000-0000-00003A460000}"/>
    <cellStyle name="Vírgula 6 6 2 2 2" xfId="21853" xr:uid="{00000000-0005-0000-0000-00003B460000}"/>
    <cellStyle name="Vírgula 6 6 2 2 3" xfId="17848" xr:uid="{00000000-0005-0000-0000-00003C460000}"/>
    <cellStyle name="Vírgula 6 6 2 3" xfId="5652" xr:uid="{00000000-0005-0000-0000-00003D460000}"/>
    <cellStyle name="Vírgula 6 6 2 3 2" xfId="22651" xr:uid="{00000000-0005-0000-0000-00003E460000}"/>
    <cellStyle name="Vírgula 6 6 2 3 3" xfId="18687" xr:uid="{00000000-0005-0000-0000-00003F460000}"/>
    <cellStyle name="Vírgula 6 6 2 4" xfId="20551" xr:uid="{00000000-0005-0000-0000-000040460000}"/>
    <cellStyle name="Vírgula 6 6 2 5" xfId="16527" xr:uid="{00000000-0005-0000-0000-000041460000}"/>
    <cellStyle name="Vírgula 6 6 3" xfId="3975" xr:uid="{00000000-0005-0000-0000-000042460000}"/>
    <cellStyle name="Vírgula 6 6 3 2" xfId="6382" xr:uid="{00000000-0005-0000-0000-000043460000}"/>
    <cellStyle name="Vírgula 6 6 3 2 2" xfId="23364" xr:uid="{00000000-0005-0000-0000-000044460000}"/>
    <cellStyle name="Vírgula 6 6 3 2 3" xfId="19417" xr:uid="{00000000-0005-0000-0000-000045460000}"/>
    <cellStyle name="Vírgula 6 6 3 3" xfId="21031" xr:uid="{00000000-0005-0000-0000-000046460000}"/>
    <cellStyle name="Vírgula 6 6 3 4" xfId="17017" xr:uid="{00000000-0005-0000-0000-000047460000}"/>
    <cellStyle name="Vírgula 6 7" xfId="2355" xr:uid="{00000000-0005-0000-0000-000048460000}"/>
    <cellStyle name="Vírgula 6 7 2" xfId="3484" xr:uid="{00000000-0005-0000-0000-000049460000}"/>
    <cellStyle name="Vírgula 6 7 2 2" xfId="4814" xr:uid="{00000000-0005-0000-0000-00004A460000}"/>
    <cellStyle name="Vírgula 6 7 2 2 2" xfId="21854" xr:uid="{00000000-0005-0000-0000-00004B460000}"/>
    <cellStyle name="Vírgula 6 7 2 2 3" xfId="17849" xr:uid="{00000000-0005-0000-0000-00004C460000}"/>
    <cellStyle name="Vírgula 6 7 2 3" xfId="5653" xr:uid="{00000000-0005-0000-0000-00004D460000}"/>
    <cellStyle name="Vírgula 6 7 2 3 2" xfId="22652" xr:uid="{00000000-0005-0000-0000-00004E460000}"/>
    <cellStyle name="Vírgula 6 7 2 3 3" xfId="18688" xr:uid="{00000000-0005-0000-0000-00004F460000}"/>
    <cellStyle name="Vírgula 6 7 2 4" xfId="20552" xr:uid="{00000000-0005-0000-0000-000050460000}"/>
    <cellStyle name="Vírgula 6 7 2 5" xfId="16528" xr:uid="{00000000-0005-0000-0000-000051460000}"/>
    <cellStyle name="Vírgula 6 7 3" xfId="4144" xr:uid="{00000000-0005-0000-0000-000052460000}"/>
    <cellStyle name="Vírgula 6 7 3 2" xfId="6383" xr:uid="{00000000-0005-0000-0000-000053460000}"/>
    <cellStyle name="Vírgula 6 7 3 2 2" xfId="23365" xr:uid="{00000000-0005-0000-0000-000054460000}"/>
    <cellStyle name="Vírgula 6 7 3 2 3" xfId="19418" xr:uid="{00000000-0005-0000-0000-000055460000}"/>
    <cellStyle name="Vírgula 6 7 3 3" xfId="21192" xr:uid="{00000000-0005-0000-0000-000056460000}"/>
    <cellStyle name="Vírgula 6 7 3 4" xfId="17184" xr:uid="{00000000-0005-0000-0000-000057460000}"/>
    <cellStyle name="Vírgula 6 8" xfId="2356" xr:uid="{00000000-0005-0000-0000-000058460000}"/>
    <cellStyle name="Vírgula 6 8 2" xfId="3485" xr:uid="{00000000-0005-0000-0000-000059460000}"/>
    <cellStyle name="Vírgula 6 8 2 2" xfId="4815" xr:uid="{00000000-0005-0000-0000-00005A460000}"/>
    <cellStyle name="Vírgula 6 8 2 2 2" xfId="21855" xr:uid="{00000000-0005-0000-0000-00005B460000}"/>
    <cellStyle name="Vírgula 6 8 2 2 3" xfId="17850" xr:uid="{00000000-0005-0000-0000-00005C460000}"/>
    <cellStyle name="Vírgula 6 8 2 3" xfId="5654" xr:uid="{00000000-0005-0000-0000-00005D460000}"/>
    <cellStyle name="Vírgula 6 8 2 3 2" xfId="22653" xr:uid="{00000000-0005-0000-0000-00005E460000}"/>
    <cellStyle name="Vírgula 6 8 2 3 3" xfId="18689" xr:uid="{00000000-0005-0000-0000-00005F460000}"/>
    <cellStyle name="Vírgula 6 8 2 4" xfId="20553" xr:uid="{00000000-0005-0000-0000-000060460000}"/>
    <cellStyle name="Vírgula 6 8 2 5" xfId="16529" xr:uid="{00000000-0005-0000-0000-000061460000}"/>
    <cellStyle name="Vírgula 6 8 3" xfId="3873" xr:uid="{00000000-0005-0000-0000-000062460000}"/>
    <cellStyle name="Vírgula 6 8 3 2" xfId="6384" xr:uid="{00000000-0005-0000-0000-000063460000}"/>
    <cellStyle name="Vírgula 6 8 3 2 2" xfId="23366" xr:uid="{00000000-0005-0000-0000-000064460000}"/>
    <cellStyle name="Vírgula 6 8 3 2 3" xfId="19419" xr:uid="{00000000-0005-0000-0000-000065460000}"/>
    <cellStyle name="Vírgula 6 8 3 3" xfId="20934" xr:uid="{00000000-0005-0000-0000-000066460000}"/>
    <cellStyle name="Vírgula 6 8 3 4" xfId="16915" xr:uid="{00000000-0005-0000-0000-000067460000}"/>
    <cellStyle name="Vírgula 6 9" xfId="2357" xr:uid="{00000000-0005-0000-0000-000068460000}"/>
    <cellStyle name="Vírgula 6 9 2" xfId="3486" xr:uid="{00000000-0005-0000-0000-000069460000}"/>
    <cellStyle name="Vírgula 6 9 2 2" xfId="4816" xr:uid="{00000000-0005-0000-0000-00006A460000}"/>
    <cellStyle name="Vírgula 6 9 2 2 2" xfId="21856" xr:uid="{00000000-0005-0000-0000-00006B460000}"/>
    <cellStyle name="Vírgula 6 9 2 2 3" xfId="17851" xr:uid="{00000000-0005-0000-0000-00006C460000}"/>
    <cellStyle name="Vírgula 6 9 2 3" xfId="5655" xr:uid="{00000000-0005-0000-0000-00006D460000}"/>
    <cellStyle name="Vírgula 6 9 2 3 2" xfId="22654" xr:uid="{00000000-0005-0000-0000-00006E460000}"/>
    <cellStyle name="Vírgula 6 9 2 3 3" xfId="18690" xr:uid="{00000000-0005-0000-0000-00006F460000}"/>
    <cellStyle name="Vírgula 6 9 2 4" xfId="20554" xr:uid="{00000000-0005-0000-0000-000070460000}"/>
    <cellStyle name="Vírgula 6 9 2 5" xfId="16530" xr:uid="{00000000-0005-0000-0000-000071460000}"/>
    <cellStyle name="Vírgula 6 9 3" xfId="3988" xr:uid="{00000000-0005-0000-0000-000072460000}"/>
    <cellStyle name="Vírgula 6 9 3 2" xfId="6385" xr:uid="{00000000-0005-0000-0000-000073460000}"/>
    <cellStyle name="Vírgula 6 9 3 2 2" xfId="23367" xr:uid="{00000000-0005-0000-0000-000074460000}"/>
    <cellStyle name="Vírgula 6 9 3 2 3" xfId="19420" xr:uid="{00000000-0005-0000-0000-000075460000}"/>
    <cellStyle name="Vírgula 6 9 3 3" xfId="21044" xr:uid="{00000000-0005-0000-0000-000076460000}"/>
    <cellStyle name="Vírgula 6 9 3 4" xfId="17030" xr:uid="{00000000-0005-0000-0000-000077460000}"/>
    <cellStyle name="Vírgula 7" xfId="68" xr:uid="{00000000-0005-0000-0000-000078460000}"/>
    <cellStyle name="Vírgula 7 10" xfId="2359" xr:uid="{00000000-0005-0000-0000-000079460000}"/>
    <cellStyle name="Vírgula 7 10 2" xfId="2360" xr:uid="{00000000-0005-0000-0000-00007A460000}"/>
    <cellStyle name="Vírgula 7 10 2 2" xfId="3489" xr:uid="{00000000-0005-0000-0000-00007B460000}"/>
    <cellStyle name="Vírgula 7 10 2 2 2" xfId="4090" xr:uid="{00000000-0005-0000-0000-00007C460000}"/>
    <cellStyle name="Vírgula 7 10 2 2 2 2" xfId="6622" xr:uid="{00000000-0005-0000-0000-00007D460000}"/>
    <cellStyle name="Vírgula 7 10 2 2 2 2 2" xfId="23604" xr:uid="{00000000-0005-0000-0000-00007E460000}"/>
    <cellStyle name="Vírgula 7 10 2 2 2 2 3" xfId="19657" xr:uid="{00000000-0005-0000-0000-00007F460000}"/>
    <cellStyle name="Vírgula 7 10 2 2 2 3" xfId="21138" xr:uid="{00000000-0005-0000-0000-000080460000}"/>
    <cellStyle name="Vírgula 7 10 2 2 2 4" xfId="17130" xr:uid="{00000000-0005-0000-0000-000081460000}"/>
    <cellStyle name="Vírgula 7 10 2 2 3" xfId="5658" xr:uid="{00000000-0005-0000-0000-000082460000}"/>
    <cellStyle name="Vírgula 7 10 2 2 3 2" xfId="22657" xr:uid="{00000000-0005-0000-0000-000083460000}"/>
    <cellStyle name="Vírgula 7 10 2 2 3 3" xfId="18693" xr:uid="{00000000-0005-0000-0000-000084460000}"/>
    <cellStyle name="Vírgula 7 10 2 2 4" xfId="20557" xr:uid="{00000000-0005-0000-0000-000085460000}"/>
    <cellStyle name="Vírgula 7 10 2 2 5" xfId="16533" xr:uid="{00000000-0005-0000-0000-000086460000}"/>
    <cellStyle name="Vírgula 7 10 2 3" xfId="4259" xr:uid="{00000000-0005-0000-0000-000087460000}"/>
    <cellStyle name="Vírgula 7 10 2 3 2" xfId="6388" xr:uid="{00000000-0005-0000-0000-000088460000}"/>
    <cellStyle name="Vírgula 7 10 2 3 2 2" xfId="23370" xr:uid="{00000000-0005-0000-0000-000089460000}"/>
    <cellStyle name="Vírgula 7 10 2 3 2 3" xfId="19423" xr:uid="{00000000-0005-0000-0000-00008A460000}"/>
    <cellStyle name="Vírgula 7 10 2 3 3" xfId="21303" xr:uid="{00000000-0005-0000-0000-00008B460000}"/>
    <cellStyle name="Vírgula 7 10 2 3 4" xfId="17296" xr:uid="{00000000-0005-0000-0000-00008C460000}"/>
    <cellStyle name="Vírgula 7 10 2 4" xfId="6814" xr:uid="{00000000-0005-0000-0000-00008D460000}"/>
    <cellStyle name="Vírgula 7 10 2 4 2" xfId="23780" xr:uid="{00000000-0005-0000-0000-00008E460000}"/>
    <cellStyle name="Vírgula 7 10 2 4 3" xfId="19849" xr:uid="{00000000-0005-0000-0000-00008F460000}"/>
    <cellStyle name="Vírgula 7 10 2 5" xfId="5132" xr:uid="{00000000-0005-0000-0000-000090460000}"/>
    <cellStyle name="Vírgula 7 10 2 5 2" xfId="22133" xr:uid="{00000000-0005-0000-0000-000091460000}"/>
    <cellStyle name="Vírgula 7 10 2 5 3" xfId="18167" xr:uid="{00000000-0005-0000-0000-000092460000}"/>
    <cellStyle name="Vírgula 7 10 2 6" xfId="10465" xr:uid="{00000000-0005-0000-0000-000093460000}"/>
    <cellStyle name="Vírgula 7 10 2 6 2" xfId="20033" xr:uid="{00000000-0005-0000-0000-000094460000}"/>
    <cellStyle name="Vírgula 7 10 2 7" xfId="16002" xr:uid="{00000000-0005-0000-0000-000095460000}"/>
    <cellStyle name="Vírgula 7 10 3" xfId="3488" xr:uid="{00000000-0005-0000-0000-000096460000}"/>
    <cellStyle name="Vírgula 7 10 3 2" xfId="4098" xr:uid="{00000000-0005-0000-0000-000097460000}"/>
    <cellStyle name="Vírgula 7 10 3 2 2" xfId="6621" xr:uid="{00000000-0005-0000-0000-000098460000}"/>
    <cellStyle name="Vírgula 7 10 3 2 2 2" xfId="23603" xr:uid="{00000000-0005-0000-0000-000099460000}"/>
    <cellStyle name="Vírgula 7 10 3 2 2 3" xfId="19656" xr:uid="{00000000-0005-0000-0000-00009A460000}"/>
    <cellStyle name="Vírgula 7 10 3 2 3" xfId="21146" xr:uid="{00000000-0005-0000-0000-00009B460000}"/>
    <cellStyle name="Vírgula 7 10 3 2 4" xfId="17138" xr:uid="{00000000-0005-0000-0000-00009C460000}"/>
    <cellStyle name="Vírgula 7 10 3 3" xfId="5657" xr:uid="{00000000-0005-0000-0000-00009D460000}"/>
    <cellStyle name="Vírgula 7 10 3 3 2" xfId="12485" xr:uid="{00000000-0005-0000-0000-00009E460000}"/>
    <cellStyle name="Vírgula 7 10 3 3 2 2" xfId="22656" xr:uid="{00000000-0005-0000-0000-00009F460000}"/>
    <cellStyle name="Vírgula 7 10 3 3 3" xfId="11973" xr:uid="{00000000-0005-0000-0000-0000A0460000}"/>
    <cellStyle name="Vírgula 7 10 3 3 4" xfId="18692" xr:uid="{00000000-0005-0000-0000-0000A1460000}"/>
    <cellStyle name="Vírgula 7 10 3 4" xfId="11384" xr:uid="{00000000-0005-0000-0000-0000A2460000}"/>
    <cellStyle name="Vírgula 7 10 3 4 2" xfId="20556" xr:uid="{00000000-0005-0000-0000-0000A3460000}"/>
    <cellStyle name="Vírgula 7 10 3 5" xfId="16532" xr:uid="{00000000-0005-0000-0000-0000A4460000}"/>
    <cellStyle name="Vírgula 7 10 4" xfId="4258" xr:uid="{00000000-0005-0000-0000-0000A5460000}"/>
    <cellStyle name="Vírgula 7 10 4 2" xfId="6387" xr:uid="{00000000-0005-0000-0000-0000A6460000}"/>
    <cellStyle name="Vírgula 7 10 4 2 2" xfId="23369" xr:uid="{00000000-0005-0000-0000-0000A7460000}"/>
    <cellStyle name="Vírgula 7 10 4 2 3" xfId="19422" xr:uid="{00000000-0005-0000-0000-0000A8460000}"/>
    <cellStyle name="Vírgula 7 10 4 3" xfId="21302" xr:uid="{00000000-0005-0000-0000-0000A9460000}"/>
    <cellStyle name="Vírgula 7 10 4 4" xfId="17295" xr:uid="{00000000-0005-0000-0000-0000AA460000}"/>
    <cellStyle name="Vírgula 7 10 5" xfId="6813" xr:uid="{00000000-0005-0000-0000-0000AB460000}"/>
    <cellStyle name="Vírgula 7 10 5 2" xfId="23779" xr:uid="{00000000-0005-0000-0000-0000AC460000}"/>
    <cellStyle name="Vírgula 7 10 5 3" xfId="19848" xr:uid="{00000000-0005-0000-0000-0000AD460000}"/>
    <cellStyle name="Vírgula 7 10 6" xfId="5131" xr:uid="{00000000-0005-0000-0000-0000AE460000}"/>
    <cellStyle name="Vírgula 7 10 6 2" xfId="22132" xr:uid="{00000000-0005-0000-0000-0000AF460000}"/>
    <cellStyle name="Vírgula 7 10 6 3" xfId="18166" xr:uid="{00000000-0005-0000-0000-0000B0460000}"/>
    <cellStyle name="Vírgula 7 10 7" xfId="9473" xr:uid="{00000000-0005-0000-0000-0000B1460000}"/>
    <cellStyle name="Vírgula 7 10 7 2" xfId="14891" xr:uid="{00000000-0005-0000-0000-0000B2460000}"/>
    <cellStyle name="Vírgula 7 10 7 3" xfId="13520" xr:uid="{00000000-0005-0000-0000-0000B3460000}"/>
    <cellStyle name="Vírgula 7 10 7 4" xfId="20032" xr:uid="{00000000-0005-0000-0000-0000B4460000}"/>
    <cellStyle name="Vírgula 7 10 8" xfId="16001" xr:uid="{00000000-0005-0000-0000-0000B5460000}"/>
    <cellStyle name="Vírgula 7 11" xfId="2361" xr:uid="{00000000-0005-0000-0000-0000B6460000}"/>
    <cellStyle name="Vírgula 7 11 2" xfId="2362" xr:uid="{00000000-0005-0000-0000-0000B7460000}"/>
    <cellStyle name="Vírgula 7 11 2 2" xfId="3491" xr:uid="{00000000-0005-0000-0000-0000B8460000}"/>
    <cellStyle name="Vírgula 7 11 2 2 2" xfId="4819" xr:uid="{00000000-0005-0000-0000-0000B9460000}"/>
    <cellStyle name="Vírgula 7 11 2 2 2 2" xfId="21859" xr:uid="{00000000-0005-0000-0000-0000BA460000}"/>
    <cellStyle name="Vírgula 7 11 2 2 2 3" xfId="17854" xr:uid="{00000000-0005-0000-0000-0000BB460000}"/>
    <cellStyle name="Vírgula 7 11 2 2 3" xfId="5660" xr:uid="{00000000-0005-0000-0000-0000BC460000}"/>
    <cellStyle name="Vírgula 7 11 2 2 3 2" xfId="12487" xr:uid="{00000000-0005-0000-0000-0000BD460000}"/>
    <cellStyle name="Vírgula 7 11 2 2 3 2 2" xfId="22659" xr:uid="{00000000-0005-0000-0000-0000BE460000}"/>
    <cellStyle name="Vírgula 7 11 2 2 3 3" xfId="13108" xr:uid="{00000000-0005-0000-0000-0000BF460000}"/>
    <cellStyle name="Vírgula 7 11 2 2 3 4" xfId="18695" xr:uid="{00000000-0005-0000-0000-0000C0460000}"/>
    <cellStyle name="Vírgula 7 11 2 2 4" xfId="20559" xr:uid="{00000000-0005-0000-0000-0000C1460000}"/>
    <cellStyle name="Vírgula 7 11 2 2 5" xfId="16535" xr:uid="{00000000-0005-0000-0000-0000C2460000}"/>
    <cellStyle name="Vírgula 7 11 2 3" xfId="3701" xr:uid="{00000000-0005-0000-0000-0000C3460000}"/>
    <cellStyle name="Vírgula 7 11 2 3 2" xfId="6390" xr:uid="{00000000-0005-0000-0000-0000C4460000}"/>
    <cellStyle name="Vírgula 7 11 2 3 2 2" xfId="11767" xr:uid="{00000000-0005-0000-0000-0000C5460000}"/>
    <cellStyle name="Vírgula 7 11 2 3 2 2 2" xfId="23372" xr:uid="{00000000-0005-0000-0000-0000C6460000}"/>
    <cellStyle name="Vírgula 7 11 2 3 2 3" xfId="12003" xr:uid="{00000000-0005-0000-0000-0000C7460000}"/>
    <cellStyle name="Vírgula 7 11 2 3 2 4" xfId="19425" xr:uid="{00000000-0005-0000-0000-0000C8460000}"/>
    <cellStyle name="Vírgula 7 11 2 3 3" xfId="20769" xr:uid="{00000000-0005-0000-0000-0000C9460000}"/>
    <cellStyle name="Vírgula 7 11 2 3 4" xfId="16745" xr:uid="{00000000-0005-0000-0000-0000CA460000}"/>
    <cellStyle name="Vírgula 7 11 2 4" xfId="8588" xr:uid="{00000000-0005-0000-0000-0000CB460000}"/>
    <cellStyle name="Vírgula 7 11 2 5" xfId="13522" xr:uid="{00000000-0005-0000-0000-0000CC460000}"/>
    <cellStyle name="Vírgula 7 11 3" xfId="2811" xr:uid="{00000000-0005-0000-0000-0000CD460000}"/>
    <cellStyle name="Vírgula 7 11 3 2" xfId="3639" xr:uid="{00000000-0005-0000-0000-0000CE460000}"/>
    <cellStyle name="Vírgula 7 11 3 2 2" xfId="4917" xr:uid="{00000000-0005-0000-0000-0000CF460000}"/>
    <cellStyle name="Vírgula 7 11 3 2 2 2" xfId="21957" xr:uid="{00000000-0005-0000-0000-0000D0460000}"/>
    <cellStyle name="Vírgula 7 11 3 2 2 3" xfId="17952" xr:uid="{00000000-0005-0000-0000-0000D1460000}"/>
    <cellStyle name="Vírgula 7 11 3 2 3" xfId="5808" xr:uid="{00000000-0005-0000-0000-0000D2460000}"/>
    <cellStyle name="Vírgula 7 11 3 2 3 2" xfId="12488" xr:uid="{00000000-0005-0000-0000-0000D3460000}"/>
    <cellStyle name="Vírgula 7 11 3 2 3 2 2" xfId="22807" xr:uid="{00000000-0005-0000-0000-0000D4460000}"/>
    <cellStyle name="Vírgula 7 11 3 2 3 3" xfId="11844" xr:uid="{00000000-0005-0000-0000-0000D5460000}"/>
    <cellStyle name="Vírgula 7 11 3 2 3 4" xfId="18843" xr:uid="{00000000-0005-0000-0000-0000D6460000}"/>
    <cellStyle name="Vírgula 7 11 3 2 4" xfId="20707" xr:uid="{00000000-0005-0000-0000-0000D7460000}"/>
    <cellStyle name="Vírgula 7 11 3 2 5" xfId="16683" xr:uid="{00000000-0005-0000-0000-0000D8460000}"/>
    <cellStyle name="Vírgula 7 11 3 3" xfId="8589" xr:uid="{00000000-0005-0000-0000-0000D9460000}"/>
    <cellStyle name="Vírgula 7 11 4" xfId="3490" xr:uid="{00000000-0005-0000-0000-0000DA460000}"/>
    <cellStyle name="Vírgula 7 11 4 2" xfId="4818" xr:uid="{00000000-0005-0000-0000-0000DB460000}"/>
    <cellStyle name="Vírgula 7 11 4 2 2" xfId="21858" xr:uid="{00000000-0005-0000-0000-0000DC460000}"/>
    <cellStyle name="Vírgula 7 11 4 2 3" xfId="17853" xr:uid="{00000000-0005-0000-0000-0000DD460000}"/>
    <cellStyle name="Vírgula 7 11 4 3" xfId="5659" xr:uid="{00000000-0005-0000-0000-0000DE460000}"/>
    <cellStyle name="Vírgula 7 11 4 3 2" xfId="12486" xr:uid="{00000000-0005-0000-0000-0000DF460000}"/>
    <cellStyle name="Vírgula 7 11 4 3 2 2" xfId="22658" xr:uid="{00000000-0005-0000-0000-0000E0460000}"/>
    <cellStyle name="Vírgula 7 11 4 3 3" xfId="11774" xr:uid="{00000000-0005-0000-0000-0000E1460000}"/>
    <cellStyle name="Vírgula 7 11 4 3 4" xfId="18694" xr:uid="{00000000-0005-0000-0000-0000E2460000}"/>
    <cellStyle name="Vírgula 7 11 4 4" xfId="20558" xr:uid="{00000000-0005-0000-0000-0000E3460000}"/>
    <cellStyle name="Vírgula 7 11 4 5" xfId="16534" xr:uid="{00000000-0005-0000-0000-0000E4460000}"/>
    <cellStyle name="Vírgula 7 11 5" xfId="4153" xr:uid="{00000000-0005-0000-0000-0000E5460000}"/>
    <cellStyle name="Vírgula 7 11 5 2" xfId="6389" xr:uid="{00000000-0005-0000-0000-0000E6460000}"/>
    <cellStyle name="Vírgula 7 11 5 2 2" xfId="23371" xr:uid="{00000000-0005-0000-0000-0000E7460000}"/>
    <cellStyle name="Vírgula 7 11 5 2 3" xfId="19424" xr:uid="{00000000-0005-0000-0000-0000E8460000}"/>
    <cellStyle name="Vírgula 7 11 5 3" xfId="21201" xr:uid="{00000000-0005-0000-0000-0000E9460000}"/>
    <cellStyle name="Vírgula 7 11 5 4" xfId="17193" xr:uid="{00000000-0005-0000-0000-0000EA460000}"/>
    <cellStyle name="Vírgula 7 11 6" xfId="9897" xr:uid="{00000000-0005-0000-0000-0000EB460000}"/>
    <cellStyle name="Vírgula 7 11 6 2" xfId="14898" xr:uid="{00000000-0005-0000-0000-0000EC460000}"/>
    <cellStyle name="Vírgula 7 11 6 3" xfId="13521" xr:uid="{00000000-0005-0000-0000-0000ED460000}"/>
    <cellStyle name="Vírgula 7 12" xfId="2363" xr:uid="{00000000-0005-0000-0000-0000EE460000}"/>
    <cellStyle name="Vírgula 7 12 2" xfId="2364" xr:uid="{00000000-0005-0000-0000-0000EF460000}"/>
    <cellStyle name="Vírgula 7 12 2 2" xfId="3493" xr:uid="{00000000-0005-0000-0000-0000F0460000}"/>
    <cellStyle name="Vírgula 7 12 2 2 2" xfId="3736" xr:uid="{00000000-0005-0000-0000-0000F1460000}"/>
    <cellStyle name="Vírgula 7 12 2 2 2 2" xfId="6624" xr:uid="{00000000-0005-0000-0000-0000F2460000}"/>
    <cellStyle name="Vírgula 7 12 2 2 2 2 2" xfId="23606" xr:uid="{00000000-0005-0000-0000-0000F3460000}"/>
    <cellStyle name="Vírgula 7 12 2 2 2 2 3" xfId="19659" xr:uid="{00000000-0005-0000-0000-0000F4460000}"/>
    <cellStyle name="Vírgula 7 12 2 2 2 3" xfId="20801" xr:uid="{00000000-0005-0000-0000-0000F5460000}"/>
    <cellStyle name="Vírgula 7 12 2 2 2 4" xfId="16780" xr:uid="{00000000-0005-0000-0000-0000F6460000}"/>
    <cellStyle name="Vírgula 7 12 2 2 3" xfId="5662" xr:uid="{00000000-0005-0000-0000-0000F7460000}"/>
    <cellStyle name="Vírgula 7 12 2 2 3 2" xfId="22661" xr:uid="{00000000-0005-0000-0000-0000F8460000}"/>
    <cellStyle name="Vírgula 7 12 2 2 3 3" xfId="18697" xr:uid="{00000000-0005-0000-0000-0000F9460000}"/>
    <cellStyle name="Vírgula 7 12 2 2 4" xfId="20561" xr:uid="{00000000-0005-0000-0000-0000FA460000}"/>
    <cellStyle name="Vírgula 7 12 2 2 5" xfId="16537" xr:uid="{00000000-0005-0000-0000-0000FB460000}"/>
    <cellStyle name="Vírgula 7 12 2 3" xfId="4261" xr:uid="{00000000-0005-0000-0000-0000FC460000}"/>
    <cellStyle name="Vírgula 7 12 2 3 2" xfId="6392" xr:uid="{00000000-0005-0000-0000-0000FD460000}"/>
    <cellStyle name="Vírgula 7 12 2 3 2 2" xfId="23374" xr:uid="{00000000-0005-0000-0000-0000FE460000}"/>
    <cellStyle name="Vírgula 7 12 2 3 2 3" xfId="19427" xr:uid="{00000000-0005-0000-0000-0000FF460000}"/>
    <cellStyle name="Vírgula 7 12 2 3 3" xfId="21305" xr:uid="{00000000-0005-0000-0000-000000470000}"/>
    <cellStyle name="Vírgula 7 12 2 3 4" xfId="17298" xr:uid="{00000000-0005-0000-0000-000001470000}"/>
    <cellStyle name="Vírgula 7 12 2 4" xfId="6816" xr:uid="{00000000-0005-0000-0000-000002470000}"/>
    <cellStyle name="Vírgula 7 12 2 4 2" xfId="23782" xr:uid="{00000000-0005-0000-0000-000003470000}"/>
    <cellStyle name="Vírgula 7 12 2 4 3" xfId="19851" xr:uid="{00000000-0005-0000-0000-000004470000}"/>
    <cellStyle name="Vírgula 7 12 2 5" xfId="5134" xr:uid="{00000000-0005-0000-0000-000005470000}"/>
    <cellStyle name="Vírgula 7 12 2 5 2" xfId="22135" xr:uid="{00000000-0005-0000-0000-000006470000}"/>
    <cellStyle name="Vírgula 7 12 2 5 3" xfId="18169" xr:uid="{00000000-0005-0000-0000-000007470000}"/>
    <cellStyle name="Vírgula 7 12 2 6" xfId="20035" xr:uid="{00000000-0005-0000-0000-000008470000}"/>
    <cellStyle name="Vírgula 7 12 2 7" xfId="16004" xr:uid="{00000000-0005-0000-0000-000009470000}"/>
    <cellStyle name="Vírgula 7 12 3" xfId="3492" xr:uid="{00000000-0005-0000-0000-00000A470000}"/>
    <cellStyle name="Vírgula 7 12 3 2" xfId="4189" xr:uid="{00000000-0005-0000-0000-00000B470000}"/>
    <cellStyle name="Vírgula 7 12 3 2 2" xfId="6623" xr:uid="{00000000-0005-0000-0000-00000C470000}"/>
    <cellStyle name="Vírgula 7 12 3 2 2 2" xfId="23605" xr:uid="{00000000-0005-0000-0000-00000D470000}"/>
    <cellStyle name="Vírgula 7 12 3 2 2 3" xfId="19658" xr:uid="{00000000-0005-0000-0000-00000E470000}"/>
    <cellStyle name="Vírgula 7 12 3 2 3" xfId="21235" xr:uid="{00000000-0005-0000-0000-00000F470000}"/>
    <cellStyle name="Vírgula 7 12 3 2 4" xfId="17228" xr:uid="{00000000-0005-0000-0000-000010470000}"/>
    <cellStyle name="Vírgula 7 12 3 3" xfId="5661" xr:uid="{00000000-0005-0000-0000-000011470000}"/>
    <cellStyle name="Vírgula 7 12 3 3 2" xfId="22660" xr:uid="{00000000-0005-0000-0000-000012470000}"/>
    <cellStyle name="Vírgula 7 12 3 3 3" xfId="18696" xr:uid="{00000000-0005-0000-0000-000013470000}"/>
    <cellStyle name="Vírgula 7 12 3 4" xfId="20560" xr:uid="{00000000-0005-0000-0000-000014470000}"/>
    <cellStyle name="Vírgula 7 12 3 5" xfId="16536" xr:uid="{00000000-0005-0000-0000-000015470000}"/>
    <cellStyle name="Vírgula 7 12 4" xfId="4260" xr:uid="{00000000-0005-0000-0000-000016470000}"/>
    <cellStyle name="Vírgula 7 12 4 2" xfId="6391" xr:uid="{00000000-0005-0000-0000-000017470000}"/>
    <cellStyle name="Vírgula 7 12 4 2 2" xfId="23373" xr:uid="{00000000-0005-0000-0000-000018470000}"/>
    <cellStyle name="Vírgula 7 12 4 2 3" xfId="19426" xr:uid="{00000000-0005-0000-0000-000019470000}"/>
    <cellStyle name="Vírgula 7 12 4 3" xfId="21304" xr:uid="{00000000-0005-0000-0000-00001A470000}"/>
    <cellStyle name="Vírgula 7 12 4 4" xfId="17297" xr:uid="{00000000-0005-0000-0000-00001B470000}"/>
    <cellStyle name="Vírgula 7 12 5" xfId="6815" xr:uid="{00000000-0005-0000-0000-00001C470000}"/>
    <cellStyle name="Vírgula 7 12 5 2" xfId="23781" xr:uid="{00000000-0005-0000-0000-00001D470000}"/>
    <cellStyle name="Vírgula 7 12 5 3" xfId="19850" xr:uid="{00000000-0005-0000-0000-00001E470000}"/>
    <cellStyle name="Vírgula 7 12 6" xfId="5133" xr:uid="{00000000-0005-0000-0000-00001F470000}"/>
    <cellStyle name="Vírgula 7 12 6 2" xfId="22134" xr:uid="{00000000-0005-0000-0000-000020470000}"/>
    <cellStyle name="Vírgula 7 12 6 3" xfId="18168" xr:uid="{00000000-0005-0000-0000-000021470000}"/>
    <cellStyle name="Vírgula 7 12 7" xfId="9057" xr:uid="{00000000-0005-0000-0000-000022470000}"/>
    <cellStyle name="Vírgula 7 12 7 2" xfId="20034" xr:uid="{00000000-0005-0000-0000-000023470000}"/>
    <cellStyle name="Vírgula 7 12 8" xfId="16003" xr:uid="{00000000-0005-0000-0000-000024470000}"/>
    <cellStyle name="Vírgula 7 13" xfId="2365" xr:uid="{00000000-0005-0000-0000-000025470000}"/>
    <cellStyle name="Vírgula 7 13 2" xfId="2366" xr:uid="{00000000-0005-0000-0000-000026470000}"/>
    <cellStyle name="Vírgula 7 13 2 2" xfId="3495" xr:uid="{00000000-0005-0000-0000-000027470000}"/>
    <cellStyle name="Vírgula 7 13 2 2 2" xfId="4821" xr:uid="{00000000-0005-0000-0000-000028470000}"/>
    <cellStyle name="Vírgula 7 13 2 2 2 2" xfId="21861" xr:uid="{00000000-0005-0000-0000-000029470000}"/>
    <cellStyle name="Vírgula 7 13 2 2 2 3" xfId="17856" xr:uid="{00000000-0005-0000-0000-00002A470000}"/>
    <cellStyle name="Vírgula 7 13 2 2 3" xfId="5664" xr:uid="{00000000-0005-0000-0000-00002B470000}"/>
    <cellStyle name="Vírgula 7 13 2 2 3 2" xfId="12969" xr:uid="{00000000-0005-0000-0000-00002C470000}"/>
    <cellStyle name="Vírgula 7 13 2 2 3 2 2" xfId="22663" xr:uid="{00000000-0005-0000-0000-00002D470000}"/>
    <cellStyle name="Vírgula 7 13 2 2 3 3" xfId="11106" xr:uid="{00000000-0005-0000-0000-00002E470000}"/>
    <cellStyle name="Vírgula 7 13 2 2 3 4" xfId="18699" xr:uid="{00000000-0005-0000-0000-00002F470000}"/>
    <cellStyle name="Vírgula 7 13 2 2 4" xfId="20563" xr:uid="{00000000-0005-0000-0000-000030470000}"/>
    <cellStyle name="Vírgula 7 13 2 2 5" xfId="16539" xr:uid="{00000000-0005-0000-0000-000031470000}"/>
    <cellStyle name="Vírgula 7 13 2 3" xfId="4332" xr:uid="{00000000-0005-0000-0000-000032470000}"/>
    <cellStyle name="Vírgula 7 13 2 3 2" xfId="6394" xr:uid="{00000000-0005-0000-0000-000033470000}"/>
    <cellStyle name="Vírgula 7 13 2 3 2 2" xfId="12497" xr:uid="{00000000-0005-0000-0000-000034470000}"/>
    <cellStyle name="Vírgula 7 13 2 3 2 2 2" xfId="23376" xr:uid="{00000000-0005-0000-0000-000035470000}"/>
    <cellStyle name="Vírgula 7 13 2 3 2 3" xfId="12906" xr:uid="{00000000-0005-0000-0000-000036470000}"/>
    <cellStyle name="Vírgula 7 13 2 3 2 4" xfId="19429" xr:uid="{00000000-0005-0000-0000-000037470000}"/>
    <cellStyle name="Vírgula 7 13 2 3 3" xfId="21376" xr:uid="{00000000-0005-0000-0000-000038470000}"/>
    <cellStyle name="Vírgula 7 13 2 3 4" xfId="17369" xr:uid="{00000000-0005-0000-0000-000039470000}"/>
    <cellStyle name="Vírgula 7 13 2 4" xfId="8590" xr:uid="{00000000-0005-0000-0000-00003A470000}"/>
    <cellStyle name="Vírgula 7 13 2 5" xfId="13524" xr:uid="{00000000-0005-0000-0000-00003B470000}"/>
    <cellStyle name="Vírgula 7 13 3" xfId="3494" xr:uid="{00000000-0005-0000-0000-00003C470000}"/>
    <cellStyle name="Vírgula 7 13 3 2" xfId="4820" xr:uid="{00000000-0005-0000-0000-00003D470000}"/>
    <cellStyle name="Vírgula 7 13 3 2 2" xfId="21860" xr:uid="{00000000-0005-0000-0000-00003E470000}"/>
    <cellStyle name="Vírgula 7 13 3 2 3" xfId="17855" xr:uid="{00000000-0005-0000-0000-00003F470000}"/>
    <cellStyle name="Vírgula 7 13 3 3" xfId="5663" xr:uid="{00000000-0005-0000-0000-000040470000}"/>
    <cellStyle name="Vírgula 7 13 3 3 2" xfId="11273" xr:uid="{00000000-0005-0000-0000-000041470000}"/>
    <cellStyle name="Vírgula 7 13 3 3 2 2" xfId="22662" xr:uid="{00000000-0005-0000-0000-000042470000}"/>
    <cellStyle name="Vírgula 7 13 3 3 3" xfId="11614" xr:uid="{00000000-0005-0000-0000-000043470000}"/>
    <cellStyle name="Vírgula 7 13 3 3 4" xfId="18698" xr:uid="{00000000-0005-0000-0000-000044470000}"/>
    <cellStyle name="Vírgula 7 13 3 4" xfId="20562" xr:uid="{00000000-0005-0000-0000-000045470000}"/>
    <cellStyle name="Vírgula 7 13 3 5" xfId="16538" xr:uid="{00000000-0005-0000-0000-000046470000}"/>
    <cellStyle name="Vírgula 7 13 4" xfId="4156" xr:uid="{00000000-0005-0000-0000-000047470000}"/>
    <cellStyle name="Vírgula 7 13 4 2" xfId="6393" xr:uid="{00000000-0005-0000-0000-000048470000}"/>
    <cellStyle name="Vírgula 7 13 4 2 2" xfId="12573" xr:uid="{00000000-0005-0000-0000-000049470000}"/>
    <cellStyle name="Vírgula 7 13 4 2 2 2" xfId="23375" xr:uid="{00000000-0005-0000-0000-00004A470000}"/>
    <cellStyle name="Vírgula 7 13 4 2 3" xfId="12948" xr:uid="{00000000-0005-0000-0000-00004B470000}"/>
    <cellStyle name="Vírgula 7 13 4 2 4" xfId="19428" xr:uid="{00000000-0005-0000-0000-00004C470000}"/>
    <cellStyle name="Vírgula 7 13 4 3" xfId="21204" xr:uid="{00000000-0005-0000-0000-00004D470000}"/>
    <cellStyle name="Vírgula 7 13 4 4" xfId="17196" xr:uid="{00000000-0005-0000-0000-00004E470000}"/>
    <cellStyle name="Vírgula 7 13 5" xfId="8591" xr:uid="{00000000-0005-0000-0000-00004F470000}"/>
    <cellStyle name="Vírgula 7 13 6" xfId="10684" xr:uid="{00000000-0005-0000-0000-000050470000}"/>
    <cellStyle name="Vírgula 7 13 6 2" xfId="14906" xr:uid="{00000000-0005-0000-0000-000051470000}"/>
    <cellStyle name="Vírgula 7 13 6 3" xfId="13523" xr:uid="{00000000-0005-0000-0000-000052470000}"/>
    <cellStyle name="Vírgula 7 14" xfId="2367" xr:uid="{00000000-0005-0000-0000-000053470000}"/>
    <cellStyle name="Vírgula 7 14 2" xfId="2275" xr:uid="{00000000-0005-0000-0000-000054470000}"/>
    <cellStyle name="Vírgula 7 14 2 2" xfId="3404" xr:uid="{00000000-0005-0000-0000-000055470000}"/>
    <cellStyle name="Vírgula 7 14 2 2 2" xfId="4734" xr:uid="{00000000-0005-0000-0000-000056470000}"/>
    <cellStyle name="Vírgula 7 14 2 2 2 2" xfId="21774" xr:uid="{00000000-0005-0000-0000-000057470000}"/>
    <cellStyle name="Vírgula 7 14 2 2 2 3" xfId="17769" xr:uid="{00000000-0005-0000-0000-000058470000}"/>
    <cellStyle name="Vírgula 7 14 2 2 3" xfId="5573" xr:uid="{00000000-0005-0000-0000-000059470000}"/>
    <cellStyle name="Vírgula 7 14 2 2 3 2" xfId="11189" xr:uid="{00000000-0005-0000-0000-00005A470000}"/>
    <cellStyle name="Vírgula 7 14 2 2 3 2 2" xfId="22572" xr:uid="{00000000-0005-0000-0000-00005B470000}"/>
    <cellStyle name="Vírgula 7 14 2 2 3 3" xfId="11716" xr:uid="{00000000-0005-0000-0000-00005C470000}"/>
    <cellStyle name="Vírgula 7 14 2 2 3 4" xfId="18608" xr:uid="{00000000-0005-0000-0000-00005D470000}"/>
    <cellStyle name="Vírgula 7 14 2 2 4" xfId="20472" xr:uid="{00000000-0005-0000-0000-00005E470000}"/>
    <cellStyle name="Vírgula 7 14 2 2 5" xfId="16448" xr:uid="{00000000-0005-0000-0000-00005F470000}"/>
    <cellStyle name="Vírgula 7 14 2 3" xfId="4343" xr:uid="{00000000-0005-0000-0000-000060470000}"/>
    <cellStyle name="Vírgula 7 14 2 3 2" xfId="6303" xr:uid="{00000000-0005-0000-0000-000061470000}"/>
    <cellStyle name="Vírgula 7 14 2 3 2 2" xfId="13283" xr:uid="{00000000-0005-0000-0000-000062470000}"/>
    <cellStyle name="Vírgula 7 14 2 3 2 2 2" xfId="23285" xr:uid="{00000000-0005-0000-0000-000063470000}"/>
    <cellStyle name="Vírgula 7 14 2 3 2 3" xfId="13176" xr:uid="{00000000-0005-0000-0000-000064470000}"/>
    <cellStyle name="Vírgula 7 14 2 3 2 4" xfId="19338" xr:uid="{00000000-0005-0000-0000-000065470000}"/>
    <cellStyle name="Vírgula 7 14 2 3 3" xfId="21387" xr:uid="{00000000-0005-0000-0000-000066470000}"/>
    <cellStyle name="Vírgula 7 14 2 3 4" xfId="17380" xr:uid="{00000000-0005-0000-0000-000067470000}"/>
    <cellStyle name="Vírgula 7 14 2 4" xfId="8592" xr:uid="{00000000-0005-0000-0000-000068470000}"/>
    <cellStyle name="Vírgula 7 14 2 5" xfId="13515" xr:uid="{00000000-0005-0000-0000-000069470000}"/>
    <cellStyle name="Vírgula 7 14 3" xfId="2812" xr:uid="{00000000-0005-0000-0000-00006A470000}"/>
    <cellStyle name="Vírgula 7 14 3 2" xfId="3640" xr:uid="{00000000-0005-0000-0000-00006B470000}"/>
    <cellStyle name="Vírgula 7 14 3 2 2" xfId="4918" xr:uid="{00000000-0005-0000-0000-00006C470000}"/>
    <cellStyle name="Vírgula 7 14 3 2 2 2" xfId="21958" xr:uid="{00000000-0005-0000-0000-00006D470000}"/>
    <cellStyle name="Vírgula 7 14 3 2 2 3" xfId="17953" xr:uid="{00000000-0005-0000-0000-00006E470000}"/>
    <cellStyle name="Vírgula 7 14 3 2 3" xfId="5809" xr:uid="{00000000-0005-0000-0000-00006F470000}"/>
    <cellStyle name="Vírgula 7 14 3 2 3 2" xfId="10918" xr:uid="{00000000-0005-0000-0000-000070470000}"/>
    <cellStyle name="Vírgula 7 14 3 2 3 2 2" xfId="22808" xr:uid="{00000000-0005-0000-0000-000071470000}"/>
    <cellStyle name="Vírgula 7 14 3 2 3 3" xfId="11133" xr:uid="{00000000-0005-0000-0000-000072470000}"/>
    <cellStyle name="Vírgula 7 14 3 2 3 4" xfId="18844" xr:uid="{00000000-0005-0000-0000-000073470000}"/>
    <cellStyle name="Vírgula 7 14 3 2 4" xfId="20708" xr:uid="{00000000-0005-0000-0000-000074470000}"/>
    <cellStyle name="Vírgula 7 14 3 2 5" xfId="16684" xr:uid="{00000000-0005-0000-0000-000075470000}"/>
    <cellStyle name="Vírgula 7 14 3 3" xfId="8593" xr:uid="{00000000-0005-0000-0000-000076470000}"/>
    <cellStyle name="Vírgula 7 14 4" xfId="3496" xr:uid="{00000000-0005-0000-0000-000077470000}"/>
    <cellStyle name="Vírgula 7 14 4 2" xfId="4822" xr:uid="{00000000-0005-0000-0000-000078470000}"/>
    <cellStyle name="Vírgula 7 14 4 2 2" xfId="21862" xr:uid="{00000000-0005-0000-0000-000079470000}"/>
    <cellStyle name="Vírgula 7 14 4 2 3" xfId="17857" xr:uid="{00000000-0005-0000-0000-00007A470000}"/>
    <cellStyle name="Vírgula 7 14 4 3" xfId="5665" xr:uid="{00000000-0005-0000-0000-00007B470000}"/>
    <cellStyle name="Vírgula 7 14 4 3 2" xfId="12937" xr:uid="{00000000-0005-0000-0000-00007C470000}"/>
    <cellStyle name="Vírgula 7 14 4 3 2 2" xfId="22664" xr:uid="{00000000-0005-0000-0000-00007D470000}"/>
    <cellStyle name="Vírgula 7 14 4 3 3" xfId="11362" xr:uid="{00000000-0005-0000-0000-00007E470000}"/>
    <cellStyle name="Vírgula 7 14 4 3 4" xfId="18700" xr:uid="{00000000-0005-0000-0000-00007F470000}"/>
    <cellStyle name="Vírgula 7 14 4 4" xfId="20564" xr:uid="{00000000-0005-0000-0000-000080470000}"/>
    <cellStyle name="Vírgula 7 14 4 5" xfId="16540" xr:uid="{00000000-0005-0000-0000-000081470000}"/>
    <cellStyle name="Vírgula 7 14 5" xfId="4371" xr:uid="{00000000-0005-0000-0000-000082470000}"/>
    <cellStyle name="Vírgula 7 14 5 2" xfId="6395" xr:uid="{00000000-0005-0000-0000-000083470000}"/>
    <cellStyle name="Vírgula 7 14 5 2 2" xfId="23377" xr:uid="{00000000-0005-0000-0000-000084470000}"/>
    <cellStyle name="Vírgula 7 14 5 2 3" xfId="19430" xr:uid="{00000000-0005-0000-0000-000085470000}"/>
    <cellStyle name="Vírgula 7 14 5 3" xfId="21415" xr:uid="{00000000-0005-0000-0000-000086470000}"/>
    <cellStyle name="Vírgula 7 14 5 4" xfId="17408" xr:uid="{00000000-0005-0000-0000-000087470000}"/>
    <cellStyle name="Vírgula 7 14 6" xfId="10815" xr:uid="{00000000-0005-0000-0000-000088470000}"/>
    <cellStyle name="Vírgula 7 14 6 2" xfId="14909" xr:uid="{00000000-0005-0000-0000-000089470000}"/>
    <cellStyle name="Vírgula 7 14 6 3" xfId="13525" xr:uid="{00000000-0005-0000-0000-00008A470000}"/>
    <cellStyle name="Vírgula 7 15" xfId="2368" xr:uid="{00000000-0005-0000-0000-00008B470000}"/>
    <cellStyle name="Vírgula 7 15 2" xfId="2369" xr:uid="{00000000-0005-0000-0000-00008C470000}"/>
    <cellStyle name="Vírgula 7 15 2 2" xfId="3498" xr:uid="{00000000-0005-0000-0000-00008D470000}"/>
    <cellStyle name="Vírgula 7 15 2 2 2" xfId="4044" xr:uid="{00000000-0005-0000-0000-00008E470000}"/>
    <cellStyle name="Vírgula 7 15 2 2 2 2" xfId="6626" xr:uid="{00000000-0005-0000-0000-00008F470000}"/>
    <cellStyle name="Vírgula 7 15 2 2 2 2 2" xfId="23608" xr:uid="{00000000-0005-0000-0000-000090470000}"/>
    <cellStyle name="Vírgula 7 15 2 2 2 2 3" xfId="19661" xr:uid="{00000000-0005-0000-0000-000091470000}"/>
    <cellStyle name="Vírgula 7 15 2 2 2 3" xfId="21093" xr:uid="{00000000-0005-0000-0000-000092470000}"/>
    <cellStyle name="Vírgula 7 15 2 2 2 4" xfId="17085" xr:uid="{00000000-0005-0000-0000-000093470000}"/>
    <cellStyle name="Vírgula 7 15 2 2 3" xfId="5667" xr:uid="{00000000-0005-0000-0000-000094470000}"/>
    <cellStyle name="Vírgula 7 15 2 2 3 2" xfId="22666" xr:uid="{00000000-0005-0000-0000-000095470000}"/>
    <cellStyle name="Vírgula 7 15 2 2 3 3" xfId="18702" xr:uid="{00000000-0005-0000-0000-000096470000}"/>
    <cellStyle name="Vírgula 7 15 2 2 4" xfId="20566" xr:uid="{00000000-0005-0000-0000-000097470000}"/>
    <cellStyle name="Vírgula 7 15 2 2 5" xfId="16542" xr:uid="{00000000-0005-0000-0000-000098470000}"/>
    <cellStyle name="Vírgula 7 15 2 3" xfId="4265" xr:uid="{00000000-0005-0000-0000-000099470000}"/>
    <cellStyle name="Vírgula 7 15 2 3 2" xfId="6397" xr:uid="{00000000-0005-0000-0000-00009A470000}"/>
    <cellStyle name="Vírgula 7 15 2 3 2 2" xfId="23379" xr:uid="{00000000-0005-0000-0000-00009B470000}"/>
    <cellStyle name="Vírgula 7 15 2 3 2 3" xfId="19432" xr:uid="{00000000-0005-0000-0000-00009C470000}"/>
    <cellStyle name="Vírgula 7 15 2 3 3" xfId="21309" xr:uid="{00000000-0005-0000-0000-00009D470000}"/>
    <cellStyle name="Vírgula 7 15 2 3 4" xfId="17302" xr:uid="{00000000-0005-0000-0000-00009E470000}"/>
    <cellStyle name="Vírgula 7 15 2 4" xfId="6818" xr:uid="{00000000-0005-0000-0000-00009F470000}"/>
    <cellStyle name="Vírgula 7 15 2 4 2" xfId="23784" xr:uid="{00000000-0005-0000-0000-0000A0470000}"/>
    <cellStyle name="Vírgula 7 15 2 4 3" xfId="19853" xr:uid="{00000000-0005-0000-0000-0000A1470000}"/>
    <cellStyle name="Vírgula 7 15 2 5" xfId="5136" xr:uid="{00000000-0005-0000-0000-0000A2470000}"/>
    <cellStyle name="Vírgula 7 15 2 5 2" xfId="22137" xr:uid="{00000000-0005-0000-0000-0000A3470000}"/>
    <cellStyle name="Vírgula 7 15 2 5 3" xfId="18171" xr:uid="{00000000-0005-0000-0000-0000A4470000}"/>
    <cellStyle name="Vírgula 7 15 2 6" xfId="20037" xr:uid="{00000000-0005-0000-0000-0000A5470000}"/>
    <cellStyle name="Vírgula 7 15 2 7" xfId="16006" xr:uid="{00000000-0005-0000-0000-0000A6470000}"/>
    <cellStyle name="Vírgula 7 15 3" xfId="3497" xr:uid="{00000000-0005-0000-0000-0000A7470000}"/>
    <cellStyle name="Vírgula 7 15 3 2" xfId="4470" xr:uid="{00000000-0005-0000-0000-0000A8470000}"/>
    <cellStyle name="Vírgula 7 15 3 2 2" xfId="6625" xr:uid="{00000000-0005-0000-0000-0000A9470000}"/>
    <cellStyle name="Vírgula 7 15 3 2 2 2" xfId="23607" xr:uid="{00000000-0005-0000-0000-0000AA470000}"/>
    <cellStyle name="Vírgula 7 15 3 2 2 3" xfId="19660" xr:uid="{00000000-0005-0000-0000-0000AB470000}"/>
    <cellStyle name="Vírgula 7 15 3 2 3" xfId="21510" xr:uid="{00000000-0005-0000-0000-0000AC470000}"/>
    <cellStyle name="Vírgula 7 15 3 2 4" xfId="17505" xr:uid="{00000000-0005-0000-0000-0000AD470000}"/>
    <cellStyle name="Vírgula 7 15 3 3" xfId="5666" xr:uid="{00000000-0005-0000-0000-0000AE470000}"/>
    <cellStyle name="Vírgula 7 15 3 3 2" xfId="22665" xr:uid="{00000000-0005-0000-0000-0000AF470000}"/>
    <cellStyle name="Vírgula 7 15 3 3 3" xfId="18701" xr:uid="{00000000-0005-0000-0000-0000B0470000}"/>
    <cellStyle name="Vírgula 7 15 3 4" xfId="20565" xr:uid="{00000000-0005-0000-0000-0000B1470000}"/>
    <cellStyle name="Vírgula 7 15 3 5" xfId="16541" xr:uid="{00000000-0005-0000-0000-0000B2470000}"/>
    <cellStyle name="Vírgula 7 15 4" xfId="4264" xr:uid="{00000000-0005-0000-0000-0000B3470000}"/>
    <cellStyle name="Vírgula 7 15 4 2" xfId="6396" xr:uid="{00000000-0005-0000-0000-0000B4470000}"/>
    <cellStyle name="Vírgula 7 15 4 2 2" xfId="23378" xr:uid="{00000000-0005-0000-0000-0000B5470000}"/>
    <cellStyle name="Vírgula 7 15 4 2 3" xfId="19431" xr:uid="{00000000-0005-0000-0000-0000B6470000}"/>
    <cellStyle name="Vírgula 7 15 4 3" xfId="21308" xr:uid="{00000000-0005-0000-0000-0000B7470000}"/>
    <cellStyle name="Vírgula 7 15 4 4" xfId="17301" xr:uid="{00000000-0005-0000-0000-0000B8470000}"/>
    <cellStyle name="Vírgula 7 15 5" xfId="6817" xr:uid="{00000000-0005-0000-0000-0000B9470000}"/>
    <cellStyle name="Vírgula 7 15 5 2" xfId="23783" xr:uid="{00000000-0005-0000-0000-0000BA470000}"/>
    <cellStyle name="Vírgula 7 15 5 3" xfId="19852" xr:uid="{00000000-0005-0000-0000-0000BB470000}"/>
    <cellStyle name="Vírgula 7 15 6" xfId="5135" xr:uid="{00000000-0005-0000-0000-0000BC470000}"/>
    <cellStyle name="Vírgula 7 15 6 2" xfId="22136" xr:uid="{00000000-0005-0000-0000-0000BD470000}"/>
    <cellStyle name="Vírgula 7 15 6 3" xfId="18170" xr:uid="{00000000-0005-0000-0000-0000BE470000}"/>
    <cellStyle name="Vírgula 7 15 7" xfId="20036" xr:uid="{00000000-0005-0000-0000-0000BF470000}"/>
    <cellStyle name="Vírgula 7 15 8" xfId="16005" xr:uid="{00000000-0005-0000-0000-0000C0470000}"/>
    <cellStyle name="Vírgula 7 16" xfId="2370" xr:uid="{00000000-0005-0000-0000-0000C1470000}"/>
    <cellStyle name="Vírgula 7 16 2" xfId="2371" xr:uid="{00000000-0005-0000-0000-0000C2470000}"/>
    <cellStyle name="Vírgula 7 16 2 2" xfId="3500" xr:uid="{00000000-0005-0000-0000-0000C3470000}"/>
    <cellStyle name="Vírgula 7 16 2 2 2" xfId="4484" xr:uid="{00000000-0005-0000-0000-0000C4470000}"/>
    <cellStyle name="Vírgula 7 16 2 2 2 2" xfId="6628" xr:uid="{00000000-0005-0000-0000-0000C5470000}"/>
    <cellStyle name="Vírgula 7 16 2 2 2 2 2" xfId="23610" xr:uid="{00000000-0005-0000-0000-0000C6470000}"/>
    <cellStyle name="Vírgula 7 16 2 2 2 2 3" xfId="19663" xr:uid="{00000000-0005-0000-0000-0000C7470000}"/>
    <cellStyle name="Vírgula 7 16 2 2 2 3" xfId="21524" xr:uid="{00000000-0005-0000-0000-0000C8470000}"/>
    <cellStyle name="Vírgula 7 16 2 2 2 4" xfId="17519" xr:uid="{00000000-0005-0000-0000-0000C9470000}"/>
    <cellStyle name="Vírgula 7 16 2 2 3" xfId="5669" xr:uid="{00000000-0005-0000-0000-0000CA470000}"/>
    <cellStyle name="Vírgula 7 16 2 2 3 2" xfId="22668" xr:uid="{00000000-0005-0000-0000-0000CB470000}"/>
    <cellStyle name="Vírgula 7 16 2 2 3 3" xfId="18704" xr:uid="{00000000-0005-0000-0000-0000CC470000}"/>
    <cellStyle name="Vírgula 7 16 2 2 4" xfId="20568" xr:uid="{00000000-0005-0000-0000-0000CD470000}"/>
    <cellStyle name="Vírgula 7 16 2 2 5" xfId="16544" xr:uid="{00000000-0005-0000-0000-0000CE470000}"/>
    <cellStyle name="Vírgula 7 16 2 3" xfId="4267" xr:uid="{00000000-0005-0000-0000-0000CF470000}"/>
    <cellStyle name="Vírgula 7 16 2 3 2" xfId="6399" xr:uid="{00000000-0005-0000-0000-0000D0470000}"/>
    <cellStyle name="Vírgula 7 16 2 3 2 2" xfId="23381" xr:uid="{00000000-0005-0000-0000-0000D1470000}"/>
    <cellStyle name="Vírgula 7 16 2 3 2 3" xfId="19434" xr:uid="{00000000-0005-0000-0000-0000D2470000}"/>
    <cellStyle name="Vírgula 7 16 2 3 3" xfId="21311" xr:uid="{00000000-0005-0000-0000-0000D3470000}"/>
    <cellStyle name="Vírgula 7 16 2 3 4" xfId="17304" xr:uid="{00000000-0005-0000-0000-0000D4470000}"/>
    <cellStyle name="Vírgula 7 16 2 4" xfId="6820" xr:uid="{00000000-0005-0000-0000-0000D5470000}"/>
    <cellStyle name="Vírgula 7 16 2 4 2" xfId="23786" xr:uid="{00000000-0005-0000-0000-0000D6470000}"/>
    <cellStyle name="Vírgula 7 16 2 4 3" xfId="19855" xr:uid="{00000000-0005-0000-0000-0000D7470000}"/>
    <cellStyle name="Vírgula 7 16 2 5" xfId="5138" xr:uid="{00000000-0005-0000-0000-0000D8470000}"/>
    <cellStyle name="Vírgula 7 16 2 5 2" xfId="22139" xr:uid="{00000000-0005-0000-0000-0000D9470000}"/>
    <cellStyle name="Vírgula 7 16 2 5 3" xfId="18173" xr:uid="{00000000-0005-0000-0000-0000DA470000}"/>
    <cellStyle name="Vírgula 7 16 2 6" xfId="20039" xr:uid="{00000000-0005-0000-0000-0000DB470000}"/>
    <cellStyle name="Vírgula 7 16 2 7" xfId="16008" xr:uid="{00000000-0005-0000-0000-0000DC470000}"/>
    <cellStyle name="Vírgula 7 16 3" xfId="3499" xr:uid="{00000000-0005-0000-0000-0000DD470000}"/>
    <cellStyle name="Vírgula 7 16 3 2" xfId="4376" xr:uid="{00000000-0005-0000-0000-0000DE470000}"/>
    <cellStyle name="Vírgula 7 16 3 2 2" xfId="6627" xr:uid="{00000000-0005-0000-0000-0000DF470000}"/>
    <cellStyle name="Vírgula 7 16 3 2 2 2" xfId="23609" xr:uid="{00000000-0005-0000-0000-0000E0470000}"/>
    <cellStyle name="Vírgula 7 16 3 2 2 3" xfId="19662" xr:uid="{00000000-0005-0000-0000-0000E1470000}"/>
    <cellStyle name="Vírgula 7 16 3 2 3" xfId="21420" xr:uid="{00000000-0005-0000-0000-0000E2470000}"/>
    <cellStyle name="Vírgula 7 16 3 2 4" xfId="17413" xr:uid="{00000000-0005-0000-0000-0000E3470000}"/>
    <cellStyle name="Vírgula 7 16 3 3" xfId="5668" xr:uid="{00000000-0005-0000-0000-0000E4470000}"/>
    <cellStyle name="Vírgula 7 16 3 3 2" xfId="22667" xr:uid="{00000000-0005-0000-0000-0000E5470000}"/>
    <cellStyle name="Vírgula 7 16 3 3 3" xfId="18703" xr:uid="{00000000-0005-0000-0000-0000E6470000}"/>
    <cellStyle name="Vírgula 7 16 3 4" xfId="20567" xr:uid="{00000000-0005-0000-0000-0000E7470000}"/>
    <cellStyle name="Vírgula 7 16 3 5" xfId="16543" xr:uid="{00000000-0005-0000-0000-0000E8470000}"/>
    <cellStyle name="Vírgula 7 16 4" xfId="4266" xr:uid="{00000000-0005-0000-0000-0000E9470000}"/>
    <cellStyle name="Vírgula 7 16 4 2" xfId="6398" xr:uid="{00000000-0005-0000-0000-0000EA470000}"/>
    <cellStyle name="Vírgula 7 16 4 2 2" xfId="23380" xr:uid="{00000000-0005-0000-0000-0000EB470000}"/>
    <cellStyle name="Vírgula 7 16 4 2 3" xfId="19433" xr:uid="{00000000-0005-0000-0000-0000EC470000}"/>
    <cellStyle name="Vírgula 7 16 4 3" xfId="21310" xr:uid="{00000000-0005-0000-0000-0000ED470000}"/>
    <cellStyle name="Vírgula 7 16 4 4" xfId="17303" xr:uid="{00000000-0005-0000-0000-0000EE470000}"/>
    <cellStyle name="Vírgula 7 16 5" xfId="6819" xr:uid="{00000000-0005-0000-0000-0000EF470000}"/>
    <cellStyle name="Vírgula 7 16 5 2" xfId="23785" xr:uid="{00000000-0005-0000-0000-0000F0470000}"/>
    <cellStyle name="Vírgula 7 16 5 3" xfId="19854" xr:uid="{00000000-0005-0000-0000-0000F1470000}"/>
    <cellStyle name="Vírgula 7 16 6" xfId="5137" xr:uid="{00000000-0005-0000-0000-0000F2470000}"/>
    <cellStyle name="Vírgula 7 16 6 2" xfId="22138" xr:uid="{00000000-0005-0000-0000-0000F3470000}"/>
    <cellStyle name="Vírgula 7 16 6 3" xfId="18172" xr:uid="{00000000-0005-0000-0000-0000F4470000}"/>
    <cellStyle name="Vírgula 7 16 7" xfId="20038" xr:uid="{00000000-0005-0000-0000-0000F5470000}"/>
    <cellStyle name="Vírgula 7 16 8" xfId="16007" xr:uid="{00000000-0005-0000-0000-0000F6470000}"/>
    <cellStyle name="Vírgula 7 17" xfId="2372" xr:uid="{00000000-0005-0000-0000-0000F7470000}"/>
    <cellStyle name="Vírgula 7 17 2" xfId="2304" xr:uid="{00000000-0005-0000-0000-0000F8470000}"/>
    <cellStyle name="Vírgula 7 17 2 2" xfId="3433" xr:uid="{00000000-0005-0000-0000-0000F9470000}"/>
    <cellStyle name="Vírgula 7 17 2 2 2" xfId="4763" xr:uid="{00000000-0005-0000-0000-0000FA470000}"/>
    <cellStyle name="Vírgula 7 17 2 2 2 2" xfId="21803" xr:uid="{00000000-0005-0000-0000-0000FB470000}"/>
    <cellStyle name="Vírgula 7 17 2 2 2 3" xfId="17798" xr:uid="{00000000-0005-0000-0000-0000FC470000}"/>
    <cellStyle name="Vírgula 7 17 2 2 3" xfId="5602" xr:uid="{00000000-0005-0000-0000-0000FD470000}"/>
    <cellStyle name="Vírgula 7 17 2 2 3 2" xfId="12484" xr:uid="{00000000-0005-0000-0000-0000FE470000}"/>
    <cellStyle name="Vírgula 7 17 2 2 3 2 2" xfId="22601" xr:uid="{00000000-0005-0000-0000-0000FF470000}"/>
    <cellStyle name="Vírgula 7 17 2 2 3 3" xfId="11361" xr:uid="{00000000-0005-0000-0000-000000480000}"/>
    <cellStyle name="Vírgula 7 17 2 2 3 4" xfId="18637" xr:uid="{00000000-0005-0000-0000-000001480000}"/>
    <cellStyle name="Vírgula 7 17 2 2 4" xfId="20501" xr:uid="{00000000-0005-0000-0000-000002480000}"/>
    <cellStyle name="Vírgula 7 17 2 2 5" xfId="16477" xr:uid="{00000000-0005-0000-0000-000003480000}"/>
    <cellStyle name="Vírgula 7 17 2 3" xfId="4482" xr:uid="{00000000-0005-0000-0000-000004480000}"/>
    <cellStyle name="Vírgula 7 17 2 3 2" xfId="6332" xr:uid="{00000000-0005-0000-0000-000005480000}"/>
    <cellStyle name="Vírgula 7 17 2 3 2 2" xfId="12496" xr:uid="{00000000-0005-0000-0000-000006480000}"/>
    <cellStyle name="Vírgula 7 17 2 3 2 2 2" xfId="23314" xr:uid="{00000000-0005-0000-0000-000007480000}"/>
    <cellStyle name="Vírgula 7 17 2 3 2 3" xfId="13014" xr:uid="{00000000-0005-0000-0000-000008480000}"/>
    <cellStyle name="Vírgula 7 17 2 3 2 4" xfId="19367" xr:uid="{00000000-0005-0000-0000-000009480000}"/>
    <cellStyle name="Vírgula 7 17 2 3 3" xfId="21522" xr:uid="{00000000-0005-0000-0000-00000A480000}"/>
    <cellStyle name="Vírgula 7 17 2 3 4" xfId="17517" xr:uid="{00000000-0005-0000-0000-00000B480000}"/>
    <cellStyle name="Vírgula 7 17 2 4" xfId="8594" xr:uid="{00000000-0005-0000-0000-00000C480000}"/>
    <cellStyle name="Vírgula 7 17 2 5" xfId="13519" xr:uid="{00000000-0005-0000-0000-00000D480000}"/>
    <cellStyle name="Vírgula 7 17 3" xfId="2813" xr:uid="{00000000-0005-0000-0000-00000E480000}"/>
    <cellStyle name="Vírgula 7 17 3 2" xfId="3641" xr:uid="{00000000-0005-0000-0000-00000F480000}"/>
    <cellStyle name="Vírgula 7 17 3 2 2" xfId="4919" xr:uid="{00000000-0005-0000-0000-000010480000}"/>
    <cellStyle name="Vírgula 7 17 3 2 2 2" xfId="21959" xr:uid="{00000000-0005-0000-0000-000011480000}"/>
    <cellStyle name="Vírgula 7 17 3 2 2 3" xfId="17954" xr:uid="{00000000-0005-0000-0000-000012480000}"/>
    <cellStyle name="Vírgula 7 17 3 2 3" xfId="5810" xr:uid="{00000000-0005-0000-0000-000013480000}"/>
    <cellStyle name="Vírgula 7 17 3 2 3 2" xfId="10976" xr:uid="{00000000-0005-0000-0000-000014480000}"/>
    <cellStyle name="Vírgula 7 17 3 2 3 2 2" xfId="22809" xr:uid="{00000000-0005-0000-0000-000015480000}"/>
    <cellStyle name="Vírgula 7 17 3 2 3 3" xfId="11657" xr:uid="{00000000-0005-0000-0000-000016480000}"/>
    <cellStyle name="Vírgula 7 17 3 2 3 4" xfId="18845" xr:uid="{00000000-0005-0000-0000-000017480000}"/>
    <cellStyle name="Vírgula 7 17 3 2 4" xfId="20709" xr:uid="{00000000-0005-0000-0000-000018480000}"/>
    <cellStyle name="Vírgula 7 17 3 2 5" xfId="16685" xr:uid="{00000000-0005-0000-0000-000019480000}"/>
    <cellStyle name="Vírgula 7 17 3 3" xfId="8595" xr:uid="{00000000-0005-0000-0000-00001A480000}"/>
    <cellStyle name="Vírgula 7 17 4" xfId="3501" xr:uid="{00000000-0005-0000-0000-00001B480000}"/>
    <cellStyle name="Vírgula 7 17 4 2" xfId="4823" xr:uid="{00000000-0005-0000-0000-00001C480000}"/>
    <cellStyle name="Vírgula 7 17 4 2 2" xfId="21863" xr:uid="{00000000-0005-0000-0000-00001D480000}"/>
    <cellStyle name="Vírgula 7 17 4 2 3" xfId="17858" xr:uid="{00000000-0005-0000-0000-00001E480000}"/>
    <cellStyle name="Vírgula 7 17 4 3" xfId="5670" xr:uid="{00000000-0005-0000-0000-00001F480000}"/>
    <cellStyle name="Vírgula 7 17 4 3 2" xfId="11931" xr:uid="{00000000-0005-0000-0000-000020480000}"/>
    <cellStyle name="Vírgula 7 17 4 3 2 2" xfId="22669" xr:uid="{00000000-0005-0000-0000-000021480000}"/>
    <cellStyle name="Vírgula 7 17 4 3 3" xfId="11897" xr:uid="{00000000-0005-0000-0000-000022480000}"/>
    <cellStyle name="Vírgula 7 17 4 3 4" xfId="18705" xr:uid="{00000000-0005-0000-0000-000023480000}"/>
    <cellStyle name="Vírgula 7 17 4 4" xfId="20569" xr:uid="{00000000-0005-0000-0000-000024480000}"/>
    <cellStyle name="Vírgula 7 17 4 5" xfId="16545" xr:uid="{00000000-0005-0000-0000-000025480000}"/>
    <cellStyle name="Vírgula 7 17 5" xfId="3743" xr:uid="{00000000-0005-0000-0000-000026480000}"/>
    <cellStyle name="Vírgula 7 17 5 2" xfId="6400" xr:uid="{00000000-0005-0000-0000-000027480000}"/>
    <cellStyle name="Vírgula 7 17 5 2 2" xfId="23382" xr:uid="{00000000-0005-0000-0000-000028480000}"/>
    <cellStyle name="Vírgula 7 17 5 2 3" xfId="19435" xr:uid="{00000000-0005-0000-0000-000029480000}"/>
    <cellStyle name="Vírgula 7 17 5 3" xfId="20807" xr:uid="{00000000-0005-0000-0000-00002A480000}"/>
    <cellStyle name="Vírgula 7 17 5 4" xfId="16786" xr:uid="{00000000-0005-0000-0000-00002B480000}"/>
    <cellStyle name="Vírgula 7 17 6" xfId="13526" xr:uid="{00000000-0005-0000-0000-00002C480000}"/>
    <cellStyle name="Vírgula 7 18" xfId="2373" xr:uid="{00000000-0005-0000-0000-00002D480000}"/>
    <cellStyle name="Vírgula 7 18 2" xfId="2374" xr:uid="{00000000-0005-0000-0000-00002E480000}"/>
    <cellStyle name="Vírgula 7 18 2 2" xfId="3503" xr:uid="{00000000-0005-0000-0000-00002F480000}"/>
    <cellStyle name="Vírgula 7 18 2 2 2" xfId="4238" xr:uid="{00000000-0005-0000-0000-000030480000}"/>
    <cellStyle name="Vírgula 7 18 2 2 2 2" xfId="6630" xr:uid="{00000000-0005-0000-0000-000031480000}"/>
    <cellStyle name="Vírgula 7 18 2 2 2 2 2" xfId="23612" xr:uid="{00000000-0005-0000-0000-000032480000}"/>
    <cellStyle name="Vírgula 7 18 2 2 2 2 3" xfId="19665" xr:uid="{00000000-0005-0000-0000-000033480000}"/>
    <cellStyle name="Vírgula 7 18 2 2 2 3" xfId="21283" xr:uid="{00000000-0005-0000-0000-000034480000}"/>
    <cellStyle name="Vírgula 7 18 2 2 2 4" xfId="17276" xr:uid="{00000000-0005-0000-0000-000035480000}"/>
    <cellStyle name="Vírgula 7 18 2 2 3" xfId="5672" xr:uid="{00000000-0005-0000-0000-000036480000}"/>
    <cellStyle name="Vírgula 7 18 2 2 3 2" xfId="22671" xr:uid="{00000000-0005-0000-0000-000037480000}"/>
    <cellStyle name="Vírgula 7 18 2 2 3 3" xfId="18707" xr:uid="{00000000-0005-0000-0000-000038480000}"/>
    <cellStyle name="Vírgula 7 18 2 2 4" xfId="20571" xr:uid="{00000000-0005-0000-0000-000039480000}"/>
    <cellStyle name="Vírgula 7 18 2 2 5" xfId="16547" xr:uid="{00000000-0005-0000-0000-00003A480000}"/>
    <cellStyle name="Vírgula 7 18 2 3" xfId="4269" xr:uid="{00000000-0005-0000-0000-00003B480000}"/>
    <cellStyle name="Vírgula 7 18 2 3 2" xfId="6402" xr:uid="{00000000-0005-0000-0000-00003C480000}"/>
    <cellStyle name="Vírgula 7 18 2 3 2 2" xfId="23384" xr:uid="{00000000-0005-0000-0000-00003D480000}"/>
    <cellStyle name="Vírgula 7 18 2 3 2 3" xfId="19437" xr:uid="{00000000-0005-0000-0000-00003E480000}"/>
    <cellStyle name="Vírgula 7 18 2 3 3" xfId="21313" xr:uid="{00000000-0005-0000-0000-00003F480000}"/>
    <cellStyle name="Vírgula 7 18 2 3 4" xfId="17306" xr:uid="{00000000-0005-0000-0000-000040480000}"/>
    <cellStyle name="Vírgula 7 18 2 4" xfId="6822" xr:uid="{00000000-0005-0000-0000-000041480000}"/>
    <cellStyle name="Vírgula 7 18 2 4 2" xfId="23788" xr:uid="{00000000-0005-0000-0000-000042480000}"/>
    <cellStyle name="Vírgula 7 18 2 4 3" xfId="19857" xr:uid="{00000000-0005-0000-0000-000043480000}"/>
    <cellStyle name="Vírgula 7 18 2 5" xfId="5140" xr:uid="{00000000-0005-0000-0000-000044480000}"/>
    <cellStyle name="Vírgula 7 18 2 5 2" xfId="22141" xr:uid="{00000000-0005-0000-0000-000045480000}"/>
    <cellStyle name="Vírgula 7 18 2 5 3" xfId="18175" xr:uid="{00000000-0005-0000-0000-000046480000}"/>
    <cellStyle name="Vírgula 7 18 2 6" xfId="20041" xr:uid="{00000000-0005-0000-0000-000047480000}"/>
    <cellStyle name="Vírgula 7 18 2 7" xfId="16010" xr:uid="{00000000-0005-0000-0000-000048480000}"/>
    <cellStyle name="Vírgula 7 18 3" xfId="3502" xr:uid="{00000000-0005-0000-0000-000049480000}"/>
    <cellStyle name="Vírgula 7 18 3 2" xfId="4441" xr:uid="{00000000-0005-0000-0000-00004A480000}"/>
    <cellStyle name="Vírgula 7 18 3 2 2" xfId="6629" xr:uid="{00000000-0005-0000-0000-00004B480000}"/>
    <cellStyle name="Vírgula 7 18 3 2 2 2" xfId="23611" xr:uid="{00000000-0005-0000-0000-00004C480000}"/>
    <cellStyle name="Vírgula 7 18 3 2 2 3" xfId="19664" xr:uid="{00000000-0005-0000-0000-00004D480000}"/>
    <cellStyle name="Vírgula 7 18 3 2 3" xfId="21482" xr:uid="{00000000-0005-0000-0000-00004E480000}"/>
    <cellStyle name="Vírgula 7 18 3 2 4" xfId="17477" xr:uid="{00000000-0005-0000-0000-00004F480000}"/>
    <cellStyle name="Vírgula 7 18 3 3" xfId="5671" xr:uid="{00000000-0005-0000-0000-000050480000}"/>
    <cellStyle name="Vírgula 7 18 3 3 2" xfId="22670" xr:uid="{00000000-0005-0000-0000-000051480000}"/>
    <cellStyle name="Vírgula 7 18 3 3 3" xfId="18706" xr:uid="{00000000-0005-0000-0000-000052480000}"/>
    <cellStyle name="Vírgula 7 18 3 4" xfId="20570" xr:uid="{00000000-0005-0000-0000-000053480000}"/>
    <cellStyle name="Vírgula 7 18 3 5" xfId="16546" xr:uid="{00000000-0005-0000-0000-000054480000}"/>
    <cellStyle name="Vírgula 7 18 4" xfId="4268" xr:uid="{00000000-0005-0000-0000-000055480000}"/>
    <cellStyle name="Vírgula 7 18 4 2" xfId="6401" xr:uid="{00000000-0005-0000-0000-000056480000}"/>
    <cellStyle name="Vírgula 7 18 4 2 2" xfId="23383" xr:uid="{00000000-0005-0000-0000-000057480000}"/>
    <cellStyle name="Vírgula 7 18 4 2 3" xfId="19436" xr:uid="{00000000-0005-0000-0000-000058480000}"/>
    <cellStyle name="Vírgula 7 18 4 3" xfId="21312" xr:uid="{00000000-0005-0000-0000-000059480000}"/>
    <cellStyle name="Vírgula 7 18 4 4" xfId="17305" xr:uid="{00000000-0005-0000-0000-00005A480000}"/>
    <cellStyle name="Vírgula 7 18 5" xfId="6821" xr:uid="{00000000-0005-0000-0000-00005B480000}"/>
    <cellStyle name="Vírgula 7 18 5 2" xfId="23787" xr:uid="{00000000-0005-0000-0000-00005C480000}"/>
    <cellStyle name="Vírgula 7 18 5 3" xfId="19856" xr:uid="{00000000-0005-0000-0000-00005D480000}"/>
    <cellStyle name="Vírgula 7 18 6" xfId="5139" xr:uid="{00000000-0005-0000-0000-00005E480000}"/>
    <cellStyle name="Vírgula 7 18 6 2" xfId="22140" xr:uid="{00000000-0005-0000-0000-00005F480000}"/>
    <cellStyle name="Vírgula 7 18 6 3" xfId="18174" xr:uid="{00000000-0005-0000-0000-000060480000}"/>
    <cellStyle name="Vírgula 7 18 7" xfId="20040" xr:uid="{00000000-0005-0000-0000-000061480000}"/>
    <cellStyle name="Vírgula 7 18 8" xfId="16009" xr:uid="{00000000-0005-0000-0000-000062480000}"/>
    <cellStyle name="Vírgula 7 19" xfId="2375" xr:uid="{00000000-0005-0000-0000-000063480000}"/>
    <cellStyle name="Vírgula 7 19 2" xfId="2320" xr:uid="{00000000-0005-0000-0000-000064480000}"/>
    <cellStyle name="Vírgula 7 19 2 2" xfId="3449" xr:uid="{00000000-0005-0000-0000-000065480000}"/>
    <cellStyle name="Vírgula 7 19 2 2 2" xfId="4779" xr:uid="{00000000-0005-0000-0000-000066480000}"/>
    <cellStyle name="Vírgula 7 19 2 2 2 2" xfId="21819" xr:uid="{00000000-0005-0000-0000-000067480000}"/>
    <cellStyle name="Vírgula 7 19 2 2 2 3" xfId="17814" xr:uid="{00000000-0005-0000-0000-000068480000}"/>
    <cellStyle name="Vírgula 7 19 2 2 3" xfId="5618" xr:uid="{00000000-0005-0000-0000-000069480000}"/>
    <cellStyle name="Vírgula 7 19 2 2 3 2" xfId="22617" xr:uid="{00000000-0005-0000-0000-00006A480000}"/>
    <cellStyle name="Vírgula 7 19 2 2 3 3" xfId="18653" xr:uid="{00000000-0005-0000-0000-00006B480000}"/>
    <cellStyle name="Vírgula 7 19 2 2 4" xfId="20517" xr:uid="{00000000-0005-0000-0000-00006C480000}"/>
    <cellStyle name="Vírgula 7 19 2 2 5" xfId="16493" xr:uid="{00000000-0005-0000-0000-00006D480000}"/>
    <cellStyle name="Vírgula 7 19 2 3" xfId="4102" xr:uid="{00000000-0005-0000-0000-00006E480000}"/>
    <cellStyle name="Vírgula 7 19 2 3 2" xfId="6348" xr:uid="{00000000-0005-0000-0000-00006F480000}"/>
    <cellStyle name="Vírgula 7 19 2 3 2 2" xfId="23330" xr:uid="{00000000-0005-0000-0000-000070480000}"/>
    <cellStyle name="Vírgula 7 19 2 3 2 3" xfId="19383" xr:uid="{00000000-0005-0000-0000-000071480000}"/>
    <cellStyle name="Vírgula 7 19 2 3 3" xfId="21150" xr:uid="{00000000-0005-0000-0000-000072480000}"/>
    <cellStyle name="Vírgula 7 19 2 3 4" xfId="17142" xr:uid="{00000000-0005-0000-0000-000073480000}"/>
    <cellStyle name="Vírgula 7 19 3" xfId="2814" xr:uid="{00000000-0005-0000-0000-000074480000}"/>
    <cellStyle name="Vírgula 7 19 3 2" xfId="3642" xr:uid="{00000000-0005-0000-0000-000075480000}"/>
    <cellStyle name="Vírgula 7 19 3 2 2" xfId="4920" xr:uid="{00000000-0005-0000-0000-000076480000}"/>
    <cellStyle name="Vírgula 7 19 3 2 2 2" xfId="21960" xr:uid="{00000000-0005-0000-0000-000077480000}"/>
    <cellStyle name="Vírgula 7 19 3 2 2 3" xfId="17955" xr:uid="{00000000-0005-0000-0000-000078480000}"/>
    <cellStyle name="Vírgula 7 19 3 2 3" xfId="5811" xr:uid="{00000000-0005-0000-0000-000079480000}"/>
    <cellStyle name="Vírgula 7 19 3 2 3 2" xfId="22810" xr:uid="{00000000-0005-0000-0000-00007A480000}"/>
    <cellStyle name="Vírgula 7 19 3 2 3 3" xfId="18846" xr:uid="{00000000-0005-0000-0000-00007B480000}"/>
    <cellStyle name="Vírgula 7 19 3 2 4" xfId="20710" xr:uid="{00000000-0005-0000-0000-00007C480000}"/>
    <cellStyle name="Vírgula 7 19 3 2 5" xfId="16686" xr:uid="{00000000-0005-0000-0000-00007D480000}"/>
    <cellStyle name="Vírgula 7 19 4" xfId="3504" xr:uid="{00000000-0005-0000-0000-00007E480000}"/>
    <cellStyle name="Vírgula 7 19 4 2" xfId="4824" xr:uid="{00000000-0005-0000-0000-00007F480000}"/>
    <cellStyle name="Vírgula 7 19 4 2 2" xfId="21864" xr:uid="{00000000-0005-0000-0000-000080480000}"/>
    <cellStyle name="Vírgula 7 19 4 2 3" xfId="17859" xr:uid="{00000000-0005-0000-0000-000081480000}"/>
    <cellStyle name="Vírgula 7 19 4 3" xfId="5673" xr:uid="{00000000-0005-0000-0000-000082480000}"/>
    <cellStyle name="Vírgula 7 19 4 3 2" xfId="22672" xr:uid="{00000000-0005-0000-0000-000083480000}"/>
    <cellStyle name="Vírgula 7 19 4 3 3" xfId="18708" xr:uid="{00000000-0005-0000-0000-000084480000}"/>
    <cellStyle name="Vírgula 7 19 4 4" xfId="20572" xr:uid="{00000000-0005-0000-0000-000085480000}"/>
    <cellStyle name="Vírgula 7 19 4 5" xfId="16548" xr:uid="{00000000-0005-0000-0000-000086480000}"/>
    <cellStyle name="Vírgula 7 19 5" xfId="3971" xr:uid="{00000000-0005-0000-0000-000087480000}"/>
    <cellStyle name="Vírgula 7 19 5 2" xfId="6403" xr:uid="{00000000-0005-0000-0000-000088480000}"/>
    <cellStyle name="Vírgula 7 19 5 2 2" xfId="23385" xr:uid="{00000000-0005-0000-0000-000089480000}"/>
    <cellStyle name="Vírgula 7 19 5 2 3" xfId="19438" xr:uid="{00000000-0005-0000-0000-00008A480000}"/>
    <cellStyle name="Vírgula 7 19 5 3" xfId="21027" xr:uid="{00000000-0005-0000-0000-00008B480000}"/>
    <cellStyle name="Vírgula 7 19 5 4" xfId="17013" xr:uid="{00000000-0005-0000-0000-00008C480000}"/>
    <cellStyle name="Vírgula 7 2" xfId="122" xr:uid="{00000000-0005-0000-0000-00008D480000}"/>
    <cellStyle name="Vírgula 7 2 10" xfId="2376" xr:uid="{00000000-0005-0000-0000-00008E480000}"/>
    <cellStyle name="Vírgula 7 2 10 2" xfId="2377" xr:uid="{00000000-0005-0000-0000-00008F480000}"/>
    <cellStyle name="Vírgula 7 2 10 2 2" xfId="3506" xr:uid="{00000000-0005-0000-0000-000090480000}"/>
    <cellStyle name="Vírgula 7 2 10 2 2 2" xfId="4347" xr:uid="{00000000-0005-0000-0000-000091480000}"/>
    <cellStyle name="Vírgula 7 2 10 2 2 2 2" xfId="6632" xr:uid="{00000000-0005-0000-0000-000092480000}"/>
    <cellStyle name="Vírgula 7 2 10 2 2 2 2 2" xfId="23614" xr:uid="{00000000-0005-0000-0000-000093480000}"/>
    <cellStyle name="Vírgula 7 2 10 2 2 2 2 3" xfId="19667" xr:uid="{00000000-0005-0000-0000-000094480000}"/>
    <cellStyle name="Vírgula 7 2 10 2 2 2 3" xfId="21391" xr:uid="{00000000-0005-0000-0000-000095480000}"/>
    <cellStyle name="Vírgula 7 2 10 2 2 2 4" xfId="17384" xr:uid="{00000000-0005-0000-0000-000096480000}"/>
    <cellStyle name="Vírgula 7 2 10 2 2 3" xfId="5675" xr:uid="{00000000-0005-0000-0000-000097480000}"/>
    <cellStyle name="Vírgula 7 2 10 2 2 3 2" xfId="22674" xr:uid="{00000000-0005-0000-0000-000098480000}"/>
    <cellStyle name="Vírgula 7 2 10 2 2 3 3" xfId="18710" xr:uid="{00000000-0005-0000-0000-000099480000}"/>
    <cellStyle name="Vírgula 7 2 10 2 2 4" xfId="20574" xr:uid="{00000000-0005-0000-0000-00009A480000}"/>
    <cellStyle name="Vírgula 7 2 10 2 2 5" xfId="16550" xr:uid="{00000000-0005-0000-0000-00009B480000}"/>
    <cellStyle name="Vírgula 7 2 10 2 3" xfId="4271" xr:uid="{00000000-0005-0000-0000-00009C480000}"/>
    <cellStyle name="Vírgula 7 2 10 2 3 2" xfId="6405" xr:uid="{00000000-0005-0000-0000-00009D480000}"/>
    <cellStyle name="Vírgula 7 2 10 2 3 2 2" xfId="23387" xr:uid="{00000000-0005-0000-0000-00009E480000}"/>
    <cellStyle name="Vírgula 7 2 10 2 3 2 3" xfId="19440" xr:uid="{00000000-0005-0000-0000-00009F480000}"/>
    <cellStyle name="Vírgula 7 2 10 2 3 3" xfId="21315" xr:uid="{00000000-0005-0000-0000-0000A0480000}"/>
    <cellStyle name="Vírgula 7 2 10 2 3 4" xfId="17308" xr:uid="{00000000-0005-0000-0000-0000A1480000}"/>
    <cellStyle name="Vírgula 7 2 10 2 4" xfId="6824" xr:uid="{00000000-0005-0000-0000-0000A2480000}"/>
    <cellStyle name="Vírgula 7 2 10 2 4 2" xfId="23790" xr:uid="{00000000-0005-0000-0000-0000A3480000}"/>
    <cellStyle name="Vírgula 7 2 10 2 4 3" xfId="19859" xr:uid="{00000000-0005-0000-0000-0000A4480000}"/>
    <cellStyle name="Vírgula 7 2 10 2 5" xfId="5142" xr:uid="{00000000-0005-0000-0000-0000A5480000}"/>
    <cellStyle name="Vírgula 7 2 10 2 5 2" xfId="22143" xr:uid="{00000000-0005-0000-0000-0000A6480000}"/>
    <cellStyle name="Vírgula 7 2 10 2 5 3" xfId="18177" xr:uid="{00000000-0005-0000-0000-0000A7480000}"/>
    <cellStyle name="Vírgula 7 2 10 2 6" xfId="20043" xr:uid="{00000000-0005-0000-0000-0000A8480000}"/>
    <cellStyle name="Vírgula 7 2 10 2 7" xfId="16012" xr:uid="{00000000-0005-0000-0000-0000A9480000}"/>
    <cellStyle name="Vírgula 7 2 10 3" xfId="3505" xr:uid="{00000000-0005-0000-0000-0000AA480000}"/>
    <cellStyle name="Vírgula 7 2 10 3 2" xfId="3870" xr:uid="{00000000-0005-0000-0000-0000AB480000}"/>
    <cellStyle name="Vírgula 7 2 10 3 2 2" xfId="6631" xr:uid="{00000000-0005-0000-0000-0000AC480000}"/>
    <cellStyle name="Vírgula 7 2 10 3 2 2 2" xfId="23613" xr:uid="{00000000-0005-0000-0000-0000AD480000}"/>
    <cellStyle name="Vírgula 7 2 10 3 2 2 3" xfId="19666" xr:uid="{00000000-0005-0000-0000-0000AE480000}"/>
    <cellStyle name="Vírgula 7 2 10 3 2 3" xfId="20931" xr:uid="{00000000-0005-0000-0000-0000AF480000}"/>
    <cellStyle name="Vírgula 7 2 10 3 2 4" xfId="16912" xr:uid="{00000000-0005-0000-0000-0000B0480000}"/>
    <cellStyle name="Vírgula 7 2 10 3 3" xfId="5674" xr:uid="{00000000-0005-0000-0000-0000B1480000}"/>
    <cellStyle name="Vírgula 7 2 10 3 3 2" xfId="22673" xr:uid="{00000000-0005-0000-0000-0000B2480000}"/>
    <cellStyle name="Vírgula 7 2 10 3 3 3" xfId="18709" xr:uid="{00000000-0005-0000-0000-0000B3480000}"/>
    <cellStyle name="Vírgula 7 2 10 3 4" xfId="20573" xr:uid="{00000000-0005-0000-0000-0000B4480000}"/>
    <cellStyle name="Vírgula 7 2 10 3 5" xfId="16549" xr:uid="{00000000-0005-0000-0000-0000B5480000}"/>
    <cellStyle name="Vírgula 7 2 10 4" xfId="4270" xr:uid="{00000000-0005-0000-0000-0000B6480000}"/>
    <cellStyle name="Vírgula 7 2 10 4 2" xfId="6404" xr:uid="{00000000-0005-0000-0000-0000B7480000}"/>
    <cellStyle name="Vírgula 7 2 10 4 2 2" xfId="23386" xr:uid="{00000000-0005-0000-0000-0000B8480000}"/>
    <cellStyle name="Vírgula 7 2 10 4 2 3" xfId="19439" xr:uid="{00000000-0005-0000-0000-0000B9480000}"/>
    <cellStyle name="Vírgula 7 2 10 4 3" xfId="21314" xr:uid="{00000000-0005-0000-0000-0000BA480000}"/>
    <cellStyle name="Vírgula 7 2 10 4 4" xfId="17307" xr:uid="{00000000-0005-0000-0000-0000BB480000}"/>
    <cellStyle name="Vírgula 7 2 10 5" xfId="6823" xr:uid="{00000000-0005-0000-0000-0000BC480000}"/>
    <cellStyle name="Vírgula 7 2 10 5 2" xfId="23789" xr:uid="{00000000-0005-0000-0000-0000BD480000}"/>
    <cellStyle name="Vírgula 7 2 10 5 3" xfId="19858" xr:uid="{00000000-0005-0000-0000-0000BE480000}"/>
    <cellStyle name="Vírgula 7 2 10 6" xfId="5141" xr:uid="{00000000-0005-0000-0000-0000BF480000}"/>
    <cellStyle name="Vírgula 7 2 10 6 2" xfId="22142" xr:uid="{00000000-0005-0000-0000-0000C0480000}"/>
    <cellStyle name="Vírgula 7 2 10 6 3" xfId="18176" xr:uid="{00000000-0005-0000-0000-0000C1480000}"/>
    <cellStyle name="Vírgula 7 2 10 7" xfId="10685" xr:uid="{00000000-0005-0000-0000-0000C2480000}"/>
    <cellStyle name="Vírgula 7 2 10 7 2" xfId="20042" xr:uid="{00000000-0005-0000-0000-0000C3480000}"/>
    <cellStyle name="Vírgula 7 2 10 8" xfId="16011" xr:uid="{00000000-0005-0000-0000-0000C4480000}"/>
    <cellStyle name="Vírgula 7 2 11" xfId="2378" xr:uid="{00000000-0005-0000-0000-0000C5480000}"/>
    <cellStyle name="Vírgula 7 2 11 2" xfId="2379" xr:uid="{00000000-0005-0000-0000-0000C6480000}"/>
    <cellStyle name="Vírgula 7 2 11 2 2" xfId="3508" xr:uid="{00000000-0005-0000-0000-0000C7480000}"/>
    <cellStyle name="Vírgula 7 2 11 2 2 2" xfId="4152" xr:uid="{00000000-0005-0000-0000-0000C8480000}"/>
    <cellStyle name="Vírgula 7 2 11 2 2 2 2" xfId="6634" xr:uid="{00000000-0005-0000-0000-0000C9480000}"/>
    <cellStyle name="Vírgula 7 2 11 2 2 2 2 2" xfId="23616" xr:uid="{00000000-0005-0000-0000-0000CA480000}"/>
    <cellStyle name="Vírgula 7 2 11 2 2 2 2 3" xfId="19669" xr:uid="{00000000-0005-0000-0000-0000CB480000}"/>
    <cellStyle name="Vírgula 7 2 11 2 2 2 3" xfId="21200" xr:uid="{00000000-0005-0000-0000-0000CC480000}"/>
    <cellStyle name="Vírgula 7 2 11 2 2 2 4" xfId="17192" xr:uid="{00000000-0005-0000-0000-0000CD480000}"/>
    <cellStyle name="Vírgula 7 2 11 2 2 3" xfId="5677" xr:uid="{00000000-0005-0000-0000-0000CE480000}"/>
    <cellStyle name="Vírgula 7 2 11 2 2 3 2" xfId="22676" xr:uid="{00000000-0005-0000-0000-0000CF480000}"/>
    <cellStyle name="Vírgula 7 2 11 2 2 3 3" xfId="18712" xr:uid="{00000000-0005-0000-0000-0000D0480000}"/>
    <cellStyle name="Vírgula 7 2 11 2 2 4" xfId="20576" xr:uid="{00000000-0005-0000-0000-0000D1480000}"/>
    <cellStyle name="Vírgula 7 2 11 2 2 5" xfId="16552" xr:uid="{00000000-0005-0000-0000-0000D2480000}"/>
    <cellStyle name="Vírgula 7 2 11 2 3" xfId="4273" xr:uid="{00000000-0005-0000-0000-0000D3480000}"/>
    <cellStyle name="Vírgula 7 2 11 2 3 2" xfId="6407" xr:uid="{00000000-0005-0000-0000-0000D4480000}"/>
    <cellStyle name="Vírgula 7 2 11 2 3 2 2" xfId="23389" xr:uid="{00000000-0005-0000-0000-0000D5480000}"/>
    <cellStyle name="Vírgula 7 2 11 2 3 2 3" xfId="19442" xr:uid="{00000000-0005-0000-0000-0000D6480000}"/>
    <cellStyle name="Vírgula 7 2 11 2 3 3" xfId="21317" xr:uid="{00000000-0005-0000-0000-0000D7480000}"/>
    <cellStyle name="Vírgula 7 2 11 2 3 4" xfId="17310" xr:uid="{00000000-0005-0000-0000-0000D8480000}"/>
    <cellStyle name="Vírgula 7 2 11 2 4" xfId="6826" xr:uid="{00000000-0005-0000-0000-0000D9480000}"/>
    <cellStyle name="Vírgula 7 2 11 2 4 2" xfId="23792" xr:uid="{00000000-0005-0000-0000-0000DA480000}"/>
    <cellStyle name="Vírgula 7 2 11 2 4 3" xfId="19861" xr:uid="{00000000-0005-0000-0000-0000DB480000}"/>
    <cellStyle name="Vírgula 7 2 11 2 5" xfId="5144" xr:uid="{00000000-0005-0000-0000-0000DC480000}"/>
    <cellStyle name="Vírgula 7 2 11 2 5 2" xfId="22145" xr:uid="{00000000-0005-0000-0000-0000DD480000}"/>
    <cellStyle name="Vírgula 7 2 11 2 5 3" xfId="18179" xr:uid="{00000000-0005-0000-0000-0000DE480000}"/>
    <cellStyle name="Vírgula 7 2 11 2 6" xfId="20045" xr:uid="{00000000-0005-0000-0000-0000DF480000}"/>
    <cellStyle name="Vírgula 7 2 11 2 7" xfId="16014" xr:uid="{00000000-0005-0000-0000-0000E0480000}"/>
    <cellStyle name="Vírgula 7 2 11 3" xfId="3507" xr:uid="{00000000-0005-0000-0000-0000E1480000}"/>
    <cellStyle name="Vírgula 7 2 11 3 2" xfId="4328" xr:uid="{00000000-0005-0000-0000-0000E2480000}"/>
    <cellStyle name="Vírgula 7 2 11 3 2 2" xfId="6633" xr:uid="{00000000-0005-0000-0000-0000E3480000}"/>
    <cellStyle name="Vírgula 7 2 11 3 2 2 2" xfId="23615" xr:uid="{00000000-0005-0000-0000-0000E4480000}"/>
    <cellStyle name="Vírgula 7 2 11 3 2 2 3" xfId="19668" xr:uid="{00000000-0005-0000-0000-0000E5480000}"/>
    <cellStyle name="Vírgula 7 2 11 3 2 3" xfId="21372" xr:uid="{00000000-0005-0000-0000-0000E6480000}"/>
    <cellStyle name="Vírgula 7 2 11 3 2 4" xfId="17365" xr:uid="{00000000-0005-0000-0000-0000E7480000}"/>
    <cellStyle name="Vírgula 7 2 11 3 3" xfId="5676" xr:uid="{00000000-0005-0000-0000-0000E8480000}"/>
    <cellStyle name="Vírgula 7 2 11 3 3 2" xfId="11906" xr:uid="{00000000-0005-0000-0000-0000E9480000}"/>
    <cellStyle name="Vírgula 7 2 11 3 3 2 2" xfId="22675" xr:uid="{00000000-0005-0000-0000-0000EA480000}"/>
    <cellStyle name="Vírgula 7 2 11 3 3 3" xfId="13092" xr:uid="{00000000-0005-0000-0000-0000EB480000}"/>
    <cellStyle name="Vírgula 7 2 11 3 3 4" xfId="18711" xr:uid="{00000000-0005-0000-0000-0000EC480000}"/>
    <cellStyle name="Vírgula 7 2 11 3 4" xfId="20575" xr:uid="{00000000-0005-0000-0000-0000ED480000}"/>
    <cellStyle name="Vírgula 7 2 11 3 5" xfId="16551" xr:uid="{00000000-0005-0000-0000-0000EE480000}"/>
    <cellStyle name="Vírgula 7 2 11 4" xfId="4272" xr:uid="{00000000-0005-0000-0000-0000EF480000}"/>
    <cellStyle name="Vírgula 7 2 11 4 2" xfId="6406" xr:uid="{00000000-0005-0000-0000-0000F0480000}"/>
    <cellStyle name="Vírgula 7 2 11 4 2 2" xfId="23388" xr:uid="{00000000-0005-0000-0000-0000F1480000}"/>
    <cellStyle name="Vírgula 7 2 11 4 2 3" xfId="19441" xr:uid="{00000000-0005-0000-0000-0000F2480000}"/>
    <cellStyle name="Vírgula 7 2 11 4 3" xfId="21316" xr:uid="{00000000-0005-0000-0000-0000F3480000}"/>
    <cellStyle name="Vírgula 7 2 11 4 4" xfId="17309" xr:uid="{00000000-0005-0000-0000-0000F4480000}"/>
    <cellStyle name="Vírgula 7 2 11 5" xfId="6825" xr:uid="{00000000-0005-0000-0000-0000F5480000}"/>
    <cellStyle name="Vírgula 7 2 11 5 2" xfId="23791" xr:uid="{00000000-0005-0000-0000-0000F6480000}"/>
    <cellStyle name="Vírgula 7 2 11 5 3" xfId="19860" xr:uid="{00000000-0005-0000-0000-0000F7480000}"/>
    <cellStyle name="Vírgula 7 2 11 6" xfId="5143" xr:uid="{00000000-0005-0000-0000-0000F8480000}"/>
    <cellStyle name="Vírgula 7 2 11 6 2" xfId="22144" xr:uid="{00000000-0005-0000-0000-0000F9480000}"/>
    <cellStyle name="Vírgula 7 2 11 6 3" xfId="18178" xr:uid="{00000000-0005-0000-0000-0000FA480000}"/>
    <cellStyle name="Vírgula 7 2 11 7" xfId="10816" xr:uid="{00000000-0005-0000-0000-0000FB480000}"/>
    <cellStyle name="Vírgula 7 2 11 7 2" xfId="14910" xr:uid="{00000000-0005-0000-0000-0000FC480000}"/>
    <cellStyle name="Vírgula 7 2 11 7 3" xfId="13527" xr:uid="{00000000-0005-0000-0000-0000FD480000}"/>
    <cellStyle name="Vírgula 7 2 11 7 4" xfId="20044" xr:uid="{00000000-0005-0000-0000-0000FE480000}"/>
    <cellStyle name="Vírgula 7 2 11 8" xfId="13382" xr:uid="{00000000-0005-0000-0000-0000FF480000}"/>
    <cellStyle name="Vírgula 7 2 11 9" xfId="16013" xr:uid="{00000000-0005-0000-0000-000000490000}"/>
    <cellStyle name="Vírgula 7 2 12" xfId="2380" xr:uid="{00000000-0005-0000-0000-000001490000}"/>
    <cellStyle name="Vírgula 7 2 12 2" xfId="3509" xr:uid="{00000000-0005-0000-0000-000002490000}"/>
    <cellStyle name="Vírgula 7 2 12 2 2" xfId="4336" xr:uid="{00000000-0005-0000-0000-000003490000}"/>
    <cellStyle name="Vírgula 7 2 12 2 2 2" xfId="6635" xr:uid="{00000000-0005-0000-0000-000004490000}"/>
    <cellStyle name="Vírgula 7 2 12 2 2 2 2" xfId="23617" xr:uid="{00000000-0005-0000-0000-000005490000}"/>
    <cellStyle name="Vírgula 7 2 12 2 2 2 3" xfId="19670" xr:uid="{00000000-0005-0000-0000-000006490000}"/>
    <cellStyle name="Vírgula 7 2 12 2 2 3" xfId="21380" xr:uid="{00000000-0005-0000-0000-000007490000}"/>
    <cellStyle name="Vírgula 7 2 12 2 2 4" xfId="17373" xr:uid="{00000000-0005-0000-0000-000008490000}"/>
    <cellStyle name="Vírgula 7 2 12 2 3" xfId="5678" xr:uid="{00000000-0005-0000-0000-000009490000}"/>
    <cellStyle name="Vírgula 7 2 12 2 3 2" xfId="22677" xr:uid="{00000000-0005-0000-0000-00000A490000}"/>
    <cellStyle name="Vírgula 7 2 12 2 3 3" xfId="18713" xr:uid="{00000000-0005-0000-0000-00000B490000}"/>
    <cellStyle name="Vírgula 7 2 12 2 4" xfId="20577" xr:uid="{00000000-0005-0000-0000-00000C490000}"/>
    <cellStyle name="Vírgula 7 2 12 2 5" xfId="16553" xr:uid="{00000000-0005-0000-0000-00000D490000}"/>
    <cellStyle name="Vírgula 7 2 12 3" xfId="4274" xr:uid="{00000000-0005-0000-0000-00000E490000}"/>
    <cellStyle name="Vírgula 7 2 12 3 2" xfId="6408" xr:uid="{00000000-0005-0000-0000-00000F490000}"/>
    <cellStyle name="Vírgula 7 2 12 3 2 2" xfId="23390" xr:uid="{00000000-0005-0000-0000-000010490000}"/>
    <cellStyle name="Vírgula 7 2 12 3 2 3" xfId="19443" xr:uid="{00000000-0005-0000-0000-000011490000}"/>
    <cellStyle name="Vírgula 7 2 12 3 3" xfId="21318" xr:uid="{00000000-0005-0000-0000-000012490000}"/>
    <cellStyle name="Vírgula 7 2 12 3 4" xfId="17311" xr:uid="{00000000-0005-0000-0000-000013490000}"/>
    <cellStyle name="Vírgula 7 2 12 4" xfId="6827" xr:uid="{00000000-0005-0000-0000-000014490000}"/>
    <cellStyle name="Vírgula 7 2 12 4 2" xfId="23793" xr:uid="{00000000-0005-0000-0000-000015490000}"/>
    <cellStyle name="Vírgula 7 2 12 4 3" xfId="19862" xr:uid="{00000000-0005-0000-0000-000016490000}"/>
    <cellStyle name="Vírgula 7 2 12 5" xfId="5145" xr:uid="{00000000-0005-0000-0000-000017490000}"/>
    <cellStyle name="Vírgula 7 2 12 5 2" xfId="22146" xr:uid="{00000000-0005-0000-0000-000018490000}"/>
    <cellStyle name="Vírgula 7 2 12 5 3" xfId="18180" xr:uid="{00000000-0005-0000-0000-000019490000}"/>
    <cellStyle name="Vírgula 7 2 12 6" xfId="20046" xr:uid="{00000000-0005-0000-0000-00001A490000}"/>
    <cellStyle name="Vírgula 7 2 12 7" xfId="16015" xr:uid="{00000000-0005-0000-0000-00001B490000}"/>
    <cellStyle name="Vírgula 7 2 13" xfId="2381" xr:uid="{00000000-0005-0000-0000-00001C490000}"/>
    <cellStyle name="Vírgula 7 2 13 2" xfId="2382" xr:uid="{00000000-0005-0000-0000-00001D490000}"/>
    <cellStyle name="Vírgula 7 2 13 2 2" xfId="3511" xr:uid="{00000000-0005-0000-0000-00001E490000}"/>
    <cellStyle name="Vírgula 7 2 13 2 2 2" xfId="3791" xr:uid="{00000000-0005-0000-0000-00001F490000}"/>
    <cellStyle name="Vírgula 7 2 13 2 2 2 2" xfId="6637" xr:uid="{00000000-0005-0000-0000-000020490000}"/>
    <cellStyle name="Vírgula 7 2 13 2 2 2 2 2" xfId="23619" xr:uid="{00000000-0005-0000-0000-000021490000}"/>
    <cellStyle name="Vírgula 7 2 13 2 2 2 2 3" xfId="19672" xr:uid="{00000000-0005-0000-0000-000022490000}"/>
    <cellStyle name="Vírgula 7 2 13 2 2 2 3" xfId="20853" xr:uid="{00000000-0005-0000-0000-000023490000}"/>
    <cellStyle name="Vírgula 7 2 13 2 2 2 4" xfId="16833" xr:uid="{00000000-0005-0000-0000-000024490000}"/>
    <cellStyle name="Vírgula 7 2 13 2 2 3" xfId="5680" xr:uid="{00000000-0005-0000-0000-000025490000}"/>
    <cellStyle name="Vírgula 7 2 13 2 2 3 2" xfId="22679" xr:uid="{00000000-0005-0000-0000-000026490000}"/>
    <cellStyle name="Vírgula 7 2 13 2 2 3 3" xfId="18715" xr:uid="{00000000-0005-0000-0000-000027490000}"/>
    <cellStyle name="Vírgula 7 2 13 2 2 4" xfId="20579" xr:uid="{00000000-0005-0000-0000-000028490000}"/>
    <cellStyle name="Vírgula 7 2 13 2 2 5" xfId="16555" xr:uid="{00000000-0005-0000-0000-000029490000}"/>
    <cellStyle name="Vírgula 7 2 13 2 3" xfId="4276" xr:uid="{00000000-0005-0000-0000-00002A490000}"/>
    <cellStyle name="Vírgula 7 2 13 2 3 2" xfId="6410" xr:uid="{00000000-0005-0000-0000-00002B490000}"/>
    <cellStyle name="Vírgula 7 2 13 2 3 2 2" xfId="23392" xr:uid="{00000000-0005-0000-0000-00002C490000}"/>
    <cellStyle name="Vírgula 7 2 13 2 3 2 3" xfId="19445" xr:uid="{00000000-0005-0000-0000-00002D490000}"/>
    <cellStyle name="Vírgula 7 2 13 2 3 3" xfId="21320" xr:uid="{00000000-0005-0000-0000-00002E490000}"/>
    <cellStyle name="Vírgula 7 2 13 2 3 4" xfId="17313" xr:uid="{00000000-0005-0000-0000-00002F490000}"/>
    <cellStyle name="Vírgula 7 2 13 2 4" xfId="6829" xr:uid="{00000000-0005-0000-0000-000030490000}"/>
    <cellStyle name="Vírgula 7 2 13 2 4 2" xfId="23795" xr:uid="{00000000-0005-0000-0000-000031490000}"/>
    <cellStyle name="Vírgula 7 2 13 2 4 3" xfId="19864" xr:uid="{00000000-0005-0000-0000-000032490000}"/>
    <cellStyle name="Vírgula 7 2 13 2 5" xfId="5147" xr:uid="{00000000-0005-0000-0000-000033490000}"/>
    <cellStyle name="Vírgula 7 2 13 2 5 2" xfId="22148" xr:uid="{00000000-0005-0000-0000-000034490000}"/>
    <cellStyle name="Vírgula 7 2 13 2 5 3" xfId="18182" xr:uid="{00000000-0005-0000-0000-000035490000}"/>
    <cellStyle name="Vírgula 7 2 13 2 6" xfId="20048" xr:uid="{00000000-0005-0000-0000-000036490000}"/>
    <cellStyle name="Vírgula 7 2 13 2 7" xfId="16017" xr:uid="{00000000-0005-0000-0000-000037490000}"/>
    <cellStyle name="Vírgula 7 2 13 3" xfId="3510" xr:uid="{00000000-0005-0000-0000-000038490000}"/>
    <cellStyle name="Vírgula 7 2 13 3 2" xfId="4247" xr:uid="{00000000-0005-0000-0000-000039490000}"/>
    <cellStyle name="Vírgula 7 2 13 3 2 2" xfId="6636" xr:uid="{00000000-0005-0000-0000-00003A490000}"/>
    <cellStyle name="Vírgula 7 2 13 3 2 2 2" xfId="23618" xr:uid="{00000000-0005-0000-0000-00003B490000}"/>
    <cellStyle name="Vírgula 7 2 13 3 2 2 3" xfId="19671" xr:uid="{00000000-0005-0000-0000-00003C490000}"/>
    <cellStyle name="Vírgula 7 2 13 3 2 3" xfId="21291" xr:uid="{00000000-0005-0000-0000-00003D490000}"/>
    <cellStyle name="Vírgula 7 2 13 3 2 4" xfId="17284" xr:uid="{00000000-0005-0000-0000-00003E490000}"/>
    <cellStyle name="Vírgula 7 2 13 3 3" xfId="5679" xr:uid="{00000000-0005-0000-0000-00003F490000}"/>
    <cellStyle name="Vírgula 7 2 13 3 3 2" xfId="22678" xr:uid="{00000000-0005-0000-0000-000040490000}"/>
    <cellStyle name="Vírgula 7 2 13 3 3 3" xfId="18714" xr:uid="{00000000-0005-0000-0000-000041490000}"/>
    <cellStyle name="Vírgula 7 2 13 3 4" xfId="20578" xr:uid="{00000000-0005-0000-0000-000042490000}"/>
    <cellStyle name="Vírgula 7 2 13 3 5" xfId="16554" xr:uid="{00000000-0005-0000-0000-000043490000}"/>
    <cellStyle name="Vírgula 7 2 13 4" xfId="4275" xr:uid="{00000000-0005-0000-0000-000044490000}"/>
    <cellStyle name="Vírgula 7 2 13 4 2" xfId="6409" xr:uid="{00000000-0005-0000-0000-000045490000}"/>
    <cellStyle name="Vírgula 7 2 13 4 2 2" xfId="23391" xr:uid="{00000000-0005-0000-0000-000046490000}"/>
    <cellStyle name="Vírgula 7 2 13 4 2 3" xfId="19444" xr:uid="{00000000-0005-0000-0000-000047490000}"/>
    <cellStyle name="Vírgula 7 2 13 4 3" xfId="21319" xr:uid="{00000000-0005-0000-0000-000048490000}"/>
    <cellStyle name="Vírgula 7 2 13 4 4" xfId="17312" xr:uid="{00000000-0005-0000-0000-000049490000}"/>
    <cellStyle name="Vírgula 7 2 13 5" xfId="6828" xr:uid="{00000000-0005-0000-0000-00004A490000}"/>
    <cellStyle name="Vírgula 7 2 13 5 2" xfId="23794" xr:uid="{00000000-0005-0000-0000-00004B490000}"/>
    <cellStyle name="Vírgula 7 2 13 5 3" xfId="19863" xr:uid="{00000000-0005-0000-0000-00004C490000}"/>
    <cellStyle name="Vírgula 7 2 13 6" xfId="5146" xr:uid="{00000000-0005-0000-0000-00004D490000}"/>
    <cellStyle name="Vírgula 7 2 13 6 2" xfId="22147" xr:uid="{00000000-0005-0000-0000-00004E490000}"/>
    <cellStyle name="Vírgula 7 2 13 6 3" xfId="18181" xr:uid="{00000000-0005-0000-0000-00004F490000}"/>
    <cellStyle name="Vírgula 7 2 13 7" xfId="20047" xr:uid="{00000000-0005-0000-0000-000050490000}"/>
    <cellStyle name="Vírgula 7 2 13 8" xfId="16016" xr:uid="{00000000-0005-0000-0000-000051490000}"/>
    <cellStyle name="Vírgula 7 2 14" xfId="2383" xr:uid="{00000000-0005-0000-0000-000052490000}"/>
    <cellStyle name="Vírgula 7 2 14 2" xfId="3512" xr:uid="{00000000-0005-0000-0000-000053490000}"/>
    <cellStyle name="Vírgula 7 2 14 2 2" xfId="3741" xr:uid="{00000000-0005-0000-0000-000054490000}"/>
    <cellStyle name="Vírgula 7 2 14 2 2 2" xfId="6638" xr:uid="{00000000-0005-0000-0000-000055490000}"/>
    <cellStyle name="Vírgula 7 2 14 2 2 2 2" xfId="23620" xr:uid="{00000000-0005-0000-0000-000056490000}"/>
    <cellStyle name="Vírgula 7 2 14 2 2 2 3" xfId="19673" xr:uid="{00000000-0005-0000-0000-000057490000}"/>
    <cellStyle name="Vírgula 7 2 14 2 2 3" xfId="20805" xr:uid="{00000000-0005-0000-0000-000058490000}"/>
    <cellStyle name="Vírgula 7 2 14 2 2 4" xfId="16784" xr:uid="{00000000-0005-0000-0000-000059490000}"/>
    <cellStyle name="Vírgula 7 2 14 2 3" xfId="5681" xr:uid="{00000000-0005-0000-0000-00005A490000}"/>
    <cellStyle name="Vírgula 7 2 14 2 3 2" xfId="22680" xr:uid="{00000000-0005-0000-0000-00005B490000}"/>
    <cellStyle name="Vírgula 7 2 14 2 3 3" xfId="18716" xr:uid="{00000000-0005-0000-0000-00005C490000}"/>
    <cellStyle name="Vírgula 7 2 14 2 4" xfId="20580" xr:uid="{00000000-0005-0000-0000-00005D490000}"/>
    <cellStyle name="Vírgula 7 2 14 2 5" xfId="16556" xr:uid="{00000000-0005-0000-0000-00005E490000}"/>
    <cellStyle name="Vírgula 7 2 14 3" xfId="4277" xr:uid="{00000000-0005-0000-0000-00005F490000}"/>
    <cellStyle name="Vírgula 7 2 14 3 2" xfId="6411" xr:uid="{00000000-0005-0000-0000-000060490000}"/>
    <cellStyle name="Vírgula 7 2 14 3 2 2" xfId="23393" xr:uid="{00000000-0005-0000-0000-000061490000}"/>
    <cellStyle name="Vírgula 7 2 14 3 2 3" xfId="19446" xr:uid="{00000000-0005-0000-0000-000062490000}"/>
    <cellStyle name="Vírgula 7 2 14 3 3" xfId="21321" xr:uid="{00000000-0005-0000-0000-000063490000}"/>
    <cellStyle name="Vírgula 7 2 14 3 4" xfId="17314" xr:uid="{00000000-0005-0000-0000-000064490000}"/>
    <cellStyle name="Vírgula 7 2 14 4" xfId="6830" xr:uid="{00000000-0005-0000-0000-000065490000}"/>
    <cellStyle name="Vírgula 7 2 14 4 2" xfId="23796" xr:uid="{00000000-0005-0000-0000-000066490000}"/>
    <cellStyle name="Vírgula 7 2 14 4 3" xfId="19865" xr:uid="{00000000-0005-0000-0000-000067490000}"/>
    <cellStyle name="Vírgula 7 2 14 5" xfId="5148" xr:uid="{00000000-0005-0000-0000-000068490000}"/>
    <cellStyle name="Vírgula 7 2 14 5 2" xfId="22149" xr:uid="{00000000-0005-0000-0000-000069490000}"/>
    <cellStyle name="Vírgula 7 2 14 5 3" xfId="18183" xr:uid="{00000000-0005-0000-0000-00006A490000}"/>
    <cellStyle name="Vírgula 7 2 14 6" xfId="20049" xr:uid="{00000000-0005-0000-0000-00006B490000}"/>
    <cellStyle name="Vírgula 7 2 14 7" xfId="16018" xr:uid="{00000000-0005-0000-0000-00006C490000}"/>
    <cellStyle name="Vírgula 7 2 15" xfId="3044" xr:uid="{00000000-0005-0000-0000-00006D490000}"/>
    <cellStyle name="Vírgula 7 2 15 2" xfId="4324" xr:uid="{00000000-0005-0000-0000-00006E490000}"/>
    <cellStyle name="Vírgula 7 2 15 2 2" xfId="5903" xr:uid="{00000000-0005-0000-0000-00006F490000}"/>
    <cellStyle name="Vírgula 7 2 15 2 2 2" xfId="22899" xr:uid="{00000000-0005-0000-0000-000070490000}"/>
    <cellStyle name="Vírgula 7 2 15 2 2 3" xfId="18938" xr:uid="{00000000-0005-0000-0000-000071490000}"/>
    <cellStyle name="Vírgula 7 2 15 2 3" xfId="21368" xr:uid="{00000000-0005-0000-0000-000072490000}"/>
    <cellStyle name="Vírgula 7 2 15 2 4" xfId="17361" xr:uid="{00000000-0005-0000-0000-000073490000}"/>
    <cellStyle name="Vírgula 7 2 15 3" xfId="5213" xr:uid="{00000000-0005-0000-0000-000074490000}"/>
    <cellStyle name="Vírgula 7 2 15 3 2" xfId="13309" xr:uid="{00000000-0005-0000-0000-000075490000}"/>
    <cellStyle name="Vírgula 7 2 15 3 2 2" xfId="22212" xr:uid="{00000000-0005-0000-0000-000076490000}"/>
    <cellStyle name="Vírgula 7 2 15 3 3" xfId="12961" xr:uid="{00000000-0005-0000-0000-000077490000}"/>
    <cellStyle name="Vírgula 7 2 15 3 4" xfId="18248" xr:uid="{00000000-0005-0000-0000-000078490000}"/>
    <cellStyle name="Vírgula 7 2 15 4" xfId="20112" xr:uid="{00000000-0005-0000-0000-000079490000}"/>
    <cellStyle name="Vírgula 7 2 15 5" xfId="16088" xr:uid="{00000000-0005-0000-0000-00007A490000}"/>
    <cellStyle name="Vírgula 7 2 16" xfId="4327" xr:uid="{00000000-0005-0000-0000-00007B490000}"/>
    <cellStyle name="Vírgula 7 2 16 2" xfId="6495" xr:uid="{00000000-0005-0000-0000-00007C490000}"/>
    <cellStyle name="Vírgula 7 2 16 2 2" xfId="11119" xr:uid="{00000000-0005-0000-0000-00007D490000}"/>
    <cellStyle name="Vírgula 7 2 16 2 2 2" xfId="23477" xr:uid="{00000000-0005-0000-0000-00007E490000}"/>
    <cellStyle name="Vírgula 7 2 16 2 3" xfId="12306" xr:uid="{00000000-0005-0000-0000-00007F490000}"/>
    <cellStyle name="Vírgula 7 2 16 2 4" xfId="19530" xr:uid="{00000000-0005-0000-0000-000080490000}"/>
    <cellStyle name="Vírgula 7 2 16 3" xfId="21371" xr:uid="{00000000-0005-0000-0000-000081490000}"/>
    <cellStyle name="Vírgula 7 2 16 4" xfId="17364" xr:uid="{00000000-0005-0000-0000-000082490000}"/>
    <cellStyle name="Vírgula 7 2 17" xfId="5865" xr:uid="{00000000-0005-0000-0000-000083490000}"/>
    <cellStyle name="Vírgula 7 2 17 2" xfId="22861" xr:uid="{00000000-0005-0000-0000-000084490000}"/>
    <cellStyle name="Vírgula 7 2 17 3" xfId="18900" xr:uid="{00000000-0005-0000-0000-000085490000}"/>
    <cellStyle name="Vírgula 7 2 2" xfId="342" xr:uid="{00000000-0005-0000-0000-000086490000}"/>
    <cellStyle name="Vírgula 7 2 2 10" xfId="2385" xr:uid="{00000000-0005-0000-0000-000087490000}"/>
    <cellStyle name="Vírgula 7 2 2 10 2" xfId="3514" xr:uid="{00000000-0005-0000-0000-000088490000}"/>
    <cellStyle name="Vírgula 7 2 2 10 2 2" xfId="4826" xr:uid="{00000000-0005-0000-0000-000089490000}"/>
    <cellStyle name="Vírgula 7 2 2 10 2 2 2" xfId="12844" xr:uid="{00000000-0005-0000-0000-00008A490000}"/>
    <cellStyle name="Vírgula 7 2 2 10 2 2 2 2" xfId="21866" xr:uid="{00000000-0005-0000-0000-00008B490000}"/>
    <cellStyle name="Vírgula 7 2 2 10 2 2 3" xfId="17861" xr:uid="{00000000-0005-0000-0000-00008C490000}"/>
    <cellStyle name="Vírgula 7 2 2 10 2 3" xfId="5683" xr:uid="{00000000-0005-0000-0000-00008D490000}"/>
    <cellStyle name="Vírgula 7 2 2 10 2 3 2" xfId="12007" xr:uid="{00000000-0005-0000-0000-00008E490000}"/>
    <cellStyle name="Vírgula 7 2 2 10 2 3 2 2" xfId="22682" xr:uid="{00000000-0005-0000-0000-00008F490000}"/>
    <cellStyle name="Vírgula 7 2 2 10 2 3 3" xfId="12460" xr:uid="{00000000-0005-0000-0000-000090490000}"/>
    <cellStyle name="Vírgula 7 2 2 10 2 3 4" xfId="18718" xr:uid="{00000000-0005-0000-0000-000091490000}"/>
    <cellStyle name="Vírgula 7 2 2 10 2 4" xfId="13632" xr:uid="{00000000-0005-0000-0000-000092490000}"/>
    <cellStyle name="Vírgula 7 2 2 10 2 4 2" xfId="20582" xr:uid="{00000000-0005-0000-0000-000093490000}"/>
    <cellStyle name="Vírgula 7 2 2 10 2 5" xfId="16558" xr:uid="{00000000-0005-0000-0000-000094490000}"/>
    <cellStyle name="Vírgula 7 2 2 10 3" xfId="4220" xr:uid="{00000000-0005-0000-0000-000095490000}"/>
    <cellStyle name="Vírgula 7 2 2 10 3 2" xfId="6413" xr:uid="{00000000-0005-0000-0000-000096490000}"/>
    <cellStyle name="Vírgula 7 2 2 10 3 2 2" xfId="12574" xr:uid="{00000000-0005-0000-0000-000097490000}"/>
    <cellStyle name="Vírgula 7 2 2 10 3 2 2 2" xfId="23395" xr:uid="{00000000-0005-0000-0000-000098490000}"/>
    <cellStyle name="Vírgula 7 2 2 10 3 2 3" xfId="11363" xr:uid="{00000000-0005-0000-0000-000099490000}"/>
    <cellStyle name="Vírgula 7 2 2 10 3 2 4" xfId="19448" xr:uid="{00000000-0005-0000-0000-00009A490000}"/>
    <cellStyle name="Vírgula 7 2 2 10 3 3" xfId="21266" xr:uid="{00000000-0005-0000-0000-00009B490000}"/>
    <cellStyle name="Vírgula 7 2 2 10 3 4" xfId="17259" xr:uid="{00000000-0005-0000-0000-00009C490000}"/>
    <cellStyle name="Vírgula 7 2 2 10 4" xfId="8596" xr:uid="{00000000-0005-0000-0000-00009D490000}"/>
    <cellStyle name="Vírgula 7 2 2 10 4 2" xfId="11540" xr:uid="{00000000-0005-0000-0000-00009E490000}"/>
    <cellStyle name="Vírgula 7 2 2 10 4 3" xfId="11652" xr:uid="{00000000-0005-0000-0000-00009F490000}"/>
    <cellStyle name="Vírgula 7 2 2 10 5" xfId="8597" xr:uid="{00000000-0005-0000-0000-0000A0490000}"/>
    <cellStyle name="Vírgula 7 2 2 10 6" xfId="13528" xr:uid="{00000000-0005-0000-0000-0000A1490000}"/>
    <cellStyle name="Vírgula 7 2 2 11" xfId="2386" xr:uid="{00000000-0005-0000-0000-0000A2490000}"/>
    <cellStyle name="Vírgula 7 2 2 11 2" xfId="3515" xr:uid="{00000000-0005-0000-0000-0000A3490000}"/>
    <cellStyle name="Vírgula 7 2 2 11 2 2" xfId="3779" xr:uid="{00000000-0005-0000-0000-0000A4490000}"/>
    <cellStyle name="Vírgula 7 2 2 11 2 2 2" xfId="6639" xr:uid="{00000000-0005-0000-0000-0000A5490000}"/>
    <cellStyle name="Vírgula 7 2 2 11 2 2 2 2" xfId="23621" xr:uid="{00000000-0005-0000-0000-0000A6490000}"/>
    <cellStyle name="Vírgula 7 2 2 11 2 2 2 3" xfId="19674" xr:uid="{00000000-0005-0000-0000-0000A7490000}"/>
    <cellStyle name="Vírgula 7 2 2 11 2 2 3" xfId="20841" xr:uid="{00000000-0005-0000-0000-0000A8490000}"/>
    <cellStyle name="Vírgula 7 2 2 11 2 2 4" xfId="16821" xr:uid="{00000000-0005-0000-0000-0000A9490000}"/>
    <cellStyle name="Vírgula 7 2 2 11 2 3" xfId="5684" xr:uid="{00000000-0005-0000-0000-0000AA490000}"/>
    <cellStyle name="Vírgula 7 2 2 11 2 3 2" xfId="22683" xr:uid="{00000000-0005-0000-0000-0000AB490000}"/>
    <cellStyle name="Vírgula 7 2 2 11 2 3 3" xfId="18719" xr:uid="{00000000-0005-0000-0000-0000AC490000}"/>
    <cellStyle name="Vírgula 7 2 2 11 2 4" xfId="20583" xr:uid="{00000000-0005-0000-0000-0000AD490000}"/>
    <cellStyle name="Vírgula 7 2 2 11 2 5" xfId="16559" xr:uid="{00000000-0005-0000-0000-0000AE490000}"/>
    <cellStyle name="Vírgula 7 2 2 11 3" xfId="4279" xr:uid="{00000000-0005-0000-0000-0000AF490000}"/>
    <cellStyle name="Vírgula 7 2 2 11 3 2" xfId="6414" xr:uid="{00000000-0005-0000-0000-0000B0490000}"/>
    <cellStyle name="Vírgula 7 2 2 11 3 2 2" xfId="23396" xr:uid="{00000000-0005-0000-0000-0000B1490000}"/>
    <cellStyle name="Vírgula 7 2 2 11 3 2 3" xfId="19449" xr:uid="{00000000-0005-0000-0000-0000B2490000}"/>
    <cellStyle name="Vírgula 7 2 2 11 3 3" xfId="21323" xr:uid="{00000000-0005-0000-0000-0000B3490000}"/>
    <cellStyle name="Vírgula 7 2 2 11 3 4" xfId="17316" xr:uid="{00000000-0005-0000-0000-0000B4490000}"/>
    <cellStyle name="Vírgula 7 2 2 11 4" xfId="6831" xr:uid="{00000000-0005-0000-0000-0000B5490000}"/>
    <cellStyle name="Vírgula 7 2 2 11 4 2" xfId="23797" xr:uid="{00000000-0005-0000-0000-0000B6490000}"/>
    <cellStyle name="Vírgula 7 2 2 11 4 3" xfId="19866" xr:uid="{00000000-0005-0000-0000-0000B7490000}"/>
    <cellStyle name="Vírgula 7 2 2 11 5" xfId="5149" xr:uid="{00000000-0005-0000-0000-0000B8490000}"/>
    <cellStyle name="Vírgula 7 2 2 11 5 2" xfId="22150" xr:uid="{00000000-0005-0000-0000-0000B9490000}"/>
    <cellStyle name="Vírgula 7 2 2 11 5 3" xfId="18184" xr:uid="{00000000-0005-0000-0000-0000BA490000}"/>
    <cellStyle name="Vírgula 7 2 2 11 6" xfId="20050" xr:uid="{00000000-0005-0000-0000-0000BB490000}"/>
    <cellStyle name="Vírgula 7 2 2 11 7" xfId="16019" xr:uid="{00000000-0005-0000-0000-0000BC490000}"/>
    <cellStyle name="Vírgula 7 2 2 12" xfId="2387" xr:uid="{00000000-0005-0000-0000-0000BD490000}"/>
    <cellStyle name="Vírgula 7 2 2 12 2" xfId="3516" xr:uid="{00000000-0005-0000-0000-0000BE490000}"/>
    <cellStyle name="Vírgula 7 2 2 12 2 2" xfId="4827" xr:uid="{00000000-0005-0000-0000-0000BF490000}"/>
    <cellStyle name="Vírgula 7 2 2 12 2 2 2" xfId="21867" xr:uid="{00000000-0005-0000-0000-0000C0490000}"/>
    <cellStyle name="Vírgula 7 2 2 12 2 2 3" xfId="17862" xr:uid="{00000000-0005-0000-0000-0000C1490000}"/>
    <cellStyle name="Vírgula 7 2 2 12 2 3" xfId="5685" xr:uid="{00000000-0005-0000-0000-0000C2490000}"/>
    <cellStyle name="Vírgula 7 2 2 12 2 3 2" xfId="22684" xr:uid="{00000000-0005-0000-0000-0000C3490000}"/>
    <cellStyle name="Vírgula 7 2 2 12 2 3 3" xfId="18720" xr:uid="{00000000-0005-0000-0000-0000C4490000}"/>
    <cellStyle name="Vírgula 7 2 2 12 2 4" xfId="20584" xr:uid="{00000000-0005-0000-0000-0000C5490000}"/>
    <cellStyle name="Vírgula 7 2 2 12 2 5" xfId="16560" xr:uid="{00000000-0005-0000-0000-0000C6490000}"/>
    <cellStyle name="Vírgula 7 2 2 12 3" xfId="4178" xr:uid="{00000000-0005-0000-0000-0000C7490000}"/>
    <cellStyle name="Vírgula 7 2 2 12 3 2" xfId="6415" xr:uid="{00000000-0005-0000-0000-0000C8490000}"/>
    <cellStyle name="Vírgula 7 2 2 12 3 2 2" xfId="23397" xr:uid="{00000000-0005-0000-0000-0000C9490000}"/>
    <cellStyle name="Vírgula 7 2 2 12 3 2 3" xfId="19450" xr:uid="{00000000-0005-0000-0000-0000CA490000}"/>
    <cellStyle name="Vírgula 7 2 2 12 3 3" xfId="21225" xr:uid="{00000000-0005-0000-0000-0000CB490000}"/>
    <cellStyle name="Vírgula 7 2 2 12 3 4" xfId="17218" xr:uid="{00000000-0005-0000-0000-0000CC490000}"/>
    <cellStyle name="Vírgula 7 2 2 13" xfId="2384" xr:uid="{00000000-0005-0000-0000-0000CD490000}"/>
    <cellStyle name="Vírgula 7 2 2 13 2" xfId="3513" xr:uid="{00000000-0005-0000-0000-0000CE490000}"/>
    <cellStyle name="Vírgula 7 2 2 13 2 2" xfId="4825" xr:uid="{00000000-0005-0000-0000-0000CF490000}"/>
    <cellStyle name="Vírgula 7 2 2 13 2 2 2" xfId="21865" xr:uid="{00000000-0005-0000-0000-0000D0490000}"/>
    <cellStyle name="Vírgula 7 2 2 13 2 2 3" xfId="17860" xr:uid="{00000000-0005-0000-0000-0000D1490000}"/>
    <cellStyle name="Vírgula 7 2 2 13 2 3" xfId="5682" xr:uid="{00000000-0005-0000-0000-0000D2490000}"/>
    <cellStyle name="Vírgula 7 2 2 13 2 3 2" xfId="22681" xr:uid="{00000000-0005-0000-0000-0000D3490000}"/>
    <cellStyle name="Vírgula 7 2 2 13 2 3 3" xfId="18717" xr:uid="{00000000-0005-0000-0000-0000D4490000}"/>
    <cellStyle name="Vírgula 7 2 2 13 2 4" xfId="20581" xr:uid="{00000000-0005-0000-0000-0000D5490000}"/>
    <cellStyle name="Vírgula 7 2 2 13 2 5" xfId="16557" xr:uid="{00000000-0005-0000-0000-0000D6490000}"/>
    <cellStyle name="Vírgula 7 2 2 13 3" xfId="3781" xr:uid="{00000000-0005-0000-0000-0000D7490000}"/>
    <cellStyle name="Vírgula 7 2 2 13 3 2" xfId="6412" xr:uid="{00000000-0005-0000-0000-0000D8490000}"/>
    <cellStyle name="Vírgula 7 2 2 13 3 2 2" xfId="23394" xr:uid="{00000000-0005-0000-0000-0000D9490000}"/>
    <cellStyle name="Vírgula 7 2 2 13 3 2 3" xfId="19447" xr:uid="{00000000-0005-0000-0000-0000DA490000}"/>
    <cellStyle name="Vírgula 7 2 2 13 3 3" xfId="20843" xr:uid="{00000000-0005-0000-0000-0000DB490000}"/>
    <cellStyle name="Vírgula 7 2 2 13 3 4" xfId="16823" xr:uid="{00000000-0005-0000-0000-0000DC490000}"/>
    <cellStyle name="Vírgula 7 2 2 14" xfId="3049" xr:uid="{00000000-0005-0000-0000-0000DD490000}"/>
    <cellStyle name="Vírgula 7 2 2 14 2" xfId="4190" xr:uid="{00000000-0005-0000-0000-0000DE490000}"/>
    <cellStyle name="Vírgula 7 2 2 14 2 2" xfId="6502" xr:uid="{00000000-0005-0000-0000-0000DF490000}"/>
    <cellStyle name="Vírgula 7 2 2 14 2 2 2" xfId="13308" xr:uid="{00000000-0005-0000-0000-0000E0490000}"/>
    <cellStyle name="Vírgula 7 2 2 14 2 2 2 2" xfId="23484" xr:uid="{00000000-0005-0000-0000-0000E1490000}"/>
    <cellStyle name="Vírgula 7 2 2 14 2 2 3" xfId="11364" xr:uid="{00000000-0005-0000-0000-0000E2490000}"/>
    <cellStyle name="Vírgula 7 2 2 14 2 2 4" xfId="19537" xr:uid="{00000000-0005-0000-0000-0000E3490000}"/>
    <cellStyle name="Vírgula 7 2 2 14 2 3" xfId="13712" xr:uid="{00000000-0005-0000-0000-0000E4490000}"/>
    <cellStyle name="Vírgula 7 2 2 14 2 3 2" xfId="21236" xr:uid="{00000000-0005-0000-0000-0000E5490000}"/>
    <cellStyle name="Vírgula 7 2 2 14 2 4" xfId="17229" xr:uid="{00000000-0005-0000-0000-0000E6490000}"/>
    <cellStyle name="Vírgula 7 2 2 14 3" xfId="5218" xr:uid="{00000000-0005-0000-0000-0000E7490000}"/>
    <cellStyle name="Vírgula 7 2 2 14 3 2" xfId="11091" xr:uid="{00000000-0005-0000-0000-0000E8490000}"/>
    <cellStyle name="Vírgula 7 2 2 14 3 2 2" xfId="22217" xr:uid="{00000000-0005-0000-0000-0000E9490000}"/>
    <cellStyle name="Vírgula 7 2 2 14 3 3" xfId="11068" xr:uid="{00000000-0005-0000-0000-0000EA490000}"/>
    <cellStyle name="Vírgula 7 2 2 14 3 4" xfId="18253" xr:uid="{00000000-0005-0000-0000-0000EB490000}"/>
    <cellStyle name="Vírgula 7 2 2 14 4" xfId="13577" xr:uid="{00000000-0005-0000-0000-0000EC490000}"/>
    <cellStyle name="Vírgula 7 2 2 14 4 2" xfId="20117" xr:uid="{00000000-0005-0000-0000-0000ED490000}"/>
    <cellStyle name="Vírgula 7 2 2 14 5" xfId="16093" xr:uid="{00000000-0005-0000-0000-0000EE490000}"/>
    <cellStyle name="Vírgula 7 2 2 15" xfId="3753" xr:uid="{00000000-0005-0000-0000-0000EF490000}"/>
    <cellStyle name="Vírgula 7 2 2 15 2" xfId="5915" xr:uid="{00000000-0005-0000-0000-0000F0490000}"/>
    <cellStyle name="Vírgula 7 2 2 15 2 2" xfId="8598" xr:uid="{00000000-0005-0000-0000-0000F1490000}"/>
    <cellStyle name="Vírgula 7 2 2 15 2 2 2" xfId="22910" xr:uid="{00000000-0005-0000-0000-0000F2490000}"/>
    <cellStyle name="Vírgula 7 2 2 15 2 3" xfId="12493" xr:uid="{00000000-0005-0000-0000-0000F3490000}"/>
    <cellStyle name="Vírgula 7 2 2 15 2 4" xfId="18950" xr:uid="{00000000-0005-0000-0000-0000F4490000}"/>
    <cellStyle name="Vírgula 7 2 2 15 3" xfId="8599" xr:uid="{00000000-0005-0000-0000-0000F5490000}"/>
    <cellStyle name="Vírgula 7 2 2 15 3 2" xfId="20817" xr:uid="{00000000-0005-0000-0000-0000F6490000}"/>
    <cellStyle name="Vírgula 7 2 2 15 4" xfId="16796" xr:uid="{00000000-0005-0000-0000-0000F7490000}"/>
    <cellStyle name="Vírgula 7 2 2 16" xfId="6680" xr:uid="{00000000-0005-0000-0000-0000F8490000}"/>
    <cellStyle name="Vírgula 7 2 2 16 2" xfId="12887" xr:uid="{00000000-0005-0000-0000-0000F9490000}"/>
    <cellStyle name="Vírgula 7 2 2 16 2 2" xfId="15689" xr:uid="{00000000-0005-0000-0000-0000FA490000}"/>
    <cellStyle name="Vírgula 7 2 2 16 2 3" xfId="13757" xr:uid="{00000000-0005-0000-0000-0000FB490000}"/>
    <cellStyle name="Vírgula 7 2 2 16 2 4" xfId="23659" xr:uid="{00000000-0005-0000-0000-0000FC490000}"/>
    <cellStyle name="Vírgula 7 2 2 16 3" xfId="11495" xr:uid="{00000000-0005-0000-0000-0000FD490000}"/>
    <cellStyle name="Vírgula 7 2 2 16 4" xfId="11365" xr:uid="{00000000-0005-0000-0000-0000FE490000}"/>
    <cellStyle name="Vírgula 7 2 2 16 5" xfId="19715" xr:uid="{00000000-0005-0000-0000-0000FF490000}"/>
    <cellStyle name="Vírgula 7 2 2 17" xfId="4997" xr:uid="{00000000-0005-0000-0000-0000004A0000}"/>
    <cellStyle name="Vírgula 7 2 2 17 2" xfId="11928" xr:uid="{00000000-0005-0000-0000-0000014A0000}"/>
    <cellStyle name="Vírgula 7 2 2 17 2 2" xfId="15115" xr:uid="{00000000-0005-0000-0000-0000024A0000}"/>
    <cellStyle name="Vírgula 7 2 2 17 2 3" xfId="13745" xr:uid="{00000000-0005-0000-0000-0000034A0000}"/>
    <cellStyle name="Vírgula 7 2 2 17 2 4" xfId="22012" xr:uid="{00000000-0005-0000-0000-0000044A0000}"/>
    <cellStyle name="Vírgula 7 2 2 17 3" xfId="11396" xr:uid="{00000000-0005-0000-0000-0000054A0000}"/>
    <cellStyle name="Vírgula 7 2 2 17 4" xfId="12461" xr:uid="{00000000-0005-0000-0000-0000064A0000}"/>
    <cellStyle name="Vírgula 7 2 2 17 5" xfId="18032" xr:uid="{00000000-0005-0000-0000-0000074A0000}"/>
    <cellStyle name="Vírgula 7 2 2 18" xfId="8600" xr:uid="{00000000-0005-0000-0000-0000084A0000}"/>
    <cellStyle name="Vírgula 7 2 2 18 2" xfId="19912" xr:uid="{00000000-0005-0000-0000-0000094A0000}"/>
    <cellStyle name="Vírgula 7 2 2 19" xfId="8601" xr:uid="{00000000-0005-0000-0000-00000A4A0000}"/>
    <cellStyle name="Vírgula 7 2 2 2" xfId="884" xr:uid="{00000000-0005-0000-0000-00000B4A0000}"/>
    <cellStyle name="Vírgula 7 2 2 2 2" xfId="2388" xr:uid="{00000000-0005-0000-0000-00000C4A0000}"/>
    <cellStyle name="Vírgula 7 2 2 2 2 2" xfId="3517" xr:uid="{00000000-0005-0000-0000-00000D4A0000}"/>
    <cellStyle name="Vírgula 7 2 2 2 2 2 2" xfId="4828" xr:uid="{00000000-0005-0000-0000-00000E4A0000}"/>
    <cellStyle name="Vírgula 7 2 2 2 2 2 2 2" xfId="21868" xr:uid="{00000000-0005-0000-0000-00000F4A0000}"/>
    <cellStyle name="Vírgula 7 2 2 2 2 2 2 3" xfId="17863" xr:uid="{00000000-0005-0000-0000-0000104A0000}"/>
    <cellStyle name="Vírgula 7 2 2 2 2 2 3" xfId="5686" xr:uid="{00000000-0005-0000-0000-0000114A0000}"/>
    <cellStyle name="Vírgula 7 2 2 2 2 2 3 2" xfId="22685" xr:uid="{00000000-0005-0000-0000-0000124A0000}"/>
    <cellStyle name="Vírgula 7 2 2 2 2 2 3 3" xfId="18721" xr:uid="{00000000-0005-0000-0000-0000134A0000}"/>
    <cellStyle name="Vírgula 7 2 2 2 2 2 4" xfId="10467" xr:uid="{00000000-0005-0000-0000-0000144A0000}"/>
    <cellStyle name="Vírgula 7 2 2 2 2 2 4 2" xfId="20585" xr:uid="{00000000-0005-0000-0000-0000154A0000}"/>
    <cellStyle name="Vírgula 7 2 2 2 2 2 5" xfId="16561" xr:uid="{00000000-0005-0000-0000-0000164A0000}"/>
    <cellStyle name="Vírgula 7 2 2 2 2 3" xfId="3733" xr:uid="{00000000-0005-0000-0000-0000174A0000}"/>
    <cellStyle name="Vírgula 7 2 2 2 2 3 2" xfId="6416" xr:uid="{00000000-0005-0000-0000-0000184A0000}"/>
    <cellStyle name="Vírgula 7 2 2 2 2 3 2 2" xfId="23398" xr:uid="{00000000-0005-0000-0000-0000194A0000}"/>
    <cellStyle name="Vírgula 7 2 2 2 2 3 2 3" xfId="19451" xr:uid="{00000000-0005-0000-0000-00001A4A0000}"/>
    <cellStyle name="Vírgula 7 2 2 2 2 3 3" xfId="20798" xr:uid="{00000000-0005-0000-0000-00001B4A0000}"/>
    <cellStyle name="Vírgula 7 2 2 2 2 3 4" xfId="16777" xr:uid="{00000000-0005-0000-0000-00001C4A0000}"/>
    <cellStyle name="Vírgula 7 2 2 2 2 4" xfId="9797" xr:uid="{00000000-0005-0000-0000-00001D4A0000}"/>
    <cellStyle name="Vírgula 7 2 2 2 3" xfId="3169" xr:uid="{00000000-0005-0000-0000-00001E4A0000}"/>
    <cellStyle name="Vírgula 7 2 2 2 3 2" xfId="3787" xr:uid="{00000000-0005-0000-0000-00001F4A0000}"/>
    <cellStyle name="Vírgula 7 2 2 2 3 2 2" xfId="6569" xr:uid="{00000000-0005-0000-0000-0000204A0000}"/>
    <cellStyle name="Vírgula 7 2 2 2 3 2 2 2" xfId="23551" xr:uid="{00000000-0005-0000-0000-0000214A0000}"/>
    <cellStyle name="Vírgula 7 2 2 2 3 2 2 3" xfId="19604" xr:uid="{00000000-0005-0000-0000-0000224A0000}"/>
    <cellStyle name="Vírgula 7 2 2 2 3 2 3" xfId="20849" xr:uid="{00000000-0005-0000-0000-0000234A0000}"/>
    <cellStyle name="Vírgula 7 2 2 2 3 2 4" xfId="16829" xr:uid="{00000000-0005-0000-0000-0000244A0000}"/>
    <cellStyle name="Vírgula 7 2 2 2 3 3" xfId="5338" xr:uid="{00000000-0005-0000-0000-0000254A0000}"/>
    <cellStyle name="Vírgula 7 2 2 2 3 3 2" xfId="11176" xr:uid="{00000000-0005-0000-0000-0000264A0000}"/>
    <cellStyle name="Vírgula 7 2 2 2 3 3 2 2" xfId="22337" xr:uid="{00000000-0005-0000-0000-0000274A0000}"/>
    <cellStyle name="Vírgula 7 2 2 2 3 3 3" xfId="11843" xr:uid="{00000000-0005-0000-0000-0000284A0000}"/>
    <cellStyle name="Vírgula 7 2 2 2 3 3 4" xfId="18373" xr:uid="{00000000-0005-0000-0000-0000294A0000}"/>
    <cellStyle name="Vírgula 7 2 2 2 3 4" xfId="20237" xr:uid="{00000000-0005-0000-0000-00002A4A0000}"/>
    <cellStyle name="Vírgula 7 2 2 2 3 5" xfId="16213" xr:uid="{00000000-0005-0000-0000-00002B4A0000}"/>
    <cellStyle name="Vírgula 7 2 2 2 4" xfId="3918" xr:uid="{00000000-0005-0000-0000-00002C4A0000}"/>
    <cellStyle name="Vírgula 7 2 2 2 4 2" xfId="6059" xr:uid="{00000000-0005-0000-0000-00002D4A0000}"/>
    <cellStyle name="Vírgula 7 2 2 2 4 2 2" xfId="23048" xr:uid="{00000000-0005-0000-0000-00002E4A0000}"/>
    <cellStyle name="Vírgula 7 2 2 2 4 2 3" xfId="19094" xr:uid="{00000000-0005-0000-0000-00002F4A0000}"/>
    <cellStyle name="Vírgula 7 2 2 2 4 3" xfId="20975" xr:uid="{00000000-0005-0000-0000-0000304A0000}"/>
    <cellStyle name="Vírgula 7 2 2 2 4 4" xfId="16960" xr:uid="{00000000-0005-0000-0000-0000314A0000}"/>
    <cellStyle name="Vírgula 7 2 2 2 5" xfId="6754" xr:uid="{00000000-0005-0000-0000-0000324A0000}"/>
    <cellStyle name="Vírgula 7 2 2 2 5 2" xfId="23727" xr:uid="{00000000-0005-0000-0000-0000334A0000}"/>
    <cellStyle name="Vírgula 7 2 2 2 5 3" xfId="19789" xr:uid="{00000000-0005-0000-0000-0000344A0000}"/>
    <cellStyle name="Vírgula 7 2 2 2 6" xfId="5072" xr:uid="{00000000-0005-0000-0000-0000354A0000}"/>
    <cellStyle name="Vírgula 7 2 2 2 6 2" xfId="22080" xr:uid="{00000000-0005-0000-0000-0000364A0000}"/>
    <cellStyle name="Vírgula 7 2 2 2 6 3" xfId="18107" xr:uid="{00000000-0005-0000-0000-0000374A0000}"/>
    <cellStyle name="Vírgula 7 2 2 2 7" xfId="19980" xr:uid="{00000000-0005-0000-0000-0000384A0000}"/>
    <cellStyle name="Vírgula 7 2 2 2 8" xfId="15940" xr:uid="{00000000-0005-0000-0000-0000394A0000}"/>
    <cellStyle name="Vírgula 7 2 2 20" xfId="8602" xr:uid="{00000000-0005-0000-0000-00003A4A0000}"/>
    <cellStyle name="Vírgula 7 2 2 21" xfId="15858" xr:uid="{00000000-0005-0000-0000-00003B4A0000}"/>
    <cellStyle name="Vírgula 7 2 2 3" xfId="1085" xr:uid="{00000000-0005-0000-0000-00003C4A0000}"/>
    <cellStyle name="Vírgula 7 2 2 3 2" xfId="2389" xr:uid="{00000000-0005-0000-0000-00003D4A0000}"/>
    <cellStyle name="Vírgula 7 2 2 3 2 2" xfId="3518" xr:uid="{00000000-0005-0000-0000-00003E4A0000}"/>
    <cellStyle name="Vírgula 7 2 2 3 2 2 2" xfId="4829" xr:uid="{00000000-0005-0000-0000-00003F4A0000}"/>
    <cellStyle name="Vírgula 7 2 2 3 2 2 2 2" xfId="21869" xr:uid="{00000000-0005-0000-0000-0000404A0000}"/>
    <cellStyle name="Vírgula 7 2 2 3 2 2 2 3" xfId="17864" xr:uid="{00000000-0005-0000-0000-0000414A0000}"/>
    <cellStyle name="Vírgula 7 2 2 3 2 2 3" xfId="5687" xr:uid="{00000000-0005-0000-0000-0000424A0000}"/>
    <cellStyle name="Vírgula 7 2 2 3 2 2 3 2" xfId="22686" xr:uid="{00000000-0005-0000-0000-0000434A0000}"/>
    <cellStyle name="Vírgula 7 2 2 3 2 2 3 3" xfId="18722" xr:uid="{00000000-0005-0000-0000-0000444A0000}"/>
    <cellStyle name="Vírgula 7 2 2 3 2 2 4" xfId="20586" xr:uid="{00000000-0005-0000-0000-0000454A0000}"/>
    <cellStyle name="Vírgula 7 2 2 3 2 2 5" xfId="16562" xr:uid="{00000000-0005-0000-0000-0000464A0000}"/>
    <cellStyle name="Vírgula 7 2 2 3 2 3" xfId="4422" xr:uid="{00000000-0005-0000-0000-0000474A0000}"/>
    <cellStyle name="Vírgula 7 2 2 3 2 3 2" xfId="6417" xr:uid="{00000000-0005-0000-0000-0000484A0000}"/>
    <cellStyle name="Vírgula 7 2 2 3 2 3 2 2" xfId="23399" xr:uid="{00000000-0005-0000-0000-0000494A0000}"/>
    <cellStyle name="Vírgula 7 2 2 3 2 3 2 3" xfId="19452" xr:uid="{00000000-0005-0000-0000-00004A4A0000}"/>
    <cellStyle name="Vírgula 7 2 2 3 2 3 3" xfId="21465" xr:uid="{00000000-0005-0000-0000-00004B4A0000}"/>
    <cellStyle name="Vírgula 7 2 2 3 2 3 4" xfId="17459" xr:uid="{00000000-0005-0000-0000-00004C4A0000}"/>
    <cellStyle name="Vírgula 7 2 2 3 2 4" xfId="10468" xr:uid="{00000000-0005-0000-0000-00004D4A0000}"/>
    <cellStyle name="Vírgula 7 2 2 3 3" xfId="3217" xr:uid="{00000000-0005-0000-0000-00004E4A0000}"/>
    <cellStyle name="Vírgula 7 2 2 3 3 2" xfId="4420" xr:uid="{00000000-0005-0000-0000-00004F4A0000}"/>
    <cellStyle name="Vírgula 7 2 2 3 3 2 2" xfId="6611" xr:uid="{00000000-0005-0000-0000-0000504A0000}"/>
    <cellStyle name="Vírgula 7 2 2 3 3 2 2 2" xfId="23593" xr:uid="{00000000-0005-0000-0000-0000514A0000}"/>
    <cellStyle name="Vírgula 7 2 2 3 3 2 2 3" xfId="19646" xr:uid="{00000000-0005-0000-0000-0000524A0000}"/>
    <cellStyle name="Vírgula 7 2 2 3 3 2 3" xfId="21463" xr:uid="{00000000-0005-0000-0000-0000534A0000}"/>
    <cellStyle name="Vírgula 7 2 2 3 3 2 4" xfId="17457" xr:uid="{00000000-0005-0000-0000-0000544A0000}"/>
    <cellStyle name="Vírgula 7 2 2 3 3 3" xfId="5386" xr:uid="{00000000-0005-0000-0000-0000554A0000}"/>
    <cellStyle name="Vírgula 7 2 2 3 3 3 2" xfId="11182" xr:uid="{00000000-0005-0000-0000-0000564A0000}"/>
    <cellStyle name="Vírgula 7 2 2 3 3 3 2 2" xfId="22385" xr:uid="{00000000-0005-0000-0000-0000574A0000}"/>
    <cellStyle name="Vírgula 7 2 2 3 3 3 3" xfId="11288" xr:uid="{00000000-0005-0000-0000-0000584A0000}"/>
    <cellStyle name="Vírgula 7 2 2 3 3 3 4" xfId="18421" xr:uid="{00000000-0005-0000-0000-0000594A0000}"/>
    <cellStyle name="Vírgula 7 2 2 3 3 4" xfId="20285" xr:uid="{00000000-0005-0000-0000-00005A4A0000}"/>
    <cellStyle name="Vírgula 7 2 2 3 3 5" xfId="16261" xr:uid="{00000000-0005-0000-0000-00005B4A0000}"/>
    <cellStyle name="Vírgula 7 2 2 3 4" xfId="3994" xr:uid="{00000000-0005-0000-0000-00005C4A0000}"/>
    <cellStyle name="Vírgula 7 2 2 3 4 2" xfId="6110" xr:uid="{00000000-0005-0000-0000-00005D4A0000}"/>
    <cellStyle name="Vírgula 7 2 2 3 4 2 2" xfId="23098" xr:uid="{00000000-0005-0000-0000-00005E4A0000}"/>
    <cellStyle name="Vírgula 7 2 2 3 4 2 3" xfId="19145" xr:uid="{00000000-0005-0000-0000-00005F4A0000}"/>
    <cellStyle name="Vírgula 7 2 2 3 4 3" xfId="21050" xr:uid="{00000000-0005-0000-0000-0000604A0000}"/>
    <cellStyle name="Vírgula 7 2 2 3 4 4" xfId="17036" xr:uid="{00000000-0005-0000-0000-0000614A0000}"/>
    <cellStyle name="Vírgula 7 2 2 3 5" xfId="6797" xr:uid="{00000000-0005-0000-0000-0000624A0000}"/>
    <cellStyle name="Vírgula 7 2 2 3 5 2" xfId="23769" xr:uid="{00000000-0005-0000-0000-0000634A0000}"/>
    <cellStyle name="Vírgula 7 2 2 3 5 3" xfId="19832" xr:uid="{00000000-0005-0000-0000-0000644A0000}"/>
    <cellStyle name="Vírgula 7 2 2 3 6" xfId="5115" xr:uid="{00000000-0005-0000-0000-0000654A0000}"/>
    <cellStyle name="Vírgula 7 2 2 3 6 2" xfId="22122" xr:uid="{00000000-0005-0000-0000-0000664A0000}"/>
    <cellStyle name="Vírgula 7 2 2 3 6 3" xfId="18150" xr:uid="{00000000-0005-0000-0000-0000674A0000}"/>
    <cellStyle name="Vírgula 7 2 2 3 7" xfId="9516" xr:uid="{00000000-0005-0000-0000-0000684A0000}"/>
    <cellStyle name="Vírgula 7 2 2 3 7 2" xfId="20022" xr:uid="{00000000-0005-0000-0000-0000694A0000}"/>
    <cellStyle name="Vírgula 7 2 2 3 8" xfId="15985" xr:uid="{00000000-0005-0000-0000-00006A4A0000}"/>
    <cellStyle name="Vírgula 7 2 2 4" xfId="2390" xr:uid="{00000000-0005-0000-0000-00006B4A0000}"/>
    <cellStyle name="Vírgula 7 2 2 4 2" xfId="3519" xr:uid="{00000000-0005-0000-0000-00006C4A0000}"/>
    <cellStyle name="Vírgula 7 2 2 4 2 2" xfId="4830" xr:uid="{00000000-0005-0000-0000-00006D4A0000}"/>
    <cellStyle name="Vírgula 7 2 2 4 2 2 2" xfId="21870" xr:uid="{00000000-0005-0000-0000-00006E4A0000}"/>
    <cellStyle name="Vírgula 7 2 2 4 2 2 3" xfId="17865" xr:uid="{00000000-0005-0000-0000-00006F4A0000}"/>
    <cellStyle name="Vírgula 7 2 2 4 2 3" xfId="5688" xr:uid="{00000000-0005-0000-0000-0000704A0000}"/>
    <cellStyle name="Vírgula 7 2 2 4 2 3 2" xfId="22687" xr:uid="{00000000-0005-0000-0000-0000714A0000}"/>
    <cellStyle name="Vírgula 7 2 2 4 2 3 3" xfId="18723" xr:uid="{00000000-0005-0000-0000-0000724A0000}"/>
    <cellStyle name="Vírgula 7 2 2 4 2 4" xfId="20587" xr:uid="{00000000-0005-0000-0000-0000734A0000}"/>
    <cellStyle name="Vírgula 7 2 2 4 2 5" xfId="16563" xr:uid="{00000000-0005-0000-0000-0000744A0000}"/>
    <cellStyle name="Vírgula 7 2 2 4 3" xfId="4221" xr:uid="{00000000-0005-0000-0000-0000754A0000}"/>
    <cellStyle name="Vírgula 7 2 2 4 3 2" xfId="6418" xr:uid="{00000000-0005-0000-0000-0000764A0000}"/>
    <cellStyle name="Vírgula 7 2 2 4 3 2 2" xfId="23400" xr:uid="{00000000-0005-0000-0000-0000774A0000}"/>
    <cellStyle name="Vírgula 7 2 2 4 3 2 3" xfId="19453" xr:uid="{00000000-0005-0000-0000-0000784A0000}"/>
    <cellStyle name="Vírgula 7 2 2 4 3 3" xfId="21267" xr:uid="{00000000-0005-0000-0000-0000794A0000}"/>
    <cellStyle name="Vírgula 7 2 2 4 3 4" xfId="17260" xr:uid="{00000000-0005-0000-0000-00007A4A0000}"/>
    <cellStyle name="Vírgula 7 2 2 4 4" xfId="10466" xr:uid="{00000000-0005-0000-0000-00007B4A0000}"/>
    <cellStyle name="Vírgula 7 2 2 5" xfId="2391" xr:uid="{00000000-0005-0000-0000-00007C4A0000}"/>
    <cellStyle name="Vírgula 7 2 2 5 2" xfId="3520" xr:uid="{00000000-0005-0000-0000-00007D4A0000}"/>
    <cellStyle name="Vírgula 7 2 2 5 2 2" xfId="4831" xr:uid="{00000000-0005-0000-0000-00007E4A0000}"/>
    <cellStyle name="Vírgula 7 2 2 5 2 2 2" xfId="21871" xr:uid="{00000000-0005-0000-0000-00007F4A0000}"/>
    <cellStyle name="Vírgula 7 2 2 5 2 2 3" xfId="17866" xr:uid="{00000000-0005-0000-0000-0000804A0000}"/>
    <cellStyle name="Vírgula 7 2 2 5 2 3" xfId="5689" xr:uid="{00000000-0005-0000-0000-0000814A0000}"/>
    <cellStyle name="Vírgula 7 2 2 5 2 3 2" xfId="22688" xr:uid="{00000000-0005-0000-0000-0000824A0000}"/>
    <cellStyle name="Vírgula 7 2 2 5 2 3 3" xfId="18724" xr:uid="{00000000-0005-0000-0000-0000834A0000}"/>
    <cellStyle name="Vírgula 7 2 2 5 2 4" xfId="20588" xr:uid="{00000000-0005-0000-0000-0000844A0000}"/>
    <cellStyle name="Vírgula 7 2 2 5 2 5" xfId="16564" xr:uid="{00000000-0005-0000-0000-0000854A0000}"/>
    <cellStyle name="Vírgula 7 2 2 5 3" xfId="4170" xr:uid="{00000000-0005-0000-0000-0000864A0000}"/>
    <cellStyle name="Vírgula 7 2 2 5 3 2" xfId="6419" xr:uid="{00000000-0005-0000-0000-0000874A0000}"/>
    <cellStyle name="Vírgula 7 2 2 5 3 2 2" xfId="23401" xr:uid="{00000000-0005-0000-0000-0000884A0000}"/>
    <cellStyle name="Vírgula 7 2 2 5 3 2 3" xfId="19454" xr:uid="{00000000-0005-0000-0000-0000894A0000}"/>
    <cellStyle name="Vírgula 7 2 2 5 3 3" xfId="21217" xr:uid="{00000000-0005-0000-0000-00008A4A0000}"/>
    <cellStyle name="Vírgula 7 2 2 5 3 4" xfId="17210" xr:uid="{00000000-0005-0000-0000-00008B4A0000}"/>
    <cellStyle name="Vírgula 7 2 2 5 4" xfId="10729" xr:uid="{00000000-0005-0000-0000-00008C4A0000}"/>
    <cellStyle name="Vírgula 7 2 2 6" xfId="2392" xr:uid="{00000000-0005-0000-0000-00008D4A0000}"/>
    <cellStyle name="Vírgula 7 2 2 6 2" xfId="3521" xr:uid="{00000000-0005-0000-0000-00008E4A0000}"/>
    <cellStyle name="Vírgula 7 2 2 6 2 2" xfId="4832" xr:uid="{00000000-0005-0000-0000-00008F4A0000}"/>
    <cellStyle name="Vírgula 7 2 2 6 2 2 2" xfId="12895" xr:uid="{00000000-0005-0000-0000-0000904A0000}"/>
    <cellStyle name="Vírgula 7 2 2 6 2 2 2 2" xfId="21872" xr:uid="{00000000-0005-0000-0000-0000914A0000}"/>
    <cellStyle name="Vírgula 7 2 2 6 2 2 3" xfId="17867" xr:uid="{00000000-0005-0000-0000-0000924A0000}"/>
    <cellStyle name="Vírgula 7 2 2 6 2 3" xfId="5690" xr:uid="{00000000-0005-0000-0000-0000934A0000}"/>
    <cellStyle name="Vírgula 7 2 2 6 2 3 2" xfId="12563" xr:uid="{00000000-0005-0000-0000-0000944A0000}"/>
    <cellStyle name="Vírgula 7 2 2 6 2 3 2 2" xfId="22689" xr:uid="{00000000-0005-0000-0000-0000954A0000}"/>
    <cellStyle name="Vírgula 7 2 2 6 2 3 3" xfId="11557" xr:uid="{00000000-0005-0000-0000-0000964A0000}"/>
    <cellStyle name="Vírgula 7 2 2 6 2 3 4" xfId="18725" xr:uid="{00000000-0005-0000-0000-0000974A0000}"/>
    <cellStyle name="Vírgula 7 2 2 6 2 4" xfId="13633" xr:uid="{00000000-0005-0000-0000-0000984A0000}"/>
    <cellStyle name="Vírgula 7 2 2 6 2 4 2" xfId="20589" xr:uid="{00000000-0005-0000-0000-0000994A0000}"/>
    <cellStyle name="Vírgula 7 2 2 6 2 5" xfId="16565" xr:uid="{00000000-0005-0000-0000-00009A4A0000}"/>
    <cellStyle name="Vírgula 7 2 2 6 3" xfId="4372" xr:uid="{00000000-0005-0000-0000-00009B4A0000}"/>
    <cellStyle name="Vírgula 7 2 2 6 3 2" xfId="6420" xr:uid="{00000000-0005-0000-0000-00009C4A0000}"/>
    <cellStyle name="Vírgula 7 2 2 6 3 2 2" xfId="12576" xr:uid="{00000000-0005-0000-0000-00009D4A0000}"/>
    <cellStyle name="Vírgula 7 2 2 6 3 2 2 2" xfId="23402" xr:uid="{00000000-0005-0000-0000-00009E4A0000}"/>
    <cellStyle name="Vírgula 7 2 2 6 3 2 3" xfId="11366" xr:uid="{00000000-0005-0000-0000-00009F4A0000}"/>
    <cellStyle name="Vírgula 7 2 2 6 3 2 4" xfId="19455" xr:uid="{00000000-0005-0000-0000-0000A04A0000}"/>
    <cellStyle name="Vírgula 7 2 2 6 3 3" xfId="21416" xr:uid="{00000000-0005-0000-0000-0000A14A0000}"/>
    <cellStyle name="Vírgula 7 2 2 6 3 4" xfId="17409" xr:uid="{00000000-0005-0000-0000-0000A24A0000}"/>
    <cellStyle name="Vírgula 7 2 2 6 4" xfId="8603" xr:uid="{00000000-0005-0000-0000-0000A34A0000}"/>
    <cellStyle name="Vírgula 7 2 2 6 4 2" xfId="12427" xr:uid="{00000000-0005-0000-0000-0000A44A0000}"/>
    <cellStyle name="Vírgula 7 2 2 6 4 3" xfId="13284" xr:uid="{00000000-0005-0000-0000-0000A54A0000}"/>
    <cellStyle name="Vírgula 7 2 2 6 5" xfId="8604" xr:uid="{00000000-0005-0000-0000-0000A64A0000}"/>
    <cellStyle name="Vírgula 7 2 2 6 6" xfId="10859" xr:uid="{00000000-0005-0000-0000-0000A74A0000}"/>
    <cellStyle name="Vírgula 7 2 2 6 6 2" xfId="14911" xr:uid="{00000000-0005-0000-0000-0000A84A0000}"/>
    <cellStyle name="Vírgula 7 2 2 6 6 3" xfId="13529" xr:uid="{00000000-0005-0000-0000-0000A94A0000}"/>
    <cellStyle name="Vírgula 7 2 2 7" xfId="2393" xr:uid="{00000000-0005-0000-0000-0000AA4A0000}"/>
    <cellStyle name="Vírgula 7 2 2 7 2" xfId="3522" xr:uid="{00000000-0005-0000-0000-0000AB4A0000}"/>
    <cellStyle name="Vírgula 7 2 2 7 2 2" xfId="4833" xr:uid="{00000000-0005-0000-0000-0000AC4A0000}"/>
    <cellStyle name="Vírgula 7 2 2 7 2 2 2" xfId="11527" xr:uid="{00000000-0005-0000-0000-0000AD4A0000}"/>
    <cellStyle name="Vírgula 7 2 2 7 2 2 2 2" xfId="21873" xr:uid="{00000000-0005-0000-0000-0000AE4A0000}"/>
    <cellStyle name="Vírgula 7 2 2 7 2 2 3" xfId="17868" xr:uid="{00000000-0005-0000-0000-0000AF4A0000}"/>
    <cellStyle name="Vírgula 7 2 2 7 2 3" xfId="5691" xr:uid="{00000000-0005-0000-0000-0000B04A0000}"/>
    <cellStyle name="Vírgula 7 2 2 7 2 3 2" xfId="12562" xr:uid="{00000000-0005-0000-0000-0000B14A0000}"/>
    <cellStyle name="Vírgula 7 2 2 7 2 3 2 2" xfId="22690" xr:uid="{00000000-0005-0000-0000-0000B24A0000}"/>
    <cellStyle name="Vírgula 7 2 2 7 2 3 3" xfId="11536" xr:uid="{00000000-0005-0000-0000-0000B34A0000}"/>
    <cellStyle name="Vírgula 7 2 2 7 2 3 4" xfId="18726" xr:uid="{00000000-0005-0000-0000-0000B44A0000}"/>
    <cellStyle name="Vírgula 7 2 2 7 2 4" xfId="13634" xr:uid="{00000000-0005-0000-0000-0000B54A0000}"/>
    <cellStyle name="Vírgula 7 2 2 7 2 4 2" xfId="20590" xr:uid="{00000000-0005-0000-0000-0000B64A0000}"/>
    <cellStyle name="Vírgula 7 2 2 7 2 5" xfId="16566" xr:uid="{00000000-0005-0000-0000-0000B74A0000}"/>
    <cellStyle name="Vírgula 7 2 2 7 3" xfId="4383" xr:uid="{00000000-0005-0000-0000-0000B84A0000}"/>
    <cellStyle name="Vírgula 7 2 2 7 3 2" xfId="6421" xr:uid="{00000000-0005-0000-0000-0000B94A0000}"/>
    <cellStyle name="Vírgula 7 2 2 7 3 2 2" xfId="12575" xr:uid="{00000000-0005-0000-0000-0000BA4A0000}"/>
    <cellStyle name="Vírgula 7 2 2 7 3 2 2 2" xfId="23403" xr:uid="{00000000-0005-0000-0000-0000BB4A0000}"/>
    <cellStyle name="Vírgula 7 2 2 7 3 2 3" xfId="12462" xr:uid="{00000000-0005-0000-0000-0000BC4A0000}"/>
    <cellStyle name="Vírgula 7 2 2 7 3 2 4" xfId="19456" xr:uid="{00000000-0005-0000-0000-0000BD4A0000}"/>
    <cellStyle name="Vírgula 7 2 2 7 3 3" xfId="21427" xr:uid="{00000000-0005-0000-0000-0000BE4A0000}"/>
    <cellStyle name="Vírgula 7 2 2 7 3 4" xfId="17420" xr:uid="{00000000-0005-0000-0000-0000BF4A0000}"/>
    <cellStyle name="Vírgula 7 2 2 7 4" xfId="8605" xr:uid="{00000000-0005-0000-0000-0000C04A0000}"/>
    <cellStyle name="Vírgula 7 2 2 7 4 2" xfId="11518" xr:uid="{00000000-0005-0000-0000-0000C14A0000}"/>
    <cellStyle name="Vírgula 7 2 2 7 4 3" xfId="13224" xr:uid="{00000000-0005-0000-0000-0000C24A0000}"/>
    <cellStyle name="Vírgula 7 2 2 7 5" xfId="8606" xr:uid="{00000000-0005-0000-0000-0000C34A0000}"/>
    <cellStyle name="Vírgula 7 2 2 7 6" xfId="13530" xr:uid="{00000000-0005-0000-0000-0000C44A0000}"/>
    <cellStyle name="Vírgula 7 2 2 8" xfId="2394" xr:uid="{00000000-0005-0000-0000-0000C54A0000}"/>
    <cellStyle name="Vírgula 7 2 2 8 2" xfId="3523" xr:uid="{00000000-0005-0000-0000-0000C64A0000}"/>
    <cellStyle name="Vírgula 7 2 2 8 2 2" xfId="4834" xr:uid="{00000000-0005-0000-0000-0000C74A0000}"/>
    <cellStyle name="Vírgula 7 2 2 8 2 2 2" xfId="21874" xr:uid="{00000000-0005-0000-0000-0000C84A0000}"/>
    <cellStyle name="Vírgula 7 2 2 8 2 2 3" xfId="17869" xr:uid="{00000000-0005-0000-0000-0000C94A0000}"/>
    <cellStyle name="Vírgula 7 2 2 8 2 3" xfId="5692" xr:uid="{00000000-0005-0000-0000-0000CA4A0000}"/>
    <cellStyle name="Vírgula 7 2 2 8 2 3 2" xfId="22691" xr:uid="{00000000-0005-0000-0000-0000CB4A0000}"/>
    <cellStyle name="Vírgula 7 2 2 8 2 3 3" xfId="18727" xr:uid="{00000000-0005-0000-0000-0000CC4A0000}"/>
    <cellStyle name="Vírgula 7 2 2 8 2 4" xfId="20591" xr:uid="{00000000-0005-0000-0000-0000CD4A0000}"/>
    <cellStyle name="Vírgula 7 2 2 8 2 5" xfId="16567" xr:uid="{00000000-0005-0000-0000-0000CE4A0000}"/>
    <cellStyle name="Vírgula 7 2 2 8 3" xfId="3790" xr:uid="{00000000-0005-0000-0000-0000CF4A0000}"/>
    <cellStyle name="Vírgula 7 2 2 8 3 2" xfId="6422" xr:uid="{00000000-0005-0000-0000-0000D04A0000}"/>
    <cellStyle name="Vírgula 7 2 2 8 3 2 2" xfId="23404" xr:uid="{00000000-0005-0000-0000-0000D14A0000}"/>
    <cellStyle name="Vírgula 7 2 2 8 3 2 3" xfId="19457" xr:uid="{00000000-0005-0000-0000-0000D24A0000}"/>
    <cellStyle name="Vírgula 7 2 2 8 3 3" xfId="20852" xr:uid="{00000000-0005-0000-0000-0000D34A0000}"/>
    <cellStyle name="Vírgula 7 2 2 8 3 4" xfId="16832" xr:uid="{00000000-0005-0000-0000-0000D44A0000}"/>
    <cellStyle name="Vírgula 7 2 2 9" xfId="2395" xr:uid="{00000000-0005-0000-0000-0000D54A0000}"/>
    <cellStyle name="Vírgula 7 2 2 9 2" xfId="3524" xr:uid="{00000000-0005-0000-0000-0000D64A0000}"/>
    <cellStyle name="Vírgula 7 2 2 9 2 2" xfId="4835" xr:uid="{00000000-0005-0000-0000-0000D74A0000}"/>
    <cellStyle name="Vírgula 7 2 2 9 2 2 2" xfId="21875" xr:uid="{00000000-0005-0000-0000-0000D84A0000}"/>
    <cellStyle name="Vírgula 7 2 2 9 2 2 3" xfId="17870" xr:uid="{00000000-0005-0000-0000-0000D94A0000}"/>
    <cellStyle name="Vírgula 7 2 2 9 2 3" xfId="5693" xr:uid="{00000000-0005-0000-0000-0000DA4A0000}"/>
    <cellStyle name="Vírgula 7 2 2 9 2 3 2" xfId="22692" xr:uid="{00000000-0005-0000-0000-0000DB4A0000}"/>
    <cellStyle name="Vírgula 7 2 2 9 2 3 3" xfId="18728" xr:uid="{00000000-0005-0000-0000-0000DC4A0000}"/>
    <cellStyle name="Vírgula 7 2 2 9 2 4" xfId="20592" xr:uid="{00000000-0005-0000-0000-0000DD4A0000}"/>
    <cellStyle name="Vírgula 7 2 2 9 2 5" xfId="16568" xr:uid="{00000000-0005-0000-0000-0000DE4A0000}"/>
    <cellStyle name="Vírgula 7 2 2 9 3" xfId="4014" xr:uid="{00000000-0005-0000-0000-0000DF4A0000}"/>
    <cellStyle name="Vírgula 7 2 2 9 3 2" xfId="6423" xr:uid="{00000000-0005-0000-0000-0000E04A0000}"/>
    <cellStyle name="Vírgula 7 2 2 9 3 2 2" xfId="23405" xr:uid="{00000000-0005-0000-0000-0000E14A0000}"/>
    <cellStyle name="Vírgula 7 2 2 9 3 2 3" xfId="19458" xr:uid="{00000000-0005-0000-0000-0000E24A0000}"/>
    <cellStyle name="Vírgula 7 2 2 9 3 3" xfId="21066" xr:uid="{00000000-0005-0000-0000-0000E34A0000}"/>
    <cellStyle name="Vírgula 7 2 2 9 3 4" xfId="17055" xr:uid="{00000000-0005-0000-0000-0000E44A0000}"/>
    <cellStyle name="Vírgula 7 2 3" xfId="454" xr:uid="{00000000-0005-0000-0000-0000E54A0000}"/>
    <cellStyle name="Vírgula 7 2 3 10" xfId="2396" xr:uid="{00000000-0005-0000-0000-0000E64A0000}"/>
    <cellStyle name="Vírgula 7 2 3 10 2" xfId="3525" xr:uid="{00000000-0005-0000-0000-0000E74A0000}"/>
    <cellStyle name="Vírgula 7 2 3 10 2 2" xfId="4443" xr:uid="{00000000-0005-0000-0000-0000E84A0000}"/>
    <cellStyle name="Vírgula 7 2 3 10 2 2 2" xfId="6640" xr:uid="{00000000-0005-0000-0000-0000E94A0000}"/>
    <cellStyle name="Vírgula 7 2 3 10 2 2 2 2" xfId="23622" xr:uid="{00000000-0005-0000-0000-0000EA4A0000}"/>
    <cellStyle name="Vírgula 7 2 3 10 2 2 2 3" xfId="19675" xr:uid="{00000000-0005-0000-0000-0000EB4A0000}"/>
    <cellStyle name="Vírgula 7 2 3 10 2 2 3" xfId="21484" xr:uid="{00000000-0005-0000-0000-0000EC4A0000}"/>
    <cellStyle name="Vírgula 7 2 3 10 2 2 4" xfId="17479" xr:uid="{00000000-0005-0000-0000-0000ED4A0000}"/>
    <cellStyle name="Vírgula 7 2 3 10 2 3" xfId="5694" xr:uid="{00000000-0005-0000-0000-0000EE4A0000}"/>
    <cellStyle name="Vírgula 7 2 3 10 2 3 2" xfId="22693" xr:uid="{00000000-0005-0000-0000-0000EF4A0000}"/>
    <cellStyle name="Vírgula 7 2 3 10 2 3 3" xfId="18729" xr:uid="{00000000-0005-0000-0000-0000F04A0000}"/>
    <cellStyle name="Vírgula 7 2 3 10 2 4" xfId="20593" xr:uid="{00000000-0005-0000-0000-0000F14A0000}"/>
    <cellStyle name="Vírgula 7 2 3 10 2 5" xfId="16569" xr:uid="{00000000-0005-0000-0000-0000F24A0000}"/>
    <cellStyle name="Vírgula 7 2 3 10 3" xfId="4281" xr:uid="{00000000-0005-0000-0000-0000F34A0000}"/>
    <cellStyle name="Vírgula 7 2 3 10 3 2" xfId="6424" xr:uid="{00000000-0005-0000-0000-0000F44A0000}"/>
    <cellStyle name="Vírgula 7 2 3 10 3 2 2" xfId="23406" xr:uid="{00000000-0005-0000-0000-0000F54A0000}"/>
    <cellStyle name="Vírgula 7 2 3 10 3 2 3" xfId="19459" xr:uid="{00000000-0005-0000-0000-0000F64A0000}"/>
    <cellStyle name="Vírgula 7 2 3 10 3 3" xfId="21325" xr:uid="{00000000-0005-0000-0000-0000F74A0000}"/>
    <cellStyle name="Vírgula 7 2 3 10 3 4" xfId="17318" xr:uid="{00000000-0005-0000-0000-0000F84A0000}"/>
    <cellStyle name="Vírgula 7 2 3 10 4" xfId="6832" xr:uid="{00000000-0005-0000-0000-0000F94A0000}"/>
    <cellStyle name="Vírgula 7 2 3 10 4 2" xfId="23798" xr:uid="{00000000-0005-0000-0000-0000FA4A0000}"/>
    <cellStyle name="Vírgula 7 2 3 10 4 3" xfId="19867" xr:uid="{00000000-0005-0000-0000-0000FB4A0000}"/>
    <cellStyle name="Vírgula 7 2 3 10 5" xfId="5150" xr:uid="{00000000-0005-0000-0000-0000FC4A0000}"/>
    <cellStyle name="Vírgula 7 2 3 10 5 2" xfId="22151" xr:uid="{00000000-0005-0000-0000-0000FD4A0000}"/>
    <cellStyle name="Vírgula 7 2 3 10 5 3" xfId="18185" xr:uid="{00000000-0005-0000-0000-0000FE4A0000}"/>
    <cellStyle name="Vírgula 7 2 3 10 6" xfId="20051" xr:uid="{00000000-0005-0000-0000-0000FF4A0000}"/>
    <cellStyle name="Vírgula 7 2 3 10 7" xfId="16020" xr:uid="{00000000-0005-0000-0000-0000004B0000}"/>
    <cellStyle name="Vírgula 7 2 3 11" xfId="2397" xr:uid="{00000000-0005-0000-0000-0000014B0000}"/>
    <cellStyle name="Vírgula 7 2 3 11 2" xfId="2398" xr:uid="{00000000-0005-0000-0000-0000024B0000}"/>
    <cellStyle name="Vírgula 7 2 3 11 2 2" xfId="3527" xr:uid="{00000000-0005-0000-0000-0000034B0000}"/>
    <cellStyle name="Vírgula 7 2 3 11 2 2 2" xfId="4386" xr:uid="{00000000-0005-0000-0000-0000044B0000}"/>
    <cellStyle name="Vírgula 7 2 3 11 2 2 2 2" xfId="6642" xr:uid="{00000000-0005-0000-0000-0000054B0000}"/>
    <cellStyle name="Vírgula 7 2 3 11 2 2 2 2 2" xfId="23624" xr:uid="{00000000-0005-0000-0000-0000064B0000}"/>
    <cellStyle name="Vírgula 7 2 3 11 2 2 2 2 3" xfId="19677" xr:uid="{00000000-0005-0000-0000-0000074B0000}"/>
    <cellStyle name="Vírgula 7 2 3 11 2 2 2 3" xfId="21430" xr:uid="{00000000-0005-0000-0000-0000084B0000}"/>
    <cellStyle name="Vírgula 7 2 3 11 2 2 2 4" xfId="17423" xr:uid="{00000000-0005-0000-0000-0000094B0000}"/>
    <cellStyle name="Vírgula 7 2 3 11 2 2 3" xfId="5696" xr:uid="{00000000-0005-0000-0000-00000A4B0000}"/>
    <cellStyle name="Vírgula 7 2 3 11 2 2 3 2" xfId="22695" xr:uid="{00000000-0005-0000-0000-00000B4B0000}"/>
    <cellStyle name="Vírgula 7 2 3 11 2 2 3 3" xfId="18731" xr:uid="{00000000-0005-0000-0000-00000C4B0000}"/>
    <cellStyle name="Vírgula 7 2 3 11 2 2 4" xfId="20595" xr:uid="{00000000-0005-0000-0000-00000D4B0000}"/>
    <cellStyle name="Vírgula 7 2 3 11 2 2 5" xfId="16571" xr:uid="{00000000-0005-0000-0000-00000E4B0000}"/>
    <cellStyle name="Vírgula 7 2 3 11 2 3" xfId="4283" xr:uid="{00000000-0005-0000-0000-00000F4B0000}"/>
    <cellStyle name="Vírgula 7 2 3 11 2 3 2" xfId="6426" xr:uid="{00000000-0005-0000-0000-0000104B0000}"/>
    <cellStyle name="Vírgula 7 2 3 11 2 3 2 2" xfId="23408" xr:uid="{00000000-0005-0000-0000-0000114B0000}"/>
    <cellStyle name="Vírgula 7 2 3 11 2 3 2 3" xfId="19461" xr:uid="{00000000-0005-0000-0000-0000124B0000}"/>
    <cellStyle name="Vírgula 7 2 3 11 2 3 3" xfId="21327" xr:uid="{00000000-0005-0000-0000-0000134B0000}"/>
    <cellStyle name="Vírgula 7 2 3 11 2 3 4" xfId="17320" xr:uid="{00000000-0005-0000-0000-0000144B0000}"/>
    <cellStyle name="Vírgula 7 2 3 11 2 4" xfId="6834" xr:uid="{00000000-0005-0000-0000-0000154B0000}"/>
    <cellStyle name="Vírgula 7 2 3 11 2 4 2" xfId="23800" xr:uid="{00000000-0005-0000-0000-0000164B0000}"/>
    <cellStyle name="Vírgula 7 2 3 11 2 4 3" xfId="19869" xr:uid="{00000000-0005-0000-0000-0000174B0000}"/>
    <cellStyle name="Vírgula 7 2 3 11 2 5" xfId="5152" xr:uid="{00000000-0005-0000-0000-0000184B0000}"/>
    <cellStyle name="Vírgula 7 2 3 11 2 5 2" xfId="22153" xr:uid="{00000000-0005-0000-0000-0000194B0000}"/>
    <cellStyle name="Vírgula 7 2 3 11 2 5 3" xfId="18187" xr:uid="{00000000-0005-0000-0000-00001A4B0000}"/>
    <cellStyle name="Vírgula 7 2 3 11 2 6" xfId="20053" xr:uid="{00000000-0005-0000-0000-00001B4B0000}"/>
    <cellStyle name="Vírgula 7 2 3 11 2 7" xfId="16022" xr:uid="{00000000-0005-0000-0000-00001C4B0000}"/>
    <cellStyle name="Vírgula 7 2 3 11 3" xfId="3526" xr:uid="{00000000-0005-0000-0000-00001D4B0000}"/>
    <cellStyle name="Vírgula 7 2 3 11 3 2" xfId="4048" xr:uid="{00000000-0005-0000-0000-00001E4B0000}"/>
    <cellStyle name="Vírgula 7 2 3 11 3 2 2" xfId="6641" xr:uid="{00000000-0005-0000-0000-00001F4B0000}"/>
    <cellStyle name="Vírgula 7 2 3 11 3 2 2 2" xfId="23623" xr:uid="{00000000-0005-0000-0000-0000204B0000}"/>
    <cellStyle name="Vírgula 7 2 3 11 3 2 2 3" xfId="19676" xr:uid="{00000000-0005-0000-0000-0000214B0000}"/>
    <cellStyle name="Vírgula 7 2 3 11 3 2 3" xfId="21097" xr:uid="{00000000-0005-0000-0000-0000224B0000}"/>
    <cellStyle name="Vírgula 7 2 3 11 3 2 4" xfId="17089" xr:uid="{00000000-0005-0000-0000-0000234B0000}"/>
    <cellStyle name="Vírgula 7 2 3 11 3 3" xfId="5695" xr:uid="{00000000-0005-0000-0000-0000244B0000}"/>
    <cellStyle name="Vírgula 7 2 3 11 3 3 2" xfId="22694" xr:uid="{00000000-0005-0000-0000-0000254B0000}"/>
    <cellStyle name="Vírgula 7 2 3 11 3 3 3" xfId="18730" xr:uid="{00000000-0005-0000-0000-0000264B0000}"/>
    <cellStyle name="Vírgula 7 2 3 11 3 4" xfId="20594" xr:uid="{00000000-0005-0000-0000-0000274B0000}"/>
    <cellStyle name="Vírgula 7 2 3 11 3 5" xfId="16570" xr:uid="{00000000-0005-0000-0000-0000284B0000}"/>
    <cellStyle name="Vírgula 7 2 3 11 4" xfId="4282" xr:uid="{00000000-0005-0000-0000-0000294B0000}"/>
    <cellStyle name="Vírgula 7 2 3 11 4 2" xfId="6425" xr:uid="{00000000-0005-0000-0000-00002A4B0000}"/>
    <cellStyle name="Vírgula 7 2 3 11 4 2 2" xfId="23407" xr:uid="{00000000-0005-0000-0000-00002B4B0000}"/>
    <cellStyle name="Vírgula 7 2 3 11 4 2 3" xfId="19460" xr:uid="{00000000-0005-0000-0000-00002C4B0000}"/>
    <cellStyle name="Vírgula 7 2 3 11 4 3" xfId="21326" xr:uid="{00000000-0005-0000-0000-00002D4B0000}"/>
    <cellStyle name="Vírgula 7 2 3 11 4 4" xfId="17319" xr:uid="{00000000-0005-0000-0000-00002E4B0000}"/>
    <cellStyle name="Vírgula 7 2 3 11 5" xfId="6833" xr:uid="{00000000-0005-0000-0000-00002F4B0000}"/>
    <cellStyle name="Vírgula 7 2 3 11 5 2" xfId="23799" xr:uid="{00000000-0005-0000-0000-0000304B0000}"/>
    <cellStyle name="Vírgula 7 2 3 11 5 3" xfId="19868" xr:uid="{00000000-0005-0000-0000-0000314B0000}"/>
    <cellStyle name="Vírgula 7 2 3 11 6" xfId="5151" xr:uid="{00000000-0005-0000-0000-0000324B0000}"/>
    <cellStyle name="Vírgula 7 2 3 11 6 2" xfId="22152" xr:uid="{00000000-0005-0000-0000-0000334B0000}"/>
    <cellStyle name="Vírgula 7 2 3 11 6 3" xfId="18186" xr:uid="{00000000-0005-0000-0000-0000344B0000}"/>
    <cellStyle name="Vírgula 7 2 3 11 7" xfId="20052" xr:uid="{00000000-0005-0000-0000-0000354B0000}"/>
    <cellStyle name="Vírgula 7 2 3 11 8" xfId="16021" xr:uid="{00000000-0005-0000-0000-0000364B0000}"/>
    <cellStyle name="Vírgula 7 2 3 12" xfId="2399" xr:uid="{00000000-0005-0000-0000-0000374B0000}"/>
    <cellStyle name="Vírgula 7 2 3 12 2" xfId="3528" xr:uid="{00000000-0005-0000-0000-0000384B0000}"/>
    <cellStyle name="Vírgula 7 2 3 12 2 2" xfId="4333" xr:uid="{00000000-0005-0000-0000-0000394B0000}"/>
    <cellStyle name="Vírgula 7 2 3 12 2 2 2" xfId="6643" xr:uid="{00000000-0005-0000-0000-00003A4B0000}"/>
    <cellStyle name="Vírgula 7 2 3 12 2 2 2 2" xfId="23625" xr:uid="{00000000-0005-0000-0000-00003B4B0000}"/>
    <cellStyle name="Vírgula 7 2 3 12 2 2 2 3" xfId="19678" xr:uid="{00000000-0005-0000-0000-00003C4B0000}"/>
    <cellStyle name="Vírgula 7 2 3 12 2 2 3" xfId="21377" xr:uid="{00000000-0005-0000-0000-00003D4B0000}"/>
    <cellStyle name="Vírgula 7 2 3 12 2 2 4" xfId="17370" xr:uid="{00000000-0005-0000-0000-00003E4B0000}"/>
    <cellStyle name="Vírgula 7 2 3 12 2 3" xfId="5697" xr:uid="{00000000-0005-0000-0000-00003F4B0000}"/>
    <cellStyle name="Vírgula 7 2 3 12 2 3 2" xfId="22696" xr:uid="{00000000-0005-0000-0000-0000404B0000}"/>
    <cellStyle name="Vírgula 7 2 3 12 2 3 3" xfId="18732" xr:uid="{00000000-0005-0000-0000-0000414B0000}"/>
    <cellStyle name="Vírgula 7 2 3 12 2 4" xfId="20596" xr:uid="{00000000-0005-0000-0000-0000424B0000}"/>
    <cellStyle name="Vírgula 7 2 3 12 2 5" xfId="16572" xr:uid="{00000000-0005-0000-0000-0000434B0000}"/>
    <cellStyle name="Vírgula 7 2 3 12 3" xfId="4284" xr:uid="{00000000-0005-0000-0000-0000444B0000}"/>
    <cellStyle name="Vírgula 7 2 3 12 3 2" xfId="6427" xr:uid="{00000000-0005-0000-0000-0000454B0000}"/>
    <cellStyle name="Vírgula 7 2 3 12 3 2 2" xfId="12498" xr:uid="{00000000-0005-0000-0000-0000464B0000}"/>
    <cellStyle name="Vírgula 7 2 3 12 3 2 2 2" xfId="23409" xr:uid="{00000000-0005-0000-0000-0000474B0000}"/>
    <cellStyle name="Vírgula 7 2 3 12 3 2 3" xfId="10992" xr:uid="{00000000-0005-0000-0000-0000484B0000}"/>
    <cellStyle name="Vírgula 7 2 3 12 3 2 4" xfId="19462" xr:uid="{00000000-0005-0000-0000-0000494B0000}"/>
    <cellStyle name="Vírgula 7 2 3 12 3 3" xfId="21328" xr:uid="{00000000-0005-0000-0000-00004A4B0000}"/>
    <cellStyle name="Vírgula 7 2 3 12 3 4" xfId="17321" xr:uid="{00000000-0005-0000-0000-00004B4B0000}"/>
    <cellStyle name="Vírgula 7 2 3 12 4" xfId="6835" xr:uid="{00000000-0005-0000-0000-00004C4B0000}"/>
    <cellStyle name="Vírgula 7 2 3 12 4 2" xfId="13038" xr:uid="{00000000-0005-0000-0000-00004D4B0000}"/>
    <cellStyle name="Vírgula 7 2 3 12 4 2 2" xfId="23801" xr:uid="{00000000-0005-0000-0000-00004E4B0000}"/>
    <cellStyle name="Vírgula 7 2 3 12 4 3" xfId="19870" xr:uid="{00000000-0005-0000-0000-00004F4B0000}"/>
    <cellStyle name="Vírgula 7 2 3 12 5" xfId="5153" xr:uid="{00000000-0005-0000-0000-0000504B0000}"/>
    <cellStyle name="Vírgula 7 2 3 12 5 2" xfId="22154" xr:uid="{00000000-0005-0000-0000-0000514B0000}"/>
    <cellStyle name="Vírgula 7 2 3 12 5 3" xfId="18188" xr:uid="{00000000-0005-0000-0000-0000524B0000}"/>
    <cellStyle name="Vírgula 7 2 3 12 6" xfId="20054" xr:uid="{00000000-0005-0000-0000-0000534B0000}"/>
    <cellStyle name="Vírgula 7 2 3 12 7" xfId="16023" xr:uid="{00000000-0005-0000-0000-0000544B0000}"/>
    <cellStyle name="Vírgula 7 2 3 13" xfId="2400" xr:uid="{00000000-0005-0000-0000-0000554B0000}"/>
    <cellStyle name="Vírgula 7 2 3 13 2" xfId="3529" xr:uid="{00000000-0005-0000-0000-0000564B0000}"/>
    <cellStyle name="Vírgula 7 2 3 13 2 2" xfId="3735" xr:uid="{00000000-0005-0000-0000-0000574B0000}"/>
    <cellStyle name="Vírgula 7 2 3 13 2 2 2" xfId="6644" xr:uid="{00000000-0005-0000-0000-0000584B0000}"/>
    <cellStyle name="Vírgula 7 2 3 13 2 2 2 2" xfId="23626" xr:uid="{00000000-0005-0000-0000-0000594B0000}"/>
    <cellStyle name="Vírgula 7 2 3 13 2 2 2 3" xfId="19679" xr:uid="{00000000-0005-0000-0000-00005A4B0000}"/>
    <cellStyle name="Vírgula 7 2 3 13 2 2 3" xfId="20800" xr:uid="{00000000-0005-0000-0000-00005B4B0000}"/>
    <cellStyle name="Vírgula 7 2 3 13 2 2 4" xfId="16779" xr:uid="{00000000-0005-0000-0000-00005C4B0000}"/>
    <cellStyle name="Vírgula 7 2 3 13 2 3" xfId="5698" xr:uid="{00000000-0005-0000-0000-00005D4B0000}"/>
    <cellStyle name="Vírgula 7 2 3 13 2 3 2" xfId="22697" xr:uid="{00000000-0005-0000-0000-00005E4B0000}"/>
    <cellStyle name="Vírgula 7 2 3 13 2 3 3" xfId="18733" xr:uid="{00000000-0005-0000-0000-00005F4B0000}"/>
    <cellStyle name="Vírgula 7 2 3 13 2 4" xfId="20597" xr:uid="{00000000-0005-0000-0000-0000604B0000}"/>
    <cellStyle name="Vírgula 7 2 3 13 2 5" xfId="16573" xr:uid="{00000000-0005-0000-0000-0000614B0000}"/>
    <cellStyle name="Vírgula 7 2 3 13 3" xfId="4285" xr:uid="{00000000-0005-0000-0000-0000624B0000}"/>
    <cellStyle name="Vírgula 7 2 3 13 3 2" xfId="6428" xr:uid="{00000000-0005-0000-0000-0000634B0000}"/>
    <cellStyle name="Vírgula 7 2 3 13 3 2 2" xfId="23410" xr:uid="{00000000-0005-0000-0000-0000644B0000}"/>
    <cellStyle name="Vírgula 7 2 3 13 3 2 3" xfId="19463" xr:uid="{00000000-0005-0000-0000-0000654B0000}"/>
    <cellStyle name="Vírgula 7 2 3 13 3 3" xfId="21329" xr:uid="{00000000-0005-0000-0000-0000664B0000}"/>
    <cellStyle name="Vírgula 7 2 3 13 3 4" xfId="17322" xr:uid="{00000000-0005-0000-0000-0000674B0000}"/>
    <cellStyle name="Vírgula 7 2 3 13 4" xfId="6836" xr:uid="{00000000-0005-0000-0000-0000684B0000}"/>
    <cellStyle name="Vírgula 7 2 3 13 4 2" xfId="23802" xr:uid="{00000000-0005-0000-0000-0000694B0000}"/>
    <cellStyle name="Vírgula 7 2 3 13 4 3" xfId="19871" xr:uid="{00000000-0005-0000-0000-00006A4B0000}"/>
    <cellStyle name="Vírgula 7 2 3 13 5" xfId="5154" xr:uid="{00000000-0005-0000-0000-00006B4B0000}"/>
    <cellStyle name="Vírgula 7 2 3 13 5 2" xfId="22155" xr:uid="{00000000-0005-0000-0000-00006C4B0000}"/>
    <cellStyle name="Vírgula 7 2 3 13 5 3" xfId="18189" xr:uid="{00000000-0005-0000-0000-00006D4B0000}"/>
    <cellStyle name="Vírgula 7 2 3 13 6" xfId="20055" xr:uid="{00000000-0005-0000-0000-00006E4B0000}"/>
    <cellStyle name="Vírgula 7 2 3 13 7" xfId="16024" xr:uid="{00000000-0005-0000-0000-00006F4B0000}"/>
    <cellStyle name="Vírgula 7 2 3 14" xfId="3054" xr:uid="{00000000-0005-0000-0000-0000704B0000}"/>
    <cellStyle name="Vírgula 7 2 3 14 2" xfId="3980" xr:uid="{00000000-0005-0000-0000-0000714B0000}"/>
    <cellStyle name="Vírgula 7 2 3 14 2 2" xfId="6505" xr:uid="{00000000-0005-0000-0000-0000724B0000}"/>
    <cellStyle name="Vírgula 7 2 3 14 2 2 2" xfId="23487" xr:uid="{00000000-0005-0000-0000-0000734B0000}"/>
    <cellStyle name="Vírgula 7 2 3 14 2 2 3" xfId="19540" xr:uid="{00000000-0005-0000-0000-0000744B0000}"/>
    <cellStyle name="Vírgula 7 2 3 14 2 3" xfId="21036" xr:uid="{00000000-0005-0000-0000-0000754B0000}"/>
    <cellStyle name="Vírgula 7 2 3 14 2 4" xfId="17022" xr:uid="{00000000-0005-0000-0000-0000764B0000}"/>
    <cellStyle name="Vírgula 7 2 3 14 3" xfId="5223" xr:uid="{00000000-0005-0000-0000-0000774B0000}"/>
    <cellStyle name="Vírgula 7 2 3 14 3 2" xfId="22222" xr:uid="{00000000-0005-0000-0000-0000784B0000}"/>
    <cellStyle name="Vírgula 7 2 3 14 3 3" xfId="18258" xr:uid="{00000000-0005-0000-0000-0000794B0000}"/>
    <cellStyle name="Vírgula 7 2 3 14 4" xfId="20122" xr:uid="{00000000-0005-0000-0000-00007A4B0000}"/>
    <cellStyle name="Vírgula 7 2 3 14 5" xfId="16098" xr:uid="{00000000-0005-0000-0000-00007B4B0000}"/>
    <cellStyle name="Vírgula 7 2 3 15" xfId="3771" xr:uid="{00000000-0005-0000-0000-00007C4B0000}"/>
    <cellStyle name="Vírgula 7 2 3 15 2" xfId="5921" xr:uid="{00000000-0005-0000-0000-00007D4B0000}"/>
    <cellStyle name="Vírgula 7 2 3 15 2 2" xfId="22916" xr:uid="{00000000-0005-0000-0000-00007E4B0000}"/>
    <cellStyle name="Vírgula 7 2 3 15 2 3" xfId="18956" xr:uid="{00000000-0005-0000-0000-00007F4B0000}"/>
    <cellStyle name="Vírgula 7 2 3 15 3" xfId="20835" xr:uid="{00000000-0005-0000-0000-0000804B0000}"/>
    <cellStyle name="Vírgula 7 2 3 15 4" xfId="16814" xr:uid="{00000000-0005-0000-0000-0000814B0000}"/>
    <cellStyle name="Vírgula 7 2 3 16" xfId="6683" xr:uid="{00000000-0005-0000-0000-0000824B0000}"/>
    <cellStyle name="Vírgula 7 2 3 16 2" xfId="23662" xr:uid="{00000000-0005-0000-0000-0000834B0000}"/>
    <cellStyle name="Vírgula 7 2 3 16 3" xfId="19718" xr:uid="{00000000-0005-0000-0000-0000844B0000}"/>
    <cellStyle name="Vírgula 7 2 3 17" xfId="5001" xr:uid="{00000000-0005-0000-0000-0000854B0000}"/>
    <cellStyle name="Vírgula 7 2 3 17 2" xfId="22015" xr:uid="{00000000-0005-0000-0000-0000864B0000}"/>
    <cellStyle name="Vírgula 7 2 3 17 3" xfId="18036" xr:uid="{00000000-0005-0000-0000-0000874B0000}"/>
    <cellStyle name="Vírgula 7 2 3 18" xfId="19916" xr:uid="{00000000-0005-0000-0000-0000884B0000}"/>
    <cellStyle name="Vírgula 7 2 3 19" xfId="15870" xr:uid="{00000000-0005-0000-0000-0000894B0000}"/>
    <cellStyle name="Vírgula 7 2 3 2" xfId="601" xr:uid="{00000000-0005-0000-0000-00008A4B0000}"/>
    <cellStyle name="Vírgula 7 2 3 2 2" xfId="885" xr:uid="{00000000-0005-0000-0000-00008B4B0000}"/>
    <cellStyle name="Vírgula 7 2 3 2 2 2" xfId="3170" xr:uid="{00000000-0005-0000-0000-00008C4B0000}"/>
    <cellStyle name="Vírgula 7 2 3 2 2 2 2" xfId="4341" xr:uid="{00000000-0005-0000-0000-00008D4B0000}"/>
    <cellStyle name="Vírgula 7 2 3 2 2 2 2 2" xfId="6570" xr:uid="{00000000-0005-0000-0000-00008E4B0000}"/>
    <cellStyle name="Vírgula 7 2 3 2 2 2 2 2 2" xfId="23552" xr:uid="{00000000-0005-0000-0000-00008F4B0000}"/>
    <cellStyle name="Vírgula 7 2 3 2 2 2 2 2 3" xfId="19605" xr:uid="{00000000-0005-0000-0000-0000904B0000}"/>
    <cellStyle name="Vírgula 7 2 3 2 2 2 2 3" xfId="21385" xr:uid="{00000000-0005-0000-0000-0000914B0000}"/>
    <cellStyle name="Vírgula 7 2 3 2 2 2 2 4" xfId="17378" xr:uid="{00000000-0005-0000-0000-0000924B0000}"/>
    <cellStyle name="Vírgula 7 2 3 2 2 2 3" xfId="5339" xr:uid="{00000000-0005-0000-0000-0000934B0000}"/>
    <cellStyle name="Vírgula 7 2 3 2 2 2 3 2" xfId="22338" xr:uid="{00000000-0005-0000-0000-0000944B0000}"/>
    <cellStyle name="Vírgula 7 2 3 2 2 2 3 3" xfId="18374" xr:uid="{00000000-0005-0000-0000-0000954B0000}"/>
    <cellStyle name="Vírgula 7 2 3 2 2 2 4" xfId="10471" xr:uid="{00000000-0005-0000-0000-0000964B0000}"/>
    <cellStyle name="Vírgula 7 2 3 2 2 2 4 2" xfId="20238" xr:uid="{00000000-0005-0000-0000-0000974B0000}"/>
    <cellStyle name="Vírgula 7 2 3 2 2 2 5" xfId="16214" xr:uid="{00000000-0005-0000-0000-0000984B0000}"/>
    <cellStyle name="Vírgula 7 2 3 2 2 3" xfId="3919" xr:uid="{00000000-0005-0000-0000-0000994B0000}"/>
    <cellStyle name="Vírgula 7 2 3 2 2 3 2" xfId="6060" xr:uid="{00000000-0005-0000-0000-00009A4B0000}"/>
    <cellStyle name="Vírgula 7 2 3 2 2 3 2 2" xfId="23049" xr:uid="{00000000-0005-0000-0000-00009B4B0000}"/>
    <cellStyle name="Vírgula 7 2 3 2 2 3 2 3" xfId="19095" xr:uid="{00000000-0005-0000-0000-00009C4B0000}"/>
    <cellStyle name="Vírgula 7 2 3 2 2 3 3" xfId="20976" xr:uid="{00000000-0005-0000-0000-00009D4B0000}"/>
    <cellStyle name="Vírgula 7 2 3 2 2 3 4" xfId="16961" xr:uid="{00000000-0005-0000-0000-00009E4B0000}"/>
    <cellStyle name="Vírgula 7 2 3 2 2 4" xfId="6755" xr:uid="{00000000-0005-0000-0000-00009F4B0000}"/>
    <cellStyle name="Vírgula 7 2 3 2 2 4 2" xfId="23728" xr:uid="{00000000-0005-0000-0000-0000A04B0000}"/>
    <cellStyle name="Vírgula 7 2 3 2 2 4 3" xfId="19790" xr:uid="{00000000-0005-0000-0000-0000A14B0000}"/>
    <cellStyle name="Vírgula 7 2 3 2 2 5" xfId="5073" xr:uid="{00000000-0005-0000-0000-0000A24B0000}"/>
    <cellStyle name="Vírgula 7 2 3 2 2 5 2" xfId="22081" xr:uid="{00000000-0005-0000-0000-0000A34B0000}"/>
    <cellStyle name="Vírgula 7 2 3 2 2 5 3" xfId="18108" xr:uid="{00000000-0005-0000-0000-0000A44B0000}"/>
    <cellStyle name="Vírgula 7 2 3 2 2 6" xfId="9839" xr:uid="{00000000-0005-0000-0000-0000A54B0000}"/>
    <cellStyle name="Vírgula 7 2 3 2 2 6 2" xfId="19981" xr:uid="{00000000-0005-0000-0000-0000A64B0000}"/>
    <cellStyle name="Vírgula 7 2 3 2 2 7" xfId="15941" xr:uid="{00000000-0005-0000-0000-0000A74B0000}"/>
    <cellStyle name="Vírgula 7 2 3 2 3" xfId="3067" xr:uid="{00000000-0005-0000-0000-0000A84B0000}"/>
    <cellStyle name="Vírgula 7 2 3 2 3 2" xfId="4322" xr:uid="{00000000-0005-0000-0000-0000A94B0000}"/>
    <cellStyle name="Vírgula 7 2 3 2 3 2 2" xfId="6512" xr:uid="{00000000-0005-0000-0000-0000AA4B0000}"/>
    <cellStyle name="Vírgula 7 2 3 2 3 2 2 2" xfId="23494" xr:uid="{00000000-0005-0000-0000-0000AB4B0000}"/>
    <cellStyle name="Vírgula 7 2 3 2 3 2 2 3" xfId="19547" xr:uid="{00000000-0005-0000-0000-0000AC4B0000}"/>
    <cellStyle name="Vírgula 7 2 3 2 3 2 3" xfId="21366" xr:uid="{00000000-0005-0000-0000-0000AD4B0000}"/>
    <cellStyle name="Vírgula 7 2 3 2 3 2 4" xfId="17359" xr:uid="{00000000-0005-0000-0000-0000AE4B0000}"/>
    <cellStyle name="Vírgula 7 2 3 2 3 3" xfId="5236" xr:uid="{00000000-0005-0000-0000-0000AF4B0000}"/>
    <cellStyle name="Vírgula 7 2 3 2 3 3 2" xfId="22235" xr:uid="{00000000-0005-0000-0000-0000B04B0000}"/>
    <cellStyle name="Vírgula 7 2 3 2 3 3 3" xfId="18271" xr:uid="{00000000-0005-0000-0000-0000B14B0000}"/>
    <cellStyle name="Vírgula 7 2 3 2 3 4" xfId="10470" xr:uid="{00000000-0005-0000-0000-0000B24B0000}"/>
    <cellStyle name="Vírgula 7 2 3 2 3 4 2" xfId="20135" xr:uid="{00000000-0005-0000-0000-0000B34B0000}"/>
    <cellStyle name="Vírgula 7 2 3 2 3 5" xfId="16111" xr:uid="{00000000-0005-0000-0000-0000B44B0000}"/>
    <cellStyle name="Vírgula 7 2 3 2 4" xfId="3813" xr:uid="{00000000-0005-0000-0000-0000B54B0000}"/>
    <cellStyle name="Vírgula 7 2 3 2 4 2" xfId="5947" xr:uid="{00000000-0005-0000-0000-0000B64B0000}"/>
    <cellStyle name="Vírgula 7 2 3 2 4 2 2" xfId="22941" xr:uid="{00000000-0005-0000-0000-0000B74B0000}"/>
    <cellStyle name="Vírgula 7 2 3 2 4 2 3" xfId="18982" xr:uid="{00000000-0005-0000-0000-0000B84B0000}"/>
    <cellStyle name="Vírgula 7 2 3 2 4 3" xfId="20875" xr:uid="{00000000-0005-0000-0000-0000B94B0000}"/>
    <cellStyle name="Vírgula 7 2 3 2 4 4" xfId="16855" xr:uid="{00000000-0005-0000-0000-0000BA4B0000}"/>
    <cellStyle name="Vírgula 7 2 3 2 5" xfId="6691" xr:uid="{00000000-0005-0000-0000-0000BB4B0000}"/>
    <cellStyle name="Vírgula 7 2 3 2 5 2" xfId="23669" xr:uid="{00000000-0005-0000-0000-0000BC4B0000}"/>
    <cellStyle name="Vírgula 7 2 3 2 5 3" xfId="19726" xr:uid="{00000000-0005-0000-0000-0000BD4B0000}"/>
    <cellStyle name="Vírgula 7 2 3 2 6" xfId="5009" xr:uid="{00000000-0005-0000-0000-0000BE4B0000}"/>
    <cellStyle name="Vírgula 7 2 3 2 6 2" xfId="22022" xr:uid="{00000000-0005-0000-0000-0000BF4B0000}"/>
    <cellStyle name="Vírgula 7 2 3 2 6 3" xfId="18044" xr:uid="{00000000-0005-0000-0000-0000C04B0000}"/>
    <cellStyle name="Vírgula 7 2 3 2 7" xfId="9418" xr:uid="{00000000-0005-0000-0000-0000C14B0000}"/>
    <cellStyle name="Vírgula 7 2 3 2 7 2" xfId="19923" xr:uid="{00000000-0005-0000-0000-0000C24B0000}"/>
    <cellStyle name="Vírgula 7 2 3 2 8" xfId="15878" xr:uid="{00000000-0005-0000-0000-0000C34B0000}"/>
    <cellStyle name="Vírgula 7 2 3 3" xfId="602" xr:uid="{00000000-0005-0000-0000-0000C44B0000}"/>
    <cellStyle name="Vírgula 7 2 3 3 2" xfId="603" xr:uid="{00000000-0005-0000-0000-0000C54B0000}"/>
    <cellStyle name="Vírgula 7 2 3 3 2 2" xfId="886" xr:uid="{00000000-0005-0000-0000-0000C64B0000}"/>
    <cellStyle name="Vírgula 7 2 3 3 2 2 2" xfId="3171" xr:uid="{00000000-0005-0000-0000-0000C74B0000}"/>
    <cellStyle name="Vírgula 7 2 3 3 2 2 2 2" xfId="4350" xr:uid="{00000000-0005-0000-0000-0000C84B0000}"/>
    <cellStyle name="Vírgula 7 2 3 3 2 2 2 2 2" xfId="6571" xr:uid="{00000000-0005-0000-0000-0000C94B0000}"/>
    <cellStyle name="Vírgula 7 2 3 3 2 2 2 2 2 2" xfId="23553" xr:uid="{00000000-0005-0000-0000-0000CA4B0000}"/>
    <cellStyle name="Vírgula 7 2 3 3 2 2 2 2 2 3" xfId="19606" xr:uid="{00000000-0005-0000-0000-0000CB4B0000}"/>
    <cellStyle name="Vírgula 7 2 3 3 2 2 2 2 3" xfId="21394" xr:uid="{00000000-0005-0000-0000-0000CC4B0000}"/>
    <cellStyle name="Vírgula 7 2 3 3 2 2 2 2 4" xfId="17387" xr:uid="{00000000-0005-0000-0000-0000CD4B0000}"/>
    <cellStyle name="Vírgula 7 2 3 3 2 2 2 3" xfId="5340" xr:uid="{00000000-0005-0000-0000-0000CE4B0000}"/>
    <cellStyle name="Vírgula 7 2 3 3 2 2 2 3 2" xfId="22339" xr:uid="{00000000-0005-0000-0000-0000CF4B0000}"/>
    <cellStyle name="Vírgula 7 2 3 3 2 2 2 3 3" xfId="18375" xr:uid="{00000000-0005-0000-0000-0000D04B0000}"/>
    <cellStyle name="Vírgula 7 2 3 3 2 2 2 4" xfId="20239" xr:uid="{00000000-0005-0000-0000-0000D14B0000}"/>
    <cellStyle name="Vírgula 7 2 3 3 2 2 2 5" xfId="16215" xr:uid="{00000000-0005-0000-0000-0000D24B0000}"/>
    <cellStyle name="Vírgula 7 2 3 3 2 2 3" xfId="3920" xr:uid="{00000000-0005-0000-0000-0000D34B0000}"/>
    <cellStyle name="Vírgula 7 2 3 3 2 2 3 2" xfId="6061" xr:uid="{00000000-0005-0000-0000-0000D44B0000}"/>
    <cellStyle name="Vírgula 7 2 3 3 2 2 3 2 2" xfId="23050" xr:uid="{00000000-0005-0000-0000-0000D54B0000}"/>
    <cellStyle name="Vírgula 7 2 3 3 2 2 3 2 3" xfId="19096" xr:uid="{00000000-0005-0000-0000-0000D64B0000}"/>
    <cellStyle name="Vírgula 7 2 3 3 2 2 3 3" xfId="20977" xr:uid="{00000000-0005-0000-0000-0000D74B0000}"/>
    <cellStyle name="Vírgula 7 2 3 3 2 2 3 4" xfId="16962" xr:uid="{00000000-0005-0000-0000-0000D84B0000}"/>
    <cellStyle name="Vírgula 7 2 3 3 2 2 4" xfId="6756" xr:uid="{00000000-0005-0000-0000-0000D94B0000}"/>
    <cellStyle name="Vírgula 7 2 3 3 2 2 4 2" xfId="23729" xr:uid="{00000000-0005-0000-0000-0000DA4B0000}"/>
    <cellStyle name="Vírgula 7 2 3 3 2 2 4 3" xfId="19791" xr:uid="{00000000-0005-0000-0000-0000DB4B0000}"/>
    <cellStyle name="Vírgula 7 2 3 3 2 2 5" xfId="5074" xr:uid="{00000000-0005-0000-0000-0000DC4B0000}"/>
    <cellStyle name="Vírgula 7 2 3 3 2 2 5 2" xfId="22082" xr:uid="{00000000-0005-0000-0000-0000DD4B0000}"/>
    <cellStyle name="Vírgula 7 2 3 3 2 2 5 3" xfId="18109" xr:uid="{00000000-0005-0000-0000-0000DE4B0000}"/>
    <cellStyle name="Vírgula 7 2 3 3 2 2 6" xfId="19982" xr:uid="{00000000-0005-0000-0000-0000DF4B0000}"/>
    <cellStyle name="Vírgula 7 2 3 3 2 2 7" xfId="15942" xr:uid="{00000000-0005-0000-0000-0000E04B0000}"/>
    <cellStyle name="Vírgula 7 2 3 3 2 3" xfId="3069" xr:uid="{00000000-0005-0000-0000-0000E14B0000}"/>
    <cellStyle name="Vírgula 7 2 3 3 2 3 2" xfId="3745" xr:uid="{00000000-0005-0000-0000-0000E24B0000}"/>
    <cellStyle name="Vírgula 7 2 3 3 2 3 2 2" xfId="6514" xr:uid="{00000000-0005-0000-0000-0000E34B0000}"/>
    <cellStyle name="Vírgula 7 2 3 3 2 3 2 2 2" xfId="23496" xr:uid="{00000000-0005-0000-0000-0000E44B0000}"/>
    <cellStyle name="Vírgula 7 2 3 3 2 3 2 2 3" xfId="19549" xr:uid="{00000000-0005-0000-0000-0000E54B0000}"/>
    <cellStyle name="Vírgula 7 2 3 3 2 3 2 3" xfId="20809" xr:uid="{00000000-0005-0000-0000-0000E64B0000}"/>
    <cellStyle name="Vírgula 7 2 3 3 2 3 2 4" xfId="16788" xr:uid="{00000000-0005-0000-0000-0000E74B0000}"/>
    <cellStyle name="Vírgula 7 2 3 3 2 3 3" xfId="5238" xr:uid="{00000000-0005-0000-0000-0000E84B0000}"/>
    <cellStyle name="Vírgula 7 2 3 3 2 3 3 2" xfId="22237" xr:uid="{00000000-0005-0000-0000-0000E94B0000}"/>
    <cellStyle name="Vírgula 7 2 3 3 2 3 3 3" xfId="18273" xr:uid="{00000000-0005-0000-0000-0000EA4B0000}"/>
    <cellStyle name="Vírgula 7 2 3 3 2 3 4" xfId="20137" xr:uid="{00000000-0005-0000-0000-0000EB4B0000}"/>
    <cellStyle name="Vírgula 7 2 3 3 2 3 5" xfId="16113" xr:uid="{00000000-0005-0000-0000-0000EC4B0000}"/>
    <cellStyle name="Vírgula 7 2 3 3 2 4" xfId="3815" xr:uid="{00000000-0005-0000-0000-0000ED4B0000}"/>
    <cellStyle name="Vírgula 7 2 3 3 2 4 2" xfId="5949" xr:uid="{00000000-0005-0000-0000-0000EE4B0000}"/>
    <cellStyle name="Vírgula 7 2 3 3 2 4 2 2" xfId="22943" xr:uid="{00000000-0005-0000-0000-0000EF4B0000}"/>
    <cellStyle name="Vírgula 7 2 3 3 2 4 2 3" xfId="18984" xr:uid="{00000000-0005-0000-0000-0000F04B0000}"/>
    <cellStyle name="Vírgula 7 2 3 3 2 4 3" xfId="20877" xr:uid="{00000000-0005-0000-0000-0000F14B0000}"/>
    <cellStyle name="Vírgula 7 2 3 3 2 4 4" xfId="16857" xr:uid="{00000000-0005-0000-0000-0000F24B0000}"/>
    <cellStyle name="Vírgula 7 2 3 3 2 5" xfId="6693" xr:uid="{00000000-0005-0000-0000-0000F34B0000}"/>
    <cellStyle name="Vírgula 7 2 3 3 2 5 2" xfId="23671" xr:uid="{00000000-0005-0000-0000-0000F44B0000}"/>
    <cellStyle name="Vírgula 7 2 3 3 2 5 3" xfId="19728" xr:uid="{00000000-0005-0000-0000-0000F54B0000}"/>
    <cellStyle name="Vírgula 7 2 3 3 2 6" xfId="5011" xr:uid="{00000000-0005-0000-0000-0000F64B0000}"/>
    <cellStyle name="Vírgula 7 2 3 3 2 6 2" xfId="22024" xr:uid="{00000000-0005-0000-0000-0000F74B0000}"/>
    <cellStyle name="Vírgula 7 2 3 3 2 6 3" xfId="18046" xr:uid="{00000000-0005-0000-0000-0000F84B0000}"/>
    <cellStyle name="Vírgula 7 2 3 3 2 7" xfId="10472" xr:uid="{00000000-0005-0000-0000-0000F94B0000}"/>
    <cellStyle name="Vírgula 7 2 3 3 2 7 2" xfId="19925" xr:uid="{00000000-0005-0000-0000-0000FA4B0000}"/>
    <cellStyle name="Vírgula 7 2 3 3 2 8" xfId="15880" xr:uid="{00000000-0005-0000-0000-0000FB4B0000}"/>
    <cellStyle name="Vírgula 7 2 3 3 3" xfId="887" xr:uid="{00000000-0005-0000-0000-0000FC4B0000}"/>
    <cellStyle name="Vírgula 7 2 3 3 3 2" xfId="3172" xr:uid="{00000000-0005-0000-0000-0000FD4B0000}"/>
    <cellStyle name="Vírgula 7 2 3 3 3 2 2" xfId="3746" xr:uid="{00000000-0005-0000-0000-0000FE4B0000}"/>
    <cellStyle name="Vírgula 7 2 3 3 3 2 2 2" xfId="6572" xr:uid="{00000000-0005-0000-0000-0000FF4B0000}"/>
    <cellStyle name="Vírgula 7 2 3 3 3 2 2 2 2" xfId="23554" xr:uid="{00000000-0005-0000-0000-0000004C0000}"/>
    <cellStyle name="Vírgula 7 2 3 3 3 2 2 2 3" xfId="19607" xr:uid="{00000000-0005-0000-0000-0000014C0000}"/>
    <cellStyle name="Vírgula 7 2 3 3 3 2 2 3" xfId="20810" xr:uid="{00000000-0005-0000-0000-0000024C0000}"/>
    <cellStyle name="Vírgula 7 2 3 3 3 2 2 4" xfId="16789" xr:uid="{00000000-0005-0000-0000-0000034C0000}"/>
    <cellStyle name="Vírgula 7 2 3 3 3 2 3" xfId="5341" xr:uid="{00000000-0005-0000-0000-0000044C0000}"/>
    <cellStyle name="Vírgula 7 2 3 3 3 2 3 2" xfId="22340" xr:uid="{00000000-0005-0000-0000-0000054C0000}"/>
    <cellStyle name="Vírgula 7 2 3 3 3 2 3 3" xfId="18376" xr:uid="{00000000-0005-0000-0000-0000064C0000}"/>
    <cellStyle name="Vírgula 7 2 3 3 3 2 4" xfId="20240" xr:uid="{00000000-0005-0000-0000-0000074C0000}"/>
    <cellStyle name="Vírgula 7 2 3 3 3 2 5" xfId="16216" xr:uid="{00000000-0005-0000-0000-0000084C0000}"/>
    <cellStyle name="Vírgula 7 2 3 3 3 3" xfId="3921" xr:uid="{00000000-0005-0000-0000-0000094C0000}"/>
    <cellStyle name="Vírgula 7 2 3 3 3 3 2" xfId="6062" xr:uid="{00000000-0005-0000-0000-00000A4C0000}"/>
    <cellStyle name="Vírgula 7 2 3 3 3 3 2 2" xfId="23051" xr:uid="{00000000-0005-0000-0000-00000B4C0000}"/>
    <cellStyle name="Vírgula 7 2 3 3 3 3 2 3" xfId="19097" xr:uid="{00000000-0005-0000-0000-00000C4C0000}"/>
    <cellStyle name="Vírgula 7 2 3 3 3 3 3" xfId="20978" xr:uid="{00000000-0005-0000-0000-00000D4C0000}"/>
    <cellStyle name="Vírgula 7 2 3 3 3 3 4" xfId="16963" xr:uid="{00000000-0005-0000-0000-00000E4C0000}"/>
    <cellStyle name="Vírgula 7 2 3 3 3 4" xfId="6757" xr:uid="{00000000-0005-0000-0000-00000F4C0000}"/>
    <cellStyle name="Vírgula 7 2 3 3 3 4 2" xfId="23730" xr:uid="{00000000-0005-0000-0000-0000104C0000}"/>
    <cellStyle name="Vírgula 7 2 3 3 3 4 3" xfId="19792" xr:uid="{00000000-0005-0000-0000-0000114C0000}"/>
    <cellStyle name="Vírgula 7 2 3 3 3 5" xfId="5075" xr:uid="{00000000-0005-0000-0000-0000124C0000}"/>
    <cellStyle name="Vírgula 7 2 3 3 3 5 2" xfId="22083" xr:uid="{00000000-0005-0000-0000-0000134C0000}"/>
    <cellStyle name="Vírgula 7 2 3 3 3 5 3" xfId="18110" xr:uid="{00000000-0005-0000-0000-0000144C0000}"/>
    <cellStyle name="Vírgula 7 2 3 3 3 6" xfId="19983" xr:uid="{00000000-0005-0000-0000-0000154C0000}"/>
    <cellStyle name="Vírgula 7 2 3 3 3 7" xfId="15943" xr:uid="{00000000-0005-0000-0000-0000164C0000}"/>
    <cellStyle name="Vírgula 7 2 3 3 4" xfId="3068" xr:uid="{00000000-0005-0000-0000-0000174C0000}"/>
    <cellStyle name="Vírgula 7 2 3 3 4 2" xfId="4483" xr:uid="{00000000-0005-0000-0000-0000184C0000}"/>
    <cellStyle name="Vírgula 7 2 3 3 4 2 2" xfId="6513" xr:uid="{00000000-0005-0000-0000-0000194C0000}"/>
    <cellStyle name="Vírgula 7 2 3 3 4 2 2 2" xfId="23495" xr:uid="{00000000-0005-0000-0000-00001A4C0000}"/>
    <cellStyle name="Vírgula 7 2 3 3 4 2 2 3" xfId="19548" xr:uid="{00000000-0005-0000-0000-00001B4C0000}"/>
    <cellStyle name="Vírgula 7 2 3 3 4 2 3" xfId="21523" xr:uid="{00000000-0005-0000-0000-00001C4C0000}"/>
    <cellStyle name="Vírgula 7 2 3 3 4 2 4" xfId="17518" xr:uid="{00000000-0005-0000-0000-00001D4C0000}"/>
    <cellStyle name="Vírgula 7 2 3 3 4 3" xfId="5237" xr:uid="{00000000-0005-0000-0000-00001E4C0000}"/>
    <cellStyle name="Vírgula 7 2 3 3 4 3 2" xfId="22236" xr:uid="{00000000-0005-0000-0000-00001F4C0000}"/>
    <cellStyle name="Vírgula 7 2 3 3 4 3 3" xfId="18272" xr:uid="{00000000-0005-0000-0000-0000204C0000}"/>
    <cellStyle name="Vírgula 7 2 3 3 4 4" xfId="20136" xr:uid="{00000000-0005-0000-0000-0000214C0000}"/>
    <cellStyle name="Vírgula 7 2 3 3 4 5" xfId="16112" xr:uid="{00000000-0005-0000-0000-0000224C0000}"/>
    <cellStyle name="Vírgula 7 2 3 3 5" xfId="3814" xr:uid="{00000000-0005-0000-0000-0000234C0000}"/>
    <cellStyle name="Vírgula 7 2 3 3 5 2" xfId="5948" xr:uid="{00000000-0005-0000-0000-0000244C0000}"/>
    <cellStyle name="Vírgula 7 2 3 3 5 2 2" xfId="22942" xr:uid="{00000000-0005-0000-0000-0000254C0000}"/>
    <cellStyle name="Vírgula 7 2 3 3 5 2 3" xfId="18983" xr:uid="{00000000-0005-0000-0000-0000264C0000}"/>
    <cellStyle name="Vírgula 7 2 3 3 5 3" xfId="20876" xr:uid="{00000000-0005-0000-0000-0000274C0000}"/>
    <cellStyle name="Vírgula 7 2 3 3 5 4" xfId="16856" xr:uid="{00000000-0005-0000-0000-0000284C0000}"/>
    <cellStyle name="Vírgula 7 2 3 3 6" xfId="6692" xr:uid="{00000000-0005-0000-0000-0000294C0000}"/>
    <cellStyle name="Vírgula 7 2 3 3 6 2" xfId="23670" xr:uid="{00000000-0005-0000-0000-00002A4C0000}"/>
    <cellStyle name="Vírgula 7 2 3 3 6 3" xfId="19727" xr:uid="{00000000-0005-0000-0000-00002B4C0000}"/>
    <cellStyle name="Vírgula 7 2 3 3 7" xfId="5010" xr:uid="{00000000-0005-0000-0000-00002C4C0000}"/>
    <cellStyle name="Vírgula 7 2 3 3 7 2" xfId="22023" xr:uid="{00000000-0005-0000-0000-00002D4C0000}"/>
    <cellStyle name="Vírgula 7 2 3 3 7 3" xfId="18045" xr:uid="{00000000-0005-0000-0000-00002E4C0000}"/>
    <cellStyle name="Vírgula 7 2 3 3 8" xfId="9558" xr:uid="{00000000-0005-0000-0000-00002F4C0000}"/>
    <cellStyle name="Vírgula 7 2 3 3 8 2" xfId="19924" xr:uid="{00000000-0005-0000-0000-0000304C0000}"/>
    <cellStyle name="Vírgula 7 2 3 3 9" xfId="15879" xr:uid="{00000000-0005-0000-0000-0000314C0000}"/>
    <cellStyle name="Vírgula 7 2 3 4" xfId="604" xr:uid="{00000000-0005-0000-0000-0000324C0000}"/>
    <cellStyle name="Vírgula 7 2 3 4 2" xfId="888" xr:uid="{00000000-0005-0000-0000-0000334C0000}"/>
    <cellStyle name="Vírgula 7 2 3 4 2 2" xfId="3173" xr:uid="{00000000-0005-0000-0000-0000344C0000}"/>
    <cellStyle name="Vírgula 7 2 3 4 2 2 2" xfId="4227" xr:uid="{00000000-0005-0000-0000-0000354C0000}"/>
    <cellStyle name="Vírgula 7 2 3 4 2 2 2 2" xfId="6573" xr:uid="{00000000-0005-0000-0000-0000364C0000}"/>
    <cellStyle name="Vírgula 7 2 3 4 2 2 2 2 2" xfId="23555" xr:uid="{00000000-0005-0000-0000-0000374C0000}"/>
    <cellStyle name="Vírgula 7 2 3 4 2 2 2 2 3" xfId="19608" xr:uid="{00000000-0005-0000-0000-0000384C0000}"/>
    <cellStyle name="Vírgula 7 2 3 4 2 2 2 3" xfId="21273" xr:uid="{00000000-0005-0000-0000-0000394C0000}"/>
    <cellStyle name="Vírgula 7 2 3 4 2 2 2 4" xfId="17266" xr:uid="{00000000-0005-0000-0000-00003A4C0000}"/>
    <cellStyle name="Vírgula 7 2 3 4 2 2 3" xfId="5342" xr:uid="{00000000-0005-0000-0000-00003B4C0000}"/>
    <cellStyle name="Vírgula 7 2 3 4 2 2 3 2" xfId="22341" xr:uid="{00000000-0005-0000-0000-00003C4C0000}"/>
    <cellStyle name="Vírgula 7 2 3 4 2 2 3 3" xfId="18377" xr:uid="{00000000-0005-0000-0000-00003D4C0000}"/>
    <cellStyle name="Vírgula 7 2 3 4 2 2 4" xfId="20241" xr:uid="{00000000-0005-0000-0000-00003E4C0000}"/>
    <cellStyle name="Vírgula 7 2 3 4 2 2 5" xfId="16217" xr:uid="{00000000-0005-0000-0000-00003F4C0000}"/>
    <cellStyle name="Vírgula 7 2 3 4 2 3" xfId="3922" xr:uid="{00000000-0005-0000-0000-0000404C0000}"/>
    <cellStyle name="Vírgula 7 2 3 4 2 3 2" xfId="6063" xr:uid="{00000000-0005-0000-0000-0000414C0000}"/>
    <cellStyle name="Vírgula 7 2 3 4 2 3 2 2" xfId="23052" xr:uid="{00000000-0005-0000-0000-0000424C0000}"/>
    <cellStyle name="Vírgula 7 2 3 4 2 3 2 3" xfId="19098" xr:uid="{00000000-0005-0000-0000-0000434C0000}"/>
    <cellStyle name="Vírgula 7 2 3 4 2 3 3" xfId="20979" xr:uid="{00000000-0005-0000-0000-0000444C0000}"/>
    <cellStyle name="Vírgula 7 2 3 4 2 3 4" xfId="16964" xr:uid="{00000000-0005-0000-0000-0000454C0000}"/>
    <cellStyle name="Vírgula 7 2 3 4 2 4" xfId="6758" xr:uid="{00000000-0005-0000-0000-0000464C0000}"/>
    <cellStyle name="Vírgula 7 2 3 4 2 4 2" xfId="23731" xr:uid="{00000000-0005-0000-0000-0000474C0000}"/>
    <cellStyle name="Vírgula 7 2 3 4 2 4 3" xfId="19793" xr:uid="{00000000-0005-0000-0000-0000484C0000}"/>
    <cellStyle name="Vírgula 7 2 3 4 2 5" xfId="5076" xr:uid="{00000000-0005-0000-0000-0000494C0000}"/>
    <cellStyle name="Vírgula 7 2 3 4 2 5 2" xfId="22084" xr:uid="{00000000-0005-0000-0000-00004A4C0000}"/>
    <cellStyle name="Vírgula 7 2 3 4 2 5 3" xfId="18111" xr:uid="{00000000-0005-0000-0000-00004B4C0000}"/>
    <cellStyle name="Vírgula 7 2 3 4 2 6" xfId="19984" xr:uid="{00000000-0005-0000-0000-00004C4C0000}"/>
    <cellStyle name="Vírgula 7 2 3 4 2 7" xfId="15944" xr:uid="{00000000-0005-0000-0000-00004D4C0000}"/>
    <cellStyle name="Vírgula 7 2 3 4 3" xfId="3070" xr:uid="{00000000-0005-0000-0000-00004E4C0000}"/>
    <cellStyle name="Vírgula 7 2 3 4 3 2" xfId="4381" xr:uid="{00000000-0005-0000-0000-00004F4C0000}"/>
    <cellStyle name="Vírgula 7 2 3 4 3 2 2" xfId="6515" xr:uid="{00000000-0005-0000-0000-0000504C0000}"/>
    <cellStyle name="Vírgula 7 2 3 4 3 2 2 2" xfId="23497" xr:uid="{00000000-0005-0000-0000-0000514C0000}"/>
    <cellStyle name="Vírgula 7 2 3 4 3 2 2 3" xfId="19550" xr:uid="{00000000-0005-0000-0000-0000524C0000}"/>
    <cellStyle name="Vírgula 7 2 3 4 3 2 3" xfId="21425" xr:uid="{00000000-0005-0000-0000-0000534C0000}"/>
    <cellStyle name="Vírgula 7 2 3 4 3 2 4" xfId="17418" xr:uid="{00000000-0005-0000-0000-0000544C0000}"/>
    <cellStyle name="Vírgula 7 2 3 4 3 3" xfId="5239" xr:uid="{00000000-0005-0000-0000-0000554C0000}"/>
    <cellStyle name="Vírgula 7 2 3 4 3 3 2" xfId="22238" xr:uid="{00000000-0005-0000-0000-0000564C0000}"/>
    <cellStyle name="Vírgula 7 2 3 4 3 3 3" xfId="18274" xr:uid="{00000000-0005-0000-0000-0000574C0000}"/>
    <cellStyle name="Vírgula 7 2 3 4 3 4" xfId="20138" xr:uid="{00000000-0005-0000-0000-0000584C0000}"/>
    <cellStyle name="Vírgula 7 2 3 4 3 5" xfId="16114" xr:uid="{00000000-0005-0000-0000-0000594C0000}"/>
    <cellStyle name="Vírgula 7 2 3 4 4" xfId="3816" xr:uid="{00000000-0005-0000-0000-00005A4C0000}"/>
    <cellStyle name="Vírgula 7 2 3 4 4 2" xfId="5950" xr:uid="{00000000-0005-0000-0000-00005B4C0000}"/>
    <cellStyle name="Vírgula 7 2 3 4 4 2 2" xfId="22944" xr:uid="{00000000-0005-0000-0000-00005C4C0000}"/>
    <cellStyle name="Vírgula 7 2 3 4 4 2 3" xfId="18985" xr:uid="{00000000-0005-0000-0000-00005D4C0000}"/>
    <cellStyle name="Vírgula 7 2 3 4 4 3" xfId="20878" xr:uid="{00000000-0005-0000-0000-00005E4C0000}"/>
    <cellStyle name="Vírgula 7 2 3 4 4 4" xfId="16858" xr:uid="{00000000-0005-0000-0000-00005F4C0000}"/>
    <cellStyle name="Vírgula 7 2 3 4 5" xfId="6694" xr:uid="{00000000-0005-0000-0000-0000604C0000}"/>
    <cellStyle name="Vírgula 7 2 3 4 5 2" xfId="23672" xr:uid="{00000000-0005-0000-0000-0000614C0000}"/>
    <cellStyle name="Vírgula 7 2 3 4 5 3" xfId="19729" xr:uid="{00000000-0005-0000-0000-0000624C0000}"/>
    <cellStyle name="Vírgula 7 2 3 4 6" xfId="5012" xr:uid="{00000000-0005-0000-0000-0000634C0000}"/>
    <cellStyle name="Vírgula 7 2 3 4 6 2" xfId="22025" xr:uid="{00000000-0005-0000-0000-0000644C0000}"/>
    <cellStyle name="Vírgula 7 2 3 4 6 3" xfId="18047" xr:uid="{00000000-0005-0000-0000-0000654C0000}"/>
    <cellStyle name="Vírgula 7 2 3 4 7" xfId="10469" xr:uid="{00000000-0005-0000-0000-0000664C0000}"/>
    <cellStyle name="Vírgula 7 2 3 4 7 2" xfId="19926" xr:uid="{00000000-0005-0000-0000-0000674C0000}"/>
    <cellStyle name="Vírgula 7 2 3 4 8" xfId="15881" xr:uid="{00000000-0005-0000-0000-0000684C0000}"/>
    <cellStyle name="Vírgula 7 2 3 5" xfId="605" xr:uid="{00000000-0005-0000-0000-0000694C0000}"/>
    <cellStyle name="Vírgula 7 2 3 5 2" xfId="889" xr:uid="{00000000-0005-0000-0000-00006A4C0000}"/>
    <cellStyle name="Vírgula 7 2 3 5 2 2" xfId="3174" xr:uid="{00000000-0005-0000-0000-00006B4C0000}"/>
    <cellStyle name="Vírgula 7 2 3 5 2 2 2" xfId="4202" xr:uid="{00000000-0005-0000-0000-00006C4C0000}"/>
    <cellStyle name="Vírgula 7 2 3 5 2 2 2 2" xfId="6574" xr:uid="{00000000-0005-0000-0000-00006D4C0000}"/>
    <cellStyle name="Vírgula 7 2 3 5 2 2 2 2 2" xfId="23556" xr:uid="{00000000-0005-0000-0000-00006E4C0000}"/>
    <cellStyle name="Vírgula 7 2 3 5 2 2 2 2 3" xfId="19609" xr:uid="{00000000-0005-0000-0000-00006F4C0000}"/>
    <cellStyle name="Vírgula 7 2 3 5 2 2 2 3" xfId="21248" xr:uid="{00000000-0005-0000-0000-0000704C0000}"/>
    <cellStyle name="Vírgula 7 2 3 5 2 2 2 4" xfId="17241" xr:uid="{00000000-0005-0000-0000-0000714C0000}"/>
    <cellStyle name="Vírgula 7 2 3 5 2 2 3" xfId="5343" xr:uid="{00000000-0005-0000-0000-0000724C0000}"/>
    <cellStyle name="Vírgula 7 2 3 5 2 2 3 2" xfId="22342" xr:uid="{00000000-0005-0000-0000-0000734C0000}"/>
    <cellStyle name="Vírgula 7 2 3 5 2 2 3 3" xfId="18378" xr:uid="{00000000-0005-0000-0000-0000744C0000}"/>
    <cellStyle name="Vírgula 7 2 3 5 2 2 4" xfId="20242" xr:uid="{00000000-0005-0000-0000-0000754C0000}"/>
    <cellStyle name="Vírgula 7 2 3 5 2 2 5" xfId="16218" xr:uid="{00000000-0005-0000-0000-0000764C0000}"/>
    <cellStyle name="Vírgula 7 2 3 5 2 3" xfId="3923" xr:uid="{00000000-0005-0000-0000-0000774C0000}"/>
    <cellStyle name="Vírgula 7 2 3 5 2 3 2" xfId="6064" xr:uid="{00000000-0005-0000-0000-0000784C0000}"/>
    <cellStyle name="Vírgula 7 2 3 5 2 3 2 2" xfId="23053" xr:uid="{00000000-0005-0000-0000-0000794C0000}"/>
    <cellStyle name="Vírgula 7 2 3 5 2 3 2 3" xfId="19099" xr:uid="{00000000-0005-0000-0000-00007A4C0000}"/>
    <cellStyle name="Vírgula 7 2 3 5 2 3 3" xfId="20980" xr:uid="{00000000-0005-0000-0000-00007B4C0000}"/>
    <cellStyle name="Vírgula 7 2 3 5 2 3 4" xfId="16965" xr:uid="{00000000-0005-0000-0000-00007C4C0000}"/>
    <cellStyle name="Vírgula 7 2 3 5 2 4" xfId="6759" xr:uid="{00000000-0005-0000-0000-00007D4C0000}"/>
    <cellStyle name="Vírgula 7 2 3 5 2 4 2" xfId="23732" xr:uid="{00000000-0005-0000-0000-00007E4C0000}"/>
    <cellStyle name="Vírgula 7 2 3 5 2 4 3" xfId="19794" xr:uid="{00000000-0005-0000-0000-00007F4C0000}"/>
    <cellStyle name="Vírgula 7 2 3 5 2 5" xfId="5077" xr:uid="{00000000-0005-0000-0000-0000804C0000}"/>
    <cellStyle name="Vírgula 7 2 3 5 2 5 2" xfId="22085" xr:uid="{00000000-0005-0000-0000-0000814C0000}"/>
    <cellStyle name="Vírgula 7 2 3 5 2 5 3" xfId="18112" xr:uid="{00000000-0005-0000-0000-0000824C0000}"/>
    <cellStyle name="Vírgula 7 2 3 5 2 6" xfId="19985" xr:uid="{00000000-0005-0000-0000-0000834C0000}"/>
    <cellStyle name="Vírgula 7 2 3 5 2 7" xfId="15945" xr:uid="{00000000-0005-0000-0000-0000844C0000}"/>
    <cellStyle name="Vírgula 7 2 3 5 3" xfId="3071" xr:uid="{00000000-0005-0000-0000-0000854C0000}"/>
    <cellStyle name="Vírgula 7 2 3 5 3 2" xfId="4398" xr:uid="{00000000-0005-0000-0000-0000864C0000}"/>
    <cellStyle name="Vírgula 7 2 3 5 3 2 2" xfId="6516" xr:uid="{00000000-0005-0000-0000-0000874C0000}"/>
    <cellStyle name="Vírgula 7 2 3 5 3 2 2 2" xfId="23498" xr:uid="{00000000-0005-0000-0000-0000884C0000}"/>
    <cellStyle name="Vírgula 7 2 3 5 3 2 2 3" xfId="19551" xr:uid="{00000000-0005-0000-0000-0000894C0000}"/>
    <cellStyle name="Vírgula 7 2 3 5 3 2 3" xfId="21442" xr:uid="{00000000-0005-0000-0000-00008A4C0000}"/>
    <cellStyle name="Vírgula 7 2 3 5 3 2 4" xfId="17435" xr:uid="{00000000-0005-0000-0000-00008B4C0000}"/>
    <cellStyle name="Vírgula 7 2 3 5 3 3" xfId="5240" xr:uid="{00000000-0005-0000-0000-00008C4C0000}"/>
    <cellStyle name="Vírgula 7 2 3 5 3 3 2" xfId="22239" xr:uid="{00000000-0005-0000-0000-00008D4C0000}"/>
    <cellStyle name="Vírgula 7 2 3 5 3 3 3" xfId="18275" xr:uid="{00000000-0005-0000-0000-00008E4C0000}"/>
    <cellStyle name="Vírgula 7 2 3 5 3 4" xfId="20139" xr:uid="{00000000-0005-0000-0000-00008F4C0000}"/>
    <cellStyle name="Vírgula 7 2 3 5 3 5" xfId="16115" xr:uid="{00000000-0005-0000-0000-0000904C0000}"/>
    <cellStyle name="Vírgula 7 2 3 5 4" xfId="3817" xr:uid="{00000000-0005-0000-0000-0000914C0000}"/>
    <cellStyle name="Vírgula 7 2 3 5 4 2" xfId="5951" xr:uid="{00000000-0005-0000-0000-0000924C0000}"/>
    <cellStyle name="Vírgula 7 2 3 5 4 2 2" xfId="22945" xr:uid="{00000000-0005-0000-0000-0000934C0000}"/>
    <cellStyle name="Vírgula 7 2 3 5 4 2 3" xfId="18986" xr:uid="{00000000-0005-0000-0000-0000944C0000}"/>
    <cellStyle name="Vírgula 7 2 3 5 4 3" xfId="20879" xr:uid="{00000000-0005-0000-0000-0000954C0000}"/>
    <cellStyle name="Vírgula 7 2 3 5 4 4" xfId="16859" xr:uid="{00000000-0005-0000-0000-0000964C0000}"/>
    <cellStyle name="Vírgula 7 2 3 5 5" xfId="6695" xr:uid="{00000000-0005-0000-0000-0000974C0000}"/>
    <cellStyle name="Vírgula 7 2 3 5 5 2" xfId="23673" xr:uid="{00000000-0005-0000-0000-0000984C0000}"/>
    <cellStyle name="Vírgula 7 2 3 5 5 3" xfId="19730" xr:uid="{00000000-0005-0000-0000-0000994C0000}"/>
    <cellStyle name="Vírgula 7 2 3 5 6" xfId="5013" xr:uid="{00000000-0005-0000-0000-00009A4C0000}"/>
    <cellStyle name="Vírgula 7 2 3 5 6 2" xfId="22026" xr:uid="{00000000-0005-0000-0000-00009B4C0000}"/>
    <cellStyle name="Vírgula 7 2 3 5 6 3" xfId="18048" xr:uid="{00000000-0005-0000-0000-00009C4C0000}"/>
    <cellStyle name="Vírgula 7 2 3 5 7" xfId="10768" xr:uid="{00000000-0005-0000-0000-00009D4C0000}"/>
    <cellStyle name="Vírgula 7 2 3 5 7 2" xfId="19927" xr:uid="{00000000-0005-0000-0000-00009E4C0000}"/>
    <cellStyle name="Vírgula 7 2 3 5 8" xfId="15882" xr:uid="{00000000-0005-0000-0000-00009F4C0000}"/>
    <cellStyle name="Vírgula 7 2 3 6" xfId="606" xr:uid="{00000000-0005-0000-0000-0000A04C0000}"/>
    <cellStyle name="Vírgula 7 2 3 6 2" xfId="890" xr:uid="{00000000-0005-0000-0000-0000A14C0000}"/>
    <cellStyle name="Vírgula 7 2 3 6 2 2" xfId="3175" xr:uid="{00000000-0005-0000-0000-0000A24C0000}"/>
    <cellStyle name="Vírgula 7 2 3 6 2 2 2" xfId="4168" xr:uid="{00000000-0005-0000-0000-0000A34C0000}"/>
    <cellStyle name="Vírgula 7 2 3 6 2 2 2 2" xfId="6575" xr:uid="{00000000-0005-0000-0000-0000A44C0000}"/>
    <cellStyle name="Vírgula 7 2 3 6 2 2 2 2 2" xfId="23557" xr:uid="{00000000-0005-0000-0000-0000A54C0000}"/>
    <cellStyle name="Vírgula 7 2 3 6 2 2 2 2 3" xfId="19610" xr:uid="{00000000-0005-0000-0000-0000A64C0000}"/>
    <cellStyle name="Vírgula 7 2 3 6 2 2 2 3" xfId="21215" xr:uid="{00000000-0005-0000-0000-0000A74C0000}"/>
    <cellStyle name="Vírgula 7 2 3 6 2 2 2 4" xfId="17208" xr:uid="{00000000-0005-0000-0000-0000A84C0000}"/>
    <cellStyle name="Vírgula 7 2 3 6 2 2 3" xfId="5344" xr:uid="{00000000-0005-0000-0000-0000A94C0000}"/>
    <cellStyle name="Vírgula 7 2 3 6 2 2 3 2" xfId="22343" xr:uid="{00000000-0005-0000-0000-0000AA4C0000}"/>
    <cellStyle name="Vírgula 7 2 3 6 2 2 3 3" xfId="18379" xr:uid="{00000000-0005-0000-0000-0000AB4C0000}"/>
    <cellStyle name="Vírgula 7 2 3 6 2 2 4" xfId="20243" xr:uid="{00000000-0005-0000-0000-0000AC4C0000}"/>
    <cellStyle name="Vírgula 7 2 3 6 2 2 5" xfId="16219" xr:uid="{00000000-0005-0000-0000-0000AD4C0000}"/>
    <cellStyle name="Vírgula 7 2 3 6 2 3" xfId="3924" xr:uid="{00000000-0005-0000-0000-0000AE4C0000}"/>
    <cellStyle name="Vírgula 7 2 3 6 2 3 2" xfId="6065" xr:uid="{00000000-0005-0000-0000-0000AF4C0000}"/>
    <cellStyle name="Vírgula 7 2 3 6 2 3 2 2" xfId="23054" xr:uid="{00000000-0005-0000-0000-0000B04C0000}"/>
    <cellStyle name="Vírgula 7 2 3 6 2 3 2 3" xfId="19100" xr:uid="{00000000-0005-0000-0000-0000B14C0000}"/>
    <cellStyle name="Vírgula 7 2 3 6 2 3 3" xfId="20981" xr:uid="{00000000-0005-0000-0000-0000B24C0000}"/>
    <cellStyle name="Vírgula 7 2 3 6 2 3 4" xfId="16966" xr:uid="{00000000-0005-0000-0000-0000B34C0000}"/>
    <cellStyle name="Vírgula 7 2 3 6 2 4" xfId="6760" xr:uid="{00000000-0005-0000-0000-0000B44C0000}"/>
    <cellStyle name="Vírgula 7 2 3 6 2 4 2" xfId="23733" xr:uid="{00000000-0005-0000-0000-0000B54C0000}"/>
    <cellStyle name="Vírgula 7 2 3 6 2 4 3" xfId="19795" xr:uid="{00000000-0005-0000-0000-0000B64C0000}"/>
    <cellStyle name="Vírgula 7 2 3 6 2 5" xfId="5078" xr:uid="{00000000-0005-0000-0000-0000B74C0000}"/>
    <cellStyle name="Vírgula 7 2 3 6 2 5 2" xfId="22086" xr:uid="{00000000-0005-0000-0000-0000B84C0000}"/>
    <cellStyle name="Vírgula 7 2 3 6 2 5 3" xfId="18113" xr:uid="{00000000-0005-0000-0000-0000B94C0000}"/>
    <cellStyle name="Vírgula 7 2 3 6 2 6" xfId="19986" xr:uid="{00000000-0005-0000-0000-0000BA4C0000}"/>
    <cellStyle name="Vírgula 7 2 3 6 2 7" xfId="15946" xr:uid="{00000000-0005-0000-0000-0000BB4C0000}"/>
    <cellStyle name="Vírgula 7 2 3 6 3" xfId="3072" xr:uid="{00000000-0005-0000-0000-0000BC4C0000}"/>
    <cellStyle name="Vírgula 7 2 3 6 3 2" xfId="4458" xr:uid="{00000000-0005-0000-0000-0000BD4C0000}"/>
    <cellStyle name="Vírgula 7 2 3 6 3 2 2" xfId="6517" xr:uid="{00000000-0005-0000-0000-0000BE4C0000}"/>
    <cellStyle name="Vírgula 7 2 3 6 3 2 2 2" xfId="23499" xr:uid="{00000000-0005-0000-0000-0000BF4C0000}"/>
    <cellStyle name="Vírgula 7 2 3 6 3 2 2 3" xfId="19552" xr:uid="{00000000-0005-0000-0000-0000C04C0000}"/>
    <cellStyle name="Vírgula 7 2 3 6 3 2 3" xfId="21498" xr:uid="{00000000-0005-0000-0000-0000C14C0000}"/>
    <cellStyle name="Vírgula 7 2 3 6 3 2 4" xfId="17493" xr:uid="{00000000-0005-0000-0000-0000C24C0000}"/>
    <cellStyle name="Vírgula 7 2 3 6 3 3" xfId="5241" xr:uid="{00000000-0005-0000-0000-0000C34C0000}"/>
    <cellStyle name="Vírgula 7 2 3 6 3 3 2" xfId="22240" xr:uid="{00000000-0005-0000-0000-0000C44C0000}"/>
    <cellStyle name="Vírgula 7 2 3 6 3 3 3" xfId="18276" xr:uid="{00000000-0005-0000-0000-0000C54C0000}"/>
    <cellStyle name="Vírgula 7 2 3 6 3 4" xfId="20140" xr:uid="{00000000-0005-0000-0000-0000C64C0000}"/>
    <cellStyle name="Vírgula 7 2 3 6 3 5" xfId="16116" xr:uid="{00000000-0005-0000-0000-0000C74C0000}"/>
    <cellStyle name="Vírgula 7 2 3 6 4" xfId="3818" xr:uid="{00000000-0005-0000-0000-0000C84C0000}"/>
    <cellStyle name="Vírgula 7 2 3 6 4 2" xfId="5952" xr:uid="{00000000-0005-0000-0000-0000C94C0000}"/>
    <cellStyle name="Vírgula 7 2 3 6 4 2 2" xfId="22946" xr:uid="{00000000-0005-0000-0000-0000CA4C0000}"/>
    <cellStyle name="Vírgula 7 2 3 6 4 2 3" xfId="18987" xr:uid="{00000000-0005-0000-0000-0000CB4C0000}"/>
    <cellStyle name="Vírgula 7 2 3 6 4 3" xfId="20880" xr:uid="{00000000-0005-0000-0000-0000CC4C0000}"/>
    <cellStyle name="Vírgula 7 2 3 6 4 4" xfId="16860" xr:uid="{00000000-0005-0000-0000-0000CD4C0000}"/>
    <cellStyle name="Vírgula 7 2 3 6 5" xfId="6696" xr:uid="{00000000-0005-0000-0000-0000CE4C0000}"/>
    <cellStyle name="Vírgula 7 2 3 6 5 2" xfId="23674" xr:uid="{00000000-0005-0000-0000-0000CF4C0000}"/>
    <cellStyle name="Vírgula 7 2 3 6 5 3" xfId="19731" xr:uid="{00000000-0005-0000-0000-0000D04C0000}"/>
    <cellStyle name="Vírgula 7 2 3 6 6" xfId="5014" xr:uid="{00000000-0005-0000-0000-0000D14C0000}"/>
    <cellStyle name="Vírgula 7 2 3 6 6 2" xfId="22027" xr:uid="{00000000-0005-0000-0000-0000D24C0000}"/>
    <cellStyle name="Vírgula 7 2 3 6 6 3" xfId="18049" xr:uid="{00000000-0005-0000-0000-0000D34C0000}"/>
    <cellStyle name="Vírgula 7 2 3 6 7" xfId="10898" xr:uid="{00000000-0005-0000-0000-0000D44C0000}"/>
    <cellStyle name="Vírgula 7 2 3 6 7 2" xfId="19928" xr:uid="{00000000-0005-0000-0000-0000D54C0000}"/>
    <cellStyle name="Vírgula 7 2 3 6 8" xfId="15883" xr:uid="{00000000-0005-0000-0000-0000D64C0000}"/>
    <cellStyle name="Vírgula 7 2 3 7" xfId="607" xr:uid="{00000000-0005-0000-0000-0000D74C0000}"/>
    <cellStyle name="Vírgula 7 2 3 7 2" xfId="891" xr:uid="{00000000-0005-0000-0000-0000D84C0000}"/>
    <cellStyle name="Vírgula 7 2 3 7 2 2" xfId="3176" xr:uid="{00000000-0005-0000-0000-0000D94C0000}"/>
    <cellStyle name="Vírgula 7 2 3 7 2 2 2" xfId="4135" xr:uid="{00000000-0005-0000-0000-0000DA4C0000}"/>
    <cellStyle name="Vírgula 7 2 3 7 2 2 2 2" xfId="6576" xr:uid="{00000000-0005-0000-0000-0000DB4C0000}"/>
    <cellStyle name="Vírgula 7 2 3 7 2 2 2 2 2" xfId="23558" xr:uid="{00000000-0005-0000-0000-0000DC4C0000}"/>
    <cellStyle name="Vírgula 7 2 3 7 2 2 2 2 3" xfId="19611" xr:uid="{00000000-0005-0000-0000-0000DD4C0000}"/>
    <cellStyle name="Vírgula 7 2 3 7 2 2 2 3" xfId="21183" xr:uid="{00000000-0005-0000-0000-0000DE4C0000}"/>
    <cellStyle name="Vírgula 7 2 3 7 2 2 2 4" xfId="17175" xr:uid="{00000000-0005-0000-0000-0000DF4C0000}"/>
    <cellStyle name="Vírgula 7 2 3 7 2 2 3" xfId="5345" xr:uid="{00000000-0005-0000-0000-0000E04C0000}"/>
    <cellStyle name="Vírgula 7 2 3 7 2 2 3 2" xfId="22344" xr:uid="{00000000-0005-0000-0000-0000E14C0000}"/>
    <cellStyle name="Vírgula 7 2 3 7 2 2 3 3" xfId="18380" xr:uid="{00000000-0005-0000-0000-0000E24C0000}"/>
    <cellStyle name="Vírgula 7 2 3 7 2 2 4" xfId="20244" xr:uid="{00000000-0005-0000-0000-0000E34C0000}"/>
    <cellStyle name="Vírgula 7 2 3 7 2 2 5" xfId="16220" xr:uid="{00000000-0005-0000-0000-0000E44C0000}"/>
    <cellStyle name="Vírgula 7 2 3 7 2 3" xfId="3925" xr:uid="{00000000-0005-0000-0000-0000E54C0000}"/>
    <cellStyle name="Vírgula 7 2 3 7 2 3 2" xfId="6066" xr:uid="{00000000-0005-0000-0000-0000E64C0000}"/>
    <cellStyle name="Vírgula 7 2 3 7 2 3 2 2" xfId="23055" xr:uid="{00000000-0005-0000-0000-0000E74C0000}"/>
    <cellStyle name="Vírgula 7 2 3 7 2 3 2 3" xfId="19101" xr:uid="{00000000-0005-0000-0000-0000E84C0000}"/>
    <cellStyle name="Vírgula 7 2 3 7 2 3 3" xfId="20982" xr:uid="{00000000-0005-0000-0000-0000E94C0000}"/>
    <cellStyle name="Vírgula 7 2 3 7 2 3 4" xfId="16967" xr:uid="{00000000-0005-0000-0000-0000EA4C0000}"/>
    <cellStyle name="Vírgula 7 2 3 7 2 4" xfId="6761" xr:uid="{00000000-0005-0000-0000-0000EB4C0000}"/>
    <cellStyle name="Vírgula 7 2 3 7 2 4 2" xfId="23734" xr:uid="{00000000-0005-0000-0000-0000EC4C0000}"/>
    <cellStyle name="Vírgula 7 2 3 7 2 4 3" xfId="19796" xr:uid="{00000000-0005-0000-0000-0000ED4C0000}"/>
    <cellStyle name="Vírgula 7 2 3 7 2 5" xfId="5079" xr:uid="{00000000-0005-0000-0000-0000EE4C0000}"/>
    <cellStyle name="Vírgula 7 2 3 7 2 5 2" xfId="22087" xr:uid="{00000000-0005-0000-0000-0000EF4C0000}"/>
    <cellStyle name="Vírgula 7 2 3 7 2 5 3" xfId="18114" xr:uid="{00000000-0005-0000-0000-0000F04C0000}"/>
    <cellStyle name="Vírgula 7 2 3 7 2 6" xfId="19987" xr:uid="{00000000-0005-0000-0000-0000F14C0000}"/>
    <cellStyle name="Vírgula 7 2 3 7 2 7" xfId="15947" xr:uid="{00000000-0005-0000-0000-0000F24C0000}"/>
    <cellStyle name="Vírgula 7 2 3 7 3" xfId="3073" xr:uid="{00000000-0005-0000-0000-0000F34C0000}"/>
    <cellStyle name="Vírgula 7 2 3 7 3 2" xfId="4196" xr:uid="{00000000-0005-0000-0000-0000F44C0000}"/>
    <cellStyle name="Vírgula 7 2 3 7 3 2 2" xfId="6518" xr:uid="{00000000-0005-0000-0000-0000F54C0000}"/>
    <cellStyle name="Vírgula 7 2 3 7 3 2 2 2" xfId="23500" xr:uid="{00000000-0005-0000-0000-0000F64C0000}"/>
    <cellStyle name="Vírgula 7 2 3 7 3 2 2 3" xfId="19553" xr:uid="{00000000-0005-0000-0000-0000F74C0000}"/>
    <cellStyle name="Vírgula 7 2 3 7 3 2 3" xfId="21242" xr:uid="{00000000-0005-0000-0000-0000F84C0000}"/>
    <cellStyle name="Vírgula 7 2 3 7 3 2 4" xfId="17235" xr:uid="{00000000-0005-0000-0000-0000F94C0000}"/>
    <cellStyle name="Vírgula 7 2 3 7 3 3" xfId="5242" xr:uid="{00000000-0005-0000-0000-0000FA4C0000}"/>
    <cellStyle name="Vírgula 7 2 3 7 3 3 2" xfId="22241" xr:uid="{00000000-0005-0000-0000-0000FB4C0000}"/>
    <cellStyle name="Vírgula 7 2 3 7 3 3 3" xfId="18277" xr:uid="{00000000-0005-0000-0000-0000FC4C0000}"/>
    <cellStyle name="Vírgula 7 2 3 7 3 4" xfId="20141" xr:uid="{00000000-0005-0000-0000-0000FD4C0000}"/>
    <cellStyle name="Vírgula 7 2 3 7 3 5" xfId="16117" xr:uid="{00000000-0005-0000-0000-0000FE4C0000}"/>
    <cellStyle name="Vírgula 7 2 3 7 4" xfId="3819" xr:uid="{00000000-0005-0000-0000-0000FF4C0000}"/>
    <cellStyle name="Vírgula 7 2 3 7 4 2" xfId="5953" xr:uid="{00000000-0005-0000-0000-0000004D0000}"/>
    <cellStyle name="Vírgula 7 2 3 7 4 2 2" xfId="22947" xr:uid="{00000000-0005-0000-0000-0000014D0000}"/>
    <cellStyle name="Vírgula 7 2 3 7 4 2 3" xfId="18988" xr:uid="{00000000-0005-0000-0000-0000024D0000}"/>
    <cellStyle name="Vírgula 7 2 3 7 4 3" xfId="20881" xr:uid="{00000000-0005-0000-0000-0000034D0000}"/>
    <cellStyle name="Vírgula 7 2 3 7 4 4" xfId="16861" xr:uid="{00000000-0005-0000-0000-0000044D0000}"/>
    <cellStyle name="Vírgula 7 2 3 7 5" xfId="6697" xr:uid="{00000000-0005-0000-0000-0000054D0000}"/>
    <cellStyle name="Vírgula 7 2 3 7 5 2" xfId="23675" xr:uid="{00000000-0005-0000-0000-0000064D0000}"/>
    <cellStyle name="Vírgula 7 2 3 7 5 3" xfId="19732" xr:uid="{00000000-0005-0000-0000-0000074D0000}"/>
    <cellStyle name="Vírgula 7 2 3 7 6" xfId="5015" xr:uid="{00000000-0005-0000-0000-0000084D0000}"/>
    <cellStyle name="Vírgula 7 2 3 7 6 2" xfId="22028" xr:uid="{00000000-0005-0000-0000-0000094D0000}"/>
    <cellStyle name="Vírgula 7 2 3 7 6 3" xfId="18050" xr:uid="{00000000-0005-0000-0000-00000A4D0000}"/>
    <cellStyle name="Vírgula 7 2 3 7 7" xfId="19929" xr:uid="{00000000-0005-0000-0000-00000B4D0000}"/>
    <cellStyle name="Vírgula 7 2 3 7 8" xfId="15884" xr:uid="{00000000-0005-0000-0000-00000C4D0000}"/>
    <cellStyle name="Vírgula 7 2 3 8" xfId="892" xr:uid="{00000000-0005-0000-0000-00000D4D0000}"/>
    <cellStyle name="Vírgula 7 2 3 8 2" xfId="2402" xr:uid="{00000000-0005-0000-0000-00000E4D0000}"/>
    <cellStyle name="Vírgula 7 2 3 8 2 2" xfId="3531" xr:uid="{00000000-0005-0000-0000-00000F4D0000}"/>
    <cellStyle name="Vírgula 7 2 3 8 2 2 2" xfId="4366" xr:uid="{00000000-0005-0000-0000-0000104D0000}"/>
    <cellStyle name="Vírgula 7 2 3 8 2 2 2 2" xfId="6646" xr:uid="{00000000-0005-0000-0000-0000114D0000}"/>
    <cellStyle name="Vírgula 7 2 3 8 2 2 2 2 2" xfId="23628" xr:uid="{00000000-0005-0000-0000-0000124D0000}"/>
    <cellStyle name="Vírgula 7 2 3 8 2 2 2 2 3" xfId="19681" xr:uid="{00000000-0005-0000-0000-0000134D0000}"/>
    <cellStyle name="Vírgula 7 2 3 8 2 2 2 3" xfId="21410" xr:uid="{00000000-0005-0000-0000-0000144D0000}"/>
    <cellStyle name="Vírgula 7 2 3 8 2 2 2 4" xfId="17403" xr:uid="{00000000-0005-0000-0000-0000154D0000}"/>
    <cellStyle name="Vírgula 7 2 3 8 2 2 3" xfId="5700" xr:uid="{00000000-0005-0000-0000-0000164D0000}"/>
    <cellStyle name="Vírgula 7 2 3 8 2 2 3 2" xfId="22699" xr:uid="{00000000-0005-0000-0000-0000174D0000}"/>
    <cellStyle name="Vírgula 7 2 3 8 2 2 3 3" xfId="18735" xr:uid="{00000000-0005-0000-0000-0000184D0000}"/>
    <cellStyle name="Vírgula 7 2 3 8 2 2 4" xfId="20599" xr:uid="{00000000-0005-0000-0000-0000194D0000}"/>
    <cellStyle name="Vírgula 7 2 3 8 2 2 5" xfId="16575" xr:uid="{00000000-0005-0000-0000-00001A4D0000}"/>
    <cellStyle name="Vírgula 7 2 3 8 2 3" xfId="4287" xr:uid="{00000000-0005-0000-0000-00001B4D0000}"/>
    <cellStyle name="Vírgula 7 2 3 8 2 3 2" xfId="6430" xr:uid="{00000000-0005-0000-0000-00001C4D0000}"/>
    <cellStyle name="Vírgula 7 2 3 8 2 3 2 2" xfId="23412" xr:uid="{00000000-0005-0000-0000-00001D4D0000}"/>
    <cellStyle name="Vírgula 7 2 3 8 2 3 2 3" xfId="19465" xr:uid="{00000000-0005-0000-0000-00001E4D0000}"/>
    <cellStyle name="Vírgula 7 2 3 8 2 3 3" xfId="21331" xr:uid="{00000000-0005-0000-0000-00001F4D0000}"/>
    <cellStyle name="Vírgula 7 2 3 8 2 3 4" xfId="17324" xr:uid="{00000000-0005-0000-0000-0000204D0000}"/>
    <cellStyle name="Vírgula 7 2 3 8 2 4" xfId="6838" xr:uid="{00000000-0005-0000-0000-0000214D0000}"/>
    <cellStyle name="Vírgula 7 2 3 8 2 4 2" xfId="23804" xr:uid="{00000000-0005-0000-0000-0000224D0000}"/>
    <cellStyle name="Vírgula 7 2 3 8 2 4 3" xfId="19873" xr:uid="{00000000-0005-0000-0000-0000234D0000}"/>
    <cellStyle name="Vírgula 7 2 3 8 2 5" xfId="5156" xr:uid="{00000000-0005-0000-0000-0000244D0000}"/>
    <cellStyle name="Vírgula 7 2 3 8 2 5 2" xfId="22157" xr:uid="{00000000-0005-0000-0000-0000254D0000}"/>
    <cellStyle name="Vírgula 7 2 3 8 2 5 3" xfId="18191" xr:uid="{00000000-0005-0000-0000-0000264D0000}"/>
    <cellStyle name="Vírgula 7 2 3 8 2 6" xfId="20057" xr:uid="{00000000-0005-0000-0000-0000274D0000}"/>
    <cellStyle name="Vírgula 7 2 3 8 2 7" xfId="16026" xr:uid="{00000000-0005-0000-0000-0000284D0000}"/>
    <cellStyle name="Vírgula 7 2 3 8 3" xfId="2401" xr:uid="{00000000-0005-0000-0000-0000294D0000}"/>
    <cellStyle name="Vírgula 7 2 3 8 3 2" xfId="3530" xr:uid="{00000000-0005-0000-0000-00002A4D0000}"/>
    <cellStyle name="Vírgula 7 2 3 8 3 2 2" xfId="4408" xr:uid="{00000000-0005-0000-0000-00002B4D0000}"/>
    <cellStyle name="Vírgula 7 2 3 8 3 2 2 2" xfId="6645" xr:uid="{00000000-0005-0000-0000-00002C4D0000}"/>
    <cellStyle name="Vírgula 7 2 3 8 3 2 2 2 2" xfId="23627" xr:uid="{00000000-0005-0000-0000-00002D4D0000}"/>
    <cellStyle name="Vírgula 7 2 3 8 3 2 2 2 3" xfId="19680" xr:uid="{00000000-0005-0000-0000-00002E4D0000}"/>
    <cellStyle name="Vírgula 7 2 3 8 3 2 2 3" xfId="21451" xr:uid="{00000000-0005-0000-0000-00002F4D0000}"/>
    <cellStyle name="Vírgula 7 2 3 8 3 2 2 4" xfId="17445" xr:uid="{00000000-0005-0000-0000-0000304D0000}"/>
    <cellStyle name="Vírgula 7 2 3 8 3 2 3" xfId="5699" xr:uid="{00000000-0005-0000-0000-0000314D0000}"/>
    <cellStyle name="Vírgula 7 2 3 8 3 2 3 2" xfId="22698" xr:uid="{00000000-0005-0000-0000-0000324D0000}"/>
    <cellStyle name="Vírgula 7 2 3 8 3 2 3 3" xfId="18734" xr:uid="{00000000-0005-0000-0000-0000334D0000}"/>
    <cellStyle name="Vírgula 7 2 3 8 3 2 4" xfId="20598" xr:uid="{00000000-0005-0000-0000-0000344D0000}"/>
    <cellStyle name="Vírgula 7 2 3 8 3 2 5" xfId="16574" xr:uid="{00000000-0005-0000-0000-0000354D0000}"/>
    <cellStyle name="Vírgula 7 2 3 8 3 3" xfId="4286" xr:uid="{00000000-0005-0000-0000-0000364D0000}"/>
    <cellStyle name="Vírgula 7 2 3 8 3 3 2" xfId="6429" xr:uid="{00000000-0005-0000-0000-0000374D0000}"/>
    <cellStyle name="Vírgula 7 2 3 8 3 3 2 2" xfId="23411" xr:uid="{00000000-0005-0000-0000-0000384D0000}"/>
    <cellStyle name="Vírgula 7 2 3 8 3 3 2 3" xfId="19464" xr:uid="{00000000-0005-0000-0000-0000394D0000}"/>
    <cellStyle name="Vírgula 7 2 3 8 3 3 3" xfId="21330" xr:uid="{00000000-0005-0000-0000-00003A4D0000}"/>
    <cellStyle name="Vírgula 7 2 3 8 3 3 4" xfId="17323" xr:uid="{00000000-0005-0000-0000-00003B4D0000}"/>
    <cellStyle name="Vírgula 7 2 3 8 3 4" xfId="6837" xr:uid="{00000000-0005-0000-0000-00003C4D0000}"/>
    <cellStyle name="Vírgula 7 2 3 8 3 4 2" xfId="23803" xr:uid="{00000000-0005-0000-0000-00003D4D0000}"/>
    <cellStyle name="Vírgula 7 2 3 8 3 4 3" xfId="19872" xr:uid="{00000000-0005-0000-0000-00003E4D0000}"/>
    <cellStyle name="Vírgula 7 2 3 8 3 5" xfId="5155" xr:uid="{00000000-0005-0000-0000-00003F4D0000}"/>
    <cellStyle name="Vírgula 7 2 3 8 3 5 2" xfId="22156" xr:uid="{00000000-0005-0000-0000-0000404D0000}"/>
    <cellStyle name="Vírgula 7 2 3 8 3 5 3" xfId="18190" xr:uid="{00000000-0005-0000-0000-0000414D0000}"/>
    <cellStyle name="Vírgula 7 2 3 8 3 6" xfId="20056" xr:uid="{00000000-0005-0000-0000-0000424D0000}"/>
    <cellStyle name="Vírgula 7 2 3 8 3 7" xfId="16025" xr:uid="{00000000-0005-0000-0000-0000434D0000}"/>
    <cellStyle name="Vírgula 7 2 3 8 4" xfId="3177" xr:uid="{00000000-0005-0000-0000-0000444D0000}"/>
    <cellStyle name="Vírgula 7 2 3 8 4 2" xfId="4147" xr:uid="{00000000-0005-0000-0000-0000454D0000}"/>
    <cellStyle name="Vírgula 7 2 3 8 4 2 2" xfId="6577" xr:uid="{00000000-0005-0000-0000-0000464D0000}"/>
    <cellStyle name="Vírgula 7 2 3 8 4 2 2 2" xfId="23559" xr:uid="{00000000-0005-0000-0000-0000474D0000}"/>
    <cellStyle name="Vírgula 7 2 3 8 4 2 2 3" xfId="19612" xr:uid="{00000000-0005-0000-0000-0000484D0000}"/>
    <cellStyle name="Vírgula 7 2 3 8 4 2 3" xfId="21195" xr:uid="{00000000-0005-0000-0000-0000494D0000}"/>
    <cellStyle name="Vírgula 7 2 3 8 4 2 4" xfId="17187" xr:uid="{00000000-0005-0000-0000-00004A4D0000}"/>
    <cellStyle name="Vírgula 7 2 3 8 4 3" xfId="5346" xr:uid="{00000000-0005-0000-0000-00004B4D0000}"/>
    <cellStyle name="Vírgula 7 2 3 8 4 3 2" xfId="11177" xr:uid="{00000000-0005-0000-0000-00004C4D0000}"/>
    <cellStyle name="Vírgula 7 2 3 8 4 3 2 2" xfId="22345" xr:uid="{00000000-0005-0000-0000-00004D4D0000}"/>
    <cellStyle name="Vírgula 7 2 3 8 4 3 3" xfId="11710" xr:uid="{00000000-0005-0000-0000-00004E4D0000}"/>
    <cellStyle name="Vírgula 7 2 3 8 4 3 4" xfId="18381" xr:uid="{00000000-0005-0000-0000-00004F4D0000}"/>
    <cellStyle name="Vírgula 7 2 3 8 4 4" xfId="20245" xr:uid="{00000000-0005-0000-0000-0000504D0000}"/>
    <cellStyle name="Vírgula 7 2 3 8 4 5" xfId="16221" xr:uid="{00000000-0005-0000-0000-0000514D0000}"/>
    <cellStyle name="Vírgula 7 2 3 8 5" xfId="3926" xr:uid="{00000000-0005-0000-0000-0000524D0000}"/>
    <cellStyle name="Vírgula 7 2 3 8 5 2" xfId="6067" xr:uid="{00000000-0005-0000-0000-0000534D0000}"/>
    <cellStyle name="Vírgula 7 2 3 8 5 2 2" xfId="11782" xr:uid="{00000000-0005-0000-0000-0000544D0000}"/>
    <cellStyle name="Vírgula 7 2 3 8 5 2 2 2" xfId="23056" xr:uid="{00000000-0005-0000-0000-0000554D0000}"/>
    <cellStyle name="Vírgula 7 2 3 8 5 2 3" xfId="12932" xr:uid="{00000000-0005-0000-0000-0000564D0000}"/>
    <cellStyle name="Vírgula 7 2 3 8 5 2 4" xfId="19102" xr:uid="{00000000-0005-0000-0000-0000574D0000}"/>
    <cellStyle name="Vírgula 7 2 3 8 5 3" xfId="20983" xr:uid="{00000000-0005-0000-0000-0000584D0000}"/>
    <cellStyle name="Vírgula 7 2 3 8 5 4" xfId="16968" xr:uid="{00000000-0005-0000-0000-0000594D0000}"/>
    <cellStyle name="Vírgula 7 2 3 8 6" xfId="6762" xr:uid="{00000000-0005-0000-0000-00005A4D0000}"/>
    <cellStyle name="Vírgula 7 2 3 8 6 2" xfId="23735" xr:uid="{00000000-0005-0000-0000-00005B4D0000}"/>
    <cellStyle name="Vírgula 7 2 3 8 6 3" xfId="19797" xr:uid="{00000000-0005-0000-0000-00005C4D0000}"/>
    <cellStyle name="Vírgula 7 2 3 8 7" xfId="5080" xr:uid="{00000000-0005-0000-0000-00005D4D0000}"/>
    <cellStyle name="Vírgula 7 2 3 8 7 2" xfId="22088" xr:uid="{00000000-0005-0000-0000-00005E4D0000}"/>
    <cellStyle name="Vírgula 7 2 3 8 7 3" xfId="18115" xr:uid="{00000000-0005-0000-0000-00005F4D0000}"/>
    <cellStyle name="Vírgula 7 2 3 8 8" xfId="19988" xr:uid="{00000000-0005-0000-0000-0000604D0000}"/>
    <cellStyle name="Vírgula 7 2 3 8 9" xfId="15948" xr:uid="{00000000-0005-0000-0000-0000614D0000}"/>
    <cellStyle name="Vírgula 7 2 3 9" xfId="2403" xr:uid="{00000000-0005-0000-0000-0000624D0000}"/>
    <cellStyle name="Vírgula 7 2 3 9 2" xfId="2404" xr:uid="{00000000-0005-0000-0000-0000634D0000}"/>
    <cellStyle name="Vírgula 7 2 3 9 2 2" xfId="3533" xr:uid="{00000000-0005-0000-0000-0000644D0000}"/>
    <cellStyle name="Vírgula 7 2 3 9 2 2 2" xfId="4210" xr:uid="{00000000-0005-0000-0000-0000654D0000}"/>
    <cellStyle name="Vírgula 7 2 3 9 2 2 2 2" xfId="6648" xr:uid="{00000000-0005-0000-0000-0000664D0000}"/>
    <cellStyle name="Vírgula 7 2 3 9 2 2 2 2 2" xfId="23630" xr:uid="{00000000-0005-0000-0000-0000674D0000}"/>
    <cellStyle name="Vírgula 7 2 3 9 2 2 2 2 3" xfId="19683" xr:uid="{00000000-0005-0000-0000-0000684D0000}"/>
    <cellStyle name="Vírgula 7 2 3 9 2 2 2 3" xfId="21256" xr:uid="{00000000-0005-0000-0000-0000694D0000}"/>
    <cellStyle name="Vírgula 7 2 3 9 2 2 2 4" xfId="17249" xr:uid="{00000000-0005-0000-0000-00006A4D0000}"/>
    <cellStyle name="Vírgula 7 2 3 9 2 2 3" xfId="5702" xr:uid="{00000000-0005-0000-0000-00006B4D0000}"/>
    <cellStyle name="Vírgula 7 2 3 9 2 2 3 2" xfId="22701" xr:uid="{00000000-0005-0000-0000-00006C4D0000}"/>
    <cellStyle name="Vírgula 7 2 3 9 2 2 3 3" xfId="18737" xr:uid="{00000000-0005-0000-0000-00006D4D0000}"/>
    <cellStyle name="Vírgula 7 2 3 9 2 2 4" xfId="20601" xr:uid="{00000000-0005-0000-0000-00006E4D0000}"/>
    <cellStyle name="Vírgula 7 2 3 9 2 2 5" xfId="16577" xr:uid="{00000000-0005-0000-0000-00006F4D0000}"/>
    <cellStyle name="Vírgula 7 2 3 9 2 3" xfId="4289" xr:uid="{00000000-0005-0000-0000-0000704D0000}"/>
    <cellStyle name="Vírgula 7 2 3 9 2 3 2" xfId="6432" xr:uid="{00000000-0005-0000-0000-0000714D0000}"/>
    <cellStyle name="Vírgula 7 2 3 9 2 3 2 2" xfId="23414" xr:uid="{00000000-0005-0000-0000-0000724D0000}"/>
    <cellStyle name="Vírgula 7 2 3 9 2 3 2 3" xfId="19467" xr:uid="{00000000-0005-0000-0000-0000734D0000}"/>
    <cellStyle name="Vírgula 7 2 3 9 2 3 3" xfId="21333" xr:uid="{00000000-0005-0000-0000-0000744D0000}"/>
    <cellStyle name="Vírgula 7 2 3 9 2 3 4" xfId="17326" xr:uid="{00000000-0005-0000-0000-0000754D0000}"/>
    <cellStyle name="Vírgula 7 2 3 9 2 4" xfId="6840" xr:uid="{00000000-0005-0000-0000-0000764D0000}"/>
    <cellStyle name="Vírgula 7 2 3 9 2 4 2" xfId="23806" xr:uid="{00000000-0005-0000-0000-0000774D0000}"/>
    <cellStyle name="Vírgula 7 2 3 9 2 4 3" xfId="19875" xr:uid="{00000000-0005-0000-0000-0000784D0000}"/>
    <cellStyle name="Vírgula 7 2 3 9 2 5" xfId="5158" xr:uid="{00000000-0005-0000-0000-0000794D0000}"/>
    <cellStyle name="Vírgula 7 2 3 9 2 5 2" xfId="22159" xr:uid="{00000000-0005-0000-0000-00007A4D0000}"/>
    <cellStyle name="Vírgula 7 2 3 9 2 5 3" xfId="18193" xr:uid="{00000000-0005-0000-0000-00007B4D0000}"/>
    <cellStyle name="Vírgula 7 2 3 9 2 6" xfId="20059" xr:uid="{00000000-0005-0000-0000-00007C4D0000}"/>
    <cellStyle name="Vírgula 7 2 3 9 2 7" xfId="16028" xr:uid="{00000000-0005-0000-0000-00007D4D0000}"/>
    <cellStyle name="Vírgula 7 2 3 9 3" xfId="3532" xr:uid="{00000000-0005-0000-0000-00007E4D0000}"/>
    <cellStyle name="Vírgula 7 2 3 9 3 2" xfId="3730" xr:uid="{00000000-0005-0000-0000-00007F4D0000}"/>
    <cellStyle name="Vírgula 7 2 3 9 3 2 2" xfId="6647" xr:uid="{00000000-0005-0000-0000-0000804D0000}"/>
    <cellStyle name="Vírgula 7 2 3 9 3 2 2 2" xfId="23629" xr:uid="{00000000-0005-0000-0000-0000814D0000}"/>
    <cellStyle name="Vírgula 7 2 3 9 3 2 2 3" xfId="19682" xr:uid="{00000000-0005-0000-0000-0000824D0000}"/>
    <cellStyle name="Vírgula 7 2 3 9 3 2 3" xfId="20795" xr:uid="{00000000-0005-0000-0000-0000834D0000}"/>
    <cellStyle name="Vírgula 7 2 3 9 3 2 4" xfId="16774" xr:uid="{00000000-0005-0000-0000-0000844D0000}"/>
    <cellStyle name="Vírgula 7 2 3 9 3 3" xfId="5701" xr:uid="{00000000-0005-0000-0000-0000854D0000}"/>
    <cellStyle name="Vírgula 7 2 3 9 3 3 2" xfId="22700" xr:uid="{00000000-0005-0000-0000-0000864D0000}"/>
    <cellStyle name="Vírgula 7 2 3 9 3 3 3" xfId="18736" xr:uid="{00000000-0005-0000-0000-0000874D0000}"/>
    <cellStyle name="Vírgula 7 2 3 9 3 4" xfId="20600" xr:uid="{00000000-0005-0000-0000-0000884D0000}"/>
    <cellStyle name="Vírgula 7 2 3 9 3 5" xfId="16576" xr:uid="{00000000-0005-0000-0000-0000894D0000}"/>
    <cellStyle name="Vírgula 7 2 3 9 4" xfId="4288" xr:uid="{00000000-0005-0000-0000-00008A4D0000}"/>
    <cellStyle name="Vírgula 7 2 3 9 4 2" xfId="6431" xr:uid="{00000000-0005-0000-0000-00008B4D0000}"/>
    <cellStyle name="Vírgula 7 2 3 9 4 2 2" xfId="23413" xr:uid="{00000000-0005-0000-0000-00008C4D0000}"/>
    <cellStyle name="Vírgula 7 2 3 9 4 2 3" xfId="19466" xr:uid="{00000000-0005-0000-0000-00008D4D0000}"/>
    <cellStyle name="Vírgula 7 2 3 9 4 3" xfId="21332" xr:uid="{00000000-0005-0000-0000-00008E4D0000}"/>
    <cellStyle name="Vírgula 7 2 3 9 4 4" xfId="17325" xr:uid="{00000000-0005-0000-0000-00008F4D0000}"/>
    <cellStyle name="Vírgula 7 2 3 9 5" xfId="6839" xr:uid="{00000000-0005-0000-0000-0000904D0000}"/>
    <cellStyle name="Vírgula 7 2 3 9 5 2" xfId="23805" xr:uid="{00000000-0005-0000-0000-0000914D0000}"/>
    <cellStyle name="Vírgula 7 2 3 9 5 3" xfId="19874" xr:uid="{00000000-0005-0000-0000-0000924D0000}"/>
    <cellStyle name="Vírgula 7 2 3 9 6" xfId="5157" xr:uid="{00000000-0005-0000-0000-0000934D0000}"/>
    <cellStyle name="Vírgula 7 2 3 9 6 2" xfId="22158" xr:uid="{00000000-0005-0000-0000-0000944D0000}"/>
    <cellStyle name="Vírgula 7 2 3 9 6 3" xfId="18192" xr:uid="{00000000-0005-0000-0000-0000954D0000}"/>
    <cellStyle name="Vírgula 7 2 3 9 7" xfId="20058" xr:uid="{00000000-0005-0000-0000-0000964D0000}"/>
    <cellStyle name="Vírgula 7 2 3 9 8" xfId="16027" xr:uid="{00000000-0005-0000-0000-0000974D0000}"/>
    <cellStyle name="Vírgula 7 2 4" xfId="455" xr:uid="{00000000-0005-0000-0000-0000984D0000}"/>
    <cellStyle name="Vírgula 7 2 4 2" xfId="608" xr:uid="{00000000-0005-0000-0000-0000994D0000}"/>
    <cellStyle name="Vírgula 7 2 4 2 2" xfId="893" xr:uid="{00000000-0005-0000-0000-00009A4D0000}"/>
    <cellStyle name="Vírgula 7 2 4 2 2 2" xfId="3178" xr:uid="{00000000-0005-0000-0000-00009B4D0000}"/>
    <cellStyle name="Vírgula 7 2 4 2 2 2 2" xfId="3740" xr:uid="{00000000-0005-0000-0000-00009C4D0000}"/>
    <cellStyle name="Vírgula 7 2 4 2 2 2 2 2" xfId="6578" xr:uid="{00000000-0005-0000-0000-00009D4D0000}"/>
    <cellStyle name="Vírgula 7 2 4 2 2 2 2 2 2" xfId="23560" xr:uid="{00000000-0005-0000-0000-00009E4D0000}"/>
    <cellStyle name="Vírgula 7 2 4 2 2 2 2 2 3" xfId="19613" xr:uid="{00000000-0005-0000-0000-00009F4D0000}"/>
    <cellStyle name="Vírgula 7 2 4 2 2 2 2 3" xfId="20804" xr:uid="{00000000-0005-0000-0000-0000A04D0000}"/>
    <cellStyle name="Vírgula 7 2 4 2 2 2 2 4" xfId="16783" xr:uid="{00000000-0005-0000-0000-0000A14D0000}"/>
    <cellStyle name="Vírgula 7 2 4 2 2 2 3" xfId="5347" xr:uid="{00000000-0005-0000-0000-0000A24D0000}"/>
    <cellStyle name="Vírgula 7 2 4 2 2 2 3 2" xfId="22346" xr:uid="{00000000-0005-0000-0000-0000A34D0000}"/>
    <cellStyle name="Vírgula 7 2 4 2 2 2 3 3" xfId="18382" xr:uid="{00000000-0005-0000-0000-0000A44D0000}"/>
    <cellStyle name="Vírgula 7 2 4 2 2 2 4" xfId="20246" xr:uid="{00000000-0005-0000-0000-0000A54D0000}"/>
    <cellStyle name="Vírgula 7 2 4 2 2 2 5" xfId="16222" xr:uid="{00000000-0005-0000-0000-0000A64D0000}"/>
    <cellStyle name="Vírgula 7 2 4 2 2 3" xfId="3927" xr:uid="{00000000-0005-0000-0000-0000A74D0000}"/>
    <cellStyle name="Vírgula 7 2 4 2 2 3 2" xfId="6068" xr:uid="{00000000-0005-0000-0000-0000A84D0000}"/>
    <cellStyle name="Vírgula 7 2 4 2 2 3 2 2" xfId="23057" xr:uid="{00000000-0005-0000-0000-0000A94D0000}"/>
    <cellStyle name="Vírgula 7 2 4 2 2 3 2 3" xfId="19103" xr:uid="{00000000-0005-0000-0000-0000AA4D0000}"/>
    <cellStyle name="Vírgula 7 2 4 2 2 3 3" xfId="20984" xr:uid="{00000000-0005-0000-0000-0000AB4D0000}"/>
    <cellStyle name="Vírgula 7 2 4 2 2 3 4" xfId="16969" xr:uid="{00000000-0005-0000-0000-0000AC4D0000}"/>
    <cellStyle name="Vírgula 7 2 4 2 2 4" xfId="6763" xr:uid="{00000000-0005-0000-0000-0000AD4D0000}"/>
    <cellStyle name="Vírgula 7 2 4 2 2 4 2" xfId="23736" xr:uid="{00000000-0005-0000-0000-0000AE4D0000}"/>
    <cellStyle name="Vírgula 7 2 4 2 2 4 3" xfId="19798" xr:uid="{00000000-0005-0000-0000-0000AF4D0000}"/>
    <cellStyle name="Vírgula 7 2 4 2 2 5" xfId="5081" xr:uid="{00000000-0005-0000-0000-0000B04D0000}"/>
    <cellStyle name="Vírgula 7 2 4 2 2 5 2" xfId="22089" xr:uid="{00000000-0005-0000-0000-0000B14D0000}"/>
    <cellStyle name="Vírgula 7 2 4 2 2 5 3" xfId="18116" xr:uid="{00000000-0005-0000-0000-0000B24D0000}"/>
    <cellStyle name="Vírgula 7 2 4 2 2 6" xfId="10474" xr:uid="{00000000-0005-0000-0000-0000B34D0000}"/>
    <cellStyle name="Vírgula 7 2 4 2 2 6 2" xfId="19989" xr:uid="{00000000-0005-0000-0000-0000B44D0000}"/>
    <cellStyle name="Vírgula 7 2 4 2 2 7" xfId="15949" xr:uid="{00000000-0005-0000-0000-0000B54D0000}"/>
    <cellStyle name="Vírgula 7 2 4 2 3" xfId="3074" xr:uid="{00000000-0005-0000-0000-0000B64D0000}"/>
    <cellStyle name="Vírgula 7 2 4 2 3 2" xfId="4225" xr:uid="{00000000-0005-0000-0000-0000B74D0000}"/>
    <cellStyle name="Vírgula 7 2 4 2 3 2 2" xfId="6519" xr:uid="{00000000-0005-0000-0000-0000B84D0000}"/>
    <cellStyle name="Vírgula 7 2 4 2 3 2 2 2" xfId="23501" xr:uid="{00000000-0005-0000-0000-0000B94D0000}"/>
    <cellStyle name="Vírgula 7 2 4 2 3 2 2 3" xfId="19554" xr:uid="{00000000-0005-0000-0000-0000BA4D0000}"/>
    <cellStyle name="Vírgula 7 2 4 2 3 2 3" xfId="21271" xr:uid="{00000000-0005-0000-0000-0000BB4D0000}"/>
    <cellStyle name="Vírgula 7 2 4 2 3 2 4" xfId="17264" xr:uid="{00000000-0005-0000-0000-0000BC4D0000}"/>
    <cellStyle name="Vírgula 7 2 4 2 3 3" xfId="5243" xr:uid="{00000000-0005-0000-0000-0000BD4D0000}"/>
    <cellStyle name="Vírgula 7 2 4 2 3 3 2" xfId="22242" xr:uid="{00000000-0005-0000-0000-0000BE4D0000}"/>
    <cellStyle name="Vírgula 7 2 4 2 3 3 3" xfId="18278" xr:uid="{00000000-0005-0000-0000-0000BF4D0000}"/>
    <cellStyle name="Vírgula 7 2 4 2 3 4" xfId="20142" xr:uid="{00000000-0005-0000-0000-0000C04D0000}"/>
    <cellStyle name="Vírgula 7 2 4 2 3 5" xfId="16118" xr:uid="{00000000-0005-0000-0000-0000C14D0000}"/>
    <cellStyle name="Vírgula 7 2 4 2 4" xfId="3820" xr:uid="{00000000-0005-0000-0000-0000C24D0000}"/>
    <cellStyle name="Vírgula 7 2 4 2 4 2" xfId="5954" xr:uid="{00000000-0005-0000-0000-0000C34D0000}"/>
    <cellStyle name="Vírgula 7 2 4 2 4 2 2" xfId="22948" xr:uid="{00000000-0005-0000-0000-0000C44D0000}"/>
    <cellStyle name="Vírgula 7 2 4 2 4 2 3" xfId="18989" xr:uid="{00000000-0005-0000-0000-0000C54D0000}"/>
    <cellStyle name="Vírgula 7 2 4 2 4 3" xfId="20882" xr:uid="{00000000-0005-0000-0000-0000C64D0000}"/>
    <cellStyle name="Vírgula 7 2 4 2 4 4" xfId="16862" xr:uid="{00000000-0005-0000-0000-0000C74D0000}"/>
    <cellStyle name="Vírgula 7 2 4 2 5" xfId="6698" xr:uid="{00000000-0005-0000-0000-0000C84D0000}"/>
    <cellStyle name="Vírgula 7 2 4 2 5 2" xfId="23676" xr:uid="{00000000-0005-0000-0000-0000C94D0000}"/>
    <cellStyle name="Vírgula 7 2 4 2 5 3" xfId="19733" xr:uid="{00000000-0005-0000-0000-0000CA4D0000}"/>
    <cellStyle name="Vírgula 7 2 4 2 6" xfId="5016" xr:uid="{00000000-0005-0000-0000-0000CB4D0000}"/>
    <cellStyle name="Vírgula 7 2 4 2 6 2" xfId="22029" xr:uid="{00000000-0005-0000-0000-0000CC4D0000}"/>
    <cellStyle name="Vírgula 7 2 4 2 6 3" xfId="18051" xr:uid="{00000000-0005-0000-0000-0000CD4D0000}"/>
    <cellStyle name="Vírgula 7 2 4 2 7" xfId="9653" xr:uid="{00000000-0005-0000-0000-0000CE4D0000}"/>
    <cellStyle name="Vírgula 7 2 4 2 7 2" xfId="19930" xr:uid="{00000000-0005-0000-0000-0000CF4D0000}"/>
    <cellStyle name="Vírgula 7 2 4 2 8" xfId="15885" xr:uid="{00000000-0005-0000-0000-0000D04D0000}"/>
    <cellStyle name="Vírgula 7 2 4 3" xfId="894" xr:uid="{00000000-0005-0000-0000-0000D14D0000}"/>
    <cellStyle name="Vírgula 7 2 4 3 2" xfId="3179" xr:uid="{00000000-0005-0000-0000-0000D24D0000}"/>
    <cellStyle name="Vírgula 7 2 4 3 2 2" xfId="4365" xr:uid="{00000000-0005-0000-0000-0000D34D0000}"/>
    <cellStyle name="Vírgula 7 2 4 3 2 2 2" xfId="6579" xr:uid="{00000000-0005-0000-0000-0000D44D0000}"/>
    <cellStyle name="Vírgula 7 2 4 3 2 2 2 2" xfId="23561" xr:uid="{00000000-0005-0000-0000-0000D54D0000}"/>
    <cellStyle name="Vírgula 7 2 4 3 2 2 2 3" xfId="19614" xr:uid="{00000000-0005-0000-0000-0000D64D0000}"/>
    <cellStyle name="Vírgula 7 2 4 3 2 2 3" xfId="21409" xr:uid="{00000000-0005-0000-0000-0000D74D0000}"/>
    <cellStyle name="Vírgula 7 2 4 3 2 2 4" xfId="17402" xr:uid="{00000000-0005-0000-0000-0000D84D0000}"/>
    <cellStyle name="Vírgula 7 2 4 3 2 3" xfId="5348" xr:uid="{00000000-0005-0000-0000-0000D94D0000}"/>
    <cellStyle name="Vírgula 7 2 4 3 2 3 2" xfId="22347" xr:uid="{00000000-0005-0000-0000-0000DA4D0000}"/>
    <cellStyle name="Vírgula 7 2 4 3 2 3 3" xfId="18383" xr:uid="{00000000-0005-0000-0000-0000DB4D0000}"/>
    <cellStyle name="Vírgula 7 2 4 3 2 4" xfId="20247" xr:uid="{00000000-0005-0000-0000-0000DC4D0000}"/>
    <cellStyle name="Vírgula 7 2 4 3 2 5" xfId="16223" xr:uid="{00000000-0005-0000-0000-0000DD4D0000}"/>
    <cellStyle name="Vírgula 7 2 4 3 3" xfId="3928" xr:uid="{00000000-0005-0000-0000-0000DE4D0000}"/>
    <cellStyle name="Vírgula 7 2 4 3 3 2" xfId="6069" xr:uid="{00000000-0005-0000-0000-0000DF4D0000}"/>
    <cellStyle name="Vírgula 7 2 4 3 3 2 2" xfId="23058" xr:uid="{00000000-0005-0000-0000-0000E04D0000}"/>
    <cellStyle name="Vírgula 7 2 4 3 3 2 3" xfId="19104" xr:uid="{00000000-0005-0000-0000-0000E14D0000}"/>
    <cellStyle name="Vírgula 7 2 4 3 3 3" xfId="20985" xr:uid="{00000000-0005-0000-0000-0000E24D0000}"/>
    <cellStyle name="Vírgula 7 2 4 3 3 4" xfId="16970" xr:uid="{00000000-0005-0000-0000-0000E34D0000}"/>
    <cellStyle name="Vírgula 7 2 4 3 4" xfId="6764" xr:uid="{00000000-0005-0000-0000-0000E44D0000}"/>
    <cellStyle name="Vírgula 7 2 4 3 4 2" xfId="23737" xr:uid="{00000000-0005-0000-0000-0000E54D0000}"/>
    <cellStyle name="Vírgula 7 2 4 3 4 3" xfId="19799" xr:uid="{00000000-0005-0000-0000-0000E64D0000}"/>
    <cellStyle name="Vírgula 7 2 4 3 5" xfId="5082" xr:uid="{00000000-0005-0000-0000-0000E74D0000}"/>
    <cellStyle name="Vírgula 7 2 4 3 5 2" xfId="22090" xr:uid="{00000000-0005-0000-0000-0000E84D0000}"/>
    <cellStyle name="Vírgula 7 2 4 3 5 3" xfId="18117" xr:uid="{00000000-0005-0000-0000-0000E94D0000}"/>
    <cellStyle name="Vírgula 7 2 4 3 6" xfId="10473" xr:uid="{00000000-0005-0000-0000-0000EA4D0000}"/>
    <cellStyle name="Vírgula 7 2 4 3 6 2" xfId="19990" xr:uid="{00000000-0005-0000-0000-0000EB4D0000}"/>
    <cellStyle name="Vírgula 7 2 4 3 7" xfId="15950" xr:uid="{00000000-0005-0000-0000-0000EC4D0000}"/>
    <cellStyle name="Vírgula 7 2 4 4" xfId="3055" xr:uid="{00000000-0005-0000-0000-0000ED4D0000}"/>
    <cellStyle name="Vírgula 7 2 4 4 2" xfId="4091" xr:uid="{00000000-0005-0000-0000-0000EE4D0000}"/>
    <cellStyle name="Vírgula 7 2 4 4 2 2" xfId="6506" xr:uid="{00000000-0005-0000-0000-0000EF4D0000}"/>
    <cellStyle name="Vírgula 7 2 4 4 2 2 2" xfId="23488" xr:uid="{00000000-0005-0000-0000-0000F04D0000}"/>
    <cellStyle name="Vírgula 7 2 4 4 2 2 3" xfId="19541" xr:uid="{00000000-0005-0000-0000-0000F14D0000}"/>
    <cellStyle name="Vírgula 7 2 4 4 2 3" xfId="21139" xr:uid="{00000000-0005-0000-0000-0000F24D0000}"/>
    <cellStyle name="Vírgula 7 2 4 4 2 4" xfId="17131" xr:uid="{00000000-0005-0000-0000-0000F34D0000}"/>
    <cellStyle name="Vírgula 7 2 4 4 3" xfId="5224" xr:uid="{00000000-0005-0000-0000-0000F44D0000}"/>
    <cellStyle name="Vírgula 7 2 4 4 3 2" xfId="22223" xr:uid="{00000000-0005-0000-0000-0000F54D0000}"/>
    <cellStyle name="Vírgula 7 2 4 4 3 3" xfId="18259" xr:uid="{00000000-0005-0000-0000-0000F64D0000}"/>
    <cellStyle name="Vírgula 7 2 4 4 4" xfId="20123" xr:uid="{00000000-0005-0000-0000-0000F74D0000}"/>
    <cellStyle name="Vírgula 7 2 4 4 5" xfId="16099" xr:uid="{00000000-0005-0000-0000-0000F84D0000}"/>
    <cellStyle name="Vírgula 7 2 4 5" xfId="3772" xr:uid="{00000000-0005-0000-0000-0000F94D0000}"/>
    <cellStyle name="Vírgula 7 2 4 5 2" xfId="5922" xr:uid="{00000000-0005-0000-0000-0000FA4D0000}"/>
    <cellStyle name="Vírgula 7 2 4 5 2 2" xfId="22917" xr:uid="{00000000-0005-0000-0000-0000FB4D0000}"/>
    <cellStyle name="Vírgula 7 2 4 5 2 3" xfId="18957" xr:uid="{00000000-0005-0000-0000-0000FC4D0000}"/>
    <cellStyle name="Vírgula 7 2 4 5 3" xfId="20836" xr:uid="{00000000-0005-0000-0000-0000FD4D0000}"/>
    <cellStyle name="Vírgula 7 2 4 5 4" xfId="16815" xr:uid="{00000000-0005-0000-0000-0000FE4D0000}"/>
    <cellStyle name="Vírgula 7 2 4 6" xfId="6684" xr:uid="{00000000-0005-0000-0000-0000FF4D0000}"/>
    <cellStyle name="Vírgula 7 2 4 6 2" xfId="23663" xr:uid="{00000000-0005-0000-0000-0000004E0000}"/>
    <cellStyle name="Vírgula 7 2 4 6 3" xfId="19719" xr:uid="{00000000-0005-0000-0000-0000014E0000}"/>
    <cellStyle name="Vírgula 7 2 4 7" xfId="5002" xr:uid="{00000000-0005-0000-0000-0000024E0000}"/>
    <cellStyle name="Vírgula 7 2 4 7 2" xfId="22016" xr:uid="{00000000-0005-0000-0000-0000034E0000}"/>
    <cellStyle name="Vírgula 7 2 4 7 3" xfId="18037" xr:uid="{00000000-0005-0000-0000-0000044E0000}"/>
    <cellStyle name="Vírgula 7 2 4 8" xfId="9200" xr:uid="{00000000-0005-0000-0000-0000054E0000}"/>
    <cellStyle name="Vírgula 7 2 4 8 2" xfId="19917" xr:uid="{00000000-0005-0000-0000-0000064E0000}"/>
    <cellStyle name="Vírgula 7 2 4 9" xfId="15871" xr:uid="{00000000-0005-0000-0000-0000074E0000}"/>
    <cellStyle name="Vírgula 7 2 5" xfId="456" xr:uid="{00000000-0005-0000-0000-0000084E0000}"/>
    <cellStyle name="Vírgula 7 2 5 10" xfId="5003" xr:uid="{00000000-0005-0000-0000-0000094E0000}"/>
    <cellStyle name="Vírgula 7 2 5 10 2" xfId="8607" xr:uid="{00000000-0005-0000-0000-00000A4E0000}"/>
    <cellStyle name="Vírgula 7 2 5 10 2 2" xfId="22017" xr:uid="{00000000-0005-0000-0000-00000B4E0000}"/>
    <cellStyle name="Vírgula 7 2 5 10 3" xfId="11103" xr:uid="{00000000-0005-0000-0000-00000C4E0000}"/>
    <cellStyle name="Vírgula 7 2 5 10 4" xfId="18038" xr:uid="{00000000-0005-0000-0000-00000D4E0000}"/>
    <cellStyle name="Vírgula 7 2 5 11" xfId="8608" xr:uid="{00000000-0005-0000-0000-00000E4E0000}"/>
    <cellStyle name="Vírgula 7 2 5 11 2" xfId="8609" xr:uid="{00000000-0005-0000-0000-00000F4E0000}"/>
    <cellStyle name="Vírgula 7 2 5 11 3" xfId="19918" xr:uid="{00000000-0005-0000-0000-0000104E0000}"/>
    <cellStyle name="Vírgula 7 2 5 12" xfId="8610" xr:uid="{00000000-0005-0000-0000-0000114E0000}"/>
    <cellStyle name="Vírgula 7 2 5 12 2" xfId="8611" xr:uid="{00000000-0005-0000-0000-0000124E0000}"/>
    <cellStyle name="Vírgula 7 2 5 12 2 2" xfId="8612" xr:uid="{00000000-0005-0000-0000-0000134E0000}"/>
    <cellStyle name="Vírgula 7 2 5 12 3" xfId="8613" xr:uid="{00000000-0005-0000-0000-0000144E0000}"/>
    <cellStyle name="Vírgula 7 2 5 13" xfId="8614" xr:uid="{00000000-0005-0000-0000-0000154E0000}"/>
    <cellStyle name="Vírgula 7 2 5 13 2" xfId="8615" xr:uid="{00000000-0005-0000-0000-0000164E0000}"/>
    <cellStyle name="Vírgula 7 2 5 13 2 2" xfId="8616" xr:uid="{00000000-0005-0000-0000-0000174E0000}"/>
    <cellStyle name="Vírgula 7 2 5 13 3" xfId="8617" xr:uid="{00000000-0005-0000-0000-0000184E0000}"/>
    <cellStyle name="Vírgula 7 2 5 14" xfId="8618" xr:uid="{00000000-0005-0000-0000-0000194E0000}"/>
    <cellStyle name="Vírgula 7 2 5 14 2" xfId="8619" xr:uid="{00000000-0005-0000-0000-00001A4E0000}"/>
    <cellStyle name="Vírgula 7 2 5 15" xfId="8620" xr:uid="{00000000-0005-0000-0000-00001B4E0000}"/>
    <cellStyle name="Vírgula 7 2 5 15 2" xfId="8621" xr:uid="{00000000-0005-0000-0000-00001C4E0000}"/>
    <cellStyle name="Vírgula 7 2 5 16" xfId="8622" xr:uid="{00000000-0005-0000-0000-00001D4E0000}"/>
    <cellStyle name="Vírgula 7 2 5 17" xfId="8623" xr:uid="{00000000-0005-0000-0000-00001E4E0000}"/>
    <cellStyle name="Vírgula 7 2 5 18" xfId="8624" xr:uid="{00000000-0005-0000-0000-00001F4E0000}"/>
    <cellStyle name="Vírgula 7 2 5 19" xfId="15872" xr:uid="{00000000-0005-0000-0000-0000204E0000}"/>
    <cellStyle name="Vírgula 7 2 5 2" xfId="895" xr:uid="{00000000-0005-0000-0000-0000214E0000}"/>
    <cellStyle name="Vírgula 7 2 5 2 2" xfId="2406" xr:uid="{00000000-0005-0000-0000-0000224E0000}"/>
    <cellStyle name="Vírgula 7 2 5 2 2 2" xfId="3535" xr:uid="{00000000-0005-0000-0000-0000234E0000}"/>
    <cellStyle name="Vírgula 7 2 5 2 2 2 2" xfId="4118" xr:uid="{00000000-0005-0000-0000-0000244E0000}"/>
    <cellStyle name="Vírgula 7 2 5 2 2 2 2 2" xfId="6650" xr:uid="{00000000-0005-0000-0000-0000254E0000}"/>
    <cellStyle name="Vírgula 7 2 5 2 2 2 2 2 2" xfId="23632" xr:uid="{00000000-0005-0000-0000-0000264E0000}"/>
    <cellStyle name="Vírgula 7 2 5 2 2 2 2 2 3" xfId="19685" xr:uid="{00000000-0005-0000-0000-0000274E0000}"/>
    <cellStyle name="Vírgula 7 2 5 2 2 2 2 3" xfId="21166" xr:uid="{00000000-0005-0000-0000-0000284E0000}"/>
    <cellStyle name="Vírgula 7 2 5 2 2 2 2 4" xfId="17158" xr:uid="{00000000-0005-0000-0000-0000294E0000}"/>
    <cellStyle name="Vírgula 7 2 5 2 2 2 3" xfId="5704" xr:uid="{00000000-0005-0000-0000-00002A4E0000}"/>
    <cellStyle name="Vírgula 7 2 5 2 2 2 3 2" xfId="22703" xr:uid="{00000000-0005-0000-0000-00002B4E0000}"/>
    <cellStyle name="Vírgula 7 2 5 2 2 2 3 3" xfId="18739" xr:uid="{00000000-0005-0000-0000-00002C4E0000}"/>
    <cellStyle name="Vírgula 7 2 5 2 2 2 4" xfId="20603" xr:uid="{00000000-0005-0000-0000-00002D4E0000}"/>
    <cellStyle name="Vírgula 7 2 5 2 2 2 5" xfId="16579" xr:uid="{00000000-0005-0000-0000-00002E4E0000}"/>
    <cellStyle name="Vírgula 7 2 5 2 2 3" xfId="4291" xr:uid="{00000000-0005-0000-0000-00002F4E0000}"/>
    <cellStyle name="Vírgula 7 2 5 2 2 3 2" xfId="6434" xr:uid="{00000000-0005-0000-0000-0000304E0000}"/>
    <cellStyle name="Vírgula 7 2 5 2 2 3 2 2" xfId="23416" xr:uid="{00000000-0005-0000-0000-0000314E0000}"/>
    <cellStyle name="Vírgula 7 2 5 2 2 3 2 3" xfId="19469" xr:uid="{00000000-0005-0000-0000-0000324E0000}"/>
    <cellStyle name="Vírgula 7 2 5 2 2 3 3" xfId="21335" xr:uid="{00000000-0005-0000-0000-0000334E0000}"/>
    <cellStyle name="Vírgula 7 2 5 2 2 3 4" xfId="17328" xr:uid="{00000000-0005-0000-0000-0000344E0000}"/>
    <cellStyle name="Vírgula 7 2 5 2 2 4" xfId="6842" xr:uid="{00000000-0005-0000-0000-0000354E0000}"/>
    <cellStyle name="Vírgula 7 2 5 2 2 4 2" xfId="23808" xr:uid="{00000000-0005-0000-0000-0000364E0000}"/>
    <cellStyle name="Vírgula 7 2 5 2 2 4 3" xfId="19877" xr:uid="{00000000-0005-0000-0000-0000374E0000}"/>
    <cellStyle name="Vírgula 7 2 5 2 2 5" xfId="5160" xr:uid="{00000000-0005-0000-0000-0000384E0000}"/>
    <cellStyle name="Vírgula 7 2 5 2 2 5 2" xfId="22161" xr:uid="{00000000-0005-0000-0000-0000394E0000}"/>
    <cellStyle name="Vírgula 7 2 5 2 2 5 3" xfId="18195" xr:uid="{00000000-0005-0000-0000-00003A4E0000}"/>
    <cellStyle name="Vírgula 7 2 5 2 2 6" xfId="10476" xr:uid="{00000000-0005-0000-0000-00003B4E0000}"/>
    <cellStyle name="Vírgula 7 2 5 2 2 6 2" xfId="20061" xr:uid="{00000000-0005-0000-0000-00003C4E0000}"/>
    <cellStyle name="Vírgula 7 2 5 2 2 7" xfId="16030" xr:uid="{00000000-0005-0000-0000-00003D4E0000}"/>
    <cellStyle name="Vírgula 7 2 5 2 3" xfId="3180" xr:uid="{00000000-0005-0000-0000-00003E4E0000}"/>
    <cellStyle name="Vírgula 7 2 5 2 3 2" xfId="4181" xr:uid="{00000000-0005-0000-0000-00003F4E0000}"/>
    <cellStyle name="Vírgula 7 2 5 2 3 2 2" xfId="6580" xr:uid="{00000000-0005-0000-0000-0000404E0000}"/>
    <cellStyle name="Vírgula 7 2 5 2 3 2 2 2" xfId="23562" xr:uid="{00000000-0005-0000-0000-0000414E0000}"/>
    <cellStyle name="Vírgula 7 2 5 2 3 2 2 3" xfId="19615" xr:uid="{00000000-0005-0000-0000-0000424E0000}"/>
    <cellStyle name="Vírgula 7 2 5 2 3 2 3" xfId="21227" xr:uid="{00000000-0005-0000-0000-0000434E0000}"/>
    <cellStyle name="Vírgula 7 2 5 2 3 2 4" xfId="17220" xr:uid="{00000000-0005-0000-0000-0000444E0000}"/>
    <cellStyle name="Vírgula 7 2 5 2 3 3" xfId="5349" xr:uid="{00000000-0005-0000-0000-0000454E0000}"/>
    <cellStyle name="Vírgula 7 2 5 2 3 3 2" xfId="11553" xr:uid="{00000000-0005-0000-0000-0000464E0000}"/>
    <cellStyle name="Vírgula 7 2 5 2 3 3 2 2" xfId="22348" xr:uid="{00000000-0005-0000-0000-0000474E0000}"/>
    <cellStyle name="Vírgula 7 2 5 2 3 3 3" xfId="11191" xr:uid="{00000000-0005-0000-0000-0000484E0000}"/>
    <cellStyle name="Vírgula 7 2 5 2 3 3 4" xfId="18384" xr:uid="{00000000-0005-0000-0000-0000494E0000}"/>
    <cellStyle name="Vírgula 7 2 5 2 3 4" xfId="20248" xr:uid="{00000000-0005-0000-0000-00004A4E0000}"/>
    <cellStyle name="Vírgula 7 2 5 2 3 5" xfId="16224" xr:uid="{00000000-0005-0000-0000-00004B4E0000}"/>
    <cellStyle name="Vírgula 7 2 5 2 4" xfId="3929" xr:uid="{00000000-0005-0000-0000-00004C4E0000}"/>
    <cellStyle name="Vírgula 7 2 5 2 4 2" xfId="6070" xr:uid="{00000000-0005-0000-0000-00004D4E0000}"/>
    <cellStyle name="Vírgula 7 2 5 2 4 2 2" xfId="11826" xr:uid="{00000000-0005-0000-0000-00004E4E0000}"/>
    <cellStyle name="Vírgula 7 2 5 2 4 2 2 2" xfId="23059" xr:uid="{00000000-0005-0000-0000-00004F4E0000}"/>
    <cellStyle name="Vírgula 7 2 5 2 4 2 3" xfId="11485" xr:uid="{00000000-0005-0000-0000-0000504E0000}"/>
    <cellStyle name="Vírgula 7 2 5 2 4 2 4" xfId="19105" xr:uid="{00000000-0005-0000-0000-0000514E0000}"/>
    <cellStyle name="Vírgula 7 2 5 2 4 3" xfId="20986" xr:uid="{00000000-0005-0000-0000-0000524E0000}"/>
    <cellStyle name="Vírgula 7 2 5 2 4 4" xfId="16971" xr:uid="{00000000-0005-0000-0000-0000534E0000}"/>
    <cellStyle name="Vírgula 7 2 5 2 5" xfId="6765" xr:uid="{00000000-0005-0000-0000-0000544E0000}"/>
    <cellStyle name="Vírgula 7 2 5 2 5 2" xfId="23738" xr:uid="{00000000-0005-0000-0000-0000554E0000}"/>
    <cellStyle name="Vírgula 7 2 5 2 5 3" xfId="19800" xr:uid="{00000000-0005-0000-0000-0000564E0000}"/>
    <cellStyle name="Vírgula 7 2 5 2 6" xfId="5083" xr:uid="{00000000-0005-0000-0000-0000574E0000}"/>
    <cellStyle name="Vírgula 7 2 5 2 6 2" xfId="22091" xr:uid="{00000000-0005-0000-0000-0000584E0000}"/>
    <cellStyle name="Vírgula 7 2 5 2 6 3" xfId="18118" xr:uid="{00000000-0005-0000-0000-0000594E0000}"/>
    <cellStyle name="Vírgula 7 2 5 2 7" xfId="19991" xr:uid="{00000000-0005-0000-0000-00005A4E0000}"/>
    <cellStyle name="Vírgula 7 2 5 2 8" xfId="15951" xr:uid="{00000000-0005-0000-0000-00005B4E0000}"/>
    <cellStyle name="Vírgula 7 2 5 3" xfId="1086" xr:uid="{00000000-0005-0000-0000-00005C4E0000}"/>
    <cellStyle name="Vírgula 7 2 5 3 2" xfId="3218" xr:uid="{00000000-0005-0000-0000-00005D4E0000}"/>
    <cellStyle name="Vírgula 7 2 5 3 2 2" xfId="3855" xr:uid="{00000000-0005-0000-0000-00005E4E0000}"/>
    <cellStyle name="Vírgula 7 2 5 3 2 2 2" xfId="6612" xr:uid="{00000000-0005-0000-0000-00005F4E0000}"/>
    <cellStyle name="Vírgula 7 2 5 3 2 2 2 2" xfId="23594" xr:uid="{00000000-0005-0000-0000-0000604E0000}"/>
    <cellStyle name="Vírgula 7 2 5 3 2 2 2 3" xfId="19647" xr:uid="{00000000-0005-0000-0000-0000614E0000}"/>
    <cellStyle name="Vírgula 7 2 5 3 2 2 3" xfId="20917" xr:uid="{00000000-0005-0000-0000-0000624E0000}"/>
    <cellStyle name="Vírgula 7 2 5 3 2 2 4" xfId="16897" xr:uid="{00000000-0005-0000-0000-0000634E0000}"/>
    <cellStyle name="Vírgula 7 2 5 3 2 3" xfId="5387" xr:uid="{00000000-0005-0000-0000-0000644E0000}"/>
    <cellStyle name="Vírgula 7 2 5 3 2 3 2" xfId="22386" xr:uid="{00000000-0005-0000-0000-0000654E0000}"/>
    <cellStyle name="Vírgula 7 2 5 3 2 3 3" xfId="18422" xr:uid="{00000000-0005-0000-0000-0000664E0000}"/>
    <cellStyle name="Vírgula 7 2 5 3 2 4" xfId="20286" xr:uid="{00000000-0005-0000-0000-0000674E0000}"/>
    <cellStyle name="Vírgula 7 2 5 3 2 5" xfId="16262" xr:uid="{00000000-0005-0000-0000-0000684E0000}"/>
    <cellStyle name="Vírgula 7 2 5 3 3" xfId="3995" xr:uid="{00000000-0005-0000-0000-0000694E0000}"/>
    <cellStyle name="Vírgula 7 2 5 3 3 2" xfId="6111" xr:uid="{00000000-0005-0000-0000-00006A4E0000}"/>
    <cellStyle name="Vírgula 7 2 5 3 3 2 2" xfId="23099" xr:uid="{00000000-0005-0000-0000-00006B4E0000}"/>
    <cellStyle name="Vírgula 7 2 5 3 3 2 3" xfId="19146" xr:uid="{00000000-0005-0000-0000-00006C4E0000}"/>
    <cellStyle name="Vírgula 7 2 5 3 3 3" xfId="21051" xr:uid="{00000000-0005-0000-0000-00006D4E0000}"/>
    <cellStyle name="Vírgula 7 2 5 3 3 4" xfId="17037" xr:uid="{00000000-0005-0000-0000-00006E4E0000}"/>
    <cellStyle name="Vírgula 7 2 5 3 4" xfId="6798" xr:uid="{00000000-0005-0000-0000-00006F4E0000}"/>
    <cellStyle name="Vírgula 7 2 5 3 4 2" xfId="23770" xr:uid="{00000000-0005-0000-0000-0000704E0000}"/>
    <cellStyle name="Vírgula 7 2 5 3 4 3" xfId="19833" xr:uid="{00000000-0005-0000-0000-0000714E0000}"/>
    <cellStyle name="Vírgula 7 2 5 3 5" xfId="5116" xr:uid="{00000000-0005-0000-0000-0000724E0000}"/>
    <cellStyle name="Vírgula 7 2 5 3 5 2" xfId="22123" xr:uid="{00000000-0005-0000-0000-0000734E0000}"/>
    <cellStyle name="Vírgula 7 2 5 3 5 3" xfId="18151" xr:uid="{00000000-0005-0000-0000-0000744E0000}"/>
    <cellStyle name="Vírgula 7 2 5 3 6" xfId="10475" xr:uid="{00000000-0005-0000-0000-0000754E0000}"/>
    <cellStyle name="Vírgula 7 2 5 3 6 2" xfId="20023" xr:uid="{00000000-0005-0000-0000-0000764E0000}"/>
    <cellStyle name="Vírgula 7 2 5 3 7" xfId="15986" xr:uid="{00000000-0005-0000-0000-0000774E0000}"/>
    <cellStyle name="Vírgula 7 2 5 4" xfId="2407" xr:uid="{00000000-0005-0000-0000-0000784E0000}"/>
    <cellStyle name="Vírgula 7 2 5 4 2" xfId="3536" xr:uid="{00000000-0005-0000-0000-0000794E0000}"/>
    <cellStyle name="Vírgula 7 2 5 4 2 2" xfId="4452" xr:uid="{00000000-0005-0000-0000-00007A4E0000}"/>
    <cellStyle name="Vírgula 7 2 5 4 2 2 2" xfId="6651" xr:uid="{00000000-0005-0000-0000-00007B4E0000}"/>
    <cellStyle name="Vírgula 7 2 5 4 2 2 2 2" xfId="23633" xr:uid="{00000000-0005-0000-0000-00007C4E0000}"/>
    <cellStyle name="Vírgula 7 2 5 4 2 2 2 3" xfId="19686" xr:uid="{00000000-0005-0000-0000-00007D4E0000}"/>
    <cellStyle name="Vírgula 7 2 5 4 2 2 3" xfId="21493" xr:uid="{00000000-0005-0000-0000-00007E4E0000}"/>
    <cellStyle name="Vírgula 7 2 5 4 2 2 4" xfId="17488" xr:uid="{00000000-0005-0000-0000-00007F4E0000}"/>
    <cellStyle name="Vírgula 7 2 5 4 2 3" xfId="5705" xr:uid="{00000000-0005-0000-0000-0000804E0000}"/>
    <cellStyle name="Vírgula 7 2 5 4 2 3 2" xfId="22704" xr:uid="{00000000-0005-0000-0000-0000814E0000}"/>
    <cellStyle name="Vírgula 7 2 5 4 2 3 3" xfId="18740" xr:uid="{00000000-0005-0000-0000-0000824E0000}"/>
    <cellStyle name="Vírgula 7 2 5 4 2 4" xfId="20604" xr:uid="{00000000-0005-0000-0000-0000834E0000}"/>
    <cellStyle name="Vírgula 7 2 5 4 2 5" xfId="16580" xr:uid="{00000000-0005-0000-0000-0000844E0000}"/>
    <cellStyle name="Vírgula 7 2 5 4 3" xfId="4292" xr:uid="{00000000-0005-0000-0000-0000854E0000}"/>
    <cellStyle name="Vírgula 7 2 5 4 3 2" xfId="6435" xr:uid="{00000000-0005-0000-0000-0000864E0000}"/>
    <cellStyle name="Vírgula 7 2 5 4 3 2 2" xfId="23417" xr:uid="{00000000-0005-0000-0000-0000874E0000}"/>
    <cellStyle name="Vírgula 7 2 5 4 3 2 3" xfId="19470" xr:uid="{00000000-0005-0000-0000-0000884E0000}"/>
    <cellStyle name="Vírgula 7 2 5 4 3 3" xfId="21336" xr:uid="{00000000-0005-0000-0000-0000894E0000}"/>
    <cellStyle name="Vírgula 7 2 5 4 3 4" xfId="17329" xr:uid="{00000000-0005-0000-0000-00008A4E0000}"/>
    <cellStyle name="Vírgula 7 2 5 4 4" xfId="6843" xr:uid="{00000000-0005-0000-0000-00008B4E0000}"/>
    <cellStyle name="Vírgula 7 2 5 4 4 2" xfId="23809" xr:uid="{00000000-0005-0000-0000-00008C4E0000}"/>
    <cellStyle name="Vírgula 7 2 5 4 4 3" xfId="19878" xr:uid="{00000000-0005-0000-0000-00008D4E0000}"/>
    <cellStyle name="Vírgula 7 2 5 4 5" xfId="5161" xr:uid="{00000000-0005-0000-0000-00008E4E0000}"/>
    <cellStyle name="Vírgula 7 2 5 4 5 2" xfId="22162" xr:uid="{00000000-0005-0000-0000-00008F4E0000}"/>
    <cellStyle name="Vírgula 7 2 5 4 5 3" xfId="18196" xr:uid="{00000000-0005-0000-0000-0000904E0000}"/>
    <cellStyle name="Vírgula 7 2 5 4 6" xfId="20062" xr:uid="{00000000-0005-0000-0000-0000914E0000}"/>
    <cellStyle name="Vírgula 7 2 5 4 7" xfId="16031" xr:uid="{00000000-0005-0000-0000-0000924E0000}"/>
    <cellStyle name="Vírgula 7 2 5 5" xfId="2408" xr:uid="{00000000-0005-0000-0000-0000934E0000}"/>
    <cellStyle name="Vírgula 7 2 5 5 2" xfId="3537" xr:uid="{00000000-0005-0000-0000-0000944E0000}"/>
    <cellStyle name="Vírgula 7 2 5 5 2 2" xfId="4411" xr:uid="{00000000-0005-0000-0000-0000954E0000}"/>
    <cellStyle name="Vírgula 7 2 5 5 2 2 2" xfId="6652" xr:uid="{00000000-0005-0000-0000-0000964E0000}"/>
    <cellStyle name="Vírgula 7 2 5 5 2 2 2 2" xfId="23634" xr:uid="{00000000-0005-0000-0000-0000974E0000}"/>
    <cellStyle name="Vírgula 7 2 5 5 2 2 2 3" xfId="19687" xr:uid="{00000000-0005-0000-0000-0000984E0000}"/>
    <cellStyle name="Vírgula 7 2 5 5 2 2 3" xfId="21454" xr:uid="{00000000-0005-0000-0000-0000994E0000}"/>
    <cellStyle name="Vírgula 7 2 5 5 2 2 4" xfId="17448" xr:uid="{00000000-0005-0000-0000-00009A4E0000}"/>
    <cellStyle name="Vírgula 7 2 5 5 2 3" xfId="5706" xr:uid="{00000000-0005-0000-0000-00009B4E0000}"/>
    <cellStyle name="Vírgula 7 2 5 5 2 3 2" xfId="22705" xr:uid="{00000000-0005-0000-0000-00009C4E0000}"/>
    <cellStyle name="Vírgula 7 2 5 5 2 3 3" xfId="18741" xr:uid="{00000000-0005-0000-0000-00009D4E0000}"/>
    <cellStyle name="Vírgula 7 2 5 5 2 4" xfId="20605" xr:uid="{00000000-0005-0000-0000-00009E4E0000}"/>
    <cellStyle name="Vírgula 7 2 5 5 2 5" xfId="16581" xr:uid="{00000000-0005-0000-0000-00009F4E0000}"/>
    <cellStyle name="Vírgula 7 2 5 5 3" xfId="4293" xr:uid="{00000000-0005-0000-0000-0000A04E0000}"/>
    <cellStyle name="Vírgula 7 2 5 5 3 2" xfId="6436" xr:uid="{00000000-0005-0000-0000-0000A14E0000}"/>
    <cellStyle name="Vírgula 7 2 5 5 3 2 2" xfId="23418" xr:uid="{00000000-0005-0000-0000-0000A24E0000}"/>
    <cellStyle name="Vírgula 7 2 5 5 3 2 3" xfId="19471" xr:uid="{00000000-0005-0000-0000-0000A34E0000}"/>
    <cellStyle name="Vírgula 7 2 5 5 3 3" xfId="21337" xr:uid="{00000000-0005-0000-0000-0000A44E0000}"/>
    <cellStyle name="Vírgula 7 2 5 5 3 4" xfId="17330" xr:uid="{00000000-0005-0000-0000-0000A54E0000}"/>
    <cellStyle name="Vírgula 7 2 5 5 4" xfId="6844" xr:uid="{00000000-0005-0000-0000-0000A64E0000}"/>
    <cellStyle name="Vírgula 7 2 5 5 4 2" xfId="23810" xr:uid="{00000000-0005-0000-0000-0000A74E0000}"/>
    <cellStyle name="Vírgula 7 2 5 5 4 3" xfId="19879" xr:uid="{00000000-0005-0000-0000-0000A84E0000}"/>
    <cellStyle name="Vírgula 7 2 5 5 5" xfId="5162" xr:uid="{00000000-0005-0000-0000-0000A94E0000}"/>
    <cellStyle name="Vírgula 7 2 5 5 5 2" xfId="22163" xr:uid="{00000000-0005-0000-0000-0000AA4E0000}"/>
    <cellStyle name="Vírgula 7 2 5 5 5 3" xfId="18197" xr:uid="{00000000-0005-0000-0000-0000AB4E0000}"/>
    <cellStyle name="Vírgula 7 2 5 5 6" xfId="20063" xr:uid="{00000000-0005-0000-0000-0000AC4E0000}"/>
    <cellStyle name="Vírgula 7 2 5 5 7" xfId="16032" xr:uid="{00000000-0005-0000-0000-0000AD4E0000}"/>
    <cellStyle name="Vírgula 7 2 5 6" xfId="2405" xr:uid="{00000000-0005-0000-0000-0000AE4E0000}"/>
    <cellStyle name="Vírgula 7 2 5 6 2" xfId="3534" xr:uid="{00000000-0005-0000-0000-0000AF4E0000}"/>
    <cellStyle name="Vírgula 7 2 5 6 2 2" xfId="4211" xr:uid="{00000000-0005-0000-0000-0000B04E0000}"/>
    <cellStyle name="Vírgula 7 2 5 6 2 2 2" xfId="6649" xr:uid="{00000000-0005-0000-0000-0000B14E0000}"/>
    <cellStyle name="Vírgula 7 2 5 6 2 2 2 2" xfId="23631" xr:uid="{00000000-0005-0000-0000-0000B24E0000}"/>
    <cellStyle name="Vírgula 7 2 5 6 2 2 2 3" xfId="19684" xr:uid="{00000000-0005-0000-0000-0000B34E0000}"/>
    <cellStyle name="Vírgula 7 2 5 6 2 2 3" xfId="21257" xr:uid="{00000000-0005-0000-0000-0000B44E0000}"/>
    <cellStyle name="Vírgula 7 2 5 6 2 2 4" xfId="17250" xr:uid="{00000000-0005-0000-0000-0000B54E0000}"/>
    <cellStyle name="Vírgula 7 2 5 6 2 3" xfId="5703" xr:uid="{00000000-0005-0000-0000-0000B64E0000}"/>
    <cellStyle name="Vírgula 7 2 5 6 2 3 2" xfId="22702" xr:uid="{00000000-0005-0000-0000-0000B74E0000}"/>
    <cellStyle name="Vírgula 7 2 5 6 2 3 3" xfId="18738" xr:uid="{00000000-0005-0000-0000-0000B84E0000}"/>
    <cellStyle name="Vírgula 7 2 5 6 2 4" xfId="20602" xr:uid="{00000000-0005-0000-0000-0000B94E0000}"/>
    <cellStyle name="Vírgula 7 2 5 6 2 5" xfId="16578" xr:uid="{00000000-0005-0000-0000-0000BA4E0000}"/>
    <cellStyle name="Vírgula 7 2 5 6 3" xfId="4290" xr:uid="{00000000-0005-0000-0000-0000BB4E0000}"/>
    <cellStyle name="Vírgula 7 2 5 6 3 2" xfId="6433" xr:uid="{00000000-0005-0000-0000-0000BC4E0000}"/>
    <cellStyle name="Vírgula 7 2 5 6 3 2 2" xfId="23415" xr:uid="{00000000-0005-0000-0000-0000BD4E0000}"/>
    <cellStyle name="Vírgula 7 2 5 6 3 2 3" xfId="19468" xr:uid="{00000000-0005-0000-0000-0000BE4E0000}"/>
    <cellStyle name="Vírgula 7 2 5 6 3 3" xfId="21334" xr:uid="{00000000-0005-0000-0000-0000BF4E0000}"/>
    <cellStyle name="Vírgula 7 2 5 6 3 4" xfId="17327" xr:uid="{00000000-0005-0000-0000-0000C04E0000}"/>
    <cellStyle name="Vírgula 7 2 5 6 4" xfId="6841" xr:uid="{00000000-0005-0000-0000-0000C14E0000}"/>
    <cellStyle name="Vírgula 7 2 5 6 4 2" xfId="23807" xr:uid="{00000000-0005-0000-0000-0000C24E0000}"/>
    <cellStyle name="Vírgula 7 2 5 6 4 3" xfId="19876" xr:uid="{00000000-0005-0000-0000-0000C34E0000}"/>
    <cellStyle name="Vírgula 7 2 5 6 5" xfId="5159" xr:uid="{00000000-0005-0000-0000-0000C44E0000}"/>
    <cellStyle name="Vírgula 7 2 5 6 5 2" xfId="22160" xr:uid="{00000000-0005-0000-0000-0000C54E0000}"/>
    <cellStyle name="Vírgula 7 2 5 6 5 3" xfId="18194" xr:uid="{00000000-0005-0000-0000-0000C64E0000}"/>
    <cellStyle name="Vírgula 7 2 5 6 6" xfId="20060" xr:uid="{00000000-0005-0000-0000-0000C74E0000}"/>
    <cellStyle name="Vírgula 7 2 5 6 7" xfId="16029" xr:uid="{00000000-0005-0000-0000-0000C84E0000}"/>
    <cellStyle name="Vírgula 7 2 5 7" xfId="3056" xr:uid="{00000000-0005-0000-0000-0000C94E0000}"/>
    <cellStyle name="Vírgula 7 2 5 7 2" xfId="3758" xr:uid="{00000000-0005-0000-0000-0000CA4E0000}"/>
    <cellStyle name="Vírgula 7 2 5 7 2 2" xfId="6507" xr:uid="{00000000-0005-0000-0000-0000CB4E0000}"/>
    <cellStyle name="Vírgula 7 2 5 7 2 2 2" xfId="12334" xr:uid="{00000000-0005-0000-0000-0000CC4E0000}"/>
    <cellStyle name="Vírgula 7 2 5 7 2 2 2 2" xfId="23489" xr:uid="{00000000-0005-0000-0000-0000CD4E0000}"/>
    <cellStyle name="Vírgula 7 2 5 7 2 2 3" xfId="11311" xr:uid="{00000000-0005-0000-0000-0000CE4E0000}"/>
    <cellStyle name="Vírgula 7 2 5 7 2 2 4" xfId="19542" xr:uid="{00000000-0005-0000-0000-0000CF4E0000}"/>
    <cellStyle name="Vírgula 7 2 5 7 2 3" xfId="20822" xr:uid="{00000000-0005-0000-0000-0000D04E0000}"/>
    <cellStyle name="Vírgula 7 2 5 7 2 4" xfId="16801" xr:uid="{00000000-0005-0000-0000-0000D14E0000}"/>
    <cellStyle name="Vírgula 7 2 5 7 3" xfId="5225" xr:uid="{00000000-0005-0000-0000-0000D24E0000}"/>
    <cellStyle name="Vírgula 7 2 5 7 3 2" xfId="11296" xr:uid="{00000000-0005-0000-0000-0000D34E0000}"/>
    <cellStyle name="Vírgula 7 2 5 7 3 2 2" xfId="22224" xr:uid="{00000000-0005-0000-0000-0000D44E0000}"/>
    <cellStyle name="Vírgula 7 2 5 7 3 3" xfId="13109" xr:uid="{00000000-0005-0000-0000-0000D54E0000}"/>
    <cellStyle name="Vírgula 7 2 5 7 3 4" xfId="18260" xr:uid="{00000000-0005-0000-0000-0000D64E0000}"/>
    <cellStyle name="Vírgula 7 2 5 7 4" xfId="13582" xr:uid="{00000000-0005-0000-0000-0000D74E0000}"/>
    <cellStyle name="Vírgula 7 2 5 7 4 2" xfId="20124" xr:uid="{00000000-0005-0000-0000-0000D84E0000}"/>
    <cellStyle name="Vírgula 7 2 5 7 5" xfId="16100" xr:uid="{00000000-0005-0000-0000-0000D94E0000}"/>
    <cellStyle name="Vírgula 7 2 5 8" xfId="3773" xr:uid="{00000000-0005-0000-0000-0000DA4E0000}"/>
    <cellStyle name="Vírgula 7 2 5 8 2" xfId="5923" xr:uid="{00000000-0005-0000-0000-0000DB4E0000}"/>
    <cellStyle name="Vírgula 7 2 5 8 2 2" xfId="8625" xr:uid="{00000000-0005-0000-0000-0000DC4E0000}"/>
    <cellStyle name="Vírgula 7 2 5 8 2 2 2" xfId="22918" xr:uid="{00000000-0005-0000-0000-0000DD4E0000}"/>
    <cellStyle name="Vírgula 7 2 5 8 2 3" xfId="11999" xr:uid="{00000000-0005-0000-0000-0000DE4E0000}"/>
    <cellStyle name="Vírgula 7 2 5 8 2 4" xfId="18958" xr:uid="{00000000-0005-0000-0000-0000DF4E0000}"/>
    <cellStyle name="Vírgula 7 2 5 8 3" xfId="8626" xr:uid="{00000000-0005-0000-0000-0000E04E0000}"/>
    <cellStyle name="Vírgula 7 2 5 8 3 2" xfId="20837" xr:uid="{00000000-0005-0000-0000-0000E14E0000}"/>
    <cellStyle name="Vírgula 7 2 5 8 4" xfId="13649" xr:uid="{00000000-0005-0000-0000-0000E24E0000}"/>
    <cellStyle name="Vírgula 7 2 5 8 5" xfId="16816" xr:uid="{00000000-0005-0000-0000-0000E34E0000}"/>
    <cellStyle name="Vírgula 7 2 5 9" xfId="6685" xr:uid="{00000000-0005-0000-0000-0000E44E0000}"/>
    <cellStyle name="Vírgula 7 2 5 9 2" xfId="8627" xr:uid="{00000000-0005-0000-0000-0000E54E0000}"/>
    <cellStyle name="Vírgula 7 2 5 9 2 2" xfId="8628" xr:uid="{00000000-0005-0000-0000-0000E64E0000}"/>
    <cellStyle name="Vírgula 7 2 5 9 2 3" xfId="23664" xr:uid="{00000000-0005-0000-0000-0000E74E0000}"/>
    <cellStyle name="Vírgula 7 2 5 9 3" xfId="8629" xr:uid="{00000000-0005-0000-0000-0000E84E0000}"/>
    <cellStyle name="Vírgula 7 2 5 9 4" xfId="13044" xr:uid="{00000000-0005-0000-0000-0000E94E0000}"/>
    <cellStyle name="Vírgula 7 2 5 9 5" xfId="19720" xr:uid="{00000000-0005-0000-0000-0000EA4E0000}"/>
    <cellStyle name="Vírgula 7 2 6" xfId="609" xr:uid="{00000000-0005-0000-0000-0000EB4E0000}"/>
    <cellStyle name="Vírgula 7 2 6 2" xfId="610" xr:uid="{00000000-0005-0000-0000-0000EC4E0000}"/>
    <cellStyle name="Vírgula 7 2 6 2 2" xfId="896" xr:uid="{00000000-0005-0000-0000-0000ED4E0000}"/>
    <cellStyle name="Vírgula 7 2 6 2 2 2" xfId="3181" xr:uid="{00000000-0005-0000-0000-0000EE4E0000}"/>
    <cellStyle name="Vírgula 7 2 6 2 2 2 2" xfId="4228" xr:uid="{00000000-0005-0000-0000-0000EF4E0000}"/>
    <cellStyle name="Vírgula 7 2 6 2 2 2 2 2" xfId="6581" xr:uid="{00000000-0005-0000-0000-0000F04E0000}"/>
    <cellStyle name="Vírgula 7 2 6 2 2 2 2 2 2" xfId="23563" xr:uid="{00000000-0005-0000-0000-0000F14E0000}"/>
    <cellStyle name="Vírgula 7 2 6 2 2 2 2 2 3" xfId="19616" xr:uid="{00000000-0005-0000-0000-0000F24E0000}"/>
    <cellStyle name="Vírgula 7 2 6 2 2 2 2 3" xfId="21274" xr:uid="{00000000-0005-0000-0000-0000F34E0000}"/>
    <cellStyle name="Vírgula 7 2 6 2 2 2 2 4" xfId="17267" xr:uid="{00000000-0005-0000-0000-0000F44E0000}"/>
    <cellStyle name="Vírgula 7 2 6 2 2 2 3" xfId="5350" xr:uid="{00000000-0005-0000-0000-0000F54E0000}"/>
    <cellStyle name="Vírgula 7 2 6 2 2 2 3 2" xfId="22349" xr:uid="{00000000-0005-0000-0000-0000F64E0000}"/>
    <cellStyle name="Vírgula 7 2 6 2 2 2 3 3" xfId="18385" xr:uid="{00000000-0005-0000-0000-0000F74E0000}"/>
    <cellStyle name="Vírgula 7 2 6 2 2 2 4" xfId="20249" xr:uid="{00000000-0005-0000-0000-0000F84E0000}"/>
    <cellStyle name="Vírgula 7 2 6 2 2 2 5" xfId="16225" xr:uid="{00000000-0005-0000-0000-0000F94E0000}"/>
    <cellStyle name="Vírgula 7 2 6 2 2 3" xfId="3930" xr:uid="{00000000-0005-0000-0000-0000FA4E0000}"/>
    <cellStyle name="Vírgula 7 2 6 2 2 3 2" xfId="6071" xr:uid="{00000000-0005-0000-0000-0000FB4E0000}"/>
    <cellStyle name="Vírgula 7 2 6 2 2 3 2 2" xfId="23060" xr:uid="{00000000-0005-0000-0000-0000FC4E0000}"/>
    <cellStyle name="Vírgula 7 2 6 2 2 3 2 3" xfId="19106" xr:uid="{00000000-0005-0000-0000-0000FD4E0000}"/>
    <cellStyle name="Vírgula 7 2 6 2 2 3 3" xfId="20987" xr:uid="{00000000-0005-0000-0000-0000FE4E0000}"/>
    <cellStyle name="Vírgula 7 2 6 2 2 3 4" xfId="16972" xr:uid="{00000000-0005-0000-0000-0000FF4E0000}"/>
    <cellStyle name="Vírgula 7 2 6 2 2 4" xfId="6766" xr:uid="{00000000-0005-0000-0000-0000004F0000}"/>
    <cellStyle name="Vírgula 7 2 6 2 2 4 2" xfId="23739" xr:uid="{00000000-0005-0000-0000-0000014F0000}"/>
    <cellStyle name="Vírgula 7 2 6 2 2 4 3" xfId="19801" xr:uid="{00000000-0005-0000-0000-0000024F0000}"/>
    <cellStyle name="Vírgula 7 2 6 2 2 5" xfId="5084" xr:uid="{00000000-0005-0000-0000-0000034F0000}"/>
    <cellStyle name="Vírgula 7 2 6 2 2 5 2" xfId="22092" xr:uid="{00000000-0005-0000-0000-0000044F0000}"/>
    <cellStyle name="Vírgula 7 2 6 2 2 5 3" xfId="18119" xr:uid="{00000000-0005-0000-0000-0000054F0000}"/>
    <cellStyle name="Vírgula 7 2 6 2 2 6" xfId="10478" xr:uid="{00000000-0005-0000-0000-0000064F0000}"/>
    <cellStyle name="Vírgula 7 2 6 2 2 6 2" xfId="19992" xr:uid="{00000000-0005-0000-0000-0000074F0000}"/>
    <cellStyle name="Vírgula 7 2 6 2 2 7" xfId="15952" xr:uid="{00000000-0005-0000-0000-0000084F0000}"/>
    <cellStyle name="Vírgula 7 2 6 2 3" xfId="3076" xr:uid="{00000000-0005-0000-0000-0000094F0000}"/>
    <cellStyle name="Vírgula 7 2 6 2 3 2" xfId="4114" xr:uid="{00000000-0005-0000-0000-00000A4F0000}"/>
    <cellStyle name="Vírgula 7 2 6 2 3 2 2" xfId="6521" xr:uid="{00000000-0005-0000-0000-00000B4F0000}"/>
    <cellStyle name="Vírgula 7 2 6 2 3 2 2 2" xfId="23503" xr:uid="{00000000-0005-0000-0000-00000C4F0000}"/>
    <cellStyle name="Vírgula 7 2 6 2 3 2 2 3" xfId="19556" xr:uid="{00000000-0005-0000-0000-00000D4F0000}"/>
    <cellStyle name="Vírgula 7 2 6 2 3 2 3" xfId="21162" xr:uid="{00000000-0005-0000-0000-00000E4F0000}"/>
    <cellStyle name="Vírgula 7 2 6 2 3 2 4" xfId="17154" xr:uid="{00000000-0005-0000-0000-00000F4F0000}"/>
    <cellStyle name="Vírgula 7 2 6 2 3 3" xfId="5245" xr:uid="{00000000-0005-0000-0000-0000104F0000}"/>
    <cellStyle name="Vírgula 7 2 6 2 3 3 2" xfId="22244" xr:uid="{00000000-0005-0000-0000-0000114F0000}"/>
    <cellStyle name="Vírgula 7 2 6 2 3 3 3" xfId="18280" xr:uid="{00000000-0005-0000-0000-0000124F0000}"/>
    <cellStyle name="Vírgula 7 2 6 2 3 4" xfId="20144" xr:uid="{00000000-0005-0000-0000-0000134F0000}"/>
    <cellStyle name="Vírgula 7 2 6 2 3 5" xfId="16120" xr:uid="{00000000-0005-0000-0000-0000144F0000}"/>
    <cellStyle name="Vírgula 7 2 6 2 4" xfId="3822" xr:uid="{00000000-0005-0000-0000-0000154F0000}"/>
    <cellStyle name="Vírgula 7 2 6 2 4 2" xfId="5956" xr:uid="{00000000-0005-0000-0000-0000164F0000}"/>
    <cellStyle name="Vírgula 7 2 6 2 4 2 2" xfId="22950" xr:uid="{00000000-0005-0000-0000-0000174F0000}"/>
    <cellStyle name="Vírgula 7 2 6 2 4 2 3" xfId="18991" xr:uid="{00000000-0005-0000-0000-0000184F0000}"/>
    <cellStyle name="Vírgula 7 2 6 2 4 3" xfId="20884" xr:uid="{00000000-0005-0000-0000-0000194F0000}"/>
    <cellStyle name="Vírgula 7 2 6 2 4 4" xfId="16864" xr:uid="{00000000-0005-0000-0000-00001A4F0000}"/>
    <cellStyle name="Vírgula 7 2 6 2 5" xfId="6700" xr:uid="{00000000-0005-0000-0000-00001B4F0000}"/>
    <cellStyle name="Vírgula 7 2 6 2 5 2" xfId="23678" xr:uid="{00000000-0005-0000-0000-00001C4F0000}"/>
    <cellStyle name="Vírgula 7 2 6 2 5 3" xfId="19735" xr:uid="{00000000-0005-0000-0000-00001D4F0000}"/>
    <cellStyle name="Vírgula 7 2 6 2 6" xfId="5018" xr:uid="{00000000-0005-0000-0000-00001E4F0000}"/>
    <cellStyle name="Vírgula 7 2 6 2 6 2" xfId="22031" xr:uid="{00000000-0005-0000-0000-00001F4F0000}"/>
    <cellStyle name="Vírgula 7 2 6 2 6 3" xfId="18053" xr:uid="{00000000-0005-0000-0000-0000204F0000}"/>
    <cellStyle name="Vírgula 7 2 6 2 7" xfId="9605" xr:uid="{00000000-0005-0000-0000-0000214F0000}"/>
    <cellStyle name="Vírgula 7 2 6 2 7 2" xfId="19932" xr:uid="{00000000-0005-0000-0000-0000224F0000}"/>
    <cellStyle name="Vírgula 7 2 6 2 8" xfId="15887" xr:uid="{00000000-0005-0000-0000-0000234F0000}"/>
    <cellStyle name="Vírgula 7 2 6 3" xfId="897" xr:uid="{00000000-0005-0000-0000-0000244F0000}"/>
    <cellStyle name="Vírgula 7 2 6 3 2" xfId="3182" xr:uid="{00000000-0005-0000-0000-0000254F0000}"/>
    <cellStyle name="Vírgula 7 2 6 3 2 2" xfId="4251" xr:uid="{00000000-0005-0000-0000-0000264F0000}"/>
    <cellStyle name="Vírgula 7 2 6 3 2 2 2" xfId="6582" xr:uid="{00000000-0005-0000-0000-0000274F0000}"/>
    <cellStyle name="Vírgula 7 2 6 3 2 2 2 2" xfId="23564" xr:uid="{00000000-0005-0000-0000-0000284F0000}"/>
    <cellStyle name="Vírgula 7 2 6 3 2 2 2 3" xfId="19617" xr:uid="{00000000-0005-0000-0000-0000294F0000}"/>
    <cellStyle name="Vírgula 7 2 6 3 2 2 3" xfId="21295" xr:uid="{00000000-0005-0000-0000-00002A4F0000}"/>
    <cellStyle name="Vírgula 7 2 6 3 2 2 4" xfId="17288" xr:uid="{00000000-0005-0000-0000-00002B4F0000}"/>
    <cellStyle name="Vírgula 7 2 6 3 2 3" xfId="5351" xr:uid="{00000000-0005-0000-0000-00002C4F0000}"/>
    <cellStyle name="Vírgula 7 2 6 3 2 3 2" xfId="22350" xr:uid="{00000000-0005-0000-0000-00002D4F0000}"/>
    <cellStyle name="Vírgula 7 2 6 3 2 3 3" xfId="18386" xr:uid="{00000000-0005-0000-0000-00002E4F0000}"/>
    <cellStyle name="Vírgula 7 2 6 3 2 4" xfId="20250" xr:uid="{00000000-0005-0000-0000-00002F4F0000}"/>
    <cellStyle name="Vírgula 7 2 6 3 2 5" xfId="16226" xr:uid="{00000000-0005-0000-0000-0000304F0000}"/>
    <cellStyle name="Vírgula 7 2 6 3 3" xfId="3931" xr:uid="{00000000-0005-0000-0000-0000314F0000}"/>
    <cellStyle name="Vírgula 7 2 6 3 3 2" xfId="6072" xr:uid="{00000000-0005-0000-0000-0000324F0000}"/>
    <cellStyle name="Vírgula 7 2 6 3 3 2 2" xfId="23061" xr:uid="{00000000-0005-0000-0000-0000334F0000}"/>
    <cellStyle name="Vírgula 7 2 6 3 3 2 3" xfId="19107" xr:uid="{00000000-0005-0000-0000-0000344F0000}"/>
    <cellStyle name="Vírgula 7 2 6 3 3 3" xfId="20988" xr:uid="{00000000-0005-0000-0000-0000354F0000}"/>
    <cellStyle name="Vírgula 7 2 6 3 3 4" xfId="16973" xr:uid="{00000000-0005-0000-0000-0000364F0000}"/>
    <cellStyle name="Vírgula 7 2 6 3 4" xfId="6767" xr:uid="{00000000-0005-0000-0000-0000374F0000}"/>
    <cellStyle name="Vírgula 7 2 6 3 4 2" xfId="23740" xr:uid="{00000000-0005-0000-0000-0000384F0000}"/>
    <cellStyle name="Vírgula 7 2 6 3 4 3" xfId="19802" xr:uid="{00000000-0005-0000-0000-0000394F0000}"/>
    <cellStyle name="Vírgula 7 2 6 3 5" xfId="5085" xr:uid="{00000000-0005-0000-0000-00003A4F0000}"/>
    <cellStyle name="Vírgula 7 2 6 3 5 2" xfId="22093" xr:uid="{00000000-0005-0000-0000-00003B4F0000}"/>
    <cellStyle name="Vírgula 7 2 6 3 5 3" xfId="18120" xr:uid="{00000000-0005-0000-0000-00003C4F0000}"/>
    <cellStyle name="Vírgula 7 2 6 3 6" xfId="10477" xr:uid="{00000000-0005-0000-0000-00003D4F0000}"/>
    <cellStyle name="Vírgula 7 2 6 3 6 2" xfId="19993" xr:uid="{00000000-0005-0000-0000-00003E4F0000}"/>
    <cellStyle name="Vírgula 7 2 6 3 7" xfId="15953" xr:uid="{00000000-0005-0000-0000-00003F4F0000}"/>
    <cellStyle name="Vírgula 7 2 6 4" xfId="3075" xr:uid="{00000000-0005-0000-0000-0000404F0000}"/>
    <cellStyle name="Vírgula 7 2 6 4 2" xfId="4049" xr:uid="{00000000-0005-0000-0000-0000414F0000}"/>
    <cellStyle name="Vírgula 7 2 6 4 2 2" xfId="6520" xr:uid="{00000000-0005-0000-0000-0000424F0000}"/>
    <cellStyle name="Vírgula 7 2 6 4 2 2 2" xfId="23502" xr:uid="{00000000-0005-0000-0000-0000434F0000}"/>
    <cellStyle name="Vírgula 7 2 6 4 2 2 3" xfId="19555" xr:uid="{00000000-0005-0000-0000-0000444F0000}"/>
    <cellStyle name="Vírgula 7 2 6 4 2 3" xfId="21098" xr:uid="{00000000-0005-0000-0000-0000454F0000}"/>
    <cellStyle name="Vírgula 7 2 6 4 2 4" xfId="17090" xr:uid="{00000000-0005-0000-0000-0000464F0000}"/>
    <cellStyle name="Vírgula 7 2 6 4 3" xfId="5244" xr:uid="{00000000-0005-0000-0000-0000474F0000}"/>
    <cellStyle name="Vírgula 7 2 6 4 3 2" xfId="22243" xr:uid="{00000000-0005-0000-0000-0000484F0000}"/>
    <cellStyle name="Vírgula 7 2 6 4 3 3" xfId="18279" xr:uid="{00000000-0005-0000-0000-0000494F0000}"/>
    <cellStyle name="Vírgula 7 2 6 4 4" xfId="20143" xr:uid="{00000000-0005-0000-0000-00004A4F0000}"/>
    <cellStyle name="Vírgula 7 2 6 4 5" xfId="16119" xr:uid="{00000000-0005-0000-0000-00004B4F0000}"/>
    <cellStyle name="Vírgula 7 2 6 5" xfId="3821" xr:uid="{00000000-0005-0000-0000-00004C4F0000}"/>
    <cellStyle name="Vírgula 7 2 6 5 2" xfId="5955" xr:uid="{00000000-0005-0000-0000-00004D4F0000}"/>
    <cellStyle name="Vírgula 7 2 6 5 2 2" xfId="22949" xr:uid="{00000000-0005-0000-0000-00004E4F0000}"/>
    <cellStyle name="Vírgula 7 2 6 5 2 3" xfId="18990" xr:uid="{00000000-0005-0000-0000-00004F4F0000}"/>
    <cellStyle name="Vírgula 7 2 6 5 3" xfId="20883" xr:uid="{00000000-0005-0000-0000-0000504F0000}"/>
    <cellStyle name="Vírgula 7 2 6 5 4" xfId="16863" xr:uid="{00000000-0005-0000-0000-0000514F0000}"/>
    <cellStyle name="Vírgula 7 2 6 6" xfId="6699" xr:uid="{00000000-0005-0000-0000-0000524F0000}"/>
    <cellStyle name="Vírgula 7 2 6 6 2" xfId="23677" xr:uid="{00000000-0005-0000-0000-0000534F0000}"/>
    <cellStyle name="Vírgula 7 2 6 6 3" xfId="19734" xr:uid="{00000000-0005-0000-0000-0000544F0000}"/>
    <cellStyle name="Vírgula 7 2 6 7" xfId="5017" xr:uid="{00000000-0005-0000-0000-0000554F0000}"/>
    <cellStyle name="Vírgula 7 2 6 7 2" xfId="22030" xr:uid="{00000000-0005-0000-0000-0000564F0000}"/>
    <cellStyle name="Vírgula 7 2 6 7 3" xfId="18052" xr:uid="{00000000-0005-0000-0000-0000574F0000}"/>
    <cellStyle name="Vírgula 7 2 6 8" xfId="9124" xr:uid="{00000000-0005-0000-0000-0000584F0000}"/>
    <cellStyle name="Vírgula 7 2 6 8 2" xfId="19931" xr:uid="{00000000-0005-0000-0000-0000594F0000}"/>
    <cellStyle name="Vírgula 7 2 6 9" xfId="15886" xr:uid="{00000000-0005-0000-0000-00005A4F0000}"/>
    <cellStyle name="Vírgula 7 2 7" xfId="611" xr:uid="{00000000-0005-0000-0000-00005B4F0000}"/>
    <cellStyle name="Vírgula 7 2 7 2" xfId="898" xr:uid="{00000000-0005-0000-0000-00005C4F0000}"/>
    <cellStyle name="Vírgula 7 2 7 2 2" xfId="3183" xr:uid="{00000000-0005-0000-0000-00005D4F0000}"/>
    <cellStyle name="Vírgula 7 2 7 2 2 2" xfId="4480" xr:uid="{00000000-0005-0000-0000-00005E4F0000}"/>
    <cellStyle name="Vírgula 7 2 7 2 2 2 2" xfId="6583" xr:uid="{00000000-0005-0000-0000-00005F4F0000}"/>
    <cellStyle name="Vírgula 7 2 7 2 2 2 2 2" xfId="23565" xr:uid="{00000000-0005-0000-0000-0000604F0000}"/>
    <cellStyle name="Vírgula 7 2 7 2 2 2 2 3" xfId="19618" xr:uid="{00000000-0005-0000-0000-0000614F0000}"/>
    <cellStyle name="Vírgula 7 2 7 2 2 2 3" xfId="21520" xr:uid="{00000000-0005-0000-0000-0000624F0000}"/>
    <cellStyle name="Vírgula 7 2 7 2 2 2 4" xfId="17515" xr:uid="{00000000-0005-0000-0000-0000634F0000}"/>
    <cellStyle name="Vírgula 7 2 7 2 2 3" xfId="5352" xr:uid="{00000000-0005-0000-0000-0000644F0000}"/>
    <cellStyle name="Vírgula 7 2 7 2 2 3 2" xfId="22351" xr:uid="{00000000-0005-0000-0000-0000654F0000}"/>
    <cellStyle name="Vírgula 7 2 7 2 2 3 3" xfId="18387" xr:uid="{00000000-0005-0000-0000-0000664F0000}"/>
    <cellStyle name="Vírgula 7 2 7 2 2 4" xfId="20251" xr:uid="{00000000-0005-0000-0000-0000674F0000}"/>
    <cellStyle name="Vírgula 7 2 7 2 2 5" xfId="16227" xr:uid="{00000000-0005-0000-0000-0000684F0000}"/>
    <cellStyle name="Vírgula 7 2 7 2 3" xfId="3932" xr:uid="{00000000-0005-0000-0000-0000694F0000}"/>
    <cellStyle name="Vírgula 7 2 7 2 3 2" xfId="6073" xr:uid="{00000000-0005-0000-0000-00006A4F0000}"/>
    <cellStyle name="Vírgula 7 2 7 2 3 2 2" xfId="23062" xr:uid="{00000000-0005-0000-0000-00006B4F0000}"/>
    <cellStyle name="Vírgula 7 2 7 2 3 2 3" xfId="19108" xr:uid="{00000000-0005-0000-0000-00006C4F0000}"/>
    <cellStyle name="Vírgula 7 2 7 2 3 3" xfId="20989" xr:uid="{00000000-0005-0000-0000-00006D4F0000}"/>
    <cellStyle name="Vírgula 7 2 7 2 3 4" xfId="16974" xr:uid="{00000000-0005-0000-0000-00006E4F0000}"/>
    <cellStyle name="Vírgula 7 2 7 2 4" xfId="6768" xr:uid="{00000000-0005-0000-0000-00006F4F0000}"/>
    <cellStyle name="Vírgula 7 2 7 2 4 2" xfId="23741" xr:uid="{00000000-0005-0000-0000-0000704F0000}"/>
    <cellStyle name="Vírgula 7 2 7 2 4 3" xfId="19803" xr:uid="{00000000-0005-0000-0000-0000714F0000}"/>
    <cellStyle name="Vírgula 7 2 7 2 5" xfId="5086" xr:uid="{00000000-0005-0000-0000-0000724F0000}"/>
    <cellStyle name="Vírgula 7 2 7 2 5 2" xfId="22094" xr:uid="{00000000-0005-0000-0000-0000734F0000}"/>
    <cellStyle name="Vírgula 7 2 7 2 5 3" xfId="18121" xr:uid="{00000000-0005-0000-0000-0000744F0000}"/>
    <cellStyle name="Vírgula 7 2 7 2 6" xfId="10479" xr:uid="{00000000-0005-0000-0000-0000754F0000}"/>
    <cellStyle name="Vírgula 7 2 7 2 6 2" xfId="19994" xr:uid="{00000000-0005-0000-0000-0000764F0000}"/>
    <cellStyle name="Vírgula 7 2 7 2 7" xfId="15954" xr:uid="{00000000-0005-0000-0000-0000774F0000}"/>
    <cellStyle name="Vírgula 7 2 7 3" xfId="3077" xr:uid="{00000000-0005-0000-0000-0000784F0000}"/>
    <cellStyle name="Vírgula 7 2 7 3 2" xfId="3849" xr:uid="{00000000-0005-0000-0000-0000794F0000}"/>
    <cellStyle name="Vírgula 7 2 7 3 2 2" xfId="6522" xr:uid="{00000000-0005-0000-0000-00007A4F0000}"/>
    <cellStyle name="Vírgula 7 2 7 3 2 2 2" xfId="23504" xr:uid="{00000000-0005-0000-0000-00007B4F0000}"/>
    <cellStyle name="Vírgula 7 2 7 3 2 2 3" xfId="19557" xr:uid="{00000000-0005-0000-0000-00007C4F0000}"/>
    <cellStyle name="Vírgula 7 2 7 3 2 3" xfId="20911" xr:uid="{00000000-0005-0000-0000-00007D4F0000}"/>
    <cellStyle name="Vírgula 7 2 7 3 2 4" xfId="16891" xr:uid="{00000000-0005-0000-0000-00007E4F0000}"/>
    <cellStyle name="Vírgula 7 2 7 3 3" xfId="5246" xr:uid="{00000000-0005-0000-0000-00007F4F0000}"/>
    <cellStyle name="Vírgula 7 2 7 3 3 2" xfId="22245" xr:uid="{00000000-0005-0000-0000-0000804F0000}"/>
    <cellStyle name="Vírgula 7 2 7 3 3 3" xfId="18281" xr:uid="{00000000-0005-0000-0000-0000814F0000}"/>
    <cellStyle name="Vírgula 7 2 7 3 4" xfId="20145" xr:uid="{00000000-0005-0000-0000-0000824F0000}"/>
    <cellStyle name="Vírgula 7 2 7 3 5" xfId="16121" xr:uid="{00000000-0005-0000-0000-0000834F0000}"/>
    <cellStyle name="Vírgula 7 2 7 4" xfId="3823" xr:uid="{00000000-0005-0000-0000-0000844F0000}"/>
    <cellStyle name="Vírgula 7 2 7 4 2" xfId="5957" xr:uid="{00000000-0005-0000-0000-0000854F0000}"/>
    <cellStyle name="Vírgula 7 2 7 4 2 2" xfId="22951" xr:uid="{00000000-0005-0000-0000-0000864F0000}"/>
    <cellStyle name="Vírgula 7 2 7 4 2 3" xfId="18992" xr:uid="{00000000-0005-0000-0000-0000874F0000}"/>
    <cellStyle name="Vírgula 7 2 7 4 3" xfId="20885" xr:uid="{00000000-0005-0000-0000-0000884F0000}"/>
    <cellStyle name="Vírgula 7 2 7 4 4" xfId="16865" xr:uid="{00000000-0005-0000-0000-0000894F0000}"/>
    <cellStyle name="Vírgula 7 2 7 5" xfId="6701" xr:uid="{00000000-0005-0000-0000-00008A4F0000}"/>
    <cellStyle name="Vírgula 7 2 7 5 2" xfId="23679" xr:uid="{00000000-0005-0000-0000-00008B4F0000}"/>
    <cellStyle name="Vírgula 7 2 7 5 3" xfId="19736" xr:uid="{00000000-0005-0000-0000-00008C4F0000}"/>
    <cellStyle name="Vírgula 7 2 7 6" xfId="5019" xr:uid="{00000000-0005-0000-0000-00008D4F0000}"/>
    <cellStyle name="Vírgula 7 2 7 6 2" xfId="22032" xr:uid="{00000000-0005-0000-0000-00008E4F0000}"/>
    <cellStyle name="Vírgula 7 2 7 6 3" xfId="18054" xr:uid="{00000000-0005-0000-0000-00008F4F0000}"/>
    <cellStyle name="Vírgula 7 2 7 7" xfId="9474" xr:uid="{00000000-0005-0000-0000-0000904F0000}"/>
    <cellStyle name="Vírgula 7 2 7 7 2" xfId="19933" xr:uid="{00000000-0005-0000-0000-0000914F0000}"/>
    <cellStyle name="Vírgula 7 2 7 8" xfId="15888" xr:uid="{00000000-0005-0000-0000-0000924F0000}"/>
    <cellStyle name="Vírgula 7 2 8" xfId="734" xr:uid="{00000000-0005-0000-0000-0000934F0000}"/>
    <cellStyle name="Vírgula 7 2 8 2" xfId="2409" xr:uid="{00000000-0005-0000-0000-0000944F0000}"/>
    <cellStyle name="Vírgula 7 2 8 2 2" xfId="3538" xr:uid="{00000000-0005-0000-0000-0000954F0000}"/>
    <cellStyle name="Vírgula 7 2 8 2 2 2" xfId="4241" xr:uid="{00000000-0005-0000-0000-0000964F0000}"/>
    <cellStyle name="Vírgula 7 2 8 2 2 2 2" xfId="6653" xr:uid="{00000000-0005-0000-0000-0000974F0000}"/>
    <cellStyle name="Vírgula 7 2 8 2 2 2 2 2" xfId="23635" xr:uid="{00000000-0005-0000-0000-0000984F0000}"/>
    <cellStyle name="Vírgula 7 2 8 2 2 2 2 3" xfId="19688" xr:uid="{00000000-0005-0000-0000-0000994F0000}"/>
    <cellStyle name="Vírgula 7 2 8 2 2 2 3" xfId="21286" xr:uid="{00000000-0005-0000-0000-00009A4F0000}"/>
    <cellStyle name="Vírgula 7 2 8 2 2 2 4" xfId="17279" xr:uid="{00000000-0005-0000-0000-00009B4F0000}"/>
    <cellStyle name="Vírgula 7 2 8 2 2 3" xfId="5707" xr:uid="{00000000-0005-0000-0000-00009C4F0000}"/>
    <cellStyle name="Vírgula 7 2 8 2 2 3 2" xfId="22706" xr:uid="{00000000-0005-0000-0000-00009D4F0000}"/>
    <cellStyle name="Vírgula 7 2 8 2 2 3 3" xfId="18742" xr:uid="{00000000-0005-0000-0000-00009E4F0000}"/>
    <cellStyle name="Vírgula 7 2 8 2 2 4" xfId="20606" xr:uid="{00000000-0005-0000-0000-00009F4F0000}"/>
    <cellStyle name="Vírgula 7 2 8 2 2 5" xfId="16582" xr:uid="{00000000-0005-0000-0000-0000A04F0000}"/>
    <cellStyle name="Vírgula 7 2 8 2 3" xfId="4294" xr:uid="{00000000-0005-0000-0000-0000A14F0000}"/>
    <cellStyle name="Vírgula 7 2 8 2 3 2" xfId="6437" xr:uid="{00000000-0005-0000-0000-0000A24F0000}"/>
    <cellStyle name="Vírgula 7 2 8 2 3 2 2" xfId="23419" xr:uid="{00000000-0005-0000-0000-0000A34F0000}"/>
    <cellStyle name="Vírgula 7 2 8 2 3 2 3" xfId="19472" xr:uid="{00000000-0005-0000-0000-0000A44F0000}"/>
    <cellStyle name="Vírgula 7 2 8 2 3 3" xfId="21338" xr:uid="{00000000-0005-0000-0000-0000A54F0000}"/>
    <cellStyle name="Vírgula 7 2 8 2 3 4" xfId="17331" xr:uid="{00000000-0005-0000-0000-0000A64F0000}"/>
    <cellStyle name="Vírgula 7 2 8 2 4" xfId="6845" xr:uid="{00000000-0005-0000-0000-0000A74F0000}"/>
    <cellStyle name="Vírgula 7 2 8 2 4 2" xfId="23811" xr:uid="{00000000-0005-0000-0000-0000A84F0000}"/>
    <cellStyle name="Vírgula 7 2 8 2 4 3" xfId="19880" xr:uid="{00000000-0005-0000-0000-0000A94F0000}"/>
    <cellStyle name="Vírgula 7 2 8 2 5" xfId="5163" xr:uid="{00000000-0005-0000-0000-0000AA4F0000}"/>
    <cellStyle name="Vírgula 7 2 8 2 5 2" xfId="22164" xr:uid="{00000000-0005-0000-0000-0000AB4F0000}"/>
    <cellStyle name="Vírgula 7 2 8 2 5 3" xfId="18198" xr:uid="{00000000-0005-0000-0000-0000AC4F0000}"/>
    <cellStyle name="Vírgula 7 2 8 2 6" xfId="20064" xr:uid="{00000000-0005-0000-0000-0000AD4F0000}"/>
    <cellStyle name="Vírgula 7 2 8 2 7" xfId="16033" xr:uid="{00000000-0005-0000-0000-0000AE4F0000}"/>
    <cellStyle name="Vírgula 7 2 8 3" xfId="3119" xr:uid="{00000000-0005-0000-0000-0000AF4F0000}"/>
    <cellStyle name="Vírgula 7 2 8 3 2" xfId="4534" xr:uid="{00000000-0005-0000-0000-0000B04F0000}"/>
    <cellStyle name="Vírgula 7 2 8 3 2 2" xfId="21574" xr:uid="{00000000-0005-0000-0000-0000B14F0000}"/>
    <cellStyle name="Vírgula 7 2 8 3 2 3" xfId="17569" xr:uid="{00000000-0005-0000-0000-0000B24F0000}"/>
    <cellStyle name="Vírgula 7 2 8 3 3" xfId="5288" xr:uid="{00000000-0005-0000-0000-0000B34F0000}"/>
    <cellStyle name="Vírgula 7 2 8 3 3 2" xfId="11704" xr:uid="{00000000-0005-0000-0000-0000B44F0000}"/>
    <cellStyle name="Vírgula 7 2 8 3 3 2 2" xfId="22287" xr:uid="{00000000-0005-0000-0000-0000B54F0000}"/>
    <cellStyle name="Vírgula 7 2 8 3 3 3" xfId="10993" xr:uid="{00000000-0005-0000-0000-0000B64F0000}"/>
    <cellStyle name="Vírgula 7 2 8 3 3 4" xfId="18323" xr:uid="{00000000-0005-0000-0000-0000B74F0000}"/>
    <cellStyle name="Vírgula 7 2 8 3 4" xfId="13601" xr:uid="{00000000-0005-0000-0000-0000B84F0000}"/>
    <cellStyle name="Vírgula 7 2 8 3 4 2" xfId="20187" xr:uid="{00000000-0005-0000-0000-0000B94F0000}"/>
    <cellStyle name="Vírgula 7 2 8 3 5" xfId="16163" xr:uid="{00000000-0005-0000-0000-0000BA4F0000}"/>
    <cellStyle name="Vírgula 7 2 8 4" xfId="4218" xr:uid="{00000000-0005-0000-0000-0000BB4F0000}"/>
    <cellStyle name="Vírgula 7 2 8 4 2" xfId="6004" xr:uid="{00000000-0005-0000-0000-0000BC4F0000}"/>
    <cellStyle name="Vírgula 7 2 8 4 2 2" xfId="22998" xr:uid="{00000000-0005-0000-0000-0000BD4F0000}"/>
    <cellStyle name="Vírgula 7 2 8 4 2 3" xfId="19039" xr:uid="{00000000-0005-0000-0000-0000BE4F0000}"/>
    <cellStyle name="Vírgula 7 2 8 4 3" xfId="21264" xr:uid="{00000000-0005-0000-0000-0000BF4F0000}"/>
    <cellStyle name="Vírgula 7 2 8 4 4" xfId="17257" xr:uid="{00000000-0005-0000-0000-0000C04F0000}"/>
    <cellStyle name="Vírgula 7 2 8 5" xfId="8630" xr:uid="{00000000-0005-0000-0000-0000C14F0000}"/>
    <cellStyle name="Vírgula 7 2 8 6" xfId="9898" xr:uid="{00000000-0005-0000-0000-0000C24F0000}"/>
    <cellStyle name="Vírgula 7 2 9" xfId="2410" xr:uid="{00000000-0005-0000-0000-0000C34F0000}"/>
    <cellStyle name="Vírgula 7 2 9 2" xfId="3539" xr:uid="{00000000-0005-0000-0000-0000C44F0000}"/>
    <cellStyle name="Vírgula 7 2 9 2 2" xfId="4043" xr:uid="{00000000-0005-0000-0000-0000C54F0000}"/>
    <cellStyle name="Vírgula 7 2 9 2 2 2" xfId="6654" xr:uid="{00000000-0005-0000-0000-0000C64F0000}"/>
    <cellStyle name="Vírgula 7 2 9 2 2 2 2" xfId="23636" xr:uid="{00000000-0005-0000-0000-0000C74F0000}"/>
    <cellStyle name="Vírgula 7 2 9 2 2 2 3" xfId="19689" xr:uid="{00000000-0005-0000-0000-0000C84F0000}"/>
    <cellStyle name="Vírgula 7 2 9 2 2 3" xfId="21092" xr:uid="{00000000-0005-0000-0000-0000C94F0000}"/>
    <cellStyle name="Vírgula 7 2 9 2 2 4" xfId="17084" xr:uid="{00000000-0005-0000-0000-0000CA4F0000}"/>
    <cellStyle name="Vírgula 7 2 9 2 3" xfId="5708" xr:uid="{00000000-0005-0000-0000-0000CB4F0000}"/>
    <cellStyle name="Vírgula 7 2 9 2 3 2" xfId="22707" xr:uid="{00000000-0005-0000-0000-0000CC4F0000}"/>
    <cellStyle name="Vírgula 7 2 9 2 3 3" xfId="18743" xr:uid="{00000000-0005-0000-0000-0000CD4F0000}"/>
    <cellStyle name="Vírgula 7 2 9 2 4" xfId="20607" xr:uid="{00000000-0005-0000-0000-0000CE4F0000}"/>
    <cellStyle name="Vírgula 7 2 9 2 5" xfId="16583" xr:uid="{00000000-0005-0000-0000-0000CF4F0000}"/>
    <cellStyle name="Vírgula 7 2 9 3" xfId="4295" xr:uid="{00000000-0005-0000-0000-0000D04F0000}"/>
    <cellStyle name="Vírgula 7 2 9 3 2" xfId="6438" xr:uid="{00000000-0005-0000-0000-0000D14F0000}"/>
    <cellStyle name="Vírgula 7 2 9 3 2 2" xfId="23420" xr:uid="{00000000-0005-0000-0000-0000D24F0000}"/>
    <cellStyle name="Vírgula 7 2 9 3 2 3" xfId="19473" xr:uid="{00000000-0005-0000-0000-0000D34F0000}"/>
    <cellStyle name="Vírgula 7 2 9 3 3" xfId="21339" xr:uid="{00000000-0005-0000-0000-0000D44F0000}"/>
    <cellStyle name="Vírgula 7 2 9 3 4" xfId="17332" xr:uid="{00000000-0005-0000-0000-0000D54F0000}"/>
    <cellStyle name="Vírgula 7 2 9 4" xfId="6846" xr:uid="{00000000-0005-0000-0000-0000D64F0000}"/>
    <cellStyle name="Vírgula 7 2 9 4 2" xfId="23812" xr:uid="{00000000-0005-0000-0000-0000D74F0000}"/>
    <cellStyle name="Vírgula 7 2 9 4 3" xfId="19881" xr:uid="{00000000-0005-0000-0000-0000D84F0000}"/>
    <cellStyle name="Vírgula 7 2 9 5" xfId="5164" xr:uid="{00000000-0005-0000-0000-0000D94F0000}"/>
    <cellStyle name="Vírgula 7 2 9 5 2" xfId="22165" xr:uid="{00000000-0005-0000-0000-0000DA4F0000}"/>
    <cellStyle name="Vírgula 7 2 9 5 3" xfId="18199" xr:uid="{00000000-0005-0000-0000-0000DB4F0000}"/>
    <cellStyle name="Vírgula 7 2 9 6" xfId="9058" xr:uid="{00000000-0005-0000-0000-0000DC4F0000}"/>
    <cellStyle name="Vírgula 7 2 9 6 2" xfId="20065" xr:uid="{00000000-0005-0000-0000-0000DD4F0000}"/>
    <cellStyle name="Vírgula 7 2 9 7" xfId="16034" xr:uid="{00000000-0005-0000-0000-0000DE4F0000}"/>
    <cellStyle name="Vírgula 7 20" xfId="2411" xr:uid="{00000000-0005-0000-0000-0000DF4F0000}"/>
    <cellStyle name="Vírgula 7 20 2" xfId="3540" xr:uid="{00000000-0005-0000-0000-0000E04F0000}"/>
    <cellStyle name="Vírgula 7 20 2 2" xfId="4101" xr:uid="{00000000-0005-0000-0000-0000E14F0000}"/>
    <cellStyle name="Vírgula 7 20 2 2 2" xfId="6655" xr:uid="{00000000-0005-0000-0000-0000E24F0000}"/>
    <cellStyle name="Vírgula 7 20 2 2 2 2" xfId="23637" xr:uid="{00000000-0005-0000-0000-0000E34F0000}"/>
    <cellStyle name="Vírgula 7 20 2 2 2 3" xfId="19690" xr:uid="{00000000-0005-0000-0000-0000E44F0000}"/>
    <cellStyle name="Vírgula 7 20 2 2 3" xfId="21149" xr:uid="{00000000-0005-0000-0000-0000E54F0000}"/>
    <cellStyle name="Vírgula 7 20 2 2 4" xfId="17141" xr:uid="{00000000-0005-0000-0000-0000E64F0000}"/>
    <cellStyle name="Vírgula 7 20 2 3" xfId="5709" xr:uid="{00000000-0005-0000-0000-0000E74F0000}"/>
    <cellStyle name="Vírgula 7 20 2 3 2" xfId="22708" xr:uid="{00000000-0005-0000-0000-0000E84F0000}"/>
    <cellStyle name="Vírgula 7 20 2 3 3" xfId="18744" xr:uid="{00000000-0005-0000-0000-0000E94F0000}"/>
    <cellStyle name="Vírgula 7 20 2 4" xfId="20608" xr:uid="{00000000-0005-0000-0000-0000EA4F0000}"/>
    <cellStyle name="Vírgula 7 20 2 5" xfId="16584" xr:uid="{00000000-0005-0000-0000-0000EB4F0000}"/>
    <cellStyle name="Vírgula 7 20 3" xfId="4296" xr:uid="{00000000-0005-0000-0000-0000EC4F0000}"/>
    <cellStyle name="Vírgula 7 20 3 2" xfId="6439" xr:uid="{00000000-0005-0000-0000-0000ED4F0000}"/>
    <cellStyle name="Vírgula 7 20 3 2 2" xfId="23421" xr:uid="{00000000-0005-0000-0000-0000EE4F0000}"/>
    <cellStyle name="Vírgula 7 20 3 2 3" xfId="19474" xr:uid="{00000000-0005-0000-0000-0000EF4F0000}"/>
    <cellStyle name="Vírgula 7 20 3 3" xfId="21340" xr:uid="{00000000-0005-0000-0000-0000F04F0000}"/>
    <cellStyle name="Vírgula 7 20 3 4" xfId="17333" xr:uid="{00000000-0005-0000-0000-0000F14F0000}"/>
    <cellStyle name="Vírgula 7 20 4" xfId="6847" xr:uid="{00000000-0005-0000-0000-0000F24F0000}"/>
    <cellStyle name="Vírgula 7 20 4 2" xfId="23813" xr:uid="{00000000-0005-0000-0000-0000F34F0000}"/>
    <cellStyle name="Vírgula 7 20 4 3" xfId="19882" xr:uid="{00000000-0005-0000-0000-0000F44F0000}"/>
    <cellStyle name="Vírgula 7 20 5" xfId="5165" xr:uid="{00000000-0005-0000-0000-0000F54F0000}"/>
    <cellStyle name="Vírgula 7 20 5 2" xfId="22166" xr:uid="{00000000-0005-0000-0000-0000F64F0000}"/>
    <cellStyle name="Vírgula 7 20 5 3" xfId="18200" xr:uid="{00000000-0005-0000-0000-0000F74F0000}"/>
    <cellStyle name="Vírgula 7 20 6" xfId="20066" xr:uid="{00000000-0005-0000-0000-0000F84F0000}"/>
    <cellStyle name="Vírgula 7 20 7" xfId="16035" xr:uid="{00000000-0005-0000-0000-0000F94F0000}"/>
    <cellStyle name="Vírgula 7 21" xfId="2358" xr:uid="{00000000-0005-0000-0000-0000FA4F0000}"/>
    <cellStyle name="Vírgula 7 21 2" xfId="2885" xr:uid="{00000000-0005-0000-0000-0000FB4F0000}"/>
    <cellStyle name="Vírgula 7 21 2 2" xfId="3662" xr:uid="{00000000-0005-0000-0000-0000FC4F0000}"/>
    <cellStyle name="Vírgula 7 21 2 2 2" xfId="4940" xr:uid="{00000000-0005-0000-0000-0000FD4F0000}"/>
    <cellStyle name="Vírgula 7 21 2 2 2 2" xfId="21980" xr:uid="{00000000-0005-0000-0000-0000FE4F0000}"/>
    <cellStyle name="Vírgula 7 21 2 2 2 3" xfId="17975" xr:uid="{00000000-0005-0000-0000-0000FF4F0000}"/>
    <cellStyle name="Vírgula 7 21 2 2 3" xfId="5831" xr:uid="{00000000-0005-0000-0000-000000500000}"/>
    <cellStyle name="Vírgula 7 21 2 2 3 2" xfId="22830" xr:uid="{00000000-0005-0000-0000-000001500000}"/>
    <cellStyle name="Vírgula 7 21 2 2 3 3" xfId="18866" xr:uid="{00000000-0005-0000-0000-000002500000}"/>
    <cellStyle name="Vírgula 7 21 2 2 4" xfId="20730" xr:uid="{00000000-0005-0000-0000-000003500000}"/>
    <cellStyle name="Vírgula 7 21 2 2 5" xfId="16706" xr:uid="{00000000-0005-0000-0000-000004500000}"/>
    <cellStyle name="Vírgula 7 21 3" xfId="2810" xr:uid="{00000000-0005-0000-0000-000005500000}"/>
    <cellStyle name="Vírgula 7 21 3 2" xfId="3638" xr:uid="{00000000-0005-0000-0000-000006500000}"/>
    <cellStyle name="Vírgula 7 21 3 2 2" xfId="4916" xr:uid="{00000000-0005-0000-0000-000007500000}"/>
    <cellStyle name="Vírgula 7 21 3 2 2 2" xfId="21956" xr:uid="{00000000-0005-0000-0000-000008500000}"/>
    <cellStyle name="Vírgula 7 21 3 2 2 3" xfId="17951" xr:uid="{00000000-0005-0000-0000-000009500000}"/>
    <cellStyle name="Vírgula 7 21 3 2 3" xfId="5807" xr:uid="{00000000-0005-0000-0000-00000A500000}"/>
    <cellStyle name="Vírgula 7 21 3 2 3 2" xfId="22806" xr:uid="{00000000-0005-0000-0000-00000B500000}"/>
    <cellStyle name="Vírgula 7 21 3 2 3 3" xfId="18842" xr:uid="{00000000-0005-0000-0000-00000C500000}"/>
    <cellStyle name="Vírgula 7 21 3 2 4" xfId="20706" xr:uid="{00000000-0005-0000-0000-00000D500000}"/>
    <cellStyle name="Vírgula 7 21 3 2 5" xfId="16682" xr:uid="{00000000-0005-0000-0000-00000E500000}"/>
    <cellStyle name="Vírgula 7 21 4" xfId="2663" xr:uid="{00000000-0005-0000-0000-00000F500000}"/>
    <cellStyle name="Vírgula 7 21 4 2" xfId="3618" xr:uid="{00000000-0005-0000-0000-000010500000}"/>
    <cellStyle name="Vírgula 7 21 4 2 2" xfId="4896" xr:uid="{00000000-0005-0000-0000-000011500000}"/>
    <cellStyle name="Vírgula 7 21 4 2 2 2" xfId="21936" xr:uid="{00000000-0005-0000-0000-000012500000}"/>
    <cellStyle name="Vírgula 7 21 4 2 2 3" xfId="17931" xr:uid="{00000000-0005-0000-0000-000013500000}"/>
    <cellStyle name="Vírgula 7 21 4 2 3" xfId="5787" xr:uid="{00000000-0005-0000-0000-000014500000}"/>
    <cellStyle name="Vírgula 7 21 4 2 3 2" xfId="22786" xr:uid="{00000000-0005-0000-0000-000015500000}"/>
    <cellStyle name="Vírgula 7 21 4 2 3 3" xfId="18822" xr:uid="{00000000-0005-0000-0000-000016500000}"/>
    <cellStyle name="Vírgula 7 21 4 2 4" xfId="20686" xr:uid="{00000000-0005-0000-0000-000017500000}"/>
    <cellStyle name="Vírgula 7 21 4 2 5" xfId="16662" xr:uid="{00000000-0005-0000-0000-000018500000}"/>
    <cellStyle name="Vírgula 7 21 5" xfId="2596" xr:uid="{00000000-0005-0000-0000-000019500000}"/>
    <cellStyle name="Vírgula 7 21 5 2" xfId="3602" xr:uid="{00000000-0005-0000-0000-00001A500000}"/>
    <cellStyle name="Vírgula 7 21 5 2 2" xfId="4880" xr:uid="{00000000-0005-0000-0000-00001B500000}"/>
    <cellStyle name="Vírgula 7 21 5 2 2 2" xfId="21920" xr:uid="{00000000-0005-0000-0000-00001C500000}"/>
    <cellStyle name="Vírgula 7 21 5 2 2 3" xfId="17915" xr:uid="{00000000-0005-0000-0000-00001D500000}"/>
    <cellStyle name="Vírgula 7 21 5 2 3" xfId="5771" xr:uid="{00000000-0005-0000-0000-00001E500000}"/>
    <cellStyle name="Vírgula 7 21 5 2 3 2" xfId="22770" xr:uid="{00000000-0005-0000-0000-00001F500000}"/>
    <cellStyle name="Vírgula 7 21 5 2 3 3" xfId="18806" xr:uid="{00000000-0005-0000-0000-000020500000}"/>
    <cellStyle name="Vírgula 7 21 5 2 4" xfId="20670" xr:uid="{00000000-0005-0000-0000-000021500000}"/>
    <cellStyle name="Vírgula 7 21 5 2 5" xfId="16646" xr:uid="{00000000-0005-0000-0000-000022500000}"/>
    <cellStyle name="Vírgula 7 21 6" xfId="3487" xr:uid="{00000000-0005-0000-0000-000023500000}"/>
    <cellStyle name="Vírgula 7 21 6 2" xfId="4817" xr:uid="{00000000-0005-0000-0000-000024500000}"/>
    <cellStyle name="Vírgula 7 21 6 2 2" xfId="21857" xr:uid="{00000000-0005-0000-0000-000025500000}"/>
    <cellStyle name="Vírgula 7 21 6 2 3" xfId="17852" xr:uid="{00000000-0005-0000-0000-000026500000}"/>
    <cellStyle name="Vírgula 7 21 6 3" xfId="5656" xr:uid="{00000000-0005-0000-0000-000027500000}"/>
    <cellStyle name="Vírgula 7 21 6 3 2" xfId="22655" xr:uid="{00000000-0005-0000-0000-000028500000}"/>
    <cellStyle name="Vírgula 7 21 6 3 3" xfId="18691" xr:uid="{00000000-0005-0000-0000-000029500000}"/>
    <cellStyle name="Vírgula 7 21 6 4" xfId="20555" xr:uid="{00000000-0005-0000-0000-00002A500000}"/>
    <cellStyle name="Vírgula 7 21 6 5" xfId="16531" xr:uid="{00000000-0005-0000-0000-00002B500000}"/>
    <cellStyle name="Vírgula 7 21 7" xfId="3695" xr:uid="{00000000-0005-0000-0000-00002C500000}"/>
    <cellStyle name="Vírgula 7 21 7 2" xfId="6386" xr:uid="{00000000-0005-0000-0000-00002D500000}"/>
    <cellStyle name="Vírgula 7 21 7 2 2" xfId="23368" xr:uid="{00000000-0005-0000-0000-00002E500000}"/>
    <cellStyle name="Vírgula 7 21 7 2 3" xfId="19421" xr:uid="{00000000-0005-0000-0000-00002F500000}"/>
    <cellStyle name="Vírgula 7 21 7 3" xfId="20763" xr:uid="{00000000-0005-0000-0000-000030500000}"/>
    <cellStyle name="Vírgula 7 21 7 4" xfId="16739" xr:uid="{00000000-0005-0000-0000-000031500000}"/>
    <cellStyle name="Vírgula 7 22" xfId="3035" xr:uid="{00000000-0005-0000-0000-000032500000}"/>
    <cellStyle name="Vírgula 7 22 2" xfId="4020" xr:uid="{00000000-0005-0000-0000-000033500000}"/>
    <cellStyle name="Vírgula 7 22 2 2" xfId="5887" xr:uid="{00000000-0005-0000-0000-000034500000}"/>
    <cellStyle name="Vírgula 7 22 2 2 2" xfId="22883" xr:uid="{00000000-0005-0000-0000-000035500000}"/>
    <cellStyle name="Vírgula 7 22 2 2 3" xfId="18922" xr:uid="{00000000-0005-0000-0000-000036500000}"/>
    <cellStyle name="Vírgula 7 22 2 3" xfId="21072" xr:uid="{00000000-0005-0000-0000-000037500000}"/>
    <cellStyle name="Vírgula 7 22 2 4" xfId="17061" xr:uid="{00000000-0005-0000-0000-000038500000}"/>
    <cellStyle name="Vírgula 7 22 3" xfId="5204" xr:uid="{00000000-0005-0000-0000-000039500000}"/>
    <cellStyle name="Vírgula 7 22 3 2" xfId="22203" xr:uid="{00000000-0005-0000-0000-00003A500000}"/>
    <cellStyle name="Vírgula 7 22 3 3" xfId="18239" xr:uid="{00000000-0005-0000-0000-00003B500000}"/>
    <cellStyle name="Vírgula 7 22 4" xfId="20103" xr:uid="{00000000-0005-0000-0000-00003C500000}"/>
    <cellStyle name="Vírgula 7 22 5" xfId="16079" xr:uid="{00000000-0005-0000-0000-00003D500000}"/>
    <cellStyle name="Vírgula 7 23" xfId="3705" xr:uid="{00000000-0005-0000-0000-00003E500000}"/>
    <cellStyle name="Vírgula 7 23 2" xfId="6494" xr:uid="{00000000-0005-0000-0000-00003F500000}"/>
    <cellStyle name="Vírgula 7 23 2 2" xfId="23476" xr:uid="{00000000-0005-0000-0000-000040500000}"/>
    <cellStyle name="Vírgula 7 23 2 3" xfId="19529" xr:uid="{00000000-0005-0000-0000-000041500000}"/>
    <cellStyle name="Vírgula 7 23 3" xfId="20773" xr:uid="{00000000-0005-0000-0000-000042500000}"/>
    <cellStyle name="Vírgula 7 23 4" xfId="16749" xr:uid="{00000000-0005-0000-0000-000043500000}"/>
    <cellStyle name="Vírgula 7 24" xfId="4067" xr:uid="{00000000-0005-0000-0000-000044500000}"/>
    <cellStyle name="Vírgula 7 24 2" xfId="6498" xr:uid="{00000000-0005-0000-0000-000045500000}"/>
    <cellStyle name="Vírgula 7 24 2 2" xfId="23480" xr:uid="{00000000-0005-0000-0000-000046500000}"/>
    <cellStyle name="Vírgula 7 24 2 3" xfId="19533" xr:uid="{00000000-0005-0000-0000-000047500000}"/>
    <cellStyle name="Vírgula 7 24 3" xfId="21115" xr:uid="{00000000-0005-0000-0000-000048500000}"/>
    <cellStyle name="Vírgula 7 24 4" xfId="17107" xr:uid="{00000000-0005-0000-0000-000049500000}"/>
    <cellStyle name="Vírgula 7 25" xfId="5864" xr:uid="{00000000-0005-0000-0000-00004A500000}"/>
    <cellStyle name="Vírgula 7 25 2" xfId="22860" xr:uid="{00000000-0005-0000-0000-00004B500000}"/>
    <cellStyle name="Vírgula 7 25 3" xfId="18899" xr:uid="{00000000-0005-0000-0000-00004C500000}"/>
    <cellStyle name="Vírgula 7 26" xfId="6673" xr:uid="{00000000-0005-0000-0000-00004D500000}"/>
    <cellStyle name="Vírgula 7 26 2" xfId="23655" xr:uid="{00000000-0005-0000-0000-00004E500000}"/>
    <cellStyle name="Vírgula 7 26 3" xfId="19708" xr:uid="{00000000-0005-0000-0000-00004F500000}"/>
    <cellStyle name="Vírgula 7 27" xfId="4990" xr:uid="{00000000-0005-0000-0000-000050500000}"/>
    <cellStyle name="Vírgula 7 27 2" xfId="22008" xr:uid="{00000000-0005-0000-0000-000051500000}"/>
    <cellStyle name="Vírgula 7 27 3" xfId="18025" xr:uid="{00000000-0005-0000-0000-000052500000}"/>
    <cellStyle name="Vírgula 7 28" xfId="19908" xr:uid="{00000000-0005-0000-0000-000053500000}"/>
    <cellStyle name="Vírgula 7 29" xfId="15847" xr:uid="{00000000-0005-0000-0000-000054500000}"/>
    <cellStyle name="Vírgula 7 3" xfId="123" xr:uid="{00000000-0005-0000-0000-000055500000}"/>
    <cellStyle name="Vírgula 7 3 10" xfId="899" xr:uid="{00000000-0005-0000-0000-000056500000}"/>
    <cellStyle name="Vírgula 7 3 10 2" xfId="3184" xr:uid="{00000000-0005-0000-0000-000057500000}"/>
    <cellStyle name="Vírgula 7 3 10 2 2" xfId="4255" xr:uid="{00000000-0005-0000-0000-000058500000}"/>
    <cellStyle name="Vírgula 7 3 10 2 2 2" xfId="6584" xr:uid="{00000000-0005-0000-0000-000059500000}"/>
    <cellStyle name="Vírgula 7 3 10 2 2 2 2" xfId="23566" xr:uid="{00000000-0005-0000-0000-00005A500000}"/>
    <cellStyle name="Vírgula 7 3 10 2 2 2 3" xfId="19619" xr:uid="{00000000-0005-0000-0000-00005B500000}"/>
    <cellStyle name="Vírgula 7 3 10 2 2 3" xfId="21299" xr:uid="{00000000-0005-0000-0000-00005C500000}"/>
    <cellStyle name="Vírgula 7 3 10 2 2 4" xfId="17292" xr:uid="{00000000-0005-0000-0000-00005D500000}"/>
    <cellStyle name="Vírgula 7 3 10 2 3" xfId="5353" xr:uid="{00000000-0005-0000-0000-00005E500000}"/>
    <cellStyle name="Vírgula 7 3 10 2 3 2" xfId="22352" xr:uid="{00000000-0005-0000-0000-00005F500000}"/>
    <cellStyle name="Vírgula 7 3 10 2 3 3" xfId="18388" xr:uid="{00000000-0005-0000-0000-000060500000}"/>
    <cellStyle name="Vírgula 7 3 10 2 4" xfId="20252" xr:uid="{00000000-0005-0000-0000-000061500000}"/>
    <cellStyle name="Vírgula 7 3 10 2 5" xfId="16228" xr:uid="{00000000-0005-0000-0000-000062500000}"/>
    <cellStyle name="Vírgula 7 3 10 3" xfId="3933" xr:uid="{00000000-0005-0000-0000-000063500000}"/>
    <cellStyle name="Vírgula 7 3 10 3 2" xfId="6074" xr:uid="{00000000-0005-0000-0000-000064500000}"/>
    <cellStyle name="Vírgula 7 3 10 3 2 2" xfId="23063" xr:uid="{00000000-0005-0000-0000-000065500000}"/>
    <cellStyle name="Vírgula 7 3 10 3 2 3" xfId="19109" xr:uid="{00000000-0005-0000-0000-000066500000}"/>
    <cellStyle name="Vírgula 7 3 10 3 3" xfId="20990" xr:uid="{00000000-0005-0000-0000-000067500000}"/>
    <cellStyle name="Vírgula 7 3 10 3 4" xfId="16975" xr:uid="{00000000-0005-0000-0000-000068500000}"/>
    <cellStyle name="Vírgula 7 3 10 4" xfId="6769" xr:uid="{00000000-0005-0000-0000-000069500000}"/>
    <cellStyle name="Vírgula 7 3 10 4 2" xfId="23742" xr:uid="{00000000-0005-0000-0000-00006A500000}"/>
    <cellStyle name="Vírgula 7 3 10 4 3" xfId="19804" xr:uid="{00000000-0005-0000-0000-00006B500000}"/>
    <cellStyle name="Vírgula 7 3 10 5" xfId="5087" xr:uid="{00000000-0005-0000-0000-00006C500000}"/>
    <cellStyle name="Vírgula 7 3 10 5 2" xfId="22095" xr:uid="{00000000-0005-0000-0000-00006D500000}"/>
    <cellStyle name="Vírgula 7 3 10 5 3" xfId="18122" xr:uid="{00000000-0005-0000-0000-00006E500000}"/>
    <cellStyle name="Vírgula 7 3 10 6" xfId="10686" xr:uid="{00000000-0005-0000-0000-00006F500000}"/>
    <cellStyle name="Vírgula 7 3 10 6 2" xfId="19995" xr:uid="{00000000-0005-0000-0000-000070500000}"/>
    <cellStyle name="Vírgula 7 3 10 7" xfId="15955" xr:uid="{00000000-0005-0000-0000-000071500000}"/>
    <cellStyle name="Vírgula 7 3 11" xfId="5904" xr:uid="{00000000-0005-0000-0000-000072500000}"/>
    <cellStyle name="Vírgula 7 3 11 2" xfId="10817" xr:uid="{00000000-0005-0000-0000-000073500000}"/>
    <cellStyle name="Vírgula 7 3 11 2 2" xfId="22900" xr:uid="{00000000-0005-0000-0000-000074500000}"/>
    <cellStyle name="Vírgula 7 3 11 3" xfId="18939" xr:uid="{00000000-0005-0000-0000-000075500000}"/>
    <cellStyle name="Vírgula 7 3 12" xfId="8967" xr:uid="{00000000-0005-0000-0000-000076500000}"/>
    <cellStyle name="Vírgula 7 3 2" xfId="457" xr:uid="{00000000-0005-0000-0000-000077500000}"/>
    <cellStyle name="Vírgula 7 3 2 10" xfId="8631" xr:uid="{00000000-0005-0000-0000-000078500000}"/>
    <cellStyle name="Vírgula 7 3 2 10 2" xfId="11062" xr:uid="{00000000-0005-0000-0000-000079500000}"/>
    <cellStyle name="Vírgula 7 3 2 10 3" xfId="11479" xr:uid="{00000000-0005-0000-0000-00007A500000}"/>
    <cellStyle name="Vírgula 7 3 2 11" xfId="8632" xr:uid="{00000000-0005-0000-0000-00007B500000}"/>
    <cellStyle name="Vírgula 7 3 2 12" xfId="8633" xr:uid="{00000000-0005-0000-0000-00007C500000}"/>
    <cellStyle name="Vírgula 7 3 2 13" xfId="8634" xr:uid="{00000000-0005-0000-0000-00007D500000}"/>
    <cellStyle name="Vírgula 7 3 2 14" xfId="9261" xr:uid="{00000000-0005-0000-0000-00007E500000}"/>
    <cellStyle name="Vírgula 7 3 2 15" xfId="15873" xr:uid="{00000000-0005-0000-0000-00007F500000}"/>
    <cellStyle name="Vírgula 7 3 2 2" xfId="612" xr:uid="{00000000-0005-0000-0000-000080500000}"/>
    <cellStyle name="Vírgula 7 3 2 2 10" xfId="8635" xr:uid="{00000000-0005-0000-0000-000081500000}"/>
    <cellStyle name="Vírgula 7 3 2 2 11" xfId="9379" xr:uid="{00000000-0005-0000-0000-000082500000}"/>
    <cellStyle name="Vírgula 7 3 2 2 2" xfId="834" xr:uid="{00000000-0005-0000-0000-000083500000}"/>
    <cellStyle name="Vírgula 7 3 2 2 2 2" xfId="3130" xr:uid="{00000000-0005-0000-0000-000084500000}"/>
    <cellStyle name="Vírgula 7 3 2 2 2 2 2" xfId="4545" xr:uid="{00000000-0005-0000-0000-000085500000}"/>
    <cellStyle name="Vírgula 7 3 2 2 2 2 2 2" xfId="21585" xr:uid="{00000000-0005-0000-0000-000086500000}"/>
    <cellStyle name="Vírgula 7 3 2 2 2 2 2 3" xfId="17580" xr:uid="{00000000-0005-0000-0000-000087500000}"/>
    <cellStyle name="Vírgula 7 3 2 2 2 2 3" xfId="5299" xr:uid="{00000000-0005-0000-0000-000088500000}"/>
    <cellStyle name="Vírgula 7 3 2 2 2 2 3 2" xfId="22298" xr:uid="{00000000-0005-0000-0000-000089500000}"/>
    <cellStyle name="Vírgula 7 3 2 2 2 2 3 3" xfId="18334" xr:uid="{00000000-0005-0000-0000-00008A500000}"/>
    <cellStyle name="Vírgula 7 3 2 2 2 2 4" xfId="10482" xr:uid="{00000000-0005-0000-0000-00008B500000}"/>
    <cellStyle name="Vírgula 7 3 2 2 2 2 4 2" xfId="20198" xr:uid="{00000000-0005-0000-0000-00008C500000}"/>
    <cellStyle name="Vírgula 7 3 2 2 2 2 5" xfId="16174" xr:uid="{00000000-0005-0000-0000-00008D500000}"/>
    <cellStyle name="Vírgula 7 3 2 2 2 3" xfId="4017" xr:uid="{00000000-0005-0000-0000-00008E500000}"/>
    <cellStyle name="Vírgula 7 3 2 2 2 3 2" xfId="6016" xr:uid="{00000000-0005-0000-0000-00008F500000}"/>
    <cellStyle name="Vírgula 7 3 2 2 2 3 2 2" xfId="23009" xr:uid="{00000000-0005-0000-0000-000090500000}"/>
    <cellStyle name="Vírgula 7 3 2 2 2 3 2 3" xfId="19051" xr:uid="{00000000-0005-0000-0000-000091500000}"/>
    <cellStyle name="Vírgula 7 3 2 2 2 3 3" xfId="21069" xr:uid="{00000000-0005-0000-0000-000092500000}"/>
    <cellStyle name="Vírgula 7 3 2 2 2 3 4" xfId="17058" xr:uid="{00000000-0005-0000-0000-000093500000}"/>
    <cellStyle name="Vírgula 7 3 2 2 2 4" xfId="9798" xr:uid="{00000000-0005-0000-0000-000094500000}"/>
    <cellStyle name="Vírgula 7 3 2 2 3" xfId="3078" xr:uid="{00000000-0005-0000-0000-000095500000}"/>
    <cellStyle name="Vírgula 7 3 2 2 3 2" xfId="4505" xr:uid="{00000000-0005-0000-0000-000096500000}"/>
    <cellStyle name="Vírgula 7 3 2 2 3 2 2" xfId="21545" xr:uid="{00000000-0005-0000-0000-000097500000}"/>
    <cellStyle name="Vírgula 7 3 2 2 3 2 3" xfId="17540" xr:uid="{00000000-0005-0000-0000-000098500000}"/>
    <cellStyle name="Vírgula 7 3 2 2 3 3" xfId="5247" xr:uid="{00000000-0005-0000-0000-000099500000}"/>
    <cellStyle name="Vírgula 7 3 2 2 3 3 2" xfId="11285" xr:uid="{00000000-0005-0000-0000-00009A500000}"/>
    <cellStyle name="Vírgula 7 3 2 2 3 3 2 2" xfId="22246" xr:uid="{00000000-0005-0000-0000-00009B500000}"/>
    <cellStyle name="Vírgula 7 3 2 2 3 3 3" xfId="12420" xr:uid="{00000000-0005-0000-0000-00009C500000}"/>
    <cellStyle name="Vírgula 7 3 2 2 3 3 4" xfId="18282" xr:uid="{00000000-0005-0000-0000-00009D500000}"/>
    <cellStyle name="Vírgula 7 3 2 2 3 4" xfId="10481" xr:uid="{00000000-0005-0000-0000-00009E500000}"/>
    <cellStyle name="Vírgula 7 3 2 2 3 4 2" xfId="14902" xr:uid="{00000000-0005-0000-0000-00009F500000}"/>
    <cellStyle name="Vírgula 7 3 2 2 3 4 3" xfId="13589" xr:uid="{00000000-0005-0000-0000-0000A0500000}"/>
    <cellStyle name="Vírgula 7 3 2 2 3 4 4" xfId="20146" xr:uid="{00000000-0005-0000-0000-0000A1500000}"/>
    <cellStyle name="Vírgula 7 3 2 2 3 5" xfId="16122" xr:uid="{00000000-0005-0000-0000-0000A2500000}"/>
    <cellStyle name="Vírgula 7 3 2 2 4" xfId="4438" xr:uid="{00000000-0005-0000-0000-0000A3500000}"/>
    <cellStyle name="Vírgula 7 3 2 2 4 2" xfId="5958" xr:uid="{00000000-0005-0000-0000-0000A4500000}"/>
    <cellStyle name="Vírgula 7 3 2 2 4 2 2" xfId="11677" xr:uid="{00000000-0005-0000-0000-0000A5500000}"/>
    <cellStyle name="Vírgula 7 3 2 2 4 2 2 2" xfId="22952" xr:uid="{00000000-0005-0000-0000-0000A6500000}"/>
    <cellStyle name="Vírgula 7 3 2 2 4 2 3" xfId="10994" xr:uid="{00000000-0005-0000-0000-0000A7500000}"/>
    <cellStyle name="Vírgula 7 3 2 2 4 2 4" xfId="18993" xr:uid="{00000000-0005-0000-0000-0000A8500000}"/>
    <cellStyle name="Vírgula 7 3 2 2 4 3" xfId="13722" xr:uid="{00000000-0005-0000-0000-0000A9500000}"/>
    <cellStyle name="Vírgula 7 3 2 2 4 3 2" xfId="21479" xr:uid="{00000000-0005-0000-0000-0000AA500000}"/>
    <cellStyle name="Vírgula 7 3 2 2 4 4" xfId="17474" xr:uid="{00000000-0005-0000-0000-0000AB500000}"/>
    <cellStyle name="Vírgula 7 3 2 2 5" xfId="8636" xr:uid="{00000000-0005-0000-0000-0000AC500000}"/>
    <cellStyle name="Vírgula 7 3 2 2 5 2" xfId="13106" xr:uid="{00000000-0005-0000-0000-0000AD500000}"/>
    <cellStyle name="Vírgula 7 3 2 2 5 3" xfId="13110" xr:uid="{00000000-0005-0000-0000-0000AE500000}"/>
    <cellStyle name="Vírgula 7 3 2 2 6" xfId="8637" xr:uid="{00000000-0005-0000-0000-0000AF500000}"/>
    <cellStyle name="Vírgula 7 3 2 2 6 2" xfId="12032" xr:uid="{00000000-0005-0000-0000-0000B0500000}"/>
    <cellStyle name="Vírgula 7 3 2 2 6 3" xfId="11520" xr:uid="{00000000-0005-0000-0000-0000B1500000}"/>
    <cellStyle name="Vírgula 7 3 2 2 7" xfId="8638" xr:uid="{00000000-0005-0000-0000-0000B2500000}"/>
    <cellStyle name="Vírgula 7 3 2 2 7 2" xfId="11955" xr:uid="{00000000-0005-0000-0000-0000B3500000}"/>
    <cellStyle name="Vírgula 7 3 2 2 7 3" xfId="13005" xr:uid="{00000000-0005-0000-0000-0000B4500000}"/>
    <cellStyle name="Vírgula 7 3 2 2 8" xfId="8639" xr:uid="{00000000-0005-0000-0000-0000B5500000}"/>
    <cellStyle name="Vírgula 7 3 2 2 8 2" xfId="11057" xr:uid="{00000000-0005-0000-0000-0000B6500000}"/>
    <cellStyle name="Vírgula 7 3 2 2 8 3" xfId="13343" xr:uid="{00000000-0005-0000-0000-0000B7500000}"/>
    <cellStyle name="Vírgula 7 3 2 2 9" xfId="8640" xr:uid="{00000000-0005-0000-0000-0000B8500000}"/>
    <cellStyle name="Vírgula 7 3 2 3" xfId="900" xr:uid="{00000000-0005-0000-0000-0000B9500000}"/>
    <cellStyle name="Vírgula 7 3 2 3 2" xfId="3185" xr:uid="{00000000-0005-0000-0000-0000BA500000}"/>
    <cellStyle name="Vírgula 7 3 2 3 2 2" xfId="4404" xr:uid="{00000000-0005-0000-0000-0000BB500000}"/>
    <cellStyle name="Vírgula 7 3 2 3 2 2 2" xfId="6585" xr:uid="{00000000-0005-0000-0000-0000BC500000}"/>
    <cellStyle name="Vírgula 7 3 2 3 2 2 2 2" xfId="23567" xr:uid="{00000000-0005-0000-0000-0000BD500000}"/>
    <cellStyle name="Vírgula 7 3 2 3 2 2 2 3" xfId="19620" xr:uid="{00000000-0005-0000-0000-0000BE500000}"/>
    <cellStyle name="Vírgula 7 3 2 3 2 2 3" xfId="21447" xr:uid="{00000000-0005-0000-0000-0000BF500000}"/>
    <cellStyle name="Vírgula 7 3 2 3 2 2 4" xfId="17441" xr:uid="{00000000-0005-0000-0000-0000C0500000}"/>
    <cellStyle name="Vírgula 7 3 2 3 2 3" xfId="5354" xr:uid="{00000000-0005-0000-0000-0000C1500000}"/>
    <cellStyle name="Vírgula 7 3 2 3 2 3 2" xfId="11511" xr:uid="{00000000-0005-0000-0000-0000C2500000}"/>
    <cellStyle name="Vírgula 7 3 2 3 2 3 2 2" xfId="22353" xr:uid="{00000000-0005-0000-0000-0000C3500000}"/>
    <cellStyle name="Vírgula 7 3 2 3 2 3 3" xfId="13280" xr:uid="{00000000-0005-0000-0000-0000C4500000}"/>
    <cellStyle name="Vírgula 7 3 2 3 2 3 4" xfId="18389" xr:uid="{00000000-0005-0000-0000-0000C5500000}"/>
    <cellStyle name="Vírgula 7 3 2 3 2 4" xfId="10483" xr:uid="{00000000-0005-0000-0000-0000C6500000}"/>
    <cellStyle name="Vírgula 7 3 2 3 2 4 2" xfId="13352" xr:uid="{00000000-0005-0000-0000-0000C7500000}"/>
    <cellStyle name="Vírgula 7 3 2 3 2 4 3" xfId="11052" xr:uid="{00000000-0005-0000-0000-0000C8500000}"/>
    <cellStyle name="Vírgula 7 3 2 3 2 4 4" xfId="14903" xr:uid="{00000000-0005-0000-0000-0000C9500000}"/>
    <cellStyle name="Vírgula 7 3 2 3 2 4 5" xfId="13615" xr:uid="{00000000-0005-0000-0000-0000CA500000}"/>
    <cellStyle name="Vírgula 7 3 2 3 2 4 6" xfId="20253" xr:uid="{00000000-0005-0000-0000-0000CB500000}"/>
    <cellStyle name="Vírgula 7 3 2 3 2 5" xfId="16229" xr:uid="{00000000-0005-0000-0000-0000CC500000}"/>
    <cellStyle name="Vírgula 7 3 2 3 3" xfId="3934" xr:uid="{00000000-0005-0000-0000-0000CD500000}"/>
    <cellStyle name="Vírgula 7 3 2 3 3 2" xfId="6075" xr:uid="{00000000-0005-0000-0000-0000CE500000}"/>
    <cellStyle name="Vírgula 7 3 2 3 3 2 2" xfId="23064" xr:uid="{00000000-0005-0000-0000-0000CF500000}"/>
    <cellStyle name="Vírgula 7 3 2 3 3 2 3" xfId="19110" xr:uid="{00000000-0005-0000-0000-0000D0500000}"/>
    <cellStyle name="Vírgula 7 3 2 3 3 3" xfId="20991" xr:uid="{00000000-0005-0000-0000-0000D1500000}"/>
    <cellStyle name="Vírgula 7 3 2 3 3 4" xfId="16976" xr:uid="{00000000-0005-0000-0000-0000D2500000}"/>
    <cellStyle name="Vírgula 7 3 2 3 4" xfId="6770" xr:uid="{00000000-0005-0000-0000-0000D3500000}"/>
    <cellStyle name="Vírgula 7 3 2 3 4 2" xfId="23743" xr:uid="{00000000-0005-0000-0000-0000D4500000}"/>
    <cellStyle name="Vírgula 7 3 2 3 4 3" xfId="19805" xr:uid="{00000000-0005-0000-0000-0000D5500000}"/>
    <cellStyle name="Vírgula 7 3 2 3 5" xfId="5088" xr:uid="{00000000-0005-0000-0000-0000D6500000}"/>
    <cellStyle name="Vírgula 7 3 2 3 5 2" xfId="22096" xr:uid="{00000000-0005-0000-0000-0000D7500000}"/>
    <cellStyle name="Vírgula 7 3 2 3 5 3" xfId="18123" xr:uid="{00000000-0005-0000-0000-0000D8500000}"/>
    <cellStyle name="Vírgula 7 3 2 3 6" xfId="9517" xr:uid="{00000000-0005-0000-0000-0000D9500000}"/>
    <cellStyle name="Vírgula 7 3 2 3 6 2" xfId="19996" xr:uid="{00000000-0005-0000-0000-0000DA500000}"/>
    <cellStyle name="Vírgula 7 3 2 3 7" xfId="15956" xr:uid="{00000000-0005-0000-0000-0000DB500000}"/>
    <cellStyle name="Vírgula 7 3 2 4" xfId="3057" xr:uid="{00000000-0005-0000-0000-0000DC500000}"/>
    <cellStyle name="Vírgula 7 3 2 4 2" xfId="4024" xr:uid="{00000000-0005-0000-0000-0000DD500000}"/>
    <cellStyle name="Vírgula 7 3 2 4 2 2" xfId="6508" xr:uid="{00000000-0005-0000-0000-0000DE500000}"/>
    <cellStyle name="Vírgula 7 3 2 4 2 2 2" xfId="23490" xr:uid="{00000000-0005-0000-0000-0000DF500000}"/>
    <cellStyle name="Vírgula 7 3 2 4 2 2 3" xfId="19543" xr:uid="{00000000-0005-0000-0000-0000E0500000}"/>
    <cellStyle name="Vírgula 7 3 2 4 2 3" xfId="21076" xr:uid="{00000000-0005-0000-0000-0000E1500000}"/>
    <cellStyle name="Vírgula 7 3 2 4 2 4" xfId="17065" xr:uid="{00000000-0005-0000-0000-0000E2500000}"/>
    <cellStyle name="Vírgula 7 3 2 4 3" xfId="5226" xr:uid="{00000000-0005-0000-0000-0000E3500000}"/>
    <cellStyle name="Vírgula 7 3 2 4 3 2" xfId="22225" xr:uid="{00000000-0005-0000-0000-0000E4500000}"/>
    <cellStyle name="Vírgula 7 3 2 4 3 3" xfId="18261" xr:uid="{00000000-0005-0000-0000-0000E5500000}"/>
    <cellStyle name="Vírgula 7 3 2 4 4" xfId="10480" xr:uid="{00000000-0005-0000-0000-0000E6500000}"/>
    <cellStyle name="Vírgula 7 3 2 4 4 2" xfId="20125" xr:uid="{00000000-0005-0000-0000-0000E7500000}"/>
    <cellStyle name="Vírgula 7 3 2 4 5" xfId="16101" xr:uid="{00000000-0005-0000-0000-0000E8500000}"/>
    <cellStyle name="Vírgula 7 3 2 5" xfId="3774" xr:uid="{00000000-0005-0000-0000-0000E9500000}"/>
    <cellStyle name="Vírgula 7 3 2 5 2" xfId="5924" xr:uid="{00000000-0005-0000-0000-0000EA500000}"/>
    <cellStyle name="Vírgula 7 3 2 5 2 2" xfId="11408" xr:uid="{00000000-0005-0000-0000-0000EB500000}"/>
    <cellStyle name="Vírgula 7 3 2 5 2 2 2" xfId="22919" xr:uid="{00000000-0005-0000-0000-0000EC500000}"/>
    <cellStyle name="Vírgula 7 3 2 5 2 3" xfId="11559" xr:uid="{00000000-0005-0000-0000-0000ED500000}"/>
    <cellStyle name="Vírgula 7 3 2 5 2 4" xfId="18959" xr:uid="{00000000-0005-0000-0000-0000EE500000}"/>
    <cellStyle name="Vírgula 7 3 2 5 3" xfId="10730" xr:uid="{00000000-0005-0000-0000-0000EF500000}"/>
    <cellStyle name="Vírgula 7 3 2 5 3 2" xfId="13359" xr:uid="{00000000-0005-0000-0000-0000F0500000}"/>
    <cellStyle name="Vírgula 7 3 2 5 3 3" xfId="11696" xr:uid="{00000000-0005-0000-0000-0000F1500000}"/>
    <cellStyle name="Vírgula 7 3 2 5 3 4" xfId="14907" xr:uid="{00000000-0005-0000-0000-0000F2500000}"/>
    <cellStyle name="Vírgula 7 3 2 5 3 5" xfId="13650" xr:uid="{00000000-0005-0000-0000-0000F3500000}"/>
    <cellStyle name="Vírgula 7 3 2 5 3 6" xfId="20838" xr:uid="{00000000-0005-0000-0000-0000F4500000}"/>
    <cellStyle name="Vírgula 7 3 2 5 4" xfId="16817" xr:uid="{00000000-0005-0000-0000-0000F5500000}"/>
    <cellStyle name="Vírgula 7 3 2 6" xfId="6686" xr:uid="{00000000-0005-0000-0000-0000F6500000}"/>
    <cellStyle name="Vírgula 7 3 2 6 2" xfId="10860" xr:uid="{00000000-0005-0000-0000-0000F7500000}"/>
    <cellStyle name="Vírgula 7 3 2 6 2 2" xfId="13361" xr:uid="{00000000-0005-0000-0000-0000F8500000}"/>
    <cellStyle name="Vírgula 7 3 2 6 2 3" xfId="11842" xr:uid="{00000000-0005-0000-0000-0000F9500000}"/>
    <cellStyle name="Vírgula 7 3 2 6 2 4" xfId="14912" xr:uid="{00000000-0005-0000-0000-0000FA500000}"/>
    <cellStyle name="Vírgula 7 3 2 6 2 5" xfId="13758" xr:uid="{00000000-0005-0000-0000-0000FB500000}"/>
    <cellStyle name="Vírgula 7 3 2 6 2 6" xfId="23665" xr:uid="{00000000-0005-0000-0000-0000FC500000}"/>
    <cellStyle name="Vírgula 7 3 2 6 3" xfId="13043" xr:uid="{00000000-0005-0000-0000-0000FD500000}"/>
    <cellStyle name="Vírgula 7 3 2 6 4" xfId="11558" xr:uid="{00000000-0005-0000-0000-0000FE500000}"/>
    <cellStyle name="Vírgula 7 3 2 6 5" xfId="19721" xr:uid="{00000000-0005-0000-0000-0000FF500000}"/>
    <cellStyle name="Vírgula 7 3 2 7" xfId="5004" xr:uid="{00000000-0005-0000-0000-000000510000}"/>
    <cellStyle name="Vírgula 7 3 2 7 2" xfId="11277" xr:uid="{00000000-0005-0000-0000-000001510000}"/>
    <cellStyle name="Vírgula 7 3 2 7 2 2" xfId="14973" xr:uid="{00000000-0005-0000-0000-000002510000}"/>
    <cellStyle name="Vírgula 7 3 2 7 2 3" xfId="13747" xr:uid="{00000000-0005-0000-0000-000003510000}"/>
    <cellStyle name="Vírgula 7 3 2 7 2 4" xfId="22018" xr:uid="{00000000-0005-0000-0000-000004510000}"/>
    <cellStyle name="Vírgula 7 3 2 7 3" xfId="11398" xr:uid="{00000000-0005-0000-0000-000005510000}"/>
    <cellStyle name="Vírgula 7 3 2 7 4" xfId="11502" xr:uid="{00000000-0005-0000-0000-000006510000}"/>
    <cellStyle name="Vírgula 7 3 2 7 5" xfId="18039" xr:uid="{00000000-0005-0000-0000-000007510000}"/>
    <cellStyle name="Vírgula 7 3 2 8" xfId="8641" xr:uid="{00000000-0005-0000-0000-000008510000}"/>
    <cellStyle name="Vírgula 7 3 2 8 2" xfId="12023" xr:uid="{00000000-0005-0000-0000-000009510000}"/>
    <cellStyle name="Vírgula 7 3 2 8 3" xfId="10995" xr:uid="{00000000-0005-0000-0000-00000A510000}"/>
    <cellStyle name="Vírgula 7 3 2 8 4" xfId="19919" xr:uid="{00000000-0005-0000-0000-00000B510000}"/>
    <cellStyle name="Vírgula 7 3 2 9" xfId="8642" xr:uid="{00000000-0005-0000-0000-00000C510000}"/>
    <cellStyle name="Vírgula 7 3 2 9 2" xfId="12885" xr:uid="{00000000-0005-0000-0000-00000D510000}"/>
    <cellStyle name="Vírgula 7 3 2 9 3" xfId="13111" xr:uid="{00000000-0005-0000-0000-00000E510000}"/>
    <cellStyle name="Vírgula 7 3 3" xfId="458" xr:uid="{00000000-0005-0000-0000-00000F510000}"/>
    <cellStyle name="Vírgula 7 3 3 10" xfId="8643" xr:uid="{00000000-0005-0000-0000-000010510000}"/>
    <cellStyle name="Vírgula 7 3 3 11" xfId="9296" xr:uid="{00000000-0005-0000-0000-000011510000}"/>
    <cellStyle name="Vírgula 7 3 3 2" xfId="800" xr:uid="{00000000-0005-0000-0000-000012510000}"/>
    <cellStyle name="Vírgula 7 3 3 2 2" xfId="3124" xr:uid="{00000000-0005-0000-0000-000013510000}"/>
    <cellStyle name="Vírgula 7 3 3 2 2 2" xfId="4539" xr:uid="{00000000-0005-0000-0000-000014510000}"/>
    <cellStyle name="Vírgula 7 3 3 2 2 2 2" xfId="10486" xr:uid="{00000000-0005-0000-0000-000015510000}"/>
    <cellStyle name="Vírgula 7 3 3 2 2 2 2 2" xfId="21579" xr:uid="{00000000-0005-0000-0000-000016510000}"/>
    <cellStyle name="Vírgula 7 3 3 2 2 2 3" xfId="17574" xr:uid="{00000000-0005-0000-0000-000017510000}"/>
    <cellStyle name="Vírgula 7 3 3 2 2 3" xfId="5293" xr:uid="{00000000-0005-0000-0000-000018510000}"/>
    <cellStyle name="Vírgula 7 3 3 2 2 3 2" xfId="22292" xr:uid="{00000000-0005-0000-0000-000019510000}"/>
    <cellStyle name="Vírgula 7 3 3 2 2 3 3" xfId="18328" xr:uid="{00000000-0005-0000-0000-00001A510000}"/>
    <cellStyle name="Vírgula 7 3 3 2 2 4" xfId="9840" xr:uid="{00000000-0005-0000-0000-00001B510000}"/>
    <cellStyle name="Vírgula 7 3 3 2 2 4 2" xfId="20192" xr:uid="{00000000-0005-0000-0000-00001C510000}"/>
    <cellStyle name="Vírgula 7 3 3 2 2 5" xfId="16168" xr:uid="{00000000-0005-0000-0000-00001D510000}"/>
    <cellStyle name="Vírgula 7 3 3 2 3" xfId="4354" xr:uid="{00000000-0005-0000-0000-00001E510000}"/>
    <cellStyle name="Vírgula 7 3 3 2 3 2" xfId="6010" xr:uid="{00000000-0005-0000-0000-00001F510000}"/>
    <cellStyle name="Vírgula 7 3 3 2 3 2 2" xfId="23003" xr:uid="{00000000-0005-0000-0000-000020510000}"/>
    <cellStyle name="Vírgula 7 3 3 2 3 2 3" xfId="19045" xr:uid="{00000000-0005-0000-0000-000021510000}"/>
    <cellStyle name="Vírgula 7 3 3 2 3 3" xfId="10485" xr:uid="{00000000-0005-0000-0000-000022510000}"/>
    <cellStyle name="Vírgula 7 3 3 2 3 3 2" xfId="21398" xr:uid="{00000000-0005-0000-0000-000023510000}"/>
    <cellStyle name="Vírgula 7 3 3 2 3 4" xfId="17391" xr:uid="{00000000-0005-0000-0000-000024510000}"/>
    <cellStyle name="Vírgula 7 3 3 2 4" xfId="9419" xr:uid="{00000000-0005-0000-0000-000025510000}"/>
    <cellStyle name="Vírgula 7 3 3 3" xfId="3058" xr:uid="{00000000-0005-0000-0000-000026510000}"/>
    <cellStyle name="Vírgula 7 3 3 3 2" xfId="4499" xr:uid="{00000000-0005-0000-0000-000027510000}"/>
    <cellStyle name="Vírgula 7 3 3 3 2 2" xfId="10487" xr:uid="{00000000-0005-0000-0000-000028510000}"/>
    <cellStyle name="Vírgula 7 3 3 3 2 2 2" xfId="21539" xr:uid="{00000000-0005-0000-0000-000029510000}"/>
    <cellStyle name="Vírgula 7 3 3 3 2 3" xfId="17534" xr:uid="{00000000-0005-0000-0000-00002A510000}"/>
    <cellStyle name="Vírgula 7 3 3 3 3" xfId="5227" xr:uid="{00000000-0005-0000-0000-00002B510000}"/>
    <cellStyle name="Vírgula 7 3 3 3 3 2" xfId="13028" xr:uid="{00000000-0005-0000-0000-00002C510000}"/>
    <cellStyle name="Vírgula 7 3 3 3 3 2 2" xfId="22226" xr:uid="{00000000-0005-0000-0000-00002D510000}"/>
    <cellStyle name="Vírgula 7 3 3 3 3 3" xfId="12351" xr:uid="{00000000-0005-0000-0000-00002E510000}"/>
    <cellStyle name="Vírgula 7 3 3 3 3 4" xfId="18262" xr:uid="{00000000-0005-0000-0000-00002F510000}"/>
    <cellStyle name="Vírgula 7 3 3 3 4" xfId="9559" xr:uid="{00000000-0005-0000-0000-000030510000}"/>
    <cellStyle name="Vírgula 7 3 3 3 4 2" xfId="14894" xr:uid="{00000000-0005-0000-0000-000031510000}"/>
    <cellStyle name="Vírgula 7 3 3 3 4 3" xfId="13583" xr:uid="{00000000-0005-0000-0000-000032510000}"/>
    <cellStyle name="Vírgula 7 3 3 3 4 4" xfId="20126" xr:uid="{00000000-0005-0000-0000-000033510000}"/>
    <cellStyle name="Vírgula 7 3 3 3 5" xfId="16102" xr:uid="{00000000-0005-0000-0000-000034510000}"/>
    <cellStyle name="Vírgula 7 3 3 4" xfId="3846" xr:uid="{00000000-0005-0000-0000-000035510000}"/>
    <cellStyle name="Vírgula 7 3 3 4 2" xfId="5925" xr:uid="{00000000-0005-0000-0000-000036510000}"/>
    <cellStyle name="Vírgula 7 3 3 4 2 2" xfId="11873" xr:uid="{00000000-0005-0000-0000-000037510000}"/>
    <cellStyle name="Vírgula 7 3 3 4 2 2 2" xfId="22920" xr:uid="{00000000-0005-0000-0000-000038510000}"/>
    <cellStyle name="Vírgula 7 3 3 4 2 3" xfId="11546" xr:uid="{00000000-0005-0000-0000-000039510000}"/>
    <cellStyle name="Vírgula 7 3 3 4 2 4" xfId="18960" xr:uid="{00000000-0005-0000-0000-00003A510000}"/>
    <cellStyle name="Vírgula 7 3 3 4 3" xfId="10484" xr:uid="{00000000-0005-0000-0000-00003B510000}"/>
    <cellStyle name="Vírgula 7 3 3 4 3 2" xfId="14904" xr:uid="{00000000-0005-0000-0000-00003C510000}"/>
    <cellStyle name="Vírgula 7 3 3 4 3 3" xfId="13682" xr:uid="{00000000-0005-0000-0000-00003D510000}"/>
    <cellStyle name="Vírgula 7 3 3 4 3 4" xfId="20908" xr:uid="{00000000-0005-0000-0000-00003E510000}"/>
    <cellStyle name="Vírgula 7 3 3 4 4" xfId="16888" xr:uid="{00000000-0005-0000-0000-00003F510000}"/>
    <cellStyle name="Vírgula 7 3 3 5" xfId="8644" xr:uid="{00000000-0005-0000-0000-000040510000}"/>
    <cellStyle name="Vírgula 7 3 3 5 2" xfId="10769" xr:uid="{00000000-0005-0000-0000-000041510000}"/>
    <cellStyle name="Vírgula 7 3 3 5 2 2" xfId="13360" xr:uid="{00000000-0005-0000-0000-000042510000}"/>
    <cellStyle name="Vírgula 7 3 3 5 2 3" xfId="12469" xr:uid="{00000000-0005-0000-0000-000043510000}"/>
    <cellStyle name="Vírgula 7 3 3 5 2 4" xfId="14908" xr:uid="{00000000-0005-0000-0000-000044510000}"/>
    <cellStyle name="Vírgula 7 3 3 5 3" xfId="13157" xr:uid="{00000000-0005-0000-0000-000045510000}"/>
    <cellStyle name="Vírgula 7 3 3 6" xfId="8645" xr:uid="{00000000-0005-0000-0000-000046510000}"/>
    <cellStyle name="Vírgula 7 3 3 6 2" xfId="10899" xr:uid="{00000000-0005-0000-0000-000047510000}"/>
    <cellStyle name="Vírgula 7 3 3 6 2 2" xfId="13362" xr:uid="{00000000-0005-0000-0000-000048510000}"/>
    <cellStyle name="Vírgula 7 3 3 6 2 3" xfId="12470" xr:uid="{00000000-0005-0000-0000-000049510000}"/>
    <cellStyle name="Vírgula 7 3 3 6 2 4" xfId="14913" xr:uid="{00000000-0005-0000-0000-00004A510000}"/>
    <cellStyle name="Vírgula 7 3 3 6 3" xfId="13323" xr:uid="{00000000-0005-0000-0000-00004B510000}"/>
    <cellStyle name="Vírgula 7 3 3 7" xfId="8646" xr:uid="{00000000-0005-0000-0000-00004C510000}"/>
    <cellStyle name="Vírgula 7 3 3 7 2" xfId="13332" xr:uid="{00000000-0005-0000-0000-00004D510000}"/>
    <cellStyle name="Vírgula 7 3 3 7 3" xfId="13261" xr:uid="{00000000-0005-0000-0000-00004E510000}"/>
    <cellStyle name="Vírgula 7 3 3 8" xfId="8647" xr:uid="{00000000-0005-0000-0000-00004F510000}"/>
    <cellStyle name="Vírgula 7 3 3 8 2" xfId="11131" xr:uid="{00000000-0005-0000-0000-000050510000}"/>
    <cellStyle name="Vírgula 7 3 3 8 3" xfId="10998" xr:uid="{00000000-0005-0000-0000-000051510000}"/>
    <cellStyle name="Vírgula 7 3 3 9" xfId="8648" xr:uid="{00000000-0005-0000-0000-000052510000}"/>
    <cellStyle name="Vírgula 7 3 4" xfId="613" xr:uid="{00000000-0005-0000-0000-000053510000}"/>
    <cellStyle name="Vírgula 7 3 4 2" xfId="614" xr:uid="{00000000-0005-0000-0000-000054510000}"/>
    <cellStyle name="Vírgula 7 3 4 2 10" xfId="8649" xr:uid="{00000000-0005-0000-0000-000055510000}"/>
    <cellStyle name="Vírgula 7 3 4 2 11" xfId="9654" xr:uid="{00000000-0005-0000-0000-000056510000}"/>
    <cellStyle name="Vírgula 7 3 4 2 2" xfId="835" xr:uid="{00000000-0005-0000-0000-000057510000}"/>
    <cellStyle name="Vírgula 7 3 4 2 2 2" xfId="3131" xr:uid="{00000000-0005-0000-0000-000058510000}"/>
    <cellStyle name="Vírgula 7 3 4 2 2 2 2" xfId="4546" xr:uid="{00000000-0005-0000-0000-000059510000}"/>
    <cellStyle name="Vírgula 7 3 4 2 2 2 2 2" xfId="21586" xr:uid="{00000000-0005-0000-0000-00005A510000}"/>
    <cellStyle name="Vírgula 7 3 4 2 2 2 2 3" xfId="17581" xr:uid="{00000000-0005-0000-0000-00005B510000}"/>
    <cellStyle name="Vírgula 7 3 4 2 2 2 3" xfId="5300" xr:uid="{00000000-0005-0000-0000-00005C510000}"/>
    <cellStyle name="Vírgula 7 3 4 2 2 2 3 2" xfId="22299" xr:uid="{00000000-0005-0000-0000-00005D510000}"/>
    <cellStyle name="Vírgula 7 3 4 2 2 2 3 3" xfId="18335" xr:uid="{00000000-0005-0000-0000-00005E510000}"/>
    <cellStyle name="Vírgula 7 3 4 2 2 2 4" xfId="20199" xr:uid="{00000000-0005-0000-0000-00005F510000}"/>
    <cellStyle name="Vírgula 7 3 4 2 2 2 5" xfId="16175" xr:uid="{00000000-0005-0000-0000-000060510000}"/>
    <cellStyle name="Vírgula 7 3 4 2 2 3" xfId="4126" xr:uid="{00000000-0005-0000-0000-000061510000}"/>
    <cellStyle name="Vírgula 7 3 4 2 2 3 2" xfId="6017" xr:uid="{00000000-0005-0000-0000-000062510000}"/>
    <cellStyle name="Vírgula 7 3 4 2 2 3 2 2" xfId="23010" xr:uid="{00000000-0005-0000-0000-000063510000}"/>
    <cellStyle name="Vírgula 7 3 4 2 2 3 2 3" xfId="19052" xr:uid="{00000000-0005-0000-0000-000064510000}"/>
    <cellStyle name="Vírgula 7 3 4 2 2 3 3" xfId="21174" xr:uid="{00000000-0005-0000-0000-000065510000}"/>
    <cellStyle name="Vírgula 7 3 4 2 2 3 4" xfId="17166" xr:uid="{00000000-0005-0000-0000-000066510000}"/>
    <cellStyle name="Vírgula 7 3 4 2 2 4" xfId="10489" xr:uid="{00000000-0005-0000-0000-000067510000}"/>
    <cellStyle name="Vírgula 7 3 4 2 3" xfId="3079" xr:uid="{00000000-0005-0000-0000-000068510000}"/>
    <cellStyle name="Vírgula 7 3 4 2 3 2" xfId="4506" xr:uid="{00000000-0005-0000-0000-000069510000}"/>
    <cellStyle name="Vírgula 7 3 4 2 3 2 2" xfId="21546" xr:uid="{00000000-0005-0000-0000-00006A510000}"/>
    <cellStyle name="Vírgula 7 3 4 2 3 2 3" xfId="17541" xr:uid="{00000000-0005-0000-0000-00006B510000}"/>
    <cellStyle name="Vírgula 7 3 4 2 3 3" xfId="5248" xr:uid="{00000000-0005-0000-0000-00006C510000}"/>
    <cellStyle name="Vírgula 7 3 4 2 3 3 2" xfId="11203" xr:uid="{00000000-0005-0000-0000-00006D510000}"/>
    <cellStyle name="Vírgula 7 3 4 2 3 3 2 2" xfId="22247" xr:uid="{00000000-0005-0000-0000-00006E510000}"/>
    <cellStyle name="Vírgula 7 3 4 2 3 3 3" xfId="13112" xr:uid="{00000000-0005-0000-0000-00006F510000}"/>
    <cellStyle name="Vírgula 7 3 4 2 3 3 4" xfId="18283" xr:uid="{00000000-0005-0000-0000-000070510000}"/>
    <cellStyle name="Vírgula 7 3 4 2 3 4" xfId="13590" xr:uid="{00000000-0005-0000-0000-000071510000}"/>
    <cellStyle name="Vírgula 7 3 4 2 3 4 2" xfId="20147" xr:uid="{00000000-0005-0000-0000-000072510000}"/>
    <cellStyle name="Vírgula 7 3 4 2 3 5" xfId="16123" xr:uid="{00000000-0005-0000-0000-000073510000}"/>
    <cellStyle name="Vírgula 7 3 4 2 4" xfId="3697" xr:uid="{00000000-0005-0000-0000-000074510000}"/>
    <cellStyle name="Vírgula 7 3 4 2 4 2" xfId="5960" xr:uid="{00000000-0005-0000-0000-000075510000}"/>
    <cellStyle name="Vírgula 7 3 4 2 4 2 2" xfId="11874" xr:uid="{00000000-0005-0000-0000-000076510000}"/>
    <cellStyle name="Vírgula 7 3 4 2 4 2 2 2" xfId="22954" xr:uid="{00000000-0005-0000-0000-000077510000}"/>
    <cellStyle name="Vírgula 7 3 4 2 4 2 3" xfId="12393" xr:uid="{00000000-0005-0000-0000-000078510000}"/>
    <cellStyle name="Vírgula 7 3 4 2 4 2 4" xfId="18995" xr:uid="{00000000-0005-0000-0000-000079510000}"/>
    <cellStyle name="Vírgula 7 3 4 2 4 3" xfId="13673" xr:uid="{00000000-0005-0000-0000-00007A510000}"/>
    <cellStyle name="Vírgula 7 3 4 2 4 3 2" xfId="20765" xr:uid="{00000000-0005-0000-0000-00007B510000}"/>
    <cellStyle name="Vírgula 7 3 4 2 4 4" xfId="16741" xr:uid="{00000000-0005-0000-0000-00007C510000}"/>
    <cellStyle name="Vírgula 7 3 4 2 5" xfId="8650" xr:uid="{00000000-0005-0000-0000-00007D510000}"/>
    <cellStyle name="Vírgula 7 3 4 2 5 2" xfId="13268" xr:uid="{00000000-0005-0000-0000-00007E510000}"/>
    <cellStyle name="Vírgula 7 3 4 2 5 3" xfId="10997" xr:uid="{00000000-0005-0000-0000-00007F510000}"/>
    <cellStyle name="Vírgula 7 3 4 2 6" xfId="8651" xr:uid="{00000000-0005-0000-0000-000080510000}"/>
    <cellStyle name="Vírgula 7 3 4 2 6 2" xfId="11385" xr:uid="{00000000-0005-0000-0000-000081510000}"/>
    <cellStyle name="Vírgula 7 3 4 2 6 3" xfId="10996" xr:uid="{00000000-0005-0000-0000-000082510000}"/>
    <cellStyle name="Vírgula 7 3 4 2 7" xfId="8652" xr:uid="{00000000-0005-0000-0000-000083510000}"/>
    <cellStyle name="Vírgula 7 3 4 2 7 2" xfId="11193" xr:uid="{00000000-0005-0000-0000-000084510000}"/>
    <cellStyle name="Vírgula 7 3 4 2 7 3" xfId="11264" xr:uid="{00000000-0005-0000-0000-000085510000}"/>
    <cellStyle name="Vírgula 7 3 4 2 8" xfId="8653" xr:uid="{00000000-0005-0000-0000-000086510000}"/>
    <cellStyle name="Vírgula 7 3 4 2 8 2" xfId="11386" xr:uid="{00000000-0005-0000-0000-000087510000}"/>
    <cellStyle name="Vírgula 7 3 4 2 8 3" xfId="11293" xr:uid="{00000000-0005-0000-0000-000088510000}"/>
    <cellStyle name="Vírgula 7 3 4 2 9" xfId="8654" xr:uid="{00000000-0005-0000-0000-000089510000}"/>
    <cellStyle name="Vírgula 7 3 4 3" xfId="901" xr:uid="{00000000-0005-0000-0000-00008A510000}"/>
    <cellStyle name="Vírgula 7 3 4 3 2" xfId="2412" xr:uid="{00000000-0005-0000-0000-00008B510000}"/>
    <cellStyle name="Vírgula 7 3 4 3 2 2" xfId="2886" xr:uid="{00000000-0005-0000-0000-00008C510000}"/>
    <cellStyle name="Vírgula 7 3 4 3 2 2 2" xfId="3663" xr:uid="{00000000-0005-0000-0000-00008D510000}"/>
    <cellStyle name="Vírgula 7 3 4 3 2 2 2 2" xfId="4941" xr:uid="{00000000-0005-0000-0000-00008E510000}"/>
    <cellStyle name="Vírgula 7 3 4 3 2 2 2 2 2" xfId="21981" xr:uid="{00000000-0005-0000-0000-00008F510000}"/>
    <cellStyle name="Vírgula 7 3 4 3 2 2 2 2 3" xfId="17976" xr:uid="{00000000-0005-0000-0000-000090510000}"/>
    <cellStyle name="Vírgula 7 3 4 3 2 2 2 3" xfId="5832" xr:uid="{00000000-0005-0000-0000-000091510000}"/>
    <cellStyle name="Vírgula 7 3 4 3 2 2 2 3 2" xfId="11993" xr:uid="{00000000-0005-0000-0000-000092510000}"/>
    <cellStyle name="Vírgula 7 3 4 3 2 2 2 3 2 2" xfId="22831" xr:uid="{00000000-0005-0000-0000-000093510000}"/>
    <cellStyle name="Vírgula 7 3 4 3 2 2 2 3 3" xfId="11621" xr:uid="{00000000-0005-0000-0000-000094510000}"/>
    <cellStyle name="Vírgula 7 3 4 3 2 2 2 3 4" xfId="18867" xr:uid="{00000000-0005-0000-0000-000095510000}"/>
    <cellStyle name="Vírgula 7 3 4 3 2 2 2 4" xfId="20731" xr:uid="{00000000-0005-0000-0000-000096510000}"/>
    <cellStyle name="Vírgula 7 3 4 3 2 2 2 5" xfId="16707" xr:uid="{00000000-0005-0000-0000-000097510000}"/>
    <cellStyle name="Vírgula 7 3 4 3 2 2 3" xfId="8655" xr:uid="{00000000-0005-0000-0000-000098510000}"/>
    <cellStyle name="Vírgula 7 3 4 3 2 3" xfId="2815" xr:uid="{00000000-0005-0000-0000-000099510000}"/>
    <cellStyle name="Vírgula 7 3 4 3 2 3 2" xfId="3643" xr:uid="{00000000-0005-0000-0000-00009A510000}"/>
    <cellStyle name="Vírgula 7 3 4 3 2 3 2 2" xfId="4921" xr:uid="{00000000-0005-0000-0000-00009B510000}"/>
    <cellStyle name="Vírgula 7 3 4 3 2 3 2 2 2" xfId="21961" xr:uid="{00000000-0005-0000-0000-00009C510000}"/>
    <cellStyle name="Vírgula 7 3 4 3 2 3 2 2 3" xfId="17956" xr:uid="{00000000-0005-0000-0000-00009D510000}"/>
    <cellStyle name="Vírgula 7 3 4 3 2 3 2 3" xfId="5812" xr:uid="{00000000-0005-0000-0000-00009E510000}"/>
    <cellStyle name="Vírgula 7 3 4 3 2 3 2 3 2" xfId="22811" xr:uid="{00000000-0005-0000-0000-00009F510000}"/>
    <cellStyle name="Vírgula 7 3 4 3 2 3 2 3 3" xfId="18847" xr:uid="{00000000-0005-0000-0000-0000A0510000}"/>
    <cellStyle name="Vírgula 7 3 4 3 2 3 2 4" xfId="20711" xr:uid="{00000000-0005-0000-0000-0000A1510000}"/>
    <cellStyle name="Vírgula 7 3 4 3 2 3 2 5" xfId="16687" xr:uid="{00000000-0005-0000-0000-0000A2510000}"/>
    <cellStyle name="Vírgula 7 3 4 3 2 4" xfId="2664" xr:uid="{00000000-0005-0000-0000-0000A3510000}"/>
    <cellStyle name="Vírgula 7 3 4 3 2 4 2" xfId="3619" xr:uid="{00000000-0005-0000-0000-0000A4510000}"/>
    <cellStyle name="Vírgula 7 3 4 3 2 4 2 2" xfId="4897" xr:uid="{00000000-0005-0000-0000-0000A5510000}"/>
    <cellStyle name="Vírgula 7 3 4 3 2 4 2 2 2" xfId="21937" xr:uid="{00000000-0005-0000-0000-0000A6510000}"/>
    <cellStyle name="Vírgula 7 3 4 3 2 4 2 2 3" xfId="17932" xr:uid="{00000000-0005-0000-0000-0000A7510000}"/>
    <cellStyle name="Vírgula 7 3 4 3 2 4 2 3" xfId="5788" xr:uid="{00000000-0005-0000-0000-0000A8510000}"/>
    <cellStyle name="Vírgula 7 3 4 3 2 4 2 3 2" xfId="22787" xr:uid="{00000000-0005-0000-0000-0000A9510000}"/>
    <cellStyle name="Vírgula 7 3 4 3 2 4 2 3 3" xfId="18823" xr:uid="{00000000-0005-0000-0000-0000AA510000}"/>
    <cellStyle name="Vírgula 7 3 4 3 2 4 2 4" xfId="20687" xr:uid="{00000000-0005-0000-0000-0000AB510000}"/>
    <cellStyle name="Vírgula 7 3 4 3 2 4 2 5" xfId="16663" xr:uid="{00000000-0005-0000-0000-0000AC510000}"/>
    <cellStyle name="Vírgula 7 3 4 3 2 5" xfId="2597" xr:uid="{00000000-0005-0000-0000-0000AD510000}"/>
    <cellStyle name="Vírgula 7 3 4 3 2 5 2" xfId="3603" xr:uid="{00000000-0005-0000-0000-0000AE510000}"/>
    <cellStyle name="Vírgula 7 3 4 3 2 5 2 2" xfId="4881" xr:uid="{00000000-0005-0000-0000-0000AF510000}"/>
    <cellStyle name="Vírgula 7 3 4 3 2 5 2 2 2" xfId="21921" xr:uid="{00000000-0005-0000-0000-0000B0510000}"/>
    <cellStyle name="Vírgula 7 3 4 3 2 5 2 2 3" xfId="17916" xr:uid="{00000000-0005-0000-0000-0000B1510000}"/>
    <cellStyle name="Vírgula 7 3 4 3 2 5 2 3" xfId="5772" xr:uid="{00000000-0005-0000-0000-0000B2510000}"/>
    <cellStyle name="Vírgula 7 3 4 3 2 5 2 3 2" xfId="22771" xr:uid="{00000000-0005-0000-0000-0000B3510000}"/>
    <cellStyle name="Vírgula 7 3 4 3 2 5 2 3 3" xfId="18807" xr:uid="{00000000-0005-0000-0000-0000B4510000}"/>
    <cellStyle name="Vírgula 7 3 4 3 2 5 2 4" xfId="20671" xr:uid="{00000000-0005-0000-0000-0000B5510000}"/>
    <cellStyle name="Vírgula 7 3 4 3 2 5 2 5" xfId="16647" xr:uid="{00000000-0005-0000-0000-0000B6510000}"/>
    <cellStyle name="Vírgula 7 3 4 3 2 6" xfId="3541" xr:uid="{00000000-0005-0000-0000-0000B7510000}"/>
    <cellStyle name="Vírgula 7 3 4 3 2 6 2" xfId="4836" xr:uid="{00000000-0005-0000-0000-0000B8510000}"/>
    <cellStyle name="Vírgula 7 3 4 3 2 6 2 2" xfId="21876" xr:uid="{00000000-0005-0000-0000-0000B9510000}"/>
    <cellStyle name="Vírgula 7 3 4 3 2 6 2 3" xfId="17871" xr:uid="{00000000-0005-0000-0000-0000BA510000}"/>
    <cellStyle name="Vírgula 7 3 4 3 2 6 3" xfId="5710" xr:uid="{00000000-0005-0000-0000-0000BB510000}"/>
    <cellStyle name="Vírgula 7 3 4 3 2 6 3 2" xfId="22709" xr:uid="{00000000-0005-0000-0000-0000BC510000}"/>
    <cellStyle name="Vírgula 7 3 4 3 2 6 3 3" xfId="18745" xr:uid="{00000000-0005-0000-0000-0000BD510000}"/>
    <cellStyle name="Vírgula 7 3 4 3 2 6 4" xfId="20609" xr:uid="{00000000-0005-0000-0000-0000BE510000}"/>
    <cellStyle name="Vírgula 7 3 4 3 2 6 5" xfId="16585" xr:uid="{00000000-0005-0000-0000-0000BF510000}"/>
    <cellStyle name="Vírgula 7 3 4 3 2 7" xfId="4018" xr:uid="{00000000-0005-0000-0000-0000C0510000}"/>
    <cellStyle name="Vírgula 7 3 4 3 2 7 2" xfId="6440" xr:uid="{00000000-0005-0000-0000-0000C1510000}"/>
    <cellStyle name="Vírgula 7 3 4 3 2 7 2 2" xfId="23422" xr:uid="{00000000-0005-0000-0000-0000C2510000}"/>
    <cellStyle name="Vírgula 7 3 4 3 2 7 2 3" xfId="19475" xr:uid="{00000000-0005-0000-0000-0000C3510000}"/>
    <cellStyle name="Vírgula 7 3 4 3 2 7 3" xfId="21070" xr:uid="{00000000-0005-0000-0000-0000C4510000}"/>
    <cellStyle name="Vírgula 7 3 4 3 2 7 4" xfId="17059" xr:uid="{00000000-0005-0000-0000-0000C5510000}"/>
    <cellStyle name="Vírgula 7 3 4 3 3" xfId="2524" xr:uid="{00000000-0005-0000-0000-0000C6510000}"/>
    <cellStyle name="Vírgula 7 3 4 3 3 2" xfId="3586" xr:uid="{00000000-0005-0000-0000-0000C7510000}"/>
    <cellStyle name="Vírgula 7 3 4 3 3 2 2" xfId="4864" xr:uid="{00000000-0005-0000-0000-0000C8510000}"/>
    <cellStyle name="Vírgula 7 3 4 3 3 2 2 2" xfId="21904" xr:uid="{00000000-0005-0000-0000-0000C9510000}"/>
    <cellStyle name="Vírgula 7 3 4 3 3 2 2 3" xfId="17899" xr:uid="{00000000-0005-0000-0000-0000CA510000}"/>
    <cellStyle name="Vírgula 7 3 4 3 3 2 3" xfId="5755" xr:uid="{00000000-0005-0000-0000-0000CB510000}"/>
    <cellStyle name="Vírgula 7 3 4 3 3 2 3 2" xfId="22754" xr:uid="{00000000-0005-0000-0000-0000CC510000}"/>
    <cellStyle name="Vírgula 7 3 4 3 3 2 3 3" xfId="18790" xr:uid="{00000000-0005-0000-0000-0000CD510000}"/>
    <cellStyle name="Vírgula 7 3 4 3 3 2 4" xfId="20654" xr:uid="{00000000-0005-0000-0000-0000CE510000}"/>
    <cellStyle name="Vírgula 7 3 4 3 3 2 5" xfId="16630" xr:uid="{00000000-0005-0000-0000-0000CF510000}"/>
    <cellStyle name="Vírgula 7 3 4 3 3 3" xfId="3765" xr:uid="{00000000-0005-0000-0000-0000D0510000}"/>
    <cellStyle name="Vírgula 7 3 4 3 3 3 2" xfId="6485" xr:uid="{00000000-0005-0000-0000-0000D1510000}"/>
    <cellStyle name="Vírgula 7 3 4 3 3 3 2 2" xfId="23467" xr:uid="{00000000-0005-0000-0000-0000D2510000}"/>
    <cellStyle name="Vírgula 7 3 4 3 3 3 2 3" xfId="19520" xr:uid="{00000000-0005-0000-0000-0000D3510000}"/>
    <cellStyle name="Vírgula 7 3 4 3 3 3 3" xfId="20829" xr:uid="{00000000-0005-0000-0000-0000D4510000}"/>
    <cellStyle name="Vírgula 7 3 4 3 3 3 4" xfId="16808" xr:uid="{00000000-0005-0000-0000-0000D5510000}"/>
    <cellStyle name="Vírgula 7 3 4 3 4" xfId="3186" xr:uid="{00000000-0005-0000-0000-0000D6510000}"/>
    <cellStyle name="Vírgula 7 3 4 3 4 2" xfId="4346" xr:uid="{00000000-0005-0000-0000-0000D7510000}"/>
    <cellStyle name="Vírgula 7 3 4 3 4 2 2" xfId="6586" xr:uid="{00000000-0005-0000-0000-0000D8510000}"/>
    <cellStyle name="Vírgula 7 3 4 3 4 2 2 2" xfId="23568" xr:uid="{00000000-0005-0000-0000-0000D9510000}"/>
    <cellStyle name="Vírgula 7 3 4 3 4 2 2 3" xfId="19621" xr:uid="{00000000-0005-0000-0000-0000DA510000}"/>
    <cellStyle name="Vírgula 7 3 4 3 4 2 3" xfId="21390" xr:uid="{00000000-0005-0000-0000-0000DB510000}"/>
    <cellStyle name="Vírgula 7 3 4 3 4 2 4" xfId="17383" xr:uid="{00000000-0005-0000-0000-0000DC510000}"/>
    <cellStyle name="Vírgula 7 3 4 3 4 3" xfId="5355" xr:uid="{00000000-0005-0000-0000-0000DD510000}"/>
    <cellStyle name="Vírgula 7 3 4 3 4 3 2" xfId="22354" xr:uid="{00000000-0005-0000-0000-0000DE510000}"/>
    <cellStyle name="Vírgula 7 3 4 3 4 3 3" xfId="18390" xr:uid="{00000000-0005-0000-0000-0000DF510000}"/>
    <cellStyle name="Vírgula 7 3 4 3 4 4" xfId="20254" xr:uid="{00000000-0005-0000-0000-0000E0510000}"/>
    <cellStyle name="Vírgula 7 3 4 3 4 5" xfId="16230" xr:uid="{00000000-0005-0000-0000-0000E1510000}"/>
    <cellStyle name="Vírgula 7 3 4 3 5" xfId="3935" xr:uid="{00000000-0005-0000-0000-0000E2510000}"/>
    <cellStyle name="Vírgula 7 3 4 3 5 2" xfId="6076" xr:uid="{00000000-0005-0000-0000-0000E3510000}"/>
    <cellStyle name="Vírgula 7 3 4 3 5 2 2" xfId="23065" xr:uid="{00000000-0005-0000-0000-0000E4510000}"/>
    <cellStyle name="Vírgula 7 3 4 3 5 2 3" xfId="19111" xr:uid="{00000000-0005-0000-0000-0000E5510000}"/>
    <cellStyle name="Vírgula 7 3 4 3 5 3" xfId="20992" xr:uid="{00000000-0005-0000-0000-0000E6510000}"/>
    <cellStyle name="Vírgula 7 3 4 3 5 4" xfId="16977" xr:uid="{00000000-0005-0000-0000-0000E7510000}"/>
    <cellStyle name="Vírgula 7 3 4 3 6" xfId="6771" xr:uid="{00000000-0005-0000-0000-0000E8510000}"/>
    <cellStyle name="Vírgula 7 3 4 3 6 2" xfId="23744" xr:uid="{00000000-0005-0000-0000-0000E9510000}"/>
    <cellStyle name="Vírgula 7 3 4 3 6 3" xfId="19806" xr:uid="{00000000-0005-0000-0000-0000EA510000}"/>
    <cellStyle name="Vírgula 7 3 4 3 7" xfId="5089" xr:uid="{00000000-0005-0000-0000-0000EB510000}"/>
    <cellStyle name="Vírgula 7 3 4 3 7 2" xfId="22097" xr:uid="{00000000-0005-0000-0000-0000EC510000}"/>
    <cellStyle name="Vírgula 7 3 4 3 7 3" xfId="18124" xr:uid="{00000000-0005-0000-0000-0000ED510000}"/>
    <cellStyle name="Vírgula 7 3 4 3 8" xfId="10488" xr:uid="{00000000-0005-0000-0000-0000EE510000}"/>
    <cellStyle name="Vírgula 7 3 4 3 8 2" xfId="19997" xr:uid="{00000000-0005-0000-0000-0000EF510000}"/>
    <cellStyle name="Vírgula 7 3 4 3 9" xfId="15957" xr:uid="{00000000-0005-0000-0000-0000F0510000}"/>
    <cellStyle name="Vírgula 7 3 4 4" xfId="5959" xr:uid="{00000000-0005-0000-0000-0000F1510000}"/>
    <cellStyle name="Vírgula 7 3 4 4 2" xfId="22953" xr:uid="{00000000-0005-0000-0000-0000F2510000}"/>
    <cellStyle name="Vírgula 7 3 4 4 3" xfId="18994" xr:uid="{00000000-0005-0000-0000-0000F3510000}"/>
    <cellStyle name="Vírgula 7 3 4 5" xfId="9201" xr:uid="{00000000-0005-0000-0000-0000F4510000}"/>
    <cellStyle name="Vírgula 7 3 5" xfId="615" xr:uid="{00000000-0005-0000-0000-0000F5510000}"/>
    <cellStyle name="Vírgula 7 3 5 2" xfId="616" xr:uid="{00000000-0005-0000-0000-0000F6510000}"/>
    <cellStyle name="Vírgula 7 3 5 2 10" xfId="8656" xr:uid="{00000000-0005-0000-0000-0000F7510000}"/>
    <cellStyle name="Vírgula 7 3 5 2 11" xfId="9754" xr:uid="{00000000-0005-0000-0000-0000F8510000}"/>
    <cellStyle name="Vírgula 7 3 5 2 2" xfId="836" xr:uid="{00000000-0005-0000-0000-0000F9510000}"/>
    <cellStyle name="Vírgula 7 3 5 2 2 2" xfId="3132" xr:uid="{00000000-0005-0000-0000-0000FA510000}"/>
    <cellStyle name="Vírgula 7 3 5 2 2 2 2" xfId="4547" xr:uid="{00000000-0005-0000-0000-0000FB510000}"/>
    <cellStyle name="Vírgula 7 3 5 2 2 2 2 2" xfId="21587" xr:uid="{00000000-0005-0000-0000-0000FC510000}"/>
    <cellStyle name="Vírgula 7 3 5 2 2 2 2 3" xfId="17582" xr:uid="{00000000-0005-0000-0000-0000FD510000}"/>
    <cellStyle name="Vírgula 7 3 5 2 2 2 3" xfId="5301" xr:uid="{00000000-0005-0000-0000-0000FE510000}"/>
    <cellStyle name="Vírgula 7 3 5 2 2 2 3 2" xfId="22300" xr:uid="{00000000-0005-0000-0000-0000FF510000}"/>
    <cellStyle name="Vírgula 7 3 5 2 2 2 3 3" xfId="18336" xr:uid="{00000000-0005-0000-0000-000000520000}"/>
    <cellStyle name="Vírgula 7 3 5 2 2 2 4" xfId="20200" xr:uid="{00000000-0005-0000-0000-000001520000}"/>
    <cellStyle name="Vírgula 7 3 5 2 2 2 5" xfId="16176" xr:uid="{00000000-0005-0000-0000-000002520000}"/>
    <cellStyle name="Vírgula 7 3 5 2 2 3" xfId="4150" xr:uid="{00000000-0005-0000-0000-000003520000}"/>
    <cellStyle name="Vírgula 7 3 5 2 2 3 2" xfId="6018" xr:uid="{00000000-0005-0000-0000-000004520000}"/>
    <cellStyle name="Vírgula 7 3 5 2 2 3 2 2" xfId="23011" xr:uid="{00000000-0005-0000-0000-000005520000}"/>
    <cellStyle name="Vírgula 7 3 5 2 2 3 2 3" xfId="19053" xr:uid="{00000000-0005-0000-0000-000006520000}"/>
    <cellStyle name="Vírgula 7 3 5 2 2 3 3" xfId="21198" xr:uid="{00000000-0005-0000-0000-000007520000}"/>
    <cellStyle name="Vírgula 7 3 5 2 2 3 4" xfId="17190" xr:uid="{00000000-0005-0000-0000-000008520000}"/>
    <cellStyle name="Vírgula 7 3 5 2 2 4" xfId="10491" xr:uid="{00000000-0005-0000-0000-000009520000}"/>
    <cellStyle name="Vírgula 7 3 5 2 3" xfId="3080" xr:uid="{00000000-0005-0000-0000-00000A520000}"/>
    <cellStyle name="Vírgula 7 3 5 2 3 2" xfId="4507" xr:uid="{00000000-0005-0000-0000-00000B520000}"/>
    <cellStyle name="Vírgula 7 3 5 2 3 2 2" xfId="21547" xr:uid="{00000000-0005-0000-0000-00000C520000}"/>
    <cellStyle name="Vírgula 7 3 5 2 3 2 3" xfId="17542" xr:uid="{00000000-0005-0000-0000-00000D520000}"/>
    <cellStyle name="Vírgula 7 3 5 2 3 3" xfId="5249" xr:uid="{00000000-0005-0000-0000-00000E520000}"/>
    <cellStyle name="Vírgula 7 3 5 2 3 3 2" xfId="11202" xr:uid="{00000000-0005-0000-0000-00000F520000}"/>
    <cellStyle name="Vírgula 7 3 5 2 3 3 2 2" xfId="22248" xr:uid="{00000000-0005-0000-0000-000010520000}"/>
    <cellStyle name="Vírgula 7 3 5 2 3 3 3" xfId="11912" xr:uid="{00000000-0005-0000-0000-000011520000}"/>
    <cellStyle name="Vírgula 7 3 5 2 3 3 4" xfId="18284" xr:uid="{00000000-0005-0000-0000-000012520000}"/>
    <cellStyle name="Vírgula 7 3 5 2 3 4" xfId="13591" xr:uid="{00000000-0005-0000-0000-000013520000}"/>
    <cellStyle name="Vírgula 7 3 5 2 3 4 2" xfId="20148" xr:uid="{00000000-0005-0000-0000-000014520000}"/>
    <cellStyle name="Vírgula 7 3 5 2 3 5" xfId="16124" xr:uid="{00000000-0005-0000-0000-000015520000}"/>
    <cellStyle name="Vírgula 7 3 5 2 4" xfId="4474" xr:uid="{00000000-0005-0000-0000-000016520000}"/>
    <cellStyle name="Vírgula 7 3 5 2 4 2" xfId="5962" xr:uid="{00000000-0005-0000-0000-000017520000}"/>
    <cellStyle name="Vírgula 7 3 5 2 4 2 2" xfId="11949" xr:uid="{00000000-0005-0000-0000-000018520000}"/>
    <cellStyle name="Vírgula 7 3 5 2 4 2 2 2" xfId="22956" xr:uid="{00000000-0005-0000-0000-000019520000}"/>
    <cellStyle name="Vírgula 7 3 5 2 4 2 3" xfId="13300" xr:uid="{00000000-0005-0000-0000-00001A520000}"/>
    <cellStyle name="Vírgula 7 3 5 2 4 2 4" xfId="18997" xr:uid="{00000000-0005-0000-0000-00001B520000}"/>
    <cellStyle name="Vírgula 7 3 5 2 4 3" xfId="13724" xr:uid="{00000000-0005-0000-0000-00001C520000}"/>
    <cellStyle name="Vírgula 7 3 5 2 4 3 2" xfId="21514" xr:uid="{00000000-0005-0000-0000-00001D520000}"/>
    <cellStyle name="Vírgula 7 3 5 2 4 4" xfId="17509" xr:uid="{00000000-0005-0000-0000-00001E520000}"/>
    <cellStyle name="Vírgula 7 3 5 2 5" xfId="8657" xr:uid="{00000000-0005-0000-0000-00001F520000}"/>
    <cellStyle name="Vírgula 7 3 5 2 5 2" xfId="11489" xr:uid="{00000000-0005-0000-0000-000020520000}"/>
    <cellStyle name="Vírgula 7 3 5 2 5 3" xfId="13237" xr:uid="{00000000-0005-0000-0000-000021520000}"/>
    <cellStyle name="Vírgula 7 3 5 2 6" xfId="8658" xr:uid="{00000000-0005-0000-0000-000022520000}"/>
    <cellStyle name="Vírgula 7 3 5 2 6 2" xfId="11943" xr:uid="{00000000-0005-0000-0000-000023520000}"/>
    <cellStyle name="Vírgula 7 3 5 2 6 3" xfId="11780" xr:uid="{00000000-0005-0000-0000-000024520000}"/>
    <cellStyle name="Vírgula 7 3 5 2 7" xfId="8659" xr:uid="{00000000-0005-0000-0000-000025520000}"/>
    <cellStyle name="Vírgula 7 3 5 2 7 2" xfId="11387" xr:uid="{00000000-0005-0000-0000-000026520000}"/>
    <cellStyle name="Vírgula 7 3 5 2 7 3" xfId="12429" xr:uid="{00000000-0005-0000-0000-000027520000}"/>
    <cellStyle name="Vírgula 7 3 5 2 8" xfId="8660" xr:uid="{00000000-0005-0000-0000-000028520000}"/>
    <cellStyle name="Vírgula 7 3 5 2 8 2" xfId="12412" xr:uid="{00000000-0005-0000-0000-000029520000}"/>
    <cellStyle name="Vírgula 7 3 5 2 8 3" xfId="12566" xr:uid="{00000000-0005-0000-0000-00002A520000}"/>
    <cellStyle name="Vírgula 7 3 5 2 9" xfId="8661" xr:uid="{00000000-0005-0000-0000-00002B520000}"/>
    <cellStyle name="Vírgula 7 3 5 3" xfId="902" xr:uid="{00000000-0005-0000-0000-00002C520000}"/>
    <cellStyle name="Vírgula 7 3 5 3 2" xfId="2413" xr:uid="{00000000-0005-0000-0000-00002D520000}"/>
    <cellStyle name="Vírgula 7 3 5 3 2 2" xfId="2887" xr:uid="{00000000-0005-0000-0000-00002E520000}"/>
    <cellStyle name="Vírgula 7 3 5 3 2 2 2" xfId="3664" xr:uid="{00000000-0005-0000-0000-00002F520000}"/>
    <cellStyle name="Vírgula 7 3 5 3 2 2 2 2" xfId="4942" xr:uid="{00000000-0005-0000-0000-000030520000}"/>
    <cellStyle name="Vírgula 7 3 5 3 2 2 2 2 2" xfId="21982" xr:uid="{00000000-0005-0000-0000-000031520000}"/>
    <cellStyle name="Vírgula 7 3 5 3 2 2 2 2 3" xfId="17977" xr:uid="{00000000-0005-0000-0000-000032520000}"/>
    <cellStyle name="Vírgula 7 3 5 3 2 2 2 3" xfId="5833" xr:uid="{00000000-0005-0000-0000-000033520000}"/>
    <cellStyle name="Vírgula 7 3 5 3 2 2 2 3 2" xfId="11642" xr:uid="{00000000-0005-0000-0000-000034520000}"/>
    <cellStyle name="Vírgula 7 3 5 3 2 2 2 3 2 2" xfId="22832" xr:uid="{00000000-0005-0000-0000-000035520000}"/>
    <cellStyle name="Vírgula 7 3 5 3 2 2 2 3 3" xfId="11755" xr:uid="{00000000-0005-0000-0000-000036520000}"/>
    <cellStyle name="Vírgula 7 3 5 3 2 2 2 3 4" xfId="18868" xr:uid="{00000000-0005-0000-0000-000037520000}"/>
    <cellStyle name="Vírgula 7 3 5 3 2 2 2 4" xfId="20732" xr:uid="{00000000-0005-0000-0000-000038520000}"/>
    <cellStyle name="Vírgula 7 3 5 3 2 2 2 5" xfId="16708" xr:uid="{00000000-0005-0000-0000-000039520000}"/>
    <cellStyle name="Vírgula 7 3 5 3 2 2 3" xfId="8662" xr:uid="{00000000-0005-0000-0000-00003A520000}"/>
    <cellStyle name="Vírgula 7 3 5 3 2 3" xfId="2816" xr:uid="{00000000-0005-0000-0000-00003B520000}"/>
    <cellStyle name="Vírgula 7 3 5 3 2 3 2" xfId="3644" xr:uid="{00000000-0005-0000-0000-00003C520000}"/>
    <cellStyle name="Vírgula 7 3 5 3 2 3 2 2" xfId="4922" xr:uid="{00000000-0005-0000-0000-00003D520000}"/>
    <cellStyle name="Vírgula 7 3 5 3 2 3 2 2 2" xfId="21962" xr:uid="{00000000-0005-0000-0000-00003E520000}"/>
    <cellStyle name="Vírgula 7 3 5 3 2 3 2 2 3" xfId="17957" xr:uid="{00000000-0005-0000-0000-00003F520000}"/>
    <cellStyle name="Vírgula 7 3 5 3 2 3 2 3" xfId="5813" xr:uid="{00000000-0005-0000-0000-000040520000}"/>
    <cellStyle name="Vírgula 7 3 5 3 2 3 2 3 2" xfId="22812" xr:uid="{00000000-0005-0000-0000-000041520000}"/>
    <cellStyle name="Vírgula 7 3 5 3 2 3 2 3 3" xfId="18848" xr:uid="{00000000-0005-0000-0000-000042520000}"/>
    <cellStyle name="Vírgula 7 3 5 3 2 3 2 4" xfId="20712" xr:uid="{00000000-0005-0000-0000-000043520000}"/>
    <cellStyle name="Vírgula 7 3 5 3 2 3 2 5" xfId="16688" xr:uid="{00000000-0005-0000-0000-000044520000}"/>
    <cellStyle name="Vírgula 7 3 5 3 2 4" xfId="2665" xr:uid="{00000000-0005-0000-0000-000045520000}"/>
    <cellStyle name="Vírgula 7 3 5 3 2 4 2" xfId="3620" xr:uid="{00000000-0005-0000-0000-000046520000}"/>
    <cellStyle name="Vírgula 7 3 5 3 2 4 2 2" xfId="4898" xr:uid="{00000000-0005-0000-0000-000047520000}"/>
    <cellStyle name="Vírgula 7 3 5 3 2 4 2 2 2" xfId="21938" xr:uid="{00000000-0005-0000-0000-000048520000}"/>
    <cellStyle name="Vírgula 7 3 5 3 2 4 2 2 3" xfId="17933" xr:uid="{00000000-0005-0000-0000-000049520000}"/>
    <cellStyle name="Vírgula 7 3 5 3 2 4 2 3" xfId="5789" xr:uid="{00000000-0005-0000-0000-00004A520000}"/>
    <cellStyle name="Vírgula 7 3 5 3 2 4 2 3 2" xfId="22788" xr:uid="{00000000-0005-0000-0000-00004B520000}"/>
    <cellStyle name="Vírgula 7 3 5 3 2 4 2 3 3" xfId="18824" xr:uid="{00000000-0005-0000-0000-00004C520000}"/>
    <cellStyle name="Vírgula 7 3 5 3 2 4 2 4" xfId="20688" xr:uid="{00000000-0005-0000-0000-00004D520000}"/>
    <cellStyle name="Vírgula 7 3 5 3 2 4 2 5" xfId="16664" xr:uid="{00000000-0005-0000-0000-00004E520000}"/>
    <cellStyle name="Vírgula 7 3 5 3 2 5" xfId="2598" xr:uid="{00000000-0005-0000-0000-00004F520000}"/>
    <cellStyle name="Vírgula 7 3 5 3 2 5 2" xfId="3604" xr:uid="{00000000-0005-0000-0000-000050520000}"/>
    <cellStyle name="Vírgula 7 3 5 3 2 5 2 2" xfId="4882" xr:uid="{00000000-0005-0000-0000-000051520000}"/>
    <cellStyle name="Vírgula 7 3 5 3 2 5 2 2 2" xfId="21922" xr:uid="{00000000-0005-0000-0000-000052520000}"/>
    <cellStyle name="Vírgula 7 3 5 3 2 5 2 2 3" xfId="17917" xr:uid="{00000000-0005-0000-0000-000053520000}"/>
    <cellStyle name="Vírgula 7 3 5 3 2 5 2 3" xfId="5773" xr:uid="{00000000-0005-0000-0000-000054520000}"/>
    <cellStyle name="Vírgula 7 3 5 3 2 5 2 3 2" xfId="22772" xr:uid="{00000000-0005-0000-0000-000055520000}"/>
    <cellStyle name="Vírgula 7 3 5 3 2 5 2 3 3" xfId="18808" xr:uid="{00000000-0005-0000-0000-000056520000}"/>
    <cellStyle name="Vírgula 7 3 5 3 2 5 2 4" xfId="20672" xr:uid="{00000000-0005-0000-0000-000057520000}"/>
    <cellStyle name="Vírgula 7 3 5 3 2 5 2 5" xfId="16648" xr:uid="{00000000-0005-0000-0000-000058520000}"/>
    <cellStyle name="Vírgula 7 3 5 3 2 6" xfId="3542" xr:uid="{00000000-0005-0000-0000-000059520000}"/>
    <cellStyle name="Vírgula 7 3 5 3 2 6 2" xfId="4837" xr:uid="{00000000-0005-0000-0000-00005A520000}"/>
    <cellStyle name="Vírgula 7 3 5 3 2 6 2 2" xfId="21877" xr:uid="{00000000-0005-0000-0000-00005B520000}"/>
    <cellStyle name="Vírgula 7 3 5 3 2 6 2 3" xfId="17872" xr:uid="{00000000-0005-0000-0000-00005C520000}"/>
    <cellStyle name="Vírgula 7 3 5 3 2 6 3" xfId="5711" xr:uid="{00000000-0005-0000-0000-00005D520000}"/>
    <cellStyle name="Vírgula 7 3 5 3 2 6 3 2" xfId="22710" xr:uid="{00000000-0005-0000-0000-00005E520000}"/>
    <cellStyle name="Vírgula 7 3 5 3 2 6 3 3" xfId="18746" xr:uid="{00000000-0005-0000-0000-00005F520000}"/>
    <cellStyle name="Vírgula 7 3 5 3 2 6 4" xfId="20610" xr:uid="{00000000-0005-0000-0000-000060520000}"/>
    <cellStyle name="Vírgula 7 3 5 3 2 6 5" xfId="16586" xr:uid="{00000000-0005-0000-0000-000061520000}"/>
    <cellStyle name="Vírgula 7 3 5 3 2 7" xfId="4064" xr:uid="{00000000-0005-0000-0000-000062520000}"/>
    <cellStyle name="Vírgula 7 3 5 3 2 7 2" xfId="6441" xr:uid="{00000000-0005-0000-0000-000063520000}"/>
    <cellStyle name="Vírgula 7 3 5 3 2 7 2 2" xfId="23423" xr:uid="{00000000-0005-0000-0000-000064520000}"/>
    <cellStyle name="Vírgula 7 3 5 3 2 7 2 3" xfId="19476" xr:uid="{00000000-0005-0000-0000-000065520000}"/>
    <cellStyle name="Vírgula 7 3 5 3 2 7 3" xfId="21112" xr:uid="{00000000-0005-0000-0000-000066520000}"/>
    <cellStyle name="Vírgula 7 3 5 3 2 7 4" xfId="17104" xr:uid="{00000000-0005-0000-0000-000067520000}"/>
    <cellStyle name="Vírgula 7 3 5 3 3" xfId="2525" xr:uid="{00000000-0005-0000-0000-000068520000}"/>
    <cellStyle name="Vírgula 7 3 5 3 3 2" xfId="3587" xr:uid="{00000000-0005-0000-0000-000069520000}"/>
    <cellStyle name="Vírgula 7 3 5 3 3 2 2" xfId="4865" xr:uid="{00000000-0005-0000-0000-00006A520000}"/>
    <cellStyle name="Vírgula 7 3 5 3 3 2 2 2" xfId="21905" xr:uid="{00000000-0005-0000-0000-00006B520000}"/>
    <cellStyle name="Vírgula 7 3 5 3 3 2 2 3" xfId="17900" xr:uid="{00000000-0005-0000-0000-00006C520000}"/>
    <cellStyle name="Vírgula 7 3 5 3 3 2 3" xfId="5756" xr:uid="{00000000-0005-0000-0000-00006D520000}"/>
    <cellStyle name="Vírgula 7 3 5 3 3 2 3 2" xfId="22755" xr:uid="{00000000-0005-0000-0000-00006E520000}"/>
    <cellStyle name="Vírgula 7 3 5 3 3 2 3 3" xfId="18791" xr:uid="{00000000-0005-0000-0000-00006F520000}"/>
    <cellStyle name="Vírgula 7 3 5 3 3 2 4" xfId="20655" xr:uid="{00000000-0005-0000-0000-000070520000}"/>
    <cellStyle name="Vírgula 7 3 5 3 3 2 5" xfId="16631" xr:uid="{00000000-0005-0000-0000-000071520000}"/>
    <cellStyle name="Vírgula 7 3 5 3 3 3" xfId="4066" xr:uid="{00000000-0005-0000-0000-000072520000}"/>
    <cellStyle name="Vírgula 7 3 5 3 3 3 2" xfId="6486" xr:uid="{00000000-0005-0000-0000-000073520000}"/>
    <cellStyle name="Vírgula 7 3 5 3 3 3 2 2" xfId="23468" xr:uid="{00000000-0005-0000-0000-000074520000}"/>
    <cellStyle name="Vírgula 7 3 5 3 3 3 2 3" xfId="19521" xr:uid="{00000000-0005-0000-0000-000075520000}"/>
    <cellStyle name="Vírgula 7 3 5 3 3 3 3" xfId="21114" xr:uid="{00000000-0005-0000-0000-000076520000}"/>
    <cellStyle name="Vírgula 7 3 5 3 3 3 4" xfId="17106" xr:uid="{00000000-0005-0000-0000-000077520000}"/>
    <cellStyle name="Vírgula 7 3 5 3 4" xfId="3187" xr:uid="{00000000-0005-0000-0000-000078520000}"/>
    <cellStyle name="Vírgula 7 3 5 3 4 2" xfId="4182" xr:uid="{00000000-0005-0000-0000-000079520000}"/>
    <cellStyle name="Vírgula 7 3 5 3 4 2 2" xfId="6587" xr:uid="{00000000-0005-0000-0000-00007A520000}"/>
    <cellStyle name="Vírgula 7 3 5 3 4 2 2 2" xfId="23569" xr:uid="{00000000-0005-0000-0000-00007B520000}"/>
    <cellStyle name="Vírgula 7 3 5 3 4 2 2 3" xfId="19622" xr:uid="{00000000-0005-0000-0000-00007C520000}"/>
    <cellStyle name="Vírgula 7 3 5 3 4 2 3" xfId="21228" xr:uid="{00000000-0005-0000-0000-00007D520000}"/>
    <cellStyle name="Vírgula 7 3 5 3 4 2 4" xfId="17221" xr:uid="{00000000-0005-0000-0000-00007E520000}"/>
    <cellStyle name="Vírgula 7 3 5 3 4 3" xfId="5356" xr:uid="{00000000-0005-0000-0000-00007F520000}"/>
    <cellStyle name="Vírgula 7 3 5 3 4 3 2" xfId="22355" xr:uid="{00000000-0005-0000-0000-000080520000}"/>
    <cellStyle name="Vírgula 7 3 5 3 4 3 3" xfId="18391" xr:uid="{00000000-0005-0000-0000-000081520000}"/>
    <cellStyle name="Vírgula 7 3 5 3 4 4" xfId="20255" xr:uid="{00000000-0005-0000-0000-000082520000}"/>
    <cellStyle name="Vírgula 7 3 5 3 4 5" xfId="16231" xr:uid="{00000000-0005-0000-0000-000083520000}"/>
    <cellStyle name="Vírgula 7 3 5 3 5" xfId="3936" xr:uid="{00000000-0005-0000-0000-000084520000}"/>
    <cellStyle name="Vírgula 7 3 5 3 5 2" xfId="6077" xr:uid="{00000000-0005-0000-0000-000085520000}"/>
    <cellStyle name="Vírgula 7 3 5 3 5 2 2" xfId="23066" xr:uid="{00000000-0005-0000-0000-000086520000}"/>
    <cellStyle name="Vírgula 7 3 5 3 5 2 3" xfId="19112" xr:uid="{00000000-0005-0000-0000-000087520000}"/>
    <cellStyle name="Vírgula 7 3 5 3 5 3" xfId="20993" xr:uid="{00000000-0005-0000-0000-000088520000}"/>
    <cellStyle name="Vírgula 7 3 5 3 5 4" xfId="16978" xr:uid="{00000000-0005-0000-0000-000089520000}"/>
    <cellStyle name="Vírgula 7 3 5 3 6" xfId="6772" xr:uid="{00000000-0005-0000-0000-00008A520000}"/>
    <cellStyle name="Vírgula 7 3 5 3 6 2" xfId="23745" xr:uid="{00000000-0005-0000-0000-00008B520000}"/>
    <cellStyle name="Vírgula 7 3 5 3 6 3" xfId="19807" xr:uid="{00000000-0005-0000-0000-00008C520000}"/>
    <cellStyle name="Vírgula 7 3 5 3 7" xfId="5090" xr:uid="{00000000-0005-0000-0000-00008D520000}"/>
    <cellStyle name="Vírgula 7 3 5 3 7 2" xfId="22098" xr:uid="{00000000-0005-0000-0000-00008E520000}"/>
    <cellStyle name="Vírgula 7 3 5 3 7 3" xfId="18125" xr:uid="{00000000-0005-0000-0000-00008F520000}"/>
    <cellStyle name="Vírgula 7 3 5 3 8" xfId="10490" xr:uid="{00000000-0005-0000-0000-000090520000}"/>
    <cellStyle name="Vírgula 7 3 5 3 8 2" xfId="19998" xr:uid="{00000000-0005-0000-0000-000091520000}"/>
    <cellStyle name="Vírgula 7 3 5 3 9" xfId="15958" xr:uid="{00000000-0005-0000-0000-000092520000}"/>
    <cellStyle name="Vírgula 7 3 5 4" xfId="5961" xr:uid="{00000000-0005-0000-0000-000093520000}"/>
    <cellStyle name="Vírgula 7 3 5 4 2" xfId="22955" xr:uid="{00000000-0005-0000-0000-000094520000}"/>
    <cellStyle name="Vírgula 7 3 5 4 3" xfId="18996" xr:uid="{00000000-0005-0000-0000-000095520000}"/>
    <cellStyle name="Vírgula 7 3 5 5" xfId="9340" xr:uid="{00000000-0005-0000-0000-000096520000}"/>
    <cellStyle name="Vírgula 7 3 6" xfId="617" xr:uid="{00000000-0005-0000-0000-000097520000}"/>
    <cellStyle name="Vírgula 7 3 6 10" xfId="8663" xr:uid="{00000000-0005-0000-0000-000098520000}"/>
    <cellStyle name="Vírgula 7 3 6 11" xfId="8664" xr:uid="{00000000-0005-0000-0000-000099520000}"/>
    <cellStyle name="Vírgula 7 3 6 12" xfId="9125" xr:uid="{00000000-0005-0000-0000-00009A520000}"/>
    <cellStyle name="Vírgula 7 3 6 2" xfId="618" xr:uid="{00000000-0005-0000-0000-00009B520000}"/>
    <cellStyle name="Vírgula 7 3 6 2 10" xfId="8665" xr:uid="{00000000-0005-0000-0000-00009C520000}"/>
    <cellStyle name="Vírgula 7 3 6 2 11" xfId="9606" xr:uid="{00000000-0005-0000-0000-00009D520000}"/>
    <cellStyle name="Vírgula 7 3 6 2 2" xfId="838" xr:uid="{00000000-0005-0000-0000-00009E520000}"/>
    <cellStyle name="Vírgula 7 3 6 2 2 2" xfId="3134" xr:uid="{00000000-0005-0000-0000-00009F520000}"/>
    <cellStyle name="Vírgula 7 3 6 2 2 2 2" xfId="4549" xr:uid="{00000000-0005-0000-0000-0000A0520000}"/>
    <cellStyle name="Vírgula 7 3 6 2 2 2 2 2" xfId="21589" xr:uid="{00000000-0005-0000-0000-0000A1520000}"/>
    <cellStyle name="Vírgula 7 3 6 2 2 2 2 3" xfId="17584" xr:uid="{00000000-0005-0000-0000-0000A2520000}"/>
    <cellStyle name="Vírgula 7 3 6 2 2 2 3" xfId="5303" xr:uid="{00000000-0005-0000-0000-0000A3520000}"/>
    <cellStyle name="Vírgula 7 3 6 2 2 2 3 2" xfId="22302" xr:uid="{00000000-0005-0000-0000-0000A4520000}"/>
    <cellStyle name="Vírgula 7 3 6 2 2 2 3 3" xfId="18338" xr:uid="{00000000-0005-0000-0000-0000A5520000}"/>
    <cellStyle name="Vírgula 7 3 6 2 2 2 4" xfId="20202" xr:uid="{00000000-0005-0000-0000-0000A6520000}"/>
    <cellStyle name="Vírgula 7 3 6 2 2 2 5" xfId="16178" xr:uid="{00000000-0005-0000-0000-0000A7520000}"/>
    <cellStyle name="Vírgula 7 3 6 2 2 3" xfId="4212" xr:uid="{00000000-0005-0000-0000-0000A8520000}"/>
    <cellStyle name="Vírgula 7 3 6 2 2 3 2" xfId="6020" xr:uid="{00000000-0005-0000-0000-0000A9520000}"/>
    <cellStyle name="Vírgula 7 3 6 2 2 3 2 2" xfId="23013" xr:uid="{00000000-0005-0000-0000-0000AA520000}"/>
    <cellStyle name="Vírgula 7 3 6 2 2 3 2 3" xfId="19055" xr:uid="{00000000-0005-0000-0000-0000AB520000}"/>
    <cellStyle name="Vírgula 7 3 6 2 2 3 3" xfId="21258" xr:uid="{00000000-0005-0000-0000-0000AC520000}"/>
    <cellStyle name="Vírgula 7 3 6 2 2 3 4" xfId="17251" xr:uid="{00000000-0005-0000-0000-0000AD520000}"/>
    <cellStyle name="Vírgula 7 3 6 2 2 4" xfId="10493" xr:uid="{00000000-0005-0000-0000-0000AE520000}"/>
    <cellStyle name="Vírgula 7 3 6 2 3" xfId="3082" xr:uid="{00000000-0005-0000-0000-0000AF520000}"/>
    <cellStyle name="Vírgula 7 3 6 2 3 2" xfId="4509" xr:uid="{00000000-0005-0000-0000-0000B0520000}"/>
    <cellStyle name="Vírgula 7 3 6 2 3 2 2" xfId="21549" xr:uid="{00000000-0005-0000-0000-0000B1520000}"/>
    <cellStyle name="Vírgula 7 3 6 2 3 2 3" xfId="17544" xr:uid="{00000000-0005-0000-0000-0000B2520000}"/>
    <cellStyle name="Vírgula 7 3 6 2 3 3" xfId="5251" xr:uid="{00000000-0005-0000-0000-0000B3520000}"/>
    <cellStyle name="Vírgula 7 3 6 2 3 3 2" xfId="10968" xr:uid="{00000000-0005-0000-0000-0000B4520000}"/>
    <cellStyle name="Vírgula 7 3 6 2 3 3 2 2" xfId="22250" xr:uid="{00000000-0005-0000-0000-0000B5520000}"/>
    <cellStyle name="Vírgula 7 3 6 2 3 3 3" xfId="11093" xr:uid="{00000000-0005-0000-0000-0000B6520000}"/>
    <cellStyle name="Vírgula 7 3 6 2 3 3 4" xfId="18286" xr:uid="{00000000-0005-0000-0000-0000B7520000}"/>
    <cellStyle name="Vírgula 7 3 6 2 3 4" xfId="13593" xr:uid="{00000000-0005-0000-0000-0000B8520000}"/>
    <cellStyle name="Vírgula 7 3 6 2 3 4 2" xfId="20150" xr:uid="{00000000-0005-0000-0000-0000B9520000}"/>
    <cellStyle name="Vírgula 7 3 6 2 3 5" xfId="16126" xr:uid="{00000000-0005-0000-0000-0000BA520000}"/>
    <cellStyle name="Vírgula 7 3 6 2 4" xfId="4039" xr:uid="{00000000-0005-0000-0000-0000BB520000}"/>
    <cellStyle name="Vírgula 7 3 6 2 4 2" xfId="5964" xr:uid="{00000000-0005-0000-0000-0000BC520000}"/>
    <cellStyle name="Vírgula 7 3 6 2 4 2 2" xfId="11888" xr:uid="{00000000-0005-0000-0000-0000BD520000}"/>
    <cellStyle name="Vírgula 7 3 6 2 4 2 2 2" xfId="22958" xr:uid="{00000000-0005-0000-0000-0000BE520000}"/>
    <cellStyle name="Vírgula 7 3 6 2 4 2 3" xfId="12567" xr:uid="{00000000-0005-0000-0000-0000BF520000}"/>
    <cellStyle name="Vírgula 7 3 6 2 4 2 4" xfId="18999" xr:uid="{00000000-0005-0000-0000-0000C0520000}"/>
    <cellStyle name="Vírgula 7 3 6 2 4 3" xfId="13706" xr:uid="{00000000-0005-0000-0000-0000C1520000}"/>
    <cellStyle name="Vírgula 7 3 6 2 4 3 2" xfId="21088" xr:uid="{00000000-0005-0000-0000-0000C2520000}"/>
    <cellStyle name="Vírgula 7 3 6 2 4 4" xfId="17080" xr:uid="{00000000-0005-0000-0000-0000C3520000}"/>
    <cellStyle name="Vírgula 7 3 6 2 5" xfId="8666" xr:uid="{00000000-0005-0000-0000-0000C4520000}"/>
    <cellStyle name="Vírgula 7 3 6 2 5 2" xfId="11830" xr:uid="{00000000-0005-0000-0000-0000C5520000}"/>
    <cellStyle name="Vírgula 7 3 6 2 5 3" xfId="11067" xr:uid="{00000000-0005-0000-0000-0000C6520000}"/>
    <cellStyle name="Vírgula 7 3 6 2 6" xfId="8667" xr:uid="{00000000-0005-0000-0000-0000C7520000}"/>
    <cellStyle name="Vírgula 7 3 6 2 6 2" xfId="12021" xr:uid="{00000000-0005-0000-0000-0000C8520000}"/>
    <cellStyle name="Vírgula 7 3 6 2 6 3" xfId="10999" xr:uid="{00000000-0005-0000-0000-0000C9520000}"/>
    <cellStyle name="Vírgula 7 3 6 2 7" xfId="8668" xr:uid="{00000000-0005-0000-0000-0000CA520000}"/>
    <cellStyle name="Vírgula 7 3 6 2 7 2" xfId="11094" xr:uid="{00000000-0005-0000-0000-0000CB520000}"/>
    <cellStyle name="Vírgula 7 3 6 2 7 3" xfId="11456" xr:uid="{00000000-0005-0000-0000-0000CC520000}"/>
    <cellStyle name="Vírgula 7 3 6 2 8" xfId="8669" xr:uid="{00000000-0005-0000-0000-0000CD520000}"/>
    <cellStyle name="Vírgula 7 3 6 2 8 2" xfId="13144" xr:uid="{00000000-0005-0000-0000-0000CE520000}"/>
    <cellStyle name="Vírgula 7 3 6 2 8 3" xfId="11161" xr:uid="{00000000-0005-0000-0000-0000CF520000}"/>
    <cellStyle name="Vírgula 7 3 6 2 9" xfId="8670" xr:uid="{00000000-0005-0000-0000-0000D0520000}"/>
    <cellStyle name="Vírgula 7 3 6 3" xfId="837" xr:uid="{00000000-0005-0000-0000-0000D1520000}"/>
    <cellStyle name="Vírgula 7 3 6 3 2" xfId="3133" xr:uid="{00000000-0005-0000-0000-0000D2520000}"/>
    <cellStyle name="Vírgula 7 3 6 3 2 2" xfId="4548" xr:uid="{00000000-0005-0000-0000-0000D3520000}"/>
    <cellStyle name="Vírgula 7 3 6 3 2 2 2" xfId="21588" xr:uid="{00000000-0005-0000-0000-0000D4520000}"/>
    <cellStyle name="Vírgula 7 3 6 3 2 2 3" xfId="17583" xr:uid="{00000000-0005-0000-0000-0000D5520000}"/>
    <cellStyle name="Vírgula 7 3 6 3 2 3" xfId="5302" xr:uid="{00000000-0005-0000-0000-0000D6520000}"/>
    <cellStyle name="Vírgula 7 3 6 3 2 3 2" xfId="22301" xr:uid="{00000000-0005-0000-0000-0000D7520000}"/>
    <cellStyle name="Vírgula 7 3 6 3 2 3 3" xfId="18337" xr:uid="{00000000-0005-0000-0000-0000D8520000}"/>
    <cellStyle name="Vírgula 7 3 6 3 2 4" xfId="20201" xr:uid="{00000000-0005-0000-0000-0000D9520000}"/>
    <cellStyle name="Vírgula 7 3 6 3 2 5" xfId="16177" xr:uid="{00000000-0005-0000-0000-0000DA520000}"/>
    <cellStyle name="Vírgula 7 3 6 3 3" xfId="3732" xr:uid="{00000000-0005-0000-0000-0000DB520000}"/>
    <cellStyle name="Vírgula 7 3 6 3 3 2" xfId="6019" xr:uid="{00000000-0005-0000-0000-0000DC520000}"/>
    <cellStyle name="Vírgula 7 3 6 3 3 2 2" xfId="23012" xr:uid="{00000000-0005-0000-0000-0000DD520000}"/>
    <cellStyle name="Vírgula 7 3 6 3 3 2 3" xfId="19054" xr:uid="{00000000-0005-0000-0000-0000DE520000}"/>
    <cellStyle name="Vírgula 7 3 6 3 3 3" xfId="20797" xr:uid="{00000000-0005-0000-0000-0000DF520000}"/>
    <cellStyle name="Vírgula 7 3 6 3 3 4" xfId="16776" xr:uid="{00000000-0005-0000-0000-0000E0520000}"/>
    <cellStyle name="Vírgula 7 3 6 3 4" xfId="10492" xr:uid="{00000000-0005-0000-0000-0000E1520000}"/>
    <cellStyle name="Vírgula 7 3 6 4" xfId="3081" xr:uid="{00000000-0005-0000-0000-0000E2520000}"/>
    <cellStyle name="Vírgula 7 3 6 4 2" xfId="4508" xr:uid="{00000000-0005-0000-0000-0000E3520000}"/>
    <cellStyle name="Vírgula 7 3 6 4 2 2" xfId="21548" xr:uid="{00000000-0005-0000-0000-0000E4520000}"/>
    <cellStyle name="Vírgula 7 3 6 4 2 3" xfId="17543" xr:uid="{00000000-0005-0000-0000-0000E5520000}"/>
    <cellStyle name="Vírgula 7 3 6 4 3" xfId="5250" xr:uid="{00000000-0005-0000-0000-0000E6520000}"/>
    <cellStyle name="Vírgula 7 3 6 4 3 2" xfId="11258" xr:uid="{00000000-0005-0000-0000-0000E7520000}"/>
    <cellStyle name="Vírgula 7 3 6 4 3 2 2" xfId="22249" xr:uid="{00000000-0005-0000-0000-0000E8520000}"/>
    <cellStyle name="Vírgula 7 3 6 4 3 3" xfId="11001" xr:uid="{00000000-0005-0000-0000-0000E9520000}"/>
    <cellStyle name="Vírgula 7 3 6 4 3 4" xfId="18285" xr:uid="{00000000-0005-0000-0000-0000EA520000}"/>
    <cellStyle name="Vírgula 7 3 6 4 4" xfId="13592" xr:uid="{00000000-0005-0000-0000-0000EB520000}"/>
    <cellStyle name="Vírgula 7 3 6 4 4 2" xfId="20149" xr:uid="{00000000-0005-0000-0000-0000EC520000}"/>
    <cellStyle name="Vírgula 7 3 6 4 5" xfId="16125" xr:uid="{00000000-0005-0000-0000-0000ED520000}"/>
    <cellStyle name="Vírgula 7 3 6 5" xfId="4193" xr:uid="{00000000-0005-0000-0000-0000EE520000}"/>
    <cellStyle name="Vírgula 7 3 6 5 2" xfId="5963" xr:uid="{00000000-0005-0000-0000-0000EF520000}"/>
    <cellStyle name="Vírgula 7 3 6 5 2 2" xfId="11411" xr:uid="{00000000-0005-0000-0000-0000F0520000}"/>
    <cellStyle name="Vírgula 7 3 6 5 2 2 2" xfId="22957" xr:uid="{00000000-0005-0000-0000-0000F1520000}"/>
    <cellStyle name="Vírgula 7 3 6 5 2 3" xfId="11000" xr:uid="{00000000-0005-0000-0000-0000F2520000}"/>
    <cellStyle name="Vírgula 7 3 6 5 2 4" xfId="18998" xr:uid="{00000000-0005-0000-0000-0000F3520000}"/>
    <cellStyle name="Vírgula 7 3 6 5 3" xfId="13713" xr:uid="{00000000-0005-0000-0000-0000F4520000}"/>
    <cellStyle name="Vírgula 7 3 6 5 3 2" xfId="21239" xr:uid="{00000000-0005-0000-0000-0000F5520000}"/>
    <cellStyle name="Vírgula 7 3 6 5 4" xfId="17232" xr:uid="{00000000-0005-0000-0000-0000F6520000}"/>
    <cellStyle name="Vírgula 7 3 6 6" xfId="8671" xr:uid="{00000000-0005-0000-0000-0000F7520000}"/>
    <cellStyle name="Vírgula 7 3 6 6 2" xfId="11748" xr:uid="{00000000-0005-0000-0000-0000F8520000}"/>
    <cellStyle name="Vírgula 7 3 6 6 3" xfId="12374" xr:uid="{00000000-0005-0000-0000-0000F9520000}"/>
    <cellStyle name="Vírgula 7 3 6 7" xfId="8672" xr:uid="{00000000-0005-0000-0000-0000FA520000}"/>
    <cellStyle name="Vírgula 7 3 6 7 2" xfId="11388" xr:uid="{00000000-0005-0000-0000-0000FB520000}"/>
    <cellStyle name="Vírgula 7 3 6 7 3" xfId="11637" xr:uid="{00000000-0005-0000-0000-0000FC520000}"/>
    <cellStyle name="Vírgula 7 3 6 8" xfId="8673" xr:uid="{00000000-0005-0000-0000-0000FD520000}"/>
    <cellStyle name="Vírgula 7 3 6 8 2" xfId="11389" xr:uid="{00000000-0005-0000-0000-0000FE520000}"/>
    <cellStyle name="Vírgula 7 3 6 8 3" xfId="12955" xr:uid="{00000000-0005-0000-0000-0000FF520000}"/>
    <cellStyle name="Vírgula 7 3 6 9" xfId="8674" xr:uid="{00000000-0005-0000-0000-000000530000}"/>
    <cellStyle name="Vírgula 7 3 6 9 2" xfId="11390" xr:uid="{00000000-0005-0000-0000-000001530000}"/>
    <cellStyle name="Vírgula 7 3 6 9 3" xfId="11560" xr:uid="{00000000-0005-0000-0000-000002530000}"/>
    <cellStyle name="Vírgula 7 3 7" xfId="619" xr:uid="{00000000-0005-0000-0000-000003530000}"/>
    <cellStyle name="Vírgula 7 3 7 2" xfId="903" xr:uid="{00000000-0005-0000-0000-000004530000}"/>
    <cellStyle name="Vírgula 7 3 7 2 2" xfId="2414" xr:uid="{00000000-0005-0000-0000-000005530000}"/>
    <cellStyle name="Vírgula 7 3 7 2 2 2" xfId="3543" xr:uid="{00000000-0005-0000-0000-000006530000}"/>
    <cellStyle name="Vírgula 7 3 7 2 2 2 2" xfId="4838" xr:uid="{00000000-0005-0000-0000-000007530000}"/>
    <cellStyle name="Vírgula 7 3 7 2 2 2 2 2" xfId="21878" xr:uid="{00000000-0005-0000-0000-000008530000}"/>
    <cellStyle name="Vírgula 7 3 7 2 2 2 2 3" xfId="17873" xr:uid="{00000000-0005-0000-0000-000009530000}"/>
    <cellStyle name="Vírgula 7 3 7 2 2 2 3" xfId="5712" xr:uid="{00000000-0005-0000-0000-00000A530000}"/>
    <cellStyle name="Vírgula 7 3 7 2 2 2 3 2" xfId="22711" xr:uid="{00000000-0005-0000-0000-00000B530000}"/>
    <cellStyle name="Vírgula 7 3 7 2 2 2 3 3" xfId="18747" xr:uid="{00000000-0005-0000-0000-00000C530000}"/>
    <cellStyle name="Vírgula 7 3 7 2 2 2 4" xfId="20611" xr:uid="{00000000-0005-0000-0000-00000D530000}"/>
    <cellStyle name="Vírgula 7 3 7 2 2 2 5" xfId="16587" xr:uid="{00000000-0005-0000-0000-00000E530000}"/>
    <cellStyle name="Vírgula 7 3 7 2 2 3" xfId="4262" xr:uid="{00000000-0005-0000-0000-00000F530000}"/>
    <cellStyle name="Vírgula 7 3 7 2 2 3 2" xfId="6442" xr:uid="{00000000-0005-0000-0000-000010530000}"/>
    <cellStyle name="Vírgula 7 3 7 2 2 3 2 2" xfId="23424" xr:uid="{00000000-0005-0000-0000-000011530000}"/>
    <cellStyle name="Vírgula 7 3 7 2 2 3 2 3" xfId="19477" xr:uid="{00000000-0005-0000-0000-000012530000}"/>
    <cellStyle name="Vírgula 7 3 7 2 2 3 3" xfId="21306" xr:uid="{00000000-0005-0000-0000-000013530000}"/>
    <cellStyle name="Vírgula 7 3 7 2 2 3 4" xfId="17299" xr:uid="{00000000-0005-0000-0000-000014530000}"/>
    <cellStyle name="Vírgula 7 3 7 2 3" xfId="3188" xr:uid="{00000000-0005-0000-0000-000015530000}"/>
    <cellStyle name="Vírgula 7 3 7 2 3 2" xfId="4349" xr:uid="{00000000-0005-0000-0000-000016530000}"/>
    <cellStyle name="Vírgula 7 3 7 2 3 2 2" xfId="6588" xr:uid="{00000000-0005-0000-0000-000017530000}"/>
    <cellStyle name="Vírgula 7 3 7 2 3 2 2 2" xfId="23570" xr:uid="{00000000-0005-0000-0000-000018530000}"/>
    <cellStyle name="Vírgula 7 3 7 2 3 2 2 3" xfId="19623" xr:uid="{00000000-0005-0000-0000-000019530000}"/>
    <cellStyle name="Vírgula 7 3 7 2 3 2 3" xfId="21393" xr:uid="{00000000-0005-0000-0000-00001A530000}"/>
    <cellStyle name="Vírgula 7 3 7 2 3 2 4" xfId="17386" xr:uid="{00000000-0005-0000-0000-00001B530000}"/>
    <cellStyle name="Vírgula 7 3 7 2 3 3" xfId="5357" xr:uid="{00000000-0005-0000-0000-00001C530000}"/>
    <cellStyle name="Vírgula 7 3 7 2 3 3 2" xfId="22356" xr:uid="{00000000-0005-0000-0000-00001D530000}"/>
    <cellStyle name="Vírgula 7 3 7 2 3 3 3" xfId="18392" xr:uid="{00000000-0005-0000-0000-00001E530000}"/>
    <cellStyle name="Vírgula 7 3 7 2 3 4" xfId="13616" xr:uid="{00000000-0005-0000-0000-00001F530000}"/>
    <cellStyle name="Vírgula 7 3 7 2 3 4 2" xfId="20256" xr:uid="{00000000-0005-0000-0000-000020530000}"/>
    <cellStyle name="Vírgula 7 3 7 2 3 5" xfId="13414" xr:uid="{00000000-0005-0000-0000-000021530000}"/>
    <cellStyle name="Vírgula 7 3 7 2 3 6" xfId="16232" xr:uid="{00000000-0005-0000-0000-000022530000}"/>
    <cellStyle name="Vírgula 7 3 7 2 4" xfId="3937" xr:uid="{00000000-0005-0000-0000-000023530000}"/>
    <cellStyle name="Vírgula 7 3 7 2 4 2" xfId="6078" xr:uid="{00000000-0005-0000-0000-000024530000}"/>
    <cellStyle name="Vírgula 7 3 7 2 4 2 2" xfId="23067" xr:uid="{00000000-0005-0000-0000-000025530000}"/>
    <cellStyle name="Vírgula 7 3 7 2 4 2 3" xfId="19113" xr:uid="{00000000-0005-0000-0000-000026530000}"/>
    <cellStyle name="Vírgula 7 3 7 2 4 3" xfId="20994" xr:uid="{00000000-0005-0000-0000-000027530000}"/>
    <cellStyle name="Vírgula 7 3 7 2 4 4" xfId="16979" xr:uid="{00000000-0005-0000-0000-000028530000}"/>
    <cellStyle name="Vírgula 7 3 7 2 5" xfId="6773" xr:uid="{00000000-0005-0000-0000-000029530000}"/>
    <cellStyle name="Vírgula 7 3 7 2 5 2" xfId="23746" xr:uid="{00000000-0005-0000-0000-00002A530000}"/>
    <cellStyle name="Vírgula 7 3 7 2 5 3" xfId="19808" xr:uid="{00000000-0005-0000-0000-00002B530000}"/>
    <cellStyle name="Vírgula 7 3 7 2 6" xfId="5091" xr:uid="{00000000-0005-0000-0000-00002C530000}"/>
    <cellStyle name="Vírgula 7 3 7 2 6 2" xfId="22099" xr:uid="{00000000-0005-0000-0000-00002D530000}"/>
    <cellStyle name="Vírgula 7 3 7 2 6 3" xfId="18126" xr:uid="{00000000-0005-0000-0000-00002E530000}"/>
    <cellStyle name="Vírgula 7 3 7 2 7" xfId="10494" xr:uid="{00000000-0005-0000-0000-00002F530000}"/>
    <cellStyle name="Vírgula 7 3 7 2 7 2" xfId="19999" xr:uid="{00000000-0005-0000-0000-000030530000}"/>
    <cellStyle name="Vírgula 7 3 7 2 8" xfId="15959" xr:uid="{00000000-0005-0000-0000-000031530000}"/>
    <cellStyle name="Vírgula 7 3 7 3" xfId="2415" xr:uid="{00000000-0005-0000-0000-000032530000}"/>
    <cellStyle name="Vírgula 7 3 7 3 2" xfId="2526" xr:uid="{00000000-0005-0000-0000-000033530000}"/>
    <cellStyle name="Vírgula 7 3 7 3 2 2" xfId="3588" xr:uid="{00000000-0005-0000-0000-000034530000}"/>
    <cellStyle name="Vírgula 7 3 7 3 2 2 2" xfId="4866" xr:uid="{00000000-0005-0000-0000-000035530000}"/>
    <cellStyle name="Vírgula 7 3 7 3 2 2 2 2" xfId="21906" xr:uid="{00000000-0005-0000-0000-000036530000}"/>
    <cellStyle name="Vírgula 7 3 7 3 2 2 2 3" xfId="17901" xr:uid="{00000000-0005-0000-0000-000037530000}"/>
    <cellStyle name="Vírgula 7 3 7 3 2 2 3" xfId="5757" xr:uid="{00000000-0005-0000-0000-000038530000}"/>
    <cellStyle name="Vírgula 7 3 7 3 2 2 3 2" xfId="22756" xr:uid="{00000000-0005-0000-0000-000039530000}"/>
    <cellStyle name="Vírgula 7 3 7 3 2 2 3 3" xfId="18792" xr:uid="{00000000-0005-0000-0000-00003A530000}"/>
    <cellStyle name="Vírgula 7 3 7 3 2 2 4" xfId="20656" xr:uid="{00000000-0005-0000-0000-00003B530000}"/>
    <cellStyle name="Vírgula 7 3 7 3 2 2 5" xfId="16632" xr:uid="{00000000-0005-0000-0000-00003C530000}"/>
    <cellStyle name="Vírgula 7 3 7 3 2 3" xfId="3709" xr:uid="{00000000-0005-0000-0000-00003D530000}"/>
    <cellStyle name="Vírgula 7 3 7 3 2 3 2" xfId="6487" xr:uid="{00000000-0005-0000-0000-00003E530000}"/>
    <cellStyle name="Vírgula 7 3 7 3 2 3 2 2" xfId="23469" xr:uid="{00000000-0005-0000-0000-00003F530000}"/>
    <cellStyle name="Vírgula 7 3 7 3 2 3 2 3" xfId="19522" xr:uid="{00000000-0005-0000-0000-000040530000}"/>
    <cellStyle name="Vírgula 7 3 7 3 2 3 3" xfId="20777" xr:uid="{00000000-0005-0000-0000-000041530000}"/>
    <cellStyle name="Vírgula 7 3 7 3 2 3 4" xfId="16753" xr:uid="{00000000-0005-0000-0000-000042530000}"/>
    <cellStyle name="Vírgula 7 3 7 3 3" xfId="2817" xr:uid="{00000000-0005-0000-0000-000043530000}"/>
    <cellStyle name="Vírgula 7 3 7 3 3 2" xfId="3645" xr:uid="{00000000-0005-0000-0000-000044530000}"/>
    <cellStyle name="Vírgula 7 3 7 3 3 2 2" xfId="4923" xr:uid="{00000000-0005-0000-0000-000045530000}"/>
    <cellStyle name="Vírgula 7 3 7 3 3 2 2 2" xfId="21963" xr:uid="{00000000-0005-0000-0000-000046530000}"/>
    <cellStyle name="Vírgula 7 3 7 3 3 2 2 3" xfId="17958" xr:uid="{00000000-0005-0000-0000-000047530000}"/>
    <cellStyle name="Vírgula 7 3 7 3 3 2 3" xfId="5814" xr:uid="{00000000-0005-0000-0000-000048530000}"/>
    <cellStyle name="Vírgula 7 3 7 3 3 2 3 2" xfId="22813" xr:uid="{00000000-0005-0000-0000-000049530000}"/>
    <cellStyle name="Vírgula 7 3 7 3 3 2 3 3" xfId="18849" xr:uid="{00000000-0005-0000-0000-00004A530000}"/>
    <cellStyle name="Vírgula 7 3 7 3 3 2 4" xfId="20713" xr:uid="{00000000-0005-0000-0000-00004B530000}"/>
    <cellStyle name="Vírgula 7 3 7 3 3 2 5" xfId="16689" xr:uid="{00000000-0005-0000-0000-00004C530000}"/>
    <cellStyle name="Vírgula 7 3 7 3 4" xfId="3544" xr:uid="{00000000-0005-0000-0000-00004D530000}"/>
    <cellStyle name="Vírgula 7 3 7 3 4 2" xfId="4839" xr:uid="{00000000-0005-0000-0000-00004E530000}"/>
    <cellStyle name="Vírgula 7 3 7 3 4 2 2" xfId="21879" xr:uid="{00000000-0005-0000-0000-00004F530000}"/>
    <cellStyle name="Vírgula 7 3 7 3 4 2 3" xfId="17874" xr:uid="{00000000-0005-0000-0000-000050530000}"/>
    <cellStyle name="Vírgula 7 3 7 3 4 3" xfId="5713" xr:uid="{00000000-0005-0000-0000-000051530000}"/>
    <cellStyle name="Vírgula 7 3 7 3 4 3 2" xfId="22712" xr:uid="{00000000-0005-0000-0000-000052530000}"/>
    <cellStyle name="Vírgula 7 3 7 3 4 3 3" xfId="18748" xr:uid="{00000000-0005-0000-0000-000053530000}"/>
    <cellStyle name="Vírgula 7 3 7 3 4 4" xfId="20612" xr:uid="{00000000-0005-0000-0000-000054530000}"/>
    <cellStyle name="Vírgula 7 3 7 3 4 5" xfId="16588" xr:uid="{00000000-0005-0000-0000-000055530000}"/>
    <cellStyle name="Vírgula 7 3 7 3 5" xfId="3984" xr:uid="{00000000-0005-0000-0000-000056530000}"/>
    <cellStyle name="Vírgula 7 3 7 3 5 2" xfId="6443" xr:uid="{00000000-0005-0000-0000-000057530000}"/>
    <cellStyle name="Vírgula 7 3 7 3 5 2 2" xfId="23425" xr:uid="{00000000-0005-0000-0000-000058530000}"/>
    <cellStyle name="Vírgula 7 3 7 3 5 2 3" xfId="19478" xr:uid="{00000000-0005-0000-0000-000059530000}"/>
    <cellStyle name="Vírgula 7 3 7 3 5 3" xfId="21040" xr:uid="{00000000-0005-0000-0000-00005A530000}"/>
    <cellStyle name="Vírgula 7 3 7 3 5 4" xfId="17026" xr:uid="{00000000-0005-0000-0000-00005B530000}"/>
    <cellStyle name="Vírgula 7 3 7 4" xfId="2416" xr:uid="{00000000-0005-0000-0000-00005C530000}"/>
    <cellStyle name="Vírgula 7 3 7 4 2" xfId="3545" xr:uid="{00000000-0005-0000-0000-00005D530000}"/>
    <cellStyle name="Vírgula 7 3 7 4 2 2" xfId="4840" xr:uid="{00000000-0005-0000-0000-00005E530000}"/>
    <cellStyle name="Vírgula 7 3 7 4 2 2 2" xfId="21880" xr:uid="{00000000-0005-0000-0000-00005F530000}"/>
    <cellStyle name="Vírgula 7 3 7 4 2 2 3" xfId="17875" xr:uid="{00000000-0005-0000-0000-000060530000}"/>
    <cellStyle name="Vírgula 7 3 7 4 2 3" xfId="5714" xr:uid="{00000000-0005-0000-0000-000061530000}"/>
    <cellStyle name="Vírgula 7 3 7 4 2 3 2" xfId="22713" xr:uid="{00000000-0005-0000-0000-000062530000}"/>
    <cellStyle name="Vírgula 7 3 7 4 2 3 3" xfId="18749" xr:uid="{00000000-0005-0000-0000-000063530000}"/>
    <cellStyle name="Vírgula 7 3 7 4 2 4" xfId="20613" xr:uid="{00000000-0005-0000-0000-000064530000}"/>
    <cellStyle name="Vírgula 7 3 7 4 2 5" xfId="16589" xr:uid="{00000000-0005-0000-0000-000065530000}"/>
    <cellStyle name="Vírgula 7 3 7 4 3" xfId="3998" xr:uid="{00000000-0005-0000-0000-000066530000}"/>
    <cellStyle name="Vírgula 7 3 7 4 3 2" xfId="6444" xr:uid="{00000000-0005-0000-0000-000067530000}"/>
    <cellStyle name="Vírgula 7 3 7 4 3 2 2" xfId="23426" xr:uid="{00000000-0005-0000-0000-000068530000}"/>
    <cellStyle name="Vírgula 7 3 7 4 3 2 3" xfId="19479" xr:uid="{00000000-0005-0000-0000-000069530000}"/>
    <cellStyle name="Vírgula 7 3 7 4 3 3" xfId="21054" xr:uid="{00000000-0005-0000-0000-00006A530000}"/>
    <cellStyle name="Vírgula 7 3 7 4 3 4" xfId="17040" xr:uid="{00000000-0005-0000-0000-00006B530000}"/>
    <cellStyle name="Vírgula 7 3 7 5" xfId="5965" xr:uid="{00000000-0005-0000-0000-00006C530000}"/>
    <cellStyle name="Vírgula 7 3 7 5 2" xfId="22959" xr:uid="{00000000-0005-0000-0000-00006D530000}"/>
    <cellStyle name="Vírgula 7 3 7 5 3" xfId="19000" xr:uid="{00000000-0005-0000-0000-00006E530000}"/>
    <cellStyle name="Vírgula 7 3 7 6" xfId="9475" xr:uid="{00000000-0005-0000-0000-00006F530000}"/>
    <cellStyle name="Vírgula 7 3 8" xfId="620" xr:uid="{00000000-0005-0000-0000-000070530000}"/>
    <cellStyle name="Vírgula 7 3 8 2" xfId="904" xr:uid="{00000000-0005-0000-0000-000071530000}"/>
    <cellStyle name="Vírgula 7 3 8 2 2" xfId="2417" xr:uid="{00000000-0005-0000-0000-000072530000}"/>
    <cellStyle name="Vírgula 7 3 8 2 2 2" xfId="3546" xr:uid="{00000000-0005-0000-0000-000073530000}"/>
    <cellStyle name="Vírgula 7 3 8 2 2 2 2" xfId="4841" xr:uid="{00000000-0005-0000-0000-000074530000}"/>
    <cellStyle name="Vírgula 7 3 8 2 2 2 2 2" xfId="21881" xr:uid="{00000000-0005-0000-0000-000075530000}"/>
    <cellStyle name="Vírgula 7 3 8 2 2 2 2 3" xfId="17876" xr:uid="{00000000-0005-0000-0000-000076530000}"/>
    <cellStyle name="Vírgula 7 3 8 2 2 2 3" xfId="5715" xr:uid="{00000000-0005-0000-0000-000077530000}"/>
    <cellStyle name="Vírgula 7 3 8 2 2 2 3 2" xfId="22714" xr:uid="{00000000-0005-0000-0000-000078530000}"/>
    <cellStyle name="Vírgula 7 3 8 2 2 2 3 3" xfId="18750" xr:uid="{00000000-0005-0000-0000-000079530000}"/>
    <cellStyle name="Vírgula 7 3 8 2 2 2 4" xfId="20614" xr:uid="{00000000-0005-0000-0000-00007A530000}"/>
    <cellStyle name="Vírgula 7 3 8 2 2 2 5" xfId="16590" xr:uid="{00000000-0005-0000-0000-00007B530000}"/>
    <cellStyle name="Vírgula 7 3 8 2 2 3" xfId="4229" xr:uid="{00000000-0005-0000-0000-00007C530000}"/>
    <cellStyle name="Vírgula 7 3 8 2 2 3 2" xfId="6445" xr:uid="{00000000-0005-0000-0000-00007D530000}"/>
    <cellStyle name="Vírgula 7 3 8 2 2 3 2 2" xfId="23427" xr:uid="{00000000-0005-0000-0000-00007E530000}"/>
    <cellStyle name="Vírgula 7 3 8 2 2 3 2 3" xfId="19480" xr:uid="{00000000-0005-0000-0000-00007F530000}"/>
    <cellStyle name="Vírgula 7 3 8 2 2 3 3" xfId="21275" xr:uid="{00000000-0005-0000-0000-000080530000}"/>
    <cellStyle name="Vírgula 7 3 8 2 2 3 4" xfId="17268" xr:uid="{00000000-0005-0000-0000-000081530000}"/>
    <cellStyle name="Vírgula 7 3 8 2 3" xfId="3189" xr:uid="{00000000-0005-0000-0000-000082530000}"/>
    <cellStyle name="Vírgula 7 3 8 2 3 2" xfId="3807" xr:uid="{00000000-0005-0000-0000-000083530000}"/>
    <cellStyle name="Vírgula 7 3 8 2 3 2 2" xfId="6589" xr:uid="{00000000-0005-0000-0000-000084530000}"/>
    <cellStyle name="Vírgula 7 3 8 2 3 2 2 2" xfId="23571" xr:uid="{00000000-0005-0000-0000-000085530000}"/>
    <cellStyle name="Vírgula 7 3 8 2 3 2 2 3" xfId="19624" xr:uid="{00000000-0005-0000-0000-000086530000}"/>
    <cellStyle name="Vírgula 7 3 8 2 3 2 3" xfId="20869" xr:uid="{00000000-0005-0000-0000-000087530000}"/>
    <cellStyle name="Vírgula 7 3 8 2 3 2 4" xfId="16849" xr:uid="{00000000-0005-0000-0000-000088530000}"/>
    <cellStyle name="Vírgula 7 3 8 2 3 3" xfId="5358" xr:uid="{00000000-0005-0000-0000-000089530000}"/>
    <cellStyle name="Vírgula 7 3 8 2 3 3 2" xfId="22357" xr:uid="{00000000-0005-0000-0000-00008A530000}"/>
    <cellStyle name="Vírgula 7 3 8 2 3 3 3" xfId="18393" xr:uid="{00000000-0005-0000-0000-00008B530000}"/>
    <cellStyle name="Vírgula 7 3 8 2 3 4" xfId="13617" xr:uid="{00000000-0005-0000-0000-00008C530000}"/>
    <cellStyle name="Vírgula 7 3 8 2 3 4 2" xfId="20257" xr:uid="{00000000-0005-0000-0000-00008D530000}"/>
    <cellStyle name="Vírgula 7 3 8 2 3 5" xfId="13415" xr:uid="{00000000-0005-0000-0000-00008E530000}"/>
    <cellStyle name="Vírgula 7 3 8 2 3 6" xfId="16233" xr:uid="{00000000-0005-0000-0000-00008F530000}"/>
    <cellStyle name="Vírgula 7 3 8 2 4" xfId="3938" xr:uid="{00000000-0005-0000-0000-000090530000}"/>
    <cellStyle name="Vírgula 7 3 8 2 4 2" xfId="6079" xr:uid="{00000000-0005-0000-0000-000091530000}"/>
    <cellStyle name="Vírgula 7 3 8 2 4 2 2" xfId="23068" xr:uid="{00000000-0005-0000-0000-000092530000}"/>
    <cellStyle name="Vírgula 7 3 8 2 4 2 3" xfId="19114" xr:uid="{00000000-0005-0000-0000-000093530000}"/>
    <cellStyle name="Vírgula 7 3 8 2 4 3" xfId="20995" xr:uid="{00000000-0005-0000-0000-000094530000}"/>
    <cellStyle name="Vírgula 7 3 8 2 4 4" xfId="16980" xr:uid="{00000000-0005-0000-0000-000095530000}"/>
    <cellStyle name="Vírgula 7 3 8 2 5" xfId="6774" xr:uid="{00000000-0005-0000-0000-000096530000}"/>
    <cellStyle name="Vírgula 7 3 8 2 5 2" xfId="23747" xr:uid="{00000000-0005-0000-0000-000097530000}"/>
    <cellStyle name="Vírgula 7 3 8 2 5 3" xfId="19809" xr:uid="{00000000-0005-0000-0000-000098530000}"/>
    <cellStyle name="Vírgula 7 3 8 2 6" xfId="5092" xr:uid="{00000000-0005-0000-0000-000099530000}"/>
    <cellStyle name="Vírgula 7 3 8 2 6 2" xfId="22100" xr:uid="{00000000-0005-0000-0000-00009A530000}"/>
    <cellStyle name="Vírgula 7 3 8 2 6 3" xfId="18127" xr:uid="{00000000-0005-0000-0000-00009B530000}"/>
    <cellStyle name="Vírgula 7 3 8 2 7" xfId="20000" xr:uid="{00000000-0005-0000-0000-00009C530000}"/>
    <cellStyle name="Vírgula 7 3 8 2 8" xfId="15960" xr:uid="{00000000-0005-0000-0000-00009D530000}"/>
    <cellStyle name="Vírgula 7 3 8 3" xfId="2418" xr:uid="{00000000-0005-0000-0000-00009E530000}"/>
    <cellStyle name="Vírgula 7 3 8 3 2" xfId="2527" xr:uid="{00000000-0005-0000-0000-00009F530000}"/>
    <cellStyle name="Vírgula 7 3 8 3 2 2" xfId="3589" xr:uid="{00000000-0005-0000-0000-0000A0530000}"/>
    <cellStyle name="Vírgula 7 3 8 3 2 2 2" xfId="4867" xr:uid="{00000000-0005-0000-0000-0000A1530000}"/>
    <cellStyle name="Vírgula 7 3 8 3 2 2 2 2" xfId="21907" xr:uid="{00000000-0005-0000-0000-0000A2530000}"/>
    <cellStyle name="Vírgula 7 3 8 3 2 2 2 3" xfId="17902" xr:uid="{00000000-0005-0000-0000-0000A3530000}"/>
    <cellStyle name="Vírgula 7 3 8 3 2 2 3" xfId="5758" xr:uid="{00000000-0005-0000-0000-0000A4530000}"/>
    <cellStyle name="Vírgula 7 3 8 3 2 2 3 2" xfId="22757" xr:uid="{00000000-0005-0000-0000-0000A5530000}"/>
    <cellStyle name="Vírgula 7 3 8 3 2 2 3 3" xfId="18793" xr:uid="{00000000-0005-0000-0000-0000A6530000}"/>
    <cellStyle name="Vírgula 7 3 8 3 2 2 4" xfId="20657" xr:uid="{00000000-0005-0000-0000-0000A7530000}"/>
    <cellStyle name="Vírgula 7 3 8 3 2 2 5" xfId="16633" xr:uid="{00000000-0005-0000-0000-0000A8530000}"/>
    <cellStyle name="Vírgula 7 3 8 3 2 3" xfId="4007" xr:uid="{00000000-0005-0000-0000-0000A9530000}"/>
    <cellStyle name="Vírgula 7 3 8 3 2 3 2" xfId="6488" xr:uid="{00000000-0005-0000-0000-0000AA530000}"/>
    <cellStyle name="Vírgula 7 3 8 3 2 3 2 2" xfId="23470" xr:uid="{00000000-0005-0000-0000-0000AB530000}"/>
    <cellStyle name="Vírgula 7 3 8 3 2 3 2 3" xfId="19523" xr:uid="{00000000-0005-0000-0000-0000AC530000}"/>
    <cellStyle name="Vírgula 7 3 8 3 2 3 3" xfId="21059" xr:uid="{00000000-0005-0000-0000-0000AD530000}"/>
    <cellStyle name="Vírgula 7 3 8 3 2 3 4" xfId="17048" xr:uid="{00000000-0005-0000-0000-0000AE530000}"/>
    <cellStyle name="Vírgula 7 3 8 3 3" xfId="2818" xr:uid="{00000000-0005-0000-0000-0000AF530000}"/>
    <cellStyle name="Vírgula 7 3 8 3 3 2" xfId="3646" xr:uid="{00000000-0005-0000-0000-0000B0530000}"/>
    <cellStyle name="Vírgula 7 3 8 3 3 2 2" xfId="4924" xr:uid="{00000000-0005-0000-0000-0000B1530000}"/>
    <cellStyle name="Vírgula 7 3 8 3 3 2 2 2" xfId="21964" xr:uid="{00000000-0005-0000-0000-0000B2530000}"/>
    <cellStyle name="Vírgula 7 3 8 3 3 2 2 3" xfId="17959" xr:uid="{00000000-0005-0000-0000-0000B3530000}"/>
    <cellStyle name="Vírgula 7 3 8 3 3 2 3" xfId="5815" xr:uid="{00000000-0005-0000-0000-0000B4530000}"/>
    <cellStyle name="Vírgula 7 3 8 3 3 2 3 2" xfId="22814" xr:uid="{00000000-0005-0000-0000-0000B5530000}"/>
    <cellStyle name="Vírgula 7 3 8 3 3 2 3 3" xfId="18850" xr:uid="{00000000-0005-0000-0000-0000B6530000}"/>
    <cellStyle name="Vírgula 7 3 8 3 3 2 4" xfId="20714" xr:uid="{00000000-0005-0000-0000-0000B7530000}"/>
    <cellStyle name="Vírgula 7 3 8 3 3 2 5" xfId="16690" xr:uid="{00000000-0005-0000-0000-0000B8530000}"/>
    <cellStyle name="Vírgula 7 3 8 3 4" xfId="3547" xr:uid="{00000000-0005-0000-0000-0000B9530000}"/>
    <cellStyle name="Vírgula 7 3 8 3 4 2" xfId="4842" xr:uid="{00000000-0005-0000-0000-0000BA530000}"/>
    <cellStyle name="Vírgula 7 3 8 3 4 2 2" xfId="21882" xr:uid="{00000000-0005-0000-0000-0000BB530000}"/>
    <cellStyle name="Vírgula 7 3 8 3 4 2 3" xfId="17877" xr:uid="{00000000-0005-0000-0000-0000BC530000}"/>
    <cellStyle name="Vírgula 7 3 8 3 4 3" xfId="5716" xr:uid="{00000000-0005-0000-0000-0000BD530000}"/>
    <cellStyle name="Vírgula 7 3 8 3 4 3 2" xfId="22715" xr:uid="{00000000-0005-0000-0000-0000BE530000}"/>
    <cellStyle name="Vírgula 7 3 8 3 4 3 3" xfId="18751" xr:uid="{00000000-0005-0000-0000-0000BF530000}"/>
    <cellStyle name="Vírgula 7 3 8 3 4 4" xfId="20615" xr:uid="{00000000-0005-0000-0000-0000C0530000}"/>
    <cellStyle name="Vírgula 7 3 8 3 4 5" xfId="16591" xr:uid="{00000000-0005-0000-0000-0000C1530000}"/>
    <cellStyle name="Vírgula 7 3 8 3 5" xfId="4195" xr:uid="{00000000-0005-0000-0000-0000C2530000}"/>
    <cellStyle name="Vírgula 7 3 8 3 5 2" xfId="6446" xr:uid="{00000000-0005-0000-0000-0000C3530000}"/>
    <cellStyle name="Vírgula 7 3 8 3 5 2 2" xfId="23428" xr:uid="{00000000-0005-0000-0000-0000C4530000}"/>
    <cellStyle name="Vírgula 7 3 8 3 5 2 3" xfId="19481" xr:uid="{00000000-0005-0000-0000-0000C5530000}"/>
    <cellStyle name="Vírgula 7 3 8 3 5 3" xfId="21241" xr:uid="{00000000-0005-0000-0000-0000C6530000}"/>
    <cellStyle name="Vírgula 7 3 8 3 5 4" xfId="17234" xr:uid="{00000000-0005-0000-0000-0000C7530000}"/>
    <cellStyle name="Vírgula 7 3 8 4" xfId="2419" xr:uid="{00000000-0005-0000-0000-0000C8530000}"/>
    <cellStyle name="Vírgula 7 3 8 4 2" xfId="3548" xr:uid="{00000000-0005-0000-0000-0000C9530000}"/>
    <cellStyle name="Vírgula 7 3 8 4 2 2" xfId="4843" xr:uid="{00000000-0005-0000-0000-0000CA530000}"/>
    <cellStyle name="Vírgula 7 3 8 4 2 2 2" xfId="21883" xr:uid="{00000000-0005-0000-0000-0000CB530000}"/>
    <cellStyle name="Vírgula 7 3 8 4 2 2 3" xfId="17878" xr:uid="{00000000-0005-0000-0000-0000CC530000}"/>
    <cellStyle name="Vírgula 7 3 8 4 2 3" xfId="5717" xr:uid="{00000000-0005-0000-0000-0000CD530000}"/>
    <cellStyle name="Vírgula 7 3 8 4 2 3 2" xfId="22716" xr:uid="{00000000-0005-0000-0000-0000CE530000}"/>
    <cellStyle name="Vírgula 7 3 8 4 2 3 3" xfId="18752" xr:uid="{00000000-0005-0000-0000-0000CF530000}"/>
    <cellStyle name="Vírgula 7 3 8 4 2 4" xfId="20616" xr:uid="{00000000-0005-0000-0000-0000D0530000}"/>
    <cellStyle name="Vírgula 7 3 8 4 2 5" xfId="16592" xr:uid="{00000000-0005-0000-0000-0000D1530000}"/>
    <cellStyle name="Vírgula 7 3 8 4 3" xfId="4444" xr:uid="{00000000-0005-0000-0000-0000D2530000}"/>
    <cellStyle name="Vírgula 7 3 8 4 3 2" xfId="6447" xr:uid="{00000000-0005-0000-0000-0000D3530000}"/>
    <cellStyle name="Vírgula 7 3 8 4 3 2 2" xfId="23429" xr:uid="{00000000-0005-0000-0000-0000D4530000}"/>
    <cellStyle name="Vírgula 7 3 8 4 3 2 3" xfId="19482" xr:uid="{00000000-0005-0000-0000-0000D5530000}"/>
    <cellStyle name="Vírgula 7 3 8 4 3 3" xfId="21485" xr:uid="{00000000-0005-0000-0000-0000D6530000}"/>
    <cellStyle name="Vírgula 7 3 8 4 3 4" xfId="17480" xr:uid="{00000000-0005-0000-0000-0000D7530000}"/>
    <cellStyle name="Vírgula 7 3 8 5" xfId="5966" xr:uid="{00000000-0005-0000-0000-0000D8530000}"/>
    <cellStyle name="Vírgula 7 3 8 5 2" xfId="22960" xr:uid="{00000000-0005-0000-0000-0000D9530000}"/>
    <cellStyle name="Vírgula 7 3 8 5 3" xfId="19001" xr:uid="{00000000-0005-0000-0000-0000DA530000}"/>
    <cellStyle name="Vírgula 7 3 8 6" xfId="9899" xr:uid="{00000000-0005-0000-0000-0000DB530000}"/>
    <cellStyle name="Vírgula 7 3 9" xfId="621" xr:uid="{00000000-0005-0000-0000-0000DC530000}"/>
    <cellStyle name="Vírgula 7 3 9 2" xfId="905" xr:uid="{00000000-0005-0000-0000-0000DD530000}"/>
    <cellStyle name="Vírgula 7 3 9 2 2" xfId="2420" xr:uid="{00000000-0005-0000-0000-0000DE530000}"/>
    <cellStyle name="Vírgula 7 3 9 2 2 2" xfId="3549" xr:uid="{00000000-0005-0000-0000-0000DF530000}"/>
    <cellStyle name="Vírgula 7 3 9 2 2 2 2" xfId="4844" xr:uid="{00000000-0005-0000-0000-0000E0530000}"/>
    <cellStyle name="Vírgula 7 3 9 2 2 2 2 2" xfId="21884" xr:uid="{00000000-0005-0000-0000-0000E1530000}"/>
    <cellStyle name="Vírgula 7 3 9 2 2 2 2 3" xfId="17879" xr:uid="{00000000-0005-0000-0000-0000E2530000}"/>
    <cellStyle name="Vírgula 7 3 9 2 2 2 3" xfId="5718" xr:uid="{00000000-0005-0000-0000-0000E3530000}"/>
    <cellStyle name="Vírgula 7 3 9 2 2 2 3 2" xfId="22717" xr:uid="{00000000-0005-0000-0000-0000E4530000}"/>
    <cellStyle name="Vírgula 7 3 9 2 2 2 3 3" xfId="18753" xr:uid="{00000000-0005-0000-0000-0000E5530000}"/>
    <cellStyle name="Vírgula 7 3 9 2 2 2 4" xfId="20617" xr:uid="{00000000-0005-0000-0000-0000E6530000}"/>
    <cellStyle name="Vírgula 7 3 9 2 2 2 5" xfId="16593" xr:uid="{00000000-0005-0000-0000-0000E7530000}"/>
    <cellStyle name="Vírgula 7 3 9 2 2 3" xfId="3726" xr:uid="{00000000-0005-0000-0000-0000E8530000}"/>
    <cellStyle name="Vírgula 7 3 9 2 2 3 2" xfId="6448" xr:uid="{00000000-0005-0000-0000-0000E9530000}"/>
    <cellStyle name="Vírgula 7 3 9 2 2 3 2 2" xfId="23430" xr:uid="{00000000-0005-0000-0000-0000EA530000}"/>
    <cellStyle name="Vírgula 7 3 9 2 2 3 2 3" xfId="19483" xr:uid="{00000000-0005-0000-0000-0000EB530000}"/>
    <cellStyle name="Vírgula 7 3 9 2 2 3 3" xfId="20791" xr:uid="{00000000-0005-0000-0000-0000EC530000}"/>
    <cellStyle name="Vírgula 7 3 9 2 2 3 4" xfId="16770" xr:uid="{00000000-0005-0000-0000-0000ED530000}"/>
    <cellStyle name="Vírgula 7 3 9 2 3" xfId="3190" xr:uid="{00000000-0005-0000-0000-0000EE530000}"/>
    <cellStyle name="Vírgula 7 3 9 2 3 2" xfId="4186" xr:uid="{00000000-0005-0000-0000-0000EF530000}"/>
    <cellStyle name="Vírgula 7 3 9 2 3 2 2" xfId="6590" xr:uid="{00000000-0005-0000-0000-0000F0530000}"/>
    <cellStyle name="Vírgula 7 3 9 2 3 2 2 2" xfId="23572" xr:uid="{00000000-0005-0000-0000-0000F1530000}"/>
    <cellStyle name="Vírgula 7 3 9 2 3 2 2 3" xfId="19625" xr:uid="{00000000-0005-0000-0000-0000F2530000}"/>
    <cellStyle name="Vírgula 7 3 9 2 3 2 3" xfId="21232" xr:uid="{00000000-0005-0000-0000-0000F3530000}"/>
    <cellStyle name="Vírgula 7 3 9 2 3 2 4" xfId="17225" xr:uid="{00000000-0005-0000-0000-0000F4530000}"/>
    <cellStyle name="Vírgula 7 3 9 2 3 3" xfId="5359" xr:uid="{00000000-0005-0000-0000-0000F5530000}"/>
    <cellStyle name="Vírgula 7 3 9 2 3 3 2" xfId="22358" xr:uid="{00000000-0005-0000-0000-0000F6530000}"/>
    <cellStyle name="Vírgula 7 3 9 2 3 3 3" xfId="18394" xr:uid="{00000000-0005-0000-0000-0000F7530000}"/>
    <cellStyle name="Vírgula 7 3 9 2 3 4" xfId="13618" xr:uid="{00000000-0005-0000-0000-0000F8530000}"/>
    <cellStyle name="Vírgula 7 3 9 2 3 4 2" xfId="20258" xr:uid="{00000000-0005-0000-0000-0000F9530000}"/>
    <cellStyle name="Vírgula 7 3 9 2 3 5" xfId="13416" xr:uid="{00000000-0005-0000-0000-0000FA530000}"/>
    <cellStyle name="Vírgula 7 3 9 2 3 6" xfId="16234" xr:uid="{00000000-0005-0000-0000-0000FB530000}"/>
    <cellStyle name="Vírgula 7 3 9 2 4" xfId="3939" xr:uid="{00000000-0005-0000-0000-0000FC530000}"/>
    <cellStyle name="Vírgula 7 3 9 2 4 2" xfId="6080" xr:uid="{00000000-0005-0000-0000-0000FD530000}"/>
    <cellStyle name="Vírgula 7 3 9 2 4 2 2" xfId="23069" xr:uid="{00000000-0005-0000-0000-0000FE530000}"/>
    <cellStyle name="Vírgula 7 3 9 2 4 2 3" xfId="19115" xr:uid="{00000000-0005-0000-0000-0000FF530000}"/>
    <cellStyle name="Vírgula 7 3 9 2 4 3" xfId="20996" xr:uid="{00000000-0005-0000-0000-000000540000}"/>
    <cellStyle name="Vírgula 7 3 9 2 4 4" xfId="16981" xr:uid="{00000000-0005-0000-0000-000001540000}"/>
    <cellStyle name="Vírgula 7 3 9 2 5" xfId="6775" xr:uid="{00000000-0005-0000-0000-000002540000}"/>
    <cellStyle name="Vírgula 7 3 9 2 5 2" xfId="23748" xr:uid="{00000000-0005-0000-0000-000003540000}"/>
    <cellStyle name="Vírgula 7 3 9 2 5 3" xfId="19810" xr:uid="{00000000-0005-0000-0000-000004540000}"/>
    <cellStyle name="Vírgula 7 3 9 2 6" xfId="5093" xr:uid="{00000000-0005-0000-0000-000005540000}"/>
    <cellStyle name="Vírgula 7 3 9 2 6 2" xfId="22101" xr:uid="{00000000-0005-0000-0000-000006540000}"/>
    <cellStyle name="Vírgula 7 3 9 2 6 3" xfId="18128" xr:uid="{00000000-0005-0000-0000-000007540000}"/>
    <cellStyle name="Vírgula 7 3 9 2 7" xfId="20001" xr:uid="{00000000-0005-0000-0000-000008540000}"/>
    <cellStyle name="Vírgula 7 3 9 2 8" xfId="15961" xr:uid="{00000000-0005-0000-0000-000009540000}"/>
    <cellStyle name="Vírgula 7 3 9 3" xfId="2421" xr:uid="{00000000-0005-0000-0000-00000A540000}"/>
    <cellStyle name="Vírgula 7 3 9 3 2" xfId="2528" xr:uid="{00000000-0005-0000-0000-00000B540000}"/>
    <cellStyle name="Vírgula 7 3 9 3 2 2" xfId="3590" xr:uid="{00000000-0005-0000-0000-00000C540000}"/>
    <cellStyle name="Vírgula 7 3 9 3 2 2 2" xfId="4868" xr:uid="{00000000-0005-0000-0000-00000D540000}"/>
    <cellStyle name="Vírgula 7 3 9 3 2 2 2 2" xfId="21908" xr:uid="{00000000-0005-0000-0000-00000E540000}"/>
    <cellStyle name="Vírgula 7 3 9 3 2 2 2 3" xfId="17903" xr:uid="{00000000-0005-0000-0000-00000F540000}"/>
    <cellStyle name="Vírgula 7 3 9 3 2 2 3" xfId="5759" xr:uid="{00000000-0005-0000-0000-000010540000}"/>
    <cellStyle name="Vírgula 7 3 9 3 2 2 3 2" xfId="22758" xr:uid="{00000000-0005-0000-0000-000011540000}"/>
    <cellStyle name="Vírgula 7 3 9 3 2 2 3 3" xfId="18794" xr:uid="{00000000-0005-0000-0000-000012540000}"/>
    <cellStyle name="Vírgula 7 3 9 3 2 2 4" xfId="20658" xr:uid="{00000000-0005-0000-0000-000013540000}"/>
    <cellStyle name="Vírgula 7 3 9 3 2 2 5" xfId="16634" xr:uid="{00000000-0005-0000-0000-000014540000}"/>
    <cellStyle name="Vírgula 7 3 9 3 2 3" xfId="4040" xr:uid="{00000000-0005-0000-0000-000015540000}"/>
    <cellStyle name="Vírgula 7 3 9 3 2 3 2" xfId="6489" xr:uid="{00000000-0005-0000-0000-000016540000}"/>
    <cellStyle name="Vírgula 7 3 9 3 2 3 2 2" xfId="23471" xr:uid="{00000000-0005-0000-0000-000017540000}"/>
    <cellStyle name="Vírgula 7 3 9 3 2 3 2 3" xfId="19524" xr:uid="{00000000-0005-0000-0000-000018540000}"/>
    <cellStyle name="Vírgula 7 3 9 3 2 3 3" xfId="21089" xr:uid="{00000000-0005-0000-0000-000019540000}"/>
    <cellStyle name="Vírgula 7 3 9 3 2 3 4" xfId="17081" xr:uid="{00000000-0005-0000-0000-00001A540000}"/>
    <cellStyle name="Vírgula 7 3 9 3 3" xfId="2819" xr:uid="{00000000-0005-0000-0000-00001B540000}"/>
    <cellStyle name="Vírgula 7 3 9 3 3 2" xfId="3647" xr:uid="{00000000-0005-0000-0000-00001C540000}"/>
    <cellStyle name="Vírgula 7 3 9 3 3 2 2" xfId="4925" xr:uid="{00000000-0005-0000-0000-00001D540000}"/>
    <cellStyle name="Vírgula 7 3 9 3 3 2 2 2" xfId="21965" xr:uid="{00000000-0005-0000-0000-00001E540000}"/>
    <cellStyle name="Vírgula 7 3 9 3 3 2 2 3" xfId="17960" xr:uid="{00000000-0005-0000-0000-00001F540000}"/>
    <cellStyle name="Vírgula 7 3 9 3 3 2 3" xfId="5816" xr:uid="{00000000-0005-0000-0000-000020540000}"/>
    <cellStyle name="Vírgula 7 3 9 3 3 2 3 2" xfId="22815" xr:uid="{00000000-0005-0000-0000-000021540000}"/>
    <cellStyle name="Vírgula 7 3 9 3 3 2 3 3" xfId="18851" xr:uid="{00000000-0005-0000-0000-000022540000}"/>
    <cellStyle name="Vírgula 7 3 9 3 3 2 4" xfId="20715" xr:uid="{00000000-0005-0000-0000-000023540000}"/>
    <cellStyle name="Vírgula 7 3 9 3 3 2 5" xfId="16691" xr:uid="{00000000-0005-0000-0000-000024540000}"/>
    <cellStyle name="Vírgula 7 3 9 3 4" xfId="3550" xr:uid="{00000000-0005-0000-0000-000025540000}"/>
    <cellStyle name="Vírgula 7 3 9 3 4 2" xfId="4845" xr:uid="{00000000-0005-0000-0000-000026540000}"/>
    <cellStyle name="Vírgula 7 3 9 3 4 2 2" xfId="21885" xr:uid="{00000000-0005-0000-0000-000027540000}"/>
    <cellStyle name="Vírgula 7 3 9 3 4 2 3" xfId="17880" xr:uid="{00000000-0005-0000-0000-000028540000}"/>
    <cellStyle name="Vírgula 7 3 9 3 4 3" xfId="5719" xr:uid="{00000000-0005-0000-0000-000029540000}"/>
    <cellStyle name="Vírgula 7 3 9 3 4 3 2" xfId="22718" xr:uid="{00000000-0005-0000-0000-00002A540000}"/>
    <cellStyle name="Vírgula 7 3 9 3 4 3 3" xfId="18754" xr:uid="{00000000-0005-0000-0000-00002B540000}"/>
    <cellStyle name="Vírgula 7 3 9 3 4 4" xfId="20618" xr:uid="{00000000-0005-0000-0000-00002C540000}"/>
    <cellStyle name="Vírgula 7 3 9 3 4 5" xfId="16594" xr:uid="{00000000-0005-0000-0000-00002D540000}"/>
    <cellStyle name="Vírgula 7 3 9 3 5" xfId="3762" xr:uid="{00000000-0005-0000-0000-00002E540000}"/>
    <cellStyle name="Vírgula 7 3 9 3 5 2" xfId="6449" xr:uid="{00000000-0005-0000-0000-00002F540000}"/>
    <cellStyle name="Vírgula 7 3 9 3 5 2 2" xfId="23431" xr:uid="{00000000-0005-0000-0000-000030540000}"/>
    <cellStyle name="Vírgula 7 3 9 3 5 2 3" xfId="19484" xr:uid="{00000000-0005-0000-0000-000031540000}"/>
    <cellStyle name="Vírgula 7 3 9 3 5 3" xfId="20826" xr:uid="{00000000-0005-0000-0000-000032540000}"/>
    <cellStyle name="Vírgula 7 3 9 3 5 4" xfId="16805" xr:uid="{00000000-0005-0000-0000-000033540000}"/>
    <cellStyle name="Vírgula 7 3 9 4" xfId="2422" xr:uid="{00000000-0005-0000-0000-000034540000}"/>
    <cellStyle name="Vírgula 7 3 9 4 2" xfId="3551" xr:uid="{00000000-0005-0000-0000-000035540000}"/>
    <cellStyle name="Vírgula 7 3 9 4 2 2" xfId="4846" xr:uid="{00000000-0005-0000-0000-000036540000}"/>
    <cellStyle name="Vírgula 7 3 9 4 2 2 2" xfId="21886" xr:uid="{00000000-0005-0000-0000-000037540000}"/>
    <cellStyle name="Vírgula 7 3 9 4 2 2 3" xfId="17881" xr:uid="{00000000-0005-0000-0000-000038540000}"/>
    <cellStyle name="Vírgula 7 3 9 4 2 3" xfId="5720" xr:uid="{00000000-0005-0000-0000-000039540000}"/>
    <cellStyle name="Vírgula 7 3 9 4 2 3 2" xfId="22719" xr:uid="{00000000-0005-0000-0000-00003A540000}"/>
    <cellStyle name="Vírgula 7 3 9 4 2 3 3" xfId="18755" xr:uid="{00000000-0005-0000-0000-00003B540000}"/>
    <cellStyle name="Vírgula 7 3 9 4 2 4" xfId="20619" xr:uid="{00000000-0005-0000-0000-00003C540000}"/>
    <cellStyle name="Vírgula 7 3 9 4 2 5" xfId="16595" xr:uid="{00000000-0005-0000-0000-00003D540000}"/>
    <cellStyle name="Vírgula 7 3 9 4 3" xfId="4437" xr:uid="{00000000-0005-0000-0000-00003E540000}"/>
    <cellStyle name="Vírgula 7 3 9 4 3 2" xfId="6450" xr:uid="{00000000-0005-0000-0000-00003F540000}"/>
    <cellStyle name="Vírgula 7 3 9 4 3 2 2" xfId="23432" xr:uid="{00000000-0005-0000-0000-000040540000}"/>
    <cellStyle name="Vírgula 7 3 9 4 3 2 3" xfId="19485" xr:uid="{00000000-0005-0000-0000-000041540000}"/>
    <cellStyle name="Vírgula 7 3 9 4 3 3" xfId="21478" xr:uid="{00000000-0005-0000-0000-000042540000}"/>
    <cellStyle name="Vírgula 7 3 9 4 3 4" xfId="17473" xr:uid="{00000000-0005-0000-0000-000043540000}"/>
    <cellStyle name="Vírgula 7 3 9 5" xfId="5967" xr:uid="{00000000-0005-0000-0000-000044540000}"/>
    <cellStyle name="Vírgula 7 3 9 5 2" xfId="22961" xr:uid="{00000000-0005-0000-0000-000045540000}"/>
    <cellStyle name="Vírgula 7 3 9 5 3" xfId="19002" xr:uid="{00000000-0005-0000-0000-000046540000}"/>
    <cellStyle name="Vírgula 7 3 9 6" xfId="9059" xr:uid="{00000000-0005-0000-0000-000047540000}"/>
    <cellStyle name="Vírgula 7 4" xfId="121" xr:uid="{00000000-0005-0000-0000-000048540000}"/>
    <cellStyle name="Vírgula 7 4 10" xfId="10821" xr:uid="{00000000-0005-0000-0000-000049540000}"/>
    <cellStyle name="Vírgula 7 4 11" xfId="9061" xr:uid="{00000000-0005-0000-0000-00004A540000}"/>
    <cellStyle name="Vírgula 7 4 12" xfId="15848" xr:uid="{00000000-0005-0000-0000-00004B540000}"/>
    <cellStyle name="Vírgula 7 4 2" xfId="906" xr:uid="{00000000-0005-0000-0000-00004C540000}"/>
    <cellStyle name="Vírgula 7 4 2 10" xfId="15962" xr:uid="{00000000-0005-0000-0000-00004D540000}"/>
    <cellStyle name="Vírgula 7 4 2 2" xfId="3191" xr:uid="{00000000-0005-0000-0000-00004E540000}"/>
    <cellStyle name="Vírgula 7 4 2 2 2" xfId="3798" xr:uid="{00000000-0005-0000-0000-00004F540000}"/>
    <cellStyle name="Vírgula 7 4 2 2 2 2" xfId="6591" xr:uid="{00000000-0005-0000-0000-000050540000}"/>
    <cellStyle name="Vírgula 7 4 2 2 2 2 2" xfId="10498" xr:uid="{00000000-0005-0000-0000-000051540000}"/>
    <cellStyle name="Vírgula 7 4 2 2 2 2 2 2" xfId="23573" xr:uid="{00000000-0005-0000-0000-000052540000}"/>
    <cellStyle name="Vírgula 7 4 2 2 2 2 3" xfId="9847" xr:uid="{00000000-0005-0000-0000-000053540000}"/>
    <cellStyle name="Vírgula 7 4 2 2 2 2 4" xfId="19626" xr:uid="{00000000-0005-0000-0000-000054540000}"/>
    <cellStyle name="Vírgula 7 4 2 2 2 3" xfId="10497" xr:uid="{00000000-0005-0000-0000-000055540000}"/>
    <cellStyle name="Vírgula 7 4 2 2 2 3 2" xfId="20860" xr:uid="{00000000-0005-0000-0000-000056540000}"/>
    <cellStyle name="Vírgula 7 4 2 2 2 4" xfId="9426" xr:uid="{00000000-0005-0000-0000-000057540000}"/>
    <cellStyle name="Vírgula 7 4 2 2 2 5" xfId="16840" xr:uid="{00000000-0005-0000-0000-000058540000}"/>
    <cellStyle name="Vírgula 7 4 2 2 3" xfId="5360" xr:uid="{00000000-0005-0000-0000-000059540000}"/>
    <cellStyle name="Vírgula 7 4 2 2 3 2" xfId="9851" xr:uid="{00000000-0005-0000-0000-00005A540000}"/>
    <cellStyle name="Vírgula 7 4 2 2 3 2 2" xfId="10500" xr:uid="{00000000-0005-0000-0000-00005B540000}"/>
    <cellStyle name="Vírgula 7 4 2 2 3 2 3" xfId="22359" xr:uid="{00000000-0005-0000-0000-00005C540000}"/>
    <cellStyle name="Vírgula 7 4 2 2 3 3" xfId="10499" xr:uid="{00000000-0005-0000-0000-00005D540000}"/>
    <cellStyle name="Vírgula 7 4 2 2 3 4" xfId="9432" xr:uid="{00000000-0005-0000-0000-00005E540000}"/>
    <cellStyle name="Vírgula 7 4 2 2 3 5" xfId="18395" xr:uid="{00000000-0005-0000-0000-00005F540000}"/>
    <cellStyle name="Vírgula 7 4 2 2 4" xfId="9566" xr:uid="{00000000-0005-0000-0000-000060540000}"/>
    <cellStyle name="Vírgula 7 4 2 2 4 2" xfId="10501" xr:uid="{00000000-0005-0000-0000-000061540000}"/>
    <cellStyle name="Vírgula 7 4 2 2 4 3" xfId="20259" xr:uid="{00000000-0005-0000-0000-000062540000}"/>
    <cellStyle name="Vírgula 7 4 2 2 5" xfId="10496" xr:uid="{00000000-0005-0000-0000-000063540000}"/>
    <cellStyle name="Vírgula 7 4 2 2 6" xfId="10775" xr:uid="{00000000-0005-0000-0000-000064540000}"/>
    <cellStyle name="Vírgula 7 4 2 2 7" xfId="10905" xr:uid="{00000000-0005-0000-0000-000065540000}"/>
    <cellStyle name="Vírgula 7 4 2 2 8" xfId="9302" xr:uid="{00000000-0005-0000-0000-000066540000}"/>
    <cellStyle name="Vírgula 7 4 2 2 9" xfId="16235" xr:uid="{00000000-0005-0000-0000-000067540000}"/>
    <cellStyle name="Vírgula 7 4 2 3" xfId="3940" xr:uid="{00000000-0005-0000-0000-000068540000}"/>
    <cellStyle name="Vírgula 7 4 2 3 2" xfId="6081" xr:uid="{00000000-0005-0000-0000-000069540000}"/>
    <cellStyle name="Vírgula 7 4 2 3 2 2" xfId="10503" xr:uid="{00000000-0005-0000-0000-00006A540000}"/>
    <cellStyle name="Vírgula 7 4 2 3 2 2 2" xfId="23070" xr:uid="{00000000-0005-0000-0000-00006B540000}"/>
    <cellStyle name="Vírgula 7 4 2 3 2 3" xfId="9661" xr:uid="{00000000-0005-0000-0000-00006C540000}"/>
    <cellStyle name="Vírgula 7 4 2 3 2 4" xfId="19116" xr:uid="{00000000-0005-0000-0000-00006D540000}"/>
    <cellStyle name="Vírgula 7 4 2 3 3" xfId="10502" xr:uid="{00000000-0005-0000-0000-00006E540000}"/>
    <cellStyle name="Vírgula 7 4 2 3 3 2" xfId="20997" xr:uid="{00000000-0005-0000-0000-00006F540000}"/>
    <cellStyle name="Vírgula 7 4 2 3 4" xfId="9209" xr:uid="{00000000-0005-0000-0000-000070540000}"/>
    <cellStyle name="Vírgula 7 4 2 3 5" xfId="16982" xr:uid="{00000000-0005-0000-0000-000071540000}"/>
    <cellStyle name="Vírgula 7 4 2 4" xfId="6776" xr:uid="{00000000-0005-0000-0000-000072540000}"/>
    <cellStyle name="Vírgula 7 4 2 4 2" xfId="9760" xr:uid="{00000000-0005-0000-0000-000073540000}"/>
    <cellStyle name="Vírgula 7 4 2 4 2 2" xfId="10505" xr:uid="{00000000-0005-0000-0000-000074540000}"/>
    <cellStyle name="Vírgula 7 4 2 4 2 3" xfId="23749" xr:uid="{00000000-0005-0000-0000-000075540000}"/>
    <cellStyle name="Vírgula 7 4 2 4 3" xfId="10504" xr:uid="{00000000-0005-0000-0000-000076540000}"/>
    <cellStyle name="Vírgula 7 4 2 4 4" xfId="9346" xr:uid="{00000000-0005-0000-0000-000077540000}"/>
    <cellStyle name="Vírgula 7 4 2 4 5" xfId="19811" xr:uid="{00000000-0005-0000-0000-000078540000}"/>
    <cellStyle name="Vírgula 7 4 2 5" xfId="5094" xr:uid="{00000000-0005-0000-0000-000079540000}"/>
    <cellStyle name="Vírgula 7 4 2 5 2" xfId="10506" xr:uid="{00000000-0005-0000-0000-00007A540000}"/>
    <cellStyle name="Vírgula 7 4 2 5 2 2" xfId="22102" xr:uid="{00000000-0005-0000-0000-00007B540000}"/>
    <cellStyle name="Vírgula 7 4 2 5 3" xfId="9480" xr:uid="{00000000-0005-0000-0000-00007C540000}"/>
    <cellStyle name="Vírgula 7 4 2 5 4" xfId="18129" xr:uid="{00000000-0005-0000-0000-00007D540000}"/>
    <cellStyle name="Vírgula 7 4 2 6" xfId="10495" xr:uid="{00000000-0005-0000-0000-00007E540000}"/>
    <cellStyle name="Vírgula 7 4 2 6 2" xfId="20002" xr:uid="{00000000-0005-0000-0000-00007F540000}"/>
    <cellStyle name="Vírgula 7 4 2 7" xfId="10691" xr:uid="{00000000-0005-0000-0000-000080540000}"/>
    <cellStyle name="Vírgula 7 4 2 8" xfId="10823" xr:uid="{00000000-0005-0000-0000-000081540000}"/>
    <cellStyle name="Vírgula 7 4 2 9" xfId="9136" xr:uid="{00000000-0005-0000-0000-000082540000}"/>
    <cellStyle name="Vírgula 7 4 3" xfId="3043" xr:uid="{00000000-0005-0000-0000-000083540000}"/>
    <cellStyle name="Vírgula 7 4 3 2" xfId="4364" xr:uid="{00000000-0005-0000-0000-000084540000}"/>
    <cellStyle name="Vírgula 7 4 3 2 2" xfId="6499" xr:uid="{00000000-0005-0000-0000-000085540000}"/>
    <cellStyle name="Vírgula 7 4 3 2 2 2" xfId="10509" xr:uid="{00000000-0005-0000-0000-000086540000}"/>
    <cellStyle name="Vírgula 7 4 3 2 2 2 2" xfId="23481" xr:uid="{00000000-0005-0000-0000-000087540000}"/>
    <cellStyle name="Vírgula 7 4 3 2 2 3" xfId="9841" xr:uid="{00000000-0005-0000-0000-000088540000}"/>
    <cellStyle name="Vírgula 7 4 3 2 2 4" xfId="19534" xr:uid="{00000000-0005-0000-0000-000089540000}"/>
    <cellStyle name="Vírgula 7 4 3 2 3" xfId="10508" xr:uid="{00000000-0005-0000-0000-00008A540000}"/>
    <cellStyle name="Vírgula 7 4 3 2 3 2" xfId="21408" xr:uid="{00000000-0005-0000-0000-00008B540000}"/>
    <cellStyle name="Vírgula 7 4 3 2 4" xfId="9420" xr:uid="{00000000-0005-0000-0000-00008C540000}"/>
    <cellStyle name="Vírgula 7 4 3 2 5" xfId="17401" xr:uid="{00000000-0005-0000-0000-00008D540000}"/>
    <cellStyle name="Vírgula 7 4 3 3" xfId="5212" xr:uid="{00000000-0005-0000-0000-00008E540000}"/>
    <cellStyle name="Vírgula 7 4 3 3 2" xfId="10510" xr:uid="{00000000-0005-0000-0000-00008F540000}"/>
    <cellStyle name="Vírgula 7 4 3 3 2 2" xfId="22211" xr:uid="{00000000-0005-0000-0000-000090540000}"/>
    <cellStyle name="Vírgula 7 4 3 3 3" xfId="9560" xr:uid="{00000000-0005-0000-0000-000091540000}"/>
    <cellStyle name="Vírgula 7 4 3 3 4" xfId="18247" xr:uid="{00000000-0005-0000-0000-000092540000}"/>
    <cellStyle name="Vírgula 7 4 3 4" xfId="10507" xr:uid="{00000000-0005-0000-0000-000093540000}"/>
    <cellStyle name="Vírgula 7 4 3 4 2" xfId="20111" xr:uid="{00000000-0005-0000-0000-000094540000}"/>
    <cellStyle name="Vírgula 7 4 3 5" xfId="10770" xr:uid="{00000000-0005-0000-0000-000095540000}"/>
    <cellStyle name="Vírgula 7 4 3 6" xfId="10900" xr:uid="{00000000-0005-0000-0000-000096540000}"/>
    <cellStyle name="Vírgula 7 4 3 7" xfId="9297" xr:uid="{00000000-0005-0000-0000-000097540000}"/>
    <cellStyle name="Vírgula 7 4 3 8" xfId="16087" xr:uid="{00000000-0005-0000-0000-000098540000}"/>
    <cellStyle name="Vírgula 7 4 4" xfId="3710" xr:uid="{00000000-0005-0000-0000-000099540000}"/>
    <cellStyle name="Vírgula 7 4 4 2" xfId="5902" xr:uid="{00000000-0005-0000-0000-00009A540000}"/>
    <cellStyle name="Vírgula 7 4 4 2 2" xfId="10512" xr:uid="{00000000-0005-0000-0000-00009B540000}"/>
    <cellStyle name="Vírgula 7 4 4 2 2 2" xfId="22898" xr:uid="{00000000-0005-0000-0000-00009C540000}"/>
    <cellStyle name="Vírgula 7 4 4 2 3" xfId="9659" xr:uid="{00000000-0005-0000-0000-00009D540000}"/>
    <cellStyle name="Vírgula 7 4 4 2 4" xfId="18937" xr:uid="{00000000-0005-0000-0000-00009E540000}"/>
    <cellStyle name="Vírgula 7 4 4 3" xfId="10511" xr:uid="{00000000-0005-0000-0000-00009F540000}"/>
    <cellStyle name="Vírgula 7 4 4 3 2" xfId="20778" xr:uid="{00000000-0005-0000-0000-0000A0540000}"/>
    <cellStyle name="Vírgula 7 4 4 4" xfId="9207" xr:uid="{00000000-0005-0000-0000-0000A1540000}"/>
    <cellStyle name="Vírgula 7 4 4 5" xfId="16754" xr:uid="{00000000-0005-0000-0000-0000A2540000}"/>
    <cellStyle name="Vírgula 7 4 5" xfId="6674" xr:uid="{00000000-0005-0000-0000-0000A3540000}"/>
    <cellStyle name="Vírgula 7 4 5 2" xfId="9758" xr:uid="{00000000-0005-0000-0000-0000A4540000}"/>
    <cellStyle name="Vírgula 7 4 5 2 2" xfId="10514" xr:uid="{00000000-0005-0000-0000-0000A5540000}"/>
    <cellStyle name="Vírgula 7 4 5 2 3" xfId="23656" xr:uid="{00000000-0005-0000-0000-0000A6540000}"/>
    <cellStyle name="Vírgula 7 4 5 3" xfId="10513" xr:uid="{00000000-0005-0000-0000-0000A7540000}"/>
    <cellStyle name="Vírgula 7 4 5 4" xfId="9344" xr:uid="{00000000-0005-0000-0000-0000A8540000}"/>
    <cellStyle name="Vírgula 7 4 5 5" xfId="19709" xr:uid="{00000000-0005-0000-0000-0000A9540000}"/>
    <cellStyle name="Vírgula 7 4 6" xfId="4991" xr:uid="{00000000-0005-0000-0000-0000AA540000}"/>
    <cellStyle name="Vírgula 7 4 6 2" xfId="9612" xr:uid="{00000000-0005-0000-0000-0000AB540000}"/>
    <cellStyle name="Vírgula 7 4 6 2 2" xfId="10516" xr:uid="{00000000-0005-0000-0000-0000AC540000}"/>
    <cellStyle name="Vírgula 7 4 6 2 3" xfId="22009" xr:uid="{00000000-0005-0000-0000-0000AD540000}"/>
    <cellStyle name="Vírgula 7 4 6 3" xfId="10515" xr:uid="{00000000-0005-0000-0000-0000AE540000}"/>
    <cellStyle name="Vírgula 7 4 6 4" xfId="9130" xr:uid="{00000000-0005-0000-0000-0000AF540000}"/>
    <cellStyle name="Vírgula 7 4 6 5" xfId="18026" xr:uid="{00000000-0005-0000-0000-0000B0540000}"/>
    <cellStyle name="Vírgula 7 4 7" xfId="9478" xr:uid="{00000000-0005-0000-0000-0000B1540000}"/>
    <cellStyle name="Vírgula 7 4 7 2" xfId="10517" xr:uid="{00000000-0005-0000-0000-0000B2540000}"/>
    <cellStyle name="Vírgula 7 4 7 3" xfId="19909" xr:uid="{00000000-0005-0000-0000-0000B3540000}"/>
    <cellStyle name="Vírgula 7 4 8" xfId="9902" xr:uid="{00000000-0005-0000-0000-0000B4540000}"/>
    <cellStyle name="Vírgula 7 4 9" xfId="10689" xr:uid="{00000000-0005-0000-0000-0000B5540000}"/>
    <cellStyle name="Vírgula 7 5" xfId="459" xr:uid="{00000000-0005-0000-0000-0000B6540000}"/>
    <cellStyle name="Vírgula 7 5 10" xfId="2423" xr:uid="{00000000-0005-0000-0000-0000B7540000}"/>
    <cellStyle name="Vírgula 7 5 10 2" xfId="3552" xr:uid="{00000000-0005-0000-0000-0000B8540000}"/>
    <cellStyle name="Vírgula 7 5 10 2 2" xfId="3967" xr:uid="{00000000-0005-0000-0000-0000B9540000}"/>
    <cellStyle name="Vírgula 7 5 10 2 2 2" xfId="6656" xr:uid="{00000000-0005-0000-0000-0000BA540000}"/>
    <cellStyle name="Vírgula 7 5 10 2 2 2 2" xfId="23638" xr:uid="{00000000-0005-0000-0000-0000BB540000}"/>
    <cellStyle name="Vírgula 7 5 10 2 2 2 3" xfId="19691" xr:uid="{00000000-0005-0000-0000-0000BC540000}"/>
    <cellStyle name="Vírgula 7 5 10 2 2 3" xfId="21023" xr:uid="{00000000-0005-0000-0000-0000BD540000}"/>
    <cellStyle name="Vírgula 7 5 10 2 2 4" xfId="17009" xr:uid="{00000000-0005-0000-0000-0000BE540000}"/>
    <cellStyle name="Vírgula 7 5 10 2 3" xfId="5721" xr:uid="{00000000-0005-0000-0000-0000BF540000}"/>
    <cellStyle name="Vírgula 7 5 10 2 3 2" xfId="22720" xr:uid="{00000000-0005-0000-0000-0000C0540000}"/>
    <cellStyle name="Vírgula 7 5 10 2 3 3" xfId="18756" xr:uid="{00000000-0005-0000-0000-0000C1540000}"/>
    <cellStyle name="Vírgula 7 5 10 2 4" xfId="20620" xr:uid="{00000000-0005-0000-0000-0000C2540000}"/>
    <cellStyle name="Vírgula 7 5 10 2 5" xfId="16596" xr:uid="{00000000-0005-0000-0000-0000C3540000}"/>
    <cellStyle name="Vírgula 7 5 10 3" xfId="4298" xr:uid="{00000000-0005-0000-0000-0000C4540000}"/>
    <cellStyle name="Vírgula 7 5 10 3 2" xfId="6451" xr:uid="{00000000-0005-0000-0000-0000C5540000}"/>
    <cellStyle name="Vírgula 7 5 10 3 2 2" xfId="23433" xr:uid="{00000000-0005-0000-0000-0000C6540000}"/>
    <cellStyle name="Vírgula 7 5 10 3 2 3" xfId="19486" xr:uid="{00000000-0005-0000-0000-0000C7540000}"/>
    <cellStyle name="Vírgula 7 5 10 3 3" xfId="21342" xr:uid="{00000000-0005-0000-0000-0000C8540000}"/>
    <cellStyle name="Vírgula 7 5 10 3 4" xfId="17335" xr:uid="{00000000-0005-0000-0000-0000C9540000}"/>
    <cellStyle name="Vírgula 7 5 10 4" xfId="6848" xr:uid="{00000000-0005-0000-0000-0000CA540000}"/>
    <cellStyle name="Vírgula 7 5 10 4 2" xfId="23814" xr:uid="{00000000-0005-0000-0000-0000CB540000}"/>
    <cellStyle name="Vírgula 7 5 10 4 3" xfId="19883" xr:uid="{00000000-0005-0000-0000-0000CC540000}"/>
    <cellStyle name="Vírgula 7 5 10 5" xfId="5166" xr:uid="{00000000-0005-0000-0000-0000CD540000}"/>
    <cellStyle name="Vírgula 7 5 10 5 2" xfId="22167" xr:uid="{00000000-0005-0000-0000-0000CE540000}"/>
    <cellStyle name="Vírgula 7 5 10 5 3" xfId="18201" xr:uid="{00000000-0005-0000-0000-0000CF540000}"/>
    <cellStyle name="Vírgula 7 5 10 6" xfId="20067" xr:uid="{00000000-0005-0000-0000-0000D0540000}"/>
    <cellStyle name="Vírgula 7 5 10 7" xfId="16036" xr:uid="{00000000-0005-0000-0000-0000D1540000}"/>
    <cellStyle name="Vírgula 7 5 11" xfId="2424" xr:uid="{00000000-0005-0000-0000-0000D2540000}"/>
    <cellStyle name="Vírgula 7 5 11 2" xfId="2425" xr:uid="{00000000-0005-0000-0000-0000D3540000}"/>
    <cellStyle name="Vírgula 7 5 11 2 2" xfId="3554" xr:uid="{00000000-0005-0000-0000-0000D4540000}"/>
    <cellStyle name="Vírgula 7 5 11 2 2 2" xfId="4382" xr:uid="{00000000-0005-0000-0000-0000D5540000}"/>
    <cellStyle name="Vírgula 7 5 11 2 2 2 2" xfId="6658" xr:uid="{00000000-0005-0000-0000-0000D6540000}"/>
    <cellStyle name="Vírgula 7 5 11 2 2 2 2 2" xfId="23640" xr:uid="{00000000-0005-0000-0000-0000D7540000}"/>
    <cellStyle name="Vírgula 7 5 11 2 2 2 2 3" xfId="19693" xr:uid="{00000000-0005-0000-0000-0000D8540000}"/>
    <cellStyle name="Vírgula 7 5 11 2 2 2 3" xfId="21426" xr:uid="{00000000-0005-0000-0000-0000D9540000}"/>
    <cellStyle name="Vírgula 7 5 11 2 2 2 4" xfId="17419" xr:uid="{00000000-0005-0000-0000-0000DA540000}"/>
    <cellStyle name="Vírgula 7 5 11 2 2 3" xfId="5723" xr:uid="{00000000-0005-0000-0000-0000DB540000}"/>
    <cellStyle name="Vírgula 7 5 11 2 2 3 2" xfId="22722" xr:uid="{00000000-0005-0000-0000-0000DC540000}"/>
    <cellStyle name="Vírgula 7 5 11 2 2 3 3" xfId="18758" xr:uid="{00000000-0005-0000-0000-0000DD540000}"/>
    <cellStyle name="Vírgula 7 5 11 2 2 4" xfId="20622" xr:uid="{00000000-0005-0000-0000-0000DE540000}"/>
    <cellStyle name="Vírgula 7 5 11 2 2 5" xfId="16598" xr:uid="{00000000-0005-0000-0000-0000DF540000}"/>
    <cellStyle name="Vírgula 7 5 11 2 3" xfId="4300" xr:uid="{00000000-0005-0000-0000-0000E0540000}"/>
    <cellStyle name="Vírgula 7 5 11 2 3 2" xfId="6453" xr:uid="{00000000-0005-0000-0000-0000E1540000}"/>
    <cellStyle name="Vírgula 7 5 11 2 3 2 2" xfId="23435" xr:uid="{00000000-0005-0000-0000-0000E2540000}"/>
    <cellStyle name="Vírgula 7 5 11 2 3 2 3" xfId="19488" xr:uid="{00000000-0005-0000-0000-0000E3540000}"/>
    <cellStyle name="Vírgula 7 5 11 2 3 3" xfId="21344" xr:uid="{00000000-0005-0000-0000-0000E4540000}"/>
    <cellStyle name="Vírgula 7 5 11 2 3 4" xfId="17337" xr:uid="{00000000-0005-0000-0000-0000E5540000}"/>
    <cellStyle name="Vírgula 7 5 11 2 4" xfId="6850" xr:uid="{00000000-0005-0000-0000-0000E6540000}"/>
    <cellStyle name="Vírgula 7 5 11 2 4 2" xfId="23816" xr:uid="{00000000-0005-0000-0000-0000E7540000}"/>
    <cellStyle name="Vírgula 7 5 11 2 4 3" xfId="19885" xr:uid="{00000000-0005-0000-0000-0000E8540000}"/>
    <cellStyle name="Vírgula 7 5 11 2 5" xfId="5168" xr:uid="{00000000-0005-0000-0000-0000E9540000}"/>
    <cellStyle name="Vírgula 7 5 11 2 5 2" xfId="22169" xr:uid="{00000000-0005-0000-0000-0000EA540000}"/>
    <cellStyle name="Vírgula 7 5 11 2 5 3" xfId="18203" xr:uid="{00000000-0005-0000-0000-0000EB540000}"/>
    <cellStyle name="Vírgula 7 5 11 2 6" xfId="20069" xr:uid="{00000000-0005-0000-0000-0000EC540000}"/>
    <cellStyle name="Vírgula 7 5 11 2 7" xfId="16038" xr:uid="{00000000-0005-0000-0000-0000ED540000}"/>
    <cellStyle name="Vírgula 7 5 11 3" xfId="3553" xr:uid="{00000000-0005-0000-0000-0000EE540000}"/>
    <cellStyle name="Vírgula 7 5 11 3 2" xfId="3696" xr:uid="{00000000-0005-0000-0000-0000EF540000}"/>
    <cellStyle name="Vírgula 7 5 11 3 2 2" xfId="6657" xr:uid="{00000000-0005-0000-0000-0000F0540000}"/>
    <cellStyle name="Vírgula 7 5 11 3 2 2 2" xfId="23639" xr:uid="{00000000-0005-0000-0000-0000F1540000}"/>
    <cellStyle name="Vírgula 7 5 11 3 2 2 3" xfId="19692" xr:uid="{00000000-0005-0000-0000-0000F2540000}"/>
    <cellStyle name="Vírgula 7 5 11 3 2 3" xfId="20764" xr:uid="{00000000-0005-0000-0000-0000F3540000}"/>
    <cellStyle name="Vírgula 7 5 11 3 2 4" xfId="16740" xr:uid="{00000000-0005-0000-0000-0000F4540000}"/>
    <cellStyle name="Vírgula 7 5 11 3 3" xfId="5722" xr:uid="{00000000-0005-0000-0000-0000F5540000}"/>
    <cellStyle name="Vírgula 7 5 11 3 3 2" xfId="22721" xr:uid="{00000000-0005-0000-0000-0000F6540000}"/>
    <cellStyle name="Vírgula 7 5 11 3 3 3" xfId="18757" xr:uid="{00000000-0005-0000-0000-0000F7540000}"/>
    <cellStyle name="Vírgula 7 5 11 3 4" xfId="20621" xr:uid="{00000000-0005-0000-0000-0000F8540000}"/>
    <cellStyle name="Vírgula 7 5 11 3 5" xfId="16597" xr:uid="{00000000-0005-0000-0000-0000F9540000}"/>
    <cellStyle name="Vírgula 7 5 11 4" xfId="4299" xr:uid="{00000000-0005-0000-0000-0000FA540000}"/>
    <cellStyle name="Vírgula 7 5 11 4 2" xfId="6452" xr:uid="{00000000-0005-0000-0000-0000FB540000}"/>
    <cellStyle name="Vírgula 7 5 11 4 2 2" xfId="23434" xr:uid="{00000000-0005-0000-0000-0000FC540000}"/>
    <cellStyle name="Vírgula 7 5 11 4 2 3" xfId="19487" xr:uid="{00000000-0005-0000-0000-0000FD540000}"/>
    <cellStyle name="Vírgula 7 5 11 4 3" xfId="21343" xr:uid="{00000000-0005-0000-0000-0000FE540000}"/>
    <cellStyle name="Vírgula 7 5 11 4 4" xfId="17336" xr:uid="{00000000-0005-0000-0000-0000FF540000}"/>
    <cellStyle name="Vírgula 7 5 11 5" xfId="6849" xr:uid="{00000000-0005-0000-0000-000000550000}"/>
    <cellStyle name="Vírgula 7 5 11 5 2" xfId="23815" xr:uid="{00000000-0005-0000-0000-000001550000}"/>
    <cellStyle name="Vírgula 7 5 11 5 3" xfId="19884" xr:uid="{00000000-0005-0000-0000-000002550000}"/>
    <cellStyle name="Vírgula 7 5 11 6" xfId="5167" xr:uid="{00000000-0005-0000-0000-000003550000}"/>
    <cellStyle name="Vírgula 7 5 11 6 2" xfId="22168" xr:uid="{00000000-0005-0000-0000-000004550000}"/>
    <cellStyle name="Vírgula 7 5 11 6 3" xfId="18202" xr:uid="{00000000-0005-0000-0000-000005550000}"/>
    <cellStyle name="Vírgula 7 5 11 7" xfId="20068" xr:uid="{00000000-0005-0000-0000-000006550000}"/>
    <cellStyle name="Vírgula 7 5 11 8" xfId="16037" xr:uid="{00000000-0005-0000-0000-000007550000}"/>
    <cellStyle name="Vírgula 7 5 12" xfId="2426" xr:uid="{00000000-0005-0000-0000-000008550000}"/>
    <cellStyle name="Vírgula 7 5 12 2" xfId="3555" xr:uid="{00000000-0005-0000-0000-000009550000}"/>
    <cellStyle name="Vírgula 7 5 12 2 2" xfId="4157" xr:uid="{00000000-0005-0000-0000-00000A550000}"/>
    <cellStyle name="Vírgula 7 5 12 2 2 2" xfId="6659" xr:uid="{00000000-0005-0000-0000-00000B550000}"/>
    <cellStyle name="Vírgula 7 5 12 2 2 2 2" xfId="23641" xr:uid="{00000000-0005-0000-0000-00000C550000}"/>
    <cellStyle name="Vírgula 7 5 12 2 2 2 3" xfId="19694" xr:uid="{00000000-0005-0000-0000-00000D550000}"/>
    <cellStyle name="Vírgula 7 5 12 2 2 3" xfId="21205" xr:uid="{00000000-0005-0000-0000-00000E550000}"/>
    <cellStyle name="Vírgula 7 5 12 2 2 4" xfId="17197" xr:uid="{00000000-0005-0000-0000-00000F550000}"/>
    <cellStyle name="Vírgula 7 5 12 2 3" xfId="5724" xr:uid="{00000000-0005-0000-0000-000010550000}"/>
    <cellStyle name="Vírgula 7 5 12 2 3 2" xfId="22723" xr:uid="{00000000-0005-0000-0000-000011550000}"/>
    <cellStyle name="Vírgula 7 5 12 2 3 3" xfId="18759" xr:uid="{00000000-0005-0000-0000-000012550000}"/>
    <cellStyle name="Vírgula 7 5 12 2 4" xfId="20623" xr:uid="{00000000-0005-0000-0000-000013550000}"/>
    <cellStyle name="Vírgula 7 5 12 2 5" xfId="16599" xr:uid="{00000000-0005-0000-0000-000014550000}"/>
    <cellStyle name="Vírgula 7 5 12 3" xfId="4301" xr:uid="{00000000-0005-0000-0000-000015550000}"/>
    <cellStyle name="Vírgula 7 5 12 3 2" xfId="6454" xr:uid="{00000000-0005-0000-0000-000016550000}"/>
    <cellStyle name="Vírgula 7 5 12 3 2 2" xfId="12372" xr:uid="{00000000-0005-0000-0000-000017550000}"/>
    <cellStyle name="Vírgula 7 5 12 3 2 2 2" xfId="23436" xr:uid="{00000000-0005-0000-0000-000018550000}"/>
    <cellStyle name="Vírgula 7 5 12 3 2 3" xfId="11002" xr:uid="{00000000-0005-0000-0000-000019550000}"/>
    <cellStyle name="Vírgula 7 5 12 3 2 4" xfId="19489" xr:uid="{00000000-0005-0000-0000-00001A550000}"/>
    <cellStyle name="Vírgula 7 5 12 3 3" xfId="21345" xr:uid="{00000000-0005-0000-0000-00001B550000}"/>
    <cellStyle name="Vírgula 7 5 12 3 4" xfId="17338" xr:uid="{00000000-0005-0000-0000-00001C550000}"/>
    <cellStyle name="Vírgula 7 5 12 4" xfId="6851" xr:uid="{00000000-0005-0000-0000-00001D550000}"/>
    <cellStyle name="Vírgula 7 5 12 4 2" xfId="12471" xr:uid="{00000000-0005-0000-0000-00001E550000}"/>
    <cellStyle name="Vírgula 7 5 12 4 2 2" xfId="23817" xr:uid="{00000000-0005-0000-0000-00001F550000}"/>
    <cellStyle name="Vírgula 7 5 12 4 3" xfId="19886" xr:uid="{00000000-0005-0000-0000-000020550000}"/>
    <cellStyle name="Vírgula 7 5 12 5" xfId="5169" xr:uid="{00000000-0005-0000-0000-000021550000}"/>
    <cellStyle name="Vírgula 7 5 12 5 2" xfId="22170" xr:uid="{00000000-0005-0000-0000-000022550000}"/>
    <cellStyle name="Vírgula 7 5 12 5 3" xfId="18204" xr:uid="{00000000-0005-0000-0000-000023550000}"/>
    <cellStyle name="Vírgula 7 5 12 6" xfId="20070" xr:uid="{00000000-0005-0000-0000-000024550000}"/>
    <cellStyle name="Vírgula 7 5 12 7" xfId="16039" xr:uid="{00000000-0005-0000-0000-000025550000}"/>
    <cellStyle name="Vírgula 7 5 13" xfId="2427" xr:uid="{00000000-0005-0000-0000-000026550000}"/>
    <cellStyle name="Vírgula 7 5 13 2" xfId="3556" xr:uid="{00000000-0005-0000-0000-000027550000}"/>
    <cellStyle name="Vírgula 7 5 13 2 2" xfId="4022" xr:uid="{00000000-0005-0000-0000-000028550000}"/>
    <cellStyle name="Vírgula 7 5 13 2 2 2" xfId="6660" xr:uid="{00000000-0005-0000-0000-000029550000}"/>
    <cellStyle name="Vírgula 7 5 13 2 2 2 2" xfId="23642" xr:uid="{00000000-0005-0000-0000-00002A550000}"/>
    <cellStyle name="Vírgula 7 5 13 2 2 2 3" xfId="19695" xr:uid="{00000000-0005-0000-0000-00002B550000}"/>
    <cellStyle name="Vírgula 7 5 13 2 2 3" xfId="21074" xr:uid="{00000000-0005-0000-0000-00002C550000}"/>
    <cellStyle name="Vírgula 7 5 13 2 2 4" xfId="17063" xr:uid="{00000000-0005-0000-0000-00002D550000}"/>
    <cellStyle name="Vírgula 7 5 13 2 3" xfId="5725" xr:uid="{00000000-0005-0000-0000-00002E550000}"/>
    <cellStyle name="Vírgula 7 5 13 2 3 2" xfId="22724" xr:uid="{00000000-0005-0000-0000-00002F550000}"/>
    <cellStyle name="Vírgula 7 5 13 2 3 3" xfId="18760" xr:uid="{00000000-0005-0000-0000-000030550000}"/>
    <cellStyle name="Vírgula 7 5 13 2 4" xfId="20624" xr:uid="{00000000-0005-0000-0000-000031550000}"/>
    <cellStyle name="Vírgula 7 5 13 2 5" xfId="16600" xr:uid="{00000000-0005-0000-0000-000032550000}"/>
    <cellStyle name="Vírgula 7 5 13 3" xfId="4302" xr:uid="{00000000-0005-0000-0000-000033550000}"/>
    <cellStyle name="Vírgula 7 5 13 3 2" xfId="6455" xr:uid="{00000000-0005-0000-0000-000034550000}"/>
    <cellStyle name="Vírgula 7 5 13 3 2 2" xfId="23437" xr:uid="{00000000-0005-0000-0000-000035550000}"/>
    <cellStyle name="Vírgula 7 5 13 3 2 3" xfId="19490" xr:uid="{00000000-0005-0000-0000-000036550000}"/>
    <cellStyle name="Vírgula 7 5 13 3 3" xfId="21346" xr:uid="{00000000-0005-0000-0000-000037550000}"/>
    <cellStyle name="Vírgula 7 5 13 3 4" xfId="17339" xr:uid="{00000000-0005-0000-0000-000038550000}"/>
    <cellStyle name="Vírgula 7 5 13 4" xfId="6852" xr:uid="{00000000-0005-0000-0000-000039550000}"/>
    <cellStyle name="Vírgula 7 5 13 4 2" xfId="23818" xr:uid="{00000000-0005-0000-0000-00003A550000}"/>
    <cellStyle name="Vírgula 7 5 13 4 3" xfId="19887" xr:uid="{00000000-0005-0000-0000-00003B550000}"/>
    <cellStyle name="Vírgula 7 5 13 5" xfId="5170" xr:uid="{00000000-0005-0000-0000-00003C550000}"/>
    <cellStyle name="Vírgula 7 5 13 5 2" xfId="22171" xr:uid="{00000000-0005-0000-0000-00003D550000}"/>
    <cellStyle name="Vírgula 7 5 13 5 3" xfId="18205" xr:uid="{00000000-0005-0000-0000-00003E550000}"/>
    <cellStyle name="Vírgula 7 5 13 6" xfId="20071" xr:uid="{00000000-0005-0000-0000-00003F550000}"/>
    <cellStyle name="Vírgula 7 5 13 7" xfId="16040" xr:uid="{00000000-0005-0000-0000-000040550000}"/>
    <cellStyle name="Vírgula 7 5 14" xfId="3059" xr:uid="{00000000-0005-0000-0000-000041550000}"/>
    <cellStyle name="Vírgula 7 5 14 2" xfId="3966" xr:uid="{00000000-0005-0000-0000-000042550000}"/>
    <cellStyle name="Vírgula 7 5 14 2 2" xfId="6509" xr:uid="{00000000-0005-0000-0000-000043550000}"/>
    <cellStyle name="Vírgula 7 5 14 2 2 2" xfId="23491" xr:uid="{00000000-0005-0000-0000-000044550000}"/>
    <cellStyle name="Vírgula 7 5 14 2 2 3" xfId="19544" xr:uid="{00000000-0005-0000-0000-000045550000}"/>
    <cellStyle name="Vírgula 7 5 14 2 3" xfId="21022" xr:uid="{00000000-0005-0000-0000-000046550000}"/>
    <cellStyle name="Vírgula 7 5 14 2 4" xfId="17008" xr:uid="{00000000-0005-0000-0000-000047550000}"/>
    <cellStyle name="Vírgula 7 5 14 3" xfId="5228" xr:uid="{00000000-0005-0000-0000-000048550000}"/>
    <cellStyle name="Vírgula 7 5 14 3 2" xfId="22227" xr:uid="{00000000-0005-0000-0000-000049550000}"/>
    <cellStyle name="Vírgula 7 5 14 3 3" xfId="18263" xr:uid="{00000000-0005-0000-0000-00004A550000}"/>
    <cellStyle name="Vírgula 7 5 14 4" xfId="20127" xr:uid="{00000000-0005-0000-0000-00004B550000}"/>
    <cellStyle name="Vírgula 7 5 14 5" xfId="16103" xr:uid="{00000000-0005-0000-0000-00004C550000}"/>
    <cellStyle name="Vírgula 7 5 15" xfId="3775" xr:uid="{00000000-0005-0000-0000-00004D550000}"/>
    <cellStyle name="Vírgula 7 5 15 2" xfId="5926" xr:uid="{00000000-0005-0000-0000-00004E550000}"/>
    <cellStyle name="Vírgula 7 5 15 2 2" xfId="22921" xr:uid="{00000000-0005-0000-0000-00004F550000}"/>
    <cellStyle name="Vírgula 7 5 15 2 3" xfId="18961" xr:uid="{00000000-0005-0000-0000-000050550000}"/>
    <cellStyle name="Vírgula 7 5 15 3" xfId="20839" xr:uid="{00000000-0005-0000-0000-000051550000}"/>
    <cellStyle name="Vírgula 7 5 15 4" xfId="16818" xr:uid="{00000000-0005-0000-0000-000052550000}"/>
    <cellStyle name="Vírgula 7 5 16" xfId="6687" xr:uid="{00000000-0005-0000-0000-000053550000}"/>
    <cellStyle name="Vírgula 7 5 16 2" xfId="23666" xr:uid="{00000000-0005-0000-0000-000054550000}"/>
    <cellStyle name="Vírgula 7 5 16 3" xfId="19722" xr:uid="{00000000-0005-0000-0000-000055550000}"/>
    <cellStyle name="Vírgula 7 5 17" xfId="5005" xr:uid="{00000000-0005-0000-0000-000056550000}"/>
    <cellStyle name="Vírgula 7 5 17 2" xfId="22019" xr:uid="{00000000-0005-0000-0000-000057550000}"/>
    <cellStyle name="Vírgula 7 5 17 3" xfId="18040" xr:uid="{00000000-0005-0000-0000-000058550000}"/>
    <cellStyle name="Vírgula 7 5 18" xfId="19920" xr:uid="{00000000-0005-0000-0000-000059550000}"/>
    <cellStyle name="Vírgula 7 5 19" xfId="15874" xr:uid="{00000000-0005-0000-0000-00005A550000}"/>
    <cellStyle name="Vírgula 7 5 2" xfId="622" xr:uid="{00000000-0005-0000-0000-00005B550000}"/>
    <cellStyle name="Vírgula 7 5 2 2" xfId="907" xr:uid="{00000000-0005-0000-0000-00005C550000}"/>
    <cellStyle name="Vírgula 7 5 2 2 2" xfId="3192" xr:uid="{00000000-0005-0000-0000-00005D550000}"/>
    <cellStyle name="Vírgula 7 5 2 2 2 2" xfId="4447" xr:uid="{00000000-0005-0000-0000-00005E550000}"/>
    <cellStyle name="Vírgula 7 5 2 2 2 2 2" xfId="6592" xr:uid="{00000000-0005-0000-0000-00005F550000}"/>
    <cellStyle name="Vírgula 7 5 2 2 2 2 2 2" xfId="23574" xr:uid="{00000000-0005-0000-0000-000060550000}"/>
    <cellStyle name="Vírgula 7 5 2 2 2 2 2 3" xfId="19627" xr:uid="{00000000-0005-0000-0000-000061550000}"/>
    <cellStyle name="Vírgula 7 5 2 2 2 2 3" xfId="10521" xr:uid="{00000000-0005-0000-0000-000062550000}"/>
    <cellStyle name="Vírgula 7 5 2 2 2 2 3 2" xfId="21488" xr:uid="{00000000-0005-0000-0000-000063550000}"/>
    <cellStyle name="Vírgula 7 5 2 2 2 2 4" xfId="17483" xr:uid="{00000000-0005-0000-0000-000064550000}"/>
    <cellStyle name="Vírgula 7 5 2 2 2 3" xfId="5361" xr:uid="{00000000-0005-0000-0000-000065550000}"/>
    <cellStyle name="Vírgula 7 5 2 2 2 3 2" xfId="22360" xr:uid="{00000000-0005-0000-0000-000066550000}"/>
    <cellStyle name="Vírgula 7 5 2 2 2 3 3" xfId="18396" xr:uid="{00000000-0005-0000-0000-000067550000}"/>
    <cellStyle name="Vírgula 7 5 2 2 2 4" xfId="9846" xr:uid="{00000000-0005-0000-0000-000068550000}"/>
    <cellStyle name="Vírgula 7 5 2 2 2 4 2" xfId="20260" xr:uid="{00000000-0005-0000-0000-000069550000}"/>
    <cellStyle name="Vírgula 7 5 2 2 2 5" xfId="16236" xr:uid="{00000000-0005-0000-0000-00006A550000}"/>
    <cellStyle name="Vírgula 7 5 2 2 3" xfId="3941" xr:uid="{00000000-0005-0000-0000-00006B550000}"/>
    <cellStyle name="Vírgula 7 5 2 2 3 2" xfId="6082" xr:uid="{00000000-0005-0000-0000-00006C550000}"/>
    <cellStyle name="Vírgula 7 5 2 2 3 2 2" xfId="23071" xr:uid="{00000000-0005-0000-0000-00006D550000}"/>
    <cellStyle name="Vírgula 7 5 2 2 3 2 3" xfId="19117" xr:uid="{00000000-0005-0000-0000-00006E550000}"/>
    <cellStyle name="Vírgula 7 5 2 2 3 3" xfId="10520" xr:uid="{00000000-0005-0000-0000-00006F550000}"/>
    <cellStyle name="Vírgula 7 5 2 2 3 3 2" xfId="20998" xr:uid="{00000000-0005-0000-0000-000070550000}"/>
    <cellStyle name="Vírgula 7 5 2 2 3 4" xfId="16983" xr:uid="{00000000-0005-0000-0000-000071550000}"/>
    <cellStyle name="Vírgula 7 5 2 2 4" xfId="6777" xr:uid="{00000000-0005-0000-0000-000072550000}"/>
    <cellStyle name="Vírgula 7 5 2 2 4 2" xfId="23750" xr:uid="{00000000-0005-0000-0000-000073550000}"/>
    <cellStyle name="Vírgula 7 5 2 2 4 3" xfId="19812" xr:uid="{00000000-0005-0000-0000-000074550000}"/>
    <cellStyle name="Vírgula 7 5 2 2 5" xfId="5095" xr:uid="{00000000-0005-0000-0000-000075550000}"/>
    <cellStyle name="Vírgula 7 5 2 2 5 2" xfId="22103" xr:uid="{00000000-0005-0000-0000-000076550000}"/>
    <cellStyle name="Vírgula 7 5 2 2 5 3" xfId="18130" xr:uid="{00000000-0005-0000-0000-000077550000}"/>
    <cellStyle name="Vírgula 7 5 2 2 6" xfId="9425" xr:uid="{00000000-0005-0000-0000-000078550000}"/>
    <cellStyle name="Vírgula 7 5 2 2 6 2" xfId="20003" xr:uid="{00000000-0005-0000-0000-000079550000}"/>
    <cellStyle name="Vírgula 7 5 2 2 7" xfId="15963" xr:uid="{00000000-0005-0000-0000-00007A550000}"/>
    <cellStyle name="Vírgula 7 5 2 3" xfId="3083" xr:uid="{00000000-0005-0000-0000-00007B550000}"/>
    <cellStyle name="Vírgula 7 5 2 3 2" xfId="4079" xr:uid="{00000000-0005-0000-0000-00007C550000}"/>
    <cellStyle name="Vírgula 7 5 2 3 2 2" xfId="6523" xr:uid="{00000000-0005-0000-0000-00007D550000}"/>
    <cellStyle name="Vírgula 7 5 2 3 2 2 2" xfId="23505" xr:uid="{00000000-0005-0000-0000-00007E550000}"/>
    <cellStyle name="Vírgula 7 5 2 3 2 2 3" xfId="19558" xr:uid="{00000000-0005-0000-0000-00007F550000}"/>
    <cellStyle name="Vírgula 7 5 2 3 2 3" xfId="10522" xr:uid="{00000000-0005-0000-0000-000080550000}"/>
    <cellStyle name="Vírgula 7 5 2 3 2 3 2" xfId="21127" xr:uid="{00000000-0005-0000-0000-000081550000}"/>
    <cellStyle name="Vírgula 7 5 2 3 2 4" xfId="17119" xr:uid="{00000000-0005-0000-0000-000082550000}"/>
    <cellStyle name="Vírgula 7 5 2 3 3" xfId="5252" xr:uid="{00000000-0005-0000-0000-000083550000}"/>
    <cellStyle name="Vírgula 7 5 2 3 3 2" xfId="22251" xr:uid="{00000000-0005-0000-0000-000084550000}"/>
    <cellStyle name="Vírgula 7 5 2 3 3 3" xfId="18287" xr:uid="{00000000-0005-0000-0000-000085550000}"/>
    <cellStyle name="Vírgula 7 5 2 3 4" xfId="9565" xr:uid="{00000000-0005-0000-0000-000086550000}"/>
    <cellStyle name="Vírgula 7 5 2 3 4 2" xfId="20151" xr:uid="{00000000-0005-0000-0000-000087550000}"/>
    <cellStyle name="Vírgula 7 5 2 3 5" xfId="16127" xr:uid="{00000000-0005-0000-0000-000088550000}"/>
    <cellStyle name="Vírgula 7 5 2 4" xfId="3826" xr:uid="{00000000-0005-0000-0000-000089550000}"/>
    <cellStyle name="Vírgula 7 5 2 4 2" xfId="5968" xr:uid="{00000000-0005-0000-0000-00008A550000}"/>
    <cellStyle name="Vírgula 7 5 2 4 2 2" xfId="22962" xr:uid="{00000000-0005-0000-0000-00008B550000}"/>
    <cellStyle name="Vírgula 7 5 2 4 2 3" xfId="19003" xr:uid="{00000000-0005-0000-0000-00008C550000}"/>
    <cellStyle name="Vírgula 7 5 2 4 3" xfId="10519" xr:uid="{00000000-0005-0000-0000-00008D550000}"/>
    <cellStyle name="Vírgula 7 5 2 4 3 2" xfId="20888" xr:uid="{00000000-0005-0000-0000-00008E550000}"/>
    <cellStyle name="Vírgula 7 5 2 4 4" xfId="16868" xr:uid="{00000000-0005-0000-0000-00008F550000}"/>
    <cellStyle name="Vírgula 7 5 2 5" xfId="6702" xr:uid="{00000000-0005-0000-0000-000090550000}"/>
    <cellStyle name="Vírgula 7 5 2 5 2" xfId="10774" xr:uid="{00000000-0005-0000-0000-000091550000}"/>
    <cellStyle name="Vírgula 7 5 2 5 2 2" xfId="23680" xr:uid="{00000000-0005-0000-0000-000092550000}"/>
    <cellStyle name="Vírgula 7 5 2 5 3" xfId="19737" xr:uid="{00000000-0005-0000-0000-000093550000}"/>
    <cellStyle name="Vírgula 7 5 2 6" xfId="5020" xr:uid="{00000000-0005-0000-0000-000094550000}"/>
    <cellStyle name="Vírgula 7 5 2 6 2" xfId="10904" xr:uid="{00000000-0005-0000-0000-000095550000}"/>
    <cellStyle name="Vírgula 7 5 2 6 2 2" xfId="22033" xr:uid="{00000000-0005-0000-0000-000096550000}"/>
    <cellStyle name="Vírgula 7 5 2 6 3" xfId="18055" xr:uid="{00000000-0005-0000-0000-000097550000}"/>
    <cellStyle name="Vírgula 7 5 2 7" xfId="9301" xr:uid="{00000000-0005-0000-0000-000098550000}"/>
    <cellStyle name="Vírgula 7 5 2 7 2" xfId="19934" xr:uid="{00000000-0005-0000-0000-000099550000}"/>
    <cellStyle name="Vírgula 7 5 2 8" xfId="15889" xr:uid="{00000000-0005-0000-0000-00009A550000}"/>
    <cellStyle name="Vírgula 7 5 3" xfId="623" xr:uid="{00000000-0005-0000-0000-00009B550000}"/>
    <cellStyle name="Vírgula 7 5 3 2" xfId="624" xr:uid="{00000000-0005-0000-0000-00009C550000}"/>
    <cellStyle name="Vírgula 7 5 3 2 2" xfId="908" xr:uid="{00000000-0005-0000-0000-00009D550000}"/>
    <cellStyle name="Vírgula 7 5 3 2 2 2" xfId="3193" xr:uid="{00000000-0005-0000-0000-00009E550000}"/>
    <cellStyle name="Vírgula 7 5 3 2 2 2 2" xfId="4235" xr:uid="{00000000-0005-0000-0000-00009F550000}"/>
    <cellStyle name="Vírgula 7 5 3 2 2 2 2 2" xfId="6593" xr:uid="{00000000-0005-0000-0000-0000A0550000}"/>
    <cellStyle name="Vírgula 7 5 3 2 2 2 2 2 2" xfId="23575" xr:uid="{00000000-0005-0000-0000-0000A1550000}"/>
    <cellStyle name="Vírgula 7 5 3 2 2 2 2 2 3" xfId="19628" xr:uid="{00000000-0005-0000-0000-0000A2550000}"/>
    <cellStyle name="Vírgula 7 5 3 2 2 2 2 3" xfId="21281" xr:uid="{00000000-0005-0000-0000-0000A3550000}"/>
    <cellStyle name="Vírgula 7 5 3 2 2 2 2 4" xfId="17274" xr:uid="{00000000-0005-0000-0000-0000A4550000}"/>
    <cellStyle name="Vírgula 7 5 3 2 2 2 3" xfId="5362" xr:uid="{00000000-0005-0000-0000-0000A5550000}"/>
    <cellStyle name="Vírgula 7 5 3 2 2 2 3 2" xfId="22361" xr:uid="{00000000-0005-0000-0000-0000A6550000}"/>
    <cellStyle name="Vírgula 7 5 3 2 2 2 3 3" xfId="18397" xr:uid="{00000000-0005-0000-0000-0000A7550000}"/>
    <cellStyle name="Vírgula 7 5 3 2 2 2 4" xfId="20261" xr:uid="{00000000-0005-0000-0000-0000A8550000}"/>
    <cellStyle name="Vírgula 7 5 3 2 2 2 5" xfId="16237" xr:uid="{00000000-0005-0000-0000-0000A9550000}"/>
    <cellStyle name="Vírgula 7 5 3 2 2 3" xfId="3942" xr:uid="{00000000-0005-0000-0000-0000AA550000}"/>
    <cellStyle name="Vírgula 7 5 3 2 2 3 2" xfId="6083" xr:uid="{00000000-0005-0000-0000-0000AB550000}"/>
    <cellStyle name="Vírgula 7 5 3 2 2 3 2 2" xfId="23072" xr:uid="{00000000-0005-0000-0000-0000AC550000}"/>
    <cellStyle name="Vírgula 7 5 3 2 2 3 2 3" xfId="19118" xr:uid="{00000000-0005-0000-0000-0000AD550000}"/>
    <cellStyle name="Vírgula 7 5 3 2 2 3 3" xfId="20999" xr:uid="{00000000-0005-0000-0000-0000AE550000}"/>
    <cellStyle name="Vírgula 7 5 3 2 2 3 4" xfId="16984" xr:uid="{00000000-0005-0000-0000-0000AF550000}"/>
    <cellStyle name="Vírgula 7 5 3 2 2 4" xfId="6778" xr:uid="{00000000-0005-0000-0000-0000B0550000}"/>
    <cellStyle name="Vírgula 7 5 3 2 2 4 2" xfId="23751" xr:uid="{00000000-0005-0000-0000-0000B1550000}"/>
    <cellStyle name="Vírgula 7 5 3 2 2 4 3" xfId="19813" xr:uid="{00000000-0005-0000-0000-0000B2550000}"/>
    <cellStyle name="Vírgula 7 5 3 2 2 5" xfId="5096" xr:uid="{00000000-0005-0000-0000-0000B3550000}"/>
    <cellStyle name="Vírgula 7 5 3 2 2 5 2" xfId="22104" xr:uid="{00000000-0005-0000-0000-0000B4550000}"/>
    <cellStyle name="Vírgula 7 5 3 2 2 5 3" xfId="18131" xr:uid="{00000000-0005-0000-0000-0000B5550000}"/>
    <cellStyle name="Vírgula 7 5 3 2 2 6" xfId="10524" xr:uid="{00000000-0005-0000-0000-0000B6550000}"/>
    <cellStyle name="Vírgula 7 5 3 2 2 6 2" xfId="20004" xr:uid="{00000000-0005-0000-0000-0000B7550000}"/>
    <cellStyle name="Vírgula 7 5 3 2 2 7" xfId="15964" xr:uid="{00000000-0005-0000-0000-0000B8550000}"/>
    <cellStyle name="Vírgula 7 5 3 2 3" xfId="3085" xr:uid="{00000000-0005-0000-0000-0000B9550000}"/>
    <cellStyle name="Vírgula 7 5 3 2 3 2" xfId="4042" xr:uid="{00000000-0005-0000-0000-0000BA550000}"/>
    <cellStyle name="Vírgula 7 5 3 2 3 2 2" xfId="6525" xr:uid="{00000000-0005-0000-0000-0000BB550000}"/>
    <cellStyle name="Vírgula 7 5 3 2 3 2 2 2" xfId="23507" xr:uid="{00000000-0005-0000-0000-0000BC550000}"/>
    <cellStyle name="Vírgula 7 5 3 2 3 2 2 3" xfId="19560" xr:uid="{00000000-0005-0000-0000-0000BD550000}"/>
    <cellStyle name="Vírgula 7 5 3 2 3 2 3" xfId="21091" xr:uid="{00000000-0005-0000-0000-0000BE550000}"/>
    <cellStyle name="Vírgula 7 5 3 2 3 2 4" xfId="17083" xr:uid="{00000000-0005-0000-0000-0000BF550000}"/>
    <cellStyle name="Vírgula 7 5 3 2 3 3" xfId="5254" xr:uid="{00000000-0005-0000-0000-0000C0550000}"/>
    <cellStyle name="Vírgula 7 5 3 2 3 3 2" xfId="22253" xr:uid="{00000000-0005-0000-0000-0000C1550000}"/>
    <cellStyle name="Vírgula 7 5 3 2 3 3 3" xfId="18289" xr:uid="{00000000-0005-0000-0000-0000C2550000}"/>
    <cellStyle name="Vírgula 7 5 3 2 3 4" xfId="20153" xr:uid="{00000000-0005-0000-0000-0000C3550000}"/>
    <cellStyle name="Vírgula 7 5 3 2 3 5" xfId="16129" xr:uid="{00000000-0005-0000-0000-0000C4550000}"/>
    <cellStyle name="Vírgula 7 5 3 2 4" xfId="3828" xr:uid="{00000000-0005-0000-0000-0000C5550000}"/>
    <cellStyle name="Vírgula 7 5 3 2 4 2" xfId="5970" xr:uid="{00000000-0005-0000-0000-0000C6550000}"/>
    <cellStyle name="Vírgula 7 5 3 2 4 2 2" xfId="22964" xr:uid="{00000000-0005-0000-0000-0000C7550000}"/>
    <cellStyle name="Vírgula 7 5 3 2 4 2 3" xfId="19005" xr:uid="{00000000-0005-0000-0000-0000C8550000}"/>
    <cellStyle name="Vírgula 7 5 3 2 4 3" xfId="20890" xr:uid="{00000000-0005-0000-0000-0000C9550000}"/>
    <cellStyle name="Vírgula 7 5 3 2 4 4" xfId="16870" xr:uid="{00000000-0005-0000-0000-0000CA550000}"/>
    <cellStyle name="Vírgula 7 5 3 2 5" xfId="6704" xr:uid="{00000000-0005-0000-0000-0000CB550000}"/>
    <cellStyle name="Vírgula 7 5 3 2 5 2" xfId="23682" xr:uid="{00000000-0005-0000-0000-0000CC550000}"/>
    <cellStyle name="Vírgula 7 5 3 2 5 3" xfId="19739" xr:uid="{00000000-0005-0000-0000-0000CD550000}"/>
    <cellStyle name="Vírgula 7 5 3 2 6" xfId="5022" xr:uid="{00000000-0005-0000-0000-0000CE550000}"/>
    <cellStyle name="Vírgula 7 5 3 2 6 2" xfId="22035" xr:uid="{00000000-0005-0000-0000-0000CF550000}"/>
    <cellStyle name="Vírgula 7 5 3 2 6 3" xfId="18057" xr:uid="{00000000-0005-0000-0000-0000D0550000}"/>
    <cellStyle name="Vírgula 7 5 3 2 7" xfId="9717" xr:uid="{00000000-0005-0000-0000-0000D1550000}"/>
    <cellStyle name="Vírgula 7 5 3 2 7 2" xfId="19936" xr:uid="{00000000-0005-0000-0000-0000D2550000}"/>
    <cellStyle name="Vírgula 7 5 3 2 8" xfId="15891" xr:uid="{00000000-0005-0000-0000-0000D3550000}"/>
    <cellStyle name="Vírgula 7 5 3 3" xfId="909" xr:uid="{00000000-0005-0000-0000-0000D4550000}"/>
    <cellStyle name="Vírgula 7 5 3 3 2" xfId="3194" xr:uid="{00000000-0005-0000-0000-0000D5550000}"/>
    <cellStyle name="Vírgula 7 5 3 3 2 2" xfId="4462" xr:uid="{00000000-0005-0000-0000-0000D6550000}"/>
    <cellStyle name="Vírgula 7 5 3 3 2 2 2" xfId="6594" xr:uid="{00000000-0005-0000-0000-0000D7550000}"/>
    <cellStyle name="Vírgula 7 5 3 3 2 2 2 2" xfId="23576" xr:uid="{00000000-0005-0000-0000-0000D8550000}"/>
    <cellStyle name="Vírgula 7 5 3 3 2 2 2 3" xfId="19629" xr:uid="{00000000-0005-0000-0000-0000D9550000}"/>
    <cellStyle name="Vírgula 7 5 3 3 2 2 3" xfId="21502" xr:uid="{00000000-0005-0000-0000-0000DA550000}"/>
    <cellStyle name="Vírgula 7 5 3 3 2 2 4" xfId="17497" xr:uid="{00000000-0005-0000-0000-0000DB550000}"/>
    <cellStyle name="Vírgula 7 5 3 3 2 3" xfId="5363" xr:uid="{00000000-0005-0000-0000-0000DC550000}"/>
    <cellStyle name="Vírgula 7 5 3 3 2 3 2" xfId="22362" xr:uid="{00000000-0005-0000-0000-0000DD550000}"/>
    <cellStyle name="Vírgula 7 5 3 3 2 3 3" xfId="18398" xr:uid="{00000000-0005-0000-0000-0000DE550000}"/>
    <cellStyle name="Vírgula 7 5 3 3 2 4" xfId="20262" xr:uid="{00000000-0005-0000-0000-0000DF550000}"/>
    <cellStyle name="Vírgula 7 5 3 3 2 5" xfId="16238" xr:uid="{00000000-0005-0000-0000-0000E0550000}"/>
    <cellStyle name="Vírgula 7 5 3 3 3" xfId="3943" xr:uid="{00000000-0005-0000-0000-0000E1550000}"/>
    <cellStyle name="Vírgula 7 5 3 3 3 2" xfId="6084" xr:uid="{00000000-0005-0000-0000-0000E2550000}"/>
    <cellStyle name="Vírgula 7 5 3 3 3 2 2" xfId="23073" xr:uid="{00000000-0005-0000-0000-0000E3550000}"/>
    <cellStyle name="Vírgula 7 5 3 3 3 2 3" xfId="19119" xr:uid="{00000000-0005-0000-0000-0000E4550000}"/>
    <cellStyle name="Vírgula 7 5 3 3 3 3" xfId="21000" xr:uid="{00000000-0005-0000-0000-0000E5550000}"/>
    <cellStyle name="Vírgula 7 5 3 3 3 4" xfId="16985" xr:uid="{00000000-0005-0000-0000-0000E6550000}"/>
    <cellStyle name="Vírgula 7 5 3 3 4" xfId="6779" xr:uid="{00000000-0005-0000-0000-0000E7550000}"/>
    <cellStyle name="Vírgula 7 5 3 3 4 2" xfId="23752" xr:uid="{00000000-0005-0000-0000-0000E8550000}"/>
    <cellStyle name="Vírgula 7 5 3 3 4 3" xfId="19814" xr:uid="{00000000-0005-0000-0000-0000E9550000}"/>
    <cellStyle name="Vírgula 7 5 3 3 5" xfId="5097" xr:uid="{00000000-0005-0000-0000-0000EA550000}"/>
    <cellStyle name="Vírgula 7 5 3 3 5 2" xfId="22105" xr:uid="{00000000-0005-0000-0000-0000EB550000}"/>
    <cellStyle name="Vírgula 7 5 3 3 5 3" xfId="18132" xr:uid="{00000000-0005-0000-0000-0000EC550000}"/>
    <cellStyle name="Vírgula 7 5 3 3 6" xfId="10523" xr:uid="{00000000-0005-0000-0000-0000ED550000}"/>
    <cellStyle name="Vírgula 7 5 3 3 6 2" xfId="20005" xr:uid="{00000000-0005-0000-0000-0000EE550000}"/>
    <cellStyle name="Vírgula 7 5 3 3 7" xfId="15965" xr:uid="{00000000-0005-0000-0000-0000EF550000}"/>
    <cellStyle name="Vírgula 7 5 3 4" xfId="3084" xr:uid="{00000000-0005-0000-0000-0000F0550000}"/>
    <cellStyle name="Vírgula 7 5 3 4 2" xfId="4342" xr:uid="{00000000-0005-0000-0000-0000F1550000}"/>
    <cellStyle name="Vírgula 7 5 3 4 2 2" xfId="6524" xr:uid="{00000000-0005-0000-0000-0000F2550000}"/>
    <cellStyle name="Vírgula 7 5 3 4 2 2 2" xfId="23506" xr:uid="{00000000-0005-0000-0000-0000F3550000}"/>
    <cellStyle name="Vírgula 7 5 3 4 2 2 3" xfId="19559" xr:uid="{00000000-0005-0000-0000-0000F4550000}"/>
    <cellStyle name="Vírgula 7 5 3 4 2 3" xfId="21386" xr:uid="{00000000-0005-0000-0000-0000F5550000}"/>
    <cellStyle name="Vírgula 7 5 3 4 2 4" xfId="17379" xr:uid="{00000000-0005-0000-0000-0000F6550000}"/>
    <cellStyle name="Vírgula 7 5 3 4 3" xfId="5253" xr:uid="{00000000-0005-0000-0000-0000F7550000}"/>
    <cellStyle name="Vírgula 7 5 3 4 3 2" xfId="22252" xr:uid="{00000000-0005-0000-0000-0000F8550000}"/>
    <cellStyle name="Vírgula 7 5 3 4 3 3" xfId="18288" xr:uid="{00000000-0005-0000-0000-0000F9550000}"/>
    <cellStyle name="Vírgula 7 5 3 4 4" xfId="20152" xr:uid="{00000000-0005-0000-0000-0000FA550000}"/>
    <cellStyle name="Vírgula 7 5 3 4 5" xfId="16128" xr:uid="{00000000-0005-0000-0000-0000FB550000}"/>
    <cellStyle name="Vírgula 7 5 3 5" xfId="3827" xr:uid="{00000000-0005-0000-0000-0000FC550000}"/>
    <cellStyle name="Vírgula 7 5 3 5 2" xfId="5969" xr:uid="{00000000-0005-0000-0000-0000FD550000}"/>
    <cellStyle name="Vírgula 7 5 3 5 2 2" xfId="22963" xr:uid="{00000000-0005-0000-0000-0000FE550000}"/>
    <cellStyle name="Vírgula 7 5 3 5 2 3" xfId="19004" xr:uid="{00000000-0005-0000-0000-0000FF550000}"/>
    <cellStyle name="Vírgula 7 5 3 5 3" xfId="20889" xr:uid="{00000000-0005-0000-0000-000000560000}"/>
    <cellStyle name="Vírgula 7 5 3 5 4" xfId="16869" xr:uid="{00000000-0005-0000-0000-000001560000}"/>
    <cellStyle name="Vírgula 7 5 3 6" xfId="6703" xr:uid="{00000000-0005-0000-0000-000002560000}"/>
    <cellStyle name="Vírgula 7 5 3 6 2" xfId="23681" xr:uid="{00000000-0005-0000-0000-000003560000}"/>
    <cellStyle name="Vírgula 7 5 3 6 3" xfId="19738" xr:uid="{00000000-0005-0000-0000-000004560000}"/>
    <cellStyle name="Vírgula 7 5 3 7" xfId="5021" xr:uid="{00000000-0005-0000-0000-000005560000}"/>
    <cellStyle name="Vírgula 7 5 3 7 2" xfId="22034" xr:uid="{00000000-0005-0000-0000-000006560000}"/>
    <cellStyle name="Vírgula 7 5 3 7 3" xfId="18056" xr:uid="{00000000-0005-0000-0000-000007560000}"/>
    <cellStyle name="Vírgula 7 5 3 8" xfId="9260" xr:uid="{00000000-0005-0000-0000-000008560000}"/>
    <cellStyle name="Vírgula 7 5 3 8 2" xfId="19935" xr:uid="{00000000-0005-0000-0000-000009560000}"/>
    <cellStyle name="Vírgula 7 5 3 9" xfId="15890" xr:uid="{00000000-0005-0000-0000-00000A560000}"/>
    <cellStyle name="Vírgula 7 5 4" xfId="625" xr:uid="{00000000-0005-0000-0000-00000B560000}"/>
    <cellStyle name="Vírgula 7 5 4 2" xfId="910" xr:uid="{00000000-0005-0000-0000-00000C560000}"/>
    <cellStyle name="Vírgula 7 5 4 2 2" xfId="3195" xr:uid="{00000000-0005-0000-0000-00000D560000}"/>
    <cellStyle name="Vírgula 7 5 4 2 2 2" xfId="3749" xr:uid="{00000000-0005-0000-0000-00000E560000}"/>
    <cellStyle name="Vírgula 7 5 4 2 2 2 2" xfId="6595" xr:uid="{00000000-0005-0000-0000-00000F560000}"/>
    <cellStyle name="Vírgula 7 5 4 2 2 2 2 2" xfId="23577" xr:uid="{00000000-0005-0000-0000-000010560000}"/>
    <cellStyle name="Vírgula 7 5 4 2 2 2 2 3" xfId="19630" xr:uid="{00000000-0005-0000-0000-000011560000}"/>
    <cellStyle name="Vírgula 7 5 4 2 2 2 3" xfId="20813" xr:uid="{00000000-0005-0000-0000-000012560000}"/>
    <cellStyle name="Vírgula 7 5 4 2 2 2 4" xfId="16792" xr:uid="{00000000-0005-0000-0000-000013560000}"/>
    <cellStyle name="Vírgula 7 5 4 2 2 3" xfId="5364" xr:uid="{00000000-0005-0000-0000-000014560000}"/>
    <cellStyle name="Vírgula 7 5 4 2 2 3 2" xfId="22363" xr:uid="{00000000-0005-0000-0000-000015560000}"/>
    <cellStyle name="Vírgula 7 5 4 2 2 3 3" xfId="18399" xr:uid="{00000000-0005-0000-0000-000016560000}"/>
    <cellStyle name="Vírgula 7 5 4 2 2 4" xfId="10526" xr:uid="{00000000-0005-0000-0000-000017560000}"/>
    <cellStyle name="Vírgula 7 5 4 2 2 4 2" xfId="20263" xr:uid="{00000000-0005-0000-0000-000018560000}"/>
    <cellStyle name="Vírgula 7 5 4 2 2 5" xfId="16239" xr:uid="{00000000-0005-0000-0000-000019560000}"/>
    <cellStyle name="Vírgula 7 5 4 2 3" xfId="3944" xr:uid="{00000000-0005-0000-0000-00001A560000}"/>
    <cellStyle name="Vírgula 7 5 4 2 3 2" xfId="6085" xr:uid="{00000000-0005-0000-0000-00001B560000}"/>
    <cellStyle name="Vírgula 7 5 4 2 3 2 2" xfId="23074" xr:uid="{00000000-0005-0000-0000-00001C560000}"/>
    <cellStyle name="Vírgula 7 5 4 2 3 2 3" xfId="19120" xr:uid="{00000000-0005-0000-0000-00001D560000}"/>
    <cellStyle name="Vírgula 7 5 4 2 3 3" xfId="21001" xr:uid="{00000000-0005-0000-0000-00001E560000}"/>
    <cellStyle name="Vírgula 7 5 4 2 3 4" xfId="16986" xr:uid="{00000000-0005-0000-0000-00001F560000}"/>
    <cellStyle name="Vírgula 7 5 4 2 4" xfId="6780" xr:uid="{00000000-0005-0000-0000-000020560000}"/>
    <cellStyle name="Vírgula 7 5 4 2 4 2" xfId="23753" xr:uid="{00000000-0005-0000-0000-000021560000}"/>
    <cellStyle name="Vírgula 7 5 4 2 4 3" xfId="19815" xr:uid="{00000000-0005-0000-0000-000022560000}"/>
    <cellStyle name="Vírgula 7 5 4 2 5" xfId="5098" xr:uid="{00000000-0005-0000-0000-000023560000}"/>
    <cellStyle name="Vírgula 7 5 4 2 5 2" xfId="22106" xr:uid="{00000000-0005-0000-0000-000024560000}"/>
    <cellStyle name="Vírgula 7 5 4 2 5 3" xfId="18133" xr:uid="{00000000-0005-0000-0000-000025560000}"/>
    <cellStyle name="Vírgula 7 5 4 2 6" xfId="9796" xr:uid="{00000000-0005-0000-0000-000026560000}"/>
    <cellStyle name="Vírgula 7 5 4 2 6 2" xfId="20006" xr:uid="{00000000-0005-0000-0000-000027560000}"/>
    <cellStyle name="Vírgula 7 5 4 2 7" xfId="15966" xr:uid="{00000000-0005-0000-0000-000028560000}"/>
    <cellStyle name="Vírgula 7 5 4 3" xfId="3086" xr:uid="{00000000-0005-0000-0000-000029560000}"/>
    <cellStyle name="Vírgula 7 5 4 3 2" xfId="4111" xr:uid="{00000000-0005-0000-0000-00002A560000}"/>
    <cellStyle name="Vírgula 7 5 4 3 2 2" xfId="6526" xr:uid="{00000000-0005-0000-0000-00002B560000}"/>
    <cellStyle name="Vírgula 7 5 4 3 2 2 2" xfId="23508" xr:uid="{00000000-0005-0000-0000-00002C560000}"/>
    <cellStyle name="Vírgula 7 5 4 3 2 2 3" xfId="19561" xr:uid="{00000000-0005-0000-0000-00002D560000}"/>
    <cellStyle name="Vírgula 7 5 4 3 2 3" xfId="21159" xr:uid="{00000000-0005-0000-0000-00002E560000}"/>
    <cellStyle name="Vírgula 7 5 4 3 2 4" xfId="17151" xr:uid="{00000000-0005-0000-0000-00002F560000}"/>
    <cellStyle name="Vírgula 7 5 4 3 3" xfId="5255" xr:uid="{00000000-0005-0000-0000-000030560000}"/>
    <cellStyle name="Vírgula 7 5 4 3 3 2" xfId="22254" xr:uid="{00000000-0005-0000-0000-000031560000}"/>
    <cellStyle name="Vírgula 7 5 4 3 3 3" xfId="18290" xr:uid="{00000000-0005-0000-0000-000032560000}"/>
    <cellStyle name="Vírgula 7 5 4 3 4" xfId="10525" xr:uid="{00000000-0005-0000-0000-000033560000}"/>
    <cellStyle name="Vírgula 7 5 4 3 4 2" xfId="20154" xr:uid="{00000000-0005-0000-0000-000034560000}"/>
    <cellStyle name="Vírgula 7 5 4 3 5" xfId="16130" xr:uid="{00000000-0005-0000-0000-000035560000}"/>
    <cellStyle name="Vírgula 7 5 4 4" xfId="3829" xr:uid="{00000000-0005-0000-0000-000036560000}"/>
    <cellStyle name="Vírgula 7 5 4 4 2" xfId="5971" xr:uid="{00000000-0005-0000-0000-000037560000}"/>
    <cellStyle name="Vírgula 7 5 4 4 2 2" xfId="22965" xr:uid="{00000000-0005-0000-0000-000038560000}"/>
    <cellStyle name="Vírgula 7 5 4 4 2 3" xfId="19006" xr:uid="{00000000-0005-0000-0000-000039560000}"/>
    <cellStyle name="Vírgula 7 5 4 4 3" xfId="20891" xr:uid="{00000000-0005-0000-0000-00003A560000}"/>
    <cellStyle name="Vírgula 7 5 4 4 4" xfId="16871" xr:uid="{00000000-0005-0000-0000-00003B560000}"/>
    <cellStyle name="Vírgula 7 5 4 5" xfId="6705" xr:uid="{00000000-0005-0000-0000-00003C560000}"/>
    <cellStyle name="Vírgula 7 5 4 5 2" xfId="23683" xr:uid="{00000000-0005-0000-0000-00003D560000}"/>
    <cellStyle name="Vírgula 7 5 4 5 3" xfId="19740" xr:uid="{00000000-0005-0000-0000-00003E560000}"/>
    <cellStyle name="Vírgula 7 5 4 6" xfId="5023" xr:uid="{00000000-0005-0000-0000-00003F560000}"/>
    <cellStyle name="Vírgula 7 5 4 6 2" xfId="22036" xr:uid="{00000000-0005-0000-0000-000040560000}"/>
    <cellStyle name="Vírgula 7 5 4 6 3" xfId="18058" xr:uid="{00000000-0005-0000-0000-000041560000}"/>
    <cellStyle name="Vírgula 7 5 4 7" xfId="9378" xr:uid="{00000000-0005-0000-0000-000042560000}"/>
    <cellStyle name="Vírgula 7 5 4 7 2" xfId="19937" xr:uid="{00000000-0005-0000-0000-000043560000}"/>
    <cellStyle name="Vírgula 7 5 4 8" xfId="15892" xr:uid="{00000000-0005-0000-0000-000044560000}"/>
    <cellStyle name="Vírgula 7 5 5" xfId="626" xr:uid="{00000000-0005-0000-0000-000045560000}"/>
    <cellStyle name="Vírgula 7 5 5 2" xfId="911" xr:uid="{00000000-0005-0000-0000-000046560000}"/>
    <cellStyle name="Vírgula 7 5 5 2 2" xfId="3196" xr:uid="{00000000-0005-0000-0000-000047560000}"/>
    <cellStyle name="Vírgula 7 5 5 2 2 2" xfId="4385" xr:uid="{00000000-0005-0000-0000-000048560000}"/>
    <cellStyle name="Vírgula 7 5 5 2 2 2 2" xfId="6596" xr:uid="{00000000-0005-0000-0000-000049560000}"/>
    <cellStyle name="Vírgula 7 5 5 2 2 2 2 2" xfId="23578" xr:uid="{00000000-0005-0000-0000-00004A560000}"/>
    <cellStyle name="Vírgula 7 5 5 2 2 2 2 3" xfId="19631" xr:uid="{00000000-0005-0000-0000-00004B560000}"/>
    <cellStyle name="Vírgula 7 5 5 2 2 2 3" xfId="21429" xr:uid="{00000000-0005-0000-0000-00004C560000}"/>
    <cellStyle name="Vírgula 7 5 5 2 2 2 4" xfId="17422" xr:uid="{00000000-0005-0000-0000-00004D560000}"/>
    <cellStyle name="Vírgula 7 5 5 2 2 3" xfId="5365" xr:uid="{00000000-0005-0000-0000-00004E560000}"/>
    <cellStyle name="Vírgula 7 5 5 2 2 3 2" xfId="22364" xr:uid="{00000000-0005-0000-0000-00004F560000}"/>
    <cellStyle name="Vírgula 7 5 5 2 2 3 3" xfId="18400" xr:uid="{00000000-0005-0000-0000-000050560000}"/>
    <cellStyle name="Vírgula 7 5 5 2 2 4" xfId="20264" xr:uid="{00000000-0005-0000-0000-000051560000}"/>
    <cellStyle name="Vírgula 7 5 5 2 2 5" xfId="16240" xr:uid="{00000000-0005-0000-0000-000052560000}"/>
    <cellStyle name="Vírgula 7 5 5 2 3" xfId="3945" xr:uid="{00000000-0005-0000-0000-000053560000}"/>
    <cellStyle name="Vírgula 7 5 5 2 3 2" xfId="6086" xr:uid="{00000000-0005-0000-0000-000054560000}"/>
    <cellStyle name="Vírgula 7 5 5 2 3 2 2" xfId="23075" xr:uid="{00000000-0005-0000-0000-000055560000}"/>
    <cellStyle name="Vírgula 7 5 5 2 3 2 3" xfId="19121" xr:uid="{00000000-0005-0000-0000-000056560000}"/>
    <cellStyle name="Vírgula 7 5 5 2 3 3" xfId="21002" xr:uid="{00000000-0005-0000-0000-000057560000}"/>
    <cellStyle name="Vírgula 7 5 5 2 3 4" xfId="16987" xr:uid="{00000000-0005-0000-0000-000058560000}"/>
    <cellStyle name="Vírgula 7 5 5 2 4" xfId="6781" xr:uid="{00000000-0005-0000-0000-000059560000}"/>
    <cellStyle name="Vírgula 7 5 5 2 4 2" xfId="23754" xr:uid="{00000000-0005-0000-0000-00005A560000}"/>
    <cellStyle name="Vírgula 7 5 5 2 4 3" xfId="19816" xr:uid="{00000000-0005-0000-0000-00005B560000}"/>
    <cellStyle name="Vírgula 7 5 5 2 5" xfId="5099" xr:uid="{00000000-0005-0000-0000-00005C560000}"/>
    <cellStyle name="Vírgula 7 5 5 2 5 2" xfId="22107" xr:uid="{00000000-0005-0000-0000-00005D560000}"/>
    <cellStyle name="Vírgula 7 5 5 2 5 3" xfId="18134" xr:uid="{00000000-0005-0000-0000-00005E560000}"/>
    <cellStyle name="Vírgula 7 5 5 2 6" xfId="10527" xr:uid="{00000000-0005-0000-0000-00005F560000}"/>
    <cellStyle name="Vírgula 7 5 5 2 6 2" xfId="20007" xr:uid="{00000000-0005-0000-0000-000060560000}"/>
    <cellStyle name="Vírgula 7 5 5 2 7" xfId="15967" xr:uid="{00000000-0005-0000-0000-000061560000}"/>
    <cellStyle name="Vírgula 7 5 5 3" xfId="3087" xr:uid="{00000000-0005-0000-0000-000062560000}"/>
    <cellStyle name="Vírgula 7 5 5 3 2" xfId="4362" xr:uid="{00000000-0005-0000-0000-000063560000}"/>
    <cellStyle name="Vírgula 7 5 5 3 2 2" xfId="6527" xr:uid="{00000000-0005-0000-0000-000064560000}"/>
    <cellStyle name="Vírgula 7 5 5 3 2 2 2" xfId="23509" xr:uid="{00000000-0005-0000-0000-000065560000}"/>
    <cellStyle name="Vírgula 7 5 5 3 2 2 3" xfId="19562" xr:uid="{00000000-0005-0000-0000-000066560000}"/>
    <cellStyle name="Vírgula 7 5 5 3 2 3" xfId="21406" xr:uid="{00000000-0005-0000-0000-000067560000}"/>
    <cellStyle name="Vírgula 7 5 5 3 2 4" xfId="17399" xr:uid="{00000000-0005-0000-0000-000068560000}"/>
    <cellStyle name="Vírgula 7 5 5 3 3" xfId="5256" xr:uid="{00000000-0005-0000-0000-000069560000}"/>
    <cellStyle name="Vírgula 7 5 5 3 3 2" xfId="22255" xr:uid="{00000000-0005-0000-0000-00006A560000}"/>
    <cellStyle name="Vírgula 7 5 5 3 3 3" xfId="18291" xr:uid="{00000000-0005-0000-0000-00006B560000}"/>
    <cellStyle name="Vírgula 7 5 5 3 4" xfId="20155" xr:uid="{00000000-0005-0000-0000-00006C560000}"/>
    <cellStyle name="Vírgula 7 5 5 3 5" xfId="16131" xr:uid="{00000000-0005-0000-0000-00006D560000}"/>
    <cellStyle name="Vírgula 7 5 5 4" xfId="3830" xr:uid="{00000000-0005-0000-0000-00006E560000}"/>
    <cellStyle name="Vírgula 7 5 5 4 2" xfId="5972" xr:uid="{00000000-0005-0000-0000-00006F560000}"/>
    <cellStyle name="Vírgula 7 5 5 4 2 2" xfId="22966" xr:uid="{00000000-0005-0000-0000-000070560000}"/>
    <cellStyle name="Vírgula 7 5 5 4 2 3" xfId="19007" xr:uid="{00000000-0005-0000-0000-000071560000}"/>
    <cellStyle name="Vírgula 7 5 5 4 3" xfId="20892" xr:uid="{00000000-0005-0000-0000-000072560000}"/>
    <cellStyle name="Vírgula 7 5 5 4 4" xfId="16872" xr:uid="{00000000-0005-0000-0000-000073560000}"/>
    <cellStyle name="Vírgula 7 5 5 5" xfId="6706" xr:uid="{00000000-0005-0000-0000-000074560000}"/>
    <cellStyle name="Vírgula 7 5 5 5 2" xfId="23684" xr:uid="{00000000-0005-0000-0000-000075560000}"/>
    <cellStyle name="Vírgula 7 5 5 5 3" xfId="19741" xr:uid="{00000000-0005-0000-0000-000076560000}"/>
    <cellStyle name="Vírgula 7 5 5 6" xfId="5024" xr:uid="{00000000-0005-0000-0000-000077560000}"/>
    <cellStyle name="Vírgula 7 5 5 6 2" xfId="22037" xr:uid="{00000000-0005-0000-0000-000078560000}"/>
    <cellStyle name="Vírgula 7 5 5 6 3" xfId="18059" xr:uid="{00000000-0005-0000-0000-000079560000}"/>
    <cellStyle name="Vírgula 7 5 5 7" xfId="9515" xr:uid="{00000000-0005-0000-0000-00007A560000}"/>
    <cellStyle name="Vírgula 7 5 5 7 2" xfId="19938" xr:uid="{00000000-0005-0000-0000-00007B560000}"/>
    <cellStyle name="Vírgula 7 5 5 8" xfId="15893" xr:uid="{00000000-0005-0000-0000-00007C560000}"/>
    <cellStyle name="Vírgula 7 5 6" xfId="627" xr:uid="{00000000-0005-0000-0000-00007D560000}"/>
    <cellStyle name="Vírgula 7 5 6 2" xfId="912" xr:uid="{00000000-0005-0000-0000-00007E560000}"/>
    <cellStyle name="Vírgula 7 5 6 2 2" xfId="3197" xr:uid="{00000000-0005-0000-0000-00007F560000}"/>
    <cellStyle name="Vírgula 7 5 6 2 2 2" xfId="3793" xr:uid="{00000000-0005-0000-0000-000080560000}"/>
    <cellStyle name="Vírgula 7 5 6 2 2 2 2" xfId="6597" xr:uid="{00000000-0005-0000-0000-000081560000}"/>
    <cellStyle name="Vírgula 7 5 6 2 2 2 2 2" xfId="23579" xr:uid="{00000000-0005-0000-0000-000082560000}"/>
    <cellStyle name="Vírgula 7 5 6 2 2 2 2 3" xfId="19632" xr:uid="{00000000-0005-0000-0000-000083560000}"/>
    <cellStyle name="Vírgula 7 5 6 2 2 2 3" xfId="20855" xr:uid="{00000000-0005-0000-0000-000084560000}"/>
    <cellStyle name="Vírgula 7 5 6 2 2 2 4" xfId="16835" xr:uid="{00000000-0005-0000-0000-000085560000}"/>
    <cellStyle name="Vírgula 7 5 6 2 2 3" xfId="5366" xr:uid="{00000000-0005-0000-0000-000086560000}"/>
    <cellStyle name="Vírgula 7 5 6 2 2 3 2" xfId="22365" xr:uid="{00000000-0005-0000-0000-000087560000}"/>
    <cellStyle name="Vírgula 7 5 6 2 2 3 3" xfId="18401" xr:uid="{00000000-0005-0000-0000-000088560000}"/>
    <cellStyle name="Vírgula 7 5 6 2 2 4" xfId="20265" xr:uid="{00000000-0005-0000-0000-000089560000}"/>
    <cellStyle name="Vírgula 7 5 6 2 2 5" xfId="16241" xr:uid="{00000000-0005-0000-0000-00008A560000}"/>
    <cellStyle name="Vírgula 7 5 6 2 3" xfId="3946" xr:uid="{00000000-0005-0000-0000-00008B560000}"/>
    <cellStyle name="Vírgula 7 5 6 2 3 2" xfId="6087" xr:uid="{00000000-0005-0000-0000-00008C560000}"/>
    <cellStyle name="Vírgula 7 5 6 2 3 2 2" xfId="23076" xr:uid="{00000000-0005-0000-0000-00008D560000}"/>
    <cellStyle name="Vírgula 7 5 6 2 3 2 3" xfId="19122" xr:uid="{00000000-0005-0000-0000-00008E560000}"/>
    <cellStyle name="Vírgula 7 5 6 2 3 3" xfId="21003" xr:uid="{00000000-0005-0000-0000-00008F560000}"/>
    <cellStyle name="Vírgula 7 5 6 2 3 4" xfId="16988" xr:uid="{00000000-0005-0000-0000-000090560000}"/>
    <cellStyle name="Vírgula 7 5 6 2 4" xfId="6782" xr:uid="{00000000-0005-0000-0000-000091560000}"/>
    <cellStyle name="Vírgula 7 5 6 2 4 2" xfId="23755" xr:uid="{00000000-0005-0000-0000-000092560000}"/>
    <cellStyle name="Vírgula 7 5 6 2 4 3" xfId="19817" xr:uid="{00000000-0005-0000-0000-000093560000}"/>
    <cellStyle name="Vírgula 7 5 6 2 5" xfId="5100" xr:uid="{00000000-0005-0000-0000-000094560000}"/>
    <cellStyle name="Vírgula 7 5 6 2 5 2" xfId="22108" xr:uid="{00000000-0005-0000-0000-000095560000}"/>
    <cellStyle name="Vírgula 7 5 6 2 5 3" xfId="18135" xr:uid="{00000000-0005-0000-0000-000096560000}"/>
    <cellStyle name="Vírgula 7 5 6 2 6" xfId="20008" xr:uid="{00000000-0005-0000-0000-000097560000}"/>
    <cellStyle name="Vírgula 7 5 6 2 7" xfId="15968" xr:uid="{00000000-0005-0000-0000-000098560000}"/>
    <cellStyle name="Vírgula 7 5 6 3" xfId="3088" xr:uid="{00000000-0005-0000-0000-000099560000}"/>
    <cellStyle name="Vírgula 7 5 6 3 2" xfId="4436" xr:uid="{00000000-0005-0000-0000-00009A560000}"/>
    <cellStyle name="Vírgula 7 5 6 3 2 2" xfId="6528" xr:uid="{00000000-0005-0000-0000-00009B560000}"/>
    <cellStyle name="Vírgula 7 5 6 3 2 2 2" xfId="23510" xr:uid="{00000000-0005-0000-0000-00009C560000}"/>
    <cellStyle name="Vírgula 7 5 6 3 2 2 3" xfId="19563" xr:uid="{00000000-0005-0000-0000-00009D560000}"/>
    <cellStyle name="Vírgula 7 5 6 3 2 3" xfId="21477" xr:uid="{00000000-0005-0000-0000-00009E560000}"/>
    <cellStyle name="Vírgula 7 5 6 3 2 4" xfId="17472" xr:uid="{00000000-0005-0000-0000-00009F560000}"/>
    <cellStyle name="Vírgula 7 5 6 3 3" xfId="5257" xr:uid="{00000000-0005-0000-0000-0000A0560000}"/>
    <cellStyle name="Vírgula 7 5 6 3 3 2" xfId="22256" xr:uid="{00000000-0005-0000-0000-0000A1560000}"/>
    <cellStyle name="Vírgula 7 5 6 3 3 3" xfId="18292" xr:uid="{00000000-0005-0000-0000-0000A2560000}"/>
    <cellStyle name="Vírgula 7 5 6 3 4" xfId="20156" xr:uid="{00000000-0005-0000-0000-0000A3560000}"/>
    <cellStyle name="Vírgula 7 5 6 3 5" xfId="16132" xr:uid="{00000000-0005-0000-0000-0000A4560000}"/>
    <cellStyle name="Vírgula 7 5 6 4" xfId="3831" xr:uid="{00000000-0005-0000-0000-0000A5560000}"/>
    <cellStyle name="Vírgula 7 5 6 4 2" xfId="5973" xr:uid="{00000000-0005-0000-0000-0000A6560000}"/>
    <cellStyle name="Vírgula 7 5 6 4 2 2" xfId="22967" xr:uid="{00000000-0005-0000-0000-0000A7560000}"/>
    <cellStyle name="Vírgula 7 5 6 4 2 3" xfId="19008" xr:uid="{00000000-0005-0000-0000-0000A8560000}"/>
    <cellStyle name="Vírgula 7 5 6 4 3" xfId="20893" xr:uid="{00000000-0005-0000-0000-0000A9560000}"/>
    <cellStyle name="Vírgula 7 5 6 4 4" xfId="16873" xr:uid="{00000000-0005-0000-0000-0000AA560000}"/>
    <cellStyle name="Vírgula 7 5 6 5" xfId="6707" xr:uid="{00000000-0005-0000-0000-0000AB560000}"/>
    <cellStyle name="Vírgula 7 5 6 5 2" xfId="23685" xr:uid="{00000000-0005-0000-0000-0000AC560000}"/>
    <cellStyle name="Vírgula 7 5 6 5 3" xfId="19742" xr:uid="{00000000-0005-0000-0000-0000AD560000}"/>
    <cellStyle name="Vírgula 7 5 6 6" xfId="5025" xr:uid="{00000000-0005-0000-0000-0000AE560000}"/>
    <cellStyle name="Vírgula 7 5 6 6 2" xfId="22038" xr:uid="{00000000-0005-0000-0000-0000AF560000}"/>
    <cellStyle name="Vírgula 7 5 6 6 3" xfId="18060" xr:uid="{00000000-0005-0000-0000-0000B0560000}"/>
    <cellStyle name="Vírgula 7 5 6 7" xfId="10518" xr:uid="{00000000-0005-0000-0000-0000B1560000}"/>
    <cellStyle name="Vírgula 7 5 6 7 2" xfId="19939" xr:uid="{00000000-0005-0000-0000-0000B2560000}"/>
    <cellStyle name="Vírgula 7 5 6 8" xfId="15894" xr:uid="{00000000-0005-0000-0000-0000B3560000}"/>
    <cellStyle name="Vírgula 7 5 7" xfId="628" xr:uid="{00000000-0005-0000-0000-0000B4560000}"/>
    <cellStyle name="Vírgula 7 5 7 2" xfId="913" xr:uid="{00000000-0005-0000-0000-0000B5560000}"/>
    <cellStyle name="Vírgula 7 5 7 2 2" xfId="3198" xr:uid="{00000000-0005-0000-0000-0000B6560000}"/>
    <cellStyle name="Vírgula 7 5 7 2 2 2" xfId="3965" xr:uid="{00000000-0005-0000-0000-0000B7560000}"/>
    <cellStyle name="Vírgula 7 5 7 2 2 2 2" xfId="6598" xr:uid="{00000000-0005-0000-0000-0000B8560000}"/>
    <cellStyle name="Vírgula 7 5 7 2 2 2 2 2" xfId="23580" xr:uid="{00000000-0005-0000-0000-0000B9560000}"/>
    <cellStyle name="Vírgula 7 5 7 2 2 2 2 3" xfId="19633" xr:uid="{00000000-0005-0000-0000-0000BA560000}"/>
    <cellStyle name="Vírgula 7 5 7 2 2 2 3" xfId="21021" xr:uid="{00000000-0005-0000-0000-0000BB560000}"/>
    <cellStyle name="Vírgula 7 5 7 2 2 2 4" xfId="17007" xr:uid="{00000000-0005-0000-0000-0000BC560000}"/>
    <cellStyle name="Vírgula 7 5 7 2 2 3" xfId="5367" xr:uid="{00000000-0005-0000-0000-0000BD560000}"/>
    <cellStyle name="Vírgula 7 5 7 2 2 3 2" xfId="22366" xr:uid="{00000000-0005-0000-0000-0000BE560000}"/>
    <cellStyle name="Vírgula 7 5 7 2 2 3 3" xfId="18402" xr:uid="{00000000-0005-0000-0000-0000BF560000}"/>
    <cellStyle name="Vírgula 7 5 7 2 2 4" xfId="20266" xr:uid="{00000000-0005-0000-0000-0000C0560000}"/>
    <cellStyle name="Vírgula 7 5 7 2 2 5" xfId="16242" xr:uid="{00000000-0005-0000-0000-0000C1560000}"/>
    <cellStyle name="Vírgula 7 5 7 2 3" xfId="3947" xr:uid="{00000000-0005-0000-0000-0000C2560000}"/>
    <cellStyle name="Vírgula 7 5 7 2 3 2" xfId="6088" xr:uid="{00000000-0005-0000-0000-0000C3560000}"/>
    <cellStyle name="Vírgula 7 5 7 2 3 2 2" xfId="23077" xr:uid="{00000000-0005-0000-0000-0000C4560000}"/>
    <cellStyle name="Vírgula 7 5 7 2 3 2 3" xfId="19123" xr:uid="{00000000-0005-0000-0000-0000C5560000}"/>
    <cellStyle name="Vírgula 7 5 7 2 3 3" xfId="21004" xr:uid="{00000000-0005-0000-0000-0000C6560000}"/>
    <cellStyle name="Vírgula 7 5 7 2 3 4" xfId="16989" xr:uid="{00000000-0005-0000-0000-0000C7560000}"/>
    <cellStyle name="Vírgula 7 5 7 2 4" xfId="6783" xr:uid="{00000000-0005-0000-0000-0000C8560000}"/>
    <cellStyle name="Vírgula 7 5 7 2 4 2" xfId="23756" xr:uid="{00000000-0005-0000-0000-0000C9560000}"/>
    <cellStyle name="Vírgula 7 5 7 2 4 3" xfId="19818" xr:uid="{00000000-0005-0000-0000-0000CA560000}"/>
    <cellStyle name="Vírgula 7 5 7 2 5" xfId="5101" xr:uid="{00000000-0005-0000-0000-0000CB560000}"/>
    <cellStyle name="Vírgula 7 5 7 2 5 2" xfId="22109" xr:uid="{00000000-0005-0000-0000-0000CC560000}"/>
    <cellStyle name="Vírgula 7 5 7 2 5 3" xfId="18136" xr:uid="{00000000-0005-0000-0000-0000CD560000}"/>
    <cellStyle name="Vírgula 7 5 7 2 6" xfId="20009" xr:uid="{00000000-0005-0000-0000-0000CE560000}"/>
    <cellStyle name="Vírgula 7 5 7 2 7" xfId="15969" xr:uid="{00000000-0005-0000-0000-0000CF560000}"/>
    <cellStyle name="Vírgula 7 5 7 3" xfId="3089" xr:uid="{00000000-0005-0000-0000-0000D0560000}"/>
    <cellStyle name="Vírgula 7 5 7 3 2" xfId="4244" xr:uid="{00000000-0005-0000-0000-0000D1560000}"/>
    <cellStyle name="Vírgula 7 5 7 3 2 2" xfId="6529" xr:uid="{00000000-0005-0000-0000-0000D2560000}"/>
    <cellStyle name="Vírgula 7 5 7 3 2 2 2" xfId="23511" xr:uid="{00000000-0005-0000-0000-0000D3560000}"/>
    <cellStyle name="Vírgula 7 5 7 3 2 2 3" xfId="19564" xr:uid="{00000000-0005-0000-0000-0000D4560000}"/>
    <cellStyle name="Vírgula 7 5 7 3 2 3" xfId="21289" xr:uid="{00000000-0005-0000-0000-0000D5560000}"/>
    <cellStyle name="Vírgula 7 5 7 3 2 4" xfId="17282" xr:uid="{00000000-0005-0000-0000-0000D6560000}"/>
    <cellStyle name="Vírgula 7 5 7 3 3" xfId="5258" xr:uid="{00000000-0005-0000-0000-0000D7560000}"/>
    <cellStyle name="Vírgula 7 5 7 3 3 2" xfId="22257" xr:uid="{00000000-0005-0000-0000-0000D8560000}"/>
    <cellStyle name="Vírgula 7 5 7 3 3 3" xfId="18293" xr:uid="{00000000-0005-0000-0000-0000D9560000}"/>
    <cellStyle name="Vírgula 7 5 7 3 4" xfId="20157" xr:uid="{00000000-0005-0000-0000-0000DA560000}"/>
    <cellStyle name="Vírgula 7 5 7 3 5" xfId="16133" xr:uid="{00000000-0005-0000-0000-0000DB560000}"/>
    <cellStyle name="Vírgula 7 5 7 4" xfId="3832" xr:uid="{00000000-0005-0000-0000-0000DC560000}"/>
    <cellStyle name="Vírgula 7 5 7 4 2" xfId="5974" xr:uid="{00000000-0005-0000-0000-0000DD560000}"/>
    <cellStyle name="Vírgula 7 5 7 4 2 2" xfId="22968" xr:uid="{00000000-0005-0000-0000-0000DE560000}"/>
    <cellStyle name="Vírgula 7 5 7 4 2 3" xfId="19009" xr:uid="{00000000-0005-0000-0000-0000DF560000}"/>
    <cellStyle name="Vírgula 7 5 7 4 3" xfId="20894" xr:uid="{00000000-0005-0000-0000-0000E0560000}"/>
    <cellStyle name="Vírgula 7 5 7 4 4" xfId="16874" xr:uid="{00000000-0005-0000-0000-0000E1560000}"/>
    <cellStyle name="Vírgula 7 5 7 5" xfId="6708" xr:uid="{00000000-0005-0000-0000-0000E2560000}"/>
    <cellStyle name="Vírgula 7 5 7 5 2" xfId="23686" xr:uid="{00000000-0005-0000-0000-0000E3560000}"/>
    <cellStyle name="Vírgula 7 5 7 5 3" xfId="19743" xr:uid="{00000000-0005-0000-0000-0000E4560000}"/>
    <cellStyle name="Vírgula 7 5 7 6" xfId="5026" xr:uid="{00000000-0005-0000-0000-0000E5560000}"/>
    <cellStyle name="Vírgula 7 5 7 6 2" xfId="22039" xr:uid="{00000000-0005-0000-0000-0000E6560000}"/>
    <cellStyle name="Vírgula 7 5 7 6 3" xfId="18061" xr:uid="{00000000-0005-0000-0000-0000E7560000}"/>
    <cellStyle name="Vírgula 7 5 7 7" xfId="10728" xr:uid="{00000000-0005-0000-0000-0000E8560000}"/>
    <cellStyle name="Vírgula 7 5 7 7 2" xfId="19940" xr:uid="{00000000-0005-0000-0000-0000E9560000}"/>
    <cellStyle name="Vírgula 7 5 7 8" xfId="15895" xr:uid="{00000000-0005-0000-0000-0000EA560000}"/>
    <cellStyle name="Vírgula 7 5 8" xfId="914" xr:uid="{00000000-0005-0000-0000-0000EB560000}"/>
    <cellStyle name="Vírgula 7 5 8 2" xfId="2429" xr:uid="{00000000-0005-0000-0000-0000EC560000}"/>
    <cellStyle name="Vírgula 7 5 8 2 2" xfId="3558" xr:uid="{00000000-0005-0000-0000-0000ED560000}"/>
    <cellStyle name="Vírgula 7 5 8 2 2 2" xfId="3766" xr:uid="{00000000-0005-0000-0000-0000EE560000}"/>
    <cellStyle name="Vírgula 7 5 8 2 2 2 2" xfId="6662" xr:uid="{00000000-0005-0000-0000-0000EF560000}"/>
    <cellStyle name="Vírgula 7 5 8 2 2 2 2 2" xfId="23644" xr:uid="{00000000-0005-0000-0000-0000F0560000}"/>
    <cellStyle name="Vírgula 7 5 8 2 2 2 2 3" xfId="19697" xr:uid="{00000000-0005-0000-0000-0000F1560000}"/>
    <cellStyle name="Vírgula 7 5 8 2 2 2 3" xfId="20830" xr:uid="{00000000-0005-0000-0000-0000F2560000}"/>
    <cellStyle name="Vírgula 7 5 8 2 2 2 4" xfId="16809" xr:uid="{00000000-0005-0000-0000-0000F3560000}"/>
    <cellStyle name="Vírgula 7 5 8 2 2 3" xfId="5727" xr:uid="{00000000-0005-0000-0000-0000F4560000}"/>
    <cellStyle name="Vírgula 7 5 8 2 2 3 2" xfId="22726" xr:uid="{00000000-0005-0000-0000-0000F5560000}"/>
    <cellStyle name="Vírgula 7 5 8 2 2 3 3" xfId="18762" xr:uid="{00000000-0005-0000-0000-0000F6560000}"/>
    <cellStyle name="Vírgula 7 5 8 2 2 4" xfId="20626" xr:uid="{00000000-0005-0000-0000-0000F7560000}"/>
    <cellStyle name="Vírgula 7 5 8 2 2 5" xfId="16602" xr:uid="{00000000-0005-0000-0000-0000F8560000}"/>
    <cellStyle name="Vírgula 7 5 8 2 3" xfId="4304" xr:uid="{00000000-0005-0000-0000-0000F9560000}"/>
    <cellStyle name="Vírgula 7 5 8 2 3 2" xfId="6457" xr:uid="{00000000-0005-0000-0000-0000FA560000}"/>
    <cellStyle name="Vírgula 7 5 8 2 3 2 2" xfId="23439" xr:uid="{00000000-0005-0000-0000-0000FB560000}"/>
    <cellStyle name="Vírgula 7 5 8 2 3 2 3" xfId="19492" xr:uid="{00000000-0005-0000-0000-0000FC560000}"/>
    <cellStyle name="Vírgula 7 5 8 2 3 3" xfId="21348" xr:uid="{00000000-0005-0000-0000-0000FD560000}"/>
    <cellStyle name="Vírgula 7 5 8 2 3 4" xfId="17341" xr:uid="{00000000-0005-0000-0000-0000FE560000}"/>
    <cellStyle name="Vírgula 7 5 8 2 4" xfId="6854" xr:uid="{00000000-0005-0000-0000-0000FF560000}"/>
    <cellStyle name="Vírgula 7 5 8 2 4 2" xfId="23820" xr:uid="{00000000-0005-0000-0000-000000570000}"/>
    <cellStyle name="Vírgula 7 5 8 2 4 3" xfId="19889" xr:uid="{00000000-0005-0000-0000-000001570000}"/>
    <cellStyle name="Vírgula 7 5 8 2 5" xfId="5172" xr:uid="{00000000-0005-0000-0000-000002570000}"/>
    <cellStyle name="Vírgula 7 5 8 2 5 2" xfId="22173" xr:uid="{00000000-0005-0000-0000-000003570000}"/>
    <cellStyle name="Vírgula 7 5 8 2 5 3" xfId="18207" xr:uid="{00000000-0005-0000-0000-000004570000}"/>
    <cellStyle name="Vírgula 7 5 8 2 6" xfId="20073" xr:uid="{00000000-0005-0000-0000-000005570000}"/>
    <cellStyle name="Vírgula 7 5 8 2 7" xfId="16042" xr:uid="{00000000-0005-0000-0000-000006570000}"/>
    <cellStyle name="Vírgula 7 5 8 3" xfId="2428" xr:uid="{00000000-0005-0000-0000-000007570000}"/>
    <cellStyle name="Vírgula 7 5 8 3 2" xfId="3557" xr:uid="{00000000-0005-0000-0000-000008570000}"/>
    <cellStyle name="Vírgula 7 5 8 3 2 2" xfId="4217" xr:uid="{00000000-0005-0000-0000-000009570000}"/>
    <cellStyle name="Vírgula 7 5 8 3 2 2 2" xfId="6661" xr:uid="{00000000-0005-0000-0000-00000A570000}"/>
    <cellStyle name="Vírgula 7 5 8 3 2 2 2 2" xfId="23643" xr:uid="{00000000-0005-0000-0000-00000B570000}"/>
    <cellStyle name="Vírgula 7 5 8 3 2 2 2 3" xfId="19696" xr:uid="{00000000-0005-0000-0000-00000C570000}"/>
    <cellStyle name="Vírgula 7 5 8 3 2 2 3" xfId="21263" xr:uid="{00000000-0005-0000-0000-00000D570000}"/>
    <cellStyle name="Vírgula 7 5 8 3 2 2 4" xfId="17256" xr:uid="{00000000-0005-0000-0000-00000E570000}"/>
    <cellStyle name="Vírgula 7 5 8 3 2 3" xfId="5726" xr:uid="{00000000-0005-0000-0000-00000F570000}"/>
    <cellStyle name="Vírgula 7 5 8 3 2 3 2" xfId="22725" xr:uid="{00000000-0005-0000-0000-000010570000}"/>
    <cellStyle name="Vírgula 7 5 8 3 2 3 3" xfId="18761" xr:uid="{00000000-0005-0000-0000-000011570000}"/>
    <cellStyle name="Vírgula 7 5 8 3 2 4" xfId="20625" xr:uid="{00000000-0005-0000-0000-000012570000}"/>
    <cellStyle name="Vírgula 7 5 8 3 2 5" xfId="16601" xr:uid="{00000000-0005-0000-0000-000013570000}"/>
    <cellStyle name="Vírgula 7 5 8 3 3" xfId="4303" xr:uid="{00000000-0005-0000-0000-000014570000}"/>
    <cellStyle name="Vírgula 7 5 8 3 3 2" xfId="6456" xr:uid="{00000000-0005-0000-0000-000015570000}"/>
    <cellStyle name="Vírgula 7 5 8 3 3 2 2" xfId="23438" xr:uid="{00000000-0005-0000-0000-000016570000}"/>
    <cellStyle name="Vírgula 7 5 8 3 3 2 3" xfId="19491" xr:uid="{00000000-0005-0000-0000-000017570000}"/>
    <cellStyle name="Vírgula 7 5 8 3 3 3" xfId="21347" xr:uid="{00000000-0005-0000-0000-000018570000}"/>
    <cellStyle name="Vírgula 7 5 8 3 3 4" xfId="17340" xr:uid="{00000000-0005-0000-0000-000019570000}"/>
    <cellStyle name="Vírgula 7 5 8 3 4" xfId="6853" xr:uid="{00000000-0005-0000-0000-00001A570000}"/>
    <cellStyle name="Vírgula 7 5 8 3 4 2" xfId="23819" xr:uid="{00000000-0005-0000-0000-00001B570000}"/>
    <cellStyle name="Vírgula 7 5 8 3 4 3" xfId="19888" xr:uid="{00000000-0005-0000-0000-00001C570000}"/>
    <cellStyle name="Vírgula 7 5 8 3 5" xfId="5171" xr:uid="{00000000-0005-0000-0000-00001D570000}"/>
    <cellStyle name="Vírgula 7 5 8 3 5 2" xfId="22172" xr:uid="{00000000-0005-0000-0000-00001E570000}"/>
    <cellStyle name="Vírgula 7 5 8 3 5 3" xfId="18206" xr:uid="{00000000-0005-0000-0000-00001F570000}"/>
    <cellStyle name="Vírgula 7 5 8 3 6" xfId="20072" xr:uid="{00000000-0005-0000-0000-000020570000}"/>
    <cellStyle name="Vírgula 7 5 8 3 7" xfId="16041" xr:uid="{00000000-0005-0000-0000-000021570000}"/>
    <cellStyle name="Vírgula 7 5 8 4" xfId="3199" xr:uid="{00000000-0005-0000-0000-000022570000}"/>
    <cellStyle name="Vírgula 7 5 8 4 2" xfId="3799" xr:uid="{00000000-0005-0000-0000-000023570000}"/>
    <cellStyle name="Vírgula 7 5 8 4 2 2" xfId="6599" xr:uid="{00000000-0005-0000-0000-000024570000}"/>
    <cellStyle name="Vírgula 7 5 8 4 2 2 2" xfId="23581" xr:uid="{00000000-0005-0000-0000-000025570000}"/>
    <cellStyle name="Vírgula 7 5 8 4 2 2 3" xfId="19634" xr:uid="{00000000-0005-0000-0000-000026570000}"/>
    <cellStyle name="Vírgula 7 5 8 4 2 3" xfId="20861" xr:uid="{00000000-0005-0000-0000-000027570000}"/>
    <cellStyle name="Vírgula 7 5 8 4 2 4" xfId="16841" xr:uid="{00000000-0005-0000-0000-000028570000}"/>
    <cellStyle name="Vírgula 7 5 8 4 3" xfId="5368" xr:uid="{00000000-0005-0000-0000-000029570000}"/>
    <cellStyle name="Vírgula 7 5 8 4 3 2" xfId="12476" xr:uid="{00000000-0005-0000-0000-00002A570000}"/>
    <cellStyle name="Vírgula 7 5 8 4 3 2 2" xfId="22367" xr:uid="{00000000-0005-0000-0000-00002B570000}"/>
    <cellStyle name="Vírgula 7 5 8 4 3 3" xfId="11391" xr:uid="{00000000-0005-0000-0000-00002C570000}"/>
    <cellStyle name="Vírgula 7 5 8 4 3 4" xfId="18403" xr:uid="{00000000-0005-0000-0000-00002D570000}"/>
    <cellStyle name="Vírgula 7 5 8 4 4" xfId="20267" xr:uid="{00000000-0005-0000-0000-00002E570000}"/>
    <cellStyle name="Vírgula 7 5 8 4 5" xfId="16243" xr:uid="{00000000-0005-0000-0000-00002F570000}"/>
    <cellStyle name="Vírgula 7 5 8 5" xfId="3948" xr:uid="{00000000-0005-0000-0000-000030570000}"/>
    <cellStyle name="Vírgula 7 5 8 5 2" xfId="6089" xr:uid="{00000000-0005-0000-0000-000031570000}"/>
    <cellStyle name="Vírgula 7 5 8 5 2 2" xfId="12494" xr:uid="{00000000-0005-0000-0000-000032570000}"/>
    <cellStyle name="Vírgula 7 5 8 5 2 2 2" xfId="23078" xr:uid="{00000000-0005-0000-0000-000033570000}"/>
    <cellStyle name="Vírgula 7 5 8 5 2 3" xfId="13167" xr:uid="{00000000-0005-0000-0000-000034570000}"/>
    <cellStyle name="Vírgula 7 5 8 5 2 4" xfId="19124" xr:uid="{00000000-0005-0000-0000-000035570000}"/>
    <cellStyle name="Vírgula 7 5 8 5 3" xfId="21005" xr:uid="{00000000-0005-0000-0000-000036570000}"/>
    <cellStyle name="Vírgula 7 5 8 5 4" xfId="16990" xr:uid="{00000000-0005-0000-0000-000037570000}"/>
    <cellStyle name="Vírgula 7 5 8 6" xfId="6784" xr:uid="{00000000-0005-0000-0000-000038570000}"/>
    <cellStyle name="Vírgula 7 5 8 6 2" xfId="23757" xr:uid="{00000000-0005-0000-0000-000039570000}"/>
    <cellStyle name="Vírgula 7 5 8 6 3" xfId="19819" xr:uid="{00000000-0005-0000-0000-00003A570000}"/>
    <cellStyle name="Vírgula 7 5 8 7" xfId="5102" xr:uid="{00000000-0005-0000-0000-00003B570000}"/>
    <cellStyle name="Vírgula 7 5 8 7 2" xfId="22110" xr:uid="{00000000-0005-0000-0000-00003C570000}"/>
    <cellStyle name="Vírgula 7 5 8 7 3" xfId="18137" xr:uid="{00000000-0005-0000-0000-00003D570000}"/>
    <cellStyle name="Vírgula 7 5 8 8" xfId="20010" xr:uid="{00000000-0005-0000-0000-00003E570000}"/>
    <cellStyle name="Vírgula 7 5 8 9" xfId="15970" xr:uid="{00000000-0005-0000-0000-00003F570000}"/>
    <cellStyle name="Vírgula 7 5 9" xfId="2430" xr:uid="{00000000-0005-0000-0000-000040570000}"/>
    <cellStyle name="Vírgula 7 5 9 2" xfId="2431" xr:uid="{00000000-0005-0000-0000-000041570000}"/>
    <cellStyle name="Vírgula 7 5 9 2 2" xfId="3560" xr:uid="{00000000-0005-0000-0000-000042570000}"/>
    <cellStyle name="Vírgula 7 5 9 2 2 2" xfId="4151" xr:uid="{00000000-0005-0000-0000-000043570000}"/>
    <cellStyle name="Vírgula 7 5 9 2 2 2 2" xfId="6664" xr:uid="{00000000-0005-0000-0000-000044570000}"/>
    <cellStyle name="Vírgula 7 5 9 2 2 2 2 2" xfId="23646" xr:uid="{00000000-0005-0000-0000-000045570000}"/>
    <cellStyle name="Vírgula 7 5 9 2 2 2 2 3" xfId="19699" xr:uid="{00000000-0005-0000-0000-000046570000}"/>
    <cellStyle name="Vírgula 7 5 9 2 2 2 3" xfId="21199" xr:uid="{00000000-0005-0000-0000-000047570000}"/>
    <cellStyle name="Vírgula 7 5 9 2 2 2 4" xfId="17191" xr:uid="{00000000-0005-0000-0000-000048570000}"/>
    <cellStyle name="Vírgula 7 5 9 2 2 3" xfId="5729" xr:uid="{00000000-0005-0000-0000-000049570000}"/>
    <cellStyle name="Vírgula 7 5 9 2 2 3 2" xfId="22728" xr:uid="{00000000-0005-0000-0000-00004A570000}"/>
    <cellStyle name="Vírgula 7 5 9 2 2 3 3" xfId="18764" xr:uid="{00000000-0005-0000-0000-00004B570000}"/>
    <cellStyle name="Vírgula 7 5 9 2 2 4" xfId="20628" xr:uid="{00000000-0005-0000-0000-00004C570000}"/>
    <cellStyle name="Vírgula 7 5 9 2 2 5" xfId="16604" xr:uid="{00000000-0005-0000-0000-00004D570000}"/>
    <cellStyle name="Vírgula 7 5 9 2 3" xfId="4306" xr:uid="{00000000-0005-0000-0000-00004E570000}"/>
    <cellStyle name="Vírgula 7 5 9 2 3 2" xfId="6459" xr:uid="{00000000-0005-0000-0000-00004F570000}"/>
    <cellStyle name="Vírgula 7 5 9 2 3 2 2" xfId="23441" xr:uid="{00000000-0005-0000-0000-000050570000}"/>
    <cellStyle name="Vírgula 7 5 9 2 3 2 3" xfId="19494" xr:uid="{00000000-0005-0000-0000-000051570000}"/>
    <cellStyle name="Vírgula 7 5 9 2 3 3" xfId="21350" xr:uid="{00000000-0005-0000-0000-000052570000}"/>
    <cellStyle name="Vírgula 7 5 9 2 3 4" xfId="17343" xr:uid="{00000000-0005-0000-0000-000053570000}"/>
    <cellStyle name="Vírgula 7 5 9 2 4" xfId="6856" xr:uid="{00000000-0005-0000-0000-000054570000}"/>
    <cellStyle name="Vírgula 7 5 9 2 4 2" xfId="23822" xr:uid="{00000000-0005-0000-0000-000055570000}"/>
    <cellStyle name="Vírgula 7 5 9 2 4 3" xfId="19891" xr:uid="{00000000-0005-0000-0000-000056570000}"/>
    <cellStyle name="Vírgula 7 5 9 2 5" xfId="5174" xr:uid="{00000000-0005-0000-0000-000057570000}"/>
    <cellStyle name="Vírgula 7 5 9 2 5 2" xfId="22175" xr:uid="{00000000-0005-0000-0000-000058570000}"/>
    <cellStyle name="Vírgula 7 5 9 2 5 3" xfId="18209" xr:uid="{00000000-0005-0000-0000-000059570000}"/>
    <cellStyle name="Vírgula 7 5 9 2 6" xfId="20075" xr:uid="{00000000-0005-0000-0000-00005A570000}"/>
    <cellStyle name="Vírgula 7 5 9 2 7" xfId="16044" xr:uid="{00000000-0005-0000-0000-00005B570000}"/>
    <cellStyle name="Vírgula 7 5 9 3" xfId="3559" xr:uid="{00000000-0005-0000-0000-00005C570000}"/>
    <cellStyle name="Vírgula 7 5 9 3 2" xfId="4142" xr:uid="{00000000-0005-0000-0000-00005D570000}"/>
    <cellStyle name="Vírgula 7 5 9 3 2 2" xfId="6663" xr:uid="{00000000-0005-0000-0000-00005E570000}"/>
    <cellStyle name="Vírgula 7 5 9 3 2 2 2" xfId="23645" xr:uid="{00000000-0005-0000-0000-00005F570000}"/>
    <cellStyle name="Vírgula 7 5 9 3 2 2 3" xfId="19698" xr:uid="{00000000-0005-0000-0000-000060570000}"/>
    <cellStyle name="Vírgula 7 5 9 3 2 3" xfId="21190" xr:uid="{00000000-0005-0000-0000-000061570000}"/>
    <cellStyle name="Vírgula 7 5 9 3 2 4" xfId="17182" xr:uid="{00000000-0005-0000-0000-000062570000}"/>
    <cellStyle name="Vírgula 7 5 9 3 3" xfId="5728" xr:uid="{00000000-0005-0000-0000-000063570000}"/>
    <cellStyle name="Vírgula 7 5 9 3 3 2" xfId="22727" xr:uid="{00000000-0005-0000-0000-000064570000}"/>
    <cellStyle name="Vírgula 7 5 9 3 3 3" xfId="18763" xr:uid="{00000000-0005-0000-0000-000065570000}"/>
    <cellStyle name="Vírgula 7 5 9 3 4" xfId="20627" xr:uid="{00000000-0005-0000-0000-000066570000}"/>
    <cellStyle name="Vírgula 7 5 9 3 5" xfId="16603" xr:uid="{00000000-0005-0000-0000-000067570000}"/>
    <cellStyle name="Vírgula 7 5 9 4" xfId="4305" xr:uid="{00000000-0005-0000-0000-000068570000}"/>
    <cellStyle name="Vírgula 7 5 9 4 2" xfId="6458" xr:uid="{00000000-0005-0000-0000-000069570000}"/>
    <cellStyle name="Vírgula 7 5 9 4 2 2" xfId="23440" xr:uid="{00000000-0005-0000-0000-00006A570000}"/>
    <cellStyle name="Vírgula 7 5 9 4 2 3" xfId="19493" xr:uid="{00000000-0005-0000-0000-00006B570000}"/>
    <cellStyle name="Vírgula 7 5 9 4 3" xfId="21349" xr:uid="{00000000-0005-0000-0000-00006C570000}"/>
    <cellStyle name="Vírgula 7 5 9 4 4" xfId="17342" xr:uid="{00000000-0005-0000-0000-00006D570000}"/>
    <cellStyle name="Vírgula 7 5 9 5" xfId="6855" xr:uid="{00000000-0005-0000-0000-00006E570000}"/>
    <cellStyle name="Vírgula 7 5 9 5 2" xfId="23821" xr:uid="{00000000-0005-0000-0000-00006F570000}"/>
    <cellStyle name="Vírgula 7 5 9 5 3" xfId="19890" xr:uid="{00000000-0005-0000-0000-000070570000}"/>
    <cellStyle name="Vírgula 7 5 9 6" xfId="5173" xr:uid="{00000000-0005-0000-0000-000071570000}"/>
    <cellStyle name="Vírgula 7 5 9 6 2" xfId="22174" xr:uid="{00000000-0005-0000-0000-000072570000}"/>
    <cellStyle name="Vírgula 7 5 9 6 3" xfId="18208" xr:uid="{00000000-0005-0000-0000-000073570000}"/>
    <cellStyle name="Vírgula 7 5 9 7" xfId="20074" xr:uid="{00000000-0005-0000-0000-000074570000}"/>
    <cellStyle name="Vírgula 7 5 9 8" xfId="16043" xr:uid="{00000000-0005-0000-0000-000075570000}"/>
    <cellStyle name="Vírgula 7 6" xfId="629" xr:uid="{00000000-0005-0000-0000-000076570000}"/>
    <cellStyle name="Vírgula 7 6 10" xfId="5027" xr:uid="{00000000-0005-0000-0000-000077570000}"/>
    <cellStyle name="Vírgula 7 6 10 2" xfId="11188" xr:uid="{00000000-0005-0000-0000-000078570000}"/>
    <cellStyle name="Vírgula 7 6 10 2 2" xfId="14958" xr:uid="{00000000-0005-0000-0000-000079570000}"/>
    <cellStyle name="Vírgula 7 6 10 2 3" xfId="13748" xr:uid="{00000000-0005-0000-0000-00007A570000}"/>
    <cellStyle name="Vírgula 7 6 10 2 4" xfId="22040" xr:uid="{00000000-0005-0000-0000-00007B570000}"/>
    <cellStyle name="Vírgula 7 6 10 3" xfId="11539" xr:uid="{00000000-0005-0000-0000-00007C570000}"/>
    <cellStyle name="Vírgula 7 6 10 4" xfId="11516" xr:uid="{00000000-0005-0000-0000-00007D570000}"/>
    <cellStyle name="Vírgula 7 6 10 5" xfId="18062" xr:uid="{00000000-0005-0000-0000-00007E570000}"/>
    <cellStyle name="Vírgula 7 6 11" xfId="8675" xr:uid="{00000000-0005-0000-0000-00007F570000}"/>
    <cellStyle name="Vírgula 7 6 11 2" xfId="19941" xr:uid="{00000000-0005-0000-0000-000080570000}"/>
    <cellStyle name="Vírgula 7 6 12" xfId="8676" xr:uid="{00000000-0005-0000-0000-000081570000}"/>
    <cellStyle name="Vírgula 7 6 13" xfId="8677" xr:uid="{00000000-0005-0000-0000-000082570000}"/>
    <cellStyle name="Vírgula 7 6 14" xfId="9295" xr:uid="{00000000-0005-0000-0000-000083570000}"/>
    <cellStyle name="Vírgula 7 6 15" xfId="15896" xr:uid="{00000000-0005-0000-0000-000084570000}"/>
    <cellStyle name="Vírgula 7 6 2" xfId="630" xr:uid="{00000000-0005-0000-0000-000085570000}"/>
    <cellStyle name="Vírgula 7 6 2 10" xfId="9417" xr:uid="{00000000-0005-0000-0000-000086570000}"/>
    <cellStyle name="Vírgula 7 6 2 10 2" xfId="19942" xr:uid="{00000000-0005-0000-0000-000087570000}"/>
    <cellStyle name="Vírgula 7 6 2 11" xfId="15897" xr:uid="{00000000-0005-0000-0000-000088570000}"/>
    <cellStyle name="Vírgula 7 6 2 2" xfId="915" xr:uid="{00000000-0005-0000-0000-000089570000}"/>
    <cellStyle name="Vírgula 7 6 2 2 2" xfId="2434" xr:uid="{00000000-0005-0000-0000-00008A570000}"/>
    <cellStyle name="Vírgula 7 6 2 2 2 2" xfId="3563" xr:uid="{00000000-0005-0000-0000-00008B570000}"/>
    <cellStyle name="Vírgula 7 6 2 2 2 2 2" xfId="4849" xr:uid="{00000000-0005-0000-0000-00008C570000}"/>
    <cellStyle name="Vírgula 7 6 2 2 2 2 2 2" xfId="21889" xr:uid="{00000000-0005-0000-0000-00008D570000}"/>
    <cellStyle name="Vírgula 7 6 2 2 2 2 2 3" xfId="17884" xr:uid="{00000000-0005-0000-0000-00008E570000}"/>
    <cellStyle name="Vírgula 7 6 2 2 2 2 3" xfId="5732" xr:uid="{00000000-0005-0000-0000-00008F570000}"/>
    <cellStyle name="Vírgula 7 6 2 2 2 2 3 2" xfId="22731" xr:uid="{00000000-0005-0000-0000-000090570000}"/>
    <cellStyle name="Vírgula 7 6 2 2 2 2 3 3" xfId="18767" xr:uid="{00000000-0005-0000-0000-000091570000}"/>
    <cellStyle name="Vírgula 7 6 2 2 2 2 4" xfId="20631" xr:uid="{00000000-0005-0000-0000-000092570000}"/>
    <cellStyle name="Vírgula 7 6 2 2 2 2 5" xfId="16607" xr:uid="{00000000-0005-0000-0000-000093570000}"/>
    <cellStyle name="Vírgula 7 6 2 2 2 3" xfId="4369" xr:uid="{00000000-0005-0000-0000-000094570000}"/>
    <cellStyle name="Vírgula 7 6 2 2 2 3 2" xfId="6462" xr:uid="{00000000-0005-0000-0000-000095570000}"/>
    <cellStyle name="Vírgula 7 6 2 2 2 3 2 2" xfId="23444" xr:uid="{00000000-0005-0000-0000-000096570000}"/>
    <cellStyle name="Vírgula 7 6 2 2 2 3 2 3" xfId="19497" xr:uid="{00000000-0005-0000-0000-000097570000}"/>
    <cellStyle name="Vírgula 7 6 2 2 2 3 3" xfId="21413" xr:uid="{00000000-0005-0000-0000-000098570000}"/>
    <cellStyle name="Vírgula 7 6 2 2 2 3 4" xfId="17406" xr:uid="{00000000-0005-0000-0000-000099570000}"/>
    <cellStyle name="Vírgula 7 6 2 2 2 4" xfId="10530" xr:uid="{00000000-0005-0000-0000-00009A570000}"/>
    <cellStyle name="Vírgula 7 6 2 2 3" xfId="3200" xr:uid="{00000000-0005-0000-0000-00009B570000}"/>
    <cellStyle name="Vírgula 7 6 2 2 3 2" xfId="4278" xr:uid="{00000000-0005-0000-0000-00009C570000}"/>
    <cellStyle name="Vírgula 7 6 2 2 3 2 2" xfId="6600" xr:uid="{00000000-0005-0000-0000-00009D570000}"/>
    <cellStyle name="Vírgula 7 6 2 2 3 2 2 2" xfId="23582" xr:uid="{00000000-0005-0000-0000-00009E570000}"/>
    <cellStyle name="Vírgula 7 6 2 2 3 2 2 3" xfId="19635" xr:uid="{00000000-0005-0000-0000-00009F570000}"/>
    <cellStyle name="Vírgula 7 6 2 2 3 2 3" xfId="21322" xr:uid="{00000000-0005-0000-0000-0000A0570000}"/>
    <cellStyle name="Vírgula 7 6 2 2 3 2 4" xfId="17315" xr:uid="{00000000-0005-0000-0000-0000A1570000}"/>
    <cellStyle name="Vírgula 7 6 2 2 3 3" xfId="5369" xr:uid="{00000000-0005-0000-0000-0000A2570000}"/>
    <cellStyle name="Vírgula 7 6 2 2 3 3 2" xfId="22368" xr:uid="{00000000-0005-0000-0000-0000A3570000}"/>
    <cellStyle name="Vírgula 7 6 2 2 3 3 3" xfId="18404" xr:uid="{00000000-0005-0000-0000-0000A4570000}"/>
    <cellStyle name="Vírgula 7 6 2 2 3 4" xfId="20268" xr:uid="{00000000-0005-0000-0000-0000A5570000}"/>
    <cellStyle name="Vírgula 7 6 2 2 3 5" xfId="16244" xr:uid="{00000000-0005-0000-0000-0000A6570000}"/>
    <cellStyle name="Vírgula 7 6 2 2 4" xfId="3949" xr:uid="{00000000-0005-0000-0000-0000A7570000}"/>
    <cellStyle name="Vírgula 7 6 2 2 4 2" xfId="6090" xr:uid="{00000000-0005-0000-0000-0000A8570000}"/>
    <cellStyle name="Vírgula 7 6 2 2 4 2 2" xfId="23079" xr:uid="{00000000-0005-0000-0000-0000A9570000}"/>
    <cellStyle name="Vírgula 7 6 2 2 4 2 3" xfId="19125" xr:uid="{00000000-0005-0000-0000-0000AA570000}"/>
    <cellStyle name="Vírgula 7 6 2 2 4 3" xfId="21006" xr:uid="{00000000-0005-0000-0000-0000AB570000}"/>
    <cellStyle name="Vírgula 7 6 2 2 4 4" xfId="16991" xr:uid="{00000000-0005-0000-0000-0000AC570000}"/>
    <cellStyle name="Vírgula 7 6 2 2 5" xfId="6785" xr:uid="{00000000-0005-0000-0000-0000AD570000}"/>
    <cellStyle name="Vírgula 7 6 2 2 5 2" xfId="23758" xr:uid="{00000000-0005-0000-0000-0000AE570000}"/>
    <cellStyle name="Vírgula 7 6 2 2 5 3" xfId="19820" xr:uid="{00000000-0005-0000-0000-0000AF570000}"/>
    <cellStyle name="Vírgula 7 6 2 2 6" xfId="5103" xr:uid="{00000000-0005-0000-0000-0000B0570000}"/>
    <cellStyle name="Vírgula 7 6 2 2 6 2" xfId="22111" xr:uid="{00000000-0005-0000-0000-0000B1570000}"/>
    <cellStyle name="Vírgula 7 6 2 2 6 3" xfId="18138" xr:uid="{00000000-0005-0000-0000-0000B2570000}"/>
    <cellStyle name="Vírgula 7 6 2 2 7" xfId="9838" xr:uid="{00000000-0005-0000-0000-0000B3570000}"/>
    <cellStyle name="Vírgula 7 6 2 2 7 2" xfId="20011" xr:uid="{00000000-0005-0000-0000-0000B4570000}"/>
    <cellStyle name="Vírgula 7 6 2 2 8" xfId="15971" xr:uid="{00000000-0005-0000-0000-0000B5570000}"/>
    <cellStyle name="Vírgula 7 6 2 3" xfId="2435" xr:uid="{00000000-0005-0000-0000-0000B6570000}"/>
    <cellStyle name="Vírgula 7 6 2 3 2" xfId="3564" xr:uid="{00000000-0005-0000-0000-0000B7570000}"/>
    <cellStyle name="Vírgula 7 6 2 3 2 2" xfId="4056" xr:uid="{00000000-0005-0000-0000-0000B8570000}"/>
    <cellStyle name="Vírgula 7 6 2 3 2 2 2" xfId="6665" xr:uid="{00000000-0005-0000-0000-0000B9570000}"/>
    <cellStyle name="Vírgula 7 6 2 3 2 2 2 2" xfId="23647" xr:uid="{00000000-0005-0000-0000-0000BA570000}"/>
    <cellStyle name="Vírgula 7 6 2 3 2 2 2 3" xfId="19700" xr:uid="{00000000-0005-0000-0000-0000BB570000}"/>
    <cellStyle name="Vírgula 7 6 2 3 2 2 3" xfId="21105" xr:uid="{00000000-0005-0000-0000-0000BC570000}"/>
    <cellStyle name="Vírgula 7 6 2 3 2 2 4" xfId="17097" xr:uid="{00000000-0005-0000-0000-0000BD570000}"/>
    <cellStyle name="Vírgula 7 6 2 3 2 3" xfId="5733" xr:uid="{00000000-0005-0000-0000-0000BE570000}"/>
    <cellStyle name="Vírgula 7 6 2 3 2 3 2" xfId="22732" xr:uid="{00000000-0005-0000-0000-0000BF570000}"/>
    <cellStyle name="Vírgula 7 6 2 3 2 3 3" xfId="18768" xr:uid="{00000000-0005-0000-0000-0000C0570000}"/>
    <cellStyle name="Vírgula 7 6 2 3 2 4" xfId="20632" xr:uid="{00000000-0005-0000-0000-0000C1570000}"/>
    <cellStyle name="Vírgula 7 6 2 3 2 5" xfId="16608" xr:uid="{00000000-0005-0000-0000-0000C2570000}"/>
    <cellStyle name="Vírgula 7 6 2 3 3" xfId="4307" xr:uid="{00000000-0005-0000-0000-0000C3570000}"/>
    <cellStyle name="Vírgula 7 6 2 3 3 2" xfId="6463" xr:uid="{00000000-0005-0000-0000-0000C4570000}"/>
    <cellStyle name="Vírgula 7 6 2 3 3 2 2" xfId="23445" xr:uid="{00000000-0005-0000-0000-0000C5570000}"/>
    <cellStyle name="Vírgula 7 6 2 3 3 2 3" xfId="19498" xr:uid="{00000000-0005-0000-0000-0000C6570000}"/>
    <cellStyle name="Vírgula 7 6 2 3 3 3" xfId="21351" xr:uid="{00000000-0005-0000-0000-0000C7570000}"/>
    <cellStyle name="Vírgula 7 6 2 3 3 4" xfId="17344" xr:uid="{00000000-0005-0000-0000-0000C8570000}"/>
    <cellStyle name="Vírgula 7 6 2 3 4" xfId="6857" xr:uid="{00000000-0005-0000-0000-0000C9570000}"/>
    <cellStyle name="Vírgula 7 6 2 3 4 2" xfId="23823" xr:uid="{00000000-0005-0000-0000-0000CA570000}"/>
    <cellStyle name="Vírgula 7 6 2 3 4 3" xfId="19892" xr:uid="{00000000-0005-0000-0000-0000CB570000}"/>
    <cellStyle name="Vírgula 7 6 2 3 5" xfId="5175" xr:uid="{00000000-0005-0000-0000-0000CC570000}"/>
    <cellStyle name="Vírgula 7 6 2 3 5 2" xfId="22176" xr:uid="{00000000-0005-0000-0000-0000CD570000}"/>
    <cellStyle name="Vírgula 7 6 2 3 5 3" xfId="18210" xr:uid="{00000000-0005-0000-0000-0000CE570000}"/>
    <cellStyle name="Vírgula 7 6 2 3 6" xfId="10529" xr:uid="{00000000-0005-0000-0000-0000CF570000}"/>
    <cellStyle name="Vírgula 7 6 2 3 6 2" xfId="20076" xr:uid="{00000000-0005-0000-0000-0000D0570000}"/>
    <cellStyle name="Vírgula 7 6 2 3 7" xfId="16045" xr:uid="{00000000-0005-0000-0000-0000D1570000}"/>
    <cellStyle name="Vírgula 7 6 2 4" xfId="2436" xr:uid="{00000000-0005-0000-0000-0000D2570000}"/>
    <cellStyle name="Vírgula 7 6 2 4 2" xfId="3565" xr:uid="{00000000-0005-0000-0000-0000D3570000}"/>
    <cellStyle name="Vírgula 7 6 2 4 2 2" xfId="4850" xr:uid="{00000000-0005-0000-0000-0000D4570000}"/>
    <cellStyle name="Vírgula 7 6 2 4 2 2 2" xfId="21890" xr:uid="{00000000-0005-0000-0000-0000D5570000}"/>
    <cellStyle name="Vírgula 7 6 2 4 2 2 3" xfId="17885" xr:uid="{00000000-0005-0000-0000-0000D6570000}"/>
    <cellStyle name="Vírgula 7 6 2 4 2 3" xfId="5734" xr:uid="{00000000-0005-0000-0000-0000D7570000}"/>
    <cellStyle name="Vírgula 7 6 2 4 2 3 2" xfId="22733" xr:uid="{00000000-0005-0000-0000-0000D8570000}"/>
    <cellStyle name="Vírgula 7 6 2 4 2 3 3" xfId="18769" xr:uid="{00000000-0005-0000-0000-0000D9570000}"/>
    <cellStyle name="Vírgula 7 6 2 4 2 4" xfId="20633" xr:uid="{00000000-0005-0000-0000-0000DA570000}"/>
    <cellStyle name="Vírgula 7 6 2 4 2 5" xfId="16609" xr:uid="{00000000-0005-0000-0000-0000DB570000}"/>
    <cellStyle name="Vírgula 7 6 2 4 3" xfId="4051" xr:uid="{00000000-0005-0000-0000-0000DC570000}"/>
    <cellStyle name="Vírgula 7 6 2 4 3 2" xfId="6464" xr:uid="{00000000-0005-0000-0000-0000DD570000}"/>
    <cellStyle name="Vírgula 7 6 2 4 3 2 2" xfId="23446" xr:uid="{00000000-0005-0000-0000-0000DE570000}"/>
    <cellStyle name="Vírgula 7 6 2 4 3 2 3" xfId="19499" xr:uid="{00000000-0005-0000-0000-0000DF570000}"/>
    <cellStyle name="Vírgula 7 6 2 4 3 3" xfId="21100" xr:uid="{00000000-0005-0000-0000-0000E0570000}"/>
    <cellStyle name="Vírgula 7 6 2 4 3 4" xfId="17092" xr:uid="{00000000-0005-0000-0000-0000E1570000}"/>
    <cellStyle name="Vírgula 7 6 2 5" xfId="2433" xr:uid="{00000000-0005-0000-0000-0000E2570000}"/>
    <cellStyle name="Vírgula 7 6 2 5 2" xfId="3562" xr:uid="{00000000-0005-0000-0000-0000E3570000}"/>
    <cellStyle name="Vírgula 7 6 2 5 2 2" xfId="4848" xr:uid="{00000000-0005-0000-0000-0000E4570000}"/>
    <cellStyle name="Vírgula 7 6 2 5 2 2 2" xfId="21888" xr:uid="{00000000-0005-0000-0000-0000E5570000}"/>
    <cellStyle name="Vírgula 7 6 2 5 2 2 3" xfId="17883" xr:uid="{00000000-0005-0000-0000-0000E6570000}"/>
    <cellStyle name="Vírgula 7 6 2 5 2 3" xfId="5731" xr:uid="{00000000-0005-0000-0000-0000E7570000}"/>
    <cellStyle name="Vírgula 7 6 2 5 2 3 2" xfId="22730" xr:uid="{00000000-0005-0000-0000-0000E8570000}"/>
    <cellStyle name="Vírgula 7 6 2 5 2 3 3" xfId="18766" xr:uid="{00000000-0005-0000-0000-0000E9570000}"/>
    <cellStyle name="Vírgula 7 6 2 5 2 4" xfId="20630" xr:uid="{00000000-0005-0000-0000-0000EA570000}"/>
    <cellStyle name="Vírgula 7 6 2 5 2 5" xfId="16606" xr:uid="{00000000-0005-0000-0000-0000EB570000}"/>
    <cellStyle name="Vírgula 7 6 2 5 3" xfId="4396" xr:uid="{00000000-0005-0000-0000-0000EC570000}"/>
    <cellStyle name="Vírgula 7 6 2 5 3 2" xfId="6461" xr:uid="{00000000-0005-0000-0000-0000ED570000}"/>
    <cellStyle name="Vírgula 7 6 2 5 3 2 2" xfId="23443" xr:uid="{00000000-0005-0000-0000-0000EE570000}"/>
    <cellStyle name="Vírgula 7 6 2 5 3 2 3" xfId="19496" xr:uid="{00000000-0005-0000-0000-0000EF570000}"/>
    <cellStyle name="Vírgula 7 6 2 5 3 3" xfId="21440" xr:uid="{00000000-0005-0000-0000-0000F0570000}"/>
    <cellStyle name="Vírgula 7 6 2 5 3 4" xfId="17433" xr:uid="{00000000-0005-0000-0000-0000F1570000}"/>
    <cellStyle name="Vírgula 7 6 2 6" xfId="3091" xr:uid="{00000000-0005-0000-0000-0000F2570000}"/>
    <cellStyle name="Vírgula 7 6 2 6 2" xfId="3962" xr:uid="{00000000-0005-0000-0000-0000F3570000}"/>
    <cellStyle name="Vírgula 7 6 2 6 2 2" xfId="6531" xr:uid="{00000000-0005-0000-0000-0000F4570000}"/>
    <cellStyle name="Vírgula 7 6 2 6 2 2 2" xfId="23513" xr:uid="{00000000-0005-0000-0000-0000F5570000}"/>
    <cellStyle name="Vírgula 7 6 2 6 2 2 3" xfId="19566" xr:uid="{00000000-0005-0000-0000-0000F6570000}"/>
    <cellStyle name="Vírgula 7 6 2 6 2 3" xfId="21018" xr:uid="{00000000-0005-0000-0000-0000F7570000}"/>
    <cellStyle name="Vírgula 7 6 2 6 2 4" xfId="17004" xr:uid="{00000000-0005-0000-0000-0000F8570000}"/>
    <cellStyle name="Vírgula 7 6 2 6 3" xfId="5260" xr:uid="{00000000-0005-0000-0000-0000F9570000}"/>
    <cellStyle name="Vírgula 7 6 2 6 3 2" xfId="22259" xr:uid="{00000000-0005-0000-0000-0000FA570000}"/>
    <cellStyle name="Vírgula 7 6 2 6 3 3" xfId="18295" xr:uid="{00000000-0005-0000-0000-0000FB570000}"/>
    <cellStyle name="Vírgula 7 6 2 6 4" xfId="20159" xr:uid="{00000000-0005-0000-0000-0000FC570000}"/>
    <cellStyle name="Vírgula 7 6 2 6 5" xfId="16135" xr:uid="{00000000-0005-0000-0000-0000FD570000}"/>
    <cellStyle name="Vírgula 7 6 2 7" xfId="3834" xr:uid="{00000000-0005-0000-0000-0000FE570000}"/>
    <cellStyle name="Vírgula 7 6 2 7 2" xfId="5976" xr:uid="{00000000-0005-0000-0000-0000FF570000}"/>
    <cellStyle name="Vírgula 7 6 2 7 2 2" xfId="22970" xr:uid="{00000000-0005-0000-0000-000000580000}"/>
    <cellStyle name="Vírgula 7 6 2 7 2 3" xfId="19011" xr:uid="{00000000-0005-0000-0000-000001580000}"/>
    <cellStyle name="Vírgula 7 6 2 7 3" xfId="20896" xr:uid="{00000000-0005-0000-0000-000002580000}"/>
    <cellStyle name="Vírgula 7 6 2 7 4" xfId="16876" xr:uid="{00000000-0005-0000-0000-000003580000}"/>
    <cellStyle name="Vírgula 7 6 2 8" xfId="6710" xr:uid="{00000000-0005-0000-0000-000004580000}"/>
    <cellStyle name="Vírgula 7 6 2 8 2" xfId="23688" xr:uid="{00000000-0005-0000-0000-000005580000}"/>
    <cellStyle name="Vírgula 7 6 2 8 3" xfId="19745" xr:uid="{00000000-0005-0000-0000-000006580000}"/>
    <cellStyle name="Vírgula 7 6 2 9" xfId="5028" xr:uid="{00000000-0005-0000-0000-000007580000}"/>
    <cellStyle name="Vírgula 7 6 2 9 2" xfId="22041" xr:uid="{00000000-0005-0000-0000-000008580000}"/>
    <cellStyle name="Vírgula 7 6 2 9 3" xfId="18063" xr:uid="{00000000-0005-0000-0000-000009580000}"/>
    <cellStyle name="Vírgula 7 6 3" xfId="916" xr:uid="{00000000-0005-0000-0000-00000A580000}"/>
    <cellStyle name="Vírgula 7 6 3 2" xfId="2437" xr:uid="{00000000-0005-0000-0000-00000B580000}"/>
    <cellStyle name="Vírgula 7 6 3 2 2" xfId="2889" xr:uid="{00000000-0005-0000-0000-00000C580000}"/>
    <cellStyle name="Vírgula 7 6 3 2 2 2" xfId="3666" xr:uid="{00000000-0005-0000-0000-00000D580000}"/>
    <cellStyle name="Vírgula 7 6 3 2 2 2 2" xfId="4944" xr:uid="{00000000-0005-0000-0000-00000E580000}"/>
    <cellStyle name="Vírgula 7 6 3 2 2 2 2 2" xfId="21984" xr:uid="{00000000-0005-0000-0000-00000F580000}"/>
    <cellStyle name="Vírgula 7 6 3 2 2 2 2 3" xfId="17979" xr:uid="{00000000-0005-0000-0000-000010580000}"/>
    <cellStyle name="Vírgula 7 6 3 2 2 2 3" xfId="5835" xr:uid="{00000000-0005-0000-0000-000011580000}"/>
    <cellStyle name="Vírgula 7 6 3 2 2 2 3 2" xfId="22834" xr:uid="{00000000-0005-0000-0000-000012580000}"/>
    <cellStyle name="Vírgula 7 6 3 2 2 2 3 3" xfId="18870" xr:uid="{00000000-0005-0000-0000-000013580000}"/>
    <cellStyle name="Vírgula 7 6 3 2 2 2 4" xfId="20734" xr:uid="{00000000-0005-0000-0000-000014580000}"/>
    <cellStyle name="Vírgula 7 6 3 2 2 2 5" xfId="16710" xr:uid="{00000000-0005-0000-0000-000015580000}"/>
    <cellStyle name="Vírgula 7 6 3 2 3" xfId="2821" xr:uid="{00000000-0005-0000-0000-000016580000}"/>
    <cellStyle name="Vírgula 7 6 3 2 3 2" xfId="3649" xr:uid="{00000000-0005-0000-0000-000017580000}"/>
    <cellStyle name="Vírgula 7 6 3 2 3 2 2" xfId="4927" xr:uid="{00000000-0005-0000-0000-000018580000}"/>
    <cellStyle name="Vírgula 7 6 3 2 3 2 2 2" xfId="21967" xr:uid="{00000000-0005-0000-0000-000019580000}"/>
    <cellStyle name="Vírgula 7 6 3 2 3 2 2 3" xfId="17962" xr:uid="{00000000-0005-0000-0000-00001A580000}"/>
    <cellStyle name="Vírgula 7 6 3 2 3 2 3" xfId="5818" xr:uid="{00000000-0005-0000-0000-00001B580000}"/>
    <cellStyle name="Vírgula 7 6 3 2 3 2 3 2" xfId="22817" xr:uid="{00000000-0005-0000-0000-00001C580000}"/>
    <cellStyle name="Vírgula 7 6 3 2 3 2 3 3" xfId="18853" xr:uid="{00000000-0005-0000-0000-00001D580000}"/>
    <cellStyle name="Vírgula 7 6 3 2 3 2 4" xfId="20717" xr:uid="{00000000-0005-0000-0000-00001E580000}"/>
    <cellStyle name="Vírgula 7 6 3 2 3 2 5" xfId="16693" xr:uid="{00000000-0005-0000-0000-00001F580000}"/>
    <cellStyle name="Vírgula 7 6 3 2 4" xfId="2667" xr:uid="{00000000-0005-0000-0000-000020580000}"/>
    <cellStyle name="Vírgula 7 6 3 2 4 2" xfId="3622" xr:uid="{00000000-0005-0000-0000-000021580000}"/>
    <cellStyle name="Vírgula 7 6 3 2 4 2 2" xfId="4900" xr:uid="{00000000-0005-0000-0000-000022580000}"/>
    <cellStyle name="Vírgula 7 6 3 2 4 2 2 2" xfId="21940" xr:uid="{00000000-0005-0000-0000-000023580000}"/>
    <cellStyle name="Vírgula 7 6 3 2 4 2 2 3" xfId="17935" xr:uid="{00000000-0005-0000-0000-000024580000}"/>
    <cellStyle name="Vírgula 7 6 3 2 4 2 3" xfId="5791" xr:uid="{00000000-0005-0000-0000-000025580000}"/>
    <cellStyle name="Vírgula 7 6 3 2 4 2 3 2" xfId="22790" xr:uid="{00000000-0005-0000-0000-000026580000}"/>
    <cellStyle name="Vírgula 7 6 3 2 4 2 3 3" xfId="18826" xr:uid="{00000000-0005-0000-0000-000027580000}"/>
    <cellStyle name="Vírgula 7 6 3 2 4 2 4" xfId="20690" xr:uid="{00000000-0005-0000-0000-000028580000}"/>
    <cellStyle name="Vírgula 7 6 3 2 4 2 5" xfId="16666" xr:uid="{00000000-0005-0000-0000-000029580000}"/>
    <cellStyle name="Vírgula 7 6 3 2 5" xfId="2600" xr:uid="{00000000-0005-0000-0000-00002A580000}"/>
    <cellStyle name="Vírgula 7 6 3 2 5 2" xfId="3606" xr:uid="{00000000-0005-0000-0000-00002B580000}"/>
    <cellStyle name="Vírgula 7 6 3 2 5 2 2" xfId="4884" xr:uid="{00000000-0005-0000-0000-00002C580000}"/>
    <cellStyle name="Vírgula 7 6 3 2 5 2 2 2" xfId="21924" xr:uid="{00000000-0005-0000-0000-00002D580000}"/>
    <cellStyle name="Vírgula 7 6 3 2 5 2 2 3" xfId="17919" xr:uid="{00000000-0005-0000-0000-00002E580000}"/>
    <cellStyle name="Vírgula 7 6 3 2 5 2 3" xfId="5775" xr:uid="{00000000-0005-0000-0000-00002F580000}"/>
    <cellStyle name="Vírgula 7 6 3 2 5 2 3 2" xfId="22774" xr:uid="{00000000-0005-0000-0000-000030580000}"/>
    <cellStyle name="Vírgula 7 6 3 2 5 2 3 3" xfId="18810" xr:uid="{00000000-0005-0000-0000-000031580000}"/>
    <cellStyle name="Vírgula 7 6 3 2 5 2 4" xfId="20674" xr:uid="{00000000-0005-0000-0000-000032580000}"/>
    <cellStyle name="Vírgula 7 6 3 2 5 2 5" xfId="16650" xr:uid="{00000000-0005-0000-0000-000033580000}"/>
    <cellStyle name="Vírgula 7 6 3 2 6" xfId="3566" xr:uid="{00000000-0005-0000-0000-000034580000}"/>
    <cellStyle name="Vírgula 7 6 3 2 6 2" xfId="4851" xr:uid="{00000000-0005-0000-0000-000035580000}"/>
    <cellStyle name="Vírgula 7 6 3 2 6 2 2" xfId="21891" xr:uid="{00000000-0005-0000-0000-000036580000}"/>
    <cellStyle name="Vírgula 7 6 3 2 6 2 3" xfId="17886" xr:uid="{00000000-0005-0000-0000-000037580000}"/>
    <cellStyle name="Vírgula 7 6 3 2 6 3" xfId="5735" xr:uid="{00000000-0005-0000-0000-000038580000}"/>
    <cellStyle name="Vírgula 7 6 3 2 6 3 2" xfId="22734" xr:uid="{00000000-0005-0000-0000-000039580000}"/>
    <cellStyle name="Vírgula 7 6 3 2 6 3 3" xfId="18770" xr:uid="{00000000-0005-0000-0000-00003A580000}"/>
    <cellStyle name="Vírgula 7 6 3 2 6 4" xfId="20634" xr:uid="{00000000-0005-0000-0000-00003B580000}"/>
    <cellStyle name="Vírgula 7 6 3 2 6 5" xfId="16610" xr:uid="{00000000-0005-0000-0000-00003C580000}"/>
    <cellStyle name="Vírgula 7 6 3 2 7" xfId="4446" xr:uid="{00000000-0005-0000-0000-00003D580000}"/>
    <cellStyle name="Vírgula 7 6 3 2 7 2" xfId="6465" xr:uid="{00000000-0005-0000-0000-00003E580000}"/>
    <cellStyle name="Vírgula 7 6 3 2 7 2 2" xfId="23447" xr:uid="{00000000-0005-0000-0000-00003F580000}"/>
    <cellStyle name="Vírgula 7 6 3 2 7 2 3" xfId="19500" xr:uid="{00000000-0005-0000-0000-000040580000}"/>
    <cellStyle name="Vírgula 7 6 3 2 7 3" xfId="21487" xr:uid="{00000000-0005-0000-0000-000041580000}"/>
    <cellStyle name="Vírgula 7 6 3 2 7 4" xfId="17482" xr:uid="{00000000-0005-0000-0000-000042580000}"/>
    <cellStyle name="Vírgula 7 6 3 2 8" xfId="10531" xr:uid="{00000000-0005-0000-0000-000043580000}"/>
    <cellStyle name="Vírgula 7 6 3 3" xfId="2529" xr:uid="{00000000-0005-0000-0000-000044580000}"/>
    <cellStyle name="Vírgula 7 6 3 3 2" xfId="3591" xr:uid="{00000000-0005-0000-0000-000045580000}"/>
    <cellStyle name="Vírgula 7 6 3 3 2 2" xfId="4869" xr:uid="{00000000-0005-0000-0000-000046580000}"/>
    <cellStyle name="Vírgula 7 6 3 3 2 2 2" xfId="21909" xr:uid="{00000000-0005-0000-0000-000047580000}"/>
    <cellStyle name="Vírgula 7 6 3 3 2 2 3" xfId="17904" xr:uid="{00000000-0005-0000-0000-000048580000}"/>
    <cellStyle name="Vírgula 7 6 3 3 2 3" xfId="5760" xr:uid="{00000000-0005-0000-0000-000049580000}"/>
    <cellStyle name="Vírgula 7 6 3 3 2 3 2" xfId="22759" xr:uid="{00000000-0005-0000-0000-00004A580000}"/>
    <cellStyle name="Vírgula 7 6 3 3 2 3 3" xfId="18795" xr:uid="{00000000-0005-0000-0000-00004B580000}"/>
    <cellStyle name="Vírgula 7 6 3 3 2 4" xfId="20659" xr:uid="{00000000-0005-0000-0000-00004C580000}"/>
    <cellStyle name="Vírgula 7 6 3 3 2 5" xfId="16635" xr:uid="{00000000-0005-0000-0000-00004D580000}"/>
    <cellStyle name="Vírgula 7 6 3 3 3" xfId="3728" xr:uid="{00000000-0005-0000-0000-00004E580000}"/>
    <cellStyle name="Vírgula 7 6 3 3 3 2" xfId="6490" xr:uid="{00000000-0005-0000-0000-00004F580000}"/>
    <cellStyle name="Vírgula 7 6 3 3 3 2 2" xfId="23472" xr:uid="{00000000-0005-0000-0000-000050580000}"/>
    <cellStyle name="Vírgula 7 6 3 3 3 2 3" xfId="19525" xr:uid="{00000000-0005-0000-0000-000051580000}"/>
    <cellStyle name="Vírgula 7 6 3 3 3 3" xfId="20793" xr:uid="{00000000-0005-0000-0000-000052580000}"/>
    <cellStyle name="Vírgula 7 6 3 3 3 4" xfId="16772" xr:uid="{00000000-0005-0000-0000-000053580000}"/>
    <cellStyle name="Vírgula 7 6 3 4" xfId="3201" xr:uid="{00000000-0005-0000-0000-000054580000}"/>
    <cellStyle name="Vírgula 7 6 3 4 2" xfId="3863" xr:uid="{00000000-0005-0000-0000-000055580000}"/>
    <cellStyle name="Vírgula 7 6 3 4 2 2" xfId="6601" xr:uid="{00000000-0005-0000-0000-000056580000}"/>
    <cellStyle name="Vírgula 7 6 3 4 2 2 2" xfId="23583" xr:uid="{00000000-0005-0000-0000-000057580000}"/>
    <cellStyle name="Vírgula 7 6 3 4 2 2 3" xfId="19636" xr:uid="{00000000-0005-0000-0000-000058580000}"/>
    <cellStyle name="Vírgula 7 6 3 4 2 3" xfId="20924" xr:uid="{00000000-0005-0000-0000-000059580000}"/>
    <cellStyle name="Vírgula 7 6 3 4 2 4" xfId="16905" xr:uid="{00000000-0005-0000-0000-00005A580000}"/>
    <cellStyle name="Vírgula 7 6 3 4 3" xfId="5370" xr:uid="{00000000-0005-0000-0000-00005B580000}"/>
    <cellStyle name="Vírgula 7 6 3 4 3 2" xfId="11936" xr:uid="{00000000-0005-0000-0000-00005C580000}"/>
    <cellStyle name="Vírgula 7 6 3 4 3 2 2" xfId="22369" xr:uid="{00000000-0005-0000-0000-00005D580000}"/>
    <cellStyle name="Vírgula 7 6 3 4 3 3" xfId="12024" xr:uid="{00000000-0005-0000-0000-00005E580000}"/>
    <cellStyle name="Vírgula 7 6 3 4 3 4" xfId="18405" xr:uid="{00000000-0005-0000-0000-00005F580000}"/>
    <cellStyle name="Vírgula 7 6 3 4 4" xfId="20269" xr:uid="{00000000-0005-0000-0000-000060580000}"/>
    <cellStyle name="Vírgula 7 6 3 4 5" xfId="16245" xr:uid="{00000000-0005-0000-0000-000061580000}"/>
    <cellStyle name="Vírgula 7 6 3 5" xfId="3950" xr:uid="{00000000-0005-0000-0000-000062580000}"/>
    <cellStyle name="Vírgula 7 6 3 5 2" xfId="6091" xr:uid="{00000000-0005-0000-0000-000063580000}"/>
    <cellStyle name="Vírgula 7 6 3 5 2 2" xfId="23080" xr:uid="{00000000-0005-0000-0000-000064580000}"/>
    <cellStyle name="Vírgula 7 6 3 5 2 3" xfId="19126" xr:uid="{00000000-0005-0000-0000-000065580000}"/>
    <cellStyle name="Vírgula 7 6 3 5 3" xfId="21007" xr:uid="{00000000-0005-0000-0000-000066580000}"/>
    <cellStyle name="Vírgula 7 6 3 5 4" xfId="16992" xr:uid="{00000000-0005-0000-0000-000067580000}"/>
    <cellStyle name="Vírgula 7 6 3 6" xfId="6786" xr:uid="{00000000-0005-0000-0000-000068580000}"/>
    <cellStyle name="Vírgula 7 6 3 6 2" xfId="23759" xr:uid="{00000000-0005-0000-0000-000069580000}"/>
    <cellStyle name="Vírgula 7 6 3 6 3" xfId="19821" xr:uid="{00000000-0005-0000-0000-00006A580000}"/>
    <cellStyle name="Vírgula 7 6 3 7" xfId="5104" xr:uid="{00000000-0005-0000-0000-00006B580000}"/>
    <cellStyle name="Vírgula 7 6 3 7 2" xfId="22112" xr:uid="{00000000-0005-0000-0000-00006C580000}"/>
    <cellStyle name="Vírgula 7 6 3 7 3" xfId="18139" xr:uid="{00000000-0005-0000-0000-00006D580000}"/>
    <cellStyle name="Vírgula 7 6 3 8" xfId="9557" xr:uid="{00000000-0005-0000-0000-00006E580000}"/>
    <cellStyle name="Vírgula 7 6 3 8 2" xfId="20012" xr:uid="{00000000-0005-0000-0000-00006F580000}"/>
    <cellStyle name="Vírgula 7 6 3 9" xfId="15972" xr:uid="{00000000-0005-0000-0000-000070580000}"/>
    <cellStyle name="Vírgula 7 6 4" xfId="2438" xr:uid="{00000000-0005-0000-0000-000071580000}"/>
    <cellStyle name="Vírgula 7 6 4 2" xfId="3567" xr:uid="{00000000-0005-0000-0000-000072580000}"/>
    <cellStyle name="Vírgula 7 6 4 2 2" xfId="3859" xr:uid="{00000000-0005-0000-0000-000073580000}"/>
    <cellStyle name="Vírgula 7 6 4 2 2 2" xfId="6666" xr:uid="{00000000-0005-0000-0000-000074580000}"/>
    <cellStyle name="Vírgula 7 6 4 2 2 2 2" xfId="23648" xr:uid="{00000000-0005-0000-0000-000075580000}"/>
    <cellStyle name="Vírgula 7 6 4 2 2 2 3" xfId="19701" xr:uid="{00000000-0005-0000-0000-000076580000}"/>
    <cellStyle name="Vírgula 7 6 4 2 2 3" xfId="20920" xr:uid="{00000000-0005-0000-0000-000077580000}"/>
    <cellStyle name="Vírgula 7 6 4 2 2 4" xfId="16901" xr:uid="{00000000-0005-0000-0000-000078580000}"/>
    <cellStyle name="Vírgula 7 6 4 2 3" xfId="5736" xr:uid="{00000000-0005-0000-0000-000079580000}"/>
    <cellStyle name="Vírgula 7 6 4 2 3 2" xfId="22735" xr:uid="{00000000-0005-0000-0000-00007A580000}"/>
    <cellStyle name="Vírgula 7 6 4 2 3 3" xfId="18771" xr:uid="{00000000-0005-0000-0000-00007B580000}"/>
    <cellStyle name="Vírgula 7 6 4 2 4" xfId="20635" xr:uid="{00000000-0005-0000-0000-00007C580000}"/>
    <cellStyle name="Vírgula 7 6 4 2 5" xfId="16611" xr:uid="{00000000-0005-0000-0000-00007D580000}"/>
    <cellStyle name="Vírgula 7 6 4 3" xfId="4309" xr:uid="{00000000-0005-0000-0000-00007E580000}"/>
    <cellStyle name="Vírgula 7 6 4 3 2" xfId="6466" xr:uid="{00000000-0005-0000-0000-00007F580000}"/>
    <cellStyle name="Vírgula 7 6 4 3 2 2" xfId="23448" xr:uid="{00000000-0005-0000-0000-000080580000}"/>
    <cellStyle name="Vírgula 7 6 4 3 2 3" xfId="19501" xr:uid="{00000000-0005-0000-0000-000081580000}"/>
    <cellStyle name="Vírgula 7 6 4 3 3" xfId="21353" xr:uid="{00000000-0005-0000-0000-000082580000}"/>
    <cellStyle name="Vírgula 7 6 4 3 4" xfId="17346" xr:uid="{00000000-0005-0000-0000-000083580000}"/>
    <cellStyle name="Vírgula 7 6 4 4" xfId="6858" xr:uid="{00000000-0005-0000-0000-000084580000}"/>
    <cellStyle name="Vírgula 7 6 4 4 2" xfId="13307" xr:uid="{00000000-0005-0000-0000-000085580000}"/>
    <cellStyle name="Vírgula 7 6 4 4 2 2" xfId="23824" xr:uid="{00000000-0005-0000-0000-000086580000}"/>
    <cellStyle name="Vírgula 7 6 4 4 3" xfId="11869" xr:uid="{00000000-0005-0000-0000-000087580000}"/>
    <cellStyle name="Vírgula 7 6 4 4 4" xfId="19893" xr:uid="{00000000-0005-0000-0000-000088580000}"/>
    <cellStyle name="Vírgula 7 6 4 5" xfId="5176" xr:uid="{00000000-0005-0000-0000-000089580000}"/>
    <cellStyle name="Vírgula 7 6 4 5 2" xfId="22177" xr:uid="{00000000-0005-0000-0000-00008A580000}"/>
    <cellStyle name="Vírgula 7 6 4 5 3" xfId="18211" xr:uid="{00000000-0005-0000-0000-00008B580000}"/>
    <cellStyle name="Vírgula 7 6 4 6" xfId="10528" xr:uid="{00000000-0005-0000-0000-00008C580000}"/>
    <cellStyle name="Vírgula 7 6 4 6 2" xfId="20077" xr:uid="{00000000-0005-0000-0000-00008D580000}"/>
    <cellStyle name="Vírgula 7 6 4 7" xfId="16046" xr:uid="{00000000-0005-0000-0000-00008E580000}"/>
    <cellStyle name="Vírgula 7 6 5" xfId="2439" xr:uid="{00000000-0005-0000-0000-00008F580000}"/>
    <cellStyle name="Vírgula 7 6 5 2" xfId="2530" xr:uid="{00000000-0005-0000-0000-000090580000}"/>
    <cellStyle name="Vírgula 7 6 5 2 2" xfId="3592" xr:uid="{00000000-0005-0000-0000-000091580000}"/>
    <cellStyle name="Vírgula 7 6 5 2 2 2" xfId="4870" xr:uid="{00000000-0005-0000-0000-000092580000}"/>
    <cellStyle name="Vírgula 7 6 5 2 2 2 2" xfId="21910" xr:uid="{00000000-0005-0000-0000-000093580000}"/>
    <cellStyle name="Vírgula 7 6 5 2 2 2 3" xfId="17905" xr:uid="{00000000-0005-0000-0000-000094580000}"/>
    <cellStyle name="Vírgula 7 6 5 2 2 3" xfId="5761" xr:uid="{00000000-0005-0000-0000-000095580000}"/>
    <cellStyle name="Vírgula 7 6 5 2 2 3 2" xfId="22760" xr:uid="{00000000-0005-0000-0000-000096580000}"/>
    <cellStyle name="Vírgula 7 6 5 2 2 3 3" xfId="18796" xr:uid="{00000000-0005-0000-0000-000097580000}"/>
    <cellStyle name="Vírgula 7 6 5 2 2 4" xfId="20660" xr:uid="{00000000-0005-0000-0000-000098580000}"/>
    <cellStyle name="Vírgula 7 6 5 2 2 5" xfId="16636" xr:uid="{00000000-0005-0000-0000-000099580000}"/>
    <cellStyle name="Vírgula 7 6 5 2 3" xfId="4159" xr:uid="{00000000-0005-0000-0000-00009A580000}"/>
    <cellStyle name="Vírgula 7 6 5 2 3 2" xfId="6491" xr:uid="{00000000-0005-0000-0000-00009B580000}"/>
    <cellStyle name="Vírgula 7 6 5 2 3 2 2" xfId="23473" xr:uid="{00000000-0005-0000-0000-00009C580000}"/>
    <cellStyle name="Vírgula 7 6 5 2 3 2 3" xfId="19526" xr:uid="{00000000-0005-0000-0000-00009D580000}"/>
    <cellStyle name="Vírgula 7 6 5 2 3 3" xfId="21207" xr:uid="{00000000-0005-0000-0000-00009E580000}"/>
    <cellStyle name="Vírgula 7 6 5 2 3 4" xfId="17199" xr:uid="{00000000-0005-0000-0000-00009F580000}"/>
    <cellStyle name="Vírgula 7 6 5 3" xfId="2822" xr:uid="{00000000-0005-0000-0000-0000A0580000}"/>
    <cellStyle name="Vírgula 7 6 5 3 2" xfId="3650" xr:uid="{00000000-0005-0000-0000-0000A1580000}"/>
    <cellStyle name="Vírgula 7 6 5 3 2 2" xfId="4928" xr:uid="{00000000-0005-0000-0000-0000A2580000}"/>
    <cellStyle name="Vírgula 7 6 5 3 2 2 2" xfId="21968" xr:uid="{00000000-0005-0000-0000-0000A3580000}"/>
    <cellStyle name="Vírgula 7 6 5 3 2 2 3" xfId="17963" xr:uid="{00000000-0005-0000-0000-0000A4580000}"/>
    <cellStyle name="Vírgula 7 6 5 3 2 3" xfId="5819" xr:uid="{00000000-0005-0000-0000-0000A5580000}"/>
    <cellStyle name="Vírgula 7 6 5 3 2 3 2" xfId="11641" xr:uid="{00000000-0005-0000-0000-0000A6580000}"/>
    <cellStyle name="Vírgula 7 6 5 3 2 3 2 2" xfId="22818" xr:uid="{00000000-0005-0000-0000-0000A7580000}"/>
    <cellStyle name="Vírgula 7 6 5 3 2 3 3" xfId="11095" xr:uid="{00000000-0005-0000-0000-0000A8580000}"/>
    <cellStyle name="Vírgula 7 6 5 3 2 3 4" xfId="18854" xr:uid="{00000000-0005-0000-0000-0000A9580000}"/>
    <cellStyle name="Vírgula 7 6 5 3 2 4" xfId="20718" xr:uid="{00000000-0005-0000-0000-0000AA580000}"/>
    <cellStyle name="Vírgula 7 6 5 3 2 5" xfId="16694" xr:uid="{00000000-0005-0000-0000-0000AB580000}"/>
    <cellStyle name="Vírgula 7 6 5 3 3" xfId="8678" xr:uid="{00000000-0005-0000-0000-0000AC580000}"/>
    <cellStyle name="Vírgula 7 6 5 4" xfId="3568" xr:uid="{00000000-0005-0000-0000-0000AD580000}"/>
    <cellStyle name="Vírgula 7 6 5 4 2" xfId="4852" xr:uid="{00000000-0005-0000-0000-0000AE580000}"/>
    <cellStyle name="Vírgula 7 6 5 4 2 2" xfId="21892" xr:uid="{00000000-0005-0000-0000-0000AF580000}"/>
    <cellStyle name="Vírgula 7 6 5 4 2 3" xfId="17887" xr:uid="{00000000-0005-0000-0000-0000B0580000}"/>
    <cellStyle name="Vírgula 7 6 5 4 3" xfId="5737" xr:uid="{00000000-0005-0000-0000-0000B1580000}"/>
    <cellStyle name="Vírgula 7 6 5 4 3 2" xfId="22736" xr:uid="{00000000-0005-0000-0000-0000B2580000}"/>
    <cellStyle name="Vírgula 7 6 5 4 3 3" xfId="18772" xr:uid="{00000000-0005-0000-0000-0000B3580000}"/>
    <cellStyle name="Vírgula 7 6 5 4 4" xfId="20636" xr:uid="{00000000-0005-0000-0000-0000B4580000}"/>
    <cellStyle name="Vírgula 7 6 5 4 5" xfId="16612" xr:uid="{00000000-0005-0000-0000-0000B5580000}"/>
    <cellStyle name="Vírgula 7 6 5 5" xfId="4414" xr:uid="{00000000-0005-0000-0000-0000B6580000}"/>
    <cellStyle name="Vírgula 7 6 5 5 2" xfId="6467" xr:uid="{00000000-0005-0000-0000-0000B7580000}"/>
    <cellStyle name="Vírgula 7 6 5 5 2 2" xfId="23449" xr:uid="{00000000-0005-0000-0000-0000B8580000}"/>
    <cellStyle name="Vírgula 7 6 5 5 2 3" xfId="19502" xr:uid="{00000000-0005-0000-0000-0000B9580000}"/>
    <cellStyle name="Vírgula 7 6 5 5 3" xfId="21457" xr:uid="{00000000-0005-0000-0000-0000BA580000}"/>
    <cellStyle name="Vírgula 7 6 5 5 4" xfId="17451" xr:uid="{00000000-0005-0000-0000-0000BB580000}"/>
    <cellStyle name="Vírgula 7 6 5 6" xfId="10767" xr:uid="{00000000-0005-0000-0000-0000BC580000}"/>
    <cellStyle name="Vírgula 7 6 6" xfId="2432" xr:uid="{00000000-0005-0000-0000-0000BD580000}"/>
    <cellStyle name="Vírgula 7 6 6 2" xfId="2888" xr:uid="{00000000-0005-0000-0000-0000BE580000}"/>
    <cellStyle name="Vírgula 7 6 6 2 2" xfId="3665" xr:uid="{00000000-0005-0000-0000-0000BF580000}"/>
    <cellStyle name="Vírgula 7 6 6 2 2 2" xfId="4943" xr:uid="{00000000-0005-0000-0000-0000C0580000}"/>
    <cellStyle name="Vírgula 7 6 6 2 2 2 2" xfId="21983" xr:uid="{00000000-0005-0000-0000-0000C1580000}"/>
    <cellStyle name="Vírgula 7 6 6 2 2 2 3" xfId="17978" xr:uid="{00000000-0005-0000-0000-0000C2580000}"/>
    <cellStyle name="Vírgula 7 6 6 2 2 3" xfId="5834" xr:uid="{00000000-0005-0000-0000-0000C3580000}"/>
    <cellStyle name="Vírgula 7 6 6 2 2 3 2" xfId="11676" xr:uid="{00000000-0005-0000-0000-0000C4580000}"/>
    <cellStyle name="Vírgula 7 6 6 2 2 3 2 2" xfId="22833" xr:uid="{00000000-0005-0000-0000-0000C5580000}"/>
    <cellStyle name="Vírgula 7 6 6 2 2 3 3" xfId="11976" xr:uid="{00000000-0005-0000-0000-0000C6580000}"/>
    <cellStyle name="Vírgula 7 6 6 2 2 3 4" xfId="18869" xr:uid="{00000000-0005-0000-0000-0000C7580000}"/>
    <cellStyle name="Vírgula 7 6 6 2 2 4" xfId="20733" xr:uid="{00000000-0005-0000-0000-0000C8580000}"/>
    <cellStyle name="Vírgula 7 6 6 2 2 5" xfId="16709" xr:uid="{00000000-0005-0000-0000-0000C9580000}"/>
    <cellStyle name="Vírgula 7 6 6 2 3" xfId="8679" xr:uid="{00000000-0005-0000-0000-0000CA580000}"/>
    <cellStyle name="Vírgula 7 6 6 3" xfId="2820" xr:uid="{00000000-0005-0000-0000-0000CB580000}"/>
    <cellStyle name="Vírgula 7 6 6 3 2" xfId="3648" xr:uid="{00000000-0005-0000-0000-0000CC580000}"/>
    <cellStyle name="Vírgula 7 6 6 3 2 2" xfId="4926" xr:uid="{00000000-0005-0000-0000-0000CD580000}"/>
    <cellStyle name="Vírgula 7 6 6 3 2 2 2" xfId="21966" xr:uid="{00000000-0005-0000-0000-0000CE580000}"/>
    <cellStyle name="Vírgula 7 6 6 3 2 2 3" xfId="17961" xr:uid="{00000000-0005-0000-0000-0000CF580000}"/>
    <cellStyle name="Vírgula 7 6 6 3 2 3" xfId="5817" xr:uid="{00000000-0005-0000-0000-0000D0580000}"/>
    <cellStyle name="Vírgula 7 6 6 3 2 3 2" xfId="22816" xr:uid="{00000000-0005-0000-0000-0000D1580000}"/>
    <cellStyle name="Vírgula 7 6 6 3 2 3 3" xfId="18852" xr:uid="{00000000-0005-0000-0000-0000D2580000}"/>
    <cellStyle name="Vírgula 7 6 6 3 2 4" xfId="20716" xr:uid="{00000000-0005-0000-0000-0000D3580000}"/>
    <cellStyle name="Vírgula 7 6 6 3 2 5" xfId="16692" xr:uid="{00000000-0005-0000-0000-0000D4580000}"/>
    <cellStyle name="Vírgula 7 6 6 4" xfId="2666" xr:uid="{00000000-0005-0000-0000-0000D5580000}"/>
    <cellStyle name="Vírgula 7 6 6 4 2" xfId="3621" xr:uid="{00000000-0005-0000-0000-0000D6580000}"/>
    <cellStyle name="Vírgula 7 6 6 4 2 2" xfId="4899" xr:uid="{00000000-0005-0000-0000-0000D7580000}"/>
    <cellStyle name="Vírgula 7 6 6 4 2 2 2" xfId="21939" xr:uid="{00000000-0005-0000-0000-0000D8580000}"/>
    <cellStyle name="Vírgula 7 6 6 4 2 2 3" xfId="17934" xr:uid="{00000000-0005-0000-0000-0000D9580000}"/>
    <cellStyle name="Vírgula 7 6 6 4 2 3" xfId="5790" xr:uid="{00000000-0005-0000-0000-0000DA580000}"/>
    <cellStyle name="Vírgula 7 6 6 4 2 3 2" xfId="22789" xr:uid="{00000000-0005-0000-0000-0000DB580000}"/>
    <cellStyle name="Vírgula 7 6 6 4 2 3 3" xfId="18825" xr:uid="{00000000-0005-0000-0000-0000DC580000}"/>
    <cellStyle name="Vírgula 7 6 6 4 2 4" xfId="20689" xr:uid="{00000000-0005-0000-0000-0000DD580000}"/>
    <cellStyle name="Vírgula 7 6 6 4 2 5" xfId="16665" xr:uid="{00000000-0005-0000-0000-0000DE580000}"/>
    <cellStyle name="Vírgula 7 6 6 5" xfId="2599" xr:uid="{00000000-0005-0000-0000-0000DF580000}"/>
    <cellStyle name="Vírgula 7 6 6 5 2" xfId="3605" xr:uid="{00000000-0005-0000-0000-0000E0580000}"/>
    <cellStyle name="Vírgula 7 6 6 5 2 2" xfId="4883" xr:uid="{00000000-0005-0000-0000-0000E1580000}"/>
    <cellStyle name="Vírgula 7 6 6 5 2 2 2" xfId="21923" xr:uid="{00000000-0005-0000-0000-0000E2580000}"/>
    <cellStyle name="Vírgula 7 6 6 5 2 2 3" xfId="17918" xr:uid="{00000000-0005-0000-0000-0000E3580000}"/>
    <cellStyle name="Vírgula 7 6 6 5 2 3" xfId="5774" xr:uid="{00000000-0005-0000-0000-0000E4580000}"/>
    <cellStyle name="Vírgula 7 6 6 5 2 3 2" xfId="22773" xr:uid="{00000000-0005-0000-0000-0000E5580000}"/>
    <cellStyle name="Vírgula 7 6 6 5 2 3 3" xfId="18809" xr:uid="{00000000-0005-0000-0000-0000E6580000}"/>
    <cellStyle name="Vírgula 7 6 6 5 2 4" xfId="20673" xr:uid="{00000000-0005-0000-0000-0000E7580000}"/>
    <cellStyle name="Vírgula 7 6 6 5 2 5" xfId="16649" xr:uid="{00000000-0005-0000-0000-0000E8580000}"/>
    <cellStyle name="Vírgula 7 6 6 6" xfId="3561" xr:uid="{00000000-0005-0000-0000-0000E9580000}"/>
    <cellStyle name="Vírgula 7 6 6 6 2" xfId="4847" xr:uid="{00000000-0005-0000-0000-0000EA580000}"/>
    <cellStyle name="Vírgula 7 6 6 6 2 2" xfId="21887" xr:uid="{00000000-0005-0000-0000-0000EB580000}"/>
    <cellStyle name="Vírgula 7 6 6 6 2 3" xfId="17882" xr:uid="{00000000-0005-0000-0000-0000EC580000}"/>
    <cellStyle name="Vírgula 7 6 6 6 3" xfId="5730" xr:uid="{00000000-0005-0000-0000-0000ED580000}"/>
    <cellStyle name="Vírgula 7 6 6 6 3 2" xfId="22729" xr:uid="{00000000-0005-0000-0000-0000EE580000}"/>
    <cellStyle name="Vírgula 7 6 6 6 3 3" xfId="18765" xr:uid="{00000000-0005-0000-0000-0000EF580000}"/>
    <cellStyle name="Vírgula 7 6 6 6 4" xfId="20629" xr:uid="{00000000-0005-0000-0000-0000F0580000}"/>
    <cellStyle name="Vírgula 7 6 6 6 5" xfId="16605" xr:uid="{00000000-0005-0000-0000-0000F1580000}"/>
    <cellStyle name="Vírgula 7 6 6 7" xfId="4095" xr:uid="{00000000-0005-0000-0000-0000F2580000}"/>
    <cellStyle name="Vírgula 7 6 6 7 2" xfId="6460" xr:uid="{00000000-0005-0000-0000-0000F3580000}"/>
    <cellStyle name="Vírgula 7 6 6 7 2 2" xfId="23442" xr:uid="{00000000-0005-0000-0000-0000F4580000}"/>
    <cellStyle name="Vírgula 7 6 6 7 2 3" xfId="19495" xr:uid="{00000000-0005-0000-0000-0000F5580000}"/>
    <cellStyle name="Vírgula 7 6 6 7 3" xfId="21143" xr:uid="{00000000-0005-0000-0000-0000F6580000}"/>
    <cellStyle name="Vírgula 7 6 6 7 4" xfId="17135" xr:uid="{00000000-0005-0000-0000-0000F7580000}"/>
    <cellStyle name="Vírgula 7 6 6 8" xfId="10897" xr:uid="{00000000-0005-0000-0000-0000F8580000}"/>
    <cellStyle name="Vírgula 7 6 7" xfId="3090" xr:uid="{00000000-0005-0000-0000-0000F9580000}"/>
    <cellStyle name="Vírgula 7 6 7 2" xfId="4080" xr:uid="{00000000-0005-0000-0000-0000FA580000}"/>
    <cellStyle name="Vírgula 7 6 7 2 2" xfId="6530" xr:uid="{00000000-0005-0000-0000-0000FB580000}"/>
    <cellStyle name="Vírgula 7 6 7 2 2 2" xfId="23512" xr:uid="{00000000-0005-0000-0000-0000FC580000}"/>
    <cellStyle name="Vírgula 7 6 7 2 2 3" xfId="19565" xr:uid="{00000000-0005-0000-0000-0000FD580000}"/>
    <cellStyle name="Vírgula 7 6 7 2 3" xfId="21128" xr:uid="{00000000-0005-0000-0000-0000FE580000}"/>
    <cellStyle name="Vírgula 7 6 7 2 4" xfId="17120" xr:uid="{00000000-0005-0000-0000-0000FF580000}"/>
    <cellStyle name="Vírgula 7 6 7 3" xfId="5259" xr:uid="{00000000-0005-0000-0000-000000590000}"/>
    <cellStyle name="Vírgula 7 6 7 3 2" xfId="11204" xr:uid="{00000000-0005-0000-0000-000001590000}"/>
    <cellStyle name="Vírgula 7 6 7 3 2 2" xfId="22258" xr:uid="{00000000-0005-0000-0000-000002590000}"/>
    <cellStyle name="Vírgula 7 6 7 3 3" xfId="11681" xr:uid="{00000000-0005-0000-0000-000003590000}"/>
    <cellStyle name="Vírgula 7 6 7 3 4" xfId="18294" xr:uid="{00000000-0005-0000-0000-000004590000}"/>
    <cellStyle name="Vírgula 7 6 7 4" xfId="10962" xr:uid="{00000000-0005-0000-0000-000005590000}"/>
    <cellStyle name="Vírgula 7 6 7 4 2" xfId="14920" xr:uid="{00000000-0005-0000-0000-000006590000}"/>
    <cellStyle name="Vírgula 7 6 7 4 3" xfId="13594" xr:uid="{00000000-0005-0000-0000-000007590000}"/>
    <cellStyle name="Vírgula 7 6 7 4 4" xfId="20158" xr:uid="{00000000-0005-0000-0000-000008590000}"/>
    <cellStyle name="Vírgula 7 6 7 5" xfId="16134" xr:uid="{00000000-0005-0000-0000-000009590000}"/>
    <cellStyle name="Vírgula 7 6 8" xfId="3833" xr:uid="{00000000-0005-0000-0000-00000A590000}"/>
    <cellStyle name="Vírgula 7 6 8 2" xfId="5975" xr:uid="{00000000-0005-0000-0000-00000B590000}"/>
    <cellStyle name="Vírgula 7 6 8 2 2" xfId="10977" xr:uid="{00000000-0005-0000-0000-00000C590000}"/>
    <cellStyle name="Vírgula 7 6 8 2 2 2" xfId="22969" xr:uid="{00000000-0005-0000-0000-00000D590000}"/>
    <cellStyle name="Vírgula 7 6 8 2 3" xfId="12919" xr:uid="{00000000-0005-0000-0000-00000E590000}"/>
    <cellStyle name="Vírgula 7 6 8 2 4" xfId="19010" xr:uid="{00000000-0005-0000-0000-00000F590000}"/>
    <cellStyle name="Vírgula 7 6 8 3" xfId="12324" xr:uid="{00000000-0005-0000-0000-000010590000}"/>
    <cellStyle name="Vírgula 7 6 8 3 2" xfId="15381" xr:uid="{00000000-0005-0000-0000-000011590000}"/>
    <cellStyle name="Vírgula 7 6 8 3 3" xfId="13654" xr:uid="{00000000-0005-0000-0000-000012590000}"/>
    <cellStyle name="Vírgula 7 6 8 3 4" xfId="20895" xr:uid="{00000000-0005-0000-0000-000013590000}"/>
    <cellStyle name="Vírgula 7 6 8 4" xfId="16875" xr:uid="{00000000-0005-0000-0000-000014590000}"/>
    <cellStyle name="Vírgula 7 6 9" xfId="6709" xr:uid="{00000000-0005-0000-0000-000015590000}"/>
    <cellStyle name="Vírgula 7 6 9 2" xfId="11833" xr:uid="{00000000-0005-0000-0000-000016590000}"/>
    <cellStyle name="Vírgula 7 6 9 2 2" xfId="15095" xr:uid="{00000000-0005-0000-0000-000017590000}"/>
    <cellStyle name="Vírgula 7 6 9 2 3" xfId="13759" xr:uid="{00000000-0005-0000-0000-000018590000}"/>
    <cellStyle name="Vírgula 7 6 9 2 4" xfId="23687" xr:uid="{00000000-0005-0000-0000-000019590000}"/>
    <cellStyle name="Vírgula 7 6 9 3" xfId="11660" xr:uid="{00000000-0005-0000-0000-00001A590000}"/>
    <cellStyle name="Vírgula 7 6 9 4" xfId="12463" xr:uid="{00000000-0005-0000-0000-00001B590000}"/>
    <cellStyle name="Vírgula 7 6 9 5" xfId="19744" xr:uid="{00000000-0005-0000-0000-00001C590000}"/>
    <cellStyle name="Vírgula 7 7" xfId="631" xr:uid="{00000000-0005-0000-0000-00001D590000}"/>
    <cellStyle name="Vírgula 7 7 2" xfId="917" xr:uid="{00000000-0005-0000-0000-00001E590000}"/>
    <cellStyle name="Vírgula 7 7 2 2" xfId="3202" xr:uid="{00000000-0005-0000-0000-00001F590000}"/>
    <cellStyle name="Vírgula 7 7 2 2 2" xfId="4146" xr:uid="{00000000-0005-0000-0000-000020590000}"/>
    <cellStyle name="Vírgula 7 7 2 2 2 2" xfId="6602" xr:uid="{00000000-0005-0000-0000-000021590000}"/>
    <cellStyle name="Vírgula 7 7 2 2 2 2 2" xfId="23584" xr:uid="{00000000-0005-0000-0000-000022590000}"/>
    <cellStyle name="Vírgula 7 7 2 2 2 2 3" xfId="19637" xr:uid="{00000000-0005-0000-0000-000023590000}"/>
    <cellStyle name="Vírgula 7 7 2 2 2 3" xfId="21194" xr:uid="{00000000-0005-0000-0000-000024590000}"/>
    <cellStyle name="Vírgula 7 7 2 2 2 4" xfId="17186" xr:uid="{00000000-0005-0000-0000-000025590000}"/>
    <cellStyle name="Vírgula 7 7 2 2 3" xfId="5371" xr:uid="{00000000-0005-0000-0000-000026590000}"/>
    <cellStyle name="Vírgula 7 7 2 2 3 2" xfId="22370" xr:uid="{00000000-0005-0000-0000-000027590000}"/>
    <cellStyle name="Vírgula 7 7 2 2 3 3" xfId="18406" xr:uid="{00000000-0005-0000-0000-000028590000}"/>
    <cellStyle name="Vírgula 7 7 2 2 4" xfId="10533" xr:uid="{00000000-0005-0000-0000-000029590000}"/>
    <cellStyle name="Vírgula 7 7 2 2 4 2" xfId="20270" xr:uid="{00000000-0005-0000-0000-00002A590000}"/>
    <cellStyle name="Vírgula 7 7 2 2 5" xfId="16246" xr:uid="{00000000-0005-0000-0000-00002B590000}"/>
    <cellStyle name="Vírgula 7 7 2 3" xfId="3951" xr:uid="{00000000-0005-0000-0000-00002C590000}"/>
    <cellStyle name="Vírgula 7 7 2 3 2" xfId="6092" xr:uid="{00000000-0005-0000-0000-00002D590000}"/>
    <cellStyle name="Vírgula 7 7 2 3 2 2" xfId="23081" xr:uid="{00000000-0005-0000-0000-00002E590000}"/>
    <cellStyle name="Vírgula 7 7 2 3 2 3" xfId="19127" xr:uid="{00000000-0005-0000-0000-00002F590000}"/>
    <cellStyle name="Vírgula 7 7 2 3 3" xfId="21008" xr:uid="{00000000-0005-0000-0000-000030590000}"/>
    <cellStyle name="Vírgula 7 7 2 3 4" xfId="16993" xr:uid="{00000000-0005-0000-0000-000031590000}"/>
    <cellStyle name="Vírgula 7 7 2 4" xfId="6787" xr:uid="{00000000-0005-0000-0000-000032590000}"/>
    <cellStyle name="Vírgula 7 7 2 4 2" xfId="23760" xr:uid="{00000000-0005-0000-0000-000033590000}"/>
    <cellStyle name="Vírgula 7 7 2 4 3" xfId="19822" xr:uid="{00000000-0005-0000-0000-000034590000}"/>
    <cellStyle name="Vírgula 7 7 2 5" xfId="5105" xr:uid="{00000000-0005-0000-0000-000035590000}"/>
    <cellStyle name="Vírgula 7 7 2 5 2" xfId="22113" xr:uid="{00000000-0005-0000-0000-000036590000}"/>
    <cellStyle name="Vírgula 7 7 2 5 3" xfId="18140" xr:uid="{00000000-0005-0000-0000-000037590000}"/>
    <cellStyle name="Vírgula 7 7 2 6" xfId="9652" xr:uid="{00000000-0005-0000-0000-000038590000}"/>
    <cellStyle name="Vírgula 7 7 2 6 2" xfId="20013" xr:uid="{00000000-0005-0000-0000-000039590000}"/>
    <cellStyle name="Vírgula 7 7 2 7" xfId="15973" xr:uid="{00000000-0005-0000-0000-00003A590000}"/>
    <cellStyle name="Vírgula 7 7 3" xfId="3092" xr:uid="{00000000-0005-0000-0000-00003B590000}"/>
    <cellStyle name="Vírgula 7 7 3 2" xfId="4405" xr:uid="{00000000-0005-0000-0000-00003C590000}"/>
    <cellStyle name="Vírgula 7 7 3 2 2" xfId="6532" xr:uid="{00000000-0005-0000-0000-00003D590000}"/>
    <cellStyle name="Vírgula 7 7 3 2 2 2" xfId="23514" xr:uid="{00000000-0005-0000-0000-00003E590000}"/>
    <cellStyle name="Vírgula 7 7 3 2 2 3" xfId="19567" xr:uid="{00000000-0005-0000-0000-00003F590000}"/>
    <cellStyle name="Vírgula 7 7 3 2 3" xfId="21448" xr:uid="{00000000-0005-0000-0000-000040590000}"/>
    <cellStyle name="Vírgula 7 7 3 2 4" xfId="17442" xr:uid="{00000000-0005-0000-0000-000041590000}"/>
    <cellStyle name="Vírgula 7 7 3 3" xfId="5261" xr:uid="{00000000-0005-0000-0000-000042590000}"/>
    <cellStyle name="Vírgula 7 7 3 3 2" xfId="22260" xr:uid="{00000000-0005-0000-0000-000043590000}"/>
    <cellStyle name="Vírgula 7 7 3 3 3" xfId="18296" xr:uid="{00000000-0005-0000-0000-000044590000}"/>
    <cellStyle name="Vírgula 7 7 3 4" xfId="10532" xr:uid="{00000000-0005-0000-0000-000045590000}"/>
    <cellStyle name="Vírgula 7 7 3 4 2" xfId="20160" xr:uid="{00000000-0005-0000-0000-000046590000}"/>
    <cellStyle name="Vírgula 7 7 3 5" xfId="16136" xr:uid="{00000000-0005-0000-0000-000047590000}"/>
    <cellStyle name="Vírgula 7 7 4" xfId="3835" xr:uid="{00000000-0005-0000-0000-000048590000}"/>
    <cellStyle name="Vírgula 7 7 4 2" xfId="5977" xr:uid="{00000000-0005-0000-0000-000049590000}"/>
    <cellStyle name="Vírgula 7 7 4 2 2" xfId="22971" xr:uid="{00000000-0005-0000-0000-00004A590000}"/>
    <cellStyle name="Vírgula 7 7 4 2 3" xfId="19012" xr:uid="{00000000-0005-0000-0000-00004B590000}"/>
    <cellStyle name="Vírgula 7 7 4 3" xfId="20897" xr:uid="{00000000-0005-0000-0000-00004C590000}"/>
    <cellStyle name="Vírgula 7 7 4 4" xfId="16877" xr:uid="{00000000-0005-0000-0000-00004D590000}"/>
    <cellStyle name="Vírgula 7 7 5" xfId="6711" xr:uid="{00000000-0005-0000-0000-00004E590000}"/>
    <cellStyle name="Vírgula 7 7 5 2" xfId="23689" xr:uid="{00000000-0005-0000-0000-00004F590000}"/>
    <cellStyle name="Vírgula 7 7 5 3" xfId="19746" xr:uid="{00000000-0005-0000-0000-000050590000}"/>
    <cellStyle name="Vírgula 7 7 6" xfId="5029" xr:uid="{00000000-0005-0000-0000-000051590000}"/>
    <cellStyle name="Vírgula 7 7 6 2" xfId="22042" xr:uid="{00000000-0005-0000-0000-000052590000}"/>
    <cellStyle name="Vírgula 7 7 6 3" xfId="18064" xr:uid="{00000000-0005-0000-0000-000053590000}"/>
    <cellStyle name="Vírgula 7 7 7" xfId="9199" xr:uid="{00000000-0005-0000-0000-000054590000}"/>
    <cellStyle name="Vírgula 7 7 7 2" xfId="19943" xr:uid="{00000000-0005-0000-0000-000055590000}"/>
    <cellStyle name="Vírgula 7 7 8" xfId="15898" xr:uid="{00000000-0005-0000-0000-000056590000}"/>
    <cellStyle name="Vírgula 7 8" xfId="918" xr:uid="{00000000-0005-0000-0000-000057590000}"/>
    <cellStyle name="Vírgula 7 8 2" xfId="1087" xr:uid="{00000000-0005-0000-0000-000058590000}"/>
    <cellStyle name="Vírgula 7 8 2 2" xfId="2441" xr:uid="{00000000-0005-0000-0000-000059590000}"/>
    <cellStyle name="Vírgula 7 8 2 2 2" xfId="3570" xr:uid="{00000000-0005-0000-0000-00005A590000}"/>
    <cellStyle name="Vírgula 7 8 2 2 2 2" xfId="4854" xr:uid="{00000000-0005-0000-0000-00005B590000}"/>
    <cellStyle name="Vírgula 7 8 2 2 2 2 2" xfId="21894" xr:uid="{00000000-0005-0000-0000-00005C590000}"/>
    <cellStyle name="Vírgula 7 8 2 2 2 2 3" xfId="17889" xr:uid="{00000000-0005-0000-0000-00005D590000}"/>
    <cellStyle name="Vírgula 7 8 2 2 2 3" xfId="5739" xr:uid="{00000000-0005-0000-0000-00005E590000}"/>
    <cellStyle name="Vírgula 7 8 2 2 2 3 2" xfId="22738" xr:uid="{00000000-0005-0000-0000-00005F590000}"/>
    <cellStyle name="Vírgula 7 8 2 2 2 3 3" xfId="18774" xr:uid="{00000000-0005-0000-0000-000060590000}"/>
    <cellStyle name="Vírgula 7 8 2 2 2 4" xfId="20638" xr:uid="{00000000-0005-0000-0000-000061590000}"/>
    <cellStyle name="Vírgula 7 8 2 2 2 5" xfId="16614" xr:uid="{00000000-0005-0000-0000-000062590000}"/>
    <cellStyle name="Vírgula 7 8 2 2 3" xfId="4139" xr:uid="{00000000-0005-0000-0000-000063590000}"/>
    <cellStyle name="Vírgula 7 8 2 2 3 2" xfId="6469" xr:uid="{00000000-0005-0000-0000-000064590000}"/>
    <cellStyle name="Vírgula 7 8 2 2 3 2 2" xfId="23451" xr:uid="{00000000-0005-0000-0000-000065590000}"/>
    <cellStyle name="Vírgula 7 8 2 2 3 2 3" xfId="19504" xr:uid="{00000000-0005-0000-0000-000066590000}"/>
    <cellStyle name="Vírgula 7 8 2 2 3 3" xfId="21187" xr:uid="{00000000-0005-0000-0000-000067590000}"/>
    <cellStyle name="Vírgula 7 8 2 2 3 4" xfId="17179" xr:uid="{00000000-0005-0000-0000-000068590000}"/>
    <cellStyle name="Vírgula 7 8 2 2 4" xfId="10535" xr:uid="{00000000-0005-0000-0000-000069590000}"/>
    <cellStyle name="Vírgula 7 8 2 3" xfId="3219" xr:uid="{00000000-0005-0000-0000-00006A590000}"/>
    <cellStyle name="Vírgula 7 8 2 3 2" xfId="3982" xr:uid="{00000000-0005-0000-0000-00006B590000}"/>
    <cellStyle name="Vírgula 7 8 2 3 2 2" xfId="6613" xr:uid="{00000000-0005-0000-0000-00006C590000}"/>
    <cellStyle name="Vírgula 7 8 2 3 2 2 2" xfId="23595" xr:uid="{00000000-0005-0000-0000-00006D590000}"/>
    <cellStyle name="Vírgula 7 8 2 3 2 2 3" xfId="19648" xr:uid="{00000000-0005-0000-0000-00006E590000}"/>
    <cellStyle name="Vírgula 7 8 2 3 2 3" xfId="21038" xr:uid="{00000000-0005-0000-0000-00006F590000}"/>
    <cellStyle name="Vírgula 7 8 2 3 2 4" xfId="17024" xr:uid="{00000000-0005-0000-0000-000070590000}"/>
    <cellStyle name="Vírgula 7 8 2 3 3" xfId="5388" xr:uid="{00000000-0005-0000-0000-000071590000}"/>
    <cellStyle name="Vírgula 7 8 2 3 3 2" xfId="22387" xr:uid="{00000000-0005-0000-0000-000072590000}"/>
    <cellStyle name="Vírgula 7 8 2 3 3 3" xfId="18423" xr:uid="{00000000-0005-0000-0000-000073590000}"/>
    <cellStyle name="Vírgula 7 8 2 3 4" xfId="20287" xr:uid="{00000000-0005-0000-0000-000074590000}"/>
    <cellStyle name="Vírgula 7 8 2 3 5" xfId="16263" xr:uid="{00000000-0005-0000-0000-000075590000}"/>
    <cellStyle name="Vírgula 7 8 2 4" xfId="3996" xr:uid="{00000000-0005-0000-0000-000076590000}"/>
    <cellStyle name="Vírgula 7 8 2 4 2" xfId="6112" xr:uid="{00000000-0005-0000-0000-000077590000}"/>
    <cellStyle name="Vírgula 7 8 2 4 2 2" xfId="23100" xr:uid="{00000000-0005-0000-0000-000078590000}"/>
    <cellStyle name="Vírgula 7 8 2 4 2 3" xfId="19147" xr:uid="{00000000-0005-0000-0000-000079590000}"/>
    <cellStyle name="Vírgula 7 8 2 4 3" xfId="21052" xr:uid="{00000000-0005-0000-0000-00007A590000}"/>
    <cellStyle name="Vírgula 7 8 2 4 4" xfId="17038" xr:uid="{00000000-0005-0000-0000-00007B590000}"/>
    <cellStyle name="Vírgula 7 8 2 5" xfId="6799" xr:uid="{00000000-0005-0000-0000-00007C590000}"/>
    <cellStyle name="Vírgula 7 8 2 5 2" xfId="23771" xr:uid="{00000000-0005-0000-0000-00007D590000}"/>
    <cellStyle name="Vírgula 7 8 2 5 3" xfId="19834" xr:uid="{00000000-0005-0000-0000-00007E590000}"/>
    <cellStyle name="Vírgula 7 8 2 6" xfId="5117" xr:uid="{00000000-0005-0000-0000-00007F590000}"/>
    <cellStyle name="Vírgula 7 8 2 6 2" xfId="22124" xr:uid="{00000000-0005-0000-0000-000080590000}"/>
    <cellStyle name="Vírgula 7 8 2 6 3" xfId="18152" xr:uid="{00000000-0005-0000-0000-000081590000}"/>
    <cellStyle name="Vírgula 7 8 2 7" xfId="9753" xr:uid="{00000000-0005-0000-0000-000082590000}"/>
    <cellStyle name="Vírgula 7 8 2 7 2" xfId="20024" xr:uid="{00000000-0005-0000-0000-000083590000}"/>
    <cellStyle name="Vírgula 7 8 2 8" xfId="15987" xr:uid="{00000000-0005-0000-0000-000084590000}"/>
    <cellStyle name="Vírgula 7 8 3" xfId="2440" xr:uid="{00000000-0005-0000-0000-000085590000}"/>
    <cellStyle name="Vírgula 7 8 3 2" xfId="2890" xr:uid="{00000000-0005-0000-0000-000086590000}"/>
    <cellStyle name="Vírgula 7 8 3 2 2" xfId="3667" xr:uid="{00000000-0005-0000-0000-000087590000}"/>
    <cellStyle name="Vírgula 7 8 3 2 2 2" xfId="4945" xr:uid="{00000000-0005-0000-0000-000088590000}"/>
    <cellStyle name="Vírgula 7 8 3 2 2 2 2" xfId="21985" xr:uid="{00000000-0005-0000-0000-000089590000}"/>
    <cellStyle name="Vírgula 7 8 3 2 2 2 3" xfId="17980" xr:uid="{00000000-0005-0000-0000-00008A590000}"/>
    <cellStyle name="Vírgula 7 8 3 2 2 3" xfId="5836" xr:uid="{00000000-0005-0000-0000-00008B590000}"/>
    <cellStyle name="Vírgula 7 8 3 2 2 3 2" xfId="22835" xr:uid="{00000000-0005-0000-0000-00008C590000}"/>
    <cellStyle name="Vírgula 7 8 3 2 2 3 3" xfId="18871" xr:uid="{00000000-0005-0000-0000-00008D590000}"/>
    <cellStyle name="Vírgula 7 8 3 2 2 4" xfId="20735" xr:uid="{00000000-0005-0000-0000-00008E590000}"/>
    <cellStyle name="Vírgula 7 8 3 2 2 5" xfId="16711" xr:uid="{00000000-0005-0000-0000-00008F590000}"/>
    <cellStyle name="Vírgula 7 8 3 3" xfId="2823" xr:uid="{00000000-0005-0000-0000-000090590000}"/>
    <cellStyle name="Vírgula 7 8 3 3 2" xfId="3651" xr:uid="{00000000-0005-0000-0000-000091590000}"/>
    <cellStyle name="Vírgula 7 8 3 3 2 2" xfId="4929" xr:uid="{00000000-0005-0000-0000-000092590000}"/>
    <cellStyle name="Vírgula 7 8 3 3 2 2 2" xfId="21969" xr:uid="{00000000-0005-0000-0000-000093590000}"/>
    <cellStyle name="Vírgula 7 8 3 3 2 2 3" xfId="17964" xr:uid="{00000000-0005-0000-0000-000094590000}"/>
    <cellStyle name="Vírgula 7 8 3 3 2 3" xfId="5820" xr:uid="{00000000-0005-0000-0000-000095590000}"/>
    <cellStyle name="Vírgula 7 8 3 3 2 3 2" xfId="22819" xr:uid="{00000000-0005-0000-0000-000096590000}"/>
    <cellStyle name="Vírgula 7 8 3 3 2 3 3" xfId="18855" xr:uid="{00000000-0005-0000-0000-000097590000}"/>
    <cellStyle name="Vírgula 7 8 3 3 2 4" xfId="20719" xr:uid="{00000000-0005-0000-0000-000098590000}"/>
    <cellStyle name="Vírgula 7 8 3 3 2 5" xfId="16695" xr:uid="{00000000-0005-0000-0000-000099590000}"/>
    <cellStyle name="Vírgula 7 8 3 4" xfId="2668" xr:uid="{00000000-0005-0000-0000-00009A590000}"/>
    <cellStyle name="Vírgula 7 8 3 4 2" xfId="3623" xr:uid="{00000000-0005-0000-0000-00009B590000}"/>
    <cellStyle name="Vírgula 7 8 3 4 2 2" xfId="4901" xr:uid="{00000000-0005-0000-0000-00009C590000}"/>
    <cellStyle name="Vírgula 7 8 3 4 2 2 2" xfId="21941" xr:uid="{00000000-0005-0000-0000-00009D590000}"/>
    <cellStyle name="Vírgula 7 8 3 4 2 2 3" xfId="17936" xr:uid="{00000000-0005-0000-0000-00009E590000}"/>
    <cellStyle name="Vírgula 7 8 3 4 2 3" xfId="5792" xr:uid="{00000000-0005-0000-0000-00009F590000}"/>
    <cellStyle name="Vírgula 7 8 3 4 2 3 2" xfId="22791" xr:uid="{00000000-0005-0000-0000-0000A0590000}"/>
    <cellStyle name="Vírgula 7 8 3 4 2 3 3" xfId="18827" xr:uid="{00000000-0005-0000-0000-0000A1590000}"/>
    <cellStyle name="Vírgula 7 8 3 4 2 4" xfId="20691" xr:uid="{00000000-0005-0000-0000-0000A2590000}"/>
    <cellStyle name="Vírgula 7 8 3 4 2 5" xfId="16667" xr:uid="{00000000-0005-0000-0000-0000A3590000}"/>
    <cellStyle name="Vírgula 7 8 3 5" xfId="2601" xr:uid="{00000000-0005-0000-0000-0000A4590000}"/>
    <cellStyle name="Vírgula 7 8 3 5 2" xfId="3607" xr:uid="{00000000-0005-0000-0000-0000A5590000}"/>
    <cellStyle name="Vírgula 7 8 3 5 2 2" xfId="4885" xr:uid="{00000000-0005-0000-0000-0000A6590000}"/>
    <cellStyle name="Vírgula 7 8 3 5 2 2 2" xfId="21925" xr:uid="{00000000-0005-0000-0000-0000A7590000}"/>
    <cellStyle name="Vírgula 7 8 3 5 2 2 3" xfId="17920" xr:uid="{00000000-0005-0000-0000-0000A8590000}"/>
    <cellStyle name="Vírgula 7 8 3 5 2 3" xfId="5776" xr:uid="{00000000-0005-0000-0000-0000A9590000}"/>
    <cellStyle name="Vírgula 7 8 3 5 2 3 2" xfId="22775" xr:uid="{00000000-0005-0000-0000-0000AA590000}"/>
    <cellStyle name="Vírgula 7 8 3 5 2 3 3" xfId="18811" xr:uid="{00000000-0005-0000-0000-0000AB590000}"/>
    <cellStyle name="Vírgula 7 8 3 5 2 4" xfId="20675" xr:uid="{00000000-0005-0000-0000-0000AC590000}"/>
    <cellStyle name="Vírgula 7 8 3 5 2 5" xfId="16651" xr:uid="{00000000-0005-0000-0000-0000AD590000}"/>
    <cellStyle name="Vírgula 7 8 3 6" xfId="3569" xr:uid="{00000000-0005-0000-0000-0000AE590000}"/>
    <cellStyle name="Vírgula 7 8 3 6 2" xfId="4853" xr:uid="{00000000-0005-0000-0000-0000AF590000}"/>
    <cellStyle name="Vírgula 7 8 3 6 2 2" xfId="21893" xr:uid="{00000000-0005-0000-0000-0000B0590000}"/>
    <cellStyle name="Vírgula 7 8 3 6 2 3" xfId="17888" xr:uid="{00000000-0005-0000-0000-0000B1590000}"/>
    <cellStyle name="Vírgula 7 8 3 6 3" xfId="5738" xr:uid="{00000000-0005-0000-0000-0000B2590000}"/>
    <cellStyle name="Vírgula 7 8 3 6 3 2" xfId="22737" xr:uid="{00000000-0005-0000-0000-0000B3590000}"/>
    <cellStyle name="Vírgula 7 8 3 6 3 3" xfId="18773" xr:uid="{00000000-0005-0000-0000-0000B4590000}"/>
    <cellStyle name="Vírgula 7 8 3 6 4" xfId="20637" xr:uid="{00000000-0005-0000-0000-0000B5590000}"/>
    <cellStyle name="Vírgula 7 8 3 6 5" xfId="16613" xr:uid="{00000000-0005-0000-0000-0000B6590000}"/>
    <cellStyle name="Vírgula 7 8 3 7" xfId="4215" xr:uid="{00000000-0005-0000-0000-0000B7590000}"/>
    <cellStyle name="Vírgula 7 8 3 7 2" xfId="6468" xr:uid="{00000000-0005-0000-0000-0000B8590000}"/>
    <cellStyle name="Vírgula 7 8 3 7 2 2" xfId="23450" xr:uid="{00000000-0005-0000-0000-0000B9590000}"/>
    <cellStyle name="Vírgula 7 8 3 7 2 3" xfId="19503" xr:uid="{00000000-0005-0000-0000-0000BA590000}"/>
    <cellStyle name="Vírgula 7 8 3 7 3" xfId="21261" xr:uid="{00000000-0005-0000-0000-0000BB590000}"/>
    <cellStyle name="Vírgula 7 8 3 7 4" xfId="17254" xr:uid="{00000000-0005-0000-0000-0000BC590000}"/>
    <cellStyle name="Vírgula 7 8 3 8" xfId="10534" xr:uid="{00000000-0005-0000-0000-0000BD590000}"/>
    <cellStyle name="Vírgula 7 8 4" xfId="3203" xr:uid="{00000000-0005-0000-0000-0000BE590000}"/>
    <cellStyle name="Vírgula 7 8 4 2" xfId="3737" xr:uid="{00000000-0005-0000-0000-0000BF590000}"/>
    <cellStyle name="Vírgula 7 8 4 2 2" xfId="6603" xr:uid="{00000000-0005-0000-0000-0000C0590000}"/>
    <cellStyle name="Vírgula 7 8 4 2 2 2" xfId="23585" xr:uid="{00000000-0005-0000-0000-0000C1590000}"/>
    <cellStyle name="Vírgula 7 8 4 2 2 3" xfId="19638" xr:uid="{00000000-0005-0000-0000-0000C2590000}"/>
    <cellStyle name="Vírgula 7 8 4 2 3" xfId="20802" xr:uid="{00000000-0005-0000-0000-0000C3590000}"/>
    <cellStyle name="Vírgula 7 8 4 2 4" xfId="16781" xr:uid="{00000000-0005-0000-0000-0000C4590000}"/>
    <cellStyle name="Vírgula 7 8 4 3" xfId="5372" xr:uid="{00000000-0005-0000-0000-0000C5590000}"/>
    <cellStyle name="Vírgula 7 8 4 3 2" xfId="12477" xr:uid="{00000000-0005-0000-0000-0000C6590000}"/>
    <cellStyle name="Vírgula 7 8 4 3 2 2" xfId="22371" xr:uid="{00000000-0005-0000-0000-0000C7590000}"/>
    <cellStyle name="Vírgula 7 8 4 3 3" xfId="11194" xr:uid="{00000000-0005-0000-0000-0000C8590000}"/>
    <cellStyle name="Vírgula 7 8 4 3 4" xfId="18407" xr:uid="{00000000-0005-0000-0000-0000C9590000}"/>
    <cellStyle name="Vírgula 7 8 4 4" xfId="20271" xr:uid="{00000000-0005-0000-0000-0000CA590000}"/>
    <cellStyle name="Vírgula 7 8 4 5" xfId="16247" xr:uid="{00000000-0005-0000-0000-0000CB590000}"/>
    <cellStyle name="Vírgula 7 8 5" xfId="3952" xr:uid="{00000000-0005-0000-0000-0000CC590000}"/>
    <cellStyle name="Vírgula 7 8 5 2" xfId="6093" xr:uid="{00000000-0005-0000-0000-0000CD590000}"/>
    <cellStyle name="Vírgula 7 8 5 2 2" xfId="10978" xr:uid="{00000000-0005-0000-0000-0000CE590000}"/>
    <cellStyle name="Vírgula 7 8 5 2 2 2" xfId="23082" xr:uid="{00000000-0005-0000-0000-0000CF590000}"/>
    <cellStyle name="Vírgula 7 8 5 2 3" xfId="11272" xr:uid="{00000000-0005-0000-0000-0000D0590000}"/>
    <cellStyle name="Vírgula 7 8 5 2 4" xfId="19128" xr:uid="{00000000-0005-0000-0000-0000D1590000}"/>
    <cellStyle name="Vírgula 7 8 5 3" xfId="21009" xr:uid="{00000000-0005-0000-0000-0000D2590000}"/>
    <cellStyle name="Vírgula 7 8 5 4" xfId="16994" xr:uid="{00000000-0005-0000-0000-0000D3590000}"/>
    <cellStyle name="Vírgula 7 8 6" xfId="6788" xr:uid="{00000000-0005-0000-0000-0000D4590000}"/>
    <cellStyle name="Vírgula 7 8 6 2" xfId="23761" xr:uid="{00000000-0005-0000-0000-0000D5590000}"/>
    <cellStyle name="Vírgula 7 8 6 3" xfId="19823" xr:uid="{00000000-0005-0000-0000-0000D6590000}"/>
    <cellStyle name="Vírgula 7 8 7" xfId="5106" xr:uid="{00000000-0005-0000-0000-0000D7590000}"/>
    <cellStyle name="Vírgula 7 8 7 2" xfId="22114" xr:uid="{00000000-0005-0000-0000-0000D8590000}"/>
    <cellStyle name="Vírgula 7 8 7 3" xfId="18141" xr:uid="{00000000-0005-0000-0000-0000D9590000}"/>
    <cellStyle name="Vírgula 7 8 8" xfId="20014" xr:uid="{00000000-0005-0000-0000-0000DA590000}"/>
    <cellStyle name="Vírgula 7 8 9" xfId="15974" xr:uid="{00000000-0005-0000-0000-0000DB590000}"/>
    <cellStyle name="Vírgula 7 9" xfId="1088" xr:uid="{00000000-0005-0000-0000-0000DC590000}"/>
    <cellStyle name="Vírgula 7 9 2" xfId="2443" xr:uid="{00000000-0005-0000-0000-0000DD590000}"/>
    <cellStyle name="Vírgula 7 9 2 2" xfId="3572" xr:uid="{00000000-0005-0000-0000-0000DE590000}"/>
    <cellStyle name="Vírgula 7 9 2 2 2" xfId="4856" xr:uid="{00000000-0005-0000-0000-0000DF590000}"/>
    <cellStyle name="Vírgula 7 9 2 2 2 2" xfId="21896" xr:uid="{00000000-0005-0000-0000-0000E0590000}"/>
    <cellStyle name="Vírgula 7 9 2 2 2 3" xfId="17891" xr:uid="{00000000-0005-0000-0000-0000E1590000}"/>
    <cellStyle name="Vírgula 7 9 2 2 3" xfId="5741" xr:uid="{00000000-0005-0000-0000-0000E2590000}"/>
    <cellStyle name="Vírgula 7 9 2 2 3 2" xfId="22740" xr:uid="{00000000-0005-0000-0000-0000E3590000}"/>
    <cellStyle name="Vírgula 7 9 2 2 3 3" xfId="18776" xr:uid="{00000000-0005-0000-0000-0000E4590000}"/>
    <cellStyle name="Vírgula 7 9 2 2 4" xfId="10537" xr:uid="{00000000-0005-0000-0000-0000E5590000}"/>
    <cellStyle name="Vírgula 7 9 2 2 4 2" xfId="20640" xr:uid="{00000000-0005-0000-0000-0000E6590000}"/>
    <cellStyle name="Vírgula 7 9 2 2 5" xfId="16616" xr:uid="{00000000-0005-0000-0000-0000E7590000}"/>
    <cellStyle name="Vírgula 7 9 2 3" xfId="4083" xr:uid="{00000000-0005-0000-0000-0000E8590000}"/>
    <cellStyle name="Vírgula 7 9 2 3 2" xfId="6471" xr:uid="{00000000-0005-0000-0000-0000E9590000}"/>
    <cellStyle name="Vírgula 7 9 2 3 2 2" xfId="23453" xr:uid="{00000000-0005-0000-0000-0000EA590000}"/>
    <cellStyle name="Vírgula 7 9 2 3 2 3" xfId="19506" xr:uid="{00000000-0005-0000-0000-0000EB590000}"/>
    <cellStyle name="Vírgula 7 9 2 3 3" xfId="21131" xr:uid="{00000000-0005-0000-0000-0000EC590000}"/>
    <cellStyle name="Vírgula 7 9 2 3 4" xfId="17123" xr:uid="{00000000-0005-0000-0000-0000ED590000}"/>
    <cellStyle name="Vírgula 7 9 2 4" xfId="9604" xr:uid="{00000000-0005-0000-0000-0000EE590000}"/>
    <cellStyle name="Vírgula 7 9 3" xfId="2442" xr:uid="{00000000-0005-0000-0000-0000EF590000}"/>
    <cellStyle name="Vírgula 7 9 3 2" xfId="2891" xr:uid="{00000000-0005-0000-0000-0000F0590000}"/>
    <cellStyle name="Vírgula 7 9 3 2 2" xfId="3668" xr:uid="{00000000-0005-0000-0000-0000F1590000}"/>
    <cellStyle name="Vírgula 7 9 3 2 2 2" xfId="4946" xr:uid="{00000000-0005-0000-0000-0000F2590000}"/>
    <cellStyle name="Vírgula 7 9 3 2 2 2 2" xfId="21986" xr:uid="{00000000-0005-0000-0000-0000F3590000}"/>
    <cellStyle name="Vírgula 7 9 3 2 2 2 3" xfId="17981" xr:uid="{00000000-0005-0000-0000-0000F4590000}"/>
    <cellStyle name="Vírgula 7 9 3 2 2 3" xfId="5837" xr:uid="{00000000-0005-0000-0000-0000F5590000}"/>
    <cellStyle name="Vírgula 7 9 3 2 2 3 2" xfId="22836" xr:uid="{00000000-0005-0000-0000-0000F6590000}"/>
    <cellStyle name="Vírgula 7 9 3 2 2 3 3" xfId="18872" xr:uid="{00000000-0005-0000-0000-0000F7590000}"/>
    <cellStyle name="Vírgula 7 9 3 2 2 4" xfId="20736" xr:uid="{00000000-0005-0000-0000-0000F8590000}"/>
    <cellStyle name="Vírgula 7 9 3 2 2 5" xfId="16712" xr:uid="{00000000-0005-0000-0000-0000F9590000}"/>
    <cellStyle name="Vírgula 7 9 3 3" xfId="2824" xr:uid="{00000000-0005-0000-0000-0000FA590000}"/>
    <cellStyle name="Vírgula 7 9 3 3 2" xfId="3652" xr:uid="{00000000-0005-0000-0000-0000FB590000}"/>
    <cellStyle name="Vírgula 7 9 3 3 2 2" xfId="4930" xr:uid="{00000000-0005-0000-0000-0000FC590000}"/>
    <cellStyle name="Vírgula 7 9 3 3 2 2 2" xfId="21970" xr:uid="{00000000-0005-0000-0000-0000FD590000}"/>
    <cellStyle name="Vírgula 7 9 3 3 2 2 3" xfId="17965" xr:uid="{00000000-0005-0000-0000-0000FE590000}"/>
    <cellStyle name="Vírgula 7 9 3 3 2 3" xfId="5821" xr:uid="{00000000-0005-0000-0000-0000FF590000}"/>
    <cellStyle name="Vírgula 7 9 3 3 2 3 2" xfId="22820" xr:uid="{00000000-0005-0000-0000-0000005A0000}"/>
    <cellStyle name="Vírgula 7 9 3 3 2 3 3" xfId="18856" xr:uid="{00000000-0005-0000-0000-0000015A0000}"/>
    <cellStyle name="Vírgula 7 9 3 3 2 4" xfId="20720" xr:uid="{00000000-0005-0000-0000-0000025A0000}"/>
    <cellStyle name="Vírgula 7 9 3 3 2 5" xfId="16696" xr:uid="{00000000-0005-0000-0000-0000035A0000}"/>
    <cellStyle name="Vírgula 7 9 3 4" xfId="2669" xr:uid="{00000000-0005-0000-0000-0000045A0000}"/>
    <cellStyle name="Vírgula 7 9 3 4 2" xfId="3624" xr:uid="{00000000-0005-0000-0000-0000055A0000}"/>
    <cellStyle name="Vírgula 7 9 3 4 2 2" xfId="4902" xr:uid="{00000000-0005-0000-0000-0000065A0000}"/>
    <cellStyle name="Vírgula 7 9 3 4 2 2 2" xfId="21942" xr:uid="{00000000-0005-0000-0000-0000075A0000}"/>
    <cellStyle name="Vírgula 7 9 3 4 2 2 3" xfId="17937" xr:uid="{00000000-0005-0000-0000-0000085A0000}"/>
    <cellStyle name="Vírgula 7 9 3 4 2 3" xfId="5793" xr:uid="{00000000-0005-0000-0000-0000095A0000}"/>
    <cellStyle name="Vírgula 7 9 3 4 2 3 2" xfId="22792" xr:uid="{00000000-0005-0000-0000-00000A5A0000}"/>
    <cellStyle name="Vírgula 7 9 3 4 2 3 3" xfId="18828" xr:uid="{00000000-0005-0000-0000-00000B5A0000}"/>
    <cellStyle name="Vírgula 7 9 3 4 2 4" xfId="20692" xr:uid="{00000000-0005-0000-0000-00000C5A0000}"/>
    <cellStyle name="Vírgula 7 9 3 4 2 5" xfId="16668" xr:uid="{00000000-0005-0000-0000-00000D5A0000}"/>
    <cellStyle name="Vírgula 7 9 3 5" xfId="2602" xr:uid="{00000000-0005-0000-0000-00000E5A0000}"/>
    <cellStyle name="Vírgula 7 9 3 5 2" xfId="3608" xr:uid="{00000000-0005-0000-0000-00000F5A0000}"/>
    <cellStyle name="Vírgula 7 9 3 5 2 2" xfId="4886" xr:uid="{00000000-0005-0000-0000-0000105A0000}"/>
    <cellStyle name="Vírgula 7 9 3 5 2 2 2" xfId="21926" xr:uid="{00000000-0005-0000-0000-0000115A0000}"/>
    <cellStyle name="Vírgula 7 9 3 5 2 2 3" xfId="17921" xr:uid="{00000000-0005-0000-0000-0000125A0000}"/>
    <cellStyle name="Vírgula 7 9 3 5 2 3" xfId="5777" xr:uid="{00000000-0005-0000-0000-0000135A0000}"/>
    <cellStyle name="Vírgula 7 9 3 5 2 3 2" xfId="22776" xr:uid="{00000000-0005-0000-0000-0000145A0000}"/>
    <cellStyle name="Vírgula 7 9 3 5 2 3 3" xfId="18812" xr:uid="{00000000-0005-0000-0000-0000155A0000}"/>
    <cellStyle name="Vírgula 7 9 3 5 2 4" xfId="20676" xr:uid="{00000000-0005-0000-0000-0000165A0000}"/>
    <cellStyle name="Vírgula 7 9 3 5 2 5" xfId="16652" xr:uid="{00000000-0005-0000-0000-0000175A0000}"/>
    <cellStyle name="Vírgula 7 9 3 6" xfId="3571" xr:uid="{00000000-0005-0000-0000-0000185A0000}"/>
    <cellStyle name="Vírgula 7 9 3 6 2" xfId="4855" xr:uid="{00000000-0005-0000-0000-0000195A0000}"/>
    <cellStyle name="Vírgula 7 9 3 6 2 2" xfId="21895" xr:uid="{00000000-0005-0000-0000-00001A5A0000}"/>
    <cellStyle name="Vírgula 7 9 3 6 2 3" xfId="17890" xr:uid="{00000000-0005-0000-0000-00001B5A0000}"/>
    <cellStyle name="Vírgula 7 9 3 6 3" xfId="5740" xr:uid="{00000000-0005-0000-0000-00001C5A0000}"/>
    <cellStyle name="Vírgula 7 9 3 6 3 2" xfId="22739" xr:uid="{00000000-0005-0000-0000-00001D5A0000}"/>
    <cellStyle name="Vírgula 7 9 3 6 3 3" xfId="18775" xr:uid="{00000000-0005-0000-0000-00001E5A0000}"/>
    <cellStyle name="Vírgula 7 9 3 6 4" xfId="20639" xr:uid="{00000000-0005-0000-0000-00001F5A0000}"/>
    <cellStyle name="Vírgula 7 9 3 6 5" xfId="16615" xr:uid="{00000000-0005-0000-0000-0000205A0000}"/>
    <cellStyle name="Vírgula 7 9 3 7" xfId="4068" xr:uid="{00000000-0005-0000-0000-0000215A0000}"/>
    <cellStyle name="Vírgula 7 9 3 7 2" xfId="6470" xr:uid="{00000000-0005-0000-0000-0000225A0000}"/>
    <cellStyle name="Vírgula 7 9 3 7 2 2" xfId="23452" xr:uid="{00000000-0005-0000-0000-0000235A0000}"/>
    <cellStyle name="Vírgula 7 9 3 7 2 3" xfId="19505" xr:uid="{00000000-0005-0000-0000-0000245A0000}"/>
    <cellStyle name="Vírgula 7 9 3 7 3" xfId="21116" xr:uid="{00000000-0005-0000-0000-0000255A0000}"/>
    <cellStyle name="Vírgula 7 9 3 7 4" xfId="17108" xr:uid="{00000000-0005-0000-0000-0000265A0000}"/>
    <cellStyle name="Vírgula 7 9 3 8" xfId="10536" xr:uid="{00000000-0005-0000-0000-0000275A0000}"/>
    <cellStyle name="Vírgula 7 9 4" xfId="3220" xr:uid="{00000000-0005-0000-0000-0000285A0000}"/>
    <cellStyle name="Vírgula 7 9 4 2" xfId="4055" xr:uid="{00000000-0005-0000-0000-0000295A0000}"/>
    <cellStyle name="Vírgula 7 9 4 2 2" xfId="6614" xr:uid="{00000000-0005-0000-0000-00002A5A0000}"/>
    <cellStyle name="Vírgula 7 9 4 2 2 2" xfId="23596" xr:uid="{00000000-0005-0000-0000-00002B5A0000}"/>
    <cellStyle name="Vírgula 7 9 4 2 2 3" xfId="19649" xr:uid="{00000000-0005-0000-0000-00002C5A0000}"/>
    <cellStyle name="Vírgula 7 9 4 2 3" xfId="21104" xr:uid="{00000000-0005-0000-0000-00002D5A0000}"/>
    <cellStyle name="Vírgula 7 9 4 2 4" xfId="17096" xr:uid="{00000000-0005-0000-0000-00002E5A0000}"/>
    <cellStyle name="Vírgula 7 9 4 3" xfId="5389" xr:uid="{00000000-0005-0000-0000-00002F5A0000}"/>
    <cellStyle name="Vírgula 7 9 4 3 2" xfId="12015" xr:uid="{00000000-0005-0000-0000-0000305A0000}"/>
    <cellStyle name="Vírgula 7 9 4 3 2 2" xfId="22388" xr:uid="{00000000-0005-0000-0000-0000315A0000}"/>
    <cellStyle name="Vírgula 7 9 4 3 3" xfId="12325" xr:uid="{00000000-0005-0000-0000-0000325A0000}"/>
    <cellStyle name="Vírgula 7 9 4 3 4" xfId="18424" xr:uid="{00000000-0005-0000-0000-0000335A0000}"/>
    <cellStyle name="Vírgula 7 9 4 4" xfId="20288" xr:uid="{00000000-0005-0000-0000-0000345A0000}"/>
    <cellStyle name="Vírgula 7 9 4 5" xfId="16264" xr:uid="{00000000-0005-0000-0000-0000355A0000}"/>
    <cellStyle name="Vírgula 7 9 5" xfId="3997" xr:uid="{00000000-0005-0000-0000-0000365A0000}"/>
    <cellStyle name="Vírgula 7 9 5 2" xfId="6113" xr:uid="{00000000-0005-0000-0000-0000375A0000}"/>
    <cellStyle name="Vírgula 7 9 5 2 2" xfId="23101" xr:uid="{00000000-0005-0000-0000-0000385A0000}"/>
    <cellStyle name="Vírgula 7 9 5 2 3" xfId="19148" xr:uid="{00000000-0005-0000-0000-0000395A0000}"/>
    <cellStyle name="Vírgula 7 9 5 3" xfId="21053" xr:uid="{00000000-0005-0000-0000-00003A5A0000}"/>
    <cellStyle name="Vírgula 7 9 5 4" xfId="17039" xr:uid="{00000000-0005-0000-0000-00003B5A0000}"/>
    <cellStyle name="Vírgula 7 9 6" xfId="6800" xr:uid="{00000000-0005-0000-0000-00003C5A0000}"/>
    <cellStyle name="Vírgula 7 9 6 2" xfId="23772" xr:uid="{00000000-0005-0000-0000-00003D5A0000}"/>
    <cellStyle name="Vírgula 7 9 6 3" xfId="19835" xr:uid="{00000000-0005-0000-0000-00003E5A0000}"/>
    <cellStyle name="Vírgula 7 9 7" xfId="5118" xr:uid="{00000000-0005-0000-0000-00003F5A0000}"/>
    <cellStyle name="Vírgula 7 9 7 2" xfId="22125" xr:uid="{00000000-0005-0000-0000-0000405A0000}"/>
    <cellStyle name="Vírgula 7 9 7 3" xfId="18153" xr:uid="{00000000-0005-0000-0000-0000415A0000}"/>
    <cellStyle name="Vírgula 7 9 8" xfId="20025" xr:uid="{00000000-0005-0000-0000-0000425A0000}"/>
    <cellStyle name="Vírgula 7 9 9" xfId="15988" xr:uid="{00000000-0005-0000-0000-0000435A0000}"/>
    <cellStyle name="Vírgula 8" xfId="343" xr:uid="{00000000-0005-0000-0000-0000445A0000}"/>
    <cellStyle name="Vírgula 8 10" xfId="3754" xr:uid="{00000000-0005-0000-0000-0000455A0000}"/>
    <cellStyle name="Vírgula 8 10 2" xfId="6496" xr:uid="{00000000-0005-0000-0000-0000465A0000}"/>
    <cellStyle name="Vírgula 8 10 2 2" xfId="8680" xr:uid="{00000000-0005-0000-0000-0000475A0000}"/>
    <cellStyle name="Vírgula 8 10 2 2 2" xfId="23478" xr:uid="{00000000-0005-0000-0000-0000485A0000}"/>
    <cellStyle name="Vírgula 8 10 2 3" xfId="11523" xr:uid="{00000000-0005-0000-0000-0000495A0000}"/>
    <cellStyle name="Vírgula 8 10 2 4" xfId="19531" xr:uid="{00000000-0005-0000-0000-00004A5A0000}"/>
    <cellStyle name="Vírgula 8 10 3" xfId="8681" xr:uid="{00000000-0005-0000-0000-00004B5A0000}"/>
    <cellStyle name="Vírgula 8 10 3 2" xfId="20818" xr:uid="{00000000-0005-0000-0000-00004C5A0000}"/>
    <cellStyle name="Vírgula 8 10 4" xfId="13647" xr:uid="{00000000-0005-0000-0000-00004D5A0000}"/>
    <cellStyle name="Vírgula 8 10 5" xfId="16797" xr:uid="{00000000-0005-0000-0000-00004E5A0000}"/>
    <cellStyle name="Vírgula 8 11" xfId="3853" xr:uid="{00000000-0005-0000-0000-00004F5A0000}"/>
    <cellStyle name="Vírgula 8 11 2" xfId="6503" xr:uid="{00000000-0005-0000-0000-0000505A0000}"/>
    <cellStyle name="Vírgula 8 11 2 2" xfId="13246" xr:uid="{00000000-0005-0000-0000-0000515A0000}"/>
    <cellStyle name="Vírgula 8 11 2 2 2" xfId="23485" xr:uid="{00000000-0005-0000-0000-0000525A0000}"/>
    <cellStyle name="Vírgula 8 11 2 3" xfId="11367" xr:uid="{00000000-0005-0000-0000-0000535A0000}"/>
    <cellStyle name="Vírgula 8 11 2 4" xfId="19538" xr:uid="{00000000-0005-0000-0000-0000545A0000}"/>
    <cellStyle name="Vírgula 8 11 3" xfId="12572" xr:uid="{00000000-0005-0000-0000-0000555A0000}"/>
    <cellStyle name="Vírgula 8 11 3 2" xfId="15440" xr:uid="{00000000-0005-0000-0000-0000565A0000}"/>
    <cellStyle name="Vírgula 8 11 3 3" xfId="13684" xr:uid="{00000000-0005-0000-0000-0000575A0000}"/>
    <cellStyle name="Vírgula 8 11 3 4" xfId="20915" xr:uid="{00000000-0005-0000-0000-0000585A0000}"/>
    <cellStyle name="Vírgula 8 11 4" xfId="16895" xr:uid="{00000000-0005-0000-0000-0000595A0000}"/>
    <cellStyle name="Vírgula 8 12" xfId="5866" xr:uid="{00000000-0005-0000-0000-00005A5A0000}"/>
    <cellStyle name="Vírgula 8 12 2" xfId="12041" xr:uid="{00000000-0005-0000-0000-00005B5A0000}"/>
    <cellStyle name="Vírgula 8 12 2 2" xfId="15127" xr:uid="{00000000-0005-0000-0000-00005C5A0000}"/>
    <cellStyle name="Vírgula 8 12 2 3" xfId="13750" xr:uid="{00000000-0005-0000-0000-00005D5A0000}"/>
    <cellStyle name="Vírgula 8 12 2 4" xfId="22862" xr:uid="{00000000-0005-0000-0000-00005E5A0000}"/>
    <cellStyle name="Vírgula 8 12 3" xfId="12491" xr:uid="{00000000-0005-0000-0000-00005F5A0000}"/>
    <cellStyle name="Vírgula 8 12 4" xfId="12464" xr:uid="{00000000-0005-0000-0000-0000605A0000}"/>
    <cellStyle name="Vírgula 8 12 5" xfId="18901" xr:uid="{00000000-0005-0000-0000-0000615A0000}"/>
    <cellStyle name="Vírgula 8 13" xfId="6681" xr:uid="{00000000-0005-0000-0000-0000625A0000}"/>
    <cellStyle name="Vírgula 8 13 2" xfId="8682" xr:uid="{00000000-0005-0000-0000-0000635A0000}"/>
    <cellStyle name="Vírgula 8 13 2 2" xfId="8683" xr:uid="{00000000-0005-0000-0000-0000645A0000}"/>
    <cellStyle name="Vírgula 8 13 2 3" xfId="23660" xr:uid="{00000000-0005-0000-0000-0000655A0000}"/>
    <cellStyle name="Vírgula 8 13 3" xfId="8684" xr:uid="{00000000-0005-0000-0000-0000665A0000}"/>
    <cellStyle name="Vírgula 8 13 4" xfId="11730" xr:uid="{00000000-0005-0000-0000-0000675A0000}"/>
    <cellStyle name="Vírgula 8 13 5" xfId="19716" xr:uid="{00000000-0005-0000-0000-0000685A0000}"/>
    <cellStyle name="Vírgula 8 14" xfId="4998" xr:uid="{00000000-0005-0000-0000-0000695A0000}"/>
    <cellStyle name="Vírgula 8 14 2" xfId="8685" xr:uid="{00000000-0005-0000-0000-00006A5A0000}"/>
    <cellStyle name="Vírgula 8 14 2 2" xfId="8686" xr:uid="{00000000-0005-0000-0000-00006B5A0000}"/>
    <cellStyle name="Vírgula 8 14 2 3" xfId="22013" xr:uid="{00000000-0005-0000-0000-00006C5A0000}"/>
    <cellStyle name="Vírgula 8 14 3" xfId="8687" xr:uid="{00000000-0005-0000-0000-00006D5A0000}"/>
    <cellStyle name="Vírgula 8 14 4" xfId="18033" xr:uid="{00000000-0005-0000-0000-00006E5A0000}"/>
    <cellStyle name="Vírgula 8 15" xfId="8688" xr:uid="{00000000-0005-0000-0000-00006F5A0000}"/>
    <cellStyle name="Vírgula 8 15 2" xfId="11913" xr:uid="{00000000-0005-0000-0000-0000705A0000}"/>
    <cellStyle name="Vírgula 8 15 3" xfId="12980" xr:uid="{00000000-0005-0000-0000-0000715A0000}"/>
    <cellStyle name="Vírgula 8 15 4" xfId="19913" xr:uid="{00000000-0005-0000-0000-0000725A0000}"/>
    <cellStyle name="Vírgula 8 16" xfId="8689" xr:uid="{00000000-0005-0000-0000-0000735A0000}"/>
    <cellStyle name="Vírgula 8 16 2" xfId="13291" xr:uid="{00000000-0005-0000-0000-0000745A0000}"/>
    <cellStyle name="Vírgula 8 16 3" xfId="11779" xr:uid="{00000000-0005-0000-0000-0000755A0000}"/>
    <cellStyle name="Vírgula 8 17" xfId="8690" xr:uid="{00000000-0005-0000-0000-0000765A0000}"/>
    <cellStyle name="Vírgula 8 18" xfId="8691" xr:uid="{00000000-0005-0000-0000-0000775A0000}"/>
    <cellStyle name="Vírgula 8 19" xfId="8692" xr:uid="{00000000-0005-0000-0000-0000785A0000}"/>
    <cellStyle name="Vírgula 8 2" xfId="344" xr:uid="{00000000-0005-0000-0000-0000795A0000}"/>
    <cellStyle name="Vírgula 8 2 10" xfId="4999" xr:uid="{00000000-0005-0000-0000-00007A5A0000}"/>
    <cellStyle name="Vírgula 8 2 10 2" xfId="22014" xr:uid="{00000000-0005-0000-0000-00007B5A0000}"/>
    <cellStyle name="Vírgula 8 2 10 3" xfId="18034" xr:uid="{00000000-0005-0000-0000-00007C5A0000}"/>
    <cellStyle name="Vírgula 8 2 11" xfId="10818" xr:uid="{00000000-0005-0000-0000-00007D5A0000}"/>
    <cellStyle name="Vírgula 8 2 11 2" xfId="19914" xr:uid="{00000000-0005-0000-0000-00007E5A0000}"/>
    <cellStyle name="Vírgula 8 2 12" xfId="15860" xr:uid="{00000000-0005-0000-0000-00007F5A0000}"/>
    <cellStyle name="Vírgula 8 2 2" xfId="632" xr:uid="{00000000-0005-0000-0000-0000805A0000}"/>
    <cellStyle name="Vírgula 8 2 2 2" xfId="919" xr:uid="{00000000-0005-0000-0000-0000815A0000}"/>
    <cellStyle name="Vírgula 8 2 2 2 2" xfId="3204" xr:uid="{00000000-0005-0000-0000-0000825A0000}"/>
    <cellStyle name="Vírgula 8 2 2 2 2 2" xfId="4321" xr:uid="{00000000-0005-0000-0000-0000835A0000}"/>
    <cellStyle name="Vírgula 8 2 2 2 2 2 2" xfId="6604" xr:uid="{00000000-0005-0000-0000-0000845A0000}"/>
    <cellStyle name="Vírgula 8 2 2 2 2 2 2 2" xfId="23586" xr:uid="{00000000-0005-0000-0000-0000855A0000}"/>
    <cellStyle name="Vírgula 8 2 2 2 2 2 2 3" xfId="19639" xr:uid="{00000000-0005-0000-0000-0000865A0000}"/>
    <cellStyle name="Vírgula 8 2 2 2 2 2 3" xfId="10540" xr:uid="{00000000-0005-0000-0000-0000875A0000}"/>
    <cellStyle name="Vírgula 8 2 2 2 2 2 3 2" xfId="21365" xr:uid="{00000000-0005-0000-0000-0000885A0000}"/>
    <cellStyle name="Vírgula 8 2 2 2 2 2 4" xfId="17358" xr:uid="{00000000-0005-0000-0000-0000895A0000}"/>
    <cellStyle name="Vírgula 8 2 2 2 2 3" xfId="5373" xr:uid="{00000000-0005-0000-0000-00008A5A0000}"/>
    <cellStyle name="Vírgula 8 2 2 2 2 3 2" xfId="22372" xr:uid="{00000000-0005-0000-0000-00008B5A0000}"/>
    <cellStyle name="Vírgula 8 2 2 2 2 3 3" xfId="18408" xr:uid="{00000000-0005-0000-0000-00008C5A0000}"/>
    <cellStyle name="Vírgula 8 2 2 2 2 4" xfId="9800" xr:uid="{00000000-0005-0000-0000-00008D5A0000}"/>
    <cellStyle name="Vírgula 8 2 2 2 2 4 2" xfId="20272" xr:uid="{00000000-0005-0000-0000-00008E5A0000}"/>
    <cellStyle name="Vírgula 8 2 2 2 2 5" xfId="16248" xr:uid="{00000000-0005-0000-0000-00008F5A0000}"/>
    <cellStyle name="Vírgula 8 2 2 2 3" xfId="3953" xr:uid="{00000000-0005-0000-0000-0000905A0000}"/>
    <cellStyle name="Vírgula 8 2 2 2 3 2" xfId="6094" xr:uid="{00000000-0005-0000-0000-0000915A0000}"/>
    <cellStyle name="Vírgula 8 2 2 2 3 2 2" xfId="23083" xr:uid="{00000000-0005-0000-0000-0000925A0000}"/>
    <cellStyle name="Vírgula 8 2 2 2 3 2 3" xfId="19129" xr:uid="{00000000-0005-0000-0000-0000935A0000}"/>
    <cellStyle name="Vírgula 8 2 2 2 3 3" xfId="10539" xr:uid="{00000000-0005-0000-0000-0000945A0000}"/>
    <cellStyle name="Vírgula 8 2 2 2 3 3 2" xfId="21010" xr:uid="{00000000-0005-0000-0000-0000955A0000}"/>
    <cellStyle name="Vírgula 8 2 2 2 3 4" xfId="16995" xr:uid="{00000000-0005-0000-0000-0000965A0000}"/>
    <cellStyle name="Vírgula 8 2 2 2 4" xfId="6789" xr:uid="{00000000-0005-0000-0000-0000975A0000}"/>
    <cellStyle name="Vírgula 8 2 2 2 4 2" xfId="23762" xr:uid="{00000000-0005-0000-0000-0000985A0000}"/>
    <cellStyle name="Vírgula 8 2 2 2 4 3" xfId="19824" xr:uid="{00000000-0005-0000-0000-0000995A0000}"/>
    <cellStyle name="Vírgula 8 2 2 2 5" xfId="5107" xr:uid="{00000000-0005-0000-0000-00009A5A0000}"/>
    <cellStyle name="Vírgula 8 2 2 2 5 2" xfId="22115" xr:uid="{00000000-0005-0000-0000-00009B5A0000}"/>
    <cellStyle name="Vírgula 8 2 2 2 5 3" xfId="18142" xr:uid="{00000000-0005-0000-0000-00009C5A0000}"/>
    <cellStyle name="Vírgula 8 2 2 2 6" xfId="9381" xr:uid="{00000000-0005-0000-0000-00009D5A0000}"/>
    <cellStyle name="Vírgula 8 2 2 2 6 2" xfId="20015" xr:uid="{00000000-0005-0000-0000-00009E5A0000}"/>
    <cellStyle name="Vírgula 8 2 2 2 7" xfId="15975" xr:uid="{00000000-0005-0000-0000-00009F5A0000}"/>
    <cellStyle name="Vírgula 8 2 2 3" xfId="3093" xr:uid="{00000000-0005-0000-0000-0000A05A0000}"/>
    <cellStyle name="Vírgula 8 2 2 3 2" xfId="3734" xr:uid="{00000000-0005-0000-0000-0000A15A0000}"/>
    <cellStyle name="Vírgula 8 2 2 3 2 2" xfId="6533" xr:uid="{00000000-0005-0000-0000-0000A25A0000}"/>
    <cellStyle name="Vírgula 8 2 2 3 2 2 2" xfId="23515" xr:uid="{00000000-0005-0000-0000-0000A35A0000}"/>
    <cellStyle name="Vírgula 8 2 2 3 2 2 3" xfId="19568" xr:uid="{00000000-0005-0000-0000-0000A45A0000}"/>
    <cellStyle name="Vírgula 8 2 2 3 2 3" xfId="10541" xr:uid="{00000000-0005-0000-0000-0000A55A0000}"/>
    <cellStyle name="Vírgula 8 2 2 3 2 3 2" xfId="20799" xr:uid="{00000000-0005-0000-0000-0000A65A0000}"/>
    <cellStyle name="Vírgula 8 2 2 3 2 4" xfId="16778" xr:uid="{00000000-0005-0000-0000-0000A75A0000}"/>
    <cellStyle name="Vírgula 8 2 2 3 3" xfId="5262" xr:uid="{00000000-0005-0000-0000-0000A85A0000}"/>
    <cellStyle name="Vírgula 8 2 2 3 3 2" xfId="22261" xr:uid="{00000000-0005-0000-0000-0000A95A0000}"/>
    <cellStyle name="Vírgula 8 2 2 3 3 3" xfId="18297" xr:uid="{00000000-0005-0000-0000-0000AA5A0000}"/>
    <cellStyle name="Vírgula 8 2 2 3 4" xfId="9519" xr:uid="{00000000-0005-0000-0000-0000AB5A0000}"/>
    <cellStyle name="Vírgula 8 2 2 3 4 2" xfId="20161" xr:uid="{00000000-0005-0000-0000-0000AC5A0000}"/>
    <cellStyle name="Vírgula 8 2 2 3 5" xfId="16137" xr:uid="{00000000-0005-0000-0000-0000AD5A0000}"/>
    <cellStyle name="Vírgula 8 2 2 4" xfId="3836" xr:uid="{00000000-0005-0000-0000-0000AE5A0000}"/>
    <cellStyle name="Vírgula 8 2 2 4 2" xfId="5978" xr:uid="{00000000-0005-0000-0000-0000AF5A0000}"/>
    <cellStyle name="Vírgula 8 2 2 4 2 2" xfId="22972" xr:uid="{00000000-0005-0000-0000-0000B05A0000}"/>
    <cellStyle name="Vírgula 8 2 2 4 2 3" xfId="19013" xr:uid="{00000000-0005-0000-0000-0000B15A0000}"/>
    <cellStyle name="Vírgula 8 2 2 4 3" xfId="10538" xr:uid="{00000000-0005-0000-0000-0000B25A0000}"/>
    <cellStyle name="Vírgula 8 2 2 4 3 2" xfId="20898" xr:uid="{00000000-0005-0000-0000-0000B35A0000}"/>
    <cellStyle name="Vírgula 8 2 2 4 4" xfId="16878" xr:uid="{00000000-0005-0000-0000-0000B45A0000}"/>
    <cellStyle name="Vírgula 8 2 2 5" xfId="6712" xr:uid="{00000000-0005-0000-0000-0000B55A0000}"/>
    <cellStyle name="Vírgula 8 2 2 5 2" xfId="10731" xr:uid="{00000000-0005-0000-0000-0000B65A0000}"/>
    <cellStyle name="Vírgula 8 2 2 5 2 2" xfId="23690" xr:uid="{00000000-0005-0000-0000-0000B75A0000}"/>
    <cellStyle name="Vírgula 8 2 2 5 3" xfId="19747" xr:uid="{00000000-0005-0000-0000-0000B85A0000}"/>
    <cellStyle name="Vírgula 8 2 2 6" xfId="5030" xr:uid="{00000000-0005-0000-0000-0000B95A0000}"/>
    <cellStyle name="Vírgula 8 2 2 6 2" xfId="10861" xr:uid="{00000000-0005-0000-0000-0000BA5A0000}"/>
    <cellStyle name="Vírgula 8 2 2 6 2 2" xfId="22043" xr:uid="{00000000-0005-0000-0000-0000BB5A0000}"/>
    <cellStyle name="Vírgula 8 2 2 6 3" xfId="18065" xr:uid="{00000000-0005-0000-0000-0000BC5A0000}"/>
    <cellStyle name="Vírgula 8 2 2 7" xfId="9262" xr:uid="{00000000-0005-0000-0000-0000BD5A0000}"/>
    <cellStyle name="Vírgula 8 2 2 7 2" xfId="19944" xr:uid="{00000000-0005-0000-0000-0000BE5A0000}"/>
    <cellStyle name="Vírgula 8 2 2 8" xfId="15899" xr:uid="{00000000-0005-0000-0000-0000BF5A0000}"/>
    <cellStyle name="Vírgula 8 2 3" xfId="920" xr:uid="{00000000-0005-0000-0000-0000C05A0000}"/>
    <cellStyle name="Vírgula 8 2 3 2" xfId="2446" xr:uid="{00000000-0005-0000-0000-0000C15A0000}"/>
    <cellStyle name="Vírgula 8 2 3 2 2" xfId="3575" xr:uid="{00000000-0005-0000-0000-0000C25A0000}"/>
    <cellStyle name="Vírgula 8 2 3 2 2 2" xfId="4379" xr:uid="{00000000-0005-0000-0000-0000C35A0000}"/>
    <cellStyle name="Vírgula 8 2 3 2 2 2 2" xfId="6668" xr:uid="{00000000-0005-0000-0000-0000C45A0000}"/>
    <cellStyle name="Vírgula 8 2 3 2 2 2 2 2" xfId="23650" xr:uid="{00000000-0005-0000-0000-0000C55A0000}"/>
    <cellStyle name="Vírgula 8 2 3 2 2 2 2 3" xfId="19703" xr:uid="{00000000-0005-0000-0000-0000C65A0000}"/>
    <cellStyle name="Vírgula 8 2 3 2 2 2 3" xfId="10543" xr:uid="{00000000-0005-0000-0000-0000C75A0000}"/>
    <cellStyle name="Vírgula 8 2 3 2 2 2 3 2" xfId="21423" xr:uid="{00000000-0005-0000-0000-0000C85A0000}"/>
    <cellStyle name="Vírgula 8 2 3 2 2 2 4" xfId="17416" xr:uid="{00000000-0005-0000-0000-0000C95A0000}"/>
    <cellStyle name="Vírgula 8 2 3 2 2 3" xfId="5744" xr:uid="{00000000-0005-0000-0000-0000CA5A0000}"/>
    <cellStyle name="Vírgula 8 2 3 2 2 3 2" xfId="22743" xr:uid="{00000000-0005-0000-0000-0000CB5A0000}"/>
    <cellStyle name="Vírgula 8 2 3 2 2 3 3" xfId="18779" xr:uid="{00000000-0005-0000-0000-0000CC5A0000}"/>
    <cellStyle name="Vírgula 8 2 3 2 2 4" xfId="9843" xr:uid="{00000000-0005-0000-0000-0000CD5A0000}"/>
    <cellStyle name="Vírgula 8 2 3 2 2 4 2" xfId="20643" xr:uid="{00000000-0005-0000-0000-0000CE5A0000}"/>
    <cellStyle name="Vírgula 8 2 3 2 2 5" xfId="16619" xr:uid="{00000000-0005-0000-0000-0000CF5A0000}"/>
    <cellStyle name="Vírgula 8 2 3 2 3" xfId="4312" xr:uid="{00000000-0005-0000-0000-0000D05A0000}"/>
    <cellStyle name="Vírgula 8 2 3 2 3 2" xfId="6474" xr:uid="{00000000-0005-0000-0000-0000D15A0000}"/>
    <cellStyle name="Vírgula 8 2 3 2 3 2 2" xfId="23456" xr:uid="{00000000-0005-0000-0000-0000D25A0000}"/>
    <cellStyle name="Vírgula 8 2 3 2 3 2 3" xfId="19509" xr:uid="{00000000-0005-0000-0000-0000D35A0000}"/>
    <cellStyle name="Vírgula 8 2 3 2 3 3" xfId="10542" xr:uid="{00000000-0005-0000-0000-0000D45A0000}"/>
    <cellStyle name="Vírgula 8 2 3 2 3 3 2" xfId="21356" xr:uid="{00000000-0005-0000-0000-0000D55A0000}"/>
    <cellStyle name="Vírgula 8 2 3 2 3 4" xfId="17349" xr:uid="{00000000-0005-0000-0000-0000D65A0000}"/>
    <cellStyle name="Vírgula 8 2 3 2 4" xfId="6860" xr:uid="{00000000-0005-0000-0000-0000D75A0000}"/>
    <cellStyle name="Vírgula 8 2 3 2 4 2" xfId="23826" xr:uid="{00000000-0005-0000-0000-0000D85A0000}"/>
    <cellStyle name="Vírgula 8 2 3 2 4 3" xfId="19895" xr:uid="{00000000-0005-0000-0000-0000D95A0000}"/>
    <cellStyle name="Vírgula 8 2 3 2 5" xfId="5178" xr:uid="{00000000-0005-0000-0000-0000DA5A0000}"/>
    <cellStyle name="Vírgula 8 2 3 2 5 2" xfId="22179" xr:uid="{00000000-0005-0000-0000-0000DB5A0000}"/>
    <cellStyle name="Vírgula 8 2 3 2 5 3" xfId="18213" xr:uid="{00000000-0005-0000-0000-0000DC5A0000}"/>
    <cellStyle name="Vírgula 8 2 3 2 6" xfId="9422" xr:uid="{00000000-0005-0000-0000-0000DD5A0000}"/>
    <cellStyle name="Vírgula 8 2 3 2 6 2" xfId="20079" xr:uid="{00000000-0005-0000-0000-0000DE5A0000}"/>
    <cellStyle name="Vírgula 8 2 3 2 7" xfId="16048" xr:uid="{00000000-0005-0000-0000-0000DF5A0000}"/>
    <cellStyle name="Vírgula 8 2 3 3" xfId="2445" xr:uid="{00000000-0005-0000-0000-0000E05A0000}"/>
    <cellStyle name="Vírgula 8 2 3 3 2" xfId="3574" xr:uid="{00000000-0005-0000-0000-0000E15A0000}"/>
    <cellStyle name="Vírgula 8 2 3 3 2 2" xfId="4041" xr:uid="{00000000-0005-0000-0000-0000E25A0000}"/>
    <cellStyle name="Vírgula 8 2 3 3 2 2 2" xfId="6667" xr:uid="{00000000-0005-0000-0000-0000E35A0000}"/>
    <cellStyle name="Vírgula 8 2 3 3 2 2 2 2" xfId="23649" xr:uid="{00000000-0005-0000-0000-0000E45A0000}"/>
    <cellStyle name="Vírgula 8 2 3 3 2 2 2 3" xfId="19702" xr:uid="{00000000-0005-0000-0000-0000E55A0000}"/>
    <cellStyle name="Vírgula 8 2 3 3 2 2 3" xfId="21090" xr:uid="{00000000-0005-0000-0000-0000E65A0000}"/>
    <cellStyle name="Vírgula 8 2 3 3 2 2 4" xfId="17082" xr:uid="{00000000-0005-0000-0000-0000E75A0000}"/>
    <cellStyle name="Vírgula 8 2 3 3 2 3" xfId="5743" xr:uid="{00000000-0005-0000-0000-0000E85A0000}"/>
    <cellStyle name="Vírgula 8 2 3 3 2 3 2" xfId="22742" xr:uid="{00000000-0005-0000-0000-0000E95A0000}"/>
    <cellStyle name="Vírgula 8 2 3 3 2 3 3" xfId="18778" xr:uid="{00000000-0005-0000-0000-0000EA5A0000}"/>
    <cellStyle name="Vírgula 8 2 3 3 2 4" xfId="10544" xr:uid="{00000000-0005-0000-0000-0000EB5A0000}"/>
    <cellStyle name="Vírgula 8 2 3 3 2 4 2" xfId="20642" xr:uid="{00000000-0005-0000-0000-0000EC5A0000}"/>
    <cellStyle name="Vírgula 8 2 3 3 2 5" xfId="16618" xr:uid="{00000000-0005-0000-0000-0000ED5A0000}"/>
    <cellStyle name="Vírgula 8 2 3 3 3" xfId="4311" xr:uid="{00000000-0005-0000-0000-0000EE5A0000}"/>
    <cellStyle name="Vírgula 8 2 3 3 3 2" xfId="6473" xr:uid="{00000000-0005-0000-0000-0000EF5A0000}"/>
    <cellStyle name="Vírgula 8 2 3 3 3 2 2" xfId="23455" xr:uid="{00000000-0005-0000-0000-0000F05A0000}"/>
    <cellStyle name="Vírgula 8 2 3 3 3 2 3" xfId="19508" xr:uid="{00000000-0005-0000-0000-0000F15A0000}"/>
    <cellStyle name="Vírgula 8 2 3 3 3 3" xfId="21355" xr:uid="{00000000-0005-0000-0000-0000F25A0000}"/>
    <cellStyle name="Vírgula 8 2 3 3 3 4" xfId="17348" xr:uid="{00000000-0005-0000-0000-0000F35A0000}"/>
    <cellStyle name="Vírgula 8 2 3 3 4" xfId="6859" xr:uid="{00000000-0005-0000-0000-0000F45A0000}"/>
    <cellStyle name="Vírgula 8 2 3 3 4 2" xfId="23825" xr:uid="{00000000-0005-0000-0000-0000F55A0000}"/>
    <cellStyle name="Vírgula 8 2 3 3 4 3" xfId="19894" xr:uid="{00000000-0005-0000-0000-0000F65A0000}"/>
    <cellStyle name="Vírgula 8 2 3 3 5" xfId="5177" xr:uid="{00000000-0005-0000-0000-0000F75A0000}"/>
    <cellStyle name="Vírgula 8 2 3 3 5 2" xfId="22178" xr:uid="{00000000-0005-0000-0000-0000F85A0000}"/>
    <cellStyle name="Vírgula 8 2 3 3 5 3" xfId="18212" xr:uid="{00000000-0005-0000-0000-0000F95A0000}"/>
    <cellStyle name="Vírgula 8 2 3 3 6" xfId="9562" xr:uid="{00000000-0005-0000-0000-0000FA5A0000}"/>
    <cellStyle name="Vírgula 8 2 3 3 6 2" xfId="20078" xr:uid="{00000000-0005-0000-0000-0000FB5A0000}"/>
    <cellStyle name="Vírgula 8 2 3 3 7" xfId="16047" xr:uid="{00000000-0005-0000-0000-0000FC5A0000}"/>
    <cellStyle name="Vírgula 8 2 3 4" xfId="3205" xr:uid="{00000000-0005-0000-0000-0000FD5A0000}"/>
    <cellStyle name="Vírgula 8 2 3 4 2" xfId="4032" xr:uid="{00000000-0005-0000-0000-0000FE5A0000}"/>
    <cellStyle name="Vírgula 8 2 3 4 2 2" xfId="6605" xr:uid="{00000000-0005-0000-0000-0000FF5A0000}"/>
    <cellStyle name="Vírgula 8 2 3 4 2 2 2" xfId="23587" xr:uid="{00000000-0005-0000-0000-0000005B0000}"/>
    <cellStyle name="Vírgula 8 2 3 4 2 2 3" xfId="19640" xr:uid="{00000000-0005-0000-0000-0000015B0000}"/>
    <cellStyle name="Vírgula 8 2 3 4 2 3" xfId="21081" xr:uid="{00000000-0005-0000-0000-0000025B0000}"/>
    <cellStyle name="Vírgula 8 2 3 4 2 4" xfId="17073" xr:uid="{00000000-0005-0000-0000-0000035B0000}"/>
    <cellStyle name="Vírgula 8 2 3 4 3" xfId="5374" xr:uid="{00000000-0005-0000-0000-0000045B0000}"/>
    <cellStyle name="Vírgula 8 2 3 4 3 2" xfId="12478" xr:uid="{00000000-0005-0000-0000-0000055B0000}"/>
    <cellStyle name="Vírgula 8 2 3 4 3 2 2" xfId="22373" xr:uid="{00000000-0005-0000-0000-0000065B0000}"/>
    <cellStyle name="Vírgula 8 2 3 4 3 3" xfId="13228" xr:uid="{00000000-0005-0000-0000-0000075B0000}"/>
    <cellStyle name="Vírgula 8 2 3 4 3 4" xfId="18409" xr:uid="{00000000-0005-0000-0000-0000085B0000}"/>
    <cellStyle name="Vírgula 8 2 3 4 4" xfId="20273" xr:uid="{00000000-0005-0000-0000-0000095B0000}"/>
    <cellStyle name="Vírgula 8 2 3 4 5" xfId="16249" xr:uid="{00000000-0005-0000-0000-00000A5B0000}"/>
    <cellStyle name="Vírgula 8 2 3 5" xfId="3954" xr:uid="{00000000-0005-0000-0000-00000B5B0000}"/>
    <cellStyle name="Vírgula 8 2 3 5 2" xfId="6095" xr:uid="{00000000-0005-0000-0000-00000C5B0000}"/>
    <cellStyle name="Vírgula 8 2 3 5 2 2" xfId="12942" xr:uid="{00000000-0005-0000-0000-00000D5B0000}"/>
    <cellStyle name="Vírgula 8 2 3 5 2 2 2" xfId="23084" xr:uid="{00000000-0005-0000-0000-00000E5B0000}"/>
    <cellStyle name="Vírgula 8 2 3 5 2 3" xfId="11100" xr:uid="{00000000-0005-0000-0000-00000F5B0000}"/>
    <cellStyle name="Vírgula 8 2 3 5 2 4" xfId="19130" xr:uid="{00000000-0005-0000-0000-0000105B0000}"/>
    <cellStyle name="Vírgula 8 2 3 5 3" xfId="21011" xr:uid="{00000000-0005-0000-0000-0000115B0000}"/>
    <cellStyle name="Vírgula 8 2 3 5 4" xfId="16996" xr:uid="{00000000-0005-0000-0000-0000125B0000}"/>
    <cellStyle name="Vírgula 8 2 3 6" xfId="6790" xr:uid="{00000000-0005-0000-0000-0000135B0000}"/>
    <cellStyle name="Vírgula 8 2 3 6 2" xfId="23763" xr:uid="{00000000-0005-0000-0000-0000145B0000}"/>
    <cellStyle name="Vírgula 8 2 3 6 3" xfId="19825" xr:uid="{00000000-0005-0000-0000-0000155B0000}"/>
    <cellStyle name="Vírgula 8 2 3 7" xfId="5108" xr:uid="{00000000-0005-0000-0000-0000165B0000}"/>
    <cellStyle name="Vírgula 8 2 3 7 2" xfId="22116" xr:uid="{00000000-0005-0000-0000-0000175B0000}"/>
    <cellStyle name="Vírgula 8 2 3 7 3" xfId="18143" xr:uid="{00000000-0005-0000-0000-0000185B0000}"/>
    <cellStyle name="Vírgula 8 2 3 8" xfId="20016" xr:uid="{00000000-0005-0000-0000-0000195B0000}"/>
    <cellStyle name="Vírgula 8 2 3 9" xfId="15976" xr:uid="{00000000-0005-0000-0000-00001A5B0000}"/>
    <cellStyle name="Vírgula 8 2 4" xfId="2447" xr:uid="{00000000-0005-0000-0000-00001B5B0000}"/>
    <cellStyle name="Vírgula 8 2 4 2" xfId="3576" xr:uid="{00000000-0005-0000-0000-00001C5B0000}"/>
    <cellStyle name="Vírgula 8 2 4 2 2" xfId="3883" xr:uid="{00000000-0005-0000-0000-00001D5B0000}"/>
    <cellStyle name="Vírgula 8 2 4 2 2 2" xfId="6669" xr:uid="{00000000-0005-0000-0000-00001E5B0000}"/>
    <cellStyle name="Vírgula 8 2 4 2 2 2 2" xfId="23651" xr:uid="{00000000-0005-0000-0000-00001F5B0000}"/>
    <cellStyle name="Vírgula 8 2 4 2 2 2 3" xfId="19704" xr:uid="{00000000-0005-0000-0000-0000205B0000}"/>
    <cellStyle name="Vírgula 8 2 4 2 2 3" xfId="10546" xr:uid="{00000000-0005-0000-0000-0000215B0000}"/>
    <cellStyle name="Vírgula 8 2 4 2 2 3 2" xfId="20940" xr:uid="{00000000-0005-0000-0000-0000225B0000}"/>
    <cellStyle name="Vírgula 8 2 4 2 2 4" xfId="16925" xr:uid="{00000000-0005-0000-0000-0000235B0000}"/>
    <cellStyle name="Vírgula 8 2 4 2 3" xfId="5745" xr:uid="{00000000-0005-0000-0000-0000245B0000}"/>
    <cellStyle name="Vírgula 8 2 4 2 3 2" xfId="22744" xr:uid="{00000000-0005-0000-0000-0000255B0000}"/>
    <cellStyle name="Vírgula 8 2 4 2 3 3" xfId="18780" xr:uid="{00000000-0005-0000-0000-0000265B0000}"/>
    <cellStyle name="Vírgula 8 2 4 2 4" xfId="9656" xr:uid="{00000000-0005-0000-0000-0000275B0000}"/>
    <cellStyle name="Vírgula 8 2 4 2 4 2" xfId="20644" xr:uid="{00000000-0005-0000-0000-0000285B0000}"/>
    <cellStyle name="Vírgula 8 2 4 2 5" xfId="16620" xr:uid="{00000000-0005-0000-0000-0000295B0000}"/>
    <cellStyle name="Vírgula 8 2 4 3" xfId="4313" xr:uid="{00000000-0005-0000-0000-00002A5B0000}"/>
    <cellStyle name="Vírgula 8 2 4 3 2" xfId="6475" xr:uid="{00000000-0005-0000-0000-00002B5B0000}"/>
    <cellStyle name="Vírgula 8 2 4 3 2 2" xfId="23457" xr:uid="{00000000-0005-0000-0000-00002C5B0000}"/>
    <cellStyle name="Vírgula 8 2 4 3 2 3" xfId="19510" xr:uid="{00000000-0005-0000-0000-00002D5B0000}"/>
    <cellStyle name="Vírgula 8 2 4 3 3" xfId="10545" xr:uid="{00000000-0005-0000-0000-00002E5B0000}"/>
    <cellStyle name="Vírgula 8 2 4 3 3 2" xfId="21357" xr:uid="{00000000-0005-0000-0000-00002F5B0000}"/>
    <cellStyle name="Vírgula 8 2 4 3 4" xfId="17350" xr:uid="{00000000-0005-0000-0000-0000305B0000}"/>
    <cellStyle name="Vírgula 8 2 4 4" xfId="6861" xr:uid="{00000000-0005-0000-0000-0000315B0000}"/>
    <cellStyle name="Vírgula 8 2 4 4 2" xfId="23827" xr:uid="{00000000-0005-0000-0000-0000325B0000}"/>
    <cellStyle name="Vírgula 8 2 4 4 3" xfId="19896" xr:uid="{00000000-0005-0000-0000-0000335B0000}"/>
    <cellStyle name="Vírgula 8 2 4 5" xfId="5179" xr:uid="{00000000-0005-0000-0000-0000345B0000}"/>
    <cellStyle name="Vírgula 8 2 4 5 2" xfId="22180" xr:uid="{00000000-0005-0000-0000-0000355B0000}"/>
    <cellStyle name="Vírgula 8 2 4 5 3" xfId="18214" xr:uid="{00000000-0005-0000-0000-0000365B0000}"/>
    <cellStyle name="Vírgula 8 2 4 6" xfId="9203" xr:uid="{00000000-0005-0000-0000-0000375B0000}"/>
    <cellStyle name="Vírgula 8 2 4 6 2" xfId="20080" xr:uid="{00000000-0005-0000-0000-0000385B0000}"/>
    <cellStyle name="Vírgula 8 2 4 7" xfId="16049" xr:uid="{00000000-0005-0000-0000-0000395B0000}"/>
    <cellStyle name="Vírgula 8 2 5" xfId="3051" xr:uid="{00000000-0005-0000-0000-00003A5B0000}"/>
    <cellStyle name="Vírgula 8 2 5 2" xfId="4009" xr:uid="{00000000-0005-0000-0000-00003B5B0000}"/>
    <cellStyle name="Vírgula 8 2 5 2 2" xfId="5917" xr:uid="{00000000-0005-0000-0000-00003C5B0000}"/>
    <cellStyle name="Vírgula 8 2 5 2 2 2" xfId="11666" xr:uid="{00000000-0005-0000-0000-00003D5B0000}"/>
    <cellStyle name="Vírgula 8 2 5 2 2 2 2" xfId="22912" xr:uid="{00000000-0005-0000-0000-00003E5B0000}"/>
    <cellStyle name="Vírgula 8 2 5 2 2 3" xfId="11898" xr:uid="{00000000-0005-0000-0000-00003F5B0000}"/>
    <cellStyle name="Vírgula 8 2 5 2 2 4" xfId="18952" xr:uid="{00000000-0005-0000-0000-0000405B0000}"/>
    <cellStyle name="Vírgula 8 2 5 2 3" xfId="13701" xr:uid="{00000000-0005-0000-0000-0000415B0000}"/>
    <cellStyle name="Vírgula 8 2 5 2 3 2" xfId="21061" xr:uid="{00000000-0005-0000-0000-0000425B0000}"/>
    <cellStyle name="Vírgula 8 2 5 2 4" xfId="17050" xr:uid="{00000000-0005-0000-0000-0000435B0000}"/>
    <cellStyle name="Vírgula 8 2 5 3" xfId="5220" xr:uid="{00000000-0005-0000-0000-0000445B0000}"/>
    <cellStyle name="Vírgula 8 2 5 3 2" xfId="11548" xr:uid="{00000000-0005-0000-0000-0000455B0000}"/>
    <cellStyle name="Vírgula 8 2 5 3 2 2" xfId="22219" xr:uid="{00000000-0005-0000-0000-0000465B0000}"/>
    <cellStyle name="Vírgula 8 2 5 3 3" xfId="18255" xr:uid="{00000000-0005-0000-0000-0000475B0000}"/>
    <cellStyle name="Vírgula 8 2 5 4" xfId="12006" xr:uid="{00000000-0005-0000-0000-0000485B0000}"/>
    <cellStyle name="Vírgula 8 2 5 4 2" xfId="15125" xr:uid="{00000000-0005-0000-0000-0000495B0000}"/>
    <cellStyle name="Vírgula 8 2 5 4 3" xfId="13579" xr:uid="{00000000-0005-0000-0000-00004A5B0000}"/>
    <cellStyle name="Vírgula 8 2 5 4 4" xfId="20119" xr:uid="{00000000-0005-0000-0000-00004B5B0000}"/>
    <cellStyle name="Vírgula 8 2 5 5" xfId="16095" xr:uid="{00000000-0005-0000-0000-00004C5B0000}"/>
    <cellStyle name="Vírgula 8 2 6" xfId="3755" xr:uid="{00000000-0005-0000-0000-00004D5B0000}"/>
    <cellStyle name="Vírgula 8 2 6 2" xfId="6497" xr:uid="{00000000-0005-0000-0000-00004E5B0000}"/>
    <cellStyle name="Vírgula 8 2 6 2 2" xfId="8693" xr:uid="{00000000-0005-0000-0000-00004F5B0000}"/>
    <cellStyle name="Vírgula 8 2 6 2 2 2" xfId="10548" xr:uid="{00000000-0005-0000-0000-0000505B0000}"/>
    <cellStyle name="Vírgula 8 2 6 2 2 3" xfId="23479" xr:uid="{00000000-0005-0000-0000-0000515B0000}"/>
    <cellStyle name="Vírgula 8 2 6 2 3" xfId="12333" xr:uid="{00000000-0005-0000-0000-0000525B0000}"/>
    <cellStyle name="Vírgula 8 2 6 2 4" xfId="19532" xr:uid="{00000000-0005-0000-0000-0000535B0000}"/>
    <cellStyle name="Vírgula 8 2 6 3" xfId="8694" xr:uid="{00000000-0005-0000-0000-0000545B0000}"/>
    <cellStyle name="Vírgula 8 2 6 3 2" xfId="10547" xr:uid="{00000000-0005-0000-0000-0000555B0000}"/>
    <cellStyle name="Vírgula 8 2 6 3 3" xfId="20819" xr:uid="{00000000-0005-0000-0000-0000565B0000}"/>
    <cellStyle name="Vírgula 8 2 6 4" xfId="13648" xr:uid="{00000000-0005-0000-0000-0000575B0000}"/>
    <cellStyle name="Vírgula 8 2 6 5" xfId="16798" xr:uid="{00000000-0005-0000-0000-0000585B0000}"/>
    <cellStyle name="Vírgula 8 2 7" xfId="3976" xr:uid="{00000000-0005-0000-0000-0000595B0000}"/>
    <cellStyle name="Vírgula 8 2 7 2" xfId="6504" xr:uid="{00000000-0005-0000-0000-00005A5B0000}"/>
    <cellStyle name="Vírgula 8 2 7 2 2" xfId="8695" xr:uid="{00000000-0005-0000-0000-00005B5B0000}"/>
    <cellStyle name="Vírgula 8 2 7 2 2 2" xfId="23486" xr:uid="{00000000-0005-0000-0000-00005C5B0000}"/>
    <cellStyle name="Vírgula 8 2 7 2 3" xfId="10961" xr:uid="{00000000-0005-0000-0000-00005D5B0000}"/>
    <cellStyle name="Vírgula 8 2 7 2 4" xfId="19539" xr:uid="{00000000-0005-0000-0000-00005E5B0000}"/>
    <cellStyle name="Vírgula 8 2 7 3" xfId="8696" xr:uid="{00000000-0005-0000-0000-00005F5B0000}"/>
    <cellStyle name="Vírgula 8 2 7 3 2" xfId="21032" xr:uid="{00000000-0005-0000-0000-0000605B0000}"/>
    <cellStyle name="Vírgula 8 2 7 4" xfId="17018" xr:uid="{00000000-0005-0000-0000-0000615B0000}"/>
    <cellStyle name="Vírgula 8 2 8" xfId="5867" xr:uid="{00000000-0005-0000-0000-0000625B0000}"/>
    <cellStyle name="Vírgula 8 2 8 2" xfId="22863" xr:uid="{00000000-0005-0000-0000-0000635B0000}"/>
    <cellStyle name="Vírgula 8 2 8 3" xfId="18902" xr:uid="{00000000-0005-0000-0000-0000645B0000}"/>
    <cellStyle name="Vírgula 8 2 9" xfId="6682" xr:uid="{00000000-0005-0000-0000-0000655B0000}"/>
    <cellStyle name="Vírgula 8 2 9 2" xfId="23661" xr:uid="{00000000-0005-0000-0000-0000665B0000}"/>
    <cellStyle name="Vírgula 8 2 9 3" xfId="19717" xr:uid="{00000000-0005-0000-0000-0000675B0000}"/>
    <cellStyle name="Vírgula 8 20" xfId="15859" xr:uid="{00000000-0005-0000-0000-0000685B0000}"/>
    <cellStyle name="Vírgula 8 3" xfId="633" xr:uid="{00000000-0005-0000-0000-0000695B0000}"/>
    <cellStyle name="Vírgula 8 3 10" xfId="10687" xr:uid="{00000000-0005-0000-0000-00006A5B0000}"/>
    <cellStyle name="Vírgula 8 3 11" xfId="10819" xr:uid="{00000000-0005-0000-0000-00006B5B0000}"/>
    <cellStyle name="Vírgula 8 3 12" xfId="8968" xr:uid="{00000000-0005-0000-0000-00006C5B0000}"/>
    <cellStyle name="Vírgula 8 3 13" xfId="15900" xr:uid="{00000000-0005-0000-0000-00006D5B0000}"/>
    <cellStyle name="Vírgula 8 3 2" xfId="921" xr:uid="{00000000-0005-0000-0000-00006E5B0000}"/>
    <cellStyle name="Vírgula 8 3 2 2" xfId="3206" xr:uid="{00000000-0005-0000-0000-00006F5B0000}"/>
    <cellStyle name="Vírgula 8 3 2 2 2" xfId="4092" xr:uid="{00000000-0005-0000-0000-0000705B0000}"/>
    <cellStyle name="Vírgula 8 3 2 2 2 2" xfId="6606" xr:uid="{00000000-0005-0000-0000-0000715B0000}"/>
    <cellStyle name="Vírgula 8 3 2 2 2 2 2" xfId="10551" xr:uid="{00000000-0005-0000-0000-0000725B0000}"/>
    <cellStyle name="Vírgula 8 3 2 2 2 2 2 2" xfId="23588" xr:uid="{00000000-0005-0000-0000-0000735B0000}"/>
    <cellStyle name="Vírgula 8 3 2 2 2 2 3" xfId="19641" xr:uid="{00000000-0005-0000-0000-0000745B0000}"/>
    <cellStyle name="Vírgula 8 3 2 2 2 3" xfId="9801" xr:uid="{00000000-0005-0000-0000-0000755B0000}"/>
    <cellStyle name="Vírgula 8 3 2 2 2 3 2" xfId="21140" xr:uid="{00000000-0005-0000-0000-0000765B0000}"/>
    <cellStyle name="Vírgula 8 3 2 2 2 4" xfId="17132" xr:uid="{00000000-0005-0000-0000-0000775B0000}"/>
    <cellStyle name="Vírgula 8 3 2 2 3" xfId="5375" xr:uid="{00000000-0005-0000-0000-0000785B0000}"/>
    <cellStyle name="Vírgula 8 3 2 2 3 2" xfId="10550" xr:uid="{00000000-0005-0000-0000-0000795B0000}"/>
    <cellStyle name="Vírgula 8 3 2 2 3 2 2" xfId="22374" xr:uid="{00000000-0005-0000-0000-00007A5B0000}"/>
    <cellStyle name="Vírgula 8 3 2 2 3 3" xfId="18410" xr:uid="{00000000-0005-0000-0000-00007B5B0000}"/>
    <cellStyle name="Vírgula 8 3 2 2 4" xfId="9382" xr:uid="{00000000-0005-0000-0000-00007C5B0000}"/>
    <cellStyle name="Vírgula 8 3 2 2 4 2" xfId="20274" xr:uid="{00000000-0005-0000-0000-00007D5B0000}"/>
    <cellStyle name="Vírgula 8 3 2 2 5" xfId="16250" xr:uid="{00000000-0005-0000-0000-00007E5B0000}"/>
    <cellStyle name="Vírgula 8 3 2 3" xfId="3955" xr:uid="{00000000-0005-0000-0000-00007F5B0000}"/>
    <cellStyle name="Vírgula 8 3 2 3 2" xfId="6096" xr:uid="{00000000-0005-0000-0000-0000805B0000}"/>
    <cellStyle name="Vírgula 8 3 2 3 2 2" xfId="10552" xr:uid="{00000000-0005-0000-0000-0000815B0000}"/>
    <cellStyle name="Vírgula 8 3 2 3 2 2 2" xfId="23085" xr:uid="{00000000-0005-0000-0000-0000825B0000}"/>
    <cellStyle name="Vírgula 8 3 2 3 2 3" xfId="19131" xr:uid="{00000000-0005-0000-0000-0000835B0000}"/>
    <cellStyle name="Vírgula 8 3 2 3 3" xfId="9520" xr:uid="{00000000-0005-0000-0000-0000845B0000}"/>
    <cellStyle name="Vírgula 8 3 2 3 3 2" xfId="21012" xr:uid="{00000000-0005-0000-0000-0000855B0000}"/>
    <cellStyle name="Vírgula 8 3 2 3 4" xfId="16997" xr:uid="{00000000-0005-0000-0000-0000865B0000}"/>
    <cellStyle name="Vírgula 8 3 2 4" xfId="6791" xr:uid="{00000000-0005-0000-0000-0000875B0000}"/>
    <cellStyle name="Vírgula 8 3 2 4 2" xfId="10549" xr:uid="{00000000-0005-0000-0000-0000885B0000}"/>
    <cellStyle name="Vírgula 8 3 2 4 2 2" xfId="23764" xr:uid="{00000000-0005-0000-0000-0000895B0000}"/>
    <cellStyle name="Vírgula 8 3 2 4 3" xfId="19826" xr:uid="{00000000-0005-0000-0000-00008A5B0000}"/>
    <cellStyle name="Vírgula 8 3 2 5" xfId="5109" xr:uid="{00000000-0005-0000-0000-00008B5B0000}"/>
    <cellStyle name="Vírgula 8 3 2 5 2" xfId="10732" xr:uid="{00000000-0005-0000-0000-00008C5B0000}"/>
    <cellStyle name="Vírgula 8 3 2 5 2 2" xfId="22117" xr:uid="{00000000-0005-0000-0000-00008D5B0000}"/>
    <cellStyle name="Vírgula 8 3 2 5 3" xfId="18144" xr:uid="{00000000-0005-0000-0000-00008E5B0000}"/>
    <cellStyle name="Vírgula 8 3 2 6" xfId="10862" xr:uid="{00000000-0005-0000-0000-00008F5B0000}"/>
    <cellStyle name="Vírgula 8 3 2 6 2" xfId="20017" xr:uid="{00000000-0005-0000-0000-0000905B0000}"/>
    <cellStyle name="Vírgula 8 3 2 7" xfId="9263" xr:uid="{00000000-0005-0000-0000-0000915B0000}"/>
    <cellStyle name="Vírgula 8 3 2 8" xfId="15977" xr:uid="{00000000-0005-0000-0000-0000925B0000}"/>
    <cellStyle name="Vírgula 8 3 3" xfId="3094" xr:uid="{00000000-0005-0000-0000-0000935B0000}"/>
    <cellStyle name="Vírgula 8 3 3 2" xfId="4171" xr:uid="{00000000-0005-0000-0000-0000945B0000}"/>
    <cellStyle name="Vírgula 8 3 3 2 2" xfId="6534" xr:uid="{00000000-0005-0000-0000-0000955B0000}"/>
    <cellStyle name="Vírgula 8 3 3 2 2 2" xfId="10555" xr:uid="{00000000-0005-0000-0000-0000965B0000}"/>
    <cellStyle name="Vírgula 8 3 3 2 2 2 2" xfId="23516" xr:uid="{00000000-0005-0000-0000-0000975B0000}"/>
    <cellStyle name="Vírgula 8 3 3 2 2 3" xfId="9844" xr:uid="{00000000-0005-0000-0000-0000985B0000}"/>
    <cellStyle name="Vírgula 8 3 3 2 2 4" xfId="19569" xr:uid="{00000000-0005-0000-0000-0000995B0000}"/>
    <cellStyle name="Vírgula 8 3 3 2 3" xfId="10554" xr:uid="{00000000-0005-0000-0000-00009A5B0000}"/>
    <cellStyle name="Vírgula 8 3 3 2 3 2" xfId="21218" xr:uid="{00000000-0005-0000-0000-00009B5B0000}"/>
    <cellStyle name="Vírgula 8 3 3 2 4" xfId="9423" xr:uid="{00000000-0005-0000-0000-00009C5B0000}"/>
    <cellStyle name="Vírgula 8 3 3 2 5" xfId="17211" xr:uid="{00000000-0005-0000-0000-00009D5B0000}"/>
    <cellStyle name="Vírgula 8 3 3 3" xfId="5263" xr:uid="{00000000-0005-0000-0000-00009E5B0000}"/>
    <cellStyle name="Vírgula 8 3 3 3 2" xfId="10556" xr:uid="{00000000-0005-0000-0000-00009F5B0000}"/>
    <cellStyle name="Vírgula 8 3 3 3 2 2" xfId="22262" xr:uid="{00000000-0005-0000-0000-0000A05B0000}"/>
    <cellStyle name="Vírgula 8 3 3 3 3" xfId="9563" xr:uid="{00000000-0005-0000-0000-0000A15B0000}"/>
    <cellStyle name="Vírgula 8 3 3 3 4" xfId="18298" xr:uid="{00000000-0005-0000-0000-0000A25B0000}"/>
    <cellStyle name="Vírgula 8 3 3 4" xfId="10553" xr:uid="{00000000-0005-0000-0000-0000A35B0000}"/>
    <cellStyle name="Vírgula 8 3 3 4 2" xfId="20162" xr:uid="{00000000-0005-0000-0000-0000A45B0000}"/>
    <cellStyle name="Vírgula 8 3 3 5" xfId="10772" xr:uid="{00000000-0005-0000-0000-0000A55B0000}"/>
    <cellStyle name="Vírgula 8 3 3 6" xfId="10902" xr:uid="{00000000-0005-0000-0000-0000A65B0000}"/>
    <cellStyle name="Vírgula 8 3 3 7" xfId="9299" xr:uid="{00000000-0005-0000-0000-0000A75B0000}"/>
    <cellStyle name="Vírgula 8 3 3 8" xfId="16138" xr:uid="{00000000-0005-0000-0000-0000A85B0000}"/>
    <cellStyle name="Vírgula 8 3 4" xfId="3837" xr:uid="{00000000-0005-0000-0000-0000A95B0000}"/>
    <cellStyle name="Vírgula 8 3 4 2" xfId="5979" xr:uid="{00000000-0005-0000-0000-0000AA5B0000}"/>
    <cellStyle name="Vírgula 8 3 4 2 2" xfId="10558" xr:uid="{00000000-0005-0000-0000-0000AB5B0000}"/>
    <cellStyle name="Vírgula 8 3 4 2 2 2" xfId="22973" xr:uid="{00000000-0005-0000-0000-0000AC5B0000}"/>
    <cellStyle name="Vírgula 8 3 4 2 3" xfId="9657" xr:uid="{00000000-0005-0000-0000-0000AD5B0000}"/>
    <cellStyle name="Vírgula 8 3 4 2 4" xfId="19014" xr:uid="{00000000-0005-0000-0000-0000AE5B0000}"/>
    <cellStyle name="Vírgula 8 3 4 3" xfId="10557" xr:uid="{00000000-0005-0000-0000-0000AF5B0000}"/>
    <cellStyle name="Vírgula 8 3 4 3 2" xfId="20899" xr:uid="{00000000-0005-0000-0000-0000B05B0000}"/>
    <cellStyle name="Vírgula 8 3 4 4" xfId="9204" xr:uid="{00000000-0005-0000-0000-0000B15B0000}"/>
    <cellStyle name="Vírgula 8 3 4 5" xfId="16879" xr:uid="{00000000-0005-0000-0000-0000B25B0000}"/>
    <cellStyle name="Vírgula 8 3 5" xfId="6713" xr:uid="{00000000-0005-0000-0000-0000B35B0000}"/>
    <cellStyle name="Vírgula 8 3 5 2" xfId="9756" xr:uid="{00000000-0005-0000-0000-0000B45B0000}"/>
    <cellStyle name="Vírgula 8 3 5 2 2" xfId="10560" xr:uid="{00000000-0005-0000-0000-0000B55B0000}"/>
    <cellStyle name="Vírgula 8 3 5 2 3" xfId="23691" xr:uid="{00000000-0005-0000-0000-0000B65B0000}"/>
    <cellStyle name="Vírgula 8 3 5 3" xfId="10559" xr:uid="{00000000-0005-0000-0000-0000B75B0000}"/>
    <cellStyle name="Vírgula 8 3 5 4" xfId="9342" xr:uid="{00000000-0005-0000-0000-0000B85B0000}"/>
    <cellStyle name="Vírgula 8 3 5 5" xfId="19748" xr:uid="{00000000-0005-0000-0000-0000B95B0000}"/>
    <cellStyle name="Vírgula 8 3 6" xfId="5031" xr:uid="{00000000-0005-0000-0000-0000BA5B0000}"/>
    <cellStyle name="Vírgula 8 3 6 2" xfId="9608" xr:uid="{00000000-0005-0000-0000-0000BB5B0000}"/>
    <cellStyle name="Vírgula 8 3 6 2 2" xfId="10562" xr:uid="{00000000-0005-0000-0000-0000BC5B0000}"/>
    <cellStyle name="Vírgula 8 3 6 2 3" xfId="22044" xr:uid="{00000000-0005-0000-0000-0000BD5B0000}"/>
    <cellStyle name="Vírgula 8 3 6 3" xfId="10561" xr:uid="{00000000-0005-0000-0000-0000BE5B0000}"/>
    <cellStyle name="Vírgula 8 3 6 4" xfId="9127" xr:uid="{00000000-0005-0000-0000-0000BF5B0000}"/>
    <cellStyle name="Vírgula 8 3 6 5" xfId="18066" xr:uid="{00000000-0005-0000-0000-0000C05B0000}"/>
    <cellStyle name="Vírgula 8 3 7" xfId="9476" xr:uid="{00000000-0005-0000-0000-0000C15B0000}"/>
    <cellStyle name="Vírgula 8 3 7 2" xfId="10563" xr:uid="{00000000-0005-0000-0000-0000C25B0000}"/>
    <cellStyle name="Vírgula 8 3 7 3" xfId="19945" xr:uid="{00000000-0005-0000-0000-0000C35B0000}"/>
    <cellStyle name="Vírgula 8 3 8" xfId="9900" xr:uid="{00000000-0005-0000-0000-0000C45B0000}"/>
    <cellStyle name="Vírgula 8 3 9" xfId="9060" xr:uid="{00000000-0005-0000-0000-0000C55B0000}"/>
    <cellStyle name="Vírgula 8 4" xfId="922" xr:uid="{00000000-0005-0000-0000-0000C65B0000}"/>
    <cellStyle name="Vírgula 8 4 2" xfId="2450" xr:uid="{00000000-0005-0000-0000-0000C75B0000}"/>
    <cellStyle name="Vírgula 8 4 2 2" xfId="3578" xr:uid="{00000000-0005-0000-0000-0000C85B0000}"/>
    <cellStyle name="Vírgula 8 4 2 2 2" xfId="4368" xr:uid="{00000000-0005-0000-0000-0000C95B0000}"/>
    <cellStyle name="Vírgula 8 4 2 2 2 2" xfId="6671" xr:uid="{00000000-0005-0000-0000-0000CA5B0000}"/>
    <cellStyle name="Vírgula 8 4 2 2 2 2 2" xfId="23653" xr:uid="{00000000-0005-0000-0000-0000CB5B0000}"/>
    <cellStyle name="Vírgula 8 4 2 2 2 2 3" xfId="19706" xr:uid="{00000000-0005-0000-0000-0000CC5B0000}"/>
    <cellStyle name="Vírgula 8 4 2 2 2 3" xfId="10565" xr:uid="{00000000-0005-0000-0000-0000CD5B0000}"/>
    <cellStyle name="Vírgula 8 4 2 2 2 3 2" xfId="21412" xr:uid="{00000000-0005-0000-0000-0000CE5B0000}"/>
    <cellStyle name="Vírgula 8 4 2 2 2 4" xfId="17405" xr:uid="{00000000-0005-0000-0000-0000CF5B0000}"/>
    <cellStyle name="Vírgula 8 4 2 2 3" xfId="5747" xr:uid="{00000000-0005-0000-0000-0000D05B0000}"/>
    <cellStyle name="Vírgula 8 4 2 2 3 2" xfId="22746" xr:uid="{00000000-0005-0000-0000-0000D15B0000}"/>
    <cellStyle name="Vírgula 8 4 2 2 3 3" xfId="18782" xr:uid="{00000000-0005-0000-0000-0000D25B0000}"/>
    <cellStyle name="Vírgula 8 4 2 2 4" xfId="9799" xr:uid="{00000000-0005-0000-0000-0000D35B0000}"/>
    <cellStyle name="Vírgula 8 4 2 2 4 2" xfId="20646" xr:uid="{00000000-0005-0000-0000-0000D45B0000}"/>
    <cellStyle name="Vírgula 8 4 2 2 5" xfId="16622" xr:uid="{00000000-0005-0000-0000-0000D55B0000}"/>
    <cellStyle name="Vírgula 8 4 2 3" xfId="4315" xr:uid="{00000000-0005-0000-0000-0000D65B0000}"/>
    <cellStyle name="Vírgula 8 4 2 3 2" xfId="6477" xr:uid="{00000000-0005-0000-0000-0000D75B0000}"/>
    <cellStyle name="Vírgula 8 4 2 3 2 2" xfId="23459" xr:uid="{00000000-0005-0000-0000-0000D85B0000}"/>
    <cellStyle name="Vírgula 8 4 2 3 2 3" xfId="19512" xr:uid="{00000000-0005-0000-0000-0000D95B0000}"/>
    <cellStyle name="Vírgula 8 4 2 3 3" xfId="10564" xr:uid="{00000000-0005-0000-0000-0000DA5B0000}"/>
    <cellStyle name="Vírgula 8 4 2 3 3 2" xfId="21359" xr:uid="{00000000-0005-0000-0000-0000DB5B0000}"/>
    <cellStyle name="Vírgula 8 4 2 3 4" xfId="17352" xr:uid="{00000000-0005-0000-0000-0000DC5B0000}"/>
    <cellStyle name="Vírgula 8 4 2 4" xfId="6863" xr:uid="{00000000-0005-0000-0000-0000DD5B0000}"/>
    <cellStyle name="Vírgula 8 4 2 4 2" xfId="23829" xr:uid="{00000000-0005-0000-0000-0000DE5B0000}"/>
    <cellStyle name="Vírgula 8 4 2 4 3" xfId="19898" xr:uid="{00000000-0005-0000-0000-0000DF5B0000}"/>
    <cellStyle name="Vírgula 8 4 2 5" xfId="5181" xr:uid="{00000000-0005-0000-0000-0000E05B0000}"/>
    <cellStyle name="Vírgula 8 4 2 5 2" xfId="22182" xr:uid="{00000000-0005-0000-0000-0000E15B0000}"/>
    <cellStyle name="Vírgula 8 4 2 5 3" xfId="18216" xr:uid="{00000000-0005-0000-0000-0000E25B0000}"/>
    <cellStyle name="Vírgula 8 4 2 6" xfId="9380" xr:uid="{00000000-0005-0000-0000-0000E35B0000}"/>
    <cellStyle name="Vírgula 8 4 2 6 2" xfId="14888" xr:uid="{00000000-0005-0000-0000-0000E45B0000}"/>
    <cellStyle name="Vírgula 8 4 2 6 3" xfId="13531" xr:uid="{00000000-0005-0000-0000-0000E55B0000}"/>
    <cellStyle name="Vírgula 8 4 2 6 4" xfId="20082" xr:uid="{00000000-0005-0000-0000-0000E65B0000}"/>
    <cellStyle name="Vírgula 8 4 2 7" xfId="13417" xr:uid="{00000000-0005-0000-0000-0000E75B0000}"/>
    <cellStyle name="Vírgula 8 4 2 8" xfId="16051" xr:uid="{00000000-0005-0000-0000-0000E85B0000}"/>
    <cellStyle name="Vírgula 8 4 3" xfId="2449" xr:uid="{00000000-0005-0000-0000-0000E95B0000}"/>
    <cellStyle name="Vírgula 8 4 3 2" xfId="3577" xr:uid="{00000000-0005-0000-0000-0000EA5B0000}"/>
    <cellStyle name="Vírgula 8 4 3 2 2" xfId="3968" xr:uid="{00000000-0005-0000-0000-0000EB5B0000}"/>
    <cellStyle name="Vírgula 8 4 3 2 2 2" xfId="6670" xr:uid="{00000000-0005-0000-0000-0000EC5B0000}"/>
    <cellStyle name="Vírgula 8 4 3 2 2 2 2" xfId="23652" xr:uid="{00000000-0005-0000-0000-0000ED5B0000}"/>
    <cellStyle name="Vírgula 8 4 3 2 2 2 3" xfId="19705" xr:uid="{00000000-0005-0000-0000-0000EE5B0000}"/>
    <cellStyle name="Vírgula 8 4 3 2 2 3" xfId="21024" xr:uid="{00000000-0005-0000-0000-0000EF5B0000}"/>
    <cellStyle name="Vírgula 8 4 3 2 2 4" xfId="17010" xr:uid="{00000000-0005-0000-0000-0000F05B0000}"/>
    <cellStyle name="Vírgula 8 4 3 2 3" xfId="5746" xr:uid="{00000000-0005-0000-0000-0000F15B0000}"/>
    <cellStyle name="Vírgula 8 4 3 2 3 2" xfId="22745" xr:uid="{00000000-0005-0000-0000-0000F25B0000}"/>
    <cellStyle name="Vírgula 8 4 3 2 3 3" xfId="18781" xr:uid="{00000000-0005-0000-0000-0000F35B0000}"/>
    <cellStyle name="Vírgula 8 4 3 2 4" xfId="10566" xr:uid="{00000000-0005-0000-0000-0000F45B0000}"/>
    <cellStyle name="Vírgula 8 4 3 2 4 2" xfId="20645" xr:uid="{00000000-0005-0000-0000-0000F55B0000}"/>
    <cellStyle name="Vírgula 8 4 3 2 5" xfId="16621" xr:uid="{00000000-0005-0000-0000-0000F65B0000}"/>
    <cellStyle name="Vírgula 8 4 3 3" xfId="4314" xr:uid="{00000000-0005-0000-0000-0000F75B0000}"/>
    <cellStyle name="Vírgula 8 4 3 3 2" xfId="6476" xr:uid="{00000000-0005-0000-0000-0000F85B0000}"/>
    <cellStyle name="Vírgula 8 4 3 3 2 2" xfId="23458" xr:uid="{00000000-0005-0000-0000-0000F95B0000}"/>
    <cellStyle name="Vírgula 8 4 3 3 2 3" xfId="19511" xr:uid="{00000000-0005-0000-0000-0000FA5B0000}"/>
    <cellStyle name="Vírgula 8 4 3 3 3" xfId="21358" xr:uid="{00000000-0005-0000-0000-0000FB5B0000}"/>
    <cellStyle name="Vírgula 8 4 3 3 4" xfId="17351" xr:uid="{00000000-0005-0000-0000-0000FC5B0000}"/>
    <cellStyle name="Vírgula 8 4 3 4" xfId="6862" xr:uid="{00000000-0005-0000-0000-0000FD5B0000}"/>
    <cellStyle name="Vírgula 8 4 3 4 2" xfId="23828" xr:uid="{00000000-0005-0000-0000-0000FE5B0000}"/>
    <cellStyle name="Vírgula 8 4 3 4 3" xfId="19897" xr:uid="{00000000-0005-0000-0000-0000FF5B0000}"/>
    <cellStyle name="Vírgula 8 4 3 5" xfId="5180" xr:uid="{00000000-0005-0000-0000-0000005C0000}"/>
    <cellStyle name="Vírgula 8 4 3 5 2" xfId="22181" xr:uid="{00000000-0005-0000-0000-0000015C0000}"/>
    <cellStyle name="Vírgula 8 4 3 5 3" xfId="18215" xr:uid="{00000000-0005-0000-0000-0000025C0000}"/>
    <cellStyle name="Vírgula 8 4 3 6" xfId="9518" xr:uid="{00000000-0005-0000-0000-0000035C0000}"/>
    <cellStyle name="Vírgula 8 4 3 6 2" xfId="20081" xr:uid="{00000000-0005-0000-0000-0000045C0000}"/>
    <cellStyle name="Vírgula 8 4 3 7" xfId="16050" xr:uid="{00000000-0005-0000-0000-0000055C0000}"/>
    <cellStyle name="Vírgula 8 4 4" xfId="3207" xr:uid="{00000000-0005-0000-0000-0000065C0000}"/>
    <cellStyle name="Vírgula 8 4 4 2" xfId="3707" xr:uid="{00000000-0005-0000-0000-0000075C0000}"/>
    <cellStyle name="Vírgula 8 4 4 2 2" xfId="6607" xr:uid="{00000000-0005-0000-0000-0000085C0000}"/>
    <cellStyle name="Vírgula 8 4 4 2 2 2" xfId="23589" xr:uid="{00000000-0005-0000-0000-0000095C0000}"/>
    <cellStyle name="Vírgula 8 4 4 2 2 3" xfId="19642" xr:uid="{00000000-0005-0000-0000-00000A5C0000}"/>
    <cellStyle name="Vírgula 8 4 4 2 3" xfId="20775" xr:uid="{00000000-0005-0000-0000-00000B5C0000}"/>
    <cellStyle name="Vírgula 8 4 4 2 4" xfId="16751" xr:uid="{00000000-0005-0000-0000-00000C5C0000}"/>
    <cellStyle name="Vírgula 8 4 4 3" xfId="5376" xr:uid="{00000000-0005-0000-0000-00000D5C0000}"/>
    <cellStyle name="Vírgula 8 4 4 3 2" xfId="11178" xr:uid="{00000000-0005-0000-0000-00000E5C0000}"/>
    <cellStyle name="Vírgula 8 4 4 3 2 2" xfId="22375" xr:uid="{00000000-0005-0000-0000-00000F5C0000}"/>
    <cellStyle name="Vírgula 8 4 4 3 3" xfId="13279" xr:uid="{00000000-0005-0000-0000-0000105C0000}"/>
    <cellStyle name="Vírgula 8 4 4 3 4" xfId="18411" xr:uid="{00000000-0005-0000-0000-0000115C0000}"/>
    <cellStyle name="Vírgula 8 4 4 4" xfId="12968" xr:uid="{00000000-0005-0000-0000-0000125C0000}"/>
    <cellStyle name="Vírgula 8 4 4 4 2" xfId="20275" xr:uid="{00000000-0005-0000-0000-0000135C0000}"/>
    <cellStyle name="Vírgula 8 4 4 5" xfId="16251" xr:uid="{00000000-0005-0000-0000-0000145C0000}"/>
    <cellStyle name="Vírgula 8 4 5" xfId="3956" xr:uid="{00000000-0005-0000-0000-0000155C0000}"/>
    <cellStyle name="Vírgula 8 4 5 2" xfId="6097" xr:uid="{00000000-0005-0000-0000-0000165C0000}"/>
    <cellStyle name="Vírgula 8 4 5 2 2" xfId="23086" xr:uid="{00000000-0005-0000-0000-0000175C0000}"/>
    <cellStyle name="Vírgula 8 4 5 2 3" xfId="19132" xr:uid="{00000000-0005-0000-0000-0000185C0000}"/>
    <cellStyle name="Vírgula 8 4 5 3" xfId="21013" xr:uid="{00000000-0005-0000-0000-0000195C0000}"/>
    <cellStyle name="Vírgula 8 4 5 4" xfId="16998" xr:uid="{00000000-0005-0000-0000-00001A5C0000}"/>
    <cellStyle name="Vírgula 8 4 6" xfId="6792" xr:uid="{00000000-0005-0000-0000-00001B5C0000}"/>
    <cellStyle name="Vírgula 8 4 6 2" xfId="23765" xr:uid="{00000000-0005-0000-0000-00001C5C0000}"/>
    <cellStyle name="Vírgula 8 4 6 3" xfId="19827" xr:uid="{00000000-0005-0000-0000-00001D5C0000}"/>
    <cellStyle name="Vírgula 8 4 7" xfId="5110" xr:uid="{00000000-0005-0000-0000-00001E5C0000}"/>
    <cellStyle name="Vírgula 8 4 7 2" xfId="22118" xr:uid="{00000000-0005-0000-0000-00001F5C0000}"/>
    <cellStyle name="Vírgula 8 4 7 3" xfId="18145" xr:uid="{00000000-0005-0000-0000-0000205C0000}"/>
    <cellStyle name="Vírgula 8 4 8" xfId="20018" xr:uid="{00000000-0005-0000-0000-0000215C0000}"/>
    <cellStyle name="Vírgula 8 4 9" xfId="15978" xr:uid="{00000000-0005-0000-0000-0000225C0000}"/>
    <cellStyle name="Vírgula 8 5" xfId="2451" xr:uid="{00000000-0005-0000-0000-0000235C0000}"/>
    <cellStyle name="Vírgula 8 5 2" xfId="3579" xr:uid="{00000000-0005-0000-0000-0000245C0000}"/>
    <cellStyle name="Vírgula 8 5 2 2" xfId="4858" xr:uid="{00000000-0005-0000-0000-0000255C0000}"/>
    <cellStyle name="Vírgula 8 5 2 2 2" xfId="10569" xr:uid="{00000000-0005-0000-0000-0000265C0000}"/>
    <cellStyle name="Vírgula 8 5 2 2 2 2" xfId="13354" xr:uid="{00000000-0005-0000-0000-0000275C0000}"/>
    <cellStyle name="Vírgula 8 5 2 2 2 3" xfId="12874" xr:uid="{00000000-0005-0000-0000-0000285C0000}"/>
    <cellStyle name="Vírgula 8 5 2 2 2 4" xfId="21898" xr:uid="{00000000-0005-0000-0000-0000295C0000}"/>
    <cellStyle name="Vírgula 8 5 2 2 3" xfId="9842" xr:uid="{00000000-0005-0000-0000-00002A5C0000}"/>
    <cellStyle name="Vírgula 8 5 2 2 4" xfId="17893" xr:uid="{00000000-0005-0000-0000-00002B5C0000}"/>
    <cellStyle name="Vírgula 8 5 2 3" xfId="5748" xr:uid="{00000000-0005-0000-0000-00002C5C0000}"/>
    <cellStyle name="Vírgula 8 5 2 3 2" xfId="10568" xr:uid="{00000000-0005-0000-0000-00002D5C0000}"/>
    <cellStyle name="Vírgula 8 5 2 3 2 2" xfId="22747" xr:uid="{00000000-0005-0000-0000-00002E5C0000}"/>
    <cellStyle name="Vírgula 8 5 2 3 3" xfId="11751" xr:uid="{00000000-0005-0000-0000-00002F5C0000}"/>
    <cellStyle name="Vírgula 8 5 2 3 4" xfId="11562" xr:uid="{00000000-0005-0000-0000-0000305C0000}"/>
    <cellStyle name="Vírgula 8 5 2 3 5" xfId="18783" xr:uid="{00000000-0005-0000-0000-0000315C0000}"/>
    <cellStyle name="Vírgula 8 5 2 4" xfId="9421" xr:uid="{00000000-0005-0000-0000-0000325C0000}"/>
    <cellStyle name="Vírgula 8 5 2 4 2" xfId="14890" xr:uid="{00000000-0005-0000-0000-0000335C0000}"/>
    <cellStyle name="Vírgula 8 5 2 4 3" xfId="13635" xr:uid="{00000000-0005-0000-0000-0000345C0000}"/>
    <cellStyle name="Vírgula 8 5 2 4 4" xfId="20647" xr:uid="{00000000-0005-0000-0000-0000355C0000}"/>
    <cellStyle name="Vírgula 8 5 2 5" xfId="16623" xr:uid="{00000000-0005-0000-0000-0000365C0000}"/>
    <cellStyle name="Vírgula 8 5 3" xfId="4263" xr:uid="{00000000-0005-0000-0000-0000375C0000}"/>
    <cellStyle name="Vírgula 8 5 3 2" xfId="6478" xr:uid="{00000000-0005-0000-0000-0000385C0000}"/>
    <cellStyle name="Vírgula 8 5 3 2 2" xfId="10570" xr:uid="{00000000-0005-0000-0000-0000395C0000}"/>
    <cellStyle name="Vírgula 8 5 3 2 2 2" xfId="23460" xr:uid="{00000000-0005-0000-0000-00003A5C0000}"/>
    <cellStyle name="Vírgula 8 5 3 2 3" xfId="11205" xr:uid="{00000000-0005-0000-0000-00003B5C0000}"/>
    <cellStyle name="Vírgula 8 5 3 2 4" xfId="12037" xr:uid="{00000000-0005-0000-0000-00003C5C0000}"/>
    <cellStyle name="Vírgula 8 5 3 2 5" xfId="19513" xr:uid="{00000000-0005-0000-0000-00003D5C0000}"/>
    <cellStyle name="Vírgula 8 5 3 3" xfId="9561" xr:uid="{00000000-0005-0000-0000-00003E5C0000}"/>
    <cellStyle name="Vírgula 8 5 3 3 2" xfId="21307" xr:uid="{00000000-0005-0000-0000-00003F5C0000}"/>
    <cellStyle name="Vírgula 8 5 3 4" xfId="17300" xr:uid="{00000000-0005-0000-0000-0000405C0000}"/>
    <cellStyle name="Vírgula 8 5 4" xfId="8697" xr:uid="{00000000-0005-0000-0000-0000415C0000}"/>
    <cellStyle name="Vírgula 8 5 4 2" xfId="10567" xr:uid="{00000000-0005-0000-0000-0000425C0000}"/>
    <cellStyle name="Vírgula 8 5 4 2 2" xfId="13353" xr:uid="{00000000-0005-0000-0000-0000435C0000}"/>
    <cellStyle name="Vírgula 8 5 4 2 3" xfId="11099" xr:uid="{00000000-0005-0000-0000-0000445C0000}"/>
    <cellStyle name="Vírgula 8 5 4 3" xfId="10910" xr:uid="{00000000-0005-0000-0000-0000455C0000}"/>
    <cellStyle name="Vírgula 8 5 5" xfId="8698" xr:uid="{00000000-0005-0000-0000-0000465C0000}"/>
    <cellStyle name="Vírgula 8 5 5 2" xfId="10771" xr:uid="{00000000-0005-0000-0000-0000475C0000}"/>
    <cellStyle name="Vírgula 8 5 6" xfId="10901" xr:uid="{00000000-0005-0000-0000-0000485C0000}"/>
    <cellStyle name="Vírgula 8 5 6 2" xfId="14914" xr:uid="{00000000-0005-0000-0000-0000495C0000}"/>
    <cellStyle name="Vírgula 8 5 6 3" xfId="13532" xr:uid="{00000000-0005-0000-0000-00004A5C0000}"/>
    <cellStyle name="Vírgula 8 5 7" xfId="9298" xr:uid="{00000000-0005-0000-0000-00004B5C0000}"/>
    <cellStyle name="Vírgula 8 6" xfId="2452" xr:uid="{00000000-0005-0000-0000-00004C5C0000}"/>
    <cellStyle name="Vírgula 8 6 2" xfId="3580" xr:uid="{00000000-0005-0000-0000-00004D5C0000}"/>
    <cellStyle name="Vírgula 8 6 2 2" xfId="3959" xr:uid="{00000000-0005-0000-0000-00004E5C0000}"/>
    <cellStyle name="Vírgula 8 6 2 2 2" xfId="6672" xr:uid="{00000000-0005-0000-0000-00004F5C0000}"/>
    <cellStyle name="Vírgula 8 6 2 2 2 2" xfId="23654" xr:uid="{00000000-0005-0000-0000-0000505C0000}"/>
    <cellStyle name="Vírgula 8 6 2 2 2 3" xfId="19707" xr:uid="{00000000-0005-0000-0000-0000515C0000}"/>
    <cellStyle name="Vírgula 8 6 2 2 3" xfId="10572" xr:uid="{00000000-0005-0000-0000-0000525C0000}"/>
    <cellStyle name="Vírgula 8 6 2 2 3 2" xfId="21015" xr:uid="{00000000-0005-0000-0000-0000535C0000}"/>
    <cellStyle name="Vírgula 8 6 2 2 4" xfId="17001" xr:uid="{00000000-0005-0000-0000-0000545C0000}"/>
    <cellStyle name="Vírgula 8 6 2 3" xfId="5749" xr:uid="{00000000-0005-0000-0000-0000555C0000}"/>
    <cellStyle name="Vírgula 8 6 2 3 2" xfId="22748" xr:uid="{00000000-0005-0000-0000-0000565C0000}"/>
    <cellStyle name="Vírgula 8 6 2 3 3" xfId="18784" xr:uid="{00000000-0005-0000-0000-0000575C0000}"/>
    <cellStyle name="Vírgula 8 6 2 4" xfId="9655" xr:uid="{00000000-0005-0000-0000-0000585C0000}"/>
    <cellStyle name="Vírgula 8 6 2 4 2" xfId="20648" xr:uid="{00000000-0005-0000-0000-0000595C0000}"/>
    <cellStyle name="Vírgula 8 6 2 5" xfId="16624" xr:uid="{00000000-0005-0000-0000-00005A5C0000}"/>
    <cellStyle name="Vírgula 8 6 3" xfId="4316" xr:uid="{00000000-0005-0000-0000-00005B5C0000}"/>
    <cellStyle name="Vírgula 8 6 3 2" xfId="6479" xr:uid="{00000000-0005-0000-0000-00005C5C0000}"/>
    <cellStyle name="Vírgula 8 6 3 2 2" xfId="23461" xr:uid="{00000000-0005-0000-0000-00005D5C0000}"/>
    <cellStyle name="Vírgula 8 6 3 2 3" xfId="19514" xr:uid="{00000000-0005-0000-0000-00005E5C0000}"/>
    <cellStyle name="Vírgula 8 6 3 3" xfId="10571" xr:uid="{00000000-0005-0000-0000-00005F5C0000}"/>
    <cellStyle name="Vírgula 8 6 3 3 2" xfId="21360" xr:uid="{00000000-0005-0000-0000-0000605C0000}"/>
    <cellStyle name="Vírgula 8 6 3 4" xfId="17353" xr:uid="{00000000-0005-0000-0000-0000615C0000}"/>
    <cellStyle name="Vírgula 8 6 4" xfId="6864" xr:uid="{00000000-0005-0000-0000-0000625C0000}"/>
    <cellStyle name="Vírgula 8 6 4 2" xfId="23830" xr:uid="{00000000-0005-0000-0000-0000635C0000}"/>
    <cellStyle name="Vírgula 8 6 4 3" xfId="19899" xr:uid="{00000000-0005-0000-0000-0000645C0000}"/>
    <cellStyle name="Vírgula 8 6 5" xfId="5182" xr:uid="{00000000-0005-0000-0000-0000655C0000}"/>
    <cellStyle name="Vírgula 8 6 5 2" xfId="22183" xr:uid="{00000000-0005-0000-0000-0000665C0000}"/>
    <cellStyle name="Vírgula 8 6 5 3" xfId="18217" xr:uid="{00000000-0005-0000-0000-0000675C0000}"/>
    <cellStyle name="Vírgula 8 6 6" xfId="9202" xr:uid="{00000000-0005-0000-0000-0000685C0000}"/>
    <cellStyle name="Vírgula 8 6 6 2" xfId="20083" xr:uid="{00000000-0005-0000-0000-0000695C0000}"/>
    <cellStyle name="Vírgula 8 6 7" xfId="16052" xr:uid="{00000000-0005-0000-0000-00006A5C0000}"/>
    <cellStyle name="Vírgula 8 7" xfId="2453" xr:uid="{00000000-0005-0000-0000-00006B5C0000}"/>
    <cellStyle name="Vírgula 8 7 2" xfId="3581" xr:uid="{00000000-0005-0000-0000-00006C5C0000}"/>
    <cellStyle name="Vírgula 8 7 2 2" xfId="4859" xr:uid="{00000000-0005-0000-0000-00006D5C0000}"/>
    <cellStyle name="Vírgula 8 7 2 2 2" xfId="10574" xr:uid="{00000000-0005-0000-0000-00006E5C0000}"/>
    <cellStyle name="Vírgula 8 7 2 2 2 2" xfId="21899" xr:uid="{00000000-0005-0000-0000-00006F5C0000}"/>
    <cellStyle name="Vírgula 8 7 2 2 3" xfId="17894" xr:uid="{00000000-0005-0000-0000-0000705C0000}"/>
    <cellStyle name="Vírgula 8 7 2 3" xfId="5750" xr:uid="{00000000-0005-0000-0000-0000715C0000}"/>
    <cellStyle name="Vírgula 8 7 2 3 2" xfId="22749" xr:uid="{00000000-0005-0000-0000-0000725C0000}"/>
    <cellStyle name="Vírgula 8 7 2 3 3" xfId="18785" xr:uid="{00000000-0005-0000-0000-0000735C0000}"/>
    <cellStyle name="Vírgula 8 7 2 4" xfId="9755" xr:uid="{00000000-0005-0000-0000-0000745C0000}"/>
    <cellStyle name="Vírgula 8 7 2 4 2" xfId="20649" xr:uid="{00000000-0005-0000-0000-0000755C0000}"/>
    <cellStyle name="Vírgula 8 7 2 5" xfId="16625" xr:uid="{00000000-0005-0000-0000-0000765C0000}"/>
    <cellStyle name="Vírgula 8 7 3" xfId="4081" xr:uid="{00000000-0005-0000-0000-0000775C0000}"/>
    <cellStyle name="Vírgula 8 7 3 2" xfId="6480" xr:uid="{00000000-0005-0000-0000-0000785C0000}"/>
    <cellStyle name="Vírgula 8 7 3 2 2" xfId="23462" xr:uid="{00000000-0005-0000-0000-0000795C0000}"/>
    <cellStyle name="Vírgula 8 7 3 2 3" xfId="19515" xr:uid="{00000000-0005-0000-0000-00007A5C0000}"/>
    <cellStyle name="Vírgula 8 7 3 3" xfId="10573" xr:uid="{00000000-0005-0000-0000-00007B5C0000}"/>
    <cellStyle name="Vírgula 8 7 3 3 2" xfId="21129" xr:uid="{00000000-0005-0000-0000-00007C5C0000}"/>
    <cellStyle name="Vírgula 8 7 3 4" xfId="17121" xr:uid="{00000000-0005-0000-0000-00007D5C0000}"/>
    <cellStyle name="Vírgula 8 7 4" xfId="9341" xr:uid="{00000000-0005-0000-0000-00007E5C0000}"/>
    <cellStyle name="Vírgula 8 8" xfId="2444" xr:uid="{00000000-0005-0000-0000-00007F5C0000}"/>
    <cellStyle name="Vírgula 8 8 2" xfId="3573" xr:uid="{00000000-0005-0000-0000-0000805C0000}"/>
    <cellStyle name="Vírgula 8 8 2 2" xfId="4857" xr:uid="{00000000-0005-0000-0000-0000815C0000}"/>
    <cellStyle name="Vírgula 8 8 2 2 2" xfId="10576" xr:uid="{00000000-0005-0000-0000-0000825C0000}"/>
    <cellStyle name="Vírgula 8 8 2 2 2 2" xfId="21897" xr:uid="{00000000-0005-0000-0000-0000835C0000}"/>
    <cellStyle name="Vírgula 8 8 2 2 3" xfId="17892" xr:uid="{00000000-0005-0000-0000-0000845C0000}"/>
    <cellStyle name="Vírgula 8 8 2 3" xfId="5742" xr:uid="{00000000-0005-0000-0000-0000855C0000}"/>
    <cellStyle name="Vírgula 8 8 2 3 2" xfId="22741" xr:uid="{00000000-0005-0000-0000-0000865C0000}"/>
    <cellStyle name="Vírgula 8 8 2 3 3" xfId="18777" xr:uid="{00000000-0005-0000-0000-0000875C0000}"/>
    <cellStyle name="Vírgula 8 8 2 4" xfId="9607" xr:uid="{00000000-0005-0000-0000-0000885C0000}"/>
    <cellStyle name="Vírgula 8 8 2 4 2" xfId="20641" xr:uid="{00000000-0005-0000-0000-0000895C0000}"/>
    <cellStyle name="Vírgula 8 8 2 5" xfId="16617" xr:uid="{00000000-0005-0000-0000-00008A5C0000}"/>
    <cellStyle name="Vírgula 8 8 3" xfId="4138" xr:uid="{00000000-0005-0000-0000-00008B5C0000}"/>
    <cellStyle name="Vírgula 8 8 3 2" xfId="6472" xr:uid="{00000000-0005-0000-0000-00008C5C0000}"/>
    <cellStyle name="Vírgula 8 8 3 2 2" xfId="23454" xr:uid="{00000000-0005-0000-0000-00008D5C0000}"/>
    <cellStyle name="Vírgula 8 8 3 2 3" xfId="19507" xr:uid="{00000000-0005-0000-0000-00008E5C0000}"/>
    <cellStyle name="Vírgula 8 8 3 3" xfId="10575" xr:uid="{00000000-0005-0000-0000-00008F5C0000}"/>
    <cellStyle name="Vírgula 8 8 3 3 2" xfId="21186" xr:uid="{00000000-0005-0000-0000-0000905C0000}"/>
    <cellStyle name="Vírgula 8 8 3 4" xfId="17178" xr:uid="{00000000-0005-0000-0000-0000915C0000}"/>
    <cellStyle name="Vírgula 8 8 4" xfId="9126" xr:uid="{00000000-0005-0000-0000-0000925C0000}"/>
    <cellStyle name="Vírgula 8 9" xfId="3050" xr:uid="{00000000-0005-0000-0000-0000935C0000}"/>
    <cellStyle name="Vírgula 8 9 2" xfId="3727" xr:uid="{00000000-0005-0000-0000-0000945C0000}"/>
    <cellStyle name="Vírgula 8 9 2 2" xfId="5916" xr:uid="{00000000-0005-0000-0000-0000955C0000}"/>
    <cellStyle name="Vírgula 8 9 2 2 2" xfId="11114" xr:uid="{00000000-0005-0000-0000-0000965C0000}"/>
    <cellStyle name="Vírgula 8 9 2 2 2 2" xfId="22911" xr:uid="{00000000-0005-0000-0000-0000975C0000}"/>
    <cellStyle name="Vírgula 8 9 2 2 3" xfId="11488" xr:uid="{00000000-0005-0000-0000-0000985C0000}"/>
    <cellStyle name="Vírgula 8 9 2 2 4" xfId="18951" xr:uid="{00000000-0005-0000-0000-0000995C0000}"/>
    <cellStyle name="Vírgula 8 9 2 3" xfId="13677" xr:uid="{00000000-0005-0000-0000-00009A5C0000}"/>
    <cellStyle name="Vírgula 8 9 2 3 2" xfId="20792" xr:uid="{00000000-0005-0000-0000-00009B5C0000}"/>
    <cellStyle name="Vírgula 8 9 2 4" xfId="16771" xr:uid="{00000000-0005-0000-0000-00009C5C0000}"/>
    <cellStyle name="Vírgula 8 9 3" xfId="5219" xr:uid="{00000000-0005-0000-0000-00009D5C0000}"/>
    <cellStyle name="Vírgula 8 9 3 2" xfId="12850" xr:uid="{00000000-0005-0000-0000-00009E5C0000}"/>
    <cellStyle name="Vírgula 8 9 3 2 2" xfId="22218" xr:uid="{00000000-0005-0000-0000-00009F5C0000}"/>
    <cellStyle name="Vírgula 8 9 3 3" xfId="18254" xr:uid="{00000000-0005-0000-0000-0000A05C0000}"/>
    <cellStyle name="Vírgula 8 9 4" xfId="11849" xr:uid="{00000000-0005-0000-0000-0000A15C0000}"/>
    <cellStyle name="Vírgula 8 9 4 2" xfId="15099" xr:uid="{00000000-0005-0000-0000-0000A25C0000}"/>
    <cellStyle name="Vírgula 8 9 4 3" xfId="13578" xr:uid="{00000000-0005-0000-0000-0000A35C0000}"/>
    <cellStyle name="Vírgula 8 9 4 4" xfId="20118" xr:uid="{00000000-0005-0000-0000-0000A45C0000}"/>
    <cellStyle name="Vírgula 8 9 5" xfId="16094" xr:uid="{00000000-0005-0000-0000-0000A55C0000}"/>
    <cellStyle name="Vírgula 9" xfId="345" xr:uid="{00000000-0005-0000-0000-0000A65C0000}"/>
    <cellStyle name="Vírgula 9 2" xfId="923" xr:uid="{00000000-0005-0000-0000-0000A75C0000}"/>
    <cellStyle name="Vírgula 9 2 2" xfId="2455" xr:uid="{00000000-0005-0000-0000-0000A85C0000}"/>
    <cellStyle name="Vírgula 9 2 2 2" xfId="3583" xr:uid="{00000000-0005-0000-0000-0000A95C0000}"/>
    <cellStyle name="Vírgula 9 2 2 2 2" xfId="4861" xr:uid="{00000000-0005-0000-0000-0000AA5C0000}"/>
    <cellStyle name="Vírgula 9 2 2 2 2 2" xfId="21901" xr:uid="{00000000-0005-0000-0000-0000AB5C0000}"/>
    <cellStyle name="Vírgula 9 2 2 2 2 3" xfId="17896" xr:uid="{00000000-0005-0000-0000-0000AC5C0000}"/>
    <cellStyle name="Vírgula 9 2 2 2 3" xfId="5752" xr:uid="{00000000-0005-0000-0000-0000AD5C0000}"/>
    <cellStyle name="Vírgula 9 2 2 2 3 2" xfId="22751" xr:uid="{00000000-0005-0000-0000-0000AE5C0000}"/>
    <cellStyle name="Vírgula 9 2 2 2 3 3" xfId="18787" xr:uid="{00000000-0005-0000-0000-0000AF5C0000}"/>
    <cellStyle name="Vírgula 9 2 2 2 4" xfId="20651" xr:uid="{00000000-0005-0000-0000-0000B05C0000}"/>
    <cellStyle name="Vírgula 9 2 2 2 5" xfId="16627" xr:uid="{00000000-0005-0000-0000-0000B15C0000}"/>
    <cellStyle name="Vírgula 9 2 2 3" xfId="4057" xr:uid="{00000000-0005-0000-0000-0000B25C0000}"/>
    <cellStyle name="Vírgula 9 2 2 3 2" xfId="6482" xr:uid="{00000000-0005-0000-0000-0000B35C0000}"/>
    <cellStyle name="Vírgula 9 2 2 3 2 2" xfId="23464" xr:uid="{00000000-0005-0000-0000-0000B45C0000}"/>
    <cellStyle name="Vírgula 9 2 2 3 2 3" xfId="19517" xr:uid="{00000000-0005-0000-0000-0000B55C0000}"/>
    <cellStyle name="Vírgula 9 2 2 3 3" xfId="21106" xr:uid="{00000000-0005-0000-0000-0000B65C0000}"/>
    <cellStyle name="Vírgula 9 2 2 3 4" xfId="17098" xr:uid="{00000000-0005-0000-0000-0000B75C0000}"/>
    <cellStyle name="Vírgula 9 2 2 4" xfId="13533" xr:uid="{00000000-0005-0000-0000-0000B85C0000}"/>
    <cellStyle name="Vírgula 9 2 2 5" xfId="13418" xr:uid="{00000000-0005-0000-0000-0000B95C0000}"/>
    <cellStyle name="Vírgula 9 2 3" xfId="3208" xr:uid="{00000000-0005-0000-0000-0000BA5C0000}"/>
    <cellStyle name="Vírgula 9 2 3 2" xfId="4380" xr:uid="{00000000-0005-0000-0000-0000BB5C0000}"/>
    <cellStyle name="Vírgula 9 2 3 2 2" xfId="6608" xr:uid="{00000000-0005-0000-0000-0000BC5C0000}"/>
    <cellStyle name="Vírgula 9 2 3 2 2 2" xfId="23590" xr:uid="{00000000-0005-0000-0000-0000BD5C0000}"/>
    <cellStyle name="Vírgula 9 2 3 2 2 3" xfId="19643" xr:uid="{00000000-0005-0000-0000-0000BE5C0000}"/>
    <cellStyle name="Vírgula 9 2 3 2 3" xfId="21424" xr:uid="{00000000-0005-0000-0000-0000BF5C0000}"/>
    <cellStyle name="Vírgula 9 2 3 2 4" xfId="17417" xr:uid="{00000000-0005-0000-0000-0000C05C0000}"/>
    <cellStyle name="Vírgula 9 2 3 3" xfId="5377" xr:uid="{00000000-0005-0000-0000-0000C15C0000}"/>
    <cellStyle name="Vírgula 9 2 3 3 2" xfId="12479" xr:uid="{00000000-0005-0000-0000-0000C25C0000}"/>
    <cellStyle name="Vírgula 9 2 3 3 2 2" xfId="22376" xr:uid="{00000000-0005-0000-0000-0000C35C0000}"/>
    <cellStyle name="Vírgula 9 2 3 3 3" xfId="11561" xr:uid="{00000000-0005-0000-0000-0000C45C0000}"/>
    <cellStyle name="Vírgula 9 2 3 3 4" xfId="18412" xr:uid="{00000000-0005-0000-0000-0000C55C0000}"/>
    <cellStyle name="Vírgula 9 2 3 4" xfId="12965" xr:uid="{00000000-0005-0000-0000-0000C65C0000}"/>
    <cellStyle name="Vírgula 9 2 3 4 2" xfId="20276" xr:uid="{00000000-0005-0000-0000-0000C75C0000}"/>
    <cellStyle name="Vírgula 9 2 3 5" xfId="16252" xr:uid="{00000000-0005-0000-0000-0000C85C0000}"/>
    <cellStyle name="Vírgula 9 2 4" xfId="3957" xr:uid="{00000000-0005-0000-0000-0000C95C0000}"/>
    <cellStyle name="Vírgula 9 2 4 2" xfId="6098" xr:uid="{00000000-0005-0000-0000-0000CA5C0000}"/>
    <cellStyle name="Vírgula 9 2 4 2 2" xfId="23087" xr:uid="{00000000-0005-0000-0000-0000CB5C0000}"/>
    <cellStyle name="Vírgula 9 2 4 2 3" xfId="19133" xr:uid="{00000000-0005-0000-0000-0000CC5C0000}"/>
    <cellStyle name="Vírgula 9 2 4 3" xfId="21014" xr:uid="{00000000-0005-0000-0000-0000CD5C0000}"/>
    <cellStyle name="Vírgula 9 2 4 4" xfId="16999" xr:uid="{00000000-0005-0000-0000-0000CE5C0000}"/>
    <cellStyle name="Vírgula 9 2 5" xfId="6793" xr:uid="{00000000-0005-0000-0000-0000CF5C0000}"/>
    <cellStyle name="Vírgula 9 2 5 2" xfId="23766" xr:uid="{00000000-0005-0000-0000-0000D05C0000}"/>
    <cellStyle name="Vírgula 9 2 5 3" xfId="19828" xr:uid="{00000000-0005-0000-0000-0000D15C0000}"/>
    <cellStyle name="Vírgula 9 2 6" xfId="5111" xr:uid="{00000000-0005-0000-0000-0000D25C0000}"/>
    <cellStyle name="Vírgula 9 2 6 2" xfId="22119" xr:uid="{00000000-0005-0000-0000-0000D35C0000}"/>
    <cellStyle name="Vírgula 9 2 6 3" xfId="18146" xr:uid="{00000000-0005-0000-0000-0000D45C0000}"/>
    <cellStyle name="Vírgula 9 2 7" xfId="20019" xr:uid="{00000000-0005-0000-0000-0000D55C0000}"/>
    <cellStyle name="Vírgula 9 2 8" xfId="15979" xr:uid="{00000000-0005-0000-0000-0000D65C0000}"/>
    <cellStyle name="Vírgula 9 3" xfId="2456" xr:uid="{00000000-0005-0000-0000-0000D75C0000}"/>
    <cellStyle name="Vírgula 9 3 2" xfId="3584" xr:uid="{00000000-0005-0000-0000-0000D85C0000}"/>
    <cellStyle name="Vírgula 9 3 2 2" xfId="4862" xr:uid="{00000000-0005-0000-0000-0000D95C0000}"/>
    <cellStyle name="Vírgula 9 3 2 2 2" xfId="21902" xr:uid="{00000000-0005-0000-0000-0000DA5C0000}"/>
    <cellStyle name="Vírgula 9 3 2 2 3" xfId="17897" xr:uid="{00000000-0005-0000-0000-0000DB5C0000}"/>
    <cellStyle name="Vírgula 9 3 2 3" xfId="5753" xr:uid="{00000000-0005-0000-0000-0000DC5C0000}"/>
    <cellStyle name="Vírgula 9 3 2 3 2" xfId="11713" xr:uid="{00000000-0005-0000-0000-0000DD5C0000}"/>
    <cellStyle name="Vírgula 9 3 2 3 2 2" xfId="22752" xr:uid="{00000000-0005-0000-0000-0000DE5C0000}"/>
    <cellStyle name="Vírgula 9 3 2 3 3" xfId="11457" xr:uid="{00000000-0005-0000-0000-0000DF5C0000}"/>
    <cellStyle name="Vírgula 9 3 2 3 4" xfId="18788" xr:uid="{00000000-0005-0000-0000-0000E05C0000}"/>
    <cellStyle name="Vírgula 9 3 2 4" xfId="11459" xr:uid="{00000000-0005-0000-0000-0000E15C0000}"/>
    <cellStyle name="Vírgula 9 3 2 4 2" xfId="20652" xr:uid="{00000000-0005-0000-0000-0000E25C0000}"/>
    <cellStyle name="Vírgula 9 3 2 5" xfId="16628" xr:uid="{00000000-0005-0000-0000-0000E35C0000}"/>
    <cellStyle name="Vírgula 9 3 3" xfId="3691" xr:uid="{00000000-0005-0000-0000-0000E45C0000}"/>
    <cellStyle name="Vírgula 9 3 3 2" xfId="6483" xr:uid="{00000000-0005-0000-0000-0000E55C0000}"/>
    <cellStyle name="Vírgula 9 3 3 2 2" xfId="23465" xr:uid="{00000000-0005-0000-0000-0000E65C0000}"/>
    <cellStyle name="Vírgula 9 3 3 2 3" xfId="19518" xr:uid="{00000000-0005-0000-0000-0000E75C0000}"/>
    <cellStyle name="Vírgula 9 3 3 3" xfId="20759" xr:uid="{00000000-0005-0000-0000-0000E85C0000}"/>
    <cellStyle name="Vírgula 9 3 3 4" xfId="16735" xr:uid="{00000000-0005-0000-0000-0000E95C0000}"/>
    <cellStyle name="Vírgula 9 3 4" xfId="13534" xr:uid="{00000000-0005-0000-0000-0000EA5C0000}"/>
    <cellStyle name="Vírgula 9 4" xfId="2457" xr:uid="{00000000-0005-0000-0000-0000EB5C0000}"/>
    <cellStyle name="Vírgula 9 4 2" xfId="3585" xr:uid="{00000000-0005-0000-0000-0000EC5C0000}"/>
    <cellStyle name="Vírgula 9 4 2 2" xfId="4863" xr:uid="{00000000-0005-0000-0000-0000ED5C0000}"/>
    <cellStyle name="Vírgula 9 4 2 2 2" xfId="21903" xr:uid="{00000000-0005-0000-0000-0000EE5C0000}"/>
    <cellStyle name="Vírgula 9 4 2 2 3" xfId="17898" xr:uid="{00000000-0005-0000-0000-0000EF5C0000}"/>
    <cellStyle name="Vírgula 9 4 2 3" xfId="5754" xr:uid="{00000000-0005-0000-0000-0000F05C0000}"/>
    <cellStyle name="Vírgula 9 4 2 3 2" xfId="22753" xr:uid="{00000000-0005-0000-0000-0000F15C0000}"/>
    <cellStyle name="Vírgula 9 4 2 3 3" xfId="18789" xr:uid="{00000000-0005-0000-0000-0000F25C0000}"/>
    <cellStyle name="Vírgula 9 4 2 4" xfId="20653" xr:uid="{00000000-0005-0000-0000-0000F35C0000}"/>
    <cellStyle name="Vírgula 9 4 2 5" xfId="16629" xr:uid="{00000000-0005-0000-0000-0000F45C0000}"/>
    <cellStyle name="Vírgula 9 4 3" xfId="4112" xr:uid="{00000000-0005-0000-0000-0000F55C0000}"/>
    <cellStyle name="Vírgula 9 4 3 2" xfId="6484" xr:uid="{00000000-0005-0000-0000-0000F65C0000}"/>
    <cellStyle name="Vírgula 9 4 3 2 2" xfId="23466" xr:uid="{00000000-0005-0000-0000-0000F75C0000}"/>
    <cellStyle name="Vírgula 9 4 3 2 3" xfId="19519" xr:uid="{00000000-0005-0000-0000-0000F85C0000}"/>
    <cellStyle name="Vírgula 9 4 3 3" xfId="21160" xr:uid="{00000000-0005-0000-0000-0000F95C0000}"/>
    <cellStyle name="Vírgula 9 4 3 4" xfId="17152" xr:uid="{00000000-0005-0000-0000-0000FA5C0000}"/>
    <cellStyle name="Vírgula 9 5" xfId="2454" xr:uid="{00000000-0005-0000-0000-0000FB5C0000}"/>
    <cellStyle name="Vírgula 9 5 2" xfId="3582" xr:uid="{00000000-0005-0000-0000-0000FC5C0000}"/>
    <cellStyle name="Vírgula 9 5 2 2" xfId="4860" xr:uid="{00000000-0005-0000-0000-0000FD5C0000}"/>
    <cellStyle name="Vírgula 9 5 2 2 2" xfId="21900" xr:uid="{00000000-0005-0000-0000-0000FE5C0000}"/>
    <cellStyle name="Vírgula 9 5 2 2 3" xfId="17895" xr:uid="{00000000-0005-0000-0000-0000FF5C0000}"/>
    <cellStyle name="Vírgula 9 5 2 3" xfId="5751" xr:uid="{00000000-0005-0000-0000-0000005D0000}"/>
    <cellStyle name="Vírgula 9 5 2 3 2" xfId="22750" xr:uid="{00000000-0005-0000-0000-0000015D0000}"/>
    <cellStyle name="Vírgula 9 5 2 3 3" xfId="18786" xr:uid="{00000000-0005-0000-0000-0000025D0000}"/>
    <cellStyle name="Vírgula 9 5 2 4" xfId="20650" xr:uid="{00000000-0005-0000-0000-0000035D0000}"/>
    <cellStyle name="Vírgula 9 5 2 5" xfId="16626" xr:uid="{00000000-0005-0000-0000-0000045D0000}"/>
    <cellStyle name="Vírgula 9 5 3" xfId="4407" xr:uid="{00000000-0005-0000-0000-0000055D0000}"/>
    <cellStyle name="Vírgula 9 5 3 2" xfId="6481" xr:uid="{00000000-0005-0000-0000-0000065D0000}"/>
    <cellStyle name="Vírgula 9 5 3 2 2" xfId="23463" xr:uid="{00000000-0005-0000-0000-0000075D0000}"/>
    <cellStyle name="Vírgula 9 5 3 2 3" xfId="19516" xr:uid="{00000000-0005-0000-0000-0000085D0000}"/>
    <cellStyle name="Vírgula 9 5 3 3" xfId="21450" xr:uid="{00000000-0005-0000-0000-0000095D0000}"/>
    <cellStyle name="Vírgula 9 5 3 4" xfId="17444" xr:uid="{00000000-0005-0000-0000-00000A5D0000}"/>
    <cellStyle name="Vírgula 9 6" xfId="4033" xr:uid="{00000000-0005-0000-0000-00000B5D0000}"/>
    <cellStyle name="Vírgula 9 6 2" xfId="5918" xr:uid="{00000000-0005-0000-0000-00000C5D0000}"/>
    <cellStyle name="Vírgula 9 6 2 2" xfId="11617" xr:uid="{00000000-0005-0000-0000-00000D5D0000}"/>
    <cellStyle name="Vírgula 9 6 2 2 2" xfId="22913" xr:uid="{00000000-0005-0000-0000-00000E5D0000}"/>
    <cellStyle name="Vírgula 9 6 2 3" xfId="11525" xr:uid="{00000000-0005-0000-0000-00000F5D0000}"/>
    <cellStyle name="Vírgula 9 6 2 4" xfId="18953" xr:uid="{00000000-0005-0000-0000-0000105D0000}"/>
    <cellStyle name="Vírgula 9 6 3" xfId="12350" xr:uid="{00000000-0005-0000-0000-0000115D0000}"/>
    <cellStyle name="Vírgula 9 6 3 2" xfId="15388" xr:uid="{00000000-0005-0000-0000-0000125D0000}"/>
    <cellStyle name="Vírgula 9 6 3 3" xfId="13705" xr:uid="{00000000-0005-0000-0000-0000135D0000}"/>
    <cellStyle name="Vírgula 9 6 3 4" xfId="21082" xr:uid="{00000000-0005-0000-0000-0000145D0000}"/>
    <cellStyle name="Vírgula 9 6 4" xfId="17074" xr:uid="{00000000-0005-0000-0000-0000155D0000}"/>
    <cellStyle name="Vírgula 9 7" xfId="8699" xr:uid="{00000000-0005-0000-0000-0000165D0000}"/>
    <cellStyle name="Vírgula 9 7 2" xfId="11639" xr:uid="{00000000-0005-0000-0000-0000175D0000}"/>
    <cellStyle name="Vírgula 9 7 3" xfId="11003" xr:uid="{00000000-0005-0000-0000-0000185D0000}"/>
    <cellStyle name="Vírgula 9 8" xfId="8700" xr:uid="{00000000-0005-0000-0000-0000195D0000}"/>
    <cellStyle name="Vírgula 9 8 2" xfId="11289" xr:uid="{00000000-0005-0000-0000-00001A5D0000}"/>
    <cellStyle name="Vírgula 9 8 3" xfId="13113" xr:uid="{00000000-0005-0000-0000-00001B5D0000}"/>
    <cellStyle name="Vírgula 9 9" xfId="8701" xr:uid="{00000000-0005-0000-0000-00001C5D0000}"/>
    <cellStyle name="Vírgula 9 9 2" xfId="11712" xr:uid="{00000000-0005-0000-0000-00001D5D0000}"/>
    <cellStyle name="Vírgula 9 9 3" xfId="12352" xr:uid="{00000000-0005-0000-0000-00001E5D0000}"/>
    <cellStyle name="Währung" xfId="3015" xr:uid="{00000000-0005-0000-0000-00001F5D0000}"/>
    <cellStyle name="Währung 2" xfId="3016" xr:uid="{00000000-0005-0000-0000-0000205D0000}"/>
    <cellStyle name="Währung 2 2" xfId="8702" xr:uid="{00000000-0005-0000-0000-0000215D0000}"/>
    <cellStyle name="Währung 3" xfId="8703" xr:uid="{00000000-0005-0000-0000-0000225D0000}"/>
    <cellStyle name="Warning Text" xfId="430" xr:uid="{00000000-0005-0000-0000-0000235D0000}"/>
  </cellStyles>
  <dxfs count="604">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977543"/>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8.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179293</xdr:colOff>
      <xdr:row>1</xdr:row>
      <xdr:rowOff>168088</xdr:rowOff>
    </xdr:from>
    <xdr:to>
      <xdr:col>2</xdr:col>
      <xdr:colOff>1411941</xdr:colOff>
      <xdr:row>5</xdr:row>
      <xdr:rowOff>67234</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411" y="336176"/>
          <a:ext cx="1905001" cy="13559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133350</xdr:colOff>
      <xdr:row>12</xdr:row>
      <xdr:rowOff>24493</xdr:rowOff>
    </xdr:from>
    <xdr:to>
      <xdr:col>2</xdr:col>
      <xdr:colOff>4194694</xdr:colOff>
      <xdr:row>12</xdr:row>
      <xdr:rowOff>1047751</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586843"/>
          <a:ext cx="4061344" cy="1023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653141</xdr:colOff>
      <xdr:row>15</xdr:row>
      <xdr:rowOff>54429</xdr:rowOff>
    </xdr:from>
    <xdr:to>
      <xdr:col>3</xdr:col>
      <xdr:colOff>1124920</xdr:colOff>
      <xdr:row>34</xdr:row>
      <xdr:rowOff>40822</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262741" y="5569404"/>
          <a:ext cx="5653379" cy="3605893"/>
        </a:xfrm>
        <a:prstGeom prst="rect">
          <a:avLst/>
        </a:prstGeom>
      </xdr:spPr>
    </xdr:pic>
    <xdr:clientData/>
  </xdr:twoCellAnchor>
  <xdr:twoCellAnchor editAs="oneCell">
    <xdr:from>
      <xdr:col>5</xdr:col>
      <xdr:colOff>14106</xdr:colOff>
      <xdr:row>15</xdr:row>
      <xdr:rowOff>3</xdr:rowOff>
    </xdr:from>
    <xdr:to>
      <xdr:col>10</xdr:col>
      <xdr:colOff>19712</xdr:colOff>
      <xdr:row>34</xdr:row>
      <xdr:rowOff>132653</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7986531" y="5514978"/>
          <a:ext cx="4291856" cy="3752150"/>
        </a:xfrm>
        <a:prstGeom prst="rect">
          <a:avLst/>
        </a:prstGeom>
      </xdr:spPr>
    </xdr:pic>
    <xdr:clientData/>
  </xdr:twoCellAnchor>
  <xdr:twoCellAnchor editAs="oneCell">
    <xdr:from>
      <xdr:col>1</xdr:col>
      <xdr:colOff>176892</xdr:colOff>
      <xdr:row>0</xdr:row>
      <xdr:rowOff>0</xdr:rowOff>
    </xdr:from>
    <xdr:to>
      <xdr:col>2</xdr:col>
      <xdr:colOff>1140014</xdr:colOff>
      <xdr:row>4</xdr:row>
      <xdr:rowOff>176893</xdr:rowOff>
    </xdr:to>
    <xdr:pic>
      <xdr:nvPicPr>
        <xdr:cNvPr id="7" name="Imagem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213" y="0"/>
          <a:ext cx="1820372" cy="12110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89648</xdr:colOff>
      <xdr:row>4</xdr:row>
      <xdr:rowOff>381001</xdr:rowOff>
    </xdr:from>
    <xdr:to>
      <xdr:col>1</xdr:col>
      <xdr:colOff>1546412</xdr:colOff>
      <xdr:row>5</xdr:row>
      <xdr:rowOff>91969</xdr:rowOff>
    </xdr:to>
    <xdr:pic>
      <xdr:nvPicPr>
        <xdr:cNvPr id="5" name="Imagem 4">
          <a:extLst>
            <a:ext uri="{FF2B5EF4-FFF2-40B4-BE49-F238E27FC236}">
              <a16:creationId xmlns:a16="http://schemas.microsoft.com/office/drawing/2014/main" id="{161B9F32-D772-4D16-BD1E-19C9EA855B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66266" y="974913"/>
          <a:ext cx="1456764" cy="4729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159936</xdr:colOff>
      <xdr:row>45</xdr:row>
      <xdr:rowOff>26483</xdr:rowOff>
    </xdr:from>
    <xdr:to>
      <xdr:col>6</xdr:col>
      <xdr:colOff>1116711</xdr:colOff>
      <xdr:row>46</xdr:row>
      <xdr:rowOff>2173941</xdr:rowOff>
    </xdr:to>
    <xdr:pic>
      <xdr:nvPicPr>
        <xdr:cNvPr id="4" name="Imagem 3" descr="ALONGADOR FINAL">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78442</xdr:colOff>
      <xdr:row>63</xdr:row>
      <xdr:rowOff>124065</xdr:rowOff>
    </xdr:from>
    <xdr:to>
      <xdr:col>6</xdr:col>
      <xdr:colOff>997323</xdr:colOff>
      <xdr:row>64</xdr:row>
      <xdr:rowOff>2675255</xdr:rowOff>
    </xdr:to>
    <xdr:pic>
      <xdr:nvPicPr>
        <xdr:cNvPr id="5" name="Imagem 4" descr="ROTAÇÃO DIAGONAL DUPLA FINAL">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210509</xdr:colOff>
      <xdr:row>80</xdr:row>
      <xdr:rowOff>158483</xdr:rowOff>
    </xdr:from>
    <xdr:to>
      <xdr:col>6</xdr:col>
      <xdr:colOff>1061357</xdr:colOff>
      <xdr:row>81</xdr:row>
      <xdr:rowOff>2705475</xdr:rowOff>
    </xdr:to>
    <xdr:pic>
      <xdr:nvPicPr>
        <xdr:cNvPr id="6" name="Imagem 5" descr="ROTAÇÃO VERTICAL DUPLO FINAL">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168086</xdr:colOff>
      <xdr:row>98</xdr:row>
      <xdr:rowOff>100852</xdr:rowOff>
    </xdr:from>
    <xdr:to>
      <xdr:col>6</xdr:col>
      <xdr:colOff>998418</xdr:colOff>
      <xdr:row>99</xdr:row>
      <xdr:rowOff>1086971</xdr:rowOff>
    </xdr:to>
    <xdr:pic>
      <xdr:nvPicPr>
        <xdr:cNvPr id="7" name="Imagem 6" descr="SURF DUPLO final">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115</xdr:row>
      <xdr:rowOff>235324</xdr:rowOff>
    </xdr:from>
    <xdr:to>
      <xdr:col>6</xdr:col>
      <xdr:colOff>1120588</xdr:colOff>
      <xdr:row>116</xdr:row>
      <xdr:rowOff>2274794</xdr:rowOff>
    </xdr:to>
    <xdr:pic>
      <xdr:nvPicPr>
        <xdr:cNvPr id="8" name="Imagem 7" descr="C:\Users\Marcos Vinicios\Desktop\PLAYGROUDN\NOVO\DETALHES\PRESSÃO DE PERNAS final.png">
          <a:extLst>
            <a:ext uri="{FF2B5EF4-FFF2-40B4-BE49-F238E27FC236}">
              <a16:creationId xmlns:a16="http://schemas.microsoft.com/office/drawing/2014/main" id="{00000000-0008-0000-0F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editAs="oneCell">
    <xdr:from>
      <xdr:col>1</xdr:col>
      <xdr:colOff>112058</xdr:colOff>
      <xdr:row>200</xdr:row>
      <xdr:rowOff>268941</xdr:rowOff>
    </xdr:from>
    <xdr:to>
      <xdr:col>6</xdr:col>
      <xdr:colOff>1064558</xdr:colOff>
      <xdr:row>201</xdr:row>
      <xdr:rowOff>4796117</xdr:rowOff>
    </xdr:to>
    <xdr:pic>
      <xdr:nvPicPr>
        <xdr:cNvPr id="13" name="Imagem 12" descr="C:\Users\Marcos Vinicios\Desktop\PLAYGROUDN\NOVO\DETALHES\MULTPLO EXCERCITADOR final.pn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217</xdr:row>
      <xdr:rowOff>95249</xdr:rowOff>
    </xdr:from>
    <xdr:to>
      <xdr:col>6</xdr:col>
      <xdr:colOff>1102178</xdr:colOff>
      <xdr:row>218</xdr:row>
      <xdr:rowOff>4095750</xdr:rowOff>
    </xdr:to>
    <xdr:pic>
      <xdr:nvPicPr>
        <xdr:cNvPr id="14" name="Imagem 13" descr="C:\Users\Marcos Vinicios\Desktop\PLAYGROUDN\NOVO\DETALHES\PLACA-ORIENTATIVA-VERTICAL FINAL.png">
          <a:extLst>
            <a:ext uri="{FF2B5EF4-FFF2-40B4-BE49-F238E27FC236}">
              <a16:creationId xmlns:a16="http://schemas.microsoft.com/office/drawing/2014/main" id="{00000000-0008-0000-0F00-00000E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6492" y="142998824"/>
          <a:ext cx="11507561" cy="8629651"/>
        </a:xfrm>
        <a:prstGeom prst="rect">
          <a:avLst/>
        </a:prstGeom>
        <a:noFill/>
        <a:ln>
          <a:noFill/>
        </a:ln>
      </xdr:spPr>
    </xdr:pic>
    <xdr:clientData/>
  </xdr:twoCellAnchor>
  <xdr:twoCellAnchor editAs="oneCell">
    <xdr:from>
      <xdr:col>1</xdr:col>
      <xdr:colOff>653143</xdr:colOff>
      <xdr:row>132</xdr:row>
      <xdr:rowOff>353786</xdr:rowOff>
    </xdr:from>
    <xdr:to>
      <xdr:col>6</xdr:col>
      <xdr:colOff>13607</xdr:colOff>
      <xdr:row>133</xdr:row>
      <xdr:rowOff>1454600</xdr:rowOff>
    </xdr:to>
    <xdr:pic>
      <xdr:nvPicPr>
        <xdr:cNvPr id="15" name="Imagem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65464" y="69641357"/>
          <a:ext cx="9946822" cy="6298743"/>
        </a:xfrm>
        <a:prstGeom prst="rect">
          <a:avLst/>
        </a:prstGeom>
      </xdr:spPr>
    </xdr:pic>
    <xdr:clientData/>
  </xdr:twoCellAnchor>
  <xdr:twoCellAnchor editAs="oneCell">
    <xdr:from>
      <xdr:col>1</xdr:col>
      <xdr:colOff>666750</xdr:colOff>
      <xdr:row>149</xdr:row>
      <xdr:rowOff>258536</xdr:rowOff>
    </xdr:from>
    <xdr:to>
      <xdr:col>6</xdr:col>
      <xdr:colOff>585107</xdr:colOff>
      <xdr:row>150</xdr:row>
      <xdr:rowOff>1535120</xdr:rowOff>
    </xdr:to>
    <xdr:pic>
      <xdr:nvPicPr>
        <xdr:cNvPr id="16" name="Imagem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79071" y="80567893"/>
          <a:ext cx="10504715" cy="6474513"/>
        </a:xfrm>
        <a:prstGeom prst="rect">
          <a:avLst/>
        </a:prstGeom>
      </xdr:spPr>
    </xdr:pic>
    <xdr:clientData/>
  </xdr:twoCellAnchor>
  <xdr:twoCellAnchor editAs="oneCell">
    <xdr:from>
      <xdr:col>1</xdr:col>
      <xdr:colOff>571500</xdr:colOff>
      <xdr:row>166</xdr:row>
      <xdr:rowOff>163287</xdr:rowOff>
    </xdr:from>
    <xdr:to>
      <xdr:col>6</xdr:col>
      <xdr:colOff>748392</xdr:colOff>
      <xdr:row>167</xdr:row>
      <xdr:rowOff>561676</xdr:rowOff>
    </xdr:to>
    <xdr:pic>
      <xdr:nvPicPr>
        <xdr:cNvPr id="17" name="Imagem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83821" y="92065930"/>
          <a:ext cx="10763250" cy="5596317"/>
        </a:xfrm>
        <a:prstGeom prst="rect">
          <a:avLst/>
        </a:prstGeom>
      </xdr:spPr>
    </xdr:pic>
    <xdr:clientData/>
  </xdr:twoCellAnchor>
  <xdr:twoCellAnchor editAs="oneCell">
    <xdr:from>
      <xdr:col>1</xdr:col>
      <xdr:colOff>1251858</xdr:colOff>
      <xdr:row>183</xdr:row>
      <xdr:rowOff>176894</xdr:rowOff>
    </xdr:from>
    <xdr:to>
      <xdr:col>6</xdr:col>
      <xdr:colOff>95250</xdr:colOff>
      <xdr:row>184</xdr:row>
      <xdr:rowOff>2136685</xdr:rowOff>
    </xdr:to>
    <xdr:pic>
      <xdr:nvPicPr>
        <xdr:cNvPr id="18" name="Imagem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1"/>
        <a:stretch>
          <a:fillRect/>
        </a:stretch>
      </xdr:blipFill>
      <xdr:spPr>
        <a:xfrm>
          <a:off x="1864179" y="102121608"/>
          <a:ext cx="9429750" cy="6586220"/>
        </a:xfrm>
        <a:prstGeom prst="rect">
          <a:avLst/>
        </a:prstGeom>
      </xdr:spPr>
    </xdr:pic>
    <xdr:clientData/>
  </xdr:twoCellAnchor>
  <xdr:twoCellAnchor editAs="oneCell">
    <xdr:from>
      <xdr:col>1</xdr:col>
      <xdr:colOff>136073</xdr:colOff>
      <xdr:row>2</xdr:row>
      <xdr:rowOff>272143</xdr:rowOff>
    </xdr:from>
    <xdr:to>
      <xdr:col>1</xdr:col>
      <xdr:colOff>1496787</xdr:colOff>
      <xdr:row>3</xdr:row>
      <xdr:rowOff>165620</xdr:rowOff>
    </xdr:to>
    <xdr:pic>
      <xdr:nvPicPr>
        <xdr:cNvPr id="19" name="Imagem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8394" y="503464"/>
          <a:ext cx="1360714" cy="886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78441</xdr:colOff>
      <xdr:row>2</xdr:row>
      <xdr:rowOff>493059</xdr:rowOff>
    </xdr:from>
    <xdr:to>
      <xdr:col>1</xdr:col>
      <xdr:colOff>1535205</xdr:colOff>
      <xdr:row>3</xdr:row>
      <xdr:rowOff>204027</xdr:rowOff>
    </xdr:to>
    <xdr:pic>
      <xdr:nvPicPr>
        <xdr:cNvPr id="2" name="Imagem 1">
          <a:extLst>
            <a:ext uri="{FF2B5EF4-FFF2-40B4-BE49-F238E27FC236}">
              <a16:creationId xmlns:a16="http://schemas.microsoft.com/office/drawing/2014/main" id="{99D0B7DA-C9A7-48E4-BF37-18E77939E1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43853" y="739588"/>
          <a:ext cx="1456764" cy="4729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145676</xdr:colOff>
      <xdr:row>5</xdr:row>
      <xdr:rowOff>571500</xdr:rowOff>
    </xdr:from>
    <xdr:to>
      <xdr:col>1</xdr:col>
      <xdr:colOff>1602440</xdr:colOff>
      <xdr:row>6</xdr:row>
      <xdr:rowOff>282468</xdr:rowOff>
    </xdr:to>
    <xdr:pic>
      <xdr:nvPicPr>
        <xdr:cNvPr id="2" name="Imagem 1">
          <a:extLst>
            <a:ext uri="{FF2B5EF4-FFF2-40B4-BE49-F238E27FC236}">
              <a16:creationId xmlns:a16="http://schemas.microsoft.com/office/drawing/2014/main" id="{7504ED78-3BD4-4F3B-A9F0-4B7B8EB6DC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445558" y="1378324"/>
          <a:ext cx="1456764" cy="4729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78441</xdr:colOff>
      <xdr:row>5</xdr:row>
      <xdr:rowOff>571500</xdr:rowOff>
    </xdr:from>
    <xdr:to>
      <xdr:col>1</xdr:col>
      <xdr:colOff>1535205</xdr:colOff>
      <xdr:row>6</xdr:row>
      <xdr:rowOff>282468</xdr:rowOff>
    </xdr:to>
    <xdr:pic>
      <xdr:nvPicPr>
        <xdr:cNvPr id="2" name="Imagem 1">
          <a:extLst>
            <a:ext uri="{FF2B5EF4-FFF2-40B4-BE49-F238E27FC236}">
              <a16:creationId xmlns:a16="http://schemas.microsoft.com/office/drawing/2014/main" id="{C371F273-2E93-41D6-8802-F92D5D22D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378323" y="1546412"/>
          <a:ext cx="1456764" cy="4729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89647</xdr:colOff>
      <xdr:row>5</xdr:row>
      <xdr:rowOff>526676</xdr:rowOff>
    </xdr:from>
    <xdr:to>
      <xdr:col>1</xdr:col>
      <xdr:colOff>1546411</xdr:colOff>
      <xdr:row>6</xdr:row>
      <xdr:rowOff>237644</xdr:rowOff>
    </xdr:to>
    <xdr:pic>
      <xdr:nvPicPr>
        <xdr:cNvPr id="2" name="Imagem 1">
          <a:extLst>
            <a:ext uri="{FF2B5EF4-FFF2-40B4-BE49-F238E27FC236}">
              <a16:creationId xmlns:a16="http://schemas.microsoft.com/office/drawing/2014/main" id="{61804A89-962B-4BFD-BE55-6D088C5782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99882" y="1311088"/>
          <a:ext cx="1456764" cy="4729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78441</xdr:colOff>
      <xdr:row>5</xdr:row>
      <xdr:rowOff>649941</xdr:rowOff>
    </xdr:from>
    <xdr:to>
      <xdr:col>1</xdr:col>
      <xdr:colOff>1535205</xdr:colOff>
      <xdr:row>6</xdr:row>
      <xdr:rowOff>360909</xdr:rowOff>
    </xdr:to>
    <xdr:pic>
      <xdr:nvPicPr>
        <xdr:cNvPr id="2" name="Imagem 1">
          <a:extLst>
            <a:ext uri="{FF2B5EF4-FFF2-40B4-BE49-F238E27FC236}">
              <a16:creationId xmlns:a16="http://schemas.microsoft.com/office/drawing/2014/main" id="{96AF838A-A94B-484A-BE9F-731087B32B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378323" y="1434353"/>
          <a:ext cx="1456764" cy="4729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xdr:colOff>
      <xdr:row>2</xdr:row>
      <xdr:rowOff>549089</xdr:rowOff>
    </xdr:from>
    <xdr:to>
      <xdr:col>1</xdr:col>
      <xdr:colOff>1490381</xdr:colOff>
      <xdr:row>3</xdr:row>
      <xdr:rowOff>260057</xdr:rowOff>
    </xdr:to>
    <xdr:pic>
      <xdr:nvPicPr>
        <xdr:cNvPr id="2" name="Imagem 1">
          <a:extLst>
            <a:ext uri="{FF2B5EF4-FFF2-40B4-BE49-F238E27FC236}">
              <a16:creationId xmlns:a16="http://schemas.microsoft.com/office/drawing/2014/main" id="{4DEA99CB-9BE3-4CB5-AE1F-E3AF5D2348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075764" y="795618"/>
          <a:ext cx="1456764" cy="4729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1251858</xdr:colOff>
      <xdr:row>175</xdr:row>
      <xdr:rowOff>54429</xdr:rowOff>
    </xdr:from>
    <xdr:to>
      <xdr:col>6</xdr:col>
      <xdr:colOff>474650</xdr:colOff>
      <xdr:row>176</xdr:row>
      <xdr:rowOff>4041323</xdr:rowOff>
    </xdr:to>
    <xdr:pic>
      <xdr:nvPicPr>
        <xdr:cNvPr id="6" name="Imagem 5" descr="C:\Users\Marcos Vinicios\Desktop\PLAYGROUDN\NOVO\DETALHES\PLACA-ORIENTATIVA-VERTICAL FINAL.png">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44" y="8817429"/>
          <a:ext cx="9783535" cy="8613322"/>
        </a:xfrm>
        <a:prstGeom prst="rect">
          <a:avLst/>
        </a:prstGeom>
        <a:noFill/>
        <a:ln>
          <a:noFill/>
        </a:ln>
      </xdr:spPr>
    </xdr:pic>
    <xdr:clientData/>
  </xdr:twoCellAnchor>
  <xdr:twoCellAnchor editAs="oneCell">
    <xdr:from>
      <xdr:col>2</xdr:col>
      <xdr:colOff>244930</xdr:colOff>
      <xdr:row>149</xdr:row>
      <xdr:rowOff>108855</xdr:rowOff>
    </xdr:from>
    <xdr:to>
      <xdr:col>6</xdr:col>
      <xdr:colOff>148079</xdr:colOff>
      <xdr:row>150</xdr:row>
      <xdr:rowOff>4435929</xdr:rowOff>
    </xdr:to>
    <xdr:pic>
      <xdr:nvPicPr>
        <xdr:cNvPr id="7" name="Imagem 6" descr="C:\Users\Marcos Vinicios\Desktop\PLAYGROUDN\NOVO\DETALHES\MULTPLO EXCERCITADOR final.png">
          <a:extLst>
            <a:ext uri="{FF2B5EF4-FFF2-40B4-BE49-F238E27FC236}">
              <a16:creationId xmlns:a16="http://schemas.microsoft.com/office/drawing/2014/main" id="{00000000-0008-0000-1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60323" y="43406784"/>
          <a:ext cx="8817428" cy="8953501"/>
        </a:xfrm>
        <a:prstGeom prst="rect">
          <a:avLst/>
        </a:prstGeom>
        <a:noFill/>
        <a:ln>
          <a:noFill/>
        </a:ln>
      </xdr:spPr>
    </xdr:pic>
    <xdr:clientData/>
  </xdr:twoCellAnchor>
  <xdr:twoCellAnchor editAs="oneCell">
    <xdr:from>
      <xdr:col>1</xdr:col>
      <xdr:colOff>89647</xdr:colOff>
      <xdr:row>2</xdr:row>
      <xdr:rowOff>593911</xdr:rowOff>
    </xdr:from>
    <xdr:to>
      <xdr:col>2</xdr:col>
      <xdr:colOff>64572</xdr:colOff>
      <xdr:row>3</xdr:row>
      <xdr:rowOff>358588</xdr:rowOff>
    </xdr:to>
    <xdr:pic>
      <xdr:nvPicPr>
        <xdr:cNvPr id="2" name="Imagem 1">
          <a:extLst>
            <a:ext uri="{FF2B5EF4-FFF2-40B4-BE49-F238E27FC236}">
              <a16:creationId xmlns:a16="http://schemas.microsoft.com/office/drawing/2014/main" id="{99D6B4E7-9399-4956-AA95-49F5AF7B0CB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 t="34681" r="122" b="33457"/>
        <a:stretch/>
      </xdr:blipFill>
      <xdr:spPr>
        <a:xfrm>
          <a:off x="1961029" y="840440"/>
          <a:ext cx="1622190" cy="5266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2</xdr:row>
      <xdr:rowOff>76200</xdr:rowOff>
    </xdr:from>
    <xdr:to>
      <xdr:col>3</xdr:col>
      <xdr:colOff>48856</xdr:colOff>
      <xdr:row>3</xdr:row>
      <xdr:rowOff>504825</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323850"/>
          <a:ext cx="1753831" cy="1143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68036</xdr:colOff>
      <xdr:row>2</xdr:row>
      <xdr:rowOff>367393</xdr:rowOff>
    </xdr:from>
    <xdr:to>
      <xdr:col>1</xdr:col>
      <xdr:colOff>1524800</xdr:colOff>
      <xdr:row>3</xdr:row>
      <xdr:rowOff>78361</xdr:rowOff>
    </xdr:to>
    <xdr:pic>
      <xdr:nvPicPr>
        <xdr:cNvPr id="2" name="Imagem 1">
          <a:extLst>
            <a:ext uri="{FF2B5EF4-FFF2-40B4-BE49-F238E27FC236}">
              <a16:creationId xmlns:a16="http://schemas.microsoft.com/office/drawing/2014/main" id="{C0D54A19-A8B4-47E8-A4A0-FE7DAB3514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2149929" y="625929"/>
          <a:ext cx="1456764" cy="4729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134470</xdr:colOff>
      <xdr:row>2</xdr:row>
      <xdr:rowOff>380999</xdr:rowOff>
    </xdr:from>
    <xdr:to>
      <xdr:col>2</xdr:col>
      <xdr:colOff>1927411</xdr:colOff>
      <xdr:row>4</xdr:row>
      <xdr:rowOff>369794</xdr:rowOff>
    </xdr:to>
    <xdr:pic>
      <xdr:nvPicPr>
        <xdr:cNvPr id="2" name="Imagem 1">
          <a:extLst>
            <a:ext uri="{FF2B5EF4-FFF2-40B4-BE49-F238E27FC236}">
              <a16:creationId xmlns:a16="http://schemas.microsoft.com/office/drawing/2014/main" id="{B3B52793-F3ED-45AD-B68B-A619C301D4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458" t="34681" r="5383" b="33457"/>
        <a:stretch/>
      </xdr:blipFill>
      <xdr:spPr>
        <a:xfrm>
          <a:off x="1344705" y="773205"/>
          <a:ext cx="1792941" cy="9749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28574</xdr:colOff>
      <xdr:row>2</xdr:row>
      <xdr:rowOff>134469</xdr:rowOff>
    </xdr:from>
    <xdr:to>
      <xdr:col>2</xdr:col>
      <xdr:colOff>2419349</xdr:colOff>
      <xdr:row>5</xdr:row>
      <xdr:rowOff>50718</xdr:rowOff>
    </xdr:to>
    <xdr:pic>
      <xdr:nvPicPr>
        <xdr:cNvPr id="4" name="Imagem 3">
          <a:extLst>
            <a:ext uri="{FF2B5EF4-FFF2-40B4-BE49-F238E27FC236}">
              <a16:creationId xmlns:a16="http://schemas.microsoft.com/office/drawing/2014/main" id="{F6FECFF0-E761-4A1B-9657-FBF6B53858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47774" y="524994"/>
          <a:ext cx="2390775" cy="15354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509868</xdr:colOff>
      <xdr:row>1</xdr:row>
      <xdr:rowOff>163045</xdr:rowOff>
    </xdr:from>
    <xdr:to>
      <xdr:col>3</xdr:col>
      <xdr:colOff>0</xdr:colOff>
      <xdr:row>5</xdr:row>
      <xdr:rowOff>46486</xdr:rowOff>
    </xdr:to>
    <xdr:pic>
      <xdr:nvPicPr>
        <xdr:cNvPr id="2" name="Imagem 1">
          <a:extLst>
            <a:ext uri="{FF2B5EF4-FFF2-40B4-BE49-F238E27FC236}">
              <a16:creationId xmlns:a16="http://schemas.microsoft.com/office/drawing/2014/main" id="{2E20ECE9-E332-4D4B-B663-3E6AEB9D4F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119468" y="353545"/>
          <a:ext cx="2576232" cy="17027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533400</xdr:colOff>
      <xdr:row>2</xdr:row>
      <xdr:rowOff>124945</xdr:rowOff>
    </xdr:from>
    <xdr:to>
      <xdr:col>2</xdr:col>
      <xdr:colOff>2362200</xdr:colOff>
      <xdr:row>4</xdr:row>
      <xdr:rowOff>624867</xdr:rowOff>
    </xdr:to>
    <xdr:pic>
      <xdr:nvPicPr>
        <xdr:cNvPr id="2" name="Imagem 1">
          <a:extLst>
            <a:ext uri="{FF2B5EF4-FFF2-40B4-BE49-F238E27FC236}">
              <a16:creationId xmlns:a16="http://schemas.microsoft.com/office/drawing/2014/main" id="{4210DD72-CE8D-475D-A9A0-DC594A2A17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143000" y="515470"/>
          <a:ext cx="2438400" cy="149052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85725</xdr:colOff>
      <xdr:row>2</xdr:row>
      <xdr:rowOff>247649</xdr:rowOff>
    </xdr:from>
    <xdr:to>
      <xdr:col>3</xdr:col>
      <xdr:colOff>85725</xdr:colOff>
      <xdr:row>4</xdr:row>
      <xdr:rowOff>476250</xdr:rowOff>
    </xdr:to>
    <xdr:pic>
      <xdr:nvPicPr>
        <xdr:cNvPr id="2" name="Imagem 1">
          <a:extLst>
            <a:ext uri="{FF2B5EF4-FFF2-40B4-BE49-F238E27FC236}">
              <a16:creationId xmlns:a16="http://schemas.microsoft.com/office/drawing/2014/main" id="{EF360965-98E3-49DA-82AA-AC5FB37AC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304925" y="638174"/>
          <a:ext cx="2476500" cy="12192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581025</xdr:colOff>
      <xdr:row>2</xdr:row>
      <xdr:rowOff>286870</xdr:rowOff>
    </xdr:from>
    <xdr:to>
      <xdr:col>2</xdr:col>
      <xdr:colOff>2333625</xdr:colOff>
      <xdr:row>4</xdr:row>
      <xdr:rowOff>598149</xdr:rowOff>
    </xdr:to>
    <xdr:pic>
      <xdr:nvPicPr>
        <xdr:cNvPr id="2" name="Imagem 1">
          <a:extLst>
            <a:ext uri="{FF2B5EF4-FFF2-40B4-BE49-F238E27FC236}">
              <a16:creationId xmlns:a16="http://schemas.microsoft.com/office/drawing/2014/main" id="{0265FEDC-2DC9-4937-9235-F8C6997A58B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190625" y="677395"/>
          <a:ext cx="2362200" cy="13018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590550</xdr:colOff>
      <xdr:row>2</xdr:row>
      <xdr:rowOff>286871</xdr:rowOff>
    </xdr:from>
    <xdr:to>
      <xdr:col>2</xdr:col>
      <xdr:colOff>2333625</xdr:colOff>
      <xdr:row>4</xdr:row>
      <xdr:rowOff>589703</xdr:rowOff>
    </xdr:to>
    <xdr:pic>
      <xdr:nvPicPr>
        <xdr:cNvPr id="2" name="Imagem 1">
          <a:extLst>
            <a:ext uri="{FF2B5EF4-FFF2-40B4-BE49-F238E27FC236}">
              <a16:creationId xmlns:a16="http://schemas.microsoft.com/office/drawing/2014/main" id="{700994E6-EC28-4327-AE4A-6DBD1203E0B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00150" y="677396"/>
          <a:ext cx="2352675" cy="12934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590550</xdr:colOff>
      <xdr:row>2</xdr:row>
      <xdr:rowOff>286872</xdr:rowOff>
    </xdr:from>
    <xdr:to>
      <xdr:col>3</xdr:col>
      <xdr:colOff>19050</xdr:colOff>
      <xdr:row>4</xdr:row>
      <xdr:rowOff>604050</xdr:rowOff>
    </xdr:to>
    <xdr:pic>
      <xdr:nvPicPr>
        <xdr:cNvPr id="2" name="Imagem 1">
          <a:extLst>
            <a:ext uri="{FF2B5EF4-FFF2-40B4-BE49-F238E27FC236}">
              <a16:creationId xmlns:a16="http://schemas.microsoft.com/office/drawing/2014/main" id="{AB196B74-46AD-4BBA-9719-BACB1C5BD54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00150" y="677397"/>
          <a:ext cx="2514600" cy="1307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590550</xdr:colOff>
      <xdr:row>2</xdr:row>
      <xdr:rowOff>286872</xdr:rowOff>
    </xdr:from>
    <xdr:to>
      <xdr:col>2</xdr:col>
      <xdr:colOff>2343149</xdr:colOff>
      <xdr:row>5</xdr:row>
      <xdr:rowOff>68210</xdr:rowOff>
    </xdr:to>
    <xdr:pic>
      <xdr:nvPicPr>
        <xdr:cNvPr id="2" name="Imagem 1">
          <a:extLst>
            <a:ext uri="{FF2B5EF4-FFF2-40B4-BE49-F238E27FC236}">
              <a16:creationId xmlns:a16="http://schemas.microsoft.com/office/drawing/2014/main" id="{EB303E87-0533-4B66-A50E-2905BA3DF8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00150" y="677397"/>
          <a:ext cx="2362199" cy="1400588"/>
        </a:xfrm>
        <a:prstGeom prst="rect">
          <a:avLst/>
        </a:prstGeom>
      </xdr:spPr>
    </xdr:pic>
    <xdr:clientData/>
  </xdr:twoCellAnchor>
  <xdr:twoCellAnchor editAs="oneCell">
    <xdr:from>
      <xdr:col>2</xdr:col>
      <xdr:colOff>956422</xdr:colOff>
      <xdr:row>27</xdr:row>
      <xdr:rowOff>91888</xdr:rowOff>
    </xdr:from>
    <xdr:to>
      <xdr:col>7</xdr:col>
      <xdr:colOff>888882</xdr:colOff>
      <xdr:row>49</xdr:row>
      <xdr:rowOff>56028</xdr:rowOff>
    </xdr:to>
    <xdr:pic>
      <xdr:nvPicPr>
        <xdr:cNvPr id="3" name="Imagem 2">
          <a:extLst>
            <a:ext uri="{FF2B5EF4-FFF2-40B4-BE49-F238E27FC236}">
              <a16:creationId xmlns:a16="http://schemas.microsoft.com/office/drawing/2014/main" id="{35BF4A2D-D3D1-4535-ADA4-AC184369FD6A}"/>
            </a:ext>
          </a:extLst>
        </xdr:cNvPr>
        <xdr:cNvPicPr>
          <a:picLocks noChangeAspect="1"/>
        </xdr:cNvPicPr>
      </xdr:nvPicPr>
      <xdr:blipFill>
        <a:blip xmlns:r="http://schemas.openxmlformats.org/officeDocument/2006/relationships" r:embed="rId2"/>
        <a:stretch>
          <a:fillRect/>
        </a:stretch>
      </xdr:blipFill>
      <xdr:spPr>
        <a:xfrm>
          <a:off x="2166657" y="8395447"/>
          <a:ext cx="9222137" cy="44016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580478</xdr:colOff>
      <xdr:row>36</xdr:row>
      <xdr:rowOff>105230</xdr:rowOff>
    </xdr:to>
    <xdr:pic>
      <xdr:nvPicPr>
        <xdr:cNvPr id="3" name="Imagem 2">
          <a:extLst>
            <a:ext uri="{FF2B5EF4-FFF2-40B4-BE49-F238E27FC236}">
              <a16:creationId xmlns:a16="http://schemas.microsoft.com/office/drawing/2014/main" id="{6F4553DB-31BC-48B3-9013-0A15ACB045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12978" cy="69632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224118</xdr:colOff>
      <xdr:row>2</xdr:row>
      <xdr:rowOff>515469</xdr:rowOff>
    </xdr:from>
    <xdr:to>
      <xdr:col>2</xdr:col>
      <xdr:colOff>2329512</xdr:colOff>
      <xdr:row>4</xdr:row>
      <xdr:rowOff>212910</xdr:rowOff>
    </xdr:to>
    <xdr:pic>
      <xdr:nvPicPr>
        <xdr:cNvPr id="3" name="Imagem 2">
          <a:extLst>
            <a:ext uri="{FF2B5EF4-FFF2-40B4-BE49-F238E27FC236}">
              <a16:creationId xmlns:a16="http://schemas.microsoft.com/office/drawing/2014/main" id="{94443011-6077-4642-A61F-533E63E0241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434353" y="907675"/>
          <a:ext cx="2105394" cy="68355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571500</xdr:colOff>
      <xdr:row>3</xdr:row>
      <xdr:rowOff>114300</xdr:rowOff>
    </xdr:from>
    <xdr:to>
      <xdr:col>2</xdr:col>
      <xdr:colOff>37539</xdr:colOff>
      <xdr:row>5</xdr:row>
      <xdr:rowOff>111018</xdr:rowOff>
    </xdr:to>
    <xdr:pic>
      <xdr:nvPicPr>
        <xdr:cNvPr id="2" name="Imagem 1">
          <a:extLst>
            <a:ext uri="{FF2B5EF4-FFF2-40B4-BE49-F238E27FC236}">
              <a16:creationId xmlns:a16="http://schemas.microsoft.com/office/drawing/2014/main" id="{0E69DF9C-01BA-4247-B514-81FB6BE5DC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571500" y="752475"/>
          <a:ext cx="1456764" cy="47296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27</xdr:col>
      <xdr:colOff>311727</xdr:colOff>
      <xdr:row>2</xdr:row>
      <xdr:rowOff>86591</xdr:rowOff>
    </xdr:from>
    <xdr:to>
      <xdr:col>29</xdr:col>
      <xdr:colOff>473949</xdr:colOff>
      <xdr:row>4</xdr:row>
      <xdr:rowOff>344326</xdr:rowOff>
    </xdr:to>
    <xdr:pic>
      <xdr:nvPicPr>
        <xdr:cNvPr id="11" name="Imagem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18091" y="329046"/>
          <a:ext cx="1945995" cy="1019735"/>
        </a:xfrm>
        <a:prstGeom prst="rect">
          <a:avLst/>
        </a:prstGeom>
      </xdr:spPr>
    </xdr:pic>
    <xdr:clientData/>
  </xdr:twoCellAnchor>
  <xdr:twoCellAnchor editAs="oneCell">
    <xdr:from>
      <xdr:col>27</xdr:col>
      <xdr:colOff>491822</xdr:colOff>
      <xdr:row>5</xdr:row>
      <xdr:rowOff>53933</xdr:rowOff>
    </xdr:from>
    <xdr:to>
      <xdr:col>29</xdr:col>
      <xdr:colOff>395391</xdr:colOff>
      <xdr:row>6</xdr:row>
      <xdr:rowOff>342078</xdr:rowOff>
    </xdr:to>
    <xdr:pic>
      <xdr:nvPicPr>
        <xdr:cNvPr id="12" name="Imagem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98186" y="1439388"/>
          <a:ext cx="1687342" cy="72109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261937</xdr:colOff>
      <xdr:row>2</xdr:row>
      <xdr:rowOff>112568</xdr:rowOff>
    </xdr:from>
    <xdr:to>
      <xdr:col>3</xdr:col>
      <xdr:colOff>4030622</xdr:colOff>
      <xdr:row>6</xdr:row>
      <xdr:rowOff>129886</xdr:rowOff>
    </xdr:to>
    <xdr:pic>
      <xdr:nvPicPr>
        <xdr:cNvPr id="2" name="Imagem 1">
          <a:extLst>
            <a:ext uri="{FF2B5EF4-FFF2-40B4-BE49-F238E27FC236}">
              <a16:creationId xmlns:a16="http://schemas.microsoft.com/office/drawing/2014/main" id="{9008A7AD-1873-4331-AC10-2F24926E0A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241" t="34681" r="122" b="33457"/>
        <a:stretch/>
      </xdr:blipFill>
      <xdr:spPr>
        <a:xfrm>
          <a:off x="1143000" y="350693"/>
          <a:ext cx="4506872" cy="1588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116315</xdr:colOff>
      <xdr:row>36</xdr:row>
      <xdr:rowOff>118783</xdr:rowOff>
    </xdr:from>
    <xdr:to>
      <xdr:col>6</xdr:col>
      <xdr:colOff>786090</xdr:colOff>
      <xdr:row>39</xdr:row>
      <xdr:rowOff>52879</xdr:rowOff>
    </xdr:to>
    <xdr:sp macro="" textlink="">
      <xdr:nvSpPr>
        <xdr:cNvPr id="2" name="Retângulo de cantos arredondados 1">
          <a:extLst>
            <a:ext uri="{FF2B5EF4-FFF2-40B4-BE49-F238E27FC236}">
              <a16:creationId xmlns:a16="http://schemas.microsoft.com/office/drawing/2014/main" id="{00000000-0008-0000-1C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xdr:col>
      <xdr:colOff>649941</xdr:colOff>
      <xdr:row>4</xdr:row>
      <xdr:rowOff>504265</xdr:rowOff>
    </xdr:from>
    <xdr:to>
      <xdr:col>4</xdr:col>
      <xdr:colOff>150191</xdr:colOff>
      <xdr:row>6</xdr:row>
      <xdr:rowOff>168089</xdr:rowOff>
    </xdr:to>
    <xdr:pic>
      <xdr:nvPicPr>
        <xdr:cNvPr id="3" name="Imagem 2">
          <a:extLst>
            <a:ext uri="{FF2B5EF4-FFF2-40B4-BE49-F238E27FC236}">
              <a16:creationId xmlns:a16="http://schemas.microsoft.com/office/drawing/2014/main" id="{E51C17ED-F724-433C-8A56-2E2003A052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55059" y="1613647"/>
          <a:ext cx="1898308" cy="6163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116315</xdr:colOff>
      <xdr:row>37</xdr:row>
      <xdr:rowOff>118783</xdr:rowOff>
    </xdr:from>
    <xdr:to>
      <xdr:col>8</xdr:col>
      <xdr:colOff>786090</xdr:colOff>
      <xdr:row>40</xdr:row>
      <xdr:rowOff>52879</xdr:rowOff>
    </xdr:to>
    <xdr:sp macro="" textlink="">
      <xdr:nvSpPr>
        <xdr:cNvPr id="2" name="Retângulo de cantos arredondados 1">
          <a:extLst>
            <a:ext uri="{FF2B5EF4-FFF2-40B4-BE49-F238E27FC236}">
              <a16:creationId xmlns:a16="http://schemas.microsoft.com/office/drawing/2014/main" id="{00000000-0008-0000-1D00-000002000000}"/>
            </a:ext>
          </a:extLst>
        </xdr:cNvPr>
        <xdr:cNvSpPr/>
      </xdr:nvSpPr>
      <xdr:spPr>
        <a:xfrm>
          <a:off x="3364340" y="8834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oneCellAnchor>
    <xdr:from>
      <xdr:col>6</xdr:col>
      <xdr:colOff>2879912</xdr:colOff>
      <xdr:row>44</xdr:row>
      <xdr:rowOff>134470</xdr:rowOff>
    </xdr:from>
    <xdr:ext cx="5939118" cy="264560"/>
    <xdr:sp macro="" textlink="">
      <xdr:nvSpPr>
        <xdr:cNvPr id="5" name="CaixaDeTexto 4">
          <a:extLst>
            <a:ext uri="{FF2B5EF4-FFF2-40B4-BE49-F238E27FC236}">
              <a16:creationId xmlns:a16="http://schemas.microsoft.com/office/drawing/2014/main" id="{00000000-0008-0000-1D00-000005000000}"/>
            </a:ext>
          </a:extLst>
        </xdr:cNvPr>
        <xdr:cNvSpPr txBox="1"/>
      </xdr:nvSpPr>
      <xdr:spPr>
        <a:xfrm>
          <a:off x="7051862" y="11364445"/>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1255059</xdr:colOff>
      <xdr:row>2</xdr:row>
      <xdr:rowOff>414617</xdr:rowOff>
    </xdr:from>
    <xdr:to>
      <xdr:col>3</xdr:col>
      <xdr:colOff>164084</xdr:colOff>
      <xdr:row>4</xdr:row>
      <xdr:rowOff>112058</xdr:rowOff>
    </xdr:to>
    <xdr:pic>
      <xdr:nvPicPr>
        <xdr:cNvPr id="2" name="Imagem 1">
          <a:extLst>
            <a:ext uri="{FF2B5EF4-FFF2-40B4-BE49-F238E27FC236}">
              <a16:creationId xmlns:a16="http://schemas.microsoft.com/office/drawing/2014/main" id="{5C7E7E76-C193-4EB1-AF50-CAA5E5487C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2185147" y="705970"/>
          <a:ext cx="2001849" cy="6499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523875</xdr:colOff>
      <xdr:row>2</xdr:row>
      <xdr:rowOff>409575</xdr:rowOff>
    </xdr:from>
    <xdr:to>
      <xdr:col>2</xdr:col>
      <xdr:colOff>857250</xdr:colOff>
      <xdr:row>4</xdr:row>
      <xdr:rowOff>115900</xdr:rowOff>
    </xdr:to>
    <xdr:pic>
      <xdr:nvPicPr>
        <xdr:cNvPr id="2" name="Imagem 1">
          <a:extLst>
            <a:ext uri="{FF2B5EF4-FFF2-40B4-BE49-F238E27FC236}">
              <a16:creationId xmlns:a16="http://schemas.microsoft.com/office/drawing/2014/main" id="{4781F0DE-693C-481C-8D43-C90EAAC0A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523875" y="657225"/>
          <a:ext cx="1647825" cy="535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66261</xdr:colOff>
      <xdr:row>1</xdr:row>
      <xdr:rowOff>36745</xdr:rowOff>
    </xdr:from>
    <xdr:to>
      <xdr:col>3</xdr:col>
      <xdr:colOff>819979</xdr:colOff>
      <xdr:row>5</xdr:row>
      <xdr:rowOff>134295</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087" y="235528"/>
          <a:ext cx="1316935" cy="876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126353</xdr:colOff>
      <xdr:row>0</xdr:row>
      <xdr:rowOff>29158</xdr:rowOff>
    </xdr:from>
    <xdr:to>
      <xdr:col>3</xdr:col>
      <xdr:colOff>830967</xdr:colOff>
      <xdr:row>4</xdr:row>
      <xdr:rowOff>166600</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996" y="29158"/>
          <a:ext cx="1316935" cy="8761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136071</xdr:colOff>
      <xdr:row>4</xdr:row>
      <xdr:rowOff>544284</xdr:rowOff>
    </xdr:from>
    <xdr:to>
      <xdr:col>7</xdr:col>
      <xdr:colOff>11460</xdr:colOff>
      <xdr:row>6</xdr:row>
      <xdr:rowOff>204106</xdr:rowOff>
    </xdr:to>
    <xdr:pic>
      <xdr:nvPicPr>
        <xdr:cNvPr id="3" name="Imagem 2">
          <a:extLst>
            <a:ext uri="{FF2B5EF4-FFF2-40B4-BE49-F238E27FC236}">
              <a16:creationId xmlns:a16="http://schemas.microsoft.com/office/drawing/2014/main" id="{2B2BBDB9-EB88-4D6C-891A-3D24EB4939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830035" y="1592034"/>
          <a:ext cx="2011711" cy="653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22412</xdr:colOff>
      <xdr:row>2</xdr:row>
      <xdr:rowOff>347383</xdr:rowOff>
    </xdr:from>
    <xdr:to>
      <xdr:col>1</xdr:col>
      <xdr:colOff>1580030</xdr:colOff>
      <xdr:row>3</xdr:row>
      <xdr:rowOff>91095</xdr:rowOff>
    </xdr:to>
    <xdr:pic>
      <xdr:nvPicPr>
        <xdr:cNvPr id="2" name="Imagem 1">
          <a:extLst>
            <a:ext uri="{FF2B5EF4-FFF2-40B4-BE49-F238E27FC236}">
              <a16:creationId xmlns:a16="http://schemas.microsoft.com/office/drawing/2014/main" id="{781ED2AB-573E-4A04-8D4D-AD4A856C99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893794" y="593912"/>
          <a:ext cx="1557618" cy="5057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89647</xdr:colOff>
      <xdr:row>2</xdr:row>
      <xdr:rowOff>369794</xdr:rowOff>
    </xdr:from>
    <xdr:to>
      <xdr:col>2</xdr:col>
      <xdr:colOff>99087</xdr:colOff>
      <xdr:row>3</xdr:row>
      <xdr:rowOff>145677</xdr:rowOff>
    </xdr:to>
    <xdr:pic>
      <xdr:nvPicPr>
        <xdr:cNvPr id="2" name="Imagem 1">
          <a:extLst>
            <a:ext uri="{FF2B5EF4-FFF2-40B4-BE49-F238E27FC236}">
              <a16:creationId xmlns:a16="http://schemas.microsoft.com/office/drawing/2014/main" id="{43F0D95A-BFA3-4911-8783-2DEAB1C655D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961029" y="616323"/>
          <a:ext cx="1656705" cy="53788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app.orcafascio.com/v2023/orc/orcamentos/6464cc9ffde10a6f9efbca17/compositions/390b057a-cdae-4230-876f-47d0edc8986c" TargetMode="External"/><Relationship Id="rId1" Type="http://schemas.openxmlformats.org/officeDocument/2006/relationships/hyperlink" Target="https://app.orcafascio.com/v2023/orc/orcamentos/6464cc9ffde10a6f9efbca17/compositions/957e3e3b-342d-4f32-8711-761f56af78f8"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mailto:falecom@flex.%20Ind.br"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file:///\\192.168.0.242\Marcos%20CP\AppData\AppData\Roaming\Marcos%20Vinicios\AppData\AppData\Roaming\CENTRAL-DE-PROJETOS\16-OR&#199;AMENTOS\CENTRA~1\17-COT~1\COTAES~2\COTAES~1\COTAES~2\BRAODE~1\BRA&#199;O%20DE%20A&#199;O%20GALVANIZADO%20C=%203%20M%20PARA%20ILUMIN&#199;&#195;O%20PUBLICA%20AGOSTO.pdf" TargetMode="External"/><Relationship Id="rId2" Type="http://schemas.openxmlformats.org/officeDocument/2006/relationships/hyperlink" Target="file:///\\192.168.0.242\Marcos%20CP\AppData\AppData\Roaming\Marcos%20Vinicios\AppData\AppData\Roaming\Pichau\AppData\Local\Temp\Downloads\COTA&#199;&#213;ES%20DIGITALIZADAS\COTA&#199;&#213;ES%20ATUALIZADAS\CABO%20DE%20A&#199;O%20GALVANIZADO%206,4%20mm\CABO%20DE%20A&#199;O%20GALVANIZADO%206,4%20mm.pdf" TargetMode="External"/><Relationship Id="rId1" Type="http://schemas.openxmlformats.org/officeDocument/2006/relationships/hyperlink" Target="file://\\192.168.0.242\Marcos%20CP\AppData\AppData\Roaming\Marcos%20Vinicios\AppData\AppData\Roaming\Pichau\AppData\Local\Temp\Downloads\COTA&#199;&#213;ES%20DIGITALIZADAS\COTA&#199;&#213;ES%20ATUALIZADAS\CONECTOR%20DERIVA&#199;&#195;O%20TIPO%20CUNHA%20-%20AMP%20TIPO%20II\CONECTOR%20DERIVA&#199;&#195;O%20TIPO%20CUNHA%20-%20AMP%20TIPO%20II.pdf" TargetMode="External"/><Relationship Id="rId6" Type="http://schemas.openxmlformats.org/officeDocument/2006/relationships/drawing" Target="../drawings/drawing17.xml"/><Relationship Id="rId5" Type="http://schemas.openxmlformats.org/officeDocument/2006/relationships/printerSettings" Target="../printerSettings/printerSettings20.bin"/><Relationship Id="rId4" Type="http://schemas.openxmlformats.org/officeDocument/2006/relationships/hyperlink" Target="file:///\\192.168.0.242\..\Pichau\AppData\Local\Temp\Downloads\COTA&#199;&#213;ES%20DIGITALIZADAS\COTA&#199;&#213;ES%20ATUALIZADAS\PROTETOR%20DE%20BUCHA%20DE%20TRANSFORMADOR%20AT%2015KV\PROTETOR%20DE%20BUCHA%20DE%20TRANSFORMADOR%20AT%2015KV%2021.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mailto:gra&#231;aspaisagismo@hotmail.com" TargetMode="External"/><Relationship Id="rId13" Type="http://schemas.openxmlformats.org/officeDocument/2006/relationships/drawing" Target="../drawings/drawing18.xml"/><Relationship Id="rId3" Type="http://schemas.openxmlformats.org/officeDocument/2006/relationships/hyperlink" Target="mailto:gra&#231;aspaisagismo@hotmail.com" TargetMode="External"/><Relationship Id="rId7" Type="http://schemas.openxmlformats.org/officeDocument/2006/relationships/hyperlink" Target="mailto:gra&#231;aspaisagismo@hotmail.com" TargetMode="External"/><Relationship Id="rId12" Type="http://schemas.openxmlformats.org/officeDocument/2006/relationships/printerSettings" Target="../printerSettings/printerSettings21.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11"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10"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 Id="rId9" Type="http://schemas.openxmlformats.org/officeDocument/2006/relationships/hyperlink" Target="mailto:gra&#231;aspaisagismo@hot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mailto:falecom@flex.%20Ind.br" TargetMode="External"/><Relationship Id="rId7" Type="http://schemas.openxmlformats.org/officeDocument/2006/relationships/drawing" Target="../drawings/drawing19.xml"/><Relationship Id="rId2" Type="http://schemas.openxmlformats.org/officeDocument/2006/relationships/hyperlink" Target="mailto:falecom@flex.%20Ind.br" TargetMode="External"/><Relationship Id="rId1" Type="http://schemas.openxmlformats.org/officeDocument/2006/relationships/hyperlink" Target="mailto:falecom@flex.%20Ind.br" TargetMode="External"/><Relationship Id="rId6" Type="http://schemas.openxmlformats.org/officeDocument/2006/relationships/printerSettings" Target="../printerSettings/printerSettings22.bin"/><Relationship Id="rId5" Type="http://schemas.openxmlformats.org/officeDocument/2006/relationships/hyperlink" Target="mailto:falecom@flex.%20Ind.br" TargetMode="External"/><Relationship Id="rId4" Type="http://schemas.openxmlformats.org/officeDocument/2006/relationships/hyperlink" Target="mailto:falecom@flex.%20Ind.br" TargetMode="External"/></Relationships>
</file>

<file path=xl/worksheets/_rels/sheet25.xml.rels><?xml version="1.0" encoding="UTF-8" standalone="yes"?>
<Relationships xmlns="http://schemas.openxmlformats.org/package/2006/relationships"><Relationship Id="rId8" Type="http://schemas.openxmlformats.org/officeDocument/2006/relationships/drawing" Target="../drawings/drawing20.xml"/><Relationship Id="rId3" Type="http://schemas.openxmlformats.org/officeDocument/2006/relationships/hyperlink" Target="mailto:falecom@flex.%20Ind.br" TargetMode="External"/><Relationship Id="rId7" Type="http://schemas.openxmlformats.org/officeDocument/2006/relationships/printerSettings" Target="../printerSettings/printerSettings23.bin"/><Relationship Id="rId2" Type="http://schemas.openxmlformats.org/officeDocument/2006/relationships/hyperlink" Target="mailto:falecom@flex.%20Ind.br" TargetMode="External"/><Relationship Id="rId1" Type="http://schemas.openxmlformats.org/officeDocument/2006/relationships/hyperlink" Target="mailto:falecom@flex.%20Ind.br" TargetMode="External"/><Relationship Id="rId6" Type="http://schemas.openxmlformats.org/officeDocument/2006/relationships/hyperlink" Target="mailto:falecom@flex.%20Ind.br" TargetMode="External"/><Relationship Id="rId5" Type="http://schemas.openxmlformats.org/officeDocument/2006/relationships/hyperlink" Target="mailto:falecom@flex.%20Ind.br" TargetMode="External"/><Relationship Id="rId4" Type="http://schemas.openxmlformats.org/officeDocument/2006/relationships/hyperlink" Target="mailto:falecom@flex.%20Ind.br" TargetMode="External"/><Relationship Id="rId9" Type="http://schemas.openxmlformats.org/officeDocument/2006/relationships/vmlDrawing" Target="../drawings/vmlDrawing4.v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3" Type="http://schemas.openxmlformats.org/officeDocument/2006/relationships/hyperlink" Target="https://app.orcafascio.com/banco/sinapi/composicoes/65aeaabf400ea71e00fd4642?estado_sinapi=MT" TargetMode="External"/><Relationship Id="rId18" Type="http://schemas.openxmlformats.org/officeDocument/2006/relationships/hyperlink" Target="https://app.orcafascio.com/banco/sinapi/composicoes/65aeaac0400ea71e00fd470c?estado_sinapi=MT" TargetMode="External"/><Relationship Id="rId26" Type="http://schemas.openxmlformats.org/officeDocument/2006/relationships/hyperlink" Target="https://app.orcafascio.com/banco/sinapi/composicoes/65aeaac0400ea71e00fd46ba?estado_sinapi=MT" TargetMode="External"/><Relationship Id="rId39" Type="http://schemas.openxmlformats.org/officeDocument/2006/relationships/printerSettings" Target="../printerSettings/printerSettings7.bin"/><Relationship Id="rId21" Type="http://schemas.openxmlformats.org/officeDocument/2006/relationships/hyperlink" Target="https://app.orcafascio.com/banco/sinapi/composicoes/65aeaac0400ea71e00fd4731?estado_sinapi=MT" TargetMode="External"/><Relationship Id="rId34" Type="http://schemas.openxmlformats.org/officeDocument/2006/relationships/hyperlink" Target="https://app.orcafascio.com/banco/sinapi/composicoes/65aeaabe400ea71e00fd45e2?estado_sinapi=MT" TargetMode="External"/><Relationship Id="rId7" Type="http://schemas.openxmlformats.org/officeDocument/2006/relationships/hyperlink" Target="https://app.orcafascio.com/banco/sinapi/composicoes/65aeaabf400ea71e00fd4653?estado_sinapi=MT" TargetMode="External"/><Relationship Id="rId12" Type="http://schemas.openxmlformats.org/officeDocument/2006/relationships/hyperlink" Target="https://app.orcafascio.com/banco/sinapi/composicoes/65aeaabf400ea71e00fd4647?estado_sinapi=MT" TargetMode="External"/><Relationship Id="rId17" Type="http://schemas.openxmlformats.org/officeDocument/2006/relationships/hyperlink" Target="https://app.orcafascio.com/banco/sinapi/composicoes/65aeaac0400ea71e00fd4710?estado_sinapi=MT" TargetMode="External"/><Relationship Id="rId25" Type="http://schemas.openxmlformats.org/officeDocument/2006/relationships/hyperlink" Target="https://app.orcafascio.com/banco/sinapi/composicoes/65aeaac0400ea71e00fd46b9?estado_sinapi=MT" TargetMode="External"/><Relationship Id="rId33" Type="http://schemas.openxmlformats.org/officeDocument/2006/relationships/hyperlink" Target="https://app.orcafascio.com/banco/sinapi/composicoes/65aeaabf400ea71e00fd460a?estado_sinapi=MT" TargetMode="External"/><Relationship Id="rId38" Type="http://schemas.openxmlformats.org/officeDocument/2006/relationships/hyperlink" Target="https://app.orcafascio.com/banco/sinapi/composicoes/65f31bc9ec38b36943c0b4bb?estado_sinapi=MT" TargetMode="External"/><Relationship Id="rId2" Type="http://schemas.openxmlformats.org/officeDocument/2006/relationships/hyperlink" Target="https://app.orcafascio.com/v2023/orc/orcamentos/6464cc9ffde10a6f9efbca17/compositions/7c4b612c-37f4-42f5-a704-7516d2c60d7a" TargetMode="External"/><Relationship Id="rId16" Type="http://schemas.openxmlformats.org/officeDocument/2006/relationships/hyperlink" Target="https://app.orcafascio.com/banco/sinapi/composicoes/65aeaac0400ea71e00fd46f3?estado_sinapi=MT" TargetMode="External"/><Relationship Id="rId20" Type="http://schemas.openxmlformats.org/officeDocument/2006/relationships/hyperlink" Target="https://app.orcafascio.com/banco/sinapi/composicoes/65aeaac0400ea71e00fd472b?estado_sinapi=MT" TargetMode="External"/><Relationship Id="rId29" Type="http://schemas.openxmlformats.org/officeDocument/2006/relationships/hyperlink" Target="https://app.orcafascio.com/banco/sinapi/composicoes/65aeaabf400ea71e00fd460a?estado_sinapi=MT" TargetMode="External"/><Relationship Id="rId1" Type="http://schemas.openxmlformats.org/officeDocument/2006/relationships/hyperlink" Target="https://app.orcafascio.com/v2023/orc/orcamentos/6464cc9ffde10a6f9efbca17/compositions/dffc1023-4b00-49a7-a937-beb9dddf96c2" TargetMode="External"/><Relationship Id="rId6" Type="http://schemas.openxmlformats.org/officeDocument/2006/relationships/hyperlink" Target="https://app.orcafascio.com/banco/sinapi/composicoes/65aeaac1400ea71e00fd4815?estado_sinapi=MT" TargetMode="External"/><Relationship Id="rId11" Type="http://schemas.openxmlformats.org/officeDocument/2006/relationships/hyperlink" Target="https://app.orcafascio.com/banco/sinapi/composicoes/65aeaabf400ea71e00fd4650?estado_sinapi=MT" TargetMode="External"/><Relationship Id="rId24" Type="http://schemas.openxmlformats.org/officeDocument/2006/relationships/hyperlink" Target="https://app.orcafascio.com/banco/sinapi/composicoes/65aeaac0400ea71e00fd46b7?estado_sinapi=MT" TargetMode="External"/><Relationship Id="rId32" Type="http://schemas.openxmlformats.org/officeDocument/2006/relationships/hyperlink" Target="https://app.orcafascio.com/banco/sinapi/composicoes/65aeaabf400ea71e00fd460c?estado_sinapi=MT" TargetMode="External"/><Relationship Id="rId37" Type="http://schemas.openxmlformats.org/officeDocument/2006/relationships/hyperlink" Target="https://app.orcafascio.com/banco/sinapi/composicoes/65aeaabf400ea71e00fd460a?estado_sinapi=MT" TargetMode="External"/><Relationship Id="rId40" Type="http://schemas.openxmlformats.org/officeDocument/2006/relationships/drawing" Target="../drawings/drawing7.xml"/><Relationship Id="rId5" Type="http://schemas.openxmlformats.org/officeDocument/2006/relationships/hyperlink" Target="https://app.orcafascio.com/v2023/orc/orcamentos/6464cc9ffde10a6f9efbca17/compositions/c2462937-b794-423e-a8b6-45052d61a37e" TargetMode="External"/><Relationship Id="rId15" Type="http://schemas.openxmlformats.org/officeDocument/2006/relationships/hyperlink" Target="https://app.orcafascio.com/banco/sinapi/composicoes/65aeaac0400ea71e00fd472d?estado_sinapi=MT" TargetMode="External"/><Relationship Id="rId23" Type="http://schemas.openxmlformats.org/officeDocument/2006/relationships/hyperlink" Target="https://app.orcafascio.com/banco/sinapi/composicoes/65aeaac0400ea71e00fd46ae?estado_sinapi=MT" TargetMode="External"/><Relationship Id="rId28" Type="http://schemas.openxmlformats.org/officeDocument/2006/relationships/hyperlink" Target="https://app.orcafascio.com/banco/sinapi/composicoes/65aeaac0400ea71e00fd46b9?estado_sinapi=MT" TargetMode="External"/><Relationship Id="rId36" Type="http://schemas.openxmlformats.org/officeDocument/2006/relationships/hyperlink" Target="https://app.orcafascio.com/banco/sinapi/composicoes/65aeaabf400ea71e00fd460c?estado_sinapi=MT" TargetMode="External"/><Relationship Id="rId10" Type="http://schemas.openxmlformats.org/officeDocument/2006/relationships/hyperlink" Target="https://app.orcafascio.com/banco/sinapi/composicoes/65aeaabf400ea71e00fd464f?estado_sinapi=MT" TargetMode="External"/><Relationship Id="rId19" Type="http://schemas.openxmlformats.org/officeDocument/2006/relationships/hyperlink" Target="https://app.orcafascio.com/banco/sinapi/composicoes/65aeaac0400ea71e00fd4727?estado_sinapi=MT" TargetMode="External"/><Relationship Id="rId31" Type="http://schemas.openxmlformats.org/officeDocument/2006/relationships/hyperlink" Target="https://app.orcafascio.com/banco/sinapi/composicoes/65aeaabf400ea71e00fd460b?estado_sinapi=MT" TargetMode="External"/><Relationship Id="rId4" Type="http://schemas.openxmlformats.org/officeDocument/2006/relationships/hyperlink" Target="https://app.orcafascio.com/v2023/orc/orcamentos/6464cc9ffde10a6f9efbca17/compositions/4a4bc828-8c64-45d9-9ee9-a6c2567d9319" TargetMode="External"/><Relationship Id="rId9" Type="http://schemas.openxmlformats.org/officeDocument/2006/relationships/hyperlink" Target="https://app.orcafascio.com/banco/sinapi/composicoes/65aeaabf400ea71e00fd464d?estado_sinapi=MT" TargetMode="External"/><Relationship Id="rId14" Type="http://schemas.openxmlformats.org/officeDocument/2006/relationships/hyperlink" Target="https://app.orcafascio.com/banco/sinapi/composicoes/65aeaabf400ea71e00fd4644?estado_sinapi=MT" TargetMode="External"/><Relationship Id="rId22" Type="http://schemas.openxmlformats.org/officeDocument/2006/relationships/hyperlink" Target="https://app.orcafascio.com/banco/sinapi/composicoes/65aeaabf400ea71e00fd46a7?estado_sinapi=MT" TargetMode="External"/><Relationship Id="rId27" Type="http://schemas.openxmlformats.org/officeDocument/2006/relationships/hyperlink" Target="https://app.orcafascio.com/banco/sinapi/composicoes/65aeaac0400ea71e00fd46cf?estado_sinapi=MT" TargetMode="External"/><Relationship Id="rId30" Type="http://schemas.openxmlformats.org/officeDocument/2006/relationships/hyperlink" Target="https://app.orcafascio.com/banco/sinapi/composicoes/65aeaabe400ea71e00fd45e2?estado_sinapi=MT" TargetMode="External"/><Relationship Id="rId35" Type="http://schemas.openxmlformats.org/officeDocument/2006/relationships/hyperlink" Target="https://app.orcafascio.com/banco/sinapi/composicoes/65aeaabf400ea71e00fd460b?estado_sinapi=MT" TargetMode="External"/><Relationship Id="rId8" Type="http://schemas.openxmlformats.org/officeDocument/2006/relationships/hyperlink" Target="https://app.orcafascio.com/banco/sinapi/composicoes/65aeaabf400ea71e00fd4654?estado_sinapi=MT" TargetMode="External"/><Relationship Id="rId3" Type="http://schemas.openxmlformats.org/officeDocument/2006/relationships/hyperlink" Target="https://app.orcafascio.com/v2023/orc/orcamentos/6464cc9ffde10a6f9efbca17/compositions/42cbec49-f49c-4f61-8434-632026375d62"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B1:T244"/>
  <sheetViews>
    <sheetView view="pageBreakPreview" zoomScale="85" zoomScaleNormal="100" zoomScaleSheetLayoutView="85" workbookViewId="0">
      <selection activeCell="K23" sqref="K23"/>
    </sheetView>
  </sheetViews>
  <sheetFormatPr defaultRowHeight="12.75"/>
  <cols>
    <col min="1" max="1" width="9.140625" style="259"/>
    <col min="2" max="2" width="10.140625" style="259" bestFit="1" customWidth="1"/>
    <col min="3" max="3" width="48.28515625" style="259" customWidth="1"/>
    <col min="4" max="4" width="23.28515625" style="259" customWidth="1"/>
    <col min="5" max="6" width="26.28515625" style="259" customWidth="1"/>
    <col min="7" max="7" width="2.7109375" style="690" customWidth="1"/>
    <col min="8" max="8" width="15.28515625" style="259" customWidth="1"/>
    <col min="9" max="9" width="7.42578125" style="259" bestFit="1" customWidth="1"/>
    <col min="10" max="10" width="3.28515625" style="259" customWidth="1"/>
    <col min="11" max="11" width="14.140625" style="259" bestFit="1" customWidth="1"/>
    <col min="12" max="12" width="13.7109375" style="259" bestFit="1" customWidth="1"/>
    <col min="13" max="13" width="13.140625" style="259" bestFit="1" customWidth="1"/>
    <col min="14" max="14" width="1.85546875" style="259" customWidth="1"/>
    <col min="15" max="16" width="13.140625" style="259" bestFit="1" customWidth="1"/>
    <col min="17" max="17" width="16.42578125" style="259" customWidth="1"/>
    <col min="18" max="18" width="9.140625" style="259"/>
    <col min="19" max="19" width="58.140625" style="259" customWidth="1"/>
    <col min="20" max="20" width="13.85546875" style="259" bestFit="1" customWidth="1"/>
    <col min="21" max="21" width="4.28515625" style="259" customWidth="1"/>
    <col min="22" max="257" width="9.140625" style="259"/>
    <col min="258" max="258" width="10.140625" style="259" bestFit="1" customWidth="1"/>
    <col min="259" max="259" width="56.5703125" style="259" customWidth="1"/>
    <col min="260" max="262" width="19.7109375" style="259" customWidth="1"/>
    <col min="263" max="263" width="2.7109375" style="259" customWidth="1"/>
    <col min="264" max="264" width="15.28515625" style="259" customWidth="1"/>
    <col min="265" max="265" width="7.42578125" style="259" bestFit="1" customWidth="1"/>
    <col min="266" max="266" width="3.28515625" style="259" customWidth="1"/>
    <col min="267" max="267" width="13.140625" style="259" bestFit="1" customWidth="1"/>
    <col min="268" max="268" width="13.7109375" style="259" bestFit="1" customWidth="1"/>
    <col min="269" max="269" width="12" style="259" customWidth="1"/>
    <col min="270" max="270" width="1.85546875" style="259" customWidth="1"/>
    <col min="271" max="272" width="13.140625" style="259" bestFit="1" customWidth="1"/>
    <col min="273" max="273" width="16.42578125" style="259" customWidth="1"/>
    <col min="274" max="274" width="9.140625" style="259"/>
    <col min="275" max="275" width="48.7109375" style="259" customWidth="1"/>
    <col min="276" max="276" width="12" style="259" bestFit="1" customWidth="1"/>
    <col min="277" max="277" width="4.28515625" style="259" customWidth="1"/>
    <col min="278" max="513" width="9.140625" style="259"/>
    <col min="514" max="514" width="10.140625" style="259" bestFit="1" customWidth="1"/>
    <col min="515" max="515" width="56.5703125" style="259" customWidth="1"/>
    <col min="516" max="518" width="19.7109375" style="259" customWidth="1"/>
    <col min="519" max="519" width="2.7109375" style="259" customWidth="1"/>
    <col min="520" max="520" width="15.28515625" style="259" customWidth="1"/>
    <col min="521" max="521" width="7.42578125" style="259" bestFit="1" customWidth="1"/>
    <col min="522" max="522" width="3.28515625" style="259" customWidth="1"/>
    <col min="523" max="523" width="13.140625" style="259" bestFit="1" customWidth="1"/>
    <col min="524" max="524" width="13.7109375" style="259" bestFit="1" customWidth="1"/>
    <col min="525" max="525" width="12" style="259" customWidth="1"/>
    <col min="526" max="526" width="1.85546875" style="259" customWidth="1"/>
    <col min="527" max="528" width="13.140625" style="259" bestFit="1" customWidth="1"/>
    <col min="529" max="529" width="16.42578125" style="259" customWidth="1"/>
    <col min="530" max="530" width="9.140625" style="259"/>
    <col min="531" max="531" width="48.7109375" style="259" customWidth="1"/>
    <col min="532" max="532" width="12" style="259" bestFit="1" customWidth="1"/>
    <col min="533" max="533" width="4.28515625" style="259" customWidth="1"/>
    <col min="534" max="769" width="9.140625" style="259"/>
    <col min="770" max="770" width="10.140625" style="259" bestFit="1" customWidth="1"/>
    <col min="771" max="771" width="56.5703125" style="259" customWidth="1"/>
    <col min="772" max="774" width="19.7109375" style="259" customWidth="1"/>
    <col min="775" max="775" width="2.7109375" style="259" customWidth="1"/>
    <col min="776" max="776" width="15.28515625" style="259" customWidth="1"/>
    <col min="777" max="777" width="7.42578125" style="259" bestFit="1" customWidth="1"/>
    <col min="778" max="778" width="3.28515625" style="259" customWidth="1"/>
    <col min="779" max="779" width="13.140625" style="259" bestFit="1" customWidth="1"/>
    <col min="780" max="780" width="13.7109375" style="259" bestFit="1" customWidth="1"/>
    <col min="781" max="781" width="12" style="259" customWidth="1"/>
    <col min="782" max="782" width="1.85546875" style="259" customWidth="1"/>
    <col min="783" max="784" width="13.140625" style="259" bestFit="1" customWidth="1"/>
    <col min="785" max="785" width="16.42578125" style="259" customWidth="1"/>
    <col min="786" max="786" width="9.140625" style="259"/>
    <col min="787" max="787" width="48.7109375" style="259" customWidth="1"/>
    <col min="788" max="788" width="12" style="259" bestFit="1" customWidth="1"/>
    <col min="789" max="789" width="4.28515625" style="259" customWidth="1"/>
    <col min="790" max="1025" width="9.140625" style="259"/>
    <col min="1026" max="1026" width="10.140625" style="259" bestFit="1" customWidth="1"/>
    <col min="1027" max="1027" width="56.5703125" style="259" customWidth="1"/>
    <col min="1028" max="1030" width="19.7109375" style="259" customWidth="1"/>
    <col min="1031" max="1031" width="2.7109375" style="259" customWidth="1"/>
    <col min="1032" max="1032" width="15.28515625" style="259" customWidth="1"/>
    <col min="1033" max="1033" width="7.42578125" style="259" bestFit="1" customWidth="1"/>
    <col min="1034" max="1034" width="3.28515625" style="259" customWidth="1"/>
    <col min="1035" max="1035" width="13.140625" style="259" bestFit="1" customWidth="1"/>
    <col min="1036" max="1036" width="13.7109375" style="259" bestFit="1" customWidth="1"/>
    <col min="1037" max="1037" width="12" style="259" customWidth="1"/>
    <col min="1038" max="1038" width="1.85546875" style="259" customWidth="1"/>
    <col min="1039" max="1040" width="13.140625" style="259" bestFit="1" customWidth="1"/>
    <col min="1041" max="1041" width="16.42578125" style="259" customWidth="1"/>
    <col min="1042" max="1042" width="9.140625" style="259"/>
    <col min="1043" max="1043" width="48.7109375" style="259" customWidth="1"/>
    <col min="1044" max="1044" width="12" style="259" bestFit="1" customWidth="1"/>
    <col min="1045" max="1045" width="4.28515625" style="259" customWidth="1"/>
    <col min="1046" max="1281" width="9.140625" style="259"/>
    <col min="1282" max="1282" width="10.140625" style="259" bestFit="1" customWidth="1"/>
    <col min="1283" max="1283" width="56.5703125" style="259" customWidth="1"/>
    <col min="1284" max="1286" width="19.7109375" style="259" customWidth="1"/>
    <col min="1287" max="1287" width="2.7109375" style="259" customWidth="1"/>
    <col min="1288" max="1288" width="15.28515625" style="259" customWidth="1"/>
    <col min="1289" max="1289" width="7.42578125" style="259" bestFit="1" customWidth="1"/>
    <col min="1290" max="1290" width="3.28515625" style="259" customWidth="1"/>
    <col min="1291" max="1291" width="13.140625" style="259" bestFit="1" customWidth="1"/>
    <col min="1292" max="1292" width="13.7109375" style="259" bestFit="1" customWidth="1"/>
    <col min="1293" max="1293" width="12" style="259" customWidth="1"/>
    <col min="1294" max="1294" width="1.85546875" style="259" customWidth="1"/>
    <col min="1295" max="1296" width="13.140625" style="259" bestFit="1" customWidth="1"/>
    <col min="1297" max="1297" width="16.42578125" style="259" customWidth="1"/>
    <col min="1298" max="1298" width="9.140625" style="259"/>
    <col min="1299" max="1299" width="48.7109375" style="259" customWidth="1"/>
    <col min="1300" max="1300" width="12" style="259" bestFit="1" customWidth="1"/>
    <col min="1301" max="1301" width="4.28515625" style="259" customWidth="1"/>
    <col min="1302" max="1537" width="9.140625" style="259"/>
    <col min="1538" max="1538" width="10.140625" style="259" bestFit="1" customWidth="1"/>
    <col min="1539" max="1539" width="56.5703125" style="259" customWidth="1"/>
    <col min="1540" max="1542" width="19.7109375" style="259" customWidth="1"/>
    <col min="1543" max="1543" width="2.7109375" style="259" customWidth="1"/>
    <col min="1544" max="1544" width="15.28515625" style="259" customWidth="1"/>
    <col min="1545" max="1545" width="7.42578125" style="259" bestFit="1" customWidth="1"/>
    <col min="1546" max="1546" width="3.28515625" style="259" customWidth="1"/>
    <col min="1547" max="1547" width="13.140625" style="259" bestFit="1" customWidth="1"/>
    <col min="1548" max="1548" width="13.7109375" style="259" bestFit="1" customWidth="1"/>
    <col min="1549" max="1549" width="12" style="259" customWidth="1"/>
    <col min="1550" max="1550" width="1.85546875" style="259" customWidth="1"/>
    <col min="1551" max="1552" width="13.140625" style="259" bestFit="1" customWidth="1"/>
    <col min="1553" max="1553" width="16.42578125" style="259" customWidth="1"/>
    <col min="1554" max="1554" width="9.140625" style="259"/>
    <col min="1555" max="1555" width="48.7109375" style="259" customWidth="1"/>
    <col min="1556" max="1556" width="12" style="259" bestFit="1" customWidth="1"/>
    <col min="1557" max="1557" width="4.28515625" style="259" customWidth="1"/>
    <col min="1558" max="1793" width="9.140625" style="259"/>
    <col min="1794" max="1794" width="10.140625" style="259" bestFit="1" customWidth="1"/>
    <col min="1795" max="1795" width="56.5703125" style="259" customWidth="1"/>
    <col min="1796" max="1798" width="19.7109375" style="259" customWidth="1"/>
    <col min="1799" max="1799" width="2.7109375" style="259" customWidth="1"/>
    <col min="1800" max="1800" width="15.28515625" style="259" customWidth="1"/>
    <col min="1801" max="1801" width="7.42578125" style="259" bestFit="1" customWidth="1"/>
    <col min="1802" max="1802" width="3.28515625" style="259" customWidth="1"/>
    <col min="1803" max="1803" width="13.140625" style="259" bestFit="1" customWidth="1"/>
    <col min="1804" max="1804" width="13.7109375" style="259" bestFit="1" customWidth="1"/>
    <col min="1805" max="1805" width="12" style="259" customWidth="1"/>
    <col min="1806" max="1806" width="1.85546875" style="259" customWidth="1"/>
    <col min="1807" max="1808" width="13.140625" style="259" bestFit="1" customWidth="1"/>
    <col min="1809" max="1809" width="16.42578125" style="259" customWidth="1"/>
    <col min="1810" max="1810" width="9.140625" style="259"/>
    <col min="1811" max="1811" width="48.7109375" style="259" customWidth="1"/>
    <col min="1812" max="1812" width="12" style="259" bestFit="1" customWidth="1"/>
    <col min="1813" max="1813" width="4.28515625" style="259" customWidth="1"/>
    <col min="1814" max="2049" width="9.140625" style="259"/>
    <col min="2050" max="2050" width="10.140625" style="259" bestFit="1" customWidth="1"/>
    <col min="2051" max="2051" width="56.5703125" style="259" customWidth="1"/>
    <col min="2052" max="2054" width="19.7109375" style="259" customWidth="1"/>
    <col min="2055" max="2055" width="2.7109375" style="259" customWidth="1"/>
    <col min="2056" max="2056" width="15.28515625" style="259" customWidth="1"/>
    <col min="2057" max="2057" width="7.42578125" style="259" bestFit="1" customWidth="1"/>
    <col min="2058" max="2058" width="3.28515625" style="259" customWidth="1"/>
    <col min="2059" max="2059" width="13.140625" style="259" bestFit="1" customWidth="1"/>
    <col min="2060" max="2060" width="13.7109375" style="259" bestFit="1" customWidth="1"/>
    <col min="2061" max="2061" width="12" style="259" customWidth="1"/>
    <col min="2062" max="2062" width="1.85546875" style="259" customWidth="1"/>
    <col min="2063" max="2064" width="13.140625" style="259" bestFit="1" customWidth="1"/>
    <col min="2065" max="2065" width="16.42578125" style="259" customWidth="1"/>
    <col min="2066" max="2066" width="9.140625" style="259"/>
    <col min="2067" max="2067" width="48.7109375" style="259" customWidth="1"/>
    <col min="2068" max="2068" width="12" style="259" bestFit="1" customWidth="1"/>
    <col min="2069" max="2069" width="4.28515625" style="259" customWidth="1"/>
    <col min="2070" max="2305" width="9.140625" style="259"/>
    <col min="2306" max="2306" width="10.140625" style="259" bestFit="1" customWidth="1"/>
    <col min="2307" max="2307" width="56.5703125" style="259" customWidth="1"/>
    <col min="2308" max="2310" width="19.7109375" style="259" customWidth="1"/>
    <col min="2311" max="2311" width="2.7109375" style="259" customWidth="1"/>
    <col min="2312" max="2312" width="15.28515625" style="259" customWidth="1"/>
    <col min="2313" max="2313" width="7.42578125" style="259" bestFit="1" customWidth="1"/>
    <col min="2314" max="2314" width="3.28515625" style="259" customWidth="1"/>
    <col min="2315" max="2315" width="13.140625" style="259" bestFit="1" customWidth="1"/>
    <col min="2316" max="2316" width="13.7109375" style="259" bestFit="1" customWidth="1"/>
    <col min="2317" max="2317" width="12" style="259" customWidth="1"/>
    <col min="2318" max="2318" width="1.85546875" style="259" customWidth="1"/>
    <col min="2319" max="2320" width="13.140625" style="259" bestFit="1" customWidth="1"/>
    <col min="2321" max="2321" width="16.42578125" style="259" customWidth="1"/>
    <col min="2322" max="2322" width="9.140625" style="259"/>
    <col min="2323" max="2323" width="48.7109375" style="259" customWidth="1"/>
    <col min="2324" max="2324" width="12" style="259" bestFit="1" customWidth="1"/>
    <col min="2325" max="2325" width="4.28515625" style="259" customWidth="1"/>
    <col min="2326" max="2561" width="9.140625" style="259"/>
    <col min="2562" max="2562" width="10.140625" style="259" bestFit="1" customWidth="1"/>
    <col min="2563" max="2563" width="56.5703125" style="259" customWidth="1"/>
    <col min="2564" max="2566" width="19.7109375" style="259" customWidth="1"/>
    <col min="2567" max="2567" width="2.7109375" style="259" customWidth="1"/>
    <col min="2568" max="2568" width="15.28515625" style="259" customWidth="1"/>
    <col min="2569" max="2569" width="7.42578125" style="259" bestFit="1" customWidth="1"/>
    <col min="2570" max="2570" width="3.28515625" style="259" customWidth="1"/>
    <col min="2571" max="2571" width="13.140625" style="259" bestFit="1" customWidth="1"/>
    <col min="2572" max="2572" width="13.7109375" style="259" bestFit="1" customWidth="1"/>
    <col min="2573" max="2573" width="12" style="259" customWidth="1"/>
    <col min="2574" max="2574" width="1.85546875" style="259" customWidth="1"/>
    <col min="2575" max="2576" width="13.140625" style="259" bestFit="1" customWidth="1"/>
    <col min="2577" max="2577" width="16.42578125" style="259" customWidth="1"/>
    <col min="2578" max="2578" width="9.140625" style="259"/>
    <col min="2579" max="2579" width="48.7109375" style="259" customWidth="1"/>
    <col min="2580" max="2580" width="12" style="259" bestFit="1" customWidth="1"/>
    <col min="2581" max="2581" width="4.28515625" style="259" customWidth="1"/>
    <col min="2582" max="2817" width="9.140625" style="259"/>
    <col min="2818" max="2818" width="10.140625" style="259" bestFit="1" customWidth="1"/>
    <col min="2819" max="2819" width="56.5703125" style="259" customWidth="1"/>
    <col min="2820" max="2822" width="19.7109375" style="259" customWidth="1"/>
    <col min="2823" max="2823" width="2.7109375" style="259" customWidth="1"/>
    <col min="2824" max="2824" width="15.28515625" style="259" customWidth="1"/>
    <col min="2825" max="2825" width="7.42578125" style="259" bestFit="1" customWidth="1"/>
    <col min="2826" max="2826" width="3.28515625" style="259" customWidth="1"/>
    <col min="2827" max="2827" width="13.140625" style="259" bestFit="1" customWidth="1"/>
    <col min="2828" max="2828" width="13.7109375" style="259" bestFit="1" customWidth="1"/>
    <col min="2829" max="2829" width="12" style="259" customWidth="1"/>
    <col min="2830" max="2830" width="1.85546875" style="259" customWidth="1"/>
    <col min="2831" max="2832" width="13.140625" style="259" bestFit="1" customWidth="1"/>
    <col min="2833" max="2833" width="16.42578125" style="259" customWidth="1"/>
    <col min="2834" max="2834" width="9.140625" style="259"/>
    <col min="2835" max="2835" width="48.7109375" style="259" customWidth="1"/>
    <col min="2836" max="2836" width="12" style="259" bestFit="1" customWidth="1"/>
    <col min="2837" max="2837" width="4.28515625" style="259" customWidth="1"/>
    <col min="2838" max="3073" width="9.140625" style="259"/>
    <col min="3074" max="3074" width="10.140625" style="259" bestFit="1" customWidth="1"/>
    <col min="3075" max="3075" width="56.5703125" style="259" customWidth="1"/>
    <col min="3076" max="3078" width="19.7109375" style="259" customWidth="1"/>
    <col min="3079" max="3079" width="2.7109375" style="259" customWidth="1"/>
    <col min="3080" max="3080" width="15.28515625" style="259" customWidth="1"/>
    <col min="3081" max="3081" width="7.42578125" style="259" bestFit="1" customWidth="1"/>
    <col min="3082" max="3082" width="3.28515625" style="259" customWidth="1"/>
    <col min="3083" max="3083" width="13.140625" style="259" bestFit="1" customWidth="1"/>
    <col min="3084" max="3084" width="13.7109375" style="259" bestFit="1" customWidth="1"/>
    <col min="3085" max="3085" width="12" style="259" customWidth="1"/>
    <col min="3086" max="3086" width="1.85546875" style="259" customWidth="1"/>
    <col min="3087" max="3088" width="13.140625" style="259" bestFit="1" customWidth="1"/>
    <col min="3089" max="3089" width="16.42578125" style="259" customWidth="1"/>
    <col min="3090" max="3090" width="9.140625" style="259"/>
    <col min="3091" max="3091" width="48.7109375" style="259" customWidth="1"/>
    <col min="3092" max="3092" width="12" style="259" bestFit="1" customWidth="1"/>
    <col min="3093" max="3093" width="4.28515625" style="259" customWidth="1"/>
    <col min="3094" max="3329" width="9.140625" style="259"/>
    <col min="3330" max="3330" width="10.140625" style="259" bestFit="1" customWidth="1"/>
    <col min="3331" max="3331" width="56.5703125" style="259" customWidth="1"/>
    <col min="3332" max="3334" width="19.7109375" style="259" customWidth="1"/>
    <col min="3335" max="3335" width="2.7109375" style="259" customWidth="1"/>
    <col min="3336" max="3336" width="15.28515625" style="259" customWidth="1"/>
    <col min="3337" max="3337" width="7.42578125" style="259" bestFit="1" customWidth="1"/>
    <col min="3338" max="3338" width="3.28515625" style="259" customWidth="1"/>
    <col min="3339" max="3339" width="13.140625" style="259" bestFit="1" customWidth="1"/>
    <col min="3340" max="3340" width="13.7109375" style="259" bestFit="1" customWidth="1"/>
    <col min="3341" max="3341" width="12" style="259" customWidth="1"/>
    <col min="3342" max="3342" width="1.85546875" style="259" customWidth="1"/>
    <col min="3343" max="3344" width="13.140625" style="259" bestFit="1" customWidth="1"/>
    <col min="3345" max="3345" width="16.42578125" style="259" customWidth="1"/>
    <col min="3346" max="3346" width="9.140625" style="259"/>
    <col min="3347" max="3347" width="48.7109375" style="259" customWidth="1"/>
    <col min="3348" max="3348" width="12" style="259" bestFit="1" customWidth="1"/>
    <col min="3349" max="3349" width="4.28515625" style="259" customWidth="1"/>
    <col min="3350" max="3585" width="9.140625" style="259"/>
    <col min="3586" max="3586" width="10.140625" style="259" bestFit="1" customWidth="1"/>
    <col min="3587" max="3587" width="56.5703125" style="259" customWidth="1"/>
    <col min="3588" max="3590" width="19.7109375" style="259" customWidth="1"/>
    <col min="3591" max="3591" width="2.7109375" style="259" customWidth="1"/>
    <col min="3592" max="3592" width="15.28515625" style="259" customWidth="1"/>
    <col min="3593" max="3593" width="7.42578125" style="259" bestFit="1" customWidth="1"/>
    <col min="3594" max="3594" width="3.28515625" style="259" customWidth="1"/>
    <col min="3595" max="3595" width="13.140625" style="259" bestFit="1" customWidth="1"/>
    <col min="3596" max="3596" width="13.7109375" style="259" bestFit="1" customWidth="1"/>
    <col min="3597" max="3597" width="12" style="259" customWidth="1"/>
    <col min="3598" max="3598" width="1.85546875" style="259" customWidth="1"/>
    <col min="3599" max="3600" width="13.140625" style="259" bestFit="1" customWidth="1"/>
    <col min="3601" max="3601" width="16.42578125" style="259" customWidth="1"/>
    <col min="3602" max="3602" width="9.140625" style="259"/>
    <col min="3603" max="3603" width="48.7109375" style="259" customWidth="1"/>
    <col min="3604" max="3604" width="12" style="259" bestFit="1" customWidth="1"/>
    <col min="3605" max="3605" width="4.28515625" style="259" customWidth="1"/>
    <col min="3606" max="3841" width="9.140625" style="259"/>
    <col min="3842" max="3842" width="10.140625" style="259" bestFit="1" customWidth="1"/>
    <col min="3843" max="3843" width="56.5703125" style="259" customWidth="1"/>
    <col min="3844" max="3846" width="19.7109375" style="259" customWidth="1"/>
    <col min="3847" max="3847" width="2.7109375" style="259" customWidth="1"/>
    <col min="3848" max="3848" width="15.28515625" style="259" customWidth="1"/>
    <col min="3849" max="3849" width="7.42578125" style="259" bestFit="1" customWidth="1"/>
    <col min="3850" max="3850" width="3.28515625" style="259" customWidth="1"/>
    <col min="3851" max="3851" width="13.140625" style="259" bestFit="1" customWidth="1"/>
    <col min="3852" max="3852" width="13.7109375" style="259" bestFit="1" customWidth="1"/>
    <col min="3853" max="3853" width="12" style="259" customWidth="1"/>
    <col min="3854" max="3854" width="1.85546875" style="259" customWidth="1"/>
    <col min="3855" max="3856" width="13.140625" style="259" bestFit="1" customWidth="1"/>
    <col min="3857" max="3857" width="16.42578125" style="259" customWidth="1"/>
    <col min="3858" max="3858" width="9.140625" style="259"/>
    <col min="3859" max="3859" width="48.7109375" style="259" customWidth="1"/>
    <col min="3860" max="3860" width="12" style="259" bestFit="1" customWidth="1"/>
    <col min="3861" max="3861" width="4.28515625" style="259" customWidth="1"/>
    <col min="3862" max="4097" width="9.140625" style="259"/>
    <col min="4098" max="4098" width="10.140625" style="259" bestFit="1" customWidth="1"/>
    <col min="4099" max="4099" width="56.5703125" style="259" customWidth="1"/>
    <col min="4100" max="4102" width="19.7109375" style="259" customWidth="1"/>
    <col min="4103" max="4103" width="2.7109375" style="259" customWidth="1"/>
    <col min="4104" max="4104" width="15.28515625" style="259" customWidth="1"/>
    <col min="4105" max="4105" width="7.42578125" style="259" bestFit="1" customWidth="1"/>
    <col min="4106" max="4106" width="3.28515625" style="259" customWidth="1"/>
    <col min="4107" max="4107" width="13.140625" style="259" bestFit="1" customWidth="1"/>
    <col min="4108" max="4108" width="13.7109375" style="259" bestFit="1" customWidth="1"/>
    <col min="4109" max="4109" width="12" style="259" customWidth="1"/>
    <col min="4110" max="4110" width="1.85546875" style="259" customWidth="1"/>
    <col min="4111" max="4112" width="13.140625" style="259" bestFit="1" customWidth="1"/>
    <col min="4113" max="4113" width="16.42578125" style="259" customWidth="1"/>
    <col min="4114" max="4114" width="9.140625" style="259"/>
    <col min="4115" max="4115" width="48.7109375" style="259" customWidth="1"/>
    <col min="4116" max="4116" width="12" style="259" bestFit="1" customWidth="1"/>
    <col min="4117" max="4117" width="4.28515625" style="259" customWidth="1"/>
    <col min="4118" max="4353" width="9.140625" style="259"/>
    <col min="4354" max="4354" width="10.140625" style="259" bestFit="1" customWidth="1"/>
    <col min="4355" max="4355" width="56.5703125" style="259" customWidth="1"/>
    <col min="4356" max="4358" width="19.7109375" style="259" customWidth="1"/>
    <col min="4359" max="4359" width="2.7109375" style="259" customWidth="1"/>
    <col min="4360" max="4360" width="15.28515625" style="259" customWidth="1"/>
    <col min="4361" max="4361" width="7.42578125" style="259" bestFit="1" customWidth="1"/>
    <col min="4362" max="4362" width="3.28515625" style="259" customWidth="1"/>
    <col min="4363" max="4363" width="13.140625" style="259" bestFit="1" customWidth="1"/>
    <col min="4364" max="4364" width="13.7109375" style="259" bestFit="1" customWidth="1"/>
    <col min="4365" max="4365" width="12" style="259" customWidth="1"/>
    <col min="4366" max="4366" width="1.85546875" style="259" customWidth="1"/>
    <col min="4367" max="4368" width="13.140625" style="259" bestFit="1" customWidth="1"/>
    <col min="4369" max="4369" width="16.42578125" style="259" customWidth="1"/>
    <col min="4370" max="4370" width="9.140625" style="259"/>
    <col min="4371" max="4371" width="48.7109375" style="259" customWidth="1"/>
    <col min="4372" max="4372" width="12" style="259" bestFit="1" customWidth="1"/>
    <col min="4373" max="4373" width="4.28515625" style="259" customWidth="1"/>
    <col min="4374" max="4609" width="9.140625" style="259"/>
    <col min="4610" max="4610" width="10.140625" style="259" bestFit="1" customWidth="1"/>
    <col min="4611" max="4611" width="56.5703125" style="259" customWidth="1"/>
    <col min="4612" max="4614" width="19.7109375" style="259" customWidth="1"/>
    <col min="4615" max="4615" width="2.7109375" style="259" customWidth="1"/>
    <col min="4616" max="4616" width="15.28515625" style="259" customWidth="1"/>
    <col min="4617" max="4617" width="7.42578125" style="259" bestFit="1" customWidth="1"/>
    <col min="4618" max="4618" width="3.28515625" style="259" customWidth="1"/>
    <col min="4619" max="4619" width="13.140625" style="259" bestFit="1" customWidth="1"/>
    <col min="4620" max="4620" width="13.7109375" style="259" bestFit="1" customWidth="1"/>
    <col min="4621" max="4621" width="12" style="259" customWidth="1"/>
    <col min="4622" max="4622" width="1.85546875" style="259" customWidth="1"/>
    <col min="4623" max="4624" width="13.140625" style="259" bestFit="1" customWidth="1"/>
    <col min="4625" max="4625" width="16.42578125" style="259" customWidth="1"/>
    <col min="4626" max="4626" width="9.140625" style="259"/>
    <col min="4627" max="4627" width="48.7109375" style="259" customWidth="1"/>
    <col min="4628" max="4628" width="12" style="259" bestFit="1" customWidth="1"/>
    <col min="4629" max="4629" width="4.28515625" style="259" customWidth="1"/>
    <col min="4630" max="4865" width="9.140625" style="259"/>
    <col min="4866" max="4866" width="10.140625" style="259" bestFit="1" customWidth="1"/>
    <col min="4867" max="4867" width="56.5703125" style="259" customWidth="1"/>
    <col min="4868" max="4870" width="19.7109375" style="259" customWidth="1"/>
    <col min="4871" max="4871" width="2.7109375" style="259" customWidth="1"/>
    <col min="4872" max="4872" width="15.28515625" style="259" customWidth="1"/>
    <col min="4873" max="4873" width="7.42578125" style="259" bestFit="1" customWidth="1"/>
    <col min="4874" max="4874" width="3.28515625" style="259" customWidth="1"/>
    <col min="4875" max="4875" width="13.140625" style="259" bestFit="1" customWidth="1"/>
    <col min="4876" max="4876" width="13.7109375" style="259" bestFit="1" customWidth="1"/>
    <col min="4877" max="4877" width="12" style="259" customWidth="1"/>
    <col min="4878" max="4878" width="1.85546875" style="259" customWidth="1"/>
    <col min="4879" max="4880" width="13.140625" style="259" bestFit="1" customWidth="1"/>
    <col min="4881" max="4881" width="16.42578125" style="259" customWidth="1"/>
    <col min="4882" max="4882" width="9.140625" style="259"/>
    <col min="4883" max="4883" width="48.7109375" style="259" customWidth="1"/>
    <col min="4884" max="4884" width="12" style="259" bestFit="1" customWidth="1"/>
    <col min="4885" max="4885" width="4.28515625" style="259" customWidth="1"/>
    <col min="4886" max="5121" width="9.140625" style="259"/>
    <col min="5122" max="5122" width="10.140625" style="259" bestFit="1" customWidth="1"/>
    <col min="5123" max="5123" width="56.5703125" style="259" customWidth="1"/>
    <col min="5124" max="5126" width="19.7109375" style="259" customWidth="1"/>
    <col min="5127" max="5127" width="2.7109375" style="259" customWidth="1"/>
    <col min="5128" max="5128" width="15.28515625" style="259" customWidth="1"/>
    <col min="5129" max="5129" width="7.42578125" style="259" bestFit="1" customWidth="1"/>
    <col min="5130" max="5130" width="3.28515625" style="259" customWidth="1"/>
    <col min="5131" max="5131" width="13.140625" style="259" bestFit="1" customWidth="1"/>
    <col min="5132" max="5132" width="13.7109375" style="259" bestFit="1" customWidth="1"/>
    <col min="5133" max="5133" width="12" style="259" customWidth="1"/>
    <col min="5134" max="5134" width="1.85546875" style="259" customWidth="1"/>
    <col min="5135" max="5136" width="13.140625" style="259" bestFit="1" customWidth="1"/>
    <col min="5137" max="5137" width="16.42578125" style="259" customWidth="1"/>
    <col min="5138" max="5138" width="9.140625" style="259"/>
    <col min="5139" max="5139" width="48.7109375" style="259" customWidth="1"/>
    <col min="5140" max="5140" width="12" style="259" bestFit="1" customWidth="1"/>
    <col min="5141" max="5141" width="4.28515625" style="259" customWidth="1"/>
    <col min="5142" max="5377" width="9.140625" style="259"/>
    <col min="5378" max="5378" width="10.140625" style="259" bestFit="1" customWidth="1"/>
    <col min="5379" max="5379" width="56.5703125" style="259" customWidth="1"/>
    <col min="5380" max="5382" width="19.7109375" style="259" customWidth="1"/>
    <col min="5383" max="5383" width="2.7109375" style="259" customWidth="1"/>
    <col min="5384" max="5384" width="15.28515625" style="259" customWidth="1"/>
    <col min="5385" max="5385" width="7.42578125" style="259" bestFit="1" customWidth="1"/>
    <col min="5386" max="5386" width="3.28515625" style="259" customWidth="1"/>
    <col min="5387" max="5387" width="13.140625" style="259" bestFit="1" customWidth="1"/>
    <col min="5388" max="5388" width="13.7109375" style="259" bestFit="1" customWidth="1"/>
    <col min="5389" max="5389" width="12" style="259" customWidth="1"/>
    <col min="5390" max="5390" width="1.85546875" style="259" customWidth="1"/>
    <col min="5391" max="5392" width="13.140625" style="259" bestFit="1" customWidth="1"/>
    <col min="5393" max="5393" width="16.42578125" style="259" customWidth="1"/>
    <col min="5394" max="5394" width="9.140625" style="259"/>
    <col min="5395" max="5395" width="48.7109375" style="259" customWidth="1"/>
    <col min="5396" max="5396" width="12" style="259" bestFit="1" customWidth="1"/>
    <col min="5397" max="5397" width="4.28515625" style="259" customWidth="1"/>
    <col min="5398" max="5633" width="9.140625" style="259"/>
    <col min="5634" max="5634" width="10.140625" style="259" bestFit="1" customWidth="1"/>
    <col min="5635" max="5635" width="56.5703125" style="259" customWidth="1"/>
    <col min="5636" max="5638" width="19.7109375" style="259" customWidth="1"/>
    <col min="5639" max="5639" width="2.7109375" style="259" customWidth="1"/>
    <col min="5640" max="5640" width="15.28515625" style="259" customWidth="1"/>
    <col min="5641" max="5641" width="7.42578125" style="259" bestFit="1" customWidth="1"/>
    <col min="5642" max="5642" width="3.28515625" style="259" customWidth="1"/>
    <col min="5643" max="5643" width="13.140625" style="259" bestFit="1" customWidth="1"/>
    <col min="5644" max="5644" width="13.7109375" style="259" bestFit="1" customWidth="1"/>
    <col min="5645" max="5645" width="12" style="259" customWidth="1"/>
    <col min="5646" max="5646" width="1.85546875" style="259" customWidth="1"/>
    <col min="5647" max="5648" width="13.140625" style="259" bestFit="1" customWidth="1"/>
    <col min="5649" max="5649" width="16.42578125" style="259" customWidth="1"/>
    <col min="5650" max="5650" width="9.140625" style="259"/>
    <col min="5651" max="5651" width="48.7109375" style="259" customWidth="1"/>
    <col min="5652" max="5652" width="12" style="259" bestFit="1" customWidth="1"/>
    <col min="5653" max="5653" width="4.28515625" style="259" customWidth="1"/>
    <col min="5654" max="5889" width="9.140625" style="259"/>
    <col min="5890" max="5890" width="10.140625" style="259" bestFit="1" customWidth="1"/>
    <col min="5891" max="5891" width="56.5703125" style="259" customWidth="1"/>
    <col min="5892" max="5894" width="19.7109375" style="259" customWidth="1"/>
    <col min="5895" max="5895" width="2.7109375" style="259" customWidth="1"/>
    <col min="5896" max="5896" width="15.28515625" style="259" customWidth="1"/>
    <col min="5897" max="5897" width="7.42578125" style="259" bestFit="1" customWidth="1"/>
    <col min="5898" max="5898" width="3.28515625" style="259" customWidth="1"/>
    <col min="5899" max="5899" width="13.140625" style="259" bestFit="1" customWidth="1"/>
    <col min="5900" max="5900" width="13.7109375" style="259" bestFit="1" customWidth="1"/>
    <col min="5901" max="5901" width="12" style="259" customWidth="1"/>
    <col min="5902" max="5902" width="1.85546875" style="259" customWidth="1"/>
    <col min="5903" max="5904" width="13.140625" style="259" bestFit="1" customWidth="1"/>
    <col min="5905" max="5905" width="16.42578125" style="259" customWidth="1"/>
    <col min="5906" max="5906" width="9.140625" style="259"/>
    <col min="5907" max="5907" width="48.7109375" style="259" customWidth="1"/>
    <col min="5908" max="5908" width="12" style="259" bestFit="1" customWidth="1"/>
    <col min="5909" max="5909" width="4.28515625" style="259" customWidth="1"/>
    <col min="5910" max="6145" width="9.140625" style="259"/>
    <col min="6146" max="6146" width="10.140625" style="259" bestFit="1" customWidth="1"/>
    <col min="6147" max="6147" width="56.5703125" style="259" customWidth="1"/>
    <col min="6148" max="6150" width="19.7109375" style="259" customWidth="1"/>
    <col min="6151" max="6151" width="2.7109375" style="259" customWidth="1"/>
    <col min="6152" max="6152" width="15.28515625" style="259" customWidth="1"/>
    <col min="6153" max="6153" width="7.42578125" style="259" bestFit="1" customWidth="1"/>
    <col min="6154" max="6154" width="3.28515625" style="259" customWidth="1"/>
    <col min="6155" max="6155" width="13.140625" style="259" bestFit="1" customWidth="1"/>
    <col min="6156" max="6156" width="13.7109375" style="259" bestFit="1" customWidth="1"/>
    <col min="6157" max="6157" width="12" style="259" customWidth="1"/>
    <col min="6158" max="6158" width="1.85546875" style="259" customWidth="1"/>
    <col min="6159" max="6160" width="13.140625" style="259" bestFit="1" customWidth="1"/>
    <col min="6161" max="6161" width="16.42578125" style="259" customWidth="1"/>
    <col min="6162" max="6162" width="9.140625" style="259"/>
    <col min="6163" max="6163" width="48.7109375" style="259" customWidth="1"/>
    <col min="6164" max="6164" width="12" style="259" bestFit="1" customWidth="1"/>
    <col min="6165" max="6165" width="4.28515625" style="259" customWidth="1"/>
    <col min="6166" max="6401" width="9.140625" style="259"/>
    <col min="6402" max="6402" width="10.140625" style="259" bestFit="1" customWidth="1"/>
    <col min="6403" max="6403" width="56.5703125" style="259" customWidth="1"/>
    <col min="6404" max="6406" width="19.7109375" style="259" customWidth="1"/>
    <col min="6407" max="6407" width="2.7109375" style="259" customWidth="1"/>
    <col min="6408" max="6408" width="15.28515625" style="259" customWidth="1"/>
    <col min="6409" max="6409" width="7.42578125" style="259" bestFit="1" customWidth="1"/>
    <col min="6410" max="6410" width="3.28515625" style="259" customWidth="1"/>
    <col min="6411" max="6411" width="13.140625" style="259" bestFit="1" customWidth="1"/>
    <col min="6412" max="6412" width="13.7109375" style="259" bestFit="1" customWidth="1"/>
    <col min="6413" max="6413" width="12" style="259" customWidth="1"/>
    <col min="6414" max="6414" width="1.85546875" style="259" customWidth="1"/>
    <col min="6415" max="6416" width="13.140625" style="259" bestFit="1" customWidth="1"/>
    <col min="6417" max="6417" width="16.42578125" style="259" customWidth="1"/>
    <col min="6418" max="6418" width="9.140625" style="259"/>
    <col min="6419" max="6419" width="48.7109375" style="259" customWidth="1"/>
    <col min="6420" max="6420" width="12" style="259" bestFit="1" customWidth="1"/>
    <col min="6421" max="6421" width="4.28515625" style="259" customWidth="1"/>
    <col min="6422" max="6657" width="9.140625" style="259"/>
    <col min="6658" max="6658" width="10.140625" style="259" bestFit="1" customWidth="1"/>
    <col min="6659" max="6659" width="56.5703125" style="259" customWidth="1"/>
    <col min="6660" max="6662" width="19.7109375" style="259" customWidth="1"/>
    <col min="6663" max="6663" width="2.7109375" style="259" customWidth="1"/>
    <col min="6664" max="6664" width="15.28515625" style="259" customWidth="1"/>
    <col min="6665" max="6665" width="7.42578125" style="259" bestFit="1" customWidth="1"/>
    <col min="6666" max="6666" width="3.28515625" style="259" customWidth="1"/>
    <col min="6667" max="6667" width="13.140625" style="259" bestFit="1" customWidth="1"/>
    <col min="6668" max="6668" width="13.7109375" style="259" bestFit="1" customWidth="1"/>
    <col min="6669" max="6669" width="12" style="259" customWidth="1"/>
    <col min="6670" max="6670" width="1.85546875" style="259" customWidth="1"/>
    <col min="6671" max="6672" width="13.140625" style="259" bestFit="1" customWidth="1"/>
    <col min="6673" max="6673" width="16.42578125" style="259" customWidth="1"/>
    <col min="6674" max="6674" width="9.140625" style="259"/>
    <col min="6675" max="6675" width="48.7109375" style="259" customWidth="1"/>
    <col min="6676" max="6676" width="12" style="259" bestFit="1" customWidth="1"/>
    <col min="6677" max="6677" width="4.28515625" style="259" customWidth="1"/>
    <col min="6678" max="6913" width="9.140625" style="259"/>
    <col min="6914" max="6914" width="10.140625" style="259" bestFit="1" customWidth="1"/>
    <col min="6915" max="6915" width="56.5703125" style="259" customWidth="1"/>
    <col min="6916" max="6918" width="19.7109375" style="259" customWidth="1"/>
    <col min="6919" max="6919" width="2.7109375" style="259" customWidth="1"/>
    <col min="6920" max="6920" width="15.28515625" style="259" customWidth="1"/>
    <col min="6921" max="6921" width="7.42578125" style="259" bestFit="1" customWidth="1"/>
    <col min="6922" max="6922" width="3.28515625" style="259" customWidth="1"/>
    <col min="6923" max="6923" width="13.140625" style="259" bestFit="1" customWidth="1"/>
    <col min="6924" max="6924" width="13.7109375" style="259" bestFit="1" customWidth="1"/>
    <col min="6925" max="6925" width="12" style="259" customWidth="1"/>
    <col min="6926" max="6926" width="1.85546875" style="259" customWidth="1"/>
    <col min="6927" max="6928" width="13.140625" style="259" bestFit="1" customWidth="1"/>
    <col min="6929" max="6929" width="16.42578125" style="259" customWidth="1"/>
    <col min="6930" max="6930" width="9.140625" style="259"/>
    <col min="6931" max="6931" width="48.7109375" style="259" customWidth="1"/>
    <col min="6932" max="6932" width="12" style="259" bestFit="1" customWidth="1"/>
    <col min="6933" max="6933" width="4.28515625" style="259" customWidth="1"/>
    <col min="6934" max="7169" width="9.140625" style="259"/>
    <col min="7170" max="7170" width="10.140625" style="259" bestFit="1" customWidth="1"/>
    <col min="7171" max="7171" width="56.5703125" style="259" customWidth="1"/>
    <col min="7172" max="7174" width="19.7109375" style="259" customWidth="1"/>
    <col min="7175" max="7175" width="2.7109375" style="259" customWidth="1"/>
    <col min="7176" max="7176" width="15.28515625" style="259" customWidth="1"/>
    <col min="7177" max="7177" width="7.42578125" style="259" bestFit="1" customWidth="1"/>
    <col min="7178" max="7178" width="3.28515625" style="259" customWidth="1"/>
    <col min="7179" max="7179" width="13.140625" style="259" bestFit="1" customWidth="1"/>
    <col min="7180" max="7180" width="13.7109375" style="259" bestFit="1" customWidth="1"/>
    <col min="7181" max="7181" width="12" style="259" customWidth="1"/>
    <col min="7182" max="7182" width="1.85546875" style="259" customWidth="1"/>
    <col min="7183" max="7184" width="13.140625" style="259" bestFit="1" customWidth="1"/>
    <col min="7185" max="7185" width="16.42578125" style="259" customWidth="1"/>
    <col min="7186" max="7186" width="9.140625" style="259"/>
    <col min="7187" max="7187" width="48.7109375" style="259" customWidth="1"/>
    <col min="7188" max="7188" width="12" style="259" bestFit="1" customWidth="1"/>
    <col min="7189" max="7189" width="4.28515625" style="259" customWidth="1"/>
    <col min="7190" max="7425" width="9.140625" style="259"/>
    <col min="7426" max="7426" width="10.140625" style="259" bestFit="1" customWidth="1"/>
    <col min="7427" max="7427" width="56.5703125" style="259" customWidth="1"/>
    <col min="7428" max="7430" width="19.7109375" style="259" customWidth="1"/>
    <col min="7431" max="7431" width="2.7109375" style="259" customWidth="1"/>
    <col min="7432" max="7432" width="15.28515625" style="259" customWidth="1"/>
    <col min="7433" max="7433" width="7.42578125" style="259" bestFit="1" customWidth="1"/>
    <col min="7434" max="7434" width="3.28515625" style="259" customWidth="1"/>
    <col min="7435" max="7435" width="13.140625" style="259" bestFit="1" customWidth="1"/>
    <col min="7436" max="7436" width="13.7109375" style="259" bestFit="1" customWidth="1"/>
    <col min="7437" max="7437" width="12" style="259" customWidth="1"/>
    <col min="7438" max="7438" width="1.85546875" style="259" customWidth="1"/>
    <col min="7439" max="7440" width="13.140625" style="259" bestFit="1" customWidth="1"/>
    <col min="7441" max="7441" width="16.42578125" style="259" customWidth="1"/>
    <col min="7442" max="7442" width="9.140625" style="259"/>
    <col min="7443" max="7443" width="48.7109375" style="259" customWidth="1"/>
    <col min="7444" max="7444" width="12" style="259" bestFit="1" customWidth="1"/>
    <col min="7445" max="7445" width="4.28515625" style="259" customWidth="1"/>
    <col min="7446" max="7681" width="9.140625" style="259"/>
    <col min="7682" max="7682" width="10.140625" style="259" bestFit="1" customWidth="1"/>
    <col min="7683" max="7683" width="56.5703125" style="259" customWidth="1"/>
    <col min="7684" max="7686" width="19.7109375" style="259" customWidth="1"/>
    <col min="7687" max="7687" width="2.7109375" style="259" customWidth="1"/>
    <col min="7688" max="7688" width="15.28515625" style="259" customWidth="1"/>
    <col min="7689" max="7689" width="7.42578125" style="259" bestFit="1" customWidth="1"/>
    <col min="7690" max="7690" width="3.28515625" style="259" customWidth="1"/>
    <col min="7691" max="7691" width="13.140625" style="259" bestFit="1" customWidth="1"/>
    <col min="7692" max="7692" width="13.7109375" style="259" bestFit="1" customWidth="1"/>
    <col min="7693" max="7693" width="12" style="259" customWidth="1"/>
    <col min="7694" max="7694" width="1.85546875" style="259" customWidth="1"/>
    <col min="7695" max="7696" width="13.140625" style="259" bestFit="1" customWidth="1"/>
    <col min="7697" max="7697" width="16.42578125" style="259" customWidth="1"/>
    <col min="7698" max="7698" width="9.140625" style="259"/>
    <col min="7699" max="7699" width="48.7109375" style="259" customWidth="1"/>
    <col min="7700" max="7700" width="12" style="259" bestFit="1" customWidth="1"/>
    <col min="7701" max="7701" width="4.28515625" style="259" customWidth="1"/>
    <col min="7702" max="7937" width="9.140625" style="259"/>
    <col min="7938" max="7938" width="10.140625" style="259" bestFit="1" customWidth="1"/>
    <col min="7939" max="7939" width="56.5703125" style="259" customWidth="1"/>
    <col min="7940" max="7942" width="19.7109375" style="259" customWidth="1"/>
    <col min="7943" max="7943" width="2.7109375" style="259" customWidth="1"/>
    <col min="7944" max="7944" width="15.28515625" style="259" customWidth="1"/>
    <col min="7945" max="7945" width="7.42578125" style="259" bestFit="1" customWidth="1"/>
    <col min="7946" max="7946" width="3.28515625" style="259" customWidth="1"/>
    <col min="7947" max="7947" width="13.140625" style="259" bestFit="1" customWidth="1"/>
    <col min="7948" max="7948" width="13.7109375" style="259" bestFit="1" customWidth="1"/>
    <col min="7949" max="7949" width="12" style="259" customWidth="1"/>
    <col min="7950" max="7950" width="1.85546875" style="259" customWidth="1"/>
    <col min="7951" max="7952" width="13.140625" style="259" bestFit="1" customWidth="1"/>
    <col min="7953" max="7953" width="16.42578125" style="259" customWidth="1"/>
    <col min="7954" max="7954" width="9.140625" style="259"/>
    <col min="7955" max="7955" width="48.7109375" style="259" customWidth="1"/>
    <col min="7956" max="7956" width="12" style="259" bestFit="1" customWidth="1"/>
    <col min="7957" max="7957" width="4.28515625" style="259" customWidth="1"/>
    <col min="7958" max="8193" width="9.140625" style="259"/>
    <col min="8194" max="8194" width="10.140625" style="259" bestFit="1" customWidth="1"/>
    <col min="8195" max="8195" width="56.5703125" style="259" customWidth="1"/>
    <col min="8196" max="8198" width="19.7109375" style="259" customWidth="1"/>
    <col min="8199" max="8199" width="2.7109375" style="259" customWidth="1"/>
    <col min="8200" max="8200" width="15.28515625" style="259" customWidth="1"/>
    <col min="8201" max="8201" width="7.42578125" style="259" bestFit="1" customWidth="1"/>
    <col min="8202" max="8202" width="3.28515625" style="259" customWidth="1"/>
    <col min="8203" max="8203" width="13.140625" style="259" bestFit="1" customWidth="1"/>
    <col min="8204" max="8204" width="13.7109375" style="259" bestFit="1" customWidth="1"/>
    <col min="8205" max="8205" width="12" style="259" customWidth="1"/>
    <col min="8206" max="8206" width="1.85546875" style="259" customWidth="1"/>
    <col min="8207" max="8208" width="13.140625" style="259" bestFit="1" customWidth="1"/>
    <col min="8209" max="8209" width="16.42578125" style="259" customWidth="1"/>
    <col min="8210" max="8210" width="9.140625" style="259"/>
    <col min="8211" max="8211" width="48.7109375" style="259" customWidth="1"/>
    <col min="8212" max="8212" width="12" style="259" bestFit="1" customWidth="1"/>
    <col min="8213" max="8213" width="4.28515625" style="259" customWidth="1"/>
    <col min="8214" max="8449" width="9.140625" style="259"/>
    <col min="8450" max="8450" width="10.140625" style="259" bestFit="1" customWidth="1"/>
    <col min="8451" max="8451" width="56.5703125" style="259" customWidth="1"/>
    <col min="8452" max="8454" width="19.7109375" style="259" customWidth="1"/>
    <col min="8455" max="8455" width="2.7109375" style="259" customWidth="1"/>
    <col min="8456" max="8456" width="15.28515625" style="259" customWidth="1"/>
    <col min="8457" max="8457" width="7.42578125" style="259" bestFit="1" customWidth="1"/>
    <col min="8458" max="8458" width="3.28515625" style="259" customWidth="1"/>
    <col min="8459" max="8459" width="13.140625" style="259" bestFit="1" customWidth="1"/>
    <col min="8460" max="8460" width="13.7109375" style="259" bestFit="1" customWidth="1"/>
    <col min="8461" max="8461" width="12" style="259" customWidth="1"/>
    <col min="8462" max="8462" width="1.85546875" style="259" customWidth="1"/>
    <col min="8463" max="8464" width="13.140625" style="259" bestFit="1" customWidth="1"/>
    <col min="8465" max="8465" width="16.42578125" style="259" customWidth="1"/>
    <col min="8466" max="8466" width="9.140625" style="259"/>
    <col min="8467" max="8467" width="48.7109375" style="259" customWidth="1"/>
    <col min="8468" max="8468" width="12" style="259" bestFit="1" customWidth="1"/>
    <col min="8469" max="8469" width="4.28515625" style="259" customWidth="1"/>
    <col min="8470" max="8705" width="9.140625" style="259"/>
    <col min="8706" max="8706" width="10.140625" style="259" bestFit="1" customWidth="1"/>
    <col min="8707" max="8707" width="56.5703125" style="259" customWidth="1"/>
    <col min="8708" max="8710" width="19.7109375" style="259" customWidth="1"/>
    <col min="8711" max="8711" width="2.7109375" style="259" customWidth="1"/>
    <col min="8712" max="8712" width="15.28515625" style="259" customWidth="1"/>
    <col min="8713" max="8713" width="7.42578125" style="259" bestFit="1" customWidth="1"/>
    <col min="8714" max="8714" width="3.28515625" style="259" customWidth="1"/>
    <col min="8715" max="8715" width="13.140625" style="259" bestFit="1" customWidth="1"/>
    <col min="8716" max="8716" width="13.7109375" style="259" bestFit="1" customWidth="1"/>
    <col min="8717" max="8717" width="12" style="259" customWidth="1"/>
    <col min="8718" max="8718" width="1.85546875" style="259" customWidth="1"/>
    <col min="8719" max="8720" width="13.140625" style="259" bestFit="1" customWidth="1"/>
    <col min="8721" max="8721" width="16.42578125" style="259" customWidth="1"/>
    <col min="8722" max="8722" width="9.140625" style="259"/>
    <col min="8723" max="8723" width="48.7109375" style="259" customWidth="1"/>
    <col min="8724" max="8724" width="12" style="259" bestFit="1" customWidth="1"/>
    <col min="8725" max="8725" width="4.28515625" style="259" customWidth="1"/>
    <col min="8726" max="8961" width="9.140625" style="259"/>
    <col min="8962" max="8962" width="10.140625" style="259" bestFit="1" customWidth="1"/>
    <col min="8963" max="8963" width="56.5703125" style="259" customWidth="1"/>
    <col min="8964" max="8966" width="19.7109375" style="259" customWidth="1"/>
    <col min="8967" max="8967" width="2.7109375" style="259" customWidth="1"/>
    <col min="8968" max="8968" width="15.28515625" style="259" customWidth="1"/>
    <col min="8969" max="8969" width="7.42578125" style="259" bestFit="1" customWidth="1"/>
    <col min="8970" max="8970" width="3.28515625" style="259" customWidth="1"/>
    <col min="8971" max="8971" width="13.140625" style="259" bestFit="1" customWidth="1"/>
    <col min="8972" max="8972" width="13.7109375" style="259" bestFit="1" customWidth="1"/>
    <col min="8973" max="8973" width="12" style="259" customWidth="1"/>
    <col min="8974" max="8974" width="1.85546875" style="259" customWidth="1"/>
    <col min="8975" max="8976" width="13.140625" style="259" bestFit="1" customWidth="1"/>
    <col min="8977" max="8977" width="16.42578125" style="259" customWidth="1"/>
    <col min="8978" max="8978" width="9.140625" style="259"/>
    <col min="8979" max="8979" width="48.7109375" style="259" customWidth="1"/>
    <col min="8980" max="8980" width="12" style="259" bestFit="1" customWidth="1"/>
    <col min="8981" max="8981" width="4.28515625" style="259" customWidth="1"/>
    <col min="8982" max="9217" width="9.140625" style="259"/>
    <col min="9218" max="9218" width="10.140625" style="259" bestFit="1" customWidth="1"/>
    <col min="9219" max="9219" width="56.5703125" style="259" customWidth="1"/>
    <col min="9220" max="9222" width="19.7109375" style="259" customWidth="1"/>
    <col min="9223" max="9223" width="2.7109375" style="259" customWidth="1"/>
    <col min="9224" max="9224" width="15.28515625" style="259" customWidth="1"/>
    <col min="9225" max="9225" width="7.42578125" style="259" bestFit="1" customWidth="1"/>
    <col min="9226" max="9226" width="3.28515625" style="259" customWidth="1"/>
    <col min="9227" max="9227" width="13.140625" style="259" bestFit="1" customWidth="1"/>
    <col min="9228" max="9228" width="13.7109375" style="259" bestFit="1" customWidth="1"/>
    <col min="9229" max="9229" width="12" style="259" customWidth="1"/>
    <col min="9230" max="9230" width="1.85546875" style="259" customWidth="1"/>
    <col min="9231" max="9232" width="13.140625" style="259" bestFit="1" customWidth="1"/>
    <col min="9233" max="9233" width="16.42578125" style="259" customWidth="1"/>
    <col min="9234" max="9234" width="9.140625" style="259"/>
    <col min="9235" max="9235" width="48.7109375" style="259" customWidth="1"/>
    <col min="9236" max="9236" width="12" style="259" bestFit="1" customWidth="1"/>
    <col min="9237" max="9237" width="4.28515625" style="259" customWidth="1"/>
    <col min="9238" max="9473" width="9.140625" style="259"/>
    <col min="9474" max="9474" width="10.140625" style="259" bestFit="1" customWidth="1"/>
    <col min="9475" max="9475" width="56.5703125" style="259" customWidth="1"/>
    <col min="9476" max="9478" width="19.7109375" style="259" customWidth="1"/>
    <col min="9479" max="9479" width="2.7109375" style="259" customWidth="1"/>
    <col min="9480" max="9480" width="15.28515625" style="259" customWidth="1"/>
    <col min="9481" max="9481" width="7.42578125" style="259" bestFit="1" customWidth="1"/>
    <col min="9482" max="9482" width="3.28515625" style="259" customWidth="1"/>
    <col min="9483" max="9483" width="13.140625" style="259" bestFit="1" customWidth="1"/>
    <col min="9484" max="9484" width="13.7109375" style="259" bestFit="1" customWidth="1"/>
    <col min="9485" max="9485" width="12" style="259" customWidth="1"/>
    <col min="9486" max="9486" width="1.85546875" style="259" customWidth="1"/>
    <col min="9487" max="9488" width="13.140625" style="259" bestFit="1" customWidth="1"/>
    <col min="9489" max="9489" width="16.42578125" style="259" customWidth="1"/>
    <col min="9490" max="9490" width="9.140625" style="259"/>
    <col min="9491" max="9491" width="48.7109375" style="259" customWidth="1"/>
    <col min="9492" max="9492" width="12" style="259" bestFit="1" customWidth="1"/>
    <col min="9493" max="9493" width="4.28515625" style="259" customWidth="1"/>
    <col min="9494" max="9729" width="9.140625" style="259"/>
    <col min="9730" max="9730" width="10.140625" style="259" bestFit="1" customWidth="1"/>
    <col min="9731" max="9731" width="56.5703125" style="259" customWidth="1"/>
    <col min="9732" max="9734" width="19.7109375" style="259" customWidth="1"/>
    <col min="9735" max="9735" width="2.7109375" style="259" customWidth="1"/>
    <col min="9736" max="9736" width="15.28515625" style="259" customWidth="1"/>
    <col min="9737" max="9737" width="7.42578125" style="259" bestFit="1" customWidth="1"/>
    <col min="9738" max="9738" width="3.28515625" style="259" customWidth="1"/>
    <col min="9739" max="9739" width="13.140625" style="259" bestFit="1" customWidth="1"/>
    <col min="9740" max="9740" width="13.7109375" style="259" bestFit="1" customWidth="1"/>
    <col min="9741" max="9741" width="12" style="259" customWidth="1"/>
    <col min="9742" max="9742" width="1.85546875" style="259" customWidth="1"/>
    <col min="9743" max="9744" width="13.140625" style="259" bestFit="1" customWidth="1"/>
    <col min="9745" max="9745" width="16.42578125" style="259" customWidth="1"/>
    <col min="9746" max="9746" width="9.140625" style="259"/>
    <col min="9747" max="9747" width="48.7109375" style="259" customWidth="1"/>
    <col min="9748" max="9748" width="12" style="259" bestFit="1" customWidth="1"/>
    <col min="9749" max="9749" width="4.28515625" style="259" customWidth="1"/>
    <col min="9750" max="9985" width="9.140625" style="259"/>
    <col min="9986" max="9986" width="10.140625" style="259" bestFit="1" customWidth="1"/>
    <col min="9987" max="9987" width="56.5703125" style="259" customWidth="1"/>
    <col min="9988" max="9990" width="19.7109375" style="259" customWidth="1"/>
    <col min="9991" max="9991" width="2.7109375" style="259" customWidth="1"/>
    <col min="9992" max="9992" width="15.28515625" style="259" customWidth="1"/>
    <col min="9993" max="9993" width="7.42578125" style="259" bestFit="1" customWidth="1"/>
    <col min="9994" max="9994" width="3.28515625" style="259" customWidth="1"/>
    <col min="9995" max="9995" width="13.140625" style="259" bestFit="1" customWidth="1"/>
    <col min="9996" max="9996" width="13.7109375" style="259" bestFit="1" customWidth="1"/>
    <col min="9997" max="9997" width="12" style="259" customWidth="1"/>
    <col min="9998" max="9998" width="1.85546875" style="259" customWidth="1"/>
    <col min="9999" max="10000" width="13.140625" style="259" bestFit="1" customWidth="1"/>
    <col min="10001" max="10001" width="16.42578125" style="259" customWidth="1"/>
    <col min="10002" max="10002" width="9.140625" style="259"/>
    <col min="10003" max="10003" width="48.7109375" style="259" customWidth="1"/>
    <col min="10004" max="10004" width="12" style="259" bestFit="1" customWidth="1"/>
    <col min="10005" max="10005" width="4.28515625" style="259" customWidth="1"/>
    <col min="10006" max="10241" width="9.140625" style="259"/>
    <col min="10242" max="10242" width="10.140625" style="259" bestFit="1" customWidth="1"/>
    <col min="10243" max="10243" width="56.5703125" style="259" customWidth="1"/>
    <col min="10244" max="10246" width="19.7109375" style="259" customWidth="1"/>
    <col min="10247" max="10247" width="2.7109375" style="259" customWidth="1"/>
    <col min="10248" max="10248" width="15.28515625" style="259" customWidth="1"/>
    <col min="10249" max="10249" width="7.42578125" style="259" bestFit="1" customWidth="1"/>
    <col min="10250" max="10250" width="3.28515625" style="259" customWidth="1"/>
    <col min="10251" max="10251" width="13.140625" style="259" bestFit="1" customWidth="1"/>
    <col min="10252" max="10252" width="13.7109375" style="259" bestFit="1" customWidth="1"/>
    <col min="10253" max="10253" width="12" style="259" customWidth="1"/>
    <col min="10254" max="10254" width="1.85546875" style="259" customWidth="1"/>
    <col min="10255" max="10256" width="13.140625" style="259" bestFit="1" customWidth="1"/>
    <col min="10257" max="10257" width="16.42578125" style="259" customWidth="1"/>
    <col min="10258" max="10258" width="9.140625" style="259"/>
    <col min="10259" max="10259" width="48.7109375" style="259" customWidth="1"/>
    <col min="10260" max="10260" width="12" style="259" bestFit="1" customWidth="1"/>
    <col min="10261" max="10261" width="4.28515625" style="259" customWidth="1"/>
    <col min="10262" max="10497" width="9.140625" style="259"/>
    <col min="10498" max="10498" width="10.140625" style="259" bestFit="1" customWidth="1"/>
    <col min="10499" max="10499" width="56.5703125" style="259" customWidth="1"/>
    <col min="10500" max="10502" width="19.7109375" style="259" customWidth="1"/>
    <col min="10503" max="10503" width="2.7109375" style="259" customWidth="1"/>
    <col min="10504" max="10504" width="15.28515625" style="259" customWidth="1"/>
    <col min="10505" max="10505" width="7.42578125" style="259" bestFit="1" customWidth="1"/>
    <col min="10506" max="10506" width="3.28515625" style="259" customWidth="1"/>
    <col min="10507" max="10507" width="13.140625" style="259" bestFit="1" customWidth="1"/>
    <col min="10508" max="10508" width="13.7109375" style="259" bestFit="1" customWidth="1"/>
    <col min="10509" max="10509" width="12" style="259" customWidth="1"/>
    <col min="10510" max="10510" width="1.85546875" style="259" customWidth="1"/>
    <col min="10511" max="10512" width="13.140625" style="259" bestFit="1" customWidth="1"/>
    <col min="10513" max="10513" width="16.42578125" style="259" customWidth="1"/>
    <col min="10514" max="10514" width="9.140625" style="259"/>
    <col min="10515" max="10515" width="48.7109375" style="259" customWidth="1"/>
    <col min="10516" max="10516" width="12" style="259" bestFit="1" customWidth="1"/>
    <col min="10517" max="10517" width="4.28515625" style="259" customWidth="1"/>
    <col min="10518" max="10753" width="9.140625" style="259"/>
    <col min="10754" max="10754" width="10.140625" style="259" bestFit="1" customWidth="1"/>
    <col min="10755" max="10755" width="56.5703125" style="259" customWidth="1"/>
    <col min="10756" max="10758" width="19.7109375" style="259" customWidth="1"/>
    <col min="10759" max="10759" width="2.7109375" style="259" customWidth="1"/>
    <col min="10760" max="10760" width="15.28515625" style="259" customWidth="1"/>
    <col min="10761" max="10761" width="7.42578125" style="259" bestFit="1" customWidth="1"/>
    <col min="10762" max="10762" width="3.28515625" style="259" customWidth="1"/>
    <col min="10763" max="10763" width="13.140625" style="259" bestFit="1" customWidth="1"/>
    <col min="10764" max="10764" width="13.7109375" style="259" bestFit="1" customWidth="1"/>
    <col min="10765" max="10765" width="12" style="259" customWidth="1"/>
    <col min="10766" max="10766" width="1.85546875" style="259" customWidth="1"/>
    <col min="10767" max="10768" width="13.140625" style="259" bestFit="1" customWidth="1"/>
    <col min="10769" max="10769" width="16.42578125" style="259" customWidth="1"/>
    <col min="10770" max="10770" width="9.140625" style="259"/>
    <col min="10771" max="10771" width="48.7109375" style="259" customWidth="1"/>
    <col min="10772" max="10772" width="12" style="259" bestFit="1" customWidth="1"/>
    <col min="10773" max="10773" width="4.28515625" style="259" customWidth="1"/>
    <col min="10774" max="11009" width="9.140625" style="259"/>
    <col min="11010" max="11010" width="10.140625" style="259" bestFit="1" customWidth="1"/>
    <col min="11011" max="11011" width="56.5703125" style="259" customWidth="1"/>
    <col min="11012" max="11014" width="19.7109375" style="259" customWidth="1"/>
    <col min="11015" max="11015" width="2.7109375" style="259" customWidth="1"/>
    <col min="11016" max="11016" width="15.28515625" style="259" customWidth="1"/>
    <col min="11017" max="11017" width="7.42578125" style="259" bestFit="1" customWidth="1"/>
    <col min="11018" max="11018" width="3.28515625" style="259" customWidth="1"/>
    <col min="11019" max="11019" width="13.140625" style="259" bestFit="1" customWidth="1"/>
    <col min="11020" max="11020" width="13.7109375" style="259" bestFit="1" customWidth="1"/>
    <col min="11021" max="11021" width="12" style="259" customWidth="1"/>
    <col min="11022" max="11022" width="1.85546875" style="259" customWidth="1"/>
    <col min="11023" max="11024" width="13.140625" style="259" bestFit="1" customWidth="1"/>
    <col min="11025" max="11025" width="16.42578125" style="259" customWidth="1"/>
    <col min="11026" max="11026" width="9.140625" style="259"/>
    <col min="11027" max="11027" width="48.7109375" style="259" customWidth="1"/>
    <col min="11028" max="11028" width="12" style="259" bestFit="1" customWidth="1"/>
    <col min="11029" max="11029" width="4.28515625" style="259" customWidth="1"/>
    <col min="11030" max="11265" width="9.140625" style="259"/>
    <col min="11266" max="11266" width="10.140625" style="259" bestFit="1" customWidth="1"/>
    <col min="11267" max="11267" width="56.5703125" style="259" customWidth="1"/>
    <col min="11268" max="11270" width="19.7109375" style="259" customWidth="1"/>
    <col min="11271" max="11271" width="2.7109375" style="259" customWidth="1"/>
    <col min="11272" max="11272" width="15.28515625" style="259" customWidth="1"/>
    <col min="11273" max="11273" width="7.42578125" style="259" bestFit="1" customWidth="1"/>
    <col min="11274" max="11274" width="3.28515625" style="259" customWidth="1"/>
    <col min="11275" max="11275" width="13.140625" style="259" bestFit="1" customWidth="1"/>
    <col min="11276" max="11276" width="13.7109375" style="259" bestFit="1" customWidth="1"/>
    <col min="11277" max="11277" width="12" style="259" customWidth="1"/>
    <col min="11278" max="11278" width="1.85546875" style="259" customWidth="1"/>
    <col min="11279" max="11280" width="13.140625" style="259" bestFit="1" customWidth="1"/>
    <col min="11281" max="11281" width="16.42578125" style="259" customWidth="1"/>
    <col min="11282" max="11282" width="9.140625" style="259"/>
    <col min="11283" max="11283" width="48.7109375" style="259" customWidth="1"/>
    <col min="11284" max="11284" width="12" style="259" bestFit="1" customWidth="1"/>
    <col min="11285" max="11285" width="4.28515625" style="259" customWidth="1"/>
    <col min="11286" max="11521" width="9.140625" style="259"/>
    <col min="11522" max="11522" width="10.140625" style="259" bestFit="1" customWidth="1"/>
    <col min="11523" max="11523" width="56.5703125" style="259" customWidth="1"/>
    <col min="11524" max="11526" width="19.7109375" style="259" customWidth="1"/>
    <col min="11527" max="11527" width="2.7109375" style="259" customWidth="1"/>
    <col min="11528" max="11528" width="15.28515625" style="259" customWidth="1"/>
    <col min="11529" max="11529" width="7.42578125" style="259" bestFit="1" customWidth="1"/>
    <col min="11530" max="11530" width="3.28515625" style="259" customWidth="1"/>
    <col min="11531" max="11531" width="13.140625" style="259" bestFit="1" customWidth="1"/>
    <col min="11532" max="11532" width="13.7109375" style="259" bestFit="1" customWidth="1"/>
    <col min="11533" max="11533" width="12" style="259" customWidth="1"/>
    <col min="11534" max="11534" width="1.85546875" style="259" customWidth="1"/>
    <col min="11535" max="11536" width="13.140625" style="259" bestFit="1" customWidth="1"/>
    <col min="11537" max="11537" width="16.42578125" style="259" customWidth="1"/>
    <col min="11538" max="11538" width="9.140625" style="259"/>
    <col min="11539" max="11539" width="48.7109375" style="259" customWidth="1"/>
    <col min="11540" max="11540" width="12" style="259" bestFit="1" customWidth="1"/>
    <col min="11541" max="11541" width="4.28515625" style="259" customWidth="1"/>
    <col min="11542" max="11777" width="9.140625" style="259"/>
    <col min="11778" max="11778" width="10.140625" style="259" bestFit="1" customWidth="1"/>
    <col min="11779" max="11779" width="56.5703125" style="259" customWidth="1"/>
    <col min="11780" max="11782" width="19.7109375" style="259" customWidth="1"/>
    <col min="11783" max="11783" width="2.7109375" style="259" customWidth="1"/>
    <col min="11784" max="11784" width="15.28515625" style="259" customWidth="1"/>
    <col min="11785" max="11785" width="7.42578125" style="259" bestFit="1" customWidth="1"/>
    <col min="11786" max="11786" width="3.28515625" style="259" customWidth="1"/>
    <col min="11787" max="11787" width="13.140625" style="259" bestFit="1" customWidth="1"/>
    <col min="11788" max="11788" width="13.7109375" style="259" bestFit="1" customWidth="1"/>
    <col min="11789" max="11789" width="12" style="259" customWidth="1"/>
    <col min="11790" max="11790" width="1.85546875" style="259" customWidth="1"/>
    <col min="11791" max="11792" width="13.140625" style="259" bestFit="1" customWidth="1"/>
    <col min="11793" max="11793" width="16.42578125" style="259" customWidth="1"/>
    <col min="11794" max="11794" width="9.140625" style="259"/>
    <col min="11795" max="11795" width="48.7109375" style="259" customWidth="1"/>
    <col min="11796" max="11796" width="12" style="259" bestFit="1" customWidth="1"/>
    <col min="11797" max="11797" width="4.28515625" style="259" customWidth="1"/>
    <col min="11798" max="12033" width="9.140625" style="259"/>
    <col min="12034" max="12034" width="10.140625" style="259" bestFit="1" customWidth="1"/>
    <col min="12035" max="12035" width="56.5703125" style="259" customWidth="1"/>
    <col min="12036" max="12038" width="19.7109375" style="259" customWidth="1"/>
    <col min="12039" max="12039" width="2.7109375" style="259" customWidth="1"/>
    <col min="12040" max="12040" width="15.28515625" style="259" customWidth="1"/>
    <col min="12041" max="12041" width="7.42578125" style="259" bestFit="1" customWidth="1"/>
    <col min="12042" max="12042" width="3.28515625" style="259" customWidth="1"/>
    <col min="12043" max="12043" width="13.140625" style="259" bestFit="1" customWidth="1"/>
    <col min="12044" max="12044" width="13.7109375" style="259" bestFit="1" customWidth="1"/>
    <col min="12045" max="12045" width="12" style="259" customWidth="1"/>
    <col min="12046" max="12046" width="1.85546875" style="259" customWidth="1"/>
    <col min="12047" max="12048" width="13.140625" style="259" bestFit="1" customWidth="1"/>
    <col min="12049" max="12049" width="16.42578125" style="259" customWidth="1"/>
    <col min="12050" max="12050" width="9.140625" style="259"/>
    <col min="12051" max="12051" width="48.7109375" style="259" customWidth="1"/>
    <col min="12052" max="12052" width="12" style="259" bestFit="1" customWidth="1"/>
    <col min="12053" max="12053" width="4.28515625" style="259" customWidth="1"/>
    <col min="12054" max="12289" width="9.140625" style="259"/>
    <col min="12290" max="12290" width="10.140625" style="259" bestFit="1" customWidth="1"/>
    <col min="12291" max="12291" width="56.5703125" style="259" customWidth="1"/>
    <col min="12292" max="12294" width="19.7109375" style="259" customWidth="1"/>
    <col min="12295" max="12295" width="2.7109375" style="259" customWidth="1"/>
    <col min="12296" max="12296" width="15.28515625" style="259" customWidth="1"/>
    <col min="12297" max="12297" width="7.42578125" style="259" bestFit="1" customWidth="1"/>
    <col min="12298" max="12298" width="3.28515625" style="259" customWidth="1"/>
    <col min="12299" max="12299" width="13.140625" style="259" bestFit="1" customWidth="1"/>
    <col min="12300" max="12300" width="13.7109375" style="259" bestFit="1" customWidth="1"/>
    <col min="12301" max="12301" width="12" style="259" customWidth="1"/>
    <col min="12302" max="12302" width="1.85546875" style="259" customWidth="1"/>
    <col min="12303" max="12304" width="13.140625" style="259" bestFit="1" customWidth="1"/>
    <col min="12305" max="12305" width="16.42578125" style="259" customWidth="1"/>
    <col min="12306" max="12306" width="9.140625" style="259"/>
    <col min="12307" max="12307" width="48.7109375" style="259" customWidth="1"/>
    <col min="12308" max="12308" width="12" style="259" bestFit="1" customWidth="1"/>
    <col min="12309" max="12309" width="4.28515625" style="259" customWidth="1"/>
    <col min="12310" max="12545" width="9.140625" style="259"/>
    <col min="12546" max="12546" width="10.140625" style="259" bestFit="1" customWidth="1"/>
    <col min="12547" max="12547" width="56.5703125" style="259" customWidth="1"/>
    <col min="12548" max="12550" width="19.7109375" style="259" customWidth="1"/>
    <col min="12551" max="12551" width="2.7109375" style="259" customWidth="1"/>
    <col min="12552" max="12552" width="15.28515625" style="259" customWidth="1"/>
    <col min="12553" max="12553" width="7.42578125" style="259" bestFit="1" customWidth="1"/>
    <col min="12554" max="12554" width="3.28515625" style="259" customWidth="1"/>
    <col min="12555" max="12555" width="13.140625" style="259" bestFit="1" customWidth="1"/>
    <col min="12556" max="12556" width="13.7109375" style="259" bestFit="1" customWidth="1"/>
    <col min="12557" max="12557" width="12" style="259" customWidth="1"/>
    <col min="12558" max="12558" width="1.85546875" style="259" customWidth="1"/>
    <col min="12559" max="12560" width="13.140625" style="259" bestFit="1" customWidth="1"/>
    <col min="12561" max="12561" width="16.42578125" style="259" customWidth="1"/>
    <col min="12562" max="12562" width="9.140625" style="259"/>
    <col min="12563" max="12563" width="48.7109375" style="259" customWidth="1"/>
    <col min="12564" max="12564" width="12" style="259" bestFit="1" customWidth="1"/>
    <col min="12565" max="12565" width="4.28515625" style="259" customWidth="1"/>
    <col min="12566" max="12801" width="9.140625" style="259"/>
    <col min="12802" max="12802" width="10.140625" style="259" bestFit="1" customWidth="1"/>
    <col min="12803" max="12803" width="56.5703125" style="259" customWidth="1"/>
    <col min="12804" max="12806" width="19.7109375" style="259" customWidth="1"/>
    <col min="12807" max="12807" width="2.7109375" style="259" customWidth="1"/>
    <col min="12808" max="12808" width="15.28515625" style="259" customWidth="1"/>
    <col min="12809" max="12809" width="7.42578125" style="259" bestFit="1" customWidth="1"/>
    <col min="12810" max="12810" width="3.28515625" style="259" customWidth="1"/>
    <col min="12811" max="12811" width="13.140625" style="259" bestFit="1" customWidth="1"/>
    <col min="12812" max="12812" width="13.7109375" style="259" bestFit="1" customWidth="1"/>
    <col min="12813" max="12813" width="12" style="259" customWidth="1"/>
    <col min="12814" max="12814" width="1.85546875" style="259" customWidth="1"/>
    <col min="12815" max="12816" width="13.140625" style="259" bestFit="1" customWidth="1"/>
    <col min="12817" max="12817" width="16.42578125" style="259" customWidth="1"/>
    <col min="12818" max="12818" width="9.140625" style="259"/>
    <col min="12819" max="12819" width="48.7109375" style="259" customWidth="1"/>
    <col min="12820" max="12820" width="12" style="259" bestFit="1" customWidth="1"/>
    <col min="12821" max="12821" width="4.28515625" style="259" customWidth="1"/>
    <col min="12822" max="13057" width="9.140625" style="259"/>
    <col min="13058" max="13058" width="10.140625" style="259" bestFit="1" customWidth="1"/>
    <col min="13059" max="13059" width="56.5703125" style="259" customWidth="1"/>
    <col min="13060" max="13062" width="19.7109375" style="259" customWidth="1"/>
    <col min="13063" max="13063" width="2.7109375" style="259" customWidth="1"/>
    <col min="13064" max="13064" width="15.28515625" style="259" customWidth="1"/>
    <col min="13065" max="13065" width="7.42578125" style="259" bestFit="1" customWidth="1"/>
    <col min="13066" max="13066" width="3.28515625" style="259" customWidth="1"/>
    <col min="13067" max="13067" width="13.140625" style="259" bestFit="1" customWidth="1"/>
    <col min="13068" max="13068" width="13.7109375" style="259" bestFit="1" customWidth="1"/>
    <col min="13069" max="13069" width="12" style="259" customWidth="1"/>
    <col min="13070" max="13070" width="1.85546875" style="259" customWidth="1"/>
    <col min="13071" max="13072" width="13.140625" style="259" bestFit="1" customWidth="1"/>
    <col min="13073" max="13073" width="16.42578125" style="259" customWidth="1"/>
    <col min="13074" max="13074" width="9.140625" style="259"/>
    <col min="13075" max="13075" width="48.7109375" style="259" customWidth="1"/>
    <col min="13076" max="13076" width="12" style="259" bestFit="1" customWidth="1"/>
    <col min="13077" max="13077" width="4.28515625" style="259" customWidth="1"/>
    <col min="13078" max="13313" width="9.140625" style="259"/>
    <col min="13314" max="13314" width="10.140625" style="259" bestFit="1" customWidth="1"/>
    <col min="13315" max="13315" width="56.5703125" style="259" customWidth="1"/>
    <col min="13316" max="13318" width="19.7109375" style="259" customWidth="1"/>
    <col min="13319" max="13319" width="2.7109375" style="259" customWidth="1"/>
    <col min="13320" max="13320" width="15.28515625" style="259" customWidth="1"/>
    <col min="13321" max="13321" width="7.42578125" style="259" bestFit="1" customWidth="1"/>
    <col min="13322" max="13322" width="3.28515625" style="259" customWidth="1"/>
    <col min="13323" max="13323" width="13.140625" style="259" bestFit="1" customWidth="1"/>
    <col min="13324" max="13324" width="13.7109375" style="259" bestFit="1" customWidth="1"/>
    <col min="13325" max="13325" width="12" style="259" customWidth="1"/>
    <col min="13326" max="13326" width="1.85546875" style="259" customWidth="1"/>
    <col min="13327" max="13328" width="13.140625" style="259" bestFit="1" customWidth="1"/>
    <col min="13329" max="13329" width="16.42578125" style="259" customWidth="1"/>
    <col min="13330" max="13330" width="9.140625" style="259"/>
    <col min="13331" max="13331" width="48.7109375" style="259" customWidth="1"/>
    <col min="13332" max="13332" width="12" style="259" bestFit="1" customWidth="1"/>
    <col min="13333" max="13333" width="4.28515625" style="259" customWidth="1"/>
    <col min="13334" max="13569" width="9.140625" style="259"/>
    <col min="13570" max="13570" width="10.140625" style="259" bestFit="1" customWidth="1"/>
    <col min="13571" max="13571" width="56.5703125" style="259" customWidth="1"/>
    <col min="13572" max="13574" width="19.7109375" style="259" customWidth="1"/>
    <col min="13575" max="13575" width="2.7109375" style="259" customWidth="1"/>
    <col min="13576" max="13576" width="15.28515625" style="259" customWidth="1"/>
    <col min="13577" max="13577" width="7.42578125" style="259" bestFit="1" customWidth="1"/>
    <col min="13578" max="13578" width="3.28515625" style="259" customWidth="1"/>
    <col min="13579" max="13579" width="13.140625" style="259" bestFit="1" customWidth="1"/>
    <col min="13580" max="13580" width="13.7109375" style="259" bestFit="1" customWidth="1"/>
    <col min="13581" max="13581" width="12" style="259" customWidth="1"/>
    <col min="13582" max="13582" width="1.85546875" style="259" customWidth="1"/>
    <col min="13583" max="13584" width="13.140625" style="259" bestFit="1" customWidth="1"/>
    <col min="13585" max="13585" width="16.42578125" style="259" customWidth="1"/>
    <col min="13586" max="13586" width="9.140625" style="259"/>
    <col min="13587" max="13587" width="48.7109375" style="259" customWidth="1"/>
    <col min="13588" max="13588" width="12" style="259" bestFit="1" customWidth="1"/>
    <col min="13589" max="13589" width="4.28515625" style="259" customWidth="1"/>
    <col min="13590" max="13825" width="9.140625" style="259"/>
    <col min="13826" max="13826" width="10.140625" style="259" bestFit="1" customWidth="1"/>
    <col min="13827" max="13827" width="56.5703125" style="259" customWidth="1"/>
    <col min="13828" max="13830" width="19.7109375" style="259" customWidth="1"/>
    <col min="13831" max="13831" width="2.7109375" style="259" customWidth="1"/>
    <col min="13832" max="13832" width="15.28515625" style="259" customWidth="1"/>
    <col min="13833" max="13833" width="7.42578125" style="259" bestFit="1" customWidth="1"/>
    <col min="13834" max="13834" width="3.28515625" style="259" customWidth="1"/>
    <col min="13835" max="13835" width="13.140625" style="259" bestFit="1" customWidth="1"/>
    <col min="13836" max="13836" width="13.7109375" style="259" bestFit="1" customWidth="1"/>
    <col min="13837" max="13837" width="12" style="259" customWidth="1"/>
    <col min="13838" max="13838" width="1.85546875" style="259" customWidth="1"/>
    <col min="13839" max="13840" width="13.140625" style="259" bestFit="1" customWidth="1"/>
    <col min="13841" max="13841" width="16.42578125" style="259" customWidth="1"/>
    <col min="13842" max="13842" width="9.140625" style="259"/>
    <col min="13843" max="13843" width="48.7109375" style="259" customWidth="1"/>
    <col min="13844" max="13844" width="12" style="259" bestFit="1" customWidth="1"/>
    <col min="13845" max="13845" width="4.28515625" style="259" customWidth="1"/>
    <col min="13846" max="14081" width="9.140625" style="259"/>
    <col min="14082" max="14082" width="10.140625" style="259" bestFit="1" customWidth="1"/>
    <col min="14083" max="14083" width="56.5703125" style="259" customWidth="1"/>
    <col min="14084" max="14086" width="19.7109375" style="259" customWidth="1"/>
    <col min="14087" max="14087" width="2.7109375" style="259" customWidth="1"/>
    <col min="14088" max="14088" width="15.28515625" style="259" customWidth="1"/>
    <col min="14089" max="14089" width="7.42578125" style="259" bestFit="1" customWidth="1"/>
    <col min="14090" max="14090" width="3.28515625" style="259" customWidth="1"/>
    <col min="14091" max="14091" width="13.140625" style="259" bestFit="1" customWidth="1"/>
    <col min="14092" max="14092" width="13.7109375" style="259" bestFit="1" customWidth="1"/>
    <col min="14093" max="14093" width="12" style="259" customWidth="1"/>
    <col min="14094" max="14094" width="1.85546875" style="259" customWidth="1"/>
    <col min="14095" max="14096" width="13.140625" style="259" bestFit="1" customWidth="1"/>
    <col min="14097" max="14097" width="16.42578125" style="259" customWidth="1"/>
    <col min="14098" max="14098" width="9.140625" style="259"/>
    <col min="14099" max="14099" width="48.7109375" style="259" customWidth="1"/>
    <col min="14100" max="14100" width="12" style="259" bestFit="1" customWidth="1"/>
    <col min="14101" max="14101" width="4.28515625" style="259" customWidth="1"/>
    <col min="14102" max="14337" width="9.140625" style="259"/>
    <col min="14338" max="14338" width="10.140625" style="259" bestFit="1" customWidth="1"/>
    <col min="14339" max="14339" width="56.5703125" style="259" customWidth="1"/>
    <col min="14340" max="14342" width="19.7109375" style="259" customWidth="1"/>
    <col min="14343" max="14343" width="2.7109375" style="259" customWidth="1"/>
    <col min="14344" max="14344" width="15.28515625" style="259" customWidth="1"/>
    <col min="14345" max="14345" width="7.42578125" style="259" bestFit="1" customWidth="1"/>
    <col min="14346" max="14346" width="3.28515625" style="259" customWidth="1"/>
    <col min="14347" max="14347" width="13.140625" style="259" bestFit="1" customWidth="1"/>
    <col min="14348" max="14348" width="13.7109375" style="259" bestFit="1" customWidth="1"/>
    <col min="14349" max="14349" width="12" style="259" customWidth="1"/>
    <col min="14350" max="14350" width="1.85546875" style="259" customWidth="1"/>
    <col min="14351" max="14352" width="13.140625" style="259" bestFit="1" customWidth="1"/>
    <col min="14353" max="14353" width="16.42578125" style="259" customWidth="1"/>
    <col min="14354" max="14354" width="9.140625" style="259"/>
    <col min="14355" max="14355" width="48.7109375" style="259" customWidth="1"/>
    <col min="14356" max="14356" width="12" style="259" bestFit="1" customWidth="1"/>
    <col min="14357" max="14357" width="4.28515625" style="259" customWidth="1"/>
    <col min="14358" max="14593" width="9.140625" style="259"/>
    <col min="14594" max="14594" width="10.140625" style="259" bestFit="1" customWidth="1"/>
    <col min="14595" max="14595" width="56.5703125" style="259" customWidth="1"/>
    <col min="14596" max="14598" width="19.7109375" style="259" customWidth="1"/>
    <col min="14599" max="14599" width="2.7109375" style="259" customWidth="1"/>
    <col min="14600" max="14600" width="15.28515625" style="259" customWidth="1"/>
    <col min="14601" max="14601" width="7.42578125" style="259" bestFit="1" customWidth="1"/>
    <col min="14602" max="14602" width="3.28515625" style="259" customWidth="1"/>
    <col min="14603" max="14603" width="13.140625" style="259" bestFit="1" customWidth="1"/>
    <col min="14604" max="14604" width="13.7109375" style="259" bestFit="1" customWidth="1"/>
    <col min="14605" max="14605" width="12" style="259" customWidth="1"/>
    <col min="14606" max="14606" width="1.85546875" style="259" customWidth="1"/>
    <col min="14607" max="14608" width="13.140625" style="259" bestFit="1" customWidth="1"/>
    <col min="14609" max="14609" width="16.42578125" style="259" customWidth="1"/>
    <col min="14610" max="14610" width="9.140625" style="259"/>
    <col min="14611" max="14611" width="48.7109375" style="259" customWidth="1"/>
    <col min="14612" max="14612" width="12" style="259" bestFit="1" customWidth="1"/>
    <col min="14613" max="14613" width="4.28515625" style="259" customWidth="1"/>
    <col min="14614" max="14849" width="9.140625" style="259"/>
    <col min="14850" max="14850" width="10.140625" style="259" bestFit="1" customWidth="1"/>
    <col min="14851" max="14851" width="56.5703125" style="259" customWidth="1"/>
    <col min="14852" max="14854" width="19.7109375" style="259" customWidth="1"/>
    <col min="14855" max="14855" width="2.7109375" style="259" customWidth="1"/>
    <col min="14856" max="14856" width="15.28515625" style="259" customWidth="1"/>
    <col min="14857" max="14857" width="7.42578125" style="259" bestFit="1" customWidth="1"/>
    <col min="14858" max="14858" width="3.28515625" style="259" customWidth="1"/>
    <col min="14859" max="14859" width="13.140625" style="259" bestFit="1" customWidth="1"/>
    <col min="14860" max="14860" width="13.7109375" style="259" bestFit="1" customWidth="1"/>
    <col min="14861" max="14861" width="12" style="259" customWidth="1"/>
    <col min="14862" max="14862" width="1.85546875" style="259" customWidth="1"/>
    <col min="14863" max="14864" width="13.140625" style="259" bestFit="1" customWidth="1"/>
    <col min="14865" max="14865" width="16.42578125" style="259" customWidth="1"/>
    <col min="14866" max="14866" width="9.140625" style="259"/>
    <col min="14867" max="14867" width="48.7109375" style="259" customWidth="1"/>
    <col min="14868" max="14868" width="12" style="259" bestFit="1" customWidth="1"/>
    <col min="14869" max="14869" width="4.28515625" style="259" customWidth="1"/>
    <col min="14870" max="15105" width="9.140625" style="259"/>
    <col min="15106" max="15106" width="10.140625" style="259" bestFit="1" customWidth="1"/>
    <col min="15107" max="15107" width="56.5703125" style="259" customWidth="1"/>
    <col min="15108" max="15110" width="19.7109375" style="259" customWidth="1"/>
    <col min="15111" max="15111" width="2.7109375" style="259" customWidth="1"/>
    <col min="15112" max="15112" width="15.28515625" style="259" customWidth="1"/>
    <col min="15113" max="15113" width="7.42578125" style="259" bestFit="1" customWidth="1"/>
    <col min="15114" max="15114" width="3.28515625" style="259" customWidth="1"/>
    <col min="15115" max="15115" width="13.140625" style="259" bestFit="1" customWidth="1"/>
    <col min="15116" max="15116" width="13.7109375" style="259" bestFit="1" customWidth="1"/>
    <col min="15117" max="15117" width="12" style="259" customWidth="1"/>
    <col min="15118" max="15118" width="1.85546875" style="259" customWidth="1"/>
    <col min="15119" max="15120" width="13.140625" style="259" bestFit="1" customWidth="1"/>
    <col min="15121" max="15121" width="16.42578125" style="259" customWidth="1"/>
    <col min="15122" max="15122" width="9.140625" style="259"/>
    <col min="15123" max="15123" width="48.7109375" style="259" customWidth="1"/>
    <col min="15124" max="15124" width="12" style="259" bestFit="1" customWidth="1"/>
    <col min="15125" max="15125" width="4.28515625" style="259" customWidth="1"/>
    <col min="15126" max="15361" width="9.140625" style="259"/>
    <col min="15362" max="15362" width="10.140625" style="259" bestFit="1" customWidth="1"/>
    <col min="15363" max="15363" width="56.5703125" style="259" customWidth="1"/>
    <col min="15364" max="15366" width="19.7109375" style="259" customWidth="1"/>
    <col min="15367" max="15367" width="2.7109375" style="259" customWidth="1"/>
    <col min="15368" max="15368" width="15.28515625" style="259" customWidth="1"/>
    <col min="15369" max="15369" width="7.42578125" style="259" bestFit="1" customWidth="1"/>
    <col min="15370" max="15370" width="3.28515625" style="259" customWidth="1"/>
    <col min="15371" max="15371" width="13.140625" style="259" bestFit="1" customWidth="1"/>
    <col min="15372" max="15372" width="13.7109375" style="259" bestFit="1" customWidth="1"/>
    <col min="15373" max="15373" width="12" style="259" customWidth="1"/>
    <col min="15374" max="15374" width="1.85546875" style="259" customWidth="1"/>
    <col min="15375" max="15376" width="13.140625" style="259" bestFit="1" customWidth="1"/>
    <col min="15377" max="15377" width="16.42578125" style="259" customWidth="1"/>
    <col min="15378" max="15378" width="9.140625" style="259"/>
    <col min="15379" max="15379" width="48.7109375" style="259" customWidth="1"/>
    <col min="15380" max="15380" width="12" style="259" bestFit="1" customWidth="1"/>
    <col min="15381" max="15381" width="4.28515625" style="259" customWidth="1"/>
    <col min="15382" max="15617" width="9.140625" style="259"/>
    <col min="15618" max="15618" width="10.140625" style="259" bestFit="1" customWidth="1"/>
    <col min="15619" max="15619" width="56.5703125" style="259" customWidth="1"/>
    <col min="15620" max="15622" width="19.7109375" style="259" customWidth="1"/>
    <col min="15623" max="15623" width="2.7109375" style="259" customWidth="1"/>
    <col min="15624" max="15624" width="15.28515625" style="259" customWidth="1"/>
    <col min="15625" max="15625" width="7.42578125" style="259" bestFit="1" customWidth="1"/>
    <col min="15626" max="15626" width="3.28515625" style="259" customWidth="1"/>
    <col min="15627" max="15627" width="13.140625" style="259" bestFit="1" customWidth="1"/>
    <col min="15628" max="15628" width="13.7109375" style="259" bestFit="1" customWidth="1"/>
    <col min="15629" max="15629" width="12" style="259" customWidth="1"/>
    <col min="15630" max="15630" width="1.85546875" style="259" customWidth="1"/>
    <col min="15631" max="15632" width="13.140625" style="259" bestFit="1" customWidth="1"/>
    <col min="15633" max="15633" width="16.42578125" style="259" customWidth="1"/>
    <col min="15634" max="15634" width="9.140625" style="259"/>
    <col min="15635" max="15635" width="48.7109375" style="259" customWidth="1"/>
    <col min="15636" max="15636" width="12" style="259" bestFit="1" customWidth="1"/>
    <col min="15637" max="15637" width="4.28515625" style="259" customWidth="1"/>
    <col min="15638" max="15873" width="9.140625" style="259"/>
    <col min="15874" max="15874" width="10.140625" style="259" bestFit="1" customWidth="1"/>
    <col min="15875" max="15875" width="56.5703125" style="259" customWidth="1"/>
    <col min="15876" max="15878" width="19.7109375" style="259" customWidth="1"/>
    <col min="15879" max="15879" width="2.7109375" style="259" customWidth="1"/>
    <col min="15880" max="15880" width="15.28515625" style="259" customWidth="1"/>
    <col min="15881" max="15881" width="7.42578125" style="259" bestFit="1" customWidth="1"/>
    <col min="15882" max="15882" width="3.28515625" style="259" customWidth="1"/>
    <col min="15883" max="15883" width="13.140625" style="259" bestFit="1" customWidth="1"/>
    <col min="15884" max="15884" width="13.7109375" style="259" bestFit="1" customWidth="1"/>
    <col min="15885" max="15885" width="12" style="259" customWidth="1"/>
    <col min="15886" max="15886" width="1.85546875" style="259" customWidth="1"/>
    <col min="15887" max="15888" width="13.140625" style="259" bestFit="1" customWidth="1"/>
    <col min="15889" max="15889" width="16.42578125" style="259" customWidth="1"/>
    <col min="15890" max="15890" width="9.140625" style="259"/>
    <col min="15891" max="15891" width="48.7109375" style="259" customWidth="1"/>
    <col min="15892" max="15892" width="12" style="259" bestFit="1" customWidth="1"/>
    <col min="15893" max="15893" width="4.28515625" style="259" customWidth="1"/>
    <col min="15894" max="16129" width="9.140625" style="259"/>
    <col min="16130" max="16130" width="10.140625" style="259" bestFit="1" customWidth="1"/>
    <col min="16131" max="16131" width="56.5703125" style="259" customWidth="1"/>
    <col min="16132" max="16134" width="19.7109375" style="259" customWidth="1"/>
    <col min="16135" max="16135" width="2.7109375" style="259" customWidth="1"/>
    <col min="16136" max="16136" width="15.28515625" style="259" customWidth="1"/>
    <col min="16137" max="16137" width="7.42578125" style="259" bestFit="1" customWidth="1"/>
    <col min="16138" max="16138" width="3.28515625" style="259" customWidth="1"/>
    <col min="16139" max="16139" width="13.140625" style="259" bestFit="1" customWidth="1"/>
    <col min="16140" max="16140" width="13.7109375" style="259" bestFit="1" customWidth="1"/>
    <col min="16141" max="16141" width="12" style="259" customWidth="1"/>
    <col min="16142" max="16142" width="1.85546875" style="259" customWidth="1"/>
    <col min="16143" max="16144" width="13.140625" style="259" bestFit="1" customWidth="1"/>
    <col min="16145" max="16145" width="16.42578125" style="259" customWidth="1"/>
    <col min="16146" max="16146" width="9.140625" style="259"/>
    <col min="16147" max="16147" width="48.7109375" style="259" customWidth="1"/>
    <col min="16148" max="16148" width="12" style="259" bestFit="1" customWidth="1"/>
    <col min="16149" max="16149" width="4.28515625" style="259" customWidth="1"/>
    <col min="16150" max="16384" width="9.140625" style="259"/>
  </cols>
  <sheetData>
    <row r="1" spans="2:20" ht="13.5" thickBot="1"/>
    <row r="2" spans="2:20" s="691" customFormat="1" ht="37.5" customHeight="1">
      <c r="B2" s="1963" t="s">
        <v>2173</v>
      </c>
      <c r="C2" s="1964"/>
      <c r="D2" s="1964"/>
      <c r="E2" s="1964"/>
      <c r="F2" s="1965"/>
      <c r="G2" s="693"/>
      <c r="H2" s="259"/>
      <c r="I2" s="259"/>
    </row>
    <row r="3" spans="2:20" ht="24.75" customHeight="1">
      <c r="B3" s="1966" t="s">
        <v>2174</v>
      </c>
      <c r="C3" s="1967"/>
      <c r="D3" s="1967"/>
      <c r="E3" s="1967"/>
      <c r="F3" s="1968"/>
      <c r="G3" s="695"/>
    </row>
    <row r="4" spans="2:20" ht="27" customHeight="1">
      <c r="B4" s="1969" t="s">
        <v>2175</v>
      </c>
      <c r="C4" s="1970"/>
      <c r="D4" s="1970"/>
      <c r="E4" s="1970"/>
      <c r="F4" s="1971"/>
      <c r="G4" s="693"/>
    </row>
    <row r="5" spans="2:20" ht="24.75" customHeight="1">
      <c r="B5" s="1969" t="s">
        <v>2180</v>
      </c>
      <c r="C5" s="1970"/>
      <c r="D5" s="1970"/>
      <c r="E5" s="1970"/>
      <c r="F5" s="1971"/>
      <c r="G5" s="695"/>
    </row>
    <row r="6" spans="2:20" ht="27" customHeight="1">
      <c r="B6" s="1969" t="s">
        <v>2176</v>
      </c>
      <c r="C6" s="1970"/>
      <c r="D6" s="1970"/>
      <c r="E6" s="1970"/>
      <c r="F6" s="1971"/>
      <c r="G6" s="693"/>
    </row>
    <row r="7" spans="2:20" ht="22.5" customHeight="1">
      <c r="B7" s="1976" t="s">
        <v>2178</v>
      </c>
      <c r="C7" s="1977"/>
      <c r="D7" s="1977"/>
      <c r="E7" s="1977"/>
      <c r="F7" s="1978"/>
      <c r="G7" s="695"/>
    </row>
    <row r="8" spans="2:20" ht="15.75">
      <c r="B8" s="905" t="s">
        <v>5</v>
      </c>
      <c r="C8" s="887" t="str">
        <f>RESUMO!C9</f>
        <v xml:space="preserve">ESCOLA MUNICIPAL DOMINGOS AZZOLINI </v>
      </c>
      <c r="D8" s="308"/>
      <c r="E8" s="906"/>
      <c r="F8" s="916"/>
      <c r="G8" s="693"/>
      <c r="J8" s="694"/>
    </row>
    <row r="9" spans="2:20" ht="15.75">
      <c r="B9" s="905" t="s">
        <v>7</v>
      </c>
      <c r="C9" s="1979" t="str">
        <f>RESUMO!C10</f>
        <v>SANTO ANTONIO DO LESTE</v>
      </c>
      <c r="D9" s="1979"/>
      <c r="E9" s="308"/>
      <c r="F9" s="668"/>
      <c r="G9" s="695"/>
      <c r="J9" s="694"/>
    </row>
    <row r="10" spans="2:20" ht="16.5" thickBot="1">
      <c r="B10" s="905" t="s">
        <v>6</v>
      </c>
      <c r="C10" s="907">
        <f>RESUMO!I9</f>
        <v>45366</v>
      </c>
      <c r="D10" s="300"/>
      <c r="E10" s="308"/>
      <c r="F10" s="668"/>
      <c r="G10" s="695"/>
      <c r="J10" s="694"/>
    </row>
    <row r="11" spans="2:20" ht="15.75" thickBot="1">
      <c r="B11" s="1980" t="s">
        <v>427</v>
      </c>
      <c r="C11" s="1981"/>
      <c r="D11" s="1984" t="s">
        <v>2177</v>
      </c>
      <c r="E11" s="1984"/>
      <c r="F11" s="1985"/>
      <c r="G11" s="695"/>
      <c r="J11" s="694"/>
    </row>
    <row r="12" spans="2:20" ht="15.75" thickBot="1">
      <c r="B12" s="1982"/>
      <c r="C12" s="1983"/>
      <c r="D12" s="917" t="s">
        <v>1983</v>
      </c>
      <c r="E12" s="918" t="s">
        <v>1984</v>
      </c>
      <c r="F12" s="919" t="s">
        <v>170</v>
      </c>
      <c r="G12" s="692"/>
      <c r="J12" s="694"/>
      <c r="L12" s="696"/>
      <c r="O12" s="1972" t="s">
        <v>1985</v>
      </c>
      <c r="P12" s="1973"/>
      <c r="Q12" s="1974"/>
    </row>
    <row r="13" spans="2:20" ht="25.5" customHeight="1" thickBot="1">
      <c r="B13" s="908" t="str">
        <f>R13</f>
        <v>1.0</v>
      </c>
      <c r="C13" s="909" t="str">
        <f>C8</f>
        <v xml:space="preserve">ESCOLA MUNICIPAL DOMINGOS AZZOLINI </v>
      </c>
      <c r="D13" s="914">
        <f ca="1">IF(F13&gt;F16,D16,(F13*(D16/F16)))</f>
        <v>390000</v>
      </c>
      <c r="E13" s="914">
        <f ca="1">F13-D13</f>
        <v>3382097.7300000009</v>
      </c>
      <c r="F13" s="915">
        <f ca="1">'ORÇAMENTO '!L341</f>
        <v>3772097.7300000009</v>
      </c>
      <c r="G13" s="700"/>
      <c r="H13" s="701">
        <f ca="1">E13+D13</f>
        <v>3772097.7300000009</v>
      </c>
      <c r="I13" s="702">
        <f ca="1">T13/$T$16</f>
        <v>1</v>
      </c>
      <c r="J13" s="694"/>
      <c r="K13" s="703">
        <f ca="1">$D$16*I13</f>
        <v>390000</v>
      </c>
      <c r="L13" s="704">
        <f ca="1">$E$16*I13</f>
        <v>10000</v>
      </c>
      <c r="M13" s="705">
        <f ca="1">K13+L13</f>
        <v>400000</v>
      </c>
      <c r="O13" s="921">
        <f ca="1">ROUND(K13,2)</f>
        <v>390000</v>
      </c>
      <c r="P13" s="922">
        <f ca="1">ROUND(L13,2)</f>
        <v>10000</v>
      </c>
      <c r="Q13" s="923">
        <f ca="1">SUM(O13+P13)</f>
        <v>400000</v>
      </c>
      <c r="R13" s="920" t="s">
        <v>1</v>
      </c>
      <c r="S13" s="706" t="str">
        <f>C13</f>
        <v xml:space="preserve">ESCOLA MUNICIPAL DOMINGOS AZZOLINI </v>
      </c>
      <c r="T13" s="707">
        <f ca="1">RESUMO!H54</f>
        <v>3772097.7300000004</v>
      </c>
    </row>
    <row r="14" spans="2:20" s="563" customFormat="1" ht="10.5" customHeight="1" thickBot="1">
      <c r="B14" s="910"/>
      <c r="C14" s="910"/>
      <c r="D14" s="910"/>
      <c r="E14" s="910"/>
      <c r="F14" s="910"/>
      <c r="G14" s="697"/>
      <c r="H14" s="698"/>
      <c r="I14" s="698"/>
      <c r="J14" s="698"/>
      <c r="K14" s="699"/>
      <c r="L14" s="699"/>
      <c r="M14" s="698"/>
      <c r="N14" s="698"/>
      <c r="O14" s="698"/>
      <c r="P14" s="698"/>
      <c r="Q14" s="698"/>
      <c r="R14" s="698"/>
      <c r="S14" s="698"/>
      <c r="T14" s="698"/>
    </row>
    <row r="15" spans="2:20" ht="24" customHeight="1" thickBot="1">
      <c r="B15" s="1975"/>
      <c r="C15" s="1975"/>
      <c r="D15" s="911">
        <f ca="1">SUM(D13:D14)</f>
        <v>390000</v>
      </c>
      <c r="E15" s="912">
        <f ca="1">SUM(E13:E14)</f>
        <v>3382097.7300000009</v>
      </c>
      <c r="F15" s="913">
        <f ca="1">SUM(F13:F14)</f>
        <v>3772097.7300000009</v>
      </c>
      <c r="G15" s="708"/>
      <c r="K15" s="709"/>
      <c r="L15" s="709"/>
      <c r="O15" s="709"/>
      <c r="P15" s="709"/>
      <c r="R15" s="705"/>
      <c r="S15" s="705"/>
      <c r="T15" s="705"/>
    </row>
    <row r="16" spans="2:20" s="1121" customFormat="1" ht="25.5" customHeight="1" thickBot="1">
      <c r="C16" s="680" t="s">
        <v>2557</v>
      </c>
      <c r="D16" s="1124">
        <v>390000</v>
      </c>
      <c r="E16" s="1125">
        <v>10000</v>
      </c>
      <c r="F16" s="1126">
        <f>SUM(D16:E16)</f>
        <v>400000</v>
      </c>
      <c r="G16" s="1122"/>
      <c r="M16" s="1123"/>
      <c r="Q16" s="1123"/>
      <c r="T16" s="1123">
        <f ca="1">SUM(T13:T14)</f>
        <v>3772097.7300000004</v>
      </c>
    </row>
    <row r="17" spans="2:17" ht="13.5" thickBot="1">
      <c r="B17" s="365"/>
      <c r="C17" s="365"/>
      <c r="D17" s="711"/>
      <c r="E17" s="712"/>
      <c r="F17" s="711"/>
      <c r="G17" s="713"/>
      <c r="H17" s="714"/>
      <c r="I17" s="715"/>
    </row>
    <row r="18" spans="2:17">
      <c r="D18" s="716"/>
      <c r="E18" s="717"/>
      <c r="F18" s="716"/>
      <c r="G18" s="710"/>
    </row>
    <row r="19" spans="2:17">
      <c r="D19" s="716"/>
      <c r="E19" s="717"/>
      <c r="F19" s="716"/>
      <c r="G19" s="710"/>
    </row>
    <row r="20" spans="2:17">
      <c r="B20" s="365"/>
      <c r="C20" s="365"/>
      <c r="D20" s="711"/>
      <c r="E20" s="712"/>
      <c r="F20" s="711"/>
      <c r="G20" s="713"/>
      <c r="H20" s="365"/>
      <c r="I20" s="365"/>
    </row>
    <row r="21" spans="2:17">
      <c r="D21" s="716"/>
      <c r="E21" s="717"/>
      <c r="F21" s="716"/>
      <c r="G21" s="713"/>
      <c r="H21" s="365"/>
      <c r="I21" s="365"/>
    </row>
    <row r="22" spans="2:17">
      <c r="D22" s="716"/>
      <c r="E22" s="717"/>
      <c r="F22" s="716"/>
      <c r="G22" s="710"/>
    </row>
    <row r="23" spans="2:17">
      <c r="D23" s="716"/>
      <c r="E23" s="717"/>
      <c r="F23" s="716"/>
      <c r="G23" s="710"/>
    </row>
    <row r="24" spans="2:17">
      <c r="D24" s="716"/>
      <c r="E24" s="717"/>
      <c r="F24" s="716"/>
      <c r="G24" s="710"/>
    </row>
    <row r="25" spans="2:17">
      <c r="D25" s="716"/>
      <c r="E25" s="717"/>
      <c r="F25" s="716"/>
      <c r="G25" s="710"/>
    </row>
    <row r="26" spans="2:17">
      <c r="D26" s="716"/>
      <c r="E26" s="717"/>
      <c r="F26" s="716"/>
      <c r="G26" s="710"/>
    </row>
    <row r="27" spans="2:17">
      <c r="D27" s="716"/>
      <c r="E27" s="717"/>
      <c r="F27" s="716"/>
      <c r="G27" s="710"/>
      <c r="K27" s="718"/>
      <c r="L27" s="718"/>
      <c r="M27" s="718"/>
      <c r="O27" s="719"/>
      <c r="P27" s="719"/>
      <c r="Q27" s="718"/>
    </row>
    <row r="28" spans="2:17">
      <c r="D28" s="716"/>
      <c r="E28" s="717"/>
      <c r="F28" s="716"/>
      <c r="G28" s="710"/>
    </row>
    <row r="29" spans="2:17">
      <c r="D29" s="716"/>
      <c r="E29" s="717"/>
      <c r="F29" s="716"/>
      <c r="G29" s="710"/>
    </row>
    <row r="30" spans="2:17">
      <c r="D30" s="716"/>
      <c r="E30" s="717"/>
      <c r="F30" s="716"/>
      <c r="G30" s="710"/>
    </row>
    <row r="31" spans="2:17">
      <c r="D31" s="716"/>
      <c r="E31" s="717"/>
      <c r="F31" s="716"/>
      <c r="G31" s="710"/>
    </row>
    <row r="32" spans="2:17">
      <c r="D32" s="716"/>
      <c r="E32" s="717"/>
      <c r="F32" s="716"/>
      <c r="G32" s="710"/>
    </row>
    <row r="33" spans="2:9">
      <c r="D33" s="716"/>
      <c r="E33" s="717"/>
      <c r="F33" s="716"/>
      <c r="G33" s="710"/>
    </row>
    <row r="34" spans="2:9">
      <c r="D34" s="716"/>
      <c r="E34" s="717"/>
      <c r="F34" s="716"/>
      <c r="G34" s="710"/>
    </row>
    <row r="35" spans="2:9">
      <c r="D35" s="716"/>
      <c r="E35" s="717"/>
      <c r="F35" s="716"/>
      <c r="G35" s="710"/>
    </row>
    <row r="36" spans="2:9">
      <c r="D36" s="716"/>
      <c r="E36" s="717"/>
      <c r="F36" s="716"/>
      <c r="G36" s="710"/>
    </row>
    <row r="37" spans="2:9">
      <c r="D37" s="716"/>
      <c r="E37" s="717"/>
      <c r="F37" s="716"/>
      <c r="G37" s="710"/>
    </row>
    <row r="38" spans="2:9">
      <c r="D38" s="716"/>
      <c r="E38" s="717"/>
      <c r="F38" s="716"/>
      <c r="G38" s="710"/>
    </row>
    <row r="39" spans="2:9">
      <c r="D39" s="716"/>
      <c r="E39" s="717"/>
      <c r="F39" s="716"/>
      <c r="G39" s="710"/>
    </row>
    <row r="42" spans="2:9">
      <c r="B42" s="365"/>
      <c r="C42" s="365"/>
      <c r="D42" s="365"/>
      <c r="E42" s="365"/>
      <c r="F42" s="365"/>
      <c r="G42" s="720"/>
      <c r="H42" s="365"/>
      <c r="I42" s="365"/>
    </row>
    <row r="50" spans="4:7">
      <c r="G50" s="690">
        <v>80.010000000000005</v>
      </c>
    </row>
    <row r="54" spans="4:7">
      <c r="D54" s="721"/>
      <c r="E54" s="721"/>
    </row>
    <row r="58" spans="4:7">
      <c r="G58" s="690">
        <v>743.52</v>
      </c>
    </row>
    <row r="203" spans="3:10">
      <c r="C203" s="722"/>
      <c r="D203" s="722"/>
      <c r="E203" s="723" t="s">
        <v>1986</v>
      </c>
      <c r="F203" s="722"/>
      <c r="G203" s="724"/>
      <c r="H203" s="722"/>
      <c r="I203" s="725"/>
      <c r="J203" s="722"/>
    </row>
    <row r="204" spans="3:10">
      <c r="C204" s="726"/>
      <c r="D204" s="726"/>
      <c r="E204" s="726"/>
      <c r="F204" s="726"/>
      <c r="G204" s="727"/>
      <c r="H204" s="726"/>
    </row>
    <row r="205" spans="3:10">
      <c r="C205" s="726"/>
      <c r="D205" s="726"/>
      <c r="E205" s="726"/>
      <c r="F205" s="726"/>
      <c r="G205" s="727"/>
      <c r="H205" s="726"/>
    </row>
    <row r="206" spans="3:10">
      <c r="C206" s="726"/>
      <c r="D206" s="726"/>
      <c r="E206" s="726"/>
      <c r="F206" s="726"/>
      <c r="G206" s="727"/>
      <c r="H206" s="726"/>
    </row>
    <row r="207" spans="3:10">
      <c r="C207" s="726"/>
      <c r="D207" s="726"/>
      <c r="E207" s="726"/>
      <c r="F207" s="726"/>
      <c r="G207" s="727"/>
      <c r="H207" s="726"/>
    </row>
    <row r="208" spans="3:10">
      <c r="C208" s="726"/>
      <c r="D208" s="726"/>
      <c r="E208" s="726"/>
      <c r="F208" s="726"/>
      <c r="G208" s="727"/>
      <c r="H208" s="726"/>
    </row>
    <row r="209" spans="3:8">
      <c r="C209" s="726"/>
      <c r="D209" s="726"/>
      <c r="E209" s="726"/>
      <c r="F209" s="726"/>
      <c r="G209" s="727"/>
      <c r="H209" s="726"/>
    </row>
    <row r="210" spans="3:8">
      <c r="C210" s="726"/>
      <c r="D210" s="726"/>
      <c r="E210" s="726"/>
      <c r="F210" s="726"/>
      <c r="G210" s="727"/>
      <c r="H210" s="726"/>
    </row>
    <row r="211" spans="3:8">
      <c r="C211" s="726"/>
      <c r="D211" s="726"/>
      <c r="E211" s="726"/>
      <c r="F211" s="726"/>
      <c r="G211" s="727"/>
      <c r="H211" s="726"/>
    </row>
    <row r="212" spans="3:8">
      <c r="C212" s="726"/>
      <c r="D212" s="726"/>
      <c r="E212" s="726"/>
      <c r="F212" s="726"/>
      <c r="G212" s="727"/>
      <c r="H212" s="726"/>
    </row>
    <row r="213" spans="3:8">
      <c r="C213" s="726"/>
      <c r="D213" s="726"/>
      <c r="E213" s="726"/>
      <c r="F213" s="726"/>
      <c r="G213" s="727"/>
      <c r="H213" s="726"/>
    </row>
    <row r="214" spans="3:8">
      <c r="C214" s="726"/>
      <c r="D214" s="726"/>
      <c r="E214" s="726"/>
      <c r="F214" s="726"/>
      <c r="G214" s="727"/>
      <c r="H214" s="726"/>
    </row>
    <row r="215" spans="3:8">
      <c r="C215" s="726"/>
      <c r="D215" s="726"/>
      <c r="E215" s="726"/>
      <c r="F215" s="726"/>
      <c r="G215" s="727"/>
      <c r="H215" s="726"/>
    </row>
    <row r="216" spans="3:8">
      <c r="C216" s="726"/>
      <c r="D216" s="726"/>
      <c r="E216" s="726"/>
      <c r="F216" s="726"/>
      <c r="G216" s="727"/>
      <c r="H216" s="726"/>
    </row>
    <row r="217" spans="3:8">
      <c r="C217" s="726"/>
      <c r="D217" s="726"/>
      <c r="E217" s="726"/>
      <c r="F217" s="726"/>
      <c r="G217" s="727"/>
      <c r="H217" s="726"/>
    </row>
    <row r="218" spans="3:8">
      <c r="C218" s="726"/>
      <c r="D218" s="726"/>
      <c r="E218" s="726"/>
      <c r="F218" s="726"/>
      <c r="G218" s="727"/>
      <c r="H218" s="726"/>
    </row>
    <row r="219" spans="3:8">
      <c r="C219" s="726"/>
      <c r="D219" s="726"/>
      <c r="E219" s="726"/>
      <c r="F219" s="726"/>
      <c r="G219" s="727"/>
      <c r="H219" s="726"/>
    </row>
    <row r="220" spans="3:8">
      <c r="C220" s="726"/>
      <c r="D220" s="726"/>
      <c r="E220" s="726"/>
      <c r="F220" s="726"/>
      <c r="G220" s="727"/>
      <c r="H220" s="726"/>
    </row>
    <row r="221" spans="3:8">
      <c r="C221" s="726"/>
      <c r="D221" s="726"/>
      <c r="E221" s="726"/>
      <c r="F221" s="726"/>
      <c r="G221" s="727"/>
      <c r="H221" s="726"/>
    </row>
    <row r="222" spans="3:8">
      <c r="C222" s="726"/>
      <c r="D222" s="726"/>
      <c r="E222" s="726"/>
      <c r="F222" s="726"/>
      <c r="G222" s="727"/>
      <c r="H222" s="726"/>
    </row>
    <row r="223" spans="3:8">
      <c r="C223" s="726"/>
      <c r="D223" s="726"/>
      <c r="E223" s="726"/>
      <c r="F223" s="726"/>
      <c r="G223" s="727"/>
      <c r="H223" s="726"/>
    </row>
    <row r="224" spans="3:8">
      <c r="C224" s="726"/>
      <c r="D224" s="726"/>
      <c r="E224" s="726"/>
      <c r="F224" s="726"/>
      <c r="G224" s="727"/>
      <c r="H224" s="726"/>
    </row>
    <row r="225" spans="3:8">
      <c r="C225" s="726"/>
      <c r="D225" s="726"/>
      <c r="E225" s="726"/>
      <c r="F225" s="726"/>
      <c r="G225" s="727"/>
      <c r="H225" s="726"/>
    </row>
    <row r="226" spans="3:8">
      <c r="C226" s="726"/>
      <c r="D226" s="726"/>
      <c r="E226" s="726"/>
      <c r="F226" s="726"/>
      <c r="G226" s="727"/>
      <c r="H226" s="726"/>
    </row>
    <row r="227" spans="3:8">
      <c r="C227" s="726"/>
      <c r="D227" s="726"/>
      <c r="E227" s="726"/>
      <c r="F227" s="726"/>
      <c r="G227" s="727"/>
      <c r="H227" s="726"/>
    </row>
    <row r="228" spans="3:8">
      <c r="C228" s="726"/>
      <c r="D228" s="726"/>
      <c r="E228" s="726"/>
      <c r="F228" s="726"/>
      <c r="G228" s="727"/>
      <c r="H228" s="726"/>
    </row>
    <row r="229" spans="3:8">
      <c r="C229" s="726"/>
      <c r="D229" s="726"/>
      <c r="E229" s="726"/>
      <c r="F229" s="726"/>
      <c r="G229" s="727"/>
      <c r="H229" s="726"/>
    </row>
    <row r="230" spans="3:8">
      <c r="C230" s="726"/>
      <c r="D230" s="726"/>
      <c r="E230" s="726"/>
      <c r="F230" s="726"/>
      <c r="G230" s="727"/>
      <c r="H230" s="726"/>
    </row>
    <row r="231" spans="3:8">
      <c r="C231" s="726"/>
      <c r="D231" s="726"/>
      <c r="E231" s="726"/>
      <c r="F231" s="726"/>
      <c r="G231" s="727"/>
      <c r="H231" s="726"/>
    </row>
    <row r="232" spans="3:8">
      <c r="C232" s="726"/>
      <c r="D232" s="726"/>
      <c r="E232" s="726"/>
      <c r="F232" s="726"/>
      <c r="G232" s="727"/>
      <c r="H232" s="726"/>
    </row>
    <row r="233" spans="3:8">
      <c r="C233" s="726"/>
      <c r="D233" s="726"/>
      <c r="E233" s="726"/>
      <c r="F233" s="726"/>
      <c r="G233" s="727"/>
      <c r="H233" s="726"/>
    </row>
    <row r="234" spans="3:8">
      <c r="C234" s="726"/>
      <c r="D234" s="726"/>
      <c r="E234" s="726"/>
      <c r="F234" s="726"/>
      <c r="G234" s="727"/>
      <c r="H234" s="726"/>
    </row>
    <row r="235" spans="3:8">
      <c r="C235" s="726"/>
      <c r="D235" s="726"/>
      <c r="E235" s="726"/>
      <c r="F235" s="726"/>
      <c r="G235" s="727"/>
      <c r="H235" s="726"/>
    </row>
    <row r="236" spans="3:8">
      <c r="C236" s="726"/>
      <c r="D236" s="726"/>
      <c r="E236" s="726"/>
      <c r="F236" s="726"/>
      <c r="G236" s="727"/>
      <c r="H236" s="726"/>
    </row>
    <row r="237" spans="3:8">
      <c r="C237" s="726"/>
      <c r="D237" s="726"/>
      <c r="E237" s="726"/>
      <c r="F237" s="726"/>
      <c r="G237" s="727"/>
      <c r="H237" s="726"/>
    </row>
    <row r="238" spans="3:8">
      <c r="C238" s="726"/>
      <c r="D238" s="726"/>
      <c r="E238" s="726"/>
      <c r="F238" s="726"/>
      <c r="G238" s="727"/>
      <c r="H238" s="726"/>
    </row>
    <row r="239" spans="3:8">
      <c r="C239" s="726"/>
      <c r="D239" s="726"/>
      <c r="E239" s="726"/>
      <c r="F239" s="726"/>
      <c r="G239" s="727"/>
      <c r="H239" s="726"/>
    </row>
    <row r="240" spans="3:8">
      <c r="C240" s="726"/>
      <c r="D240" s="726"/>
      <c r="E240" s="726"/>
      <c r="F240" s="726"/>
      <c r="G240" s="727"/>
      <c r="H240" s="726"/>
    </row>
    <row r="241" spans="3:10">
      <c r="C241" s="726"/>
      <c r="D241" s="726"/>
      <c r="E241" s="726"/>
      <c r="F241" s="726"/>
      <c r="G241" s="727"/>
      <c r="H241" s="726"/>
    </row>
    <row r="242" spans="3:10">
      <c r="C242" s="726"/>
      <c r="D242" s="726"/>
      <c r="E242" s="726"/>
      <c r="F242" s="726"/>
      <c r="G242" s="727"/>
      <c r="H242" s="726"/>
    </row>
    <row r="243" spans="3:10">
      <c r="C243" s="726"/>
      <c r="D243" s="726"/>
      <c r="E243" s="726"/>
      <c r="F243" s="726"/>
      <c r="G243" s="727"/>
      <c r="H243" s="726"/>
    </row>
    <row r="244" spans="3:10">
      <c r="J244" s="259">
        <f>TRUNC(SUM(J144:J243),2)</f>
        <v>0</v>
      </c>
    </row>
  </sheetData>
  <mergeCells count="11">
    <mergeCell ref="O12:Q12"/>
    <mergeCell ref="B15:C15"/>
    <mergeCell ref="B7:F7"/>
    <mergeCell ref="C9:D9"/>
    <mergeCell ref="B11:C12"/>
    <mergeCell ref="D11:F11"/>
    <mergeCell ref="B2:F2"/>
    <mergeCell ref="B3:F3"/>
    <mergeCell ref="B4:F4"/>
    <mergeCell ref="B5:F5"/>
    <mergeCell ref="B6:F6"/>
  </mergeCells>
  <printOptions horizontalCentered="1"/>
  <pageMargins left="0.78740157480314965" right="0.19685039370078741" top="0.78740157480314965" bottom="0.78740157480314965" header="0.31496062992125984" footer="0.31496062992125984"/>
  <pageSetup paperSize="9" scale="69" fitToHeight="100" orientation="portrait" r:id="rId1"/>
  <colBreaks count="1" manualBreakCount="1">
    <brk id="8" min="1" max="4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5">
    <tabColor theme="3" tint="0.79998168889431442"/>
    <pageSetUpPr fitToPage="1"/>
  </sheetPr>
  <dimension ref="A1:L244"/>
  <sheetViews>
    <sheetView view="pageBreakPreview" topLeftCell="A218" zoomScale="70" zoomScaleNormal="100" zoomScaleSheetLayoutView="70" workbookViewId="0">
      <selection activeCell="AG38" sqref="AG38"/>
    </sheetView>
  </sheetViews>
  <sheetFormatPr defaultRowHeight="12.75"/>
  <cols>
    <col min="1" max="1" width="28.140625" style="46" customWidth="1"/>
    <col min="2" max="2" width="24.7109375" style="47" customWidth="1"/>
    <col min="3" max="3" width="75.7109375" style="47" customWidth="1"/>
    <col min="4" max="4" width="15.7109375" style="48" customWidth="1"/>
    <col min="5" max="5" width="23.7109375" style="49" customWidth="1"/>
    <col min="6" max="6" width="19.42578125" style="67" bestFit="1" customWidth="1"/>
    <col min="7" max="7" width="22.7109375" style="251" customWidth="1"/>
    <col min="8" max="8" width="20" style="46" bestFit="1" customWidth="1"/>
    <col min="9" max="9" width="19.28515625" style="46" customWidth="1"/>
    <col min="10" max="10" width="17.140625" style="46" customWidth="1"/>
    <col min="11" max="257" width="9.140625" style="46"/>
    <col min="258" max="258" width="21" style="46" customWidth="1"/>
    <col min="259" max="259" width="81.42578125" style="46" customWidth="1"/>
    <col min="260" max="261" width="15.5703125" style="46" customWidth="1"/>
    <col min="262" max="262" width="14.140625" style="46" bestFit="1" customWidth="1"/>
    <col min="263" max="263" width="18" style="46" bestFit="1" customWidth="1"/>
    <col min="264" max="264" width="11" style="46" bestFit="1" customWidth="1"/>
    <col min="265" max="513" width="9.140625" style="46"/>
    <col min="514" max="514" width="21" style="46" customWidth="1"/>
    <col min="515" max="515" width="81.42578125" style="46" customWidth="1"/>
    <col min="516" max="517" width="15.5703125" style="46" customWidth="1"/>
    <col min="518" max="518" width="14.140625" style="46" bestFit="1" customWidth="1"/>
    <col min="519" max="519" width="18" style="46" bestFit="1" customWidth="1"/>
    <col min="520" max="520" width="11" style="46" bestFit="1" customWidth="1"/>
    <col min="521" max="769" width="9.140625" style="46"/>
    <col min="770" max="770" width="21" style="46" customWidth="1"/>
    <col min="771" max="771" width="81.42578125" style="46" customWidth="1"/>
    <col min="772" max="773" width="15.5703125" style="46" customWidth="1"/>
    <col min="774" max="774" width="14.140625" style="46" bestFit="1" customWidth="1"/>
    <col min="775" max="775" width="18" style="46" bestFit="1" customWidth="1"/>
    <col min="776" max="776" width="11" style="46" bestFit="1" customWidth="1"/>
    <col min="777" max="1025" width="9.140625" style="46"/>
    <col min="1026" max="1026" width="21" style="46" customWidth="1"/>
    <col min="1027" max="1027" width="81.42578125" style="46" customWidth="1"/>
    <col min="1028" max="1029" width="15.5703125" style="46" customWidth="1"/>
    <col min="1030" max="1030" width="14.140625" style="46" bestFit="1" customWidth="1"/>
    <col min="1031" max="1031" width="18" style="46" bestFit="1" customWidth="1"/>
    <col min="1032" max="1032" width="11" style="46" bestFit="1" customWidth="1"/>
    <col min="1033" max="1281" width="9.140625" style="46"/>
    <col min="1282" max="1282" width="21" style="46" customWidth="1"/>
    <col min="1283" max="1283" width="81.42578125" style="46" customWidth="1"/>
    <col min="1284" max="1285" width="15.5703125" style="46" customWidth="1"/>
    <col min="1286" max="1286" width="14.140625" style="46" bestFit="1" customWidth="1"/>
    <col min="1287" max="1287" width="18" style="46" bestFit="1" customWidth="1"/>
    <col min="1288" max="1288" width="11" style="46" bestFit="1" customWidth="1"/>
    <col min="1289" max="1537" width="9.140625" style="46"/>
    <col min="1538" max="1538" width="21" style="46" customWidth="1"/>
    <col min="1539" max="1539" width="81.42578125" style="46" customWidth="1"/>
    <col min="1540" max="1541" width="15.5703125" style="46" customWidth="1"/>
    <col min="1542" max="1542" width="14.140625" style="46" bestFit="1" customWidth="1"/>
    <col min="1543" max="1543" width="18" style="46" bestFit="1" customWidth="1"/>
    <col min="1544" max="1544" width="11" style="46" bestFit="1" customWidth="1"/>
    <col min="1545" max="1793" width="9.140625" style="46"/>
    <col min="1794" max="1794" width="21" style="46" customWidth="1"/>
    <col min="1795" max="1795" width="81.42578125" style="46" customWidth="1"/>
    <col min="1796" max="1797" width="15.5703125" style="46" customWidth="1"/>
    <col min="1798" max="1798" width="14.140625" style="46" bestFit="1" customWidth="1"/>
    <col min="1799" max="1799" width="18" style="46" bestFit="1" customWidth="1"/>
    <col min="1800" max="1800" width="11" style="46" bestFit="1" customWidth="1"/>
    <col min="1801" max="2049" width="9.140625" style="46"/>
    <col min="2050" max="2050" width="21" style="46" customWidth="1"/>
    <col min="2051" max="2051" width="81.42578125" style="46" customWidth="1"/>
    <col min="2052" max="2053" width="15.5703125" style="46" customWidth="1"/>
    <col min="2054" max="2054" width="14.140625" style="46" bestFit="1" customWidth="1"/>
    <col min="2055" max="2055" width="18" style="46" bestFit="1" customWidth="1"/>
    <col min="2056" max="2056" width="11" style="46" bestFit="1" customWidth="1"/>
    <col min="2057" max="2305" width="9.140625" style="46"/>
    <col min="2306" max="2306" width="21" style="46" customWidth="1"/>
    <col min="2307" max="2307" width="81.42578125" style="46" customWidth="1"/>
    <col min="2308" max="2309" width="15.5703125" style="46" customWidth="1"/>
    <col min="2310" max="2310" width="14.140625" style="46" bestFit="1" customWidth="1"/>
    <col min="2311" max="2311" width="18" style="46" bestFit="1" customWidth="1"/>
    <col min="2312" max="2312" width="11" style="46" bestFit="1" customWidth="1"/>
    <col min="2313" max="2561" width="9.140625" style="46"/>
    <col min="2562" max="2562" width="21" style="46" customWidth="1"/>
    <col min="2563" max="2563" width="81.42578125" style="46" customWidth="1"/>
    <col min="2564" max="2565" width="15.5703125" style="46" customWidth="1"/>
    <col min="2566" max="2566" width="14.140625" style="46" bestFit="1" customWidth="1"/>
    <col min="2567" max="2567" width="18" style="46" bestFit="1" customWidth="1"/>
    <col min="2568" max="2568" width="11" style="46" bestFit="1" customWidth="1"/>
    <col min="2569" max="2817" width="9.140625" style="46"/>
    <col min="2818" max="2818" width="21" style="46" customWidth="1"/>
    <col min="2819" max="2819" width="81.42578125" style="46" customWidth="1"/>
    <col min="2820" max="2821" width="15.5703125" style="46" customWidth="1"/>
    <col min="2822" max="2822" width="14.140625" style="46" bestFit="1" customWidth="1"/>
    <col min="2823" max="2823" width="18" style="46" bestFit="1" customWidth="1"/>
    <col min="2824" max="2824" width="11" style="46" bestFit="1" customWidth="1"/>
    <col min="2825" max="3073" width="9.140625" style="46"/>
    <col min="3074" max="3074" width="21" style="46" customWidth="1"/>
    <col min="3075" max="3075" width="81.42578125" style="46" customWidth="1"/>
    <col min="3076" max="3077" width="15.5703125" style="46" customWidth="1"/>
    <col min="3078" max="3078" width="14.140625" style="46" bestFit="1" customWidth="1"/>
    <col min="3079" max="3079" width="18" style="46" bestFit="1" customWidth="1"/>
    <col min="3080" max="3080" width="11" style="46" bestFit="1" customWidth="1"/>
    <col min="3081" max="3329" width="9.140625" style="46"/>
    <col min="3330" max="3330" width="21" style="46" customWidth="1"/>
    <col min="3331" max="3331" width="81.42578125" style="46" customWidth="1"/>
    <col min="3332" max="3333" width="15.5703125" style="46" customWidth="1"/>
    <col min="3334" max="3334" width="14.140625" style="46" bestFit="1" customWidth="1"/>
    <col min="3335" max="3335" width="18" style="46" bestFit="1" customWidth="1"/>
    <col min="3336" max="3336" width="11" style="46" bestFit="1" customWidth="1"/>
    <col min="3337" max="3585" width="9.140625" style="46"/>
    <col min="3586" max="3586" width="21" style="46" customWidth="1"/>
    <col min="3587" max="3587" width="81.42578125" style="46" customWidth="1"/>
    <col min="3588" max="3589" width="15.5703125" style="46" customWidth="1"/>
    <col min="3590" max="3590" width="14.140625" style="46" bestFit="1" customWidth="1"/>
    <col min="3591" max="3591" width="18" style="46" bestFit="1" customWidth="1"/>
    <col min="3592" max="3592" width="11" style="46" bestFit="1" customWidth="1"/>
    <col min="3593" max="3841" width="9.140625" style="46"/>
    <col min="3842" max="3842" width="21" style="46" customWidth="1"/>
    <col min="3843" max="3843" width="81.42578125" style="46" customWidth="1"/>
    <col min="3844" max="3845" width="15.5703125" style="46" customWidth="1"/>
    <col min="3846" max="3846" width="14.140625" style="46" bestFit="1" customWidth="1"/>
    <col min="3847" max="3847" width="18" style="46" bestFit="1" customWidth="1"/>
    <col min="3848" max="3848" width="11" style="46" bestFit="1" customWidth="1"/>
    <col min="3849" max="4097" width="9.140625" style="46"/>
    <col min="4098" max="4098" width="21" style="46" customWidth="1"/>
    <col min="4099" max="4099" width="81.42578125" style="46" customWidth="1"/>
    <col min="4100" max="4101" width="15.5703125" style="46" customWidth="1"/>
    <col min="4102" max="4102" width="14.140625" style="46" bestFit="1" customWidth="1"/>
    <col min="4103" max="4103" width="18" style="46" bestFit="1" customWidth="1"/>
    <col min="4104" max="4104" width="11" style="46" bestFit="1" customWidth="1"/>
    <col min="4105" max="4353" width="9.140625" style="46"/>
    <col min="4354" max="4354" width="21" style="46" customWidth="1"/>
    <col min="4355" max="4355" width="81.42578125" style="46" customWidth="1"/>
    <col min="4356" max="4357" width="15.5703125" style="46" customWidth="1"/>
    <col min="4358" max="4358" width="14.140625" style="46" bestFit="1" customWidth="1"/>
    <col min="4359" max="4359" width="18" style="46" bestFit="1" customWidth="1"/>
    <col min="4360" max="4360" width="11" style="46" bestFit="1" customWidth="1"/>
    <col min="4361" max="4609" width="9.140625" style="46"/>
    <col min="4610" max="4610" width="21" style="46" customWidth="1"/>
    <col min="4611" max="4611" width="81.42578125" style="46" customWidth="1"/>
    <col min="4612" max="4613" width="15.5703125" style="46" customWidth="1"/>
    <col min="4614" max="4614" width="14.140625" style="46" bestFit="1" customWidth="1"/>
    <col min="4615" max="4615" width="18" style="46" bestFit="1" customWidth="1"/>
    <col min="4616" max="4616" width="11" style="46" bestFit="1" customWidth="1"/>
    <col min="4617" max="4865" width="9.140625" style="46"/>
    <col min="4866" max="4866" width="21" style="46" customWidth="1"/>
    <col min="4867" max="4867" width="81.42578125" style="46" customWidth="1"/>
    <col min="4868" max="4869" width="15.5703125" style="46" customWidth="1"/>
    <col min="4870" max="4870" width="14.140625" style="46" bestFit="1" customWidth="1"/>
    <col min="4871" max="4871" width="18" style="46" bestFit="1" customWidth="1"/>
    <col min="4872" max="4872" width="11" style="46" bestFit="1" customWidth="1"/>
    <col min="4873" max="5121" width="9.140625" style="46"/>
    <col min="5122" max="5122" width="21" style="46" customWidth="1"/>
    <col min="5123" max="5123" width="81.42578125" style="46" customWidth="1"/>
    <col min="5124" max="5125" width="15.5703125" style="46" customWidth="1"/>
    <col min="5126" max="5126" width="14.140625" style="46" bestFit="1" customWidth="1"/>
    <col min="5127" max="5127" width="18" style="46" bestFit="1" customWidth="1"/>
    <col min="5128" max="5128" width="11" style="46" bestFit="1" customWidth="1"/>
    <col min="5129" max="5377" width="9.140625" style="46"/>
    <col min="5378" max="5378" width="21" style="46" customWidth="1"/>
    <col min="5379" max="5379" width="81.42578125" style="46" customWidth="1"/>
    <col min="5380" max="5381" width="15.5703125" style="46" customWidth="1"/>
    <col min="5382" max="5382" width="14.140625" style="46" bestFit="1" customWidth="1"/>
    <col min="5383" max="5383" width="18" style="46" bestFit="1" customWidth="1"/>
    <col min="5384" max="5384" width="11" style="46" bestFit="1" customWidth="1"/>
    <col min="5385" max="5633" width="9.140625" style="46"/>
    <col min="5634" max="5634" width="21" style="46" customWidth="1"/>
    <col min="5635" max="5635" width="81.42578125" style="46" customWidth="1"/>
    <col min="5636" max="5637" width="15.5703125" style="46" customWidth="1"/>
    <col min="5638" max="5638" width="14.140625" style="46" bestFit="1" customWidth="1"/>
    <col min="5639" max="5639" width="18" style="46" bestFit="1" customWidth="1"/>
    <col min="5640" max="5640" width="11" style="46" bestFit="1" customWidth="1"/>
    <col min="5641" max="5889" width="9.140625" style="46"/>
    <col min="5890" max="5890" width="21" style="46" customWidth="1"/>
    <col min="5891" max="5891" width="81.42578125" style="46" customWidth="1"/>
    <col min="5892" max="5893" width="15.5703125" style="46" customWidth="1"/>
    <col min="5894" max="5894" width="14.140625" style="46" bestFit="1" customWidth="1"/>
    <col min="5895" max="5895" width="18" style="46" bestFit="1" customWidth="1"/>
    <col min="5896" max="5896" width="11" style="46" bestFit="1" customWidth="1"/>
    <col min="5897" max="6145" width="9.140625" style="46"/>
    <col min="6146" max="6146" width="21" style="46" customWidth="1"/>
    <col min="6147" max="6147" width="81.42578125" style="46" customWidth="1"/>
    <col min="6148" max="6149" width="15.5703125" style="46" customWidth="1"/>
    <col min="6150" max="6150" width="14.140625" style="46" bestFit="1" customWidth="1"/>
    <col min="6151" max="6151" width="18" style="46" bestFit="1" customWidth="1"/>
    <col min="6152" max="6152" width="11" style="46" bestFit="1" customWidth="1"/>
    <col min="6153" max="6401" width="9.140625" style="46"/>
    <col min="6402" max="6402" width="21" style="46" customWidth="1"/>
    <col min="6403" max="6403" width="81.42578125" style="46" customWidth="1"/>
    <col min="6404" max="6405" width="15.5703125" style="46" customWidth="1"/>
    <col min="6406" max="6406" width="14.140625" style="46" bestFit="1" customWidth="1"/>
    <col min="6407" max="6407" width="18" style="46" bestFit="1" customWidth="1"/>
    <col min="6408" max="6408" width="11" style="46" bestFit="1" customWidth="1"/>
    <col min="6409" max="6657" width="9.140625" style="46"/>
    <col min="6658" max="6658" width="21" style="46" customWidth="1"/>
    <col min="6659" max="6659" width="81.42578125" style="46" customWidth="1"/>
    <col min="6660" max="6661" width="15.5703125" style="46" customWidth="1"/>
    <col min="6662" max="6662" width="14.140625" style="46" bestFit="1" customWidth="1"/>
    <col min="6663" max="6663" width="18" style="46" bestFit="1" customWidth="1"/>
    <col min="6664" max="6664" width="11" style="46" bestFit="1" customWidth="1"/>
    <col min="6665" max="6913" width="9.140625" style="46"/>
    <col min="6914" max="6914" width="21" style="46" customWidth="1"/>
    <col min="6915" max="6915" width="81.42578125" style="46" customWidth="1"/>
    <col min="6916" max="6917" width="15.5703125" style="46" customWidth="1"/>
    <col min="6918" max="6918" width="14.140625" style="46" bestFit="1" customWidth="1"/>
    <col min="6919" max="6919" width="18" style="46" bestFit="1" customWidth="1"/>
    <col min="6920" max="6920" width="11" style="46" bestFit="1" customWidth="1"/>
    <col min="6921" max="7169" width="9.140625" style="46"/>
    <col min="7170" max="7170" width="21" style="46" customWidth="1"/>
    <col min="7171" max="7171" width="81.42578125" style="46" customWidth="1"/>
    <col min="7172" max="7173" width="15.5703125" style="46" customWidth="1"/>
    <col min="7174" max="7174" width="14.140625" style="46" bestFit="1" customWidth="1"/>
    <col min="7175" max="7175" width="18" style="46" bestFit="1" customWidth="1"/>
    <col min="7176" max="7176" width="11" style="46" bestFit="1" customWidth="1"/>
    <col min="7177" max="7425" width="9.140625" style="46"/>
    <col min="7426" max="7426" width="21" style="46" customWidth="1"/>
    <col min="7427" max="7427" width="81.42578125" style="46" customWidth="1"/>
    <col min="7428" max="7429" width="15.5703125" style="46" customWidth="1"/>
    <col min="7430" max="7430" width="14.140625" style="46" bestFit="1" customWidth="1"/>
    <col min="7431" max="7431" width="18" style="46" bestFit="1" customWidth="1"/>
    <col min="7432" max="7432" width="11" style="46" bestFit="1" customWidth="1"/>
    <col min="7433" max="7681" width="9.140625" style="46"/>
    <col min="7682" max="7682" width="21" style="46" customWidth="1"/>
    <col min="7683" max="7683" width="81.42578125" style="46" customWidth="1"/>
    <col min="7684" max="7685" width="15.5703125" style="46" customWidth="1"/>
    <col min="7686" max="7686" width="14.140625" style="46" bestFit="1" customWidth="1"/>
    <col min="7687" max="7687" width="18" style="46" bestFit="1" customWidth="1"/>
    <col min="7688" max="7688" width="11" style="46" bestFit="1" customWidth="1"/>
    <col min="7689" max="7937" width="9.140625" style="46"/>
    <col min="7938" max="7938" width="21" style="46" customWidth="1"/>
    <col min="7939" max="7939" width="81.42578125" style="46" customWidth="1"/>
    <col min="7940" max="7941" width="15.5703125" style="46" customWidth="1"/>
    <col min="7942" max="7942" width="14.140625" style="46" bestFit="1" customWidth="1"/>
    <col min="7943" max="7943" width="18" style="46" bestFit="1" customWidth="1"/>
    <col min="7944" max="7944" width="11" style="46" bestFit="1" customWidth="1"/>
    <col min="7945" max="8193" width="9.140625" style="46"/>
    <col min="8194" max="8194" width="21" style="46" customWidth="1"/>
    <col min="8195" max="8195" width="81.42578125" style="46" customWidth="1"/>
    <col min="8196" max="8197" width="15.5703125" style="46" customWidth="1"/>
    <col min="8198" max="8198" width="14.140625" style="46" bestFit="1" customWidth="1"/>
    <col min="8199" max="8199" width="18" style="46" bestFit="1" customWidth="1"/>
    <col min="8200" max="8200" width="11" style="46" bestFit="1" customWidth="1"/>
    <col min="8201" max="8449" width="9.140625" style="46"/>
    <col min="8450" max="8450" width="21" style="46" customWidth="1"/>
    <col min="8451" max="8451" width="81.42578125" style="46" customWidth="1"/>
    <col min="8452" max="8453" width="15.5703125" style="46" customWidth="1"/>
    <col min="8454" max="8454" width="14.140625" style="46" bestFit="1" customWidth="1"/>
    <col min="8455" max="8455" width="18" style="46" bestFit="1" customWidth="1"/>
    <col min="8456" max="8456" width="11" style="46" bestFit="1" customWidth="1"/>
    <col min="8457" max="8705" width="9.140625" style="46"/>
    <col min="8706" max="8706" width="21" style="46" customWidth="1"/>
    <col min="8707" max="8707" width="81.42578125" style="46" customWidth="1"/>
    <col min="8708" max="8709" width="15.5703125" style="46" customWidth="1"/>
    <col min="8710" max="8710" width="14.140625" style="46" bestFit="1" customWidth="1"/>
    <col min="8711" max="8711" width="18" style="46" bestFit="1" customWidth="1"/>
    <col min="8712" max="8712" width="11" style="46" bestFit="1" customWidth="1"/>
    <col min="8713" max="8961" width="9.140625" style="46"/>
    <col min="8962" max="8962" width="21" style="46" customWidth="1"/>
    <col min="8963" max="8963" width="81.42578125" style="46" customWidth="1"/>
    <col min="8964" max="8965" width="15.5703125" style="46" customWidth="1"/>
    <col min="8966" max="8966" width="14.140625" style="46" bestFit="1" customWidth="1"/>
    <col min="8967" max="8967" width="18" style="46" bestFit="1" customWidth="1"/>
    <col min="8968" max="8968" width="11" style="46" bestFit="1" customWidth="1"/>
    <col min="8969" max="9217" width="9.140625" style="46"/>
    <col min="9218" max="9218" width="21" style="46" customWidth="1"/>
    <col min="9219" max="9219" width="81.42578125" style="46" customWidth="1"/>
    <col min="9220" max="9221" width="15.5703125" style="46" customWidth="1"/>
    <col min="9222" max="9222" width="14.140625" style="46" bestFit="1" customWidth="1"/>
    <col min="9223" max="9223" width="18" style="46" bestFit="1" customWidth="1"/>
    <col min="9224" max="9224" width="11" style="46" bestFit="1" customWidth="1"/>
    <col min="9225" max="9473" width="9.140625" style="46"/>
    <col min="9474" max="9474" width="21" style="46" customWidth="1"/>
    <col min="9475" max="9475" width="81.42578125" style="46" customWidth="1"/>
    <col min="9476" max="9477" width="15.5703125" style="46" customWidth="1"/>
    <col min="9478" max="9478" width="14.140625" style="46" bestFit="1" customWidth="1"/>
    <col min="9479" max="9479" width="18" style="46" bestFit="1" customWidth="1"/>
    <col min="9480" max="9480" width="11" style="46" bestFit="1" customWidth="1"/>
    <col min="9481" max="9729" width="9.140625" style="46"/>
    <col min="9730" max="9730" width="21" style="46" customWidth="1"/>
    <col min="9731" max="9731" width="81.42578125" style="46" customWidth="1"/>
    <col min="9732" max="9733" width="15.5703125" style="46" customWidth="1"/>
    <col min="9734" max="9734" width="14.140625" style="46" bestFit="1" customWidth="1"/>
    <col min="9735" max="9735" width="18" style="46" bestFit="1" customWidth="1"/>
    <col min="9736" max="9736" width="11" style="46" bestFit="1" customWidth="1"/>
    <col min="9737" max="9985" width="9.140625" style="46"/>
    <col min="9986" max="9986" width="21" style="46" customWidth="1"/>
    <col min="9987" max="9987" width="81.42578125" style="46" customWidth="1"/>
    <col min="9988" max="9989" width="15.5703125" style="46" customWidth="1"/>
    <col min="9990" max="9990" width="14.140625" style="46" bestFit="1" customWidth="1"/>
    <col min="9991" max="9991" width="18" style="46" bestFit="1" customWidth="1"/>
    <col min="9992" max="9992" width="11" style="46" bestFit="1" customWidth="1"/>
    <col min="9993" max="10241" width="9.140625" style="46"/>
    <col min="10242" max="10242" width="21" style="46" customWidth="1"/>
    <col min="10243" max="10243" width="81.42578125" style="46" customWidth="1"/>
    <col min="10244" max="10245" width="15.5703125" style="46" customWidth="1"/>
    <col min="10246" max="10246" width="14.140625" style="46" bestFit="1" customWidth="1"/>
    <col min="10247" max="10247" width="18" style="46" bestFit="1" customWidth="1"/>
    <col min="10248" max="10248" width="11" style="46" bestFit="1" customWidth="1"/>
    <col min="10249" max="10497" width="9.140625" style="46"/>
    <col min="10498" max="10498" width="21" style="46" customWidth="1"/>
    <col min="10499" max="10499" width="81.42578125" style="46" customWidth="1"/>
    <col min="10500" max="10501" width="15.5703125" style="46" customWidth="1"/>
    <col min="10502" max="10502" width="14.140625" style="46" bestFit="1" customWidth="1"/>
    <col min="10503" max="10503" width="18" style="46" bestFit="1" customWidth="1"/>
    <col min="10504" max="10504" width="11" style="46" bestFit="1" customWidth="1"/>
    <col min="10505" max="10753" width="9.140625" style="46"/>
    <col min="10754" max="10754" width="21" style="46" customWidth="1"/>
    <col min="10755" max="10755" width="81.42578125" style="46" customWidth="1"/>
    <col min="10756" max="10757" width="15.5703125" style="46" customWidth="1"/>
    <col min="10758" max="10758" width="14.140625" style="46" bestFit="1" customWidth="1"/>
    <col min="10759" max="10759" width="18" style="46" bestFit="1" customWidth="1"/>
    <col min="10760" max="10760" width="11" style="46" bestFit="1" customWidth="1"/>
    <col min="10761" max="11009" width="9.140625" style="46"/>
    <col min="11010" max="11010" width="21" style="46" customWidth="1"/>
    <col min="11011" max="11011" width="81.42578125" style="46" customWidth="1"/>
    <col min="11012" max="11013" width="15.5703125" style="46" customWidth="1"/>
    <col min="11014" max="11014" width="14.140625" style="46" bestFit="1" customWidth="1"/>
    <col min="11015" max="11015" width="18" style="46" bestFit="1" customWidth="1"/>
    <col min="11016" max="11016" width="11" style="46" bestFit="1" customWidth="1"/>
    <col min="11017" max="11265" width="9.140625" style="46"/>
    <col min="11266" max="11266" width="21" style="46" customWidth="1"/>
    <col min="11267" max="11267" width="81.42578125" style="46" customWidth="1"/>
    <col min="11268" max="11269" width="15.5703125" style="46" customWidth="1"/>
    <col min="11270" max="11270" width="14.140625" style="46" bestFit="1" customWidth="1"/>
    <col min="11271" max="11271" width="18" style="46" bestFit="1" customWidth="1"/>
    <col min="11272" max="11272" width="11" style="46" bestFit="1" customWidth="1"/>
    <col min="11273" max="11521" width="9.140625" style="46"/>
    <col min="11522" max="11522" width="21" style="46" customWidth="1"/>
    <col min="11523" max="11523" width="81.42578125" style="46" customWidth="1"/>
    <col min="11524" max="11525" width="15.5703125" style="46" customWidth="1"/>
    <col min="11526" max="11526" width="14.140625" style="46" bestFit="1" customWidth="1"/>
    <col min="11527" max="11527" width="18" style="46" bestFit="1" customWidth="1"/>
    <col min="11528" max="11528" width="11" style="46" bestFit="1" customWidth="1"/>
    <col min="11529" max="11777" width="9.140625" style="46"/>
    <col min="11778" max="11778" width="21" style="46" customWidth="1"/>
    <col min="11779" max="11779" width="81.42578125" style="46" customWidth="1"/>
    <col min="11780" max="11781" width="15.5703125" style="46" customWidth="1"/>
    <col min="11782" max="11782" width="14.140625" style="46" bestFit="1" customWidth="1"/>
    <col min="11783" max="11783" width="18" style="46" bestFit="1" customWidth="1"/>
    <col min="11784" max="11784" width="11" style="46" bestFit="1" customWidth="1"/>
    <col min="11785" max="12033" width="9.140625" style="46"/>
    <col min="12034" max="12034" width="21" style="46" customWidth="1"/>
    <col min="12035" max="12035" width="81.42578125" style="46" customWidth="1"/>
    <col min="12036" max="12037" width="15.5703125" style="46" customWidth="1"/>
    <col min="12038" max="12038" width="14.140625" style="46" bestFit="1" customWidth="1"/>
    <col min="12039" max="12039" width="18" style="46" bestFit="1" customWidth="1"/>
    <col min="12040" max="12040" width="11" style="46" bestFit="1" customWidth="1"/>
    <col min="12041" max="12289" width="9.140625" style="46"/>
    <col min="12290" max="12290" width="21" style="46" customWidth="1"/>
    <col min="12291" max="12291" width="81.42578125" style="46" customWidth="1"/>
    <col min="12292" max="12293" width="15.5703125" style="46" customWidth="1"/>
    <col min="12294" max="12294" width="14.140625" style="46" bestFit="1" customWidth="1"/>
    <col min="12295" max="12295" width="18" style="46" bestFit="1" customWidth="1"/>
    <col min="12296" max="12296" width="11" style="46" bestFit="1" customWidth="1"/>
    <col min="12297" max="12545" width="9.140625" style="46"/>
    <col min="12546" max="12546" width="21" style="46" customWidth="1"/>
    <col min="12547" max="12547" width="81.42578125" style="46" customWidth="1"/>
    <col min="12548" max="12549" width="15.5703125" style="46" customWidth="1"/>
    <col min="12550" max="12550" width="14.140625" style="46" bestFit="1" customWidth="1"/>
    <col min="12551" max="12551" width="18" style="46" bestFit="1" customWidth="1"/>
    <col min="12552" max="12552" width="11" style="46" bestFit="1" customWidth="1"/>
    <col min="12553" max="12801" width="9.140625" style="46"/>
    <col min="12802" max="12802" width="21" style="46" customWidth="1"/>
    <col min="12803" max="12803" width="81.42578125" style="46" customWidth="1"/>
    <col min="12804" max="12805" width="15.5703125" style="46" customWidth="1"/>
    <col min="12806" max="12806" width="14.140625" style="46" bestFit="1" customWidth="1"/>
    <col min="12807" max="12807" width="18" style="46" bestFit="1" customWidth="1"/>
    <col min="12808" max="12808" width="11" style="46" bestFit="1" customWidth="1"/>
    <col min="12809" max="13057" width="9.140625" style="46"/>
    <col min="13058" max="13058" width="21" style="46" customWidth="1"/>
    <col min="13059" max="13059" width="81.42578125" style="46" customWidth="1"/>
    <col min="13060" max="13061" width="15.5703125" style="46" customWidth="1"/>
    <col min="13062" max="13062" width="14.140625" style="46" bestFit="1" customWidth="1"/>
    <col min="13063" max="13063" width="18" style="46" bestFit="1" customWidth="1"/>
    <col min="13064" max="13064" width="11" style="46" bestFit="1" customWidth="1"/>
    <col min="13065" max="13313" width="9.140625" style="46"/>
    <col min="13314" max="13314" width="21" style="46" customWidth="1"/>
    <col min="13315" max="13315" width="81.42578125" style="46" customWidth="1"/>
    <col min="13316" max="13317" width="15.5703125" style="46" customWidth="1"/>
    <col min="13318" max="13318" width="14.140625" style="46" bestFit="1" customWidth="1"/>
    <col min="13319" max="13319" width="18" style="46" bestFit="1" customWidth="1"/>
    <col min="13320" max="13320" width="11" style="46" bestFit="1" customWidth="1"/>
    <col min="13321" max="13569" width="9.140625" style="46"/>
    <col min="13570" max="13570" width="21" style="46" customWidth="1"/>
    <col min="13571" max="13571" width="81.42578125" style="46" customWidth="1"/>
    <col min="13572" max="13573" width="15.5703125" style="46" customWidth="1"/>
    <col min="13574" max="13574" width="14.140625" style="46" bestFit="1" customWidth="1"/>
    <col min="13575" max="13575" width="18" style="46" bestFit="1" customWidth="1"/>
    <col min="13576" max="13576" width="11" style="46" bestFit="1" customWidth="1"/>
    <col min="13577" max="13825" width="9.140625" style="46"/>
    <col min="13826" max="13826" width="21" style="46" customWidth="1"/>
    <col min="13827" max="13827" width="81.42578125" style="46" customWidth="1"/>
    <col min="13828" max="13829" width="15.5703125" style="46" customWidth="1"/>
    <col min="13830" max="13830" width="14.140625" style="46" bestFit="1" customWidth="1"/>
    <col min="13831" max="13831" width="18" style="46" bestFit="1" customWidth="1"/>
    <col min="13832" max="13832" width="11" style="46" bestFit="1" customWidth="1"/>
    <col min="13833" max="14081" width="9.140625" style="46"/>
    <col min="14082" max="14082" width="21" style="46" customWidth="1"/>
    <col min="14083" max="14083" width="81.42578125" style="46" customWidth="1"/>
    <col min="14084" max="14085" width="15.5703125" style="46" customWidth="1"/>
    <col min="14086" max="14086" width="14.140625" style="46" bestFit="1" customWidth="1"/>
    <col min="14087" max="14087" width="18" style="46" bestFit="1" customWidth="1"/>
    <col min="14088" max="14088" width="11" style="46" bestFit="1" customWidth="1"/>
    <col min="14089" max="14337" width="9.140625" style="46"/>
    <col min="14338" max="14338" width="21" style="46" customWidth="1"/>
    <col min="14339" max="14339" width="81.42578125" style="46" customWidth="1"/>
    <col min="14340" max="14341" width="15.5703125" style="46" customWidth="1"/>
    <col min="14342" max="14342" width="14.140625" style="46" bestFit="1" customWidth="1"/>
    <col min="14343" max="14343" width="18" style="46" bestFit="1" customWidth="1"/>
    <col min="14344" max="14344" width="11" style="46" bestFit="1" customWidth="1"/>
    <col min="14345" max="14593" width="9.140625" style="46"/>
    <col min="14594" max="14594" width="21" style="46" customWidth="1"/>
    <col min="14595" max="14595" width="81.42578125" style="46" customWidth="1"/>
    <col min="14596" max="14597" width="15.5703125" style="46" customWidth="1"/>
    <col min="14598" max="14598" width="14.140625" style="46" bestFit="1" customWidth="1"/>
    <col min="14599" max="14599" width="18" style="46" bestFit="1" customWidth="1"/>
    <col min="14600" max="14600" width="11" style="46" bestFit="1" customWidth="1"/>
    <col min="14601" max="14849" width="9.140625" style="46"/>
    <col min="14850" max="14850" width="21" style="46" customWidth="1"/>
    <col min="14851" max="14851" width="81.42578125" style="46" customWidth="1"/>
    <col min="14852" max="14853" width="15.5703125" style="46" customWidth="1"/>
    <col min="14854" max="14854" width="14.140625" style="46" bestFit="1" customWidth="1"/>
    <col min="14855" max="14855" width="18" style="46" bestFit="1" customWidth="1"/>
    <col min="14856" max="14856" width="11" style="46" bestFit="1" customWidth="1"/>
    <col min="14857" max="15105" width="9.140625" style="46"/>
    <col min="15106" max="15106" width="21" style="46" customWidth="1"/>
    <col min="15107" max="15107" width="81.42578125" style="46" customWidth="1"/>
    <col min="15108" max="15109" width="15.5703125" style="46" customWidth="1"/>
    <col min="15110" max="15110" width="14.140625" style="46" bestFit="1" customWidth="1"/>
    <col min="15111" max="15111" width="18" style="46" bestFit="1" customWidth="1"/>
    <col min="15112" max="15112" width="11" style="46" bestFit="1" customWidth="1"/>
    <col min="15113" max="15361" width="9.140625" style="46"/>
    <col min="15362" max="15362" width="21" style="46" customWidth="1"/>
    <col min="15363" max="15363" width="81.42578125" style="46" customWidth="1"/>
    <col min="15364" max="15365" width="15.5703125" style="46" customWidth="1"/>
    <col min="15366" max="15366" width="14.140625" style="46" bestFit="1" customWidth="1"/>
    <col min="15367" max="15367" width="18" style="46" bestFit="1" customWidth="1"/>
    <col min="15368" max="15368" width="11" style="46" bestFit="1" customWidth="1"/>
    <col min="15369" max="15617" width="9.140625" style="46"/>
    <col min="15618" max="15618" width="21" style="46" customWidth="1"/>
    <col min="15619" max="15619" width="81.42578125" style="46" customWidth="1"/>
    <col min="15620" max="15621" width="15.5703125" style="46" customWidth="1"/>
    <col min="15622" max="15622" width="14.140625" style="46" bestFit="1" customWidth="1"/>
    <col min="15623" max="15623" width="18" style="46" bestFit="1" customWidth="1"/>
    <col min="15624" max="15624" width="11" style="46" bestFit="1" customWidth="1"/>
    <col min="15625" max="15873" width="9.140625" style="46"/>
    <col min="15874" max="15874" width="21" style="46" customWidth="1"/>
    <col min="15875" max="15875" width="81.42578125" style="46" customWidth="1"/>
    <col min="15876" max="15877" width="15.5703125" style="46" customWidth="1"/>
    <col min="15878" max="15878" width="14.140625" style="46" bestFit="1" customWidth="1"/>
    <col min="15879" max="15879" width="18" style="46" bestFit="1" customWidth="1"/>
    <col min="15880" max="15880" width="11" style="46" bestFit="1" customWidth="1"/>
    <col min="15881" max="16129" width="9.140625" style="46"/>
    <col min="16130" max="16130" width="21" style="46" customWidth="1"/>
    <col min="16131" max="16131" width="81.42578125" style="46" customWidth="1"/>
    <col min="16132" max="16133" width="15.5703125" style="46" customWidth="1"/>
    <col min="16134" max="16134" width="14.140625" style="46" bestFit="1" customWidth="1"/>
    <col min="16135" max="16135" width="18" style="46" bestFit="1" customWidth="1"/>
    <col min="16136" max="16136" width="11" style="46" bestFit="1" customWidth="1"/>
    <col min="16137" max="16384" width="9.140625" style="46"/>
  </cols>
  <sheetData>
    <row r="1" spans="1:12" ht="13.5" thickBot="1"/>
    <row r="2" spans="1:12" s="51" customFormat="1" ht="6" thickBot="1">
      <c r="B2" s="52"/>
      <c r="C2" s="1387"/>
      <c r="D2" s="53"/>
      <c r="E2" s="54"/>
      <c r="F2" s="54"/>
      <c r="G2" s="55"/>
    </row>
    <row r="3" spans="1:12" ht="60" customHeight="1" thickBot="1">
      <c r="A3" s="226" t="s">
        <v>390</v>
      </c>
      <c r="B3" s="2211"/>
      <c r="C3" s="2189" t="s">
        <v>13361</v>
      </c>
      <c r="D3" s="2190"/>
      <c r="E3" s="1610"/>
      <c r="F3" s="2118" t="str">
        <f>'ORÇAMENTO '!M5</f>
        <v>Ref.: Tabela de Serviços
SINAPI (JANEIRO/2024)</v>
      </c>
      <c r="G3" s="2119"/>
    </row>
    <row r="4" spans="1:12" ht="53.25" customHeight="1" thickBot="1">
      <c r="A4" s="226" t="s">
        <v>391</v>
      </c>
      <c r="B4" s="2212"/>
      <c r="C4" s="2191" t="s">
        <v>13363</v>
      </c>
      <c r="D4" s="2192"/>
      <c r="E4" s="1611"/>
      <c r="F4" s="1324" t="s">
        <v>4</v>
      </c>
      <c r="G4" s="1317">
        <f>'BDI '!G32</f>
        <v>0.24199999999999999</v>
      </c>
    </row>
    <row r="5" spans="1:12" s="57" customFormat="1" ht="15" customHeight="1" thickBot="1">
      <c r="B5" s="2182" t="str">
        <f>RESUMO!B7</f>
        <v>C E N T R A L   D E   P R O J E T O S</v>
      </c>
      <c r="C5" s="2183"/>
      <c r="D5" s="2184"/>
      <c r="E5" s="2184"/>
      <c r="F5" s="2184"/>
      <c r="G5" s="2185"/>
    </row>
    <row r="6" spans="1:12" s="51" customFormat="1" ht="6" thickBot="1">
      <c r="B6" s="52"/>
      <c r="C6" s="123"/>
      <c r="D6" s="53"/>
      <c r="E6" s="54"/>
      <c r="F6" s="54"/>
      <c r="G6" s="55"/>
    </row>
    <row r="7" spans="1:12" ht="18" customHeight="1">
      <c r="B7" s="207" t="s">
        <v>5</v>
      </c>
      <c r="C7" s="2215" t="str">
        <f>'ORÇAMENTO '!G11</f>
        <v xml:space="preserve">ESCOLA MUNICIPAL DOMINGOS AZZOLINI </v>
      </c>
      <c r="D7" s="2215"/>
      <c r="E7" s="2215"/>
      <c r="F7" s="208" t="s">
        <v>6</v>
      </c>
      <c r="G7" s="209">
        <f>'ORÇAMENTO '!N11</f>
        <v>45366</v>
      </c>
    </row>
    <row r="8" spans="1:12" ht="18" customHeight="1">
      <c r="B8" s="210" t="s">
        <v>7</v>
      </c>
      <c r="C8" s="2213" t="str">
        <f>'ORÇAMENTO '!G12</f>
        <v>SANTO ANTONIO DO LESTE</v>
      </c>
      <c r="D8" s="2213"/>
      <c r="E8" s="2214" t="str">
        <f>'ORÇAMENTO '!K12</f>
        <v>LEIS SOCIAIS: HORISTA</v>
      </c>
      <c r="F8" s="2214"/>
      <c r="G8" s="211">
        <f>'ORÇAMENTO '!N12</f>
        <v>1.0684</v>
      </c>
      <c r="J8" s="1592">
        <f ca="1">RESUMO!G16</f>
        <v>5.4080361804411677E-2</v>
      </c>
      <c r="K8" s="226" t="s">
        <v>7369</v>
      </c>
      <c r="L8" s="1591"/>
    </row>
    <row r="9" spans="1:12" ht="18" customHeight="1" thickBot="1">
      <c r="B9" s="2187"/>
      <c r="C9" s="2188"/>
      <c r="D9" s="2188"/>
      <c r="E9" s="2186" t="str">
        <f>'ORÇAMENTO '!K13</f>
        <v>LEIS SOCIAIS: MENSALISTA</v>
      </c>
      <c r="F9" s="2186"/>
      <c r="G9" s="193">
        <f>'ORÇAMENTO '!N13</f>
        <v>0.65400000000000003</v>
      </c>
    </row>
    <row r="10" spans="1:12" s="51" customFormat="1" ht="6" thickBot="1">
      <c r="B10" s="1658"/>
      <c r="C10" s="1659"/>
      <c r="D10" s="1660"/>
      <c r="E10" s="1661"/>
      <c r="F10" s="1661"/>
      <c r="G10" s="1662"/>
    </row>
    <row r="11" spans="1:12" ht="18.75" thickBot="1">
      <c r="B11" s="2220" t="s">
        <v>160</v>
      </c>
      <c r="C11" s="2221"/>
      <c r="D11" s="2221"/>
      <c r="E11" s="2221"/>
      <c r="F11" s="2221"/>
      <c r="G11" s="2222"/>
    </row>
    <row r="12" spans="1:12" s="51" customFormat="1" ht="6" thickBot="1">
      <c r="B12" s="1658"/>
      <c r="C12" s="1659"/>
      <c r="D12" s="1660"/>
      <c r="E12" s="1661"/>
      <c r="F12" s="1661"/>
      <c r="G12" s="1662"/>
    </row>
    <row r="13" spans="1:12" ht="13.5" thickBot="1">
      <c r="B13" s="66"/>
      <c r="C13" s="66"/>
      <c r="D13" s="66"/>
      <c r="E13" s="66"/>
      <c r="F13" s="58"/>
      <c r="G13" s="1273"/>
    </row>
    <row r="14" spans="1:12" s="226" customFormat="1" ht="15.75">
      <c r="A14" s="249"/>
      <c r="B14" s="212" t="s">
        <v>13367</v>
      </c>
      <c r="C14" s="2223" t="s">
        <v>412</v>
      </c>
      <c r="D14" s="2224"/>
      <c r="E14" s="2224"/>
      <c r="F14" s="2225"/>
      <c r="G14" s="213" t="s">
        <v>22</v>
      </c>
      <c r="H14" s="604">
        <f>G20</f>
        <v>164248.32000000001</v>
      </c>
    </row>
    <row r="15" spans="1:12" s="226" customFormat="1" ht="31.5">
      <c r="A15" s="249"/>
      <c r="B15" s="214" t="s">
        <v>197</v>
      </c>
      <c r="C15" s="685" t="s">
        <v>161</v>
      </c>
      <c r="D15" s="685" t="s">
        <v>22</v>
      </c>
      <c r="E15" s="685" t="s">
        <v>162</v>
      </c>
      <c r="F15" s="686" t="s">
        <v>163</v>
      </c>
      <c r="G15" s="687" t="s">
        <v>164</v>
      </c>
    </row>
    <row r="16" spans="1:12" s="226" customFormat="1" ht="15.75">
      <c r="A16" s="249"/>
      <c r="B16" s="2193" t="s">
        <v>169</v>
      </c>
      <c r="C16" s="2194"/>
      <c r="D16" s="2194"/>
      <c r="E16" s="2194"/>
      <c r="F16" s="2194"/>
      <c r="G16" s="2195"/>
      <c r="J16" s="226">
        <v>88326</v>
      </c>
    </row>
    <row r="17" spans="1:10" s="226" customFormat="1" ht="15.75">
      <c r="A17" s="249" t="s">
        <v>391</v>
      </c>
      <c r="B17" s="1895">
        <v>90780</v>
      </c>
      <c r="C17" s="1857" t="str">
        <f>IF($A17="INSUMO",VLOOKUP($B17,'BANCO DE DADOS JANEIRO-24 INS'!$A:$D,2,FALSE),VLOOKUP($B17,'BANCO DE DADOS JANEIRO-24 SERV'!$B:$E,2,FALSE))</f>
        <v>MESTRE DE OBRAS COM ENCARGOS COMPLEMENTARES</v>
      </c>
      <c r="D17" s="1858" t="str">
        <f>IF($A17="INSUMO",VLOOKUP($B17,'BANCO DE DADOS JANEIRO-24 INS'!$A:$D,3,FALSE),VLOOKUP($B17,'BANCO DE DADOS JANEIRO-24 SERV'!$B:$E,3,FALSE))</f>
        <v>H</v>
      </c>
      <c r="E17" s="1896">
        <f>4*5*4*12</f>
        <v>960</v>
      </c>
      <c r="F17" s="1897">
        <f>IF($A17="INSUMO",VLOOKUP($B17,'BANCO DE DADOS JANEIRO-24 INS'!$A:$D,4,FALSE),VLOOKUP($B17,'BANCO DE DADOS JANEIRO-24 SERV'!$B:$E,4,FALSE))</f>
        <v>61.24</v>
      </c>
      <c r="G17" s="1898">
        <f>TRUNC(E17*F17,2)</f>
        <v>58790.400000000001</v>
      </c>
      <c r="J17" s="226">
        <v>90780</v>
      </c>
    </row>
    <row r="18" spans="1:10" s="226" customFormat="1" ht="30">
      <c r="A18" s="249" t="s">
        <v>391</v>
      </c>
      <c r="B18" s="1895">
        <v>90777</v>
      </c>
      <c r="C18" s="1857" t="str">
        <f>IF($A18="INSUMO",VLOOKUP($B18,'BANCO DE DADOS JANEIRO-24 INS'!$A:$D,2,FALSE),VLOOKUP($B18,'BANCO DE DADOS JANEIRO-24 SERV'!$B:$E,2,FALSE))</f>
        <v>ENGENHEIRO CIVIL DE OBRA JUNIOR COM ENCARGOS COMPLEMENTARES</v>
      </c>
      <c r="D18" s="1858" t="str">
        <f>IF($A18="INSUMO",VLOOKUP($B18,'BANCO DE DADOS JANEIRO-24 INS'!$A:$D,3,FALSE),VLOOKUP($B18,'BANCO DE DADOS JANEIRO-24 SERV'!$B:$E,3,FALSE))</f>
        <v>H</v>
      </c>
      <c r="E18" s="1896">
        <f>2*2*4*12</f>
        <v>192</v>
      </c>
      <c r="F18" s="1897">
        <f>IF($A18="INSUMO",VLOOKUP($B18,'BANCO DE DADOS JANEIRO-24 INS'!$A:$D,4,FALSE),VLOOKUP($B18,'BANCO DE DADOS JANEIRO-24 SERV'!$B:$E,4,FALSE))</f>
        <v>116.87</v>
      </c>
      <c r="G18" s="1898">
        <f>TRUNC(E18*F18,2)</f>
        <v>22439.040000000001</v>
      </c>
    </row>
    <row r="19" spans="1:10" s="226" customFormat="1" ht="15.75">
      <c r="A19" s="249" t="s">
        <v>391</v>
      </c>
      <c r="B19" s="1895">
        <v>100289</v>
      </c>
      <c r="C19" s="1857" t="str">
        <f>IF($A19="INSUMO",VLOOKUP($B19,'BANCO DE DADOS JANEIRO-24 INS'!$A:$D,2,FALSE),VLOOKUP($B19,'BANCO DE DADOS JANEIRO-24 SERV'!$B:$E,2,FALSE))</f>
        <v>VIGIA DIURNO COM ENCARGOS COMPLEMENTARES</v>
      </c>
      <c r="D19" s="1858" t="str">
        <f>IF($A19="INSUMO",VLOOKUP($B19,'BANCO DE DADOS JANEIRO-24 INS'!$A:$D,3,FALSE),VLOOKUP($B19,'BANCO DE DADOS JANEIRO-24 SERV'!$B:$E,3,FALSE))</f>
        <v>H</v>
      </c>
      <c r="E19" s="1896">
        <f>12*7*4*12</f>
        <v>4032</v>
      </c>
      <c r="F19" s="1897">
        <f>IF($A19="INSUMO",VLOOKUP($B19,'BANCO DE DADOS JANEIRO-24 INS'!$A:$D,4,FALSE),VLOOKUP($B19,'BANCO DE DADOS JANEIRO-24 SERV'!$B:$E,4,FALSE))</f>
        <v>20.59</v>
      </c>
      <c r="G19" s="1898">
        <f>TRUNC(E19*F19,2)</f>
        <v>83018.880000000005</v>
      </c>
      <c r="J19" s="226">
        <v>90780</v>
      </c>
    </row>
    <row r="20" spans="1:10" s="226" customFormat="1" ht="16.5" thickBot="1">
      <c r="A20" s="249"/>
      <c r="B20" s="2226"/>
      <c r="C20" s="2226"/>
      <c r="D20" s="2226"/>
      <c r="E20" s="2227"/>
      <c r="F20" s="242" t="s">
        <v>170</v>
      </c>
      <c r="G20" s="127">
        <f>SUM(G17:G19)</f>
        <v>164248.32000000001</v>
      </c>
    </row>
    <row r="21" spans="1:10" s="226" customFormat="1" ht="16.5" thickBot="1">
      <c r="A21" s="249"/>
      <c r="B21" s="218"/>
      <c r="C21" s="218"/>
      <c r="D21" s="218"/>
      <c r="E21" s="218"/>
      <c r="F21" s="219"/>
      <c r="G21" s="219"/>
    </row>
    <row r="22" spans="1:10" s="226" customFormat="1" ht="15.75">
      <c r="A22" s="249"/>
      <c r="B22" s="2204" t="s">
        <v>1813</v>
      </c>
      <c r="C22" s="2205"/>
      <c r="D22" s="2205"/>
      <c r="E22" s="2205"/>
      <c r="F22" s="2205"/>
      <c r="G22" s="2206"/>
    </row>
    <row r="23" spans="1:10" s="226" customFormat="1" ht="15.75">
      <c r="A23" s="249"/>
      <c r="B23" s="2216" t="s">
        <v>161</v>
      </c>
      <c r="C23" s="2217"/>
      <c r="D23" s="569" t="s">
        <v>22</v>
      </c>
      <c r="E23" s="2196" t="s">
        <v>681</v>
      </c>
      <c r="F23" s="2197"/>
      <c r="G23" s="2198"/>
    </row>
    <row r="24" spans="1:10" s="226" customFormat="1" ht="16.5" thickBot="1">
      <c r="A24" s="249"/>
      <c r="B24" s="2199" t="s">
        <v>165</v>
      </c>
      <c r="C24" s="2200"/>
      <c r="D24" s="2200"/>
      <c r="E24" s="2200"/>
      <c r="F24" s="2200"/>
      <c r="G24" s="2201"/>
    </row>
    <row r="25" spans="1:10" s="226" customFormat="1" ht="15.75" customHeight="1">
      <c r="A25" s="249"/>
      <c r="B25" s="2202" t="str">
        <f>C17</f>
        <v>MESTRE DE OBRAS COM ENCARGOS COMPLEMENTARES</v>
      </c>
      <c r="C25" s="2203"/>
      <c r="D25" s="786" t="str">
        <f>D17</f>
        <v>H</v>
      </c>
      <c r="E25" s="2218" t="s">
        <v>14512</v>
      </c>
      <c r="F25" s="2218"/>
      <c r="G25" s="2219"/>
      <c r="H25" s="226" t="str">
        <f>CONCATENATE(B25,":"," ",E25," ",B26,":"," ",E26)</f>
        <v>MESTRE DE OBRAS COM ENCARGOS COMPLEMENTARES: 4HR*5DIAS*4SEMANAS*12MESES ENGENHEIRO CIVIL DE OBRA JUNIOR COM ENCARGOS COMPLEMENTARES: 2HR*2DIAS*4SEMANAS*3MESES</v>
      </c>
    </row>
    <row r="26" spans="1:10" s="226" customFormat="1" ht="16.5" customHeight="1">
      <c r="A26" s="249"/>
      <c r="B26" s="2207" t="str">
        <f>C18</f>
        <v>ENGENHEIRO CIVIL DE OBRA JUNIOR COM ENCARGOS COMPLEMENTARES</v>
      </c>
      <c r="C26" s="2208"/>
      <c r="D26" s="1899" t="str">
        <f>D18</f>
        <v>H</v>
      </c>
      <c r="E26" s="2209" t="s">
        <v>14157</v>
      </c>
      <c r="F26" s="2209"/>
      <c r="G26" s="2210"/>
    </row>
    <row r="27" spans="1:10" s="226" customFormat="1" ht="16.5" customHeight="1">
      <c r="A27" s="249"/>
      <c r="B27" s="2207" t="str">
        <f>C19</f>
        <v>VIGIA DIURNO COM ENCARGOS COMPLEMENTARES</v>
      </c>
      <c r="C27" s="2208"/>
      <c r="D27" s="1899" t="str">
        <f>D19</f>
        <v>H</v>
      </c>
      <c r="E27" s="2209" t="s">
        <v>14158</v>
      </c>
      <c r="F27" s="2209"/>
      <c r="G27" s="2210"/>
    </row>
    <row r="28" spans="1:10" ht="13.5" thickBot="1">
      <c r="B28" s="66"/>
      <c r="C28" s="66"/>
      <c r="D28" s="66"/>
      <c r="E28" s="66"/>
      <c r="F28" s="58"/>
      <c r="G28" s="1273"/>
    </row>
    <row r="29" spans="1:10" s="255" customFormat="1" ht="47.25" customHeight="1">
      <c r="A29" s="250"/>
      <c r="B29" s="212" t="str">
        <f>IF(COUNT($H$14:H29)&lt;10,CONCATENATE("CPU CIV 00",COUNT($H$14:H29)),CONCATENATE("CPU CIV 0",COUNT($H$14:H29)))</f>
        <v>CPU CIV 002</v>
      </c>
      <c r="C29" s="2174" t="s">
        <v>1814</v>
      </c>
      <c r="D29" s="2175"/>
      <c r="E29" s="2175"/>
      <c r="F29" s="2176"/>
      <c r="G29" s="227" t="s">
        <v>0</v>
      </c>
      <c r="H29" s="606">
        <f>G38</f>
        <v>195.19</v>
      </c>
    </row>
    <row r="30" spans="1:10" s="226" customFormat="1" ht="31.5">
      <c r="A30" s="249"/>
      <c r="B30" s="214" t="s">
        <v>197</v>
      </c>
      <c r="C30" s="620" t="s">
        <v>161</v>
      </c>
      <c r="D30" s="620" t="s">
        <v>22</v>
      </c>
      <c r="E30" s="620" t="s">
        <v>162</v>
      </c>
      <c r="F30" s="621" t="s">
        <v>163</v>
      </c>
      <c r="G30" s="614" t="s">
        <v>164</v>
      </c>
    </row>
    <row r="31" spans="1:10" s="226" customFormat="1" ht="15.75">
      <c r="A31" s="249"/>
      <c r="B31" s="2177" t="s">
        <v>165</v>
      </c>
      <c r="C31" s="2178"/>
      <c r="D31" s="2178"/>
      <c r="E31" s="2178"/>
      <c r="F31" s="2178"/>
      <c r="G31" s="2179"/>
    </row>
    <row r="32" spans="1:10" s="226" customFormat="1" ht="15.75">
      <c r="A32" s="249" t="s">
        <v>390</v>
      </c>
      <c r="B32" s="632">
        <v>34357</v>
      </c>
      <c r="C32" s="317" t="str">
        <f>IF($A32="INSUMO",VLOOKUP($B32,'BANCO DE DADOS JANEIRO-24 INS'!$A:$D,2,FALSE),VLOOKUP($B32,'BANCO DE DADOS JANEIRO-24 SERV'!$B:$E,2,FALSE))</f>
        <v xml:space="preserve">REJUNTE CIMENTICIO, QUALQUER COR                                                                                                                                                                                                                                                                                                                                                                                                                                                                          </v>
      </c>
      <c r="D32" s="316" t="str">
        <f>IF($A32="INSUMO",VLOOKUP($B32,'BANCO DE DADOS JANEIRO-24 INS'!$A:$D,3,FALSE),VLOOKUP($B32,'BANCO DE DADOS JANEIRO-24 SERV'!$B:$E,3,FALSE))</f>
        <v xml:space="preserve">KG    </v>
      </c>
      <c r="E32" s="613">
        <v>0.52</v>
      </c>
      <c r="F32" s="320">
        <f>IF($A32="INSUMO",VLOOKUP($B32,'BANCO DE DADOS JANEIRO-24 INS'!$A:$D,4,FALSE),VLOOKUP($B32,'BANCO DE DADOS JANEIRO-24 SERV'!$B:$E,4,FALSE))</f>
        <v>6.63</v>
      </c>
      <c r="G32" s="324">
        <f>TRUNC(E32*F32,2)</f>
        <v>3.44</v>
      </c>
    </row>
    <row r="33" spans="1:8" s="226" customFormat="1" ht="15.75">
      <c r="A33" s="249" t="s">
        <v>390</v>
      </c>
      <c r="B33" s="331">
        <v>34353</v>
      </c>
      <c r="C33" s="317" t="str">
        <f>IF($A33="INSUMO",VLOOKUP($B33,'BANCO DE DADOS JANEIRO-24 INS'!$A:$D,2,FALSE),VLOOKUP($B33,'BANCO DE DADOS JANEIRO-24 SERV'!$B:$E,2,FALSE))</f>
        <v xml:space="preserve">ARGAMASSA COLANTE AC II                                                                                                                                                                                                                                                                                                                                                                                                                                                                                   </v>
      </c>
      <c r="D33" s="316" t="str">
        <f>IF($A33="INSUMO",VLOOKUP($B33,'BANCO DE DADOS JANEIRO-24 INS'!$A:$D,3,FALSE),VLOOKUP($B33,'BANCO DE DADOS JANEIRO-24 SERV'!$B:$E,3,FALSE))</f>
        <v xml:space="preserve">KG    </v>
      </c>
      <c r="E33" s="613">
        <v>4</v>
      </c>
      <c r="F33" s="320">
        <f>IF($A33="INSUMO",VLOOKUP($B33,'BANCO DE DADOS JANEIRO-24 INS'!$A:$D,4,FALSE),VLOOKUP($B33,'BANCO DE DADOS JANEIRO-24 SERV'!$B:$E,4,FALSE))</f>
        <v>2.1</v>
      </c>
      <c r="G33" s="324">
        <f>TRUNC(E33*F33,2)</f>
        <v>8.4</v>
      </c>
    </row>
    <row r="34" spans="1:8" s="226" customFormat="1" ht="15.75">
      <c r="A34" s="249"/>
      <c r="B34" s="215" t="s">
        <v>181</v>
      </c>
      <c r="C34" s="225" t="s">
        <v>182</v>
      </c>
      <c r="D34" s="322" t="s">
        <v>0</v>
      </c>
      <c r="E34" s="613">
        <v>1.05</v>
      </c>
      <c r="F34" s="613">
        <f>D52</f>
        <v>139.19999999999999</v>
      </c>
      <c r="G34" s="324">
        <f>TRUNC(E34*F34,2)</f>
        <v>146.16</v>
      </c>
    </row>
    <row r="35" spans="1:8" s="226" customFormat="1" ht="15.75">
      <c r="A35" s="249"/>
      <c r="B35" s="2177" t="s">
        <v>166</v>
      </c>
      <c r="C35" s="2178"/>
      <c r="D35" s="2178"/>
      <c r="E35" s="2178"/>
      <c r="F35" s="2178"/>
      <c r="G35" s="2179"/>
    </row>
    <row r="36" spans="1:8" s="226" customFormat="1" ht="15.75">
      <c r="A36" s="249" t="s">
        <v>391</v>
      </c>
      <c r="B36" s="216">
        <v>88309</v>
      </c>
      <c r="C36" s="317" t="str">
        <f>IF($A36="INSUMO",VLOOKUP($B36,'BANCO DE DADOS JANEIRO-24 INS'!$A:$D,2,FALSE),VLOOKUP($B36,'BANCO DE DADOS JANEIRO-24 SERV'!$B:$E,2,FALSE))</f>
        <v>PEDREIRO COM ENCARGOS COMPLEMENTARES</v>
      </c>
      <c r="D36" s="316" t="str">
        <f>IF($A36="INSUMO",VLOOKUP($B36,'BANCO DE DADOS JANEIRO-24 INS'!$A:$D,3,FALSE),VLOOKUP($B36,'BANCO DE DADOS JANEIRO-24 SERV'!$B:$E,3,FALSE))</f>
        <v>H</v>
      </c>
      <c r="E36" s="217">
        <v>0.5</v>
      </c>
      <c r="F36" s="320">
        <f>IF($A36="INSUMO",VLOOKUP($B36,'BANCO DE DADOS JANEIRO-24 INS'!$A:$D,4,FALSE),VLOOKUP($B36,'BANCO DE DADOS JANEIRO-24 SERV'!$B:$E,4,FALSE))</f>
        <v>25.62</v>
      </c>
      <c r="G36" s="324">
        <f>TRUNC(E36*F36,2)</f>
        <v>12.81</v>
      </c>
    </row>
    <row r="37" spans="1:8" s="226" customFormat="1" ht="16.5" thickBot="1">
      <c r="A37" s="249" t="s">
        <v>391</v>
      </c>
      <c r="B37" s="781">
        <v>88316</v>
      </c>
      <c r="C37" s="318" t="str">
        <f>IF($A37="INSUMO",VLOOKUP($B37,'BANCO DE DADOS JANEIRO-24 INS'!$A:$D,2,FALSE),VLOOKUP($B37,'BANCO DE DADOS JANEIRO-24 SERV'!$B:$E,2,FALSE))</f>
        <v>SERVENTE COM ENCARGOS COMPLEMENTARES</v>
      </c>
      <c r="D37" s="319" t="str">
        <f>IF($A37="INSUMO",VLOOKUP($B37,'BANCO DE DADOS JANEIRO-24 INS'!$A:$D,3,FALSE),VLOOKUP($B37,'BANCO DE DADOS JANEIRO-24 SERV'!$B:$E,3,FALSE))</f>
        <v>H</v>
      </c>
      <c r="E37" s="323">
        <v>1.2</v>
      </c>
      <c r="F37" s="321">
        <f>IF($A37="INSUMO",VLOOKUP($B37,'BANCO DE DADOS JANEIRO-24 INS'!$A:$D,4,FALSE),VLOOKUP($B37,'BANCO DE DADOS JANEIRO-24 SERV'!$B:$E,4,FALSE))</f>
        <v>20.32</v>
      </c>
      <c r="G37" s="332">
        <f>TRUNC(E37*F37,2)</f>
        <v>24.38</v>
      </c>
    </row>
    <row r="38" spans="1:8" s="226" customFormat="1" ht="16.5" customHeight="1" thickBot="1">
      <c r="A38" s="249"/>
      <c r="B38" s="2167" t="s">
        <v>6887</v>
      </c>
      <c r="C38" s="2167"/>
      <c r="D38" s="2167"/>
      <c r="E38" s="2168"/>
      <c r="F38" s="253" t="s">
        <v>167</v>
      </c>
      <c r="G38" s="254">
        <f>TRUNC(SUM(G32:G37),2)</f>
        <v>195.19</v>
      </c>
    </row>
    <row r="39" spans="1:8" s="226" customFormat="1" ht="16.5" thickBot="1">
      <c r="A39" s="249"/>
      <c r="B39" s="220"/>
      <c r="C39" s="220"/>
      <c r="D39" s="221"/>
      <c r="E39" s="222"/>
      <c r="F39" s="223"/>
      <c r="G39" s="224"/>
    </row>
    <row r="40" spans="1:8" s="226" customFormat="1" ht="20.25">
      <c r="A40" s="249"/>
      <c r="B40" s="1669" t="s">
        <v>181</v>
      </c>
      <c r="C40" s="2164" t="s">
        <v>14396</v>
      </c>
      <c r="D40" s="2165"/>
      <c r="E40" s="2165"/>
      <c r="F40" s="2166"/>
      <c r="G40" s="1670" t="s">
        <v>22</v>
      </c>
      <c r="H40" s="678" t="s">
        <v>1976</v>
      </c>
    </row>
    <row r="41" spans="1:8" s="226" customFormat="1" ht="31.5">
      <c r="A41" s="249"/>
      <c r="B41" s="1107" t="s">
        <v>174</v>
      </c>
      <c r="C41" s="1108" t="s">
        <v>175</v>
      </c>
      <c r="D41" s="1109" t="s">
        <v>176</v>
      </c>
      <c r="E41" s="1110" t="s">
        <v>177</v>
      </c>
      <c r="F41" s="1111" t="s">
        <v>178</v>
      </c>
      <c r="G41" s="1112" t="s">
        <v>179</v>
      </c>
    </row>
    <row r="42" spans="1:8" s="226" customFormat="1" ht="15.75">
      <c r="A42" s="249"/>
      <c r="B42" s="1113">
        <v>45261</v>
      </c>
      <c r="C42" s="1114" t="s">
        <v>14397</v>
      </c>
      <c r="D42" s="1115">
        <v>8.0399999999999991</v>
      </c>
      <c r="E42" s="1367" t="s">
        <v>14398</v>
      </c>
      <c r="F42" s="1116" t="s">
        <v>14399</v>
      </c>
      <c r="G42" s="1117" t="s">
        <v>14400</v>
      </c>
      <c r="H42" s="376"/>
    </row>
    <row r="43" spans="1:8" s="226" customFormat="1" ht="15.75">
      <c r="A43" s="249"/>
      <c r="B43" s="1113">
        <v>45261</v>
      </c>
      <c r="C43" s="1114" t="s">
        <v>13335</v>
      </c>
      <c r="D43" s="1115">
        <v>8.6999999999999993</v>
      </c>
      <c r="E43" s="1192" t="s">
        <v>13336</v>
      </c>
      <c r="F43" s="1368" t="s">
        <v>13337</v>
      </c>
      <c r="G43" s="1117" t="s">
        <v>13338</v>
      </c>
      <c r="H43" s="376"/>
    </row>
    <row r="44" spans="1:8" s="226" customFormat="1" ht="15.75">
      <c r="A44" s="249"/>
      <c r="B44" s="1113">
        <v>45261</v>
      </c>
      <c r="C44" s="1114" t="s">
        <v>14401</v>
      </c>
      <c r="D44" s="1115">
        <v>12</v>
      </c>
      <c r="E44" s="1192" t="s">
        <v>14402</v>
      </c>
      <c r="F44" s="1368" t="s">
        <v>14403</v>
      </c>
      <c r="G44" s="1117" t="s">
        <v>14404</v>
      </c>
      <c r="H44" s="376"/>
    </row>
    <row r="45" spans="1:8" s="226" customFormat="1" ht="16.5" thickBot="1">
      <c r="A45" s="249"/>
      <c r="B45" s="1672"/>
      <c r="C45" s="1668" t="s">
        <v>180</v>
      </c>
      <c r="D45" s="1673">
        <f>IF(COUNT(D41:D44)=3,MEDIAN(D42:D44),SMALL(D42:D44,1))</f>
        <v>8.6999999999999993</v>
      </c>
      <c r="E45" s="1674"/>
      <c r="F45" s="1675"/>
      <c r="G45" s="1671"/>
    </row>
    <row r="46" spans="1:8" s="226" customFormat="1" ht="16.5" thickBot="1">
      <c r="A46" s="249"/>
      <c r="D46" s="221"/>
      <c r="E46" s="222"/>
      <c r="F46" s="223"/>
      <c r="G46" s="224"/>
    </row>
    <row r="47" spans="1:8" s="226" customFormat="1" ht="20.25">
      <c r="A47" s="249"/>
      <c r="B47" s="1669" t="s">
        <v>181</v>
      </c>
      <c r="C47" s="2164" t="s">
        <v>183</v>
      </c>
      <c r="D47" s="2165"/>
      <c r="E47" s="2165"/>
      <c r="F47" s="2166"/>
      <c r="G47" s="1670" t="s">
        <v>0</v>
      </c>
      <c r="H47" s="678" t="s">
        <v>1976</v>
      </c>
    </row>
    <row r="48" spans="1:8" s="226" customFormat="1" ht="31.5">
      <c r="A48" s="249"/>
      <c r="B48" s="1107" t="s">
        <v>174</v>
      </c>
      <c r="C48" s="1108" t="s">
        <v>175</v>
      </c>
      <c r="D48" s="1109" t="s">
        <v>176</v>
      </c>
      <c r="E48" s="1110" t="s">
        <v>177</v>
      </c>
      <c r="F48" s="1458" t="s">
        <v>178</v>
      </c>
      <c r="G48" s="1112" t="s">
        <v>179</v>
      </c>
    </row>
    <row r="49" spans="1:8" s="226" customFormat="1" ht="15.75">
      <c r="A49" s="249"/>
      <c r="B49" s="1113">
        <f t="shared" ref="B49:C51" si="0">B42</f>
        <v>45261</v>
      </c>
      <c r="C49" s="1114" t="str">
        <f t="shared" si="0"/>
        <v xml:space="preserve">BLOCOS BRASIL </v>
      </c>
      <c r="D49" s="1115">
        <f>(D42*16)</f>
        <v>128.63999999999999</v>
      </c>
      <c r="E49" s="1339" t="str">
        <f>E42</f>
        <v>05.221.826/0001-02</v>
      </c>
      <c r="F49" s="1139" t="str">
        <f>F42</f>
        <v>(65) 99338-7700</v>
      </c>
      <c r="G49" s="1117" t="str">
        <f>G42</f>
        <v>DENIS</v>
      </c>
      <c r="H49" s="376"/>
    </row>
    <row r="50" spans="1:8" s="226" customFormat="1" ht="15.75">
      <c r="A50" s="249"/>
      <c r="B50" s="1113">
        <f t="shared" si="0"/>
        <v>45261</v>
      </c>
      <c r="C50" s="1114" t="str">
        <f t="shared" si="0"/>
        <v>É CONCRETO</v>
      </c>
      <c r="D50" s="1115">
        <f>(D43*16)</f>
        <v>139.19999999999999</v>
      </c>
      <c r="E50" s="1339" t="str">
        <f t="shared" ref="E50:G51" si="1">E43</f>
        <v>31.627.333/0001-79</v>
      </c>
      <c r="F50" s="1139" t="str">
        <f t="shared" si="1"/>
        <v>(65) 3055-1510</v>
      </c>
      <c r="G50" s="1117" t="str">
        <f t="shared" si="1"/>
        <v>ELEONAI</v>
      </c>
      <c r="H50" s="376"/>
    </row>
    <row r="51" spans="1:8" s="226" customFormat="1" ht="15.75">
      <c r="A51" s="249"/>
      <c r="B51" s="1113">
        <f t="shared" si="0"/>
        <v>45261</v>
      </c>
      <c r="C51" s="1114" t="str">
        <f t="shared" si="0"/>
        <v>CASA DO PISO</v>
      </c>
      <c r="D51" s="1115">
        <f>(D44*16)</f>
        <v>192</v>
      </c>
      <c r="E51" s="1339" t="str">
        <f t="shared" si="1"/>
        <v>3.160.422/0001-76</v>
      </c>
      <c r="F51" s="1139" t="str">
        <f t="shared" si="1"/>
        <v>(65) 992459732</v>
      </c>
      <c r="G51" s="1117" t="str">
        <f t="shared" si="1"/>
        <v>ISRAEL</v>
      </c>
      <c r="H51" s="376"/>
    </row>
    <row r="52" spans="1:8" s="226" customFormat="1" ht="16.5" thickBot="1">
      <c r="A52" s="249"/>
      <c r="B52" s="1672"/>
      <c r="C52" s="1668" t="s">
        <v>180</v>
      </c>
      <c r="D52" s="1673">
        <f>IF(COUNT(D48:D51)=3,MEDIAN(D49:D51),SMALL(D49:D51,1))</f>
        <v>139.19999999999999</v>
      </c>
      <c r="E52" s="1674"/>
      <c r="F52" s="1677"/>
      <c r="G52" s="1671"/>
    </row>
    <row r="53" spans="1:8" s="226" customFormat="1" ht="16.5" thickBot="1">
      <c r="A53" s="249"/>
      <c r="B53" s="220"/>
      <c r="C53" s="220"/>
      <c r="D53" s="221"/>
      <c r="E53" s="222"/>
      <c r="F53" s="223"/>
      <c r="G53" s="224"/>
    </row>
    <row r="54" spans="1:8" s="226" customFormat="1" ht="15.75">
      <c r="A54" s="249"/>
      <c r="B54" s="212" t="str">
        <f>IF(COUNT($H$14:H54)&lt;10,CONCATENATE("CPU CIV 00",COUNT($H$14:H54)),CONCATENATE("CPU CIV 0",COUNT($H$14:H54)))</f>
        <v>CPU CIV 003</v>
      </c>
      <c r="C54" s="2223" t="s">
        <v>14018</v>
      </c>
      <c r="D54" s="2224"/>
      <c r="E54" s="2224"/>
      <c r="F54" s="2225"/>
      <c r="G54" s="213" t="s">
        <v>19</v>
      </c>
      <c r="H54" s="604">
        <f>G59</f>
        <v>0.49</v>
      </c>
    </row>
    <row r="55" spans="1:8" s="226" customFormat="1" ht="31.5">
      <c r="A55" s="249"/>
      <c r="B55" s="1359" t="s">
        <v>197</v>
      </c>
      <c r="C55" s="1763" t="s">
        <v>161</v>
      </c>
      <c r="D55" s="1763" t="s">
        <v>22</v>
      </c>
      <c r="E55" s="1763" t="s">
        <v>162</v>
      </c>
      <c r="F55" s="1764" t="s">
        <v>163</v>
      </c>
      <c r="G55" s="1765" t="s">
        <v>164</v>
      </c>
    </row>
    <row r="56" spans="1:8" s="226" customFormat="1" ht="15.75">
      <c r="A56" s="249"/>
      <c r="B56" s="2193" t="s">
        <v>166</v>
      </c>
      <c r="C56" s="2194"/>
      <c r="D56" s="2194"/>
      <c r="E56" s="2194"/>
      <c r="F56" s="2194"/>
      <c r="G56" s="2195"/>
    </row>
    <row r="57" spans="1:8" s="226" customFormat="1" ht="15.75">
      <c r="A57" s="249" t="s">
        <v>391</v>
      </c>
      <c r="B57" s="1097">
        <v>88247</v>
      </c>
      <c r="C57" s="1098" t="str">
        <f>IF($A57="INSUMO",VLOOKUP($B57,'BANCO DE DADOS JANEIRO-24 INS'!$A:$D,2,FALSE),VLOOKUP($B57,'BANCO DE DADOS JANEIRO-24 SERV'!$B:$E,2,FALSE))</f>
        <v>AUXILIAR DE ELETRICISTA COM ENCARGOS COMPLEMENTARES</v>
      </c>
      <c r="D57" s="1099" t="str">
        <f>IF($A57="INSUMO",VLOOKUP($B57,'BANCO DE DADOS JANEIRO-24 INS'!$A:$D,3,FALSE),VLOOKUP($B57,'BANCO DE DADOS JANEIRO-24 SERV'!$B:$E,3,FALSE))</f>
        <v>H</v>
      </c>
      <c r="E57" s="1766">
        <v>1.4E-2</v>
      </c>
      <c r="F57" s="1767">
        <f>IF($A57="INSUMO",VLOOKUP($B57,'BANCO DE DADOS JANEIRO-24 INS'!$A:$D,4,FALSE),VLOOKUP($B57,'BANCO DE DADOS JANEIRO-24 SERV'!$B:$E,4,FALSE))</f>
        <v>21.96</v>
      </c>
      <c r="G57" s="1485">
        <f>F57*E57</f>
        <v>0.30743999999999999</v>
      </c>
    </row>
    <row r="58" spans="1:8" s="226" customFormat="1" ht="16.5" thickBot="1">
      <c r="A58" s="249" t="s">
        <v>391</v>
      </c>
      <c r="B58" s="1607">
        <v>88264</v>
      </c>
      <c r="C58" s="1522" t="str">
        <f>IF($A58="INSUMO",VLOOKUP($B58,'BANCO DE DADOS JANEIRO-24 INS'!$A:$D,2,FALSE),VLOOKUP($B58,'BANCO DE DADOS JANEIRO-24 SERV'!$B:$E,2,FALSE))</f>
        <v>ELETRICISTA COM ENCARGOS COMPLEMENTARES</v>
      </c>
      <c r="D58" s="1521" t="str">
        <f>IF($A58="INSUMO",VLOOKUP($B58,'BANCO DE DADOS JANEIRO-24 INS'!$A:$D,3,FALSE),VLOOKUP($B58,'BANCO DE DADOS JANEIRO-24 SERV'!$B:$E,3,FALSE))</f>
        <v>H</v>
      </c>
      <c r="E58" s="1768">
        <v>7.1000000000000004E-3</v>
      </c>
      <c r="F58" s="1769">
        <f>IF($A58="INSUMO",VLOOKUP($B58,'BANCO DE DADOS JANEIRO-24 INS'!$A:$D,4,FALSE),VLOOKUP($B58,'BANCO DE DADOS JANEIRO-24 SERV'!$B:$E,4,FALSE))</f>
        <v>26.68</v>
      </c>
      <c r="G58" s="1770">
        <f>F58*E58</f>
        <v>0.18942800000000001</v>
      </c>
    </row>
    <row r="59" spans="1:8" s="226" customFormat="1" ht="16.5" thickBot="1">
      <c r="A59" s="249"/>
      <c r="B59" s="2228" t="s">
        <v>14019</v>
      </c>
      <c r="C59" s="2228"/>
      <c r="D59" s="2228"/>
      <c r="E59" s="2229"/>
      <c r="F59" s="124" t="s">
        <v>167</v>
      </c>
      <c r="G59" s="125">
        <f>TRUNC(SUM(G56:G58),2)</f>
        <v>0.49</v>
      </c>
    </row>
    <row r="60" spans="1:8" s="226" customFormat="1" ht="16.5" thickBot="1">
      <c r="A60" s="249"/>
      <c r="B60" s="218"/>
      <c r="C60" s="218"/>
      <c r="D60" s="218"/>
      <c r="E60" s="218"/>
      <c r="F60" s="219"/>
      <c r="G60" s="219"/>
    </row>
    <row r="61" spans="1:8" s="252" customFormat="1" ht="15.75">
      <c r="B61" s="377" t="str">
        <f>IF(COUNT($H$14:H61)&lt;10,CONCATENATE("CPU CIV 00",COUNT($H$14:H61)),CONCATENATE("CPU CIV 0",COUNT($H$14:H61)))</f>
        <v>CPU CIV 004</v>
      </c>
      <c r="C61" s="2180" t="s">
        <v>14087</v>
      </c>
      <c r="D61" s="2181"/>
      <c r="E61" s="2181"/>
      <c r="F61" s="2181"/>
      <c r="G61" s="602" t="s">
        <v>22</v>
      </c>
      <c r="H61" s="603">
        <f>G67</f>
        <v>2527.81</v>
      </c>
    </row>
    <row r="62" spans="1:8" s="252" customFormat="1" ht="31.5">
      <c r="B62" s="1093" t="s">
        <v>197</v>
      </c>
      <c r="C62" s="1094" t="s">
        <v>161</v>
      </c>
      <c r="D62" s="1094" t="s">
        <v>22</v>
      </c>
      <c r="E62" s="1094" t="s">
        <v>162</v>
      </c>
      <c r="F62" s="1095" t="s">
        <v>163</v>
      </c>
      <c r="G62" s="1096" t="s">
        <v>164</v>
      </c>
    </row>
    <row r="63" spans="1:8" s="252" customFormat="1" ht="15.75">
      <c r="B63" s="2177" t="s">
        <v>168</v>
      </c>
      <c r="C63" s="2178"/>
      <c r="D63" s="2178"/>
      <c r="E63" s="2178"/>
      <c r="F63" s="2178"/>
      <c r="G63" s="2179"/>
    </row>
    <row r="64" spans="1:8" s="252" customFormat="1" ht="15.75">
      <c r="A64" s="333" t="s">
        <v>390</v>
      </c>
      <c r="B64" s="1097" t="str">
        <f>B69</f>
        <v>COTAÇÃO - 01</v>
      </c>
      <c r="C64" s="1098" t="str">
        <f>C69</f>
        <v>MAPA TATIL COMPLETO (ONLINE)</v>
      </c>
      <c r="D64" s="1178" t="str">
        <f>G69</f>
        <v>UN</v>
      </c>
      <c r="E64" s="1231">
        <v>1</v>
      </c>
      <c r="F64" s="1102">
        <f>D74</f>
        <v>2496</v>
      </c>
      <c r="G64" s="1101">
        <f>TRUNC(E64*F64,2)</f>
        <v>2496</v>
      </c>
    </row>
    <row r="65" spans="1:8" s="252" customFormat="1" ht="15.75">
      <c r="B65" s="2177" t="s">
        <v>169</v>
      </c>
      <c r="C65" s="2178"/>
      <c r="D65" s="2178"/>
      <c r="E65" s="2178"/>
      <c r="F65" s="2178"/>
      <c r="G65" s="2179"/>
    </row>
    <row r="66" spans="1:8" s="252" customFormat="1" ht="30.75" thickBot="1">
      <c r="A66" s="333" t="s">
        <v>391</v>
      </c>
      <c r="B66" s="1607">
        <v>88243</v>
      </c>
      <c r="C66" s="1522" t="str">
        <f>IF($A66="INSUMO",VLOOKUP($B66,'BANCO DE DADOS JANEIRO-24 INS'!$A:$D,2,FALSE),VLOOKUP($B66,'BANCO DE DADOS JANEIRO-24 SERV'!$B:$E,2,FALSE))</f>
        <v>AJUDANTE ESPECIALIZADO COM ENCARGOS COMPLEMENTARES</v>
      </c>
      <c r="D66" s="1521" t="str">
        <f>IF($A66="INSUMO",VLOOKUP($B66,'BANCO DE DADOS JANEIRO-24 INS'!$A:$D,3,FALSE),VLOOKUP($B66,'BANCO DE DADOS JANEIRO-24 SERV'!$B:$E,3,FALSE))</f>
        <v>H</v>
      </c>
      <c r="E66" s="1618">
        <v>1.5</v>
      </c>
      <c r="F66" s="1528">
        <f>IF($A66="INSUMO",VLOOKUP($B66,'BANCO DE DADOS JANEIRO-24 INS'!$A:$D,4,FALSE),VLOOKUP($B66,'BANCO DE DADOS JANEIRO-24 SERV'!$B:$E,4,FALSE))</f>
        <v>21.21</v>
      </c>
      <c r="G66" s="1582">
        <f>TRUNC(E66*F66,2)</f>
        <v>31.81</v>
      </c>
    </row>
    <row r="67" spans="1:8" s="252" customFormat="1" ht="16.5" thickBot="1">
      <c r="B67" s="2172" t="s">
        <v>14088</v>
      </c>
      <c r="C67" s="2173"/>
      <c r="D67" s="303"/>
      <c r="E67" s="304"/>
      <c r="F67" s="263" t="s">
        <v>170</v>
      </c>
      <c r="G67" s="264">
        <f>TRUNC(SUM(G64:G66),2)</f>
        <v>2527.81</v>
      </c>
    </row>
    <row r="68" spans="1:8" s="265" customFormat="1" ht="13.5" thickBot="1">
      <c r="B68" s="359"/>
      <c r="C68" s="359"/>
      <c r="D68" s="360"/>
      <c r="E68" s="361"/>
      <c r="F68" s="362"/>
      <c r="G68" s="363"/>
    </row>
    <row r="69" spans="1:8" s="271" customFormat="1" ht="18">
      <c r="A69" s="333"/>
      <c r="B69" s="1669" t="s">
        <v>5562</v>
      </c>
      <c r="C69" s="2164" t="s">
        <v>14415</v>
      </c>
      <c r="D69" s="2165"/>
      <c r="E69" s="2165"/>
      <c r="F69" s="2166"/>
      <c r="G69" s="1670" t="str">
        <f>G61</f>
        <v>UN</v>
      </c>
      <c r="H69" s="1173"/>
    </row>
    <row r="70" spans="1:8" s="271" customFormat="1" ht="31.5">
      <c r="A70" s="333"/>
      <c r="B70" s="1524" t="s">
        <v>174</v>
      </c>
      <c r="C70" s="1533" t="s">
        <v>175</v>
      </c>
      <c r="D70" s="1529" t="s">
        <v>176</v>
      </c>
      <c r="E70" s="1530" t="s">
        <v>177</v>
      </c>
      <c r="F70" s="1531" t="s">
        <v>178</v>
      </c>
      <c r="G70" s="1532" t="s">
        <v>179</v>
      </c>
    </row>
    <row r="71" spans="1:8" s="271" customFormat="1" ht="15.75">
      <c r="A71" s="333"/>
      <c r="B71" s="1113">
        <v>45261</v>
      </c>
      <c r="C71" s="1114" t="s">
        <v>14405</v>
      </c>
      <c r="D71" s="1115">
        <f>1510+599</f>
        <v>2109</v>
      </c>
      <c r="E71" s="1367" t="s">
        <v>14406</v>
      </c>
      <c r="F71" s="1116" t="s">
        <v>14407</v>
      </c>
      <c r="G71" s="1117" t="s">
        <v>14093</v>
      </c>
      <c r="H71" s="675"/>
    </row>
    <row r="72" spans="1:8" s="271" customFormat="1" ht="15.75">
      <c r="A72" s="333"/>
      <c r="B72" s="1113">
        <v>45261</v>
      </c>
      <c r="C72" s="1114" t="s">
        <v>14089</v>
      </c>
      <c r="D72" s="1115">
        <f>4320+3390</f>
        <v>7710</v>
      </c>
      <c r="E72" s="1192" t="s">
        <v>14091</v>
      </c>
      <c r="F72" s="1368" t="s">
        <v>14092</v>
      </c>
      <c r="G72" s="1117" t="s">
        <v>14090</v>
      </c>
      <c r="H72" s="675"/>
    </row>
    <row r="73" spans="1:8" s="271" customFormat="1" ht="15.75">
      <c r="A73" s="333"/>
      <c r="B73" s="1113">
        <v>45261</v>
      </c>
      <c r="C73" s="1114" t="s">
        <v>14408</v>
      </c>
      <c r="D73" s="1115">
        <f>1440+1056</f>
        <v>2496</v>
      </c>
      <c r="E73" s="1192" t="s">
        <v>14409</v>
      </c>
      <c r="F73" s="1368" t="s">
        <v>14410</v>
      </c>
      <c r="G73" s="1117" t="s">
        <v>14411</v>
      </c>
      <c r="H73" s="675"/>
    </row>
    <row r="74" spans="1:8" s="271" customFormat="1" ht="16.5" thickBot="1">
      <c r="A74" s="333"/>
      <c r="B74" s="1678"/>
      <c r="C74" s="1679" t="s">
        <v>180</v>
      </c>
      <c r="D74" s="1680">
        <f>IF(COUNT(D71:D73)=3,MEDIAN(D71:D73),SMALL(D71:D73,1))</f>
        <v>2496</v>
      </c>
      <c r="E74" s="1681"/>
      <c r="F74" s="1683"/>
      <c r="G74" s="1682"/>
    </row>
    <row r="75" spans="1:8" s="252" customFormat="1" ht="16.5" thickBot="1">
      <c r="B75" s="601"/>
      <c r="C75" s="601"/>
      <c r="D75" s="300"/>
      <c r="E75" s="257"/>
      <c r="F75" s="301"/>
      <c r="G75" s="302"/>
    </row>
    <row r="76" spans="1:8" s="265" customFormat="1" ht="15.75">
      <c r="A76" s="333"/>
      <c r="B76" s="377" t="str">
        <f>IF(COUNT($H$14:H76)&lt;10,CONCATENATE("CPU CIV 00",COUNT($H$14:H76)),CONCATENATE("CPU CIV 0",COUNT($H$14:H76)))</f>
        <v>CPU CIV 005</v>
      </c>
      <c r="C76" s="2180" t="s">
        <v>14094</v>
      </c>
      <c r="D76" s="2180"/>
      <c r="E76" s="2180"/>
      <c r="F76" s="2180"/>
      <c r="G76" s="602" t="s">
        <v>22</v>
      </c>
      <c r="H76" s="603">
        <f>G83</f>
        <v>101.09</v>
      </c>
    </row>
    <row r="77" spans="1:8" s="265" customFormat="1" ht="29.25" customHeight="1">
      <c r="A77" s="333"/>
      <c r="B77" s="1093" t="s">
        <v>197</v>
      </c>
      <c r="C77" s="1094" t="s">
        <v>161</v>
      </c>
      <c r="D77" s="1094" t="s">
        <v>22</v>
      </c>
      <c r="E77" s="1094" t="s">
        <v>162</v>
      </c>
      <c r="F77" s="1095" t="s">
        <v>163</v>
      </c>
      <c r="G77" s="1096" t="s">
        <v>164</v>
      </c>
      <c r="H77" s="271"/>
    </row>
    <row r="78" spans="1:8" s="265" customFormat="1" ht="21.75" customHeight="1">
      <c r="A78" s="333"/>
      <c r="B78" s="2177" t="s">
        <v>168</v>
      </c>
      <c r="C78" s="2178"/>
      <c r="D78" s="2178"/>
      <c r="E78" s="2178"/>
      <c r="F78" s="2178"/>
      <c r="G78" s="2179"/>
      <c r="H78" s="271"/>
    </row>
    <row r="79" spans="1:8" s="265" customFormat="1" ht="30.75" customHeight="1">
      <c r="A79" s="333" t="s">
        <v>390</v>
      </c>
      <c r="B79" s="1097" t="str">
        <f>B85</f>
        <v>COTAÇÃO - 01</v>
      </c>
      <c r="C79" s="1098" t="str">
        <f>C85</f>
        <v>PLACA TATIL EM ACRÍLICO COM LETRAS EM RELEVO/BRAILE DIM. 30X10CM (ONLINE)</v>
      </c>
      <c r="D79" s="1178" t="str">
        <f>G85</f>
        <v>UN</v>
      </c>
      <c r="E79" s="1187">
        <v>1</v>
      </c>
      <c r="F79" s="1102">
        <f>D90</f>
        <v>94.5</v>
      </c>
      <c r="G79" s="1291">
        <f>TRUNC(E79*F79,2)</f>
        <v>94.5</v>
      </c>
      <c r="H79" s="271"/>
    </row>
    <row r="80" spans="1:8" s="265" customFormat="1" ht="21.75" customHeight="1">
      <c r="A80" s="333" t="s">
        <v>390</v>
      </c>
      <c r="B80" s="1097" t="str">
        <f>B92</f>
        <v>COTAÇÃO - 02</v>
      </c>
      <c r="C80" s="1098" t="str">
        <f>C92</f>
        <v>FITA DUPLA FACE 12MMX20M (ONLINE)</v>
      </c>
      <c r="D80" s="1178" t="str">
        <f>G92</f>
        <v>UN</v>
      </c>
      <c r="E80" s="1187">
        <v>0.03</v>
      </c>
      <c r="F80" s="1102">
        <f>D97</f>
        <v>84.35</v>
      </c>
      <c r="G80" s="1291">
        <f>TRUNC(E80*F80,2)</f>
        <v>2.5299999999999998</v>
      </c>
      <c r="H80" s="271"/>
    </row>
    <row r="81" spans="1:8" s="265" customFormat="1" ht="21.75" customHeight="1">
      <c r="A81" s="333"/>
      <c r="B81" s="2177" t="s">
        <v>169</v>
      </c>
      <c r="C81" s="2178"/>
      <c r="D81" s="2178"/>
      <c r="E81" s="2178"/>
      <c r="F81" s="2178"/>
      <c r="G81" s="2179"/>
      <c r="H81" s="271"/>
    </row>
    <row r="82" spans="1:8" s="265" customFormat="1" ht="21.75" customHeight="1">
      <c r="A82" s="333" t="s">
        <v>391</v>
      </c>
      <c r="B82" s="1097">
        <v>88316</v>
      </c>
      <c r="C82" s="1098" t="str">
        <f>IF($A82="INSUMO",VLOOKUP($B82,'BANCO DE DADOS JANEIRO-24 INS'!$A:$D,2,FALSE),VLOOKUP($B82,'BANCO DE DADOS JANEIRO-24 SERV'!$B:$E,2,FALSE))</f>
        <v>SERVENTE COM ENCARGOS COMPLEMENTARES</v>
      </c>
      <c r="D82" s="1099" t="str">
        <f>IF($A82="INSUMO",VLOOKUP($B82,'BANCO DE DADOS JANEIRO-24 INS'!$A:$D,3,FALSE),VLOOKUP($B82,'BANCO DE DADOS JANEIRO-24 SERV'!$B:$E,3,FALSE))</f>
        <v>H</v>
      </c>
      <c r="E82" s="1460">
        <v>0.2</v>
      </c>
      <c r="F82" s="1102">
        <f>IF($A82="INSUMO",VLOOKUP($B82,'BANCO DE DADOS JANEIRO-24 INS'!$A:$D,4,FALSE),VLOOKUP($B82,'BANCO DE DADOS JANEIRO-24 SERV'!$B:$E,4,FALSE))</f>
        <v>20.32</v>
      </c>
      <c r="G82" s="1291">
        <f>TRUNC(E82*F82,2)</f>
        <v>4.0599999999999996</v>
      </c>
      <c r="H82" s="271"/>
    </row>
    <row r="83" spans="1:8" s="265" customFormat="1" ht="21.75" customHeight="1" thickBot="1">
      <c r="A83" s="333"/>
      <c r="B83" s="2230" t="s">
        <v>14095</v>
      </c>
      <c r="C83" s="2230"/>
      <c r="D83" s="2230"/>
      <c r="E83" s="2231"/>
      <c r="F83" s="263" t="s">
        <v>170</v>
      </c>
      <c r="G83" s="264">
        <f>TRUNC(SUM(G79:G82),2)</f>
        <v>101.09</v>
      </c>
      <c r="H83" s="271"/>
    </row>
    <row r="84" spans="1:8" s="271" customFormat="1" ht="21.75" customHeight="1" thickBot="1">
      <c r="A84" s="333"/>
      <c r="B84" s="308"/>
      <c r="C84" s="308"/>
      <c r="D84" s="308"/>
      <c r="E84" s="308"/>
      <c r="F84" s="1391"/>
      <c r="G84" s="1391"/>
    </row>
    <row r="85" spans="1:8" s="271" customFormat="1" ht="21.75" customHeight="1">
      <c r="A85" s="333"/>
      <c r="B85" s="1669" t="s">
        <v>5562</v>
      </c>
      <c r="C85" s="2164" t="s">
        <v>14414</v>
      </c>
      <c r="D85" s="2165"/>
      <c r="E85" s="2165"/>
      <c r="F85" s="2166"/>
      <c r="G85" s="1670" t="str">
        <f>G76</f>
        <v>UN</v>
      </c>
      <c r="H85" s="1173"/>
    </row>
    <row r="86" spans="1:8" s="271" customFormat="1" ht="36.75" customHeight="1">
      <c r="A86" s="333"/>
      <c r="B86" s="1107" t="s">
        <v>174</v>
      </c>
      <c r="C86" s="1108" t="s">
        <v>175</v>
      </c>
      <c r="D86" s="1109" t="s">
        <v>176</v>
      </c>
      <c r="E86" s="1110" t="s">
        <v>177</v>
      </c>
      <c r="F86" s="1111" t="s">
        <v>178</v>
      </c>
      <c r="G86" s="1112" t="s">
        <v>179</v>
      </c>
    </row>
    <row r="87" spans="1:8" s="271" customFormat="1" ht="21.75" customHeight="1">
      <c r="A87" s="333"/>
      <c r="B87" s="1113">
        <v>45261</v>
      </c>
      <c r="C87" s="1114" t="s">
        <v>14405</v>
      </c>
      <c r="D87" s="1115">
        <v>94.5</v>
      </c>
      <c r="E87" s="1367" t="s">
        <v>14406</v>
      </c>
      <c r="F87" s="1116" t="s">
        <v>14407</v>
      </c>
      <c r="G87" s="1117" t="s">
        <v>14093</v>
      </c>
      <c r="H87" s="675"/>
    </row>
    <row r="88" spans="1:8" s="271" customFormat="1" ht="21.75" customHeight="1">
      <c r="A88" s="333"/>
      <c r="B88" s="1113">
        <v>45261</v>
      </c>
      <c r="C88" s="1114" t="s">
        <v>14089</v>
      </c>
      <c r="D88" s="1115">
        <v>149.9</v>
      </c>
      <c r="E88" s="1192" t="s">
        <v>14091</v>
      </c>
      <c r="F88" s="1368" t="s">
        <v>14092</v>
      </c>
      <c r="G88" s="1117" t="s">
        <v>14090</v>
      </c>
      <c r="H88" s="675"/>
    </row>
    <row r="89" spans="1:8" s="271" customFormat="1" ht="21.75" customHeight="1">
      <c r="A89" s="333"/>
      <c r="B89" s="1113">
        <v>45261</v>
      </c>
      <c r="C89" s="1114" t="s">
        <v>14408</v>
      </c>
      <c r="D89" s="1115">
        <v>90</v>
      </c>
      <c r="E89" s="1192" t="s">
        <v>14409</v>
      </c>
      <c r="F89" s="1368" t="s">
        <v>14410</v>
      </c>
      <c r="G89" s="1117" t="s">
        <v>14411</v>
      </c>
      <c r="H89" s="675"/>
    </row>
    <row r="90" spans="1:8" s="271" customFormat="1" ht="21.75" customHeight="1" thickBot="1">
      <c r="A90" s="333"/>
      <c r="B90" s="1672"/>
      <c r="C90" s="1668" t="s">
        <v>180</v>
      </c>
      <c r="D90" s="1673">
        <f>IF(COUNT(D87:D89)=3,MEDIAN(D87:D89),SMALL(D87:D89,1))</f>
        <v>94.5</v>
      </c>
      <c r="E90" s="1674"/>
      <c r="F90" s="1675"/>
      <c r="G90" s="1671"/>
    </row>
    <row r="91" spans="1:8" s="271" customFormat="1" ht="21.75" customHeight="1" thickBot="1">
      <c r="A91" s="333"/>
      <c r="B91" s="308"/>
      <c r="C91" s="308"/>
      <c r="D91" s="308"/>
      <c r="E91" s="308"/>
      <c r="F91" s="1391"/>
      <c r="G91" s="1391"/>
    </row>
    <row r="92" spans="1:8" s="271" customFormat="1" ht="21.75" customHeight="1">
      <c r="A92" s="333"/>
      <c r="B92" s="1669" t="s">
        <v>5563</v>
      </c>
      <c r="C92" s="2164" t="s">
        <v>14412</v>
      </c>
      <c r="D92" s="2165"/>
      <c r="E92" s="2165"/>
      <c r="F92" s="2166"/>
      <c r="G92" s="1670" t="str">
        <f>G76</f>
        <v>UN</v>
      </c>
      <c r="H92" s="1173"/>
    </row>
    <row r="93" spans="1:8" s="271" customFormat="1" ht="34.5" customHeight="1">
      <c r="A93" s="333"/>
      <c r="B93" s="1107" t="s">
        <v>174</v>
      </c>
      <c r="C93" s="1108" t="s">
        <v>175</v>
      </c>
      <c r="D93" s="1109" t="s">
        <v>176</v>
      </c>
      <c r="E93" s="1110" t="s">
        <v>177</v>
      </c>
      <c r="F93" s="1111" t="s">
        <v>178</v>
      </c>
      <c r="G93" s="1112" t="s">
        <v>179</v>
      </c>
    </row>
    <row r="94" spans="1:8" s="271" customFormat="1" ht="21.75" customHeight="1">
      <c r="A94" s="333"/>
      <c r="B94" s="1113">
        <v>45371</v>
      </c>
      <c r="C94" s="1114" t="s">
        <v>14096</v>
      </c>
      <c r="D94" s="1115">
        <v>118.22</v>
      </c>
      <c r="E94" s="1367" t="s">
        <v>14097</v>
      </c>
      <c r="F94" s="1116" t="s">
        <v>14046</v>
      </c>
      <c r="G94" s="1117" t="s">
        <v>14046</v>
      </c>
      <c r="H94" s="675"/>
    </row>
    <row r="95" spans="1:8" s="271" customFormat="1" ht="21.75" customHeight="1">
      <c r="A95" s="333"/>
      <c r="B95" s="1113">
        <v>45371</v>
      </c>
      <c r="C95" s="1114" t="s">
        <v>14098</v>
      </c>
      <c r="D95" s="1115">
        <v>84.35</v>
      </c>
      <c r="E95" s="1192" t="s">
        <v>14099</v>
      </c>
      <c r="F95" s="1368" t="s">
        <v>14100</v>
      </c>
      <c r="G95" s="1117" t="s">
        <v>14046</v>
      </c>
      <c r="H95" s="675"/>
    </row>
    <row r="96" spans="1:8" s="271" customFormat="1" ht="21.75" customHeight="1">
      <c r="A96" s="333"/>
      <c r="B96" s="1113">
        <v>45371</v>
      </c>
      <c r="C96" s="1114" t="s">
        <v>14639</v>
      </c>
      <c r="D96" s="1115">
        <v>62.87</v>
      </c>
      <c r="E96" s="1192" t="s">
        <v>14640</v>
      </c>
      <c r="F96" s="1368" t="s">
        <v>14641</v>
      </c>
      <c r="G96" s="1117" t="s">
        <v>14046</v>
      </c>
      <c r="H96" s="675"/>
    </row>
    <row r="97" spans="1:8" s="271" customFormat="1" ht="21.75" customHeight="1" thickBot="1">
      <c r="A97" s="333"/>
      <c r="B97" s="1672"/>
      <c r="C97" s="1668" t="s">
        <v>180</v>
      </c>
      <c r="D97" s="1673">
        <f>IF(COUNT(D94:D96)=3,MEDIAN(D94:D96),SMALL(D94:D96,1))</f>
        <v>84.35</v>
      </c>
      <c r="E97" s="1674"/>
      <c r="F97" s="1675"/>
      <c r="G97" s="1671"/>
    </row>
    <row r="98" spans="1:8" s="271" customFormat="1" ht="16.5" thickBot="1">
      <c r="A98" s="333"/>
      <c r="B98" s="308"/>
      <c r="C98" s="308"/>
      <c r="D98" s="308"/>
      <c r="E98" s="308"/>
      <c r="F98" s="1391"/>
      <c r="G98" s="1391"/>
    </row>
    <row r="99" spans="1:8" s="265" customFormat="1" ht="15.75">
      <c r="A99" s="333"/>
      <c r="B99" s="377" t="str">
        <f>IF(COUNT($H$14:H99)&lt;10,CONCATENATE("CPU CIV 00",COUNT($H$14:H99)),CONCATENATE("CPU CIV 0",COUNT($H$14:H99)))</f>
        <v>CPU CIV 006</v>
      </c>
      <c r="C99" s="2180" t="s">
        <v>14101</v>
      </c>
      <c r="D99" s="2180"/>
      <c r="E99" s="2180"/>
      <c r="F99" s="2180"/>
      <c r="G99" s="602" t="s">
        <v>22</v>
      </c>
      <c r="H99" s="603">
        <f>G106</f>
        <v>96.59</v>
      </c>
    </row>
    <row r="100" spans="1:8" s="265" customFormat="1" ht="36" customHeight="1">
      <c r="A100" s="333"/>
      <c r="B100" s="1093" t="s">
        <v>197</v>
      </c>
      <c r="C100" s="1094" t="s">
        <v>161</v>
      </c>
      <c r="D100" s="1094" t="s">
        <v>22</v>
      </c>
      <c r="E100" s="1094" t="s">
        <v>162</v>
      </c>
      <c r="F100" s="1095" t="s">
        <v>163</v>
      </c>
      <c r="G100" s="1096" t="s">
        <v>164</v>
      </c>
      <c r="H100" s="271"/>
    </row>
    <row r="101" spans="1:8" s="265" customFormat="1" ht="21.75" customHeight="1">
      <c r="A101" s="333"/>
      <c r="B101" s="2177" t="s">
        <v>168</v>
      </c>
      <c r="C101" s="2178"/>
      <c r="D101" s="2178"/>
      <c r="E101" s="2178"/>
      <c r="F101" s="2178"/>
      <c r="G101" s="2179"/>
      <c r="H101" s="271"/>
    </row>
    <row r="102" spans="1:8" s="265" customFormat="1" ht="31.5" customHeight="1">
      <c r="A102" s="333" t="s">
        <v>390</v>
      </c>
      <c r="B102" s="1097" t="str">
        <f>B108</f>
        <v>COTAÇÃO - 01</v>
      </c>
      <c r="C102" s="1098" t="str">
        <f>C108</f>
        <v>PLACA TATIL EM ACRÍLICO COM LETRAS EM VINIL DIM. 30X10CM (ONLINE)</v>
      </c>
      <c r="D102" s="1178" t="str">
        <f>G108</f>
        <v>UN</v>
      </c>
      <c r="E102" s="1187">
        <v>1</v>
      </c>
      <c r="F102" s="1102">
        <f>D113</f>
        <v>90</v>
      </c>
      <c r="G102" s="1291">
        <f>TRUNC(E102*F102,2)</f>
        <v>90</v>
      </c>
      <c r="H102" s="271"/>
    </row>
    <row r="103" spans="1:8" s="265" customFormat="1" ht="21.75" customHeight="1">
      <c r="A103" s="333" t="s">
        <v>390</v>
      </c>
      <c r="B103" s="1097" t="str">
        <f>B115</f>
        <v>COTAÇÃO - 02</v>
      </c>
      <c r="C103" s="1098" t="str">
        <f>C115</f>
        <v>FITA DUPLA FACE 12MMX20M (ONLINE)</v>
      </c>
      <c r="D103" s="1178" t="str">
        <f>G115</f>
        <v>UN</v>
      </c>
      <c r="E103" s="1187">
        <v>0.03</v>
      </c>
      <c r="F103" s="1102">
        <f>D120</f>
        <v>84.35</v>
      </c>
      <c r="G103" s="1291">
        <f>TRUNC(E103*F103,2)</f>
        <v>2.5299999999999998</v>
      </c>
      <c r="H103" s="271"/>
    </row>
    <row r="104" spans="1:8" s="265" customFormat="1" ht="21.75" customHeight="1">
      <c r="A104" s="333"/>
      <c r="B104" s="2177" t="s">
        <v>169</v>
      </c>
      <c r="C104" s="2178"/>
      <c r="D104" s="2178"/>
      <c r="E104" s="2178"/>
      <c r="F104" s="2178"/>
      <c r="G104" s="2179"/>
      <c r="H104" s="271"/>
    </row>
    <row r="105" spans="1:8" s="265" customFormat="1" ht="21.75" customHeight="1">
      <c r="A105" s="333" t="s">
        <v>391</v>
      </c>
      <c r="B105" s="1097">
        <v>88316</v>
      </c>
      <c r="C105" s="1098" t="str">
        <f>IF($A105="INSUMO",VLOOKUP($B105,'BANCO DE DADOS JANEIRO-24 INS'!$A:$D,2,FALSE),VLOOKUP($B105,'BANCO DE DADOS JANEIRO-24 SERV'!$B:$E,2,FALSE))</f>
        <v>SERVENTE COM ENCARGOS COMPLEMENTARES</v>
      </c>
      <c r="D105" s="1099" t="str">
        <f>IF($A105="INSUMO",VLOOKUP($B105,'BANCO DE DADOS JANEIRO-24 INS'!$A:$D,3,FALSE),VLOOKUP($B105,'BANCO DE DADOS JANEIRO-24 SERV'!$B:$E,3,FALSE))</f>
        <v>H</v>
      </c>
      <c r="E105" s="1460">
        <v>0.2</v>
      </c>
      <c r="F105" s="1102">
        <f>IF($A105="INSUMO",VLOOKUP($B105,'BANCO DE DADOS JANEIRO-24 INS'!$A:$D,4,FALSE),VLOOKUP($B105,'BANCO DE DADOS JANEIRO-24 SERV'!$B:$E,4,FALSE))</f>
        <v>20.32</v>
      </c>
      <c r="G105" s="1291">
        <f>TRUNC(E105*F105,2)</f>
        <v>4.0599999999999996</v>
      </c>
      <c r="H105" s="271"/>
    </row>
    <row r="106" spans="1:8" s="265" customFormat="1" ht="21.75" customHeight="1" thickBot="1">
      <c r="A106" s="333"/>
      <c r="B106" s="2230" t="s">
        <v>14095</v>
      </c>
      <c r="C106" s="2230"/>
      <c r="D106" s="2230"/>
      <c r="E106" s="2231"/>
      <c r="F106" s="263" t="s">
        <v>170</v>
      </c>
      <c r="G106" s="264">
        <f>TRUNC(SUM(G102:G105),2)</f>
        <v>96.59</v>
      </c>
      <c r="H106" s="271"/>
    </row>
    <row r="107" spans="1:8" s="271" customFormat="1" ht="21.75" customHeight="1" thickBot="1">
      <c r="A107" s="333"/>
      <c r="B107" s="308"/>
      <c r="C107" s="308"/>
      <c r="D107" s="308"/>
      <c r="E107" s="308"/>
      <c r="F107" s="1391"/>
      <c r="G107" s="1391"/>
    </row>
    <row r="108" spans="1:8" s="271" customFormat="1" ht="21.75" customHeight="1">
      <c r="A108" s="333"/>
      <c r="B108" s="1669" t="s">
        <v>5562</v>
      </c>
      <c r="C108" s="2164" t="s">
        <v>14413</v>
      </c>
      <c r="D108" s="2165"/>
      <c r="E108" s="2165"/>
      <c r="F108" s="2166"/>
      <c r="G108" s="1670" t="str">
        <f>G99</f>
        <v>UN</v>
      </c>
      <c r="H108" s="1173"/>
    </row>
    <row r="109" spans="1:8" s="271" customFormat="1" ht="30" customHeight="1">
      <c r="A109" s="333"/>
      <c r="B109" s="1107" t="s">
        <v>174</v>
      </c>
      <c r="C109" s="1108" t="s">
        <v>175</v>
      </c>
      <c r="D109" s="1109" t="s">
        <v>176</v>
      </c>
      <c r="E109" s="1110" t="s">
        <v>177</v>
      </c>
      <c r="F109" s="1111" t="s">
        <v>178</v>
      </c>
      <c r="G109" s="1112" t="s">
        <v>179</v>
      </c>
    </row>
    <row r="110" spans="1:8" s="271" customFormat="1" ht="18.75" customHeight="1">
      <c r="A110" s="333"/>
      <c r="B110" s="1113">
        <v>45348</v>
      </c>
      <c r="C110" s="1114" t="s">
        <v>14502</v>
      </c>
      <c r="D110" s="1115">
        <v>120</v>
      </c>
      <c r="E110" s="1367" t="s">
        <v>14503</v>
      </c>
      <c r="F110" s="1116" t="s">
        <v>14504</v>
      </c>
      <c r="G110" s="1117" t="s">
        <v>14505</v>
      </c>
      <c r="H110" s="675"/>
    </row>
    <row r="111" spans="1:8" s="271" customFormat="1" ht="18.75" customHeight="1">
      <c r="A111" s="333"/>
      <c r="B111" s="1113">
        <v>45261</v>
      </c>
      <c r="C111" s="1114" t="s">
        <v>14089</v>
      </c>
      <c r="D111" s="1115">
        <v>90</v>
      </c>
      <c r="E111" s="1192" t="s">
        <v>14091</v>
      </c>
      <c r="F111" s="1368" t="s">
        <v>14092</v>
      </c>
      <c r="G111" s="1117" t="s">
        <v>14090</v>
      </c>
      <c r="H111" s="675"/>
    </row>
    <row r="112" spans="1:8" s="271" customFormat="1" ht="18.75" customHeight="1">
      <c r="A112" s="333"/>
      <c r="B112" s="1113">
        <v>45348</v>
      </c>
      <c r="C112" s="1114" t="s">
        <v>14509</v>
      </c>
      <c r="D112" s="1115">
        <v>80</v>
      </c>
      <c r="E112" s="1192" t="s">
        <v>14091</v>
      </c>
      <c r="F112" s="1368" t="s">
        <v>14510</v>
      </c>
      <c r="G112" s="1117" t="s">
        <v>14511</v>
      </c>
      <c r="H112" s="675"/>
    </row>
    <row r="113" spans="1:8" s="271" customFormat="1" ht="21.75" customHeight="1" thickBot="1">
      <c r="A113" s="333"/>
      <c r="B113" s="1672"/>
      <c r="C113" s="1668" t="s">
        <v>180</v>
      </c>
      <c r="D113" s="1673">
        <f>IF(COUNT(D110:D112)=3,MEDIAN(D110:D112),SMALL(D110:D112,1))</f>
        <v>90</v>
      </c>
      <c r="E113" s="1674"/>
      <c r="F113" s="1675"/>
      <c r="G113" s="1671"/>
    </row>
    <row r="114" spans="1:8" s="271" customFormat="1" ht="21.75" customHeight="1" thickBot="1">
      <c r="A114" s="333"/>
      <c r="B114" s="308"/>
      <c r="C114" s="308"/>
      <c r="D114" s="308"/>
      <c r="E114" s="308"/>
      <c r="F114" s="1391"/>
      <c r="G114" s="1391"/>
    </row>
    <row r="115" spans="1:8" s="271" customFormat="1" ht="21.75" customHeight="1">
      <c r="A115" s="333"/>
      <c r="B115" s="1669" t="s">
        <v>5563</v>
      </c>
      <c r="C115" s="2164" t="s">
        <v>14412</v>
      </c>
      <c r="D115" s="2165"/>
      <c r="E115" s="2165"/>
      <c r="F115" s="2166"/>
      <c r="G115" s="1670" t="str">
        <f>G99</f>
        <v>UN</v>
      </c>
      <c r="H115" s="1173"/>
    </row>
    <row r="116" spans="1:8" s="271" customFormat="1" ht="29.25" customHeight="1">
      <c r="A116" s="333"/>
      <c r="B116" s="1107" t="s">
        <v>174</v>
      </c>
      <c r="C116" s="1108" t="s">
        <v>175</v>
      </c>
      <c r="D116" s="1109" t="s">
        <v>176</v>
      </c>
      <c r="E116" s="1110" t="s">
        <v>177</v>
      </c>
      <c r="F116" s="1111" t="s">
        <v>178</v>
      </c>
      <c r="G116" s="1112" t="s">
        <v>179</v>
      </c>
    </row>
    <row r="117" spans="1:8" s="271" customFormat="1" ht="17.25" customHeight="1">
      <c r="A117" s="333"/>
      <c r="B117" s="1113">
        <v>45371</v>
      </c>
      <c r="C117" s="1114" t="s">
        <v>14096</v>
      </c>
      <c r="D117" s="1115">
        <v>118.22</v>
      </c>
      <c r="E117" s="1367" t="s">
        <v>14097</v>
      </c>
      <c r="F117" s="1116" t="s">
        <v>14046</v>
      </c>
      <c r="G117" s="1117" t="s">
        <v>14046</v>
      </c>
      <c r="H117" s="675"/>
    </row>
    <row r="118" spans="1:8" s="271" customFormat="1" ht="17.25" customHeight="1">
      <c r="A118" s="333"/>
      <c r="B118" s="1113">
        <v>45371</v>
      </c>
      <c r="C118" s="1114" t="s">
        <v>14098</v>
      </c>
      <c r="D118" s="1115">
        <v>84.35</v>
      </c>
      <c r="E118" s="1192" t="s">
        <v>14099</v>
      </c>
      <c r="F118" s="1368" t="s">
        <v>14100</v>
      </c>
      <c r="G118" s="1117" t="s">
        <v>14046</v>
      </c>
      <c r="H118" s="675"/>
    </row>
    <row r="119" spans="1:8" s="271" customFormat="1" ht="17.25" customHeight="1">
      <c r="A119" s="333"/>
      <c r="B119" s="1113">
        <v>45371</v>
      </c>
      <c r="C119" s="1114" t="s">
        <v>14639</v>
      </c>
      <c r="D119" s="1115">
        <v>62.87</v>
      </c>
      <c r="E119" s="1192" t="s">
        <v>14640</v>
      </c>
      <c r="F119" s="1368" t="s">
        <v>14641</v>
      </c>
      <c r="G119" s="1117" t="s">
        <v>14046</v>
      </c>
      <c r="H119" s="675"/>
    </row>
    <row r="120" spans="1:8" s="271" customFormat="1" ht="21.75" customHeight="1" thickBot="1">
      <c r="A120" s="333"/>
      <c r="B120" s="1672"/>
      <c r="C120" s="1668" t="s">
        <v>180</v>
      </c>
      <c r="D120" s="1673">
        <f>IF(COUNT(D117:D119)=3,MEDIAN(D117:D119),SMALL(D117:D119,1))</f>
        <v>84.35</v>
      </c>
      <c r="E120" s="1674"/>
      <c r="F120" s="1675"/>
      <c r="G120" s="1671"/>
    </row>
    <row r="121" spans="1:8" ht="13.5" thickBot="1"/>
    <row r="122" spans="1:8" s="252" customFormat="1" ht="15.75">
      <c r="B122" s="377" t="str">
        <f>IF(COUNT($H$14:H122)&lt;10,CONCATENATE("CPU CIV 00",COUNT($H$14:H122)),CONCATENATE("CPU CIV 0",COUNT($H$14:H122)))</f>
        <v>CPU CIV 007</v>
      </c>
      <c r="C122" s="2180" t="s">
        <v>14102</v>
      </c>
      <c r="D122" s="2181"/>
      <c r="E122" s="2181"/>
      <c r="F122" s="2181"/>
      <c r="G122" s="602" t="s">
        <v>22</v>
      </c>
      <c r="H122" s="603">
        <f>G128</f>
        <v>1526.22</v>
      </c>
    </row>
    <row r="123" spans="1:8" s="252" customFormat="1" ht="31.5">
      <c r="B123" s="1093" t="s">
        <v>197</v>
      </c>
      <c r="C123" s="1094" t="s">
        <v>161</v>
      </c>
      <c r="D123" s="1094" t="s">
        <v>22</v>
      </c>
      <c r="E123" s="1094" t="s">
        <v>162</v>
      </c>
      <c r="F123" s="1095" t="s">
        <v>163</v>
      </c>
      <c r="G123" s="1096" t="s">
        <v>164</v>
      </c>
    </row>
    <row r="124" spans="1:8" s="252" customFormat="1" ht="15.75">
      <c r="B124" s="2177" t="s">
        <v>168</v>
      </c>
      <c r="C124" s="2178"/>
      <c r="D124" s="2178"/>
      <c r="E124" s="2178"/>
      <c r="F124" s="2178"/>
      <c r="G124" s="2179"/>
    </row>
    <row r="125" spans="1:8" s="252" customFormat="1" ht="15.75">
      <c r="A125" s="333" t="s">
        <v>390</v>
      </c>
      <c r="B125" s="1097" t="str">
        <f>B130</f>
        <v>COTAÇÃO - 01</v>
      </c>
      <c r="C125" s="1098" t="str">
        <f>C130</f>
        <v>QUADRO BRANCO COM MOLDURA (ONLINE)</v>
      </c>
      <c r="D125" s="1178" t="str">
        <f>G130</f>
        <v>UN</v>
      </c>
      <c r="E125" s="1231">
        <v>1</v>
      </c>
      <c r="F125" s="1102">
        <f>D135</f>
        <v>1489.65</v>
      </c>
      <c r="G125" s="1101">
        <f>TRUNC(E125*F125,2)</f>
        <v>1489.65</v>
      </c>
    </row>
    <row r="126" spans="1:8" s="252" customFormat="1" ht="15.75">
      <c r="B126" s="2177" t="s">
        <v>169</v>
      </c>
      <c r="C126" s="2178"/>
      <c r="D126" s="2178"/>
      <c r="E126" s="2178"/>
      <c r="F126" s="2178"/>
      <c r="G126" s="2179"/>
    </row>
    <row r="127" spans="1:8" s="252" customFormat="1" ht="16.5" thickBot="1">
      <c r="A127" s="333" t="s">
        <v>391</v>
      </c>
      <c r="B127" s="1607">
        <v>88316</v>
      </c>
      <c r="C127" s="1522" t="str">
        <f>IF($A127="INSUMO",VLOOKUP($B127,'BANCO DE DADOS JANEIRO-24 INS'!$A:$D,2,FALSE),VLOOKUP($B127,'BANCO DE DADOS JANEIRO-24 SERV'!$B:$E,2,FALSE))</f>
        <v>SERVENTE COM ENCARGOS COMPLEMENTARES</v>
      </c>
      <c r="D127" s="1521" t="str">
        <f>IF($A127="INSUMO",VLOOKUP($B127,'BANCO DE DADOS JANEIRO-24 INS'!$A:$D,3,FALSE),VLOOKUP($B127,'BANCO DE DADOS JANEIRO-24 SERV'!$B:$E,3,FALSE))</f>
        <v>H</v>
      </c>
      <c r="E127" s="1618">
        <v>1.8</v>
      </c>
      <c r="F127" s="1528">
        <f>IF($A127="INSUMO",VLOOKUP($B127,'BANCO DE DADOS JANEIRO-24 INS'!$A:$D,4,FALSE),VLOOKUP($B127,'BANCO DE DADOS JANEIRO-24 SERV'!$B:$E,4,FALSE))</f>
        <v>20.32</v>
      </c>
      <c r="G127" s="1582">
        <f>TRUNC(E127*F127,2)</f>
        <v>36.57</v>
      </c>
    </row>
    <row r="128" spans="1:8" s="252" customFormat="1" ht="16.5" thickBot="1">
      <c r="B128" s="2172" t="s">
        <v>14112</v>
      </c>
      <c r="C128" s="2173"/>
      <c r="D128" s="303"/>
      <c r="E128" s="304"/>
      <c r="F128" s="263" t="s">
        <v>170</v>
      </c>
      <c r="G128" s="264">
        <f>TRUNC(SUM(G125:G127),2)</f>
        <v>1526.22</v>
      </c>
    </row>
    <row r="129" spans="1:8" s="265" customFormat="1" ht="13.5" thickBot="1">
      <c r="B129" s="359"/>
      <c r="C129" s="359"/>
      <c r="D129" s="360"/>
      <c r="E129" s="361"/>
      <c r="F129" s="362"/>
      <c r="G129" s="363"/>
    </row>
    <row r="130" spans="1:8" s="271" customFormat="1" ht="18">
      <c r="A130" s="333"/>
      <c r="B130" s="1669" t="s">
        <v>5562</v>
      </c>
      <c r="C130" s="2164" t="s">
        <v>14416</v>
      </c>
      <c r="D130" s="2165"/>
      <c r="E130" s="2165"/>
      <c r="F130" s="2166"/>
      <c r="G130" s="1670" t="str">
        <f>G122</f>
        <v>UN</v>
      </c>
      <c r="H130" s="1173"/>
    </row>
    <row r="131" spans="1:8" s="271" customFormat="1" ht="31.5">
      <c r="A131" s="333"/>
      <c r="B131" s="1524" t="s">
        <v>174</v>
      </c>
      <c r="C131" s="1533" t="s">
        <v>175</v>
      </c>
      <c r="D131" s="1529" t="s">
        <v>176</v>
      </c>
      <c r="E131" s="1530" t="s">
        <v>177</v>
      </c>
      <c r="F131" s="1531" t="s">
        <v>178</v>
      </c>
      <c r="G131" s="1532" t="s">
        <v>179</v>
      </c>
    </row>
    <row r="132" spans="1:8" s="271" customFormat="1" ht="15.75">
      <c r="A132" s="333"/>
      <c r="B132" s="1113">
        <v>45370</v>
      </c>
      <c r="C132" s="1114" t="s">
        <v>14103</v>
      </c>
      <c r="D132" s="1115">
        <v>1489.65</v>
      </c>
      <c r="E132" s="1367" t="s">
        <v>14104</v>
      </c>
      <c r="F132" s="1874" t="s">
        <v>14105</v>
      </c>
      <c r="G132" s="1117"/>
      <c r="H132" s="675"/>
    </row>
    <row r="133" spans="1:8" s="271" customFormat="1" ht="15.75">
      <c r="A133" s="333"/>
      <c r="B133" s="1113">
        <v>45370</v>
      </c>
      <c r="C133" s="1114" t="s">
        <v>14106</v>
      </c>
      <c r="D133" s="1115">
        <v>1499.96</v>
      </c>
      <c r="E133" s="1192" t="s">
        <v>14107</v>
      </c>
      <c r="F133" s="1874" t="s">
        <v>14108</v>
      </c>
      <c r="G133" s="1117"/>
      <c r="H133" s="675"/>
    </row>
    <row r="134" spans="1:8" s="271" customFormat="1" ht="15.75">
      <c r="A134" s="333"/>
      <c r="B134" s="1113">
        <v>45370</v>
      </c>
      <c r="C134" s="1114" t="s">
        <v>14109</v>
      </c>
      <c r="D134" s="1115">
        <v>1035.8399999999999</v>
      </c>
      <c r="E134" s="1192" t="s">
        <v>14110</v>
      </c>
      <c r="F134" s="1874" t="s">
        <v>14111</v>
      </c>
      <c r="G134" s="1117"/>
      <c r="H134" s="675"/>
    </row>
    <row r="135" spans="1:8" s="271" customFormat="1" ht="16.5" thickBot="1">
      <c r="A135" s="333"/>
      <c r="B135" s="1678"/>
      <c r="C135" s="1679" t="s">
        <v>180</v>
      </c>
      <c r="D135" s="1680">
        <f>IF(COUNT(D132:D134)=3,MEDIAN(D132:D134),SMALL(D132:D134,1))</f>
        <v>1489.65</v>
      </c>
      <c r="E135" s="1681"/>
      <c r="F135" s="1683"/>
      <c r="G135" s="1682"/>
    </row>
    <row r="136" spans="1:8" s="252" customFormat="1" ht="16.5" thickBot="1">
      <c r="B136" s="601"/>
      <c r="C136" s="601"/>
      <c r="D136" s="300"/>
      <c r="E136" s="257"/>
      <c r="F136" s="301"/>
      <c r="G136" s="302"/>
    </row>
    <row r="137" spans="1:8" s="252" customFormat="1" ht="15.75">
      <c r="B137" s="377" t="str">
        <f>IF(COUNT($H$14:H137)&lt;10,CONCATENATE("CPU CIV 00",COUNT($H$14:H137)),CONCATENATE("CPU CIV 0",COUNT($H$14:H137)))</f>
        <v>CPU CIV 008</v>
      </c>
      <c r="C137" s="2180" t="s">
        <v>14431</v>
      </c>
      <c r="D137" s="2181"/>
      <c r="E137" s="2181"/>
      <c r="F137" s="2181"/>
      <c r="G137" s="602" t="s">
        <v>21</v>
      </c>
      <c r="H137" s="603">
        <f>G143</f>
        <v>152.57</v>
      </c>
    </row>
    <row r="138" spans="1:8" s="252" customFormat="1" ht="31.5">
      <c r="B138" s="1093" t="s">
        <v>197</v>
      </c>
      <c r="C138" s="1094" t="s">
        <v>161</v>
      </c>
      <c r="D138" s="1094" t="s">
        <v>22</v>
      </c>
      <c r="E138" s="1094" t="s">
        <v>162</v>
      </c>
      <c r="F138" s="1095" t="s">
        <v>163</v>
      </c>
      <c r="G138" s="1096" t="s">
        <v>164</v>
      </c>
    </row>
    <row r="139" spans="1:8" s="252" customFormat="1" ht="15.75">
      <c r="B139" s="2177" t="s">
        <v>168</v>
      </c>
      <c r="C139" s="2178"/>
      <c r="D139" s="2178"/>
      <c r="E139" s="2178"/>
      <c r="F139" s="2178"/>
      <c r="G139" s="2179"/>
    </row>
    <row r="140" spans="1:8" s="252" customFormat="1" ht="15.75">
      <c r="A140" s="333" t="s">
        <v>390</v>
      </c>
      <c r="B140" s="1097" t="str">
        <f>B145</f>
        <v>COTAÇÃO - 01</v>
      </c>
      <c r="C140" s="1098" t="s">
        <v>14432</v>
      </c>
      <c r="D140" s="1178" t="str">
        <f>G145</f>
        <v>M</v>
      </c>
      <c r="E140" s="1231">
        <v>1</v>
      </c>
      <c r="F140" s="320">
        <f>D150</f>
        <v>145.9</v>
      </c>
      <c r="G140" s="1101">
        <f>TRUNC(E140*F140,2)</f>
        <v>145.9</v>
      </c>
    </row>
    <row r="141" spans="1:8" s="252" customFormat="1" ht="15.75">
      <c r="B141" s="2177" t="s">
        <v>169</v>
      </c>
      <c r="C141" s="2178"/>
      <c r="D141" s="2178"/>
      <c r="E141" s="2178"/>
      <c r="F141" s="2178"/>
      <c r="G141" s="2179"/>
    </row>
    <row r="142" spans="1:8" s="252" customFormat="1" ht="16.5" thickBot="1">
      <c r="A142" s="333" t="s">
        <v>391</v>
      </c>
      <c r="B142" s="1607">
        <v>88264</v>
      </c>
      <c r="C142" s="1522" t="str">
        <f>IF($A142="INSUMO",VLOOKUP($B142,'BANCO DE DADOS JANEIRO-24 INS'!$A:$D,2,FALSE),VLOOKUP($B142,'BANCO DE DADOS JANEIRO-24 SERV'!$B:$E,2,FALSE))</f>
        <v>ELETRICISTA COM ENCARGOS COMPLEMENTARES</v>
      </c>
      <c r="D142" s="1521" t="str">
        <f>IF($A142="INSUMO",VLOOKUP($B142,'BANCO DE DADOS JANEIRO-24 INS'!$A:$D,3,FALSE),VLOOKUP($B142,'BANCO DE DADOS JANEIRO-24 SERV'!$B:$E,3,FALSE))</f>
        <v>H</v>
      </c>
      <c r="E142" s="1618">
        <v>0.25</v>
      </c>
      <c r="F142" s="1528">
        <f>IF($A142="INSUMO",VLOOKUP($B142,'BANCO DE DADOS JANEIRO-24 INS'!$A:$D,4,FALSE),VLOOKUP($B142,'BANCO DE DADOS JANEIRO-24 SERV'!$B:$E,4,FALSE))</f>
        <v>26.68</v>
      </c>
      <c r="G142" s="1582">
        <f>TRUNC(E142*F142,2)</f>
        <v>6.67</v>
      </c>
    </row>
    <row r="143" spans="1:8" s="252" customFormat="1" ht="16.5" thickBot="1">
      <c r="B143" s="2172" t="s">
        <v>14434</v>
      </c>
      <c r="C143" s="2173"/>
      <c r="D143" s="303"/>
      <c r="E143" s="304"/>
      <c r="F143" s="263" t="s">
        <v>170</v>
      </c>
      <c r="G143" s="264">
        <f>TRUNC(SUM(G140:G142),2)</f>
        <v>152.57</v>
      </c>
    </row>
    <row r="144" spans="1:8" s="265" customFormat="1" ht="13.5" thickBot="1">
      <c r="B144" s="359"/>
      <c r="C144" s="359"/>
      <c r="D144" s="360"/>
      <c r="E144" s="361"/>
      <c r="F144" s="362"/>
      <c r="G144" s="363"/>
    </row>
    <row r="145" spans="1:8" s="271" customFormat="1" ht="18">
      <c r="A145" s="333"/>
      <c r="B145" s="1669" t="s">
        <v>5562</v>
      </c>
      <c r="C145" s="2164" t="s">
        <v>14433</v>
      </c>
      <c r="D145" s="2165"/>
      <c r="E145" s="2165"/>
      <c r="F145" s="2166"/>
      <c r="G145" s="1670" t="str">
        <f>G137</f>
        <v>M</v>
      </c>
      <c r="H145" s="1173"/>
    </row>
    <row r="146" spans="1:8" s="271" customFormat="1" ht="31.5">
      <c r="A146" s="333"/>
      <c r="B146" s="1524" t="s">
        <v>174</v>
      </c>
      <c r="C146" s="1533" t="s">
        <v>175</v>
      </c>
      <c r="D146" s="1529" t="s">
        <v>176</v>
      </c>
      <c r="E146" s="1530" t="s">
        <v>177</v>
      </c>
      <c r="F146" s="1531" t="s">
        <v>14488</v>
      </c>
      <c r="G146" s="1532" t="s">
        <v>179</v>
      </c>
    </row>
    <row r="147" spans="1:8" s="271" customFormat="1" ht="15.75">
      <c r="A147" s="333"/>
      <c r="B147" s="1113">
        <v>45345</v>
      </c>
      <c r="C147" s="1114" t="s">
        <v>14495</v>
      </c>
      <c r="D147" s="1115">
        <v>166</v>
      </c>
      <c r="E147" s="1367" t="s">
        <v>14496</v>
      </c>
      <c r="F147" s="1874">
        <f>D147/2</f>
        <v>83</v>
      </c>
      <c r="G147" s="1117"/>
      <c r="H147" s="675"/>
    </row>
    <row r="148" spans="1:8" s="271" customFormat="1" ht="15.75">
      <c r="A148" s="333"/>
      <c r="B148" s="1113">
        <v>45345</v>
      </c>
      <c r="C148" s="1114" t="s">
        <v>14490</v>
      </c>
      <c r="D148" s="1115">
        <v>138</v>
      </c>
      <c r="E148" s="1192" t="s">
        <v>14492</v>
      </c>
      <c r="F148" s="1874">
        <f>D148/2</f>
        <v>69</v>
      </c>
      <c r="G148" s="1117"/>
      <c r="H148" s="675"/>
    </row>
    <row r="149" spans="1:8" s="271" customFormat="1" ht="15.75">
      <c r="A149" s="333"/>
      <c r="B149" s="1113">
        <v>45345</v>
      </c>
      <c r="C149" s="1114" t="s">
        <v>14491</v>
      </c>
      <c r="D149" s="1115">
        <v>145.9</v>
      </c>
      <c r="E149" s="1192" t="s">
        <v>14494</v>
      </c>
      <c r="F149" s="1874">
        <f>D149/2</f>
        <v>72.95</v>
      </c>
      <c r="G149" s="1117" t="s">
        <v>14493</v>
      </c>
      <c r="H149" s="675"/>
    </row>
    <row r="150" spans="1:8" s="271" customFormat="1" ht="16.5" thickBot="1">
      <c r="A150" s="333"/>
      <c r="B150" s="1678"/>
      <c r="C150" s="1679" t="s">
        <v>180</v>
      </c>
      <c r="D150" s="1680">
        <f>IF(COUNT(D147:D149)=3,MEDIAN(D147:D149),SMALL(D147:D149,1))</f>
        <v>145.9</v>
      </c>
      <c r="E150" s="1681"/>
      <c r="F150" s="1680">
        <f>IF(COUNT(F147:F149)=3,MEDIAN(F147:F149),SMALL(F147:F149,1))</f>
        <v>72.95</v>
      </c>
      <c r="G150" s="1682"/>
    </row>
    <row r="151" spans="1:8" ht="12" customHeight="1" thickBot="1"/>
    <row r="152" spans="1:8" s="252" customFormat="1" ht="15.75">
      <c r="B152" s="377" t="str">
        <f>IF(COUNT($H$14:H152)&lt;10,CONCATENATE("CPU CIV 00",COUNT($H$14:H152)),CONCATENATE("CPU CIV 0",COUNT($H$14:H152)))</f>
        <v>CPU CIV 009</v>
      </c>
      <c r="C152" s="2180" t="s">
        <v>14436</v>
      </c>
      <c r="D152" s="2181"/>
      <c r="E152" s="2181"/>
      <c r="F152" s="2181"/>
      <c r="G152" s="602" t="s">
        <v>22</v>
      </c>
      <c r="H152" s="603">
        <f>G159</f>
        <v>57.96</v>
      </c>
    </row>
    <row r="153" spans="1:8" s="252" customFormat="1" ht="31.5">
      <c r="B153" s="1868" t="s">
        <v>197</v>
      </c>
      <c r="C153" s="1869" t="s">
        <v>161</v>
      </c>
      <c r="D153" s="1869" t="s">
        <v>22</v>
      </c>
      <c r="E153" s="1869" t="s">
        <v>162</v>
      </c>
      <c r="F153" s="1870" t="s">
        <v>163</v>
      </c>
      <c r="G153" s="1871" t="s">
        <v>164</v>
      </c>
    </row>
    <row r="154" spans="1:8" s="252" customFormat="1" ht="15.75">
      <c r="B154" s="2169" t="s">
        <v>168</v>
      </c>
      <c r="C154" s="2170"/>
      <c r="D154" s="2170"/>
      <c r="E154" s="2170"/>
      <c r="F154" s="2170"/>
      <c r="G154" s="2171"/>
    </row>
    <row r="155" spans="1:8" s="252" customFormat="1" ht="15.75">
      <c r="A155" s="333" t="s">
        <v>390</v>
      </c>
      <c r="B155" s="1872" t="str">
        <f>B161</f>
        <v>COTAÇÃO - 01</v>
      </c>
      <c r="C155" s="1857" t="str">
        <f>C161</f>
        <v>CABO HDMI 2.0 BLINDADO - 2,0 M</v>
      </c>
      <c r="D155" s="1866" t="str">
        <f>G161</f>
        <v>UN</v>
      </c>
      <c r="E155" s="1859">
        <v>1</v>
      </c>
      <c r="F155" s="1867">
        <f>D166</f>
        <v>56.51</v>
      </c>
      <c r="G155" s="1873">
        <f>TRUNC(E155*F155,2)</f>
        <v>56.51</v>
      </c>
    </row>
    <row r="156" spans="1:8" s="252" customFormat="1" ht="15.75">
      <c r="B156" s="2169" t="s">
        <v>169</v>
      </c>
      <c r="C156" s="2170"/>
      <c r="D156" s="2170"/>
      <c r="E156" s="2170"/>
      <c r="F156" s="2170"/>
      <c r="G156" s="2171"/>
    </row>
    <row r="157" spans="1:8" s="252" customFormat="1" ht="15.75">
      <c r="A157" s="333" t="s">
        <v>391</v>
      </c>
      <c r="B157" s="1872">
        <v>88247</v>
      </c>
      <c r="C157" s="1857" t="str">
        <f>IF($A157="INSUMO",VLOOKUP($B157,'BANCO DE DADOS JANEIRO-24 INS'!$A:$D,2,FALSE),VLOOKUP($B157,'BANCO DE DADOS JANEIRO-24 SERV'!$B:$E,2,FALSE))</f>
        <v>AUXILIAR DE ELETRICISTA COM ENCARGOS COMPLEMENTARES</v>
      </c>
      <c r="D157" s="1858" t="str">
        <f>IF($A157="INSUMO",VLOOKUP($B157,'BANCO DE DADOS JANEIRO-24 INS'!$A:$D,3,FALSE),VLOOKUP($B157,'BANCO DE DADOS JANEIRO-24 SERV'!$B:$E,3,FALSE))</f>
        <v>H</v>
      </c>
      <c r="E157" s="1859">
        <v>0.03</v>
      </c>
      <c r="F157" s="1860">
        <f>IF($A157="INSUMO",VLOOKUP($B157,'BANCO DE DADOS JANEIRO-24 INS'!$A:$D,4,FALSE),VLOOKUP($B157,'BANCO DE DADOS JANEIRO-24 SERV'!$B:$E,4,FALSE))</f>
        <v>21.96</v>
      </c>
      <c r="G157" s="1873">
        <f>TRUNC(E157*F157,2)</f>
        <v>0.65</v>
      </c>
    </row>
    <row r="158" spans="1:8" s="252" customFormat="1" ht="16.5" thickBot="1">
      <c r="A158" s="333" t="s">
        <v>391</v>
      </c>
      <c r="B158" s="756">
        <v>88264</v>
      </c>
      <c r="C158" s="1861" t="str">
        <f>IF($A158="INSUMO",VLOOKUP($B158,'BANCO DE DADOS JANEIRO-24 INS'!$A:$D,2,FALSE),VLOOKUP($B158,'BANCO DE DADOS JANEIRO-24 SERV'!$B:$E,2,FALSE))</f>
        <v>ELETRICISTA COM ENCARGOS COMPLEMENTARES</v>
      </c>
      <c r="D158" s="1862" t="str">
        <f>IF($A158="INSUMO",VLOOKUP($B158,'BANCO DE DADOS JANEIRO-24 INS'!$A:$D,3,FALSE),VLOOKUP($B158,'BANCO DE DADOS JANEIRO-24 SERV'!$B:$E,3,FALSE))</f>
        <v>H</v>
      </c>
      <c r="E158" s="1863">
        <v>0.03</v>
      </c>
      <c r="F158" s="1864">
        <f>IF($A158="INSUMO",VLOOKUP($B158,'BANCO DE DADOS JANEIRO-24 INS'!$A:$D,4,FALSE),VLOOKUP($B158,'BANCO DE DADOS JANEIRO-24 SERV'!$B:$E,4,FALSE))</f>
        <v>26.68</v>
      </c>
      <c r="G158" s="1865">
        <f>TRUNC(E158*F158,2)</f>
        <v>0.8</v>
      </c>
    </row>
    <row r="159" spans="1:8" s="252" customFormat="1" ht="16.5" thickBot="1">
      <c r="B159" s="2172" t="s">
        <v>14447</v>
      </c>
      <c r="C159" s="2173"/>
      <c r="D159" s="303"/>
      <c r="E159" s="304"/>
      <c r="F159" s="263" t="s">
        <v>170</v>
      </c>
      <c r="G159" s="264">
        <f>TRUNC(SUM(G155:G158),2)</f>
        <v>57.96</v>
      </c>
    </row>
    <row r="160" spans="1:8" s="265" customFormat="1" ht="13.5" thickBot="1">
      <c r="B160" s="359"/>
      <c r="C160" s="359"/>
      <c r="D160" s="360"/>
      <c r="E160" s="361"/>
      <c r="F160" s="362"/>
      <c r="G160" s="363"/>
    </row>
    <row r="161" spans="1:8" s="271" customFormat="1" ht="18">
      <c r="A161" s="333"/>
      <c r="B161" s="1669" t="s">
        <v>5562</v>
      </c>
      <c r="C161" s="2164" t="s">
        <v>14435</v>
      </c>
      <c r="D161" s="2165"/>
      <c r="E161" s="2165"/>
      <c r="F161" s="2166"/>
      <c r="G161" s="1670" t="str">
        <f>G152</f>
        <v>UN</v>
      </c>
      <c r="H161" s="1173"/>
    </row>
    <row r="162" spans="1:8" s="271" customFormat="1" ht="31.5">
      <c r="A162" s="333"/>
      <c r="B162" s="1524" t="s">
        <v>174</v>
      </c>
      <c r="C162" s="1533" t="s">
        <v>175</v>
      </c>
      <c r="D162" s="1529" t="s">
        <v>176</v>
      </c>
      <c r="E162" s="1530" t="s">
        <v>177</v>
      </c>
      <c r="F162" s="1531"/>
      <c r="G162" s="1532" t="s">
        <v>179</v>
      </c>
    </row>
    <row r="163" spans="1:8" s="271" customFormat="1" ht="15.75">
      <c r="A163" s="333"/>
      <c r="B163" s="1113">
        <v>45231</v>
      </c>
      <c r="C163" s="1114" t="s">
        <v>14437</v>
      </c>
      <c r="D163" s="1115">
        <v>56.51</v>
      </c>
      <c r="E163" s="1367" t="s">
        <v>14438</v>
      </c>
      <c r="F163" s="1874"/>
      <c r="G163" s="1117"/>
      <c r="H163" s="675"/>
    </row>
    <row r="164" spans="1:8" s="271" customFormat="1" ht="15.75">
      <c r="A164" s="333"/>
      <c r="B164" s="1113">
        <v>45348</v>
      </c>
      <c r="C164" s="1114" t="s">
        <v>14497</v>
      </c>
      <c r="D164" s="1115">
        <v>23.75</v>
      </c>
      <c r="E164" s="1192" t="s">
        <v>14498</v>
      </c>
      <c r="F164" s="1874"/>
      <c r="G164" s="1117" t="s">
        <v>14499</v>
      </c>
      <c r="H164" s="675"/>
    </row>
    <row r="165" spans="1:8" s="271" customFormat="1" ht="15.75">
      <c r="A165" s="333"/>
      <c r="B165" s="1113">
        <v>45231</v>
      </c>
      <c r="C165" s="1114" t="s">
        <v>14439</v>
      </c>
      <c r="D165" s="1115">
        <v>59.59</v>
      </c>
      <c r="E165" s="1192" t="s">
        <v>14440</v>
      </c>
      <c r="F165" s="1874"/>
      <c r="G165" s="1117"/>
      <c r="H165" s="675"/>
    </row>
    <row r="166" spans="1:8" s="271" customFormat="1" ht="16.5" thickBot="1">
      <c r="A166" s="333"/>
      <c r="B166" s="1678"/>
      <c r="C166" s="1679" t="s">
        <v>180</v>
      </c>
      <c r="D166" s="1680">
        <f>IF(COUNT(D163:D165)=3,MEDIAN(D163:D165),SMALL(D163:D165,1))</f>
        <v>56.51</v>
      </c>
      <c r="E166" s="1681"/>
      <c r="F166" s="1680"/>
      <c r="G166" s="1682"/>
    </row>
    <row r="167" spans="1:8" ht="13.5" thickBot="1"/>
    <row r="168" spans="1:8" s="252" customFormat="1" ht="15.75">
      <c r="B168" s="377" t="str">
        <f>IF(COUNT($H$14:H168)&lt;10,CONCATENATE("CPU CIV 00",COUNT($H$14:H168)),CONCATENATE("CPU CIV 0",COUNT($H$14:H168)))</f>
        <v>CPU CIV 010</v>
      </c>
      <c r="C168" s="2180" t="s">
        <v>14442</v>
      </c>
      <c r="D168" s="2181"/>
      <c r="E168" s="2181"/>
      <c r="F168" s="2181"/>
      <c r="G168" s="602" t="s">
        <v>21</v>
      </c>
      <c r="H168" s="603">
        <f>G174</f>
        <v>22.26</v>
      </c>
    </row>
    <row r="169" spans="1:8" s="252" customFormat="1" ht="31.5">
      <c r="B169" s="1868" t="s">
        <v>197</v>
      </c>
      <c r="C169" s="1869" t="s">
        <v>161</v>
      </c>
      <c r="D169" s="1869" t="s">
        <v>22</v>
      </c>
      <c r="E169" s="1869" t="s">
        <v>162</v>
      </c>
      <c r="F169" s="1870" t="s">
        <v>163</v>
      </c>
      <c r="G169" s="1871" t="s">
        <v>164</v>
      </c>
    </row>
    <row r="170" spans="1:8" s="252" customFormat="1" ht="15.75">
      <c r="B170" s="2169" t="s">
        <v>168</v>
      </c>
      <c r="C170" s="2170"/>
      <c r="D170" s="2170"/>
      <c r="E170" s="2170"/>
      <c r="F170" s="2170"/>
      <c r="G170" s="2171"/>
    </row>
    <row r="171" spans="1:8" s="252" customFormat="1" ht="15.75">
      <c r="A171" s="333" t="s">
        <v>390</v>
      </c>
      <c r="B171" s="1872" t="str">
        <f>B176</f>
        <v>COTAÇÃO - 01</v>
      </c>
      <c r="C171" s="1857" t="str">
        <f>C176</f>
        <v>CABO USB 2.0 MACHO- 2,0 M</v>
      </c>
      <c r="D171" s="1866" t="str">
        <f>G176</f>
        <v>M</v>
      </c>
      <c r="E171" s="1859">
        <v>1</v>
      </c>
      <c r="F171" s="1867">
        <f>F181</f>
        <v>15.59</v>
      </c>
      <c r="G171" s="1873">
        <f>TRUNC(E171*F171,2)</f>
        <v>15.59</v>
      </c>
    </row>
    <row r="172" spans="1:8" s="252" customFormat="1" ht="15.75">
      <c r="B172" s="2169" t="s">
        <v>169</v>
      </c>
      <c r="C172" s="2170"/>
      <c r="D172" s="2170"/>
      <c r="E172" s="2170"/>
      <c r="F172" s="2170"/>
      <c r="G172" s="2171"/>
    </row>
    <row r="173" spans="1:8" s="252" customFormat="1" ht="16.5" thickBot="1">
      <c r="A173" s="333" t="s">
        <v>391</v>
      </c>
      <c r="B173" s="756">
        <v>88264</v>
      </c>
      <c r="C173" s="1861" t="str">
        <f>IF($A173="INSUMO",VLOOKUP($B173,'BANCO DE DADOS JANEIRO-24 INS'!$A:$D,2,FALSE),VLOOKUP($B173,'BANCO DE DADOS JANEIRO-24 SERV'!$B:$E,2,FALSE))</f>
        <v>ELETRICISTA COM ENCARGOS COMPLEMENTARES</v>
      </c>
      <c r="D173" s="1862" t="str">
        <f>IF($A173="INSUMO",VLOOKUP($B173,'BANCO DE DADOS JANEIRO-24 INS'!$A:$D,3,FALSE),VLOOKUP($B173,'BANCO DE DADOS JANEIRO-24 SERV'!$B:$E,3,FALSE))</f>
        <v>H</v>
      </c>
      <c r="E173" s="1863">
        <v>0.25</v>
      </c>
      <c r="F173" s="1864">
        <f>IF($A173="INSUMO",VLOOKUP($B173,'BANCO DE DADOS JANEIRO-24 INS'!$A:$D,4,FALSE),VLOOKUP($B173,'BANCO DE DADOS JANEIRO-24 SERV'!$B:$E,4,FALSE))</f>
        <v>26.68</v>
      </c>
      <c r="G173" s="1865">
        <f>TRUNC(E173*F173,2)</f>
        <v>6.67</v>
      </c>
    </row>
    <row r="174" spans="1:8" s="252" customFormat="1" ht="16.5" thickBot="1">
      <c r="B174" s="2172" t="s">
        <v>14434</v>
      </c>
      <c r="C174" s="2173"/>
      <c r="D174" s="303"/>
      <c r="E174" s="304"/>
      <c r="F174" s="263" t="s">
        <v>170</v>
      </c>
      <c r="G174" s="264">
        <f>TRUNC(SUM(G171:G173),2)</f>
        <v>22.26</v>
      </c>
    </row>
    <row r="175" spans="1:8" s="265" customFormat="1" ht="13.5" thickBot="1">
      <c r="B175" s="359"/>
      <c r="C175" s="359"/>
      <c r="D175" s="360"/>
      <c r="E175" s="361"/>
      <c r="F175" s="362"/>
      <c r="G175" s="363"/>
    </row>
    <row r="176" spans="1:8" s="271" customFormat="1" ht="18">
      <c r="A176" s="333"/>
      <c r="B176" s="1669" t="s">
        <v>5562</v>
      </c>
      <c r="C176" s="2164" t="s">
        <v>14441</v>
      </c>
      <c r="D176" s="2165"/>
      <c r="E176" s="2165"/>
      <c r="F176" s="2166"/>
      <c r="G176" s="1670" t="str">
        <f>G168</f>
        <v>M</v>
      </c>
      <c r="H176" s="1173"/>
    </row>
    <row r="177" spans="1:8" s="271" customFormat="1" ht="31.5">
      <c r="A177" s="333"/>
      <c r="B177" s="1524" t="s">
        <v>174</v>
      </c>
      <c r="C177" s="1533" t="s">
        <v>175</v>
      </c>
      <c r="D177" s="1529" t="s">
        <v>176</v>
      </c>
      <c r="E177" s="1530" t="s">
        <v>177</v>
      </c>
      <c r="F177" s="1531" t="s">
        <v>14488</v>
      </c>
      <c r="G177" s="1532" t="s">
        <v>179</v>
      </c>
    </row>
    <row r="178" spans="1:8" s="271" customFormat="1" ht="15.75">
      <c r="A178" s="333"/>
      <c r="B178" s="1113">
        <v>45231</v>
      </c>
      <c r="C178" s="1114" t="s">
        <v>14443</v>
      </c>
      <c r="D178" s="1115">
        <v>31.18</v>
      </c>
      <c r="E178" s="1367" t="s">
        <v>14444</v>
      </c>
      <c r="F178" s="1874">
        <f>D178/2</f>
        <v>15.59</v>
      </c>
      <c r="G178" s="1117"/>
      <c r="H178" s="675"/>
    </row>
    <row r="179" spans="1:8" s="271" customFormat="1" ht="15.75">
      <c r="A179" s="333"/>
      <c r="B179" s="1113">
        <v>45348</v>
      </c>
      <c r="C179" s="1114" t="s">
        <v>14500</v>
      </c>
      <c r="D179" s="1115">
        <v>9.41</v>
      </c>
      <c r="E179" s="1192" t="s">
        <v>14501</v>
      </c>
      <c r="F179" s="1874">
        <f>D179/2</f>
        <v>4.7050000000000001</v>
      </c>
      <c r="G179" s="1117"/>
      <c r="H179" s="675"/>
    </row>
    <row r="180" spans="1:8" s="271" customFormat="1" ht="15.75">
      <c r="A180" s="333"/>
      <c r="B180" s="1113">
        <v>45231</v>
      </c>
      <c r="C180" s="1114" t="s">
        <v>14445</v>
      </c>
      <c r="D180" s="1115">
        <v>31.66</v>
      </c>
      <c r="E180" s="1192" t="s">
        <v>14446</v>
      </c>
      <c r="F180" s="1874">
        <f>D180/2</f>
        <v>15.83</v>
      </c>
      <c r="G180" s="1117"/>
      <c r="H180" s="675"/>
    </row>
    <row r="181" spans="1:8" s="271" customFormat="1" ht="16.5" thickBot="1">
      <c r="A181" s="333"/>
      <c r="B181" s="1678"/>
      <c r="C181" s="1679" t="s">
        <v>180</v>
      </c>
      <c r="D181" s="1680">
        <f>IF(COUNT(D178:D180)=3,MEDIAN(D178:D180),SMALL(D178:D180,1))</f>
        <v>31.18</v>
      </c>
      <c r="E181" s="1681"/>
      <c r="F181" s="1680">
        <f>IF(COUNT(F178:F180)=3,MEDIAN(F178:F180),SMALL(F178:F180,1))</f>
        <v>15.59</v>
      </c>
      <c r="G181" s="1682"/>
    </row>
    <row r="182" spans="1:8" ht="13.5" thickBot="1"/>
    <row r="183" spans="1:8" s="252" customFormat="1" ht="15.75">
      <c r="B183" s="377" t="str">
        <f>IF(COUNT($H$14:H183)&lt;10,CONCATENATE("CPU CIV 00",COUNT($H$14:H183)),CONCATENATE("CPU CIV 0",COUNT($H$14:H183)))</f>
        <v>CPU CIV 011</v>
      </c>
      <c r="C183" s="2180" t="s">
        <v>14449</v>
      </c>
      <c r="D183" s="2181"/>
      <c r="E183" s="2181"/>
      <c r="F183" s="2181"/>
      <c r="G183" s="602" t="s">
        <v>22</v>
      </c>
      <c r="H183" s="603">
        <f>G189</f>
        <v>35.06</v>
      </c>
    </row>
    <row r="184" spans="1:8" s="252" customFormat="1" ht="31.5">
      <c r="B184" s="1868" t="s">
        <v>197</v>
      </c>
      <c r="C184" s="1869" t="s">
        <v>161</v>
      </c>
      <c r="D184" s="1869" t="s">
        <v>22</v>
      </c>
      <c r="E184" s="1869" t="s">
        <v>162</v>
      </c>
      <c r="F184" s="1870" t="s">
        <v>163</v>
      </c>
      <c r="G184" s="1871" t="s">
        <v>164</v>
      </c>
    </row>
    <row r="185" spans="1:8" s="252" customFormat="1" ht="15.75">
      <c r="B185" s="2169" t="s">
        <v>168</v>
      </c>
      <c r="C185" s="2170"/>
      <c r="D185" s="2170"/>
      <c r="E185" s="2170"/>
      <c r="F185" s="2170"/>
      <c r="G185" s="2171"/>
    </row>
    <row r="186" spans="1:8" s="252" customFormat="1" ht="15.75">
      <c r="A186" s="333" t="s">
        <v>390</v>
      </c>
      <c r="B186" s="1872" t="str">
        <f>B191</f>
        <v>COTAÇÃO - 01</v>
      </c>
      <c r="C186" s="1857" t="str">
        <f>C191</f>
        <v>ADAPTADOR HDMI EM L</v>
      </c>
      <c r="D186" s="1866" t="str">
        <f>G191</f>
        <v>UN</v>
      </c>
      <c r="E186" s="1859">
        <v>1</v>
      </c>
      <c r="F186" s="1867">
        <f>D196</f>
        <v>33.729999999999997</v>
      </c>
      <c r="G186" s="1873">
        <f>TRUNC(E186*F186,2)</f>
        <v>33.729999999999997</v>
      </c>
    </row>
    <row r="187" spans="1:8" s="252" customFormat="1" ht="15.75">
      <c r="B187" s="2169" t="s">
        <v>169</v>
      </c>
      <c r="C187" s="2170"/>
      <c r="D187" s="2170"/>
      <c r="E187" s="2170"/>
      <c r="F187" s="2170"/>
      <c r="G187" s="2171"/>
    </row>
    <row r="188" spans="1:8" s="252" customFormat="1" ht="16.5" thickBot="1">
      <c r="A188" s="333" t="s">
        <v>391</v>
      </c>
      <c r="B188" s="756">
        <v>88264</v>
      </c>
      <c r="C188" s="1861" t="str">
        <f>IF($A188="INSUMO",VLOOKUP($B188,'BANCO DE DADOS JANEIRO-24 INS'!$A:$D,2,FALSE),VLOOKUP($B188,'BANCO DE DADOS JANEIRO-24 SERV'!$B:$E,2,FALSE))</f>
        <v>ELETRICISTA COM ENCARGOS COMPLEMENTARES</v>
      </c>
      <c r="D188" s="1862" t="str">
        <f>IF($A188="INSUMO",VLOOKUP($B188,'BANCO DE DADOS JANEIRO-24 INS'!$A:$D,3,FALSE),VLOOKUP($B188,'BANCO DE DADOS JANEIRO-24 SERV'!$B:$E,3,FALSE))</f>
        <v>H</v>
      </c>
      <c r="E188" s="1863">
        <v>0.05</v>
      </c>
      <c r="F188" s="1864">
        <f>IF($A188="INSUMO",VLOOKUP($B188,'BANCO DE DADOS JANEIRO-24 INS'!$A:$D,4,FALSE),VLOOKUP($B188,'BANCO DE DADOS JANEIRO-24 SERV'!$B:$E,4,FALSE))</f>
        <v>26.68</v>
      </c>
      <c r="G188" s="1865">
        <f>TRUNC(E188*F188,2)</f>
        <v>1.33</v>
      </c>
    </row>
    <row r="189" spans="1:8" s="252" customFormat="1" ht="16.5" thickBot="1">
      <c r="B189" s="2172"/>
      <c r="C189" s="2173"/>
      <c r="D189" s="303"/>
      <c r="E189" s="304"/>
      <c r="F189" s="263" t="s">
        <v>170</v>
      </c>
      <c r="G189" s="264">
        <f>TRUNC(SUM(G186:G188),2)</f>
        <v>35.06</v>
      </c>
    </row>
    <row r="190" spans="1:8" s="265" customFormat="1" ht="13.5" thickBot="1">
      <c r="B190" s="359"/>
      <c r="C190" s="359"/>
      <c r="D190" s="360"/>
      <c r="E190" s="361"/>
      <c r="F190" s="362"/>
      <c r="G190" s="363"/>
    </row>
    <row r="191" spans="1:8" s="271" customFormat="1" ht="18">
      <c r="A191" s="333"/>
      <c r="B191" s="1669" t="s">
        <v>5562</v>
      </c>
      <c r="C191" s="2164" t="s">
        <v>14448</v>
      </c>
      <c r="D191" s="2165"/>
      <c r="E191" s="2165"/>
      <c r="F191" s="2166"/>
      <c r="G191" s="1670" t="str">
        <f>G183</f>
        <v>UN</v>
      </c>
      <c r="H191" s="1173"/>
    </row>
    <row r="192" spans="1:8" s="271" customFormat="1" ht="31.5">
      <c r="A192" s="333"/>
      <c r="B192" s="1524" t="s">
        <v>174</v>
      </c>
      <c r="C192" s="1533" t="s">
        <v>175</v>
      </c>
      <c r="D192" s="1529" t="s">
        <v>176</v>
      </c>
      <c r="E192" s="1530" t="s">
        <v>177</v>
      </c>
      <c r="F192" s="1531" t="s">
        <v>14488</v>
      </c>
      <c r="G192" s="1532" t="s">
        <v>179</v>
      </c>
    </row>
    <row r="193" spans="1:8" s="271" customFormat="1" ht="15.75">
      <c r="A193" s="333"/>
      <c r="B193" s="1113">
        <v>45231</v>
      </c>
      <c r="C193" s="1114" t="s">
        <v>14456</v>
      </c>
      <c r="D193" s="1115">
        <v>33.729999999999997</v>
      </c>
      <c r="E193" s="1367" t="s">
        <v>14457</v>
      </c>
      <c r="F193" s="1874"/>
      <c r="G193" s="1117"/>
      <c r="H193" s="675"/>
    </row>
    <row r="194" spans="1:8" s="271" customFormat="1" ht="15.75">
      <c r="A194" s="333"/>
      <c r="B194" s="1113">
        <v>45231</v>
      </c>
      <c r="C194" s="1114" t="s">
        <v>14458</v>
      </c>
      <c r="D194" s="1115">
        <v>38.68</v>
      </c>
      <c r="E194" s="1192" t="s">
        <v>14459</v>
      </c>
      <c r="F194" s="1874"/>
      <c r="G194" s="1117"/>
      <c r="H194" s="675"/>
    </row>
    <row r="195" spans="1:8" s="271" customFormat="1" ht="15.75">
      <c r="A195" s="333"/>
      <c r="B195" s="1113">
        <v>45231</v>
      </c>
      <c r="C195" s="1114" t="s">
        <v>14454</v>
      </c>
      <c r="D195" s="1115">
        <v>25.47</v>
      </c>
      <c r="E195" s="1192" t="s">
        <v>14455</v>
      </c>
      <c r="F195" s="1874"/>
      <c r="G195" s="1117"/>
      <c r="H195" s="675"/>
    </row>
    <row r="196" spans="1:8" s="271" customFormat="1" ht="16.5" thickBot="1">
      <c r="A196" s="333"/>
      <c r="B196" s="1678"/>
      <c r="C196" s="1679" t="s">
        <v>180</v>
      </c>
      <c r="D196" s="1680">
        <f>IF(COUNT(D193:D195)=3,MEDIAN(D193:D195),SMALL(D193:D195,1))</f>
        <v>33.729999999999997</v>
      </c>
      <c r="E196" s="1681"/>
      <c r="F196" s="1680"/>
      <c r="G196" s="1682"/>
    </row>
    <row r="197" spans="1:8" ht="12" customHeight="1" thickBot="1"/>
    <row r="198" spans="1:8" s="252" customFormat="1" ht="15.75">
      <c r="B198" s="377" t="str">
        <f>IF(COUNT($H$14:H198)&lt;10,CONCATENATE("CPU CIV 00",COUNT($H$14:H198)),CONCATENATE("CPU CIV 0",COUNT($H$14:H198)))</f>
        <v>CPU CIV 012</v>
      </c>
      <c r="C198" s="2180" t="s">
        <v>14460</v>
      </c>
      <c r="D198" s="2181"/>
      <c r="E198" s="2181"/>
      <c r="F198" s="2181"/>
      <c r="G198" s="602" t="s">
        <v>22</v>
      </c>
      <c r="H198" s="603">
        <f>G204</f>
        <v>36.79</v>
      </c>
    </row>
    <row r="199" spans="1:8" s="252" customFormat="1" ht="31.5">
      <c r="B199" s="1868" t="s">
        <v>197</v>
      </c>
      <c r="C199" s="1869" t="s">
        <v>161</v>
      </c>
      <c r="D199" s="1869" t="s">
        <v>22</v>
      </c>
      <c r="E199" s="1869" t="s">
        <v>162</v>
      </c>
      <c r="F199" s="1870" t="s">
        <v>163</v>
      </c>
      <c r="G199" s="1871" t="s">
        <v>164</v>
      </c>
    </row>
    <row r="200" spans="1:8" s="252" customFormat="1" ht="15.75">
      <c r="B200" s="2169" t="s">
        <v>168</v>
      </c>
      <c r="C200" s="2170"/>
      <c r="D200" s="2170"/>
      <c r="E200" s="2170"/>
      <c r="F200" s="2170"/>
      <c r="G200" s="2171"/>
    </row>
    <row r="201" spans="1:8" s="252" customFormat="1" ht="15.75">
      <c r="A201" s="333" t="s">
        <v>390</v>
      </c>
      <c r="B201" s="1872" t="str">
        <f>B206</f>
        <v>COTAÇÃO - 01</v>
      </c>
      <c r="C201" s="1857" t="str">
        <f>C206</f>
        <v>ADAPTADOR HDMI EM L</v>
      </c>
      <c r="D201" s="1866" t="str">
        <f>G206</f>
        <v>UN</v>
      </c>
      <c r="E201" s="1859">
        <v>1</v>
      </c>
      <c r="F201" s="1867">
        <f>D211</f>
        <v>35.46</v>
      </c>
      <c r="G201" s="1873">
        <f>TRUNC(E201*F201,2)</f>
        <v>35.46</v>
      </c>
    </row>
    <row r="202" spans="1:8" s="252" customFormat="1" ht="15.75">
      <c r="B202" s="2169" t="s">
        <v>169</v>
      </c>
      <c r="C202" s="2170"/>
      <c r="D202" s="2170"/>
      <c r="E202" s="2170"/>
      <c r="F202" s="2170"/>
      <c r="G202" s="2171"/>
    </row>
    <row r="203" spans="1:8" s="252" customFormat="1" ht="16.5" thickBot="1">
      <c r="A203" s="333" t="s">
        <v>391</v>
      </c>
      <c r="B203" s="756">
        <v>88264</v>
      </c>
      <c r="C203" s="1861" t="str">
        <f>IF($A203="INSUMO",VLOOKUP($B203,'BANCO DE DADOS JANEIRO-24 INS'!$A:$D,2,FALSE),VLOOKUP($B203,'BANCO DE DADOS JANEIRO-24 SERV'!$B:$E,2,FALSE))</f>
        <v>ELETRICISTA COM ENCARGOS COMPLEMENTARES</v>
      </c>
      <c r="D203" s="1862" t="str">
        <f>IF($A203="INSUMO",VLOOKUP($B203,'BANCO DE DADOS JANEIRO-24 INS'!$A:$D,3,FALSE),VLOOKUP($B203,'BANCO DE DADOS JANEIRO-24 SERV'!$B:$E,3,FALSE))</f>
        <v>H</v>
      </c>
      <c r="E203" s="1863">
        <v>0.05</v>
      </c>
      <c r="F203" s="1864">
        <f>IF($A203="INSUMO",VLOOKUP($B203,'BANCO DE DADOS JANEIRO-24 INS'!$A:$D,4,FALSE),VLOOKUP($B203,'BANCO DE DADOS JANEIRO-24 SERV'!$B:$E,4,FALSE))</f>
        <v>26.68</v>
      </c>
      <c r="G203" s="1865">
        <f>TRUNC(E203*F203,2)</f>
        <v>1.33</v>
      </c>
    </row>
    <row r="204" spans="1:8" s="252" customFormat="1" ht="16.5" thickBot="1">
      <c r="B204" s="2172"/>
      <c r="C204" s="2173"/>
      <c r="D204" s="303"/>
      <c r="E204" s="304"/>
      <c r="F204" s="263" t="s">
        <v>170</v>
      </c>
      <c r="G204" s="264">
        <f>TRUNC(SUM(G201:G203),2)</f>
        <v>36.79</v>
      </c>
    </row>
    <row r="205" spans="1:8" s="265" customFormat="1" ht="13.5" thickBot="1">
      <c r="B205" s="359"/>
      <c r="C205" s="359"/>
      <c r="D205" s="360"/>
      <c r="E205" s="361"/>
      <c r="F205" s="362"/>
      <c r="G205" s="363"/>
    </row>
    <row r="206" spans="1:8" s="271" customFormat="1" ht="18">
      <c r="A206" s="333"/>
      <c r="B206" s="1669" t="s">
        <v>5562</v>
      </c>
      <c r="C206" s="2164" t="s">
        <v>14448</v>
      </c>
      <c r="D206" s="2165"/>
      <c r="E206" s="2165"/>
      <c r="F206" s="2166"/>
      <c r="G206" s="1670" t="str">
        <f>G198</f>
        <v>UN</v>
      </c>
      <c r="H206" s="1173"/>
    </row>
    <row r="207" spans="1:8" s="271" customFormat="1" ht="31.5">
      <c r="A207" s="333"/>
      <c r="B207" s="1524" t="s">
        <v>174</v>
      </c>
      <c r="C207" s="1533" t="s">
        <v>175</v>
      </c>
      <c r="D207" s="1529" t="s">
        <v>176</v>
      </c>
      <c r="E207" s="1530" t="s">
        <v>177</v>
      </c>
      <c r="F207" s="1531" t="s">
        <v>14488</v>
      </c>
      <c r="G207" s="1532" t="s">
        <v>179</v>
      </c>
    </row>
    <row r="208" spans="1:8" s="271" customFormat="1" ht="15.75">
      <c r="A208" s="333"/>
      <c r="B208" s="1113">
        <v>45231</v>
      </c>
      <c r="C208" s="1114" t="s">
        <v>14450</v>
      </c>
      <c r="D208" s="1115">
        <v>91</v>
      </c>
      <c r="E208" s="1367" t="s">
        <v>14451</v>
      </c>
      <c r="F208" s="1874">
        <f>D208/2</f>
        <v>45.5</v>
      </c>
      <c r="G208" s="1117"/>
      <c r="H208" s="675"/>
    </row>
    <row r="209" spans="1:8" s="271" customFormat="1" ht="15.75">
      <c r="A209" s="333"/>
      <c r="B209" s="1113">
        <v>45231</v>
      </c>
      <c r="C209" s="1114" t="s">
        <v>14452</v>
      </c>
      <c r="D209" s="1115">
        <v>35.46</v>
      </c>
      <c r="E209" s="1192" t="s">
        <v>14453</v>
      </c>
      <c r="F209" s="1874"/>
      <c r="G209" s="1117"/>
      <c r="H209" s="675"/>
    </row>
    <row r="210" spans="1:8" s="271" customFormat="1" ht="15.75">
      <c r="A210" s="333"/>
      <c r="B210" s="1113">
        <v>45231</v>
      </c>
      <c r="C210" s="1114" t="s">
        <v>14454</v>
      </c>
      <c r="D210" s="1115">
        <v>34.92</v>
      </c>
      <c r="E210" s="1192" t="s">
        <v>14455</v>
      </c>
      <c r="F210" s="1874"/>
      <c r="G210" s="1117"/>
      <c r="H210" s="675"/>
    </row>
    <row r="211" spans="1:8" s="271" customFormat="1" ht="16.5" thickBot="1">
      <c r="A211" s="333"/>
      <c r="B211" s="1678"/>
      <c r="C211" s="1679" t="s">
        <v>180</v>
      </c>
      <c r="D211" s="1680">
        <f>IF(COUNT(D208:D210)=3,MEDIAN(D208:D210),SMALL(D208:D210,1))</f>
        <v>35.46</v>
      </c>
      <c r="E211" s="1681"/>
      <c r="F211" s="1680"/>
      <c r="G211" s="1682"/>
    </row>
    <row r="212" spans="1:8" ht="13.5" thickBot="1"/>
    <row r="213" spans="1:8" s="255" customFormat="1" ht="47.25" customHeight="1">
      <c r="A213" s="250"/>
      <c r="B213" s="212" t="str">
        <f>IF(COUNT($H$14:H213)&lt;10,CONCATENATE("CPU CIV 00",COUNT($H$14:H213)),CONCATENATE("CPU CIV 0",COUNT($H$14:H213)))</f>
        <v>CPU CIV 013</v>
      </c>
      <c r="C213" s="2174" t="s">
        <v>14461</v>
      </c>
      <c r="D213" s="2175"/>
      <c r="E213" s="2175"/>
      <c r="F213" s="2176"/>
      <c r="G213" s="602" t="s">
        <v>22</v>
      </c>
      <c r="H213" s="606">
        <f>G219</f>
        <v>315.60000000000002</v>
      </c>
    </row>
    <row r="214" spans="1:8" s="226" customFormat="1" ht="31.5">
      <c r="A214" s="249"/>
      <c r="B214" s="214" t="s">
        <v>197</v>
      </c>
      <c r="C214" s="620" t="s">
        <v>161</v>
      </c>
      <c r="D214" s="620" t="s">
        <v>22</v>
      </c>
      <c r="E214" s="620" t="s">
        <v>162</v>
      </c>
      <c r="F214" s="621" t="s">
        <v>163</v>
      </c>
      <c r="G214" s="614" t="s">
        <v>164</v>
      </c>
    </row>
    <row r="215" spans="1:8" s="226" customFormat="1" ht="15.75">
      <c r="A215" s="249"/>
      <c r="B215" s="2177" t="s">
        <v>165</v>
      </c>
      <c r="C215" s="2178"/>
      <c r="D215" s="2178"/>
      <c r="E215" s="2178"/>
      <c r="F215" s="2178"/>
      <c r="G215" s="2179"/>
    </row>
    <row r="216" spans="1:8" s="226" customFormat="1" ht="15.75">
      <c r="A216" s="249" t="s">
        <v>390</v>
      </c>
      <c r="B216" s="632" t="s">
        <v>14463</v>
      </c>
      <c r="C216" s="317" t="str">
        <f>B221</f>
        <v>Composições Auxiliares - INEL 129</v>
      </c>
      <c r="D216" s="316" t="str">
        <f>D222</f>
        <v>UN</v>
      </c>
      <c r="E216" s="613">
        <v>1</v>
      </c>
      <c r="F216" s="320">
        <f>G230</f>
        <v>300.64999999999998</v>
      </c>
      <c r="G216" s="324">
        <f>TRUNC(E216*F216,2)</f>
        <v>300.64999999999998</v>
      </c>
    </row>
    <row r="217" spans="1:8" s="226" customFormat="1" ht="15.75">
      <c r="A217" s="249"/>
      <c r="B217" s="2177" t="s">
        <v>166</v>
      </c>
      <c r="C217" s="2178"/>
      <c r="D217" s="2178"/>
      <c r="E217" s="2178"/>
      <c r="F217" s="2178"/>
      <c r="G217" s="2179"/>
    </row>
    <row r="218" spans="1:8" s="226" customFormat="1" ht="45.75" thickBot="1">
      <c r="A218" s="249" t="s">
        <v>391</v>
      </c>
      <c r="B218" s="216">
        <v>91950</v>
      </c>
      <c r="C218" s="317" t="str">
        <f>IF($A218="INSUMO",VLOOKUP($B218,'BANCO DE DADOS JANEIRO-24 INS'!$A:$D,2,FALSE),VLOOKUP($B218,'BANCO DE DADOS JANEIRO-24 SERV'!$B:$E,2,FALSE))</f>
        <v>SUPORTE PARAFUSADO COM PLACA DE ENCAIXE 4" X 4" MÉDIO (1,30 M DO PISO) PARA PONTO ELÉTRICO - FORNECIMENTO E INSTALAÇÃO. AF_03/2023</v>
      </c>
      <c r="D218" s="316" t="str">
        <f>IF($A218="INSUMO",VLOOKUP($B218,'BANCO DE DADOS JANEIRO-24 INS'!$A:$D,3,FALSE),VLOOKUP($B218,'BANCO DE DADOS JANEIRO-24 SERV'!$B:$E,3,FALSE))</f>
        <v>UN</v>
      </c>
      <c r="E218" s="217">
        <v>1</v>
      </c>
      <c r="F218" s="320">
        <f>IF($A218="INSUMO",VLOOKUP($B218,'BANCO DE DADOS JANEIRO-24 INS'!$A:$D,4,FALSE),VLOOKUP($B218,'BANCO DE DADOS JANEIRO-24 SERV'!$B:$E,4,FALSE))</f>
        <v>14.95</v>
      </c>
      <c r="G218" s="324">
        <f>TRUNC(E218*F218,2)</f>
        <v>14.95</v>
      </c>
    </row>
    <row r="219" spans="1:8" s="226" customFormat="1" ht="16.5" customHeight="1" thickBot="1">
      <c r="A219" s="249"/>
      <c r="B219" s="2167" t="s">
        <v>14487</v>
      </c>
      <c r="C219" s="2167"/>
      <c r="D219" s="2167"/>
      <c r="E219" s="2168"/>
      <c r="F219" s="253" t="s">
        <v>167</v>
      </c>
      <c r="G219" s="254">
        <f>TRUNC(SUM(G216:G218),2)</f>
        <v>315.60000000000002</v>
      </c>
    </row>
    <row r="221" spans="1:8" s="252" customFormat="1" ht="15.75">
      <c r="B221" s="2169" t="s">
        <v>14462</v>
      </c>
      <c r="C221" s="2170"/>
      <c r="D221" s="2170"/>
      <c r="E221" s="2170"/>
      <c r="F221" s="2170"/>
      <c r="G221" s="2171"/>
    </row>
    <row r="222" spans="1:8" s="252" customFormat="1" ht="31.5">
      <c r="B222" s="1868" t="s">
        <v>197</v>
      </c>
      <c r="C222" s="1869" t="s">
        <v>161</v>
      </c>
      <c r="D222" s="1869" t="s">
        <v>22</v>
      </c>
      <c r="E222" s="1869" t="s">
        <v>162</v>
      </c>
      <c r="F222" s="1870" t="s">
        <v>163</v>
      </c>
      <c r="G222" s="1871" t="s">
        <v>164</v>
      </c>
    </row>
    <row r="223" spans="1:8" s="252" customFormat="1" ht="15.75">
      <c r="B223" s="2169" t="s">
        <v>168</v>
      </c>
      <c r="C223" s="2170"/>
      <c r="D223" s="2170"/>
      <c r="E223" s="2170"/>
      <c r="F223" s="2170"/>
      <c r="G223" s="2171"/>
    </row>
    <row r="224" spans="1:8" s="252" customFormat="1" ht="15.75">
      <c r="A224" s="333" t="s">
        <v>390</v>
      </c>
      <c r="B224" s="1872">
        <v>38101</v>
      </c>
      <c r="C224" s="317" t="str">
        <f>IF($A224="INSUMO",VLOOKUP($B224,'BANCO DE DADOS JANEIRO-24 INS'!$A:$D,2,FALSE),VLOOKUP($B224,'BANCO DE DADOS JANEIRO-24 SERV'!$B:$E,2,FALSE))</f>
        <v xml:space="preserve">TOMADA 2P+T 10A, 250V  (APENAS MODULO)                                                                                                                                                                                                                                                                                                                                                                                                                                                                    </v>
      </c>
      <c r="D224" s="316" t="str">
        <f>IF($A224="INSUMO",VLOOKUP($B224,'BANCO DE DADOS JANEIRO-24 INS'!$A:$D,3,FALSE),VLOOKUP($B224,'BANCO DE DADOS JANEIRO-24 SERV'!$B:$E,3,FALSE))</f>
        <v xml:space="preserve">UN    </v>
      </c>
      <c r="E224" s="613">
        <v>4</v>
      </c>
      <c r="F224" s="320">
        <f>IF($A224="INSUMO",VLOOKUP($B224,'BANCO DE DADOS JANEIRO-24 INS'!$A:$D,4,FALSE),VLOOKUP($B224,'BANCO DE DADOS JANEIRO-24 SERV'!$B:$E,4,FALSE))</f>
        <v>7.15</v>
      </c>
      <c r="G224" s="324">
        <f>TRUNC(E224*F224,2)</f>
        <v>28.6</v>
      </c>
    </row>
    <row r="225" spans="1:8" s="252" customFormat="1" ht="15.75">
      <c r="A225" s="333" t="s">
        <v>390</v>
      </c>
      <c r="B225" s="1872" t="str">
        <f>B232</f>
        <v>COTAÇÃO - 01</v>
      </c>
      <c r="C225" s="1857" t="str">
        <f>C232</f>
        <v>MODULO HDMI</v>
      </c>
      <c r="D225" s="316" t="str">
        <f>D224</f>
        <v xml:space="preserve">UN    </v>
      </c>
      <c r="E225" s="1859">
        <v>1</v>
      </c>
      <c r="F225" s="1867">
        <f>D237</f>
        <v>101.03</v>
      </c>
      <c r="G225" s="1873">
        <f>TRUNC(E225*F225,2)</f>
        <v>101.03</v>
      </c>
    </row>
    <row r="226" spans="1:8" s="252" customFormat="1" ht="15.75">
      <c r="A226" s="333" t="s">
        <v>390</v>
      </c>
      <c r="B226" s="1872" t="str">
        <f>B239</f>
        <v>COTAÇÃO - 02</v>
      </c>
      <c r="C226" s="1857" t="str">
        <f>C239</f>
        <v>MODULO USB</v>
      </c>
      <c r="D226" s="316" t="str">
        <f>D224</f>
        <v xml:space="preserve">UN    </v>
      </c>
      <c r="E226" s="1859">
        <v>1</v>
      </c>
      <c r="F226" s="1867">
        <f>D244</f>
        <v>132.61000000000001</v>
      </c>
      <c r="G226" s="1873">
        <f>TRUNC(E226*F226,2)</f>
        <v>132.61000000000001</v>
      </c>
    </row>
    <row r="227" spans="1:8" s="252" customFormat="1" ht="15.75">
      <c r="B227" s="2169" t="s">
        <v>169</v>
      </c>
      <c r="C227" s="2170"/>
      <c r="D227" s="2170"/>
      <c r="E227" s="2170"/>
      <c r="F227" s="2170"/>
      <c r="G227" s="2171"/>
    </row>
    <row r="228" spans="1:8" s="226" customFormat="1" ht="15.75">
      <c r="A228" s="249" t="s">
        <v>391</v>
      </c>
      <c r="B228" s="216">
        <v>88247</v>
      </c>
      <c r="C228" s="317" t="str">
        <f>IF($A228="INSUMO",VLOOKUP($B228,'BANCO DE DADOS JANEIRO-24 INS'!$A:$D,2,FALSE),VLOOKUP($B228,'BANCO DE DADOS JANEIRO-24 SERV'!$B:$E,2,FALSE))</f>
        <v>AUXILIAR DE ELETRICISTA COM ENCARGOS COMPLEMENTARES</v>
      </c>
      <c r="D228" s="316" t="str">
        <f>IF($A228="INSUMO",VLOOKUP($B228,'BANCO DE DADOS JANEIRO-24 INS'!$A:$D,3,FALSE),VLOOKUP($B228,'BANCO DE DADOS JANEIRO-24 SERV'!$B:$E,3,FALSE))</f>
        <v>H</v>
      </c>
      <c r="E228" s="217">
        <v>0.79</v>
      </c>
      <c r="F228" s="320">
        <f>IF($A228="INSUMO",VLOOKUP($B228,'BANCO DE DADOS JANEIRO-24 INS'!$A:$D,4,FALSE),VLOOKUP($B228,'BANCO DE DADOS JANEIRO-24 SERV'!$B:$E,4,FALSE))</f>
        <v>21.96</v>
      </c>
      <c r="G228" s="324">
        <f>TRUNC(E228*F228,2)</f>
        <v>17.34</v>
      </c>
    </row>
    <row r="229" spans="1:8" s="252" customFormat="1" ht="16.5" thickBot="1">
      <c r="A229" s="333" t="s">
        <v>391</v>
      </c>
      <c r="B229" s="756">
        <v>88264</v>
      </c>
      <c r="C229" s="1861" t="str">
        <f>IF($A229="INSUMO",VLOOKUP($B229,'BANCO DE DADOS JANEIRO-24 INS'!$A:$D,2,FALSE),VLOOKUP($B229,'BANCO DE DADOS JANEIRO-24 SERV'!$B:$E,2,FALSE))</f>
        <v>ELETRICISTA COM ENCARGOS COMPLEMENTARES</v>
      </c>
      <c r="D229" s="1862" t="str">
        <f>IF($A229="INSUMO",VLOOKUP($B229,'BANCO DE DADOS JANEIRO-24 INS'!$A:$D,3,FALSE),VLOOKUP($B229,'BANCO DE DADOS JANEIRO-24 SERV'!$B:$E,3,FALSE))</f>
        <v>H</v>
      </c>
      <c r="E229" s="1863">
        <v>0.79</v>
      </c>
      <c r="F229" s="1864">
        <f>IF($A229="INSUMO",VLOOKUP($B229,'BANCO DE DADOS JANEIRO-24 INS'!$A:$D,4,FALSE),VLOOKUP($B229,'BANCO DE DADOS JANEIRO-24 SERV'!$B:$E,4,FALSE))</f>
        <v>26.68</v>
      </c>
      <c r="G229" s="1865">
        <f>TRUNC(E229*F229,2)</f>
        <v>21.07</v>
      </c>
    </row>
    <row r="230" spans="1:8" s="252" customFormat="1" ht="16.5" thickBot="1">
      <c r="B230" s="2172" t="s">
        <v>14466</v>
      </c>
      <c r="C230" s="2173"/>
      <c r="D230" s="303"/>
      <c r="E230" s="304"/>
      <c r="F230" s="263" t="s">
        <v>170</v>
      </c>
      <c r="G230" s="264">
        <f>TRUNC(SUM(G224:G229),2)</f>
        <v>300.64999999999998</v>
      </c>
    </row>
    <row r="231" spans="1:8" ht="13.5" thickBot="1"/>
    <row r="232" spans="1:8" s="271" customFormat="1" ht="18">
      <c r="A232" s="333"/>
      <c r="B232" s="1669" t="s">
        <v>5562</v>
      </c>
      <c r="C232" s="2164" t="s">
        <v>14464</v>
      </c>
      <c r="D232" s="2165"/>
      <c r="E232" s="2165"/>
      <c r="F232" s="2166"/>
      <c r="G232" s="1875" t="s">
        <v>22</v>
      </c>
      <c r="H232" s="1173"/>
    </row>
    <row r="233" spans="1:8" s="271" customFormat="1" ht="31.5">
      <c r="A233" s="333"/>
      <c r="B233" s="1524" t="s">
        <v>174</v>
      </c>
      <c r="C233" s="1533" t="s">
        <v>175</v>
      </c>
      <c r="D233" s="1529" t="s">
        <v>176</v>
      </c>
      <c r="E233" s="1530" t="s">
        <v>177</v>
      </c>
      <c r="F233" s="1531" t="s">
        <v>178</v>
      </c>
      <c r="G233" s="1532" t="s">
        <v>179</v>
      </c>
    </row>
    <row r="234" spans="1:8" s="271" customFormat="1" ht="15.75">
      <c r="A234" s="333"/>
      <c r="B234" s="1113">
        <v>45231</v>
      </c>
      <c r="C234" s="1114" t="s">
        <v>14467</v>
      </c>
      <c r="D234" s="1115">
        <v>109.5</v>
      </c>
      <c r="E234" s="1367" t="s">
        <v>14468</v>
      </c>
      <c r="F234" s="1367"/>
      <c r="G234" s="1367" t="s">
        <v>14469</v>
      </c>
      <c r="H234" s="675"/>
    </row>
    <row r="235" spans="1:8" s="271" customFormat="1" ht="15.75">
      <c r="A235" s="333"/>
      <c r="B235" s="1113">
        <v>45231</v>
      </c>
      <c r="C235" s="1114" t="s">
        <v>14470</v>
      </c>
      <c r="D235" s="1115">
        <v>101.03</v>
      </c>
      <c r="E235" s="1192" t="s">
        <v>14472</v>
      </c>
      <c r="F235" s="1367" t="s">
        <v>14471</v>
      </c>
      <c r="G235" s="1367" t="s">
        <v>14473</v>
      </c>
      <c r="H235" s="675"/>
    </row>
    <row r="236" spans="1:8" s="271" customFormat="1" ht="15.75">
      <c r="A236" s="333"/>
      <c r="B236" s="1113">
        <v>45231</v>
      </c>
      <c r="C236" s="1114" t="s">
        <v>14474</v>
      </c>
      <c r="D236" s="1115">
        <v>76.03</v>
      </c>
      <c r="E236" s="1192" t="s">
        <v>14475</v>
      </c>
      <c r="F236" s="1367" t="s">
        <v>14476</v>
      </c>
      <c r="G236" s="1367" t="s">
        <v>14477</v>
      </c>
      <c r="H236" s="675"/>
    </row>
    <row r="237" spans="1:8" s="271" customFormat="1" ht="16.5" thickBot="1">
      <c r="A237" s="333"/>
      <c r="B237" s="1678"/>
      <c r="C237" s="1679" t="s">
        <v>180</v>
      </c>
      <c r="D237" s="1680">
        <f>IF(COUNT(D234:D236)=3,MEDIAN(D234:D236),SMALL(D234:D236,1))</f>
        <v>101.03</v>
      </c>
      <c r="E237" s="1681"/>
      <c r="F237" s="1683"/>
      <c r="G237" s="1682"/>
    </row>
    <row r="238" spans="1:8" ht="13.5" thickBot="1"/>
    <row r="239" spans="1:8" s="271" customFormat="1" ht="18">
      <c r="A239" s="333"/>
      <c r="B239" s="1669" t="s">
        <v>5563</v>
      </c>
      <c r="C239" s="2164" t="s">
        <v>14465</v>
      </c>
      <c r="D239" s="2165"/>
      <c r="E239" s="2165"/>
      <c r="F239" s="2166"/>
      <c r="G239" s="1875" t="s">
        <v>22</v>
      </c>
      <c r="H239" s="1173"/>
    </row>
    <row r="240" spans="1:8" s="271" customFormat="1" ht="31.5">
      <c r="A240" s="333"/>
      <c r="B240" s="1524" t="s">
        <v>174</v>
      </c>
      <c r="C240" s="1533" t="s">
        <v>175</v>
      </c>
      <c r="D240" s="1529" t="s">
        <v>176</v>
      </c>
      <c r="E240" s="1530" t="s">
        <v>177</v>
      </c>
      <c r="F240" s="1531" t="s">
        <v>178</v>
      </c>
      <c r="G240" s="1532" t="s">
        <v>179</v>
      </c>
    </row>
    <row r="241" spans="1:8" s="271" customFormat="1" ht="15.75">
      <c r="A241" s="333"/>
      <c r="B241" s="1113">
        <v>45231</v>
      </c>
      <c r="C241" s="1114" t="s">
        <v>14478</v>
      </c>
      <c r="D241" s="1115">
        <v>128.77000000000001</v>
      </c>
      <c r="E241" s="1367" t="s">
        <v>14485</v>
      </c>
      <c r="F241" s="1116"/>
      <c r="G241" s="1367" t="s">
        <v>14486</v>
      </c>
      <c r="H241" s="675"/>
    </row>
    <row r="242" spans="1:8" s="271" customFormat="1" ht="15.75">
      <c r="A242" s="333"/>
      <c r="B242" s="1113">
        <v>45231</v>
      </c>
      <c r="C242" s="1114" t="s">
        <v>14479</v>
      </c>
      <c r="D242" s="1115">
        <v>164.84</v>
      </c>
      <c r="E242" s="1192" t="s">
        <v>14483</v>
      </c>
      <c r="F242" s="1368"/>
      <c r="G242" s="1367" t="s">
        <v>14484</v>
      </c>
      <c r="H242" s="675"/>
    </row>
    <row r="243" spans="1:8" s="271" customFormat="1" ht="15.75">
      <c r="A243" s="333"/>
      <c r="B243" s="1113">
        <v>45231</v>
      </c>
      <c r="C243" s="1114" t="s">
        <v>14480</v>
      </c>
      <c r="D243" s="1115">
        <v>132.61000000000001</v>
      </c>
      <c r="E243" s="1192" t="s">
        <v>14481</v>
      </c>
      <c r="F243" s="1368"/>
      <c r="G243" s="1367" t="s">
        <v>14482</v>
      </c>
      <c r="H243" s="675"/>
    </row>
    <row r="244" spans="1:8" s="271" customFormat="1" ht="16.5" thickBot="1">
      <c r="A244" s="333"/>
      <c r="B244" s="1678"/>
      <c r="C244" s="1679" t="s">
        <v>180</v>
      </c>
      <c r="D244" s="1680">
        <f>IF(COUNT(D241:D243)=3,MEDIAN(D241:D243),SMALL(D241:D243,1))</f>
        <v>132.61000000000001</v>
      </c>
      <c r="E244" s="1681"/>
      <c r="F244" s="1683"/>
      <c r="G244" s="1682"/>
    </row>
  </sheetData>
  <autoFilter ref="G1:G53" xr:uid="{00000000-0009-0000-0000-000008000000}"/>
  <mergeCells count="90">
    <mergeCell ref="C76:F76"/>
    <mergeCell ref="B78:G78"/>
    <mergeCell ref="B81:G81"/>
    <mergeCell ref="B126:G126"/>
    <mergeCell ref="C137:F137"/>
    <mergeCell ref="B101:G101"/>
    <mergeCell ref="B104:G104"/>
    <mergeCell ref="B106:E106"/>
    <mergeCell ref="C108:F108"/>
    <mergeCell ref="C115:F115"/>
    <mergeCell ref="C122:F122"/>
    <mergeCell ref="B124:G124"/>
    <mergeCell ref="B139:G139"/>
    <mergeCell ref="B141:G141"/>
    <mergeCell ref="B143:C143"/>
    <mergeCell ref="C145:F145"/>
    <mergeCell ref="C152:F152"/>
    <mergeCell ref="B154:G154"/>
    <mergeCell ref="B156:G156"/>
    <mergeCell ref="C54:F54"/>
    <mergeCell ref="B56:G56"/>
    <mergeCell ref="B59:E59"/>
    <mergeCell ref="C61:F61"/>
    <mergeCell ref="B63:G63"/>
    <mergeCell ref="B65:G65"/>
    <mergeCell ref="B67:C67"/>
    <mergeCell ref="C69:F69"/>
    <mergeCell ref="B128:C128"/>
    <mergeCell ref="C130:F130"/>
    <mergeCell ref="B83:E83"/>
    <mergeCell ref="C85:F85"/>
    <mergeCell ref="C92:F92"/>
    <mergeCell ref="C99:F99"/>
    <mergeCell ref="C40:F40"/>
    <mergeCell ref="C47:F47"/>
    <mergeCell ref="B3:B4"/>
    <mergeCell ref="C8:D8"/>
    <mergeCell ref="E8:F8"/>
    <mergeCell ref="C7:E7"/>
    <mergeCell ref="B23:C23"/>
    <mergeCell ref="E25:G25"/>
    <mergeCell ref="B26:C26"/>
    <mergeCell ref="B35:G35"/>
    <mergeCell ref="C29:F29"/>
    <mergeCell ref="B31:G31"/>
    <mergeCell ref="E26:G26"/>
    <mergeCell ref="B11:G11"/>
    <mergeCell ref="C14:F14"/>
    <mergeCell ref="B20:E20"/>
    <mergeCell ref="F3:G3"/>
    <mergeCell ref="B38:E38"/>
    <mergeCell ref="B5:G5"/>
    <mergeCell ref="E9:F9"/>
    <mergeCell ref="B9:D9"/>
    <mergeCell ref="C3:D3"/>
    <mergeCell ref="C4:D4"/>
    <mergeCell ref="B16:G16"/>
    <mergeCell ref="E23:G23"/>
    <mergeCell ref="B24:G24"/>
    <mergeCell ref="B25:C25"/>
    <mergeCell ref="B22:G22"/>
    <mergeCell ref="B27:C27"/>
    <mergeCell ref="E27:G27"/>
    <mergeCell ref="B159:C159"/>
    <mergeCell ref="C161:F161"/>
    <mergeCell ref="C168:F168"/>
    <mergeCell ref="B170:G170"/>
    <mergeCell ref="B172:G172"/>
    <mergeCell ref="B174:C174"/>
    <mergeCell ref="C176:F176"/>
    <mergeCell ref="C183:F183"/>
    <mergeCell ref="B185:G185"/>
    <mergeCell ref="B187:G187"/>
    <mergeCell ref="B189:C189"/>
    <mergeCell ref="C191:F191"/>
    <mergeCell ref="C198:F198"/>
    <mergeCell ref="B200:G200"/>
    <mergeCell ref="B202:G202"/>
    <mergeCell ref="B204:C204"/>
    <mergeCell ref="C206:F206"/>
    <mergeCell ref="C213:F213"/>
    <mergeCell ref="B215:G215"/>
    <mergeCell ref="B217:G217"/>
    <mergeCell ref="C232:F232"/>
    <mergeCell ref="C239:F239"/>
    <mergeCell ref="B219:E219"/>
    <mergeCell ref="B223:G223"/>
    <mergeCell ref="B227:G227"/>
    <mergeCell ref="B230:C230"/>
    <mergeCell ref="B221:G221"/>
  </mergeCells>
  <dataValidations disablePrompts="1" count="1">
    <dataValidation type="list" allowBlank="1" showInputMessage="1" showErrorMessage="1" sqref="A32:A33 A36:A37 A125 A57:A58 A66 A64 A82 A79:A80 A105 A102:A103 A127 A142 A140 A157:A158 A155 A171 A173 A186 A188 A201 A203 A216 A218 A228:A229 A224:A226 A17:A19" xr:uid="{00000000-0002-0000-0800-000000000000}">
      <formula1>$A$3:$A$4</formula1>
    </dataValidation>
  </dataValidations>
  <hyperlinks>
    <hyperlink ref="B57" r:id="rId1" display="https://app.orcafascio.com/v2023/orc/orcamentos/6464cc9ffde10a6f9efbca17/compositions/957e3e3b-342d-4f32-8711-761f56af78f8" xr:uid="{7A812793-AAC8-426B-B5D3-957C57F8CA0C}"/>
    <hyperlink ref="B58" r:id="rId2" display="https://app.orcafascio.com/v2023/orc/orcamentos/6464cc9ffde10a6f9efbca17/compositions/390b057a-cdae-4230-876f-47d0edc8986c" xr:uid="{84E376D2-B49E-4D3B-ADBF-9CED56884368}"/>
  </hyperlinks>
  <pageMargins left="0.511811024" right="0.511811024" top="0.78740157499999996" bottom="0.78740157499999996" header="0.31496062000000002" footer="0.31496062000000002"/>
  <pageSetup paperSize="9" scale="50" fitToHeight="0" orientation="portrait" r:id="rId3"/>
  <rowBreaks count="3" manualBreakCount="3">
    <brk id="75" min="1" max="6" man="1"/>
    <brk id="121" min="1" max="6" man="1"/>
    <brk id="182" min="1" max="6"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3" tint="0.79998168889431442"/>
    <pageSetUpPr fitToPage="1"/>
  </sheetPr>
  <dimension ref="A1:H47"/>
  <sheetViews>
    <sheetView view="pageBreakPreview" topLeftCell="A36" zoomScale="70" zoomScaleNormal="100" zoomScaleSheetLayoutView="70" workbookViewId="0">
      <selection activeCell="AG38" sqref="AG38"/>
    </sheetView>
  </sheetViews>
  <sheetFormatPr defaultRowHeight="12.75"/>
  <cols>
    <col min="1" max="1" width="28.140625" style="265" customWidth="1"/>
    <col min="2" max="2" width="24.7109375" style="359" customWidth="1"/>
    <col min="3" max="3" width="75.7109375" style="359" customWidth="1"/>
    <col min="4" max="4" width="15.7109375" style="360" customWidth="1"/>
    <col min="5" max="5" width="23.7109375" style="361" customWidth="1"/>
    <col min="6" max="6" width="18.7109375" style="362" customWidth="1"/>
    <col min="7" max="7" width="20.7109375" style="363" customWidth="1"/>
    <col min="8" max="8" width="13.140625" style="265" bestFit="1" customWidth="1"/>
    <col min="9" max="9" width="19.28515625" style="265" customWidth="1"/>
    <col min="10" max="10" width="17.140625" style="265" customWidth="1"/>
    <col min="11" max="257" width="9.140625" style="265"/>
    <col min="258" max="258" width="21" style="265" customWidth="1"/>
    <col min="259" max="259" width="81.42578125" style="265" customWidth="1"/>
    <col min="260" max="261" width="15.5703125" style="265" customWidth="1"/>
    <col min="262" max="262" width="14.140625" style="265" bestFit="1" customWidth="1"/>
    <col min="263" max="263" width="18" style="265" bestFit="1" customWidth="1"/>
    <col min="264" max="264" width="11" style="265" bestFit="1" customWidth="1"/>
    <col min="265" max="513" width="9.140625" style="265"/>
    <col min="514" max="514" width="21" style="265" customWidth="1"/>
    <col min="515" max="515" width="81.42578125" style="265" customWidth="1"/>
    <col min="516" max="517" width="15.5703125" style="265" customWidth="1"/>
    <col min="518" max="518" width="14.140625" style="265" bestFit="1" customWidth="1"/>
    <col min="519" max="519" width="18" style="265" bestFit="1" customWidth="1"/>
    <col min="520" max="520" width="11" style="265" bestFit="1" customWidth="1"/>
    <col min="521" max="769" width="9.140625" style="265"/>
    <col min="770" max="770" width="21" style="265" customWidth="1"/>
    <col min="771" max="771" width="81.42578125" style="265" customWidth="1"/>
    <col min="772" max="773" width="15.5703125" style="265" customWidth="1"/>
    <col min="774" max="774" width="14.140625" style="265" bestFit="1" customWidth="1"/>
    <col min="775" max="775" width="18" style="265" bestFit="1" customWidth="1"/>
    <col min="776" max="776" width="11" style="265" bestFit="1" customWidth="1"/>
    <col min="777" max="1025" width="9.140625" style="265"/>
    <col min="1026" max="1026" width="21" style="265" customWidth="1"/>
    <col min="1027" max="1027" width="81.42578125" style="265" customWidth="1"/>
    <col min="1028" max="1029" width="15.5703125" style="265" customWidth="1"/>
    <col min="1030" max="1030" width="14.140625" style="265" bestFit="1" customWidth="1"/>
    <col min="1031" max="1031" width="18" style="265" bestFit="1" customWidth="1"/>
    <col min="1032" max="1032" width="11" style="265" bestFit="1" customWidth="1"/>
    <col min="1033" max="1281" width="9.140625" style="265"/>
    <col min="1282" max="1282" width="21" style="265" customWidth="1"/>
    <col min="1283" max="1283" width="81.42578125" style="265" customWidth="1"/>
    <col min="1284" max="1285" width="15.5703125" style="265" customWidth="1"/>
    <col min="1286" max="1286" width="14.140625" style="265" bestFit="1" customWidth="1"/>
    <col min="1287" max="1287" width="18" style="265" bestFit="1" customWidth="1"/>
    <col min="1288" max="1288" width="11" style="265" bestFit="1" customWidth="1"/>
    <col min="1289" max="1537" width="9.140625" style="265"/>
    <col min="1538" max="1538" width="21" style="265" customWidth="1"/>
    <col min="1539" max="1539" width="81.42578125" style="265" customWidth="1"/>
    <col min="1540" max="1541" width="15.5703125" style="265" customWidth="1"/>
    <col min="1542" max="1542" width="14.140625" style="265" bestFit="1" customWidth="1"/>
    <col min="1543" max="1543" width="18" style="265" bestFit="1" customWidth="1"/>
    <col min="1544" max="1544" width="11" style="265" bestFit="1" customWidth="1"/>
    <col min="1545" max="1793" width="9.140625" style="265"/>
    <col min="1794" max="1794" width="21" style="265" customWidth="1"/>
    <col min="1795" max="1795" width="81.42578125" style="265" customWidth="1"/>
    <col min="1796" max="1797" width="15.5703125" style="265" customWidth="1"/>
    <col min="1798" max="1798" width="14.140625" style="265" bestFit="1" customWidth="1"/>
    <col min="1799" max="1799" width="18" style="265" bestFit="1" customWidth="1"/>
    <col min="1800" max="1800" width="11" style="265" bestFit="1" customWidth="1"/>
    <col min="1801" max="2049" width="9.140625" style="265"/>
    <col min="2050" max="2050" width="21" style="265" customWidth="1"/>
    <col min="2051" max="2051" width="81.42578125" style="265" customWidth="1"/>
    <col min="2052" max="2053" width="15.5703125" style="265" customWidth="1"/>
    <col min="2054" max="2054" width="14.140625" style="265" bestFit="1" customWidth="1"/>
    <col min="2055" max="2055" width="18" style="265" bestFit="1" customWidth="1"/>
    <col min="2056" max="2056" width="11" style="265" bestFit="1" customWidth="1"/>
    <col min="2057" max="2305" width="9.140625" style="265"/>
    <col min="2306" max="2306" width="21" style="265" customWidth="1"/>
    <col min="2307" max="2307" width="81.42578125" style="265" customWidth="1"/>
    <col min="2308" max="2309" width="15.5703125" style="265" customWidth="1"/>
    <col min="2310" max="2310" width="14.140625" style="265" bestFit="1" customWidth="1"/>
    <col min="2311" max="2311" width="18" style="265" bestFit="1" customWidth="1"/>
    <col min="2312" max="2312" width="11" style="265" bestFit="1" customWidth="1"/>
    <col min="2313" max="2561" width="9.140625" style="265"/>
    <col min="2562" max="2562" width="21" style="265" customWidth="1"/>
    <col min="2563" max="2563" width="81.42578125" style="265" customWidth="1"/>
    <col min="2564" max="2565" width="15.5703125" style="265" customWidth="1"/>
    <col min="2566" max="2566" width="14.140625" style="265" bestFit="1" customWidth="1"/>
    <col min="2567" max="2567" width="18" style="265" bestFit="1" customWidth="1"/>
    <col min="2568" max="2568" width="11" style="265" bestFit="1" customWidth="1"/>
    <col min="2569" max="2817" width="9.140625" style="265"/>
    <col min="2818" max="2818" width="21" style="265" customWidth="1"/>
    <col min="2819" max="2819" width="81.42578125" style="265" customWidth="1"/>
    <col min="2820" max="2821" width="15.5703125" style="265" customWidth="1"/>
    <col min="2822" max="2822" width="14.140625" style="265" bestFit="1" customWidth="1"/>
    <col min="2823" max="2823" width="18" style="265" bestFit="1" customWidth="1"/>
    <col min="2824" max="2824" width="11" style="265" bestFit="1" customWidth="1"/>
    <col min="2825" max="3073" width="9.140625" style="265"/>
    <col min="3074" max="3074" width="21" style="265" customWidth="1"/>
    <col min="3075" max="3075" width="81.42578125" style="265" customWidth="1"/>
    <col min="3076" max="3077" width="15.5703125" style="265" customWidth="1"/>
    <col min="3078" max="3078" width="14.140625" style="265" bestFit="1" customWidth="1"/>
    <col min="3079" max="3079" width="18" style="265" bestFit="1" customWidth="1"/>
    <col min="3080" max="3080" width="11" style="265" bestFit="1" customWidth="1"/>
    <col min="3081" max="3329" width="9.140625" style="265"/>
    <col min="3330" max="3330" width="21" style="265" customWidth="1"/>
    <col min="3331" max="3331" width="81.42578125" style="265" customWidth="1"/>
    <col min="3332" max="3333" width="15.5703125" style="265" customWidth="1"/>
    <col min="3334" max="3334" width="14.140625" style="265" bestFit="1" customWidth="1"/>
    <col min="3335" max="3335" width="18" style="265" bestFit="1" customWidth="1"/>
    <col min="3336" max="3336" width="11" style="265" bestFit="1" customWidth="1"/>
    <col min="3337" max="3585" width="9.140625" style="265"/>
    <col min="3586" max="3586" width="21" style="265" customWidth="1"/>
    <col min="3587" max="3587" width="81.42578125" style="265" customWidth="1"/>
    <col min="3588" max="3589" width="15.5703125" style="265" customWidth="1"/>
    <col min="3590" max="3590" width="14.140625" style="265" bestFit="1" customWidth="1"/>
    <col min="3591" max="3591" width="18" style="265" bestFit="1" customWidth="1"/>
    <col min="3592" max="3592" width="11" style="265" bestFit="1" customWidth="1"/>
    <col min="3593" max="3841" width="9.140625" style="265"/>
    <col min="3842" max="3842" width="21" style="265" customWidth="1"/>
    <col min="3843" max="3843" width="81.42578125" style="265" customWidth="1"/>
    <col min="3844" max="3845" width="15.5703125" style="265" customWidth="1"/>
    <col min="3846" max="3846" width="14.140625" style="265" bestFit="1" customWidth="1"/>
    <col min="3847" max="3847" width="18" style="265" bestFit="1" customWidth="1"/>
    <col min="3848" max="3848" width="11" style="265" bestFit="1" customWidth="1"/>
    <col min="3849" max="4097" width="9.140625" style="265"/>
    <col min="4098" max="4098" width="21" style="265" customWidth="1"/>
    <col min="4099" max="4099" width="81.42578125" style="265" customWidth="1"/>
    <col min="4100" max="4101" width="15.5703125" style="265" customWidth="1"/>
    <col min="4102" max="4102" width="14.140625" style="265" bestFit="1" customWidth="1"/>
    <col min="4103" max="4103" width="18" style="265" bestFit="1" customWidth="1"/>
    <col min="4104" max="4104" width="11" style="265" bestFit="1" customWidth="1"/>
    <col min="4105" max="4353" width="9.140625" style="265"/>
    <col min="4354" max="4354" width="21" style="265" customWidth="1"/>
    <col min="4355" max="4355" width="81.42578125" style="265" customWidth="1"/>
    <col min="4356" max="4357" width="15.5703125" style="265" customWidth="1"/>
    <col min="4358" max="4358" width="14.140625" style="265" bestFit="1" customWidth="1"/>
    <col min="4359" max="4359" width="18" style="265" bestFit="1" customWidth="1"/>
    <col min="4360" max="4360" width="11" style="265" bestFit="1" customWidth="1"/>
    <col min="4361" max="4609" width="9.140625" style="265"/>
    <col min="4610" max="4610" width="21" style="265" customWidth="1"/>
    <col min="4611" max="4611" width="81.42578125" style="265" customWidth="1"/>
    <col min="4612" max="4613" width="15.5703125" style="265" customWidth="1"/>
    <col min="4614" max="4614" width="14.140625" style="265" bestFit="1" customWidth="1"/>
    <col min="4615" max="4615" width="18" style="265" bestFit="1" customWidth="1"/>
    <col min="4616" max="4616" width="11" style="265" bestFit="1" customWidth="1"/>
    <col min="4617" max="4865" width="9.140625" style="265"/>
    <col min="4866" max="4866" width="21" style="265" customWidth="1"/>
    <col min="4867" max="4867" width="81.42578125" style="265" customWidth="1"/>
    <col min="4868" max="4869" width="15.5703125" style="265" customWidth="1"/>
    <col min="4870" max="4870" width="14.140625" style="265" bestFit="1" customWidth="1"/>
    <col min="4871" max="4871" width="18" style="265" bestFit="1" customWidth="1"/>
    <col min="4872" max="4872" width="11" style="265" bestFit="1" customWidth="1"/>
    <col min="4873" max="5121" width="9.140625" style="265"/>
    <col min="5122" max="5122" width="21" style="265" customWidth="1"/>
    <col min="5123" max="5123" width="81.42578125" style="265" customWidth="1"/>
    <col min="5124" max="5125" width="15.5703125" style="265" customWidth="1"/>
    <col min="5126" max="5126" width="14.140625" style="265" bestFit="1" customWidth="1"/>
    <col min="5127" max="5127" width="18" style="265" bestFit="1" customWidth="1"/>
    <col min="5128" max="5128" width="11" style="265" bestFit="1" customWidth="1"/>
    <col min="5129" max="5377" width="9.140625" style="265"/>
    <col min="5378" max="5378" width="21" style="265" customWidth="1"/>
    <col min="5379" max="5379" width="81.42578125" style="265" customWidth="1"/>
    <col min="5380" max="5381" width="15.5703125" style="265" customWidth="1"/>
    <col min="5382" max="5382" width="14.140625" style="265" bestFit="1" customWidth="1"/>
    <col min="5383" max="5383" width="18" style="265" bestFit="1" customWidth="1"/>
    <col min="5384" max="5384" width="11" style="265" bestFit="1" customWidth="1"/>
    <col min="5385" max="5633" width="9.140625" style="265"/>
    <col min="5634" max="5634" width="21" style="265" customWidth="1"/>
    <col min="5635" max="5635" width="81.42578125" style="265" customWidth="1"/>
    <col min="5636" max="5637" width="15.5703125" style="265" customWidth="1"/>
    <col min="5638" max="5638" width="14.140625" style="265" bestFit="1" customWidth="1"/>
    <col min="5639" max="5639" width="18" style="265" bestFit="1" customWidth="1"/>
    <col min="5640" max="5640" width="11" style="265" bestFit="1" customWidth="1"/>
    <col min="5641" max="5889" width="9.140625" style="265"/>
    <col min="5890" max="5890" width="21" style="265" customWidth="1"/>
    <col min="5891" max="5891" width="81.42578125" style="265" customWidth="1"/>
    <col min="5892" max="5893" width="15.5703125" style="265" customWidth="1"/>
    <col min="5894" max="5894" width="14.140625" style="265" bestFit="1" customWidth="1"/>
    <col min="5895" max="5895" width="18" style="265" bestFit="1" customWidth="1"/>
    <col min="5896" max="5896" width="11" style="265" bestFit="1" customWidth="1"/>
    <col min="5897" max="6145" width="9.140625" style="265"/>
    <col min="6146" max="6146" width="21" style="265" customWidth="1"/>
    <col min="6147" max="6147" width="81.42578125" style="265" customWidth="1"/>
    <col min="6148" max="6149" width="15.5703125" style="265" customWidth="1"/>
    <col min="6150" max="6150" width="14.140625" style="265" bestFit="1" customWidth="1"/>
    <col min="6151" max="6151" width="18" style="265" bestFit="1" customWidth="1"/>
    <col min="6152" max="6152" width="11" style="265" bestFit="1" customWidth="1"/>
    <col min="6153" max="6401" width="9.140625" style="265"/>
    <col min="6402" max="6402" width="21" style="265" customWidth="1"/>
    <col min="6403" max="6403" width="81.42578125" style="265" customWidth="1"/>
    <col min="6404" max="6405" width="15.5703125" style="265" customWidth="1"/>
    <col min="6406" max="6406" width="14.140625" style="265" bestFit="1" customWidth="1"/>
    <col min="6407" max="6407" width="18" style="265" bestFit="1" customWidth="1"/>
    <col min="6408" max="6408" width="11" style="265" bestFit="1" customWidth="1"/>
    <col min="6409" max="6657" width="9.140625" style="265"/>
    <col min="6658" max="6658" width="21" style="265" customWidth="1"/>
    <col min="6659" max="6659" width="81.42578125" style="265" customWidth="1"/>
    <col min="6660" max="6661" width="15.5703125" style="265" customWidth="1"/>
    <col min="6662" max="6662" width="14.140625" style="265" bestFit="1" customWidth="1"/>
    <col min="6663" max="6663" width="18" style="265" bestFit="1" customWidth="1"/>
    <col min="6664" max="6664" width="11" style="265" bestFit="1" customWidth="1"/>
    <col min="6665" max="6913" width="9.140625" style="265"/>
    <col min="6914" max="6914" width="21" style="265" customWidth="1"/>
    <col min="6915" max="6915" width="81.42578125" style="265" customWidth="1"/>
    <col min="6916" max="6917" width="15.5703125" style="265" customWidth="1"/>
    <col min="6918" max="6918" width="14.140625" style="265" bestFit="1" customWidth="1"/>
    <col min="6919" max="6919" width="18" style="265" bestFit="1" customWidth="1"/>
    <col min="6920" max="6920" width="11" style="265" bestFit="1" customWidth="1"/>
    <col min="6921" max="7169" width="9.140625" style="265"/>
    <col min="7170" max="7170" width="21" style="265" customWidth="1"/>
    <col min="7171" max="7171" width="81.42578125" style="265" customWidth="1"/>
    <col min="7172" max="7173" width="15.5703125" style="265" customWidth="1"/>
    <col min="7174" max="7174" width="14.140625" style="265" bestFit="1" customWidth="1"/>
    <col min="7175" max="7175" width="18" style="265" bestFit="1" customWidth="1"/>
    <col min="7176" max="7176" width="11" style="265" bestFit="1" customWidth="1"/>
    <col min="7177" max="7425" width="9.140625" style="265"/>
    <col min="7426" max="7426" width="21" style="265" customWidth="1"/>
    <col min="7427" max="7427" width="81.42578125" style="265" customWidth="1"/>
    <col min="7428" max="7429" width="15.5703125" style="265" customWidth="1"/>
    <col min="7430" max="7430" width="14.140625" style="265" bestFit="1" customWidth="1"/>
    <col min="7431" max="7431" width="18" style="265" bestFit="1" customWidth="1"/>
    <col min="7432" max="7432" width="11" style="265" bestFit="1" customWidth="1"/>
    <col min="7433" max="7681" width="9.140625" style="265"/>
    <col min="7682" max="7682" width="21" style="265" customWidth="1"/>
    <col min="7683" max="7683" width="81.42578125" style="265" customWidth="1"/>
    <col min="7684" max="7685" width="15.5703125" style="265" customWidth="1"/>
    <col min="7686" max="7686" width="14.140625" style="265" bestFit="1" customWidth="1"/>
    <col min="7687" max="7687" width="18" style="265" bestFit="1" customWidth="1"/>
    <col min="7688" max="7688" width="11" style="265" bestFit="1" customWidth="1"/>
    <col min="7689" max="7937" width="9.140625" style="265"/>
    <col min="7938" max="7938" width="21" style="265" customWidth="1"/>
    <col min="7939" max="7939" width="81.42578125" style="265" customWidth="1"/>
    <col min="7940" max="7941" width="15.5703125" style="265" customWidth="1"/>
    <col min="7942" max="7942" width="14.140625" style="265" bestFit="1" customWidth="1"/>
    <col min="7943" max="7943" width="18" style="265" bestFit="1" customWidth="1"/>
    <col min="7944" max="7944" width="11" style="265" bestFit="1" customWidth="1"/>
    <col min="7945" max="8193" width="9.140625" style="265"/>
    <col min="8194" max="8194" width="21" style="265" customWidth="1"/>
    <col min="8195" max="8195" width="81.42578125" style="265" customWidth="1"/>
    <col min="8196" max="8197" width="15.5703125" style="265" customWidth="1"/>
    <col min="8198" max="8198" width="14.140625" style="265" bestFit="1" customWidth="1"/>
    <col min="8199" max="8199" width="18" style="265" bestFit="1" customWidth="1"/>
    <col min="8200" max="8200" width="11" style="265" bestFit="1" customWidth="1"/>
    <col min="8201" max="8449" width="9.140625" style="265"/>
    <col min="8450" max="8450" width="21" style="265" customWidth="1"/>
    <col min="8451" max="8451" width="81.42578125" style="265" customWidth="1"/>
    <col min="8452" max="8453" width="15.5703125" style="265" customWidth="1"/>
    <col min="8454" max="8454" width="14.140625" style="265" bestFit="1" customWidth="1"/>
    <col min="8455" max="8455" width="18" style="265" bestFit="1" customWidth="1"/>
    <col min="8456" max="8456" width="11" style="265" bestFit="1" customWidth="1"/>
    <col min="8457" max="8705" width="9.140625" style="265"/>
    <col min="8706" max="8706" width="21" style="265" customWidth="1"/>
    <col min="8707" max="8707" width="81.42578125" style="265" customWidth="1"/>
    <col min="8708" max="8709" width="15.5703125" style="265" customWidth="1"/>
    <col min="8710" max="8710" width="14.140625" style="265" bestFit="1" customWidth="1"/>
    <col min="8711" max="8711" width="18" style="265" bestFit="1" customWidth="1"/>
    <col min="8712" max="8712" width="11" style="265" bestFit="1" customWidth="1"/>
    <col min="8713" max="8961" width="9.140625" style="265"/>
    <col min="8962" max="8962" width="21" style="265" customWidth="1"/>
    <col min="8963" max="8963" width="81.42578125" style="265" customWidth="1"/>
    <col min="8964" max="8965" width="15.5703125" style="265" customWidth="1"/>
    <col min="8966" max="8966" width="14.140625" style="265" bestFit="1" customWidth="1"/>
    <col min="8967" max="8967" width="18" style="265" bestFit="1" customWidth="1"/>
    <col min="8968" max="8968" width="11" style="265" bestFit="1" customWidth="1"/>
    <col min="8969" max="9217" width="9.140625" style="265"/>
    <col min="9218" max="9218" width="21" style="265" customWidth="1"/>
    <col min="9219" max="9219" width="81.42578125" style="265" customWidth="1"/>
    <col min="9220" max="9221" width="15.5703125" style="265" customWidth="1"/>
    <col min="9222" max="9222" width="14.140625" style="265" bestFit="1" customWidth="1"/>
    <col min="9223" max="9223" width="18" style="265" bestFit="1" customWidth="1"/>
    <col min="9224" max="9224" width="11" style="265" bestFit="1" customWidth="1"/>
    <col min="9225" max="9473" width="9.140625" style="265"/>
    <col min="9474" max="9474" width="21" style="265" customWidth="1"/>
    <col min="9475" max="9475" width="81.42578125" style="265" customWidth="1"/>
    <col min="9476" max="9477" width="15.5703125" style="265" customWidth="1"/>
    <col min="9478" max="9478" width="14.140625" style="265" bestFit="1" customWidth="1"/>
    <col min="9479" max="9479" width="18" style="265" bestFit="1" customWidth="1"/>
    <col min="9480" max="9480" width="11" style="265" bestFit="1" customWidth="1"/>
    <col min="9481" max="9729" width="9.140625" style="265"/>
    <col min="9730" max="9730" width="21" style="265" customWidth="1"/>
    <col min="9731" max="9731" width="81.42578125" style="265" customWidth="1"/>
    <col min="9732" max="9733" width="15.5703125" style="265" customWidth="1"/>
    <col min="9734" max="9734" width="14.140625" style="265" bestFit="1" customWidth="1"/>
    <col min="9735" max="9735" width="18" style="265" bestFit="1" customWidth="1"/>
    <col min="9736" max="9736" width="11" style="265" bestFit="1" customWidth="1"/>
    <col min="9737" max="9985" width="9.140625" style="265"/>
    <col min="9986" max="9986" width="21" style="265" customWidth="1"/>
    <col min="9987" max="9987" width="81.42578125" style="265" customWidth="1"/>
    <col min="9988" max="9989" width="15.5703125" style="265" customWidth="1"/>
    <col min="9990" max="9990" width="14.140625" style="265" bestFit="1" customWidth="1"/>
    <col min="9991" max="9991" width="18" style="265" bestFit="1" customWidth="1"/>
    <col min="9992" max="9992" width="11" style="265" bestFit="1" customWidth="1"/>
    <col min="9993" max="10241" width="9.140625" style="265"/>
    <col min="10242" max="10242" width="21" style="265" customWidth="1"/>
    <col min="10243" max="10243" width="81.42578125" style="265" customWidth="1"/>
    <col min="10244" max="10245" width="15.5703125" style="265" customWidth="1"/>
    <col min="10246" max="10246" width="14.140625" style="265" bestFit="1" customWidth="1"/>
    <col min="10247" max="10247" width="18" style="265" bestFit="1" customWidth="1"/>
    <col min="10248" max="10248" width="11" style="265" bestFit="1" customWidth="1"/>
    <col min="10249" max="10497" width="9.140625" style="265"/>
    <col min="10498" max="10498" width="21" style="265" customWidth="1"/>
    <col min="10499" max="10499" width="81.42578125" style="265" customWidth="1"/>
    <col min="10500" max="10501" width="15.5703125" style="265" customWidth="1"/>
    <col min="10502" max="10502" width="14.140625" style="265" bestFit="1" customWidth="1"/>
    <col min="10503" max="10503" width="18" style="265" bestFit="1" customWidth="1"/>
    <col min="10504" max="10504" width="11" style="265" bestFit="1" customWidth="1"/>
    <col min="10505" max="10753" width="9.140625" style="265"/>
    <col min="10754" max="10754" width="21" style="265" customWidth="1"/>
    <col min="10755" max="10755" width="81.42578125" style="265" customWidth="1"/>
    <col min="10756" max="10757" width="15.5703125" style="265" customWidth="1"/>
    <col min="10758" max="10758" width="14.140625" style="265" bestFit="1" customWidth="1"/>
    <col min="10759" max="10759" width="18" style="265" bestFit="1" customWidth="1"/>
    <col min="10760" max="10760" width="11" style="265" bestFit="1" customWidth="1"/>
    <col min="10761" max="11009" width="9.140625" style="265"/>
    <col min="11010" max="11010" width="21" style="265" customWidth="1"/>
    <col min="11011" max="11011" width="81.42578125" style="265" customWidth="1"/>
    <col min="11012" max="11013" width="15.5703125" style="265" customWidth="1"/>
    <col min="11014" max="11014" width="14.140625" style="265" bestFit="1" customWidth="1"/>
    <col min="11015" max="11015" width="18" style="265" bestFit="1" customWidth="1"/>
    <col min="11016" max="11016" width="11" style="265" bestFit="1" customWidth="1"/>
    <col min="11017" max="11265" width="9.140625" style="265"/>
    <col min="11266" max="11266" width="21" style="265" customWidth="1"/>
    <col min="11267" max="11267" width="81.42578125" style="265" customWidth="1"/>
    <col min="11268" max="11269" width="15.5703125" style="265" customWidth="1"/>
    <col min="11270" max="11270" width="14.140625" style="265" bestFit="1" customWidth="1"/>
    <col min="11271" max="11271" width="18" style="265" bestFit="1" customWidth="1"/>
    <col min="11272" max="11272" width="11" style="265" bestFit="1" customWidth="1"/>
    <col min="11273" max="11521" width="9.140625" style="265"/>
    <col min="11522" max="11522" width="21" style="265" customWidth="1"/>
    <col min="11523" max="11523" width="81.42578125" style="265" customWidth="1"/>
    <col min="11524" max="11525" width="15.5703125" style="265" customWidth="1"/>
    <col min="11526" max="11526" width="14.140625" style="265" bestFit="1" customWidth="1"/>
    <col min="11527" max="11527" width="18" style="265" bestFit="1" customWidth="1"/>
    <col min="11528" max="11528" width="11" style="265" bestFit="1" customWidth="1"/>
    <col min="11529" max="11777" width="9.140625" style="265"/>
    <col min="11778" max="11778" width="21" style="265" customWidth="1"/>
    <col min="11779" max="11779" width="81.42578125" style="265" customWidth="1"/>
    <col min="11780" max="11781" width="15.5703125" style="265" customWidth="1"/>
    <col min="11782" max="11782" width="14.140625" style="265" bestFit="1" customWidth="1"/>
    <col min="11783" max="11783" width="18" style="265" bestFit="1" customWidth="1"/>
    <col min="11784" max="11784" width="11" style="265" bestFit="1" customWidth="1"/>
    <col min="11785" max="12033" width="9.140625" style="265"/>
    <col min="12034" max="12034" width="21" style="265" customWidth="1"/>
    <col min="12035" max="12035" width="81.42578125" style="265" customWidth="1"/>
    <col min="12036" max="12037" width="15.5703125" style="265" customWidth="1"/>
    <col min="12038" max="12038" width="14.140625" style="265" bestFit="1" customWidth="1"/>
    <col min="12039" max="12039" width="18" style="265" bestFit="1" customWidth="1"/>
    <col min="12040" max="12040" width="11" style="265" bestFit="1" customWidth="1"/>
    <col min="12041" max="12289" width="9.140625" style="265"/>
    <col min="12290" max="12290" width="21" style="265" customWidth="1"/>
    <col min="12291" max="12291" width="81.42578125" style="265" customWidth="1"/>
    <col min="12292" max="12293" width="15.5703125" style="265" customWidth="1"/>
    <col min="12294" max="12294" width="14.140625" style="265" bestFit="1" customWidth="1"/>
    <col min="12295" max="12295" width="18" style="265" bestFit="1" customWidth="1"/>
    <col min="12296" max="12296" width="11" style="265" bestFit="1" customWidth="1"/>
    <col min="12297" max="12545" width="9.140625" style="265"/>
    <col min="12546" max="12546" width="21" style="265" customWidth="1"/>
    <col min="12547" max="12547" width="81.42578125" style="265" customWidth="1"/>
    <col min="12548" max="12549" width="15.5703125" style="265" customWidth="1"/>
    <col min="12550" max="12550" width="14.140625" style="265" bestFit="1" customWidth="1"/>
    <col min="12551" max="12551" width="18" style="265" bestFit="1" customWidth="1"/>
    <col min="12552" max="12552" width="11" style="265" bestFit="1" customWidth="1"/>
    <col min="12553" max="12801" width="9.140625" style="265"/>
    <col min="12802" max="12802" width="21" style="265" customWidth="1"/>
    <col min="12803" max="12803" width="81.42578125" style="265" customWidth="1"/>
    <col min="12804" max="12805" width="15.5703125" style="265" customWidth="1"/>
    <col min="12806" max="12806" width="14.140625" style="265" bestFit="1" customWidth="1"/>
    <col min="12807" max="12807" width="18" style="265" bestFit="1" customWidth="1"/>
    <col min="12808" max="12808" width="11" style="265" bestFit="1" customWidth="1"/>
    <col min="12809" max="13057" width="9.140625" style="265"/>
    <col min="13058" max="13058" width="21" style="265" customWidth="1"/>
    <col min="13059" max="13059" width="81.42578125" style="265" customWidth="1"/>
    <col min="13060" max="13061" width="15.5703125" style="265" customWidth="1"/>
    <col min="13062" max="13062" width="14.140625" style="265" bestFit="1" customWidth="1"/>
    <col min="13063" max="13063" width="18" style="265" bestFit="1" customWidth="1"/>
    <col min="13064" max="13064" width="11" style="265" bestFit="1" customWidth="1"/>
    <col min="13065" max="13313" width="9.140625" style="265"/>
    <col min="13314" max="13314" width="21" style="265" customWidth="1"/>
    <col min="13315" max="13315" width="81.42578125" style="265" customWidth="1"/>
    <col min="13316" max="13317" width="15.5703125" style="265" customWidth="1"/>
    <col min="13318" max="13318" width="14.140625" style="265" bestFit="1" customWidth="1"/>
    <col min="13319" max="13319" width="18" style="265" bestFit="1" customWidth="1"/>
    <col min="13320" max="13320" width="11" style="265" bestFit="1" customWidth="1"/>
    <col min="13321" max="13569" width="9.140625" style="265"/>
    <col min="13570" max="13570" width="21" style="265" customWidth="1"/>
    <col min="13571" max="13571" width="81.42578125" style="265" customWidth="1"/>
    <col min="13572" max="13573" width="15.5703125" style="265" customWidth="1"/>
    <col min="13574" max="13574" width="14.140625" style="265" bestFit="1" customWidth="1"/>
    <col min="13575" max="13575" width="18" style="265" bestFit="1" customWidth="1"/>
    <col min="13576" max="13576" width="11" style="265" bestFit="1" customWidth="1"/>
    <col min="13577" max="13825" width="9.140625" style="265"/>
    <col min="13826" max="13826" width="21" style="265" customWidth="1"/>
    <col min="13827" max="13827" width="81.42578125" style="265" customWidth="1"/>
    <col min="13828" max="13829" width="15.5703125" style="265" customWidth="1"/>
    <col min="13830" max="13830" width="14.140625" style="265" bestFit="1" customWidth="1"/>
    <col min="13831" max="13831" width="18" style="265" bestFit="1" customWidth="1"/>
    <col min="13832" max="13832" width="11" style="265" bestFit="1" customWidth="1"/>
    <col min="13833" max="14081" width="9.140625" style="265"/>
    <col min="14082" max="14082" width="21" style="265" customWidth="1"/>
    <col min="14083" max="14083" width="81.42578125" style="265" customWidth="1"/>
    <col min="14084" max="14085" width="15.5703125" style="265" customWidth="1"/>
    <col min="14086" max="14086" width="14.140625" style="265" bestFit="1" customWidth="1"/>
    <col min="14087" max="14087" width="18" style="265" bestFit="1" customWidth="1"/>
    <col min="14088" max="14088" width="11" style="265" bestFit="1" customWidth="1"/>
    <col min="14089" max="14337" width="9.140625" style="265"/>
    <col min="14338" max="14338" width="21" style="265" customWidth="1"/>
    <col min="14339" max="14339" width="81.42578125" style="265" customWidth="1"/>
    <col min="14340" max="14341" width="15.5703125" style="265" customWidth="1"/>
    <col min="14342" max="14342" width="14.140625" style="265" bestFit="1" customWidth="1"/>
    <col min="14343" max="14343" width="18" style="265" bestFit="1" customWidth="1"/>
    <col min="14344" max="14344" width="11" style="265" bestFit="1" customWidth="1"/>
    <col min="14345" max="14593" width="9.140625" style="265"/>
    <col min="14594" max="14594" width="21" style="265" customWidth="1"/>
    <col min="14595" max="14595" width="81.42578125" style="265" customWidth="1"/>
    <col min="14596" max="14597" width="15.5703125" style="265" customWidth="1"/>
    <col min="14598" max="14598" width="14.140625" style="265" bestFit="1" customWidth="1"/>
    <col min="14599" max="14599" width="18" style="265" bestFit="1" customWidth="1"/>
    <col min="14600" max="14600" width="11" style="265" bestFit="1" customWidth="1"/>
    <col min="14601" max="14849" width="9.140625" style="265"/>
    <col min="14850" max="14850" width="21" style="265" customWidth="1"/>
    <col min="14851" max="14851" width="81.42578125" style="265" customWidth="1"/>
    <col min="14852" max="14853" width="15.5703125" style="265" customWidth="1"/>
    <col min="14854" max="14854" width="14.140625" style="265" bestFit="1" customWidth="1"/>
    <col min="14855" max="14855" width="18" style="265" bestFit="1" customWidth="1"/>
    <col min="14856" max="14856" width="11" style="265" bestFit="1" customWidth="1"/>
    <col min="14857" max="15105" width="9.140625" style="265"/>
    <col min="15106" max="15106" width="21" style="265" customWidth="1"/>
    <col min="15107" max="15107" width="81.42578125" style="265" customWidth="1"/>
    <col min="15108" max="15109" width="15.5703125" style="265" customWidth="1"/>
    <col min="15110" max="15110" width="14.140625" style="265" bestFit="1" customWidth="1"/>
    <col min="15111" max="15111" width="18" style="265" bestFit="1" customWidth="1"/>
    <col min="15112" max="15112" width="11" style="265" bestFit="1" customWidth="1"/>
    <col min="15113" max="15361" width="9.140625" style="265"/>
    <col min="15362" max="15362" width="21" style="265" customWidth="1"/>
    <col min="15363" max="15363" width="81.42578125" style="265" customWidth="1"/>
    <col min="15364" max="15365" width="15.5703125" style="265" customWidth="1"/>
    <col min="15366" max="15366" width="14.140625" style="265" bestFit="1" customWidth="1"/>
    <col min="15367" max="15367" width="18" style="265" bestFit="1" customWidth="1"/>
    <col min="15368" max="15368" width="11" style="265" bestFit="1" customWidth="1"/>
    <col min="15369" max="15617" width="9.140625" style="265"/>
    <col min="15618" max="15618" width="21" style="265" customWidth="1"/>
    <col min="15619" max="15619" width="81.42578125" style="265" customWidth="1"/>
    <col min="15620" max="15621" width="15.5703125" style="265" customWidth="1"/>
    <col min="15622" max="15622" width="14.140625" style="265" bestFit="1" customWidth="1"/>
    <col min="15623" max="15623" width="18" style="265" bestFit="1" customWidth="1"/>
    <col min="15624" max="15624" width="11" style="265" bestFit="1" customWidth="1"/>
    <col min="15625" max="15873" width="9.140625" style="265"/>
    <col min="15874" max="15874" width="21" style="265" customWidth="1"/>
    <col min="15875" max="15875" width="81.42578125" style="265" customWidth="1"/>
    <col min="15876" max="15877" width="15.5703125" style="265" customWidth="1"/>
    <col min="15878" max="15878" width="14.140625" style="265" bestFit="1" customWidth="1"/>
    <col min="15879" max="15879" width="18" style="265" bestFit="1" customWidth="1"/>
    <col min="15880" max="15880" width="11" style="265" bestFit="1" customWidth="1"/>
    <col min="15881" max="16129" width="9.140625" style="265"/>
    <col min="16130" max="16130" width="21" style="265" customWidth="1"/>
    <col min="16131" max="16131" width="81.42578125" style="265" customWidth="1"/>
    <col min="16132" max="16133" width="15.5703125" style="265" customWidth="1"/>
    <col min="16134" max="16134" width="14.140625" style="265" bestFit="1" customWidth="1"/>
    <col min="16135" max="16135" width="18" style="265" bestFit="1" customWidth="1"/>
    <col min="16136" max="16136" width="11" style="265" bestFit="1" customWidth="1"/>
    <col min="16137" max="16384" width="9.140625" style="265"/>
  </cols>
  <sheetData>
    <row r="1" spans="1:8" ht="13.5" thickBot="1"/>
    <row r="2" spans="1:8" s="277" customFormat="1" ht="6" thickBot="1">
      <c r="B2" s="272"/>
      <c r="C2" s="1321"/>
      <c r="D2" s="274"/>
      <c r="E2" s="275"/>
      <c r="F2" s="275"/>
      <c r="G2" s="276"/>
    </row>
    <row r="3" spans="1:8" ht="60" customHeight="1" thickBot="1">
      <c r="A3" s="271" t="s">
        <v>390</v>
      </c>
      <c r="B3" s="2248"/>
      <c r="C3" s="2250" t="s">
        <v>13361</v>
      </c>
      <c r="D3" s="2251"/>
      <c r="E3" s="1612"/>
      <c r="F3" s="2118" t="str">
        <f>'ORÇAMENTO '!M5</f>
        <v>Ref.: Tabela de Serviços
SINAPI (JANEIRO/2024)</v>
      </c>
      <c r="G3" s="2119"/>
    </row>
    <row r="4" spans="1:8" ht="60" customHeight="1" thickBot="1">
      <c r="A4" s="271" t="s">
        <v>391</v>
      </c>
      <c r="B4" s="2249"/>
      <c r="C4" s="2191" t="s">
        <v>13363</v>
      </c>
      <c r="D4" s="2192"/>
      <c r="E4" s="1613"/>
      <c r="F4" s="379" t="s">
        <v>4</v>
      </c>
      <c r="G4" s="1385">
        <f>'BDI '!G32</f>
        <v>0.24199999999999999</v>
      </c>
    </row>
    <row r="5" spans="1:8" s="280" customFormat="1" ht="15" customHeight="1" thickBot="1">
      <c r="B5" s="2242" t="str">
        <f>RESUMO!B7</f>
        <v>C E N T R A L   D E   P R O J E T O S</v>
      </c>
      <c r="C5" s="2243"/>
      <c r="D5" s="2243"/>
      <c r="E5" s="2243"/>
      <c r="F5" s="2243"/>
      <c r="G5" s="2244"/>
    </row>
    <row r="6" spans="1:8" s="277" customFormat="1" ht="6" thickBot="1">
      <c r="B6" s="272"/>
      <c r="C6" s="273"/>
      <c r="D6" s="274"/>
      <c r="E6" s="275"/>
      <c r="F6" s="275"/>
      <c r="G6" s="276"/>
    </row>
    <row r="7" spans="1:8" ht="18" customHeight="1">
      <c r="B7" s="207" t="s">
        <v>5</v>
      </c>
      <c r="C7" s="2215" t="str">
        <f>'ORÇAMENTO '!G11</f>
        <v xml:space="preserve">ESCOLA MUNICIPAL DOMINGOS AZZOLINI </v>
      </c>
      <c r="D7" s="2215"/>
      <c r="E7" s="2215"/>
      <c r="F7" s="208" t="s">
        <v>6</v>
      </c>
      <c r="G7" s="209">
        <f>'ORÇAMENTO '!N11</f>
        <v>45366</v>
      </c>
    </row>
    <row r="8" spans="1:8" ht="18" customHeight="1">
      <c r="B8" s="210" t="s">
        <v>7</v>
      </c>
      <c r="C8" s="2213" t="str">
        <f>'ORÇAMENTO '!G12</f>
        <v>SANTO ANTONIO DO LESTE</v>
      </c>
      <c r="D8" s="2213"/>
      <c r="E8" s="2214" t="str">
        <f>'ORÇAMENTO '!K12</f>
        <v>LEIS SOCIAIS: HORISTA</v>
      </c>
      <c r="F8" s="2214"/>
      <c r="G8" s="211">
        <f>'ORÇAMENTO '!N12</f>
        <v>1.0684</v>
      </c>
    </row>
    <row r="9" spans="1:8" s="46" customFormat="1" ht="18" customHeight="1" thickBot="1">
      <c r="B9" s="2187"/>
      <c r="C9" s="2188"/>
      <c r="D9" s="2188"/>
      <c r="E9" s="2186" t="str">
        <f>'ORÇAMENTO '!K13</f>
        <v>LEIS SOCIAIS: MENSALISTA</v>
      </c>
      <c r="F9" s="2186"/>
      <c r="G9" s="193">
        <f>'ORÇAMENTO '!N13</f>
        <v>0.65400000000000003</v>
      </c>
    </row>
    <row r="10" spans="1:8" s="277" customFormat="1" ht="6" thickBot="1">
      <c r="B10" s="1663"/>
      <c r="C10" s="1664"/>
      <c r="D10" s="1665"/>
      <c r="E10" s="1666"/>
      <c r="F10" s="1666"/>
      <c r="G10" s="1667"/>
    </row>
    <row r="11" spans="1:8" ht="18.75" thickBot="1">
      <c r="B11" s="2245" t="s">
        <v>1577</v>
      </c>
      <c r="C11" s="2246"/>
      <c r="D11" s="2246"/>
      <c r="E11" s="2246"/>
      <c r="F11" s="2246"/>
      <c r="G11" s="2247"/>
    </row>
    <row r="12" spans="1:8" s="277" customFormat="1" ht="6" thickBot="1">
      <c r="B12" s="1663"/>
      <c r="C12" s="1664"/>
      <c r="D12" s="1665"/>
      <c r="E12" s="1666"/>
      <c r="F12" s="1666"/>
      <c r="G12" s="1667"/>
    </row>
    <row r="13" spans="1:8" ht="6" customHeight="1" thickBot="1">
      <c r="B13" s="259"/>
      <c r="C13" s="259"/>
      <c r="D13" s="259"/>
      <c r="E13" s="259"/>
      <c r="F13" s="380"/>
      <c r="G13" s="380"/>
    </row>
    <row r="14" spans="1:8" ht="37.5" customHeight="1">
      <c r="B14" s="623" t="str">
        <f>IF(COUNT($H$14:H14)&lt;10,CONCATENATE("CPU EST 00",COUNT($H$14:H14)),CONCATENATE("CPU EST 0",COUNT($H$14:H14)))</f>
        <v>CPU EST 001</v>
      </c>
      <c r="C14" s="2174" t="s">
        <v>5569</v>
      </c>
      <c r="D14" s="2175"/>
      <c r="E14" s="2175"/>
      <c r="F14" s="2176"/>
      <c r="G14" s="624" t="s">
        <v>20</v>
      </c>
      <c r="H14" s="607">
        <f>G30</f>
        <v>17.64</v>
      </c>
    </row>
    <row r="15" spans="1:8" s="271" customFormat="1" ht="31.5">
      <c r="A15" s="333"/>
      <c r="B15" s="802" t="s">
        <v>197</v>
      </c>
      <c r="C15" s="955" t="s">
        <v>161</v>
      </c>
      <c r="D15" s="955" t="s">
        <v>22</v>
      </c>
      <c r="E15" s="955" t="s">
        <v>162</v>
      </c>
      <c r="F15" s="956" t="s">
        <v>163</v>
      </c>
      <c r="G15" s="957" t="s">
        <v>164</v>
      </c>
    </row>
    <row r="16" spans="1:8" s="271" customFormat="1" ht="15.75">
      <c r="A16" s="333"/>
      <c r="B16" s="2232" t="s">
        <v>168</v>
      </c>
      <c r="C16" s="2233"/>
      <c r="D16" s="2233"/>
      <c r="E16" s="2233"/>
      <c r="F16" s="2233"/>
      <c r="G16" s="2234"/>
    </row>
    <row r="17" spans="1:8" s="271" customFormat="1" ht="30">
      <c r="A17" s="333" t="s">
        <v>390</v>
      </c>
      <c r="B17" s="958">
        <v>40598</v>
      </c>
      <c r="C17" s="959" t="str">
        <f>IF($A17="INSUMO",VLOOKUP($B17,'BANCO DE DADOS JANEIRO-24 INS'!$A:$D,2,FALSE),VLOOKUP($B17,'BANCO DE DADOS JANEIRO-24 SERV'!$B:$E,2,FALSE))</f>
        <v xml:space="preserve">PERFIL "U" SIMPLES, EM CHAPA DOBRADA DE ACO LAMINADO, E = 3 MM, H = 125 MM, L = 50 MM (5,07 KG/M)                                                                                                                                                                                                                                                                                                                                                                                                         </v>
      </c>
      <c r="D17" s="960" t="str">
        <f>IF($A17="INSUMO",VLOOKUP($B17,'BANCO DE DADOS JANEIRO-24 INS'!$A:$D,3,FALSE),VLOOKUP($B17,'BANCO DE DADOS JANEIRO-24 SERV'!$B:$E,3,FALSE))</f>
        <v xml:space="preserve">KG    </v>
      </c>
      <c r="E17" s="961">
        <v>0.52500000000000002</v>
      </c>
      <c r="F17" s="962">
        <f>IF($A17="INSUMO",VLOOKUP($B17,'BANCO DE DADOS JANEIRO-24 INS'!$A:$D,4,FALSE),VLOOKUP($B17,'BANCO DE DADOS JANEIRO-24 SERV'!$B:$E,4,FALSE))</f>
        <v>8.4499999999999993</v>
      </c>
      <c r="G17" s="963">
        <f t="shared" ref="G17:G22" si="0">TRUNC(E17*F17,2)</f>
        <v>4.43</v>
      </c>
    </row>
    <row r="18" spans="1:8" s="271" customFormat="1" ht="15.75">
      <c r="A18" s="333" t="s">
        <v>390</v>
      </c>
      <c r="B18" s="958">
        <v>546</v>
      </c>
      <c r="C18" s="959" t="str">
        <f>IF($A18="INSUMO",VLOOKUP($B18,'BANCO DE DADOS JANEIRO-24 INS'!$A:$D,2,FALSE),VLOOKUP($B18,'BANCO DE DADOS JANEIRO-24 SERV'!$B:$E,2,FALSE))</f>
        <v xml:space="preserve">BARRA DE ACO CHATA, RETANGULAR (QUALQUER BITOLA)                                                                                                                                                                                                                                                                                                                                                                                                                                                          </v>
      </c>
      <c r="D18" s="960" t="str">
        <f>IF($A18="INSUMO",VLOOKUP($B18,'BANCO DE DADOS JANEIRO-24 INS'!$A:$D,3,FALSE),VLOOKUP($B18,'BANCO DE DADOS JANEIRO-24 SERV'!$B:$E,3,FALSE))</f>
        <v xml:space="preserve">KG    </v>
      </c>
      <c r="E18" s="961">
        <v>0.52500000000000002</v>
      </c>
      <c r="F18" s="962">
        <f>IF($A18="INSUMO",VLOOKUP($B18,'BANCO DE DADOS JANEIRO-24 INS'!$A:$D,4,FALSE),VLOOKUP($B18,'BANCO DE DADOS JANEIRO-24 SERV'!$B:$E,4,FALSE))</f>
        <v>8.1999999999999993</v>
      </c>
      <c r="G18" s="963">
        <f t="shared" si="0"/>
        <v>4.3</v>
      </c>
    </row>
    <row r="19" spans="1:8" s="271" customFormat="1" ht="15.75">
      <c r="A19" s="333" t="s">
        <v>390</v>
      </c>
      <c r="B19" s="958">
        <v>7307</v>
      </c>
      <c r="C19" s="959" t="str">
        <f>IF($A19="INSUMO",VLOOKUP($B19,'BANCO DE DADOS JANEIRO-24 INS'!$A:$D,2,FALSE),VLOOKUP($B19,'BANCO DE DADOS JANEIRO-24 SERV'!$B:$E,2,FALSE))</f>
        <v xml:space="preserve">FUNDO ANTICORROSIVO PARA METAIS FERROSOS (ZARCAO)                                                                                                                                                                                                                                                                                                                                                                                                                                                         </v>
      </c>
      <c r="D19" s="960" t="str">
        <f>IF($A19="INSUMO",VLOOKUP($B19,'BANCO DE DADOS JANEIRO-24 INS'!$A:$D,3,FALSE),VLOOKUP($B19,'BANCO DE DADOS JANEIRO-24 SERV'!$B:$E,3,FALSE))</f>
        <v xml:space="preserve">L     </v>
      </c>
      <c r="E19" s="961">
        <v>2.5000000000000001E-3</v>
      </c>
      <c r="F19" s="962">
        <f>IF($A19="INSUMO",VLOOKUP($B19,'BANCO DE DADOS JANEIRO-24 INS'!$A:$D,4,FALSE),VLOOKUP($B19,'BANCO DE DADOS JANEIRO-24 SERV'!$B:$E,4,FALSE))</f>
        <v>35.950000000000003</v>
      </c>
      <c r="G19" s="963">
        <f t="shared" si="0"/>
        <v>0.08</v>
      </c>
    </row>
    <row r="20" spans="1:8" s="271" customFormat="1" ht="15.75">
      <c r="A20" s="333" t="s">
        <v>390</v>
      </c>
      <c r="B20" s="958">
        <v>10997</v>
      </c>
      <c r="C20" s="959" t="str">
        <f>IF($A20="INSUMO",VLOOKUP($B20,'BANCO DE DADOS JANEIRO-24 INS'!$A:$D,2,FALSE),VLOOKUP($B20,'BANCO DE DADOS JANEIRO-24 SERV'!$B:$E,2,FALSE))</f>
        <v xml:space="preserve">ELETRODO REVESTIDO AWS - E7018, DIAMETRO IGUAL A 4,00 MM                                                                                                                                                                                                                                                                                                                                                                                                                                                  </v>
      </c>
      <c r="D20" s="960" t="str">
        <f>IF($A20="INSUMO",VLOOKUP($B20,'BANCO DE DADOS JANEIRO-24 INS'!$A:$D,3,FALSE),VLOOKUP($B20,'BANCO DE DADOS JANEIRO-24 SERV'!$B:$E,3,FALSE))</f>
        <v xml:space="preserve">KG    </v>
      </c>
      <c r="E20" s="961">
        <v>1.2999999999999999E-2</v>
      </c>
      <c r="F20" s="962">
        <f>IF($A20="INSUMO",VLOOKUP($B20,'BANCO DE DADOS JANEIRO-24 INS'!$A:$D,4,FALSE),VLOOKUP($B20,'BANCO DE DADOS JANEIRO-24 SERV'!$B:$E,4,FALSE))</f>
        <v>34.299999999999997</v>
      </c>
      <c r="G20" s="963">
        <f t="shared" si="0"/>
        <v>0.44</v>
      </c>
    </row>
    <row r="21" spans="1:8" s="271" customFormat="1" ht="15.75">
      <c r="A21" s="333" t="s">
        <v>390</v>
      </c>
      <c r="B21" s="958">
        <v>5318</v>
      </c>
      <c r="C21" s="959" t="str">
        <f>IF($A21="INSUMO",VLOOKUP($B21,'BANCO DE DADOS JANEIRO-24 INS'!$A:$D,2,FALSE),VLOOKUP($B21,'BANCO DE DADOS JANEIRO-24 SERV'!$B:$E,2,FALSE))</f>
        <v xml:space="preserve">DILUENTE AGUARRAS                                                                                                                                                                                                                                                                                                                                                                                                                                                                                         </v>
      </c>
      <c r="D21" s="960" t="str">
        <f>IF($A21="INSUMO",VLOOKUP($B21,'BANCO DE DADOS JANEIRO-24 INS'!$A:$D,3,FALSE),VLOOKUP($B21,'BANCO DE DADOS JANEIRO-24 SERV'!$B:$E,3,FALSE))</f>
        <v xml:space="preserve">L     </v>
      </c>
      <c r="E21" s="961">
        <v>2.9999999999999997E-4</v>
      </c>
      <c r="F21" s="962">
        <f>IF($A21="INSUMO",VLOOKUP($B21,'BANCO DE DADOS JANEIRO-24 INS'!$A:$D,4,FALSE),VLOOKUP($B21,'BANCO DE DADOS JANEIRO-24 SERV'!$B:$E,4,FALSE))</f>
        <v>19.47</v>
      </c>
      <c r="G21" s="963">
        <f t="shared" si="0"/>
        <v>0</v>
      </c>
    </row>
    <row r="22" spans="1:8" s="271" customFormat="1" ht="45">
      <c r="A22" s="333" t="s">
        <v>391</v>
      </c>
      <c r="B22" s="958">
        <v>92716</v>
      </c>
      <c r="C22" s="959" t="str">
        <f>IF($A22="INSUMO",VLOOKUP($B22,'BANCO DE DADOS JANEIRO-24 INS'!$A:$D,2,FALSE),VLOOKUP($B22,'BANCO DE DADOS JANEIRO-24 SERV'!$B:$E,2,FALSE))</f>
        <v>APARELHO PARA CORTE E SOLDA OXI-ACETILENO SOBRE RODAS, INCLUSIVE CILINDROS E MAÇARICOS - CHP DIURNO. AF_05/2023</v>
      </c>
      <c r="D22" s="960" t="str">
        <f>IF($A22="INSUMO",VLOOKUP($B22,'BANCO DE DADOS JANEIRO-24 INS'!$A:$D,3,FALSE),VLOOKUP($B22,'BANCO DE DADOS JANEIRO-24 SERV'!$B:$E,3,FALSE))</f>
        <v>CHP</v>
      </c>
      <c r="E22" s="961">
        <v>0.04</v>
      </c>
      <c r="F22" s="962">
        <f>IF($A22="INSUMO",VLOOKUP($B22,'BANCO DE DADOS JANEIRO-24 INS'!$A:$D,4,FALSE),VLOOKUP($B22,'BANCO DE DADOS JANEIRO-24 SERV'!$B:$E,4,FALSE))</f>
        <v>136.09</v>
      </c>
      <c r="G22" s="963">
        <f t="shared" si="0"/>
        <v>5.44</v>
      </c>
    </row>
    <row r="23" spans="1:8" s="271" customFormat="1" ht="15.75">
      <c r="A23" s="333"/>
      <c r="B23" s="2232" t="s">
        <v>169</v>
      </c>
      <c r="C23" s="2233"/>
      <c r="D23" s="2233"/>
      <c r="E23" s="2233"/>
      <c r="F23" s="2233"/>
      <c r="G23" s="2234"/>
    </row>
    <row r="24" spans="1:8" s="271" customFormat="1" ht="15.75">
      <c r="A24" s="333" t="s">
        <v>391</v>
      </c>
      <c r="B24" s="958">
        <v>88315</v>
      </c>
      <c r="C24" s="959" t="str">
        <f>IF($A24="INSUMO",VLOOKUP($B24,'BANCO DE DADOS JANEIRO-24 INS'!$A:$D,2,FALSE),VLOOKUP($B24,'BANCO DE DADOS JANEIRO-24 SERV'!$B:$E,2,FALSE))</f>
        <v>SERRALHEIRO COM ENCARGOS COMPLEMENTARES</v>
      </c>
      <c r="D24" s="960" t="str">
        <f>IF($A24="INSUMO",VLOOKUP($B24,'BANCO DE DADOS JANEIRO-24 INS'!$A:$D,3,FALSE),VLOOKUP($B24,'BANCO DE DADOS JANEIRO-24 SERV'!$B:$E,3,FALSE))</f>
        <v>H</v>
      </c>
      <c r="E24" s="964">
        <v>0.02</v>
      </c>
      <c r="F24" s="962">
        <f>IF($A24="INSUMO",VLOOKUP($B24,'BANCO DE DADOS JANEIRO-24 INS'!$A:$D,4,FALSE),VLOOKUP($B24,'BANCO DE DADOS JANEIRO-24 SERV'!$B:$E,4,FALSE))</f>
        <v>25.4</v>
      </c>
      <c r="G24" s="963">
        <f t="shared" ref="G24:G29" si="1">TRUNC(E24*F24,2)</f>
        <v>0.5</v>
      </c>
    </row>
    <row r="25" spans="1:8" s="271" customFormat="1" ht="15.75" customHeight="1">
      <c r="A25" s="333" t="s">
        <v>391</v>
      </c>
      <c r="B25" s="958">
        <v>88251</v>
      </c>
      <c r="C25" s="959" t="str">
        <f>IF($A25="INSUMO",VLOOKUP($B25,'BANCO DE DADOS JANEIRO-24 INS'!$A:$D,2,FALSE),VLOOKUP($B25,'BANCO DE DADOS JANEIRO-24 SERV'!$B:$E,2,FALSE))</f>
        <v>AUXILIAR DE SERRALHEIRO COM ENCARGOS COMPLEMENTARES</v>
      </c>
      <c r="D25" s="960" t="str">
        <f>IF($A25="INSUMO",VLOOKUP($B25,'BANCO DE DADOS JANEIRO-24 INS'!$A:$D,3,FALSE),VLOOKUP($B25,'BANCO DE DADOS JANEIRO-24 SERV'!$B:$E,3,FALSE))</f>
        <v>H</v>
      </c>
      <c r="E25" s="964">
        <v>0.02</v>
      </c>
      <c r="F25" s="962">
        <f>IF($A25="INSUMO",VLOOKUP($B25,'BANCO DE DADOS JANEIRO-24 INS'!$A:$D,4,FALSE),VLOOKUP($B25,'BANCO DE DADOS JANEIRO-24 SERV'!$B:$E,4,FALSE))</f>
        <v>21.5</v>
      </c>
      <c r="G25" s="963">
        <f t="shared" si="1"/>
        <v>0.43</v>
      </c>
    </row>
    <row r="26" spans="1:8" s="271" customFormat="1" ht="15.75">
      <c r="A26" s="333" t="s">
        <v>391</v>
      </c>
      <c r="B26" s="958">
        <v>88310</v>
      </c>
      <c r="C26" s="959" t="str">
        <f>IF($A26="INSUMO",VLOOKUP($B26,'BANCO DE DADOS JANEIRO-24 INS'!$A:$D,2,FALSE),VLOOKUP($B26,'BANCO DE DADOS JANEIRO-24 SERV'!$B:$E,2,FALSE))</f>
        <v>PINTOR COM ENCARGOS COMPLEMENTARES</v>
      </c>
      <c r="D26" s="960" t="str">
        <f>IF($A26="INSUMO",VLOOKUP($B26,'BANCO DE DADOS JANEIRO-24 INS'!$A:$D,3,FALSE),VLOOKUP($B26,'BANCO DE DADOS JANEIRO-24 SERV'!$B:$E,3,FALSE))</f>
        <v>H</v>
      </c>
      <c r="E26" s="964">
        <v>3.0000000000000001E-3</v>
      </c>
      <c r="F26" s="962">
        <f>IF($A26="INSUMO",VLOOKUP($B26,'BANCO DE DADOS JANEIRO-24 INS'!$A:$D,4,FALSE),VLOOKUP($B26,'BANCO DE DADOS JANEIRO-24 SERV'!$B:$E,4,FALSE))</f>
        <v>27.11</v>
      </c>
      <c r="G26" s="963">
        <f t="shared" si="1"/>
        <v>0.08</v>
      </c>
    </row>
    <row r="27" spans="1:8" s="271" customFormat="1" ht="15.75">
      <c r="A27" s="333"/>
      <c r="B27" s="958">
        <v>100301</v>
      </c>
      <c r="C27" s="959" t="str">
        <f>IF($A27="INSUMO",VLOOKUP($B27,'BANCO DE DADOS JANEIRO-24 INS'!$A:$D,2,FALSE),VLOOKUP($B27,'BANCO DE DADOS JANEIRO-24 SERV'!$B:$E,2,FALSE))</f>
        <v>AJUDANTE DE PINTOR COM ENCARGOS COMPLEMENTARES</v>
      </c>
      <c r="D27" s="960" t="str">
        <f>IF($A27="INSUMO",VLOOKUP($B27,'BANCO DE DADOS JANEIRO-24 INS'!$A:$D,3,FALSE),VLOOKUP($B27,'BANCO DE DADOS JANEIRO-24 SERV'!$B:$E,3,FALSE))</f>
        <v>H</v>
      </c>
      <c r="E27" s="964">
        <v>3.0000000000000001E-3</v>
      </c>
      <c r="F27" s="962">
        <f>IF($A27="INSUMO",VLOOKUP($B27,'BANCO DE DADOS JANEIRO-24 INS'!$A:$D,4,FALSE),VLOOKUP($B27,'BANCO DE DADOS JANEIRO-24 SERV'!$B:$E,4,FALSE))</f>
        <v>27.11</v>
      </c>
      <c r="G27" s="963">
        <f t="shared" si="1"/>
        <v>0.08</v>
      </c>
    </row>
    <row r="28" spans="1:8" s="271" customFormat="1" ht="30">
      <c r="A28" s="333" t="s">
        <v>391</v>
      </c>
      <c r="B28" s="958">
        <v>88240</v>
      </c>
      <c r="C28" s="959" t="str">
        <f>IF($A28="INSUMO",VLOOKUP($B28,'BANCO DE DADOS JANEIRO-24 INS'!$A:$D,2,FALSE),VLOOKUP($B28,'BANCO DE DADOS JANEIRO-24 SERV'!$B:$E,2,FALSE))</f>
        <v>AJUDANTE DE ESTRUTURA METÁLICA COM ENCARGOS COMPLEMENTARES</v>
      </c>
      <c r="D28" s="960" t="str">
        <f>IF($A28="INSUMO",VLOOKUP($B28,'BANCO DE DADOS JANEIRO-24 INS'!$A:$D,3,FALSE),VLOOKUP($B28,'BANCO DE DADOS JANEIRO-24 SERV'!$B:$E,3,FALSE))</f>
        <v>H</v>
      </c>
      <c r="E28" s="964">
        <v>0.04</v>
      </c>
      <c r="F28" s="962">
        <f>IF($A28="INSUMO",VLOOKUP($B28,'BANCO DE DADOS JANEIRO-24 INS'!$A:$D,4,FALSE),VLOOKUP($B28,'BANCO DE DADOS JANEIRO-24 SERV'!$B:$E,4,FALSE))</f>
        <v>20.309999999999999</v>
      </c>
      <c r="G28" s="963">
        <f t="shared" si="1"/>
        <v>0.81</v>
      </c>
    </row>
    <row r="29" spans="1:8" s="271" customFormat="1" ht="16.5" thickBot="1">
      <c r="A29" s="333" t="s">
        <v>391</v>
      </c>
      <c r="B29" s="965">
        <v>88317</v>
      </c>
      <c r="C29" s="803" t="str">
        <f>IF($A29="INSUMO",VLOOKUP($B29,'BANCO DE DADOS JANEIRO-24 INS'!$A:$D,2,FALSE),VLOOKUP($B29,'BANCO DE DADOS JANEIRO-24 SERV'!$B:$E,2,FALSE))</f>
        <v>SOLDADOR COM ENCARGOS COMPLEMENTARES</v>
      </c>
      <c r="D29" s="804" t="str">
        <f>IF($A29="INSUMO",VLOOKUP($B29,'BANCO DE DADOS JANEIRO-24 INS'!$A:$D,3,FALSE),VLOOKUP($B29,'BANCO DE DADOS JANEIRO-24 SERV'!$B:$E,3,FALSE))</f>
        <v>H</v>
      </c>
      <c r="E29" s="966">
        <v>0.04</v>
      </c>
      <c r="F29" s="805">
        <f>IF($A29="INSUMO",VLOOKUP($B29,'BANCO DE DADOS JANEIRO-24 INS'!$A:$D,4,FALSE),VLOOKUP($B29,'BANCO DE DADOS JANEIRO-24 SERV'!$B:$E,4,FALSE))</f>
        <v>26.36</v>
      </c>
      <c r="G29" s="967">
        <f t="shared" si="1"/>
        <v>1.05</v>
      </c>
    </row>
    <row r="30" spans="1:8" s="271" customFormat="1" ht="36" customHeight="1" thickBot="1">
      <c r="A30" s="333"/>
      <c r="B30" s="2240" t="s">
        <v>5567</v>
      </c>
      <c r="C30" s="2240"/>
      <c r="D30" s="2240"/>
      <c r="E30" s="2241"/>
      <c r="F30" s="263" t="s">
        <v>170</v>
      </c>
      <c r="G30" s="264">
        <f>TRUNC(SUM(G17:G29),2)</f>
        <v>17.64</v>
      </c>
      <c r="H30" s="605"/>
    </row>
    <row r="31" spans="1:8" ht="13.5" thickBot="1"/>
    <row r="32" spans="1:8" ht="15.75">
      <c r="B32" s="623" t="str">
        <f>IF(COUNT($H$14:H32)&lt;10,CONCATENATE("CPU EST 00",COUNT($H$14:H32)),CONCATENATE("CPU EST 0",COUNT($H$14:H32)))</f>
        <v>CPU EST 002</v>
      </c>
      <c r="C32" s="2174" t="s">
        <v>2183</v>
      </c>
      <c r="D32" s="2175"/>
      <c r="E32" s="2175"/>
      <c r="F32" s="2176"/>
      <c r="G32" s="624" t="s">
        <v>20</v>
      </c>
      <c r="H32" s="607">
        <f>G38</f>
        <v>3.74</v>
      </c>
    </row>
    <row r="33" spans="1:8" s="271" customFormat="1" ht="31.5">
      <c r="A33" s="333"/>
      <c r="B33" s="802" t="s">
        <v>197</v>
      </c>
      <c r="C33" s="955" t="s">
        <v>161</v>
      </c>
      <c r="D33" s="955" t="s">
        <v>22</v>
      </c>
      <c r="E33" s="955" t="s">
        <v>162</v>
      </c>
      <c r="F33" s="956" t="s">
        <v>163</v>
      </c>
      <c r="G33" s="957" t="s">
        <v>164</v>
      </c>
    </row>
    <row r="34" spans="1:8" s="271" customFormat="1" ht="15.75">
      <c r="A34" s="333"/>
      <c r="B34" s="2232" t="s">
        <v>169</v>
      </c>
      <c r="C34" s="2233"/>
      <c r="D34" s="2233"/>
      <c r="E34" s="2233"/>
      <c r="F34" s="2233"/>
      <c r="G34" s="2234"/>
    </row>
    <row r="35" spans="1:8" s="271" customFormat="1" ht="30">
      <c r="A35" s="333" t="s">
        <v>391</v>
      </c>
      <c r="B35" s="958">
        <v>88278</v>
      </c>
      <c r="C35" s="959" t="str">
        <f>IF($A35="INSUMO",VLOOKUP($B35,'BANCO DE DADOS JANEIRO-24 INS'!$A:$D,2,FALSE),VLOOKUP($B35,'BANCO DE DADOS JANEIRO-24 SERV'!$B:$E,2,FALSE))</f>
        <v>MONTADOR DE ESTRUTURA METÁLICA COM ENCARGOS COMPLEMENTARES</v>
      </c>
      <c r="D35" s="960" t="str">
        <f>IF($A35="INSUMO",VLOOKUP($B35,'BANCO DE DADOS JANEIRO-24 INS'!$A:$D,3,FALSE),VLOOKUP($B35,'BANCO DE DADOS JANEIRO-24 SERV'!$B:$E,3,FALSE))</f>
        <v>H</v>
      </c>
      <c r="E35" s="993">
        <v>0.02</v>
      </c>
      <c r="F35" s="962">
        <f>IF($A35="INSUMO",VLOOKUP($B35,'BANCO DE DADOS JANEIRO-24 INS'!$A:$D,4,FALSE),VLOOKUP($B35,'BANCO DE DADOS JANEIRO-24 SERV'!$B:$E,4,FALSE))</f>
        <v>22.44</v>
      </c>
      <c r="G35" s="963">
        <f>TRUNC(E35*F35,2)</f>
        <v>0.44</v>
      </c>
    </row>
    <row r="36" spans="1:8" s="271" customFormat="1" ht="30">
      <c r="A36" s="333" t="s">
        <v>391</v>
      </c>
      <c r="B36" s="958">
        <v>88240</v>
      </c>
      <c r="C36" s="959" t="str">
        <f>IF($A36="INSUMO",VLOOKUP($B36,'BANCO DE DADOS JANEIRO-24 INS'!$A:$D,2,FALSE),VLOOKUP($B36,'BANCO DE DADOS JANEIRO-24 SERV'!$B:$E,2,FALSE))</f>
        <v>AJUDANTE DE ESTRUTURA METÁLICA COM ENCARGOS COMPLEMENTARES</v>
      </c>
      <c r="D36" s="960" t="str">
        <f>IF($A36="INSUMO",VLOOKUP($B36,'BANCO DE DADOS JANEIRO-24 INS'!$A:$D,3,FALSE),VLOOKUP($B36,'BANCO DE DADOS JANEIRO-24 SERV'!$B:$E,3,FALSE))</f>
        <v>H</v>
      </c>
      <c r="E36" s="993">
        <v>0.06</v>
      </c>
      <c r="F36" s="962">
        <f>IF($A36="INSUMO",VLOOKUP($B36,'BANCO DE DADOS JANEIRO-24 INS'!$A:$D,4,FALSE),VLOOKUP($B36,'BANCO DE DADOS JANEIRO-24 SERV'!$B:$E,4,FALSE))</f>
        <v>20.309999999999999</v>
      </c>
      <c r="G36" s="963">
        <f>TRUNC(E36*F36,2)</f>
        <v>1.21</v>
      </c>
    </row>
    <row r="37" spans="1:8" s="271" customFormat="1" ht="45.75" thickBot="1">
      <c r="A37" s="333" t="s">
        <v>391</v>
      </c>
      <c r="B37" s="965">
        <v>89272</v>
      </c>
      <c r="C37" s="803" t="str">
        <f>IF($A37="INSUMO",VLOOKUP($B37,'BANCO DE DADOS JANEIRO-24 INS'!$A:$D,2,FALSE),VLOOKUP($B37,'BANCO DE DADOS JANEIRO-24 SERV'!$B:$E,2,FALSE))</f>
        <v>GUINDASTE HIDRÁULICO AUTOPROPELIDO, COM LANÇA TELESCÓPICA 28,80 M, CAPACIDADE MÁXIMA 30 T, POTÊNCIA 97 KW, TRAÇÃO 4 X 4 - CHP DIURNO. AF_11/2014</v>
      </c>
      <c r="D37" s="804" t="str">
        <f>IF($A37="INSUMO",VLOOKUP($B37,'BANCO DE DADOS JANEIRO-24 INS'!$A:$D,3,FALSE),VLOOKUP($B37,'BANCO DE DADOS JANEIRO-24 SERV'!$B:$E,3,FALSE))</f>
        <v>CHP</v>
      </c>
      <c r="E37" s="994">
        <v>0.01</v>
      </c>
      <c r="F37" s="805">
        <f>IF($A37="INSUMO",VLOOKUP($B37,'BANCO DE DADOS JANEIRO-24 INS'!$A:$D,4,FALSE),VLOOKUP($B37,'BANCO DE DADOS JANEIRO-24 SERV'!$B:$E,4,FALSE))</f>
        <v>209.76</v>
      </c>
      <c r="G37" s="967">
        <f>TRUNC(E37*F37,2)</f>
        <v>2.09</v>
      </c>
    </row>
    <row r="38" spans="1:8" s="271" customFormat="1" ht="16.5" thickBot="1">
      <c r="A38" s="333"/>
      <c r="B38" s="2238" t="s">
        <v>5568</v>
      </c>
      <c r="C38" s="2238"/>
      <c r="D38" s="2238"/>
      <c r="E38" s="2239"/>
      <c r="F38" s="263" t="s">
        <v>170</v>
      </c>
      <c r="G38" s="264">
        <f>TRUNC(SUM(G35:G37),2)</f>
        <v>3.74</v>
      </c>
      <c r="H38" s="605"/>
    </row>
    <row r="39" spans="1:8" ht="13.5" thickBot="1"/>
    <row r="40" spans="1:8" ht="15.75">
      <c r="B40" s="623" t="str">
        <f>IF(COUNT($H$13:H40)&lt;10,CONCATENATE("CPU EST 00",COUNT($H$13:H40)),CONCATENATE("CPU EST 0",COUNT($H$13:H40)))</f>
        <v>CPU EST 003</v>
      </c>
      <c r="C40" s="2180" t="s">
        <v>8214</v>
      </c>
      <c r="D40" s="2180"/>
      <c r="E40" s="2180"/>
      <c r="F40" s="2180"/>
      <c r="G40" s="624" t="str">
        <f>D41</f>
        <v>UN</v>
      </c>
      <c r="H40" s="607">
        <f>G47</f>
        <v>15.04</v>
      </c>
    </row>
    <row r="41" spans="1:8" s="271" customFormat="1" ht="31.5">
      <c r="A41" s="333"/>
      <c r="B41" s="1093" t="s">
        <v>197</v>
      </c>
      <c r="C41" s="1094" t="s">
        <v>161</v>
      </c>
      <c r="D41" s="1094" t="s">
        <v>22</v>
      </c>
      <c r="E41" s="1094" t="s">
        <v>162</v>
      </c>
      <c r="F41" s="1095" t="s">
        <v>163</v>
      </c>
      <c r="G41" s="1096" t="s">
        <v>164</v>
      </c>
    </row>
    <row r="42" spans="1:8" s="271" customFormat="1" ht="15.75">
      <c r="A42" s="333"/>
      <c r="B42" s="2235" t="s">
        <v>168</v>
      </c>
      <c r="C42" s="2236"/>
      <c r="D42" s="2236"/>
      <c r="E42" s="2236"/>
      <c r="F42" s="2236"/>
      <c r="G42" s="2237"/>
    </row>
    <row r="43" spans="1:8" s="271" customFormat="1" ht="30">
      <c r="A43" s="333" t="s">
        <v>390</v>
      </c>
      <c r="B43" s="1274">
        <v>11964</v>
      </c>
      <c r="C43" s="1098" t="str">
        <f>IF($A43="INSUMO",VLOOKUP($B43,'BANCO DE DADOS JANEIRO-24 INS'!$A:$D,2,FALSE),VLOOKUP($B43,'BANCO DE DADOS JANEIRO-24 SERV'!$B:$E,2,FALSE))</f>
        <v xml:space="preserve">PARAFUSO DE ACO TIPO CHUMBADOR PARABOLT, DIAMETRO 3/8", COMPRIMENTO 75 MM                                                                                                                                                                                                                                                                                                                                                                                                                                 </v>
      </c>
      <c r="D43" s="1099" t="str">
        <f>IF($A43="INSUMO",VLOOKUP($B43,'BANCO DE DADOS JANEIRO-24 INS'!$A:$D,3,FALSE),VLOOKUP($B43,'BANCO DE DADOS JANEIRO-24 SERV'!$B:$E,3,FALSE))</f>
        <v xml:space="preserve">UN    </v>
      </c>
      <c r="E43" s="1275">
        <v>1</v>
      </c>
      <c r="F43" s="1146">
        <f>IF($A43="INSUMO",VLOOKUP($B43,'BANCO DE DADOS JANEIRO-24 INS'!$A:$D,4,FALSE),VLOOKUP($B43,'BANCO DE DADOS JANEIRO-24 SERV'!$B:$E,4,FALSE))</f>
        <v>2.37</v>
      </c>
      <c r="G43" s="1101">
        <f>TRUNC(E43*F43,2)</f>
        <v>2.37</v>
      </c>
    </row>
    <row r="44" spans="1:8" s="271" customFormat="1" ht="15.75">
      <c r="A44" s="333"/>
      <c r="B44" s="2235" t="s">
        <v>169</v>
      </c>
      <c r="C44" s="2236"/>
      <c r="D44" s="2236"/>
      <c r="E44" s="2236"/>
      <c r="F44" s="2236"/>
      <c r="G44" s="2237"/>
    </row>
    <row r="45" spans="1:8" s="271" customFormat="1" ht="30">
      <c r="A45" s="333" t="s">
        <v>391</v>
      </c>
      <c r="B45" s="1274">
        <v>88277</v>
      </c>
      <c r="C45" s="1098" t="str">
        <f>IF($A45="INSUMO",VLOOKUP($B45,'BANCO DE DADOS JANEIRO-24 INS'!$A:$D,2,FALSE),VLOOKUP($B45,'BANCO DE DADOS JANEIRO-24 SERV'!$B:$E,2,FALSE))</f>
        <v>MONTADOR (TUBO AÇO/EQUIPAMENTOS) COM ENCARGOS COMPLEMENTARES</v>
      </c>
      <c r="D45" s="1099" t="str">
        <f>IF($A45="INSUMO",VLOOKUP($B45,'BANCO DE DADOS JANEIRO-24 INS'!$A:$D,3,FALSE),VLOOKUP($B45,'BANCO DE DADOS JANEIRO-24 SERV'!$B:$E,3,FALSE))</f>
        <v>H</v>
      </c>
      <c r="E45" s="1275">
        <v>0.35</v>
      </c>
      <c r="F45" s="1146">
        <f>IF($A45="INSUMO",VLOOKUP($B45,'BANCO DE DADOS JANEIRO-24 INS'!$A:$D,4,FALSE),VLOOKUP($B45,'BANCO DE DADOS JANEIRO-24 SERV'!$B:$E,4,FALSE))</f>
        <v>15.89</v>
      </c>
      <c r="G45" s="1101">
        <f>TRUNC(E45*F45,2)</f>
        <v>5.56</v>
      </c>
    </row>
    <row r="46" spans="1:8" s="271" customFormat="1" ht="16.5" thickBot="1">
      <c r="A46" s="333" t="s">
        <v>391</v>
      </c>
      <c r="B46" s="1634">
        <v>88316</v>
      </c>
      <c r="C46" s="1103" t="str">
        <f>IF($A46="INSUMO",VLOOKUP($B46,'BANCO DE DADOS JANEIRO-24 INS'!$A:$D,2,FALSE),VLOOKUP($B46,'BANCO DE DADOS JANEIRO-24 SERV'!$B:$E,2,FALSE))</f>
        <v>SERVENTE COM ENCARGOS COMPLEMENTARES</v>
      </c>
      <c r="D46" s="1104" t="str">
        <f>IF($A46="INSUMO",VLOOKUP($B46,'BANCO DE DADOS JANEIRO-24 INS'!$A:$D,3,FALSE),VLOOKUP($B46,'BANCO DE DADOS JANEIRO-24 SERV'!$B:$E,3,FALSE))</f>
        <v>H</v>
      </c>
      <c r="E46" s="1289">
        <v>0.35</v>
      </c>
      <c r="F46" s="1105">
        <f>IF($A46="INSUMO",VLOOKUP($B46,'BANCO DE DADOS JANEIRO-24 INS'!$A:$D,4,FALSE),VLOOKUP($B46,'BANCO DE DADOS JANEIRO-24 SERV'!$B:$E,4,FALSE))</f>
        <v>20.32</v>
      </c>
      <c r="G46" s="1106">
        <f>TRUNC(E46*F46,2)</f>
        <v>7.11</v>
      </c>
    </row>
    <row r="47" spans="1:8" s="271" customFormat="1" ht="36" customHeight="1" thickBot="1">
      <c r="A47" s="333"/>
      <c r="B47" s="2230" t="s">
        <v>8215</v>
      </c>
      <c r="C47" s="2230"/>
      <c r="D47" s="2230"/>
      <c r="E47" s="2231"/>
      <c r="F47" s="263" t="s">
        <v>170</v>
      </c>
      <c r="G47" s="264">
        <f>TRUNC(SUM(G43:G46),2)</f>
        <v>15.04</v>
      </c>
      <c r="H47" s="605"/>
    </row>
  </sheetData>
  <autoFilter ref="G1:G48" xr:uid="{00000000-0009-0000-0000-000009000000}"/>
  <mergeCells count="22">
    <mergeCell ref="C14:F14"/>
    <mergeCell ref="F3:G3"/>
    <mergeCell ref="B5:G5"/>
    <mergeCell ref="C7:E7"/>
    <mergeCell ref="B11:G11"/>
    <mergeCell ref="B3:B4"/>
    <mergeCell ref="E8:F8"/>
    <mergeCell ref="C8:D8"/>
    <mergeCell ref="B9:D9"/>
    <mergeCell ref="E9:F9"/>
    <mergeCell ref="C3:D3"/>
    <mergeCell ref="C4:D4"/>
    <mergeCell ref="B16:G16"/>
    <mergeCell ref="C40:F40"/>
    <mergeCell ref="B42:G42"/>
    <mergeCell ref="B44:G44"/>
    <mergeCell ref="B47:E47"/>
    <mergeCell ref="B34:G34"/>
    <mergeCell ref="B38:E38"/>
    <mergeCell ref="B23:G23"/>
    <mergeCell ref="C32:F32"/>
    <mergeCell ref="B30:E30"/>
  </mergeCells>
  <dataValidations disablePrompts="1" count="1">
    <dataValidation type="list" allowBlank="1" showInputMessage="1" showErrorMessage="1" sqref="A35:A37 A24:A29 A17:A22 A43 A45:A46" xr:uid="{00000000-0002-0000-0900-000000000000}">
      <formula1>$A$3:$A$4</formula1>
    </dataValidation>
  </dataValidations>
  <pageMargins left="0.511811024" right="0.511811024" top="0.78740157499999996" bottom="0.78740157499999996" header="0.31496062000000002" footer="0.31496062000000002"/>
  <pageSetup paperSize="9" scale="51"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A1:K7564"/>
  <sheetViews>
    <sheetView topLeftCell="A7524" zoomScale="85" zoomScaleNormal="85" zoomScaleSheetLayoutView="115" workbookViewId="0">
      <selection activeCell="E2" sqref="E2:E7564"/>
    </sheetView>
  </sheetViews>
  <sheetFormatPr defaultRowHeight="15"/>
  <cols>
    <col min="1" max="1" width="14.28515625" customWidth="1"/>
    <col min="2" max="2" width="20.5703125" style="1476" customWidth="1"/>
    <col min="3" max="3" width="120.7109375" style="733" customWidth="1"/>
    <col min="4" max="4" width="10.7109375" style="677" customWidth="1"/>
    <col min="5" max="5" width="10.7109375" customWidth="1"/>
    <col min="6" max="6" width="9.85546875" bestFit="1" customWidth="1"/>
    <col min="8" max="8" width="16" bestFit="1" customWidth="1"/>
    <col min="9" max="9" width="20.140625" bestFit="1" customWidth="1"/>
    <col min="10" max="10" width="12.42578125" bestFit="1" customWidth="1"/>
    <col min="11" max="11" width="23.28515625" customWidth="1"/>
    <col min="12" max="12" width="16" bestFit="1" customWidth="1"/>
    <col min="13" max="13" width="12.5703125" bestFit="1" customWidth="1"/>
  </cols>
  <sheetData>
    <row r="1" spans="2:11" ht="16.5" thickBot="1">
      <c r="B1" s="1475" t="s">
        <v>23</v>
      </c>
      <c r="C1" s="736" t="s">
        <v>24</v>
      </c>
      <c r="D1" s="737" t="s">
        <v>25</v>
      </c>
      <c r="E1" s="737" t="s">
        <v>26</v>
      </c>
      <c r="H1" s="737" t="s">
        <v>1997</v>
      </c>
      <c r="I1" s="737" t="s">
        <v>1998</v>
      </c>
    </row>
    <row r="2" spans="2:11" ht="30.75" thickBot="1">
      <c r="B2" s="677">
        <v>97141</v>
      </c>
      <c r="C2" s="733" t="s">
        <v>1886</v>
      </c>
      <c r="D2" s="677" t="s">
        <v>21</v>
      </c>
      <c r="E2" s="738">
        <f>IF($K$2=$H$1,H2,I2)</f>
        <v>7.18</v>
      </c>
      <c r="F2">
        <f>IF(LEN($B2)=7,CONCATENATE(MID($B2,1,6),"00",RIGHT($B2,1)),IF(LEN($B2)=8,CONCATENATE(MID($B2,1,6),"0",RIGHT($B2,2)),$B2))</f>
        <v>97141</v>
      </c>
      <c r="H2" s="1405">
        <v>6.73</v>
      </c>
      <c r="I2" s="1405">
        <v>7.18</v>
      </c>
      <c r="K2" s="777" t="s">
        <v>1998</v>
      </c>
    </row>
    <row r="3" spans="2:11" ht="30">
      <c r="B3" s="1477">
        <v>97142</v>
      </c>
      <c r="C3" s="740" t="s">
        <v>1887</v>
      </c>
      <c r="D3" s="739" t="s">
        <v>21</v>
      </c>
      <c r="E3" s="741">
        <f t="shared" ref="E3:E66" si="0">IF($K$2=$H$1,H3,I3)</f>
        <v>7.97</v>
      </c>
      <c r="F3">
        <f t="shared" ref="F3:F66" si="1">IF(LEN($B3)=7,CONCATENATE(MID($B3,1,6),"00",RIGHT($B3,1)),IF(LEN($B3)=8,CONCATENATE(MID($B3,1,6),"0",RIGHT($B3,2)),$B3))</f>
        <v>97142</v>
      </c>
      <c r="H3" s="1406">
        <v>7.46</v>
      </c>
      <c r="I3" s="1406">
        <v>7.97</v>
      </c>
    </row>
    <row r="4" spans="2:11" ht="30">
      <c r="B4" s="677">
        <v>97143</v>
      </c>
      <c r="C4" s="733" t="s">
        <v>1888</v>
      </c>
      <c r="D4" s="677" t="s">
        <v>21</v>
      </c>
      <c r="E4" s="738">
        <f t="shared" si="0"/>
        <v>9.93</v>
      </c>
      <c r="F4">
        <f t="shared" si="1"/>
        <v>97143</v>
      </c>
      <c r="H4" s="1405">
        <v>9.2899999999999991</v>
      </c>
      <c r="I4" s="1405">
        <v>9.93</v>
      </c>
    </row>
    <row r="5" spans="2:11" ht="30">
      <c r="B5" s="1477">
        <v>97144</v>
      </c>
      <c r="C5" s="740" t="s">
        <v>1889</v>
      </c>
      <c r="D5" s="739" t="s">
        <v>21</v>
      </c>
      <c r="E5" s="741">
        <f t="shared" si="0"/>
        <v>11.88</v>
      </c>
      <c r="F5">
        <f t="shared" si="1"/>
        <v>97144</v>
      </c>
      <c r="H5" s="1406">
        <v>11.1</v>
      </c>
      <c r="I5" s="1406">
        <v>11.88</v>
      </c>
    </row>
    <row r="6" spans="2:11" ht="30">
      <c r="B6" s="677">
        <v>97145</v>
      </c>
      <c r="C6" s="733" t="s">
        <v>1890</v>
      </c>
      <c r="D6" s="677" t="s">
        <v>21</v>
      </c>
      <c r="E6" s="738">
        <f t="shared" si="0"/>
        <v>13.9</v>
      </c>
      <c r="F6">
        <f t="shared" si="1"/>
        <v>97145</v>
      </c>
      <c r="H6" s="1405">
        <v>12.93</v>
      </c>
      <c r="I6" s="1405">
        <v>13.9</v>
      </c>
    </row>
    <row r="7" spans="2:11" ht="30">
      <c r="B7" s="1477">
        <v>97146</v>
      </c>
      <c r="C7" s="740" t="s">
        <v>1891</v>
      </c>
      <c r="D7" s="739" t="s">
        <v>21</v>
      </c>
      <c r="E7" s="741">
        <f t="shared" si="0"/>
        <v>15.86</v>
      </c>
      <c r="F7">
        <f t="shared" si="1"/>
        <v>97146</v>
      </c>
      <c r="H7" s="1406">
        <v>14.78</v>
      </c>
      <c r="I7" s="1406">
        <v>15.86</v>
      </c>
    </row>
    <row r="8" spans="2:11" ht="30">
      <c r="B8" s="677">
        <v>97147</v>
      </c>
      <c r="C8" s="733" t="s">
        <v>1892</v>
      </c>
      <c r="D8" s="677" t="s">
        <v>21</v>
      </c>
      <c r="E8" s="738">
        <f t="shared" si="0"/>
        <v>17.86</v>
      </c>
      <c r="F8">
        <f t="shared" si="1"/>
        <v>97147</v>
      </c>
      <c r="H8" s="1405">
        <v>16.649999999999999</v>
      </c>
      <c r="I8" s="1405">
        <v>17.86</v>
      </c>
    </row>
    <row r="9" spans="2:11" ht="30">
      <c r="B9" s="1477">
        <v>97148</v>
      </c>
      <c r="C9" s="740" t="s">
        <v>1893</v>
      </c>
      <c r="D9" s="739" t="s">
        <v>21</v>
      </c>
      <c r="E9" s="741">
        <f t="shared" si="0"/>
        <v>19.850000000000001</v>
      </c>
      <c r="F9">
        <f t="shared" si="1"/>
        <v>97148</v>
      </c>
      <c r="H9" s="1406">
        <v>18.47</v>
      </c>
      <c r="I9" s="1406">
        <v>19.850000000000001</v>
      </c>
    </row>
    <row r="10" spans="2:11" ht="30">
      <c r="B10" s="677">
        <v>97149</v>
      </c>
      <c r="C10" s="733" t="s">
        <v>1894</v>
      </c>
      <c r="D10" s="677" t="s">
        <v>21</v>
      </c>
      <c r="E10" s="738">
        <f t="shared" si="0"/>
        <v>21.87</v>
      </c>
      <c r="F10">
        <f t="shared" si="1"/>
        <v>97149</v>
      </c>
      <c r="H10" s="1405">
        <v>20.37</v>
      </c>
      <c r="I10" s="1405">
        <v>21.87</v>
      </c>
    </row>
    <row r="11" spans="2:11" ht="30">
      <c r="B11" s="1477">
        <v>97150</v>
      </c>
      <c r="C11" s="740" t="s">
        <v>1895</v>
      </c>
      <c r="D11" s="739" t="s">
        <v>21</v>
      </c>
      <c r="E11" s="741">
        <f t="shared" si="0"/>
        <v>28.81</v>
      </c>
      <c r="F11">
        <f t="shared" si="1"/>
        <v>97150</v>
      </c>
      <c r="H11" s="1406">
        <v>27.15</v>
      </c>
      <c r="I11" s="1406">
        <v>28.81</v>
      </c>
    </row>
    <row r="12" spans="2:11" ht="30">
      <c r="B12" s="677">
        <v>97151</v>
      </c>
      <c r="C12" s="733" t="s">
        <v>1896</v>
      </c>
      <c r="D12" s="677" t="s">
        <v>21</v>
      </c>
      <c r="E12" s="738">
        <f t="shared" si="0"/>
        <v>33.54</v>
      </c>
      <c r="F12">
        <f t="shared" si="1"/>
        <v>97151</v>
      </c>
      <c r="H12" s="1405">
        <v>31.6</v>
      </c>
      <c r="I12" s="1405">
        <v>33.54</v>
      </c>
    </row>
    <row r="13" spans="2:11" ht="30">
      <c r="B13" s="1477">
        <v>97152</v>
      </c>
      <c r="C13" s="740" t="s">
        <v>1897</v>
      </c>
      <c r="D13" s="739" t="s">
        <v>21</v>
      </c>
      <c r="E13" s="741">
        <f t="shared" si="0"/>
        <v>37.950000000000003</v>
      </c>
      <c r="F13">
        <f t="shared" si="1"/>
        <v>97152</v>
      </c>
      <c r="H13" s="1406">
        <v>35.729999999999997</v>
      </c>
      <c r="I13" s="1406">
        <v>37.950000000000003</v>
      </c>
    </row>
    <row r="14" spans="2:11" ht="30">
      <c r="B14" s="677">
        <v>97153</v>
      </c>
      <c r="C14" s="733" t="s">
        <v>1898</v>
      </c>
      <c r="D14" s="677" t="s">
        <v>21</v>
      </c>
      <c r="E14" s="738">
        <f t="shared" si="0"/>
        <v>42.58</v>
      </c>
      <c r="F14">
        <f t="shared" si="1"/>
        <v>97153</v>
      </c>
      <c r="H14" s="1405">
        <v>40.07</v>
      </c>
      <c r="I14" s="1405">
        <v>42.58</v>
      </c>
    </row>
    <row r="15" spans="2:11" ht="30">
      <c r="B15" s="1477">
        <v>97154</v>
      </c>
      <c r="C15" s="740" t="s">
        <v>1899</v>
      </c>
      <c r="D15" s="739" t="s">
        <v>21</v>
      </c>
      <c r="E15" s="741">
        <f t="shared" si="0"/>
        <v>47.22</v>
      </c>
      <c r="F15">
        <f t="shared" si="1"/>
        <v>97154</v>
      </c>
      <c r="H15" s="1406">
        <v>44.44</v>
      </c>
      <c r="I15" s="1406">
        <v>47.22</v>
      </c>
    </row>
    <row r="16" spans="2:11" ht="30">
      <c r="B16" s="677">
        <v>97155</v>
      </c>
      <c r="C16" s="733" t="s">
        <v>1900</v>
      </c>
      <c r="D16" s="677" t="s">
        <v>21</v>
      </c>
      <c r="E16" s="738">
        <f t="shared" si="0"/>
        <v>51.9</v>
      </c>
      <c r="F16">
        <f t="shared" si="1"/>
        <v>97155</v>
      </c>
      <c r="H16" s="1405">
        <v>48.8</v>
      </c>
      <c r="I16" s="1405">
        <v>51.9</v>
      </c>
    </row>
    <row r="17" spans="2:9" ht="30">
      <c r="B17" s="1477">
        <v>97156</v>
      </c>
      <c r="C17" s="740" t="s">
        <v>1901</v>
      </c>
      <c r="D17" s="739" t="s">
        <v>21</v>
      </c>
      <c r="E17" s="741">
        <f t="shared" si="0"/>
        <v>61.7</v>
      </c>
      <c r="F17">
        <f t="shared" si="1"/>
        <v>97156</v>
      </c>
      <c r="H17" s="1406">
        <v>58.04</v>
      </c>
      <c r="I17" s="1406">
        <v>61.7</v>
      </c>
    </row>
    <row r="18" spans="2:9" ht="30">
      <c r="B18" s="677">
        <v>97157</v>
      </c>
      <c r="C18" s="733" t="s">
        <v>1902</v>
      </c>
      <c r="D18" s="677" t="s">
        <v>21</v>
      </c>
      <c r="E18" s="738">
        <f t="shared" si="0"/>
        <v>4.3899999999999997</v>
      </c>
      <c r="F18">
        <f t="shared" si="1"/>
        <v>97157</v>
      </c>
      <c r="H18" s="1405">
        <v>4.13</v>
      </c>
      <c r="I18" s="1405">
        <v>4.3899999999999997</v>
      </c>
    </row>
    <row r="19" spans="2:9" ht="30">
      <c r="B19" s="1477">
        <v>97158</v>
      </c>
      <c r="C19" s="740" t="s">
        <v>1903</v>
      </c>
      <c r="D19" s="739" t="s">
        <v>21</v>
      </c>
      <c r="E19" s="741">
        <f t="shared" si="0"/>
        <v>4.88</v>
      </c>
      <c r="F19">
        <f t="shared" si="1"/>
        <v>97158</v>
      </c>
      <c r="H19" s="1406">
        <v>4.59</v>
      </c>
      <c r="I19" s="1406">
        <v>4.88</v>
      </c>
    </row>
    <row r="20" spans="2:9" ht="30">
      <c r="B20" s="677">
        <v>97159</v>
      </c>
      <c r="C20" s="733" t="s">
        <v>1904</v>
      </c>
      <c r="D20" s="677" t="s">
        <v>21</v>
      </c>
      <c r="E20" s="738">
        <f t="shared" si="0"/>
        <v>6.08</v>
      </c>
      <c r="F20">
        <f t="shared" si="1"/>
        <v>97159</v>
      </c>
      <c r="H20" s="1405">
        <v>5.7</v>
      </c>
      <c r="I20" s="1405">
        <v>6.08</v>
      </c>
    </row>
    <row r="21" spans="2:9" ht="30">
      <c r="B21" s="1477">
        <v>97160</v>
      </c>
      <c r="C21" s="740" t="s">
        <v>1905</v>
      </c>
      <c r="D21" s="739" t="s">
        <v>21</v>
      </c>
      <c r="E21" s="741">
        <f t="shared" si="0"/>
        <v>7.28</v>
      </c>
      <c r="F21">
        <f t="shared" si="1"/>
        <v>97160</v>
      </c>
      <c r="H21" s="1406">
        <v>6.82</v>
      </c>
      <c r="I21" s="1406">
        <v>7.28</v>
      </c>
    </row>
    <row r="22" spans="2:9" ht="30">
      <c r="B22" s="677">
        <v>97161</v>
      </c>
      <c r="C22" s="733" t="s">
        <v>1906</v>
      </c>
      <c r="D22" s="677" t="s">
        <v>21</v>
      </c>
      <c r="E22" s="738">
        <f t="shared" si="0"/>
        <v>8.5299999999999994</v>
      </c>
      <c r="F22">
        <f t="shared" si="1"/>
        <v>97161</v>
      </c>
      <c r="H22" s="1405">
        <v>7.97</v>
      </c>
      <c r="I22" s="1405">
        <v>8.5299999999999994</v>
      </c>
    </row>
    <row r="23" spans="2:9" ht="30">
      <c r="B23" s="1477">
        <v>97162</v>
      </c>
      <c r="C23" s="740" t="s">
        <v>1907</v>
      </c>
      <c r="D23" s="739" t="s">
        <v>21</v>
      </c>
      <c r="E23" s="741">
        <f t="shared" si="0"/>
        <v>9.75</v>
      </c>
      <c r="F23">
        <f t="shared" si="1"/>
        <v>97162</v>
      </c>
      <c r="H23" s="1406">
        <v>9.1199999999999992</v>
      </c>
      <c r="I23" s="1406">
        <v>9.75</v>
      </c>
    </row>
    <row r="24" spans="2:9" ht="30">
      <c r="B24" s="677">
        <v>97163</v>
      </c>
      <c r="C24" s="733" t="s">
        <v>1908</v>
      </c>
      <c r="D24" s="677" t="s">
        <v>21</v>
      </c>
      <c r="E24" s="738">
        <f t="shared" si="0"/>
        <v>11</v>
      </c>
      <c r="F24">
        <f t="shared" si="1"/>
        <v>97163</v>
      </c>
      <c r="H24" s="1405">
        <v>10.28</v>
      </c>
      <c r="I24" s="1405">
        <v>11</v>
      </c>
    </row>
    <row r="25" spans="2:9" ht="30">
      <c r="B25" s="1477">
        <v>97164</v>
      </c>
      <c r="C25" s="740" t="s">
        <v>1909</v>
      </c>
      <c r="D25" s="739" t="s">
        <v>21</v>
      </c>
      <c r="E25" s="741">
        <f t="shared" si="0"/>
        <v>12.22</v>
      </c>
      <c r="F25">
        <f t="shared" si="1"/>
        <v>97164</v>
      </c>
      <c r="H25" s="1406">
        <v>11.42</v>
      </c>
      <c r="I25" s="1406">
        <v>12.22</v>
      </c>
    </row>
    <row r="26" spans="2:9" ht="30">
      <c r="B26" s="677">
        <v>97165</v>
      </c>
      <c r="C26" s="733" t="s">
        <v>1910</v>
      </c>
      <c r="D26" s="677" t="s">
        <v>21</v>
      </c>
      <c r="E26" s="738">
        <f t="shared" si="0"/>
        <v>13.49</v>
      </c>
      <c r="F26">
        <f t="shared" si="1"/>
        <v>97165</v>
      </c>
      <c r="H26" s="1405">
        <v>12.61</v>
      </c>
      <c r="I26" s="1405">
        <v>13.49</v>
      </c>
    </row>
    <row r="27" spans="2:9" ht="30">
      <c r="B27" s="1477">
        <v>97166</v>
      </c>
      <c r="C27" s="740" t="s">
        <v>1911</v>
      </c>
      <c r="D27" s="739" t="s">
        <v>21</v>
      </c>
      <c r="E27" s="741">
        <f t="shared" si="0"/>
        <v>17.7</v>
      </c>
      <c r="F27">
        <f t="shared" si="1"/>
        <v>97166</v>
      </c>
      <c r="H27" s="1406">
        <v>16.73</v>
      </c>
      <c r="I27" s="1406">
        <v>17.7</v>
      </c>
    </row>
    <row r="28" spans="2:9" ht="30">
      <c r="B28" s="677">
        <v>97167</v>
      </c>
      <c r="C28" s="733" t="s">
        <v>1912</v>
      </c>
      <c r="D28" s="677" t="s">
        <v>21</v>
      </c>
      <c r="E28" s="738">
        <f t="shared" si="0"/>
        <v>20.65</v>
      </c>
      <c r="F28">
        <f t="shared" si="1"/>
        <v>97167</v>
      </c>
      <c r="H28" s="1405">
        <v>19.510000000000002</v>
      </c>
      <c r="I28" s="1405">
        <v>20.65</v>
      </c>
    </row>
    <row r="29" spans="2:9" ht="30">
      <c r="B29" s="1477">
        <v>97168</v>
      </c>
      <c r="C29" s="740" t="s">
        <v>1913</v>
      </c>
      <c r="D29" s="739" t="s">
        <v>21</v>
      </c>
      <c r="E29" s="741">
        <f t="shared" si="0"/>
        <v>23.28</v>
      </c>
      <c r="F29">
        <f t="shared" si="1"/>
        <v>97168</v>
      </c>
      <c r="H29" s="1406">
        <v>21.98</v>
      </c>
      <c r="I29" s="1406">
        <v>23.28</v>
      </c>
    </row>
    <row r="30" spans="2:9" ht="30">
      <c r="B30" s="677">
        <v>97169</v>
      </c>
      <c r="C30" s="733" t="s">
        <v>1914</v>
      </c>
      <c r="D30" s="677" t="s">
        <v>21</v>
      </c>
      <c r="E30" s="738">
        <f t="shared" si="0"/>
        <v>26.1</v>
      </c>
      <c r="F30">
        <f t="shared" si="1"/>
        <v>97169</v>
      </c>
      <c r="H30" s="1405">
        <v>24.64</v>
      </c>
      <c r="I30" s="1405">
        <v>26.1</v>
      </c>
    </row>
    <row r="31" spans="2:9" ht="30">
      <c r="B31" s="1477">
        <v>97170</v>
      </c>
      <c r="C31" s="740" t="s">
        <v>1915</v>
      </c>
      <c r="D31" s="739" t="s">
        <v>21</v>
      </c>
      <c r="E31" s="741">
        <f t="shared" si="0"/>
        <v>28.96</v>
      </c>
      <c r="F31">
        <f t="shared" si="1"/>
        <v>97170</v>
      </c>
      <c r="H31" s="1406">
        <v>27.33</v>
      </c>
      <c r="I31" s="1406">
        <v>28.96</v>
      </c>
    </row>
    <row r="32" spans="2:9" ht="30">
      <c r="B32" s="677">
        <v>97171</v>
      </c>
      <c r="C32" s="733" t="s">
        <v>1916</v>
      </c>
      <c r="D32" s="677" t="s">
        <v>21</v>
      </c>
      <c r="E32" s="738">
        <f t="shared" si="0"/>
        <v>31.85</v>
      </c>
      <c r="F32">
        <f t="shared" si="1"/>
        <v>97171</v>
      </c>
      <c r="H32" s="1405">
        <v>30.05</v>
      </c>
      <c r="I32" s="1405">
        <v>31.85</v>
      </c>
    </row>
    <row r="33" spans="2:9" ht="30">
      <c r="B33" s="1477">
        <v>97172</v>
      </c>
      <c r="C33" s="740" t="s">
        <v>1917</v>
      </c>
      <c r="D33" s="739" t="s">
        <v>21</v>
      </c>
      <c r="E33" s="741">
        <f t="shared" si="0"/>
        <v>38.08</v>
      </c>
      <c r="F33">
        <f t="shared" si="1"/>
        <v>97172</v>
      </c>
      <c r="H33" s="1406">
        <v>35.93</v>
      </c>
      <c r="I33" s="1406">
        <v>38.08</v>
      </c>
    </row>
    <row r="34" spans="2:9" ht="30">
      <c r="B34" s="677">
        <v>97173</v>
      </c>
      <c r="C34" s="733" t="s">
        <v>1918</v>
      </c>
      <c r="D34" s="677" t="s">
        <v>21</v>
      </c>
      <c r="E34" s="738">
        <f t="shared" si="0"/>
        <v>35.39</v>
      </c>
      <c r="F34">
        <f t="shared" si="1"/>
        <v>97173</v>
      </c>
      <c r="H34" s="1405">
        <v>33.43</v>
      </c>
      <c r="I34" s="1405">
        <v>35.39</v>
      </c>
    </row>
    <row r="35" spans="2:9" ht="30">
      <c r="B35" s="1477">
        <v>97174</v>
      </c>
      <c r="C35" s="740" t="s">
        <v>1919</v>
      </c>
      <c r="D35" s="739" t="s">
        <v>21</v>
      </c>
      <c r="E35" s="741">
        <f t="shared" si="0"/>
        <v>41.02</v>
      </c>
      <c r="F35">
        <f t="shared" si="1"/>
        <v>97174</v>
      </c>
      <c r="H35" s="1406">
        <v>38.770000000000003</v>
      </c>
      <c r="I35" s="1406">
        <v>41.02</v>
      </c>
    </row>
    <row r="36" spans="2:9" ht="30">
      <c r="B36" s="677">
        <v>97175</v>
      </c>
      <c r="C36" s="733" t="s">
        <v>1920</v>
      </c>
      <c r="D36" s="677" t="s">
        <v>21</v>
      </c>
      <c r="E36" s="738">
        <f t="shared" si="0"/>
        <v>46.66</v>
      </c>
      <c r="F36">
        <f t="shared" si="1"/>
        <v>97175</v>
      </c>
      <c r="H36" s="1405">
        <v>44.09</v>
      </c>
      <c r="I36" s="1405">
        <v>46.66</v>
      </c>
    </row>
    <row r="37" spans="2:9" ht="30">
      <c r="B37" s="1477">
        <v>97176</v>
      </c>
      <c r="C37" s="740" t="s">
        <v>1921</v>
      </c>
      <c r="D37" s="739" t="s">
        <v>21</v>
      </c>
      <c r="E37" s="741">
        <f t="shared" si="0"/>
        <v>52.27</v>
      </c>
      <c r="F37">
        <f t="shared" si="1"/>
        <v>97176</v>
      </c>
      <c r="H37" s="1406">
        <v>49.42</v>
      </c>
      <c r="I37" s="1406">
        <v>52.27</v>
      </c>
    </row>
    <row r="38" spans="2:9" ht="30">
      <c r="B38" s="677">
        <v>97177</v>
      </c>
      <c r="C38" s="733" t="s">
        <v>1922</v>
      </c>
      <c r="D38" s="677" t="s">
        <v>21</v>
      </c>
      <c r="E38" s="738">
        <f t="shared" si="0"/>
        <v>63.53</v>
      </c>
      <c r="F38">
        <f t="shared" si="1"/>
        <v>97177</v>
      </c>
      <c r="H38" s="1405">
        <v>60.09</v>
      </c>
      <c r="I38" s="1405">
        <v>63.53</v>
      </c>
    </row>
    <row r="39" spans="2:9" ht="30">
      <c r="B39" s="1477">
        <v>97178</v>
      </c>
      <c r="C39" s="740" t="s">
        <v>1923</v>
      </c>
      <c r="D39" s="739" t="s">
        <v>21</v>
      </c>
      <c r="E39" s="741">
        <f t="shared" si="0"/>
        <v>74.81</v>
      </c>
      <c r="F39">
        <f t="shared" si="1"/>
        <v>97178</v>
      </c>
      <c r="H39" s="1406">
        <v>70.77</v>
      </c>
      <c r="I39" s="1406">
        <v>74.81</v>
      </c>
    </row>
    <row r="40" spans="2:9" ht="30">
      <c r="B40" s="677">
        <v>97179</v>
      </c>
      <c r="C40" s="733" t="s">
        <v>1924</v>
      </c>
      <c r="D40" s="677" t="s">
        <v>21</v>
      </c>
      <c r="E40" s="738">
        <f t="shared" si="0"/>
        <v>86.08</v>
      </c>
      <c r="F40">
        <f t="shared" si="1"/>
        <v>97179</v>
      </c>
      <c r="H40" s="1405">
        <v>81.44</v>
      </c>
      <c r="I40" s="1405">
        <v>86.08</v>
      </c>
    </row>
    <row r="41" spans="2:9" ht="30">
      <c r="B41" s="1477">
        <v>97180</v>
      </c>
      <c r="C41" s="740" t="s">
        <v>1925</v>
      </c>
      <c r="D41" s="739" t="s">
        <v>21</v>
      </c>
      <c r="E41" s="741">
        <f t="shared" si="0"/>
        <v>97.34</v>
      </c>
      <c r="F41">
        <f t="shared" si="1"/>
        <v>97180</v>
      </c>
      <c r="H41" s="1406">
        <v>92.1</v>
      </c>
      <c r="I41" s="1406">
        <v>97.34</v>
      </c>
    </row>
    <row r="42" spans="2:9" ht="30">
      <c r="B42" s="677">
        <v>97181</v>
      </c>
      <c r="C42" s="733" t="s">
        <v>1926</v>
      </c>
      <c r="D42" s="677" t="s">
        <v>21</v>
      </c>
      <c r="E42" s="738">
        <f t="shared" si="0"/>
        <v>113.23</v>
      </c>
      <c r="F42">
        <f t="shared" si="1"/>
        <v>97181</v>
      </c>
      <c r="H42" s="1405">
        <v>107.4</v>
      </c>
      <c r="I42" s="1405">
        <v>113.23</v>
      </c>
    </row>
    <row r="43" spans="2:9" ht="30">
      <c r="B43" s="1477">
        <v>97182</v>
      </c>
      <c r="C43" s="740" t="s">
        <v>1927</v>
      </c>
      <c r="D43" s="739" t="s">
        <v>21</v>
      </c>
      <c r="E43" s="741">
        <f t="shared" si="0"/>
        <v>124.97</v>
      </c>
      <c r="F43">
        <f t="shared" si="1"/>
        <v>97182</v>
      </c>
      <c r="H43" s="1406">
        <v>118.55</v>
      </c>
      <c r="I43" s="1406">
        <v>124.97</v>
      </c>
    </row>
    <row r="44" spans="2:9" ht="30">
      <c r="B44" s="677">
        <v>97183</v>
      </c>
      <c r="C44" s="733" t="s">
        <v>1928</v>
      </c>
      <c r="D44" s="677" t="s">
        <v>21</v>
      </c>
      <c r="E44" s="738">
        <f t="shared" si="0"/>
        <v>28.91</v>
      </c>
      <c r="F44">
        <f t="shared" si="1"/>
        <v>97183</v>
      </c>
      <c r="H44" s="1405">
        <v>27.26</v>
      </c>
      <c r="I44" s="1405">
        <v>28.91</v>
      </c>
    </row>
    <row r="45" spans="2:9" ht="30">
      <c r="B45" s="1477">
        <v>97184</v>
      </c>
      <c r="C45" s="740" t="s">
        <v>1929</v>
      </c>
      <c r="D45" s="739" t="s">
        <v>21</v>
      </c>
      <c r="E45" s="741">
        <f t="shared" si="0"/>
        <v>33.57</v>
      </c>
      <c r="F45">
        <f t="shared" si="1"/>
        <v>97184</v>
      </c>
      <c r="H45" s="1406">
        <v>31.65</v>
      </c>
      <c r="I45" s="1406">
        <v>33.57</v>
      </c>
    </row>
    <row r="46" spans="2:9" ht="30">
      <c r="B46" s="677">
        <v>97185</v>
      </c>
      <c r="C46" s="733" t="s">
        <v>1930</v>
      </c>
      <c r="D46" s="677" t="s">
        <v>21</v>
      </c>
      <c r="E46" s="738">
        <f t="shared" si="0"/>
        <v>38.229999999999997</v>
      </c>
      <c r="F46">
        <f t="shared" si="1"/>
        <v>97185</v>
      </c>
      <c r="H46" s="1405">
        <v>36.049999999999997</v>
      </c>
      <c r="I46" s="1405">
        <v>38.229999999999997</v>
      </c>
    </row>
    <row r="47" spans="2:9" ht="30">
      <c r="B47" s="1477">
        <v>97186</v>
      </c>
      <c r="C47" s="740" t="s">
        <v>1931</v>
      </c>
      <c r="D47" s="739" t="s">
        <v>21</v>
      </c>
      <c r="E47" s="741">
        <f t="shared" si="0"/>
        <v>42.88</v>
      </c>
      <c r="F47">
        <f t="shared" si="1"/>
        <v>97186</v>
      </c>
      <c r="H47" s="1406">
        <v>40.450000000000003</v>
      </c>
      <c r="I47" s="1406">
        <v>42.88</v>
      </c>
    </row>
    <row r="48" spans="2:9" ht="30">
      <c r="B48" s="677">
        <v>97187</v>
      </c>
      <c r="C48" s="733" t="s">
        <v>2098</v>
      </c>
      <c r="D48" s="677" t="s">
        <v>21</v>
      </c>
      <c r="E48" s="738">
        <f t="shared" si="0"/>
        <v>52.19</v>
      </c>
      <c r="F48">
        <f t="shared" si="1"/>
        <v>97187</v>
      </c>
      <c r="H48" s="1405">
        <v>49.25</v>
      </c>
      <c r="I48" s="1405">
        <v>52.19</v>
      </c>
    </row>
    <row r="49" spans="2:9" ht="30">
      <c r="B49" s="1477">
        <v>97188</v>
      </c>
      <c r="C49" s="740" t="s">
        <v>1932</v>
      </c>
      <c r="D49" s="739" t="s">
        <v>21</v>
      </c>
      <c r="E49" s="741">
        <f t="shared" si="0"/>
        <v>61.51</v>
      </c>
      <c r="F49">
        <f t="shared" si="1"/>
        <v>97188</v>
      </c>
      <c r="H49" s="1406">
        <v>58.06</v>
      </c>
      <c r="I49" s="1406">
        <v>61.51</v>
      </c>
    </row>
    <row r="50" spans="2:9" ht="30">
      <c r="B50" s="677">
        <v>97189</v>
      </c>
      <c r="C50" s="733" t="s">
        <v>1933</v>
      </c>
      <c r="D50" s="677" t="s">
        <v>21</v>
      </c>
      <c r="E50" s="738">
        <f t="shared" si="0"/>
        <v>70.83</v>
      </c>
      <c r="F50">
        <f t="shared" si="1"/>
        <v>97189</v>
      </c>
      <c r="H50" s="1405">
        <v>66.849999999999994</v>
      </c>
      <c r="I50" s="1405">
        <v>70.83</v>
      </c>
    </row>
    <row r="51" spans="2:9" ht="30">
      <c r="B51" s="1477">
        <v>97190</v>
      </c>
      <c r="C51" s="740" t="s">
        <v>1934</v>
      </c>
      <c r="D51" s="739" t="s">
        <v>21</v>
      </c>
      <c r="E51" s="741">
        <f t="shared" si="0"/>
        <v>80.14</v>
      </c>
      <c r="F51">
        <f t="shared" si="1"/>
        <v>97190</v>
      </c>
      <c r="H51" s="1406">
        <v>75.650000000000006</v>
      </c>
      <c r="I51" s="1406">
        <v>80.14</v>
      </c>
    </row>
    <row r="52" spans="2:9" ht="30">
      <c r="B52" s="677">
        <v>97191</v>
      </c>
      <c r="C52" s="733" t="s">
        <v>1935</v>
      </c>
      <c r="D52" s="677" t="s">
        <v>21</v>
      </c>
      <c r="E52" s="738">
        <f t="shared" si="0"/>
        <v>92.84</v>
      </c>
      <c r="F52">
        <f t="shared" si="1"/>
        <v>97191</v>
      </c>
      <c r="H52" s="1405">
        <v>87.83</v>
      </c>
      <c r="I52" s="1405">
        <v>92.84</v>
      </c>
    </row>
    <row r="53" spans="2:9" ht="30">
      <c r="B53" s="1477">
        <v>97192</v>
      </c>
      <c r="C53" s="740" t="s">
        <v>1936</v>
      </c>
      <c r="D53" s="739" t="s">
        <v>21</v>
      </c>
      <c r="E53" s="741">
        <f t="shared" si="0"/>
        <v>102.5</v>
      </c>
      <c r="F53">
        <f t="shared" si="1"/>
        <v>97192</v>
      </c>
      <c r="H53" s="1406">
        <v>96.98</v>
      </c>
      <c r="I53" s="1406">
        <v>102.5</v>
      </c>
    </row>
    <row r="54" spans="2:9" ht="30">
      <c r="B54" s="677">
        <v>90694</v>
      </c>
      <c r="C54" s="733" t="s">
        <v>4479</v>
      </c>
      <c r="D54" s="677" t="s">
        <v>21</v>
      </c>
      <c r="E54" s="738">
        <f t="shared" si="0"/>
        <v>43.67</v>
      </c>
      <c r="F54">
        <f t="shared" si="1"/>
        <v>90694</v>
      </c>
      <c r="H54" s="1405">
        <v>43.42</v>
      </c>
      <c r="I54" s="1405">
        <v>43.67</v>
      </c>
    </row>
    <row r="55" spans="2:9" ht="30">
      <c r="B55" s="1477">
        <v>90695</v>
      </c>
      <c r="C55" s="740" t="s">
        <v>4480</v>
      </c>
      <c r="D55" s="739" t="s">
        <v>21</v>
      </c>
      <c r="E55" s="741">
        <f t="shared" si="0"/>
        <v>83.45</v>
      </c>
      <c r="F55">
        <f t="shared" si="1"/>
        <v>90695</v>
      </c>
      <c r="H55" s="1406">
        <v>83.15</v>
      </c>
      <c r="I55" s="1406">
        <v>83.45</v>
      </c>
    </row>
    <row r="56" spans="2:9" ht="30">
      <c r="B56" s="677">
        <v>90696</v>
      </c>
      <c r="C56" s="733" t="s">
        <v>4481</v>
      </c>
      <c r="D56" s="677" t="s">
        <v>21</v>
      </c>
      <c r="E56" s="738">
        <f t="shared" si="0"/>
        <v>139.80000000000001</v>
      </c>
      <c r="F56">
        <f t="shared" si="1"/>
        <v>90696</v>
      </c>
      <c r="H56" s="1405">
        <v>139.44999999999999</v>
      </c>
      <c r="I56" s="1405">
        <v>139.80000000000001</v>
      </c>
    </row>
    <row r="57" spans="2:9" ht="30">
      <c r="B57" s="1477">
        <v>90697</v>
      </c>
      <c r="C57" s="740" t="s">
        <v>4482</v>
      </c>
      <c r="D57" s="739" t="s">
        <v>21</v>
      </c>
      <c r="E57" s="741">
        <f t="shared" si="0"/>
        <v>217.26</v>
      </c>
      <c r="F57">
        <f t="shared" si="1"/>
        <v>90697</v>
      </c>
      <c r="H57" s="1406">
        <v>216.87</v>
      </c>
      <c r="I57" s="1406">
        <v>217.26</v>
      </c>
    </row>
    <row r="58" spans="2:9" ht="30">
      <c r="B58" s="677">
        <v>90698</v>
      </c>
      <c r="C58" s="733" t="s">
        <v>4483</v>
      </c>
      <c r="D58" s="677" t="s">
        <v>21</v>
      </c>
      <c r="E58" s="738">
        <f t="shared" si="0"/>
        <v>332.5</v>
      </c>
      <c r="F58">
        <f t="shared" si="1"/>
        <v>90698</v>
      </c>
      <c r="H58" s="1405">
        <v>332.06</v>
      </c>
      <c r="I58" s="1405">
        <v>332.5</v>
      </c>
    </row>
    <row r="59" spans="2:9" ht="30">
      <c r="B59" s="1477">
        <v>90699</v>
      </c>
      <c r="C59" s="740" t="s">
        <v>4484</v>
      </c>
      <c r="D59" s="739" t="s">
        <v>21</v>
      </c>
      <c r="E59" s="741">
        <f t="shared" si="0"/>
        <v>468.32</v>
      </c>
      <c r="F59">
        <f t="shared" si="1"/>
        <v>90699</v>
      </c>
      <c r="H59" s="1406">
        <v>467.83</v>
      </c>
      <c r="I59" s="1406">
        <v>468.32</v>
      </c>
    </row>
    <row r="60" spans="2:9" ht="30">
      <c r="B60" s="677">
        <v>90700</v>
      </c>
      <c r="C60" s="733" t="s">
        <v>4485</v>
      </c>
      <c r="D60" s="677" t="s">
        <v>21</v>
      </c>
      <c r="E60" s="738">
        <f t="shared" si="0"/>
        <v>547.33000000000004</v>
      </c>
      <c r="F60">
        <f t="shared" si="1"/>
        <v>90700</v>
      </c>
      <c r="H60" s="1405">
        <v>546.92999999999995</v>
      </c>
      <c r="I60" s="1405">
        <v>547.33000000000004</v>
      </c>
    </row>
    <row r="61" spans="2:9" ht="30">
      <c r="B61" s="1477">
        <v>90701</v>
      </c>
      <c r="C61" s="740" t="s">
        <v>4486</v>
      </c>
      <c r="D61" s="739" t="s">
        <v>21</v>
      </c>
      <c r="E61" s="741">
        <f t="shared" si="0"/>
        <v>65.48</v>
      </c>
      <c r="F61">
        <f t="shared" si="1"/>
        <v>90701</v>
      </c>
      <c r="H61" s="1406">
        <v>65.150000000000006</v>
      </c>
      <c r="I61" s="1406">
        <v>65.48</v>
      </c>
    </row>
    <row r="62" spans="2:9" ht="30">
      <c r="B62" s="677">
        <v>90702</v>
      </c>
      <c r="C62" s="733" t="s">
        <v>4487</v>
      </c>
      <c r="D62" s="677" t="s">
        <v>21</v>
      </c>
      <c r="E62" s="738">
        <f t="shared" si="0"/>
        <v>108.8</v>
      </c>
      <c r="F62">
        <f t="shared" si="1"/>
        <v>90702</v>
      </c>
      <c r="H62" s="1405">
        <v>108.42</v>
      </c>
      <c r="I62" s="1405">
        <v>108.8</v>
      </c>
    </row>
    <row r="63" spans="2:9" ht="30">
      <c r="B63" s="1477">
        <v>90703</v>
      </c>
      <c r="C63" s="740" t="s">
        <v>4488</v>
      </c>
      <c r="D63" s="739" t="s">
        <v>21</v>
      </c>
      <c r="E63" s="741">
        <f t="shared" si="0"/>
        <v>171.14</v>
      </c>
      <c r="F63">
        <f t="shared" si="1"/>
        <v>90703</v>
      </c>
      <c r="H63" s="1406">
        <v>170.72</v>
      </c>
      <c r="I63" s="1406">
        <v>171.14</v>
      </c>
    </row>
    <row r="64" spans="2:9" ht="30">
      <c r="B64" s="677">
        <v>90704</v>
      </c>
      <c r="C64" s="733" t="s">
        <v>4489</v>
      </c>
      <c r="D64" s="677" t="s">
        <v>21</v>
      </c>
      <c r="E64" s="738">
        <f t="shared" si="0"/>
        <v>255.26</v>
      </c>
      <c r="F64">
        <f t="shared" si="1"/>
        <v>90704</v>
      </c>
      <c r="H64" s="1405">
        <v>254.79</v>
      </c>
      <c r="I64" s="1405">
        <v>255.26</v>
      </c>
    </row>
    <row r="65" spans="2:9" ht="30">
      <c r="B65" s="1477">
        <v>90705</v>
      </c>
      <c r="C65" s="740" t="s">
        <v>4490</v>
      </c>
      <c r="D65" s="739" t="s">
        <v>21</v>
      </c>
      <c r="E65" s="741">
        <f t="shared" si="0"/>
        <v>332.98</v>
      </c>
      <c r="F65">
        <f t="shared" si="1"/>
        <v>90705</v>
      </c>
      <c r="H65" s="1406">
        <v>332.47</v>
      </c>
      <c r="I65" s="1406">
        <v>332.98</v>
      </c>
    </row>
    <row r="66" spans="2:9" ht="30">
      <c r="B66" s="677">
        <v>90706</v>
      </c>
      <c r="C66" s="733" t="s">
        <v>4491</v>
      </c>
      <c r="D66" s="677" t="s">
        <v>21</v>
      </c>
      <c r="E66" s="738">
        <f t="shared" si="0"/>
        <v>442.02</v>
      </c>
      <c r="F66">
        <f t="shared" si="1"/>
        <v>90706</v>
      </c>
      <c r="H66" s="1405">
        <v>441.56</v>
      </c>
      <c r="I66" s="1405">
        <v>442.02</v>
      </c>
    </row>
    <row r="67" spans="2:9" ht="30">
      <c r="B67" s="1477">
        <v>90708</v>
      </c>
      <c r="C67" s="740" t="s">
        <v>4492</v>
      </c>
      <c r="D67" s="739" t="s">
        <v>21</v>
      </c>
      <c r="E67" s="741">
        <f t="shared" ref="E67:E130" si="2">IF($K$2=$H$1,H67,I67)</f>
        <v>618.34</v>
      </c>
      <c r="F67">
        <f t="shared" ref="F67:F130" si="3">IF(LEN($B67)=7,CONCATENATE(MID($B67,1,6),"00",RIGHT($B67,1)),IF(LEN($B67)=8,CONCATENATE(MID($B67,1,6),"0",RIGHT($B67,2)),$B67))</f>
        <v>90708</v>
      </c>
      <c r="H67" s="1406">
        <v>617.72</v>
      </c>
      <c r="I67" s="1406">
        <v>618.34</v>
      </c>
    </row>
    <row r="68" spans="2:9" ht="30">
      <c r="B68" s="677">
        <v>90724</v>
      </c>
      <c r="C68" s="733" t="s">
        <v>4493</v>
      </c>
      <c r="D68" s="677" t="s">
        <v>22</v>
      </c>
      <c r="E68" s="738">
        <f t="shared" si="2"/>
        <v>18.91</v>
      </c>
      <c r="F68">
        <f t="shared" si="3"/>
        <v>90724</v>
      </c>
      <c r="H68" s="1405">
        <v>17.190000000000001</v>
      </c>
      <c r="I68" s="1405">
        <v>18.91</v>
      </c>
    </row>
    <row r="69" spans="2:9" ht="30">
      <c r="B69" s="1477">
        <v>90725</v>
      </c>
      <c r="C69" s="740" t="s">
        <v>4494</v>
      </c>
      <c r="D69" s="739" t="s">
        <v>22</v>
      </c>
      <c r="E69" s="741">
        <f t="shared" si="2"/>
        <v>23.34</v>
      </c>
      <c r="F69">
        <f t="shared" si="3"/>
        <v>90725</v>
      </c>
      <c r="H69" s="1406">
        <v>21.24</v>
      </c>
      <c r="I69" s="1406">
        <v>23.34</v>
      </c>
    </row>
    <row r="70" spans="2:9">
      <c r="B70" s="677">
        <v>90726</v>
      </c>
      <c r="C70" s="733" t="s">
        <v>4495</v>
      </c>
      <c r="D70" s="677" t="s">
        <v>22</v>
      </c>
      <c r="E70" s="738">
        <f t="shared" si="2"/>
        <v>27.84</v>
      </c>
      <c r="F70">
        <f t="shared" si="3"/>
        <v>90726</v>
      </c>
      <c r="H70" s="1405">
        <v>25.35</v>
      </c>
      <c r="I70" s="1405">
        <v>27.84</v>
      </c>
    </row>
    <row r="71" spans="2:9" ht="30">
      <c r="B71" s="1477">
        <v>90727</v>
      </c>
      <c r="C71" s="740" t="s">
        <v>4496</v>
      </c>
      <c r="D71" s="739" t="s">
        <v>22</v>
      </c>
      <c r="E71" s="741">
        <f t="shared" si="2"/>
        <v>32.26</v>
      </c>
      <c r="F71">
        <f t="shared" si="3"/>
        <v>90727</v>
      </c>
      <c r="H71" s="1406">
        <v>29.39</v>
      </c>
      <c r="I71" s="1406">
        <v>32.26</v>
      </c>
    </row>
    <row r="72" spans="2:9" ht="30">
      <c r="B72" s="677">
        <v>90728</v>
      </c>
      <c r="C72" s="733" t="s">
        <v>4497</v>
      </c>
      <c r="D72" s="677" t="s">
        <v>22</v>
      </c>
      <c r="E72" s="738">
        <f t="shared" si="2"/>
        <v>36.69</v>
      </c>
      <c r="F72">
        <f t="shared" si="3"/>
        <v>90728</v>
      </c>
      <c r="H72" s="1405">
        <v>33.42</v>
      </c>
      <c r="I72" s="1405">
        <v>36.69</v>
      </c>
    </row>
    <row r="73" spans="2:9" ht="30">
      <c r="B73" s="1477">
        <v>90729</v>
      </c>
      <c r="C73" s="740" t="s">
        <v>4498</v>
      </c>
      <c r="D73" s="739" t="s">
        <v>22</v>
      </c>
      <c r="E73" s="741">
        <f t="shared" si="2"/>
        <v>41.12</v>
      </c>
      <c r="F73">
        <f t="shared" si="3"/>
        <v>90729</v>
      </c>
      <c r="H73" s="1406">
        <v>37.46</v>
      </c>
      <c r="I73" s="1406">
        <v>41.12</v>
      </c>
    </row>
    <row r="74" spans="2:9" ht="30">
      <c r="B74" s="677">
        <v>90730</v>
      </c>
      <c r="C74" s="733" t="s">
        <v>4499</v>
      </c>
      <c r="D74" s="677" t="s">
        <v>22</v>
      </c>
      <c r="E74" s="738">
        <f t="shared" si="2"/>
        <v>45.55</v>
      </c>
      <c r="F74">
        <f t="shared" si="3"/>
        <v>90730</v>
      </c>
      <c r="H74" s="1405">
        <v>41.5</v>
      </c>
      <c r="I74" s="1405">
        <v>45.55</v>
      </c>
    </row>
    <row r="75" spans="2:9" ht="30">
      <c r="B75" s="1477">
        <v>90731</v>
      </c>
      <c r="C75" s="740" t="s">
        <v>4500</v>
      </c>
      <c r="D75" s="739" t="s">
        <v>22</v>
      </c>
      <c r="E75" s="741">
        <f t="shared" si="2"/>
        <v>49.98</v>
      </c>
      <c r="F75">
        <f t="shared" si="3"/>
        <v>90731</v>
      </c>
      <c r="H75" s="1406">
        <v>45.54</v>
      </c>
      <c r="I75" s="1406">
        <v>49.98</v>
      </c>
    </row>
    <row r="76" spans="2:9" ht="30">
      <c r="B76" s="677">
        <v>90732</v>
      </c>
      <c r="C76" s="733" t="s">
        <v>4501</v>
      </c>
      <c r="D76" s="677" t="s">
        <v>22</v>
      </c>
      <c r="E76" s="738">
        <f t="shared" si="2"/>
        <v>63.26</v>
      </c>
      <c r="F76">
        <f t="shared" si="3"/>
        <v>90732</v>
      </c>
      <c r="H76" s="1405">
        <v>57.67</v>
      </c>
      <c r="I76" s="1405">
        <v>63.26</v>
      </c>
    </row>
    <row r="77" spans="2:9" ht="30">
      <c r="B77" s="1477">
        <v>90733</v>
      </c>
      <c r="C77" s="740" t="s">
        <v>4502</v>
      </c>
      <c r="D77" s="739" t="s">
        <v>21</v>
      </c>
      <c r="E77" s="741">
        <f t="shared" si="2"/>
        <v>2.6</v>
      </c>
      <c r="F77">
        <f t="shared" si="3"/>
        <v>90733</v>
      </c>
      <c r="H77" s="1406">
        <v>2.35</v>
      </c>
      <c r="I77" s="1406">
        <v>2.6</v>
      </c>
    </row>
    <row r="78" spans="2:9" ht="30">
      <c r="B78" s="677">
        <v>90734</v>
      </c>
      <c r="C78" s="733" t="s">
        <v>4503</v>
      </c>
      <c r="D78" s="677" t="s">
        <v>21</v>
      </c>
      <c r="E78" s="738">
        <f t="shared" si="2"/>
        <v>3.08</v>
      </c>
      <c r="F78">
        <f t="shared" si="3"/>
        <v>90734</v>
      </c>
      <c r="H78" s="1405">
        <v>2.78</v>
      </c>
      <c r="I78" s="1405">
        <v>3.08</v>
      </c>
    </row>
    <row r="79" spans="2:9" ht="30">
      <c r="B79" s="1477">
        <v>90735</v>
      </c>
      <c r="C79" s="740" t="s">
        <v>4504</v>
      </c>
      <c r="D79" s="739" t="s">
        <v>21</v>
      </c>
      <c r="E79" s="741">
        <f t="shared" si="2"/>
        <v>3.56</v>
      </c>
      <c r="F79">
        <f t="shared" si="3"/>
        <v>90735</v>
      </c>
      <c r="H79" s="1406">
        <v>3.21</v>
      </c>
      <c r="I79" s="1406">
        <v>3.56</v>
      </c>
    </row>
    <row r="80" spans="2:9" ht="30">
      <c r="B80" s="677">
        <v>90736</v>
      </c>
      <c r="C80" s="733" t="s">
        <v>4505</v>
      </c>
      <c r="D80" s="677" t="s">
        <v>21</v>
      </c>
      <c r="E80" s="738">
        <f t="shared" si="2"/>
        <v>4.04</v>
      </c>
      <c r="F80">
        <f t="shared" si="3"/>
        <v>90736</v>
      </c>
      <c r="H80" s="1405">
        <v>3.65</v>
      </c>
      <c r="I80" s="1405">
        <v>4.04</v>
      </c>
    </row>
    <row r="81" spans="2:9" ht="30">
      <c r="B81" s="1477">
        <v>90737</v>
      </c>
      <c r="C81" s="740" t="s">
        <v>4506</v>
      </c>
      <c r="D81" s="739" t="s">
        <v>21</v>
      </c>
      <c r="E81" s="741">
        <f t="shared" si="2"/>
        <v>4.5199999999999996</v>
      </c>
      <c r="F81">
        <f t="shared" si="3"/>
        <v>90737</v>
      </c>
      <c r="H81" s="1406">
        <v>4.08</v>
      </c>
      <c r="I81" s="1406">
        <v>4.5199999999999996</v>
      </c>
    </row>
    <row r="82" spans="2:9" ht="30">
      <c r="B82" s="677">
        <v>90738</v>
      </c>
      <c r="C82" s="733" t="s">
        <v>4507</v>
      </c>
      <c r="D82" s="677" t="s">
        <v>21</v>
      </c>
      <c r="E82" s="738">
        <f t="shared" si="2"/>
        <v>5.01</v>
      </c>
      <c r="F82">
        <f t="shared" si="3"/>
        <v>90738</v>
      </c>
      <c r="H82" s="1405">
        <v>4.5199999999999996</v>
      </c>
      <c r="I82" s="1405">
        <v>5.01</v>
      </c>
    </row>
    <row r="83" spans="2:9" ht="30">
      <c r="B83" s="1477">
        <v>90739</v>
      </c>
      <c r="C83" s="740" t="s">
        <v>4508</v>
      </c>
      <c r="D83" s="739" t="s">
        <v>21</v>
      </c>
      <c r="E83" s="741">
        <f t="shared" si="2"/>
        <v>7.77</v>
      </c>
      <c r="F83">
        <f t="shared" si="3"/>
        <v>90739</v>
      </c>
      <c r="H83" s="1406">
        <v>7.37</v>
      </c>
      <c r="I83" s="1406">
        <v>7.77</v>
      </c>
    </row>
    <row r="84" spans="2:9" ht="30">
      <c r="B84" s="677">
        <v>90740</v>
      </c>
      <c r="C84" s="733" t="s">
        <v>4509</v>
      </c>
      <c r="D84" s="677" t="s">
        <v>21</v>
      </c>
      <c r="E84" s="738">
        <f t="shared" si="2"/>
        <v>3.43</v>
      </c>
      <c r="F84">
        <f t="shared" si="3"/>
        <v>90740</v>
      </c>
      <c r="H84" s="1405">
        <v>3.1</v>
      </c>
      <c r="I84" s="1405">
        <v>3.43</v>
      </c>
    </row>
    <row r="85" spans="2:9" ht="30">
      <c r="B85" s="1477">
        <v>90741</v>
      </c>
      <c r="C85" s="740" t="s">
        <v>4510</v>
      </c>
      <c r="D85" s="739" t="s">
        <v>21</v>
      </c>
      <c r="E85" s="741">
        <f t="shared" si="2"/>
        <v>3.91</v>
      </c>
      <c r="F85">
        <f t="shared" si="3"/>
        <v>90741</v>
      </c>
      <c r="H85" s="1406">
        <v>3.53</v>
      </c>
      <c r="I85" s="1406">
        <v>3.91</v>
      </c>
    </row>
    <row r="86" spans="2:9" ht="30">
      <c r="B86" s="677">
        <v>90742</v>
      </c>
      <c r="C86" s="733" t="s">
        <v>4511</v>
      </c>
      <c r="D86" s="677" t="s">
        <v>21</v>
      </c>
      <c r="E86" s="738">
        <f t="shared" si="2"/>
        <v>4.3899999999999997</v>
      </c>
      <c r="F86">
        <f t="shared" si="3"/>
        <v>90742</v>
      </c>
      <c r="H86" s="1405">
        <v>3.97</v>
      </c>
      <c r="I86" s="1405">
        <v>4.3899999999999997</v>
      </c>
    </row>
    <row r="87" spans="2:9" ht="30">
      <c r="B87" s="1477">
        <v>90743</v>
      </c>
      <c r="C87" s="740" t="s">
        <v>4512</v>
      </c>
      <c r="D87" s="739" t="s">
        <v>21</v>
      </c>
      <c r="E87" s="741">
        <f t="shared" si="2"/>
        <v>4.87</v>
      </c>
      <c r="F87">
        <f t="shared" si="3"/>
        <v>90743</v>
      </c>
      <c r="H87" s="1406">
        <v>4.4000000000000004</v>
      </c>
      <c r="I87" s="1406">
        <v>4.87</v>
      </c>
    </row>
    <row r="88" spans="2:9" ht="30">
      <c r="B88" s="677">
        <v>90744</v>
      </c>
      <c r="C88" s="733" t="s">
        <v>4513</v>
      </c>
      <c r="D88" s="677" t="s">
        <v>21</v>
      </c>
      <c r="E88" s="738">
        <f t="shared" si="2"/>
        <v>5.35</v>
      </c>
      <c r="F88">
        <f t="shared" si="3"/>
        <v>90744</v>
      </c>
      <c r="H88" s="1405">
        <v>4.84</v>
      </c>
      <c r="I88" s="1405">
        <v>5.35</v>
      </c>
    </row>
    <row r="89" spans="2:9" ht="30">
      <c r="B89" s="1477">
        <v>90745</v>
      </c>
      <c r="C89" s="740" t="s">
        <v>4514</v>
      </c>
      <c r="D89" s="739" t="s">
        <v>21</v>
      </c>
      <c r="E89" s="741">
        <f t="shared" si="2"/>
        <v>8.68</v>
      </c>
      <c r="F89">
        <f t="shared" si="3"/>
        <v>90745</v>
      </c>
      <c r="H89" s="1406">
        <v>8.2200000000000006</v>
      </c>
      <c r="I89" s="1406">
        <v>8.68</v>
      </c>
    </row>
    <row r="90" spans="2:9" ht="30">
      <c r="B90" s="677">
        <v>90746</v>
      </c>
      <c r="C90" s="733" t="s">
        <v>4515</v>
      </c>
      <c r="D90" s="677" t="s">
        <v>21</v>
      </c>
      <c r="E90" s="738">
        <f t="shared" si="2"/>
        <v>2.81</v>
      </c>
      <c r="F90">
        <f t="shared" si="3"/>
        <v>90746</v>
      </c>
      <c r="H90" s="1405">
        <v>2.54</v>
      </c>
      <c r="I90" s="1405">
        <v>2.81</v>
      </c>
    </row>
    <row r="91" spans="2:9" ht="30">
      <c r="B91" s="1477">
        <v>90747</v>
      </c>
      <c r="C91" s="740" t="s">
        <v>4516</v>
      </c>
      <c r="D91" s="739" t="s">
        <v>21</v>
      </c>
      <c r="E91" s="741">
        <f t="shared" si="2"/>
        <v>15.21</v>
      </c>
      <c r="F91">
        <f t="shared" si="3"/>
        <v>90747</v>
      </c>
      <c r="H91" s="1406">
        <v>14.59</v>
      </c>
      <c r="I91" s="1406">
        <v>15.21</v>
      </c>
    </row>
    <row r="92" spans="2:9" ht="30">
      <c r="B92" s="677">
        <v>94869</v>
      </c>
      <c r="C92" s="733" t="s">
        <v>4517</v>
      </c>
      <c r="D92" s="677" t="s">
        <v>21</v>
      </c>
      <c r="E92" s="738">
        <f t="shared" si="2"/>
        <v>108.95</v>
      </c>
      <c r="F92">
        <f t="shared" si="3"/>
        <v>94869</v>
      </c>
      <c r="H92" s="1405">
        <v>108.88</v>
      </c>
      <c r="I92" s="1405">
        <v>108.95</v>
      </c>
    </row>
    <row r="93" spans="2:9" ht="30">
      <c r="B93" s="1477">
        <v>94870</v>
      </c>
      <c r="C93" s="740" t="s">
        <v>4518</v>
      </c>
      <c r="D93" s="739" t="s">
        <v>21</v>
      </c>
      <c r="E93" s="741">
        <f t="shared" si="2"/>
        <v>1.88</v>
      </c>
      <c r="F93">
        <f t="shared" si="3"/>
        <v>94870</v>
      </c>
      <c r="H93" s="1406">
        <v>1.81</v>
      </c>
      <c r="I93" s="1406">
        <v>1.88</v>
      </c>
    </row>
    <row r="94" spans="2:9" ht="30">
      <c r="B94" s="677">
        <v>94871</v>
      </c>
      <c r="C94" s="733" t="s">
        <v>4519</v>
      </c>
      <c r="D94" s="677" t="s">
        <v>21</v>
      </c>
      <c r="E94" s="738">
        <f t="shared" si="2"/>
        <v>170.26</v>
      </c>
      <c r="F94">
        <f t="shared" si="3"/>
        <v>94871</v>
      </c>
      <c r="H94" s="1405">
        <v>170.16</v>
      </c>
      <c r="I94" s="1405">
        <v>170.26</v>
      </c>
    </row>
    <row r="95" spans="2:9" ht="30">
      <c r="B95" s="1477">
        <v>94872</v>
      </c>
      <c r="C95" s="740" t="s">
        <v>4520</v>
      </c>
      <c r="D95" s="739" t="s">
        <v>21</v>
      </c>
      <c r="E95" s="741">
        <f t="shared" si="2"/>
        <v>2.5099999999999998</v>
      </c>
      <c r="F95">
        <f t="shared" si="3"/>
        <v>94872</v>
      </c>
      <c r="H95" s="1406">
        <v>2.41</v>
      </c>
      <c r="I95" s="1406">
        <v>2.5099999999999998</v>
      </c>
    </row>
    <row r="96" spans="2:9" ht="30">
      <c r="B96" s="677">
        <v>94875</v>
      </c>
      <c r="C96" s="733" t="s">
        <v>4521</v>
      </c>
      <c r="D96" s="677" t="s">
        <v>21</v>
      </c>
      <c r="E96" s="738">
        <f t="shared" si="2"/>
        <v>1003.76</v>
      </c>
      <c r="F96">
        <f t="shared" si="3"/>
        <v>94875</v>
      </c>
      <c r="H96" s="1405">
        <v>1002.84</v>
      </c>
      <c r="I96" s="1405">
        <v>1003.76</v>
      </c>
    </row>
    <row r="97" spans="2:9" ht="30">
      <c r="B97" s="1477">
        <v>94876</v>
      </c>
      <c r="C97" s="740" t="s">
        <v>4522</v>
      </c>
      <c r="D97" s="739" t="s">
        <v>21</v>
      </c>
      <c r="E97" s="741">
        <f t="shared" si="2"/>
        <v>26.31</v>
      </c>
      <c r="F97">
        <f t="shared" si="3"/>
        <v>94876</v>
      </c>
      <c r="H97" s="1406">
        <v>25.39</v>
      </c>
      <c r="I97" s="1406">
        <v>26.31</v>
      </c>
    </row>
    <row r="98" spans="2:9" ht="30">
      <c r="B98" s="677">
        <v>94878</v>
      </c>
      <c r="C98" s="733" t="s">
        <v>4614</v>
      </c>
      <c r="D98" s="677" t="s">
        <v>21</v>
      </c>
      <c r="E98" s="738">
        <f t="shared" si="2"/>
        <v>30.32</v>
      </c>
      <c r="F98">
        <f t="shared" si="3"/>
        <v>94878</v>
      </c>
      <c r="H98" s="1405">
        <v>29.22</v>
      </c>
      <c r="I98" s="1405">
        <v>30.32</v>
      </c>
    </row>
    <row r="99" spans="2:9" ht="30">
      <c r="B99" s="1477">
        <v>94879</v>
      </c>
      <c r="C99" s="740" t="s">
        <v>4615</v>
      </c>
      <c r="D99" s="739" t="s">
        <v>21</v>
      </c>
      <c r="E99" s="741">
        <f t="shared" si="2"/>
        <v>1545.43</v>
      </c>
      <c r="F99">
        <f t="shared" si="3"/>
        <v>94879</v>
      </c>
      <c r="H99" s="1406">
        <v>1544.11</v>
      </c>
      <c r="I99" s="1406">
        <v>1545.43</v>
      </c>
    </row>
    <row r="100" spans="2:9" ht="30">
      <c r="B100" s="677">
        <v>94880</v>
      </c>
      <c r="C100" s="733" t="s">
        <v>4616</v>
      </c>
      <c r="D100" s="677" t="s">
        <v>21</v>
      </c>
      <c r="E100" s="738">
        <f t="shared" si="2"/>
        <v>39.68</v>
      </c>
      <c r="F100">
        <f t="shared" si="3"/>
        <v>94880</v>
      </c>
      <c r="H100" s="1405">
        <v>38.36</v>
      </c>
      <c r="I100" s="1405">
        <v>39.68</v>
      </c>
    </row>
    <row r="101" spans="2:9" ht="30">
      <c r="B101" s="1477">
        <v>94881</v>
      </c>
      <c r="C101" s="740" t="s">
        <v>4617</v>
      </c>
      <c r="D101" s="739" t="s">
        <v>21</v>
      </c>
      <c r="E101" s="741">
        <f t="shared" si="2"/>
        <v>2126.88</v>
      </c>
      <c r="F101">
        <f t="shared" si="3"/>
        <v>94881</v>
      </c>
      <c r="H101" s="1406">
        <v>2125.3000000000002</v>
      </c>
      <c r="I101" s="1406">
        <v>2126.88</v>
      </c>
    </row>
    <row r="102" spans="2:9" ht="30">
      <c r="B102" s="677">
        <v>94882</v>
      </c>
      <c r="C102" s="733" t="s">
        <v>4618</v>
      </c>
      <c r="D102" s="677" t="s">
        <v>21</v>
      </c>
      <c r="E102" s="738">
        <f t="shared" si="2"/>
        <v>45.84</v>
      </c>
      <c r="F102">
        <f t="shared" si="3"/>
        <v>94882</v>
      </c>
      <c r="H102" s="1405">
        <v>44.26</v>
      </c>
      <c r="I102" s="1405">
        <v>45.84</v>
      </c>
    </row>
    <row r="103" spans="2:9" ht="30">
      <c r="B103" s="1477">
        <v>94884</v>
      </c>
      <c r="C103" s="740" t="s">
        <v>4619</v>
      </c>
      <c r="D103" s="739" t="s">
        <v>21</v>
      </c>
      <c r="E103" s="741">
        <f t="shared" si="2"/>
        <v>58.33</v>
      </c>
      <c r="F103">
        <f t="shared" si="3"/>
        <v>94884</v>
      </c>
      <c r="H103" s="1406">
        <v>56.24</v>
      </c>
      <c r="I103" s="1406">
        <v>58.33</v>
      </c>
    </row>
    <row r="104" spans="2:9" ht="30">
      <c r="B104" s="677">
        <v>97121</v>
      </c>
      <c r="C104" s="733" t="s">
        <v>1937</v>
      </c>
      <c r="D104" s="677" t="s">
        <v>21</v>
      </c>
      <c r="E104" s="738">
        <f t="shared" si="2"/>
        <v>1.59</v>
      </c>
      <c r="F104">
        <f t="shared" si="3"/>
        <v>97121</v>
      </c>
      <c r="H104" s="1405">
        <v>1.46</v>
      </c>
      <c r="I104" s="1405">
        <v>1.59</v>
      </c>
    </row>
    <row r="105" spans="2:9" ht="30">
      <c r="B105" s="1477">
        <v>97122</v>
      </c>
      <c r="C105" s="740" t="s">
        <v>1938</v>
      </c>
      <c r="D105" s="739" t="s">
        <v>21</v>
      </c>
      <c r="E105" s="741">
        <f t="shared" si="2"/>
        <v>2.2400000000000002</v>
      </c>
      <c r="F105">
        <f t="shared" si="3"/>
        <v>97122</v>
      </c>
      <c r="H105" s="1406">
        <v>2.04</v>
      </c>
      <c r="I105" s="1406">
        <v>2.2400000000000002</v>
      </c>
    </row>
    <row r="106" spans="2:9" ht="30">
      <c r="B106" s="677">
        <v>97123</v>
      </c>
      <c r="C106" s="733" t="s">
        <v>1939</v>
      </c>
      <c r="D106" s="677" t="s">
        <v>21</v>
      </c>
      <c r="E106" s="738">
        <f t="shared" si="2"/>
        <v>2.84</v>
      </c>
      <c r="F106">
        <f t="shared" si="3"/>
        <v>97123</v>
      </c>
      <c r="H106" s="1405">
        <v>2.6</v>
      </c>
      <c r="I106" s="1405">
        <v>2.84</v>
      </c>
    </row>
    <row r="107" spans="2:9" ht="30">
      <c r="B107" s="1477">
        <v>97124</v>
      </c>
      <c r="C107" s="740" t="s">
        <v>1940</v>
      </c>
      <c r="D107" s="739" t="s">
        <v>21</v>
      </c>
      <c r="E107" s="741">
        <f t="shared" si="2"/>
        <v>0.73</v>
      </c>
      <c r="F107">
        <f t="shared" si="3"/>
        <v>97124</v>
      </c>
      <c r="H107" s="1406">
        <v>0.67</v>
      </c>
      <c r="I107" s="1406">
        <v>0.73</v>
      </c>
    </row>
    <row r="108" spans="2:9" ht="30">
      <c r="B108" s="677">
        <v>97125</v>
      </c>
      <c r="C108" s="733" t="s">
        <v>1941</v>
      </c>
      <c r="D108" s="677" t="s">
        <v>21</v>
      </c>
      <c r="E108" s="738">
        <f t="shared" si="2"/>
        <v>1.05</v>
      </c>
      <c r="F108">
        <f t="shared" si="3"/>
        <v>97125</v>
      </c>
      <c r="H108" s="1405">
        <v>0.98</v>
      </c>
      <c r="I108" s="1405">
        <v>1.05</v>
      </c>
    </row>
    <row r="109" spans="2:9" ht="30">
      <c r="B109" s="1477">
        <v>97126</v>
      </c>
      <c r="C109" s="740" t="s">
        <v>1942</v>
      </c>
      <c r="D109" s="739" t="s">
        <v>21</v>
      </c>
      <c r="E109" s="741">
        <f t="shared" si="2"/>
        <v>1.34</v>
      </c>
      <c r="F109">
        <f t="shared" si="3"/>
        <v>97126</v>
      </c>
      <c r="H109" s="1406">
        <v>1.24</v>
      </c>
      <c r="I109" s="1406">
        <v>1.34</v>
      </c>
    </row>
    <row r="110" spans="2:9" ht="30">
      <c r="B110" s="677">
        <v>102264</v>
      </c>
      <c r="C110" s="733" t="s">
        <v>4523</v>
      </c>
      <c r="D110" s="677" t="s">
        <v>21</v>
      </c>
      <c r="E110" s="738">
        <f t="shared" si="2"/>
        <v>18.62</v>
      </c>
      <c r="F110">
        <f t="shared" si="3"/>
        <v>102264</v>
      </c>
      <c r="H110" s="1405">
        <v>18.38</v>
      </c>
      <c r="I110" s="1405">
        <v>18.62</v>
      </c>
    </row>
    <row r="111" spans="2:9" ht="30">
      <c r="B111" s="1477">
        <v>102265</v>
      </c>
      <c r="C111" s="740" t="s">
        <v>4524</v>
      </c>
      <c r="D111" s="739" t="s">
        <v>22</v>
      </c>
      <c r="E111" s="741">
        <f t="shared" si="2"/>
        <v>80.959999999999994</v>
      </c>
      <c r="F111">
        <f t="shared" si="3"/>
        <v>102265</v>
      </c>
      <c r="H111" s="1406">
        <v>73.819999999999993</v>
      </c>
      <c r="I111" s="1406">
        <v>80.959999999999994</v>
      </c>
    </row>
    <row r="112" spans="2:9" ht="30">
      <c r="B112" s="677">
        <v>102266</v>
      </c>
      <c r="C112" s="733" t="s">
        <v>4525</v>
      </c>
      <c r="D112" s="677" t="s">
        <v>22</v>
      </c>
      <c r="E112" s="738">
        <f t="shared" si="2"/>
        <v>89.82</v>
      </c>
      <c r="F112">
        <f t="shared" si="3"/>
        <v>102266</v>
      </c>
      <c r="H112" s="1405">
        <v>81.900000000000006</v>
      </c>
      <c r="I112" s="1405">
        <v>89.82</v>
      </c>
    </row>
    <row r="113" spans="2:9" ht="30">
      <c r="B113" s="1477">
        <v>102267</v>
      </c>
      <c r="C113" s="740" t="s">
        <v>4526</v>
      </c>
      <c r="D113" s="739" t="s">
        <v>22</v>
      </c>
      <c r="E113" s="741">
        <f t="shared" si="2"/>
        <v>103.18</v>
      </c>
      <c r="F113">
        <f t="shared" si="3"/>
        <v>102267</v>
      </c>
      <c r="H113" s="1406">
        <v>94.09</v>
      </c>
      <c r="I113" s="1406">
        <v>103.18</v>
      </c>
    </row>
    <row r="114" spans="2:9" ht="30">
      <c r="B114" s="677">
        <v>102268</v>
      </c>
      <c r="C114" s="733" t="s">
        <v>4527</v>
      </c>
      <c r="D114" s="677" t="s">
        <v>22</v>
      </c>
      <c r="E114" s="738">
        <f t="shared" si="2"/>
        <v>116.46</v>
      </c>
      <c r="F114">
        <f t="shared" si="3"/>
        <v>102268</v>
      </c>
      <c r="H114" s="1405">
        <v>106.22</v>
      </c>
      <c r="I114" s="1405">
        <v>116.46</v>
      </c>
    </row>
    <row r="115" spans="2:9" ht="30">
      <c r="B115" s="1477">
        <v>102269</v>
      </c>
      <c r="C115" s="740" t="s">
        <v>4528</v>
      </c>
      <c r="D115" s="739" t="s">
        <v>22</v>
      </c>
      <c r="E115" s="741">
        <f t="shared" si="2"/>
        <v>143.02000000000001</v>
      </c>
      <c r="F115">
        <f t="shared" si="3"/>
        <v>102269</v>
      </c>
      <c r="H115" s="1406">
        <v>130.44999999999999</v>
      </c>
      <c r="I115" s="1406">
        <v>143.02000000000001</v>
      </c>
    </row>
    <row r="116" spans="2:9" ht="30">
      <c r="B116" s="677">
        <v>92833</v>
      </c>
      <c r="C116" s="733" t="s">
        <v>685</v>
      </c>
      <c r="D116" s="677" t="s">
        <v>21</v>
      </c>
      <c r="E116" s="738">
        <f t="shared" si="2"/>
        <v>226.27</v>
      </c>
      <c r="F116">
        <f t="shared" si="3"/>
        <v>92833</v>
      </c>
      <c r="H116" s="1405">
        <v>225.84</v>
      </c>
      <c r="I116" s="1405">
        <v>226.27</v>
      </c>
    </row>
    <row r="117" spans="2:9" ht="30">
      <c r="B117" s="1477">
        <v>92834</v>
      </c>
      <c r="C117" s="740" t="s">
        <v>686</v>
      </c>
      <c r="D117" s="739" t="s">
        <v>21</v>
      </c>
      <c r="E117" s="741">
        <f t="shared" si="2"/>
        <v>8.2899999999999991</v>
      </c>
      <c r="F117">
        <f t="shared" si="3"/>
        <v>92834</v>
      </c>
      <c r="H117" s="1406">
        <v>7.86</v>
      </c>
      <c r="I117" s="1406">
        <v>8.2899999999999991</v>
      </c>
    </row>
    <row r="118" spans="2:9" ht="30">
      <c r="B118" s="677">
        <v>92835</v>
      </c>
      <c r="C118" s="733" t="s">
        <v>687</v>
      </c>
      <c r="D118" s="677" t="s">
        <v>21</v>
      </c>
      <c r="E118" s="738">
        <f t="shared" si="2"/>
        <v>236.09</v>
      </c>
      <c r="F118">
        <f t="shared" si="3"/>
        <v>92835</v>
      </c>
      <c r="H118" s="1405">
        <v>235.55</v>
      </c>
      <c r="I118" s="1405">
        <v>236.09</v>
      </c>
    </row>
    <row r="119" spans="2:9" ht="30">
      <c r="B119" s="1477">
        <v>92836</v>
      </c>
      <c r="C119" s="740" t="s">
        <v>688</v>
      </c>
      <c r="D119" s="739" t="s">
        <v>21</v>
      </c>
      <c r="E119" s="741">
        <f t="shared" si="2"/>
        <v>10.59</v>
      </c>
      <c r="F119">
        <f t="shared" si="3"/>
        <v>92836</v>
      </c>
      <c r="H119" s="1406">
        <v>10.050000000000001</v>
      </c>
      <c r="I119" s="1406">
        <v>10.59</v>
      </c>
    </row>
    <row r="120" spans="2:9" ht="30">
      <c r="B120" s="677">
        <v>92837</v>
      </c>
      <c r="C120" s="733" t="s">
        <v>689</v>
      </c>
      <c r="D120" s="677" t="s">
        <v>21</v>
      </c>
      <c r="E120" s="738">
        <f t="shared" si="2"/>
        <v>420.84</v>
      </c>
      <c r="F120">
        <f t="shared" si="3"/>
        <v>92837</v>
      </c>
      <c r="H120" s="1405">
        <v>420.18</v>
      </c>
      <c r="I120" s="1405">
        <v>420.84</v>
      </c>
    </row>
    <row r="121" spans="2:9" ht="30">
      <c r="B121" s="1477">
        <v>92838</v>
      </c>
      <c r="C121" s="740" t="s">
        <v>690</v>
      </c>
      <c r="D121" s="739" t="s">
        <v>21</v>
      </c>
      <c r="E121" s="741">
        <f t="shared" si="2"/>
        <v>12.69</v>
      </c>
      <c r="F121">
        <f t="shared" si="3"/>
        <v>92838</v>
      </c>
      <c r="H121" s="1406">
        <v>12.03</v>
      </c>
      <c r="I121" s="1406">
        <v>12.69</v>
      </c>
    </row>
    <row r="122" spans="2:9" ht="30">
      <c r="B122" s="677">
        <v>92839</v>
      </c>
      <c r="C122" s="733" t="s">
        <v>691</v>
      </c>
      <c r="D122" s="677" t="s">
        <v>21</v>
      </c>
      <c r="E122" s="738">
        <f t="shared" si="2"/>
        <v>515.22</v>
      </c>
      <c r="F122">
        <f t="shared" si="3"/>
        <v>92839</v>
      </c>
      <c r="H122" s="1405">
        <v>514.41999999999996</v>
      </c>
      <c r="I122" s="1405">
        <v>515.22</v>
      </c>
    </row>
    <row r="123" spans="2:9" ht="30">
      <c r="B123" s="1477">
        <v>92840</v>
      </c>
      <c r="C123" s="740" t="s">
        <v>692</v>
      </c>
      <c r="D123" s="739" t="s">
        <v>21</v>
      </c>
      <c r="E123" s="741">
        <f t="shared" si="2"/>
        <v>15.07</v>
      </c>
      <c r="F123">
        <f t="shared" si="3"/>
        <v>92840</v>
      </c>
      <c r="H123" s="1406">
        <v>14.27</v>
      </c>
      <c r="I123" s="1406">
        <v>15.07</v>
      </c>
    </row>
    <row r="124" spans="2:9" ht="30">
      <c r="B124" s="677">
        <v>92841</v>
      </c>
      <c r="C124" s="733" t="s">
        <v>693</v>
      </c>
      <c r="D124" s="677" t="s">
        <v>21</v>
      </c>
      <c r="E124" s="738">
        <f t="shared" si="2"/>
        <v>671.57</v>
      </c>
      <c r="F124">
        <f t="shared" si="3"/>
        <v>92841</v>
      </c>
      <c r="H124" s="1405">
        <v>670.66</v>
      </c>
      <c r="I124" s="1405">
        <v>671.57</v>
      </c>
    </row>
    <row r="125" spans="2:9" ht="30">
      <c r="B125" s="1477">
        <v>92842</v>
      </c>
      <c r="C125" s="740" t="s">
        <v>694</v>
      </c>
      <c r="D125" s="739" t="s">
        <v>21</v>
      </c>
      <c r="E125" s="741">
        <f t="shared" si="2"/>
        <v>17.190000000000001</v>
      </c>
      <c r="F125">
        <f t="shared" si="3"/>
        <v>92842</v>
      </c>
      <c r="H125" s="1406">
        <v>16.28</v>
      </c>
      <c r="I125" s="1406">
        <v>17.190000000000001</v>
      </c>
    </row>
    <row r="126" spans="2:9" ht="30">
      <c r="B126" s="677">
        <v>92843</v>
      </c>
      <c r="C126" s="733" t="s">
        <v>3406</v>
      </c>
      <c r="D126" s="677" t="s">
        <v>21</v>
      </c>
      <c r="E126" s="738">
        <f t="shared" si="2"/>
        <v>693.98</v>
      </c>
      <c r="F126">
        <f t="shared" si="3"/>
        <v>92843</v>
      </c>
      <c r="H126" s="1405">
        <v>692.96</v>
      </c>
      <c r="I126" s="1405">
        <v>693.98</v>
      </c>
    </row>
    <row r="127" spans="2:9" ht="30">
      <c r="B127" s="1477">
        <v>92844</v>
      </c>
      <c r="C127" s="740" t="s">
        <v>695</v>
      </c>
      <c r="D127" s="739" t="s">
        <v>21</v>
      </c>
      <c r="E127" s="741">
        <f t="shared" si="2"/>
        <v>19.559999999999999</v>
      </c>
      <c r="F127">
        <f t="shared" si="3"/>
        <v>92844</v>
      </c>
      <c r="H127" s="1406">
        <v>18.54</v>
      </c>
      <c r="I127" s="1406">
        <v>19.559999999999999</v>
      </c>
    </row>
    <row r="128" spans="2:9" ht="30">
      <c r="B128" s="677">
        <v>92845</v>
      </c>
      <c r="C128" s="733" t="s">
        <v>3407</v>
      </c>
      <c r="D128" s="677" t="s">
        <v>21</v>
      </c>
      <c r="E128" s="738">
        <f t="shared" si="2"/>
        <v>1032.6099999999999</v>
      </c>
      <c r="F128">
        <f t="shared" si="3"/>
        <v>92845</v>
      </c>
      <c r="H128" s="1405">
        <v>1031.47</v>
      </c>
      <c r="I128" s="1405">
        <v>1032.6099999999999</v>
      </c>
    </row>
    <row r="129" spans="2:9" ht="30">
      <c r="B129" s="1477">
        <v>92846</v>
      </c>
      <c r="C129" s="740" t="s">
        <v>696</v>
      </c>
      <c r="D129" s="739" t="s">
        <v>21</v>
      </c>
      <c r="E129" s="741">
        <f t="shared" si="2"/>
        <v>21.65</v>
      </c>
      <c r="F129">
        <f t="shared" si="3"/>
        <v>92846</v>
      </c>
      <c r="H129" s="1406">
        <v>20.51</v>
      </c>
      <c r="I129" s="1406">
        <v>21.65</v>
      </c>
    </row>
    <row r="130" spans="2:9" ht="30">
      <c r="B130" s="677">
        <v>92847</v>
      </c>
      <c r="C130" s="733" t="s">
        <v>697</v>
      </c>
      <c r="D130" s="677" t="s">
        <v>21</v>
      </c>
      <c r="E130" s="738">
        <f t="shared" si="2"/>
        <v>1058.46</v>
      </c>
      <c r="F130">
        <f t="shared" si="3"/>
        <v>92847</v>
      </c>
      <c r="H130" s="1405">
        <v>1057.21</v>
      </c>
      <c r="I130" s="1405">
        <v>1058.46</v>
      </c>
    </row>
    <row r="131" spans="2:9" ht="30">
      <c r="B131" s="1477">
        <v>92848</v>
      </c>
      <c r="C131" s="740" t="s">
        <v>698</v>
      </c>
      <c r="D131" s="739" t="s">
        <v>21</v>
      </c>
      <c r="E131" s="741">
        <f t="shared" ref="E131:E194" si="4">IF($K$2=$H$1,H131,I131)</f>
        <v>24.03</v>
      </c>
      <c r="F131">
        <f t="shared" ref="F131:F194" si="5">IF(LEN($B131)=7,CONCATENATE(MID($B131,1,6),"00",RIGHT($B131,1)),IF(LEN($B131)=8,CONCATENATE(MID($B131,1,6),"0",RIGHT($B131,2)),$B131))</f>
        <v>92848</v>
      </c>
      <c r="H131" s="1406">
        <v>22.78</v>
      </c>
      <c r="I131" s="1406">
        <v>24.03</v>
      </c>
    </row>
    <row r="132" spans="2:9" ht="30">
      <c r="B132" s="677">
        <v>92849</v>
      </c>
      <c r="C132" s="733" t="s">
        <v>699</v>
      </c>
      <c r="D132" s="677" t="s">
        <v>21</v>
      </c>
      <c r="E132" s="738">
        <f t="shared" si="4"/>
        <v>233.66</v>
      </c>
      <c r="F132">
        <f t="shared" si="5"/>
        <v>92849</v>
      </c>
      <c r="H132" s="1405">
        <v>232.84</v>
      </c>
      <c r="I132" s="1405">
        <v>233.66</v>
      </c>
    </row>
    <row r="133" spans="2:9" ht="30">
      <c r="B133" s="1477">
        <v>92850</v>
      </c>
      <c r="C133" s="740" t="s">
        <v>700</v>
      </c>
      <c r="D133" s="739" t="s">
        <v>21</v>
      </c>
      <c r="E133" s="741">
        <f t="shared" si="4"/>
        <v>15.68</v>
      </c>
      <c r="F133">
        <f t="shared" si="5"/>
        <v>92850</v>
      </c>
      <c r="H133" s="1406">
        <v>14.86</v>
      </c>
      <c r="I133" s="1406">
        <v>15.68</v>
      </c>
    </row>
    <row r="134" spans="2:9" ht="30">
      <c r="B134" s="677">
        <v>92851</v>
      </c>
      <c r="C134" s="733" t="s">
        <v>701</v>
      </c>
      <c r="D134" s="677" t="s">
        <v>21</v>
      </c>
      <c r="E134" s="738">
        <f t="shared" si="4"/>
        <v>245.3</v>
      </c>
      <c r="F134">
        <f t="shared" si="5"/>
        <v>92851</v>
      </c>
      <c r="H134" s="1405">
        <v>244.27</v>
      </c>
      <c r="I134" s="1405">
        <v>245.3</v>
      </c>
    </row>
    <row r="135" spans="2:9" ht="30">
      <c r="B135" s="1477">
        <v>92852</v>
      </c>
      <c r="C135" s="740" t="s">
        <v>702</v>
      </c>
      <c r="D135" s="739" t="s">
        <v>21</v>
      </c>
      <c r="E135" s="741">
        <f t="shared" si="4"/>
        <v>19.8</v>
      </c>
      <c r="F135">
        <f t="shared" si="5"/>
        <v>92852</v>
      </c>
      <c r="H135" s="1406">
        <v>18.77</v>
      </c>
      <c r="I135" s="1406">
        <v>19.8</v>
      </c>
    </row>
    <row r="136" spans="2:9" ht="30">
      <c r="B136" s="677">
        <v>92853</v>
      </c>
      <c r="C136" s="733" t="s">
        <v>703</v>
      </c>
      <c r="D136" s="677" t="s">
        <v>21</v>
      </c>
      <c r="E136" s="738">
        <f t="shared" si="4"/>
        <v>432.26</v>
      </c>
      <c r="F136">
        <f t="shared" si="5"/>
        <v>92853</v>
      </c>
      <c r="H136" s="1405">
        <v>431</v>
      </c>
      <c r="I136" s="1405">
        <v>432.26</v>
      </c>
    </row>
    <row r="137" spans="2:9" ht="30">
      <c r="B137" s="1477">
        <v>92854</v>
      </c>
      <c r="C137" s="740" t="s">
        <v>704</v>
      </c>
      <c r="D137" s="739" t="s">
        <v>21</v>
      </c>
      <c r="E137" s="741">
        <f t="shared" si="4"/>
        <v>24.11</v>
      </c>
      <c r="F137">
        <f t="shared" si="5"/>
        <v>92854</v>
      </c>
      <c r="H137" s="1406">
        <v>22.85</v>
      </c>
      <c r="I137" s="1406">
        <v>24.11</v>
      </c>
    </row>
    <row r="138" spans="2:9" ht="30">
      <c r="B138" s="677">
        <v>92855</v>
      </c>
      <c r="C138" s="733" t="s">
        <v>705</v>
      </c>
      <c r="D138" s="677" t="s">
        <v>21</v>
      </c>
      <c r="E138" s="738">
        <f t="shared" si="4"/>
        <v>528.55999999999995</v>
      </c>
      <c r="F138">
        <f t="shared" si="5"/>
        <v>92855</v>
      </c>
      <c r="H138" s="1405">
        <v>527.08000000000004</v>
      </c>
      <c r="I138" s="1405">
        <v>528.55999999999995</v>
      </c>
    </row>
    <row r="139" spans="2:9" ht="30">
      <c r="B139" s="1477">
        <v>92856</v>
      </c>
      <c r="C139" s="740" t="s">
        <v>706</v>
      </c>
      <c r="D139" s="739" t="s">
        <v>21</v>
      </c>
      <c r="E139" s="741">
        <f t="shared" si="4"/>
        <v>28.41</v>
      </c>
      <c r="F139">
        <f t="shared" si="5"/>
        <v>92856</v>
      </c>
      <c r="H139" s="1406">
        <v>26.93</v>
      </c>
      <c r="I139" s="1406">
        <v>28.41</v>
      </c>
    </row>
    <row r="140" spans="2:9" ht="30">
      <c r="B140" s="677">
        <v>92857</v>
      </c>
      <c r="C140" s="733" t="s">
        <v>707</v>
      </c>
      <c r="D140" s="677" t="s">
        <v>21</v>
      </c>
      <c r="E140" s="738">
        <f t="shared" si="4"/>
        <v>686.89</v>
      </c>
      <c r="F140">
        <f t="shared" si="5"/>
        <v>92857</v>
      </c>
      <c r="H140" s="1405">
        <v>685.18</v>
      </c>
      <c r="I140" s="1405">
        <v>686.89</v>
      </c>
    </row>
    <row r="141" spans="2:9" ht="30">
      <c r="B141" s="1477">
        <v>92858</v>
      </c>
      <c r="C141" s="740" t="s">
        <v>708</v>
      </c>
      <c r="D141" s="739" t="s">
        <v>21</v>
      </c>
      <c r="E141" s="741">
        <f t="shared" si="4"/>
        <v>32.51</v>
      </c>
      <c r="F141">
        <f t="shared" si="5"/>
        <v>92858</v>
      </c>
      <c r="H141" s="1406">
        <v>30.8</v>
      </c>
      <c r="I141" s="1406">
        <v>32.51</v>
      </c>
    </row>
    <row r="142" spans="2:9" ht="30">
      <c r="B142" s="677">
        <v>92859</v>
      </c>
      <c r="C142" s="733" t="s">
        <v>3408</v>
      </c>
      <c r="D142" s="677" t="s">
        <v>21</v>
      </c>
      <c r="E142" s="738">
        <f t="shared" si="4"/>
        <v>711.35</v>
      </c>
      <c r="F142">
        <f t="shared" si="5"/>
        <v>92859</v>
      </c>
      <c r="H142" s="1405">
        <v>709.41</v>
      </c>
      <c r="I142" s="1405">
        <v>711.35</v>
      </c>
    </row>
    <row r="143" spans="2:9" ht="30">
      <c r="B143" s="1477">
        <v>92860</v>
      </c>
      <c r="C143" s="740" t="s">
        <v>709</v>
      </c>
      <c r="D143" s="739" t="s">
        <v>21</v>
      </c>
      <c r="E143" s="741">
        <f t="shared" si="4"/>
        <v>36.93</v>
      </c>
      <c r="F143">
        <f t="shared" si="5"/>
        <v>92860</v>
      </c>
      <c r="H143" s="1406">
        <v>34.99</v>
      </c>
      <c r="I143" s="1406">
        <v>36.93</v>
      </c>
    </row>
    <row r="144" spans="2:9" ht="30">
      <c r="B144" s="677">
        <v>92861</v>
      </c>
      <c r="C144" s="733" t="s">
        <v>3409</v>
      </c>
      <c r="D144" s="677" t="s">
        <v>21</v>
      </c>
      <c r="E144" s="738">
        <f t="shared" si="4"/>
        <v>1052.18</v>
      </c>
      <c r="F144">
        <f t="shared" si="5"/>
        <v>92861</v>
      </c>
      <c r="H144" s="1405">
        <v>1050.02</v>
      </c>
      <c r="I144" s="1405">
        <v>1052.18</v>
      </c>
    </row>
    <row r="145" spans="2:9" ht="30">
      <c r="B145" s="1477">
        <v>92862</v>
      </c>
      <c r="C145" s="740" t="s">
        <v>710</v>
      </c>
      <c r="D145" s="739" t="s">
        <v>21</v>
      </c>
      <c r="E145" s="741">
        <f t="shared" si="4"/>
        <v>41.22</v>
      </c>
      <c r="F145">
        <f t="shared" si="5"/>
        <v>92862</v>
      </c>
      <c r="H145" s="1406">
        <v>39.06</v>
      </c>
      <c r="I145" s="1406">
        <v>41.22</v>
      </c>
    </row>
    <row r="146" spans="2:9" ht="30">
      <c r="B146" s="677">
        <v>92863</v>
      </c>
      <c r="C146" s="733" t="s">
        <v>711</v>
      </c>
      <c r="D146" s="677" t="s">
        <v>21</v>
      </c>
      <c r="E146" s="738">
        <f t="shared" si="4"/>
        <v>1079.96</v>
      </c>
      <c r="F146">
        <f t="shared" si="5"/>
        <v>92863</v>
      </c>
      <c r="H146" s="1405">
        <v>1077.5899999999999</v>
      </c>
      <c r="I146" s="1405">
        <v>1079.96</v>
      </c>
    </row>
    <row r="147" spans="2:9" ht="30">
      <c r="B147" s="1477">
        <v>92864</v>
      </c>
      <c r="C147" s="740" t="s">
        <v>712</v>
      </c>
      <c r="D147" s="739" t="s">
        <v>21</v>
      </c>
      <c r="E147" s="741">
        <f t="shared" si="4"/>
        <v>45.53</v>
      </c>
      <c r="F147">
        <f t="shared" si="5"/>
        <v>92864</v>
      </c>
      <c r="H147" s="1406">
        <v>43.16</v>
      </c>
      <c r="I147" s="1406">
        <v>45.53</v>
      </c>
    </row>
    <row r="148" spans="2:9" ht="30">
      <c r="B148" s="677">
        <v>92210</v>
      </c>
      <c r="C148" s="733" t="s">
        <v>713</v>
      </c>
      <c r="D148" s="677" t="s">
        <v>21</v>
      </c>
      <c r="E148" s="738">
        <f t="shared" si="4"/>
        <v>178.44</v>
      </c>
      <c r="F148">
        <f t="shared" si="5"/>
        <v>92210</v>
      </c>
      <c r="H148" s="1405">
        <v>175.97</v>
      </c>
      <c r="I148" s="1405">
        <v>178.44</v>
      </c>
    </row>
    <row r="149" spans="2:9" ht="30">
      <c r="B149" s="1477">
        <v>92211</v>
      </c>
      <c r="C149" s="740" t="s">
        <v>714</v>
      </c>
      <c r="D149" s="739" t="s">
        <v>21</v>
      </c>
      <c r="E149" s="741">
        <f t="shared" si="4"/>
        <v>214.38</v>
      </c>
      <c r="F149">
        <f t="shared" si="5"/>
        <v>92211</v>
      </c>
      <c r="H149" s="1406">
        <v>211.36</v>
      </c>
      <c r="I149" s="1406">
        <v>214.38</v>
      </c>
    </row>
    <row r="150" spans="2:9" ht="30">
      <c r="B150" s="677">
        <v>92212</v>
      </c>
      <c r="C150" s="733" t="s">
        <v>715</v>
      </c>
      <c r="D150" s="677" t="s">
        <v>21</v>
      </c>
      <c r="E150" s="738">
        <f t="shared" si="4"/>
        <v>322.2</v>
      </c>
      <c r="F150">
        <f t="shared" si="5"/>
        <v>92212</v>
      </c>
      <c r="H150" s="1405">
        <v>318.64999999999998</v>
      </c>
      <c r="I150" s="1405">
        <v>322.2</v>
      </c>
    </row>
    <row r="151" spans="2:9" ht="30">
      <c r="B151" s="1477">
        <v>92213</v>
      </c>
      <c r="C151" s="740" t="s">
        <v>716</v>
      </c>
      <c r="D151" s="739" t="s">
        <v>21</v>
      </c>
      <c r="E151" s="741">
        <f t="shared" si="4"/>
        <v>424.94</v>
      </c>
      <c r="F151">
        <f t="shared" si="5"/>
        <v>92213</v>
      </c>
      <c r="H151" s="1406">
        <v>420.82</v>
      </c>
      <c r="I151" s="1406">
        <v>424.94</v>
      </c>
    </row>
    <row r="152" spans="2:9" ht="30">
      <c r="B152" s="677">
        <v>92214</v>
      </c>
      <c r="C152" s="733" t="s">
        <v>717</v>
      </c>
      <c r="D152" s="677" t="s">
        <v>21</v>
      </c>
      <c r="E152" s="738">
        <f t="shared" si="4"/>
        <v>514.39</v>
      </c>
      <c r="F152">
        <f t="shared" si="5"/>
        <v>92214</v>
      </c>
      <c r="H152" s="1405">
        <v>509.69</v>
      </c>
      <c r="I152" s="1405">
        <v>514.39</v>
      </c>
    </row>
    <row r="153" spans="2:9" ht="30">
      <c r="B153" s="1477">
        <v>92215</v>
      </c>
      <c r="C153" s="740" t="s">
        <v>718</v>
      </c>
      <c r="D153" s="739" t="s">
        <v>21</v>
      </c>
      <c r="E153" s="741">
        <f t="shared" si="4"/>
        <v>591.26</v>
      </c>
      <c r="F153">
        <f t="shared" si="5"/>
        <v>92215</v>
      </c>
      <c r="H153" s="1406">
        <v>585.92999999999995</v>
      </c>
      <c r="I153" s="1406">
        <v>591.26</v>
      </c>
    </row>
    <row r="154" spans="2:9" ht="30">
      <c r="B154" s="677">
        <v>92216</v>
      </c>
      <c r="C154" s="733" t="s">
        <v>719</v>
      </c>
      <c r="D154" s="677" t="s">
        <v>21</v>
      </c>
      <c r="E154" s="738">
        <f t="shared" si="4"/>
        <v>617.79</v>
      </c>
      <c r="F154">
        <f t="shared" si="5"/>
        <v>92216</v>
      </c>
      <c r="H154" s="1405">
        <v>611.77</v>
      </c>
      <c r="I154" s="1405">
        <v>617.79</v>
      </c>
    </row>
    <row r="155" spans="2:9" ht="30">
      <c r="B155" s="1477">
        <v>92219</v>
      </c>
      <c r="C155" s="740" t="s">
        <v>720</v>
      </c>
      <c r="D155" s="739" t="s">
        <v>21</v>
      </c>
      <c r="E155" s="741">
        <f t="shared" si="4"/>
        <v>187.63</v>
      </c>
      <c r="F155">
        <f t="shared" si="5"/>
        <v>92219</v>
      </c>
      <c r="H155" s="1406">
        <v>184.68</v>
      </c>
      <c r="I155" s="1406">
        <v>187.63</v>
      </c>
    </row>
    <row r="156" spans="2:9" ht="30">
      <c r="B156" s="677">
        <v>92220</v>
      </c>
      <c r="C156" s="733" t="s">
        <v>721</v>
      </c>
      <c r="D156" s="677" t="s">
        <v>21</v>
      </c>
      <c r="E156" s="738">
        <f t="shared" si="4"/>
        <v>225.79</v>
      </c>
      <c r="F156">
        <f t="shared" si="5"/>
        <v>92220</v>
      </c>
      <c r="H156" s="1405">
        <v>222.19</v>
      </c>
      <c r="I156" s="1405">
        <v>225.79</v>
      </c>
    </row>
    <row r="157" spans="2:9" ht="30">
      <c r="B157" s="1477">
        <v>92221</v>
      </c>
      <c r="C157" s="740" t="s">
        <v>722</v>
      </c>
      <c r="D157" s="739" t="s">
        <v>21</v>
      </c>
      <c r="E157" s="741">
        <f t="shared" si="4"/>
        <v>335.55</v>
      </c>
      <c r="F157">
        <f t="shared" si="5"/>
        <v>92221</v>
      </c>
      <c r="H157" s="1406">
        <v>331.31</v>
      </c>
      <c r="I157" s="1406">
        <v>335.55</v>
      </c>
    </row>
    <row r="158" spans="2:9" ht="30">
      <c r="B158" s="677">
        <v>92222</v>
      </c>
      <c r="C158" s="733" t="s">
        <v>723</v>
      </c>
      <c r="D158" s="677" t="s">
        <v>21</v>
      </c>
      <c r="E158" s="738">
        <f t="shared" si="4"/>
        <v>440.5</v>
      </c>
      <c r="F158">
        <f t="shared" si="5"/>
        <v>92222</v>
      </c>
      <c r="H158" s="1405">
        <v>435.57</v>
      </c>
      <c r="I158" s="1405">
        <v>440.5</v>
      </c>
    </row>
    <row r="159" spans="2:9" ht="30">
      <c r="B159" s="1477">
        <v>92223</v>
      </c>
      <c r="C159" s="740" t="s">
        <v>724</v>
      </c>
      <c r="D159" s="739" t="s">
        <v>21</v>
      </c>
      <c r="E159" s="741">
        <f t="shared" si="4"/>
        <v>531.76</v>
      </c>
      <c r="F159">
        <f t="shared" si="5"/>
        <v>92223</v>
      </c>
      <c r="H159" s="1406">
        <v>526.14</v>
      </c>
      <c r="I159" s="1406">
        <v>531.76</v>
      </c>
    </row>
    <row r="160" spans="2:9" ht="30">
      <c r="B160" s="677">
        <v>92224</v>
      </c>
      <c r="C160" s="733" t="s">
        <v>725</v>
      </c>
      <c r="D160" s="677" t="s">
        <v>21</v>
      </c>
      <c r="E160" s="738">
        <f t="shared" si="4"/>
        <v>610.54</v>
      </c>
      <c r="F160">
        <f t="shared" si="5"/>
        <v>92224</v>
      </c>
      <c r="H160" s="1405">
        <v>604.20000000000005</v>
      </c>
      <c r="I160" s="1405">
        <v>610.54</v>
      </c>
    </row>
    <row r="161" spans="2:9" ht="30">
      <c r="B161" s="1477">
        <v>92226</v>
      </c>
      <c r="C161" s="740" t="s">
        <v>726</v>
      </c>
      <c r="D161" s="739" t="s">
        <v>21</v>
      </c>
      <c r="E161" s="741">
        <f t="shared" si="4"/>
        <v>639.38</v>
      </c>
      <c r="F161">
        <f t="shared" si="5"/>
        <v>92226</v>
      </c>
      <c r="H161" s="1406">
        <v>632.24</v>
      </c>
      <c r="I161" s="1406">
        <v>639.38</v>
      </c>
    </row>
    <row r="162" spans="2:9" ht="30">
      <c r="B162" s="677">
        <v>92808</v>
      </c>
      <c r="C162" s="733" t="s">
        <v>727</v>
      </c>
      <c r="D162" s="677" t="s">
        <v>21</v>
      </c>
      <c r="E162" s="738">
        <f t="shared" si="4"/>
        <v>37.479999999999997</v>
      </c>
      <c r="F162">
        <f t="shared" si="5"/>
        <v>92808</v>
      </c>
      <c r="H162" s="1405">
        <v>35.549999999999997</v>
      </c>
      <c r="I162" s="1405">
        <v>37.479999999999997</v>
      </c>
    </row>
    <row r="163" spans="2:9" ht="30">
      <c r="B163" s="1477">
        <v>92809</v>
      </c>
      <c r="C163" s="740" t="s">
        <v>728</v>
      </c>
      <c r="D163" s="739" t="s">
        <v>21</v>
      </c>
      <c r="E163" s="741">
        <f t="shared" si="4"/>
        <v>48.21</v>
      </c>
      <c r="F163">
        <f t="shared" si="5"/>
        <v>92809</v>
      </c>
      <c r="H163" s="1406">
        <v>45.74</v>
      </c>
      <c r="I163" s="1406">
        <v>48.21</v>
      </c>
    </row>
    <row r="164" spans="2:9" ht="30">
      <c r="B164" s="677">
        <v>92810</v>
      </c>
      <c r="C164" s="733" t="s">
        <v>729</v>
      </c>
      <c r="D164" s="677" t="s">
        <v>21</v>
      </c>
      <c r="E164" s="738">
        <f t="shared" si="4"/>
        <v>58.74</v>
      </c>
      <c r="F164">
        <f t="shared" si="5"/>
        <v>92810</v>
      </c>
      <c r="H164" s="1405">
        <v>55.72</v>
      </c>
      <c r="I164" s="1405">
        <v>58.74</v>
      </c>
    </row>
    <row r="165" spans="2:9" ht="30">
      <c r="B165" s="1477">
        <v>92811</v>
      </c>
      <c r="C165" s="740" t="s">
        <v>730</v>
      </c>
      <c r="D165" s="739" t="s">
        <v>21</v>
      </c>
      <c r="E165" s="741">
        <f t="shared" si="4"/>
        <v>70.19</v>
      </c>
      <c r="F165">
        <f t="shared" si="5"/>
        <v>92811</v>
      </c>
      <c r="H165" s="1406">
        <v>66.64</v>
      </c>
      <c r="I165" s="1406">
        <v>70.19</v>
      </c>
    </row>
    <row r="166" spans="2:9" ht="30">
      <c r="B166" s="677">
        <v>92812</v>
      </c>
      <c r="C166" s="733" t="s">
        <v>731</v>
      </c>
      <c r="D166" s="677" t="s">
        <v>21</v>
      </c>
      <c r="E166" s="738">
        <f t="shared" si="4"/>
        <v>81.45</v>
      </c>
      <c r="F166">
        <f t="shared" si="5"/>
        <v>92812</v>
      </c>
      <c r="H166" s="1405">
        <v>77.33</v>
      </c>
      <c r="I166" s="1405">
        <v>81.45</v>
      </c>
    </row>
    <row r="167" spans="2:9" ht="30">
      <c r="B167" s="1477">
        <v>92813</v>
      </c>
      <c r="C167" s="740" t="s">
        <v>732</v>
      </c>
      <c r="D167" s="739" t="s">
        <v>21</v>
      </c>
      <c r="E167" s="741">
        <f t="shared" si="4"/>
        <v>95.09</v>
      </c>
      <c r="F167">
        <f t="shared" si="5"/>
        <v>92813</v>
      </c>
      <c r="H167" s="1406">
        <v>90.39</v>
      </c>
      <c r="I167" s="1406">
        <v>95.09</v>
      </c>
    </row>
    <row r="168" spans="2:9" ht="30">
      <c r="B168" s="677">
        <v>92814</v>
      </c>
      <c r="C168" s="733" t="s">
        <v>733</v>
      </c>
      <c r="D168" s="677" t="s">
        <v>21</v>
      </c>
      <c r="E168" s="738">
        <f t="shared" si="4"/>
        <v>109.48</v>
      </c>
      <c r="F168">
        <f t="shared" si="5"/>
        <v>92814</v>
      </c>
      <c r="H168" s="1405">
        <v>104.15</v>
      </c>
      <c r="I168" s="1405">
        <v>109.48</v>
      </c>
    </row>
    <row r="169" spans="2:9" ht="30">
      <c r="B169" s="1477">
        <v>92815</v>
      </c>
      <c r="C169" s="740" t="s">
        <v>734</v>
      </c>
      <c r="D169" s="739" t="s">
        <v>21</v>
      </c>
      <c r="E169" s="741">
        <f t="shared" si="4"/>
        <v>126.48</v>
      </c>
      <c r="F169">
        <f t="shared" si="5"/>
        <v>92815</v>
      </c>
      <c r="H169" s="1406">
        <v>120.46</v>
      </c>
      <c r="I169" s="1406">
        <v>126.48</v>
      </c>
    </row>
    <row r="170" spans="2:9" ht="30">
      <c r="B170" s="677">
        <v>92816</v>
      </c>
      <c r="C170" s="733" t="s">
        <v>735</v>
      </c>
      <c r="D170" s="677" t="s">
        <v>21</v>
      </c>
      <c r="E170" s="738">
        <f t="shared" si="4"/>
        <v>892.05</v>
      </c>
      <c r="F170">
        <f t="shared" si="5"/>
        <v>92816</v>
      </c>
      <c r="H170" s="1405">
        <v>884.52</v>
      </c>
      <c r="I170" s="1405">
        <v>892.05</v>
      </c>
    </row>
    <row r="171" spans="2:9" ht="30">
      <c r="B171" s="1477">
        <v>92817</v>
      </c>
      <c r="C171" s="740" t="s">
        <v>736</v>
      </c>
      <c r="D171" s="739" t="s">
        <v>21</v>
      </c>
      <c r="E171" s="741">
        <f t="shared" si="4"/>
        <v>158.26</v>
      </c>
      <c r="F171">
        <f t="shared" si="5"/>
        <v>92817</v>
      </c>
      <c r="H171" s="1406">
        <v>150.72999999999999</v>
      </c>
      <c r="I171" s="1406">
        <v>158.26</v>
      </c>
    </row>
    <row r="172" spans="2:9" ht="30">
      <c r="B172" s="677">
        <v>92818</v>
      </c>
      <c r="C172" s="733" t="s">
        <v>737</v>
      </c>
      <c r="D172" s="677" t="s">
        <v>21</v>
      </c>
      <c r="E172" s="738">
        <f t="shared" si="4"/>
        <v>1276.1300000000001</v>
      </c>
      <c r="F172">
        <f t="shared" si="5"/>
        <v>92818</v>
      </c>
      <c r="H172" s="1405">
        <v>1266.01</v>
      </c>
      <c r="I172" s="1405">
        <v>1276.1300000000001</v>
      </c>
    </row>
    <row r="173" spans="2:9" ht="30">
      <c r="B173" s="1477">
        <v>92819</v>
      </c>
      <c r="C173" s="740" t="s">
        <v>738</v>
      </c>
      <c r="D173" s="739" t="s">
        <v>21</v>
      </c>
      <c r="E173" s="741">
        <f t="shared" si="4"/>
        <v>213.04</v>
      </c>
      <c r="F173">
        <f t="shared" si="5"/>
        <v>92819</v>
      </c>
      <c r="H173" s="1406">
        <v>202.92</v>
      </c>
      <c r="I173" s="1406">
        <v>213.04</v>
      </c>
    </row>
    <row r="174" spans="2:9" ht="30">
      <c r="B174" s="677">
        <v>92820</v>
      </c>
      <c r="C174" s="733" t="s">
        <v>739</v>
      </c>
      <c r="D174" s="677" t="s">
        <v>21</v>
      </c>
      <c r="E174" s="738">
        <f t="shared" si="4"/>
        <v>44.67</v>
      </c>
      <c r="F174">
        <f t="shared" si="5"/>
        <v>92820</v>
      </c>
      <c r="H174" s="1405">
        <v>42.37</v>
      </c>
      <c r="I174" s="1405">
        <v>44.67</v>
      </c>
    </row>
    <row r="175" spans="2:9" ht="30">
      <c r="B175" s="1477">
        <v>92821</v>
      </c>
      <c r="C175" s="740" t="s">
        <v>740</v>
      </c>
      <c r="D175" s="739" t="s">
        <v>21</v>
      </c>
      <c r="E175" s="741">
        <f t="shared" si="4"/>
        <v>57.4</v>
      </c>
      <c r="F175">
        <f t="shared" si="5"/>
        <v>92821</v>
      </c>
      <c r="H175" s="1406">
        <v>54.45</v>
      </c>
      <c r="I175" s="1406">
        <v>57.4</v>
      </c>
    </row>
    <row r="176" spans="2:9" ht="30">
      <c r="B176" s="677">
        <v>92822</v>
      </c>
      <c r="C176" s="733" t="s">
        <v>741</v>
      </c>
      <c r="D176" s="677" t="s">
        <v>21</v>
      </c>
      <c r="E176" s="738">
        <f t="shared" si="4"/>
        <v>70.150000000000006</v>
      </c>
      <c r="F176">
        <f t="shared" si="5"/>
        <v>92822</v>
      </c>
      <c r="H176" s="1405">
        <v>66.55</v>
      </c>
      <c r="I176" s="1405">
        <v>70.150000000000006</v>
      </c>
    </row>
    <row r="177" spans="2:9" ht="30">
      <c r="B177" s="1477">
        <v>92824</v>
      </c>
      <c r="C177" s="740" t="s">
        <v>742</v>
      </c>
      <c r="D177" s="739" t="s">
        <v>21</v>
      </c>
      <c r="E177" s="741">
        <f t="shared" si="4"/>
        <v>83.54</v>
      </c>
      <c r="F177">
        <f t="shared" si="5"/>
        <v>92824</v>
      </c>
      <c r="H177" s="1406">
        <v>79.3</v>
      </c>
      <c r="I177" s="1406">
        <v>83.54</v>
      </c>
    </row>
    <row r="178" spans="2:9" ht="30">
      <c r="B178" s="677">
        <v>92825</v>
      </c>
      <c r="C178" s="733" t="s">
        <v>743</v>
      </c>
      <c r="D178" s="677" t="s">
        <v>21</v>
      </c>
      <c r="E178" s="738">
        <f t="shared" si="4"/>
        <v>97.01</v>
      </c>
      <c r="F178">
        <f t="shared" si="5"/>
        <v>92825</v>
      </c>
      <c r="H178" s="1405">
        <v>92.08</v>
      </c>
      <c r="I178" s="1405">
        <v>97.01</v>
      </c>
    </row>
    <row r="179" spans="2:9" ht="30">
      <c r="B179" s="1477">
        <v>92826</v>
      </c>
      <c r="C179" s="740" t="s">
        <v>744</v>
      </c>
      <c r="D179" s="739" t="s">
        <v>21</v>
      </c>
      <c r="E179" s="741">
        <f t="shared" si="4"/>
        <v>112.46</v>
      </c>
      <c r="F179">
        <f t="shared" si="5"/>
        <v>92826</v>
      </c>
      <c r="H179" s="1406">
        <v>106.84</v>
      </c>
      <c r="I179" s="1406">
        <v>112.46</v>
      </c>
    </row>
    <row r="180" spans="2:9" ht="30">
      <c r="B180" s="677">
        <v>92827</v>
      </c>
      <c r="C180" s="733" t="s">
        <v>745</v>
      </c>
      <c r="D180" s="677" t="s">
        <v>21</v>
      </c>
      <c r="E180" s="738">
        <f t="shared" si="4"/>
        <v>128.76</v>
      </c>
      <c r="F180">
        <f t="shared" si="5"/>
        <v>92827</v>
      </c>
      <c r="H180" s="1405">
        <v>122.42</v>
      </c>
      <c r="I180" s="1405">
        <v>128.76</v>
      </c>
    </row>
    <row r="181" spans="2:9" ht="30">
      <c r="B181" s="1477">
        <v>92828</v>
      </c>
      <c r="C181" s="740" t="s">
        <v>746</v>
      </c>
      <c r="D181" s="739" t="s">
        <v>21</v>
      </c>
      <c r="E181" s="741">
        <f t="shared" si="4"/>
        <v>148.07</v>
      </c>
      <c r="F181">
        <f t="shared" si="5"/>
        <v>92828</v>
      </c>
      <c r="H181" s="1406">
        <v>140.93</v>
      </c>
      <c r="I181" s="1406">
        <v>148.07</v>
      </c>
    </row>
    <row r="182" spans="2:9" ht="30">
      <c r="B182" s="677">
        <v>92829</v>
      </c>
      <c r="C182" s="733" t="s">
        <v>747</v>
      </c>
      <c r="D182" s="677" t="s">
        <v>21</v>
      </c>
      <c r="E182" s="738">
        <f t="shared" si="4"/>
        <v>917.47</v>
      </c>
      <c r="F182">
        <f t="shared" si="5"/>
        <v>92829</v>
      </c>
      <c r="H182" s="1405">
        <v>908.6</v>
      </c>
      <c r="I182" s="1405">
        <v>917.47</v>
      </c>
    </row>
    <row r="183" spans="2:9" ht="30">
      <c r="B183" s="1477">
        <v>92830</v>
      </c>
      <c r="C183" s="740" t="s">
        <v>748</v>
      </c>
      <c r="D183" s="739" t="s">
        <v>21</v>
      </c>
      <c r="E183" s="741">
        <f t="shared" si="4"/>
        <v>183.68</v>
      </c>
      <c r="F183">
        <f t="shared" si="5"/>
        <v>92830</v>
      </c>
      <c r="H183" s="1406">
        <v>174.81</v>
      </c>
      <c r="I183" s="1406">
        <v>183.68</v>
      </c>
    </row>
    <row r="184" spans="2:9" ht="30">
      <c r="B184" s="677">
        <v>92831</v>
      </c>
      <c r="C184" s="733" t="s">
        <v>749</v>
      </c>
      <c r="D184" s="677" t="s">
        <v>21</v>
      </c>
      <c r="E184" s="738">
        <f t="shared" si="4"/>
        <v>1307.27</v>
      </c>
      <c r="F184">
        <f t="shared" si="5"/>
        <v>92831</v>
      </c>
      <c r="H184" s="1405">
        <v>1295.5</v>
      </c>
      <c r="I184" s="1405">
        <v>1307.27</v>
      </c>
    </row>
    <row r="185" spans="2:9" ht="30">
      <c r="B185" s="1477">
        <v>92832</v>
      </c>
      <c r="C185" s="740" t="s">
        <v>750</v>
      </c>
      <c r="D185" s="739" t="s">
        <v>21</v>
      </c>
      <c r="E185" s="741">
        <f t="shared" si="4"/>
        <v>244.18</v>
      </c>
      <c r="F185">
        <f t="shared" si="5"/>
        <v>92832</v>
      </c>
      <c r="H185" s="1406">
        <v>232.41</v>
      </c>
      <c r="I185" s="1406">
        <v>244.18</v>
      </c>
    </row>
    <row r="186" spans="2:9" ht="30">
      <c r="B186" s="677">
        <v>95565</v>
      </c>
      <c r="C186" s="733" t="s">
        <v>751</v>
      </c>
      <c r="D186" s="677" t="s">
        <v>21</v>
      </c>
      <c r="E186" s="738">
        <f t="shared" si="4"/>
        <v>152.88999999999999</v>
      </c>
      <c r="F186">
        <f t="shared" si="5"/>
        <v>95565</v>
      </c>
      <c r="H186" s="1405">
        <v>150.96</v>
      </c>
      <c r="I186" s="1405">
        <v>152.88999999999999</v>
      </c>
    </row>
    <row r="187" spans="2:9" ht="30">
      <c r="B187" s="1477">
        <v>95566</v>
      </c>
      <c r="C187" s="740" t="s">
        <v>752</v>
      </c>
      <c r="D187" s="739" t="s">
        <v>21</v>
      </c>
      <c r="E187" s="741">
        <f t="shared" si="4"/>
        <v>160.08000000000001</v>
      </c>
      <c r="F187">
        <f t="shared" si="5"/>
        <v>95566</v>
      </c>
      <c r="H187" s="1406">
        <v>157.78</v>
      </c>
      <c r="I187" s="1406">
        <v>160.08000000000001</v>
      </c>
    </row>
    <row r="188" spans="2:9" ht="30">
      <c r="B188" s="677">
        <v>95567</v>
      </c>
      <c r="C188" s="733" t="s">
        <v>753</v>
      </c>
      <c r="D188" s="677" t="s">
        <v>21</v>
      </c>
      <c r="E188" s="738">
        <f t="shared" si="4"/>
        <v>101.34</v>
      </c>
      <c r="F188">
        <f t="shared" si="5"/>
        <v>95567</v>
      </c>
      <c r="H188" s="1405">
        <v>99.41</v>
      </c>
      <c r="I188" s="1405">
        <v>101.34</v>
      </c>
    </row>
    <row r="189" spans="2:9" ht="30">
      <c r="B189" s="1477">
        <v>95568</v>
      </c>
      <c r="C189" s="740" t="s">
        <v>754</v>
      </c>
      <c r="D189" s="739" t="s">
        <v>21</v>
      </c>
      <c r="E189" s="741">
        <f t="shared" si="4"/>
        <v>123.66</v>
      </c>
      <c r="F189">
        <f t="shared" si="5"/>
        <v>95568</v>
      </c>
      <c r="H189" s="1406">
        <v>121.19</v>
      </c>
      <c r="I189" s="1406">
        <v>123.66</v>
      </c>
    </row>
    <row r="190" spans="2:9" ht="30">
      <c r="B190" s="677">
        <v>95569</v>
      </c>
      <c r="C190" s="733" t="s">
        <v>755</v>
      </c>
      <c r="D190" s="677" t="s">
        <v>21</v>
      </c>
      <c r="E190" s="738">
        <f t="shared" si="4"/>
        <v>171.05</v>
      </c>
      <c r="F190">
        <f t="shared" si="5"/>
        <v>95569</v>
      </c>
      <c r="H190" s="1405">
        <v>168.03</v>
      </c>
      <c r="I190" s="1405">
        <v>171.05</v>
      </c>
    </row>
    <row r="191" spans="2:9" ht="30">
      <c r="B191" s="1477">
        <v>95570</v>
      </c>
      <c r="C191" s="740" t="s">
        <v>756</v>
      </c>
      <c r="D191" s="739" t="s">
        <v>21</v>
      </c>
      <c r="E191" s="741">
        <f t="shared" si="4"/>
        <v>108.53</v>
      </c>
      <c r="F191">
        <f t="shared" si="5"/>
        <v>95570</v>
      </c>
      <c r="H191" s="1406">
        <v>106.23</v>
      </c>
      <c r="I191" s="1406">
        <v>108.53</v>
      </c>
    </row>
    <row r="192" spans="2:9" ht="30">
      <c r="B192" s="677">
        <v>95571</v>
      </c>
      <c r="C192" s="733" t="s">
        <v>757</v>
      </c>
      <c r="D192" s="677" t="s">
        <v>21</v>
      </c>
      <c r="E192" s="738">
        <f t="shared" si="4"/>
        <v>132.85</v>
      </c>
      <c r="F192">
        <f t="shared" si="5"/>
        <v>95571</v>
      </c>
      <c r="H192" s="1405">
        <v>129.9</v>
      </c>
      <c r="I192" s="1405">
        <v>132.85</v>
      </c>
    </row>
    <row r="193" spans="2:9" ht="30">
      <c r="B193" s="1477">
        <v>95572</v>
      </c>
      <c r="C193" s="740" t="s">
        <v>758</v>
      </c>
      <c r="D193" s="739" t="s">
        <v>21</v>
      </c>
      <c r="E193" s="741">
        <f t="shared" si="4"/>
        <v>182.46</v>
      </c>
      <c r="F193">
        <f t="shared" si="5"/>
        <v>95572</v>
      </c>
      <c r="H193" s="1406">
        <v>178.86</v>
      </c>
      <c r="I193" s="1406">
        <v>182.46</v>
      </c>
    </row>
    <row r="194" spans="2:9" ht="30">
      <c r="B194" s="677">
        <v>97127</v>
      </c>
      <c r="C194" s="733" t="s">
        <v>1943</v>
      </c>
      <c r="D194" s="677" t="s">
        <v>21</v>
      </c>
      <c r="E194" s="738">
        <f t="shared" si="4"/>
        <v>4.08</v>
      </c>
      <c r="F194">
        <f t="shared" si="5"/>
        <v>97127</v>
      </c>
      <c r="H194" s="1405">
        <v>3.74</v>
      </c>
      <c r="I194" s="1405">
        <v>4.08</v>
      </c>
    </row>
    <row r="195" spans="2:9" ht="30">
      <c r="B195" s="1477">
        <v>97128</v>
      </c>
      <c r="C195" s="740" t="s">
        <v>1944</v>
      </c>
      <c r="D195" s="739" t="s">
        <v>21</v>
      </c>
      <c r="E195" s="741">
        <f t="shared" ref="E195:E258" si="6">IF($K$2=$H$1,H195,I195)</f>
        <v>8.7100000000000009</v>
      </c>
      <c r="F195">
        <f t="shared" ref="F195:F258" si="7">IF(LEN($B195)=7,CONCATENATE(MID($B195,1,6),"00",RIGHT($B195,1)),IF(LEN($B195)=8,CONCATENATE(MID($B195,1,6),"0",RIGHT($B195,2)),$B195))</f>
        <v>97128</v>
      </c>
      <c r="H195" s="1406">
        <v>8.1300000000000008</v>
      </c>
      <c r="I195" s="1406">
        <v>8.7100000000000009</v>
      </c>
    </row>
    <row r="196" spans="2:9" ht="30">
      <c r="B196" s="677">
        <v>97129</v>
      </c>
      <c r="C196" s="733" t="s">
        <v>1945</v>
      </c>
      <c r="D196" s="677" t="s">
        <v>21</v>
      </c>
      <c r="E196" s="738">
        <f t="shared" si="6"/>
        <v>10.72</v>
      </c>
      <c r="F196">
        <f t="shared" si="7"/>
        <v>97129</v>
      </c>
      <c r="H196" s="1405">
        <v>10</v>
      </c>
      <c r="I196" s="1405">
        <v>10.72</v>
      </c>
    </row>
    <row r="197" spans="2:9" ht="30">
      <c r="B197" s="1477">
        <v>97130</v>
      </c>
      <c r="C197" s="740" t="s">
        <v>1946</v>
      </c>
      <c r="D197" s="739" t="s">
        <v>21</v>
      </c>
      <c r="E197" s="741">
        <f t="shared" si="6"/>
        <v>12.71</v>
      </c>
      <c r="F197">
        <f t="shared" si="7"/>
        <v>97130</v>
      </c>
      <c r="H197" s="1406">
        <v>11.87</v>
      </c>
      <c r="I197" s="1406">
        <v>12.71</v>
      </c>
    </row>
    <row r="198" spans="2:9" ht="30">
      <c r="B198" s="677">
        <v>97131</v>
      </c>
      <c r="C198" s="733" t="s">
        <v>1947</v>
      </c>
      <c r="D198" s="677" t="s">
        <v>21</v>
      </c>
      <c r="E198" s="738">
        <f t="shared" si="6"/>
        <v>14.72</v>
      </c>
      <c r="F198">
        <f t="shared" si="7"/>
        <v>97131</v>
      </c>
      <c r="H198" s="1405">
        <v>13.74</v>
      </c>
      <c r="I198" s="1405">
        <v>14.72</v>
      </c>
    </row>
    <row r="199" spans="2:9" ht="30">
      <c r="B199" s="1477">
        <v>97132</v>
      </c>
      <c r="C199" s="740" t="s">
        <v>1948</v>
      </c>
      <c r="D199" s="739" t="s">
        <v>21</v>
      </c>
      <c r="E199" s="741">
        <f t="shared" si="6"/>
        <v>16.71</v>
      </c>
      <c r="F199">
        <f t="shared" si="7"/>
        <v>97132</v>
      </c>
      <c r="H199" s="1406">
        <v>15.6</v>
      </c>
      <c r="I199" s="1406">
        <v>16.71</v>
      </c>
    </row>
    <row r="200" spans="2:9" ht="30">
      <c r="B200" s="677">
        <v>97133</v>
      </c>
      <c r="C200" s="733" t="s">
        <v>1949</v>
      </c>
      <c r="D200" s="677" t="s">
        <v>21</v>
      </c>
      <c r="E200" s="738">
        <f t="shared" si="6"/>
        <v>20.73</v>
      </c>
      <c r="F200">
        <f t="shared" si="7"/>
        <v>97133</v>
      </c>
      <c r="H200" s="1405">
        <v>19.34</v>
      </c>
      <c r="I200" s="1405">
        <v>20.73</v>
      </c>
    </row>
    <row r="201" spans="2:9" ht="30">
      <c r="B201" s="1477">
        <v>97134</v>
      </c>
      <c r="C201" s="740" t="s">
        <v>1950</v>
      </c>
      <c r="D201" s="739" t="s">
        <v>21</v>
      </c>
      <c r="E201" s="741">
        <f t="shared" si="6"/>
        <v>1.95</v>
      </c>
      <c r="F201">
        <f t="shared" si="7"/>
        <v>97134</v>
      </c>
      <c r="H201" s="1406">
        <v>1.82</v>
      </c>
      <c r="I201" s="1406">
        <v>1.95</v>
      </c>
    </row>
    <row r="202" spans="2:9" ht="30">
      <c r="B202" s="677">
        <v>97135</v>
      </c>
      <c r="C202" s="733" t="s">
        <v>1951</v>
      </c>
      <c r="D202" s="677" t="s">
        <v>21</v>
      </c>
      <c r="E202" s="738">
        <f t="shared" si="6"/>
        <v>4.59</v>
      </c>
      <c r="F202">
        <f t="shared" si="7"/>
        <v>97135</v>
      </c>
      <c r="H202" s="1405">
        <v>4.34</v>
      </c>
      <c r="I202" s="1405">
        <v>4.59</v>
      </c>
    </row>
    <row r="203" spans="2:9" ht="30">
      <c r="B203" s="1477">
        <v>97136</v>
      </c>
      <c r="C203" s="740" t="s">
        <v>1952</v>
      </c>
      <c r="D203" s="739" t="s">
        <v>21</v>
      </c>
      <c r="E203" s="741">
        <f t="shared" si="6"/>
        <v>5.66</v>
      </c>
      <c r="F203">
        <f t="shared" si="7"/>
        <v>97136</v>
      </c>
      <c r="H203" s="1406">
        <v>5.35</v>
      </c>
      <c r="I203" s="1406">
        <v>5.66</v>
      </c>
    </row>
    <row r="204" spans="2:9" ht="30">
      <c r="B204" s="677">
        <v>97137</v>
      </c>
      <c r="C204" s="733" t="s">
        <v>1953</v>
      </c>
      <c r="D204" s="677" t="s">
        <v>21</v>
      </c>
      <c r="E204" s="738">
        <f t="shared" si="6"/>
        <v>6.72</v>
      </c>
      <c r="F204">
        <f t="shared" si="7"/>
        <v>97137</v>
      </c>
      <c r="H204" s="1405">
        <v>6.35</v>
      </c>
      <c r="I204" s="1405">
        <v>6.72</v>
      </c>
    </row>
    <row r="205" spans="2:9" ht="30">
      <c r="B205" s="1477">
        <v>97138</v>
      </c>
      <c r="C205" s="740" t="s">
        <v>1954</v>
      </c>
      <c r="D205" s="739" t="s">
        <v>21</v>
      </c>
      <c r="E205" s="741">
        <f t="shared" si="6"/>
        <v>7.78</v>
      </c>
      <c r="F205">
        <f t="shared" si="7"/>
        <v>97138</v>
      </c>
      <c r="H205" s="1406">
        <v>7.35</v>
      </c>
      <c r="I205" s="1406">
        <v>7.78</v>
      </c>
    </row>
    <row r="206" spans="2:9" ht="30">
      <c r="B206" s="677">
        <v>97139</v>
      </c>
      <c r="C206" s="733" t="s">
        <v>1955</v>
      </c>
      <c r="D206" s="677" t="s">
        <v>21</v>
      </c>
      <c r="E206" s="738">
        <f t="shared" si="6"/>
        <v>8.83</v>
      </c>
      <c r="F206">
        <f t="shared" si="7"/>
        <v>97139</v>
      </c>
      <c r="H206" s="1405">
        <v>8.34</v>
      </c>
      <c r="I206" s="1405">
        <v>8.83</v>
      </c>
    </row>
    <row r="207" spans="2:9" ht="30">
      <c r="B207" s="1477">
        <v>97140</v>
      </c>
      <c r="C207" s="740" t="s">
        <v>1956</v>
      </c>
      <c r="D207" s="739" t="s">
        <v>21</v>
      </c>
      <c r="E207" s="741">
        <f t="shared" si="6"/>
        <v>10.95</v>
      </c>
      <c r="F207">
        <f t="shared" si="7"/>
        <v>97140</v>
      </c>
      <c r="H207" s="1406">
        <v>10.35</v>
      </c>
      <c r="I207" s="1406">
        <v>10.95</v>
      </c>
    </row>
    <row r="208" spans="2:9" ht="30">
      <c r="B208" s="677">
        <v>103089</v>
      </c>
      <c r="C208" s="733" t="s">
        <v>5061</v>
      </c>
      <c r="D208" s="677" t="s">
        <v>21</v>
      </c>
      <c r="E208" s="738">
        <f t="shared" si="6"/>
        <v>11.44</v>
      </c>
      <c r="F208">
        <f t="shared" si="7"/>
        <v>103089</v>
      </c>
      <c r="H208" s="1405">
        <v>10.84</v>
      </c>
      <c r="I208" s="1405">
        <v>11.44</v>
      </c>
    </row>
    <row r="209" spans="2:9" ht="30">
      <c r="B209" s="1477">
        <v>103090</v>
      </c>
      <c r="C209" s="740" t="s">
        <v>5062</v>
      </c>
      <c r="D209" s="739" t="s">
        <v>21</v>
      </c>
      <c r="E209" s="741">
        <f t="shared" si="6"/>
        <v>13.67</v>
      </c>
      <c r="F209">
        <f t="shared" si="7"/>
        <v>103090</v>
      </c>
      <c r="H209" s="1406">
        <v>12.92</v>
      </c>
      <c r="I209" s="1406">
        <v>13.67</v>
      </c>
    </row>
    <row r="210" spans="2:9" ht="30">
      <c r="B210" s="677">
        <v>103091</v>
      </c>
      <c r="C210" s="733" t="s">
        <v>5063</v>
      </c>
      <c r="D210" s="677" t="s">
        <v>21</v>
      </c>
      <c r="E210" s="738">
        <f t="shared" si="6"/>
        <v>19.2</v>
      </c>
      <c r="F210">
        <f t="shared" si="7"/>
        <v>103091</v>
      </c>
      <c r="H210" s="1405">
        <v>18.12</v>
      </c>
      <c r="I210" s="1405">
        <v>19.2</v>
      </c>
    </row>
    <row r="211" spans="2:9" ht="30">
      <c r="B211" s="1477">
        <v>103092</v>
      </c>
      <c r="C211" s="740" t="s">
        <v>5064</v>
      </c>
      <c r="D211" s="739" t="s">
        <v>21</v>
      </c>
      <c r="E211" s="741">
        <f t="shared" si="6"/>
        <v>24.74</v>
      </c>
      <c r="F211">
        <f t="shared" si="7"/>
        <v>103092</v>
      </c>
      <c r="H211" s="1406">
        <v>23.33</v>
      </c>
      <c r="I211" s="1406">
        <v>24.74</v>
      </c>
    </row>
    <row r="212" spans="2:9" ht="30">
      <c r="B212" s="677">
        <v>103093</v>
      </c>
      <c r="C212" s="733" t="s">
        <v>5065</v>
      </c>
      <c r="D212" s="677" t="s">
        <v>21</v>
      </c>
      <c r="E212" s="738">
        <f t="shared" si="6"/>
        <v>37.81</v>
      </c>
      <c r="F212">
        <f t="shared" si="7"/>
        <v>103093</v>
      </c>
      <c r="H212" s="1405">
        <v>35.65</v>
      </c>
      <c r="I212" s="1405">
        <v>37.81</v>
      </c>
    </row>
    <row r="213" spans="2:9" ht="30">
      <c r="B213" s="1477">
        <v>103094</v>
      </c>
      <c r="C213" s="740" t="s">
        <v>5066</v>
      </c>
      <c r="D213" s="739" t="s">
        <v>21</v>
      </c>
      <c r="E213" s="741">
        <f t="shared" si="6"/>
        <v>43.38</v>
      </c>
      <c r="F213">
        <f t="shared" si="7"/>
        <v>103094</v>
      </c>
      <c r="H213" s="1406">
        <v>40.89</v>
      </c>
      <c r="I213" s="1406">
        <v>43.38</v>
      </c>
    </row>
    <row r="214" spans="2:9" ht="30">
      <c r="B214" s="677">
        <v>103095</v>
      </c>
      <c r="C214" s="733" t="s">
        <v>5067</v>
      </c>
      <c r="D214" s="677" t="s">
        <v>21</v>
      </c>
      <c r="E214" s="738">
        <f t="shared" si="6"/>
        <v>56.42</v>
      </c>
      <c r="F214">
        <f t="shared" si="7"/>
        <v>103095</v>
      </c>
      <c r="H214" s="1405">
        <v>53.19</v>
      </c>
      <c r="I214" s="1405">
        <v>56.42</v>
      </c>
    </row>
    <row r="215" spans="2:9" ht="30">
      <c r="B215" s="1477">
        <v>103096</v>
      </c>
      <c r="C215" s="740" t="s">
        <v>5068</v>
      </c>
      <c r="D215" s="739" t="s">
        <v>21</v>
      </c>
      <c r="E215" s="741">
        <f t="shared" si="6"/>
        <v>61.99</v>
      </c>
      <c r="F215">
        <f t="shared" si="7"/>
        <v>103096</v>
      </c>
      <c r="H215" s="1406">
        <v>58.42</v>
      </c>
      <c r="I215" s="1406">
        <v>61.99</v>
      </c>
    </row>
    <row r="216" spans="2:9" ht="30">
      <c r="B216" s="677">
        <v>103097</v>
      </c>
      <c r="C216" s="733" t="s">
        <v>5069</v>
      </c>
      <c r="D216" s="677" t="s">
        <v>21</v>
      </c>
      <c r="E216" s="738">
        <f t="shared" si="6"/>
        <v>75.040000000000006</v>
      </c>
      <c r="F216">
        <f t="shared" si="7"/>
        <v>103097</v>
      </c>
      <c r="H216" s="1405">
        <v>70.73</v>
      </c>
      <c r="I216" s="1405">
        <v>75.040000000000006</v>
      </c>
    </row>
    <row r="217" spans="2:9" ht="30">
      <c r="B217" s="1477">
        <v>103098</v>
      </c>
      <c r="C217" s="740" t="s">
        <v>5070</v>
      </c>
      <c r="D217" s="739" t="s">
        <v>21</v>
      </c>
      <c r="E217" s="741">
        <f t="shared" si="6"/>
        <v>80.599999999999994</v>
      </c>
      <c r="F217">
        <f t="shared" si="7"/>
        <v>103098</v>
      </c>
      <c r="H217" s="1406">
        <v>75.959999999999994</v>
      </c>
      <c r="I217" s="1406">
        <v>80.599999999999994</v>
      </c>
    </row>
    <row r="218" spans="2:9" ht="30">
      <c r="B218" s="677">
        <v>103099</v>
      </c>
      <c r="C218" s="733" t="s">
        <v>5071</v>
      </c>
      <c r="D218" s="677" t="s">
        <v>21</v>
      </c>
      <c r="E218" s="738">
        <f t="shared" si="6"/>
        <v>91.66</v>
      </c>
      <c r="F218">
        <f t="shared" si="7"/>
        <v>103099</v>
      </c>
      <c r="H218" s="1405">
        <v>86.38</v>
      </c>
      <c r="I218" s="1405">
        <v>91.66</v>
      </c>
    </row>
    <row r="219" spans="2:9" ht="30">
      <c r="B219" s="1477">
        <v>103100</v>
      </c>
      <c r="C219" s="740" t="s">
        <v>5072</v>
      </c>
      <c r="D219" s="739" t="s">
        <v>21</v>
      </c>
      <c r="E219" s="741">
        <f t="shared" si="6"/>
        <v>97.79</v>
      </c>
      <c r="F219">
        <f t="shared" si="7"/>
        <v>103100</v>
      </c>
      <c r="H219" s="1406">
        <v>92.13</v>
      </c>
      <c r="I219" s="1406">
        <v>97.79</v>
      </c>
    </row>
    <row r="220" spans="2:9" ht="30">
      <c r="B220" s="677">
        <v>103101</v>
      </c>
      <c r="C220" s="733" t="s">
        <v>5073</v>
      </c>
      <c r="D220" s="677" t="s">
        <v>21</v>
      </c>
      <c r="E220" s="738">
        <f t="shared" si="6"/>
        <v>107.69</v>
      </c>
      <c r="F220">
        <f t="shared" si="7"/>
        <v>103101</v>
      </c>
      <c r="H220" s="1405">
        <v>101.44</v>
      </c>
      <c r="I220" s="1405">
        <v>107.69</v>
      </c>
    </row>
    <row r="221" spans="2:9" ht="30">
      <c r="B221" s="1477">
        <v>103102</v>
      </c>
      <c r="C221" s="740" t="s">
        <v>5074</v>
      </c>
      <c r="D221" s="739" t="s">
        <v>21</v>
      </c>
      <c r="E221" s="741">
        <f t="shared" si="6"/>
        <v>124.02</v>
      </c>
      <c r="F221">
        <f t="shared" si="7"/>
        <v>103102</v>
      </c>
      <c r="H221" s="1406">
        <v>116.83</v>
      </c>
      <c r="I221" s="1406">
        <v>124.02</v>
      </c>
    </row>
    <row r="222" spans="2:9" ht="30">
      <c r="B222" s="677">
        <v>103103</v>
      </c>
      <c r="C222" s="733" t="s">
        <v>5075</v>
      </c>
      <c r="D222" s="677" t="s">
        <v>21</v>
      </c>
      <c r="E222" s="738">
        <f t="shared" si="6"/>
        <v>133.91999999999999</v>
      </c>
      <c r="F222">
        <f t="shared" si="7"/>
        <v>103103</v>
      </c>
      <c r="H222" s="1405">
        <v>126.13</v>
      </c>
      <c r="I222" s="1405">
        <v>133.91999999999999</v>
      </c>
    </row>
    <row r="223" spans="2:9" ht="30">
      <c r="B223" s="1477">
        <v>103104</v>
      </c>
      <c r="C223" s="740" t="s">
        <v>5076</v>
      </c>
      <c r="D223" s="739" t="s">
        <v>21</v>
      </c>
      <c r="E223" s="741">
        <f t="shared" si="6"/>
        <v>160.15</v>
      </c>
      <c r="F223">
        <f t="shared" si="7"/>
        <v>103104</v>
      </c>
      <c r="H223" s="1406">
        <v>150.83000000000001</v>
      </c>
      <c r="I223" s="1406">
        <v>160.15</v>
      </c>
    </row>
    <row r="224" spans="2:9" ht="30">
      <c r="B224" s="677">
        <v>103105</v>
      </c>
      <c r="C224" s="733" t="s">
        <v>5077</v>
      </c>
      <c r="D224" s="677" t="s">
        <v>22</v>
      </c>
      <c r="E224" s="738">
        <f t="shared" si="6"/>
        <v>48.58</v>
      </c>
      <c r="F224">
        <f t="shared" si="7"/>
        <v>103105</v>
      </c>
      <c r="H224" s="1405">
        <v>46.4</v>
      </c>
      <c r="I224" s="1405">
        <v>48.58</v>
      </c>
    </row>
    <row r="225" spans="2:9" ht="30">
      <c r="B225" s="1477">
        <v>103106</v>
      </c>
      <c r="C225" s="740" t="s">
        <v>5078</v>
      </c>
      <c r="D225" s="739" t="s">
        <v>22</v>
      </c>
      <c r="E225" s="741">
        <f t="shared" si="6"/>
        <v>57.9</v>
      </c>
      <c r="F225">
        <f t="shared" si="7"/>
        <v>103106</v>
      </c>
      <c r="H225" s="1406">
        <v>55.19</v>
      </c>
      <c r="I225" s="1406">
        <v>57.9</v>
      </c>
    </row>
    <row r="226" spans="2:9" ht="30">
      <c r="B226" s="677">
        <v>103107</v>
      </c>
      <c r="C226" s="733" t="s">
        <v>5079</v>
      </c>
      <c r="D226" s="677" t="s">
        <v>22</v>
      </c>
      <c r="E226" s="738">
        <f t="shared" si="6"/>
        <v>81.150000000000006</v>
      </c>
      <c r="F226">
        <f t="shared" si="7"/>
        <v>103107</v>
      </c>
      <c r="H226" s="1405">
        <v>77.14</v>
      </c>
      <c r="I226" s="1405">
        <v>81.150000000000006</v>
      </c>
    </row>
    <row r="227" spans="2:9" ht="30">
      <c r="B227" s="1477">
        <v>103108</v>
      </c>
      <c r="C227" s="740" t="s">
        <v>5080</v>
      </c>
      <c r="D227" s="739" t="s">
        <v>22</v>
      </c>
      <c r="E227" s="741">
        <f t="shared" si="6"/>
        <v>104.4</v>
      </c>
      <c r="F227">
        <f t="shared" si="7"/>
        <v>103108</v>
      </c>
      <c r="H227" s="1406">
        <v>99.11</v>
      </c>
      <c r="I227" s="1406">
        <v>104.4</v>
      </c>
    </row>
    <row r="228" spans="2:9" ht="30">
      <c r="B228" s="677">
        <v>103109</v>
      </c>
      <c r="C228" s="733" t="s">
        <v>5081</v>
      </c>
      <c r="D228" s="677" t="s">
        <v>22</v>
      </c>
      <c r="E228" s="738">
        <f t="shared" si="6"/>
        <v>171.34</v>
      </c>
      <c r="F228">
        <f t="shared" si="7"/>
        <v>103109</v>
      </c>
      <c r="H228" s="1405">
        <v>162.30000000000001</v>
      </c>
      <c r="I228" s="1405">
        <v>171.34</v>
      </c>
    </row>
    <row r="229" spans="2:9" ht="30">
      <c r="B229" s="1477">
        <v>103110</v>
      </c>
      <c r="C229" s="740" t="s">
        <v>5082</v>
      </c>
      <c r="D229" s="739" t="s">
        <v>22</v>
      </c>
      <c r="E229" s="741">
        <f t="shared" si="6"/>
        <v>194.59</v>
      </c>
      <c r="F229">
        <f t="shared" si="7"/>
        <v>103110</v>
      </c>
      <c r="H229" s="1406">
        <v>184.25</v>
      </c>
      <c r="I229" s="1406">
        <v>194.59</v>
      </c>
    </row>
    <row r="230" spans="2:9" ht="30">
      <c r="B230" s="677">
        <v>103111</v>
      </c>
      <c r="C230" s="733" t="s">
        <v>5083</v>
      </c>
      <c r="D230" s="677" t="s">
        <v>22</v>
      </c>
      <c r="E230" s="738">
        <f t="shared" si="6"/>
        <v>261.52999999999997</v>
      </c>
      <c r="F230">
        <f t="shared" si="7"/>
        <v>103111</v>
      </c>
      <c r="H230" s="1405">
        <v>247.47</v>
      </c>
      <c r="I230" s="1405">
        <v>261.52999999999997</v>
      </c>
    </row>
    <row r="231" spans="2:9" ht="30">
      <c r="B231" s="1477">
        <v>103112</v>
      </c>
      <c r="C231" s="740" t="s">
        <v>5084</v>
      </c>
      <c r="D231" s="739" t="s">
        <v>22</v>
      </c>
      <c r="E231" s="741">
        <f t="shared" si="6"/>
        <v>284.77999999999997</v>
      </c>
      <c r="F231">
        <f t="shared" si="7"/>
        <v>103112</v>
      </c>
      <c r="H231" s="1406">
        <v>269.42</v>
      </c>
      <c r="I231" s="1406">
        <v>284.77999999999997</v>
      </c>
    </row>
    <row r="232" spans="2:9" ht="30">
      <c r="B232" s="677">
        <v>103113</v>
      </c>
      <c r="C232" s="733" t="s">
        <v>5085</v>
      </c>
      <c r="D232" s="677" t="s">
        <v>22</v>
      </c>
      <c r="E232" s="738">
        <f t="shared" si="6"/>
        <v>351.72</v>
      </c>
      <c r="F232">
        <f t="shared" si="7"/>
        <v>103113</v>
      </c>
      <c r="H232" s="1405">
        <v>332.62</v>
      </c>
      <c r="I232" s="1405">
        <v>351.72</v>
      </c>
    </row>
    <row r="233" spans="2:9" ht="30">
      <c r="B233" s="1477">
        <v>103114</v>
      </c>
      <c r="C233" s="740" t="s">
        <v>5086</v>
      </c>
      <c r="D233" s="739" t="s">
        <v>22</v>
      </c>
      <c r="E233" s="741">
        <f t="shared" si="6"/>
        <v>374.96</v>
      </c>
      <c r="F233">
        <f t="shared" si="7"/>
        <v>103114</v>
      </c>
      <c r="H233" s="1406">
        <v>354.57</v>
      </c>
      <c r="I233" s="1406">
        <v>374.96</v>
      </c>
    </row>
    <row r="234" spans="2:9" ht="30">
      <c r="B234" s="677">
        <v>103115</v>
      </c>
      <c r="C234" s="733" t="s">
        <v>5087</v>
      </c>
      <c r="D234" s="677" t="s">
        <v>22</v>
      </c>
      <c r="E234" s="738">
        <f t="shared" si="6"/>
        <v>421.47</v>
      </c>
      <c r="F234">
        <f t="shared" si="7"/>
        <v>103115</v>
      </c>
      <c r="H234" s="1405">
        <v>398.49</v>
      </c>
      <c r="I234" s="1405">
        <v>421.47</v>
      </c>
    </row>
    <row r="235" spans="2:9" ht="30">
      <c r="B235" s="1477">
        <v>103116</v>
      </c>
      <c r="C235" s="740" t="s">
        <v>5088</v>
      </c>
      <c r="D235" s="739" t="s">
        <v>22</v>
      </c>
      <c r="E235" s="741">
        <f t="shared" si="6"/>
        <v>511.66</v>
      </c>
      <c r="F235">
        <f t="shared" si="7"/>
        <v>103116</v>
      </c>
      <c r="H235" s="1406">
        <v>483.64</v>
      </c>
      <c r="I235" s="1406">
        <v>511.66</v>
      </c>
    </row>
    <row r="236" spans="2:9" ht="30">
      <c r="B236" s="677">
        <v>103117</v>
      </c>
      <c r="C236" s="733" t="s">
        <v>5089</v>
      </c>
      <c r="D236" s="677" t="s">
        <v>22</v>
      </c>
      <c r="E236" s="738">
        <f t="shared" si="6"/>
        <v>558.16999999999996</v>
      </c>
      <c r="F236">
        <f t="shared" si="7"/>
        <v>103117</v>
      </c>
      <c r="H236" s="1405">
        <v>527.54999999999995</v>
      </c>
      <c r="I236" s="1405">
        <v>558.16999999999996</v>
      </c>
    </row>
    <row r="237" spans="2:9" ht="30">
      <c r="B237" s="1477">
        <v>103118</v>
      </c>
      <c r="C237" s="740" t="s">
        <v>5090</v>
      </c>
      <c r="D237" s="739" t="s">
        <v>22</v>
      </c>
      <c r="E237" s="741">
        <f t="shared" si="6"/>
        <v>648.36</v>
      </c>
      <c r="F237">
        <f t="shared" si="7"/>
        <v>103118</v>
      </c>
      <c r="H237" s="1406">
        <v>612.71</v>
      </c>
      <c r="I237" s="1406">
        <v>648.36</v>
      </c>
    </row>
    <row r="238" spans="2:9" ht="30">
      <c r="B238" s="677">
        <v>103119</v>
      </c>
      <c r="C238" s="733" t="s">
        <v>5091</v>
      </c>
      <c r="D238" s="677" t="s">
        <v>22</v>
      </c>
      <c r="E238" s="738">
        <f t="shared" si="6"/>
        <v>694.86</v>
      </c>
      <c r="F238">
        <f t="shared" si="7"/>
        <v>103119</v>
      </c>
      <c r="H238" s="1405">
        <v>656.62</v>
      </c>
      <c r="I238" s="1405">
        <v>694.86</v>
      </c>
    </row>
    <row r="239" spans="2:9" ht="30">
      <c r="B239" s="1477">
        <v>103120</v>
      </c>
      <c r="C239" s="740" t="s">
        <v>5092</v>
      </c>
      <c r="D239" s="739" t="s">
        <v>22</v>
      </c>
      <c r="E239" s="741">
        <f t="shared" si="6"/>
        <v>831.56</v>
      </c>
      <c r="F239">
        <f t="shared" si="7"/>
        <v>103120</v>
      </c>
      <c r="H239" s="1406">
        <v>785.68</v>
      </c>
      <c r="I239" s="1406">
        <v>831.56</v>
      </c>
    </row>
    <row r="240" spans="2:9" ht="30">
      <c r="B240" s="677">
        <v>103121</v>
      </c>
      <c r="C240" s="733" t="s">
        <v>5093</v>
      </c>
      <c r="D240" s="677" t="s">
        <v>22</v>
      </c>
      <c r="E240" s="738">
        <f t="shared" si="6"/>
        <v>63.65</v>
      </c>
      <c r="F240">
        <f t="shared" si="7"/>
        <v>103121</v>
      </c>
      <c r="H240" s="1405">
        <v>60.63</v>
      </c>
      <c r="I240" s="1405">
        <v>63.65</v>
      </c>
    </row>
    <row r="241" spans="2:9" ht="30">
      <c r="B241" s="1477">
        <v>103122</v>
      </c>
      <c r="C241" s="740" t="s">
        <v>5094</v>
      </c>
      <c r="D241" s="739" t="s">
        <v>22</v>
      </c>
      <c r="E241" s="741">
        <f t="shared" si="6"/>
        <v>77.59</v>
      </c>
      <c r="F241">
        <f t="shared" si="7"/>
        <v>103122</v>
      </c>
      <c r="H241" s="1406">
        <v>73.790000000000006</v>
      </c>
      <c r="I241" s="1406">
        <v>77.59</v>
      </c>
    </row>
    <row r="242" spans="2:9" ht="30">
      <c r="B242" s="677">
        <v>103123</v>
      </c>
      <c r="C242" s="733" t="s">
        <v>5095</v>
      </c>
      <c r="D242" s="677" t="s">
        <v>22</v>
      </c>
      <c r="E242" s="738">
        <f t="shared" si="6"/>
        <v>112.49</v>
      </c>
      <c r="F242">
        <f t="shared" si="7"/>
        <v>103123</v>
      </c>
      <c r="H242" s="1405">
        <v>106.74</v>
      </c>
      <c r="I242" s="1405">
        <v>112.49</v>
      </c>
    </row>
    <row r="243" spans="2:9" ht="30">
      <c r="B243" s="1477">
        <v>103124</v>
      </c>
      <c r="C243" s="740" t="s">
        <v>5096</v>
      </c>
      <c r="D243" s="739" t="s">
        <v>22</v>
      </c>
      <c r="E243" s="741">
        <f t="shared" si="6"/>
        <v>147.34</v>
      </c>
      <c r="F243">
        <f t="shared" si="7"/>
        <v>103124</v>
      </c>
      <c r="H243" s="1406">
        <v>139.66</v>
      </c>
      <c r="I243" s="1406">
        <v>147.34</v>
      </c>
    </row>
    <row r="244" spans="2:9" ht="30">
      <c r="B244" s="677">
        <v>103125</v>
      </c>
      <c r="C244" s="733" t="s">
        <v>5097</v>
      </c>
      <c r="D244" s="677" t="s">
        <v>22</v>
      </c>
      <c r="E244" s="738">
        <f t="shared" si="6"/>
        <v>247.76</v>
      </c>
      <c r="F244">
        <f t="shared" si="7"/>
        <v>103125</v>
      </c>
      <c r="H244" s="1405">
        <v>234.48</v>
      </c>
      <c r="I244" s="1405">
        <v>247.76</v>
      </c>
    </row>
    <row r="245" spans="2:9" ht="30">
      <c r="B245" s="1477">
        <v>103126</v>
      </c>
      <c r="C245" s="740" t="s">
        <v>5098</v>
      </c>
      <c r="D245" s="739" t="s">
        <v>22</v>
      </c>
      <c r="E245" s="741">
        <f t="shared" si="6"/>
        <v>282.64</v>
      </c>
      <c r="F245">
        <f t="shared" si="7"/>
        <v>103126</v>
      </c>
      <c r="H245" s="1406">
        <v>267.38</v>
      </c>
      <c r="I245" s="1406">
        <v>282.64</v>
      </c>
    </row>
    <row r="246" spans="2:9" ht="30">
      <c r="B246" s="677">
        <v>103127</v>
      </c>
      <c r="C246" s="733" t="s">
        <v>5099</v>
      </c>
      <c r="D246" s="677" t="s">
        <v>22</v>
      </c>
      <c r="E246" s="738">
        <f t="shared" si="6"/>
        <v>383.06</v>
      </c>
      <c r="F246">
        <f t="shared" si="7"/>
        <v>103127</v>
      </c>
      <c r="H246" s="1405">
        <v>362.21</v>
      </c>
      <c r="I246" s="1405">
        <v>383.06</v>
      </c>
    </row>
    <row r="247" spans="2:9" ht="30">
      <c r="B247" s="1477">
        <v>103128</v>
      </c>
      <c r="C247" s="740" t="s">
        <v>5100</v>
      </c>
      <c r="D247" s="739" t="s">
        <v>22</v>
      </c>
      <c r="E247" s="741">
        <f t="shared" si="6"/>
        <v>417.93</v>
      </c>
      <c r="F247">
        <f t="shared" si="7"/>
        <v>103128</v>
      </c>
      <c r="H247" s="1406">
        <v>395.13</v>
      </c>
      <c r="I247" s="1406">
        <v>417.93</v>
      </c>
    </row>
    <row r="248" spans="2:9" ht="30">
      <c r="B248" s="677">
        <v>103129</v>
      </c>
      <c r="C248" s="733" t="s">
        <v>5101</v>
      </c>
      <c r="D248" s="677" t="s">
        <v>22</v>
      </c>
      <c r="E248" s="738">
        <f t="shared" si="6"/>
        <v>518.35</v>
      </c>
      <c r="F248">
        <f t="shared" si="7"/>
        <v>103129</v>
      </c>
      <c r="H248" s="1405">
        <v>489.95</v>
      </c>
      <c r="I248" s="1405">
        <v>518.35</v>
      </c>
    </row>
    <row r="249" spans="2:9" ht="30">
      <c r="B249" s="1477">
        <v>103130</v>
      </c>
      <c r="C249" s="740" t="s">
        <v>5102</v>
      </c>
      <c r="D249" s="739" t="s">
        <v>22</v>
      </c>
      <c r="E249" s="741">
        <f t="shared" si="6"/>
        <v>553.20000000000005</v>
      </c>
      <c r="F249">
        <f t="shared" si="7"/>
        <v>103130</v>
      </c>
      <c r="H249" s="1406">
        <v>522.88</v>
      </c>
      <c r="I249" s="1406">
        <v>553.20000000000005</v>
      </c>
    </row>
    <row r="250" spans="2:9" ht="30">
      <c r="B250" s="677">
        <v>103131</v>
      </c>
      <c r="C250" s="733" t="s">
        <v>5103</v>
      </c>
      <c r="D250" s="677" t="s">
        <v>22</v>
      </c>
      <c r="E250" s="738">
        <f t="shared" si="6"/>
        <v>622.97</v>
      </c>
      <c r="F250">
        <f t="shared" si="7"/>
        <v>103131</v>
      </c>
      <c r="H250" s="1405">
        <v>588.74</v>
      </c>
      <c r="I250" s="1405">
        <v>622.97</v>
      </c>
    </row>
    <row r="251" spans="2:9" ht="30">
      <c r="B251" s="1477">
        <v>103132</v>
      </c>
      <c r="C251" s="740" t="s">
        <v>5104</v>
      </c>
      <c r="D251" s="739" t="s">
        <v>22</v>
      </c>
      <c r="E251" s="741">
        <f t="shared" si="6"/>
        <v>758.24</v>
      </c>
      <c r="F251">
        <f t="shared" si="7"/>
        <v>103132</v>
      </c>
      <c r="H251" s="1406">
        <v>716.47</v>
      </c>
      <c r="I251" s="1406">
        <v>758.24</v>
      </c>
    </row>
    <row r="252" spans="2:9" ht="30">
      <c r="B252" s="677">
        <v>103133</v>
      </c>
      <c r="C252" s="733" t="s">
        <v>5105</v>
      </c>
      <c r="D252" s="677" t="s">
        <v>22</v>
      </c>
      <c r="E252" s="738">
        <f t="shared" si="6"/>
        <v>828.02</v>
      </c>
      <c r="F252">
        <f t="shared" si="7"/>
        <v>103133</v>
      </c>
      <c r="H252" s="1405">
        <v>782.33</v>
      </c>
      <c r="I252" s="1405">
        <v>828.02</v>
      </c>
    </row>
    <row r="253" spans="2:9" ht="30">
      <c r="B253" s="1477">
        <v>103134</v>
      </c>
      <c r="C253" s="740" t="s">
        <v>5106</v>
      </c>
      <c r="D253" s="739" t="s">
        <v>22</v>
      </c>
      <c r="E253" s="741">
        <f t="shared" si="6"/>
        <v>963.29</v>
      </c>
      <c r="F253">
        <f t="shared" si="7"/>
        <v>103134</v>
      </c>
      <c r="H253" s="1406">
        <v>910.07</v>
      </c>
      <c r="I253" s="1406">
        <v>963.29</v>
      </c>
    </row>
    <row r="254" spans="2:9" ht="30">
      <c r="B254" s="677">
        <v>103135</v>
      </c>
      <c r="C254" s="733" t="s">
        <v>5107</v>
      </c>
      <c r="D254" s="677" t="s">
        <v>22</v>
      </c>
      <c r="E254" s="738">
        <f t="shared" si="6"/>
        <v>1033.05</v>
      </c>
      <c r="F254">
        <f t="shared" si="7"/>
        <v>103135</v>
      </c>
      <c r="H254" s="1405">
        <v>975.93</v>
      </c>
      <c r="I254" s="1405">
        <v>1033.05</v>
      </c>
    </row>
    <row r="255" spans="2:9" ht="30">
      <c r="B255" s="1477">
        <v>103136</v>
      </c>
      <c r="C255" s="740" t="s">
        <v>5108</v>
      </c>
      <c r="D255" s="739" t="s">
        <v>22</v>
      </c>
      <c r="E255" s="741">
        <f t="shared" si="6"/>
        <v>1238.0899999999999</v>
      </c>
      <c r="F255">
        <f t="shared" si="7"/>
        <v>103136</v>
      </c>
      <c r="H255" s="1406">
        <v>1169.53</v>
      </c>
      <c r="I255" s="1406">
        <v>1238.0899999999999</v>
      </c>
    </row>
    <row r="256" spans="2:9" ht="30">
      <c r="B256" s="677">
        <v>103137</v>
      </c>
      <c r="C256" s="733" t="s">
        <v>5109</v>
      </c>
      <c r="D256" s="677" t="s">
        <v>22</v>
      </c>
      <c r="E256" s="738">
        <f t="shared" si="6"/>
        <v>33.549999999999997</v>
      </c>
      <c r="F256">
        <f t="shared" si="7"/>
        <v>103137</v>
      </c>
      <c r="H256" s="1405">
        <v>32.200000000000003</v>
      </c>
      <c r="I256" s="1405">
        <v>33.549999999999997</v>
      </c>
    </row>
    <row r="257" spans="2:9" ht="30">
      <c r="B257" s="1477">
        <v>103138</v>
      </c>
      <c r="C257" s="740" t="s">
        <v>5110</v>
      </c>
      <c r="D257" s="739" t="s">
        <v>22</v>
      </c>
      <c r="E257" s="741">
        <f t="shared" si="6"/>
        <v>38.19</v>
      </c>
      <c r="F257">
        <f t="shared" si="7"/>
        <v>103138</v>
      </c>
      <c r="H257" s="1406">
        <v>36.590000000000003</v>
      </c>
      <c r="I257" s="1406">
        <v>38.19</v>
      </c>
    </row>
    <row r="258" spans="2:9" ht="30">
      <c r="B258" s="677">
        <v>103139</v>
      </c>
      <c r="C258" s="733" t="s">
        <v>5111</v>
      </c>
      <c r="D258" s="677" t="s">
        <v>22</v>
      </c>
      <c r="E258" s="738">
        <f t="shared" si="6"/>
        <v>49.84</v>
      </c>
      <c r="F258">
        <f t="shared" si="7"/>
        <v>103139</v>
      </c>
      <c r="H258" s="1405">
        <v>47.58</v>
      </c>
      <c r="I258" s="1405">
        <v>49.84</v>
      </c>
    </row>
    <row r="259" spans="2:9" ht="30">
      <c r="B259" s="1477">
        <v>103140</v>
      </c>
      <c r="C259" s="740" t="s">
        <v>5112</v>
      </c>
      <c r="D259" s="739" t="s">
        <v>22</v>
      </c>
      <c r="E259" s="741">
        <f t="shared" ref="E259:E322" si="8">IF($K$2=$H$1,H259,I259)</f>
        <v>61.45</v>
      </c>
      <c r="F259">
        <f t="shared" ref="F259:F322" si="9">IF(LEN($B259)=7,CONCATENATE(MID($B259,1,6),"00",RIGHT($B259,1)),IF(LEN($B259)=8,CONCATENATE(MID($B259,1,6),"0",RIGHT($B259,2)),$B259))</f>
        <v>103140</v>
      </c>
      <c r="H259" s="1406">
        <v>58.55</v>
      </c>
      <c r="I259" s="1406">
        <v>61.45</v>
      </c>
    </row>
    <row r="260" spans="2:9" ht="30">
      <c r="B260" s="677">
        <v>103141</v>
      </c>
      <c r="C260" s="733" t="s">
        <v>5113</v>
      </c>
      <c r="D260" s="677" t="s">
        <v>22</v>
      </c>
      <c r="E260" s="738">
        <f t="shared" si="8"/>
        <v>94.92</v>
      </c>
      <c r="F260">
        <f t="shared" si="9"/>
        <v>103141</v>
      </c>
      <c r="H260" s="1405">
        <v>90.17</v>
      </c>
      <c r="I260" s="1405">
        <v>94.92</v>
      </c>
    </row>
    <row r="261" spans="2:9" ht="30">
      <c r="B261" s="1477">
        <v>103142</v>
      </c>
      <c r="C261" s="740" t="s">
        <v>5114</v>
      </c>
      <c r="D261" s="739" t="s">
        <v>22</v>
      </c>
      <c r="E261" s="741">
        <f t="shared" si="8"/>
        <v>106.54</v>
      </c>
      <c r="F261">
        <f t="shared" si="9"/>
        <v>103142</v>
      </c>
      <c r="H261" s="1406">
        <v>101.12</v>
      </c>
      <c r="I261" s="1406">
        <v>106.54</v>
      </c>
    </row>
    <row r="262" spans="2:9" ht="30">
      <c r="B262" s="677">
        <v>103143</v>
      </c>
      <c r="C262" s="733" t="s">
        <v>5115</v>
      </c>
      <c r="D262" s="677" t="s">
        <v>22</v>
      </c>
      <c r="E262" s="738">
        <f t="shared" si="8"/>
        <v>140.03</v>
      </c>
      <c r="F262">
        <f t="shared" si="9"/>
        <v>103143</v>
      </c>
      <c r="H262" s="1405">
        <v>132.74</v>
      </c>
      <c r="I262" s="1405">
        <v>140.03</v>
      </c>
    </row>
    <row r="263" spans="2:9" ht="30">
      <c r="B263" s="1477">
        <v>103144</v>
      </c>
      <c r="C263" s="740" t="s">
        <v>5116</v>
      </c>
      <c r="D263" s="739" t="s">
        <v>22</v>
      </c>
      <c r="E263" s="741">
        <f t="shared" si="8"/>
        <v>151.63</v>
      </c>
      <c r="F263">
        <f t="shared" si="9"/>
        <v>103144</v>
      </c>
      <c r="H263" s="1406">
        <v>143.71</v>
      </c>
      <c r="I263" s="1406">
        <v>151.63</v>
      </c>
    </row>
    <row r="264" spans="2:9" ht="30">
      <c r="B264" s="677">
        <v>103145</v>
      </c>
      <c r="C264" s="733" t="s">
        <v>5117</v>
      </c>
      <c r="D264" s="677" t="s">
        <v>22</v>
      </c>
      <c r="E264" s="738">
        <f t="shared" si="8"/>
        <v>185.11</v>
      </c>
      <c r="F264">
        <f t="shared" si="9"/>
        <v>103145</v>
      </c>
      <c r="H264" s="1405">
        <v>175.33</v>
      </c>
      <c r="I264" s="1405">
        <v>185.11</v>
      </c>
    </row>
    <row r="265" spans="2:9" ht="30">
      <c r="B265" s="1477">
        <v>103146</v>
      </c>
      <c r="C265" s="740" t="s">
        <v>5118</v>
      </c>
      <c r="D265" s="739" t="s">
        <v>22</v>
      </c>
      <c r="E265" s="741">
        <f t="shared" si="8"/>
        <v>196.73</v>
      </c>
      <c r="F265">
        <f t="shared" si="9"/>
        <v>103146</v>
      </c>
      <c r="H265" s="1406">
        <v>186.29</v>
      </c>
      <c r="I265" s="1406">
        <v>196.73</v>
      </c>
    </row>
    <row r="266" spans="2:9" ht="30">
      <c r="B266" s="677">
        <v>103147</v>
      </c>
      <c r="C266" s="733" t="s">
        <v>5119</v>
      </c>
      <c r="D266" s="677" t="s">
        <v>22</v>
      </c>
      <c r="E266" s="738">
        <f t="shared" si="8"/>
        <v>219.98</v>
      </c>
      <c r="F266">
        <f t="shared" si="9"/>
        <v>103147</v>
      </c>
      <c r="H266" s="1405">
        <v>208.24</v>
      </c>
      <c r="I266" s="1405">
        <v>219.98</v>
      </c>
    </row>
    <row r="267" spans="2:9" ht="30">
      <c r="B267" s="1477">
        <v>103148</v>
      </c>
      <c r="C267" s="740" t="s">
        <v>5120</v>
      </c>
      <c r="D267" s="739" t="s">
        <v>22</v>
      </c>
      <c r="E267" s="741">
        <f t="shared" si="8"/>
        <v>265.08</v>
      </c>
      <c r="F267">
        <f t="shared" si="9"/>
        <v>103148</v>
      </c>
      <c r="H267" s="1406">
        <v>250.83</v>
      </c>
      <c r="I267" s="1406">
        <v>265.08</v>
      </c>
    </row>
    <row r="268" spans="2:9" ht="30">
      <c r="B268" s="677">
        <v>103149</v>
      </c>
      <c r="C268" s="733" t="s">
        <v>5121</v>
      </c>
      <c r="D268" s="677" t="s">
        <v>22</v>
      </c>
      <c r="E268" s="738">
        <f t="shared" si="8"/>
        <v>288.33999999999997</v>
      </c>
      <c r="F268">
        <f t="shared" si="9"/>
        <v>103149</v>
      </c>
      <c r="H268" s="1405">
        <v>272.77</v>
      </c>
      <c r="I268" s="1405">
        <v>288.33999999999997</v>
      </c>
    </row>
    <row r="269" spans="2:9" ht="30">
      <c r="B269" s="1477">
        <v>103150</v>
      </c>
      <c r="C269" s="740" t="s">
        <v>5122</v>
      </c>
      <c r="D269" s="739" t="s">
        <v>22</v>
      </c>
      <c r="E269" s="741">
        <f t="shared" si="8"/>
        <v>333.38</v>
      </c>
      <c r="F269">
        <f t="shared" si="9"/>
        <v>103150</v>
      </c>
      <c r="H269" s="1406">
        <v>315.31</v>
      </c>
      <c r="I269" s="1406">
        <v>333.38</v>
      </c>
    </row>
    <row r="270" spans="2:9" ht="30">
      <c r="B270" s="677">
        <v>103151</v>
      </c>
      <c r="C270" s="733" t="s">
        <v>5123</v>
      </c>
      <c r="D270" s="677" t="s">
        <v>22</v>
      </c>
      <c r="E270" s="738">
        <f t="shared" si="8"/>
        <v>356.68</v>
      </c>
      <c r="F270">
        <f t="shared" si="9"/>
        <v>103151</v>
      </c>
      <c r="H270" s="1405">
        <v>337.3</v>
      </c>
      <c r="I270" s="1405">
        <v>356.68</v>
      </c>
    </row>
    <row r="271" spans="2:9" ht="30">
      <c r="B271" s="1477">
        <v>103152</v>
      </c>
      <c r="C271" s="740" t="s">
        <v>5124</v>
      </c>
      <c r="D271" s="739" t="s">
        <v>22</v>
      </c>
      <c r="E271" s="741">
        <f t="shared" si="8"/>
        <v>425.03</v>
      </c>
      <c r="F271">
        <f t="shared" si="9"/>
        <v>103152</v>
      </c>
      <c r="H271" s="1406">
        <v>401.84</v>
      </c>
      <c r="I271" s="1406">
        <v>425.03</v>
      </c>
    </row>
    <row r="272" spans="2:9" ht="30">
      <c r="B272" s="677">
        <v>103372</v>
      </c>
      <c r="C272" s="733" t="s">
        <v>5385</v>
      </c>
      <c r="D272" s="677" t="s">
        <v>21</v>
      </c>
      <c r="E272" s="738">
        <f t="shared" si="8"/>
        <v>5.37</v>
      </c>
      <c r="F272">
        <f t="shared" si="9"/>
        <v>103372</v>
      </c>
      <c r="H272" s="1405">
        <v>5.36</v>
      </c>
      <c r="I272" s="1405">
        <v>5.37</v>
      </c>
    </row>
    <row r="273" spans="2:9" ht="30">
      <c r="B273" s="1477">
        <v>103373</v>
      </c>
      <c r="C273" s="740" t="s">
        <v>5386</v>
      </c>
      <c r="D273" s="739" t="s">
        <v>21</v>
      </c>
      <c r="E273" s="741">
        <f t="shared" si="8"/>
        <v>10.55</v>
      </c>
      <c r="F273">
        <f t="shared" si="9"/>
        <v>103373</v>
      </c>
      <c r="H273" s="1406">
        <v>10.53</v>
      </c>
      <c r="I273" s="1406">
        <v>10.55</v>
      </c>
    </row>
    <row r="274" spans="2:9" ht="30">
      <c r="B274" s="677">
        <v>103376</v>
      </c>
      <c r="C274" s="733" t="s">
        <v>5387</v>
      </c>
      <c r="D274" s="677" t="s">
        <v>21</v>
      </c>
      <c r="E274" s="738">
        <f t="shared" si="8"/>
        <v>126.24</v>
      </c>
      <c r="F274">
        <f t="shared" si="9"/>
        <v>103376</v>
      </c>
      <c r="H274" s="1405">
        <v>126.15</v>
      </c>
      <c r="I274" s="1405">
        <v>126.24</v>
      </c>
    </row>
    <row r="275" spans="2:9" ht="30">
      <c r="B275" s="1477">
        <v>103377</v>
      </c>
      <c r="C275" s="740" t="s">
        <v>5388</v>
      </c>
      <c r="D275" s="739" t="s">
        <v>21</v>
      </c>
      <c r="E275" s="741">
        <f t="shared" si="8"/>
        <v>270.29000000000002</v>
      </c>
      <c r="F275">
        <f t="shared" si="9"/>
        <v>103377</v>
      </c>
      <c r="H275" s="1406">
        <v>270.16000000000003</v>
      </c>
      <c r="I275" s="1406">
        <v>270.29000000000002</v>
      </c>
    </row>
    <row r="276" spans="2:9" ht="30">
      <c r="B276" s="677">
        <v>103379</v>
      </c>
      <c r="C276" s="733" t="s">
        <v>5389</v>
      </c>
      <c r="D276" s="677" t="s">
        <v>21</v>
      </c>
      <c r="E276" s="738">
        <f t="shared" si="8"/>
        <v>420.9</v>
      </c>
      <c r="F276">
        <f t="shared" si="9"/>
        <v>103379</v>
      </c>
      <c r="H276" s="1405">
        <v>420.71</v>
      </c>
      <c r="I276" s="1405">
        <v>420.9</v>
      </c>
    </row>
    <row r="277" spans="2:9" ht="30">
      <c r="B277" s="1477">
        <v>103383</v>
      </c>
      <c r="C277" s="740" t="s">
        <v>5390</v>
      </c>
      <c r="D277" s="739" t="s">
        <v>21</v>
      </c>
      <c r="E277" s="741">
        <f t="shared" si="8"/>
        <v>1032.8699999999999</v>
      </c>
      <c r="F277">
        <f t="shared" si="9"/>
        <v>103383</v>
      </c>
      <c r="H277" s="1406">
        <v>1032.6400000000001</v>
      </c>
      <c r="I277" s="1406">
        <v>1032.8699999999999</v>
      </c>
    </row>
    <row r="278" spans="2:9" ht="30">
      <c r="B278" s="677">
        <v>103385</v>
      </c>
      <c r="C278" s="733" t="s">
        <v>5391</v>
      </c>
      <c r="D278" s="677" t="s">
        <v>21</v>
      </c>
      <c r="E278" s="738">
        <f t="shared" si="8"/>
        <v>1665.44</v>
      </c>
      <c r="F278">
        <f t="shared" si="9"/>
        <v>103385</v>
      </c>
      <c r="H278" s="1405">
        <v>1665</v>
      </c>
      <c r="I278" s="1405">
        <v>1665.44</v>
      </c>
    </row>
    <row r="279" spans="2:9" ht="30">
      <c r="B279" s="1477">
        <v>103387</v>
      </c>
      <c r="C279" s="740" t="s">
        <v>5392</v>
      </c>
      <c r="D279" s="739" t="s">
        <v>21</v>
      </c>
      <c r="E279" s="741">
        <f t="shared" si="8"/>
        <v>2921.64</v>
      </c>
      <c r="F279">
        <f t="shared" si="9"/>
        <v>103387</v>
      </c>
      <c r="H279" s="1406">
        <v>2920.97</v>
      </c>
      <c r="I279" s="1406">
        <v>2921.64</v>
      </c>
    </row>
    <row r="280" spans="2:9" ht="30">
      <c r="B280" s="677">
        <v>103389</v>
      </c>
      <c r="C280" s="733" t="s">
        <v>5393</v>
      </c>
      <c r="D280" s="677" t="s">
        <v>21</v>
      </c>
      <c r="E280" s="738">
        <f t="shared" si="8"/>
        <v>4344.97</v>
      </c>
      <c r="F280">
        <f t="shared" si="9"/>
        <v>103389</v>
      </c>
      <c r="H280" s="1405">
        <v>4343.95</v>
      </c>
      <c r="I280" s="1405">
        <v>4344.97</v>
      </c>
    </row>
    <row r="281" spans="2:9" ht="30">
      <c r="B281" s="1477">
        <v>103391</v>
      </c>
      <c r="C281" s="740" t="s">
        <v>5394</v>
      </c>
      <c r="D281" s="739" t="s">
        <v>21</v>
      </c>
      <c r="E281" s="741">
        <f t="shared" si="8"/>
        <v>2863.1</v>
      </c>
      <c r="F281">
        <f t="shared" si="9"/>
        <v>103391</v>
      </c>
      <c r="H281" s="1406">
        <v>2861.67</v>
      </c>
      <c r="I281" s="1406">
        <v>2863.1</v>
      </c>
    </row>
    <row r="282" spans="2:9" ht="30">
      <c r="B282" s="677">
        <v>103392</v>
      </c>
      <c r="C282" s="733" t="s">
        <v>5395</v>
      </c>
      <c r="D282" s="677" t="s">
        <v>21</v>
      </c>
      <c r="E282" s="738">
        <f t="shared" si="8"/>
        <v>4679.01</v>
      </c>
      <c r="F282">
        <f t="shared" si="9"/>
        <v>103392</v>
      </c>
      <c r="H282" s="1405">
        <v>4677.34</v>
      </c>
      <c r="I282" s="1405">
        <v>4679.01</v>
      </c>
    </row>
    <row r="283" spans="2:9" ht="30">
      <c r="B283" s="1477">
        <v>103393</v>
      </c>
      <c r="C283" s="740" t="s">
        <v>5396</v>
      </c>
      <c r="D283" s="739" t="s">
        <v>21</v>
      </c>
      <c r="E283" s="741">
        <f t="shared" si="8"/>
        <v>5160.8100000000004</v>
      </c>
      <c r="F283">
        <f t="shared" si="9"/>
        <v>103393</v>
      </c>
      <c r="H283" s="1406">
        <v>5158.8999999999996</v>
      </c>
      <c r="I283" s="1406">
        <v>5160.8100000000004</v>
      </c>
    </row>
    <row r="284" spans="2:9" ht="30">
      <c r="B284" s="677">
        <v>103397</v>
      </c>
      <c r="C284" s="733" t="s">
        <v>5397</v>
      </c>
      <c r="D284" s="677" t="s">
        <v>22</v>
      </c>
      <c r="E284" s="738">
        <f t="shared" si="8"/>
        <v>3.16</v>
      </c>
      <c r="F284">
        <f t="shared" si="9"/>
        <v>103397</v>
      </c>
      <c r="H284" s="1405">
        <v>2.85</v>
      </c>
      <c r="I284" s="1405">
        <v>3.16</v>
      </c>
    </row>
    <row r="285" spans="2:9" ht="30">
      <c r="B285" s="1477">
        <v>103398</v>
      </c>
      <c r="C285" s="740" t="s">
        <v>5398</v>
      </c>
      <c r="D285" s="739" t="s">
        <v>22</v>
      </c>
      <c r="E285" s="741">
        <f t="shared" si="8"/>
        <v>5.07</v>
      </c>
      <c r="F285">
        <f t="shared" si="9"/>
        <v>103398</v>
      </c>
      <c r="H285" s="1406">
        <v>4.57</v>
      </c>
      <c r="I285" s="1406">
        <v>5.07</v>
      </c>
    </row>
    <row r="286" spans="2:9" ht="30">
      <c r="B286" s="677">
        <v>103399</v>
      </c>
      <c r="C286" s="733" t="s">
        <v>5399</v>
      </c>
      <c r="D286" s="677" t="s">
        <v>22</v>
      </c>
      <c r="E286" s="738">
        <f t="shared" si="8"/>
        <v>9.99</v>
      </c>
      <c r="F286">
        <f t="shared" si="9"/>
        <v>103399</v>
      </c>
      <c r="H286" s="1405">
        <v>9.02</v>
      </c>
      <c r="I286" s="1405">
        <v>9.99</v>
      </c>
    </row>
    <row r="287" spans="2:9" ht="30">
      <c r="B287" s="1477">
        <v>103400</v>
      </c>
      <c r="C287" s="740" t="s">
        <v>5400</v>
      </c>
      <c r="D287" s="739" t="s">
        <v>22</v>
      </c>
      <c r="E287" s="741">
        <f t="shared" si="8"/>
        <v>14.26</v>
      </c>
      <c r="F287">
        <f t="shared" si="9"/>
        <v>103400</v>
      </c>
      <c r="H287" s="1406">
        <v>12.88</v>
      </c>
      <c r="I287" s="1406">
        <v>14.26</v>
      </c>
    </row>
    <row r="288" spans="2:9" ht="30">
      <c r="B288" s="677">
        <v>103401</v>
      </c>
      <c r="C288" s="733" t="s">
        <v>5401</v>
      </c>
      <c r="D288" s="677" t="s">
        <v>22</v>
      </c>
      <c r="E288" s="738">
        <f t="shared" si="8"/>
        <v>17.440000000000001</v>
      </c>
      <c r="F288">
        <f t="shared" si="9"/>
        <v>103401</v>
      </c>
      <c r="H288" s="1405">
        <v>15.75</v>
      </c>
      <c r="I288" s="1405">
        <v>17.440000000000001</v>
      </c>
    </row>
    <row r="289" spans="2:9" ht="30">
      <c r="B289" s="1477">
        <v>103402</v>
      </c>
      <c r="C289" s="740" t="s">
        <v>5402</v>
      </c>
      <c r="D289" s="739" t="s">
        <v>22</v>
      </c>
      <c r="E289" s="741">
        <f t="shared" si="8"/>
        <v>25.37</v>
      </c>
      <c r="F289">
        <f t="shared" si="9"/>
        <v>103402</v>
      </c>
      <c r="H289" s="1406">
        <v>22.93</v>
      </c>
      <c r="I289" s="1406">
        <v>25.37</v>
      </c>
    </row>
    <row r="290" spans="2:9" ht="30">
      <c r="B290" s="677">
        <v>103403</v>
      </c>
      <c r="C290" s="733" t="s">
        <v>5403</v>
      </c>
      <c r="D290" s="677" t="s">
        <v>22</v>
      </c>
      <c r="E290" s="738">
        <f t="shared" si="8"/>
        <v>28.54</v>
      </c>
      <c r="F290">
        <f t="shared" si="9"/>
        <v>103403</v>
      </c>
      <c r="H290" s="1405">
        <v>25.79</v>
      </c>
      <c r="I290" s="1405">
        <v>28.54</v>
      </c>
    </row>
    <row r="291" spans="2:9" ht="30">
      <c r="B291" s="1477">
        <v>103404</v>
      </c>
      <c r="C291" s="740" t="s">
        <v>5404</v>
      </c>
      <c r="D291" s="739" t="s">
        <v>22</v>
      </c>
      <c r="E291" s="741">
        <f t="shared" si="8"/>
        <v>31.72</v>
      </c>
      <c r="F291">
        <f t="shared" si="9"/>
        <v>103404</v>
      </c>
      <c r="H291" s="1406">
        <v>28.65</v>
      </c>
      <c r="I291" s="1406">
        <v>31.72</v>
      </c>
    </row>
    <row r="292" spans="2:9" ht="30">
      <c r="B292" s="677">
        <v>103405</v>
      </c>
      <c r="C292" s="733" t="s">
        <v>5405</v>
      </c>
      <c r="D292" s="677" t="s">
        <v>22</v>
      </c>
      <c r="E292" s="738">
        <f t="shared" si="8"/>
        <v>35.68</v>
      </c>
      <c r="F292">
        <f t="shared" si="9"/>
        <v>103405</v>
      </c>
      <c r="H292" s="1405">
        <v>32.24</v>
      </c>
      <c r="I292" s="1405">
        <v>35.68</v>
      </c>
    </row>
    <row r="293" spans="2:9" ht="30">
      <c r="B293" s="1477">
        <v>103406</v>
      </c>
      <c r="C293" s="740" t="s">
        <v>5406</v>
      </c>
      <c r="D293" s="739" t="s">
        <v>22</v>
      </c>
      <c r="E293" s="741">
        <f t="shared" si="8"/>
        <v>39.64</v>
      </c>
      <c r="F293">
        <f t="shared" si="9"/>
        <v>103406</v>
      </c>
      <c r="H293" s="1406">
        <v>35.83</v>
      </c>
      <c r="I293" s="1406">
        <v>39.64</v>
      </c>
    </row>
    <row r="294" spans="2:9" ht="30">
      <c r="B294" s="677">
        <v>103407</v>
      </c>
      <c r="C294" s="733" t="s">
        <v>5407</v>
      </c>
      <c r="D294" s="677" t="s">
        <v>22</v>
      </c>
      <c r="E294" s="738">
        <f t="shared" si="8"/>
        <v>44.4</v>
      </c>
      <c r="F294">
        <f t="shared" si="9"/>
        <v>103407</v>
      </c>
      <c r="H294" s="1405">
        <v>40.119999999999997</v>
      </c>
      <c r="I294" s="1405">
        <v>44.4</v>
      </c>
    </row>
    <row r="295" spans="2:9" ht="30">
      <c r="B295" s="1477">
        <v>103408</v>
      </c>
      <c r="C295" s="740" t="s">
        <v>5408</v>
      </c>
      <c r="D295" s="739" t="s">
        <v>22</v>
      </c>
      <c r="E295" s="741">
        <f t="shared" si="8"/>
        <v>49.96</v>
      </c>
      <c r="F295">
        <f t="shared" si="9"/>
        <v>103408</v>
      </c>
      <c r="H295" s="1406">
        <v>45.14</v>
      </c>
      <c r="I295" s="1406">
        <v>49.96</v>
      </c>
    </row>
    <row r="296" spans="2:9" ht="30">
      <c r="B296" s="677">
        <v>103409</v>
      </c>
      <c r="C296" s="733" t="s">
        <v>5409</v>
      </c>
      <c r="D296" s="677" t="s">
        <v>22</v>
      </c>
      <c r="E296" s="738">
        <f t="shared" si="8"/>
        <v>56.3</v>
      </c>
      <c r="F296">
        <f t="shared" si="9"/>
        <v>103409</v>
      </c>
      <c r="H296" s="1405">
        <v>50.88</v>
      </c>
      <c r="I296" s="1405">
        <v>56.3</v>
      </c>
    </row>
    <row r="297" spans="2:9" ht="30">
      <c r="B297" s="1477">
        <v>103410</v>
      </c>
      <c r="C297" s="740" t="s">
        <v>5410</v>
      </c>
      <c r="D297" s="739" t="s">
        <v>22</v>
      </c>
      <c r="E297" s="741">
        <f t="shared" si="8"/>
        <v>63.44</v>
      </c>
      <c r="F297">
        <f t="shared" si="9"/>
        <v>103410</v>
      </c>
      <c r="H297" s="1406">
        <v>57.32</v>
      </c>
      <c r="I297" s="1406">
        <v>63.44</v>
      </c>
    </row>
    <row r="298" spans="2:9" ht="30">
      <c r="B298" s="677">
        <v>103411</v>
      </c>
      <c r="C298" s="733" t="s">
        <v>5411</v>
      </c>
      <c r="D298" s="677" t="s">
        <v>22</v>
      </c>
      <c r="E298" s="738">
        <f t="shared" si="8"/>
        <v>6.34</v>
      </c>
      <c r="F298">
        <f t="shared" si="9"/>
        <v>103411</v>
      </c>
      <c r="H298" s="1405">
        <v>5.72</v>
      </c>
      <c r="I298" s="1405">
        <v>6.34</v>
      </c>
    </row>
    <row r="299" spans="2:9" ht="30">
      <c r="B299" s="1477">
        <v>103412</v>
      </c>
      <c r="C299" s="740" t="s">
        <v>5412</v>
      </c>
      <c r="D299" s="739" t="s">
        <v>22</v>
      </c>
      <c r="E299" s="741">
        <f t="shared" si="8"/>
        <v>10.14</v>
      </c>
      <c r="F299">
        <f t="shared" si="9"/>
        <v>103412</v>
      </c>
      <c r="H299" s="1406">
        <v>9.16</v>
      </c>
      <c r="I299" s="1406">
        <v>10.14</v>
      </c>
    </row>
    <row r="300" spans="2:9" ht="30">
      <c r="B300" s="677">
        <v>103413</v>
      </c>
      <c r="C300" s="733" t="s">
        <v>5413</v>
      </c>
      <c r="D300" s="677" t="s">
        <v>22</v>
      </c>
      <c r="E300" s="738">
        <f t="shared" si="8"/>
        <v>19.98</v>
      </c>
      <c r="F300">
        <f t="shared" si="9"/>
        <v>103413</v>
      </c>
      <c r="H300" s="1405">
        <v>18.05</v>
      </c>
      <c r="I300" s="1405">
        <v>19.98</v>
      </c>
    </row>
    <row r="301" spans="2:9" ht="30">
      <c r="B301" s="1477">
        <v>103414</v>
      </c>
      <c r="C301" s="740" t="s">
        <v>5414</v>
      </c>
      <c r="D301" s="739" t="s">
        <v>22</v>
      </c>
      <c r="E301" s="741">
        <f t="shared" si="8"/>
        <v>28.54</v>
      </c>
      <c r="F301">
        <f t="shared" si="9"/>
        <v>103414</v>
      </c>
      <c r="H301" s="1406">
        <v>25.79</v>
      </c>
      <c r="I301" s="1406">
        <v>28.54</v>
      </c>
    </row>
    <row r="302" spans="2:9" ht="30">
      <c r="B302" s="677">
        <v>103415</v>
      </c>
      <c r="C302" s="733" t="s">
        <v>5415</v>
      </c>
      <c r="D302" s="677" t="s">
        <v>22</v>
      </c>
      <c r="E302" s="738">
        <f t="shared" si="8"/>
        <v>34.89</v>
      </c>
      <c r="F302">
        <f t="shared" si="9"/>
        <v>103415</v>
      </c>
      <c r="H302" s="1405">
        <v>31.52</v>
      </c>
      <c r="I302" s="1405">
        <v>34.89</v>
      </c>
    </row>
    <row r="303" spans="2:9" ht="30">
      <c r="B303" s="1477">
        <v>103416</v>
      </c>
      <c r="C303" s="740" t="s">
        <v>5416</v>
      </c>
      <c r="D303" s="739" t="s">
        <v>22</v>
      </c>
      <c r="E303" s="741">
        <f t="shared" si="8"/>
        <v>50.75</v>
      </c>
      <c r="F303">
        <f t="shared" si="9"/>
        <v>103416</v>
      </c>
      <c r="H303" s="1406">
        <v>45.86</v>
      </c>
      <c r="I303" s="1406">
        <v>50.75</v>
      </c>
    </row>
    <row r="304" spans="2:9" ht="30">
      <c r="B304" s="677">
        <v>103417</v>
      </c>
      <c r="C304" s="733" t="s">
        <v>5417</v>
      </c>
      <c r="D304" s="677" t="s">
        <v>22</v>
      </c>
      <c r="E304" s="738">
        <f t="shared" si="8"/>
        <v>57.1</v>
      </c>
      <c r="F304">
        <f t="shared" si="9"/>
        <v>103417</v>
      </c>
      <c r="H304" s="1405">
        <v>51.58</v>
      </c>
      <c r="I304" s="1405">
        <v>57.1</v>
      </c>
    </row>
    <row r="305" spans="2:9" ht="30">
      <c r="B305" s="1477">
        <v>103418</v>
      </c>
      <c r="C305" s="740" t="s">
        <v>5418</v>
      </c>
      <c r="D305" s="739" t="s">
        <v>22</v>
      </c>
      <c r="E305" s="741">
        <f t="shared" si="8"/>
        <v>63.44</v>
      </c>
      <c r="F305">
        <f t="shared" si="9"/>
        <v>103418</v>
      </c>
      <c r="H305" s="1406">
        <v>57.32</v>
      </c>
      <c r="I305" s="1406">
        <v>63.44</v>
      </c>
    </row>
    <row r="306" spans="2:9" ht="30">
      <c r="B306" s="677">
        <v>103419</v>
      </c>
      <c r="C306" s="733" t="s">
        <v>5419</v>
      </c>
      <c r="D306" s="677" t="s">
        <v>22</v>
      </c>
      <c r="E306" s="738">
        <f t="shared" si="8"/>
        <v>71.38</v>
      </c>
      <c r="F306">
        <f t="shared" si="9"/>
        <v>103419</v>
      </c>
      <c r="H306" s="1405">
        <v>64.489999999999995</v>
      </c>
      <c r="I306" s="1405">
        <v>71.38</v>
      </c>
    </row>
    <row r="307" spans="2:9" ht="30">
      <c r="B307" s="1477">
        <v>103420</v>
      </c>
      <c r="C307" s="740" t="s">
        <v>5420</v>
      </c>
      <c r="D307" s="739" t="s">
        <v>22</v>
      </c>
      <c r="E307" s="741">
        <f t="shared" si="8"/>
        <v>79.3</v>
      </c>
      <c r="F307">
        <f t="shared" si="9"/>
        <v>103420</v>
      </c>
      <c r="H307" s="1406">
        <v>71.66</v>
      </c>
      <c r="I307" s="1406">
        <v>79.3</v>
      </c>
    </row>
    <row r="308" spans="2:9" ht="30">
      <c r="B308" s="677">
        <v>103421</v>
      </c>
      <c r="C308" s="733" t="s">
        <v>5421</v>
      </c>
      <c r="D308" s="677" t="s">
        <v>22</v>
      </c>
      <c r="E308" s="738">
        <f t="shared" si="8"/>
        <v>88.83</v>
      </c>
      <c r="F308">
        <f t="shared" si="9"/>
        <v>103421</v>
      </c>
      <c r="H308" s="1405">
        <v>80.25</v>
      </c>
      <c r="I308" s="1405">
        <v>88.83</v>
      </c>
    </row>
    <row r="309" spans="2:9" ht="30">
      <c r="B309" s="1477">
        <v>103422</v>
      </c>
      <c r="C309" s="740" t="s">
        <v>5422</v>
      </c>
      <c r="D309" s="739" t="s">
        <v>22</v>
      </c>
      <c r="E309" s="741">
        <f t="shared" si="8"/>
        <v>99.93</v>
      </c>
      <c r="F309">
        <f t="shared" si="9"/>
        <v>103422</v>
      </c>
      <c r="H309" s="1406">
        <v>90.28</v>
      </c>
      <c r="I309" s="1406">
        <v>99.93</v>
      </c>
    </row>
    <row r="310" spans="2:9" ht="30">
      <c r="B310" s="677">
        <v>103423</v>
      </c>
      <c r="C310" s="733" t="s">
        <v>5423</v>
      </c>
      <c r="D310" s="677" t="s">
        <v>22</v>
      </c>
      <c r="E310" s="738">
        <f t="shared" si="8"/>
        <v>112.62</v>
      </c>
      <c r="F310">
        <f t="shared" si="9"/>
        <v>103423</v>
      </c>
      <c r="H310" s="1405">
        <v>101.76</v>
      </c>
      <c r="I310" s="1405">
        <v>112.62</v>
      </c>
    </row>
    <row r="311" spans="2:9" ht="30">
      <c r="B311" s="1477">
        <v>103424</v>
      </c>
      <c r="C311" s="740" t="s">
        <v>5424</v>
      </c>
      <c r="D311" s="739" t="s">
        <v>22</v>
      </c>
      <c r="E311" s="741">
        <f t="shared" si="8"/>
        <v>126.89</v>
      </c>
      <c r="F311">
        <f t="shared" si="9"/>
        <v>103424</v>
      </c>
      <c r="H311" s="1406">
        <v>114.66</v>
      </c>
      <c r="I311" s="1406">
        <v>126.89</v>
      </c>
    </row>
    <row r="312" spans="2:9" ht="30">
      <c r="B312" s="677">
        <v>103425</v>
      </c>
      <c r="C312" s="733" t="s">
        <v>5425</v>
      </c>
      <c r="D312" s="677" t="s">
        <v>22</v>
      </c>
      <c r="E312" s="738">
        <f t="shared" si="8"/>
        <v>14.94</v>
      </c>
      <c r="F312">
        <f t="shared" si="9"/>
        <v>103425</v>
      </c>
      <c r="H312" s="1405">
        <v>14.63</v>
      </c>
      <c r="I312" s="1405">
        <v>14.94</v>
      </c>
    </row>
    <row r="313" spans="2:9" ht="30">
      <c r="B313" s="1477">
        <v>103426</v>
      </c>
      <c r="C313" s="740" t="s">
        <v>5426</v>
      </c>
      <c r="D313" s="739" t="s">
        <v>22</v>
      </c>
      <c r="E313" s="741">
        <f t="shared" si="8"/>
        <v>17.77</v>
      </c>
      <c r="F313">
        <f t="shared" si="9"/>
        <v>103426</v>
      </c>
      <c r="H313" s="1406">
        <v>17.27</v>
      </c>
      <c r="I313" s="1406">
        <v>17.77</v>
      </c>
    </row>
    <row r="314" spans="2:9" ht="30">
      <c r="B314" s="677">
        <v>103427</v>
      </c>
      <c r="C314" s="733" t="s">
        <v>5427</v>
      </c>
      <c r="D314" s="677" t="s">
        <v>22</v>
      </c>
      <c r="E314" s="738">
        <f t="shared" si="8"/>
        <v>35.630000000000003</v>
      </c>
      <c r="F314">
        <f t="shared" si="9"/>
        <v>103427</v>
      </c>
      <c r="H314" s="1405">
        <v>34.659999999999997</v>
      </c>
      <c r="I314" s="1405">
        <v>35.630000000000003</v>
      </c>
    </row>
    <row r="315" spans="2:9" ht="30">
      <c r="B315" s="1477">
        <v>103428</v>
      </c>
      <c r="C315" s="740" t="s">
        <v>5428</v>
      </c>
      <c r="D315" s="739" t="s">
        <v>22</v>
      </c>
      <c r="E315" s="741">
        <f t="shared" si="8"/>
        <v>242.54</v>
      </c>
      <c r="F315">
        <f t="shared" si="9"/>
        <v>103428</v>
      </c>
      <c r="H315" s="1406">
        <v>239.47</v>
      </c>
      <c r="I315" s="1406">
        <v>242.54</v>
      </c>
    </row>
    <row r="316" spans="2:9" ht="30">
      <c r="B316" s="677">
        <v>103429</v>
      </c>
      <c r="C316" s="733" t="s">
        <v>5429</v>
      </c>
      <c r="D316" s="677" t="s">
        <v>22</v>
      </c>
      <c r="E316" s="738">
        <f t="shared" si="8"/>
        <v>2729.4</v>
      </c>
      <c r="F316">
        <f t="shared" si="9"/>
        <v>103429</v>
      </c>
      <c r="H316" s="1405">
        <v>2723.28</v>
      </c>
      <c r="I316" s="1405">
        <v>2729.4</v>
      </c>
    </row>
    <row r="317" spans="2:9" ht="30">
      <c r="B317" s="1477">
        <v>103430</v>
      </c>
      <c r="C317" s="740" t="s">
        <v>5430</v>
      </c>
      <c r="D317" s="739" t="s">
        <v>22</v>
      </c>
      <c r="E317" s="741">
        <f t="shared" si="8"/>
        <v>32.36</v>
      </c>
      <c r="F317">
        <f t="shared" si="9"/>
        <v>103430</v>
      </c>
      <c r="H317" s="1406">
        <v>31.86</v>
      </c>
      <c r="I317" s="1406">
        <v>32.36</v>
      </c>
    </row>
    <row r="318" spans="2:9" ht="30">
      <c r="B318" s="677">
        <v>103431</v>
      </c>
      <c r="C318" s="733" t="s">
        <v>5431</v>
      </c>
      <c r="D318" s="677" t="s">
        <v>22</v>
      </c>
      <c r="E318" s="738">
        <f t="shared" si="8"/>
        <v>56.57</v>
      </c>
      <c r="F318">
        <f t="shared" si="9"/>
        <v>103431</v>
      </c>
      <c r="H318" s="1405">
        <v>55.6</v>
      </c>
      <c r="I318" s="1405">
        <v>56.57</v>
      </c>
    </row>
    <row r="319" spans="2:9" ht="30">
      <c r="B319" s="1477">
        <v>103432</v>
      </c>
      <c r="C319" s="740" t="s">
        <v>5432</v>
      </c>
      <c r="D319" s="739" t="s">
        <v>22</v>
      </c>
      <c r="E319" s="741">
        <f t="shared" si="8"/>
        <v>1550.04</v>
      </c>
      <c r="F319">
        <f t="shared" si="9"/>
        <v>103432</v>
      </c>
      <c r="H319" s="1406">
        <v>1546.97</v>
      </c>
      <c r="I319" s="1406">
        <v>1550.04</v>
      </c>
    </row>
    <row r="320" spans="2:9" ht="30">
      <c r="B320" s="677">
        <v>103433</v>
      </c>
      <c r="C320" s="733" t="s">
        <v>5433</v>
      </c>
      <c r="D320" s="677" t="s">
        <v>22</v>
      </c>
      <c r="E320" s="738">
        <f t="shared" si="8"/>
        <v>32.26</v>
      </c>
      <c r="F320">
        <f t="shared" si="9"/>
        <v>103433</v>
      </c>
      <c r="H320" s="1405">
        <v>31.95</v>
      </c>
      <c r="I320" s="1405">
        <v>32.26</v>
      </c>
    </row>
    <row r="321" spans="2:9" ht="30">
      <c r="B321" s="1477">
        <v>103434</v>
      </c>
      <c r="C321" s="740" t="s">
        <v>5434</v>
      </c>
      <c r="D321" s="739" t="s">
        <v>22</v>
      </c>
      <c r="E321" s="741">
        <f t="shared" si="8"/>
        <v>44.55</v>
      </c>
      <c r="F321">
        <f t="shared" si="9"/>
        <v>103434</v>
      </c>
      <c r="H321" s="1406">
        <v>44.05</v>
      </c>
      <c r="I321" s="1406">
        <v>44.55</v>
      </c>
    </row>
    <row r="322" spans="2:9" ht="30">
      <c r="B322" s="677">
        <v>103435</v>
      </c>
      <c r="C322" s="733" t="s">
        <v>5435</v>
      </c>
      <c r="D322" s="677" t="s">
        <v>22</v>
      </c>
      <c r="E322" s="738">
        <f t="shared" si="8"/>
        <v>82.81</v>
      </c>
      <c r="F322">
        <f t="shared" si="9"/>
        <v>103435</v>
      </c>
      <c r="H322" s="1405">
        <v>81.84</v>
      </c>
      <c r="I322" s="1405">
        <v>82.81</v>
      </c>
    </row>
    <row r="323" spans="2:9" ht="30">
      <c r="B323" s="1477">
        <v>103436</v>
      </c>
      <c r="C323" s="740" t="s">
        <v>5436</v>
      </c>
      <c r="D323" s="739" t="s">
        <v>22</v>
      </c>
      <c r="E323" s="741">
        <f t="shared" ref="E323:E386" si="10">IF($K$2=$H$1,H323,I323)</f>
        <v>2197.06</v>
      </c>
      <c r="F323">
        <f t="shared" ref="F323:F386" si="11">IF(LEN($B323)=7,CONCATENATE(MID($B323,1,6),"00",RIGHT($B323,1)),IF(LEN($B323)=8,CONCATENATE(MID($B323,1,6),"0",RIGHT($B323,2)),$B323))</f>
        <v>103436</v>
      </c>
      <c r="H323" s="1406">
        <v>2193.9899999999998</v>
      </c>
      <c r="I323" s="1406">
        <v>2197.06</v>
      </c>
    </row>
    <row r="324" spans="2:9" ht="30">
      <c r="B324" s="677">
        <v>103437</v>
      </c>
      <c r="C324" s="733" t="s">
        <v>5437</v>
      </c>
      <c r="D324" s="677" t="s">
        <v>22</v>
      </c>
      <c r="E324" s="738">
        <f t="shared" si="10"/>
        <v>171.9</v>
      </c>
      <c r="F324">
        <f t="shared" si="11"/>
        <v>103437</v>
      </c>
      <c r="H324" s="1405">
        <v>169.97</v>
      </c>
      <c r="I324" s="1405">
        <v>171.9</v>
      </c>
    </row>
    <row r="325" spans="2:9" ht="30">
      <c r="B325" s="1477">
        <v>103438</v>
      </c>
      <c r="C325" s="740" t="s">
        <v>5438</v>
      </c>
      <c r="D325" s="739" t="s">
        <v>22</v>
      </c>
      <c r="E325" s="741">
        <f t="shared" si="10"/>
        <v>171.9</v>
      </c>
      <c r="F325">
        <f t="shared" si="11"/>
        <v>103438</v>
      </c>
      <c r="H325" s="1406">
        <v>169.97</v>
      </c>
      <c r="I325" s="1406">
        <v>171.9</v>
      </c>
    </row>
    <row r="326" spans="2:9" ht="30">
      <c r="B326" s="677">
        <v>103439</v>
      </c>
      <c r="C326" s="733" t="s">
        <v>5439</v>
      </c>
      <c r="D326" s="677" t="s">
        <v>22</v>
      </c>
      <c r="E326" s="738">
        <f t="shared" si="10"/>
        <v>202.96</v>
      </c>
      <c r="F326">
        <f t="shared" si="11"/>
        <v>103439</v>
      </c>
      <c r="H326" s="1405">
        <v>201.03</v>
      </c>
      <c r="I326" s="1405">
        <v>202.96</v>
      </c>
    </row>
    <row r="327" spans="2:9" ht="30">
      <c r="B327" s="1477">
        <v>103440</v>
      </c>
      <c r="C327" s="740" t="s">
        <v>5440</v>
      </c>
      <c r="D327" s="739" t="s">
        <v>22</v>
      </c>
      <c r="E327" s="741">
        <f t="shared" si="10"/>
        <v>385.08</v>
      </c>
      <c r="F327">
        <f t="shared" si="11"/>
        <v>103440</v>
      </c>
      <c r="H327" s="1406">
        <v>378.96</v>
      </c>
      <c r="I327" s="1406">
        <v>385.08</v>
      </c>
    </row>
    <row r="328" spans="2:9" ht="30">
      <c r="B328" s="677">
        <v>103441</v>
      </c>
      <c r="C328" s="733" t="s">
        <v>5441</v>
      </c>
      <c r="D328" s="677" t="s">
        <v>22</v>
      </c>
      <c r="E328" s="738">
        <f t="shared" si="10"/>
        <v>390.12</v>
      </c>
      <c r="F328">
        <f t="shared" si="11"/>
        <v>103441</v>
      </c>
      <c r="H328" s="1405">
        <v>384</v>
      </c>
      <c r="I328" s="1405">
        <v>390.12</v>
      </c>
    </row>
    <row r="329" spans="2:9" ht="30">
      <c r="B329" s="1477">
        <v>103442</v>
      </c>
      <c r="C329" s="740" t="s">
        <v>5442</v>
      </c>
      <c r="D329" s="739" t="s">
        <v>22</v>
      </c>
      <c r="E329" s="741">
        <f t="shared" si="10"/>
        <v>511.53</v>
      </c>
      <c r="F329">
        <f t="shared" si="11"/>
        <v>103442</v>
      </c>
      <c r="H329" s="1406">
        <v>505.41</v>
      </c>
      <c r="I329" s="1406">
        <v>511.53</v>
      </c>
    </row>
    <row r="330" spans="2:9" ht="30">
      <c r="B330" s="677">
        <v>98441</v>
      </c>
      <c r="C330" s="733" t="s">
        <v>2003</v>
      </c>
      <c r="D330" s="677" t="s">
        <v>0</v>
      </c>
      <c r="E330" s="738">
        <f t="shared" si="10"/>
        <v>137.47</v>
      </c>
      <c r="F330">
        <f t="shared" si="11"/>
        <v>98441</v>
      </c>
      <c r="H330" s="1405">
        <v>134.82</v>
      </c>
      <c r="I330" s="1405">
        <v>137.47</v>
      </c>
    </row>
    <row r="331" spans="2:9" ht="30">
      <c r="B331" s="1477">
        <v>98442</v>
      </c>
      <c r="C331" s="740" t="s">
        <v>2004</v>
      </c>
      <c r="D331" s="739" t="s">
        <v>0</v>
      </c>
      <c r="E331" s="741">
        <f t="shared" si="10"/>
        <v>140.62</v>
      </c>
      <c r="F331">
        <f t="shared" si="11"/>
        <v>98442</v>
      </c>
      <c r="H331" s="1406">
        <v>137.63</v>
      </c>
      <c r="I331" s="1406">
        <v>140.62</v>
      </c>
    </row>
    <row r="332" spans="2:9" ht="30">
      <c r="B332" s="677">
        <v>98443</v>
      </c>
      <c r="C332" s="733" t="s">
        <v>2005</v>
      </c>
      <c r="D332" s="677" t="s">
        <v>0</v>
      </c>
      <c r="E332" s="738">
        <f t="shared" si="10"/>
        <v>119.92</v>
      </c>
      <c r="F332">
        <f t="shared" si="11"/>
        <v>98443</v>
      </c>
      <c r="H332" s="1405">
        <v>118.51</v>
      </c>
      <c r="I332" s="1405">
        <v>119.92</v>
      </c>
    </row>
    <row r="333" spans="2:9" ht="30">
      <c r="B333" s="1477">
        <v>98444</v>
      </c>
      <c r="C333" s="740" t="s">
        <v>2006</v>
      </c>
      <c r="D333" s="739" t="s">
        <v>0</v>
      </c>
      <c r="E333" s="741">
        <f t="shared" si="10"/>
        <v>122.17</v>
      </c>
      <c r="F333">
        <f t="shared" si="11"/>
        <v>98444</v>
      </c>
      <c r="H333" s="1406">
        <v>120.51</v>
      </c>
      <c r="I333" s="1406">
        <v>122.17</v>
      </c>
    </row>
    <row r="334" spans="2:9" ht="30">
      <c r="B334" s="677">
        <v>98445</v>
      </c>
      <c r="C334" s="733" t="s">
        <v>2007</v>
      </c>
      <c r="D334" s="677" t="s">
        <v>0</v>
      </c>
      <c r="E334" s="738">
        <f t="shared" si="10"/>
        <v>164.95</v>
      </c>
      <c r="F334">
        <f t="shared" si="11"/>
        <v>98445</v>
      </c>
      <c r="H334" s="1405">
        <v>161.12</v>
      </c>
      <c r="I334" s="1405">
        <v>164.95</v>
      </c>
    </row>
    <row r="335" spans="2:9" ht="30">
      <c r="B335" s="1477">
        <v>98446</v>
      </c>
      <c r="C335" s="740" t="s">
        <v>2008</v>
      </c>
      <c r="D335" s="739" t="s">
        <v>0</v>
      </c>
      <c r="E335" s="741">
        <f t="shared" si="10"/>
        <v>211.38</v>
      </c>
      <c r="F335">
        <f t="shared" si="11"/>
        <v>98446</v>
      </c>
      <c r="H335" s="1406">
        <v>205.07</v>
      </c>
      <c r="I335" s="1406">
        <v>211.38</v>
      </c>
    </row>
    <row r="336" spans="2:9" ht="30">
      <c r="B336" s="677">
        <v>98447</v>
      </c>
      <c r="C336" s="733" t="s">
        <v>2009</v>
      </c>
      <c r="D336" s="677" t="s">
        <v>0</v>
      </c>
      <c r="E336" s="738">
        <f t="shared" si="10"/>
        <v>140.56</v>
      </c>
      <c r="F336">
        <f t="shared" si="11"/>
        <v>98447</v>
      </c>
      <c r="H336" s="1405">
        <v>138.38999999999999</v>
      </c>
      <c r="I336" s="1405">
        <v>140.56</v>
      </c>
    </row>
    <row r="337" spans="2:9" ht="30">
      <c r="B337" s="1477">
        <v>98448</v>
      </c>
      <c r="C337" s="740" t="s">
        <v>2010</v>
      </c>
      <c r="D337" s="739" t="s">
        <v>0</v>
      </c>
      <c r="E337" s="741">
        <f t="shared" si="10"/>
        <v>176.29</v>
      </c>
      <c r="F337">
        <f t="shared" si="11"/>
        <v>98448</v>
      </c>
      <c r="H337" s="1406">
        <v>172.38</v>
      </c>
      <c r="I337" s="1406">
        <v>176.29</v>
      </c>
    </row>
    <row r="338" spans="2:9" ht="30">
      <c r="B338" s="677">
        <v>98449</v>
      </c>
      <c r="C338" s="733" t="s">
        <v>2011</v>
      </c>
      <c r="D338" s="677" t="s">
        <v>0</v>
      </c>
      <c r="E338" s="738">
        <f t="shared" si="10"/>
        <v>182.07</v>
      </c>
      <c r="F338">
        <f t="shared" si="11"/>
        <v>98449</v>
      </c>
      <c r="H338" s="1405">
        <v>178.94</v>
      </c>
      <c r="I338" s="1405">
        <v>182.07</v>
      </c>
    </row>
    <row r="339" spans="2:9" ht="30">
      <c r="B339" s="1477">
        <v>98450</v>
      </c>
      <c r="C339" s="740" t="s">
        <v>2012</v>
      </c>
      <c r="D339" s="739" t="s">
        <v>0</v>
      </c>
      <c r="E339" s="741">
        <f t="shared" si="10"/>
        <v>186.66</v>
      </c>
      <c r="F339">
        <f t="shared" si="11"/>
        <v>98450</v>
      </c>
      <c r="H339" s="1406">
        <v>183.06</v>
      </c>
      <c r="I339" s="1406">
        <v>186.66</v>
      </c>
    </row>
    <row r="340" spans="2:9" ht="30">
      <c r="B340" s="677">
        <v>98451</v>
      </c>
      <c r="C340" s="733" t="s">
        <v>2013</v>
      </c>
      <c r="D340" s="677" t="s">
        <v>0</v>
      </c>
      <c r="E340" s="738">
        <f t="shared" si="10"/>
        <v>161.81</v>
      </c>
      <c r="F340">
        <f t="shared" si="11"/>
        <v>98451</v>
      </c>
      <c r="H340" s="1405">
        <v>160.19</v>
      </c>
      <c r="I340" s="1405">
        <v>161.81</v>
      </c>
    </row>
    <row r="341" spans="2:9" ht="30">
      <c r="B341" s="1477">
        <v>98452</v>
      </c>
      <c r="C341" s="740" t="s">
        <v>2014</v>
      </c>
      <c r="D341" s="739" t="s">
        <v>0</v>
      </c>
      <c r="E341" s="741">
        <f t="shared" si="10"/>
        <v>164.59</v>
      </c>
      <c r="F341">
        <f t="shared" si="11"/>
        <v>98452</v>
      </c>
      <c r="H341" s="1406">
        <v>162.69999999999999</v>
      </c>
      <c r="I341" s="1406">
        <v>164.59</v>
      </c>
    </row>
    <row r="342" spans="2:9" ht="30">
      <c r="B342" s="677">
        <v>98453</v>
      </c>
      <c r="C342" s="733" t="s">
        <v>2015</v>
      </c>
      <c r="D342" s="677" t="s">
        <v>0</v>
      </c>
      <c r="E342" s="738">
        <f t="shared" si="10"/>
        <v>214.94</v>
      </c>
      <c r="F342">
        <f t="shared" si="11"/>
        <v>98453</v>
      </c>
      <c r="H342" s="1405">
        <v>210.1</v>
      </c>
      <c r="I342" s="1405">
        <v>214.94</v>
      </c>
    </row>
    <row r="343" spans="2:9" ht="30">
      <c r="B343" s="1477">
        <v>98454</v>
      </c>
      <c r="C343" s="740" t="s">
        <v>2016</v>
      </c>
      <c r="D343" s="739" t="s">
        <v>0</v>
      </c>
      <c r="E343" s="741">
        <f t="shared" si="10"/>
        <v>274.48</v>
      </c>
      <c r="F343">
        <f t="shared" si="11"/>
        <v>98454</v>
      </c>
      <c r="H343" s="1406">
        <v>265.83999999999997</v>
      </c>
      <c r="I343" s="1406">
        <v>274.48</v>
      </c>
    </row>
    <row r="344" spans="2:9" ht="30">
      <c r="B344" s="677">
        <v>98455</v>
      </c>
      <c r="C344" s="733" t="s">
        <v>2017</v>
      </c>
      <c r="D344" s="677" t="s">
        <v>0</v>
      </c>
      <c r="E344" s="738">
        <f t="shared" si="10"/>
        <v>187.84</v>
      </c>
      <c r="F344">
        <f t="shared" si="11"/>
        <v>98455</v>
      </c>
      <c r="H344" s="1405">
        <v>184.94</v>
      </c>
      <c r="I344" s="1405">
        <v>187.84</v>
      </c>
    </row>
    <row r="345" spans="2:9" ht="30">
      <c r="B345" s="1477">
        <v>98456</v>
      </c>
      <c r="C345" s="740" t="s">
        <v>2018</v>
      </c>
      <c r="D345" s="739" t="s">
        <v>0</v>
      </c>
      <c r="E345" s="741">
        <f t="shared" si="10"/>
        <v>235.78</v>
      </c>
      <c r="F345">
        <f t="shared" si="11"/>
        <v>98456</v>
      </c>
      <c r="H345" s="1406">
        <v>229.9</v>
      </c>
      <c r="I345" s="1406">
        <v>235.78</v>
      </c>
    </row>
    <row r="346" spans="2:9">
      <c r="B346" s="677">
        <v>98458</v>
      </c>
      <c r="C346" s="733" t="s">
        <v>2019</v>
      </c>
      <c r="D346" s="677" t="s">
        <v>0</v>
      </c>
      <c r="E346" s="738">
        <f t="shared" si="10"/>
        <v>132.19</v>
      </c>
      <c r="F346">
        <f t="shared" si="11"/>
        <v>98458</v>
      </c>
      <c r="H346" s="1405">
        <v>130.06</v>
      </c>
      <c r="I346" s="1405">
        <v>132.19</v>
      </c>
    </row>
    <row r="347" spans="2:9">
      <c r="B347" s="1477">
        <v>98459</v>
      </c>
      <c r="C347" s="740" t="s">
        <v>2020</v>
      </c>
      <c r="D347" s="739" t="s">
        <v>0</v>
      </c>
      <c r="E347" s="741">
        <f t="shared" si="10"/>
        <v>99.64</v>
      </c>
      <c r="F347">
        <f t="shared" si="11"/>
        <v>98459</v>
      </c>
      <c r="H347" s="1406">
        <v>97.66</v>
      </c>
      <c r="I347" s="1406">
        <v>99.64</v>
      </c>
    </row>
    <row r="348" spans="2:9">
      <c r="B348" s="677">
        <v>98460</v>
      </c>
      <c r="C348" s="733" t="s">
        <v>2021</v>
      </c>
      <c r="D348" s="677" t="s">
        <v>0</v>
      </c>
      <c r="E348" s="738">
        <f t="shared" si="10"/>
        <v>166.34</v>
      </c>
      <c r="F348">
        <f t="shared" si="11"/>
        <v>98460</v>
      </c>
      <c r="H348" s="1405">
        <v>165.44</v>
      </c>
      <c r="I348" s="1405">
        <v>166.34</v>
      </c>
    </row>
    <row r="349" spans="2:9">
      <c r="B349" s="1477">
        <v>98461</v>
      </c>
      <c r="C349" s="740" t="s">
        <v>7243</v>
      </c>
      <c r="D349" s="739" t="s">
        <v>22</v>
      </c>
      <c r="E349" s="741">
        <f t="shared" si="10"/>
        <v>5129.63</v>
      </c>
      <c r="F349">
        <f t="shared" si="11"/>
        <v>98461</v>
      </c>
      <c r="H349" s="1406">
        <v>5103.83</v>
      </c>
      <c r="I349" s="1406">
        <v>5129.63</v>
      </c>
    </row>
    <row r="350" spans="2:9">
      <c r="B350" s="677">
        <v>98462</v>
      </c>
      <c r="C350" s="733" t="s">
        <v>7244</v>
      </c>
      <c r="D350" s="677" t="s">
        <v>22</v>
      </c>
      <c r="E350" s="738">
        <f t="shared" si="10"/>
        <v>7722.82</v>
      </c>
      <c r="F350">
        <f t="shared" si="11"/>
        <v>98462</v>
      </c>
      <c r="H350" s="1405">
        <v>7683.54</v>
      </c>
      <c r="I350" s="1405">
        <v>7722.82</v>
      </c>
    </row>
    <row r="351" spans="2:9" ht="30">
      <c r="B351" s="1477">
        <v>104893</v>
      </c>
      <c r="C351" s="740" t="s">
        <v>14515</v>
      </c>
      <c r="D351" s="739" t="s">
        <v>0</v>
      </c>
      <c r="E351" s="741">
        <f t="shared" si="10"/>
        <v>1193.46</v>
      </c>
      <c r="F351">
        <f t="shared" si="11"/>
        <v>104893</v>
      </c>
      <c r="H351" s="1406">
        <v>1160.75</v>
      </c>
      <c r="I351" s="1406">
        <v>1193.46</v>
      </c>
    </row>
    <row r="352" spans="2:9" ht="30">
      <c r="B352" s="677">
        <v>104894</v>
      </c>
      <c r="C352" s="733" t="s">
        <v>14516</v>
      </c>
      <c r="D352" s="677" t="s">
        <v>0</v>
      </c>
      <c r="E352" s="738">
        <f t="shared" si="10"/>
        <v>1111.76</v>
      </c>
      <c r="F352">
        <f t="shared" si="11"/>
        <v>104894</v>
      </c>
      <c r="H352" s="1405">
        <v>1080.9000000000001</v>
      </c>
      <c r="I352" s="1405">
        <v>1111.76</v>
      </c>
    </row>
    <row r="353" spans="2:9" ht="30">
      <c r="B353" s="1477">
        <v>104895</v>
      </c>
      <c r="C353" s="740" t="s">
        <v>14517</v>
      </c>
      <c r="D353" s="739" t="s">
        <v>0</v>
      </c>
      <c r="E353" s="741">
        <f t="shared" si="10"/>
        <v>723.64</v>
      </c>
      <c r="F353">
        <f t="shared" si="11"/>
        <v>104895</v>
      </c>
      <c r="H353" s="1406">
        <v>705.11</v>
      </c>
      <c r="I353" s="1406">
        <v>723.64</v>
      </c>
    </row>
    <row r="354" spans="2:9" ht="30">
      <c r="B354" s="677">
        <v>104896</v>
      </c>
      <c r="C354" s="733" t="s">
        <v>14518</v>
      </c>
      <c r="D354" s="677" t="s">
        <v>0</v>
      </c>
      <c r="E354" s="738">
        <f t="shared" si="10"/>
        <v>737.57</v>
      </c>
      <c r="F354">
        <f t="shared" si="11"/>
        <v>104896</v>
      </c>
      <c r="H354" s="1405">
        <v>717.58</v>
      </c>
      <c r="I354" s="1405">
        <v>737.57</v>
      </c>
    </row>
    <row r="355" spans="2:9" ht="30">
      <c r="B355" s="1477">
        <v>104897</v>
      </c>
      <c r="C355" s="740" t="s">
        <v>14519</v>
      </c>
      <c r="D355" s="739" t="s">
        <v>0</v>
      </c>
      <c r="E355" s="741">
        <f t="shared" si="10"/>
        <v>1023.02</v>
      </c>
      <c r="F355">
        <f t="shared" si="11"/>
        <v>104897</v>
      </c>
      <c r="H355" s="1406">
        <v>994.3</v>
      </c>
      <c r="I355" s="1406">
        <v>1023.02</v>
      </c>
    </row>
    <row r="356" spans="2:9" ht="30">
      <c r="B356" s="677">
        <v>104898</v>
      </c>
      <c r="C356" s="733" t="s">
        <v>14520</v>
      </c>
      <c r="D356" s="677" t="s">
        <v>0</v>
      </c>
      <c r="E356" s="738">
        <f t="shared" si="10"/>
        <v>1388.16</v>
      </c>
      <c r="F356">
        <f t="shared" si="11"/>
        <v>104898</v>
      </c>
      <c r="H356" s="1405">
        <v>1351</v>
      </c>
      <c r="I356" s="1405">
        <v>1388.16</v>
      </c>
    </row>
    <row r="357" spans="2:9" ht="30">
      <c r="B357" s="1477">
        <v>104899</v>
      </c>
      <c r="C357" s="740" t="s">
        <v>14521</v>
      </c>
      <c r="D357" s="739" t="s">
        <v>22</v>
      </c>
      <c r="E357" s="741">
        <f t="shared" si="10"/>
        <v>4303.8999999999996</v>
      </c>
      <c r="F357">
        <f t="shared" si="11"/>
        <v>104899</v>
      </c>
      <c r="H357" s="1406">
        <v>4272.57</v>
      </c>
      <c r="I357" s="1406">
        <v>4303.8999999999996</v>
      </c>
    </row>
    <row r="358" spans="2:9" ht="30">
      <c r="B358" s="677">
        <v>104900</v>
      </c>
      <c r="C358" s="733" t="s">
        <v>14522</v>
      </c>
      <c r="D358" s="677" t="s">
        <v>22</v>
      </c>
      <c r="E358" s="738">
        <f t="shared" si="10"/>
        <v>9201.4599999999991</v>
      </c>
      <c r="F358">
        <f t="shared" si="11"/>
        <v>104900</v>
      </c>
      <c r="H358" s="1405">
        <v>9147.81</v>
      </c>
      <c r="I358" s="1405">
        <v>9201.4599999999991</v>
      </c>
    </row>
    <row r="359" spans="2:9" ht="30">
      <c r="B359" s="1477">
        <v>104901</v>
      </c>
      <c r="C359" s="740" t="s">
        <v>14523</v>
      </c>
      <c r="D359" s="739" t="s">
        <v>0</v>
      </c>
      <c r="E359" s="741">
        <f t="shared" si="10"/>
        <v>793.93</v>
      </c>
      <c r="F359">
        <f t="shared" si="11"/>
        <v>104901</v>
      </c>
      <c r="H359" s="1406">
        <v>773.01</v>
      </c>
      <c r="I359" s="1406">
        <v>793.93</v>
      </c>
    </row>
    <row r="360" spans="2:9" ht="30">
      <c r="B360" s="677">
        <v>104902</v>
      </c>
      <c r="C360" s="733" t="s">
        <v>14524</v>
      </c>
      <c r="D360" s="677" t="s">
        <v>0</v>
      </c>
      <c r="E360" s="738">
        <f t="shared" si="10"/>
        <v>782.77</v>
      </c>
      <c r="F360">
        <f t="shared" si="11"/>
        <v>104902</v>
      </c>
      <c r="H360" s="1405">
        <v>761.5</v>
      </c>
      <c r="I360" s="1405">
        <v>782.77</v>
      </c>
    </row>
    <row r="361" spans="2:9" ht="30">
      <c r="B361" s="1477">
        <v>5631</v>
      </c>
      <c r="C361" s="740" t="s">
        <v>761</v>
      </c>
      <c r="D361" s="739" t="s">
        <v>28</v>
      </c>
      <c r="E361" s="741">
        <f t="shared" si="10"/>
        <v>202.97</v>
      </c>
      <c r="F361">
        <f t="shared" si="11"/>
        <v>5631</v>
      </c>
      <c r="H361" s="1406">
        <v>200.33</v>
      </c>
      <c r="I361" s="1406">
        <v>202.97</v>
      </c>
    </row>
    <row r="362" spans="2:9" ht="45">
      <c r="B362" s="677">
        <v>5678</v>
      </c>
      <c r="C362" s="733" t="s">
        <v>762</v>
      </c>
      <c r="D362" s="677" t="s">
        <v>28</v>
      </c>
      <c r="E362" s="738">
        <f t="shared" si="10"/>
        <v>134.63999999999999</v>
      </c>
      <c r="F362">
        <f t="shared" si="11"/>
        <v>5678</v>
      </c>
      <c r="H362" s="1405">
        <v>132</v>
      </c>
      <c r="I362" s="1405">
        <v>134.63999999999999</v>
      </c>
    </row>
    <row r="363" spans="2:9" ht="45">
      <c r="B363" s="1477">
        <v>5680</v>
      </c>
      <c r="C363" s="740" t="s">
        <v>763</v>
      </c>
      <c r="D363" s="739" t="s">
        <v>28</v>
      </c>
      <c r="E363" s="741">
        <f t="shared" si="10"/>
        <v>122.85</v>
      </c>
      <c r="F363">
        <f t="shared" si="11"/>
        <v>5680</v>
      </c>
      <c r="H363" s="1406">
        <v>120.21</v>
      </c>
      <c r="I363" s="1406">
        <v>122.85</v>
      </c>
    </row>
    <row r="364" spans="2:9" ht="30">
      <c r="B364" s="677">
        <v>5684</v>
      </c>
      <c r="C364" s="733" t="s">
        <v>764</v>
      </c>
      <c r="D364" s="677" t="s">
        <v>28</v>
      </c>
      <c r="E364" s="738">
        <f t="shared" si="10"/>
        <v>158.21</v>
      </c>
      <c r="F364">
        <f t="shared" si="11"/>
        <v>5684</v>
      </c>
      <c r="H364" s="1405">
        <v>155.97</v>
      </c>
      <c r="I364" s="1405">
        <v>158.21</v>
      </c>
    </row>
    <row r="365" spans="2:9" ht="30">
      <c r="B365" s="1477">
        <v>5689</v>
      </c>
      <c r="C365" s="740" t="s">
        <v>199</v>
      </c>
      <c r="D365" s="739" t="s">
        <v>28</v>
      </c>
      <c r="E365" s="741">
        <f t="shared" si="10"/>
        <v>6.57</v>
      </c>
      <c r="F365">
        <f t="shared" si="11"/>
        <v>5689</v>
      </c>
      <c r="H365" s="1406">
        <v>6.57</v>
      </c>
      <c r="I365" s="1406">
        <v>6.57</v>
      </c>
    </row>
    <row r="366" spans="2:9">
      <c r="B366" s="677">
        <v>5795</v>
      </c>
      <c r="C366" s="733" t="s">
        <v>414</v>
      </c>
      <c r="D366" s="677" t="s">
        <v>28</v>
      </c>
      <c r="E366" s="738">
        <f t="shared" si="10"/>
        <v>23.12</v>
      </c>
      <c r="F366">
        <f t="shared" si="11"/>
        <v>5795</v>
      </c>
      <c r="H366" s="1405">
        <v>21.16</v>
      </c>
      <c r="I366" s="1405">
        <v>23.12</v>
      </c>
    </row>
    <row r="367" spans="2:9" ht="30">
      <c r="B367" s="1477">
        <v>5811</v>
      </c>
      <c r="C367" s="740" t="s">
        <v>765</v>
      </c>
      <c r="D367" s="739" t="s">
        <v>28</v>
      </c>
      <c r="E367" s="741">
        <f t="shared" si="10"/>
        <v>205.02</v>
      </c>
      <c r="F367">
        <f t="shared" si="11"/>
        <v>5811</v>
      </c>
      <c r="H367" s="1406">
        <v>201.51</v>
      </c>
      <c r="I367" s="1406">
        <v>205.02</v>
      </c>
    </row>
    <row r="368" spans="2:9">
      <c r="B368" s="677">
        <v>5823</v>
      </c>
      <c r="C368" s="733" t="s">
        <v>415</v>
      </c>
      <c r="D368" s="677" t="s">
        <v>28</v>
      </c>
      <c r="E368" s="738">
        <f t="shared" si="10"/>
        <v>213.74</v>
      </c>
      <c r="F368">
        <f t="shared" si="11"/>
        <v>5823</v>
      </c>
      <c r="H368" s="1405">
        <v>202.58</v>
      </c>
      <c r="I368" s="1405">
        <v>213.74</v>
      </c>
    </row>
    <row r="369" spans="2:9" ht="30">
      <c r="B369" s="1477">
        <v>5824</v>
      </c>
      <c r="C369" s="740" t="s">
        <v>766</v>
      </c>
      <c r="D369" s="739" t="s">
        <v>28</v>
      </c>
      <c r="E369" s="741">
        <f t="shared" si="10"/>
        <v>216.8</v>
      </c>
      <c r="F369">
        <f t="shared" si="11"/>
        <v>5824</v>
      </c>
      <c r="H369" s="1406">
        <v>213.42</v>
      </c>
      <c r="I369" s="1406">
        <v>216.8</v>
      </c>
    </row>
    <row r="370" spans="2:9" ht="30">
      <c r="B370" s="677">
        <v>5835</v>
      </c>
      <c r="C370" s="733" t="s">
        <v>767</v>
      </c>
      <c r="D370" s="677" t="s">
        <v>28</v>
      </c>
      <c r="E370" s="738">
        <f t="shared" si="10"/>
        <v>335.96</v>
      </c>
      <c r="F370">
        <f t="shared" si="11"/>
        <v>5835</v>
      </c>
      <c r="H370" s="1405">
        <v>333.7</v>
      </c>
      <c r="I370" s="1405">
        <v>335.96</v>
      </c>
    </row>
    <row r="371" spans="2:9">
      <c r="B371" s="1477">
        <v>5839</v>
      </c>
      <c r="C371" s="740" t="s">
        <v>768</v>
      </c>
      <c r="D371" s="739" t="s">
        <v>28</v>
      </c>
      <c r="E371" s="741">
        <f t="shared" si="10"/>
        <v>9.6999999999999993</v>
      </c>
      <c r="F371">
        <f t="shared" si="11"/>
        <v>5839</v>
      </c>
      <c r="H371" s="1406">
        <v>9.6999999999999993</v>
      </c>
      <c r="I371" s="1406">
        <v>9.6999999999999993</v>
      </c>
    </row>
    <row r="372" spans="2:9">
      <c r="B372" s="677">
        <v>5843</v>
      </c>
      <c r="C372" s="733" t="s">
        <v>200</v>
      </c>
      <c r="D372" s="677" t="s">
        <v>28</v>
      </c>
      <c r="E372" s="738">
        <f t="shared" si="10"/>
        <v>161.01</v>
      </c>
      <c r="F372">
        <f t="shared" si="11"/>
        <v>5843</v>
      </c>
      <c r="H372" s="1405">
        <v>158.69</v>
      </c>
      <c r="I372" s="1405">
        <v>161.01</v>
      </c>
    </row>
    <row r="373" spans="2:9">
      <c r="B373" s="1477">
        <v>5847</v>
      </c>
      <c r="C373" s="740" t="s">
        <v>769</v>
      </c>
      <c r="D373" s="739" t="s">
        <v>28</v>
      </c>
      <c r="E373" s="741">
        <f t="shared" si="10"/>
        <v>250.04</v>
      </c>
      <c r="F373">
        <f t="shared" si="11"/>
        <v>5847</v>
      </c>
      <c r="H373" s="1406">
        <v>247.72</v>
      </c>
      <c r="I373" s="1406">
        <v>250.04</v>
      </c>
    </row>
    <row r="374" spans="2:9" ht="30">
      <c r="B374" s="677">
        <v>5851</v>
      </c>
      <c r="C374" s="733" t="s">
        <v>29</v>
      </c>
      <c r="D374" s="677" t="s">
        <v>28</v>
      </c>
      <c r="E374" s="738">
        <f t="shared" si="10"/>
        <v>238.49</v>
      </c>
      <c r="F374">
        <f t="shared" si="11"/>
        <v>5851</v>
      </c>
      <c r="H374" s="1405">
        <v>236.17</v>
      </c>
      <c r="I374" s="1405">
        <v>238.49</v>
      </c>
    </row>
    <row r="375" spans="2:9">
      <c r="B375" s="1477">
        <v>5855</v>
      </c>
      <c r="C375" s="740" t="s">
        <v>770</v>
      </c>
      <c r="D375" s="739" t="s">
        <v>28</v>
      </c>
      <c r="E375" s="741">
        <f t="shared" si="10"/>
        <v>642.95000000000005</v>
      </c>
      <c r="F375">
        <f t="shared" si="11"/>
        <v>5855</v>
      </c>
      <c r="H375" s="1406">
        <v>640.63</v>
      </c>
      <c r="I375" s="1406">
        <v>642.95000000000005</v>
      </c>
    </row>
    <row r="376" spans="2:9" ht="30">
      <c r="B376" s="677">
        <v>5863</v>
      </c>
      <c r="C376" s="733" t="s">
        <v>771</v>
      </c>
      <c r="D376" s="677" t="s">
        <v>28</v>
      </c>
      <c r="E376" s="738">
        <f t="shared" si="10"/>
        <v>24.36</v>
      </c>
      <c r="F376">
        <f t="shared" si="11"/>
        <v>5863</v>
      </c>
      <c r="H376" s="1405">
        <v>24.36</v>
      </c>
      <c r="I376" s="1405">
        <v>24.36</v>
      </c>
    </row>
    <row r="377" spans="2:9" ht="30">
      <c r="B377" s="1477">
        <v>5867</v>
      </c>
      <c r="C377" s="740" t="s">
        <v>772</v>
      </c>
      <c r="D377" s="739" t="s">
        <v>28</v>
      </c>
      <c r="E377" s="741">
        <f t="shared" si="10"/>
        <v>160.61000000000001</v>
      </c>
      <c r="F377">
        <f t="shared" si="11"/>
        <v>5867</v>
      </c>
      <c r="H377" s="1406">
        <v>158.37</v>
      </c>
      <c r="I377" s="1406">
        <v>160.61000000000001</v>
      </c>
    </row>
    <row r="378" spans="2:9" ht="45">
      <c r="B378" s="677">
        <v>5875</v>
      </c>
      <c r="C378" s="733" t="s">
        <v>773</v>
      </c>
      <c r="D378" s="677" t="s">
        <v>28</v>
      </c>
      <c r="E378" s="738">
        <f t="shared" si="10"/>
        <v>123.39</v>
      </c>
      <c r="F378">
        <f t="shared" si="11"/>
        <v>5875</v>
      </c>
      <c r="H378" s="1405">
        <v>120.75</v>
      </c>
      <c r="I378" s="1405">
        <v>123.39</v>
      </c>
    </row>
    <row r="379" spans="2:9" ht="30">
      <c r="B379" s="1477">
        <v>5879</v>
      </c>
      <c r="C379" s="740" t="s">
        <v>774</v>
      </c>
      <c r="D379" s="739" t="s">
        <v>28</v>
      </c>
      <c r="E379" s="741">
        <f t="shared" si="10"/>
        <v>143.35</v>
      </c>
      <c r="F379">
        <f t="shared" si="11"/>
        <v>5879</v>
      </c>
      <c r="H379" s="1406">
        <v>141.11000000000001</v>
      </c>
      <c r="I379" s="1406">
        <v>143.35</v>
      </c>
    </row>
    <row r="380" spans="2:9" ht="30">
      <c r="B380" s="677">
        <v>5882</v>
      </c>
      <c r="C380" s="733" t="s">
        <v>775</v>
      </c>
      <c r="D380" s="677" t="s">
        <v>28</v>
      </c>
      <c r="E380" s="738">
        <f t="shared" si="10"/>
        <v>122.45</v>
      </c>
      <c r="F380">
        <f t="shared" si="11"/>
        <v>5882</v>
      </c>
      <c r="H380" s="1405">
        <v>120.47</v>
      </c>
      <c r="I380" s="1405">
        <v>122.45</v>
      </c>
    </row>
    <row r="381" spans="2:9" ht="30">
      <c r="B381" s="1477">
        <v>5890</v>
      </c>
      <c r="C381" s="740" t="s">
        <v>201</v>
      </c>
      <c r="D381" s="739" t="s">
        <v>28</v>
      </c>
      <c r="E381" s="741">
        <f t="shared" si="10"/>
        <v>204.15</v>
      </c>
      <c r="F381">
        <f t="shared" si="11"/>
        <v>5890</v>
      </c>
      <c r="H381" s="1406">
        <v>200.77</v>
      </c>
      <c r="I381" s="1406">
        <v>204.15</v>
      </c>
    </row>
    <row r="382" spans="2:9" ht="30">
      <c r="B382" s="677">
        <v>5894</v>
      </c>
      <c r="C382" s="733" t="s">
        <v>776</v>
      </c>
      <c r="D382" s="677" t="s">
        <v>28</v>
      </c>
      <c r="E382" s="738">
        <f t="shared" si="10"/>
        <v>212.65</v>
      </c>
      <c r="F382">
        <f t="shared" si="11"/>
        <v>5894</v>
      </c>
      <c r="H382" s="1405">
        <v>209.27</v>
      </c>
      <c r="I382" s="1405">
        <v>212.65</v>
      </c>
    </row>
    <row r="383" spans="2:9" ht="30">
      <c r="B383" s="1477">
        <v>5901</v>
      </c>
      <c r="C383" s="740" t="s">
        <v>777</v>
      </c>
      <c r="D383" s="739" t="s">
        <v>28</v>
      </c>
      <c r="E383" s="741">
        <f t="shared" si="10"/>
        <v>317.14</v>
      </c>
      <c r="F383">
        <f t="shared" si="11"/>
        <v>5901</v>
      </c>
      <c r="H383" s="1406">
        <v>313.76</v>
      </c>
      <c r="I383" s="1406">
        <v>317.14</v>
      </c>
    </row>
    <row r="384" spans="2:9" ht="30">
      <c r="B384" s="677">
        <v>5909</v>
      </c>
      <c r="C384" s="733" t="s">
        <v>202</v>
      </c>
      <c r="D384" s="677" t="s">
        <v>28</v>
      </c>
      <c r="E384" s="738">
        <f t="shared" si="10"/>
        <v>32.869999999999997</v>
      </c>
      <c r="F384">
        <f t="shared" si="11"/>
        <v>5909</v>
      </c>
      <c r="H384" s="1405">
        <v>30.89</v>
      </c>
      <c r="I384" s="1405">
        <v>32.869999999999997</v>
      </c>
    </row>
    <row r="385" spans="2:9">
      <c r="B385" s="1477">
        <v>5921</v>
      </c>
      <c r="C385" s="740" t="s">
        <v>778</v>
      </c>
      <c r="D385" s="739" t="s">
        <v>28</v>
      </c>
      <c r="E385" s="741">
        <f t="shared" si="10"/>
        <v>5.15</v>
      </c>
      <c r="F385">
        <f t="shared" si="11"/>
        <v>5921</v>
      </c>
      <c r="H385" s="1406">
        <v>5.15</v>
      </c>
      <c r="I385" s="1406">
        <v>5.15</v>
      </c>
    </row>
    <row r="386" spans="2:9" ht="30">
      <c r="B386" s="677">
        <v>5928</v>
      </c>
      <c r="C386" s="733" t="s">
        <v>779</v>
      </c>
      <c r="D386" s="677" t="s">
        <v>28</v>
      </c>
      <c r="E386" s="738">
        <f t="shared" si="10"/>
        <v>277.38</v>
      </c>
      <c r="F386">
        <f t="shared" si="11"/>
        <v>5928</v>
      </c>
      <c r="H386" s="1405">
        <v>273.52999999999997</v>
      </c>
      <c r="I386" s="1405">
        <v>277.38</v>
      </c>
    </row>
    <row r="387" spans="2:9" ht="30">
      <c r="B387" s="1477">
        <v>5932</v>
      </c>
      <c r="C387" s="740" t="s">
        <v>30</v>
      </c>
      <c r="D387" s="739" t="s">
        <v>28</v>
      </c>
      <c r="E387" s="741">
        <f t="shared" ref="E387:E450" si="12">IF($K$2=$H$1,H387,I387)</f>
        <v>242.61</v>
      </c>
      <c r="F387">
        <f t="shared" ref="F387:F450" si="13">IF(LEN($B387)=7,CONCATENATE(MID($B387,1,6),"00",RIGHT($B387,1)),IF(LEN($B387)=8,CONCATENATE(MID($B387,1,6),"0",RIGHT($B387,2)),$B387))</f>
        <v>5932</v>
      </c>
      <c r="H387" s="1406">
        <v>239.37</v>
      </c>
      <c r="I387" s="1406">
        <v>242.61</v>
      </c>
    </row>
    <row r="388" spans="2:9" ht="30">
      <c r="B388" s="677">
        <v>5940</v>
      </c>
      <c r="C388" s="733" t="s">
        <v>780</v>
      </c>
      <c r="D388" s="677" t="s">
        <v>28</v>
      </c>
      <c r="E388" s="738">
        <f t="shared" si="12"/>
        <v>175.68</v>
      </c>
      <c r="F388">
        <f t="shared" si="13"/>
        <v>5940</v>
      </c>
      <c r="H388" s="1405">
        <v>173.42</v>
      </c>
      <c r="I388" s="1405">
        <v>175.68</v>
      </c>
    </row>
    <row r="389" spans="2:9" ht="30">
      <c r="B389" s="1477">
        <v>5944</v>
      </c>
      <c r="C389" s="740" t="s">
        <v>781</v>
      </c>
      <c r="D389" s="739" t="s">
        <v>28</v>
      </c>
      <c r="E389" s="741">
        <f t="shared" si="12"/>
        <v>215.58</v>
      </c>
      <c r="F389">
        <f t="shared" si="13"/>
        <v>5944</v>
      </c>
      <c r="H389" s="1406">
        <v>213.32</v>
      </c>
      <c r="I389" s="1406">
        <v>215.58</v>
      </c>
    </row>
    <row r="390" spans="2:9" ht="30">
      <c r="B390" s="677">
        <v>5953</v>
      </c>
      <c r="C390" s="733" t="s">
        <v>203</v>
      </c>
      <c r="D390" s="677" t="s">
        <v>28</v>
      </c>
      <c r="E390" s="738">
        <f t="shared" si="12"/>
        <v>59.43</v>
      </c>
      <c r="F390">
        <f t="shared" si="13"/>
        <v>5953</v>
      </c>
      <c r="H390" s="1405">
        <v>59.43</v>
      </c>
      <c r="I390" s="1405">
        <v>59.43</v>
      </c>
    </row>
    <row r="391" spans="2:9" ht="30">
      <c r="B391" s="1477">
        <v>6259</v>
      </c>
      <c r="C391" s="740" t="s">
        <v>782</v>
      </c>
      <c r="D391" s="739" t="s">
        <v>28</v>
      </c>
      <c r="E391" s="741">
        <f t="shared" si="12"/>
        <v>255.55</v>
      </c>
      <c r="F391">
        <f t="shared" si="13"/>
        <v>6259</v>
      </c>
      <c r="H391" s="1406">
        <v>252.17</v>
      </c>
      <c r="I391" s="1406">
        <v>255.55</v>
      </c>
    </row>
    <row r="392" spans="2:9" ht="30">
      <c r="B392" s="677">
        <v>6879</v>
      </c>
      <c r="C392" s="733" t="s">
        <v>783</v>
      </c>
      <c r="D392" s="677" t="s">
        <v>28</v>
      </c>
      <c r="E392" s="738">
        <f t="shared" si="12"/>
        <v>210.87</v>
      </c>
      <c r="F392">
        <f t="shared" si="13"/>
        <v>6879</v>
      </c>
      <c r="H392" s="1405">
        <v>208.63</v>
      </c>
      <c r="I392" s="1405">
        <v>210.87</v>
      </c>
    </row>
    <row r="393" spans="2:9">
      <c r="B393" s="1477">
        <v>7030</v>
      </c>
      <c r="C393" s="740" t="s">
        <v>7877</v>
      </c>
      <c r="D393" s="739" t="s">
        <v>28</v>
      </c>
      <c r="E393" s="741">
        <f t="shared" si="12"/>
        <v>264.02</v>
      </c>
      <c r="F393">
        <f t="shared" si="13"/>
        <v>7030</v>
      </c>
      <c r="H393" s="1406">
        <v>264.02</v>
      </c>
      <c r="I393" s="1406">
        <v>264.02</v>
      </c>
    </row>
    <row r="394" spans="2:9" ht="30">
      <c r="B394" s="677">
        <v>7042</v>
      </c>
      <c r="C394" s="733" t="s">
        <v>784</v>
      </c>
      <c r="D394" s="677" t="s">
        <v>28</v>
      </c>
      <c r="E394" s="738">
        <f t="shared" si="12"/>
        <v>23.16</v>
      </c>
      <c r="F394">
        <f t="shared" si="13"/>
        <v>7042</v>
      </c>
      <c r="H394" s="1405">
        <v>23.16</v>
      </c>
      <c r="I394" s="1405">
        <v>23.16</v>
      </c>
    </row>
    <row r="395" spans="2:9" ht="30">
      <c r="B395" s="1477">
        <v>7049</v>
      </c>
      <c r="C395" s="740" t="s">
        <v>785</v>
      </c>
      <c r="D395" s="739" t="s">
        <v>28</v>
      </c>
      <c r="E395" s="741">
        <f t="shared" si="12"/>
        <v>221.12</v>
      </c>
      <c r="F395">
        <f t="shared" si="13"/>
        <v>7049</v>
      </c>
      <c r="H395" s="1406">
        <v>218.88</v>
      </c>
      <c r="I395" s="1406">
        <v>221.12</v>
      </c>
    </row>
    <row r="396" spans="2:9" ht="30">
      <c r="B396" s="677">
        <v>67826</v>
      </c>
      <c r="C396" s="733" t="s">
        <v>786</v>
      </c>
      <c r="D396" s="677" t="s">
        <v>28</v>
      </c>
      <c r="E396" s="738">
        <f t="shared" si="12"/>
        <v>188.17</v>
      </c>
      <c r="F396">
        <f t="shared" si="13"/>
        <v>67826</v>
      </c>
      <c r="H396" s="1405">
        <v>184.66</v>
      </c>
      <c r="I396" s="1405">
        <v>188.17</v>
      </c>
    </row>
    <row r="397" spans="2:9">
      <c r="B397" s="1477">
        <v>73417</v>
      </c>
      <c r="C397" s="740" t="s">
        <v>787</v>
      </c>
      <c r="D397" s="739" t="s">
        <v>28</v>
      </c>
      <c r="E397" s="741">
        <f t="shared" si="12"/>
        <v>188.87</v>
      </c>
      <c r="F397">
        <f t="shared" si="13"/>
        <v>73417</v>
      </c>
      <c r="H397" s="1406">
        <v>188.87</v>
      </c>
      <c r="I397" s="1406">
        <v>188.87</v>
      </c>
    </row>
    <row r="398" spans="2:9" ht="30">
      <c r="B398" s="677">
        <v>73436</v>
      </c>
      <c r="C398" s="733" t="s">
        <v>204</v>
      </c>
      <c r="D398" s="677" t="s">
        <v>28</v>
      </c>
      <c r="E398" s="738">
        <f t="shared" si="12"/>
        <v>161.49</v>
      </c>
      <c r="F398">
        <f t="shared" si="13"/>
        <v>73436</v>
      </c>
      <c r="H398" s="1405">
        <v>159.25</v>
      </c>
      <c r="I398" s="1405">
        <v>161.49</v>
      </c>
    </row>
    <row r="399" spans="2:9" ht="30">
      <c r="B399" s="1477">
        <v>73467</v>
      </c>
      <c r="C399" s="740" t="s">
        <v>788</v>
      </c>
      <c r="D399" s="739" t="s">
        <v>28</v>
      </c>
      <c r="E399" s="741">
        <f t="shared" si="12"/>
        <v>248.13</v>
      </c>
      <c r="F399">
        <f t="shared" si="13"/>
        <v>73467</v>
      </c>
      <c r="H399" s="1406">
        <v>244.75</v>
      </c>
      <c r="I399" s="1406">
        <v>248.13</v>
      </c>
    </row>
    <row r="400" spans="2:9" ht="30">
      <c r="B400" s="677">
        <v>73536</v>
      </c>
      <c r="C400" s="733" t="s">
        <v>789</v>
      </c>
      <c r="D400" s="677" t="s">
        <v>28</v>
      </c>
      <c r="E400" s="738">
        <f t="shared" si="12"/>
        <v>19.600000000000001</v>
      </c>
      <c r="F400">
        <f t="shared" si="13"/>
        <v>73536</v>
      </c>
      <c r="H400" s="1405">
        <v>19.600000000000001</v>
      </c>
      <c r="I400" s="1405">
        <v>19.600000000000001</v>
      </c>
    </row>
    <row r="401" spans="2:9" ht="30">
      <c r="B401" s="1477">
        <v>83362</v>
      </c>
      <c r="C401" s="740" t="s">
        <v>7878</v>
      </c>
      <c r="D401" s="739" t="s">
        <v>28</v>
      </c>
      <c r="E401" s="741">
        <f t="shared" si="12"/>
        <v>274.87</v>
      </c>
      <c r="F401">
        <f t="shared" si="13"/>
        <v>83362</v>
      </c>
      <c r="H401" s="1406">
        <v>271.49</v>
      </c>
      <c r="I401" s="1406">
        <v>274.87</v>
      </c>
    </row>
    <row r="402" spans="2:9" ht="30">
      <c r="B402" s="677">
        <v>83765</v>
      </c>
      <c r="C402" s="733" t="s">
        <v>790</v>
      </c>
      <c r="D402" s="677" t="s">
        <v>28</v>
      </c>
      <c r="E402" s="738">
        <f t="shared" si="12"/>
        <v>97.14</v>
      </c>
      <c r="F402">
        <f t="shared" si="13"/>
        <v>83765</v>
      </c>
      <c r="H402" s="1405">
        <v>94.5</v>
      </c>
      <c r="I402" s="1405">
        <v>97.14</v>
      </c>
    </row>
    <row r="403" spans="2:9" ht="30">
      <c r="B403" s="1477">
        <v>87445</v>
      </c>
      <c r="C403" s="740" t="s">
        <v>7879</v>
      </c>
      <c r="D403" s="739" t="s">
        <v>28</v>
      </c>
      <c r="E403" s="741">
        <f t="shared" si="12"/>
        <v>5.33</v>
      </c>
      <c r="F403">
        <f t="shared" si="13"/>
        <v>87445</v>
      </c>
      <c r="H403" s="1406">
        <v>5.33</v>
      </c>
      <c r="I403" s="1406">
        <v>5.33</v>
      </c>
    </row>
    <row r="404" spans="2:9" ht="30">
      <c r="B404" s="677">
        <v>88386</v>
      </c>
      <c r="C404" s="733" t="s">
        <v>7880</v>
      </c>
      <c r="D404" s="677" t="s">
        <v>28</v>
      </c>
      <c r="E404" s="738">
        <f t="shared" si="12"/>
        <v>5.46</v>
      </c>
      <c r="F404">
        <f t="shared" si="13"/>
        <v>88386</v>
      </c>
      <c r="H404" s="1405">
        <v>5.46</v>
      </c>
      <c r="I404" s="1405">
        <v>5.46</v>
      </c>
    </row>
    <row r="405" spans="2:9" ht="30">
      <c r="B405" s="1477">
        <v>88393</v>
      </c>
      <c r="C405" s="740" t="s">
        <v>7881</v>
      </c>
      <c r="D405" s="739" t="s">
        <v>28</v>
      </c>
      <c r="E405" s="741">
        <f t="shared" si="12"/>
        <v>7.54</v>
      </c>
      <c r="F405">
        <f t="shared" si="13"/>
        <v>88393</v>
      </c>
      <c r="H405" s="1406">
        <v>7.54</v>
      </c>
      <c r="I405" s="1406">
        <v>7.54</v>
      </c>
    </row>
    <row r="406" spans="2:9" ht="30">
      <c r="B406" s="677">
        <v>88399</v>
      </c>
      <c r="C406" s="733" t="s">
        <v>7882</v>
      </c>
      <c r="D406" s="677" t="s">
        <v>28</v>
      </c>
      <c r="E406" s="738">
        <f t="shared" si="12"/>
        <v>4</v>
      </c>
      <c r="F406">
        <f t="shared" si="13"/>
        <v>88399</v>
      </c>
      <c r="H406" s="1405">
        <v>4</v>
      </c>
      <c r="I406" s="1405">
        <v>4</v>
      </c>
    </row>
    <row r="407" spans="2:9" ht="30">
      <c r="B407" s="1477">
        <v>88418</v>
      </c>
      <c r="C407" s="740" t="s">
        <v>205</v>
      </c>
      <c r="D407" s="739" t="s">
        <v>28</v>
      </c>
      <c r="E407" s="741">
        <f t="shared" si="12"/>
        <v>15.5</v>
      </c>
      <c r="F407">
        <f t="shared" si="13"/>
        <v>88418</v>
      </c>
      <c r="H407" s="1406">
        <v>15.5</v>
      </c>
      <c r="I407" s="1406">
        <v>15.5</v>
      </c>
    </row>
    <row r="408" spans="2:9" ht="30">
      <c r="B408" s="677">
        <v>88433</v>
      </c>
      <c r="C408" s="733" t="s">
        <v>791</v>
      </c>
      <c r="D408" s="677" t="s">
        <v>28</v>
      </c>
      <c r="E408" s="738">
        <f t="shared" si="12"/>
        <v>20.18</v>
      </c>
      <c r="F408">
        <f t="shared" si="13"/>
        <v>88433</v>
      </c>
      <c r="H408" s="1405">
        <v>20.18</v>
      </c>
      <c r="I408" s="1405">
        <v>20.18</v>
      </c>
    </row>
    <row r="409" spans="2:9" ht="30">
      <c r="B409" s="1477">
        <v>88830</v>
      </c>
      <c r="C409" s="740" t="s">
        <v>7883</v>
      </c>
      <c r="D409" s="739" t="s">
        <v>28</v>
      </c>
      <c r="E409" s="741">
        <f t="shared" si="12"/>
        <v>2.12</v>
      </c>
      <c r="F409">
        <f t="shared" si="13"/>
        <v>88830</v>
      </c>
      <c r="H409" s="1406">
        <v>2.12</v>
      </c>
      <c r="I409" s="1406">
        <v>2.12</v>
      </c>
    </row>
    <row r="410" spans="2:9">
      <c r="B410" s="677">
        <v>88843</v>
      </c>
      <c r="C410" s="733" t="s">
        <v>792</v>
      </c>
      <c r="D410" s="677" t="s">
        <v>28</v>
      </c>
      <c r="E410" s="738">
        <f t="shared" si="12"/>
        <v>199.14</v>
      </c>
      <c r="F410">
        <f t="shared" si="13"/>
        <v>88843</v>
      </c>
      <c r="H410" s="1405">
        <v>196.82</v>
      </c>
      <c r="I410" s="1405">
        <v>199.14</v>
      </c>
    </row>
    <row r="411" spans="2:9" ht="30">
      <c r="B411" s="1477">
        <v>88907</v>
      </c>
      <c r="C411" s="740" t="s">
        <v>793</v>
      </c>
      <c r="D411" s="739" t="s">
        <v>28</v>
      </c>
      <c r="E411" s="741">
        <f t="shared" si="12"/>
        <v>241.03</v>
      </c>
      <c r="F411">
        <f t="shared" si="13"/>
        <v>88907</v>
      </c>
      <c r="H411" s="1406">
        <v>238.39</v>
      </c>
      <c r="I411" s="1406">
        <v>241.03</v>
      </c>
    </row>
    <row r="412" spans="2:9" ht="30">
      <c r="B412" s="677">
        <v>89021</v>
      </c>
      <c r="C412" s="733" t="s">
        <v>794</v>
      </c>
      <c r="D412" s="677" t="s">
        <v>28</v>
      </c>
      <c r="E412" s="738">
        <f t="shared" si="12"/>
        <v>2.68</v>
      </c>
      <c r="F412">
        <f t="shared" si="13"/>
        <v>89021</v>
      </c>
      <c r="H412" s="1405">
        <v>2.68</v>
      </c>
      <c r="I412" s="1405">
        <v>2.68</v>
      </c>
    </row>
    <row r="413" spans="2:9">
      <c r="B413" s="1477">
        <v>89028</v>
      </c>
      <c r="C413" s="740" t="s">
        <v>7884</v>
      </c>
      <c r="D413" s="739" t="s">
        <v>28</v>
      </c>
      <c r="E413" s="741">
        <f t="shared" si="12"/>
        <v>177.7</v>
      </c>
      <c r="F413">
        <f t="shared" si="13"/>
        <v>89028</v>
      </c>
      <c r="H413" s="1406">
        <v>177.7</v>
      </c>
      <c r="I413" s="1406">
        <v>177.7</v>
      </c>
    </row>
    <row r="414" spans="2:9">
      <c r="B414" s="677">
        <v>89032</v>
      </c>
      <c r="C414" s="733" t="s">
        <v>795</v>
      </c>
      <c r="D414" s="677" t="s">
        <v>28</v>
      </c>
      <c r="E414" s="738">
        <f t="shared" si="12"/>
        <v>179.23</v>
      </c>
      <c r="F414">
        <f t="shared" si="13"/>
        <v>89032</v>
      </c>
      <c r="H414" s="1405">
        <v>176.91</v>
      </c>
      <c r="I414" s="1405">
        <v>179.23</v>
      </c>
    </row>
    <row r="415" spans="2:9">
      <c r="B415" s="1477">
        <v>89035</v>
      </c>
      <c r="C415" s="740" t="s">
        <v>206</v>
      </c>
      <c r="D415" s="739" t="s">
        <v>28</v>
      </c>
      <c r="E415" s="741">
        <f t="shared" si="12"/>
        <v>120.32</v>
      </c>
      <c r="F415">
        <f t="shared" si="13"/>
        <v>89035</v>
      </c>
      <c r="H415" s="1406">
        <v>118</v>
      </c>
      <c r="I415" s="1406">
        <v>120.32</v>
      </c>
    </row>
    <row r="416" spans="2:9" ht="30">
      <c r="B416" s="677">
        <v>89225</v>
      </c>
      <c r="C416" s="733" t="s">
        <v>7885</v>
      </c>
      <c r="D416" s="677" t="s">
        <v>28</v>
      </c>
      <c r="E416" s="738">
        <f t="shared" si="12"/>
        <v>5.93</v>
      </c>
      <c r="F416">
        <f t="shared" si="13"/>
        <v>89225</v>
      </c>
      <c r="H416" s="1405">
        <v>5.93</v>
      </c>
      <c r="I416" s="1405">
        <v>5.93</v>
      </c>
    </row>
    <row r="417" spans="2:9">
      <c r="B417" s="1477">
        <v>89234</v>
      </c>
      <c r="C417" s="740" t="s">
        <v>796</v>
      </c>
      <c r="D417" s="739" t="s">
        <v>28</v>
      </c>
      <c r="E417" s="741">
        <f t="shared" si="12"/>
        <v>516.34</v>
      </c>
      <c r="F417">
        <f t="shared" si="13"/>
        <v>89234</v>
      </c>
      <c r="H417" s="1406">
        <v>514.08000000000004</v>
      </c>
      <c r="I417" s="1406">
        <v>516.34</v>
      </c>
    </row>
    <row r="418" spans="2:9">
      <c r="B418" s="677">
        <v>89242</v>
      </c>
      <c r="C418" s="733" t="s">
        <v>797</v>
      </c>
      <c r="D418" s="677" t="s">
        <v>28</v>
      </c>
      <c r="E418" s="738">
        <f t="shared" si="12"/>
        <v>1228.3800000000001</v>
      </c>
      <c r="F418">
        <f t="shared" si="13"/>
        <v>89242</v>
      </c>
      <c r="H418" s="1405">
        <v>1226.1199999999999</v>
      </c>
      <c r="I418" s="1405">
        <v>1228.3800000000001</v>
      </c>
    </row>
    <row r="419" spans="2:9">
      <c r="B419" s="1477">
        <v>89250</v>
      </c>
      <c r="C419" s="740" t="s">
        <v>207</v>
      </c>
      <c r="D419" s="739" t="s">
        <v>28</v>
      </c>
      <c r="E419" s="741">
        <f t="shared" si="12"/>
        <v>1063</v>
      </c>
      <c r="F419">
        <f t="shared" si="13"/>
        <v>89250</v>
      </c>
      <c r="H419" s="1406">
        <v>1060.74</v>
      </c>
      <c r="I419" s="1406">
        <v>1063</v>
      </c>
    </row>
    <row r="420" spans="2:9" ht="30">
      <c r="B420" s="677">
        <v>89257</v>
      </c>
      <c r="C420" s="733" t="s">
        <v>798</v>
      </c>
      <c r="D420" s="677" t="s">
        <v>28</v>
      </c>
      <c r="E420" s="738">
        <f t="shared" si="12"/>
        <v>290.81</v>
      </c>
      <c r="F420">
        <f t="shared" si="13"/>
        <v>89257</v>
      </c>
      <c r="H420" s="1405">
        <v>288.55</v>
      </c>
      <c r="I420" s="1405">
        <v>290.81</v>
      </c>
    </row>
    <row r="421" spans="2:9" ht="30">
      <c r="B421" s="1477">
        <v>89272</v>
      </c>
      <c r="C421" s="740" t="s">
        <v>799</v>
      </c>
      <c r="D421" s="739" t="s">
        <v>28</v>
      </c>
      <c r="E421" s="741">
        <f t="shared" si="12"/>
        <v>209.76</v>
      </c>
      <c r="F421">
        <f t="shared" si="13"/>
        <v>89272</v>
      </c>
      <c r="H421" s="1406">
        <v>207.01</v>
      </c>
      <c r="I421" s="1406">
        <v>209.76</v>
      </c>
    </row>
    <row r="422" spans="2:9" ht="30">
      <c r="B422" s="677">
        <v>89278</v>
      </c>
      <c r="C422" s="733" t="s">
        <v>7886</v>
      </c>
      <c r="D422" s="677" t="s">
        <v>28</v>
      </c>
      <c r="E422" s="738">
        <f t="shared" si="12"/>
        <v>12.57</v>
      </c>
      <c r="F422">
        <f t="shared" si="13"/>
        <v>89278</v>
      </c>
      <c r="H422" s="1405">
        <v>12.57</v>
      </c>
      <c r="I422" s="1405">
        <v>12.57</v>
      </c>
    </row>
    <row r="423" spans="2:9">
      <c r="B423" s="1477">
        <v>89843</v>
      </c>
      <c r="C423" s="740" t="s">
        <v>32</v>
      </c>
      <c r="D423" s="739" t="s">
        <v>28</v>
      </c>
      <c r="E423" s="741">
        <f t="shared" si="12"/>
        <v>197.76</v>
      </c>
      <c r="F423">
        <f t="shared" si="13"/>
        <v>89843</v>
      </c>
      <c r="H423" s="1406">
        <v>193.4</v>
      </c>
      <c r="I423" s="1406">
        <v>197.76</v>
      </c>
    </row>
    <row r="424" spans="2:9" ht="30">
      <c r="B424" s="677">
        <v>89876</v>
      </c>
      <c r="C424" s="733" t="s">
        <v>208</v>
      </c>
      <c r="D424" s="677" t="s">
        <v>28</v>
      </c>
      <c r="E424" s="738">
        <f t="shared" si="12"/>
        <v>327.04000000000002</v>
      </c>
      <c r="F424">
        <f t="shared" si="13"/>
        <v>89876</v>
      </c>
      <c r="H424" s="1405">
        <v>323.52999999999997</v>
      </c>
      <c r="I424" s="1405">
        <v>327.04000000000002</v>
      </c>
    </row>
    <row r="425" spans="2:9" ht="30">
      <c r="B425" s="1477">
        <v>89883</v>
      </c>
      <c r="C425" s="740" t="s">
        <v>209</v>
      </c>
      <c r="D425" s="739" t="s">
        <v>28</v>
      </c>
      <c r="E425" s="741">
        <f t="shared" si="12"/>
        <v>361.03</v>
      </c>
      <c r="F425">
        <f t="shared" si="13"/>
        <v>89883</v>
      </c>
      <c r="H425" s="1406">
        <v>357.52</v>
      </c>
      <c r="I425" s="1406">
        <v>361.03</v>
      </c>
    </row>
    <row r="426" spans="2:9">
      <c r="B426" s="677">
        <v>90586</v>
      </c>
      <c r="C426" s="733" t="s">
        <v>800</v>
      </c>
      <c r="D426" s="677" t="s">
        <v>28</v>
      </c>
      <c r="E426" s="738">
        <f t="shared" si="12"/>
        <v>1.36</v>
      </c>
      <c r="F426">
        <f t="shared" si="13"/>
        <v>90586</v>
      </c>
      <c r="H426" s="1405">
        <v>1.36</v>
      </c>
      <c r="I426" s="1405">
        <v>1.36</v>
      </c>
    </row>
    <row r="427" spans="2:9">
      <c r="B427" s="1477">
        <v>90625</v>
      </c>
      <c r="C427" s="740" t="s">
        <v>210</v>
      </c>
      <c r="D427" s="739" t="s">
        <v>28</v>
      </c>
      <c r="E427" s="741">
        <f t="shared" si="12"/>
        <v>8.6999999999999993</v>
      </c>
      <c r="F427">
        <f t="shared" si="13"/>
        <v>90625</v>
      </c>
      <c r="H427" s="1406">
        <v>8.6999999999999993</v>
      </c>
      <c r="I427" s="1406">
        <v>8.6999999999999993</v>
      </c>
    </row>
    <row r="428" spans="2:9" ht="30">
      <c r="B428" s="677">
        <v>90631</v>
      </c>
      <c r="C428" s="733" t="s">
        <v>211</v>
      </c>
      <c r="D428" s="677" t="s">
        <v>28</v>
      </c>
      <c r="E428" s="738">
        <f t="shared" si="12"/>
        <v>140.94999999999999</v>
      </c>
      <c r="F428">
        <f t="shared" si="13"/>
        <v>90631</v>
      </c>
      <c r="H428" s="1405">
        <v>138.63</v>
      </c>
      <c r="I428" s="1405">
        <v>140.94999999999999</v>
      </c>
    </row>
    <row r="429" spans="2:9" ht="30">
      <c r="B429" s="1477">
        <v>90637</v>
      </c>
      <c r="C429" s="740" t="s">
        <v>33</v>
      </c>
      <c r="D429" s="739" t="s">
        <v>28</v>
      </c>
      <c r="E429" s="741">
        <f t="shared" si="12"/>
        <v>17.04</v>
      </c>
      <c r="F429">
        <f t="shared" si="13"/>
        <v>90637</v>
      </c>
      <c r="H429" s="1406">
        <v>17.04</v>
      </c>
      <c r="I429" s="1406">
        <v>17.04</v>
      </c>
    </row>
    <row r="430" spans="2:9" ht="30">
      <c r="B430" s="677">
        <v>90643</v>
      </c>
      <c r="C430" s="733" t="s">
        <v>801</v>
      </c>
      <c r="D430" s="677" t="s">
        <v>28</v>
      </c>
      <c r="E430" s="738">
        <f t="shared" si="12"/>
        <v>27.81</v>
      </c>
      <c r="F430">
        <f t="shared" si="13"/>
        <v>90643</v>
      </c>
      <c r="H430" s="1405">
        <v>27.81</v>
      </c>
      <c r="I430" s="1405">
        <v>27.81</v>
      </c>
    </row>
    <row r="431" spans="2:9" ht="30">
      <c r="B431" s="1477">
        <v>90650</v>
      </c>
      <c r="C431" s="740" t="s">
        <v>802</v>
      </c>
      <c r="D431" s="739" t="s">
        <v>28</v>
      </c>
      <c r="E431" s="741">
        <f t="shared" si="12"/>
        <v>11.97</v>
      </c>
      <c r="F431">
        <f t="shared" si="13"/>
        <v>90650</v>
      </c>
      <c r="H431" s="1406">
        <v>11.97</v>
      </c>
      <c r="I431" s="1406">
        <v>11.97</v>
      </c>
    </row>
    <row r="432" spans="2:9">
      <c r="B432" s="677">
        <v>90656</v>
      </c>
      <c r="C432" s="733" t="s">
        <v>212</v>
      </c>
      <c r="D432" s="677" t="s">
        <v>28</v>
      </c>
      <c r="E432" s="738">
        <f t="shared" si="12"/>
        <v>16.88</v>
      </c>
      <c r="F432">
        <f t="shared" si="13"/>
        <v>90656</v>
      </c>
      <c r="H432" s="1405">
        <v>16.88</v>
      </c>
      <c r="I432" s="1405">
        <v>16.88</v>
      </c>
    </row>
    <row r="433" spans="2:9">
      <c r="B433" s="1477">
        <v>90662</v>
      </c>
      <c r="C433" s="740" t="s">
        <v>213</v>
      </c>
      <c r="D433" s="739" t="s">
        <v>28</v>
      </c>
      <c r="E433" s="741">
        <f t="shared" si="12"/>
        <v>17.600000000000001</v>
      </c>
      <c r="F433">
        <f t="shared" si="13"/>
        <v>90662</v>
      </c>
      <c r="H433" s="1406">
        <v>17.600000000000001</v>
      </c>
      <c r="I433" s="1406">
        <v>17.600000000000001</v>
      </c>
    </row>
    <row r="434" spans="2:9" ht="30">
      <c r="B434" s="677">
        <v>90668</v>
      </c>
      <c r="C434" s="733" t="s">
        <v>7887</v>
      </c>
      <c r="D434" s="677" t="s">
        <v>28</v>
      </c>
      <c r="E434" s="738">
        <f t="shared" si="12"/>
        <v>32.659999999999997</v>
      </c>
      <c r="F434">
        <f t="shared" si="13"/>
        <v>90668</v>
      </c>
      <c r="H434" s="1405">
        <v>32.659999999999997</v>
      </c>
      <c r="I434" s="1405">
        <v>32.659999999999997</v>
      </c>
    </row>
    <row r="435" spans="2:9" ht="45">
      <c r="B435" s="1477">
        <v>90674</v>
      </c>
      <c r="C435" s="740" t="s">
        <v>803</v>
      </c>
      <c r="D435" s="739" t="s">
        <v>28</v>
      </c>
      <c r="E435" s="741">
        <f t="shared" si="12"/>
        <v>679.43</v>
      </c>
      <c r="F435">
        <f t="shared" si="13"/>
        <v>90674</v>
      </c>
      <c r="H435" s="1406">
        <v>677.11</v>
      </c>
      <c r="I435" s="1406">
        <v>679.43</v>
      </c>
    </row>
    <row r="436" spans="2:9" ht="45">
      <c r="B436" s="677">
        <v>90680</v>
      </c>
      <c r="C436" s="733" t="s">
        <v>804</v>
      </c>
      <c r="D436" s="677" t="s">
        <v>28</v>
      </c>
      <c r="E436" s="738">
        <f t="shared" si="12"/>
        <v>407.73</v>
      </c>
      <c r="F436">
        <f t="shared" si="13"/>
        <v>90680</v>
      </c>
      <c r="H436" s="1405">
        <v>405.41</v>
      </c>
      <c r="I436" s="1405">
        <v>407.73</v>
      </c>
    </row>
    <row r="437" spans="2:9" ht="30">
      <c r="B437" s="1477">
        <v>90686</v>
      </c>
      <c r="C437" s="740" t="s">
        <v>7888</v>
      </c>
      <c r="D437" s="739" t="s">
        <v>28</v>
      </c>
      <c r="E437" s="741">
        <f t="shared" si="12"/>
        <v>151.97</v>
      </c>
      <c r="F437">
        <f t="shared" si="13"/>
        <v>90686</v>
      </c>
      <c r="H437" s="1406">
        <v>149.71</v>
      </c>
      <c r="I437" s="1406">
        <v>151.97</v>
      </c>
    </row>
    <row r="438" spans="2:9" ht="30">
      <c r="B438" s="677">
        <v>90692</v>
      </c>
      <c r="C438" s="733" t="s">
        <v>805</v>
      </c>
      <c r="D438" s="677" t="s">
        <v>28</v>
      </c>
      <c r="E438" s="738">
        <f t="shared" si="12"/>
        <v>123.25</v>
      </c>
      <c r="F438">
        <f t="shared" si="13"/>
        <v>90692</v>
      </c>
      <c r="H438" s="1405">
        <v>120.99</v>
      </c>
      <c r="I438" s="1405">
        <v>123.25</v>
      </c>
    </row>
    <row r="439" spans="2:9" ht="30">
      <c r="B439" s="1477">
        <v>90964</v>
      </c>
      <c r="C439" s="740" t="s">
        <v>214</v>
      </c>
      <c r="D439" s="739" t="s">
        <v>28</v>
      </c>
      <c r="E439" s="741">
        <f t="shared" si="12"/>
        <v>32.119999999999997</v>
      </c>
      <c r="F439">
        <f t="shared" si="13"/>
        <v>90964</v>
      </c>
      <c r="H439" s="1406">
        <v>32.119999999999997</v>
      </c>
      <c r="I439" s="1406">
        <v>32.119999999999997</v>
      </c>
    </row>
    <row r="440" spans="2:9" ht="30">
      <c r="B440" s="677">
        <v>90972</v>
      </c>
      <c r="C440" s="733" t="s">
        <v>806</v>
      </c>
      <c r="D440" s="677" t="s">
        <v>28</v>
      </c>
      <c r="E440" s="738">
        <f t="shared" si="12"/>
        <v>77.11</v>
      </c>
      <c r="F440">
        <f t="shared" si="13"/>
        <v>90972</v>
      </c>
      <c r="H440" s="1405">
        <v>77.11</v>
      </c>
      <c r="I440" s="1405">
        <v>77.11</v>
      </c>
    </row>
    <row r="441" spans="2:9" ht="30">
      <c r="B441" s="1477">
        <v>90979</v>
      </c>
      <c r="C441" s="740" t="s">
        <v>215</v>
      </c>
      <c r="D441" s="739" t="s">
        <v>28</v>
      </c>
      <c r="E441" s="741">
        <f t="shared" si="12"/>
        <v>199.11</v>
      </c>
      <c r="F441">
        <f t="shared" si="13"/>
        <v>90979</v>
      </c>
      <c r="H441" s="1406">
        <v>199.11</v>
      </c>
      <c r="I441" s="1406">
        <v>199.11</v>
      </c>
    </row>
    <row r="442" spans="2:9" ht="30">
      <c r="B442" s="677">
        <v>90991</v>
      </c>
      <c r="C442" s="733" t="s">
        <v>807</v>
      </c>
      <c r="D442" s="677" t="s">
        <v>28</v>
      </c>
      <c r="E442" s="738">
        <f t="shared" si="12"/>
        <v>197.09</v>
      </c>
      <c r="F442">
        <f t="shared" si="13"/>
        <v>90991</v>
      </c>
      <c r="H442" s="1405">
        <v>194.45</v>
      </c>
      <c r="I442" s="1405">
        <v>197.09</v>
      </c>
    </row>
    <row r="443" spans="2:9" ht="30">
      <c r="B443" s="1477">
        <v>90999</v>
      </c>
      <c r="C443" s="740" t="s">
        <v>808</v>
      </c>
      <c r="D443" s="739" t="s">
        <v>28</v>
      </c>
      <c r="E443" s="741">
        <f t="shared" si="12"/>
        <v>101.73</v>
      </c>
      <c r="F443">
        <f t="shared" si="13"/>
        <v>90999</v>
      </c>
      <c r="H443" s="1406">
        <v>101.73</v>
      </c>
      <c r="I443" s="1406">
        <v>101.73</v>
      </c>
    </row>
    <row r="444" spans="2:9" ht="30">
      <c r="B444" s="677">
        <v>91031</v>
      </c>
      <c r="C444" s="733" t="s">
        <v>216</v>
      </c>
      <c r="D444" s="677" t="s">
        <v>28</v>
      </c>
      <c r="E444" s="738">
        <f t="shared" si="12"/>
        <v>259.57</v>
      </c>
      <c r="F444">
        <f t="shared" si="13"/>
        <v>91031</v>
      </c>
      <c r="H444" s="1405">
        <v>256.19</v>
      </c>
      <c r="I444" s="1405">
        <v>259.57</v>
      </c>
    </row>
    <row r="445" spans="2:9" ht="30">
      <c r="B445" s="1477">
        <v>91277</v>
      </c>
      <c r="C445" s="740" t="s">
        <v>809</v>
      </c>
      <c r="D445" s="739" t="s">
        <v>28</v>
      </c>
      <c r="E445" s="741">
        <f t="shared" si="12"/>
        <v>9.3000000000000007</v>
      </c>
      <c r="F445">
        <f t="shared" si="13"/>
        <v>91277</v>
      </c>
      <c r="H445" s="1406">
        <v>9.3000000000000007</v>
      </c>
      <c r="I445" s="1406">
        <v>9.3000000000000007</v>
      </c>
    </row>
    <row r="446" spans="2:9" ht="30">
      <c r="B446" s="677">
        <v>91283</v>
      </c>
      <c r="C446" s="733" t="s">
        <v>810</v>
      </c>
      <c r="D446" s="677" t="s">
        <v>28</v>
      </c>
      <c r="E446" s="738">
        <f t="shared" si="12"/>
        <v>10.4</v>
      </c>
      <c r="F446">
        <f t="shared" si="13"/>
        <v>91283</v>
      </c>
      <c r="H446" s="1405">
        <v>10.4</v>
      </c>
      <c r="I446" s="1405">
        <v>10.4</v>
      </c>
    </row>
    <row r="447" spans="2:9" ht="30">
      <c r="B447" s="1477">
        <v>91386</v>
      </c>
      <c r="C447" s="740" t="s">
        <v>811</v>
      </c>
      <c r="D447" s="739" t="s">
        <v>28</v>
      </c>
      <c r="E447" s="741">
        <f t="shared" si="12"/>
        <v>268.27999999999997</v>
      </c>
      <c r="F447">
        <f t="shared" si="13"/>
        <v>91386</v>
      </c>
      <c r="H447" s="1406">
        <v>264.77</v>
      </c>
      <c r="I447" s="1406">
        <v>268.27999999999997</v>
      </c>
    </row>
    <row r="448" spans="2:9" ht="30">
      <c r="B448" s="677">
        <v>91533</v>
      </c>
      <c r="C448" s="733" t="s">
        <v>812</v>
      </c>
      <c r="D448" s="677" t="s">
        <v>28</v>
      </c>
      <c r="E448" s="738">
        <f t="shared" si="12"/>
        <v>29.34</v>
      </c>
      <c r="F448">
        <f t="shared" si="13"/>
        <v>91533</v>
      </c>
      <c r="H448" s="1405">
        <v>27.02</v>
      </c>
      <c r="I448" s="1405">
        <v>29.34</v>
      </c>
    </row>
    <row r="449" spans="2:9" ht="30">
      <c r="B449" s="1477">
        <v>91634</v>
      </c>
      <c r="C449" s="740" t="s">
        <v>813</v>
      </c>
      <c r="D449" s="739" t="s">
        <v>28</v>
      </c>
      <c r="E449" s="741">
        <f t="shared" si="12"/>
        <v>235.7</v>
      </c>
      <c r="F449">
        <f t="shared" si="13"/>
        <v>91634</v>
      </c>
      <c r="H449" s="1406">
        <v>231.85</v>
      </c>
      <c r="I449" s="1406">
        <v>235.7</v>
      </c>
    </row>
    <row r="450" spans="2:9" ht="30">
      <c r="B450" s="677">
        <v>91645</v>
      </c>
      <c r="C450" s="733" t="s">
        <v>814</v>
      </c>
      <c r="D450" s="677" t="s">
        <v>28</v>
      </c>
      <c r="E450" s="738">
        <f t="shared" si="12"/>
        <v>468.5</v>
      </c>
      <c r="F450">
        <f t="shared" si="13"/>
        <v>91645</v>
      </c>
      <c r="H450" s="1405">
        <v>464.3</v>
      </c>
      <c r="I450" s="1405">
        <v>468.5</v>
      </c>
    </row>
    <row r="451" spans="2:9">
      <c r="B451" s="1477">
        <v>91692</v>
      </c>
      <c r="C451" s="740" t="s">
        <v>815</v>
      </c>
      <c r="D451" s="739" t="s">
        <v>28</v>
      </c>
      <c r="E451" s="741">
        <f t="shared" ref="E451:E514" si="14">IF($K$2=$H$1,H451,I451)</f>
        <v>23.37</v>
      </c>
      <c r="F451">
        <f t="shared" ref="F451:F514" si="15">IF(LEN($B451)=7,CONCATENATE(MID($B451,1,6),"00",RIGHT($B451,1)),IF(LEN($B451)=8,CONCATENATE(MID($B451,1,6),"0",RIGHT($B451,2)),$B451))</f>
        <v>91692</v>
      </c>
      <c r="H451" s="1406">
        <v>21.05</v>
      </c>
      <c r="I451" s="1406">
        <v>23.37</v>
      </c>
    </row>
    <row r="452" spans="2:9">
      <c r="B452" s="677">
        <v>92043</v>
      </c>
      <c r="C452" s="733" t="s">
        <v>816</v>
      </c>
      <c r="D452" s="677" t="s">
        <v>28</v>
      </c>
      <c r="E452" s="738">
        <f t="shared" si="14"/>
        <v>13.19</v>
      </c>
      <c r="F452">
        <f t="shared" si="15"/>
        <v>92043</v>
      </c>
      <c r="H452" s="1405">
        <v>13.19</v>
      </c>
      <c r="I452" s="1405">
        <v>13.19</v>
      </c>
    </row>
    <row r="453" spans="2:9" ht="45">
      <c r="B453" s="1477">
        <v>92106</v>
      </c>
      <c r="C453" s="740" t="s">
        <v>7889</v>
      </c>
      <c r="D453" s="739" t="s">
        <v>28</v>
      </c>
      <c r="E453" s="741">
        <f t="shared" si="14"/>
        <v>337.97</v>
      </c>
      <c r="F453">
        <f t="shared" si="15"/>
        <v>92106</v>
      </c>
      <c r="H453" s="1406">
        <v>334.59</v>
      </c>
      <c r="I453" s="1406">
        <v>337.97</v>
      </c>
    </row>
    <row r="454" spans="2:9" ht="30">
      <c r="B454" s="677">
        <v>92112</v>
      </c>
      <c r="C454" s="733" t="s">
        <v>7890</v>
      </c>
      <c r="D454" s="677" t="s">
        <v>28</v>
      </c>
      <c r="E454" s="738">
        <f t="shared" si="14"/>
        <v>3.84</v>
      </c>
      <c r="F454">
        <f t="shared" si="15"/>
        <v>92112</v>
      </c>
      <c r="H454" s="1405">
        <v>3.84</v>
      </c>
      <c r="I454" s="1405">
        <v>3.84</v>
      </c>
    </row>
    <row r="455" spans="2:9">
      <c r="B455" s="1477">
        <v>92118</v>
      </c>
      <c r="C455" s="740" t="s">
        <v>7891</v>
      </c>
      <c r="D455" s="739" t="s">
        <v>28</v>
      </c>
      <c r="E455" s="741">
        <f t="shared" si="14"/>
        <v>0.48</v>
      </c>
      <c r="F455">
        <f t="shared" si="15"/>
        <v>92118</v>
      </c>
      <c r="H455" s="1406">
        <v>0.48</v>
      </c>
      <c r="I455" s="1406">
        <v>0.48</v>
      </c>
    </row>
    <row r="456" spans="2:9">
      <c r="B456" s="677">
        <v>92138</v>
      </c>
      <c r="C456" s="733" t="s">
        <v>817</v>
      </c>
      <c r="D456" s="677" t="s">
        <v>28</v>
      </c>
      <c r="E456" s="738">
        <f t="shared" si="14"/>
        <v>95.5</v>
      </c>
      <c r="F456">
        <f t="shared" si="15"/>
        <v>92138</v>
      </c>
      <c r="H456" s="1405">
        <v>92.68</v>
      </c>
      <c r="I456" s="1405">
        <v>95.5</v>
      </c>
    </row>
    <row r="457" spans="2:9" ht="30">
      <c r="B457" s="1477">
        <v>92145</v>
      </c>
      <c r="C457" s="740" t="s">
        <v>217</v>
      </c>
      <c r="D457" s="739" t="s">
        <v>28</v>
      </c>
      <c r="E457" s="741">
        <f t="shared" si="14"/>
        <v>75.709999999999994</v>
      </c>
      <c r="F457">
        <f t="shared" si="15"/>
        <v>92145</v>
      </c>
      <c r="H457" s="1406">
        <v>72.89</v>
      </c>
      <c r="I457" s="1406">
        <v>75.709999999999994</v>
      </c>
    </row>
    <row r="458" spans="2:9" ht="30">
      <c r="B458" s="677">
        <v>92242</v>
      </c>
      <c r="C458" s="733" t="s">
        <v>818</v>
      </c>
      <c r="D458" s="677" t="s">
        <v>28</v>
      </c>
      <c r="E458" s="738">
        <f t="shared" si="14"/>
        <v>406.59</v>
      </c>
      <c r="F458">
        <f t="shared" si="15"/>
        <v>92242</v>
      </c>
      <c r="H458" s="1405">
        <v>402.39</v>
      </c>
      <c r="I458" s="1405">
        <v>406.59</v>
      </c>
    </row>
    <row r="459" spans="2:9">
      <c r="B459" s="1477">
        <v>92716</v>
      </c>
      <c r="C459" s="740" t="s">
        <v>7892</v>
      </c>
      <c r="D459" s="739" t="s">
        <v>28</v>
      </c>
      <c r="E459" s="741">
        <f t="shared" si="14"/>
        <v>136.09</v>
      </c>
      <c r="F459">
        <f t="shared" si="15"/>
        <v>92716</v>
      </c>
      <c r="H459" s="1406">
        <v>136.09</v>
      </c>
      <c r="I459" s="1406">
        <v>136.09</v>
      </c>
    </row>
    <row r="460" spans="2:9">
      <c r="B460" s="677">
        <v>92960</v>
      </c>
      <c r="C460" s="733" t="s">
        <v>819</v>
      </c>
      <c r="D460" s="677" t="s">
        <v>28</v>
      </c>
      <c r="E460" s="738">
        <f t="shared" si="14"/>
        <v>19.12</v>
      </c>
      <c r="F460">
        <f t="shared" si="15"/>
        <v>92960</v>
      </c>
      <c r="H460" s="1405">
        <v>19.12</v>
      </c>
      <c r="I460" s="1405">
        <v>19.12</v>
      </c>
    </row>
    <row r="461" spans="2:9">
      <c r="B461" s="1477">
        <v>92966</v>
      </c>
      <c r="C461" s="740" t="s">
        <v>820</v>
      </c>
      <c r="D461" s="739" t="s">
        <v>28</v>
      </c>
      <c r="E461" s="741">
        <f t="shared" si="14"/>
        <v>23.24</v>
      </c>
      <c r="F461">
        <f t="shared" si="15"/>
        <v>92966</v>
      </c>
      <c r="H461" s="1406">
        <v>21.28</v>
      </c>
      <c r="I461" s="1406">
        <v>23.24</v>
      </c>
    </row>
    <row r="462" spans="2:9" ht="45">
      <c r="B462" s="677">
        <v>93224</v>
      </c>
      <c r="C462" s="733" t="s">
        <v>821</v>
      </c>
      <c r="D462" s="677" t="s">
        <v>28</v>
      </c>
      <c r="E462" s="738">
        <f t="shared" si="14"/>
        <v>1015.14</v>
      </c>
      <c r="F462">
        <f t="shared" si="15"/>
        <v>93224</v>
      </c>
      <c r="H462" s="1405">
        <v>1012.82</v>
      </c>
      <c r="I462" s="1405">
        <v>1015.14</v>
      </c>
    </row>
    <row r="463" spans="2:9" ht="30">
      <c r="B463" s="1477">
        <v>93233</v>
      </c>
      <c r="C463" s="740" t="s">
        <v>218</v>
      </c>
      <c r="D463" s="739" t="s">
        <v>28</v>
      </c>
      <c r="E463" s="741">
        <f t="shared" si="14"/>
        <v>5.37</v>
      </c>
      <c r="F463">
        <f t="shared" si="15"/>
        <v>93233</v>
      </c>
      <c r="H463" s="1406">
        <v>5.37</v>
      </c>
      <c r="I463" s="1406">
        <v>5.37</v>
      </c>
    </row>
    <row r="464" spans="2:9">
      <c r="B464" s="677">
        <v>93272</v>
      </c>
      <c r="C464" s="733" t="s">
        <v>7893</v>
      </c>
      <c r="D464" s="677" t="s">
        <v>28</v>
      </c>
      <c r="E464" s="738">
        <f t="shared" si="14"/>
        <v>102.34</v>
      </c>
      <c r="F464">
        <f t="shared" si="15"/>
        <v>93272</v>
      </c>
      <c r="H464" s="1405">
        <v>99.59</v>
      </c>
      <c r="I464" s="1405">
        <v>102.34</v>
      </c>
    </row>
    <row r="465" spans="2:9">
      <c r="B465" s="1477">
        <v>93281</v>
      </c>
      <c r="C465" s="740" t="s">
        <v>822</v>
      </c>
      <c r="D465" s="739" t="s">
        <v>28</v>
      </c>
      <c r="E465" s="741">
        <f t="shared" si="14"/>
        <v>22.42</v>
      </c>
      <c r="F465">
        <f t="shared" si="15"/>
        <v>93281</v>
      </c>
      <c r="H465" s="1406">
        <v>20.21</v>
      </c>
      <c r="I465" s="1406">
        <v>22.42</v>
      </c>
    </row>
    <row r="466" spans="2:9" ht="30">
      <c r="B466" s="677">
        <v>93287</v>
      </c>
      <c r="C466" s="733" t="s">
        <v>823</v>
      </c>
      <c r="D466" s="677" t="s">
        <v>28</v>
      </c>
      <c r="E466" s="738">
        <f t="shared" si="14"/>
        <v>339.23</v>
      </c>
      <c r="F466">
        <f t="shared" si="15"/>
        <v>93287</v>
      </c>
      <c r="H466" s="1405">
        <v>336.48</v>
      </c>
      <c r="I466" s="1405">
        <v>339.23</v>
      </c>
    </row>
    <row r="467" spans="2:9" ht="30">
      <c r="B467" s="1477">
        <v>93402</v>
      </c>
      <c r="C467" s="740" t="s">
        <v>824</v>
      </c>
      <c r="D467" s="739" t="s">
        <v>28</v>
      </c>
      <c r="E467" s="741">
        <f t="shared" si="14"/>
        <v>271.54000000000002</v>
      </c>
      <c r="F467">
        <f t="shared" si="15"/>
        <v>93402</v>
      </c>
      <c r="H467" s="1406">
        <v>267.69</v>
      </c>
      <c r="I467" s="1406">
        <v>271.54000000000002</v>
      </c>
    </row>
    <row r="468" spans="2:9" ht="30">
      <c r="B468" s="677">
        <v>93408</v>
      </c>
      <c r="C468" s="733" t="s">
        <v>7894</v>
      </c>
      <c r="D468" s="677" t="s">
        <v>28</v>
      </c>
      <c r="E468" s="738">
        <f t="shared" si="14"/>
        <v>83.76</v>
      </c>
      <c r="F468">
        <f t="shared" si="15"/>
        <v>93408</v>
      </c>
      <c r="H468" s="1405">
        <v>81.83</v>
      </c>
      <c r="I468" s="1405">
        <v>83.76</v>
      </c>
    </row>
    <row r="469" spans="2:9" ht="30">
      <c r="B469" s="1477">
        <v>93415</v>
      </c>
      <c r="C469" s="740" t="s">
        <v>825</v>
      </c>
      <c r="D469" s="739" t="s">
        <v>28</v>
      </c>
      <c r="E469" s="741">
        <f t="shared" si="14"/>
        <v>14.62</v>
      </c>
      <c r="F469">
        <f t="shared" si="15"/>
        <v>93415</v>
      </c>
      <c r="H469" s="1406">
        <v>14.62</v>
      </c>
      <c r="I469" s="1406">
        <v>14.62</v>
      </c>
    </row>
    <row r="470" spans="2:9">
      <c r="B470" s="677">
        <v>93421</v>
      </c>
      <c r="C470" s="733" t="s">
        <v>374</v>
      </c>
      <c r="D470" s="677" t="s">
        <v>28</v>
      </c>
      <c r="E470" s="738">
        <f t="shared" si="14"/>
        <v>76.099999999999994</v>
      </c>
      <c r="F470">
        <f t="shared" si="15"/>
        <v>93421</v>
      </c>
      <c r="H470" s="1405">
        <v>76.099999999999994</v>
      </c>
      <c r="I470" s="1405">
        <v>76.099999999999994</v>
      </c>
    </row>
    <row r="471" spans="2:9">
      <c r="B471" s="1477">
        <v>93427</v>
      </c>
      <c r="C471" s="740" t="s">
        <v>826</v>
      </c>
      <c r="D471" s="739" t="s">
        <v>28</v>
      </c>
      <c r="E471" s="741">
        <f t="shared" si="14"/>
        <v>172.07</v>
      </c>
      <c r="F471">
        <f t="shared" si="15"/>
        <v>93427</v>
      </c>
      <c r="H471" s="1406">
        <v>172.07</v>
      </c>
      <c r="I471" s="1406">
        <v>172.07</v>
      </c>
    </row>
    <row r="472" spans="2:9">
      <c r="B472" s="677">
        <v>93433</v>
      </c>
      <c r="C472" s="733" t="s">
        <v>7895</v>
      </c>
      <c r="D472" s="677" t="s">
        <v>28</v>
      </c>
      <c r="E472" s="738">
        <f t="shared" si="14"/>
        <v>2603.06</v>
      </c>
      <c r="F472">
        <f t="shared" si="15"/>
        <v>93433</v>
      </c>
      <c r="H472" s="1405">
        <v>2591.9</v>
      </c>
      <c r="I472" s="1405">
        <v>2603.06</v>
      </c>
    </row>
    <row r="473" spans="2:9">
      <c r="B473" s="1477">
        <v>93439</v>
      </c>
      <c r="C473" s="740" t="s">
        <v>7896</v>
      </c>
      <c r="D473" s="739" t="s">
        <v>28</v>
      </c>
      <c r="E473" s="741">
        <f t="shared" si="14"/>
        <v>241.95</v>
      </c>
      <c r="F473">
        <f t="shared" si="15"/>
        <v>93439</v>
      </c>
      <c r="H473" s="1406">
        <v>230.79</v>
      </c>
      <c r="I473" s="1406">
        <v>241.95</v>
      </c>
    </row>
    <row r="474" spans="2:9">
      <c r="B474" s="677">
        <v>95121</v>
      </c>
      <c r="C474" s="733" t="s">
        <v>827</v>
      </c>
      <c r="D474" s="677" t="s">
        <v>28</v>
      </c>
      <c r="E474" s="738">
        <f t="shared" si="14"/>
        <v>346.03</v>
      </c>
      <c r="F474">
        <f t="shared" si="15"/>
        <v>95121</v>
      </c>
      <c r="H474" s="1405">
        <v>334.87</v>
      </c>
      <c r="I474" s="1405">
        <v>346.03</v>
      </c>
    </row>
    <row r="475" spans="2:9">
      <c r="B475" s="1477">
        <v>95127</v>
      </c>
      <c r="C475" s="740" t="s">
        <v>416</v>
      </c>
      <c r="D475" s="739" t="s">
        <v>28</v>
      </c>
      <c r="E475" s="741">
        <f t="shared" si="14"/>
        <v>209.61</v>
      </c>
      <c r="F475">
        <f t="shared" si="15"/>
        <v>95127</v>
      </c>
      <c r="H475" s="1406">
        <v>207.29</v>
      </c>
      <c r="I475" s="1406">
        <v>209.61</v>
      </c>
    </row>
    <row r="476" spans="2:9">
      <c r="B476" s="677">
        <v>95133</v>
      </c>
      <c r="C476" s="733" t="s">
        <v>828</v>
      </c>
      <c r="D476" s="677" t="s">
        <v>28</v>
      </c>
      <c r="E476" s="738">
        <f t="shared" si="14"/>
        <v>174.76</v>
      </c>
      <c r="F476">
        <f t="shared" si="15"/>
        <v>95133</v>
      </c>
      <c r="H476" s="1405">
        <v>172.5</v>
      </c>
      <c r="I476" s="1405">
        <v>174.76</v>
      </c>
    </row>
    <row r="477" spans="2:9">
      <c r="B477" s="1477">
        <v>95139</v>
      </c>
      <c r="C477" s="740" t="s">
        <v>829</v>
      </c>
      <c r="D477" s="739" t="s">
        <v>28</v>
      </c>
      <c r="E477" s="741">
        <f t="shared" si="14"/>
        <v>0.06</v>
      </c>
      <c r="F477">
        <f t="shared" si="15"/>
        <v>95139</v>
      </c>
      <c r="H477" s="1406">
        <v>0.06</v>
      </c>
      <c r="I477" s="1406">
        <v>0.06</v>
      </c>
    </row>
    <row r="478" spans="2:9">
      <c r="B478" s="677">
        <v>95212</v>
      </c>
      <c r="C478" s="733" t="s">
        <v>7897</v>
      </c>
      <c r="D478" s="677" t="s">
        <v>28</v>
      </c>
      <c r="E478" s="738">
        <f t="shared" si="14"/>
        <v>112.33</v>
      </c>
      <c r="F478">
        <f t="shared" si="15"/>
        <v>95212</v>
      </c>
      <c r="H478" s="1405">
        <v>109.58</v>
      </c>
      <c r="I478" s="1405">
        <v>112.33</v>
      </c>
    </row>
    <row r="479" spans="2:9">
      <c r="B479" s="1477">
        <v>95258</v>
      </c>
      <c r="C479" s="740" t="s">
        <v>503</v>
      </c>
      <c r="D479" s="739" t="s">
        <v>28</v>
      </c>
      <c r="E479" s="741">
        <f t="shared" si="14"/>
        <v>22.67</v>
      </c>
      <c r="F479">
        <f t="shared" si="15"/>
        <v>95258</v>
      </c>
      <c r="H479" s="1406">
        <v>20.71</v>
      </c>
      <c r="I479" s="1406">
        <v>22.67</v>
      </c>
    </row>
    <row r="480" spans="2:9">
      <c r="B480" s="677">
        <v>95264</v>
      </c>
      <c r="C480" s="733" t="s">
        <v>830</v>
      </c>
      <c r="D480" s="677" t="s">
        <v>28</v>
      </c>
      <c r="E480" s="738">
        <f t="shared" si="14"/>
        <v>5.87</v>
      </c>
      <c r="F480">
        <f t="shared" si="15"/>
        <v>95264</v>
      </c>
      <c r="H480" s="1405">
        <v>5.87</v>
      </c>
      <c r="I480" s="1405">
        <v>5.87</v>
      </c>
    </row>
    <row r="481" spans="2:9" ht="30">
      <c r="B481" s="1477">
        <v>95270</v>
      </c>
      <c r="C481" s="740" t="s">
        <v>831</v>
      </c>
      <c r="D481" s="739" t="s">
        <v>28</v>
      </c>
      <c r="E481" s="741">
        <f t="shared" si="14"/>
        <v>8.98</v>
      </c>
      <c r="F481">
        <f t="shared" si="15"/>
        <v>95270</v>
      </c>
      <c r="H481" s="1406">
        <v>8.98</v>
      </c>
      <c r="I481" s="1406">
        <v>8.98</v>
      </c>
    </row>
    <row r="482" spans="2:9">
      <c r="B482" s="677">
        <v>95276</v>
      </c>
      <c r="C482" s="733" t="s">
        <v>7898</v>
      </c>
      <c r="D482" s="677" t="s">
        <v>28</v>
      </c>
      <c r="E482" s="738">
        <f t="shared" si="14"/>
        <v>3.54</v>
      </c>
      <c r="F482">
        <f t="shared" si="15"/>
        <v>95276</v>
      </c>
      <c r="H482" s="1405">
        <v>3.54</v>
      </c>
      <c r="I482" s="1405">
        <v>3.54</v>
      </c>
    </row>
    <row r="483" spans="2:9">
      <c r="B483" s="1477">
        <v>95282</v>
      </c>
      <c r="C483" s="740" t="s">
        <v>7899</v>
      </c>
      <c r="D483" s="739" t="s">
        <v>28</v>
      </c>
      <c r="E483" s="741">
        <f t="shared" si="14"/>
        <v>9.11</v>
      </c>
      <c r="F483">
        <f t="shared" si="15"/>
        <v>95282</v>
      </c>
      <c r="H483" s="1406">
        <v>9.11</v>
      </c>
      <c r="I483" s="1406">
        <v>9.11</v>
      </c>
    </row>
    <row r="484" spans="2:9" ht="30">
      <c r="B484" s="677">
        <v>95620</v>
      </c>
      <c r="C484" s="733" t="s">
        <v>832</v>
      </c>
      <c r="D484" s="677" t="s">
        <v>28</v>
      </c>
      <c r="E484" s="738">
        <f t="shared" si="14"/>
        <v>22.03</v>
      </c>
      <c r="F484">
        <f t="shared" si="15"/>
        <v>95620</v>
      </c>
      <c r="H484" s="1405">
        <v>20.07</v>
      </c>
      <c r="I484" s="1405">
        <v>22.03</v>
      </c>
    </row>
    <row r="485" spans="2:9" ht="30">
      <c r="B485" s="1477">
        <v>95631</v>
      </c>
      <c r="C485" s="740" t="s">
        <v>833</v>
      </c>
      <c r="D485" s="739" t="s">
        <v>28</v>
      </c>
      <c r="E485" s="741">
        <f t="shared" si="14"/>
        <v>229.9</v>
      </c>
      <c r="F485">
        <f t="shared" si="15"/>
        <v>95631</v>
      </c>
      <c r="H485" s="1406">
        <v>227.66</v>
      </c>
      <c r="I485" s="1406">
        <v>229.9</v>
      </c>
    </row>
    <row r="486" spans="2:9">
      <c r="B486" s="677">
        <v>95702</v>
      </c>
      <c r="C486" s="733" t="s">
        <v>834</v>
      </c>
      <c r="D486" s="677" t="s">
        <v>28</v>
      </c>
      <c r="E486" s="738">
        <f t="shared" si="14"/>
        <v>36.94</v>
      </c>
      <c r="F486">
        <f t="shared" si="15"/>
        <v>95702</v>
      </c>
      <c r="H486" s="1405">
        <v>34.619999999999997</v>
      </c>
      <c r="I486" s="1405">
        <v>36.94</v>
      </c>
    </row>
    <row r="487" spans="2:9" ht="30">
      <c r="B487" s="1477">
        <v>95708</v>
      </c>
      <c r="C487" s="740" t="s">
        <v>835</v>
      </c>
      <c r="D487" s="739" t="s">
        <v>28</v>
      </c>
      <c r="E487" s="741">
        <f t="shared" si="14"/>
        <v>138.85</v>
      </c>
      <c r="F487">
        <f t="shared" si="15"/>
        <v>95708</v>
      </c>
      <c r="H487" s="1406">
        <v>136.53</v>
      </c>
      <c r="I487" s="1406">
        <v>138.85</v>
      </c>
    </row>
    <row r="488" spans="2:9" ht="30">
      <c r="B488" s="677">
        <v>95714</v>
      </c>
      <c r="C488" s="733" t="s">
        <v>836</v>
      </c>
      <c r="D488" s="677" t="s">
        <v>28</v>
      </c>
      <c r="E488" s="738">
        <f t="shared" si="14"/>
        <v>247.97</v>
      </c>
      <c r="F488">
        <f t="shared" si="15"/>
        <v>95714</v>
      </c>
      <c r="H488" s="1405">
        <v>245.33</v>
      </c>
      <c r="I488" s="1405">
        <v>247.97</v>
      </c>
    </row>
    <row r="489" spans="2:9" ht="30">
      <c r="B489" s="1477">
        <v>95720</v>
      </c>
      <c r="C489" s="740" t="s">
        <v>837</v>
      </c>
      <c r="D489" s="739" t="s">
        <v>28</v>
      </c>
      <c r="E489" s="741">
        <f t="shared" si="14"/>
        <v>242.92</v>
      </c>
      <c r="F489">
        <f t="shared" si="15"/>
        <v>95720</v>
      </c>
      <c r="H489" s="1406">
        <v>240.28</v>
      </c>
      <c r="I489" s="1406">
        <v>242.92</v>
      </c>
    </row>
    <row r="490" spans="2:9">
      <c r="B490" s="677">
        <v>95872</v>
      </c>
      <c r="C490" s="733" t="s">
        <v>529</v>
      </c>
      <c r="D490" s="677" t="s">
        <v>28</v>
      </c>
      <c r="E490" s="738">
        <f t="shared" si="14"/>
        <v>291.64</v>
      </c>
      <c r="F490">
        <f t="shared" si="15"/>
        <v>95872</v>
      </c>
      <c r="H490" s="1405">
        <v>291.64</v>
      </c>
      <c r="I490" s="1405">
        <v>291.64</v>
      </c>
    </row>
    <row r="491" spans="2:9">
      <c r="B491" s="1477">
        <v>96013</v>
      </c>
      <c r="C491" s="740" t="s">
        <v>557</v>
      </c>
      <c r="D491" s="739" t="s">
        <v>28</v>
      </c>
      <c r="E491" s="741">
        <f t="shared" si="14"/>
        <v>169.64</v>
      </c>
      <c r="F491">
        <f t="shared" si="15"/>
        <v>96013</v>
      </c>
      <c r="H491" s="1406">
        <v>167.32</v>
      </c>
      <c r="I491" s="1406">
        <v>169.64</v>
      </c>
    </row>
    <row r="492" spans="2:9">
      <c r="B492" s="677">
        <v>96020</v>
      </c>
      <c r="C492" s="733" t="s">
        <v>562</v>
      </c>
      <c r="D492" s="677" t="s">
        <v>28</v>
      </c>
      <c r="E492" s="738">
        <f t="shared" si="14"/>
        <v>169.15</v>
      </c>
      <c r="F492">
        <f t="shared" si="15"/>
        <v>96020</v>
      </c>
      <c r="H492" s="1405">
        <v>166.83</v>
      </c>
      <c r="I492" s="1405">
        <v>169.15</v>
      </c>
    </row>
    <row r="493" spans="2:9">
      <c r="B493" s="1477">
        <v>96028</v>
      </c>
      <c r="C493" s="740" t="s">
        <v>567</v>
      </c>
      <c r="D493" s="739" t="s">
        <v>28</v>
      </c>
      <c r="E493" s="741">
        <f t="shared" si="14"/>
        <v>128.5</v>
      </c>
      <c r="F493">
        <f t="shared" si="15"/>
        <v>96028</v>
      </c>
      <c r="H493" s="1406">
        <v>126.18</v>
      </c>
      <c r="I493" s="1406">
        <v>128.5</v>
      </c>
    </row>
    <row r="494" spans="2:9" ht="30">
      <c r="B494" s="677">
        <v>96035</v>
      </c>
      <c r="C494" s="733" t="s">
        <v>572</v>
      </c>
      <c r="D494" s="677" t="s">
        <v>28</v>
      </c>
      <c r="E494" s="738">
        <f t="shared" si="14"/>
        <v>278.72000000000003</v>
      </c>
      <c r="F494">
        <f t="shared" si="15"/>
        <v>96035</v>
      </c>
      <c r="H494" s="1405">
        <v>275.20999999999998</v>
      </c>
      <c r="I494" s="1405">
        <v>278.72000000000003</v>
      </c>
    </row>
    <row r="495" spans="2:9">
      <c r="B495" s="1477">
        <v>96157</v>
      </c>
      <c r="C495" s="740" t="s">
        <v>578</v>
      </c>
      <c r="D495" s="739" t="s">
        <v>28</v>
      </c>
      <c r="E495" s="741">
        <f t="shared" si="14"/>
        <v>128.99</v>
      </c>
      <c r="F495">
        <f t="shared" si="15"/>
        <v>96157</v>
      </c>
      <c r="H495" s="1406">
        <v>126.67</v>
      </c>
      <c r="I495" s="1406">
        <v>128.99</v>
      </c>
    </row>
    <row r="496" spans="2:9" ht="30">
      <c r="B496" s="677">
        <v>96158</v>
      </c>
      <c r="C496" s="733" t="s">
        <v>583</v>
      </c>
      <c r="D496" s="677" t="s">
        <v>28</v>
      </c>
      <c r="E496" s="738">
        <f t="shared" si="14"/>
        <v>136.66999999999999</v>
      </c>
      <c r="F496">
        <f t="shared" si="15"/>
        <v>96158</v>
      </c>
      <c r="H496" s="1405">
        <v>134.41</v>
      </c>
      <c r="I496" s="1405">
        <v>136.66999999999999</v>
      </c>
    </row>
    <row r="497" spans="2:9">
      <c r="B497" s="1477">
        <v>96245</v>
      </c>
      <c r="C497" s="740" t="s">
        <v>1259</v>
      </c>
      <c r="D497" s="739" t="s">
        <v>28</v>
      </c>
      <c r="E497" s="741">
        <f t="shared" si="14"/>
        <v>109.72</v>
      </c>
      <c r="F497">
        <f t="shared" si="15"/>
        <v>96245</v>
      </c>
      <c r="H497" s="1406">
        <v>107.08</v>
      </c>
      <c r="I497" s="1406">
        <v>109.72</v>
      </c>
    </row>
    <row r="498" spans="2:9" ht="30">
      <c r="B498" s="677">
        <v>96463</v>
      </c>
      <c r="C498" s="733" t="s">
        <v>1725</v>
      </c>
      <c r="D498" s="677" t="s">
        <v>28</v>
      </c>
      <c r="E498" s="738">
        <f t="shared" si="14"/>
        <v>218.04</v>
      </c>
      <c r="F498">
        <f t="shared" si="15"/>
        <v>96463</v>
      </c>
      <c r="H498" s="1405">
        <v>215.8</v>
      </c>
      <c r="I498" s="1405">
        <v>218.04</v>
      </c>
    </row>
    <row r="499" spans="2:9" ht="30">
      <c r="B499" s="1477">
        <v>98764</v>
      </c>
      <c r="C499" s="740" t="s">
        <v>2099</v>
      </c>
      <c r="D499" s="739" t="s">
        <v>28</v>
      </c>
      <c r="E499" s="741">
        <f t="shared" si="14"/>
        <v>5.0999999999999996</v>
      </c>
      <c r="F499">
        <f t="shared" si="15"/>
        <v>98764</v>
      </c>
      <c r="H499" s="1406">
        <v>5.0999999999999996</v>
      </c>
      <c r="I499" s="1406">
        <v>5.0999999999999996</v>
      </c>
    </row>
    <row r="500" spans="2:9" ht="30">
      <c r="B500" s="677">
        <v>99833</v>
      </c>
      <c r="C500" s="733" t="s">
        <v>7900</v>
      </c>
      <c r="D500" s="677" t="s">
        <v>28</v>
      </c>
      <c r="E500" s="738">
        <f t="shared" si="14"/>
        <v>2.38</v>
      </c>
      <c r="F500">
        <f t="shared" si="15"/>
        <v>99833</v>
      </c>
      <c r="H500" s="1405">
        <v>2.38</v>
      </c>
      <c r="I500" s="1405">
        <v>2.38</v>
      </c>
    </row>
    <row r="501" spans="2:9">
      <c r="B501" s="1477">
        <v>100641</v>
      </c>
      <c r="C501" s="740" t="s">
        <v>2843</v>
      </c>
      <c r="D501" s="739" t="s">
        <v>28</v>
      </c>
      <c r="E501" s="741">
        <f t="shared" si="14"/>
        <v>4748</v>
      </c>
      <c r="F501">
        <f t="shared" si="15"/>
        <v>100641</v>
      </c>
      <c r="H501" s="1406">
        <v>4744.76</v>
      </c>
      <c r="I501" s="1406">
        <v>4748</v>
      </c>
    </row>
    <row r="502" spans="2:9">
      <c r="B502" s="677">
        <v>100647</v>
      </c>
      <c r="C502" s="733" t="s">
        <v>2844</v>
      </c>
      <c r="D502" s="677" t="s">
        <v>28</v>
      </c>
      <c r="E502" s="738">
        <f t="shared" si="14"/>
        <v>6463.96</v>
      </c>
      <c r="F502">
        <f t="shared" si="15"/>
        <v>100647</v>
      </c>
      <c r="H502" s="1405">
        <v>6460.72</v>
      </c>
      <c r="I502" s="1405">
        <v>6463.96</v>
      </c>
    </row>
    <row r="503" spans="2:9" ht="30">
      <c r="B503" s="1477">
        <v>102275</v>
      </c>
      <c r="C503" s="740" t="s">
        <v>4529</v>
      </c>
      <c r="D503" s="739" t="s">
        <v>28</v>
      </c>
      <c r="E503" s="741">
        <f t="shared" si="14"/>
        <v>22.67</v>
      </c>
      <c r="F503">
        <f t="shared" si="15"/>
        <v>102275</v>
      </c>
      <c r="H503" s="1406">
        <v>20.71</v>
      </c>
      <c r="I503" s="1406">
        <v>22.67</v>
      </c>
    </row>
    <row r="504" spans="2:9" ht="30">
      <c r="B504" s="677">
        <v>104091</v>
      </c>
      <c r="C504" s="733" t="s">
        <v>5850</v>
      </c>
      <c r="D504" s="677" t="s">
        <v>28</v>
      </c>
      <c r="E504" s="738">
        <f t="shared" si="14"/>
        <v>0.89</v>
      </c>
      <c r="F504">
        <f t="shared" si="15"/>
        <v>104091</v>
      </c>
      <c r="H504" s="1405">
        <v>0.89</v>
      </c>
      <c r="I504" s="1405">
        <v>0.89</v>
      </c>
    </row>
    <row r="505" spans="2:9" ht="30">
      <c r="B505" s="1477">
        <v>104097</v>
      </c>
      <c r="C505" s="740" t="s">
        <v>5851</v>
      </c>
      <c r="D505" s="739" t="s">
        <v>28</v>
      </c>
      <c r="E505" s="741">
        <f t="shared" si="14"/>
        <v>1.24</v>
      </c>
      <c r="F505">
        <f t="shared" si="15"/>
        <v>104097</v>
      </c>
      <c r="H505" s="1406">
        <v>1.24</v>
      </c>
      <c r="I505" s="1406">
        <v>1.24</v>
      </c>
    </row>
    <row r="506" spans="2:9" ht="30">
      <c r="B506" s="677">
        <v>5632</v>
      </c>
      <c r="C506" s="733" t="s">
        <v>838</v>
      </c>
      <c r="D506" s="677" t="s">
        <v>34</v>
      </c>
      <c r="E506" s="738">
        <f t="shared" si="14"/>
        <v>82.2</v>
      </c>
      <c r="F506">
        <f t="shared" si="15"/>
        <v>5632</v>
      </c>
      <c r="H506" s="1405">
        <v>79.56</v>
      </c>
      <c r="I506" s="1405">
        <v>82.2</v>
      </c>
    </row>
    <row r="507" spans="2:9" ht="45">
      <c r="B507" s="1477">
        <v>5679</v>
      </c>
      <c r="C507" s="740" t="s">
        <v>839</v>
      </c>
      <c r="D507" s="739" t="s">
        <v>34</v>
      </c>
      <c r="E507" s="741">
        <f t="shared" si="14"/>
        <v>54.47</v>
      </c>
      <c r="F507">
        <f t="shared" si="15"/>
        <v>5679</v>
      </c>
      <c r="H507" s="1406">
        <v>51.83</v>
      </c>
      <c r="I507" s="1406">
        <v>54.47</v>
      </c>
    </row>
    <row r="508" spans="2:9" ht="45">
      <c r="B508" s="677">
        <v>5681</v>
      </c>
      <c r="C508" s="733" t="s">
        <v>840</v>
      </c>
      <c r="D508" s="677" t="s">
        <v>34</v>
      </c>
      <c r="E508" s="738">
        <f t="shared" si="14"/>
        <v>51.12</v>
      </c>
      <c r="F508">
        <f t="shared" si="15"/>
        <v>5681</v>
      </c>
      <c r="H508" s="1405">
        <v>48.48</v>
      </c>
      <c r="I508" s="1405">
        <v>51.12</v>
      </c>
    </row>
    <row r="509" spans="2:9" ht="30">
      <c r="B509" s="1477">
        <v>5685</v>
      </c>
      <c r="C509" s="740" t="s">
        <v>841</v>
      </c>
      <c r="D509" s="739" t="s">
        <v>34</v>
      </c>
      <c r="E509" s="741">
        <f t="shared" si="14"/>
        <v>61.86</v>
      </c>
      <c r="F509">
        <f t="shared" si="15"/>
        <v>5685</v>
      </c>
      <c r="H509" s="1406">
        <v>59.62</v>
      </c>
      <c r="I509" s="1406">
        <v>61.86</v>
      </c>
    </row>
    <row r="510" spans="2:9" ht="30">
      <c r="B510" s="677">
        <v>5690</v>
      </c>
      <c r="C510" s="733" t="s">
        <v>842</v>
      </c>
      <c r="D510" s="677" t="s">
        <v>34</v>
      </c>
      <c r="E510" s="738">
        <f t="shared" si="14"/>
        <v>4.25</v>
      </c>
      <c r="F510">
        <f t="shared" si="15"/>
        <v>5690</v>
      </c>
      <c r="H510" s="1405">
        <v>4.25</v>
      </c>
      <c r="I510" s="1405">
        <v>4.25</v>
      </c>
    </row>
    <row r="511" spans="2:9" ht="30">
      <c r="B511" s="1477">
        <v>5806</v>
      </c>
      <c r="C511" s="740" t="s">
        <v>843</v>
      </c>
      <c r="D511" s="739" t="s">
        <v>34</v>
      </c>
      <c r="E511" s="741">
        <f t="shared" si="14"/>
        <v>0.23</v>
      </c>
      <c r="F511">
        <f t="shared" si="15"/>
        <v>5806</v>
      </c>
      <c r="H511" s="1406">
        <v>0.23</v>
      </c>
      <c r="I511" s="1406">
        <v>0.23</v>
      </c>
    </row>
    <row r="512" spans="2:9" ht="30">
      <c r="B512" s="677">
        <v>5826</v>
      </c>
      <c r="C512" s="733" t="s">
        <v>844</v>
      </c>
      <c r="D512" s="677" t="s">
        <v>34</v>
      </c>
      <c r="E512" s="738">
        <f t="shared" si="14"/>
        <v>63.13</v>
      </c>
      <c r="F512">
        <f t="shared" si="15"/>
        <v>5826</v>
      </c>
      <c r="H512" s="1405">
        <v>59.75</v>
      </c>
      <c r="I512" s="1405">
        <v>63.13</v>
      </c>
    </row>
    <row r="513" spans="2:9">
      <c r="B513" s="1477">
        <v>5829</v>
      </c>
      <c r="C513" s="740" t="s">
        <v>417</v>
      </c>
      <c r="D513" s="739" t="s">
        <v>34</v>
      </c>
      <c r="E513" s="741">
        <f t="shared" si="14"/>
        <v>152.66</v>
      </c>
      <c r="F513">
        <f t="shared" si="15"/>
        <v>5829</v>
      </c>
      <c r="H513" s="1406">
        <v>141.5</v>
      </c>
      <c r="I513" s="1406">
        <v>152.66</v>
      </c>
    </row>
    <row r="514" spans="2:9" ht="30">
      <c r="B514" s="677">
        <v>5837</v>
      </c>
      <c r="C514" s="733" t="s">
        <v>845</v>
      </c>
      <c r="D514" s="677" t="s">
        <v>34</v>
      </c>
      <c r="E514" s="738">
        <f t="shared" si="14"/>
        <v>125.07</v>
      </c>
      <c r="F514">
        <f t="shared" si="15"/>
        <v>5837</v>
      </c>
      <c r="H514" s="1405">
        <v>122.81</v>
      </c>
      <c r="I514" s="1405">
        <v>125.07</v>
      </c>
    </row>
    <row r="515" spans="2:9">
      <c r="B515" s="1477">
        <v>5841</v>
      </c>
      <c r="C515" s="740" t="s">
        <v>846</v>
      </c>
      <c r="D515" s="739" t="s">
        <v>34</v>
      </c>
      <c r="E515" s="741">
        <f t="shared" ref="E515:E578" si="16">IF($K$2=$H$1,H515,I515)</f>
        <v>4.88</v>
      </c>
      <c r="F515">
        <f t="shared" ref="F515:F578" si="17">IF(LEN($B515)=7,CONCATENATE(MID($B515,1,6),"00",RIGHT($B515,1)),IF(LEN($B515)=8,CONCATENATE(MID($B515,1,6),"0",RIGHT($B515,2)),$B515))</f>
        <v>5841</v>
      </c>
      <c r="H515" s="1406">
        <v>4.88</v>
      </c>
      <c r="I515" s="1406">
        <v>4.88</v>
      </c>
    </row>
    <row r="516" spans="2:9">
      <c r="B516" s="677">
        <v>5845</v>
      </c>
      <c r="C516" s="733" t="s">
        <v>219</v>
      </c>
      <c r="D516" s="677" t="s">
        <v>34</v>
      </c>
      <c r="E516" s="738">
        <f t="shared" si="16"/>
        <v>45.42</v>
      </c>
      <c r="F516">
        <f t="shared" si="17"/>
        <v>5845</v>
      </c>
      <c r="H516" s="1405">
        <v>43.1</v>
      </c>
      <c r="I516" s="1405">
        <v>45.42</v>
      </c>
    </row>
    <row r="517" spans="2:9">
      <c r="B517" s="1477">
        <v>5849</v>
      </c>
      <c r="C517" s="740" t="s">
        <v>847</v>
      </c>
      <c r="D517" s="739" t="s">
        <v>34</v>
      </c>
      <c r="E517" s="741">
        <f t="shared" si="16"/>
        <v>76.92</v>
      </c>
      <c r="F517">
        <f t="shared" si="17"/>
        <v>5849</v>
      </c>
      <c r="H517" s="1406">
        <v>74.599999999999994</v>
      </c>
      <c r="I517" s="1406">
        <v>76.92</v>
      </c>
    </row>
    <row r="518" spans="2:9" ht="30">
      <c r="B518" s="677">
        <v>5853</v>
      </c>
      <c r="C518" s="733" t="s">
        <v>35</v>
      </c>
      <c r="D518" s="677" t="s">
        <v>34</v>
      </c>
      <c r="E518" s="738">
        <f t="shared" si="16"/>
        <v>77.260000000000005</v>
      </c>
      <c r="F518">
        <f t="shared" si="17"/>
        <v>5853</v>
      </c>
      <c r="H518" s="1405">
        <v>74.94</v>
      </c>
      <c r="I518" s="1405">
        <v>77.260000000000005</v>
      </c>
    </row>
    <row r="519" spans="2:9">
      <c r="B519" s="1477">
        <v>5857</v>
      </c>
      <c r="C519" s="740" t="s">
        <v>848</v>
      </c>
      <c r="D519" s="739" t="s">
        <v>34</v>
      </c>
      <c r="E519" s="741">
        <f t="shared" si="16"/>
        <v>203.67</v>
      </c>
      <c r="F519">
        <f t="shared" si="17"/>
        <v>5857</v>
      </c>
      <c r="H519" s="1406">
        <v>201.35</v>
      </c>
      <c r="I519" s="1406">
        <v>203.67</v>
      </c>
    </row>
    <row r="520" spans="2:9" ht="30">
      <c r="B520" s="677">
        <v>5865</v>
      </c>
      <c r="C520" s="733" t="s">
        <v>849</v>
      </c>
      <c r="D520" s="677" t="s">
        <v>34</v>
      </c>
      <c r="E520" s="738">
        <f t="shared" si="16"/>
        <v>12.26</v>
      </c>
      <c r="F520">
        <f t="shared" si="17"/>
        <v>5865</v>
      </c>
      <c r="H520" s="1405">
        <v>12.26</v>
      </c>
      <c r="I520" s="1405">
        <v>12.26</v>
      </c>
    </row>
    <row r="521" spans="2:9" ht="30">
      <c r="B521" s="1477">
        <v>5869</v>
      </c>
      <c r="C521" s="740" t="s">
        <v>850</v>
      </c>
      <c r="D521" s="739" t="s">
        <v>34</v>
      </c>
      <c r="E521" s="741">
        <f t="shared" si="16"/>
        <v>71.13</v>
      </c>
      <c r="F521">
        <f t="shared" si="17"/>
        <v>5869</v>
      </c>
      <c r="H521" s="1406">
        <v>68.89</v>
      </c>
      <c r="I521" s="1406">
        <v>71.13</v>
      </c>
    </row>
    <row r="522" spans="2:9" ht="45">
      <c r="B522" s="677">
        <v>5877</v>
      </c>
      <c r="C522" s="733" t="s">
        <v>851</v>
      </c>
      <c r="D522" s="677" t="s">
        <v>34</v>
      </c>
      <c r="E522" s="738">
        <f t="shared" si="16"/>
        <v>53.41</v>
      </c>
      <c r="F522">
        <f t="shared" si="17"/>
        <v>5877</v>
      </c>
      <c r="H522" s="1405">
        <v>50.77</v>
      </c>
      <c r="I522" s="1405">
        <v>53.41</v>
      </c>
    </row>
    <row r="523" spans="2:9" ht="30">
      <c r="B523" s="1477">
        <v>5881</v>
      </c>
      <c r="C523" s="740" t="s">
        <v>852</v>
      </c>
      <c r="D523" s="739" t="s">
        <v>34</v>
      </c>
      <c r="E523" s="741">
        <f t="shared" si="16"/>
        <v>76.760000000000005</v>
      </c>
      <c r="F523">
        <f t="shared" si="17"/>
        <v>5881</v>
      </c>
      <c r="H523" s="1406">
        <v>74.52</v>
      </c>
      <c r="I523" s="1406">
        <v>76.760000000000005</v>
      </c>
    </row>
    <row r="524" spans="2:9" ht="30">
      <c r="B524" s="677">
        <v>5884</v>
      </c>
      <c r="C524" s="733" t="s">
        <v>853</v>
      </c>
      <c r="D524" s="677" t="s">
        <v>34</v>
      </c>
      <c r="E524" s="738">
        <f t="shared" si="16"/>
        <v>52.52</v>
      </c>
      <c r="F524">
        <f t="shared" si="17"/>
        <v>5884</v>
      </c>
      <c r="H524" s="1405">
        <v>50.54</v>
      </c>
      <c r="I524" s="1405">
        <v>52.52</v>
      </c>
    </row>
    <row r="525" spans="2:9" ht="30">
      <c r="B525" s="1477">
        <v>5892</v>
      </c>
      <c r="C525" s="740" t="s">
        <v>220</v>
      </c>
      <c r="D525" s="739" t="s">
        <v>34</v>
      </c>
      <c r="E525" s="741">
        <f t="shared" si="16"/>
        <v>58.19</v>
      </c>
      <c r="F525">
        <f t="shared" si="17"/>
        <v>5892</v>
      </c>
      <c r="H525" s="1406">
        <v>54.81</v>
      </c>
      <c r="I525" s="1406">
        <v>58.19</v>
      </c>
    </row>
    <row r="526" spans="2:9" ht="30">
      <c r="B526" s="677">
        <v>5896</v>
      </c>
      <c r="C526" s="733" t="s">
        <v>854</v>
      </c>
      <c r="D526" s="677" t="s">
        <v>34</v>
      </c>
      <c r="E526" s="738">
        <f t="shared" si="16"/>
        <v>60.97</v>
      </c>
      <c r="F526">
        <f t="shared" si="17"/>
        <v>5896</v>
      </c>
      <c r="H526" s="1405">
        <v>57.59</v>
      </c>
      <c r="I526" s="1405">
        <v>60.97</v>
      </c>
    </row>
    <row r="527" spans="2:9" ht="30">
      <c r="B527" s="1477">
        <v>5903</v>
      </c>
      <c r="C527" s="740" t="s">
        <v>855</v>
      </c>
      <c r="D527" s="739" t="s">
        <v>34</v>
      </c>
      <c r="E527" s="741">
        <f t="shared" si="16"/>
        <v>75.34</v>
      </c>
      <c r="F527">
        <f t="shared" si="17"/>
        <v>5903</v>
      </c>
      <c r="H527" s="1406">
        <v>71.959999999999994</v>
      </c>
      <c r="I527" s="1406">
        <v>75.34</v>
      </c>
    </row>
    <row r="528" spans="2:9" ht="30">
      <c r="B528" s="677">
        <v>5911</v>
      </c>
      <c r="C528" s="733" t="s">
        <v>221</v>
      </c>
      <c r="D528" s="677" t="s">
        <v>34</v>
      </c>
      <c r="E528" s="738">
        <f t="shared" si="16"/>
        <v>25.56</v>
      </c>
      <c r="F528">
        <f t="shared" si="17"/>
        <v>5911</v>
      </c>
      <c r="H528" s="1405">
        <v>23.58</v>
      </c>
      <c r="I528" s="1405">
        <v>25.56</v>
      </c>
    </row>
    <row r="529" spans="2:9">
      <c r="B529" s="1477">
        <v>5923</v>
      </c>
      <c r="C529" s="740" t="s">
        <v>856</v>
      </c>
      <c r="D529" s="739" t="s">
        <v>34</v>
      </c>
      <c r="E529" s="741">
        <f t="shared" si="16"/>
        <v>3.33</v>
      </c>
      <c r="F529">
        <f t="shared" si="17"/>
        <v>5923</v>
      </c>
      <c r="H529" s="1406">
        <v>3.33</v>
      </c>
      <c r="I529" s="1406">
        <v>3.33</v>
      </c>
    </row>
    <row r="530" spans="2:9" ht="30">
      <c r="B530" s="677">
        <v>5930</v>
      </c>
      <c r="C530" s="733" t="s">
        <v>857</v>
      </c>
      <c r="D530" s="677" t="s">
        <v>34</v>
      </c>
      <c r="E530" s="738">
        <f t="shared" si="16"/>
        <v>75.08</v>
      </c>
      <c r="F530">
        <f t="shared" si="17"/>
        <v>5930</v>
      </c>
      <c r="H530" s="1405">
        <v>71.23</v>
      </c>
      <c r="I530" s="1405">
        <v>75.08</v>
      </c>
    </row>
    <row r="531" spans="2:9" ht="30">
      <c r="B531" s="1477">
        <v>5934</v>
      </c>
      <c r="C531" s="740" t="s">
        <v>36</v>
      </c>
      <c r="D531" s="739" t="s">
        <v>34</v>
      </c>
      <c r="E531" s="741">
        <f t="shared" si="16"/>
        <v>88.84</v>
      </c>
      <c r="F531">
        <f t="shared" si="17"/>
        <v>5934</v>
      </c>
      <c r="H531" s="1406">
        <v>85.6</v>
      </c>
      <c r="I531" s="1406">
        <v>88.84</v>
      </c>
    </row>
    <row r="532" spans="2:9" ht="30">
      <c r="B532" s="677">
        <v>5942</v>
      </c>
      <c r="C532" s="733" t="s">
        <v>858</v>
      </c>
      <c r="D532" s="677" t="s">
        <v>34</v>
      </c>
      <c r="E532" s="738">
        <f t="shared" si="16"/>
        <v>66.69</v>
      </c>
      <c r="F532">
        <f t="shared" si="17"/>
        <v>5942</v>
      </c>
      <c r="H532" s="1405">
        <v>64.430000000000007</v>
      </c>
      <c r="I532" s="1405">
        <v>66.69</v>
      </c>
    </row>
    <row r="533" spans="2:9" ht="30">
      <c r="B533" s="1477">
        <v>5946</v>
      </c>
      <c r="C533" s="740" t="s">
        <v>859</v>
      </c>
      <c r="D533" s="739" t="s">
        <v>34</v>
      </c>
      <c r="E533" s="741">
        <f t="shared" si="16"/>
        <v>84.2</v>
      </c>
      <c r="F533">
        <f t="shared" si="17"/>
        <v>5946</v>
      </c>
      <c r="H533" s="1406">
        <v>81.94</v>
      </c>
      <c r="I533" s="1406">
        <v>84.2</v>
      </c>
    </row>
    <row r="534" spans="2:9">
      <c r="B534" s="677">
        <v>5952</v>
      </c>
      <c r="C534" s="733" t="s">
        <v>418</v>
      </c>
      <c r="D534" s="677" t="s">
        <v>34</v>
      </c>
      <c r="E534" s="738">
        <f t="shared" si="16"/>
        <v>21.09</v>
      </c>
      <c r="F534">
        <f t="shared" si="17"/>
        <v>5952</v>
      </c>
      <c r="H534" s="1405">
        <v>19.13</v>
      </c>
      <c r="I534" s="1405">
        <v>21.09</v>
      </c>
    </row>
    <row r="535" spans="2:9" ht="30">
      <c r="B535" s="1477">
        <v>5954</v>
      </c>
      <c r="C535" s="740" t="s">
        <v>222</v>
      </c>
      <c r="D535" s="739" t="s">
        <v>34</v>
      </c>
      <c r="E535" s="741">
        <f t="shared" si="16"/>
        <v>6.55</v>
      </c>
      <c r="F535">
        <f t="shared" si="17"/>
        <v>5954</v>
      </c>
      <c r="H535" s="1406">
        <v>6.55</v>
      </c>
      <c r="I535" s="1406">
        <v>6.55</v>
      </c>
    </row>
    <row r="536" spans="2:9" ht="30">
      <c r="B536" s="677">
        <v>5961</v>
      </c>
      <c r="C536" s="733" t="s">
        <v>860</v>
      </c>
      <c r="D536" s="677" t="s">
        <v>34</v>
      </c>
      <c r="E536" s="738">
        <f t="shared" si="16"/>
        <v>65.11</v>
      </c>
      <c r="F536">
        <f t="shared" si="17"/>
        <v>5961</v>
      </c>
      <c r="H536" s="1405">
        <v>61.6</v>
      </c>
      <c r="I536" s="1405">
        <v>65.11</v>
      </c>
    </row>
    <row r="537" spans="2:9" ht="30">
      <c r="B537" s="1477">
        <v>6260</v>
      </c>
      <c r="C537" s="740" t="s">
        <v>861</v>
      </c>
      <c r="D537" s="739" t="s">
        <v>34</v>
      </c>
      <c r="E537" s="741">
        <f t="shared" si="16"/>
        <v>62.49</v>
      </c>
      <c r="F537">
        <f t="shared" si="17"/>
        <v>6260</v>
      </c>
      <c r="H537" s="1406">
        <v>59.11</v>
      </c>
      <c r="I537" s="1406">
        <v>62.49</v>
      </c>
    </row>
    <row r="538" spans="2:9" ht="30">
      <c r="B538" s="677">
        <v>6880</v>
      </c>
      <c r="C538" s="733" t="s">
        <v>862</v>
      </c>
      <c r="D538" s="677" t="s">
        <v>34</v>
      </c>
      <c r="E538" s="738">
        <f t="shared" si="16"/>
        <v>84.75</v>
      </c>
      <c r="F538">
        <f t="shared" si="17"/>
        <v>6880</v>
      </c>
      <c r="H538" s="1405">
        <v>82.51</v>
      </c>
      <c r="I538" s="1405">
        <v>84.75</v>
      </c>
    </row>
    <row r="539" spans="2:9">
      <c r="B539" s="1477">
        <v>7031</v>
      </c>
      <c r="C539" s="740" t="s">
        <v>7901</v>
      </c>
      <c r="D539" s="739" t="s">
        <v>34</v>
      </c>
      <c r="E539" s="741">
        <f t="shared" si="16"/>
        <v>5.86</v>
      </c>
      <c r="F539">
        <f t="shared" si="17"/>
        <v>7031</v>
      </c>
      <c r="H539" s="1406">
        <v>5.86</v>
      </c>
      <c r="I539" s="1406">
        <v>5.86</v>
      </c>
    </row>
    <row r="540" spans="2:9" ht="30">
      <c r="B540" s="677">
        <v>7043</v>
      </c>
      <c r="C540" s="733" t="s">
        <v>863</v>
      </c>
      <c r="D540" s="677" t="s">
        <v>34</v>
      </c>
      <c r="E540" s="738">
        <f t="shared" si="16"/>
        <v>0.28999999999999998</v>
      </c>
      <c r="F540">
        <f t="shared" si="17"/>
        <v>7043</v>
      </c>
      <c r="H540" s="1405">
        <v>0.28999999999999998</v>
      </c>
      <c r="I540" s="1405">
        <v>0.28999999999999998</v>
      </c>
    </row>
    <row r="541" spans="2:9" ht="30">
      <c r="B541" s="1477">
        <v>7050</v>
      </c>
      <c r="C541" s="740" t="s">
        <v>864</v>
      </c>
      <c r="D541" s="739" t="s">
        <v>34</v>
      </c>
      <c r="E541" s="741">
        <f t="shared" si="16"/>
        <v>77.64</v>
      </c>
      <c r="F541">
        <f t="shared" si="17"/>
        <v>7050</v>
      </c>
      <c r="H541" s="1406">
        <v>75.400000000000006</v>
      </c>
      <c r="I541" s="1406">
        <v>77.64</v>
      </c>
    </row>
    <row r="542" spans="2:9" ht="30">
      <c r="B542" s="677">
        <v>67827</v>
      </c>
      <c r="C542" s="733" t="s">
        <v>865</v>
      </c>
      <c r="D542" s="677" t="s">
        <v>34</v>
      </c>
      <c r="E542" s="738">
        <f t="shared" si="16"/>
        <v>66.34</v>
      </c>
      <c r="F542">
        <f t="shared" si="17"/>
        <v>67827</v>
      </c>
      <c r="H542" s="1405">
        <v>62.83</v>
      </c>
      <c r="I542" s="1405">
        <v>66.34</v>
      </c>
    </row>
    <row r="543" spans="2:9">
      <c r="B543" s="1477">
        <v>73395</v>
      </c>
      <c r="C543" s="740" t="s">
        <v>866</v>
      </c>
      <c r="D543" s="739" t="s">
        <v>34</v>
      </c>
      <c r="E543" s="741">
        <f t="shared" si="16"/>
        <v>9.67</v>
      </c>
      <c r="F543">
        <f t="shared" si="17"/>
        <v>73395</v>
      </c>
      <c r="H543" s="1406">
        <v>9.67</v>
      </c>
      <c r="I543" s="1406">
        <v>9.67</v>
      </c>
    </row>
    <row r="544" spans="2:9" ht="30">
      <c r="B544" s="677">
        <v>83766</v>
      </c>
      <c r="C544" s="733" t="s">
        <v>867</v>
      </c>
      <c r="D544" s="677" t="s">
        <v>34</v>
      </c>
      <c r="E544" s="738">
        <f t="shared" si="16"/>
        <v>39.229999999999997</v>
      </c>
      <c r="F544">
        <f t="shared" si="17"/>
        <v>83766</v>
      </c>
      <c r="H544" s="1405">
        <v>36.590000000000003</v>
      </c>
      <c r="I544" s="1405">
        <v>39.229999999999997</v>
      </c>
    </row>
    <row r="545" spans="2:9" ht="30">
      <c r="B545" s="1477">
        <v>84013</v>
      </c>
      <c r="C545" s="740" t="s">
        <v>868</v>
      </c>
      <c r="D545" s="739" t="s">
        <v>34</v>
      </c>
      <c r="E545" s="741">
        <f t="shared" si="16"/>
        <v>79.540000000000006</v>
      </c>
      <c r="F545">
        <f t="shared" si="17"/>
        <v>84013</v>
      </c>
      <c r="H545" s="1406">
        <v>76.900000000000006</v>
      </c>
      <c r="I545" s="1406">
        <v>79.540000000000006</v>
      </c>
    </row>
    <row r="546" spans="2:9" ht="30">
      <c r="B546" s="677">
        <v>87446</v>
      </c>
      <c r="C546" s="733" t="s">
        <v>7902</v>
      </c>
      <c r="D546" s="677" t="s">
        <v>34</v>
      </c>
      <c r="E546" s="738">
        <f t="shared" si="16"/>
        <v>0.56000000000000005</v>
      </c>
      <c r="F546">
        <f t="shared" si="17"/>
        <v>87446</v>
      </c>
      <c r="H546" s="1405">
        <v>0.56000000000000005</v>
      </c>
      <c r="I546" s="1405">
        <v>0.56000000000000005</v>
      </c>
    </row>
    <row r="547" spans="2:9" ht="30">
      <c r="B547" s="1477">
        <v>88392</v>
      </c>
      <c r="C547" s="740" t="s">
        <v>7903</v>
      </c>
      <c r="D547" s="739" t="s">
        <v>34</v>
      </c>
      <c r="E547" s="741">
        <f t="shared" si="16"/>
        <v>1.0900000000000001</v>
      </c>
      <c r="F547">
        <f t="shared" si="17"/>
        <v>88392</v>
      </c>
      <c r="H547" s="1406">
        <v>1.0900000000000001</v>
      </c>
      <c r="I547" s="1406">
        <v>1.0900000000000001</v>
      </c>
    </row>
    <row r="548" spans="2:9" ht="30">
      <c r="B548" s="677">
        <v>88398</v>
      </c>
      <c r="C548" s="733" t="s">
        <v>7904</v>
      </c>
      <c r="D548" s="677" t="s">
        <v>34</v>
      </c>
      <c r="E548" s="738">
        <f t="shared" si="16"/>
        <v>1.3</v>
      </c>
      <c r="F548">
        <f t="shared" si="17"/>
        <v>88398</v>
      </c>
      <c r="H548" s="1405">
        <v>1.3</v>
      </c>
      <c r="I548" s="1405">
        <v>1.3</v>
      </c>
    </row>
    <row r="549" spans="2:9" ht="30">
      <c r="B549" s="1477">
        <v>88404</v>
      </c>
      <c r="C549" s="740" t="s">
        <v>7905</v>
      </c>
      <c r="D549" s="739" t="s">
        <v>34</v>
      </c>
      <c r="E549" s="741">
        <f t="shared" si="16"/>
        <v>1.03</v>
      </c>
      <c r="F549">
        <f t="shared" si="17"/>
        <v>88404</v>
      </c>
      <c r="H549" s="1406">
        <v>1.03</v>
      </c>
      <c r="I549" s="1406">
        <v>1.03</v>
      </c>
    </row>
    <row r="550" spans="2:9" ht="30">
      <c r="B550" s="677">
        <v>88430</v>
      </c>
      <c r="C550" s="733" t="s">
        <v>223</v>
      </c>
      <c r="D550" s="677" t="s">
        <v>34</v>
      </c>
      <c r="E550" s="738">
        <f t="shared" si="16"/>
        <v>7.13</v>
      </c>
      <c r="F550">
        <f t="shared" si="17"/>
        <v>88430</v>
      </c>
      <c r="H550" s="1405">
        <v>7.13</v>
      </c>
      <c r="I550" s="1405">
        <v>7.13</v>
      </c>
    </row>
    <row r="551" spans="2:9" ht="30">
      <c r="B551" s="1477">
        <v>88438</v>
      </c>
      <c r="C551" s="740" t="s">
        <v>869</v>
      </c>
      <c r="D551" s="739" t="s">
        <v>34</v>
      </c>
      <c r="E551" s="741">
        <f t="shared" si="16"/>
        <v>9.4499999999999993</v>
      </c>
      <c r="F551">
        <f t="shared" si="17"/>
        <v>88438</v>
      </c>
      <c r="H551" s="1406">
        <v>9.4499999999999993</v>
      </c>
      <c r="I551" s="1406">
        <v>9.4499999999999993</v>
      </c>
    </row>
    <row r="552" spans="2:9" ht="30">
      <c r="B552" s="677">
        <v>88831</v>
      </c>
      <c r="C552" s="733" t="s">
        <v>7906</v>
      </c>
      <c r="D552" s="677" t="s">
        <v>34</v>
      </c>
      <c r="E552" s="738">
        <f t="shared" si="16"/>
        <v>0.41</v>
      </c>
      <c r="F552">
        <f t="shared" si="17"/>
        <v>88831</v>
      </c>
      <c r="H552" s="1405">
        <v>0.41</v>
      </c>
      <c r="I552" s="1405">
        <v>0.41</v>
      </c>
    </row>
    <row r="553" spans="2:9">
      <c r="B553" s="1477">
        <v>88844</v>
      </c>
      <c r="C553" s="740" t="s">
        <v>870</v>
      </c>
      <c r="D553" s="739" t="s">
        <v>34</v>
      </c>
      <c r="E553" s="741">
        <f t="shared" si="16"/>
        <v>66.56</v>
      </c>
      <c r="F553">
        <f t="shared" si="17"/>
        <v>88844</v>
      </c>
      <c r="H553" s="1406">
        <v>64.239999999999995</v>
      </c>
      <c r="I553" s="1406">
        <v>66.56</v>
      </c>
    </row>
    <row r="554" spans="2:9" ht="30">
      <c r="B554" s="677">
        <v>88908</v>
      </c>
      <c r="C554" s="733" t="s">
        <v>871</v>
      </c>
      <c r="D554" s="677" t="s">
        <v>34</v>
      </c>
      <c r="E554" s="738">
        <f t="shared" si="16"/>
        <v>88.72</v>
      </c>
      <c r="F554">
        <f t="shared" si="17"/>
        <v>88908</v>
      </c>
      <c r="H554" s="1405">
        <v>86.08</v>
      </c>
      <c r="I554" s="1405">
        <v>88.72</v>
      </c>
    </row>
    <row r="555" spans="2:9" ht="30">
      <c r="B555" s="1477">
        <v>89022</v>
      </c>
      <c r="C555" s="740" t="s">
        <v>872</v>
      </c>
      <c r="D555" s="739" t="s">
        <v>34</v>
      </c>
      <c r="E555" s="741">
        <f t="shared" si="16"/>
        <v>0.34</v>
      </c>
      <c r="F555">
        <f t="shared" si="17"/>
        <v>89022</v>
      </c>
      <c r="H555" s="1406">
        <v>0.34</v>
      </c>
      <c r="I555" s="1406">
        <v>0.34</v>
      </c>
    </row>
    <row r="556" spans="2:9">
      <c r="B556" s="677">
        <v>89027</v>
      </c>
      <c r="C556" s="733" t="s">
        <v>7907</v>
      </c>
      <c r="D556" s="677" t="s">
        <v>34</v>
      </c>
      <c r="E556" s="738">
        <f t="shared" si="16"/>
        <v>4.76</v>
      </c>
      <c r="F556">
        <f t="shared" si="17"/>
        <v>89027</v>
      </c>
      <c r="H556" s="1405">
        <v>4.76</v>
      </c>
      <c r="I556" s="1405">
        <v>4.76</v>
      </c>
    </row>
    <row r="557" spans="2:9">
      <c r="B557" s="1477">
        <v>89031</v>
      </c>
      <c r="C557" s="740" t="s">
        <v>873</v>
      </c>
      <c r="D557" s="739" t="s">
        <v>34</v>
      </c>
      <c r="E557" s="741">
        <f t="shared" si="16"/>
        <v>64.56</v>
      </c>
      <c r="F557">
        <f t="shared" si="17"/>
        <v>89031</v>
      </c>
      <c r="H557" s="1406">
        <v>62.24</v>
      </c>
      <c r="I557" s="1406">
        <v>64.56</v>
      </c>
    </row>
    <row r="558" spans="2:9">
      <c r="B558" s="677">
        <v>89036</v>
      </c>
      <c r="C558" s="733" t="s">
        <v>224</v>
      </c>
      <c r="D558" s="677" t="s">
        <v>34</v>
      </c>
      <c r="E558" s="738">
        <f t="shared" si="16"/>
        <v>39.049999999999997</v>
      </c>
      <c r="F558">
        <f t="shared" si="17"/>
        <v>89036</v>
      </c>
      <c r="H558" s="1405">
        <v>36.729999999999997</v>
      </c>
      <c r="I558" s="1405">
        <v>39.049999999999997</v>
      </c>
    </row>
    <row r="559" spans="2:9">
      <c r="B559" s="1477">
        <v>89218</v>
      </c>
      <c r="C559" s="740" t="s">
        <v>37</v>
      </c>
      <c r="D559" s="739" t="s">
        <v>34</v>
      </c>
      <c r="E559" s="741">
        <f t="shared" si="16"/>
        <v>79.209999999999994</v>
      </c>
      <c r="F559">
        <f t="shared" si="17"/>
        <v>89218</v>
      </c>
      <c r="H559" s="1406">
        <v>74.849999999999994</v>
      </c>
      <c r="I559" s="1406">
        <v>79.209999999999994</v>
      </c>
    </row>
    <row r="560" spans="2:9" ht="30">
      <c r="B560" s="677">
        <v>89226</v>
      </c>
      <c r="C560" s="733" t="s">
        <v>7908</v>
      </c>
      <c r="D560" s="677" t="s">
        <v>34</v>
      </c>
      <c r="E560" s="738">
        <f t="shared" si="16"/>
        <v>1.68</v>
      </c>
      <c r="F560">
        <f t="shared" si="17"/>
        <v>89226</v>
      </c>
      <c r="H560" s="1405">
        <v>1.68</v>
      </c>
      <c r="I560" s="1405">
        <v>1.68</v>
      </c>
    </row>
    <row r="561" spans="2:9">
      <c r="B561" s="1477">
        <v>89235</v>
      </c>
      <c r="C561" s="740" t="s">
        <v>874</v>
      </c>
      <c r="D561" s="739" t="s">
        <v>34</v>
      </c>
      <c r="E561" s="741">
        <f t="shared" si="16"/>
        <v>161.07</v>
      </c>
      <c r="F561">
        <f t="shared" si="17"/>
        <v>89235</v>
      </c>
      <c r="H561" s="1406">
        <v>158.81</v>
      </c>
      <c r="I561" s="1406">
        <v>161.07</v>
      </c>
    </row>
    <row r="562" spans="2:9">
      <c r="B562" s="677">
        <v>89243</v>
      </c>
      <c r="C562" s="733" t="s">
        <v>875</v>
      </c>
      <c r="D562" s="677" t="s">
        <v>34</v>
      </c>
      <c r="E562" s="738">
        <f t="shared" si="16"/>
        <v>347.71</v>
      </c>
      <c r="F562">
        <f t="shared" si="17"/>
        <v>89243</v>
      </c>
      <c r="H562" s="1405">
        <v>345.45</v>
      </c>
      <c r="I562" s="1405">
        <v>347.71</v>
      </c>
    </row>
    <row r="563" spans="2:9">
      <c r="B563" s="1477">
        <v>89251</v>
      </c>
      <c r="C563" s="740" t="s">
        <v>225</v>
      </c>
      <c r="D563" s="739" t="s">
        <v>34</v>
      </c>
      <c r="E563" s="741">
        <f t="shared" si="16"/>
        <v>304.94</v>
      </c>
      <c r="F563">
        <f t="shared" si="17"/>
        <v>89251</v>
      </c>
      <c r="H563" s="1406">
        <v>302.68</v>
      </c>
      <c r="I563" s="1406">
        <v>304.94</v>
      </c>
    </row>
    <row r="564" spans="2:9" ht="30">
      <c r="B564" s="677">
        <v>89258</v>
      </c>
      <c r="C564" s="733" t="s">
        <v>876</v>
      </c>
      <c r="D564" s="677" t="s">
        <v>34</v>
      </c>
      <c r="E564" s="738">
        <f t="shared" si="16"/>
        <v>106.35</v>
      </c>
      <c r="F564">
        <f t="shared" si="17"/>
        <v>89258</v>
      </c>
      <c r="H564" s="1405">
        <v>104.09</v>
      </c>
      <c r="I564" s="1405">
        <v>106.35</v>
      </c>
    </row>
    <row r="565" spans="2:9" ht="30">
      <c r="B565" s="1477">
        <v>89273</v>
      </c>
      <c r="C565" s="740" t="s">
        <v>877</v>
      </c>
      <c r="D565" s="739" t="s">
        <v>34</v>
      </c>
      <c r="E565" s="741">
        <f t="shared" si="16"/>
        <v>100.3</v>
      </c>
      <c r="F565">
        <f t="shared" si="17"/>
        <v>89273</v>
      </c>
      <c r="H565" s="1406">
        <v>97.55</v>
      </c>
      <c r="I565" s="1406">
        <v>100.3</v>
      </c>
    </row>
    <row r="566" spans="2:9" ht="30">
      <c r="B566" s="677">
        <v>89279</v>
      </c>
      <c r="C566" s="733" t="s">
        <v>7909</v>
      </c>
      <c r="D566" s="677" t="s">
        <v>34</v>
      </c>
      <c r="E566" s="738">
        <f t="shared" si="16"/>
        <v>2.04</v>
      </c>
      <c r="F566">
        <f t="shared" si="17"/>
        <v>89279</v>
      </c>
      <c r="H566" s="1405">
        <v>2.04</v>
      </c>
      <c r="I566" s="1405">
        <v>2.04</v>
      </c>
    </row>
    <row r="567" spans="2:9" ht="30">
      <c r="B567" s="1477">
        <v>89877</v>
      </c>
      <c r="C567" s="740" t="s">
        <v>226</v>
      </c>
      <c r="D567" s="739" t="s">
        <v>34</v>
      </c>
      <c r="E567" s="741">
        <f t="shared" si="16"/>
        <v>87.94</v>
      </c>
      <c r="F567">
        <f t="shared" si="17"/>
        <v>89877</v>
      </c>
      <c r="H567" s="1406">
        <v>84.43</v>
      </c>
      <c r="I567" s="1406">
        <v>87.94</v>
      </c>
    </row>
    <row r="568" spans="2:9" ht="30">
      <c r="B568" s="677">
        <v>89884</v>
      </c>
      <c r="C568" s="733" t="s">
        <v>227</v>
      </c>
      <c r="D568" s="677" t="s">
        <v>34</v>
      </c>
      <c r="E568" s="738">
        <f t="shared" si="16"/>
        <v>91.47</v>
      </c>
      <c r="F568">
        <f t="shared" si="17"/>
        <v>89884</v>
      </c>
      <c r="H568" s="1405">
        <v>87.96</v>
      </c>
      <c r="I568" s="1405">
        <v>91.47</v>
      </c>
    </row>
    <row r="569" spans="2:9">
      <c r="B569" s="1477">
        <v>90587</v>
      </c>
      <c r="C569" s="740" t="s">
        <v>878</v>
      </c>
      <c r="D569" s="739" t="s">
        <v>34</v>
      </c>
      <c r="E569" s="741">
        <f t="shared" si="16"/>
        <v>0.49</v>
      </c>
      <c r="F569">
        <f t="shared" si="17"/>
        <v>90587</v>
      </c>
      <c r="H569" s="1406">
        <v>0.49</v>
      </c>
      <c r="I569" s="1406">
        <v>0.49</v>
      </c>
    </row>
    <row r="570" spans="2:9">
      <c r="B570" s="677">
        <v>90626</v>
      </c>
      <c r="C570" s="733" t="s">
        <v>228</v>
      </c>
      <c r="D570" s="677" t="s">
        <v>34</v>
      </c>
      <c r="E570" s="738">
        <f t="shared" si="16"/>
        <v>2.66</v>
      </c>
      <c r="F570">
        <f t="shared" si="17"/>
        <v>90626</v>
      </c>
      <c r="H570" s="1405">
        <v>2.66</v>
      </c>
      <c r="I570" s="1405">
        <v>2.66</v>
      </c>
    </row>
    <row r="571" spans="2:9" ht="30">
      <c r="B571" s="1477">
        <v>90632</v>
      </c>
      <c r="C571" s="740" t="s">
        <v>229</v>
      </c>
      <c r="D571" s="739" t="s">
        <v>34</v>
      </c>
      <c r="E571" s="741">
        <f t="shared" si="16"/>
        <v>80.930000000000007</v>
      </c>
      <c r="F571">
        <f t="shared" si="17"/>
        <v>90632</v>
      </c>
      <c r="H571" s="1406">
        <v>78.61</v>
      </c>
      <c r="I571" s="1406">
        <v>80.930000000000007</v>
      </c>
    </row>
    <row r="572" spans="2:9" ht="30">
      <c r="B572" s="677">
        <v>90638</v>
      </c>
      <c r="C572" s="733" t="s">
        <v>38</v>
      </c>
      <c r="D572" s="677" t="s">
        <v>34</v>
      </c>
      <c r="E572" s="738">
        <f t="shared" si="16"/>
        <v>5.48</v>
      </c>
      <c r="F572">
        <f t="shared" si="17"/>
        <v>90638</v>
      </c>
      <c r="H572" s="1405">
        <v>5.48</v>
      </c>
      <c r="I572" s="1405">
        <v>5.48</v>
      </c>
    </row>
    <row r="573" spans="2:9" ht="30">
      <c r="B573" s="1477">
        <v>90644</v>
      </c>
      <c r="C573" s="740" t="s">
        <v>879</v>
      </c>
      <c r="D573" s="739" t="s">
        <v>34</v>
      </c>
      <c r="E573" s="741">
        <f t="shared" si="16"/>
        <v>8.18</v>
      </c>
      <c r="F573">
        <f t="shared" si="17"/>
        <v>90644</v>
      </c>
      <c r="H573" s="1406">
        <v>8.18</v>
      </c>
      <c r="I573" s="1406">
        <v>8.18</v>
      </c>
    </row>
    <row r="574" spans="2:9" ht="30">
      <c r="B574" s="677">
        <v>90651</v>
      </c>
      <c r="C574" s="733" t="s">
        <v>880</v>
      </c>
      <c r="D574" s="677" t="s">
        <v>34</v>
      </c>
      <c r="E574" s="738">
        <f t="shared" si="16"/>
        <v>0.85</v>
      </c>
      <c r="F574">
        <f t="shared" si="17"/>
        <v>90651</v>
      </c>
      <c r="H574" s="1405">
        <v>0.85</v>
      </c>
      <c r="I574" s="1405">
        <v>0.85</v>
      </c>
    </row>
    <row r="575" spans="2:9">
      <c r="B575" s="1477">
        <v>90657</v>
      </c>
      <c r="C575" s="740" t="s">
        <v>230</v>
      </c>
      <c r="D575" s="739" t="s">
        <v>34</v>
      </c>
      <c r="E575" s="741">
        <f t="shared" si="16"/>
        <v>5.33</v>
      </c>
      <c r="F575">
        <f t="shared" si="17"/>
        <v>90657</v>
      </c>
      <c r="H575" s="1406">
        <v>5.33</v>
      </c>
      <c r="I575" s="1406">
        <v>5.33</v>
      </c>
    </row>
    <row r="576" spans="2:9">
      <c r="B576" s="677">
        <v>90663</v>
      </c>
      <c r="C576" s="733" t="s">
        <v>231</v>
      </c>
      <c r="D576" s="677" t="s">
        <v>34</v>
      </c>
      <c r="E576" s="738">
        <f t="shared" si="16"/>
        <v>5.71</v>
      </c>
      <c r="F576">
        <f t="shared" si="17"/>
        <v>90663</v>
      </c>
      <c r="H576" s="1405">
        <v>5.71</v>
      </c>
      <c r="I576" s="1405">
        <v>5.71</v>
      </c>
    </row>
    <row r="577" spans="2:9" ht="30">
      <c r="B577" s="1477">
        <v>90669</v>
      </c>
      <c r="C577" s="740" t="s">
        <v>7910</v>
      </c>
      <c r="D577" s="739" t="s">
        <v>34</v>
      </c>
      <c r="E577" s="741">
        <f t="shared" si="16"/>
        <v>8.81</v>
      </c>
      <c r="F577">
        <f t="shared" si="17"/>
        <v>90669</v>
      </c>
      <c r="H577" s="1406">
        <v>8.81</v>
      </c>
      <c r="I577" s="1406">
        <v>8.81</v>
      </c>
    </row>
    <row r="578" spans="2:9" ht="45">
      <c r="B578" s="677">
        <v>90675</v>
      </c>
      <c r="C578" s="733" t="s">
        <v>881</v>
      </c>
      <c r="D578" s="677" t="s">
        <v>34</v>
      </c>
      <c r="E578" s="738">
        <f t="shared" si="16"/>
        <v>293.51</v>
      </c>
      <c r="F578">
        <f t="shared" si="17"/>
        <v>90675</v>
      </c>
      <c r="H578" s="1405">
        <v>291.19</v>
      </c>
      <c r="I578" s="1405">
        <v>293.51</v>
      </c>
    </row>
    <row r="579" spans="2:9" ht="45">
      <c r="B579" s="1477">
        <v>90681</v>
      </c>
      <c r="C579" s="740" t="s">
        <v>882</v>
      </c>
      <c r="D579" s="739" t="s">
        <v>34</v>
      </c>
      <c r="E579" s="741">
        <f t="shared" ref="E579:E642" si="18">IF($K$2=$H$1,H579,I579)</f>
        <v>171.19</v>
      </c>
      <c r="F579">
        <f t="shared" ref="F579:F642" si="19">IF(LEN($B579)=7,CONCATENATE(MID($B579,1,6),"00",RIGHT($B579,1)),IF(LEN($B579)=8,CONCATENATE(MID($B579,1,6),"0",RIGHT($B579,2)),$B579))</f>
        <v>90681</v>
      </c>
      <c r="H579" s="1406">
        <v>168.87</v>
      </c>
      <c r="I579" s="1406">
        <v>171.19</v>
      </c>
    </row>
    <row r="580" spans="2:9" ht="30">
      <c r="B580" s="677">
        <v>90687</v>
      </c>
      <c r="C580" s="733" t="s">
        <v>7911</v>
      </c>
      <c r="D580" s="677" t="s">
        <v>34</v>
      </c>
      <c r="E580" s="738">
        <f t="shared" si="18"/>
        <v>59.9</v>
      </c>
      <c r="F580">
        <f t="shared" si="19"/>
        <v>90687</v>
      </c>
      <c r="H580" s="1405">
        <v>57.64</v>
      </c>
      <c r="I580" s="1405">
        <v>59.9</v>
      </c>
    </row>
    <row r="581" spans="2:9" ht="30">
      <c r="B581" s="1477">
        <v>90693</v>
      </c>
      <c r="C581" s="740" t="s">
        <v>883</v>
      </c>
      <c r="D581" s="739" t="s">
        <v>34</v>
      </c>
      <c r="E581" s="741">
        <f t="shared" si="18"/>
        <v>52.03</v>
      </c>
      <c r="F581">
        <f t="shared" si="19"/>
        <v>90693</v>
      </c>
      <c r="H581" s="1406">
        <v>49.77</v>
      </c>
      <c r="I581" s="1406">
        <v>52.03</v>
      </c>
    </row>
    <row r="582" spans="2:9" ht="30">
      <c r="B582" s="677">
        <v>90965</v>
      </c>
      <c r="C582" s="733" t="s">
        <v>232</v>
      </c>
      <c r="D582" s="677" t="s">
        <v>34</v>
      </c>
      <c r="E582" s="738">
        <f t="shared" si="18"/>
        <v>8.76</v>
      </c>
      <c r="F582">
        <f t="shared" si="19"/>
        <v>90965</v>
      </c>
      <c r="H582" s="1405">
        <v>8.76</v>
      </c>
      <c r="I582" s="1405">
        <v>8.76</v>
      </c>
    </row>
    <row r="583" spans="2:9" ht="30">
      <c r="B583" s="1477">
        <v>90973</v>
      </c>
      <c r="C583" s="740" t="s">
        <v>884</v>
      </c>
      <c r="D583" s="739" t="s">
        <v>34</v>
      </c>
      <c r="E583" s="741">
        <f t="shared" si="18"/>
        <v>8.7799999999999994</v>
      </c>
      <c r="F583">
        <f t="shared" si="19"/>
        <v>90973</v>
      </c>
      <c r="H583" s="1406">
        <v>8.7799999999999994</v>
      </c>
      <c r="I583" s="1406">
        <v>8.7799999999999994</v>
      </c>
    </row>
    <row r="584" spans="2:9" ht="30">
      <c r="B584" s="677">
        <v>90982</v>
      </c>
      <c r="C584" s="733" t="s">
        <v>233</v>
      </c>
      <c r="D584" s="677" t="s">
        <v>34</v>
      </c>
      <c r="E584" s="738">
        <f t="shared" si="18"/>
        <v>22.31</v>
      </c>
      <c r="F584">
        <f t="shared" si="19"/>
        <v>90982</v>
      </c>
      <c r="H584" s="1405">
        <v>22.31</v>
      </c>
      <c r="I584" s="1405">
        <v>22.31</v>
      </c>
    </row>
    <row r="585" spans="2:9" ht="30">
      <c r="B585" s="1477">
        <v>91001</v>
      </c>
      <c r="C585" s="740" t="s">
        <v>885</v>
      </c>
      <c r="D585" s="739" t="s">
        <v>34</v>
      </c>
      <c r="E585" s="741">
        <f t="shared" si="18"/>
        <v>10.41</v>
      </c>
      <c r="F585">
        <f t="shared" si="19"/>
        <v>91001</v>
      </c>
      <c r="H585" s="1406">
        <v>10.41</v>
      </c>
      <c r="I585" s="1406">
        <v>10.41</v>
      </c>
    </row>
    <row r="586" spans="2:9" ht="30">
      <c r="B586" s="677">
        <v>91032</v>
      </c>
      <c r="C586" s="733" t="s">
        <v>234</v>
      </c>
      <c r="D586" s="677" t="s">
        <v>34</v>
      </c>
      <c r="E586" s="738">
        <f t="shared" si="18"/>
        <v>69.06</v>
      </c>
      <c r="F586">
        <f t="shared" si="19"/>
        <v>91032</v>
      </c>
      <c r="H586" s="1405">
        <v>65.680000000000007</v>
      </c>
      <c r="I586" s="1405">
        <v>69.06</v>
      </c>
    </row>
    <row r="587" spans="2:9" ht="30">
      <c r="B587" s="1477">
        <v>91278</v>
      </c>
      <c r="C587" s="740" t="s">
        <v>886</v>
      </c>
      <c r="D587" s="739" t="s">
        <v>34</v>
      </c>
      <c r="E587" s="741">
        <f t="shared" si="18"/>
        <v>0.64</v>
      </c>
      <c r="F587">
        <f t="shared" si="19"/>
        <v>91278</v>
      </c>
      <c r="H587" s="1406">
        <v>0.64</v>
      </c>
      <c r="I587" s="1406">
        <v>0.64</v>
      </c>
    </row>
    <row r="588" spans="2:9" ht="30">
      <c r="B588" s="677">
        <v>91285</v>
      </c>
      <c r="C588" s="733" t="s">
        <v>887</v>
      </c>
      <c r="D588" s="677" t="s">
        <v>34</v>
      </c>
      <c r="E588" s="738">
        <f t="shared" si="18"/>
        <v>1.1399999999999999</v>
      </c>
      <c r="F588">
        <f t="shared" si="19"/>
        <v>91285</v>
      </c>
      <c r="H588" s="1405">
        <v>1.1399999999999999</v>
      </c>
      <c r="I588" s="1405">
        <v>1.1399999999999999</v>
      </c>
    </row>
    <row r="589" spans="2:9" ht="30">
      <c r="B589" s="1477">
        <v>91387</v>
      </c>
      <c r="C589" s="740" t="s">
        <v>888</v>
      </c>
      <c r="D589" s="739" t="s">
        <v>34</v>
      </c>
      <c r="E589" s="741">
        <f t="shared" si="18"/>
        <v>75.900000000000006</v>
      </c>
      <c r="F589">
        <f t="shared" si="19"/>
        <v>91387</v>
      </c>
      <c r="H589" s="1406">
        <v>72.39</v>
      </c>
      <c r="I589" s="1406">
        <v>75.900000000000006</v>
      </c>
    </row>
    <row r="590" spans="2:9" ht="30">
      <c r="B590" s="677">
        <v>91395</v>
      </c>
      <c r="C590" s="733" t="s">
        <v>889</v>
      </c>
      <c r="D590" s="677" t="s">
        <v>34</v>
      </c>
      <c r="E590" s="738">
        <f t="shared" si="18"/>
        <v>60.2</v>
      </c>
      <c r="F590">
        <f t="shared" si="19"/>
        <v>91395</v>
      </c>
      <c r="H590" s="1405">
        <v>56.82</v>
      </c>
      <c r="I590" s="1405">
        <v>60.2</v>
      </c>
    </row>
    <row r="591" spans="2:9" ht="30">
      <c r="B591" s="1477">
        <v>91486</v>
      </c>
      <c r="C591" s="740" t="s">
        <v>7912</v>
      </c>
      <c r="D591" s="739" t="s">
        <v>34</v>
      </c>
      <c r="E591" s="741">
        <f t="shared" si="18"/>
        <v>70.760000000000005</v>
      </c>
      <c r="F591">
        <f t="shared" si="19"/>
        <v>91486</v>
      </c>
      <c r="H591" s="1406">
        <v>67.38</v>
      </c>
      <c r="I591" s="1406">
        <v>70.760000000000005</v>
      </c>
    </row>
    <row r="592" spans="2:9" ht="30">
      <c r="B592" s="677">
        <v>91534</v>
      </c>
      <c r="C592" s="733" t="s">
        <v>890</v>
      </c>
      <c r="D592" s="677" t="s">
        <v>34</v>
      </c>
      <c r="E592" s="738">
        <f t="shared" si="18"/>
        <v>22.67</v>
      </c>
      <c r="F592">
        <f t="shared" si="19"/>
        <v>91534</v>
      </c>
      <c r="H592" s="1405">
        <v>20.350000000000001</v>
      </c>
      <c r="I592" s="1405">
        <v>22.67</v>
      </c>
    </row>
    <row r="593" spans="2:9" ht="30">
      <c r="B593" s="1477">
        <v>91635</v>
      </c>
      <c r="C593" s="740" t="s">
        <v>891</v>
      </c>
      <c r="D593" s="739" t="s">
        <v>34</v>
      </c>
      <c r="E593" s="741">
        <f t="shared" si="18"/>
        <v>66.58</v>
      </c>
      <c r="F593">
        <f t="shared" si="19"/>
        <v>91635</v>
      </c>
      <c r="H593" s="1406">
        <v>62.73</v>
      </c>
      <c r="I593" s="1406">
        <v>66.58</v>
      </c>
    </row>
    <row r="594" spans="2:9" ht="30">
      <c r="B594" s="677">
        <v>91646</v>
      </c>
      <c r="C594" s="733" t="s">
        <v>892</v>
      </c>
      <c r="D594" s="677" t="s">
        <v>34</v>
      </c>
      <c r="E594" s="738">
        <f t="shared" si="18"/>
        <v>99.27</v>
      </c>
      <c r="F594">
        <f t="shared" si="19"/>
        <v>91646</v>
      </c>
      <c r="H594" s="1405">
        <v>95.07</v>
      </c>
      <c r="I594" s="1405">
        <v>99.27</v>
      </c>
    </row>
    <row r="595" spans="2:9">
      <c r="B595" s="1477">
        <v>91693</v>
      </c>
      <c r="C595" s="740" t="s">
        <v>893</v>
      </c>
      <c r="D595" s="739" t="s">
        <v>34</v>
      </c>
      <c r="E595" s="741">
        <f t="shared" si="18"/>
        <v>21.85</v>
      </c>
      <c r="F595">
        <f t="shared" si="19"/>
        <v>91693</v>
      </c>
      <c r="H595" s="1406">
        <v>19.53</v>
      </c>
      <c r="I595" s="1406">
        <v>21.85</v>
      </c>
    </row>
    <row r="596" spans="2:9">
      <c r="B596" s="677">
        <v>92044</v>
      </c>
      <c r="C596" s="733" t="s">
        <v>894</v>
      </c>
      <c r="D596" s="677" t="s">
        <v>34</v>
      </c>
      <c r="E596" s="738">
        <f t="shared" si="18"/>
        <v>7.8</v>
      </c>
      <c r="F596">
        <f t="shared" si="19"/>
        <v>92044</v>
      </c>
      <c r="H596" s="1405">
        <v>7.8</v>
      </c>
      <c r="I596" s="1405">
        <v>7.8</v>
      </c>
    </row>
    <row r="597" spans="2:9" ht="45">
      <c r="B597" s="1477">
        <v>92107</v>
      </c>
      <c r="C597" s="740" t="s">
        <v>7913</v>
      </c>
      <c r="D597" s="739" t="s">
        <v>34</v>
      </c>
      <c r="E597" s="741">
        <f t="shared" si="18"/>
        <v>95.75</v>
      </c>
      <c r="F597">
        <f t="shared" si="19"/>
        <v>92107</v>
      </c>
      <c r="H597" s="1406">
        <v>92.37</v>
      </c>
      <c r="I597" s="1406">
        <v>95.75</v>
      </c>
    </row>
    <row r="598" spans="2:9" ht="30">
      <c r="B598" s="677">
        <v>92113</v>
      </c>
      <c r="C598" s="733" t="s">
        <v>7914</v>
      </c>
      <c r="D598" s="677" t="s">
        <v>34</v>
      </c>
      <c r="E598" s="738">
        <f t="shared" si="18"/>
        <v>1.21</v>
      </c>
      <c r="F598">
        <f t="shared" si="19"/>
        <v>92113</v>
      </c>
      <c r="H598" s="1405">
        <v>1.21</v>
      </c>
      <c r="I598" s="1405">
        <v>1.21</v>
      </c>
    </row>
    <row r="599" spans="2:9">
      <c r="B599" s="1477">
        <v>92119</v>
      </c>
      <c r="C599" s="740" t="s">
        <v>7915</v>
      </c>
      <c r="D599" s="739" t="s">
        <v>34</v>
      </c>
      <c r="E599" s="741">
        <f t="shared" si="18"/>
        <v>0.3</v>
      </c>
      <c r="F599">
        <f t="shared" si="19"/>
        <v>92119</v>
      </c>
      <c r="H599" s="1406">
        <v>0.3</v>
      </c>
      <c r="I599" s="1406">
        <v>0.3</v>
      </c>
    </row>
    <row r="600" spans="2:9">
      <c r="B600" s="677">
        <v>92139</v>
      </c>
      <c r="C600" s="733" t="s">
        <v>895</v>
      </c>
      <c r="D600" s="677" t="s">
        <v>34</v>
      </c>
      <c r="E600" s="738">
        <f t="shared" si="18"/>
        <v>44.38</v>
      </c>
      <c r="F600">
        <f t="shared" si="19"/>
        <v>92139</v>
      </c>
      <c r="H600" s="1405">
        <v>41.56</v>
      </c>
      <c r="I600" s="1405">
        <v>44.38</v>
      </c>
    </row>
    <row r="601" spans="2:9" ht="30">
      <c r="B601" s="1477">
        <v>92146</v>
      </c>
      <c r="C601" s="740" t="s">
        <v>235</v>
      </c>
      <c r="D601" s="739" t="s">
        <v>34</v>
      </c>
      <c r="E601" s="741">
        <f t="shared" si="18"/>
        <v>32.43</v>
      </c>
      <c r="F601">
        <f t="shared" si="19"/>
        <v>92146</v>
      </c>
      <c r="H601" s="1406">
        <v>29.61</v>
      </c>
      <c r="I601" s="1406">
        <v>32.43</v>
      </c>
    </row>
    <row r="602" spans="2:9" ht="30">
      <c r="B602" s="677">
        <v>92243</v>
      </c>
      <c r="C602" s="733" t="s">
        <v>896</v>
      </c>
      <c r="D602" s="677" t="s">
        <v>34</v>
      </c>
      <c r="E602" s="738">
        <f t="shared" si="18"/>
        <v>82.06</v>
      </c>
      <c r="F602">
        <f t="shared" si="19"/>
        <v>92243</v>
      </c>
      <c r="H602" s="1405">
        <v>77.86</v>
      </c>
      <c r="I602" s="1405">
        <v>82.06</v>
      </c>
    </row>
    <row r="603" spans="2:9">
      <c r="B603" s="1477">
        <v>92717</v>
      </c>
      <c r="C603" s="740" t="s">
        <v>7916</v>
      </c>
      <c r="D603" s="739" t="s">
        <v>34</v>
      </c>
      <c r="E603" s="741">
        <f t="shared" si="18"/>
        <v>0.23</v>
      </c>
      <c r="F603">
        <f t="shared" si="19"/>
        <v>92717</v>
      </c>
      <c r="H603" s="1406">
        <v>0.23</v>
      </c>
      <c r="I603" s="1406">
        <v>0.23</v>
      </c>
    </row>
    <row r="604" spans="2:9">
      <c r="B604" s="677">
        <v>92961</v>
      </c>
      <c r="C604" s="733" t="s">
        <v>897</v>
      </c>
      <c r="D604" s="677" t="s">
        <v>34</v>
      </c>
      <c r="E604" s="738">
        <f t="shared" si="18"/>
        <v>5.29</v>
      </c>
      <c r="F604">
        <f t="shared" si="19"/>
        <v>92961</v>
      </c>
      <c r="H604" s="1405">
        <v>5.29</v>
      </c>
      <c r="I604" s="1405">
        <v>5.29</v>
      </c>
    </row>
    <row r="605" spans="2:9">
      <c r="B605" s="1477">
        <v>92967</v>
      </c>
      <c r="C605" s="740" t="s">
        <v>898</v>
      </c>
      <c r="D605" s="739" t="s">
        <v>34</v>
      </c>
      <c r="E605" s="741">
        <f t="shared" si="18"/>
        <v>21.15</v>
      </c>
      <c r="F605">
        <f t="shared" si="19"/>
        <v>92967</v>
      </c>
      <c r="H605" s="1406">
        <v>19.190000000000001</v>
      </c>
      <c r="I605" s="1406">
        <v>21.15</v>
      </c>
    </row>
    <row r="606" spans="2:9" ht="45">
      <c r="B606" s="677">
        <v>93225</v>
      </c>
      <c r="C606" s="733" t="s">
        <v>899</v>
      </c>
      <c r="D606" s="677" t="s">
        <v>34</v>
      </c>
      <c r="E606" s="738">
        <f t="shared" si="18"/>
        <v>444.35</v>
      </c>
      <c r="F606">
        <f t="shared" si="19"/>
        <v>93225</v>
      </c>
      <c r="H606" s="1405">
        <v>442.03</v>
      </c>
      <c r="I606" s="1405">
        <v>444.35</v>
      </c>
    </row>
    <row r="607" spans="2:9" ht="30">
      <c r="B607" s="1477">
        <v>93234</v>
      </c>
      <c r="C607" s="740" t="s">
        <v>236</v>
      </c>
      <c r="D607" s="739" t="s">
        <v>34</v>
      </c>
      <c r="E607" s="741">
        <f t="shared" si="18"/>
        <v>0.54</v>
      </c>
      <c r="F607">
        <f t="shared" si="19"/>
        <v>93234</v>
      </c>
      <c r="H607" s="1406">
        <v>0.54</v>
      </c>
      <c r="I607" s="1406">
        <v>0.54</v>
      </c>
    </row>
    <row r="608" spans="2:9" ht="30">
      <c r="B608" s="677">
        <v>93244</v>
      </c>
      <c r="C608" s="733" t="s">
        <v>237</v>
      </c>
      <c r="D608" s="677" t="s">
        <v>34</v>
      </c>
      <c r="E608" s="738">
        <f t="shared" si="18"/>
        <v>63.54</v>
      </c>
      <c r="F608">
        <f t="shared" si="19"/>
        <v>93244</v>
      </c>
      <c r="H608" s="1405">
        <v>61.3</v>
      </c>
      <c r="I608" s="1405">
        <v>63.54</v>
      </c>
    </row>
    <row r="609" spans="2:9">
      <c r="B609" s="1477">
        <v>93274</v>
      </c>
      <c r="C609" s="740" t="s">
        <v>7917</v>
      </c>
      <c r="D609" s="739" t="s">
        <v>34</v>
      </c>
      <c r="E609" s="741">
        <f t="shared" si="18"/>
        <v>63.56</v>
      </c>
      <c r="F609">
        <f t="shared" si="19"/>
        <v>93274</v>
      </c>
      <c r="H609" s="1406">
        <v>60.81</v>
      </c>
      <c r="I609" s="1406">
        <v>63.56</v>
      </c>
    </row>
    <row r="610" spans="2:9">
      <c r="B610" s="677">
        <v>93282</v>
      </c>
      <c r="C610" s="733" t="s">
        <v>900</v>
      </c>
      <c r="D610" s="677" t="s">
        <v>34</v>
      </c>
      <c r="E610" s="738">
        <f t="shared" si="18"/>
        <v>21.33</v>
      </c>
      <c r="F610">
        <f t="shared" si="19"/>
        <v>93282</v>
      </c>
      <c r="H610" s="1405">
        <v>19.12</v>
      </c>
      <c r="I610" s="1405">
        <v>21.33</v>
      </c>
    </row>
    <row r="611" spans="2:9" ht="30">
      <c r="B611" s="1477">
        <v>93288</v>
      </c>
      <c r="C611" s="740" t="s">
        <v>901</v>
      </c>
      <c r="D611" s="739" t="s">
        <v>34</v>
      </c>
      <c r="E611" s="741">
        <f t="shared" si="18"/>
        <v>169.75</v>
      </c>
      <c r="F611">
        <f t="shared" si="19"/>
        <v>93288</v>
      </c>
      <c r="H611" s="1406">
        <v>167</v>
      </c>
      <c r="I611" s="1406">
        <v>169.75</v>
      </c>
    </row>
    <row r="612" spans="2:9" ht="30">
      <c r="B612" s="677">
        <v>93403</v>
      </c>
      <c r="C612" s="733" t="s">
        <v>902</v>
      </c>
      <c r="D612" s="677" t="s">
        <v>34</v>
      </c>
      <c r="E612" s="738">
        <f t="shared" si="18"/>
        <v>72.03</v>
      </c>
      <c r="F612">
        <f t="shared" si="19"/>
        <v>93403</v>
      </c>
      <c r="H612" s="1405">
        <v>68.180000000000007</v>
      </c>
      <c r="I612" s="1405">
        <v>72.03</v>
      </c>
    </row>
    <row r="613" spans="2:9" ht="30">
      <c r="B613" s="1477">
        <v>93409</v>
      </c>
      <c r="C613" s="740" t="s">
        <v>7918</v>
      </c>
      <c r="D613" s="739" t="s">
        <v>34</v>
      </c>
      <c r="E613" s="741">
        <f t="shared" si="18"/>
        <v>27.87</v>
      </c>
      <c r="F613">
        <f t="shared" si="19"/>
        <v>93409</v>
      </c>
      <c r="H613" s="1406">
        <v>25.94</v>
      </c>
      <c r="I613" s="1406">
        <v>27.87</v>
      </c>
    </row>
    <row r="614" spans="2:9">
      <c r="B614" s="677">
        <v>93416</v>
      </c>
      <c r="C614" s="733" t="s">
        <v>903</v>
      </c>
      <c r="D614" s="677" t="s">
        <v>34</v>
      </c>
      <c r="E614" s="738">
        <f t="shared" si="18"/>
        <v>0.46</v>
      </c>
      <c r="F614">
        <f t="shared" si="19"/>
        <v>93416</v>
      </c>
      <c r="H614" s="1405">
        <v>0.46</v>
      </c>
      <c r="I614" s="1405">
        <v>0.46</v>
      </c>
    </row>
    <row r="615" spans="2:9">
      <c r="B615" s="1477">
        <v>93422</v>
      </c>
      <c r="C615" s="740" t="s">
        <v>375</v>
      </c>
      <c r="D615" s="739" t="s">
        <v>34</v>
      </c>
      <c r="E615" s="741">
        <f t="shared" si="18"/>
        <v>6.07</v>
      </c>
      <c r="F615">
        <f t="shared" si="19"/>
        <v>93422</v>
      </c>
      <c r="H615" s="1406">
        <v>6.07</v>
      </c>
      <c r="I615" s="1406">
        <v>6.07</v>
      </c>
    </row>
    <row r="616" spans="2:9">
      <c r="B616" s="677">
        <v>93428</v>
      </c>
      <c r="C616" s="733" t="s">
        <v>904</v>
      </c>
      <c r="D616" s="677" t="s">
        <v>34</v>
      </c>
      <c r="E616" s="738">
        <f t="shared" si="18"/>
        <v>8.6</v>
      </c>
      <c r="F616">
        <f t="shared" si="19"/>
        <v>93428</v>
      </c>
      <c r="H616" s="1405">
        <v>8.6</v>
      </c>
      <c r="I616" s="1405">
        <v>8.6</v>
      </c>
    </row>
    <row r="617" spans="2:9">
      <c r="B617" s="1477">
        <v>93434</v>
      </c>
      <c r="C617" s="740" t="s">
        <v>7919</v>
      </c>
      <c r="D617" s="739" t="s">
        <v>34</v>
      </c>
      <c r="E617" s="741">
        <f t="shared" si="18"/>
        <v>304.95</v>
      </c>
      <c r="F617">
        <f t="shared" si="19"/>
        <v>93434</v>
      </c>
      <c r="H617" s="1406">
        <v>293.79000000000002</v>
      </c>
      <c r="I617" s="1406">
        <v>304.95</v>
      </c>
    </row>
    <row r="618" spans="2:9">
      <c r="B618" s="677">
        <v>93440</v>
      </c>
      <c r="C618" s="733" t="s">
        <v>7920</v>
      </c>
      <c r="D618" s="677" t="s">
        <v>34</v>
      </c>
      <c r="E618" s="738">
        <f t="shared" si="18"/>
        <v>122.05</v>
      </c>
      <c r="F618">
        <f t="shared" si="19"/>
        <v>93440</v>
      </c>
      <c r="H618" s="1405">
        <v>110.89</v>
      </c>
      <c r="I618" s="1405">
        <v>122.05</v>
      </c>
    </row>
    <row r="619" spans="2:9">
      <c r="B619" s="1477">
        <v>95122</v>
      </c>
      <c r="C619" s="740" t="s">
        <v>905</v>
      </c>
      <c r="D619" s="739" t="s">
        <v>34</v>
      </c>
      <c r="E619" s="741">
        <f t="shared" si="18"/>
        <v>201.43</v>
      </c>
      <c r="F619">
        <f t="shared" si="19"/>
        <v>95122</v>
      </c>
      <c r="H619" s="1406">
        <v>190.27</v>
      </c>
      <c r="I619" s="1406">
        <v>201.43</v>
      </c>
    </row>
    <row r="620" spans="2:9">
      <c r="B620" s="677">
        <v>95128</v>
      </c>
      <c r="C620" s="733" t="s">
        <v>419</v>
      </c>
      <c r="D620" s="677" t="s">
        <v>34</v>
      </c>
      <c r="E620" s="738">
        <f t="shared" si="18"/>
        <v>45.1</v>
      </c>
      <c r="F620">
        <f t="shared" si="19"/>
        <v>95128</v>
      </c>
      <c r="H620" s="1405">
        <v>42.78</v>
      </c>
      <c r="I620" s="1405">
        <v>45.1</v>
      </c>
    </row>
    <row r="621" spans="2:9">
      <c r="B621" s="1477">
        <v>95140</v>
      </c>
      <c r="C621" s="740" t="s">
        <v>906</v>
      </c>
      <c r="D621" s="739" t="s">
        <v>34</v>
      </c>
      <c r="E621" s="741">
        <f t="shared" si="18"/>
        <v>0.04</v>
      </c>
      <c r="F621">
        <f t="shared" si="19"/>
        <v>95140</v>
      </c>
      <c r="H621" s="1406">
        <v>0.04</v>
      </c>
      <c r="I621" s="1406">
        <v>0.04</v>
      </c>
    </row>
    <row r="622" spans="2:9">
      <c r="B622" s="677">
        <v>95213</v>
      </c>
      <c r="C622" s="733" t="s">
        <v>7921</v>
      </c>
      <c r="D622" s="677" t="s">
        <v>34</v>
      </c>
      <c r="E622" s="738">
        <f t="shared" si="18"/>
        <v>69.73</v>
      </c>
      <c r="F622">
        <f t="shared" si="19"/>
        <v>95213</v>
      </c>
      <c r="H622" s="1405">
        <v>66.98</v>
      </c>
      <c r="I622" s="1405">
        <v>69.73</v>
      </c>
    </row>
    <row r="623" spans="2:9">
      <c r="B623" s="1477">
        <v>95259</v>
      </c>
      <c r="C623" s="740" t="s">
        <v>504</v>
      </c>
      <c r="D623" s="739" t="s">
        <v>34</v>
      </c>
      <c r="E623" s="741">
        <f t="shared" si="18"/>
        <v>20.87</v>
      </c>
      <c r="F623">
        <f t="shared" si="19"/>
        <v>95259</v>
      </c>
      <c r="H623" s="1406">
        <v>18.91</v>
      </c>
      <c r="I623" s="1406">
        <v>20.87</v>
      </c>
    </row>
    <row r="624" spans="2:9">
      <c r="B624" s="677">
        <v>95265</v>
      </c>
      <c r="C624" s="733" t="s">
        <v>907</v>
      </c>
      <c r="D624" s="677" t="s">
        <v>34</v>
      </c>
      <c r="E624" s="738">
        <f t="shared" si="18"/>
        <v>0.77</v>
      </c>
      <c r="F624">
        <f t="shared" si="19"/>
        <v>95265</v>
      </c>
      <c r="H624" s="1405">
        <v>0.77</v>
      </c>
      <c r="I624" s="1405">
        <v>0.77</v>
      </c>
    </row>
    <row r="625" spans="2:9" ht="30">
      <c r="B625" s="1477">
        <v>95271</v>
      </c>
      <c r="C625" s="740" t="s">
        <v>908</v>
      </c>
      <c r="D625" s="739" t="s">
        <v>34</v>
      </c>
      <c r="E625" s="741">
        <f t="shared" si="18"/>
        <v>0.53</v>
      </c>
      <c r="F625">
        <f t="shared" si="19"/>
        <v>95271</v>
      </c>
      <c r="H625" s="1406">
        <v>0.53</v>
      </c>
      <c r="I625" s="1406">
        <v>0.53</v>
      </c>
    </row>
    <row r="626" spans="2:9">
      <c r="B626" s="677">
        <v>95277</v>
      </c>
      <c r="C626" s="733" t="s">
        <v>7922</v>
      </c>
      <c r="D626" s="677" t="s">
        <v>34</v>
      </c>
      <c r="E626" s="738">
        <f t="shared" si="18"/>
        <v>0.5</v>
      </c>
      <c r="F626">
        <f t="shared" si="19"/>
        <v>95277</v>
      </c>
      <c r="H626" s="1405">
        <v>0.5</v>
      </c>
      <c r="I626" s="1405">
        <v>0.5</v>
      </c>
    </row>
    <row r="627" spans="2:9">
      <c r="B627" s="1477">
        <v>95283</v>
      </c>
      <c r="C627" s="740" t="s">
        <v>7923</v>
      </c>
      <c r="D627" s="739" t="s">
        <v>34</v>
      </c>
      <c r="E627" s="741">
        <f t="shared" si="18"/>
        <v>0.61</v>
      </c>
      <c r="F627">
        <f t="shared" si="19"/>
        <v>95283</v>
      </c>
      <c r="H627" s="1406">
        <v>0.61</v>
      </c>
      <c r="I627" s="1406">
        <v>0.61</v>
      </c>
    </row>
    <row r="628" spans="2:9" ht="30">
      <c r="B628" s="677">
        <v>95621</v>
      </c>
      <c r="C628" s="733" t="s">
        <v>909</v>
      </c>
      <c r="D628" s="677" t="s">
        <v>34</v>
      </c>
      <c r="E628" s="738">
        <f t="shared" si="18"/>
        <v>20.55</v>
      </c>
      <c r="F628">
        <f t="shared" si="19"/>
        <v>95621</v>
      </c>
      <c r="H628" s="1405">
        <v>18.59</v>
      </c>
      <c r="I628" s="1405">
        <v>20.55</v>
      </c>
    </row>
    <row r="629" spans="2:9" ht="30">
      <c r="B629" s="1477">
        <v>95632</v>
      </c>
      <c r="C629" s="740" t="s">
        <v>910</v>
      </c>
      <c r="D629" s="739" t="s">
        <v>34</v>
      </c>
      <c r="E629" s="741">
        <f t="shared" si="18"/>
        <v>82.02</v>
      </c>
      <c r="F629">
        <f t="shared" si="19"/>
        <v>95632</v>
      </c>
      <c r="H629" s="1406">
        <v>79.78</v>
      </c>
      <c r="I629" s="1406">
        <v>82.02</v>
      </c>
    </row>
    <row r="630" spans="2:9">
      <c r="B630" s="677">
        <v>95703</v>
      </c>
      <c r="C630" s="733" t="s">
        <v>911</v>
      </c>
      <c r="D630" s="677" t="s">
        <v>34</v>
      </c>
      <c r="E630" s="738">
        <f t="shared" si="18"/>
        <v>27.61</v>
      </c>
      <c r="F630">
        <f t="shared" si="19"/>
        <v>95703</v>
      </c>
      <c r="H630" s="1405">
        <v>25.29</v>
      </c>
      <c r="I630" s="1405">
        <v>27.61</v>
      </c>
    </row>
    <row r="631" spans="2:9" ht="30">
      <c r="B631" s="1477">
        <v>95709</v>
      </c>
      <c r="C631" s="740" t="s">
        <v>912</v>
      </c>
      <c r="D631" s="739" t="s">
        <v>34</v>
      </c>
      <c r="E631" s="741">
        <f t="shared" si="18"/>
        <v>78.47</v>
      </c>
      <c r="F631">
        <f t="shared" si="19"/>
        <v>95709</v>
      </c>
      <c r="H631" s="1406">
        <v>76.150000000000006</v>
      </c>
      <c r="I631" s="1406">
        <v>78.47</v>
      </c>
    </row>
    <row r="632" spans="2:9" ht="30">
      <c r="B632" s="677">
        <v>95715</v>
      </c>
      <c r="C632" s="733" t="s">
        <v>913</v>
      </c>
      <c r="D632" s="677" t="s">
        <v>34</v>
      </c>
      <c r="E632" s="738">
        <f t="shared" si="18"/>
        <v>92.21</v>
      </c>
      <c r="F632">
        <f t="shared" si="19"/>
        <v>95715</v>
      </c>
      <c r="H632" s="1405">
        <v>89.57</v>
      </c>
      <c r="I632" s="1405">
        <v>92.21</v>
      </c>
    </row>
    <row r="633" spans="2:9" ht="30">
      <c r="B633" s="1477">
        <v>95721</v>
      </c>
      <c r="C633" s="740" t="s">
        <v>914</v>
      </c>
      <c r="D633" s="739" t="s">
        <v>34</v>
      </c>
      <c r="E633" s="741">
        <f t="shared" si="18"/>
        <v>89.67</v>
      </c>
      <c r="F633">
        <f t="shared" si="19"/>
        <v>95721</v>
      </c>
      <c r="H633" s="1406">
        <v>87.03</v>
      </c>
      <c r="I633" s="1406">
        <v>89.67</v>
      </c>
    </row>
    <row r="634" spans="2:9">
      <c r="B634" s="677">
        <v>95873</v>
      </c>
      <c r="C634" s="733" t="s">
        <v>530</v>
      </c>
      <c r="D634" s="677" t="s">
        <v>34</v>
      </c>
      <c r="E634" s="738">
        <f t="shared" si="18"/>
        <v>13.75</v>
      </c>
      <c r="F634">
        <f t="shared" si="19"/>
        <v>95873</v>
      </c>
      <c r="H634" s="1405">
        <v>13.75</v>
      </c>
      <c r="I634" s="1405">
        <v>13.75</v>
      </c>
    </row>
    <row r="635" spans="2:9">
      <c r="B635" s="1477">
        <v>96014</v>
      </c>
      <c r="C635" s="740" t="s">
        <v>588</v>
      </c>
      <c r="D635" s="739" t="s">
        <v>34</v>
      </c>
      <c r="E635" s="741">
        <f t="shared" si="18"/>
        <v>50.03</v>
      </c>
      <c r="F635">
        <f t="shared" si="19"/>
        <v>96014</v>
      </c>
      <c r="H635" s="1406">
        <v>47.71</v>
      </c>
      <c r="I635" s="1406">
        <v>50.03</v>
      </c>
    </row>
    <row r="636" spans="2:9">
      <c r="B636" s="677">
        <v>96021</v>
      </c>
      <c r="C636" s="733" t="s">
        <v>589</v>
      </c>
      <c r="D636" s="677" t="s">
        <v>34</v>
      </c>
      <c r="E636" s="738">
        <f t="shared" si="18"/>
        <v>49.77</v>
      </c>
      <c r="F636">
        <f t="shared" si="19"/>
        <v>96021</v>
      </c>
      <c r="H636" s="1405">
        <v>47.45</v>
      </c>
      <c r="I636" s="1405">
        <v>49.77</v>
      </c>
    </row>
    <row r="637" spans="2:9">
      <c r="B637" s="1477">
        <v>96029</v>
      </c>
      <c r="C637" s="740" t="s">
        <v>590</v>
      </c>
      <c r="D637" s="739" t="s">
        <v>34</v>
      </c>
      <c r="E637" s="741">
        <f t="shared" si="18"/>
        <v>43.44</v>
      </c>
      <c r="F637">
        <f t="shared" si="19"/>
        <v>96029</v>
      </c>
      <c r="H637" s="1406">
        <v>41.12</v>
      </c>
      <c r="I637" s="1406">
        <v>43.44</v>
      </c>
    </row>
    <row r="638" spans="2:9" ht="30">
      <c r="B638" s="677">
        <v>96036</v>
      </c>
      <c r="C638" s="733" t="s">
        <v>591</v>
      </c>
      <c r="D638" s="677" t="s">
        <v>34</v>
      </c>
      <c r="E638" s="738">
        <f t="shared" si="18"/>
        <v>81.849999999999994</v>
      </c>
      <c r="F638">
        <f t="shared" si="19"/>
        <v>96036</v>
      </c>
      <c r="H638" s="1405">
        <v>78.34</v>
      </c>
      <c r="I638" s="1405">
        <v>81.849999999999994</v>
      </c>
    </row>
    <row r="639" spans="2:9">
      <c r="B639" s="1477">
        <v>96155</v>
      </c>
      <c r="C639" s="740" t="s">
        <v>592</v>
      </c>
      <c r="D639" s="739" t="s">
        <v>34</v>
      </c>
      <c r="E639" s="741">
        <f t="shared" si="18"/>
        <v>43.7</v>
      </c>
      <c r="F639">
        <f t="shared" si="19"/>
        <v>96155</v>
      </c>
      <c r="H639" s="1406">
        <v>41.38</v>
      </c>
      <c r="I639" s="1406">
        <v>43.7</v>
      </c>
    </row>
    <row r="640" spans="2:9" ht="30">
      <c r="B640" s="677">
        <v>96156</v>
      </c>
      <c r="C640" s="733" t="s">
        <v>593</v>
      </c>
      <c r="D640" s="677" t="s">
        <v>34</v>
      </c>
      <c r="E640" s="738">
        <f t="shared" si="18"/>
        <v>58.56</v>
      </c>
      <c r="F640">
        <f t="shared" si="19"/>
        <v>96156</v>
      </c>
      <c r="H640" s="1405">
        <v>56.3</v>
      </c>
      <c r="I640" s="1405">
        <v>58.56</v>
      </c>
    </row>
    <row r="641" spans="2:9">
      <c r="B641" s="1477">
        <v>96159</v>
      </c>
      <c r="C641" s="740" t="s">
        <v>915</v>
      </c>
      <c r="D641" s="739" t="s">
        <v>34</v>
      </c>
      <c r="E641" s="741">
        <f t="shared" si="18"/>
        <v>86.64</v>
      </c>
      <c r="F641">
        <f t="shared" si="19"/>
        <v>96159</v>
      </c>
      <c r="H641" s="1406">
        <v>84.38</v>
      </c>
      <c r="I641" s="1406">
        <v>86.64</v>
      </c>
    </row>
    <row r="642" spans="2:9">
      <c r="B642" s="677">
        <v>96246</v>
      </c>
      <c r="C642" s="733" t="s">
        <v>1260</v>
      </c>
      <c r="D642" s="677" t="s">
        <v>34</v>
      </c>
      <c r="E642" s="738">
        <f t="shared" si="18"/>
        <v>58.59</v>
      </c>
      <c r="F642">
        <f t="shared" si="19"/>
        <v>96246</v>
      </c>
      <c r="H642" s="1405">
        <v>55.95</v>
      </c>
      <c r="I642" s="1405">
        <v>58.59</v>
      </c>
    </row>
    <row r="643" spans="2:9" ht="30">
      <c r="B643" s="1477">
        <v>96464</v>
      </c>
      <c r="C643" s="740" t="s">
        <v>1726</v>
      </c>
      <c r="D643" s="739" t="s">
        <v>34</v>
      </c>
      <c r="E643" s="741">
        <f t="shared" ref="E643:E706" si="20">IF($K$2=$H$1,H643,I643)</f>
        <v>88.65</v>
      </c>
      <c r="F643">
        <f t="shared" ref="F643:F706" si="21">IF(LEN($B643)=7,CONCATENATE(MID($B643,1,6),"00",RIGHT($B643,1)),IF(LEN($B643)=8,CONCATENATE(MID($B643,1,6),"0",RIGHT($B643,2)),$B643))</f>
        <v>96464</v>
      </c>
      <c r="H643" s="1406">
        <v>86.41</v>
      </c>
      <c r="I643" s="1406">
        <v>88.65</v>
      </c>
    </row>
    <row r="644" spans="2:9" ht="30">
      <c r="B644" s="677">
        <v>98765</v>
      </c>
      <c r="C644" s="733" t="s">
        <v>2100</v>
      </c>
      <c r="D644" s="677" t="s">
        <v>34</v>
      </c>
      <c r="E644" s="738">
        <f t="shared" si="20"/>
        <v>0.09</v>
      </c>
      <c r="F644">
        <f t="shared" si="21"/>
        <v>98765</v>
      </c>
      <c r="H644" s="1405">
        <v>0.09</v>
      </c>
      <c r="I644" s="1405">
        <v>0.09</v>
      </c>
    </row>
    <row r="645" spans="2:9" ht="30">
      <c r="B645" s="1477">
        <v>99834</v>
      </c>
      <c r="C645" s="740" t="s">
        <v>7924</v>
      </c>
      <c r="D645" s="739" t="s">
        <v>34</v>
      </c>
      <c r="E645" s="741">
        <f t="shared" si="20"/>
        <v>0.24</v>
      </c>
      <c r="F645">
        <f t="shared" si="21"/>
        <v>99834</v>
      </c>
      <c r="H645" s="1406">
        <v>0.24</v>
      </c>
      <c r="I645" s="1406">
        <v>0.24</v>
      </c>
    </row>
    <row r="646" spans="2:9">
      <c r="B646" s="677">
        <v>100642</v>
      </c>
      <c r="C646" s="733" t="s">
        <v>2845</v>
      </c>
      <c r="D646" s="677" t="s">
        <v>34</v>
      </c>
      <c r="E646" s="738">
        <f t="shared" si="20"/>
        <v>273.27</v>
      </c>
      <c r="F646">
        <f t="shared" si="21"/>
        <v>100642</v>
      </c>
      <c r="H646" s="1405">
        <v>270.02999999999997</v>
      </c>
      <c r="I646" s="1405">
        <v>273.27</v>
      </c>
    </row>
    <row r="647" spans="2:9">
      <c r="B647" s="1477">
        <v>100648</v>
      </c>
      <c r="C647" s="740" t="s">
        <v>2846</v>
      </c>
      <c r="D647" s="739" t="s">
        <v>34</v>
      </c>
      <c r="E647" s="741">
        <f t="shared" si="20"/>
        <v>547.02</v>
      </c>
      <c r="F647">
        <f t="shared" si="21"/>
        <v>100648</v>
      </c>
      <c r="H647" s="1406">
        <v>543.78</v>
      </c>
      <c r="I647" s="1406">
        <v>547.02</v>
      </c>
    </row>
    <row r="648" spans="2:9" ht="30">
      <c r="B648" s="677">
        <v>102274</v>
      </c>
      <c r="C648" s="733" t="s">
        <v>4530</v>
      </c>
      <c r="D648" s="677" t="s">
        <v>34</v>
      </c>
      <c r="E648" s="738">
        <f t="shared" si="20"/>
        <v>19.97</v>
      </c>
      <c r="F648">
        <f t="shared" si="21"/>
        <v>102274</v>
      </c>
      <c r="H648" s="1405">
        <v>18.010000000000002</v>
      </c>
      <c r="I648" s="1405">
        <v>19.97</v>
      </c>
    </row>
    <row r="649" spans="2:9" ht="30">
      <c r="B649" s="1477">
        <v>104092</v>
      </c>
      <c r="C649" s="740" t="s">
        <v>5852</v>
      </c>
      <c r="D649" s="739" t="s">
        <v>34</v>
      </c>
      <c r="E649" s="741">
        <f t="shared" si="20"/>
        <v>0.08</v>
      </c>
      <c r="F649">
        <f t="shared" si="21"/>
        <v>104092</v>
      </c>
      <c r="H649" s="1406">
        <v>0.08</v>
      </c>
      <c r="I649" s="1406">
        <v>0.08</v>
      </c>
    </row>
    <row r="650" spans="2:9" ht="30">
      <c r="B650" s="677">
        <v>104098</v>
      </c>
      <c r="C650" s="733" t="s">
        <v>5853</v>
      </c>
      <c r="D650" s="677" t="s">
        <v>34</v>
      </c>
      <c r="E650" s="738">
        <f t="shared" si="20"/>
        <v>0.12</v>
      </c>
      <c r="F650">
        <f t="shared" si="21"/>
        <v>104098</v>
      </c>
      <c r="H650" s="1405">
        <v>0.12</v>
      </c>
      <c r="I650" s="1405">
        <v>0.12</v>
      </c>
    </row>
    <row r="651" spans="2:9" ht="30">
      <c r="B651" s="1477">
        <v>5089</v>
      </c>
      <c r="C651" s="740" t="s">
        <v>238</v>
      </c>
      <c r="D651" s="739" t="s">
        <v>31</v>
      </c>
      <c r="E651" s="741">
        <f t="shared" si="20"/>
        <v>41.71</v>
      </c>
      <c r="F651">
        <f t="shared" si="21"/>
        <v>5089</v>
      </c>
      <c r="H651" s="1406">
        <v>41.71</v>
      </c>
      <c r="I651" s="1406">
        <v>41.71</v>
      </c>
    </row>
    <row r="652" spans="2:9" ht="30">
      <c r="B652" s="677">
        <v>5627</v>
      </c>
      <c r="C652" s="733" t="s">
        <v>916</v>
      </c>
      <c r="D652" s="677" t="s">
        <v>31</v>
      </c>
      <c r="E652" s="738">
        <f t="shared" si="20"/>
        <v>45.87</v>
      </c>
      <c r="F652">
        <f t="shared" si="21"/>
        <v>5627</v>
      </c>
      <c r="H652" s="1405">
        <v>45.87</v>
      </c>
      <c r="I652" s="1405">
        <v>45.87</v>
      </c>
    </row>
    <row r="653" spans="2:9" ht="30">
      <c r="B653" s="1477">
        <v>5628</v>
      </c>
      <c r="C653" s="740" t="s">
        <v>917</v>
      </c>
      <c r="D653" s="739" t="s">
        <v>31</v>
      </c>
      <c r="E653" s="741">
        <f t="shared" si="20"/>
        <v>12.12</v>
      </c>
      <c r="F653">
        <f t="shared" si="21"/>
        <v>5628</v>
      </c>
      <c r="H653" s="1406">
        <v>12.12</v>
      </c>
      <c r="I653" s="1406">
        <v>12.12</v>
      </c>
    </row>
    <row r="654" spans="2:9" ht="30">
      <c r="B654" s="677">
        <v>5629</v>
      </c>
      <c r="C654" s="733" t="s">
        <v>918</v>
      </c>
      <c r="D654" s="677" t="s">
        <v>31</v>
      </c>
      <c r="E654" s="738">
        <f t="shared" si="20"/>
        <v>57.34</v>
      </c>
      <c r="F654">
        <f t="shared" si="21"/>
        <v>5629</v>
      </c>
      <c r="H654" s="1405">
        <v>57.34</v>
      </c>
      <c r="I654" s="1405">
        <v>57.34</v>
      </c>
    </row>
    <row r="655" spans="2:9" ht="30">
      <c r="B655" s="1477">
        <v>5630</v>
      </c>
      <c r="C655" s="740" t="s">
        <v>919</v>
      </c>
      <c r="D655" s="739" t="s">
        <v>31</v>
      </c>
      <c r="E655" s="741">
        <f t="shared" si="20"/>
        <v>63.43</v>
      </c>
      <c r="F655">
        <f t="shared" si="21"/>
        <v>5630</v>
      </c>
      <c r="H655" s="1406">
        <v>63.43</v>
      </c>
      <c r="I655" s="1406">
        <v>63.43</v>
      </c>
    </row>
    <row r="656" spans="2:9" ht="30">
      <c r="B656" s="677">
        <v>5658</v>
      </c>
      <c r="C656" s="733" t="s">
        <v>920</v>
      </c>
      <c r="D656" s="677" t="s">
        <v>31</v>
      </c>
      <c r="E656" s="738">
        <f t="shared" si="20"/>
        <v>2.3199999999999998</v>
      </c>
      <c r="F656">
        <f t="shared" si="21"/>
        <v>5658</v>
      </c>
      <c r="H656" s="1405">
        <v>2.3199999999999998</v>
      </c>
      <c r="I656" s="1405">
        <v>2.3199999999999998</v>
      </c>
    </row>
    <row r="657" spans="2:9" ht="45">
      <c r="B657" s="1477">
        <v>5664</v>
      </c>
      <c r="C657" s="740" t="s">
        <v>921</v>
      </c>
      <c r="D657" s="739" t="s">
        <v>31</v>
      </c>
      <c r="E657" s="741">
        <f t="shared" si="20"/>
        <v>29.93</v>
      </c>
      <c r="F657">
        <f t="shared" si="21"/>
        <v>5664</v>
      </c>
      <c r="H657" s="1406">
        <v>29.93</v>
      </c>
      <c r="I657" s="1406">
        <v>29.93</v>
      </c>
    </row>
    <row r="658" spans="2:9" ht="45">
      <c r="B658" s="677">
        <v>5667</v>
      </c>
      <c r="C658" s="733" t="s">
        <v>922</v>
      </c>
      <c r="D658" s="677" t="s">
        <v>31</v>
      </c>
      <c r="E658" s="738">
        <f t="shared" si="20"/>
        <v>26.62</v>
      </c>
      <c r="F658">
        <f t="shared" si="21"/>
        <v>5667</v>
      </c>
      <c r="H658" s="1405">
        <v>26.62</v>
      </c>
      <c r="I658" s="1405">
        <v>26.62</v>
      </c>
    </row>
    <row r="659" spans="2:9" ht="45">
      <c r="B659" s="1477">
        <v>5668</v>
      </c>
      <c r="C659" s="740" t="s">
        <v>923</v>
      </c>
      <c r="D659" s="739" t="s">
        <v>31</v>
      </c>
      <c r="E659" s="741">
        <f t="shared" si="20"/>
        <v>45.11</v>
      </c>
      <c r="F659">
        <f t="shared" si="21"/>
        <v>5668</v>
      </c>
      <c r="H659" s="1406">
        <v>45.11</v>
      </c>
      <c r="I659" s="1406">
        <v>45.11</v>
      </c>
    </row>
    <row r="660" spans="2:9" ht="30">
      <c r="B660" s="677">
        <v>5674</v>
      </c>
      <c r="C660" s="733" t="s">
        <v>924</v>
      </c>
      <c r="D660" s="677" t="s">
        <v>31</v>
      </c>
      <c r="E660" s="738">
        <f t="shared" si="20"/>
        <v>40.11</v>
      </c>
      <c r="F660">
        <f t="shared" si="21"/>
        <v>5674</v>
      </c>
      <c r="H660" s="1405">
        <v>40.11</v>
      </c>
      <c r="I660" s="1405">
        <v>40.11</v>
      </c>
    </row>
    <row r="661" spans="2:9" ht="30">
      <c r="B661" s="1477">
        <v>5692</v>
      </c>
      <c r="C661" s="740" t="s">
        <v>925</v>
      </c>
      <c r="D661" s="739" t="s">
        <v>31</v>
      </c>
      <c r="E661" s="741">
        <f t="shared" si="20"/>
        <v>0.21</v>
      </c>
      <c r="F661">
        <f t="shared" si="21"/>
        <v>5692</v>
      </c>
      <c r="H661" s="1406">
        <v>0.21</v>
      </c>
      <c r="I661" s="1406">
        <v>0.21</v>
      </c>
    </row>
    <row r="662" spans="2:9" ht="30">
      <c r="B662" s="677">
        <v>5693</v>
      </c>
      <c r="C662" s="733" t="s">
        <v>926</v>
      </c>
      <c r="D662" s="677" t="s">
        <v>31</v>
      </c>
      <c r="E662" s="738">
        <f t="shared" si="20"/>
        <v>19.16</v>
      </c>
      <c r="F662">
        <f t="shared" si="21"/>
        <v>5693</v>
      </c>
      <c r="H662" s="1405">
        <v>19.16</v>
      </c>
      <c r="I662" s="1405">
        <v>19.16</v>
      </c>
    </row>
    <row r="663" spans="2:9" ht="30">
      <c r="B663" s="1477">
        <v>5695</v>
      </c>
      <c r="C663" s="740" t="s">
        <v>927</v>
      </c>
      <c r="D663" s="739" t="s">
        <v>31</v>
      </c>
      <c r="E663" s="741">
        <f t="shared" si="20"/>
        <v>40.200000000000003</v>
      </c>
      <c r="F663">
        <f t="shared" si="21"/>
        <v>5695</v>
      </c>
      <c r="H663" s="1406">
        <v>40.200000000000003</v>
      </c>
      <c r="I663" s="1406">
        <v>40.200000000000003</v>
      </c>
    </row>
    <row r="664" spans="2:9">
      <c r="B664" s="677">
        <v>5703</v>
      </c>
      <c r="C664" s="733" t="s">
        <v>420</v>
      </c>
      <c r="D664" s="677" t="s">
        <v>31</v>
      </c>
      <c r="E664" s="738">
        <f t="shared" si="20"/>
        <v>25.46</v>
      </c>
      <c r="F664">
        <f t="shared" si="21"/>
        <v>5703</v>
      </c>
      <c r="H664" s="1405">
        <v>25.46</v>
      </c>
      <c r="I664" s="1405">
        <v>25.46</v>
      </c>
    </row>
    <row r="665" spans="2:9" ht="30">
      <c r="B665" s="1477">
        <v>5705</v>
      </c>
      <c r="C665" s="740" t="s">
        <v>928</v>
      </c>
      <c r="D665" s="739" t="s">
        <v>31</v>
      </c>
      <c r="E665" s="741">
        <f t="shared" si="20"/>
        <v>39</v>
      </c>
      <c r="F665">
        <f t="shared" si="21"/>
        <v>5705</v>
      </c>
      <c r="H665" s="1406">
        <v>39</v>
      </c>
      <c r="I665" s="1406">
        <v>39</v>
      </c>
    </row>
    <row r="666" spans="2:9">
      <c r="B666" s="677">
        <v>5707</v>
      </c>
      <c r="C666" s="733" t="s">
        <v>929</v>
      </c>
      <c r="D666" s="677" t="s">
        <v>31</v>
      </c>
      <c r="E666" s="738">
        <f t="shared" si="20"/>
        <v>76.39</v>
      </c>
      <c r="F666">
        <f t="shared" si="21"/>
        <v>5707</v>
      </c>
      <c r="H666" s="1405">
        <v>76.39</v>
      </c>
      <c r="I666" s="1405">
        <v>76.39</v>
      </c>
    </row>
    <row r="667" spans="2:9" ht="30">
      <c r="B667" s="1477">
        <v>5710</v>
      </c>
      <c r="C667" s="740" t="s">
        <v>930</v>
      </c>
      <c r="D667" s="739" t="s">
        <v>31</v>
      </c>
      <c r="E667" s="741">
        <f t="shared" si="20"/>
        <v>123.25</v>
      </c>
      <c r="F667">
        <f t="shared" si="21"/>
        <v>5710</v>
      </c>
      <c r="H667" s="1406">
        <v>123.25</v>
      </c>
      <c r="I667" s="1406">
        <v>123.25</v>
      </c>
    </row>
    <row r="668" spans="2:9" ht="30">
      <c r="B668" s="677">
        <v>5711</v>
      </c>
      <c r="C668" s="733" t="s">
        <v>931</v>
      </c>
      <c r="D668" s="677" t="s">
        <v>31</v>
      </c>
      <c r="E668" s="738">
        <f t="shared" si="20"/>
        <v>87.64</v>
      </c>
      <c r="F668">
        <f t="shared" si="21"/>
        <v>5711</v>
      </c>
      <c r="H668" s="1405">
        <v>87.64</v>
      </c>
      <c r="I668" s="1405">
        <v>87.64</v>
      </c>
    </row>
    <row r="669" spans="2:9">
      <c r="B669" s="1477">
        <v>5714</v>
      </c>
      <c r="C669" s="740" t="s">
        <v>239</v>
      </c>
      <c r="D669" s="739" t="s">
        <v>31</v>
      </c>
      <c r="E669" s="741">
        <f t="shared" si="20"/>
        <v>14.95</v>
      </c>
      <c r="F669">
        <f t="shared" si="21"/>
        <v>5714</v>
      </c>
      <c r="H669" s="1406">
        <v>14.95</v>
      </c>
      <c r="I669" s="1406">
        <v>14.95</v>
      </c>
    </row>
    <row r="670" spans="2:9">
      <c r="B670" s="677">
        <v>5715</v>
      </c>
      <c r="C670" s="733" t="s">
        <v>240</v>
      </c>
      <c r="D670" s="677" t="s">
        <v>31</v>
      </c>
      <c r="E670" s="738">
        <f t="shared" si="20"/>
        <v>66.319999999999993</v>
      </c>
      <c r="F670">
        <f t="shared" si="21"/>
        <v>5715</v>
      </c>
      <c r="H670" s="1405">
        <v>66.319999999999993</v>
      </c>
      <c r="I670" s="1405">
        <v>66.319999999999993</v>
      </c>
    </row>
    <row r="671" spans="2:9">
      <c r="B671" s="1477">
        <v>5718</v>
      </c>
      <c r="C671" s="740" t="s">
        <v>932</v>
      </c>
      <c r="D671" s="739" t="s">
        <v>31</v>
      </c>
      <c r="E671" s="741">
        <f t="shared" si="20"/>
        <v>104.6</v>
      </c>
      <c r="F671">
        <f t="shared" si="21"/>
        <v>5718</v>
      </c>
      <c r="H671" s="1406">
        <v>104.6</v>
      </c>
      <c r="I671" s="1406">
        <v>104.6</v>
      </c>
    </row>
    <row r="672" spans="2:9" ht="30">
      <c r="B672" s="677">
        <v>5721</v>
      </c>
      <c r="C672" s="733" t="s">
        <v>39</v>
      </c>
      <c r="D672" s="677" t="s">
        <v>31</v>
      </c>
      <c r="E672" s="738">
        <f t="shared" si="20"/>
        <v>92.29</v>
      </c>
      <c r="F672">
        <f t="shared" si="21"/>
        <v>5721</v>
      </c>
      <c r="H672" s="1405">
        <v>92.29</v>
      </c>
      <c r="I672" s="1405">
        <v>92.29</v>
      </c>
    </row>
    <row r="673" spans="2:9">
      <c r="B673" s="1477">
        <v>5722</v>
      </c>
      <c r="C673" s="740" t="s">
        <v>933</v>
      </c>
      <c r="D673" s="739" t="s">
        <v>31</v>
      </c>
      <c r="E673" s="741">
        <f t="shared" si="20"/>
        <v>213.45</v>
      </c>
      <c r="F673">
        <f t="shared" si="21"/>
        <v>5722</v>
      </c>
      <c r="H673" s="1406">
        <v>213.45</v>
      </c>
      <c r="I673" s="1406">
        <v>213.45</v>
      </c>
    </row>
    <row r="674" spans="2:9">
      <c r="B674" s="677">
        <v>5724</v>
      </c>
      <c r="C674" s="733" t="s">
        <v>934</v>
      </c>
      <c r="D674" s="677" t="s">
        <v>31</v>
      </c>
      <c r="E674" s="738">
        <f t="shared" si="20"/>
        <v>53.18</v>
      </c>
      <c r="F674">
        <f t="shared" si="21"/>
        <v>5724</v>
      </c>
      <c r="H674" s="1405">
        <v>53.18</v>
      </c>
      <c r="I674" s="1405">
        <v>53.18</v>
      </c>
    </row>
    <row r="675" spans="2:9" ht="30">
      <c r="B675" s="1477">
        <v>5727</v>
      </c>
      <c r="C675" s="740" t="s">
        <v>935</v>
      </c>
      <c r="D675" s="739" t="s">
        <v>31</v>
      </c>
      <c r="E675" s="741">
        <f t="shared" si="20"/>
        <v>12.1</v>
      </c>
      <c r="F675">
        <f t="shared" si="21"/>
        <v>5727</v>
      </c>
      <c r="H675" s="1406">
        <v>12.1</v>
      </c>
      <c r="I675" s="1406">
        <v>12.1</v>
      </c>
    </row>
    <row r="676" spans="2:9" ht="30">
      <c r="B676" s="677">
        <v>5729</v>
      </c>
      <c r="C676" s="733" t="s">
        <v>936</v>
      </c>
      <c r="D676" s="677" t="s">
        <v>31</v>
      </c>
      <c r="E676" s="738">
        <f t="shared" si="20"/>
        <v>49.26</v>
      </c>
      <c r="F676">
        <f t="shared" si="21"/>
        <v>5729</v>
      </c>
      <c r="H676" s="1405">
        <v>49.26</v>
      </c>
      <c r="I676" s="1405">
        <v>49.26</v>
      </c>
    </row>
    <row r="677" spans="2:9" ht="30">
      <c r="B677" s="1477">
        <v>5730</v>
      </c>
      <c r="C677" s="740" t="s">
        <v>937</v>
      </c>
      <c r="D677" s="739" t="s">
        <v>31</v>
      </c>
      <c r="E677" s="741">
        <f t="shared" si="20"/>
        <v>40.22</v>
      </c>
      <c r="F677">
        <f t="shared" si="21"/>
        <v>5730</v>
      </c>
      <c r="H677" s="1406">
        <v>40.22</v>
      </c>
      <c r="I677" s="1406">
        <v>40.22</v>
      </c>
    </row>
    <row r="678" spans="2:9" ht="45">
      <c r="B678" s="677">
        <v>5735</v>
      </c>
      <c r="C678" s="733" t="s">
        <v>938</v>
      </c>
      <c r="D678" s="677" t="s">
        <v>31</v>
      </c>
      <c r="E678" s="738">
        <f t="shared" si="20"/>
        <v>28.87</v>
      </c>
      <c r="F678">
        <f t="shared" si="21"/>
        <v>5735</v>
      </c>
      <c r="H678" s="1405">
        <v>28.87</v>
      </c>
      <c r="I678" s="1405">
        <v>28.87</v>
      </c>
    </row>
    <row r="679" spans="2:9" ht="45">
      <c r="B679" s="1477">
        <v>5736</v>
      </c>
      <c r="C679" s="740" t="s">
        <v>939</v>
      </c>
      <c r="D679" s="739" t="s">
        <v>31</v>
      </c>
      <c r="E679" s="741">
        <f t="shared" si="20"/>
        <v>41.11</v>
      </c>
      <c r="F679">
        <f t="shared" si="21"/>
        <v>5736</v>
      </c>
      <c r="H679" s="1406">
        <v>41.11</v>
      </c>
      <c r="I679" s="1406">
        <v>41.11</v>
      </c>
    </row>
    <row r="680" spans="2:9" ht="30">
      <c r="B680" s="677">
        <v>5738</v>
      </c>
      <c r="C680" s="733" t="s">
        <v>940</v>
      </c>
      <c r="D680" s="677" t="s">
        <v>31</v>
      </c>
      <c r="E680" s="738">
        <f t="shared" si="20"/>
        <v>43.8</v>
      </c>
      <c r="F680">
        <f t="shared" si="21"/>
        <v>5738</v>
      </c>
      <c r="H680" s="1405">
        <v>43.8</v>
      </c>
      <c r="I680" s="1405">
        <v>43.8</v>
      </c>
    </row>
    <row r="681" spans="2:9" ht="30">
      <c r="B681" s="1477">
        <v>5739</v>
      </c>
      <c r="C681" s="740" t="s">
        <v>941</v>
      </c>
      <c r="D681" s="739" t="s">
        <v>31</v>
      </c>
      <c r="E681" s="741">
        <f t="shared" si="20"/>
        <v>54.81</v>
      </c>
      <c r="F681">
        <f t="shared" si="21"/>
        <v>5739</v>
      </c>
      <c r="H681" s="1406">
        <v>54.81</v>
      </c>
      <c r="I681" s="1406">
        <v>54.81</v>
      </c>
    </row>
    <row r="682" spans="2:9" ht="30">
      <c r="B682" s="677">
        <v>5741</v>
      </c>
      <c r="C682" s="733" t="s">
        <v>942</v>
      </c>
      <c r="D682" s="677" t="s">
        <v>31</v>
      </c>
      <c r="E682" s="738">
        <f t="shared" si="20"/>
        <v>42.78</v>
      </c>
      <c r="F682">
        <f t="shared" si="21"/>
        <v>5741</v>
      </c>
      <c r="H682" s="1405">
        <v>42.78</v>
      </c>
      <c r="I682" s="1405">
        <v>42.78</v>
      </c>
    </row>
    <row r="683" spans="2:9" ht="30">
      <c r="B683" s="1477">
        <v>5742</v>
      </c>
      <c r="C683" s="740" t="s">
        <v>943</v>
      </c>
      <c r="D683" s="739" t="s">
        <v>31</v>
      </c>
      <c r="E683" s="741">
        <f t="shared" si="20"/>
        <v>27.15</v>
      </c>
      <c r="F683">
        <f t="shared" si="21"/>
        <v>5742</v>
      </c>
      <c r="H683" s="1406">
        <v>27.15</v>
      </c>
      <c r="I683" s="1406">
        <v>27.15</v>
      </c>
    </row>
    <row r="684" spans="2:9" ht="30">
      <c r="B684" s="677">
        <v>5747</v>
      </c>
      <c r="C684" s="733" t="s">
        <v>944</v>
      </c>
      <c r="D684" s="677" t="s">
        <v>31</v>
      </c>
      <c r="E684" s="738">
        <f t="shared" si="20"/>
        <v>155.66999999999999</v>
      </c>
      <c r="F684">
        <f t="shared" si="21"/>
        <v>5747</v>
      </c>
      <c r="H684" s="1405">
        <v>155.66999999999999</v>
      </c>
      <c r="I684" s="1405">
        <v>155.66999999999999</v>
      </c>
    </row>
    <row r="685" spans="2:9" ht="30">
      <c r="B685" s="1477">
        <v>5751</v>
      </c>
      <c r="C685" s="740" t="s">
        <v>241</v>
      </c>
      <c r="D685" s="739" t="s">
        <v>31</v>
      </c>
      <c r="E685" s="741">
        <f t="shared" si="20"/>
        <v>33.700000000000003</v>
      </c>
      <c r="F685">
        <f t="shared" si="21"/>
        <v>5751</v>
      </c>
      <c r="H685" s="1406">
        <v>33.700000000000003</v>
      </c>
      <c r="I685" s="1406">
        <v>33.700000000000003</v>
      </c>
    </row>
    <row r="686" spans="2:9" ht="30">
      <c r="B686" s="677">
        <v>5754</v>
      </c>
      <c r="C686" s="733" t="s">
        <v>945</v>
      </c>
      <c r="D686" s="677" t="s">
        <v>31</v>
      </c>
      <c r="E686" s="738">
        <f t="shared" si="20"/>
        <v>37.01</v>
      </c>
      <c r="F686">
        <f t="shared" si="21"/>
        <v>5754</v>
      </c>
      <c r="H686" s="1405">
        <v>37.01</v>
      </c>
      <c r="I686" s="1405">
        <v>37.01</v>
      </c>
    </row>
    <row r="687" spans="2:9" ht="30">
      <c r="B687" s="1477">
        <v>5763</v>
      </c>
      <c r="C687" s="740" t="s">
        <v>946</v>
      </c>
      <c r="D687" s="739" t="s">
        <v>31</v>
      </c>
      <c r="E687" s="741">
        <f t="shared" si="20"/>
        <v>52.38</v>
      </c>
      <c r="F687">
        <f t="shared" si="21"/>
        <v>5763</v>
      </c>
      <c r="H687" s="1406">
        <v>52.38</v>
      </c>
      <c r="I687" s="1406">
        <v>52.38</v>
      </c>
    </row>
    <row r="688" spans="2:9" ht="30">
      <c r="B688" s="677">
        <v>5765</v>
      </c>
      <c r="C688" s="733" t="s">
        <v>242</v>
      </c>
      <c r="D688" s="677" t="s">
        <v>31</v>
      </c>
      <c r="E688" s="738">
        <f t="shared" si="20"/>
        <v>4.6399999999999997</v>
      </c>
      <c r="F688">
        <f t="shared" si="21"/>
        <v>5765</v>
      </c>
      <c r="H688" s="1405">
        <v>4.6399999999999997</v>
      </c>
      <c r="I688" s="1405">
        <v>4.6399999999999997</v>
      </c>
    </row>
    <row r="689" spans="2:9" ht="30">
      <c r="B689" s="1477">
        <v>5766</v>
      </c>
      <c r="C689" s="740" t="s">
        <v>243</v>
      </c>
      <c r="D689" s="739" t="s">
        <v>31</v>
      </c>
      <c r="E689" s="741">
        <f t="shared" si="20"/>
        <v>2.67</v>
      </c>
      <c r="F689">
        <f t="shared" si="21"/>
        <v>5766</v>
      </c>
      <c r="H689" s="1406">
        <v>2.67</v>
      </c>
      <c r="I689" s="1406">
        <v>2.67</v>
      </c>
    </row>
    <row r="690" spans="2:9" ht="30">
      <c r="B690" s="677">
        <v>5779</v>
      </c>
      <c r="C690" s="733" t="s">
        <v>40</v>
      </c>
      <c r="D690" s="677" t="s">
        <v>31</v>
      </c>
      <c r="E690" s="738">
        <f t="shared" si="20"/>
        <v>71.37</v>
      </c>
      <c r="F690">
        <f t="shared" si="21"/>
        <v>5779</v>
      </c>
      <c r="H690" s="1405">
        <v>71.37</v>
      </c>
      <c r="I690" s="1405">
        <v>71.37</v>
      </c>
    </row>
    <row r="691" spans="2:9" ht="30">
      <c r="B691" s="1477">
        <v>5787</v>
      </c>
      <c r="C691" s="740" t="s">
        <v>947</v>
      </c>
      <c r="D691" s="739" t="s">
        <v>31</v>
      </c>
      <c r="E691" s="741">
        <f t="shared" si="20"/>
        <v>69.260000000000005</v>
      </c>
      <c r="F691">
        <f t="shared" si="21"/>
        <v>5787</v>
      </c>
      <c r="H691" s="1406">
        <v>69.260000000000005</v>
      </c>
      <c r="I691" s="1406">
        <v>69.260000000000005</v>
      </c>
    </row>
    <row r="692" spans="2:9" ht="30">
      <c r="B692" s="677">
        <v>5797</v>
      </c>
      <c r="C692" s="733" t="s">
        <v>244</v>
      </c>
      <c r="D692" s="677" t="s">
        <v>31</v>
      </c>
      <c r="E692" s="738">
        <f t="shared" si="20"/>
        <v>6.47</v>
      </c>
      <c r="F692">
        <f t="shared" si="21"/>
        <v>5797</v>
      </c>
      <c r="H692" s="1405">
        <v>6.47</v>
      </c>
      <c r="I692" s="1405">
        <v>6.47</v>
      </c>
    </row>
    <row r="693" spans="2:9" ht="30">
      <c r="B693" s="1477">
        <v>5800</v>
      </c>
      <c r="C693" s="740" t="s">
        <v>948</v>
      </c>
      <c r="D693" s="739" t="s">
        <v>31</v>
      </c>
      <c r="E693" s="741">
        <f t="shared" si="20"/>
        <v>0.3</v>
      </c>
      <c r="F693">
        <f t="shared" si="21"/>
        <v>5800</v>
      </c>
      <c r="H693" s="1406">
        <v>0.3</v>
      </c>
      <c r="I693" s="1406">
        <v>0.3</v>
      </c>
    </row>
    <row r="694" spans="2:9">
      <c r="B694" s="677">
        <v>7032</v>
      </c>
      <c r="C694" s="733" t="s">
        <v>7925</v>
      </c>
      <c r="D694" s="677" t="s">
        <v>31</v>
      </c>
      <c r="E694" s="738">
        <f t="shared" si="20"/>
        <v>4.28</v>
      </c>
      <c r="F694">
        <f t="shared" si="21"/>
        <v>7032</v>
      </c>
      <c r="H694" s="1405">
        <v>4.28</v>
      </c>
      <c r="I694" s="1405">
        <v>4.28</v>
      </c>
    </row>
    <row r="695" spans="2:9">
      <c r="B695" s="1477">
        <v>7033</v>
      </c>
      <c r="C695" s="740" t="s">
        <v>7926</v>
      </c>
      <c r="D695" s="739" t="s">
        <v>31</v>
      </c>
      <c r="E695" s="741">
        <f t="shared" si="20"/>
        <v>1.58</v>
      </c>
      <c r="F695">
        <f t="shared" si="21"/>
        <v>7033</v>
      </c>
      <c r="H695" s="1406">
        <v>1.58</v>
      </c>
      <c r="I695" s="1406">
        <v>1.58</v>
      </c>
    </row>
    <row r="696" spans="2:9">
      <c r="B696" s="677">
        <v>7034</v>
      </c>
      <c r="C696" s="733" t="s">
        <v>7927</v>
      </c>
      <c r="D696" s="677" t="s">
        <v>31</v>
      </c>
      <c r="E696" s="738">
        <f t="shared" si="20"/>
        <v>5.71</v>
      </c>
      <c r="F696">
        <f t="shared" si="21"/>
        <v>7034</v>
      </c>
      <c r="H696" s="1405">
        <v>5.71</v>
      </c>
      <c r="I696" s="1405">
        <v>5.71</v>
      </c>
    </row>
    <row r="697" spans="2:9">
      <c r="B697" s="1477">
        <v>7035</v>
      </c>
      <c r="C697" s="740" t="s">
        <v>7928</v>
      </c>
      <c r="D697" s="739" t="s">
        <v>31</v>
      </c>
      <c r="E697" s="741">
        <f t="shared" si="20"/>
        <v>252.45</v>
      </c>
      <c r="F697">
        <f t="shared" si="21"/>
        <v>7035</v>
      </c>
      <c r="H697" s="1406">
        <v>252.45</v>
      </c>
      <c r="I697" s="1406">
        <v>252.45</v>
      </c>
    </row>
    <row r="698" spans="2:9" ht="30">
      <c r="B698" s="677">
        <v>7038</v>
      </c>
      <c r="C698" s="733" t="s">
        <v>949</v>
      </c>
      <c r="D698" s="677" t="s">
        <v>31</v>
      </c>
      <c r="E698" s="738">
        <f t="shared" si="20"/>
        <v>50.1</v>
      </c>
      <c r="F698">
        <f t="shared" si="21"/>
        <v>7038</v>
      </c>
      <c r="H698" s="1405">
        <v>50.1</v>
      </c>
      <c r="I698" s="1405">
        <v>50.1</v>
      </c>
    </row>
    <row r="699" spans="2:9" ht="30">
      <c r="B699" s="1477">
        <v>7039</v>
      </c>
      <c r="C699" s="740" t="s">
        <v>950</v>
      </c>
      <c r="D699" s="739" t="s">
        <v>31</v>
      </c>
      <c r="E699" s="741">
        <f t="shared" si="20"/>
        <v>13.44</v>
      </c>
      <c r="F699">
        <f t="shared" si="21"/>
        <v>7039</v>
      </c>
      <c r="H699" s="1406">
        <v>13.44</v>
      </c>
      <c r="I699" s="1406">
        <v>13.44</v>
      </c>
    </row>
    <row r="700" spans="2:9" ht="30">
      <c r="B700" s="677">
        <v>7040</v>
      </c>
      <c r="C700" s="733" t="s">
        <v>951</v>
      </c>
      <c r="D700" s="677" t="s">
        <v>31</v>
      </c>
      <c r="E700" s="738">
        <f t="shared" si="20"/>
        <v>62.69</v>
      </c>
      <c r="F700">
        <f t="shared" si="21"/>
        <v>7040</v>
      </c>
      <c r="H700" s="1405">
        <v>62.69</v>
      </c>
      <c r="I700" s="1405">
        <v>62.69</v>
      </c>
    </row>
    <row r="701" spans="2:9" ht="30">
      <c r="B701" s="1477">
        <v>7044</v>
      </c>
      <c r="C701" s="740" t="s">
        <v>952</v>
      </c>
      <c r="D701" s="739" t="s">
        <v>31</v>
      </c>
      <c r="E701" s="741">
        <f t="shared" si="20"/>
        <v>0.24</v>
      </c>
      <c r="F701">
        <f t="shared" si="21"/>
        <v>7044</v>
      </c>
      <c r="H701" s="1406">
        <v>0.24</v>
      </c>
      <c r="I701" s="1406">
        <v>0.24</v>
      </c>
    </row>
    <row r="702" spans="2:9" ht="30">
      <c r="B702" s="677">
        <v>7045</v>
      </c>
      <c r="C702" s="733" t="s">
        <v>953</v>
      </c>
      <c r="D702" s="677" t="s">
        <v>31</v>
      </c>
      <c r="E702" s="738">
        <f t="shared" si="20"/>
        <v>0.05</v>
      </c>
      <c r="F702">
        <f t="shared" si="21"/>
        <v>7045</v>
      </c>
      <c r="H702" s="1405">
        <v>0.05</v>
      </c>
      <c r="I702" s="1405">
        <v>0.05</v>
      </c>
    </row>
    <row r="703" spans="2:9" ht="30">
      <c r="B703" s="1477">
        <v>7046</v>
      </c>
      <c r="C703" s="740" t="s">
        <v>954</v>
      </c>
      <c r="D703" s="739" t="s">
        <v>31</v>
      </c>
      <c r="E703" s="741">
        <f t="shared" si="20"/>
        <v>0.26</v>
      </c>
      <c r="F703">
        <f t="shared" si="21"/>
        <v>7046</v>
      </c>
      <c r="H703" s="1406">
        <v>0.26</v>
      </c>
      <c r="I703" s="1406">
        <v>0.26</v>
      </c>
    </row>
    <row r="704" spans="2:9" ht="30">
      <c r="B704" s="677">
        <v>7047</v>
      </c>
      <c r="C704" s="733" t="s">
        <v>955</v>
      </c>
      <c r="D704" s="677" t="s">
        <v>31</v>
      </c>
      <c r="E704" s="738">
        <f t="shared" si="20"/>
        <v>22.61</v>
      </c>
      <c r="F704">
        <f t="shared" si="21"/>
        <v>7047</v>
      </c>
      <c r="H704" s="1405">
        <v>22.61</v>
      </c>
      <c r="I704" s="1405">
        <v>22.61</v>
      </c>
    </row>
    <row r="705" spans="2:9" ht="30">
      <c r="B705" s="1477">
        <v>7051</v>
      </c>
      <c r="C705" s="740" t="s">
        <v>956</v>
      </c>
      <c r="D705" s="739" t="s">
        <v>31</v>
      </c>
      <c r="E705" s="741">
        <f t="shared" si="20"/>
        <v>44.43</v>
      </c>
      <c r="F705">
        <f t="shared" si="21"/>
        <v>7051</v>
      </c>
      <c r="H705" s="1406">
        <v>44.43</v>
      </c>
      <c r="I705" s="1406">
        <v>44.43</v>
      </c>
    </row>
    <row r="706" spans="2:9" ht="30">
      <c r="B706" s="677">
        <v>7052</v>
      </c>
      <c r="C706" s="733" t="s">
        <v>957</v>
      </c>
      <c r="D706" s="677" t="s">
        <v>31</v>
      </c>
      <c r="E706" s="738">
        <f t="shared" si="20"/>
        <v>12</v>
      </c>
      <c r="F706">
        <f t="shared" si="21"/>
        <v>7052</v>
      </c>
      <c r="H706" s="1405">
        <v>12</v>
      </c>
      <c r="I706" s="1405">
        <v>12</v>
      </c>
    </row>
    <row r="707" spans="2:9" ht="30">
      <c r="B707" s="1477">
        <v>7053</v>
      </c>
      <c r="C707" s="740" t="s">
        <v>958</v>
      </c>
      <c r="D707" s="739" t="s">
        <v>31</v>
      </c>
      <c r="E707" s="741">
        <f t="shared" ref="E707:E770" si="22">IF($K$2=$H$1,H707,I707)</f>
        <v>55.61</v>
      </c>
      <c r="F707">
        <f t="shared" ref="F707:F770" si="23">IF(LEN($B707)=7,CONCATENATE(MID($B707,1,6),"00",RIGHT($B707,1)),IF(LEN($B707)=8,CONCATENATE(MID($B707,1,6),"0",RIGHT($B707,2)),$B707))</f>
        <v>7053</v>
      </c>
      <c r="H707" s="1406">
        <v>55.61</v>
      </c>
      <c r="I707" s="1406">
        <v>55.61</v>
      </c>
    </row>
    <row r="708" spans="2:9" ht="30">
      <c r="B708" s="677">
        <v>7054</v>
      </c>
      <c r="C708" s="733" t="s">
        <v>959</v>
      </c>
      <c r="D708" s="677" t="s">
        <v>31</v>
      </c>
      <c r="E708" s="738">
        <f t="shared" si="22"/>
        <v>87.87</v>
      </c>
      <c r="F708">
        <f t="shared" si="23"/>
        <v>7054</v>
      </c>
      <c r="H708" s="1405">
        <v>87.87</v>
      </c>
      <c r="I708" s="1405">
        <v>87.87</v>
      </c>
    </row>
    <row r="709" spans="2:9" ht="30">
      <c r="B709" s="1477">
        <v>7058</v>
      </c>
      <c r="C709" s="740" t="s">
        <v>960</v>
      </c>
      <c r="D709" s="739" t="s">
        <v>31</v>
      </c>
      <c r="E709" s="741">
        <f t="shared" si="22"/>
        <v>22.99</v>
      </c>
      <c r="F709">
        <f t="shared" si="23"/>
        <v>7058</v>
      </c>
      <c r="H709" s="1406">
        <v>22.99</v>
      </c>
      <c r="I709" s="1406">
        <v>22.99</v>
      </c>
    </row>
    <row r="710" spans="2:9" ht="30">
      <c r="B710" s="677">
        <v>7059</v>
      </c>
      <c r="C710" s="733" t="s">
        <v>961</v>
      </c>
      <c r="D710" s="677" t="s">
        <v>31</v>
      </c>
      <c r="E710" s="738">
        <f t="shared" si="22"/>
        <v>8.91</v>
      </c>
      <c r="F710">
        <f t="shared" si="23"/>
        <v>7059</v>
      </c>
      <c r="H710" s="1405">
        <v>8.91</v>
      </c>
      <c r="I710" s="1405">
        <v>8.91</v>
      </c>
    </row>
    <row r="711" spans="2:9" ht="30">
      <c r="B711" s="1477">
        <v>7060</v>
      </c>
      <c r="C711" s="740" t="s">
        <v>962</v>
      </c>
      <c r="D711" s="739" t="s">
        <v>31</v>
      </c>
      <c r="E711" s="741">
        <f t="shared" si="22"/>
        <v>41.61</v>
      </c>
      <c r="F711">
        <f t="shared" si="23"/>
        <v>7060</v>
      </c>
      <c r="H711" s="1406">
        <v>41.61</v>
      </c>
      <c r="I711" s="1406">
        <v>41.61</v>
      </c>
    </row>
    <row r="712" spans="2:9" ht="30">
      <c r="B712" s="677">
        <v>7061</v>
      </c>
      <c r="C712" s="733" t="s">
        <v>963</v>
      </c>
      <c r="D712" s="677" t="s">
        <v>31</v>
      </c>
      <c r="E712" s="738">
        <f t="shared" si="22"/>
        <v>80.22</v>
      </c>
      <c r="F712">
        <f t="shared" si="23"/>
        <v>7061</v>
      </c>
      <c r="H712" s="1405">
        <v>80.22</v>
      </c>
      <c r="I712" s="1405">
        <v>80.22</v>
      </c>
    </row>
    <row r="713" spans="2:9">
      <c r="B713" s="1477">
        <v>7063</v>
      </c>
      <c r="C713" s="740" t="s">
        <v>245</v>
      </c>
      <c r="D713" s="739" t="s">
        <v>31</v>
      </c>
      <c r="E713" s="741">
        <f t="shared" si="22"/>
        <v>18.66</v>
      </c>
      <c r="F713">
        <f t="shared" si="23"/>
        <v>7063</v>
      </c>
      <c r="H713" s="1406">
        <v>18.66</v>
      </c>
      <c r="I713" s="1406">
        <v>18.66</v>
      </c>
    </row>
    <row r="714" spans="2:9">
      <c r="B714" s="677">
        <v>7064</v>
      </c>
      <c r="C714" s="733" t="s">
        <v>246</v>
      </c>
      <c r="D714" s="677" t="s">
        <v>31</v>
      </c>
      <c r="E714" s="738">
        <f t="shared" si="22"/>
        <v>5.04</v>
      </c>
      <c r="F714">
        <f t="shared" si="23"/>
        <v>7064</v>
      </c>
      <c r="H714" s="1405">
        <v>5.04</v>
      </c>
      <c r="I714" s="1405">
        <v>5.04</v>
      </c>
    </row>
    <row r="715" spans="2:9">
      <c r="B715" s="1477">
        <v>7065</v>
      </c>
      <c r="C715" s="740" t="s">
        <v>247</v>
      </c>
      <c r="D715" s="739" t="s">
        <v>31</v>
      </c>
      <c r="E715" s="741">
        <f t="shared" si="22"/>
        <v>20.41</v>
      </c>
      <c r="F715">
        <f t="shared" si="23"/>
        <v>7065</v>
      </c>
      <c r="H715" s="1406">
        <v>20.41</v>
      </c>
      <c r="I715" s="1406">
        <v>20.41</v>
      </c>
    </row>
    <row r="716" spans="2:9">
      <c r="B716" s="677">
        <v>7066</v>
      </c>
      <c r="C716" s="733" t="s">
        <v>248</v>
      </c>
      <c r="D716" s="677" t="s">
        <v>31</v>
      </c>
      <c r="E716" s="738">
        <f t="shared" si="22"/>
        <v>95.18</v>
      </c>
      <c r="F716">
        <f t="shared" si="23"/>
        <v>7066</v>
      </c>
      <c r="H716" s="1405">
        <v>95.18</v>
      </c>
      <c r="I716" s="1405">
        <v>95.18</v>
      </c>
    </row>
    <row r="717" spans="2:9" ht="45">
      <c r="B717" s="1477">
        <v>53786</v>
      </c>
      <c r="C717" s="740" t="s">
        <v>964</v>
      </c>
      <c r="D717" s="739" t="s">
        <v>31</v>
      </c>
      <c r="E717" s="741">
        <f t="shared" si="22"/>
        <v>50.24</v>
      </c>
      <c r="F717">
        <f t="shared" si="23"/>
        <v>53786</v>
      </c>
      <c r="H717" s="1406">
        <v>50.24</v>
      </c>
      <c r="I717" s="1406">
        <v>50.24</v>
      </c>
    </row>
    <row r="718" spans="2:9" ht="30">
      <c r="B718" s="677">
        <v>53788</v>
      </c>
      <c r="C718" s="733" t="s">
        <v>965</v>
      </c>
      <c r="D718" s="677" t="s">
        <v>31</v>
      </c>
      <c r="E718" s="738">
        <f t="shared" si="22"/>
        <v>56.24</v>
      </c>
      <c r="F718">
        <f t="shared" si="23"/>
        <v>53788</v>
      </c>
      <c r="H718" s="1405">
        <v>56.24</v>
      </c>
      <c r="I718" s="1405">
        <v>56.24</v>
      </c>
    </row>
    <row r="719" spans="2:9" ht="30">
      <c r="B719" s="1477">
        <v>53792</v>
      </c>
      <c r="C719" s="740" t="s">
        <v>966</v>
      </c>
      <c r="D719" s="739" t="s">
        <v>31</v>
      </c>
      <c r="E719" s="741">
        <f t="shared" si="22"/>
        <v>99.71</v>
      </c>
      <c r="F719">
        <f t="shared" si="23"/>
        <v>53792</v>
      </c>
      <c r="H719" s="1406">
        <v>99.71</v>
      </c>
      <c r="I719" s="1406">
        <v>99.71</v>
      </c>
    </row>
    <row r="720" spans="2:9">
      <c r="B720" s="677">
        <v>53794</v>
      </c>
      <c r="C720" s="733" t="s">
        <v>421</v>
      </c>
      <c r="D720" s="677" t="s">
        <v>31</v>
      </c>
      <c r="E720" s="738">
        <f t="shared" si="22"/>
        <v>35.619999999999997</v>
      </c>
      <c r="F720">
        <f t="shared" si="23"/>
        <v>53794</v>
      </c>
      <c r="H720" s="1405">
        <v>35.619999999999997</v>
      </c>
      <c r="I720" s="1405">
        <v>35.619999999999997</v>
      </c>
    </row>
    <row r="721" spans="2:9" ht="45">
      <c r="B721" s="1477">
        <v>53797</v>
      </c>
      <c r="C721" s="740" t="s">
        <v>967</v>
      </c>
      <c r="D721" s="739" t="s">
        <v>31</v>
      </c>
      <c r="E721" s="741">
        <f t="shared" si="22"/>
        <v>114.67</v>
      </c>
      <c r="F721">
        <f t="shared" si="23"/>
        <v>53797</v>
      </c>
      <c r="H721" s="1406">
        <v>114.67</v>
      </c>
      <c r="I721" s="1406">
        <v>114.67</v>
      </c>
    </row>
    <row r="722" spans="2:9" ht="30">
      <c r="B722" s="677">
        <v>53804</v>
      </c>
      <c r="C722" s="733" t="s">
        <v>968</v>
      </c>
      <c r="D722" s="677" t="s">
        <v>31</v>
      </c>
      <c r="E722" s="738">
        <f t="shared" si="22"/>
        <v>4.82</v>
      </c>
      <c r="F722">
        <f t="shared" si="23"/>
        <v>53804</v>
      </c>
      <c r="H722" s="1405">
        <v>4.82</v>
      </c>
      <c r="I722" s="1405">
        <v>4.82</v>
      </c>
    </row>
    <row r="723" spans="2:9">
      <c r="B723" s="1477">
        <v>53806</v>
      </c>
      <c r="C723" s="740" t="s">
        <v>969</v>
      </c>
      <c r="D723" s="739" t="s">
        <v>31</v>
      </c>
      <c r="E723" s="741">
        <f t="shared" si="22"/>
        <v>68.52</v>
      </c>
      <c r="F723">
        <f t="shared" si="23"/>
        <v>53806</v>
      </c>
      <c r="H723" s="1406">
        <v>68.52</v>
      </c>
      <c r="I723" s="1406">
        <v>68.52</v>
      </c>
    </row>
    <row r="724" spans="2:9" ht="30">
      <c r="B724" s="677">
        <v>53810</v>
      </c>
      <c r="C724" s="733" t="s">
        <v>41</v>
      </c>
      <c r="D724" s="677" t="s">
        <v>31</v>
      </c>
      <c r="E724" s="738">
        <f t="shared" si="22"/>
        <v>68.94</v>
      </c>
      <c r="F724">
        <f t="shared" si="23"/>
        <v>53810</v>
      </c>
      <c r="H724" s="1405">
        <v>68.94</v>
      </c>
      <c r="I724" s="1405">
        <v>68.94</v>
      </c>
    </row>
    <row r="725" spans="2:9">
      <c r="B725" s="1477">
        <v>53814</v>
      </c>
      <c r="C725" s="740" t="s">
        <v>970</v>
      </c>
      <c r="D725" s="739" t="s">
        <v>31</v>
      </c>
      <c r="E725" s="741">
        <f t="shared" si="22"/>
        <v>225.83</v>
      </c>
      <c r="F725">
        <f t="shared" si="23"/>
        <v>53814</v>
      </c>
      <c r="H725" s="1406">
        <v>225.83</v>
      </c>
      <c r="I725" s="1406">
        <v>225.83</v>
      </c>
    </row>
    <row r="726" spans="2:9">
      <c r="B726" s="677">
        <v>53817</v>
      </c>
      <c r="C726" s="733" t="s">
        <v>971</v>
      </c>
      <c r="D726" s="677" t="s">
        <v>31</v>
      </c>
      <c r="E726" s="738">
        <f t="shared" si="22"/>
        <v>61.49</v>
      </c>
      <c r="F726">
        <f t="shared" si="23"/>
        <v>53817</v>
      </c>
      <c r="H726" s="1405">
        <v>61.49</v>
      </c>
      <c r="I726" s="1405">
        <v>61.49</v>
      </c>
    </row>
    <row r="727" spans="2:9" ht="30">
      <c r="B727" s="1477">
        <v>53818</v>
      </c>
      <c r="C727" s="740" t="s">
        <v>972</v>
      </c>
      <c r="D727" s="739" t="s">
        <v>31</v>
      </c>
      <c r="E727" s="741">
        <f t="shared" si="22"/>
        <v>9.67</v>
      </c>
      <c r="F727">
        <f t="shared" si="23"/>
        <v>53818</v>
      </c>
      <c r="H727" s="1406">
        <v>9.67</v>
      </c>
      <c r="I727" s="1406">
        <v>9.67</v>
      </c>
    </row>
    <row r="728" spans="2:9" ht="30">
      <c r="B728" s="677">
        <v>53827</v>
      </c>
      <c r="C728" s="733" t="s">
        <v>249</v>
      </c>
      <c r="D728" s="677" t="s">
        <v>31</v>
      </c>
      <c r="E728" s="738">
        <f t="shared" si="22"/>
        <v>112.26</v>
      </c>
      <c r="F728">
        <f t="shared" si="23"/>
        <v>53827</v>
      </c>
      <c r="H728" s="1405">
        <v>112.26</v>
      </c>
      <c r="I728" s="1405">
        <v>112.26</v>
      </c>
    </row>
    <row r="729" spans="2:9" ht="30">
      <c r="B729" s="1477">
        <v>53829</v>
      </c>
      <c r="C729" s="740" t="s">
        <v>973</v>
      </c>
      <c r="D729" s="739" t="s">
        <v>31</v>
      </c>
      <c r="E729" s="741">
        <f t="shared" si="22"/>
        <v>114.67</v>
      </c>
      <c r="F729">
        <f t="shared" si="23"/>
        <v>53829</v>
      </c>
      <c r="H729" s="1406">
        <v>114.67</v>
      </c>
      <c r="I729" s="1406">
        <v>114.67</v>
      </c>
    </row>
    <row r="730" spans="2:9" ht="30">
      <c r="B730" s="677">
        <v>53831</v>
      </c>
      <c r="C730" s="733" t="s">
        <v>974</v>
      </c>
      <c r="D730" s="677" t="s">
        <v>31</v>
      </c>
      <c r="E730" s="738">
        <f t="shared" si="22"/>
        <v>189.42</v>
      </c>
      <c r="F730">
        <f t="shared" si="23"/>
        <v>53831</v>
      </c>
      <c r="H730" s="1405">
        <v>189.42</v>
      </c>
      <c r="I730" s="1405">
        <v>189.42</v>
      </c>
    </row>
    <row r="731" spans="2:9">
      <c r="B731" s="1477">
        <v>53840</v>
      </c>
      <c r="C731" s="740" t="s">
        <v>975</v>
      </c>
      <c r="D731" s="739" t="s">
        <v>31</v>
      </c>
      <c r="E731" s="741">
        <f t="shared" si="22"/>
        <v>2.62</v>
      </c>
      <c r="F731">
        <f t="shared" si="23"/>
        <v>53840</v>
      </c>
      <c r="H731" s="1406">
        <v>2.62</v>
      </c>
      <c r="I731" s="1406">
        <v>2.62</v>
      </c>
    </row>
    <row r="732" spans="2:9">
      <c r="B732" s="677">
        <v>53841</v>
      </c>
      <c r="C732" s="733" t="s">
        <v>976</v>
      </c>
      <c r="D732" s="677" t="s">
        <v>31</v>
      </c>
      <c r="E732" s="738">
        <f t="shared" si="22"/>
        <v>1.82</v>
      </c>
      <c r="F732">
        <f t="shared" si="23"/>
        <v>53841</v>
      </c>
      <c r="H732" s="1405">
        <v>1.82</v>
      </c>
      <c r="I732" s="1405">
        <v>1.82</v>
      </c>
    </row>
    <row r="733" spans="2:9" ht="30">
      <c r="B733" s="1477">
        <v>53849</v>
      </c>
      <c r="C733" s="740" t="s">
        <v>977</v>
      </c>
      <c r="D733" s="739" t="s">
        <v>31</v>
      </c>
      <c r="E733" s="741">
        <f t="shared" si="22"/>
        <v>82.4</v>
      </c>
      <c r="F733">
        <f t="shared" si="23"/>
        <v>53849</v>
      </c>
      <c r="H733" s="1406">
        <v>82.4</v>
      </c>
      <c r="I733" s="1406">
        <v>82.4</v>
      </c>
    </row>
    <row r="734" spans="2:9" ht="30">
      <c r="B734" s="677">
        <v>53857</v>
      </c>
      <c r="C734" s="733" t="s">
        <v>978</v>
      </c>
      <c r="D734" s="677" t="s">
        <v>31</v>
      </c>
      <c r="E734" s="738">
        <f t="shared" si="22"/>
        <v>64</v>
      </c>
      <c r="F734">
        <f t="shared" si="23"/>
        <v>53857</v>
      </c>
      <c r="H734" s="1405">
        <v>64</v>
      </c>
      <c r="I734" s="1405">
        <v>64</v>
      </c>
    </row>
    <row r="735" spans="2:9" ht="30">
      <c r="B735" s="1477">
        <v>53858</v>
      </c>
      <c r="C735" s="740" t="s">
        <v>979</v>
      </c>
      <c r="D735" s="739" t="s">
        <v>31</v>
      </c>
      <c r="E735" s="741">
        <f t="shared" si="22"/>
        <v>44.99</v>
      </c>
      <c r="F735">
        <f t="shared" si="23"/>
        <v>53858</v>
      </c>
      <c r="H735" s="1406">
        <v>44.99</v>
      </c>
      <c r="I735" s="1406">
        <v>44.99</v>
      </c>
    </row>
    <row r="736" spans="2:9" ht="30">
      <c r="B736" s="677">
        <v>53861</v>
      </c>
      <c r="C736" s="733" t="s">
        <v>980</v>
      </c>
      <c r="D736" s="677" t="s">
        <v>31</v>
      </c>
      <c r="E736" s="738">
        <f t="shared" si="22"/>
        <v>62.12</v>
      </c>
      <c r="F736">
        <f t="shared" si="23"/>
        <v>53861</v>
      </c>
      <c r="H736" s="1405">
        <v>62.12</v>
      </c>
      <c r="I736" s="1405">
        <v>62.12</v>
      </c>
    </row>
    <row r="737" spans="2:9">
      <c r="B737" s="1477">
        <v>53863</v>
      </c>
      <c r="C737" s="740" t="s">
        <v>981</v>
      </c>
      <c r="D737" s="739" t="s">
        <v>31</v>
      </c>
      <c r="E737" s="741">
        <f t="shared" si="22"/>
        <v>2.0299999999999998</v>
      </c>
      <c r="F737">
        <f t="shared" si="23"/>
        <v>53863</v>
      </c>
      <c r="H737" s="1406">
        <v>2.0299999999999998</v>
      </c>
      <c r="I737" s="1406">
        <v>2.0299999999999998</v>
      </c>
    </row>
    <row r="738" spans="2:9" ht="30">
      <c r="B738" s="677">
        <v>53865</v>
      </c>
      <c r="C738" s="733" t="s">
        <v>982</v>
      </c>
      <c r="D738" s="677" t="s">
        <v>31</v>
      </c>
      <c r="E738" s="738">
        <f t="shared" si="22"/>
        <v>46.41</v>
      </c>
      <c r="F738">
        <f t="shared" si="23"/>
        <v>53865</v>
      </c>
      <c r="H738" s="1405">
        <v>46.41</v>
      </c>
      <c r="I738" s="1405">
        <v>46.41</v>
      </c>
    </row>
    <row r="739" spans="2:9" ht="30">
      <c r="B739" s="1477">
        <v>53866</v>
      </c>
      <c r="C739" s="740" t="s">
        <v>983</v>
      </c>
      <c r="D739" s="739" t="s">
        <v>31</v>
      </c>
      <c r="E739" s="741">
        <f t="shared" si="22"/>
        <v>2.04</v>
      </c>
      <c r="F739">
        <f t="shared" si="23"/>
        <v>53866</v>
      </c>
      <c r="H739" s="1406">
        <v>2.04</v>
      </c>
      <c r="I739" s="1406">
        <v>2.04</v>
      </c>
    </row>
    <row r="740" spans="2:9" ht="30">
      <c r="B740" s="677">
        <v>53882</v>
      </c>
      <c r="C740" s="733" t="s">
        <v>984</v>
      </c>
      <c r="D740" s="677" t="s">
        <v>31</v>
      </c>
      <c r="E740" s="738">
        <f t="shared" si="22"/>
        <v>37.39</v>
      </c>
      <c r="F740">
        <f t="shared" si="23"/>
        <v>53882</v>
      </c>
      <c r="H740" s="1405">
        <v>37.39</v>
      </c>
      <c r="I740" s="1405">
        <v>37.39</v>
      </c>
    </row>
    <row r="741" spans="2:9" ht="30">
      <c r="B741" s="1477">
        <v>55263</v>
      </c>
      <c r="C741" s="740" t="s">
        <v>985</v>
      </c>
      <c r="D741" s="739" t="s">
        <v>31</v>
      </c>
      <c r="E741" s="741">
        <f t="shared" si="22"/>
        <v>63.43</v>
      </c>
      <c r="F741">
        <f t="shared" si="23"/>
        <v>55263</v>
      </c>
      <c r="H741" s="1406">
        <v>63.43</v>
      </c>
      <c r="I741" s="1406">
        <v>63.43</v>
      </c>
    </row>
    <row r="742" spans="2:9">
      <c r="B742" s="677">
        <v>73303</v>
      </c>
      <c r="C742" s="733" t="s">
        <v>986</v>
      </c>
      <c r="D742" s="677" t="s">
        <v>31</v>
      </c>
      <c r="E742" s="738">
        <f t="shared" si="22"/>
        <v>7.15</v>
      </c>
      <c r="F742">
        <f t="shared" si="23"/>
        <v>73303</v>
      </c>
      <c r="H742" s="1405">
        <v>7.15</v>
      </c>
      <c r="I742" s="1405">
        <v>7.15</v>
      </c>
    </row>
    <row r="743" spans="2:9">
      <c r="B743" s="1477">
        <v>73307</v>
      </c>
      <c r="C743" s="740" t="s">
        <v>987</v>
      </c>
      <c r="D743" s="739" t="s">
        <v>31</v>
      </c>
      <c r="E743" s="741">
        <f t="shared" si="22"/>
        <v>6.38</v>
      </c>
      <c r="F743">
        <f t="shared" si="23"/>
        <v>73307</v>
      </c>
      <c r="H743" s="1406">
        <v>6.38</v>
      </c>
      <c r="I743" s="1406">
        <v>6.38</v>
      </c>
    </row>
    <row r="744" spans="2:9" ht="30">
      <c r="B744" s="677">
        <v>73309</v>
      </c>
      <c r="C744" s="733" t="s">
        <v>250</v>
      </c>
      <c r="D744" s="677" t="s">
        <v>31</v>
      </c>
      <c r="E744" s="738">
        <f t="shared" si="22"/>
        <v>33.33</v>
      </c>
      <c r="F744">
        <f t="shared" si="23"/>
        <v>73309</v>
      </c>
      <c r="H744" s="1405">
        <v>33.33</v>
      </c>
      <c r="I744" s="1405">
        <v>33.33</v>
      </c>
    </row>
    <row r="745" spans="2:9">
      <c r="B745" s="1477">
        <v>73311</v>
      </c>
      <c r="C745" s="740" t="s">
        <v>251</v>
      </c>
      <c r="D745" s="739" t="s">
        <v>31</v>
      </c>
      <c r="E745" s="741">
        <f t="shared" si="22"/>
        <v>175.34</v>
      </c>
      <c r="F745">
        <f t="shared" si="23"/>
        <v>73311</v>
      </c>
      <c r="H745" s="1406">
        <v>175.34</v>
      </c>
      <c r="I745" s="1406">
        <v>175.34</v>
      </c>
    </row>
    <row r="746" spans="2:9" ht="30">
      <c r="B746" s="677">
        <v>73313</v>
      </c>
      <c r="C746" s="733" t="s">
        <v>252</v>
      </c>
      <c r="D746" s="677" t="s">
        <v>31</v>
      </c>
      <c r="E746" s="738">
        <f t="shared" si="22"/>
        <v>9</v>
      </c>
      <c r="F746">
        <f t="shared" si="23"/>
        <v>73313</v>
      </c>
      <c r="H746" s="1405">
        <v>9</v>
      </c>
      <c r="I746" s="1405">
        <v>9</v>
      </c>
    </row>
    <row r="747" spans="2:9" ht="30">
      <c r="B747" s="1477">
        <v>73315</v>
      </c>
      <c r="C747" s="740" t="s">
        <v>253</v>
      </c>
      <c r="D747" s="739" t="s">
        <v>31</v>
      </c>
      <c r="E747" s="741">
        <f t="shared" si="22"/>
        <v>56.24</v>
      </c>
      <c r="F747">
        <f t="shared" si="23"/>
        <v>73315</v>
      </c>
      <c r="H747" s="1406">
        <v>56.24</v>
      </c>
      <c r="I747" s="1406">
        <v>56.24</v>
      </c>
    </row>
    <row r="748" spans="2:9" ht="30">
      <c r="B748" s="677">
        <v>73335</v>
      </c>
      <c r="C748" s="733" t="s">
        <v>988</v>
      </c>
      <c r="D748" s="677" t="s">
        <v>31</v>
      </c>
      <c r="E748" s="738">
        <f t="shared" si="22"/>
        <v>35.56</v>
      </c>
      <c r="F748">
        <f t="shared" si="23"/>
        <v>73335</v>
      </c>
      <c r="H748" s="1405">
        <v>35.56</v>
      </c>
      <c r="I748" s="1405">
        <v>35.56</v>
      </c>
    </row>
    <row r="749" spans="2:9" ht="45">
      <c r="B749" s="1477">
        <v>73340</v>
      </c>
      <c r="C749" s="740" t="s">
        <v>989</v>
      </c>
      <c r="D749" s="739" t="s">
        <v>31</v>
      </c>
      <c r="E749" s="741">
        <f t="shared" si="22"/>
        <v>152.37</v>
      </c>
      <c r="F749">
        <f t="shared" si="23"/>
        <v>73340</v>
      </c>
      <c r="H749" s="1406">
        <v>152.37</v>
      </c>
      <c r="I749" s="1406">
        <v>152.37</v>
      </c>
    </row>
    <row r="750" spans="2:9" ht="30">
      <c r="B750" s="677">
        <v>83361</v>
      </c>
      <c r="C750" s="733" t="s">
        <v>990</v>
      </c>
      <c r="D750" s="677" t="s">
        <v>31</v>
      </c>
      <c r="E750" s="738">
        <f t="shared" si="22"/>
        <v>43.49</v>
      </c>
      <c r="F750">
        <f t="shared" si="23"/>
        <v>83361</v>
      </c>
      <c r="H750" s="1405">
        <v>43.49</v>
      </c>
      <c r="I750" s="1405">
        <v>43.49</v>
      </c>
    </row>
    <row r="751" spans="2:9" ht="30">
      <c r="B751" s="1477">
        <v>83761</v>
      </c>
      <c r="C751" s="740" t="s">
        <v>991</v>
      </c>
      <c r="D751" s="739" t="s">
        <v>31</v>
      </c>
      <c r="E751" s="741">
        <f t="shared" si="22"/>
        <v>9.52</v>
      </c>
      <c r="F751">
        <f t="shared" si="23"/>
        <v>83761</v>
      </c>
      <c r="H751" s="1406">
        <v>9.52</v>
      </c>
      <c r="I751" s="1406">
        <v>9.52</v>
      </c>
    </row>
    <row r="752" spans="2:9" ht="30">
      <c r="B752" s="677">
        <v>83762</v>
      </c>
      <c r="C752" s="733" t="s">
        <v>992</v>
      </c>
      <c r="D752" s="677" t="s">
        <v>31</v>
      </c>
      <c r="E752" s="738">
        <f t="shared" si="22"/>
        <v>8.5</v>
      </c>
      <c r="F752">
        <f t="shared" si="23"/>
        <v>83762</v>
      </c>
      <c r="H752" s="1405">
        <v>8.5</v>
      </c>
      <c r="I752" s="1405">
        <v>8.5</v>
      </c>
    </row>
    <row r="753" spans="2:9" ht="30">
      <c r="B753" s="1477">
        <v>83763</v>
      </c>
      <c r="C753" s="740" t="s">
        <v>993</v>
      </c>
      <c r="D753" s="739" t="s">
        <v>31</v>
      </c>
      <c r="E753" s="741">
        <f t="shared" si="22"/>
        <v>49.41</v>
      </c>
      <c r="F753">
        <f t="shared" si="23"/>
        <v>83763</v>
      </c>
      <c r="H753" s="1406">
        <v>49.41</v>
      </c>
      <c r="I753" s="1406">
        <v>49.41</v>
      </c>
    </row>
    <row r="754" spans="2:9" ht="30">
      <c r="B754" s="677">
        <v>83764</v>
      </c>
      <c r="C754" s="733" t="s">
        <v>994</v>
      </c>
      <c r="D754" s="677" t="s">
        <v>31</v>
      </c>
      <c r="E754" s="738">
        <f t="shared" si="22"/>
        <v>3.35</v>
      </c>
      <c r="F754">
        <f t="shared" si="23"/>
        <v>83764</v>
      </c>
      <c r="H754" s="1405">
        <v>3.35</v>
      </c>
      <c r="I754" s="1405">
        <v>3.35</v>
      </c>
    </row>
    <row r="755" spans="2:9">
      <c r="B755" s="1477">
        <v>87026</v>
      </c>
      <c r="C755" s="740" t="s">
        <v>995</v>
      </c>
      <c r="D755" s="739" t="s">
        <v>31</v>
      </c>
      <c r="E755" s="741">
        <f t="shared" si="22"/>
        <v>0.71</v>
      </c>
      <c r="F755">
        <f t="shared" si="23"/>
        <v>87026</v>
      </c>
      <c r="H755" s="1406">
        <v>0.71</v>
      </c>
      <c r="I755" s="1406">
        <v>0.71</v>
      </c>
    </row>
    <row r="756" spans="2:9" ht="30">
      <c r="B756" s="677">
        <v>87441</v>
      </c>
      <c r="C756" s="733" t="s">
        <v>7929</v>
      </c>
      <c r="D756" s="677" t="s">
        <v>31</v>
      </c>
      <c r="E756" s="738">
        <f t="shared" si="22"/>
        <v>0.45</v>
      </c>
      <c r="F756">
        <f t="shared" si="23"/>
        <v>87441</v>
      </c>
      <c r="H756" s="1405">
        <v>0.45</v>
      </c>
      <c r="I756" s="1405">
        <v>0.45</v>
      </c>
    </row>
    <row r="757" spans="2:9" ht="30">
      <c r="B757" s="1477">
        <v>87442</v>
      </c>
      <c r="C757" s="740" t="s">
        <v>7930</v>
      </c>
      <c r="D757" s="739" t="s">
        <v>31</v>
      </c>
      <c r="E757" s="741">
        <f t="shared" si="22"/>
        <v>0.11</v>
      </c>
      <c r="F757">
        <f t="shared" si="23"/>
        <v>87442</v>
      </c>
      <c r="H757" s="1406">
        <v>0.11</v>
      </c>
      <c r="I757" s="1406">
        <v>0.11</v>
      </c>
    </row>
    <row r="758" spans="2:9" ht="30">
      <c r="B758" s="677">
        <v>87443</v>
      </c>
      <c r="C758" s="733" t="s">
        <v>7931</v>
      </c>
      <c r="D758" s="677" t="s">
        <v>31</v>
      </c>
      <c r="E758" s="738">
        <f t="shared" si="22"/>
        <v>0.6</v>
      </c>
      <c r="F758">
        <f t="shared" si="23"/>
        <v>87443</v>
      </c>
      <c r="H758" s="1405">
        <v>0.6</v>
      </c>
      <c r="I758" s="1405">
        <v>0.6</v>
      </c>
    </row>
    <row r="759" spans="2:9" ht="30">
      <c r="B759" s="1477">
        <v>87444</v>
      </c>
      <c r="C759" s="740" t="s">
        <v>7932</v>
      </c>
      <c r="D759" s="739" t="s">
        <v>31</v>
      </c>
      <c r="E759" s="741">
        <f t="shared" si="22"/>
        <v>4.17</v>
      </c>
      <c r="F759">
        <f t="shared" si="23"/>
        <v>87444</v>
      </c>
      <c r="H759" s="1406">
        <v>4.17</v>
      </c>
      <c r="I759" s="1406">
        <v>4.17</v>
      </c>
    </row>
    <row r="760" spans="2:9" ht="30">
      <c r="B760" s="677">
        <v>88387</v>
      </c>
      <c r="C760" s="733" t="s">
        <v>7933</v>
      </c>
      <c r="D760" s="677" t="s">
        <v>31</v>
      </c>
      <c r="E760" s="738">
        <f t="shared" si="22"/>
        <v>0.88</v>
      </c>
      <c r="F760">
        <f t="shared" si="23"/>
        <v>88387</v>
      </c>
      <c r="H760" s="1405">
        <v>0.88</v>
      </c>
      <c r="I760" s="1405">
        <v>0.88</v>
      </c>
    </row>
    <row r="761" spans="2:9" ht="30">
      <c r="B761" s="1477">
        <v>88389</v>
      </c>
      <c r="C761" s="740" t="s">
        <v>7934</v>
      </c>
      <c r="D761" s="739" t="s">
        <v>31</v>
      </c>
      <c r="E761" s="741">
        <f t="shared" si="22"/>
        <v>0.21</v>
      </c>
      <c r="F761">
        <f t="shared" si="23"/>
        <v>88389</v>
      </c>
      <c r="H761" s="1406">
        <v>0.21</v>
      </c>
      <c r="I761" s="1406">
        <v>0.21</v>
      </c>
    </row>
    <row r="762" spans="2:9" ht="30">
      <c r="B762" s="677">
        <v>88390</v>
      </c>
      <c r="C762" s="733" t="s">
        <v>7935</v>
      </c>
      <c r="D762" s="677" t="s">
        <v>31</v>
      </c>
      <c r="E762" s="738">
        <f t="shared" si="22"/>
        <v>1.03</v>
      </c>
      <c r="F762">
        <f t="shared" si="23"/>
        <v>88390</v>
      </c>
      <c r="H762" s="1405">
        <v>1.03</v>
      </c>
      <c r="I762" s="1405">
        <v>1.03</v>
      </c>
    </row>
    <row r="763" spans="2:9" ht="30">
      <c r="B763" s="1477">
        <v>88391</v>
      </c>
      <c r="C763" s="740" t="s">
        <v>7936</v>
      </c>
      <c r="D763" s="739" t="s">
        <v>31</v>
      </c>
      <c r="E763" s="741">
        <f t="shared" si="22"/>
        <v>3.34</v>
      </c>
      <c r="F763">
        <f t="shared" si="23"/>
        <v>88391</v>
      </c>
      <c r="H763" s="1406">
        <v>3.34</v>
      </c>
      <c r="I763" s="1406">
        <v>3.34</v>
      </c>
    </row>
    <row r="764" spans="2:9" ht="30">
      <c r="B764" s="677">
        <v>88394</v>
      </c>
      <c r="C764" s="733" t="s">
        <v>7937</v>
      </c>
      <c r="D764" s="677" t="s">
        <v>31</v>
      </c>
      <c r="E764" s="738">
        <f t="shared" si="22"/>
        <v>1.05</v>
      </c>
      <c r="F764">
        <f t="shared" si="23"/>
        <v>88394</v>
      </c>
      <c r="H764" s="1405">
        <v>1.05</v>
      </c>
      <c r="I764" s="1405">
        <v>1.05</v>
      </c>
    </row>
    <row r="765" spans="2:9" ht="30">
      <c r="B765" s="1477">
        <v>88395</v>
      </c>
      <c r="C765" s="740" t="s">
        <v>7938</v>
      </c>
      <c r="D765" s="739" t="s">
        <v>31</v>
      </c>
      <c r="E765" s="741">
        <f t="shared" si="22"/>
        <v>0.25</v>
      </c>
      <c r="F765">
        <f t="shared" si="23"/>
        <v>88395</v>
      </c>
      <c r="H765" s="1406">
        <v>0.25</v>
      </c>
      <c r="I765" s="1406">
        <v>0.25</v>
      </c>
    </row>
    <row r="766" spans="2:9" ht="30">
      <c r="B766" s="677">
        <v>88396</v>
      </c>
      <c r="C766" s="733" t="s">
        <v>7939</v>
      </c>
      <c r="D766" s="677" t="s">
        <v>31</v>
      </c>
      <c r="E766" s="738">
        <f t="shared" si="22"/>
        <v>1.22</v>
      </c>
      <c r="F766">
        <f t="shared" si="23"/>
        <v>88396</v>
      </c>
      <c r="H766" s="1405">
        <v>1.22</v>
      </c>
      <c r="I766" s="1405">
        <v>1.22</v>
      </c>
    </row>
    <row r="767" spans="2:9" ht="30">
      <c r="B767" s="1477">
        <v>88397</v>
      </c>
      <c r="C767" s="740" t="s">
        <v>7940</v>
      </c>
      <c r="D767" s="739" t="s">
        <v>31</v>
      </c>
      <c r="E767" s="741">
        <f t="shared" si="22"/>
        <v>5.0199999999999996</v>
      </c>
      <c r="F767">
        <f t="shared" si="23"/>
        <v>88397</v>
      </c>
      <c r="H767" s="1406">
        <v>5.0199999999999996</v>
      </c>
      <c r="I767" s="1406">
        <v>5.0199999999999996</v>
      </c>
    </row>
    <row r="768" spans="2:9" ht="30">
      <c r="B768" s="677">
        <v>88400</v>
      </c>
      <c r="C768" s="733" t="s">
        <v>7941</v>
      </c>
      <c r="D768" s="677" t="s">
        <v>31</v>
      </c>
      <c r="E768" s="738">
        <f t="shared" si="22"/>
        <v>0.83</v>
      </c>
      <c r="F768">
        <f t="shared" si="23"/>
        <v>88400</v>
      </c>
      <c r="H768" s="1405">
        <v>0.83</v>
      </c>
      <c r="I768" s="1405">
        <v>0.83</v>
      </c>
    </row>
    <row r="769" spans="2:9" ht="30">
      <c r="B769" s="1477">
        <v>88401</v>
      </c>
      <c r="C769" s="740" t="s">
        <v>7942</v>
      </c>
      <c r="D769" s="739" t="s">
        <v>31</v>
      </c>
      <c r="E769" s="741">
        <f t="shared" si="22"/>
        <v>0.2</v>
      </c>
      <c r="F769">
        <f t="shared" si="23"/>
        <v>88401</v>
      </c>
      <c r="H769" s="1406">
        <v>0.2</v>
      </c>
      <c r="I769" s="1406">
        <v>0.2</v>
      </c>
    </row>
    <row r="770" spans="2:9" ht="30">
      <c r="B770" s="677">
        <v>88402</v>
      </c>
      <c r="C770" s="733" t="s">
        <v>7943</v>
      </c>
      <c r="D770" s="677" t="s">
        <v>31</v>
      </c>
      <c r="E770" s="738">
        <f t="shared" si="22"/>
        <v>0.97</v>
      </c>
      <c r="F770">
        <f t="shared" si="23"/>
        <v>88402</v>
      </c>
      <c r="H770" s="1405">
        <v>0.97</v>
      </c>
      <c r="I770" s="1405">
        <v>0.97</v>
      </c>
    </row>
    <row r="771" spans="2:9" ht="30">
      <c r="B771" s="1477">
        <v>88403</v>
      </c>
      <c r="C771" s="740" t="s">
        <v>7944</v>
      </c>
      <c r="D771" s="739" t="s">
        <v>31</v>
      </c>
      <c r="E771" s="741">
        <f t="shared" ref="E771:E834" si="24">IF($K$2=$H$1,H771,I771)</f>
        <v>2</v>
      </c>
      <c r="F771">
        <f t="shared" ref="F771:F834" si="25">IF(LEN($B771)=7,CONCATENATE(MID($B771,1,6),"00",RIGHT($B771,1)),IF(LEN($B771)=8,CONCATENATE(MID($B771,1,6),"0",RIGHT($B771,2)),$B771))</f>
        <v>88403</v>
      </c>
      <c r="H771" s="1406">
        <v>2</v>
      </c>
      <c r="I771" s="1406">
        <v>2</v>
      </c>
    </row>
    <row r="772" spans="2:9" ht="30">
      <c r="B772" s="677">
        <v>88419</v>
      </c>
      <c r="C772" s="733" t="s">
        <v>254</v>
      </c>
      <c r="D772" s="677" t="s">
        <v>31</v>
      </c>
      <c r="E772" s="738">
        <f t="shared" si="24"/>
        <v>5.79</v>
      </c>
      <c r="F772">
        <f t="shared" si="25"/>
        <v>88419</v>
      </c>
      <c r="H772" s="1405">
        <v>5.79</v>
      </c>
      <c r="I772" s="1405">
        <v>5.79</v>
      </c>
    </row>
    <row r="773" spans="2:9" ht="30">
      <c r="B773" s="1477">
        <v>88422</v>
      </c>
      <c r="C773" s="740" t="s">
        <v>255</v>
      </c>
      <c r="D773" s="739" t="s">
        <v>31</v>
      </c>
      <c r="E773" s="741">
        <f t="shared" si="24"/>
        <v>1.34</v>
      </c>
      <c r="F773">
        <f t="shared" si="25"/>
        <v>88422</v>
      </c>
      <c r="H773" s="1406">
        <v>1.34</v>
      </c>
      <c r="I773" s="1406">
        <v>1.34</v>
      </c>
    </row>
    <row r="774" spans="2:9" ht="30">
      <c r="B774" s="677">
        <v>88425</v>
      </c>
      <c r="C774" s="733" t="s">
        <v>256</v>
      </c>
      <c r="D774" s="677" t="s">
        <v>31</v>
      </c>
      <c r="E774" s="738">
        <f t="shared" si="24"/>
        <v>7.24</v>
      </c>
      <c r="F774">
        <f t="shared" si="25"/>
        <v>88425</v>
      </c>
      <c r="H774" s="1405">
        <v>7.24</v>
      </c>
      <c r="I774" s="1405">
        <v>7.24</v>
      </c>
    </row>
    <row r="775" spans="2:9" ht="30">
      <c r="B775" s="1477">
        <v>88427</v>
      </c>
      <c r="C775" s="740" t="s">
        <v>996</v>
      </c>
      <c r="D775" s="739" t="s">
        <v>31</v>
      </c>
      <c r="E775" s="741">
        <f t="shared" si="24"/>
        <v>1.1299999999999999</v>
      </c>
      <c r="F775">
        <f t="shared" si="25"/>
        <v>88427</v>
      </c>
      <c r="H775" s="1406">
        <v>1.1299999999999999</v>
      </c>
      <c r="I775" s="1406">
        <v>1.1299999999999999</v>
      </c>
    </row>
    <row r="776" spans="2:9" ht="30">
      <c r="B776" s="677">
        <v>88434</v>
      </c>
      <c r="C776" s="733" t="s">
        <v>997</v>
      </c>
      <c r="D776" s="677" t="s">
        <v>31</v>
      </c>
      <c r="E776" s="738">
        <f t="shared" si="24"/>
        <v>7.68</v>
      </c>
      <c r="F776">
        <f t="shared" si="25"/>
        <v>88434</v>
      </c>
      <c r="H776" s="1405">
        <v>7.68</v>
      </c>
      <c r="I776" s="1405">
        <v>7.68</v>
      </c>
    </row>
    <row r="777" spans="2:9" ht="30">
      <c r="B777" s="1477">
        <v>88435</v>
      </c>
      <c r="C777" s="740" t="s">
        <v>998</v>
      </c>
      <c r="D777" s="739" t="s">
        <v>31</v>
      </c>
      <c r="E777" s="741">
        <f t="shared" si="24"/>
        <v>1.77</v>
      </c>
      <c r="F777">
        <f t="shared" si="25"/>
        <v>88435</v>
      </c>
      <c r="H777" s="1406">
        <v>1.77</v>
      </c>
      <c r="I777" s="1406">
        <v>1.77</v>
      </c>
    </row>
    <row r="778" spans="2:9" ht="30">
      <c r="B778" s="677">
        <v>88436</v>
      </c>
      <c r="C778" s="733" t="s">
        <v>999</v>
      </c>
      <c r="D778" s="677" t="s">
        <v>31</v>
      </c>
      <c r="E778" s="738">
        <f t="shared" si="24"/>
        <v>9.6</v>
      </c>
      <c r="F778">
        <f t="shared" si="25"/>
        <v>88436</v>
      </c>
      <c r="H778" s="1405">
        <v>9.6</v>
      </c>
      <c r="I778" s="1405">
        <v>9.6</v>
      </c>
    </row>
    <row r="779" spans="2:9" ht="30">
      <c r="B779" s="1477">
        <v>88437</v>
      </c>
      <c r="C779" s="740" t="s">
        <v>1000</v>
      </c>
      <c r="D779" s="739" t="s">
        <v>31</v>
      </c>
      <c r="E779" s="741">
        <f t="shared" si="24"/>
        <v>1.1299999999999999</v>
      </c>
      <c r="F779">
        <f t="shared" si="25"/>
        <v>88437</v>
      </c>
      <c r="H779" s="1406">
        <v>1.1299999999999999</v>
      </c>
      <c r="I779" s="1406">
        <v>1.1299999999999999</v>
      </c>
    </row>
    <row r="780" spans="2:9" ht="30">
      <c r="B780" s="677">
        <v>88569</v>
      </c>
      <c r="C780" s="733" t="s">
        <v>257</v>
      </c>
      <c r="D780" s="677" t="s">
        <v>31</v>
      </c>
      <c r="E780" s="738">
        <f t="shared" si="24"/>
        <v>3.96</v>
      </c>
      <c r="F780">
        <f t="shared" si="25"/>
        <v>88569</v>
      </c>
      <c r="H780" s="1405">
        <v>3.96</v>
      </c>
      <c r="I780" s="1405">
        <v>3.96</v>
      </c>
    </row>
    <row r="781" spans="2:9" ht="30">
      <c r="B781" s="1477">
        <v>88570</v>
      </c>
      <c r="C781" s="740" t="s">
        <v>258</v>
      </c>
      <c r="D781" s="739" t="s">
        <v>31</v>
      </c>
      <c r="E781" s="741">
        <f t="shared" si="24"/>
        <v>1.28</v>
      </c>
      <c r="F781">
        <f t="shared" si="25"/>
        <v>88570</v>
      </c>
      <c r="H781" s="1406">
        <v>1.28</v>
      </c>
      <c r="I781" s="1406">
        <v>1.28</v>
      </c>
    </row>
    <row r="782" spans="2:9" ht="30">
      <c r="B782" s="677">
        <v>88826</v>
      </c>
      <c r="C782" s="733" t="s">
        <v>7945</v>
      </c>
      <c r="D782" s="677" t="s">
        <v>31</v>
      </c>
      <c r="E782" s="738">
        <f t="shared" si="24"/>
        <v>0.33</v>
      </c>
      <c r="F782">
        <f t="shared" si="25"/>
        <v>88826</v>
      </c>
      <c r="H782" s="1405">
        <v>0.33</v>
      </c>
      <c r="I782" s="1405">
        <v>0.33</v>
      </c>
    </row>
    <row r="783" spans="2:9" ht="30">
      <c r="B783" s="1477">
        <v>88827</v>
      </c>
      <c r="C783" s="740" t="s">
        <v>7946</v>
      </c>
      <c r="D783" s="739" t="s">
        <v>31</v>
      </c>
      <c r="E783" s="741">
        <f t="shared" si="24"/>
        <v>0.08</v>
      </c>
      <c r="F783">
        <f t="shared" si="25"/>
        <v>88827</v>
      </c>
      <c r="H783" s="1406">
        <v>0.08</v>
      </c>
      <c r="I783" s="1406">
        <v>0.08</v>
      </c>
    </row>
    <row r="784" spans="2:9" ht="30">
      <c r="B784" s="677">
        <v>88828</v>
      </c>
      <c r="C784" s="733" t="s">
        <v>7947</v>
      </c>
      <c r="D784" s="677" t="s">
        <v>31</v>
      </c>
      <c r="E784" s="738">
        <f t="shared" si="24"/>
        <v>0.38</v>
      </c>
      <c r="F784">
        <f t="shared" si="25"/>
        <v>88828</v>
      </c>
      <c r="H784" s="1405">
        <v>0.38</v>
      </c>
      <c r="I784" s="1405">
        <v>0.38</v>
      </c>
    </row>
    <row r="785" spans="2:9" ht="30">
      <c r="B785" s="1477">
        <v>88829</v>
      </c>
      <c r="C785" s="740" t="s">
        <v>7948</v>
      </c>
      <c r="D785" s="739" t="s">
        <v>31</v>
      </c>
      <c r="E785" s="741">
        <f t="shared" si="24"/>
        <v>1.33</v>
      </c>
      <c r="F785">
        <f t="shared" si="25"/>
        <v>88829</v>
      </c>
      <c r="H785" s="1406">
        <v>1.33</v>
      </c>
      <c r="I785" s="1406">
        <v>1.33</v>
      </c>
    </row>
    <row r="786" spans="2:9" ht="30">
      <c r="B786" s="677">
        <v>88832</v>
      </c>
      <c r="C786" s="733" t="s">
        <v>1001</v>
      </c>
      <c r="D786" s="677" t="s">
        <v>31</v>
      </c>
      <c r="E786" s="738">
        <f t="shared" si="24"/>
        <v>43.77</v>
      </c>
      <c r="F786">
        <f t="shared" si="25"/>
        <v>88832</v>
      </c>
      <c r="H786" s="1405">
        <v>43.77</v>
      </c>
      <c r="I786" s="1405">
        <v>43.77</v>
      </c>
    </row>
    <row r="787" spans="2:9" ht="30">
      <c r="B787" s="1477">
        <v>88834</v>
      </c>
      <c r="C787" s="740" t="s">
        <v>1002</v>
      </c>
      <c r="D787" s="739" t="s">
        <v>31</v>
      </c>
      <c r="E787" s="741">
        <f t="shared" si="24"/>
        <v>11.56</v>
      </c>
      <c r="F787">
        <f t="shared" si="25"/>
        <v>88834</v>
      </c>
      <c r="H787" s="1406">
        <v>11.56</v>
      </c>
      <c r="I787" s="1406">
        <v>11.56</v>
      </c>
    </row>
    <row r="788" spans="2:9" ht="30">
      <c r="B788" s="677">
        <v>88835</v>
      </c>
      <c r="C788" s="733" t="s">
        <v>1003</v>
      </c>
      <c r="D788" s="677" t="s">
        <v>31</v>
      </c>
      <c r="E788" s="738">
        <f t="shared" si="24"/>
        <v>54.71</v>
      </c>
      <c r="F788">
        <f t="shared" si="25"/>
        <v>88835</v>
      </c>
      <c r="H788" s="1405">
        <v>54.71</v>
      </c>
      <c r="I788" s="1405">
        <v>54.71</v>
      </c>
    </row>
    <row r="789" spans="2:9" ht="30">
      <c r="B789" s="1477">
        <v>88836</v>
      </c>
      <c r="C789" s="740" t="s">
        <v>1004</v>
      </c>
      <c r="D789" s="739" t="s">
        <v>31</v>
      </c>
      <c r="E789" s="741">
        <f t="shared" si="24"/>
        <v>62.84</v>
      </c>
      <c r="F789">
        <f t="shared" si="25"/>
        <v>88836</v>
      </c>
      <c r="H789" s="1406">
        <v>62.84</v>
      </c>
      <c r="I789" s="1406">
        <v>62.84</v>
      </c>
    </row>
    <row r="790" spans="2:9">
      <c r="B790" s="677">
        <v>88839</v>
      </c>
      <c r="C790" s="733" t="s">
        <v>1005</v>
      </c>
      <c r="D790" s="677" t="s">
        <v>31</v>
      </c>
      <c r="E790" s="738">
        <f t="shared" si="24"/>
        <v>31.13</v>
      </c>
      <c r="F790">
        <f t="shared" si="25"/>
        <v>88839</v>
      </c>
      <c r="H790" s="1405">
        <v>31.13</v>
      </c>
      <c r="I790" s="1405">
        <v>31.13</v>
      </c>
    </row>
    <row r="791" spans="2:9">
      <c r="B791" s="1477">
        <v>88840</v>
      </c>
      <c r="C791" s="740" t="s">
        <v>1006</v>
      </c>
      <c r="D791" s="739" t="s">
        <v>31</v>
      </c>
      <c r="E791" s="741">
        <f t="shared" si="24"/>
        <v>13.71</v>
      </c>
      <c r="F791">
        <f t="shared" si="25"/>
        <v>88840</v>
      </c>
      <c r="H791" s="1406">
        <v>13.71</v>
      </c>
      <c r="I791" s="1406">
        <v>13.71</v>
      </c>
    </row>
    <row r="792" spans="2:9">
      <c r="B792" s="677">
        <v>88841</v>
      </c>
      <c r="C792" s="733" t="s">
        <v>1007</v>
      </c>
      <c r="D792" s="677" t="s">
        <v>31</v>
      </c>
      <c r="E792" s="738">
        <f t="shared" si="24"/>
        <v>55.66</v>
      </c>
      <c r="F792">
        <f t="shared" si="25"/>
        <v>88841</v>
      </c>
      <c r="H792" s="1405">
        <v>55.66</v>
      </c>
      <c r="I792" s="1405">
        <v>55.66</v>
      </c>
    </row>
    <row r="793" spans="2:9">
      <c r="B793" s="1477">
        <v>88842</v>
      </c>
      <c r="C793" s="740" t="s">
        <v>1008</v>
      </c>
      <c r="D793" s="739" t="s">
        <v>31</v>
      </c>
      <c r="E793" s="741">
        <f t="shared" si="24"/>
        <v>76.92</v>
      </c>
      <c r="F793">
        <f t="shared" si="25"/>
        <v>88842</v>
      </c>
      <c r="H793" s="1406">
        <v>76.92</v>
      </c>
      <c r="I793" s="1406">
        <v>76.92</v>
      </c>
    </row>
    <row r="794" spans="2:9" ht="30">
      <c r="B794" s="677">
        <v>88847</v>
      </c>
      <c r="C794" s="733" t="s">
        <v>1009</v>
      </c>
      <c r="D794" s="677" t="s">
        <v>31</v>
      </c>
      <c r="E794" s="738">
        <f t="shared" si="24"/>
        <v>22.82</v>
      </c>
      <c r="F794">
        <f t="shared" si="25"/>
        <v>88847</v>
      </c>
      <c r="H794" s="1405">
        <v>22.82</v>
      </c>
      <c r="I794" s="1405">
        <v>22.82</v>
      </c>
    </row>
    <row r="795" spans="2:9" ht="30">
      <c r="B795" s="1477">
        <v>88848</v>
      </c>
      <c r="C795" s="740" t="s">
        <v>1010</v>
      </c>
      <c r="D795" s="739" t="s">
        <v>31</v>
      </c>
      <c r="E795" s="741">
        <f t="shared" si="24"/>
        <v>9.3800000000000008</v>
      </c>
      <c r="F795">
        <f t="shared" si="25"/>
        <v>88848</v>
      </c>
      <c r="H795" s="1406">
        <v>9.3800000000000008</v>
      </c>
      <c r="I795" s="1406">
        <v>9.3800000000000008</v>
      </c>
    </row>
    <row r="796" spans="2:9" ht="30">
      <c r="B796" s="677">
        <v>88853</v>
      </c>
      <c r="C796" s="733" t="s">
        <v>1011</v>
      </c>
      <c r="D796" s="677" t="s">
        <v>31</v>
      </c>
      <c r="E796" s="738">
        <f t="shared" si="24"/>
        <v>0.19</v>
      </c>
      <c r="F796">
        <f t="shared" si="25"/>
        <v>88853</v>
      </c>
      <c r="H796" s="1405">
        <v>0.19</v>
      </c>
      <c r="I796" s="1405">
        <v>0.19</v>
      </c>
    </row>
    <row r="797" spans="2:9" ht="30">
      <c r="B797" s="1477">
        <v>88854</v>
      </c>
      <c r="C797" s="740" t="s">
        <v>1012</v>
      </c>
      <c r="D797" s="739" t="s">
        <v>31</v>
      </c>
      <c r="E797" s="741">
        <f t="shared" si="24"/>
        <v>0.04</v>
      </c>
      <c r="F797">
        <f t="shared" si="25"/>
        <v>88854</v>
      </c>
      <c r="H797" s="1406">
        <v>0.04</v>
      </c>
      <c r="I797" s="1406">
        <v>0.04</v>
      </c>
    </row>
    <row r="798" spans="2:9" ht="30">
      <c r="B798" s="677">
        <v>88855</v>
      </c>
      <c r="C798" s="733" t="s">
        <v>1013</v>
      </c>
      <c r="D798" s="677" t="s">
        <v>31</v>
      </c>
      <c r="E798" s="738">
        <f t="shared" si="24"/>
        <v>3.34</v>
      </c>
      <c r="F798">
        <f t="shared" si="25"/>
        <v>88855</v>
      </c>
      <c r="H798" s="1405">
        <v>3.34</v>
      </c>
      <c r="I798" s="1405">
        <v>3.34</v>
      </c>
    </row>
    <row r="799" spans="2:9">
      <c r="B799" s="1477">
        <v>88856</v>
      </c>
      <c r="C799" s="740" t="s">
        <v>1014</v>
      </c>
      <c r="D799" s="739" t="s">
        <v>31</v>
      </c>
      <c r="E799" s="741">
        <f t="shared" si="24"/>
        <v>0.91</v>
      </c>
      <c r="F799">
        <f t="shared" si="25"/>
        <v>88856</v>
      </c>
      <c r="H799" s="1406">
        <v>0.91</v>
      </c>
      <c r="I799" s="1406">
        <v>0.91</v>
      </c>
    </row>
    <row r="800" spans="2:9" ht="45">
      <c r="B800" s="677">
        <v>88857</v>
      </c>
      <c r="C800" s="733" t="s">
        <v>1015</v>
      </c>
      <c r="D800" s="677" t="s">
        <v>31</v>
      </c>
      <c r="E800" s="738">
        <f t="shared" si="24"/>
        <v>23.94</v>
      </c>
      <c r="F800">
        <f t="shared" si="25"/>
        <v>88857</v>
      </c>
      <c r="H800" s="1405">
        <v>23.94</v>
      </c>
      <c r="I800" s="1405">
        <v>23.94</v>
      </c>
    </row>
    <row r="801" spans="2:9" ht="30">
      <c r="B801" s="1477">
        <v>88858</v>
      </c>
      <c r="C801" s="740" t="s">
        <v>1016</v>
      </c>
      <c r="D801" s="739" t="s">
        <v>31</v>
      </c>
      <c r="E801" s="741">
        <f t="shared" si="24"/>
        <v>6.32</v>
      </c>
      <c r="F801">
        <f t="shared" si="25"/>
        <v>88858</v>
      </c>
      <c r="H801" s="1406">
        <v>6.32</v>
      </c>
      <c r="I801" s="1406">
        <v>6.32</v>
      </c>
    </row>
    <row r="802" spans="2:9" ht="45">
      <c r="B802" s="677">
        <v>88859</v>
      </c>
      <c r="C802" s="733" t="s">
        <v>1017</v>
      </c>
      <c r="D802" s="677" t="s">
        <v>31</v>
      </c>
      <c r="E802" s="738">
        <f t="shared" si="24"/>
        <v>21.29</v>
      </c>
      <c r="F802">
        <f t="shared" si="25"/>
        <v>88859</v>
      </c>
      <c r="H802" s="1405">
        <v>21.29</v>
      </c>
      <c r="I802" s="1405">
        <v>21.29</v>
      </c>
    </row>
    <row r="803" spans="2:9" ht="30">
      <c r="B803" s="1477">
        <v>88860</v>
      </c>
      <c r="C803" s="740" t="s">
        <v>1018</v>
      </c>
      <c r="D803" s="739" t="s">
        <v>31</v>
      </c>
      <c r="E803" s="741">
        <f t="shared" si="24"/>
        <v>5.62</v>
      </c>
      <c r="F803">
        <f t="shared" si="25"/>
        <v>88860</v>
      </c>
      <c r="H803" s="1406">
        <v>5.62</v>
      </c>
      <c r="I803" s="1406">
        <v>5.62</v>
      </c>
    </row>
    <row r="804" spans="2:9" ht="30">
      <c r="B804" s="677">
        <v>88900</v>
      </c>
      <c r="C804" s="733" t="s">
        <v>1019</v>
      </c>
      <c r="D804" s="677" t="s">
        <v>31</v>
      </c>
      <c r="E804" s="738">
        <f t="shared" si="24"/>
        <v>51.03</v>
      </c>
      <c r="F804">
        <f t="shared" si="25"/>
        <v>88900</v>
      </c>
      <c r="H804" s="1405">
        <v>51.03</v>
      </c>
      <c r="I804" s="1405">
        <v>51.03</v>
      </c>
    </row>
    <row r="805" spans="2:9" ht="30">
      <c r="B805" s="1477">
        <v>88902</v>
      </c>
      <c r="C805" s="740" t="s">
        <v>1020</v>
      </c>
      <c r="D805" s="739" t="s">
        <v>31</v>
      </c>
      <c r="E805" s="741">
        <f t="shared" si="24"/>
        <v>13.48</v>
      </c>
      <c r="F805">
        <f t="shared" si="25"/>
        <v>88902</v>
      </c>
      <c r="H805" s="1406">
        <v>13.48</v>
      </c>
      <c r="I805" s="1406">
        <v>13.48</v>
      </c>
    </row>
    <row r="806" spans="2:9" ht="30">
      <c r="B806" s="677">
        <v>88903</v>
      </c>
      <c r="C806" s="733" t="s">
        <v>1021</v>
      </c>
      <c r="D806" s="677" t="s">
        <v>31</v>
      </c>
      <c r="E806" s="738">
        <f t="shared" si="24"/>
        <v>63.79</v>
      </c>
      <c r="F806">
        <f t="shared" si="25"/>
        <v>88903</v>
      </c>
      <c r="H806" s="1405">
        <v>63.79</v>
      </c>
      <c r="I806" s="1405">
        <v>63.79</v>
      </c>
    </row>
    <row r="807" spans="2:9" ht="30">
      <c r="B807" s="1477">
        <v>88904</v>
      </c>
      <c r="C807" s="740" t="s">
        <v>1022</v>
      </c>
      <c r="D807" s="739" t="s">
        <v>31</v>
      </c>
      <c r="E807" s="741">
        <f t="shared" si="24"/>
        <v>88.52</v>
      </c>
      <c r="F807">
        <f t="shared" si="25"/>
        <v>88904</v>
      </c>
      <c r="H807" s="1406">
        <v>88.52</v>
      </c>
      <c r="I807" s="1406">
        <v>88.52</v>
      </c>
    </row>
    <row r="808" spans="2:9" ht="30">
      <c r="B808" s="677">
        <v>89009</v>
      </c>
      <c r="C808" s="733" t="s">
        <v>42</v>
      </c>
      <c r="D808" s="677" t="s">
        <v>31</v>
      </c>
      <c r="E808" s="738">
        <f t="shared" si="24"/>
        <v>38.56</v>
      </c>
      <c r="F808">
        <f t="shared" si="25"/>
        <v>89009</v>
      </c>
      <c r="H808" s="1405">
        <v>38.56</v>
      </c>
      <c r="I808" s="1405">
        <v>38.56</v>
      </c>
    </row>
    <row r="809" spans="2:9" ht="30">
      <c r="B809" s="1477">
        <v>89010</v>
      </c>
      <c r="C809" s="740" t="s">
        <v>43</v>
      </c>
      <c r="D809" s="739" t="s">
        <v>31</v>
      </c>
      <c r="E809" s="741">
        <f t="shared" si="24"/>
        <v>16.98</v>
      </c>
      <c r="F809">
        <f t="shared" si="25"/>
        <v>89010</v>
      </c>
      <c r="H809" s="1406">
        <v>16.98</v>
      </c>
      <c r="I809" s="1406">
        <v>16.98</v>
      </c>
    </row>
    <row r="810" spans="2:9" ht="45">
      <c r="B810" s="677">
        <v>89011</v>
      </c>
      <c r="C810" s="733" t="s">
        <v>1023</v>
      </c>
      <c r="D810" s="677" t="s">
        <v>31</v>
      </c>
      <c r="E810" s="738">
        <f t="shared" si="24"/>
        <v>23.1</v>
      </c>
      <c r="F810">
        <f t="shared" si="25"/>
        <v>89011</v>
      </c>
      <c r="H810" s="1405">
        <v>23.1</v>
      </c>
      <c r="I810" s="1405">
        <v>23.1</v>
      </c>
    </row>
    <row r="811" spans="2:9" ht="30">
      <c r="B811" s="1477">
        <v>89012</v>
      </c>
      <c r="C811" s="740" t="s">
        <v>1024</v>
      </c>
      <c r="D811" s="739" t="s">
        <v>31</v>
      </c>
      <c r="E811" s="741">
        <f t="shared" si="24"/>
        <v>6.1</v>
      </c>
      <c r="F811">
        <f t="shared" si="25"/>
        <v>89012</v>
      </c>
      <c r="H811" s="1406">
        <v>6.1</v>
      </c>
      <c r="I811" s="1406">
        <v>6.1</v>
      </c>
    </row>
    <row r="812" spans="2:9">
      <c r="B812" s="677">
        <v>89013</v>
      </c>
      <c r="C812" s="733" t="s">
        <v>1025</v>
      </c>
      <c r="D812" s="677" t="s">
        <v>31</v>
      </c>
      <c r="E812" s="738">
        <f t="shared" si="24"/>
        <v>126.31</v>
      </c>
      <c r="F812">
        <f t="shared" si="25"/>
        <v>89013</v>
      </c>
      <c r="H812" s="1405">
        <v>126.31</v>
      </c>
      <c r="I812" s="1405">
        <v>126.31</v>
      </c>
    </row>
    <row r="813" spans="2:9">
      <c r="B813" s="1477">
        <v>89014</v>
      </c>
      <c r="C813" s="740" t="s">
        <v>1026</v>
      </c>
      <c r="D813" s="739" t="s">
        <v>31</v>
      </c>
      <c r="E813" s="741">
        <f t="shared" si="24"/>
        <v>55.64</v>
      </c>
      <c r="F813">
        <f t="shared" si="25"/>
        <v>89014</v>
      </c>
      <c r="H813" s="1406">
        <v>55.64</v>
      </c>
      <c r="I813" s="1406">
        <v>55.64</v>
      </c>
    </row>
    <row r="814" spans="2:9">
      <c r="B814" s="677">
        <v>89015</v>
      </c>
      <c r="C814" s="733" t="s">
        <v>1027</v>
      </c>
      <c r="D814" s="677" t="s">
        <v>31</v>
      </c>
      <c r="E814" s="738">
        <f t="shared" si="24"/>
        <v>3.86</v>
      </c>
      <c r="F814">
        <f t="shared" si="25"/>
        <v>89015</v>
      </c>
      <c r="H814" s="1405">
        <v>3.86</v>
      </c>
      <c r="I814" s="1405">
        <v>3.86</v>
      </c>
    </row>
    <row r="815" spans="2:9">
      <c r="B815" s="1477">
        <v>89016</v>
      </c>
      <c r="C815" s="740" t="s">
        <v>1028</v>
      </c>
      <c r="D815" s="739" t="s">
        <v>31</v>
      </c>
      <c r="E815" s="741">
        <f t="shared" si="24"/>
        <v>1.02</v>
      </c>
      <c r="F815">
        <f t="shared" si="25"/>
        <v>89016</v>
      </c>
      <c r="H815" s="1406">
        <v>1.02</v>
      </c>
      <c r="I815" s="1406">
        <v>1.02</v>
      </c>
    </row>
    <row r="816" spans="2:9">
      <c r="B816" s="677">
        <v>89017</v>
      </c>
      <c r="C816" s="733" t="s">
        <v>1029</v>
      </c>
      <c r="D816" s="677" t="s">
        <v>31</v>
      </c>
      <c r="E816" s="738">
        <f t="shared" si="24"/>
        <v>38.32</v>
      </c>
      <c r="F816">
        <f t="shared" si="25"/>
        <v>89017</v>
      </c>
      <c r="H816" s="1405">
        <v>38.32</v>
      </c>
      <c r="I816" s="1405">
        <v>38.32</v>
      </c>
    </row>
    <row r="817" spans="2:9">
      <c r="B817" s="1477">
        <v>89018</v>
      </c>
      <c r="C817" s="740" t="s">
        <v>1030</v>
      </c>
      <c r="D817" s="739" t="s">
        <v>31</v>
      </c>
      <c r="E817" s="741">
        <f t="shared" si="24"/>
        <v>16.88</v>
      </c>
      <c r="F817">
        <f t="shared" si="25"/>
        <v>89018</v>
      </c>
      <c r="H817" s="1406">
        <v>16.88</v>
      </c>
      <c r="I817" s="1406">
        <v>16.88</v>
      </c>
    </row>
    <row r="818" spans="2:9" ht="30">
      <c r="B818" s="677">
        <v>89019</v>
      </c>
      <c r="C818" s="733" t="s">
        <v>1031</v>
      </c>
      <c r="D818" s="677" t="s">
        <v>31</v>
      </c>
      <c r="E818" s="738">
        <f t="shared" si="24"/>
        <v>0.28000000000000003</v>
      </c>
      <c r="F818">
        <f t="shared" si="25"/>
        <v>89019</v>
      </c>
      <c r="H818" s="1405">
        <v>0.28000000000000003</v>
      </c>
      <c r="I818" s="1405">
        <v>0.28000000000000003</v>
      </c>
    </row>
    <row r="819" spans="2:9" ht="30">
      <c r="B819" s="1477">
        <v>89020</v>
      </c>
      <c r="C819" s="740" t="s">
        <v>1032</v>
      </c>
      <c r="D819" s="739" t="s">
        <v>31</v>
      </c>
      <c r="E819" s="741">
        <f t="shared" si="24"/>
        <v>0.06</v>
      </c>
      <c r="F819">
        <f t="shared" si="25"/>
        <v>89020</v>
      </c>
      <c r="H819" s="1406">
        <v>0.06</v>
      </c>
      <c r="I819" s="1406">
        <v>0.06</v>
      </c>
    </row>
    <row r="820" spans="2:9">
      <c r="B820" s="677">
        <v>89023</v>
      </c>
      <c r="C820" s="733" t="s">
        <v>7949</v>
      </c>
      <c r="D820" s="677" t="s">
        <v>31</v>
      </c>
      <c r="E820" s="738">
        <f t="shared" si="24"/>
        <v>3.48</v>
      </c>
      <c r="F820">
        <f t="shared" si="25"/>
        <v>89023</v>
      </c>
      <c r="H820" s="1405">
        <v>3.48</v>
      </c>
      <c r="I820" s="1405">
        <v>3.48</v>
      </c>
    </row>
    <row r="821" spans="2:9">
      <c r="B821" s="1477">
        <v>89024</v>
      </c>
      <c r="C821" s="740" t="s">
        <v>7950</v>
      </c>
      <c r="D821" s="739" t="s">
        <v>31</v>
      </c>
      <c r="E821" s="741">
        <f t="shared" si="24"/>
        <v>1.28</v>
      </c>
      <c r="F821">
        <f t="shared" si="25"/>
        <v>89024</v>
      </c>
      <c r="H821" s="1406">
        <v>1.28</v>
      </c>
      <c r="I821" s="1406">
        <v>1.28</v>
      </c>
    </row>
    <row r="822" spans="2:9">
      <c r="B822" s="677">
        <v>89025</v>
      </c>
      <c r="C822" s="733" t="s">
        <v>7951</v>
      </c>
      <c r="D822" s="677" t="s">
        <v>31</v>
      </c>
      <c r="E822" s="738">
        <f t="shared" si="24"/>
        <v>4.6399999999999997</v>
      </c>
      <c r="F822">
        <f t="shared" si="25"/>
        <v>89025</v>
      </c>
      <c r="H822" s="1405">
        <v>4.6399999999999997</v>
      </c>
      <c r="I822" s="1405">
        <v>4.6399999999999997</v>
      </c>
    </row>
    <row r="823" spans="2:9">
      <c r="B823" s="1477">
        <v>89026</v>
      </c>
      <c r="C823" s="740" t="s">
        <v>7952</v>
      </c>
      <c r="D823" s="739" t="s">
        <v>31</v>
      </c>
      <c r="E823" s="741">
        <f t="shared" si="24"/>
        <v>168.3</v>
      </c>
      <c r="F823">
        <f t="shared" si="25"/>
        <v>89026</v>
      </c>
      <c r="H823" s="1406">
        <v>168.3</v>
      </c>
      <c r="I823" s="1406">
        <v>168.3</v>
      </c>
    </row>
    <row r="824" spans="2:9">
      <c r="B824" s="677">
        <v>89029</v>
      </c>
      <c r="C824" s="733" t="s">
        <v>1033</v>
      </c>
      <c r="D824" s="677" t="s">
        <v>31</v>
      </c>
      <c r="E824" s="738">
        <f t="shared" si="24"/>
        <v>29.74</v>
      </c>
      <c r="F824">
        <f t="shared" si="25"/>
        <v>89029</v>
      </c>
      <c r="H824" s="1405">
        <v>29.74</v>
      </c>
      <c r="I824" s="1405">
        <v>29.74</v>
      </c>
    </row>
    <row r="825" spans="2:9">
      <c r="B825" s="1477">
        <v>89030</v>
      </c>
      <c r="C825" s="740" t="s">
        <v>1034</v>
      </c>
      <c r="D825" s="739" t="s">
        <v>31</v>
      </c>
      <c r="E825" s="741">
        <f t="shared" si="24"/>
        <v>13.1</v>
      </c>
      <c r="F825">
        <f t="shared" si="25"/>
        <v>89030</v>
      </c>
      <c r="H825" s="1406">
        <v>13.1</v>
      </c>
      <c r="I825" s="1406">
        <v>13.1</v>
      </c>
    </row>
    <row r="826" spans="2:9">
      <c r="B826" s="677">
        <v>89033</v>
      </c>
      <c r="C826" s="733" t="s">
        <v>259</v>
      </c>
      <c r="D826" s="677" t="s">
        <v>31</v>
      </c>
      <c r="E826" s="738">
        <f t="shared" si="24"/>
        <v>13.67</v>
      </c>
      <c r="F826">
        <f t="shared" si="25"/>
        <v>89033</v>
      </c>
      <c r="H826" s="1405">
        <v>13.67</v>
      </c>
      <c r="I826" s="1405">
        <v>13.67</v>
      </c>
    </row>
    <row r="827" spans="2:9">
      <c r="B827" s="1477">
        <v>89034</v>
      </c>
      <c r="C827" s="740" t="s">
        <v>260</v>
      </c>
      <c r="D827" s="739" t="s">
        <v>31</v>
      </c>
      <c r="E827" s="741">
        <f t="shared" si="24"/>
        <v>3.66</v>
      </c>
      <c r="F827">
        <f t="shared" si="25"/>
        <v>89034</v>
      </c>
      <c r="H827" s="1406">
        <v>3.66</v>
      </c>
      <c r="I827" s="1406">
        <v>3.66</v>
      </c>
    </row>
    <row r="828" spans="2:9" ht="30">
      <c r="B828" s="677">
        <v>89128</v>
      </c>
      <c r="C828" s="733" t="s">
        <v>1035</v>
      </c>
      <c r="D828" s="677" t="s">
        <v>31</v>
      </c>
      <c r="E828" s="738">
        <f t="shared" si="24"/>
        <v>35.840000000000003</v>
      </c>
      <c r="F828">
        <f t="shared" si="25"/>
        <v>89128</v>
      </c>
      <c r="H828" s="1405">
        <v>35.840000000000003</v>
      </c>
      <c r="I828" s="1405">
        <v>35.840000000000003</v>
      </c>
    </row>
    <row r="829" spans="2:9" ht="30">
      <c r="B829" s="1477">
        <v>89129</v>
      </c>
      <c r="C829" s="740" t="s">
        <v>1036</v>
      </c>
      <c r="D829" s="739" t="s">
        <v>31</v>
      </c>
      <c r="E829" s="741">
        <f t="shared" si="24"/>
        <v>9.4700000000000006</v>
      </c>
      <c r="F829">
        <f t="shared" si="25"/>
        <v>89129</v>
      </c>
      <c r="H829" s="1406">
        <v>9.4700000000000006</v>
      </c>
      <c r="I829" s="1406">
        <v>9.4700000000000006</v>
      </c>
    </row>
    <row r="830" spans="2:9" ht="30">
      <c r="B830" s="677">
        <v>89130</v>
      </c>
      <c r="C830" s="733" t="s">
        <v>1037</v>
      </c>
      <c r="D830" s="677" t="s">
        <v>31</v>
      </c>
      <c r="E830" s="738">
        <f t="shared" si="24"/>
        <v>49.69</v>
      </c>
      <c r="F830">
        <f t="shared" si="25"/>
        <v>89130</v>
      </c>
      <c r="H830" s="1405">
        <v>49.69</v>
      </c>
      <c r="I830" s="1405">
        <v>49.69</v>
      </c>
    </row>
    <row r="831" spans="2:9" ht="30">
      <c r="B831" s="1477">
        <v>89131</v>
      </c>
      <c r="C831" s="740" t="s">
        <v>1038</v>
      </c>
      <c r="D831" s="739" t="s">
        <v>31</v>
      </c>
      <c r="E831" s="741">
        <f t="shared" si="24"/>
        <v>13.13</v>
      </c>
      <c r="F831">
        <f t="shared" si="25"/>
        <v>89131</v>
      </c>
      <c r="H831" s="1406">
        <v>13.13</v>
      </c>
      <c r="I831" s="1406">
        <v>13.13</v>
      </c>
    </row>
    <row r="832" spans="2:9" ht="30">
      <c r="B832" s="677">
        <v>89210</v>
      </c>
      <c r="C832" s="733" t="s">
        <v>1039</v>
      </c>
      <c r="D832" s="677" t="s">
        <v>31</v>
      </c>
      <c r="E832" s="738">
        <f t="shared" si="24"/>
        <v>32.049999999999997</v>
      </c>
      <c r="F832">
        <f t="shared" si="25"/>
        <v>89210</v>
      </c>
      <c r="H832" s="1405">
        <v>32.049999999999997</v>
      </c>
      <c r="I832" s="1405">
        <v>32.049999999999997</v>
      </c>
    </row>
    <row r="833" spans="2:9" ht="30">
      <c r="B833" s="1477">
        <v>89211</v>
      </c>
      <c r="C833" s="740" t="s">
        <v>1040</v>
      </c>
      <c r="D833" s="739" t="s">
        <v>31</v>
      </c>
      <c r="E833" s="741">
        <f t="shared" si="24"/>
        <v>8.6</v>
      </c>
      <c r="F833">
        <f t="shared" si="25"/>
        <v>89211</v>
      </c>
      <c r="H833" s="1406">
        <v>8.6</v>
      </c>
      <c r="I833" s="1406">
        <v>8.6</v>
      </c>
    </row>
    <row r="834" spans="2:9">
      <c r="B834" s="677">
        <v>89212</v>
      </c>
      <c r="C834" s="733" t="s">
        <v>44</v>
      </c>
      <c r="D834" s="677" t="s">
        <v>31</v>
      </c>
      <c r="E834" s="738">
        <f t="shared" si="24"/>
        <v>28.91</v>
      </c>
      <c r="F834">
        <f t="shared" si="25"/>
        <v>89212</v>
      </c>
      <c r="H834" s="1405">
        <v>28.91</v>
      </c>
      <c r="I834" s="1405">
        <v>28.91</v>
      </c>
    </row>
    <row r="835" spans="2:9">
      <c r="B835" s="1477">
        <v>89213</v>
      </c>
      <c r="C835" s="740" t="s">
        <v>45</v>
      </c>
      <c r="D835" s="739" t="s">
        <v>31</v>
      </c>
      <c r="E835" s="741">
        <f t="shared" ref="E835:E898" si="26">IF($K$2=$H$1,H835,I835)</f>
        <v>8.92</v>
      </c>
      <c r="F835">
        <f t="shared" ref="F835:F898" si="27">IF(LEN($B835)=7,CONCATENATE(MID($B835,1,6),"00",RIGHT($B835,1)),IF(LEN($B835)=8,CONCATENATE(MID($B835,1,6),"0",RIGHT($B835,2)),$B835))</f>
        <v>89213</v>
      </c>
      <c r="H835" s="1406">
        <v>8.92</v>
      </c>
      <c r="I835" s="1406">
        <v>8.92</v>
      </c>
    </row>
    <row r="836" spans="2:9">
      <c r="B836" s="677">
        <v>89214</v>
      </c>
      <c r="C836" s="733" t="s">
        <v>46</v>
      </c>
      <c r="D836" s="677" t="s">
        <v>31</v>
      </c>
      <c r="E836" s="738">
        <f t="shared" si="26"/>
        <v>27.14</v>
      </c>
      <c r="F836">
        <f t="shared" si="27"/>
        <v>89214</v>
      </c>
      <c r="H836" s="1405">
        <v>27.14</v>
      </c>
      <c r="I836" s="1405">
        <v>27.14</v>
      </c>
    </row>
    <row r="837" spans="2:9" ht="30">
      <c r="B837" s="1477">
        <v>89215</v>
      </c>
      <c r="C837" s="740" t="s">
        <v>47</v>
      </c>
      <c r="D837" s="739" t="s">
        <v>31</v>
      </c>
      <c r="E837" s="741">
        <f t="shared" si="26"/>
        <v>91.41</v>
      </c>
      <c r="F837">
        <f t="shared" si="27"/>
        <v>89215</v>
      </c>
      <c r="H837" s="1406">
        <v>91.41</v>
      </c>
      <c r="I837" s="1406">
        <v>91.41</v>
      </c>
    </row>
    <row r="838" spans="2:9" ht="30">
      <c r="B838" s="677">
        <v>89221</v>
      </c>
      <c r="C838" s="733" t="s">
        <v>7953</v>
      </c>
      <c r="D838" s="677" t="s">
        <v>31</v>
      </c>
      <c r="E838" s="738">
        <f t="shared" si="26"/>
        <v>1.35</v>
      </c>
      <c r="F838">
        <f t="shared" si="27"/>
        <v>89221</v>
      </c>
      <c r="H838" s="1405">
        <v>1.35</v>
      </c>
      <c r="I838" s="1405">
        <v>1.35</v>
      </c>
    </row>
    <row r="839" spans="2:9" ht="30">
      <c r="B839" s="1477">
        <v>89222</v>
      </c>
      <c r="C839" s="740" t="s">
        <v>7954</v>
      </c>
      <c r="D839" s="739" t="s">
        <v>31</v>
      </c>
      <c r="E839" s="741">
        <f t="shared" si="26"/>
        <v>0.33</v>
      </c>
      <c r="F839">
        <f t="shared" si="27"/>
        <v>89222</v>
      </c>
      <c r="H839" s="1406">
        <v>0.33</v>
      </c>
      <c r="I839" s="1406">
        <v>0.33</v>
      </c>
    </row>
    <row r="840" spans="2:9" ht="30">
      <c r="B840" s="677">
        <v>89223</v>
      </c>
      <c r="C840" s="733" t="s">
        <v>7955</v>
      </c>
      <c r="D840" s="677" t="s">
        <v>31</v>
      </c>
      <c r="E840" s="738">
        <f t="shared" si="26"/>
        <v>1.58</v>
      </c>
      <c r="F840">
        <f t="shared" si="27"/>
        <v>89223</v>
      </c>
      <c r="H840" s="1405">
        <v>1.58</v>
      </c>
      <c r="I840" s="1405">
        <v>1.58</v>
      </c>
    </row>
    <row r="841" spans="2:9" ht="30">
      <c r="B841" s="1477">
        <v>89224</v>
      </c>
      <c r="C841" s="740" t="s">
        <v>7956</v>
      </c>
      <c r="D841" s="739" t="s">
        <v>31</v>
      </c>
      <c r="E841" s="741">
        <f t="shared" si="26"/>
        <v>2.67</v>
      </c>
      <c r="F841">
        <f t="shared" si="27"/>
        <v>89224</v>
      </c>
      <c r="H841" s="1406">
        <v>2.67</v>
      </c>
      <c r="I841" s="1406">
        <v>2.67</v>
      </c>
    </row>
    <row r="842" spans="2:9" ht="30">
      <c r="B842" s="677">
        <v>89228</v>
      </c>
      <c r="C842" s="733" t="s">
        <v>48</v>
      </c>
      <c r="D842" s="677" t="s">
        <v>31</v>
      </c>
      <c r="E842" s="738">
        <f t="shared" si="26"/>
        <v>44.4</v>
      </c>
      <c r="F842">
        <f t="shared" si="27"/>
        <v>89228</v>
      </c>
      <c r="H842" s="1405">
        <v>44.4</v>
      </c>
      <c r="I842" s="1405">
        <v>44.4</v>
      </c>
    </row>
    <row r="843" spans="2:9" ht="30">
      <c r="B843" s="1477">
        <v>89229</v>
      </c>
      <c r="C843" s="740" t="s">
        <v>49</v>
      </c>
      <c r="D843" s="739" t="s">
        <v>31</v>
      </c>
      <c r="E843" s="741">
        <f t="shared" si="26"/>
        <v>15.65</v>
      </c>
      <c r="F843">
        <f t="shared" si="27"/>
        <v>89229</v>
      </c>
      <c r="H843" s="1406">
        <v>15.65</v>
      </c>
      <c r="I843" s="1406">
        <v>15.65</v>
      </c>
    </row>
    <row r="844" spans="2:9">
      <c r="B844" s="677">
        <v>89230</v>
      </c>
      <c r="C844" s="733" t="s">
        <v>1041</v>
      </c>
      <c r="D844" s="677" t="s">
        <v>31</v>
      </c>
      <c r="E844" s="738">
        <f t="shared" si="26"/>
        <v>106.95</v>
      </c>
      <c r="F844">
        <f t="shared" si="27"/>
        <v>89230</v>
      </c>
      <c r="H844" s="1405">
        <v>106.95</v>
      </c>
      <c r="I844" s="1405">
        <v>106.95</v>
      </c>
    </row>
    <row r="845" spans="2:9">
      <c r="B845" s="1477">
        <v>89231</v>
      </c>
      <c r="C845" s="740" t="s">
        <v>1042</v>
      </c>
      <c r="D845" s="739" t="s">
        <v>31</v>
      </c>
      <c r="E845" s="741">
        <f t="shared" si="26"/>
        <v>32.74</v>
      </c>
      <c r="F845">
        <f t="shared" si="27"/>
        <v>89231</v>
      </c>
      <c r="H845" s="1406">
        <v>32.74</v>
      </c>
      <c r="I845" s="1406">
        <v>32.74</v>
      </c>
    </row>
    <row r="846" spans="2:9">
      <c r="B846" s="677">
        <v>89232</v>
      </c>
      <c r="C846" s="733" t="s">
        <v>1043</v>
      </c>
      <c r="D846" s="677" t="s">
        <v>31</v>
      </c>
      <c r="E846" s="738">
        <f t="shared" si="26"/>
        <v>190.77</v>
      </c>
      <c r="F846">
        <f t="shared" si="27"/>
        <v>89232</v>
      </c>
      <c r="H846" s="1405">
        <v>190.77</v>
      </c>
      <c r="I846" s="1405">
        <v>190.77</v>
      </c>
    </row>
    <row r="847" spans="2:9" ht="30">
      <c r="B847" s="1477">
        <v>89233</v>
      </c>
      <c r="C847" s="740" t="s">
        <v>1044</v>
      </c>
      <c r="D847" s="739" t="s">
        <v>31</v>
      </c>
      <c r="E847" s="741">
        <f t="shared" si="26"/>
        <v>164.5</v>
      </c>
      <c r="F847">
        <f t="shared" si="27"/>
        <v>89233</v>
      </c>
      <c r="H847" s="1406">
        <v>164.5</v>
      </c>
      <c r="I847" s="1406">
        <v>164.5</v>
      </c>
    </row>
    <row r="848" spans="2:9">
      <c r="B848" s="677">
        <v>89236</v>
      </c>
      <c r="C848" s="733" t="s">
        <v>1045</v>
      </c>
      <c r="D848" s="677" t="s">
        <v>31</v>
      </c>
      <c r="E848" s="738">
        <f t="shared" si="26"/>
        <v>249.83</v>
      </c>
      <c r="F848">
        <f t="shared" si="27"/>
        <v>89236</v>
      </c>
      <c r="H848" s="1405">
        <v>249.83</v>
      </c>
      <c r="I848" s="1405">
        <v>249.83</v>
      </c>
    </row>
    <row r="849" spans="2:9">
      <c r="B849" s="1477">
        <v>89237</v>
      </c>
      <c r="C849" s="740" t="s">
        <v>1046</v>
      </c>
      <c r="D849" s="739" t="s">
        <v>31</v>
      </c>
      <c r="E849" s="741">
        <f t="shared" si="26"/>
        <v>76.5</v>
      </c>
      <c r="F849">
        <f t="shared" si="27"/>
        <v>89237</v>
      </c>
      <c r="H849" s="1406">
        <v>76.5</v>
      </c>
      <c r="I849" s="1406">
        <v>76.5</v>
      </c>
    </row>
    <row r="850" spans="2:9">
      <c r="B850" s="677">
        <v>89238</v>
      </c>
      <c r="C850" s="733" t="s">
        <v>1047</v>
      </c>
      <c r="D850" s="677" t="s">
        <v>31</v>
      </c>
      <c r="E850" s="738">
        <f t="shared" si="26"/>
        <v>445.64</v>
      </c>
      <c r="F850">
        <f t="shared" si="27"/>
        <v>89238</v>
      </c>
      <c r="H850" s="1405">
        <v>445.64</v>
      </c>
      <c r="I850" s="1405">
        <v>445.64</v>
      </c>
    </row>
    <row r="851" spans="2:9" ht="30">
      <c r="B851" s="1477">
        <v>89239</v>
      </c>
      <c r="C851" s="740" t="s">
        <v>1048</v>
      </c>
      <c r="D851" s="739" t="s">
        <v>31</v>
      </c>
      <c r="E851" s="741">
        <f t="shared" si="26"/>
        <v>435.03</v>
      </c>
      <c r="F851">
        <f t="shared" si="27"/>
        <v>89239</v>
      </c>
      <c r="H851" s="1406">
        <v>435.03</v>
      </c>
      <c r="I851" s="1406">
        <v>435.03</v>
      </c>
    </row>
    <row r="852" spans="2:9" ht="30">
      <c r="B852" s="677">
        <v>89240</v>
      </c>
      <c r="C852" s="733" t="s">
        <v>1049</v>
      </c>
      <c r="D852" s="677" t="s">
        <v>31</v>
      </c>
      <c r="E852" s="738">
        <f t="shared" si="26"/>
        <v>76.67</v>
      </c>
      <c r="F852">
        <f t="shared" si="27"/>
        <v>89240</v>
      </c>
      <c r="H852" s="1405">
        <v>76.67</v>
      </c>
      <c r="I852" s="1405">
        <v>76.67</v>
      </c>
    </row>
    <row r="853" spans="2:9" ht="30">
      <c r="B853" s="1477">
        <v>89241</v>
      </c>
      <c r="C853" s="740" t="s">
        <v>261</v>
      </c>
      <c r="D853" s="739" t="s">
        <v>31</v>
      </c>
      <c r="E853" s="741">
        <f t="shared" si="26"/>
        <v>27.02</v>
      </c>
      <c r="F853">
        <f t="shared" si="27"/>
        <v>89241</v>
      </c>
      <c r="H853" s="1406">
        <v>27.02</v>
      </c>
      <c r="I853" s="1406">
        <v>27.02</v>
      </c>
    </row>
    <row r="854" spans="2:9">
      <c r="B854" s="677">
        <v>89246</v>
      </c>
      <c r="C854" s="733" t="s">
        <v>262</v>
      </c>
      <c r="D854" s="677" t="s">
        <v>31</v>
      </c>
      <c r="E854" s="738">
        <f t="shared" si="26"/>
        <v>217.09</v>
      </c>
      <c r="F854">
        <f t="shared" si="27"/>
        <v>89246</v>
      </c>
      <c r="H854" s="1405">
        <v>217.09</v>
      </c>
      <c r="I854" s="1405">
        <v>217.09</v>
      </c>
    </row>
    <row r="855" spans="2:9">
      <c r="B855" s="1477">
        <v>89247</v>
      </c>
      <c r="C855" s="740" t="s">
        <v>263</v>
      </c>
      <c r="D855" s="739" t="s">
        <v>31</v>
      </c>
      <c r="E855" s="741">
        <f t="shared" si="26"/>
        <v>66.47</v>
      </c>
      <c r="F855">
        <f t="shared" si="27"/>
        <v>89247</v>
      </c>
      <c r="H855" s="1406">
        <v>66.47</v>
      </c>
      <c r="I855" s="1406">
        <v>66.47</v>
      </c>
    </row>
    <row r="856" spans="2:9">
      <c r="B856" s="677">
        <v>89248</v>
      </c>
      <c r="C856" s="733" t="s">
        <v>264</v>
      </c>
      <c r="D856" s="677" t="s">
        <v>31</v>
      </c>
      <c r="E856" s="738">
        <f t="shared" si="26"/>
        <v>387.23</v>
      </c>
      <c r="F856">
        <f t="shared" si="27"/>
        <v>89248</v>
      </c>
      <c r="H856" s="1405">
        <v>387.23</v>
      </c>
      <c r="I856" s="1405">
        <v>387.23</v>
      </c>
    </row>
    <row r="857" spans="2:9" ht="30">
      <c r="B857" s="1477">
        <v>89249</v>
      </c>
      <c r="C857" s="740" t="s">
        <v>265</v>
      </c>
      <c r="D857" s="739" t="s">
        <v>31</v>
      </c>
      <c r="E857" s="741">
        <f t="shared" si="26"/>
        <v>370.83</v>
      </c>
      <c r="F857">
        <f t="shared" si="27"/>
        <v>89249</v>
      </c>
      <c r="H857" s="1406">
        <v>370.83</v>
      </c>
      <c r="I857" s="1406">
        <v>370.83</v>
      </c>
    </row>
    <row r="858" spans="2:9" ht="30">
      <c r="B858" s="677">
        <v>89253</v>
      </c>
      <c r="C858" s="733" t="s">
        <v>1050</v>
      </c>
      <c r="D858" s="677" t="s">
        <v>31</v>
      </c>
      <c r="E858" s="738">
        <f t="shared" si="26"/>
        <v>62.83</v>
      </c>
      <c r="F858">
        <f t="shared" si="27"/>
        <v>89253</v>
      </c>
      <c r="H858" s="1405">
        <v>62.83</v>
      </c>
      <c r="I858" s="1405">
        <v>62.83</v>
      </c>
    </row>
    <row r="859" spans="2:9" ht="30">
      <c r="B859" s="1477">
        <v>89254</v>
      </c>
      <c r="C859" s="740" t="s">
        <v>266</v>
      </c>
      <c r="D859" s="739" t="s">
        <v>31</v>
      </c>
      <c r="E859" s="741">
        <f t="shared" si="26"/>
        <v>22.14</v>
      </c>
      <c r="F859">
        <f t="shared" si="27"/>
        <v>89254</v>
      </c>
      <c r="H859" s="1406">
        <v>22.14</v>
      </c>
      <c r="I859" s="1406">
        <v>22.14</v>
      </c>
    </row>
    <row r="860" spans="2:9" ht="30">
      <c r="B860" s="677">
        <v>89255</v>
      </c>
      <c r="C860" s="733" t="s">
        <v>1051</v>
      </c>
      <c r="D860" s="677" t="s">
        <v>31</v>
      </c>
      <c r="E860" s="738">
        <f t="shared" si="26"/>
        <v>101</v>
      </c>
      <c r="F860">
        <f t="shared" si="27"/>
        <v>89255</v>
      </c>
      <c r="H860" s="1405">
        <v>101</v>
      </c>
      <c r="I860" s="1405">
        <v>101</v>
      </c>
    </row>
    <row r="861" spans="2:9" ht="30">
      <c r="B861" s="1477">
        <v>89256</v>
      </c>
      <c r="C861" s="740" t="s">
        <v>1052</v>
      </c>
      <c r="D861" s="739" t="s">
        <v>31</v>
      </c>
      <c r="E861" s="741">
        <f t="shared" si="26"/>
        <v>83.46</v>
      </c>
      <c r="F861">
        <f t="shared" si="27"/>
        <v>89256</v>
      </c>
      <c r="H861" s="1406">
        <v>83.46</v>
      </c>
      <c r="I861" s="1406">
        <v>83.46</v>
      </c>
    </row>
    <row r="862" spans="2:9" ht="30">
      <c r="B862" s="677">
        <v>89259</v>
      </c>
      <c r="C862" s="733" t="s">
        <v>1053</v>
      </c>
      <c r="D862" s="677" t="s">
        <v>31</v>
      </c>
      <c r="E862" s="738">
        <f t="shared" si="26"/>
        <v>27.43</v>
      </c>
      <c r="F862">
        <f t="shared" si="27"/>
        <v>89259</v>
      </c>
      <c r="H862" s="1405">
        <v>27.43</v>
      </c>
      <c r="I862" s="1405">
        <v>27.43</v>
      </c>
    </row>
    <row r="863" spans="2:9" ht="30">
      <c r="B863" s="1477">
        <v>89260</v>
      </c>
      <c r="C863" s="740" t="s">
        <v>1054</v>
      </c>
      <c r="D863" s="739" t="s">
        <v>31</v>
      </c>
      <c r="E863" s="741">
        <f t="shared" si="26"/>
        <v>10.119999999999999</v>
      </c>
      <c r="F863">
        <f t="shared" si="27"/>
        <v>89260</v>
      </c>
      <c r="H863" s="1406">
        <v>10.119999999999999</v>
      </c>
      <c r="I863" s="1406">
        <v>10.119999999999999</v>
      </c>
    </row>
    <row r="864" spans="2:9" ht="30">
      <c r="B864" s="677">
        <v>89262</v>
      </c>
      <c r="C864" s="733" t="s">
        <v>1055</v>
      </c>
      <c r="D864" s="677" t="s">
        <v>31</v>
      </c>
      <c r="E864" s="738">
        <f t="shared" si="26"/>
        <v>46.63</v>
      </c>
      <c r="F864">
        <f t="shared" si="27"/>
        <v>89262</v>
      </c>
      <c r="H864" s="1405">
        <v>46.63</v>
      </c>
      <c r="I864" s="1405">
        <v>46.63</v>
      </c>
    </row>
    <row r="865" spans="2:9" ht="30">
      <c r="B865" s="1477">
        <v>89264</v>
      </c>
      <c r="C865" s="740" t="s">
        <v>1056</v>
      </c>
      <c r="D865" s="739" t="s">
        <v>31</v>
      </c>
      <c r="E865" s="741">
        <f t="shared" si="26"/>
        <v>21.33</v>
      </c>
      <c r="F865">
        <f t="shared" si="27"/>
        <v>89264</v>
      </c>
      <c r="H865" s="1406">
        <v>21.33</v>
      </c>
      <c r="I865" s="1406">
        <v>21.33</v>
      </c>
    </row>
    <row r="866" spans="2:9" ht="30">
      <c r="B866" s="677">
        <v>89265</v>
      </c>
      <c r="C866" s="733" t="s">
        <v>1057</v>
      </c>
      <c r="D866" s="677" t="s">
        <v>31</v>
      </c>
      <c r="E866" s="738">
        <f t="shared" si="26"/>
        <v>8.52</v>
      </c>
      <c r="F866">
        <f t="shared" si="27"/>
        <v>89265</v>
      </c>
      <c r="H866" s="1405">
        <v>8.52</v>
      </c>
      <c r="I866" s="1405">
        <v>8.52</v>
      </c>
    </row>
    <row r="867" spans="2:9" ht="45">
      <c r="B867" s="1477">
        <v>89266</v>
      </c>
      <c r="C867" s="740" t="s">
        <v>1058</v>
      </c>
      <c r="D867" s="739" t="s">
        <v>31</v>
      </c>
      <c r="E867" s="741">
        <f t="shared" si="26"/>
        <v>3.44</v>
      </c>
      <c r="F867">
        <f t="shared" si="27"/>
        <v>89266</v>
      </c>
      <c r="H867" s="1406">
        <v>3.44</v>
      </c>
      <c r="I867" s="1406">
        <v>3.44</v>
      </c>
    </row>
    <row r="868" spans="2:9" ht="30">
      <c r="B868" s="677">
        <v>89267</v>
      </c>
      <c r="C868" s="733" t="s">
        <v>1059</v>
      </c>
      <c r="D868" s="677" t="s">
        <v>31</v>
      </c>
      <c r="E868" s="738">
        <f t="shared" si="26"/>
        <v>50.32</v>
      </c>
      <c r="F868">
        <f t="shared" si="27"/>
        <v>89267</v>
      </c>
      <c r="H868" s="1405">
        <v>50.32</v>
      </c>
      <c r="I868" s="1405">
        <v>50.32</v>
      </c>
    </row>
    <row r="869" spans="2:9" ht="30">
      <c r="B869" s="1477">
        <v>89268</v>
      </c>
      <c r="C869" s="740" t="s">
        <v>1060</v>
      </c>
      <c r="D869" s="739" t="s">
        <v>31</v>
      </c>
      <c r="E869" s="741">
        <f t="shared" si="26"/>
        <v>17.739999999999998</v>
      </c>
      <c r="F869">
        <f t="shared" si="27"/>
        <v>89268</v>
      </c>
      <c r="H869" s="1406">
        <v>17.739999999999998</v>
      </c>
      <c r="I869" s="1406">
        <v>17.739999999999998</v>
      </c>
    </row>
    <row r="870" spans="2:9" ht="30">
      <c r="B870" s="677">
        <v>89269</v>
      </c>
      <c r="C870" s="733" t="s">
        <v>1061</v>
      </c>
      <c r="D870" s="677" t="s">
        <v>31</v>
      </c>
      <c r="E870" s="738">
        <f t="shared" si="26"/>
        <v>7.17</v>
      </c>
      <c r="F870">
        <f t="shared" si="27"/>
        <v>89269</v>
      </c>
      <c r="H870" s="1405">
        <v>7.17</v>
      </c>
      <c r="I870" s="1405">
        <v>7.17</v>
      </c>
    </row>
    <row r="871" spans="2:9" ht="30">
      <c r="B871" s="1477">
        <v>89270</v>
      </c>
      <c r="C871" s="740" t="s">
        <v>1062</v>
      </c>
      <c r="D871" s="739" t="s">
        <v>31</v>
      </c>
      <c r="E871" s="741">
        <f t="shared" si="26"/>
        <v>80.900000000000006</v>
      </c>
      <c r="F871">
        <f t="shared" si="27"/>
        <v>89270</v>
      </c>
      <c r="H871" s="1406">
        <v>80.900000000000006</v>
      </c>
      <c r="I871" s="1406">
        <v>80.900000000000006</v>
      </c>
    </row>
    <row r="872" spans="2:9" ht="30">
      <c r="B872" s="677">
        <v>89271</v>
      </c>
      <c r="C872" s="733" t="s">
        <v>1063</v>
      </c>
      <c r="D872" s="677" t="s">
        <v>31</v>
      </c>
      <c r="E872" s="738">
        <f t="shared" si="26"/>
        <v>28.56</v>
      </c>
      <c r="F872">
        <f t="shared" si="27"/>
        <v>89271</v>
      </c>
      <c r="H872" s="1405">
        <v>28.56</v>
      </c>
      <c r="I872" s="1405">
        <v>28.56</v>
      </c>
    </row>
    <row r="873" spans="2:9" ht="30">
      <c r="B873" s="1477">
        <v>89274</v>
      </c>
      <c r="C873" s="740" t="s">
        <v>7957</v>
      </c>
      <c r="D873" s="739" t="s">
        <v>31</v>
      </c>
      <c r="E873" s="741">
        <f t="shared" si="26"/>
        <v>1.64</v>
      </c>
      <c r="F873">
        <f t="shared" si="27"/>
        <v>89274</v>
      </c>
      <c r="H873" s="1406">
        <v>1.64</v>
      </c>
      <c r="I873" s="1406">
        <v>1.64</v>
      </c>
    </row>
    <row r="874" spans="2:9" ht="30">
      <c r="B874" s="677">
        <v>89275</v>
      </c>
      <c r="C874" s="733" t="s">
        <v>7958</v>
      </c>
      <c r="D874" s="677" t="s">
        <v>31</v>
      </c>
      <c r="E874" s="738">
        <f t="shared" si="26"/>
        <v>0.4</v>
      </c>
      <c r="F874">
        <f t="shared" si="27"/>
        <v>89275</v>
      </c>
      <c r="H874" s="1405">
        <v>0.4</v>
      </c>
      <c r="I874" s="1405">
        <v>0.4</v>
      </c>
    </row>
    <row r="875" spans="2:9" ht="30">
      <c r="B875" s="1477">
        <v>89276</v>
      </c>
      <c r="C875" s="740" t="s">
        <v>7959</v>
      </c>
      <c r="D875" s="739" t="s">
        <v>31</v>
      </c>
      <c r="E875" s="741">
        <f t="shared" si="26"/>
        <v>2.19</v>
      </c>
      <c r="F875">
        <f t="shared" si="27"/>
        <v>89276</v>
      </c>
      <c r="H875" s="1406">
        <v>2.19</v>
      </c>
      <c r="I875" s="1406">
        <v>2.19</v>
      </c>
    </row>
    <row r="876" spans="2:9" ht="30">
      <c r="B876" s="677">
        <v>89277</v>
      </c>
      <c r="C876" s="733" t="s">
        <v>7960</v>
      </c>
      <c r="D876" s="677" t="s">
        <v>31</v>
      </c>
      <c r="E876" s="738">
        <f t="shared" si="26"/>
        <v>8.34</v>
      </c>
      <c r="F876">
        <f t="shared" si="27"/>
        <v>89277</v>
      </c>
      <c r="H876" s="1405">
        <v>8.34</v>
      </c>
      <c r="I876" s="1405">
        <v>8.34</v>
      </c>
    </row>
    <row r="877" spans="2:9" ht="30">
      <c r="B877" s="1477">
        <v>89280</v>
      </c>
      <c r="C877" s="740" t="s">
        <v>1064</v>
      </c>
      <c r="D877" s="739" t="s">
        <v>31</v>
      </c>
      <c r="E877" s="741">
        <f t="shared" si="26"/>
        <v>39.36</v>
      </c>
      <c r="F877">
        <f t="shared" si="27"/>
        <v>89280</v>
      </c>
      <c r="H877" s="1406">
        <v>39.36</v>
      </c>
      <c r="I877" s="1406">
        <v>39.36</v>
      </c>
    </row>
    <row r="878" spans="2:9" ht="30">
      <c r="B878" s="677">
        <v>89281</v>
      </c>
      <c r="C878" s="733" t="s">
        <v>1065</v>
      </c>
      <c r="D878" s="677" t="s">
        <v>31</v>
      </c>
      <c r="E878" s="738">
        <f t="shared" si="26"/>
        <v>10.56</v>
      </c>
      <c r="F878">
        <f t="shared" si="27"/>
        <v>89281</v>
      </c>
      <c r="H878" s="1405">
        <v>10.56</v>
      </c>
      <c r="I878" s="1405">
        <v>10.56</v>
      </c>
    </row>
    <row r="879" spans="2:9" ht="30">
      <c r="B879" s="1477">
        <v>89870</v>
      </c>
      <c r="C879" s="740" t="s">
        <v>267</v>
      </c>
      <c r="D879" s="739" t="s">
        <v>31</v>
      </c>
      <c r="E879" s="741">
        <f t="shared" si="26"/>
        <v>38.119999999999997</v>
      </c>
      <c r="F879">
        <f t="shared" si="27"/>
        <v>89870</v>
      </c>
      <c r="H879" s="1406">
        <v>38.119999999999997</v>
      </c>
      <c r="I879" s="1406">
        <v>38.119999999999997</v>
      </c>
    </row>
    <row r="880" spans="2:9" ht="30">
      <c r="B880" s="677">
        <v>89871</v>
      </c>
      <c r="C880" s="733" t="s">
        <v>268</v>
      </c>
      <c r="D880" s="677" t="s">
        <v>31</v>
      </c>
      <c r="E880" s="738">
        <f t="shared" si="26"/>
        <v>13.52</v>
      </c>
      <c r="F880">
        <f t="shared" si="27"/>
        <v>89871</v>
      </c>
      <c r="H880" s="1405">
        <v>13.52</v>
      </c>
      <c r="I880" s="1405">
        <v>13.52</v>
      </c>
    </row>
    <row r="881" spans="2:9" ht="30">
      <c r="B881" s="1477">
        <v>89872</v>
      </c>
      <c r="C881" s="740" t="s">
        <v>269</v>
      </c>
      <c r="D881" s="739" t="s">
        <v>31</v>
      </c>
      <c r="E881" s="741">
        <f t="shared" si="26"/>
        <v>5.46</v>
      </c>
      <c r="F881">
        <f t="shared" si="27"/>
        <v>89872</v>
      </c>
      <c r="H881" s="1406">
        <v>5.46</v>
      </c>
      <c r="I881" s="1406">
        <v>5.46</v>
      </c>
    </row>
    <row r="882" spans="2:9" ht="30">
      <c r="B882" s="677">
        <v>89873</v>
      </c>
      <c r="C882" s="733" t="s">
        <v>270</v>
      </c>
      <c r="D882" s="677" t="s">
        <v>31</v>
      </c>
      <c r="E882" s="738">
        <f t="shared" si="26"/>
        <v>65.53</v>
      </c>
      <c r="F882">
        <f t="shared" si="27"/>
        <v>89873</v>
      </c>
      <c r="H882" s="1405">
        <v>65.53</v>
      </c>
      <c r="I882" s="1405">
        <v>65.53</v>
      </c>
    </row>
    <row r="883" spans="2:9" ht="30">
      <c r="B883" s="1477">
        <v>89874</v>
      </c>
      <c r="C883" s="740" t="s">
        <v>271</v>
      </c>
      <c r="D883" s="739" t="s">
        <v>31</v>
      </c>
      <c r="E883" s="741">
        <f t="shared" si="26"/>
        <v>173.57</v>
      </c>
      <c r="F883">
        <f t="shared" si="27"/>
        <v>89874</v>
      </c>
      <c r="H883" s="1406">
        <v>173.57</v>
      </c>
      <c r="I883" s="1406">
        <v>173.57</v>
      </c>
    </row>
    <row r="884" spans="2:9" ht="30">
      <c r="B884" s="677">
        <v>89878</v>
      </c>
      <c r="C884" s="733" t="s">
        <v>272</v>
      </c>
      <c r="D884" s="677" t="s">
        <v>31</v>
      </c>
      <c r="E884" s="738">
        <f t="shared" si="26"/>
        <v>40.69</v>
      </c>
      <c r="F884">
        <f t="shared" si="27"/>
        <v>89878</v>
      </c>
      <c r="H884" s="1405">
        <v>40.69</v>
      </c>
      <c r="I884" s="1405">
        <v>40.69</v>
      </c>
    </row>
    <row r="885" spans="2:9" ht="30">
      <c r="B885" s="1477">
        <v>89879</v>
      </c>
      <c r="C885" s="740" t="s">
        <v>273</v>
      </c>
      <c r="D885" s="739" t="s">
        <v>31</v>
      </c>
      <c r="E885" s="741">
        <f t="shared" si="26"/>
        <v>14.2</v>
      </c>
      <c r="F885">
        <f t="shared" si="27"/>
        <v>89879</v>
      </c>
      <c r="H885" s="1406">
        <v>14.2</v>
      </c>
      <c r="I885" s="1406">
        <v>14.2</v>
      </c>
    </row>
    <row r="886" spans="2:9" ht="30">
      <c r="B886" s="677">
        <v>89880</v>
      </c>
      <c r="C886" s="733" t="s">
        <v>274</v>
      </c>
      <c r="D886" s="677" t="s">
        <v>31</v>
      </c>
      <c r="E886" s="738">
        <f t="shared" si="26"/>
        <v>5.74</v>
      </c>
      <c r="F886">
        <f t="shared" si="27"/>
        <v>89880</v>
      </c>
      <c r="H886" s="1405">
        <v>5.74</v>
      </c>
      <c r="I886" s="1405">
        <v>5.74</v>
      </c>
    </row>
    <row r="887" spans="2:9" ht="30">
      <c r="B887" s="1477">
        <v>89881</v>
      </c>
      <c r="C887" s="740" t="s">
        <v>275</v>
      </c>
      <c r="D887" s="739" t="s">
        <v>31</v>
      </c>
      <c r="E887" s="741">
        <f t="shared" si="26"/>
        <v>69.3</v>
      </c>
      <c r="F887">
        <f t="shared" si="27"/>
        <v>89881</v>
      </c>
      <c r="H887" s="1406">
        <v>69.3</v>
      </c>
      <c r="I887" s="1406">
        <v>69.3</v>
      </c>
    </row>
    <row r="888" spans="2:9" ht="30">
      <c r="B888" s="677">
        <v>89882</v>
      </c>
      <c r="C888" s="733" t="s">
        <v>276</v>
      </c>
      <c r="D888" s="677" t="s">
        <v>31</v>
      </c>
      <c r="E888" s="738">
        <f t="shared" si="26"/>
        <v>200.26</v>
      </c>
      <c r="F888">
        <f t="shared" si="27"/>
        <v>89882</v>
      </c>
      <c r="H888" s="1405">
        <v>200.26</v>
      </c>
      <c r="I888" s="1405">
        <v>200.26</v>
      </c>
    </row>
    <row r="889" spans="2:9" ht="30">
      <c r="B889" s="1477">
        <v>90582</v>
      </c>
      <c r="C889" s="740" t="s">
        <v>1066</v>
      </c>
      <c r="D889" s="739" t="s">
        <v>31</v>
      </c>
      <c r="E889" s="741">
        <f t="shared" si="26"/>
        <v>0.4</v>
      </c>
      <c r="F889">
        <f t="shared" si="27"/>
        <v>90582</v>
      </c>
      <c r="H889" s="1406">
        <v>0.4</v>
      </c>
      <c r="I889" s="1406">
        <v>0.4</v>
      </c>
    </row>
    <row r="890" spans="2:9">
      <c r="B890" s="677">
        <v>90583</v>
      </c>
      <c r="C890" s="733" t="s">
        <v>1067</v>
      </c>
      <c r="D890" s="677" t="s">
        <v>31</v>
      </c>
      <c r="E890" s="738">
        <f t="shared" si="26"/>
        <v>0.09</v>
      </c>
      <c r="F890">
        <f t="shared" si="27"/>
        <v>90583</v>
      </c>
      <c r="H890" s="1405">
        <v>0.09</v>
      </c>
      <c r="I890" s="1405">
        <v>0.09</v>
      </c>
    </row>
    <row r="891" spans="2:9" ht="30">
      <c r="B891" s="1477">
        <v>90584</v>
      </c>
      <c r="C891" s="740" t="s">
        <v>1068</v>
      </c>
      <c r="D891" s="739" t="s">
        <v>31</v>
      </c>
      <c r="E891" s="741">
        <f t="shared" si="26"/>
        <v>0.32</v>
      </c>
      <c r="F891">
        <f t="shared" si="27"/>
        <v>90584</v>
      </c>
      <c r="H891" s="1406">
        <v>0.32</v>
      </c>
      <c r="I891" s="1406">
        <v>0.32</v>
      </c>
    </row>
    <row r="892" spans="2:9" ht="30">
      <c r="B892" s="677">
        <v>90585</v>
      </c>
      <c r="C892" s="733" t="s">
        <v>1069</v>
      </c>
      <c r="D892" s="677" t="s">
        <v>31</v>
      </c>
      <c r="E892" s="738">
        <f t="shared" si="26"/>
        <v>0.55000000000000004</v>
      </c>
      <c r="F892">
        <f t="shared" si="27"/>
        <v>90585</v>
      </c>
      <c r="H892" s="1405">
        <v>0.55000000000000004</v>
      </c>
      <c r="I892" s="1405">
        <v>0.55000000000000004</v>
      </c>
    </row>
    <row r="893" spans="2:9">
      <c r="B893" s="1477">
        <v>90621</v>
      </c>
      <c r="C893" s="740" t="s">
        <v>277</v>
      </c>
      <c r="D893" s="739" t="s">
        <v>31</v>
      </c>
      <c r="E893" s="741">
        <f t="shared" si="26"/>
        <v>2.16</v>
      </c>
      <c r="F893">
        <f t="shared" si="27"/>
        <v>90621</v>
      </c>
      <c r="H893" s="1406">
        <v>2.16</v>
      </c>
      <c r="I893" s="1406">
        <v>2.16</v>
      </c>
    </row>
    <row r="894" spans="2:9">
      <c r="B894" s="677">
        <v>90622</v>
      </c>
      <c r="C894" s="733" t="s">
        <v>278</v>
      </c>
      <c r="D894" s="677" t="s">
        <v>31</v>
      </c>
      <c r="E894" s="738">
        <f t="shared" si="26"/>
        <v>0.5</v>
      </c>
      <c r="F894">
        <f t="shared" si="27"/>
        <v>90622</v>
      </c>
      <c r="H894" s="1405">
        <v>0.5</v>
      </c>
      <c r="I894" s="1405">
        <v>0.5</v>
      </c>
    </row>
    <row r="895" spans="2:9">
      <c r="B895" s="1477">
        <v>90623</v>
      </c>
      <c r="C895" s="740" t="s">
        <v>279</v>
      </c>
      <c r="D895" s="739" t="s">
        <v>31</v>
      </c>
      <c r="E895" s="741">
        <f t="shared" si="26"/>
        <v>2.7</v>
      </c>
      <c r="F895">
        <f t="shared" si="27"/>
        <v>90623</v>
      </c>
      <c r="H895" s="1406">
        <v>2.7</v>
      </c>
      <c r="I895" s="1406">
        <v>2.7</v>
      </c>
    </row>
    <row r="896" spans="2:9" ht="30">
      <c r="B896" s="677">
        <v>90624</v>
      </c>
      <c r="C896" s="733" t="s">
        <v>280</v>
      </c>
      <c r="D896" s="677" t="s">
        <v>31</v>
      </c>
      <c r="E896" s="738">
        <f t="shared" si="26"/>
        <v>3.34</v>
      </c>
      <c r="F896">
        <f t="shared" si="27"/>
        <v>90624</v>
      </c>
      <c r="H896" s="1405">
        <v>3.34</v>
      </c>
      <c r="I896" s="1405">
        <v>3.34</v>
      </c>
    </row>
    <row r="897" spans="2:9" ht="30">
      <c r="B897" s="1477">
        <v>90627</v>
      </c>
      <c r="C897" s="740" t="s">
        <v>281</v>
      </c>
      <c r="D897" s="739" t="s">
        <v>31</v>
      </c>
      <c r="E897" s="741">
        <f t="shared" si="26"/>
        <v>46.69</v>
      </c>
      <c r="F897">
        <f t="shared" si="27"/>
        <v>90627</v>
      </c>
      <c r="H897" s="1406">
        <v>46.69</v>
      </c>
      <c r="I897" s="1406">
        <v>46.69</v>
      </c>
    </row>
    <row r="898" spans="2:9" ht="30">
      <c r="B898" s="677">
        <v>90628</v>
      </c>
      <c r="C898" s="733" t="s">
        <v>282</v>
      </c>
      <c r="D898" s="677" t="s">
        <v>31</v>
      </c>
      <c r="E898" s="738">
        <f t="shared" si="26"/>
        <v>12.52</v>
      </c>
      <c r="F898">
        <f t="shared" si="27"/>
        <v>90628</v>
      </c>
      <c r="H898" s="1405">
        <v>12.52</v>
      </c>
      <c r="I898" s="1405">
        <v>12.52</v>
      </c>
    </row>
    <row r="899" spans="2:9" ht="30">
      <c r="B899" s="1477">
        <v>90629</v>
      </c>
      <c r="C899" s="740" t="s">
        <v>283</v>
      </c>
      <c r="D899" s="739" t="s">
        <v>31</v>
      </c>
      <c r="E899" s="741">
        <f t="shared" ref="E899:E962" si="28">IF($K$2=$H$1,H899,I899)</f>
        <v>58.43</v>
      </c>
      <c r="F899">
        <f t="shared" ref="F899:F962" si="29">IF(LEN($B899)=7,CONCATENATE(MID($B899,1,6),"00",RIGHT($B899,1)),IF(LEN($B899)=8,CONCATENATE(MID($B899,1,6),"0",RIGHT($B899,2)),$B899))</f>
        <v>90629</v>
      </c>
      <c r="H899" s="1406">
        <v>58.43</v>
      </c>
      <c r="I899" s="1406">
        <v>58.43</v>
      </c>
    </row>
    <row r="900" spans="2:9" ht="30">
      <c r="B900" s="677">
        <v>90630</v>
      </c>
      <c r="C900" s="733" t="s">
        <v>1070</v>
      </c>
      <c r="D900" s="677" t="s">
        <v>31</v>
      </c>
      <c r="E900" s="738">
        <f t="shared" si="28"/>
        <v>1.59</v>
      </c>
      <c r="F900">
        <f t="shared" si="29"/>
        <v>90630</v>
      </c>
      <c r="H900" s="1405">
        <v>1.59</v>
      </c>
      <c r="I900" s="1405">
        <v>1.59</v>
      </c>
    </row>
    <row r="901" spans="2:9" ht="30">
      <c r="B901" s="1477">
        <v>90633</v>
      </c>
      <c r="C901" s="740" t="s">
        <v>50</v>
      </c>
      <c r="D901" s="739" t="s">
        <v>31</v>
      </c>
      <c r="E901" s="741">
        <f t="shared" si="28"/>
        <v>4.45</v>
      </c>
      <c r="F901">
        <f t="shared" si="29"/>
        <v>90633</v>
      </c>
      <c r="H901" s="1406">
        <v>4.45</v>
      </c>
      <c r="I901" s="1406">
        <v>4.45</v>
      </c>
    </row>
    <row r="902" spans="2:9" ht="30">
      <c r="B902" s="677">
        <v>90634</v>
      </c>
      <c r="C902" s="733" t="s">
        <v>51</v>
      </c>
      <c r="D902" s="677" t="s">
        <v>31</v>
      </c>
      <c r="E902" s="738">
        <f t="shared" si="28"/>
        <v>1.03</v>
      </c>
      <c r="F902">
        <f t="shared" si="29"/>
        <v>90634</v>
      </c>
      <c r="H902" s="1405">
        <v>1.03</v>
      </c>
      <c r="I902" s="1405">
        <v>1.03</v>
      </c>
    </row>
    <row r="903" spans="2:9" ht="30">
      <c r="B903" s="1477">
        <v>90635</v>
      </c>
      <c r="C903" s="740" t="s">
        <v>52</v>
      </c>
      <c r="D903" s="739" t="s">
        <v>31</v>
      </c>
      <c r="E903" s="741">
        <f t="shared" si="28"/>
        <v>4.87</v>
      </c>
      <c r="F903">
        <f t="shared" si="29"/>
        <v>90635</v>
      </c>
      <c r="H903" s="1406">
        <v>4.87</v>
      </c>
      <c r="I903" s="1406">
        <v>4.87</v>
      </c>
    </row>
    <row r="904" spans="2:9" ht="30">
      <c r="B904" s="677">
        <v>90636</v>
      </c>
      <c r="C904" s="733" t="s">
        <v>53</v>
      </c>
      <c r="D904" s="677" t="s">
        <v>31</v>
      </c>
      <c r="E904" s="738">
        <f t="shared" si="28"/>
        <v>6.69</v>
      </c>
      <c r="F904">
        <f t="shared" si="29"/>
        <v>90636</v>
      </c>
      <c r="H904" s="1405">
        <v>6.69</v>
      </c>
      <c r="I904" s="1405">
        <v>6.69</v>
      </c>
    </row>
    <row r="905" spans="2:9" ht="30">
      <c r="B905" s="1477">
        <v>90639</v>
      </c>
      <c r="C905" s="740" t="s">
        <v>1071</v>
      </c>
      <c r="D905" s="739" t="s">
        <v>31</v>
      </c>
      <c r="E905" s="741">
        <f t="shared" si="28"/>
        <v>6.65</v>
      </c>
      <c r="F905">
        <f t="shared" si="29"/>
        <v>90639</v>
      </c>
      <c r="H905" s="1406">
        <v>6.65</v>
      </c>
      <c r="I905" s="1406">
        <v>6.65</v>
      </c>
    </row>
    <row r="906" spans="2:9" ht="30">
      <c r="B906" s="677">
        <v>90640</v>
      </c>
      <c r="C906" s="733" t="s">
        <v>1072</v>
      </c>
      <c r="D906" s="677" t="s">
        <v>31</v>
      </c>
      <c r="E906" s="738">
        <f t="shared" si="28"/>
        <v>1.53</v>
      </c>
      <c r="F906">
        <f t="shared" si="29"/>
        <v>90640</v>
      </c>
      <c r="H906" s="1405">
        <v>1.53</v>
      </c>
      <c r="I906" s="1405">
        <v>1.53</v>
      </c>
    </row>
    <row r="907" spans="2:9" ht="30">
      <c r="B907" s="1477">
        <v>90641</v>
      </c>
      <c r="C907" s="740" t="s">
        <v>1073</v>
      </c>
      <c r="D907" s="739" t="s">
        <v>31</v>
      </c>
      <c r="E907" s="741">
        <f t="shared" si="28"/>
        <v>7.27</v>
      </c>
      <c r="F907">
        <f t="shared" si="29"/>
        <v>90641</v>
      </c>
      <c r="H907" s="1406">
        <v>7.27</v>
      </c>
      <c r="I907" s="1406">
        <v>7.27</v>
      </c>
    </row>
    <row r="908" spans="2:9" ht="30">
      <c r="B908" s="677">
        <v>90642</v>
      </c>
      <c r="C908" s="733" t="s">
        <v>1074</v>
      </c>
      <c r="D908" s="677" t="s">
        <v>31</v>
      </c>
      <c r="E908" s="738">
        <f t="shared" si="28"/>
        <v>12.36</v>
      </c>
      <c r="F908">
        <f t="shared" si="29"/>
        <v>90642</v>
      </c>
      <c r="H908" s="1405">
        <v>12.36</v>
      </c>
      <c r="I908" s="1405">
        <v>12.36</v>
      </c>
    </row>
    <row r="909" spans="2:9" ht="30">
      <c r="B909" s="1477">
        <v>90646</v>
      </c>
      <c r="C909" s="740" t="s">
        <v>1075</v>
      </c>
      <c r="D909" s="739" t="s">
        <v>31</v>
      </c>
      <c r="E909" s="741">
        <f t="shared" si="28"/>
        <v>0.69</v>
      </c>
      <c r="F909">
        <f t="shared" si="29"/>
        <v>90646</v>
      </c>
      <c r="H909" s="1406">
        <v>0.69</v>
      </c>
      <c r="I909" s="1406">
        <v>0.69</v>
      </c>
    </row>
    <row r="910" spans="2:9" ht="30">
      <c r="B910" s="677">
        <v>90647</v>
      </c>
      <c r="C910" s="733" t="s">
        <v>1076</v>
      </c>
      <c r="D910" s="677" t="s">
        <v>31</v>
      </c>
      <c r="E910" s="738">
        <f t="shared" si="28"/>
        <v>0.16</v>
      </c>
      <c r="F910">
        <f t="shared" si="29"/>
        <v>90647</v>
      </c>
      <c r="H910" s="1405">
        <v>0.16</v>
      </c>
      <c r="I910" s="1405">
        <v>0.16</v>
      </c>
    </row>
    <row r="911" spans="2:9" ht="30">
      <c r="B911" s="1477">
        <v>90648</v>
      </c>
      <c r="C911" s="740" t="s">
        <v>1077</v>
      </c>
      <c r="D911" s="739" t="s">
        <v>31</v>
      </c>
      <c r="E911" s="741">
        <f t="shared" si="28"/>
        <v>0.76</v>
      </c>
      <c r="F911">
        <f t="shared" si="29"/>
        <v>90648</v>
      </c>
      <c r="H911" s="1406">
        <v>0.76</v>
      </c>
      <c r="I911" s="1406">
        <v>0.76</v>
      </c>
    </row>
    <row r="912" spans="2:9" ht="30">
      <c r="B912" s="677">
        <v>90649</v>
      </c>
      <c r="C912" s="733" t="s">
        <v>1078</v>
      </c>
      <c r="D912" s="677" t="s">
        <v>31</v>
      </c>
      <c r="E912" s="738">
        <f t="shared" si="28"/>
        <v>10.36</v>
      </c>
      <c r="F912">
        <f t="shared" si="29"/>
        <v>90649</v>
      </c>
      <c r="H912" s="1405">
        <v>10.36</v>
      </c>
      <c r="I912" s="1405">
        <v>10.36</v>
      </c>
    </row>
    <row r="913" spans="2:9">
      <c r="B913" s="1477">
        <v>90652</v>
      </c>
      <c r="C913" s="740" t="s">
        <v>1079</v>
      </c>
      <c r="D913" s="739" t="s">
        <v>31</v>
      </c>
      <c r="E913" s="741">
        <f t="shared" si="28"/>
        <v>4.33</v>
      </c>
      <c r="F913">
        <f t="shared" si="29"/>
        <v>90652</v>
      </c>
      <c r="H913" s="1406">
        <v>4.33</v>
      </c>
      <c r="I913" s="1406">
        <v>4.33</v>
      </c>
    </row>
    <row r="914" spans="2:9">
      <c r="B914" s="677">
        <v>90653</v>
      </c>
      <c r="C914" s="733" t="s">
        <v>1080</v>
      </c>
      <c r="D914" s="677" t="s">
        <v>31</v>
      </c>
      <c r="E914" s="738">
        <f t="shared" si="28"/>
        <v>1</v>
      </c>
      <c r="F914">
        <f t="shared" si="29"/>
        <v>90653</v>
      </c>
      <c r="H914" s="1405">
        <v>1</v>
      </c>
      <c r="I914" s="1405">
        <v>1</v>
      </c>
    </row>
    <row r="915" spans="2:9">
      <c r="B915" s="1477">
        <v>90654</v>
      </c>
      <c r="C915" s="740" t="s">
        <v>1081</v>
      </c>
      <c r="D915" s="739" t="s">
        <v>31</v>
      </c>
      <c r="E915" s="741">
        <f t="shared" si="28"/>
        <v>4.7300000000000004</v>
      </c>
      <c r="F915">
        <f t="shared" si="29"/>
        <v>90654</v>
      </c>
      <c r="H915" s="1406">
        <v>4.7300000000000004</v>
      </c>
      <c r="I915" s="1406">
        <v>4.7300000000000004</v>
      </c>
    </row>
    <row r="916" spans="2:9">
      <c r="B916" s="677">
        <v>90655</v>
      </c>
      <c r="C916" s="733" t="s">
        <v>1082</v>
      </c>
      <c r="D916" s="677" t="s">
        <v>31</v>
      </c>
      <c r="E916" s="738">
        <f t="shared" si="28"/>
        <v>6.82</v>
      </c>
      <c r="F916">
        <f t="shared" si="29"/>
        <v>90655</v>
      </c>
      <c r="H916" s="1405">
        <v>6.82</v>
      </c>
      <c r="I916" s="1405">
        <v>6.82</v>
      </c>
    </row>
    <row r="917" spans="2:9">
      <c r="B917" s="1477">
        <v>90658</v>
      </c>
      <c r="C917" s="740" t="s">
        <v>1083</v>
      </c>
      <c r="D917" s="739" t="s">
        <v>31</v>
      </c>
      <c r="E917" s="741">
        <f t="shared" si="28"/>
        <v>4.6399999999999997</v>
      </c>
      <c r="F917">
        <f t="shared" si="29"/>
        <v>90658</v>
      </c>
      <c r="H917" s="1406">
        <v>4.6399999999999997</v>
      </c>
      <c r="I917" s="1406">
        <v>4.6399999999999997</v>
      </c>
    </row>
    <row r="918" spans="2:9">
      <c r="B918" s="677">
        <v>90659</v>
      </c>
      <c r="C918" s="733" t="s">
        <v>1084</v>
      </c>
      <c r="D918" s="677" t="s">
        <v>31</v>
      </c>
      <c r="E918" s="738">
        <f t="shared" si="28"/>
        <v>1.07</v>
      </c>
      <c r="F918">
        <f t="shared" si="29"/>
        <v>90659</v>
      </c>
      <c r="H918" s="1405">
        <v>1.07</v>
      </c>
      <c r="I918" s="1405">
        <v>1.07</v>
      </c>
    </row>
    <row r="919" spans="2:9">
      <c r="B919" s="1477">
        <v>90660</v>
      </c>
      <c r="C919" s="740" t="s">
        <v>1085</v>
      </c>
      <c r="D919" s="739" t="s">
        <v>31</v>
      </c>
      <c r="E919" s="741">
        <f t="shared" si="28"/>
        <v>5.07</v>
      </c>
      <c r="F919">
        <f t="shared" si="29"/>
        <v>90660</v>
      </c>
      <c r="H919" s="1406">
        <v>5.07</v>
      </c>
      <c r="I919" s="1406">
        <v>5.07</v>
      </c>
    </row>
    <row r="920" spans="2:9">
      <c r="B920" s="677">
        <v>90661</v>
      </c>
      <c r="C920" s="733" t="s">
        <v>1086</v>
      </c>
      <c r="D920" s="677" t="s">
        <v>31</v>
      </c>
      <c r="E920" s="738">
        <f t="shared" si="28"/>
        <v>6.82</v>
      </c>
      <c r="F920">
        <f t="shared" si="29"/>
        <v>90661</v>
      </c>
      <c r="H920" s="1405">
        <v>6.82</v>
      </c>
      <c r="I920" s="1405">
        <v>6.82</v>
      </c>
    </row>
    <row r="921" spans="2:9" ht="30">
      <c r="B921" s="1477">
        <v>90664</v>
      </c>
      <c r="C921" s="740" t="s">
        <v>7961</v>
      </c>
      <c r="D921" s="739" t="s">
        <v>31</v>
      </c>
      <c r="E921" s="741">
        <f t="shared" si="28"/>
        <v>6.96</v>
      </c>
      <c r="F921">
        <f t="shared" si="29"/>
        <v>90664</v>
      </c>
      <c r="H921" s="1406">
        <v>6.96</v>
      </c>
      <c r="I921" s="1406">
        <v>6.96</v>
      </c>
    </row>
    <row r="922" spans="2:9" ht="30">
      <c r="B922" s="677">
        <v>90665</v>
      </c>
      <c r="C922" s="733" t="s">
        <v>7962</v>
      </c>
      <c r="D922" s="677" t="s">
        <v>31</v>
      </c>
      <c r="E922" s="738">
        <f t="shared" si="28"/>
        <v>1.85</v>
      </c>
      <c r="F922">
        <f t="shared" si="29"/>
        <v>90665</v>
      </c>
      <c r="H922" s="1405">
        <v>1.85</v>
      </c>
      <c r="I922" s="1405">
        <v>1.85</v>
      </c>
    </row>
    <row r="923" spans="2:9" ht="30">
      <c r="B923" s="1477">
        <v>90666</v>
      </c>
      <c r="C923" s="740" t="s">
        <v>7963</v>
      </c>
      <c r="D923" s="739" t="s">
        <v>31</v>
      </c>
      <c r="E923" s="741">
        <f t="shared" si="28"/>
        <v>9.1199999999999992</v>
      </c>
      <c r="F923">
        <f t="shared" si="29"/>
        <v>90666</v>
      </c>
      <c r="H923" s="1406">
        <v>9.1199999999999992</v>
      </c>
      <c r="I923" s="1406">
        <v>9.1199999999999992</v>
      </c>
    </row>
    <row r="924" spans="2:9" ht="30">
      <c r="B924" s="677">
        <v>90667</v>
      </c>
      <c r="C924" s="733" t="s">
        <v>7964</v>
      </c>
      <c r="D924" s="677" t="s">
        <v>31</v>
      </c>
      <c r="E924" s="738">
        <f t="shared" si="28"/>
        <v>14.73</v>
      </c>
      <c r="F924">
        <f t="shared" si="29"/>
        <v>90667</v>
      </c>
      <c r="H924" s="1405">
        <v>14.73</v>
      </c>
      <c r="I924" s="1405">
        <v>14.73</v>
      </c>
    </row>
    <row r="925" spans="2:9" ht="45">
      <c r="B925" s="1477">
        <v>90670</v>
      </c>
      <c r="C925" s="740" t="s">
        <v>1087</v>
      </c>
      <c r="D925" s="739" t="s">
        <v>31</v>
      </c>
      <c r="E925" s="741">
        <f t="shared" si="28"/>
        <v>214.3</v>
      </c>
      <c r="F925">
        <f t="shared" si="29"/>
        <v>90670</v>
      </c>
      <c r="H925" s="1406">
        <v>214.3</v>
      </c>
      <c r="I925" s="1406">
        <v>214.3</v>
      </c>
    </row>
    <row r="926" spans="2:9" ht="30">
      <c r="B926" s="677">
        <v>90671</v>
      </c>
      <c r="C926" s="733" t="s">
        <v>1088</v>
      </c>
      <c r="D926" s="677" t="s">
        <v>31</v>
      </c>
      <c r="E926" s="738">
        <f t="shared" si="28"/>
        <v>57.49</v>
      </c>
      <c r="F926">
        <f t="shared" si="29"/>
        <v>90671</v>
      </c>
      <c r="H926" s="1405">
        <v>57.49</v>
      </c>
      <c r="I926" s="1405">
        <v>57.49</v>
      </c>
    </row>
    <row r="927" spans="2:9" ht="45">
      <c r="B927" s="1477">
        <v>90672</v>
      </c>
      <c r="C927" s="740" t="s">
        <v>1089</v>
      </c>
      <c r="D927" s="739" t="s">
        <v>31</v>
      </c>
      <c r="E927" s="741">
        <f t="shared" si="28"/>
        <v>268.18</v>
      </c>
      <c r="F927">
        <f t="shared" si="29"/>
        <v>90672</v>
      </c>
      <c r="H927" s="1406">
        <v>268.18</v>
      </c>
      <c r="I927" s="1406">
        <v>268.18</v>
      </c>
    </row>
    <row r="928" spans="2:9" ht="45">
      <c r="B928" s="677">
        <v>90673</v>
      </c>
      <c r="C928" s="733" t="s">
        <v>1090</v>
      </c>
      <c r="D928" s="677" t="s">
        <v>31</v>
      </c>
      <c r="E928" s="738">
        <f t="shared" si="28"/>
        <v>117.74</v>
      </c>
      <c r="F928">
        <f t="shared" si="29"/>
        <v>90673</v>
      </c>
      <c r="H928" s="1405">
        <v>117.74</v>
      </c>
      <c r="I928" s="1405">
        <v>117.74</v>
      </c>
    </row>
    <row r="929" spans="2:9" ht="45">
      <c r="B929" s="1477">
        <v>90676</v>
      </c>
      <c r="C929" s="740" t="s">
        <v>1091</v>
      </c>
      <c r="D929" s="739" t="s">
        <v>31</v>
      </c>
      <c r="E929" s="741">
        <f t="shared" si="28"/>
        <v>105.1</v>
      </c>
      <c r="F929">
        <f t="shared" si="29"/>
        <v>90676</v>
      </c>
      <c r="H929" s="1406">
        <v>105.1</v>
      </c>
      <c r="I929" s="1406">
        <v>105.1</v>
      </c>
    </row>
    <row r="930" spans="2:9" ht="30">
      <c r="B930" s="677">
        <v>90677</v>
      </c>
      <c r="C930" s="733" t="s">
        <v>1092</v>
      </c>
      <c r="D930" s="677" t="s">
        <v>31</v>
      </c>
      <c r="E930" s="738">
        <f t="shared" si="28"/>
        <v>31.58</v>
      </c>
      <c r="F930">
        <f t="shared" si="29"/>
        <v>90677</v>
      </c>
      <c r="H930" s="1405">
        <v>31.58</v>
      </c>
      <c r="I930" s="1405">
        <v>31.58</v>
      </c>
    </row>
    <row r="931" spans="2:9" ht="45">
      <c r="B931" s="1477">
        <v>90678</v>
      </c>
      <c r="C931" s="740" t="s">
        <v>1093</v>
      </c>
      <c r="D931" s="739" t="s">
        <v>31</v>
      </c>
      <c r="E931" s="741">
        <f t="shared" si="28"/>
        <v>146.25</v>
      </c>
      <c r="F931">
        <f t="shared" si="29"/>
        <v>90678</v>
      </c>
      <c r="H931" s="1406">
        <v>146.25</v>
      </c>
      <c r="I931" s="1406">
        <v>146.25</v>
      </c>
    </row>
    <row r="932" spans="2:9" ht="45">
      <c r="B932" s="677">
        <v>90679</v>
      </c>
      <c r="C932" s="733" t="s">
        <v>1094</v>
      </c>
      <c r="D932" s="677" t="s">
        <v>31</v>
      </c>
      <c r="E932" s="738">
        <f t="shared" si="28"/>
        <v>90.29</v>
      </c>
      <c r="F932">
        <f t="shared" si="29"/>
        <v>90679</v>
      </c>
      <c r="H932" s="1405">
        <v>90.29</v>
      </c>
      <c r="I932" s="1405">
        <v>90.29</v>
      </c>
    </row>
    <row r="933" spans="2:9" ht="30">
      <c r="B933" s="1477">
        <v>90682</v>
      </c>
      <c r="C933" s="740" t="s">
        <v>7965</v>
      </c>
      <c r="D933" s="739" t="s">
        <v>31</v>
      </c>
      <c r="E933" s="741">
        <f t="shared" si="28"/>
        <v>30.9</v>
      </c>
      <c r="F933">
        <f t="shared" si="29"/>
        <v>90682</v>
      </c>
      <c r="H933" s="1406">
        <v>30.9</v>
      </c>
      <c r="I933" s="1406">
        <v>30.9</v>
      </c>
    </row>
    <row r="934" spans="2:9" ht="30">
      <c r="B934" s="677">
        <v>90683</v>
      </c>
      <c r="C934" s="733" t="s">
        <v>7966</v>
      </c>
      <c r="D934" s="677" t="s">
        <v>31</v>
      </c>
      <c r="E934" s="738">
        <f t="shared" si="28"/>
        <v>7.62</v>
      </c>
      <c r="F934">
        <f t="shared" si="29"/>
        <v>90683</v>
      </c>
      <c r="H934" s="1405">
        <v>7.62</v>
      </c>
      <c r="I934" s="1405">
        <v>7.62</v>
      </c>
    </row>
    <row r="935" spans="2:9" ht="30">
      <c r="B935" s="1477">
        <v>90684</v>
      </c>
      <c r="C935" s="740" t="s">
        <v>7967</v>
      </c>
      <c r="D935" s="739" t="s">
        <v>31</v>
      </c>
      <c r="E935" s="741">
        <f t="shared" si="28"/>
        <v>36.049999999999997</v>
      </c>
      <c r="F935">
        <f t="shared" si="29"/>
        <v>90684</v>
      </c>
      <c r="H935" s="1406">
        <v>36.049999999999997</v>
      </c>
      <c r="I935" s="1406">
        <v>36.049999999999997</v>
      </c>
    </row>
    <row r="936" spans="2:9" ht="30">
      <c r="B936" s="677">
        <v>90685</v>
      </c>
      <c r="C936" s="733" t="s">
        <v>7968</v>
      </c>
      <c r="D936" s="677" t="s">
        <v>31</v>
      </c>
      <c r="E936" s="738">
        <f t="shared" si="28"/>
        <v>56.02</v>
      </c>
      <c r="F936">
        <f t="shared" si="29"/>
        <v>90685</v>
      </c>
      <c r="H936" s="1405">
        <v>56.02</v>
      </c>
      <c r="I936" s="1405">
        <v>56.02</v>
      </c>
    </row>
    <row r="937" spans="2:9" ht="30">
      <c r="B937" s="1477">
        <v>90688</v>
      </c>
      <c r="C937" s="740" t="s">
        <v>1095</v>
      </c>
      <c r="D937" s="739" t="s">
        <v>31</v>
      </c>
      <c r="E937" s="741">
        <f t="shared" si="28"/>
        <v>25.6</v>
      </c>
      <c r="F937">
        <f t="shared" si="29"/>
        <v>90688</v>
      </c>
      <c r="H937" s="1406">
        <v>25.6</v>
      </c>
      <c r="I937" s="1406">
        <v>25.6</v>
      </c>
    </row>
    <row r="938" spans="2:9" ht="30">
      <c r="B938" s="677">
        <v>90689</v>
      </c>
      <c r="C938" s="733" t="s">
        <v>1096</v>
      </c>
      <c r="D938" s="677" t="s">
        <v>31</v>
      </c>
      <c r="E938" s="738">
        <f t="shared" si="28"/>
        <v>5.05</v>
      </c>
      <c r="F938">
        <f t="shared" si="29"/>
        <v>90689</v>
      </c>
      <c r="H938" s="1405">
        <v>5.05</v>
      </c>
      <c r="I938" s="1405">
        <v>5.05</v>
      </c>
    </row>
    <row r="939" spans="2:9" ht="30">
      <c r="B939" s="1477">
        <v>90690</v>
      </c>
      <c r="C939" s="740" t="s">
        <v>1097</v>
      </c>
      <c r="D939" s="739" t="s">
        <v>31</v>
      </c>
      <c r="E939" s="741">
        <f t="shared" si="28"/>
        <v>32</v>
      </c>
      <c r="F939">
        <f t="shared" si="29"/>
        <v>90690</v>
      </c>
      <c r="H939" s="1406">
        <v>32</v>
      </c>
      <c r="I939" s="1406">
        <v>32</v>
      </c>
    </row>
    <row r="940" spans="2:9" ht="30">
      <c r="B940" s="677">
        <v>90691</v>
      </c>
      <c r="C940" s="733" t="s">
        <v>1098</v>
      </c>
      <c r="D940" s="677" t="s">
        <v>31</v>
      </c>
      <c r="E940" s="738">
        <f t="shared" si="28"/>
        <v>39.22</v>
      </c>
      <c r="F940">
        <f t="shared" si="29"/>
        <v>90691</v>
      </c>
      <c r="H940" s="1405">
        <v>39.22</v>
      </c>
      <c r="I940" s="1405">
        <v>39.22</v>
      </c>
    </row>
    <row r="941" spans="2:9" ht="30">
      <c r="B941" s="1477">
        <v>90957</v>
      </c>
      <c r="C941" s="740" t="s">
        <v>284</v>
      </c>
      <c r="D941" s="739" t="s">
        <v>31</v>
      </c>
      <c r="E941" s="741">
        <f t="shared" si="28"/>
        <v>5.17</v>
      </c>
      <c r="F941">
        <f t="shared" si="29"/>
        <v>90957</v>
      </c>
      <c r="H941" s="1406">
        <v>5.17</v>
      </c>
      <c r="I941" s="1406">
        <v>5.17</v>
      </c>
    </row>
    <row r="942" spans="2:9" ht="30">
      <c r="B942" s="677">
        <v>90958</v>
      </c>
      <c r="C942" s="733" t="s">
        <v>285</v>
      </c>
      <c r="D942" s="677" t="s">
        <v>31</v>
      </c>
      <c r="E942" s="738">
        <f t="shared" si="28"/>
        <v>1.38</v>
      </c>
      <c r="F942">
        <f t="shared" si="29"/>
        <v>90958</v>
      </c>
      <c r="H942" s="1405">
        <v>1.38</v>
      </c>
      <c r="I942" s="1405">
        <v>1.38</v>
      </c>
    </row>
    <row r="943" spans="2:9" ht="30">
      <c r="B943" s="1477">
        <v>90960</v>
      </c>
      <c r="C943" s="740" t="s">
        <v>286</v>
      </c>
      <c r="D943" s="739" t="s">
        <v>31</v>
      </c>
      <c r="E943" s="741">
        <f t="shared" si="28"/>
        <v>6.91</v>
      </c>
      <c r="F943">
        <f t="shared" si="29"/>
        <v>90960</v>
      </c>
      <c r="H943" s="1406">
        <v>6.91</v>
      </c>
      <c r="I943" s="1406">
        <v>6.91</v>
      </c>
    </row>
    <row r="944" spans="2:9" ht="30">
      <c r="B944" s="677">
        <v>90961</v>
      </c>
      <c r="C944" s="733" t="s">
        <v>287</v>
      </c>
      <c r="D944" s="677" t="s">
        <v>31</v>
      </c>
      <c r="E944" s="738">
        <f t="shared" si="28"/>
        <v>1.85</v>
      </c>
      <c r="F944">
        <f t="shared" si="29"/>
        <v>90961</v>
      </c>
      <c r="H944" s="1405">
        <v>1.85</v>
      </c>
      <c r="I944" s="1405">
        <v>1.85</v>
      </c>
    </row>
    <row r="945" spans="2:9" ht="30">
      <c r="B945" s="1477">
        <v>90962</v>
      </c>
      <c r="C945" s="740" t="s">
        <v>288</v>
      </c>
      <c r="D945" s="739" t="s">
        <v>31</v>
      </c>
      <c r="E945" s="741">
        <f t="shared" si="28"/>
        <v>8.64</v>
      </c>
      <c r="F945">
        <f t="shared" si="29"/>
        <v>90962</v>
      </c>
      <c r="H945" s="1406">
        <v>8.64</v>
      </c>
      <c r="I945" s="1406">
        <v>8.64</v>
      </c>
    </row>
    <row r="946" spans="2:9" ht="30">
      <c r="B946" s="677">
        <v>90963</v>
      </c>
      <c r="C946" s="733" t="s">
        <v>1099</v>
      </c>
      <c r="D946" s="677" t="s">
        <v>31</v>
      </c>
      <c r="E946" s="738">
        <f t="shared" si="28"/>
        <v>14.72</v>
      </c>
      <c r="F946">
        <f t="shared" si="29"/>
        <v>90963</v>
      </c>
      <c r="H946" s="1405">
        <v>14.72</v>
      </c>
      <c r="I946" s="1405">
        <v>14.72</v>
      </c>
    </row>
    <row r="947" spans="2:9" ht="30">
      <c r="B947" s="1477">
        <v>90968</v>
      </c>
      <c r="C947" s="740" t="s">
        <v>1100</v>
      </c>
      <c r="D947" s="739" t="s">
        <v>31</v>
      </c>
      <c r="E947" s="741">
        <f t="shared" si="28"/>
        <v>6.93</v>
      </c>
      <c r="F947">
        <f t="shared" si="29"/>
        <v>90968</v>
      </c>
      <c r="H947" s="1406">
        <v>6.93</v>
      </c>
      <c r="I947" s="1406">
        <v>6.93</v>
      </c>
    </row>
    <row r="948" spans="2:9" ht="30">
      <c r="B948" s="677">
        <v>90969</v>
      </c>
      <c r="C948" s="733" t="s">
        <v>1101</v>
      </c>
      <c r="D948" s="677" t="s">
        <v>31</v>
      </c>
      <c r="E948" s="738">
        <f t="shared" si="28"/>
        <v>1.85</v>
      </c>
      <c r="F948">
        <f t="shared" si="29"/>
        <v>90969</v>
      </c>
      <c r="H948" s="1405">
        <v>1.85</v>
      </c>
      <c r="I948" s="1405">
        <v>1.85</v>
      </c>
    </row>
    <row r="949" spans="2:9" ht="30">
      <c r="B949" s="1477">
        <v>90970</v>
      </c>
      <c r="C949" s="740" t="s">
        <v>1102</v>
      </c>
      <c r="D949" s="739" t="s">
        <v>31</v>
      </c>
      <c r="E949" s="741">
        <f t="shared" si="28"/>
        <v>8.67</v>
      </c>
      <c r="F949">
        <f t="shared" si="29"/>
        <v>90970</v>
      </c>
      <c r="H949" s="1406">
        <v>8.67</v>
      </c>
      <c r="I949" s="1406">
        <v>8.67</v>
      </c>
    </row>
    <row r="950" spans="2:9" ht="30">
      <c r="B950" s="677">
        <v>90971</v>
      </c>
      <c r="C950" s="733" t="s">
        <v>1103</v>
      </c>
      <c r="D950" s="677" t="s">
        <v>31</v>
      </c>
      <c r="E950" s="738">
        <f t="shared" si="28"/>
        <v>59.66</v>
      </c>
      <c r="F950">
        <f t="shared" si="29"/>
        <v>90971</v>
      </c>
      <c r="H950" s="1405">
        <v>59.66</v>
      </c>
      <c r="I950" s="1405">
        <v>59.66</v>
      </c>
    </row>
    <row r="951" spans="2:9" ht="30">
      <c r="B951" s="1477">
        <v>90975</v>
      </c>
      <c r="C951" s="740" t="s">
        <v>289</v>
      </c>
      <c r="D951" s="739" t="s">
        <v>31</v>
      </c>
      <c r="E951" s="741">
        <f t="shared" si="28"/>
        <v>17.59</v>
      </c>
      <c r="F951">
        <f t="shared" si="29"/>
        <v>90975</v>
      </c>
      <c r="H951" s="1406">
        <v>17.59</v>
      </c>
      <c r="I951" s="1406">
        <v>17.59</v>
      </c>
    </row>
    <row r="952" spans="2:9" ht="30">
      <c r="B952" s="677">
        <v>90976</v>
      </c>
      <c r="C952" s="733" t="s">
        <v>290</v>
      </c>
      <c r="D952" s="677" t="s">
        <v>31</v>
      </c>
      <c r="E952" s="738">
        <f t="shared" si="28"/>
        <v>4.72</v>
      </c>
      <c r="F952">
        <f t="shared" si="29"/>
        <v>90976</v>
      </c>
      <c r="H952" s="1405">
        <v>4.72</v>
      </c>
      <c r="I952" s="1405">
        <v>4.72</v>
      </c>
    </row>
    <row r="953" spans="2:9" ht="30">
      <c r="B953" s="1477">
        <v>90977</v>
      </c>
      <c r="C953" s="740" t="s">
        <v>291</v>
      </c>
      <c r="D953" s="739" t="s">
        <v>31</v>
      </c>
      <c r="E953" s="741">
        <f t="shared" si="28"/>
        <v>22.02</v>
      </c>
      <c r="F953">
        <f t="shared" si="29"/>
        <v>90977</v>
      </c>
      <c r="H953" s="1406">
        <v>22.02</v>
      </c>
      <c r="I953" s="1406">
        <v>22.02</v>
      </c>
    </row>
    <row r="954" spans="2:9" ht="30">
      <c r="B954" s="677">
        <v>90978</v>
      </c>
      <c r="C954" s="733" t="s">
        <v>1104</v>
      </c>
      <c r="D954" s="677" t="s">
        <v>31</v>
      </c>
      <c r="E954" s="738">
        <f t="shared" si="28"/>
        <v>154.78</v>
      </c>
      <c r="F954">
        <f t="shared" si="29"/>
        <v>90978</v>
      </c>
      <c r="H954" s="1405">
        <v>154.78</v>
      </c>
      <c r="I954" s="1405">
        <v>154.78</v>
      </c>
    </row>
    <row r="955" spans="2:9" ht="30">
      <c r="B955" s="1477">
        <v>90992</v>
      </c>
      <c r="C955" s="740" t="s">
        <v>1105</v>
      </c>
      <c r="D955" s="739" t="s">
        <v>31</v>
      </c>
      <c r="E955" s="741">
        <f t="shared" si="28"/>
        <v>8.2100000000000009</v>
      </c>
      <c r="F955">
        <f t="shared" si="29"/>
        <v>90992</v>
      </c>
      <c r="H955" s="1406">
        <v>8.2100000000000009</v>
      </c>
      <c r="I955" s="1406">
        <v>8.2100000000000009</v>
      </c>
    </row>
    <row r="956" spans="2:9" ht="30">
      <c r="B956" s="677">
        <v>90993</v>
      </c>
      <c r="C956" s="733" t="s">
        <v>1106</v>
      </c>
      <c r="D956" s="677" t="s">
        <v>31</v>
      </c>
      <c r="E956" s="738">
        <f t="shared" si="28"/>
        <v>2.2000000000000002</v>
      </c>
      <c r="F956">
        <f t="shared" si="29"/>
        <v>90993</v>
      </c>
      <c r="H956" s="1405">
        <v>2.2000000000000002</v>
      </c>
      <c r="I956" s="1405">
        <v>2.2000000000000002</v>
      </c>
    </row>
    <row r="957" spans="2:9" ht="30">
      <c r="B957" s="1477">
        <v>90994</v>
      </c>
      <c r="C957" s="740" t="s">
        <v>1107</v>
      </c>
      <c r="D957" s="739" t="s">
        <v>31</v>
      </c>
      <c r="E957" s="741">
        <f t="shared" si="28"/>
        <v>10.28</v>
      </c>
      <c r="F957">
        <f t="shared" si="29"/>
        <v>90994</v>
      </c>
      <c r="H957" s="1406">
        <v>10.28</v>
      </c>
      <c r="I957" s="1406">
        <v>10.28</v>
      </c>
    </row>
    <row r="958" spans="2:9" ht="30">
      <c r="B958" s="677">
        <v>90995</v>
      </c>
      <c r="C958" s="733" t="s">
        <v>1108</v>
      </c>
      <c r="D958" s="677" t="s">
        <v>31</v>
      </c>
      <c r="E958" s="738">
        <f t="shared" si="28"/>
        <v>81.040000000000006</v>
      </c>
      <c r="F958">
        <f t="shared" si="29"/>
        <v>90995</v>
      </c>
      <c r="H958" s="1405">
        <v>81.040000000000006</v>
      </c>
      <c r="I958" s="1405">
        <v>81.040000000000006</v>
      </c>
    </row>
    <row r="959" spans="2:9" ht="45">
      <c r="B959" s="1477">
        <v>91021</v>
      </c>
      <c r="C959" s="740" t="s">
        <v>1109</v>
      </c>
      <c r="D959" s="739" t="s">
        <v>31</v>
      </c>
      <c r="E959" s="741">
        <f t="shared" si="28"/>
        <v>12.79</v>
      </c>
      <c r="F959">
        <f t="shared" si="29"/>
        <v>91021</v>
      </c>
      <c r="H959" s="1406">
        <v>12.79</v>
      </c>
      <c r="I959" s="1406">
        <v>12.79</v>
      </c>
    </row>
    <row r="960" spans="2:9" ht="30">
      <c r="B960" s="677">
        <v>91026</v>
      </c>
      <c r="C960" s="733" t="s">
        <v>292</v>
      </c>
      <c r="D960" s="677" t="s">
        <v>31</v>
      </c>
      <c r="E960" s="738">
        <f t="shared" si="28"/>
        <v>25.07</v>
      </c>
      <c r="F960">
        <f t="shared" si="29"/>
        <v>91026</v>
      </c>
      <c r="H960" s="1405">
        <v>25.07</v>
      </c>
      <c r="I960" s="1405">
        <v>25.07</v>
      </c>
    </row>
    <row r="961" spans="2:9" ht="30">
      <c r="B961" s="1477">
        <v>91027</v>
      </c>
      <c r="C961" s="740" t="s">
        <v>293</v>
      </c>
      <c r="D961" s="739" t="s">
        <v>31</v>
      </c>
      <c r="E961" s="741">
        <f t="shared" si="28"/>
        <v>10.08</v>
      </c>
      <c r="F961">
        <f t="shared" si="29"/>
        <v>91027</v>
      </c>
      <c r="H961" s="1406">
        <v>10.08</v>
      </c>
      <c r="I961" s="1406">
        <v>10.08</v>
      </c>
    </row>
    <row r="962" spans="2:9" ht="30">
      <c r="B962" s="677">
        <v>91028</v>
      </c>
      <c r="C962" s="733" t="s">
        <v>294</v>
      </c>
      <c r="D962" s="677" t="s">
        <v>31</v>
      </c>
      <c r="E962" s="738">
        <f t="shared" si="28"/>
        <v>4.07</v>
      </c>
      <c r="F962">
        <f t="shared" si="29"/>
        <v>91028</v>
      </c>
      <c r="H962" s="1405">
        <v>4.07</v>
      </c>
      <c r="I962" s="1405">
        <v>4.07</v>
      </c>
    </row>
    <row r="963" spans="2:9" ht="30">
      <c r="B963" s="1477">
        <v>91029</v>
      </c>
      <c r="C963" s="740" t="s">
        <v>295</v>
      </c>
      <c r="D963" s="739" t="s">
        <v>31</v>
      </c>
      <c r="E963" s="741">
        <f t="shared" ref="E963:E1026" si="30">IF($K$2=$H$1,H963,I963)</f>
        <v>46.09</v>
      </c>
      <c r="F963">
        <f t="shared" ref="F963:F1026" si="31">IF(LEN($B963)=7,CONCATENATE(MID($B963,1,6),"00",RIGHT($B963,1)),IF(LEN($B963)=8,CONCATENATE(MID($B963,1,6),"0",RIGHT($B963,2)),$B963))</f>
        <v>91029</v>
      </c>
      <c r="H963" s="1406">
        <v>46.09</v>
      </c>
      <c r="I963" s="1406">
        <v>46.09</v>
      </c>
    </row>
    <row r="964" spans="2:9" ht="30">
      <c r="B964" s="677">
        <v>91030</v>
      </c>
      <c r="C964" s="733" t="s">
        <v>296</v>
      </c>
      <c r="D964" s="677" t="s">
        <v>31</v>
      </c>
      <c r="E964" s="738">
        <f t="shared" si="30"/>
        <v>144.41999999999999</v>
      </c>
      <c r="F964">
        <f t="shared" si="31"/>
        <v>91030</v>
      </c>
      <c r="H964" s="1405">
        <v>144.41999999999999</v>
      </c>
      <c r="I964" s="1405">
        <v>144.41999999999999</v>
      </c>
    </row>
    <row r="965" spans="2:9" ht="30">
      <c r="B965" s="1477">
        <v>91273</v>
      </c>
      <c r="C965" s="740" t="s">
        <v>1110</v>
      </c>
      <c r="D965" s="739" t="s">
        <v>31</v>
      </c>
      <c r="E965" s="741">
        <f t="shared" si="30"/>
        <v>0.51</v>
      </c>
      <c r="F965">
        <f t="shared" si="31"/>
        <v>91273</v>
      </c>
      <c r="H965" s="1406">
        <v>0.51</v>
      </c>
      <c r="I965" s="1406">
        <v>0.51</v>
      </c>
    </row>
    <row r="966" spans="2:9" ht="30">
      <c r="B966" s="677">
        <v>91274</v>
      </c>
      <c r="C966" s="733" t="s">
        <v>1111</v>
      </c>
      <c r="D966" s="677" t="s">
        <v>31</v>
      </c>
      <c r="E966" s="738">
        <f t="shared" si="30"/>
        <v>0.13</v>
      </c>
      <c r="F966">
        <f t="shared" si="31"/>
        <v>91274</v>
      </c>
      <c r="H966" s="1405">
        <v>0.13</v>
      </c>
      <c r="I966" s="1405">
        <v>0.13</v>
      </c>
    </row>
    <row r="967" spans="2:9" ht="30">
      <c r="B967" s="1477">
        <v>91275</v>
      </c>
      <c r="C967" s="740" t="s">
        <v>1112</v>
      </c>
      <c r="D967" s="739" t="s">
        <v>31</v>
      </c>
      <c r="E967" s="741">
        <f t="shared" si="30"/>
        <v>0.64</v>
      </c>
      <c r="F967">
        <f t="shared" si="31"/>
        <v>91275</v>
      </c>
      <c r="H967" s="1406">
        <v>0.64</v>
      </c>
      <c r="I967" s="1406">
        <v>0.64</v>
      </c>
    </row>
    <row r="968" spans="2:9" ht="30">
      <c r="B968" s="677">
        <v>91276</v>
      </c>
      <c r="C968" s="733" t="s">
        <v>1113</v>
      </c>
      <c r="D968" s="677" t="s">
        <v>31</v>
      </c>
      <c r="E968" s="738">
        <f t="shared" si="30"/>
        <v>8.02</v>
      </c>
      <c r="F968">
        <f t="shared" si="31"/>
        <v>91276</v>
      </c>
      <c r="H968" s="1405">
        <v>8.02</v>
      </c>
      <c r="I968" s="1405">
        <v>8.02</v>
      </c>
    </row>
    <row r="969" spans="2:9" ht="30">
      <c r="B969" s="1477">
        <v>91279</v>
      </c>
      <c r="C969" s="740" t="s">
        <v>1114</v>
      </c>
      <c r="D969" s="739" t="s">
        <v>31</v>
      </c>
      <c r="E969" s="741">
        <f t="shared" si="30"/>
        <v>0.94</v>
      </c>
      <c r="F969">
        <f t="shared" si="31"/>
        <v>91279</v>
      </c>
      <c r="H969" s="1406">
        <v>0.94</v>
      </c>
      <c r="I969" s="1406">
        <v>0.94</v>
      </c>
    </row>
    <row r="970" spans="2:9" ht="30">
      <c r="B970" s="677">
        <v>91280</v>
      </c>
      <c r="C970" s="733" t="s">
        <v>1115</v>
      </c>
      <c r="D970" s="677" t="s">
        <v>31</v>
      </c>
      <c r="E970" s="738">
        <f t="shared" si="30"/>
        <v>0.2</v>
      </c>
      <c r="F970">
        <f t="shared" si="31"/>
        <v>91280</v>
      </c>
      <c r="H970" s="1405">
        <v>0.2</v>
      </c>
      <c r="I970" s="1405">
        <v>0.2</v>
      </c>
    </row>
    <row r="971" spans="2:9" ht="30">
      <c r="B971" s="1477">
        <v>91281</v>
      </c>
      <c r="C971" s="740" t="s">
        <v>1116</v>
      </c>
      <c r="D971" s="739" t="s">
        <v>31</v>
      </c>
      <c r="E971" s="741">
        <f t="shared" si="30"/>
        <v>1.19</v>
      </c>
      <c r="F971">
        <f t="shared" si="31"/>
        <v>91281</v>
      </c>
      <c r="H971" s="1406">
        <v>1.19</v>
      </c>
      <c r="I971" s="1406">
        <v>1.19</v>
      </c>
    </row>
    <row r="972" spans="2:9" ht="30">
      <c r="B972" s="677">
        <v>91282</v>
      </c>
      <c r="C972" s="733" t="s">
        <v>1117</v>
      </c>
      <c r="D972" s="677" t="s">
        <v>31</v>
      </c>
      <c r="E972" s="738">
        <f t="shared" si="30"/>
        <v>8.07</v>
      </c>
      <c r="F972">
        <f t="shared" si="31"/>
        <v>91282</v>
      </c>
      <c r="H972" s="1405">
        <v>8.07</v>
      </c>
      <c r="I972" s="1405">
        <v>8.07</v>
      </c>
    </row>
    <row r="973" spans="2:9" ht="30">
      <c r="B973" s="1477">
        <v>91354</v>
      </c>
      <c r="C973" s="740" t="s">
        <v>297</v>
      </c>
      <c r="D973" s="739" t="s">
        <v>31</v>
      </c>
      <c r="E973" s="741">
        <f t="shared" si="30"/>
        <v>17.98</v>
      </c>
      <c r="F973">
        <f t="shared" si="31"/>
        <v>91354</v>
      </c>
      <c r="H973" s="1406">
        <v>17.98</v>
      </c>
      <c r="I973" s="1406">
        <v>17.98</v>
      </c>
    </row>
    <row r="974" spans="2:9" ht="30">
      <c r="B974" s="677">
        <v>91355</v>
      </c>
      <c r="C974" s="733" t="s">
        <v>298</v>
      </c>
      <c r="D974" s="677" t="s">
        <v>31</v>
      </c>
      <c r="E974" s="738">
        <f t="shared" si="30"/>
        <v>7.39</v>
      </c>
      <c r="F974">
        <f t="shared" si="31"/>
        <v>91355</v>
      </c>
      <c r="H974" s="1405">
        <v>7.39</v>
      </c>
      <c r="I974" s="1405">
        <v>7.39</v>
      </c>
    </row>
    <row r="975" spans="2:9" ht="30">
      <c r="B975" s="1477">
        <v>91356</v>
      </c>
      <c r="C975" s="740" t="s">
        <v>299</v>
      </c>
      <c r="D975" s="739" t="s">
        <v>31</v>
      </c>
      <c r="E975" s="741">
        <f t="shared" si="30"/>
        <v>2.98</v>
      </c>
      <c r="F975">
        <f t="shared" si="31"/>
        <v>91356</v>
      </c>
      <c r="H975" s="1406">
        <v>2.98</v>
      </c>
      <c r="I975" s="1406">
        <v>2.98</v>
      </c>
    </row>
    <row r="976" spans="2:9" ht="30">
      <c r="B976" s="677">
        <v>91359</v>
      </c>
      <c r="C976" s="733" t="s">
        <v>1118</v>
      </c>
      <c r="D976" s="677" t="s">
        <v>31</v>
      </c>
      <c r="E976" s="738">
        <f t="shared" si="30"/>
        <v>21.22</v>
      </c>
      <c r="F976">
        <f t="shared" si="31"/>
        <v>91359</v>
      </c>
      <c r="H976" s="1405">
        <v>21.22</v>
      </c>
      <c r="I976" s="1405">
        <v>21.22</v>
      </c>
    </row>
    <row r="977" spans="2:9" ht="30">
      <c r="B977" s="1477">
        <v>91360</v>
      </c>
      <c r="C977" s="740" t="s">
        <v>1119</v>
      </c>
      <c r="D977" s="739" t="s">
        <v>31</v>
      </c>
      <c r="E977" s="741">
        <f t="shared" si="30"/>
        <v>8.14</v>
      </c>
      <c r="F977">
        <f t="shared" si="31"/>
        <v>91360</v>
      </c>
      <c r="H977" s="1406">
        <v>8.14</v>
      </c>
      <c r="I977" s="1406">
        <v>8.14</v>
      </c>
    </row>
    <row r="978" spans="2:9" ht="30">
      <c r="B978" s="677">
        <v>91361</v>
      </c>
      <c r="C978" s="733" t="s">
        <v>1120</v>
      </c>
      <c r="D978" s="677" t="s">
        <v>31</v>
      </c>
      <c r="E978" s="738">
        <f t="shared" si="30"/>
        <v>3.29</v>
      </c>
      <c r="F978">
        <f t="shared" si="31"/>
        <v>91361</v>
      </c>
      <c r="H978" s="1405">
        <v>3.29</v>
      </c>
      <c r="I978" s="1405">
        <v>3.29</v>
      </c>
    </row>
    <row r="979" spans="2:9" ht="30">
      <c r="B979" s="1477">
        <v>91367</v>
      </c>
      <c r="C979" s="740" t="s">
        <v>1121</v>
      </c>
      <c r="D979" s="739" t="s">
        <v>31</v>
      </c>
      <c r="E979" s="741">
        <f t="shared" si="30"/>
        <v>22.21</v>
      </c>
      <c r="F979">
        <f t="shared" si="31"/>
        <v>91367</v>
      </c>
      <c r="H979" s="1406">
        <v>22.21</v>
      </c>
      <c r="I979" s="1406">
        <v>22.21</v>
      </c>
    </row>
    <row r="980" spans="2:9" ht="30">
      <c r="B980" s="677">
        <v>91368</v>
      </c>
      <c r="C980" s="733" t="s">
        <v>1122</v>
      </c>
      <c r="D980" s="677" t="s">
        <v>31</v>
      </c>
      <c r="E980" s="738">
        <f t="shared" si="30"/>
        <v>8.59</v>
      </c>
      <c r="F980">
        <f t="shared" si="31"/>
        <v>91368</v>
      </c>
      <c r="H980" s="1405">
        <v>8.59</v>
      </c>
      <c r="I980" s="1405">
        <v>8.59</v>
      </c>
    </row>
    <row r="981" spans="2:9" ht="30">
      <c r="B981" s="1477">
        <v>91369</v>
      </c>
      <c r="C981" s="740" t="s">
        <v>1123</v>
      </c>
      <c r="D981" s="739" t="s">
        <v>31</v>
      </c>
      <c r="E981" s="741">
        <f t="shared" si="30"/>
        <v>3.47</v>
      </c>
      <c r="F981">
        <f t="shared" si="31"/>
        <v>91369</v>
      </c>
      <c r="H981" s="1406">
        <v>3.47</v>
      </c>
      <c r="I981" s="1406">
        <v>3.47</v>
      </c>
    </row>
    <row r="982" spans="2:9" ht="30">
      <c r="B982" s="677">
        <v>91375</v>
      </c>
      <c r="C982" s="733" t="s">
        <v>1124</v>
      </c>
      <c r="D982" s="677" t="s">
        <v>31</v>
      </c>
      <c r="E982" s="738">
        <f t="shared" si="30"/>
        <v>19.739999999999998</v>
      </c>
      <c r="F982">
        <f t="shared" si="31"/>
        <v>91375</v>
      </c>
      <c r="H982" s="1405">
        <v>19.739999999999998</v>
      </c>
      <c r="I982" s="1405">
        <v>19.739999999999998</v>
      </c>
    </row>
    <row r="983" spans="2:9" ht="30">
      <c r="B983" s="1477">
        <v>91376</v>
      </c>
      <c r="C983" s="740" t="s">
        <v>1125</v>
      </c>
      <c r="D983" s="739" t="s">
        <v>31</v>
      </c>
      <c r="E983" s="741">
        <f t="shared" si="30"/>
        <v>8.11</v>
      </c>
      <c r="F983">
        <f t="shared" si="31"/>
        <v>91376</v>
      </c>
      <c r="H983" s="1406">
        <v>8.11</v>
      </c>
      <c r="I983" s="1406">
        <v>8.11</v>
      </c>
    </row>
    <row r="984" spans="2:9" ht="30">
      <c r="B984" s="677">
        <v>91377</v>
      </c>
      <c r="C984" s="733" t="s">
        <v>1126</v>
      </c>
      <c r="D984" s="677" t="s">
        <v>31</v>
      </c>
      <c r="E984" s="738">
        <f t="shared" si="30"/>
        <v>3.28</v>
      </c>
      <c r="F984">
        <f t="shared" si="31"/>
        <v>91377</v>
      </c>
      <c r="H984" s="1405">
        <v>3.28</v>
      </c>
      <c r="I984" s="1405">
        <v>3.28</v>
      </c>
    </row>
    <row r="985" spans="2:9" ht="30">
      <c r="B985" s="1477">
        <v>91380</v>
      </c>
      <c r="C985" s="740" t="s">
        <v>1127</v>
      </c>
      <c r="D985" s="739" t="s">
        <v>31</v>
      </c>
      <c r="E985" s="741">
        <f t="shared" si="30"/>
        <v>29.21</v>
      </c>
      <c r="F985">
        <f t="shared" si="31"/>
        <v>91380</v>
      </c>
      <c r="H985" s="1406">
        <v>29.21</v>
      </c>
      <c r="I985" s="1406">
        <v>29.21</v>
      </c>
    </row>
    <row r="986" spans="2:9" ht="30">
      <c r="B986" s="677">
        <v>91381</v>
      </c>
      <c r="C986" s="733" t="s">
        <v>1128</v>
      </c>
      <c r="D986" s="677" t="s">
        <v>31</v>
      </c>
      <c r="E986" s="738">
        <f t="shared" si="30"/>
        <v>11.29</v>
      </c>
      <c r="F986">
        <f t="shared" si="31"/>
        <v>91381</v>
      </c>
      <c r="H986" s="1405">
        <v>11.29</v>
      </c>
      <c r="I986" s="1405">
        <v>11.29</v>
      </c>
    </row>
    <row r="987" spans="2:9" ht="30">
      <c r="B987" s="1477">
        <v>91382</v>
      </c>
      <c r="C987" s="740" t="s">
        <v>1129</v>
      </c>
      <c r="D987" s="739" t="s">
        <v>31</v>
      </c>
      <c r="E987" s="741">
        <f t="shared" si="30"/>
        <v>4.5599999999999996</v>
      </c>
      <c r="F987">
        <f t="shared" si="31"/>
        <v>91382</v>
      </c>
      <c r="H987" s="1406">
        <v>4.5599999999999996</v>
      </c>
      <c r="I987" s="1406">
        <v>4.5599999999999996</v>
      </c>
    </row>
    <row r="988" spans="2:9" ht="30">
      <c r="B988" s="677">
        <v>91383</v>
      </c>
      <c r="C988" s="733" t="s">
        <v>1130</v>
      </c>
      <c r="D988" s="677" t="s">
        <v>31</v>
      </c>
      <c r="E988" s="738">
        <f t="shared" si="30"/>
        <v>52.79</v>
      </c>
      <c r="F988">
        <f t="shared" si="31"/>
        <v>91383</v>
      </c>
      <c r="H988" s="1405">
        <v>52.79</v>
      </c>
      <c r="I988" s="1405">
        <v>52.79</v>
      </c>
    </row>
    <row r="989" spans="2:9" ht="30">
      <c r="B989" s="1477">
        <v>91384</v>
      </c>
      <c r="C989" s="740" t="s">
        <v>1131</v>
      </c>
      <c r="D989" s="739" t="s">
        <v>31</v>
      </c>
      <c r="E989" s="741">
        <f t="shared" si="30"/>
        <v>139.59</v>
      </c>
      <c r="F989">
        <f t="shared" si="31"/>
        <v>91384</v>
      </c>
      <c r="H989" s="1406">
        <v>139.59</v>
      </c>
      <c r="I989" s="1406">
        <v>139.59</v>
      </c>
    </row>
    <row r="990" spans="2:9" ht="30">
      <c r="B990" s="677">
        <v>91390</v>
      </c>
      <c r="C990" s="733" t="s">
        <v>1132</v>
      </c>
      <c r="D990" s="677" t="s">
        <v>31</v>
      </c>
      <c r="E990" s="738">
        <f t="shared" si="30"/>
        <v>19.46</v>
      </c>
      <c r="F990">
        <f t="shared" si="31"/>
        <v>91390</v>
      </c>
      <c r="H990" s="1405">
        <v>19.46</v>
      </c>
      <c r="I990" s="1405">
        <v>19.46</v>
      </c>
    </row>
    <row r="991" spans="2:9" ht="30">
      <c r="B991" s="1477">
        <v>91391</v>
      </c>
      <c r="C991" s="740" t="s">
        <v>1133</v>
      </c>
      <c r="D991" s="739" t="s">
        <v>31</v>
      </c>
      <c r="E991" s="741">
        <f t="shared" si="30"/>
        <v>7.77</v>
      </c>
      <c r="F991">
        <f t="shared" si="31"/>
        <v>91391</v>
      </c>
      <c r="H991" s="1406">
        <v>7.77</v>
      </c>
      <c r="I991" s="1406">
        <v>7.77</v>
      </c>
    </row>
    <row r="992" spans="2:9" ht="45">
      <c r="B992" s="677">
        <v>91392</v>
      </c>
      <c r="C992" s="733" t="s">
        <v>1134</v>
      </c>
      <c r="D992" s="677" t="s">
        <v>31</v>
      </c>
      <c r="E992" s="738">
        <f t="shared" si="30"/>
        <v>3.13</v>
      </c>
      <c r="F992">
        <f t="shared" si="31"/>
        <v>91392</v>
      </c>
      <c r="H992" s="1405">
        <v>3.13</v>
      </c>
      <c r="I992" s="1405">
        <v>3.13</v>
      </c>
    </row>
    <row r="993" spans="2:9" ht="30">
      <c r="B993" s="1477">
        <v>91396</v>
      </c>
      <c r="C993" s="740" t="s">
        <v>1135</v>
      </c>
      <c r="D993" s="739" t="s">
        <v>31</v>
      </c>
      <c r="E993" s="741">
        <f t="shared" si="30"/>
        <v>29.47</v>
      </c>
      <c r="F993">
        <f t="shared" si="31"/>
        <v>91396</v>
      </c>
      <c r="H993" s="1406">
        <v>29.47</v>
      </c>
      <c r="I993" s="1406">
        <v>29.47</v>
      </c>
    </row>
    <row r="994" spans="2:9" ht="30">
      <c r="B994" s="677">
        <v>91397</v>
      </c>
      <c r="C994" s="733" t="s">
        <v>1136</v>
      </c>
      <c r="D994" s="677" t="s">
        <v>31</v>
      </c>
      <c r="E994" s="738">
        <f t="shared" si="30"/>
        <v>11.42</v>
      </c>
      <c r="F994">
        <f t="shared" si="31"/>
        <v>91397</v>
      </c>
      <c r="H994" s="1405">
        <v>11.42</v>
      </c>
      <c r="I994" s="1405">
        <v>11.42</v>
      </c>
    </row>
    <row r="995" spans="2:9" ht="30">
      <c r="B995" s="1477">
        <v>91398</v>
      </c>
      <c r="C995" s="740" t="s">
        <v>1137</v>
      </c>
      <c r="D995" s="739" t="s">
        <v>31</v>
      </c>
      <c r="E995" s="741">
        <f t="shared" si="30"/>
        <v>4.6100000000000003</v>
      </c>
      <c r="F995">
        <f t="shared" si="31"/>
        <v>91398</v>
      </c>
      <c r="H995" s="1406">
        <v>4.6100000000000003</v>
      </c>
      <c r="I995" s="1406">
        <v>4.6100000000000003</v>
      </c>
    </row>
    <row r="996" spans="2:9" ht="30">
      <c r="B996" s="677">
        <v>91402</v>
      </c>
      <c r="C996" s="733" t="s">
        <v>1138</v>
      </c>
      <c r="D996" s="677" t="s">
        <v>31</v>
      </c>
      <c r="E996" s="738">
        <f t="shared" si="30"/>
        <v>3.6</v>
      </c>
      <c r="F996">
        <f t="shared" si="31"/>
        <v>91402</v>
      </c>
      <c r="H996" s="1405">
        <v>3.6</v>
      </c>
      <c r="I996" s="1405">
        <v>3.6</v>
      </c>
    </row>
    <row r="997" spans="2:9" ht="30">
      <c r="B997" s="1477">
        <v>91466</v>
      </c>
      <c r="C997" s="740" t="s">
        <v>1139</v>
      </c>
      <c r="D997" s="739" t="s">
        <v>31</v>
      </c>
      <c r="E997" s="741">
        <f t="shared" si="30"/>
        <v>4.08</v>
      </c>
      <c r="F997">
        <f t="shared" si="31"/>
        <v>91466</v>
      </c>
      <c r="H997" s="1406">
        <v>4.08</v>
      </c>
      <c r="I997" s="1406">
        <v>4.08</v>
      </c>
    </row>
    <row r="998" spans="2:9" ht="30">
      <c r="B998" s="677">
        <v>91467</v>
      </c>
      <c r="C998" s="733" t="s">
        <v>1140</v>
      </c>
      <c r="D998" s="677" t="s">
        <v>31</v>
      </c>
      <c r="E998" s="738">
        <f t="shared" si="30"/>
        <v>155.66999999999999</v>
      </c>
      <c r="F998">
        <f t="shared" si="31"/>
        <v>91467</v>
      </c>
      <c r="H998" s="1405">
        <v>155.66999999999999</v>
      </c>
      <c r="I998" s="1405">
        <v>155.66999999999999</v>
      </c>
    </row>
    <row r="999" spans="2:9" ht="30">
      <c r="B999" s="1477">
        <v>91468</v>
      </c>
      <c r="C999" s="740" t="s">
        <v>7969</v>
      </c>
      <c r="D999" s="739" t="s">
        <v>31</v>
      </c>
      <c r="E999" s="741">
        <f t="shared" si="30"/>
        <v>23.1</v>
      </c>
      <c r="F999">
        <f t="shared" si="31"/>
        <v>91468</v>
      </c>
      <c r="H999" s="1406">
        <v>23.1</v>
      </c>
      <c r="I999" s="1406">
        <v>23.1</v>
      </c>
    </row>
    <row r="1000" spans="2:9" ht="30">
      <c r="B1000" s="677">
        <v>91469</v>
      </c>
      <c r="C1000" s="733" t="s">
        <v>7970</v>
      </c>
      <c r="D1000" s="677" t="s">
        <v>31</v>
      </c>
      <c r="E1000" s="738">
        <f t="shared" si="30"/>
        <v>10.119999999999999</v>
      </c>
      <c r="F1000">
        <f t="shared" si="31"/>
        <v>91469</v>
      </c>
      <c r="H1000" s="1405">
        <v>10.119999999999999</v>
      </c>
      <c r="I1000" s="1405">
        <v>10.119999999999999</v>
      </c>
    </row>
    <row r="1001" spans="2:9" ht="30">
      <c r="B1001" s="1477">
        <v>91484</v>
      </c>
      <c r="C1001" s="740" t="s">
        <v>7971</v>
      </c>
      <c r="D1001" s="739" t="s">
        <v>31</v>
      </c>
      <c r="E1001" s="741">
        <f t="shared" si="30"/>
        <v>7.7</v>
      </c>
      <c r="F1001">
        <f t="shared" si="31"/>
        <v>91484</v>
      </c>
      <c r="H1001" s="1406">
        <v>7.7</v>
      </c>
      <c r="I1001" s="1406">
        <v>7.7</v>
      </c>
    </row>
    <row r="1002" spans="2:9" ht="45">
      <c r="B1002" s="677">
        <v>91485</v>
      </c>
      <c r="C1002" s="733" t="s">
        <v>7972</v>
      </c>
      <c r="D1002" s="677" t="s">
        <v>31</v>
      </c>
      <c r="E1002" s="738">
        <f t="shared" si="30"/>
        <v>160.62</v>
      </c>
      <c r="F1002">
        <f t="shared" si="31"/>
        <v>91485</v>
      </c>
      <c r="H1002" s="1405">
        <v>160.62</v>
      </c>
      <c r="I1002" s="1405">
        <v>160.62</v>
      </c>
    </row>
    <row r="1003" spans="2:9" ht="30">
      <c r="B1003" s="1477">
        <v>91529</v>
      </c>
      <c r="C1003" s="740" t="s">
        <v>1141</v>
      </c>
      <c r="D1003" s="739" t="s">
        <v>31</v>
      </c>
      <c r="E1003" s="741">
        <f t="shared" si="30"/>
        <v>0.75</v>
      </c>
      <c r="F1003">
        <f t="shared" si="31"/>
        <v>91529</v>
      </c>
      <c r="H1003" s="1406">
        <v>0.75</v>
      </c>
      <c r="I1003" s="1406">
        <v>0.75</v>
      </c>
    </row>
    <row r="1004" spans="2:9">
      <c r="B1004" s="677">
        <v>91530</v>
      </c>
      <c r="C1004" s="733" t="s">
        <v>1142</v>
      </c>
      <c r="D1004" s="677" t="s">
        <v>31</v>
      </c>
      <c r="E1004" s="738">
        <f t="shared" si="30"/>
        <v>0.2</v>
      </c>
      <c r="F1004">
        <f t="shared" si="31"/>
        <v>91530</v>
      </c>
      <c r="H1004" s="1405">
        <v>0.2</v>
      </c>
      <c r="I1004" s="1405">
        <v>0.2</v>
      </c>
    </row>
    <row r="1005" spans="2:9" ht="30">
      <c r="B1005" s="1477">
        <v>91531</v>
      </c>
      <c r="C1005" s="740" t="s">
        <v>1143</v>
      </c>
      <c r="D1005" s="739" t="s">
        <v>31</v>
      </c>
      <c r="E1005" s="741">
        <f t="shared" si="30"/>
        <v>0.94</v>
      </c>
      <c r="F1005">
        <f t="shared" si="31"/>
        <v>91531</v>
      </c>
      <c r="H1005" s="1406">
        <v>0.94</v>
      </c>
      <c r="I1005" s="1406">
        <v>0.94</v>
      </c>
    </row>
    <row r="1006" spans="2:9" ht="30">
      <c r="B1006" s="677">
        <v>91532</v>
      </c>
      <c r="C1006" s="733" t="s">
        <v>1144</v>
      </c>
      <c r="D1006" s="677" t="s">
        <v>31</v>
      </c>
      <c r="E1006" s="738">
        <f t="shared" si="30"/>
        <v>5.73</v>
      </c>
      <c r="F1006">
        <f t="shared" si="31"/>
        <v>91532</v>
      </c>
      <c r="H1006" s="1405">
        <v>5.73</v>
      </c>
      <c r="I1006" s="1405">
        <v>5.73</v>
      </c>
    </row>
    <row r="1007" spans="2:9" ht="30">
      <c r="B1007" s="1477">
        <v>91629</v>
      </c>
      <c r="C1007" s="740" t="s">
        <v>1145</v>
      </c>
      <c r="D1007" s="739" t="s">
        <v>31</v>
      </c>
      <c r="E1007" s="741">
        <f t="shared" si="30"/>
        <v>21.75</v>
      </c>
      <c r="F1007">
        <f t="shared" si="31"/>
        <v>91629</v>
      </c>
      <c r="H1007" s="1406">
        <v>21.75</v>
      </c>
      <c r="I1007" s="1406">
        <v>21.75</v>
      </c>
    </row>
    <row r="1008" spans="2:9" ht="30">
      <c r="B1008" s="677">
        <v>91630</v>
      </c>
      <c r="C1008" s="733" t="s">
        <v>1146</v>
      </c>
      <c r="D1008" s="677" t="s">
        <v>31</v>
      </c>
      <c r="E1008" s="738">
        <f t="shared" si="30"/>
        <v>8.11</v>
      </c>
      <c r="F1008">
        <f t="shared" si="31"/>
        <v>91630</v>
      </c>
      <c r="H1008" s="1405">
        <v>8.11</v>
      </c>
      <c r="I1008" s="1405">
        <v>8.11</v>
      </c>
    </row>
    <row r="1009" spans="2:9" ht="30">
      <c r="B1009" s="1477">
        <v>91631</v>
      </c>
      <c r="C1009" s="740" t="s">
        <v>1147</v>
      </c>
      <c r="D1009" s="739" t="s">
        <v>31</v>
      </c>
      <c r="E1009" s="741">
        <f t="shared" si="30"/>
        <v>3.27</v>
      </c>
      <c r="F1009">
        <f t="shared" si="31"/>
        <v>91631</v>
      </c>
      <c r="H1009" s="1406">
        <v>3.27</v>
      </c>
      <c r="I1009" s="1406">
        <v>3.27</v>
      </c>
    </row>
    <row r="1010" spans="2:9" ht="30">
      <c r="B1010" s="677">
        <v>91632</v>
      </c>
      <c r="C1010" s="733" t="s">
        <v>1148</v>
      </c>
      <c r="D1010" s="677" t="s">
        <v>31</v>
      </c>
      <c r="E1010" s="738">
        <f t="shared" si="30"/>
        <v>37.369999999999997</v>
      </c>
      <c r="F1010">
        <f t="shared" si="31"/>
        <v>91632</v>
      </c>
      <c r="H1010" s="1405">
        <v>37.369999999999997</v>
      </c>
      <c r="I1010" s="1405">
        <v>37.369999999999997</v>
      </c>
    </row>
    <row r="1011" spans="2:9" ht="30">
      <c r="B1011" s="1477">
        <v>91633</v>
      </c>
      <c r="C1011" s="740" t="s">
        <v>1149</v>
      </c>
      <c r="D1011" s="739" t="s">
        <v>31</v>
      </c>
      <c r="E1011" s="741">
        <f t="shared" si="30"/>
        <v>131.75</v>
      </c>
      <c r="F1011">
        <f t="shared" si="31"/>
        <v>91633</v>
      </c>
      <c r="H1011" s="1406">
        <v>131.75</v>
      </c>
      <c r="I1011" s="1406">
        <v>131.75</v>
      </c>
    </row>
    <row r="1012" spans="2:9" ht="30">
      <c r="B1012" s="677">
        <v>91640</v>
      </c>
      <c r="C1012" s="733" t="s">
        <v>1150</v>
      </c>
      <c r="D1012" s="677" t="s">
        <v>31</v>
      </c>
      <c r="E1012" s="738">
        <f t="shared" si="30"/>
        <v>40.31</v>
      </c>
      <c r="F1012">
        <f t="shared" si="31"/>
        <v>91640</v>
      </c>
      <c r="H1012" s="1405">
        <v>40.31</v>
      </c>
      <c r="I1012" s="1405">
        <v>40.31</v>
      </c>
    </row>
    <row r="1013" spans="2:9" ht="30">
      <c r="B1013" s="1477">
        <v>91641</v>
      </c>
      <c r="C1013" s="740" t="s">
        <v>1151</v>
      </c>
      <c r="D1013" s="739" t="s">
        <v>31</v>
      </c>
      <c r="E1013" s="741">
        <f t="shared" si="30"/>
        <v>16.27</v>
      </c>
      <c r="F1013">
        <f t="shared" si="31"/>
        <v>91641</v>
      </c>
      <c r="H1013" s="1406">
        <v>16.27</v>
      </c>
      <c r="I1013" s="1406">
        <v>16.27</v>
      </c>
    </row>
    <row r="1014" spans="2:9" ht="45">
      <c r="B1014" s="677">
        <v>91642</v>
      </c>
      <c r="C1014" s="733" t="s">
        <v>1152</v>
      </c>
      <c r="D1014" s="677" t="s">
        <v>31</v>
      </c>
      <c r="E1014" s="738">
        <f t="shared" si="30"/>
        <v>6.58</v>
      </c>
      <c r="F1014">
        <f t="shared" si="31"/>
        <v>91642</v>
      </c>
      <c r="H1014" s="1405">
        <v>6.58</v>
      </c>
      <c r="I1014" s="1405">
        <v>6.58</v>
      </c>
    </row>
    <row r="1015" spans="2:9" ht="30">
      <c r="B1015" s="1477">
        <v>91643</v>
      </c>
      <c r="C1015" s="740" t="s">
        <v>1153</v>
      </c>
      <c r="D1015" s="739" t="s">
        <v>31</v>
      </c>
      <c r="E1015" s="741">
        <f t="shared" si="30"/>
        <v>72.73</v>
      </c>
      <c r="F1015">
        <f t="shared" si="31"/>
        <v>91643</v>
      </c>
      <c r="H1015" s="1406">
        <v>72.73</v>
      </c>
      <c r="I1015" s="1406">
        <v>72.73</v>
      </c>
    </row>
    <row r="1016" spans="2:9" ht="45">
      <c r="B1016" s="677">
        <v>91644</v>
      </c>
      <c r="C1016" s="733" t="s">
        <v>1154</v>
      </c>
      <c r="D1016" s="677" t="s">
        <v>31</v>
      </c>
      <c r="E1016" s="738">
        <f t="shared" si="30"/>
        <v>296.5</v>
      </c>
      <c r="F1016">
        <f t="shared" si="31"/>
        <v>91644</v>
      </c>
      <c r="H1016" s="1405">
        <v>296.5</v>
      </c>
      <c r="I1016" s="1405">
        <v>296.5</v>
      </c>
    </row>
    <row r="1017" spans="2:9">
      <c r="B1017" s="1477">
        <v>91688</v>
      </c>
      <c r="C1017" s="740" t="s">
        <v>1155</v>
      </c>
      <c r="D1017" s="739" t="s">
        <v>31</v>
      </c>
      <c r="E1017" s="741">
        <f t="shared" si="30"/>
        <v>0.11</v>
      </c>
      <c r="F1017">
        <f t="shared" si="31"/>
        <v>91688</v>
      </c>
      <c r="H1017" s="1406">
        <v>0.11</v>
      </c>
      <c r="I1017" s="1406">
        <v>0.11</v>
      </c>
    </row>
    <row r="1018" spans="2:9">
      <c r="B1018" s="677">
        <v>91689</v>
      </c>
      <c r="C1018" s="733" t="s">
        <v>1156</v>
      </c>
      <c r="D1018" s="677" t="s">
        <v>31</v>
      </c>
      <c r="E1018" s="738">
        <f t="shared" si="30"/>
        <v>0.02</v>
      </c>
      <c r="F1018">
        <f t="shared" si="31"/>
        <v>91689</v>
      </c>
      <c r="H1018" s="1405">
        <v>0.02</v>
      </c>
      <c r="I1018" s="1405">
        <v>0.02</v>
      </c>
    </row>
    <row r="1019" spans="2:9">
      <c r="B1019" s="1477">
        <v>91690</v>
      </c>
      <c r="C1019" s="740" t="s">
        <v>1157</v>
      </c>
      <c r="D1019" s="739" t="s">
        <v>31</v>
      </c>
      <c r="E1019" s="741">
        <f t="shared" si="30"/>
        <v>7.0000000000000007E-2</v>
      </c>
      <c r="F1019">
        <f t="shared" si="31"/>
        <v>91690</v>
      </c>
      <c r="H1019" s="1406">
        <v>7.0000000000000007E-2</v>
      </c>
      <c r="I1019" s="1406">
        <v>7.0000000000000007E-2</v>
      </c>
    </row>
    <row r="1020" spans="2:9" ht="30">
      <c r="B1020" s="677">
        <v>91691</v>
      </c>
      <c r="C1020" s="733" t="s">
        <v>1158</v>
      </c>
      <c r="D1020" s="677" t="s">
        <v>31</v>
      </c>
      <c r="E1020" s="738">
        <f t="shared" si="30"/>
        <v>1.45</v>
      </c>
      <c r="F1020">
        <f t="shared" si="31"/>
        <v>91691</v>
      </c>
      <c r="H1020" s="1405">
        <v>1.45</v>
      </c>
      <c r="I1020" s="1405">
        <v>1.45</v>
      </c>
    </row>
    <row r="1021" spans="2:9">
      <c r="B1021" s="1477">
        <v>92040</v>
      </c>
      <c r="C1021" s="740" t="s">
        <v>1159</v>
      </c>
      <c r="D1021" s="739" t="s">
        <v>31</v>
      </c>
      <c r="E1021" s="741">
        <f t="shared" si="30"/>
        <v>6.47</v>
      </c>
      <c r="F1021">
        <f t="shared" si="31"/>
        <v>92040</v>
      </c>
      <c r="H1021" s="1406">
        <v>6.47</v>
      </c>
      <c r="I1021" s="1406">
        <v>6.47</v>
      </c>
    </row>
    <row r="1022" spans="2:9">
      <c r="B1022" s="677">
        <v>92041</v>
      </c>
      <c r="C1022" s="733" t="s">
        <v>1160</v>
      </c>
      <c r="D1022" s="677" t="s">
        <v>31</v>
      </c>
      <c r="E1022" s="738">
        <f t="shared" si="30"/>
        <v>1.33</v>
      </c>
      <c r="F1022">
        <f t="shared" si="31"/>
        <v>92041</v>
      </c>
      <c r="H1022" s="1405">
        <v>1.33</v>
      </c>
      <c r="I1022" s="1405">
        <v>1.33</v>
      </c>
    </row>
    <row r="1023" spans="2:9">
      <c r="B1023" s="1477">
        <v>92042</v>
      </c>
      <c r="C1023" s="740" t="s">
        <v>1161</v>
      </c>
      <c r="D1023" s="739" t="s">
        <v>31</v>
      </c>
      <c r="E1023" s="741">
        <f t="shared" si="30"/>
        <v>5.39</v>
      </c>
      <c r="F1023">
        <f t="shared" si="31"/>
        <v>92042</v>
      </c>
      <c r="H1023" s="1406">
        <v>5.39</v>
      </c>
      <c r="I1023" s="1406">
        <v>5.39</v>
      </c>
    </row>
    <row r="1024" spans="2:9" ht="45">
      <c r="B1024" s="677">
        <v>92101</v>
      </c>
      <c r="C1024" s="733" t="s">
        <v>7973</v>
      </c>
      <c r="D1024" s="677" t="s">
        <v>31</v>
      </c>
      <c r="E1024" s="738">
        <f t="shared" si="30"/>
        <v>41.7</v>
      </c>
      <c r="F1024">
        <f t="shared" si="31"/>
        <v>92101</v>
      </c>
      <c r="H1024" s="1405">
        <v>41.7</v>
      </c>
      <c r="I1024" s="1405">
        <v>41.7</v>
      </c>
    </row>
    <row r="1025" spans="2:9" ht="45">
      <c r="B1025" s="1477">
        <v>92102</v>
      </c>
      <c r="C1025" s="740" t="s">
        <v>7974</v>
      </c>
      <c r="D1025" s="739" t="s">
        <v>31</v>
      </c>
      <c r="E1025" s="741">
        <f t="shared" si="30"/>
        <v>14.25</v>
      </c>
      <c r="F1025">
        <f t="shared" si="31"/>
        <v>92102</v>
      </c>
      <c r="H1025" s="1406">
        <v>14.25</v>
      </c>
      <c r="I1025" s="1406">
        <v>14.25</v>
      </c>
    </row>
    <row r="1026" spans="2:9" ht="45">
      <c r="B1026" s="677">
        <v>92103</v>
      </c>
      <c r="C1026" s="733" t="s">
        <v>7975</v>
      </c>
      <c r="D1026" s="677" t="s">
        <v>31</v>
      </c>
      <c r="E1026" s="738">
        <f t="shared" si="30"/>
        <v>9.9600000000000009</v>
      </c>
      <c r="F1026">
        <f t="shared" si="31"/>
        <v>92103</v>
      </c>
      <c r="H1026" s="1405">
        <v>9.9600000000000009</v>
      </c>
      <c r="I1026" s="1405">
        <v>9.9600000000000009</v>
      </c>
    </row>
    <row r="1027" spans="2:9" ht="45">
      <c r="B1027" s="1477">
        <v>92104</v>
      </c>
      <c r="C1027" s="740" t="s">
        <v>7976</v>
      </c>
      <c r="D1027" s="739" t="s">
        <v>31</v>
      </c>
      <c r="E1027" s="741">
        <f t="shared" ref="E1027:E1090" si="32">IF($K$2=$H$1,H1027,I1027)</f>
        <v>68.650000000000006</v>
      </c>
      <c r="F1027">
        <f t="shared" ref="F1027:F1090" si="33">IF(LEN($B1027)=7,CONCATENATE(MID($B1027,1,6),"00",RIGHT($B1027,1)),IF(LEN($B1027)=8,CONCATENATE(MID($B1027,1,6),"0",RIGHT($B1027,2)),$B1027))</f>
        <v>92104</v>
      </c>
      <c r="H1027" s="1406">
        <v>68.650000000000006</v>
      </c>
      <c r="I1027" s="1406">
        <v>68.650000000000006</v>
      </c>
    </row>
    <row r="1028" spans="2:9" ht="45">
      <c r="B1028" s="677">
        <v>92105</v>
      </c>
      <c r="C1028" s="733" t="s">
        <v>7977</v>
      </c>
      <c r="D1028" s="677" t="s">
        <v>31</v>
      </c>
      <c r="E1028" s="738">
        <f t="shared" si="32"/>
        <v>173.57</v>
      </c>
      <c r="F1028">
        <f t="shared" si="33"/>
        <v>92105</v>
      </c>
      <c r="H1028" s="1405">
        <v>173.57</v>
      </c>
      <c r="I1028" s="1405">
        <v>173.57</v>
      </c>
    </row>
    <row r="1029" spans="2:9" ht="30">
      <c r="B1029" s="1477">
        <v>92108</v>
      </c>
      <c r="C1029" s="740" t="s">
        <v>7978</v>
      </c>
      <c r="D1029" s="739" t="s">
        <v>31</v>
      </c>
      <c r="E1029" s="741">
        <f t="shared" si="32"/>
        <v>0.97</v>
      </c>
      <c r="F1029">
        <f t="shared" si="33"/>
        <v>92108</v>
      </c>
      <c r="H1029" s="1406">
        <v>0.97</v>
      </c>
      <c r="I1029" s="1406">
        <v>0.97</v>
      </c>
    </row>
    <row r="1030" spans="2:9" ht="30">
      <c r="B1030" s="677">
        <v>92109</v>
      </c>
      <c r="C1030" s="733" t="s">
        <v>7979</v>
      </c>
      <c r="D1030" s="677" t="s">
        <v>31</v>
      </c>
      <c r="E1030" s="738">
        <f t="shared" si="32"/>
        <v>0.24</v>
      </c>
      <c r="F1030">
        <f t="shared" si="33"/>
        <v>92109</v>
      </c>
      <c r="H1030" s="1405">
        <v>0.24</v>
      </c>
      <c r="I1030" s="1405">
        <v>0.24</v>
      </c>
    </row>
    <row r="1031" spans="2:9" ht="30">
      <c r="B1031" s="1477">
        <v>92110</v>
      </c>
      <c r="C1031" s="740" t="s">
        <v>7980</v>
      </c>
      <c r="D1031" s="739" t="s">
        <v>31</v>
      </c>
      <c r="E1031" s="741">
        <f t="shared" si="32"/>
        <v>1.3</v>
      </c>
      <c r="F1031">
        <f t="shared" si="33"/>
        <v>92110</v>
      </c>
      <c r="H1031" s="1406">
        <v>1.3</v>
      </c>
      <c r="I1031" s="1406">
        <v>1.3</v>
      </c>
    </row>
    <row r="1032" spans="2:9" ht="30">
      <c r="B1032" s="677">
        <v>92111</v>
      </c>
      <c r="C1032" s="733" t="s">
        <v>7981</v>
      </c>
      <c r="D1032" s="677" t="s">
        <v>31</v>
      </c>
      <c r="E1032" s="738">
        <f t="shared" si="32"/>
        <v>1.33</v>
      </c>
      <c r="F1032">
        <f t="shared" si="33"/>
        <v>92111</v>
      </c>
      <c r="H1032" s="1405">
        <v>1.33</v>
      </c>
      <c r="I1032" s="1405">
        <v>1.33</v>
      </c>
    </row>
    <row r="1033" spans="2:9">
      <c r="B1033" s="1477">
        <v>92114</v>
      </c>
      <c r="C1033" s="740" t="s">
        <v>7982</v>
      </c>
      <c r="D1033" s="739" t="s">
        <v>31</v>
      </c>
      <c r="E1033" s="741">
        <f t="shared" si="32"/>
        <v>0.25</v>
      </c>
      <c r="F1033">
        <f t="shared" si="33"/>
        <v>92114</v>
      </c>
      <c r="H1033" s="1406">
        <v>0.25</v>
      </c>
      <c r="I1033" s="1406">
        <v>0.25</v>
      </c>
    </row>
    <row r="1034" spans="2:9">
      <c r="B1034" s="677">
        <v>92115</v>
      </c>
      <c r="C1034" s="733" t="s">
        <v>7983</v>
      </c>
      <c r="D1034" s="677" t="s">
        <v>31</v>
      </c>
      <c r="E1034" s="738">
        <f t="shared" si="32"/>
        <v>0.05</v>
      </c>
      <c r="F1034">
        <f t="shared" si="33"/>
        <v>92115</v>
      </c>
      <c r="H1034" s="1405">
        <v>0.05</v>
      </c>
      <c r="I1034" s="1405">
        <v>0.05</v>
      </c>
    </row>
    <row r="1035" spans="2:9">
      <c r="B1035" s="1477">
        <v>92116</v>
      </c>
      <c r="C1035" s="740" t="s">
        <v>7984</v>
      </c>
      <c r="D1035" s="739" t="s">
        <v>31</v>
      </c>
      <c r="E1035" s="741">
        <f t="shared" si="32"/>
        <v>0.18</v>
      </c>
      <c r="F1035">
        <f t="shared" si="33"/>
        <v>92116</v>
      </c>
      <c r="H1035" s="1406">
        <v>0.18</v>
      </c>
      <c r="I1035" s="1406">
        <v>0.18</v>
      </c>
    </row>
    <row r="1036" spans="2:9">
      <c r="B1036" s="677">
        <v>92133</v>
      </c>
      <c r="C1036" s="733" t="s">
        <v>1162</v>
      </c>
      <c r="D1036" s="677" t="s">
        <v>31</v>
      </c>
      <c r="E1036" s="738">
        <f t="shared" si="32"/>
        <v>13.15</v>
      </c>
      <c r="F1036">
        <f t="shared" si="33"/>
        <v>92133</v>
      </c>
      <c r="H1036" s="1405">
        <v>13.15</v>
      </c>
      <c r="I1036" s="1405">
        <v>13.15</v>
      </c>
    </row>
    <row r="1037" spans="2:9">
      <c r="B1037" s="1477">
        <v>92134</v>
      </c>
      <c r="C1037" s="740" t="s">
        <v>1163</v>
      </c>
      <c r="D1037" s="739" t="s">
        <v>31</v>
      </c>
      <c r="E1037" s="741">
        <f t="shared" si="32"/>
        <v>4.05</v>
      </c>
      <c r="F1037">
        <f t="shared" si="33"/>
        <v>92134</v>
      </c>
      <c r="H1037" s="1406">
        <v>4.05</v>
      </c>
      <c r="I1037" s="1406">
        <v>4.05</v>
      </c>
    </row>
    <row r="1038" spans="2:9">
      <c r="B1038" s="677">
        <v>92135</v>
      </c>
      <c r="C1038" s="733" t="s">
        <v>1164</v>
      </c>
      <c r="D1038" s="677" t="s">
        <v>31</v>
      </c>
      <c r="E1038" s="738">
        <f t="shared" si="32"/>
        <v>1.64</v>
      </c>
      <c r="F1038">
        <f t="shared" si="33"/>
        <v>92135</v>
      </c>
      <c r="H1038" s="1405">
        <v>1.64</v>
      </c>
      <c r="I1038" s="1405">
        <v>1.64</v>
      </c>
    </row>
    <row r="1039" spans="2:9">
      <c r="B1039" s="1477">
        <v>92136</v>
      </c>
      <c r="C1039" s="740" t="s">
        <v>1165</v>
      </c>
      <c r="D1039" s="739" t="s">
        <v>31</v>
      </c>
      <c r="E1039" s="741">
        <f t="shared" si="32"/>
        <v>16.43</v>
      </c>
      <c r="F1039">
        <f t="shared" si="33"/>
        <v>92136</v>
      </c>
      <c r="H1039" s="1406">
        <v>16.43</v>
      </c>
      <c r="I1039" s="1406">
        <v>16.43</v>
      </c>
    </row>
    <row r="1040" spans="2:9">
      <c r="B1040" s="677">
        <v>92137</v>
      </c>
      <c r="C1040" s="733" t="s">
        <v>1166</v>
      </c>
      <c r="D1040" s="677" t="s">
        <v>31</v>
      </c>
      <c r="E1040" s="738">
        <f t="shared" si="32"/>
        <v>34.69</v>
      </c>
      <c r="F1040">
        <f t="shared" si="33"/>
        <v>92137</v>
      </c>
      <c r="H1040" s="1405">
        <v>34.69</v>
      </c>
      <c r="I1040" s="1405">
        <v>34.69</v>
      </c>
    </row>
    <row r="1041" spans="2:9" ht="30">
      <c r="B1041" s="1477">
        <v>92140</v>
      </c>
      <c r="C1041" s="740" t="s">
        <v>54</v>
      </c>
      <c r="D1041" s="739" t="s">
        <v>31</v>
      </c>
      <c r="E1041" s="741">
        <f t="shared" si="32"/>
        <v>4.8099999999999996</v>
      </c>
      <c r="F1041">
        <f t="shared" si="33"/>
        <v>92140</v>
      </c>
      <c r="H1041" s="1406">
        <v>4.8099999999999996</v>
      </c>
      <c r="I1041" s="1406">
        <v>4.8099999999999996</v>
      </c>
    </row>
    <row r="1042" spans="2:9">
      <c r="B1042" s="677">
        <v>92141</v>
      </c>
      <c r="C1042" s="733" t="s">
        <v>55</v>
      </c>
      <c r="D1042" s="677" t="s">
        <v>31</v>
      </c>
      <c r="E1042" s="738">
        <f t="shared" si="32"/>
        <v>1.48</v>
      </c>
      <c r="F1042">
        <f t="shared" si="33"/>
        <v>92141</v>
      </c>
      <c r="H1042" s="1405">
        <v>1.48</v>
      </c>
      <c r="I1042" s="1405">
        <v>1.48</v>
      </c>
    </row>
    <row r="1043" spans="2:9" ht="30">
      <c r="B1043" s="1477">
        <v>92142</v>
      </c>
      <c r="C1043" s="740" t="s">
        <v>300</v>
      </c>
      <c r="D1043" s="739" t="s">
        <v>31</v>
      </c>
      <c r="E1043" s="741">
        <f t="shared" si="32"/>
        <v>0.6</v>
      </c>
      <c r="F1043">
        <f t="shared" si="33"/>
        <v>92142</v>
      </c>
      <c r="H1043" s="1406">
        <v>0.6</v>
      </c>
      <c r="I1043" s="1406">
        <v>0.6</v>
      </c>
    </row>
    <row r="1044" spans="2:9" ht="30">
      <c r="B1044" s="677">
        <v>92143</v>
      </c>
      <c r="C1044" s="733" t="s">
        <v>56</v>
      </c>
      <c r="D1044" s="677" t="s">
        <v>31</v>
      </c>
      <c r="E1044" s="738">
        <f t="shared" si="32"/>
        <v>6.02</v>
      </c>
      <c r="F1044">
        <f t="shared" si="33"/>
        <v>92143</v>
      </c>
      <c r="H1044" s="1405">
        <v>6.02</v>
      </c>
      <c r="I1044" s="1405">
        <v>6.02</v>
      </c>
    </row>
    <row r="1045" spans="2:9" ht="30">
      <c r="B1045" s="1477">
        <v>92144</v>
      </c>
      <c r="C1045" s="740" t="s">
        <v>301</v>
      </c>
      <c r="D1045" s="739" t="s">
        <v>31</v>
      </c>
      <c r="E1045" s="741">
        <f t="shared" si="32"/>
        <v>37.26</v>
      </c>
      <c r="F1045">
        <f t="shared" si="33"/>
        <v>92144</v>
      </c>
      <c r="H1045" s="1406">
        <v>37.26</v>
      </c>
      <c r="I1045" s="1406">
        <v>37.26</v>
      </c>
    </row>
    <row r="1046" spans="2:9" ht="30">
      <c r="B1046" s="677">
        <v>92237</v>
      </c>
      <c r="C1046" s="733" t="s">
        <v>1167</v>
      </c>
      <c r="D1046" s="677" t="s">
        <v>31</v>
      </c>
      <c r="E1046" s="738">
        <f t="shared" si="32"/>
        <v>29.35</v>
      </c>
      <c r="F1046">
        <f t="shared" si="33"/>
        <v>92237</v>
      </c>
      <c r="H1046" s="1405">
        <v>29.35</v>
      </c>
      <c r="I1046" s="1405">
        <v>29.35</v>
      </c>
    </row>
    <row r="1047" spans="2:9" ht="30">
      <c r="B1047" s="1477">
        <v>92238</v>
      </c>
      <c r="C1047" s="740" t="s">
        <v>1168</v>
      </c>
      <c r="D1047" s="739" t="s">
        <v>31</v>
      </c>
      <c r="E1047" s="741">
        <f t="shared" si="32"/>
        <v>11.82</v>
      </c>
      <c r="F1047">
        <f t="shared" si="33"/>
        <v>92238</v>
      </c>
      <c r="H1047" s="1406">
        <v>11.82</v>
      </c>
      <c r="I1047" s="1406">
        <v>11.82</v>
      </c>
    </row>
    <row r="1048" spans="2:9" ht="30">
      <c r="B1048" s="677">
        <v>92239</v>
      </c>
      <c r="C1048" s="733" t="s">
        <v>1169</v>
      </c>
      <c r="D1048" s="677" t="s">
        <v>31</v>
      </c>
      <c r="E1048" s="738">
        <f t="shared" si="32"/>
        <v>4.78</v>
      </c>
      <c r="F1048">
        <f t="shared" si="33"/>
        <v>92239</v>
      </c>
      <c r="H1048" s="1405">
        <v>4.78</v>
      </c>
      <c r="I1048" s="1405">
        <v>4.78</v>
      </c>
    </row>
    <row r="1049" spans="2:9" ht="30">
      <c r="B1049" s="1477">
        <v>92240</v>
      </c>
      <c r="C1049" s="740" t="s">
        <v>1170</v>
      </c>
      <c r="D1049" s="739" t="s">
        <v>31</v>
      </c>
      <c r="E1049" s="741">
        <f t="shared" si="32"/>
        <v>52.71</v>
      </c>
      <c r="F1049">
        <f t="shared" si="33"/>
        <v>92240</v>
      </c>
      <c r="H1049" s="1406">
        <v>52.71</v>
      </c>
      <c r="I1049" s="1406">
        <v>52.71</v>
      </c>
    </row>
    <row r="1050" spans="2:9" ht="45">
      <c r="B1050" s="677">
        <v>92241</v>
      </c>
      <c r="C1050" s="733" t="s">
        <v>1171</v>
      </c>
      <c r="D1050" s="677" t="s">
        <v>31</v>
      </c>
      <c r="E1050" s="738">
        <f t="shared" si="32"/>
        <v>271.82</v>
      </c>
      <c r="F1050">
        <f t="shared" si="33"/>
        <v>92241</v>
      </c>
      <c r="H1050" s="1405">
        <v>271.82</v>
      </c>
      <c r="I1050" s="1405">
        <v>271.82</v>
      </c>
    </row>
    <row r="1051" spans="2:9">
      <c r="B1051" s="1477">
        <v>92712</v>
      </c>
      <c r="C1051" s="740" t="s">
        <v>7985</v>
      </c>
      <c r="D1051" s="739" t="s">
        <v>31</v>
      </c>
      <c r="E1051" s="741">
        <f t="shared" si="32"/>
        <v>0.19</v>
      </c>
      <c r="F1051">
        <f t="shared" si="33"/>
        <v>92712</v>
      </c>
      <c r="H1051" s="1406">
        <v>0.19</v>
      </c>
      <c r="I1051" s="1406">
        <v>0.19</v>
      </c>
    </row>
    <row r="1052" spans="2:9">
      <c r="B1052" s="677">
        <v>92713</v>
      </c>
      <c r="C1052" s="733" t="s">
        <v>7986</v>
      </c>
      <c r="D1052" s="677" t="s">
        <v>31</v>
      </c>
      <c r="E1052" s="738">
        <f t="shared" si="32"/>
        <v>0.04</v>
      </c>
      <c r="F1052">
        <f t="shared" si="33"/>
        <v>92713</v>
      </c>
      <c r="H1052" s="1405">
        <v>0.04</v>
      </c>
      <c r="I1052" s="1405">
        <v>0.04</v>
      </c>
    </row>
    <row r="1053" spans="2:9">
      <c r="B1053" s="1477">
        <v>92714</v>
      </c>
      <c r="C1053" s="740" t="s">
        <v>7987</v>
      </c>
      <c r="D1053" s="739" t="s">
        <v>31</v>
      </c>
      <c r="E1053" s="741">
        <f t="shared" si="32"/>
        <v>0.26</v>
      </c>
      <c r="F1053">
        <f t="shared" si="33"/>
        <v>92714</v>
      </c>
      <c r="H1053" s="1406">
        <v>0.26</v>
      </c>
      <c r="I1053" s="1406">
        <v>0.26</v>
      </c>
    </row>
    <row r="1054" spans="2:9" ht="30">
      <c r="B1054" s="677">
        <v>92715</v>
      </c>
      <c r="C1054" s="733" t="s">
        <v>7988</v>
      </c>
      <c r="D1054" s="677" t="s">
        <v>31</v>
      </c>
      <c r="E1054" s="738">
        <f t="shared" si="32"/>
        <v>135.6</v>
      </c>
      <c r="F1054">
        <f t="shared" si="33"/>
        <v>92715</v>
      </c>
      <c r="H1054" s="1405">
        <v>135.6</v>
      </c>
      <c r="I1054" s="1405">
        <v>135.6</v>
      </c>
    </row>
    <row r="1055" spans="2:9">
      <c r="B1055" s="1477">
        <v>92956</v>
      </c>
      <c r="C1055" s="740" t="s">
        <v>1172</v>
      </c>
      <c r="D1055" s="739" t="s">
        <v>31</v>
      </c>
      <c r="E1055" s="741">
        <f t="shared" si="32"/>
        <v>4.3</v>
      </c>
      <c r="F1055">
        <f t="shared" si="33"/>
        <v>92956</v>
      </c>
      <c r="H1055" s="1406">
        <v>4.3</v>
      </c>
      <c r="I1055" s="1406">
        <v>4.3</v>
      </c>
    </row>
    <row r="1056" spans="2:9">
      <c r="B1056" s="677">
        <v>92957</v>
      </c>
      <c r="C1056" s="733" t="s">
        <v>1173</v>
      </c>
      <c r="D1056" s="677" t="s">
        <v>31</v>
      </c>
      <c r="E1056" s="738">
        <f t="shared" si="32"/>
        <v>0.99</v>
      </c>
      <c r="F1056">
        <f t="shared" si="33"/>
        <v>92957</v>
      </c>
      <c r="H1056" s="1405">
        <v>0.99</v>
      </c>
      <c r="I1056" s="1405">
        <v>0.99</v>
      </c>
    </row>
    <row r="1057" spans="2:9">
      <c r="B1057" s="1477">
        <v>92958</v>
      </c>
      <c r="C1057" s="740" t="s">
        <v>1174</v>
      </c>
      <c r="D1057" s="739" t="s">
        <v>31</v>
      </c>
      <c r="E1057" s="741">
        <f t="shared" si="32"/>
        <v>4.71</v>
      </c>
      <c r="F1057">
        <f t="shared" si="33"/>
        <v>92958</v>
      </c>
      <c r="H1057" s="1406">
        <v>4.71</v>
      </c>
      <c r="I1057" s="1406">
        <v>4.71</v>
      </c>
    </row>
    <row r="1058" spans="2:9" ht="30">
      <c r="B1058" s="677">
        <v>92959</v>
      </c>
      <c r="C1058" s="733" t="s">
        <v>1175</v>
      </c>
      <c r="D1058" s="677" t="s">
        <v>31</v>
      </c>
      <c r="E1058" s="738">
        <f t="shared" si="32"/>
        <v>9.1199999999999992</v>
      </c>
      <c r="F1058">
        <f t="shared" si="33"/>
        <v>92959</v>
      </c>
      <c r="H1058" s="1405">
        <v>9.1199999999999992</v>
      </c>
      <c r="I1058" s="1405">
        <v>9.1199999999999992</v>
      </c>
    </row>
    <row r="1059" spans="2:9">
      <c r="B1059" s="1477">
        <v>92963</v>
      </c>
      <c r="C1059" s="740" t="s">
        <v>1176</v>
      </c>
      <c r="D1059" s="739" t="s">
        <v>31</v>
      </c>
      <c r="E1059" s="741">
        <f t="shared" si="32"/>
        <v>1.67</v>
      </c>
      <c r="F1059">
        <f t="shared" si="33"/>
        <v>92963</v>
      </c>
      <c r="H1059" s="1406">
        <v>1.67</v>
      </c>
      <c r="I1059" s="1406">
        <v>1.67</v>
      </c>
    </row>
    <row r="1060" spans="2:9">
      <c r="B1060" s="677">
        <v>92964</v>
      </c>
      <c r="C1060" s="733" t="s">
        <v>302</v>
      </c>
      <c r="D1060" s="677" t="s">
        <v>31</v>
      </c>
      <c r="E1060" s="738">
        <f t="shared" si="32"/>
        <v>0.38</v>
      </c>
      <c r="F1060">
        <f t="shared" si="33"/>
        <v>92964</v>
      </c>
      <c r="H1060" s="1405">
        <v>0.38</v>
      </c>
      <c r="I1060" s="1405">
        <v>0.38</v>
      </c>
    </row>
    <row r="1061" spans="2:9">
      <c r="B1061" s="1477">
        <v>92965</v>
      </c>
      <c r="C1061" s="740" t="s">
        <v>1177</v>
      </c>
      <c r="D1061" s="739" t="s">
        <v>31</v>
      </c>
      <c r="E1061" s="741">
        <f t="shared" si="32"/>
        <v>2.09</v>
      </c>
      <c r="F1061">
        <f t="shared" si="33"/>
        <v>92965</v>
      </c>
      <c r="H1061" s="1406">
        <v>2.09</v>
      </c>
      <c r="I1061" s="1406">
        <v>2.09</v>
      </c>
    </row>
    <row r="1062" spans="2:9" ht="45">
      <c r="B1062" s="677">
        <v>93220</v>
      </c>
      <c r="C1062" s="733" t="s">
        <v>1178</v>
      </c>
      <c r="D1062" s="677" t="s">
        <v>31</v>
      </c>
      <c r="E1062" s="738">
        <f t="shared" si="32"/>
        <v>333.23</v>
      </c>
      <c r="F1062">
        <f t="shared" si="33"/>
        <v>93220</v>
      </c>
      <c r="H1062" s="1405">
        <v>333.23</v>
      </c>
      <c r="I1062" s="1405">
        <v>333.23</v>
      </c>
    </row>
    <row r="1063" spans="2:9" ht="30">
      <c r="B1063" s="1477">
        <v>93221</v>
      </c>
      <c r="C1063" s="740" t="s">
        <v>1179</v>
      </c>
      <c r="D1063" s="739" t="s">
        <v>31</v>
      </c>
      <c r="E1063" s="741">
        <f t="shared" si="32"/>
        <v>89.4</v>
      </c>
      <c r="F1063">
        <f t="shared" si="33"/>
        <v>93221</v>
      </c>
      <c r="H1063" s="1406">
        <v>89.4</v>
      </c>
      <c r="I1063" s="1406">
        <v>89.4</v>
      </c>
    </row>
    <row r="1064" spans="2:9" ht="45">
      <c r="B1064" s="677">
        <v>93222</v>
      </c>
      <c r="C1064" s="733" t="s">
        <v>1180</v>
      </c>
      <c r="D1064" s="677" t="s">
        <v>31</v>
      </c>
      <c r="E1064" s="738">
        <f t="shared" si="32"/>
        <v>417.01</v>
      </c>
      <c r="F1064">
        <f t="shared" si="33"/>
        <v>93222</v>
      </c>
      <c r="H1064" s="1405">
        <v>417.01</v>
      </c>
      <c r="I1064" s="1405">
        <v>417.01</v>
      </c>
    </row>
    <row r="1065" spans="2:9" ht="45">
      <c r="B1065" s="1477">
        <v>93223</v>
      </c>
      <c r="C1065" s="740" t="s">
        <v>1181</v>
      </c>
      <c r="D1065" s="739" t="s">
        <v>31</v>
      </c>
      <c r="E1065" s="741">
        <f t="shared" si="32"/>
        <v>153.78</v>
      </c>
      <c r="F1065">
        <f t="shared" si="33"/>
        <v>93223</v>
      </c>
      <c r="H1065" s="1406">
        <v>153.78</v>
      </c>
      <c r="I1065" s="1406">
        <v>153.78</v>
      </c>
    </row>
    <row r="1066" spans="2:9" ht="30">
      <c r="B1066" s="677">
        <v>93229</v>
      </c>
      <c r="C1066" s="733" t="s">
        <v>5443</v>
      </c>
      <c r="D1066" s="677" t="s">
        <v>31</v>
      </c>
      <c r="E1066" s="738">
        <f t="shared" si="32"/>
        <v>0.44</v>
      </c>
      <c r="F1066">
        <f t="shared" si="33"/>
        <v>93229</v>
      </c>
      <c r="H1066" s="1405">
        <v>0.44</v>
      </c>
      <c r="I1066" s="1405">
        <v>0.44</v>
      </c>
    </row>
    <row r="1067" spans="2:9" ht="30">
      <c r="B1067" s="1477">
        <v>93230</v>
      </c>
      <c r="C1067" s="740" t="s">
        <v>5444</v>
      </c>
      <c r="D1067" s="739" t="s">
        <v>31</v>
      </c>
      <c r="E1067" s="741">
        <f t="shared" si="32"/>
        <v>0.1</v>
      </c>
      <c r="F1067">
        <f t="shared" si="33"/>
        <v>93230</v>
      </c>
      <c r="H1067" s="1406">
        <v>0.1</v>
      </c>
      <c r="I1067" s="1406">
        <v>0.1</v>
      </c>
    </row>
    <row r="1068" spans="2:9" ht="30">
      <c r="B1068" s="677">
        <v>93231</v>
      </c>
      <c r="C1068" s="733" t="s">
        <v>5445</v>
      </c>
      <c r="D1068" s="677" t="s">
        <v>31</v>
      </c>
      <c r="E1068" s="738">
        <f t="shared" si="32"/>
        <v>0.55000000000000004</v>
      </c>
      <c r="F1068">
        <f t="shared" si="33"/>
        <v>93231</v>
      </c>
      <c r="H1068" s="1405">
        <v>0.55000000000000004</v>
      </c>
      <c r="I1068" s="1405">
        <v>0.55000000000000004</v>
      </c>
    </row>
    <row r="1069" spans="2:9" ht="30">
      <c r="B1069" s="1477">
        <v>93232</v>
      </c>
      <c r="C1069" s="740" t="s">
        <v>5446</v>
      </c>
      <c r="D1069" s="739" t="s">
        <v>31</v>
      </c>
      <c r="E1069" s="741">
        <f t="shared" si="32"/>
        <v>4.28</v>
      </c>
      <c r="F1069">
        <f t="shared" si="33"/>
        <v>93232</v>
      </c>
      <c r="H1069" s="1406">
        <v>4.28</v>
      </c>
      <c r="I1069" s="1406">
        <v>4.28</v>
      </c>
    </row>
    <row r="1070" spans="2:9">
      <c r="B1070" s="677">
        <v>93235</v>
      </c>
      <c r="C1070" s="733" t="s">
        <v>1182</v>
      </c>
      <c r="D1070" s="677" t="s">
        <v>31</v>
      </c>
      <c r="E1070" s="738">
        <f t="shared" si="32"/>
        <v>2.52</v>
      </c>
      <c r="F1070">
        <f t="shared" si="33"/>
        <v>93235</v>
      </c>
      <c r="H1070" s="1405">
        <v>2.52</v>
      </c>
      <c r="I1070" s="1405">
        <v>2.52</v>
      </c>
    </row>
    <row r="1071" spans="2:9" ht="30">
      <c r="B1071" s="1477">
        <v>93238</v>
      </c>
      <c r="C1071" s="740" t="s">
        <v>1183</v>
      </c>
      <c r="D1071" s="739" t="s">
        <v>31</v>
      </c>
      <c r="E1071" s="741">
        <f t="shared" si="32"/>
        <v>2.59</v>
      </c>
      <c r="F1071">
        <f t="shared" si="33"/>
        <v>93238</v>
      </c>
      <c r="H1071" s="1406">
        <v>2.59</v>
      </c>
      <c r="I1071" s="1406">
        <v>2.59</v>
      </c>
    </row>
    <row r="1072" spans="2:9" ht="30">
      <c r="B1072" s="677">
        <v>93239</v>
      </c>
      <c r="C1072" s="733" t="s">
        <v>1184</v>
      </c>
      <c r="D1072" s="677" t="s">
        <v>31</v>
      </c>
      <c r="E1072" s="738">
        <f t="shared" si="32"/>
        <v>11.75</v>
      </c>
      <c r="F1072">
        <f t="shared" si="33"/>
        <v>93239</v>
      </c>
      <c r="H1072" s="1405">
        <v>11.75</v>
      </c>
      <c r="I1072" s="1405">
        <v>11.75</v>
      </c>
    </row>
    <row r="1073" spans="2:9" ht="30">
      <c r="B1073" s="1477">
        <v>93240</v>
      </c>
      <c r="C1073" s="740" t="s">
        <v>1185</v>
      </c>
      <c r="D1073" s="739" t="s">
        <v>31</v>
      </c>
      <c r="E1073" s="741">
        <f t="shared" si="32"/>
        <v>11.78</v>
      </c>
      <c r="F1073">
        <f t="shared" si="33"/>
        <v>93240</v>
      </c>
      <c r="H1073" s="1406">
        <v>11.78</v>
      </c>
      <c r="I1073" s="1406">
        <v>11.78</v>
      </c>
    </row>
    <row r="1074" spans="2:9">
      <c r="B1074" s="677">
        <v>93267</v>
      </c>
      <c r="C1074" s="733" t="s">
        <v>7989</v>
      </c>
      <c r="D1074" s="677" t="s">
        <v>31</v>
      </c>
      <c r="E1074" s="738">
        <f t="shared" si="32"/>
        <v>28.78</v>
      </c>
      <c r="F1074">
        <f t="shared" si="33"/>
        <v>93267</v>
      </c>
      <c r="H1074" s="1405">
        <v>28.78</v>
      </c>
      <c r="I1074" s="1405">
        <v>28.78</v>
      </c>
    </row>
    <row r="1075" spans="2:9">
      <c r="B1075" s="1477">
        <v>93269</v>
      </c>
      <c r="C1075" s="740" t="s">
        <v>7990</v>
      </c>
      <c r="D1075" s="739" t="s">
        <v>31</v>
      </c>
      <c r="E1075" s="741">
        <f t="shared" si="32"/>
        <v>9.7100000000000009</v>
      </c>
      <c r="F1075">
        <f t="shared" si="33"/>
        <v>93269</v>
      </c>
      <c r="H1075" s="1406">
        <v>9.7100000000000009</v>
      </c>
      <c r="I1075" s="1406">
        <v>9.7100000000000009</v>
      </c>
    </row>
    <row r="1076" spans="2:9">
      <c r="B1076" s="677">
        <v>93270</v>
      </c>
      <c r="C1076" s="733" t="s">
        <v>7991</v>
      </c>
      <c r="D1076" s="677" t="s">
        <v>31</v>
      </c>
      <c r="E1076" s="738">
        <f t="shared" si="32"/>
        <v>28.78</v>
      </c>
      <c r="F1076">
        <f t="shared" si="33"/>
        <v>93270</v>
      </c>
      <c r="H1076" s="1405">
        <v>28.78</v>
      </c>
      <c r="I1076" s="1405">
        <v>28.78</v>
      </c>
    </row>
    <row r="1077" spans="2:9">
      <c r="B1077" s="1477">
        <v>93271</v>
      </c>
      <c r="C1077" s="740" t="s">
        <v>7992</v>
      </c>
      <c r="D1077" s="739" t="s">
        <v>31</v>
      </c>
      <c r="E1077" s="741">
        <f t="shared" si="32"/>
        <v>10</v>
      </c>
      <c r="F1077">
        <f t="shared" si="33"/>
        <v>93271</v>
      </c>
      <c r="H1077" s="1406">
        <v>10</v>
      </c>
      <c r="I1077" s="1406">
        <v>10</v>
      </c>
    </row>
    <row r="1078" spans="2:9">
      <c r="B1078" s="677">
        <v>93277</v>
      </c>
      <c r="C1078" s="733" t="s">
        <v>1186</v>
      </c>
      <c r="D1078" s="677" t="s">
        <v>31</v>
      </c>
      <c r="E1078" s="738">
        <f t="shared" si="32"/>
        <v>0.28000000000000003</v>
      </c>
      <c r="F1078">
        <f t="shared" si="33"/>
        <v>93277</v>
      </c>
      <c r="H1078" s="1405">
        <v>0.28000000000000003</v>
      </c>
      <c r="I1078" s="1405">
        <v>0.28000000000000003</v>
      </c>
    </row>
    <row r="1079" spans="2:9">
      <c r="B1079" s="1477">
        <v>93278</v>
      </c>
      <c r="C1079" s="740" t="s">
        <v>1187</v>
      </c>
      <c r="D1079" s="739" t="s">
        <v>31</v>
      </c>
      <c r="E1079" s="741">
        <f t="shared" si="32"/>
        <v>0.06</v>
      </c>
      <c r="F1079">
        <f t="shared" si="33"/>
        <v>93278</v>
      </c>
      <c r="H1079" s="1406">
        <v>0.06</v>
      </c>
      <c r="I1079" s="1406">
        <v>0.06</v>
      </c>
    </row>
    <row r="1080" spans="2:9">
      <c r="B1080" s="677">
        <v>93279</v>
      </c>
      <c r="C1080" s="733" t="s">
        <v>1188</v>
      </c>
      <c r="D1080" s="677" t="s">
        <v>31</v>
      </c>
      <c r="E1080" s="738">
        <f t="shared" si="32"/>
        <v>0.26</v>
      </c>
      <c r="F1080">
        <f t="shared" si="33"/>
        <v>93279</v>
      </c>
      <c r="H1080" s="1405">
        <v>0.26</v>
      </c>
      <c r="I1080" s="1405">
        <v>0.26</v>
      </c>
    </row>
    <row r="1081" spans="2:9" ht="30">
      <c r="B1081" s="1477">
        <v>93280</v>
      </c>
      <c r="C1081" s="740" t="s">
        <v>1189</v>
      </c>
      <c r="D1081" s="739" t="s">
        <v>31</v>
      </c>
      <c r="E1081" s="741">
        <f t="shared" si="32"/>
        <v>0.83</v>
      </c>
      <c r="F1081">
        <f t="shared" si="33"/>
        <v>93280</v>
      </c>
      <c r="H1081" s="1406">
        <v>0.83</v>
      </c>
      <c r="I1081" s="1406">
        <v>0.83</v>
      </c>
    </row>
    <row r="1082" spans="2:9" ht="30">
      <c r="B1082" s="677">
        <v>93283</v>
      </c>
      <c r="C1082" s="733" t="s">
        <v>1190</v>
      </c>
      <c r="D1082" s="677" t="s">
        <v>31</v>
      </c>
      <c r="E1082" s="738">
        <f t="shared" si="32"/>
        <v>96.78</v>
      </c>
      <c r="F1082">
        <f t="shared" si="33"/>
        <v>93283</v>
      </c>
      <c r="H1082" s="1405">
        <v>96.78</v>
      </c>
      <c r="I1082" s="1405">
        <v>96.78</v>
      </c>
    </row>
    <row r="1083" spans="2:9" ht="30">
      <c r="B1083" s="1477">
        <v>93284</v>
      </c>
      <c r="C1083" s="740" t="s">
        <v>1191</v>
      </c>
      <c r="D1083" s="739" t="s">
        <v>31</v>
      </c>
      <c r="E1083" s="741">
        <f t="shared" si="32"/>
        <v>34.11</v>
      </c>
      <c r="F1083">
        <f t="shared" si="33"/>
        <v>93284</v>
      </c>
      <c r="H1083" s="1406">
        <v>34.11</v>
      </c>
      <c r="I1083" s="1406">
        <v>34.11</v>
      </c>
    </row>
    <row r="1084" spans="2:9" ht="30">
      <c r="B1084" s="677">
        <v>93285</v>
      </c>
      <c r="C1084" s="733" t="s">
        <v>1192</v>
      </c>
      <c r="D1084" s="677" t="s">
        <v>31</v>
      </c>
      <c r="E1084" s="738">
        <f t="shared" si="32"/>
        <v>155.57</v>
      </c>
      <c r="F1084">
        <f t="shared" si="33"/>
        <v>93285</v>
      </c>
      <c r="H1084" s="1405">
        <v>155.57</v>
      </c>
      <c r="I1084" s="1405">
        <v>155.57</v>
      </c>
    </row>
    <row r="1085" spans="2:9" ht="30">
      <c r="B1085" s="1477">
        <v>93286</v>
      </c>
      <c r="C1085" s="740" t="s">
        <v>1193</v>
      </c>
      <c r="D1085" s="739" t="s">
        <v>31</v>
      </c>
      <c r="E1085" s="741">
        <f t="shared" si="32"/>
        <v>13.91</v>
      </c>
      <c r="F1085">
        <f t="shared" si="33"/>
        <v>93286</v>
      </c>
      <c r="H1085" s="1406">
        <v>13.91</v>
      </c>
      <c r="I1085" s="1406">
        <v>13.91</v>
      </c>
    </row>
    <row r="1086" spans="2:9" ht="30">
      <c r="B1086" s="677">
        <v>93296</v>
      </c>
      <c r="C1086" s="733" t="s">
        <v>1194</v>
      </c>
      <c r="D1086" s="677" t="s">
        <v>31</v>
      </c>
      <c r="E1086" s="738">
        <f t="shared" si="32"/>
        <v>13.79</v>
      </c>
      <c r="F1086">
        <f t="shared" si="33"/>
        <v>93296</v>
      </c>
      <c r="H1086" s="1405">
        <v>13.79</v>
      </c>
      <c r="I1086" s="1405">
        <v>13.79</v>
      </c>
    </row>
    <row r="1087" spans="2:9" ht="30">
      <c r="B1087" s="1477">
        <v>93397</v>
      </c>
      <c r="C1087" s="740" t="s">
        <v>1195</v>
      </c>
      <c r="D1087" s="739" t="s">
        <v>31</v>
      </c>
      <c r="E1087" s="741">
        <f t="shared" si="32"/>
        <v>25.2</v>
      </c>
      <c r="F1087">
        <f t="shared" si="33"/>
        <v>93397</v>
      </c>
      <c r="H1087" s="1406">
        <v>25.2</v>
      </c>
      <c r="I1087" s="1406">
        <v>25.2</v>
      </c>
    </row>
    <row r="1088" spans="2:9" ht="30">
      <c r="B1088" s="677">
        <v>93398</v>
      </c>
      <c r="C1088" s="733" t="s">
        <v>1196</v>
      </c>
      <c r="D1088" s="677" t="s">
        <v>31</v>
      </c>
      <c r="E1088" s="738">
        <f t="shared" si="32"/>
        <v>9.5299999999999994</v>
      </c>
      <c r="F1088">
        <f t="shared" si="33"/>
        <v>93398</v>
      </c>
      <c r="H1088" s="1405">
        <v>9.5299999999999994</v>
      </c>
      <c r="I1088" s="1405">
        <v>9.5299999999999994</v>
      </c>
    </row>
    <row r="1089" spans="2:9" ht="30">
      <c r="B1089" s="1477">
        <v>93399</v>
      </c>
      <c r="C1089" s="740" t="s">
        <v>1197</v>
      </c>
      <c r="D1089" s="739" t="s">
        <v>31</v>
      </c>
      <c r="E1089" s="741">
        <f t="shared" si="32"/>
        <v>3.85</v>
      </c>
      <c r="F1089">
        <f t="shared" si="33"/>
        <v>93399</v>
      </c>
      <c r="H1089" s="1406">
        <v>3.85</v>
      </c>
      <c r="I1089" s="1406">
        <v>3.85</v>
      </c>
    </row>
    <row r="1090" spans="2:9" ht="30">
      <c r="B1090" s="677">
        <v>93400</v>
      </c>
      <c r="C1090" s="733" t="s">
        <v>1198</v>
      </c>
      <c r="D1090" s="677" t="s">
        <v>31</v>
      </c>
      <c r="E1090" s="738">
        <f t="shared" si="32"/>
        <v>43.84</v>
      </c>
      <c r="F1090">
        <f t="shared" si="33"/>
        <v>93400</v>
      </c>
      <c r="H1090" s="1405">
        <v>43.84</v>
      </c>
      <c r="I1090" s="1405">
        <v>43.84</v>
      </c>
    </row>
    <row r="1091" spans="2:9" ht="30">
      <c r="B1091" s="1477">
        <v>93401</v>
      </c>
      <c r="C1091" s="740" t="s">
        <v>1199</v>
      </c>
      <c r="D1091" s="739" t="s">
        <v>31</v>
      </c>
      <c r="E1091" s="741">
        <f t="shared" ref="E1091:E1154" si="34">IF($K$2=$H$1,H1091,I1091)</f>
        <v>155.66999999999999</v>
      </c>
      <c r="F1091">
        <f t="shared" ref="F1091:F1154" si="35">IF(LEN($B1091)=7,CONCATENATE(MID($B1091,1,6),"00",RIGHT($B1091,1)),IF(LEN($B1091)=8,CONCATENATE(MID($B1091,1,6),"0",RIGHT($B1091,2)),$B1091))</f>
        <v>93401</v>
      </c>
      <c r="H1091" s="1406">
        <v>155.66999999999999</v>
      </c>
      <c r="I1091" s="1406">
        <v>155.66999999999999</v>
      </c>
    </row>
    <row r="1092" spans="2:9" ht="30">
      <c r="B1092" s="677">
        <v>93404</v>
      </c>
      <c r="C1092" s="733" t="s">
        <v>7993</v>
      </c>
      <c r="D1092" s="677" t="s">
        <v>31</v>
      </c>
      <c r="E1092" s="738">
        <f t="shared" si="34"/>
        <v>7.15</v>
      </c>
      <c r="F1092">
        <f t="shared" si="35"/>
        <v>93404</v>
      </c>
      <c r="H1092" s="1405">
        <v>7.15</v>
      </c>
      <c r="I1092" s="1405">
        <v>7.15</v>
      </c>
    </row>
    <row r="1093" spans="2:9" ht="30">
      <c r="B1093" s="1477">
        <v>93405</v>
      </c>
      <c r="C1093" s="740" t="s">
        <v>7994</v>
      </c>
      <c r="D1093" s="739" t="s">
        <v>31</v>
      </c>
      <c r="E1093" s="741">
        <f t="shared" si="34"/>
        <v>1.94</v>
      </c>
      <c r="F1093">
        <f t="shared" si="35"/>
        <v>93405</v>
      </c>
      <c r="H1093" s="1406">
        <v>1.94</v>
      </c>
      <c r="I1093" s="1406">
        <v>1.94</v>
      </c>
    </row>
    <row r="1094" spans="2:9" ht="30">
      <c r="B1094" s="677">
        <v>93406</v>
      </c>
      <c r="C1094" s="733" t="s">
        <v>7995</v>
      </c>
      <c r="D1094" s="677" t="s">
        <v>31</v>
      </c>
      <c r="E1094" s="738">
        <f t="shared" si="34"/>
        <v>9.4700000000000006</v>
      </c>
      <c r="F1094">
        <f t="shared" si="35"/>
        <v>93406</v>
      </c>
      <c r="H1094" s="1405">
        <v>9.4700000000000006</v>
      </c>
      <c r="I1094" s="1405">
        <v>9.4700000000000006</v>
      </c>
    </row>
    <row r="1095" spans="2:9" ht="45">
      <c r="B1095" s="1477">
        <v>93407</v>
      </c>
      <c r="C1095" s="740" t="s">
        <v>7996</v>
      </c>
      <c r="D1095" s="739" t="s">
        <v>31</v>
      </c>
      <c r="E1095" s="741">
        <f t="shared" si="34"/>
        <v>46.42</v>
      </c>
      <c r="F1095">
        <f t="shared" si="35"/>
        <v>93407</v>
      </c>
      <c r="H1095" s="1406">
        <v>46.42</v>
      </c>
      <c r="I1095" s="1406">
        <v>46.42</v>
      </c>
    </row>
    <row r="1096" spans="2:9" ht="30">
      <c r="B1096" s="677">
        <v>93411</v>
      </c>
      <c r="C1096" s="733" t="s">
        <v>1200</v>
      </c>
      <c r="D1096" s="677" t="s">
        <v>31</v>
      </c>
      <c r="E1096" s="738">
        <f t="shared" si="34"/>
        <v>0.34</v>
      </c>
      <c r="F1096">
        <f t="shared" si="35"/>
        <v>93411</v>
      </c>
      <c r="H1096" s="1405">
        <v>0.34</v>
      </c>
      <c r="I1096" s="1405">
        <v>0.34</v>
      </c>
    </row>
    <row r="1097" spans="2:9">
      <c r="B1097" s="1477">
        <v>93412</v>
      </c>
      <c r="C1097" s="740" t="s">
        <v>1201</v>
      </c>
      <c r="D1097" s="739" t="s">
        <v>31</v>
      </c>
      <c r="E1097" s="741">
        <f t="shared" si="34"/>
        <v>0.12</v>
      </c>
      <c r="F1097">
        <f t="shared" si="35"/>
        <v>93412</v>
      </c>
      <c r="H1097" s="1406">
        <v>0.12</v>
      </c>
      <c r="I1097" s="1406">
        <v>0.12</v>
      </c>
    </row>
    <row r="1098" spans="2:9" ht="30">
      <c r="B1098" s="677">
        <v>93413</v>
      </c>
      <c r="C1098" s="733" t="s">
        <v>1202</v>
      </c>
      <c r="D1098" s="677" t="s">
        <v>31</v>
      </c>
      <c r="E1098" s="738">
        <f t="shared" si="34"/>
        <v>0.3</v>
      </c>
      <c r="F1098">
        <f t="shared" si="35"/>
        <v>93413</v>
      </c>
      <c r="H1098" s="1405">
        <v>0.3</v>
      </c>
      <c r="I1098" s="1405">
        <v>0.3</v>
      </c>
    </row>
    <row r="1099" spans="2:9" ht="30">
      <c r="B1099" s="1477">
        <v>93414</v>
      </c>
      <c r="C1099" s="740" t="s">
        <v>1203</v>
      </c>
      <c r="D1099" s="739" t="s">
        <v>31</v>
      </c>
      <c r="E1099" s="741">
        <f t="shared" si="34"/>
        <v>13.86</v>
      </c>
      <c r="F1099">
        <f t="shared" si="35"/>
        <v>93414</v>
      </c>
      <c r="H1099" s="1406">
        <v>13.86</v>
      </c>
      <c r="I1099" s="1406">
        <v>13.86</v>
      </c>
    </row>
    <row r="1100" spans="2:9">
      <c r="B1100" s="677">
        <v>93417</v>
      </c>
      <c r="C1100" s="733" t="s">
        <v>1204</v>
      </c>
      <c r="D1100" s="677" t="s">
        <v>31</v>
      </c>
      <c r="E1100" s="738">
        <f t="shared" si="34"/>
        <v>4.49</v>
      </c>
      <c r="F1100">
        <f t="shared" si="35"/>
        <v>93417</v>
      </c>
      <c r="H1100" s="1405">
        <v>4.49</v>
      </c>
      <c r="I1100" s="1405">
        <v>4.49</v>
      </c>
    </row>
    <row r="1101" spans="2:9">
      <c r="B1101" s="1477">
        <v>93418</v>
      </c>
      <c r="C1101" s="740" t="s">
        <v>1205</v>
      </c>
      <c r="D1101" s="739" t="s">
        <v>31</v>
      </c>
      <c r="E1101" s="741">
        <f t="shared" si="34"/>
        <v>1.58</v>
      </c>
      <c r="F1101">
        <f t="shared" si="35"/>
        <v>93418</v>
      </c>
      <c r="H1101" s="1406">
        <v>1.58</v>
      </c>
      <c r="I1101" s="1406">
        <v>1.58</v>
      </c>
    </row>
    <row r="1102" spans="2:9">
      <c r="B1102" s="677">
        <v>93419</v>
      </c>
      <c r="C1102" s="733" t="s">
        <v>376</v>
      </c>
      <c r="D1102" s="677" t="s">
        <v>31</v>
      </c>
      <c r="E1102" s="738">
        <f t="shared" si="34"/>
        <v>4.01</v>
      </c>
      <c r="F1102">
        <f t="shared" si="35"/>
        <v>93419</v>
      </c>
      <c r="H1102" s="1405">
        <v>4.01</v>
      </c>
      <c r="I1102" s="1405">
        <v>4.01</v>
      </c>
    </row>
    <row r="1103" spans="2:9">
      <c r="B1103" s="1477">
        <v>93420</v>
      </c>
      <c r="C1103" s="740" t="s">
        <v>1206</v>
      </c>
      <c r="D1103" s="739" t="s">
        <v>31</v>
      </c>
      <c r="E1103" s="741">
        <f t="shared" si="34"/>
        <v>66.02</v>
      </c>
      <c r="F1103">
        <f t="shared" si="35"/>
        <v>93420</v>
      </c>
      <c r="H1103" s="1406">
        <v>66.02</v>
      </c>
      <c r="I1103" s="1406">
        <v>66.02</v>
      </c>
    </row>
    <row r="1104" spans="2:9">
      <c r="B1104" s="677">
        <v>93423</v>
      </c>
      <c r="C1104" s="733" t="s">
        <v>1207</v>
      </c>
      <c r="D1104" s="677" t="s">
        <v>31</v>
      </c>
      <c r="E1104" s="738">
        <f t="shared" si="34"/>
        <v>6.36</v>
      </c>
      <c r="F1104">
        <f t="shared" si="35"/>
        <v>93423</v>
      </c>
      <c r="H1104" s="1405">
        <v>6.36</v>
      </c>
      <c r="I1104" s="1405">
        <v>6.36</v>
      </c>
    </row>
    <row r="1105" spans="2:9">
      <c r="B1105" s="1477">
        <v>93424</v>
      </c>
      <c r="C1105" s="740" t="s">
        <v>1208</v>
      </c>
      <c r="D1105" s="739" t="s">
        <v>31</v>
      </c>
      <c r="E1105" s="741">
        <f t="shared" si="34"/>
        <v>2.2400000000000002</v>
      </c>
      <c r="F1105">
        <f t="shared" si="35"/>
        <v>93424</v>
      </c>
      <c r="H1105" s="1406">
        <v>2.2400000000000002</v>
      </c>
      <c r="I1105" s="1406">
        <v>2.2400000000000002</v>
      </c>
    </row>
    <row r="1106" spans="2:9">
      <c r="B1106" s="677">
        <v>93425</v>
      </c>
      <c r="C1106" s="733" t="s">
        <v>1209</v>
      </c>
      <c r="D1106" s="677" t="s">
        <v>31</v>
      </c>
      <c r="E1106" s="738">
        <f t="shared" si="34"/>
        <v>5.68</v>
      </c>
      <c r="F1106">
        <f t="shared" si="35"/>
        <v>93425</v>
      </c>
      <c r="H1106" s="1405">
        <v>5.68</v>
      </c>
      <c r="I1106" s="1405">
        <v>5.68</v>
      </c>
    </row>
    <row r="1107" spans="2:9">
      <c r="B1107" s="1477">
        <v>93426</v>
      </c>
      <c r="C1107" s="740" t="s">
        <v>1210</v>
      </c>
      <c r="D1107" s="739" t="s">
        <v>31</v>
      </c>
      <c r="E1107" s="741">
        <f t="shared" si="34"/>
        <v>157.79</v>
      </c>
      <c r="F1107">
        <f t="shared" si="35"/>
        <v>93426</v>
      </c>
      <c r="H1107" s="1406">
        <v>157.79</v>
      </c>
      <c r="I1107" s="1406">
        <v>157.79</v>
      </c>
    </row>
    <row r="1108" spans="2:9">
      <c r="B1108" s="677">
        <v>93429</v>
      </c>
      <c r="C1108" s="733" t="s">
        <v>7997</v>
      </c>
      <c r="D1108" s="677" t="s">
        <v>31</v>
      </c>
      <c r="E1108" s="738">
        <f t="shared" si="34"/>
        <v>148.09</v>
      </c>
      <c r="F1108">
        <f t="shared" si="35"/>
        <v>93429</v>
      </c>
      <c r="H1108" s="1405">
        <v>148.09</v>
      </c>
      <c r="I1108" s="1405">
        <v>148.09</v>
      </c>
    </row>
    <row r="1109" spans="2:9">
      <c r="B1109" s="1477">
        <v>93430</v>
      </c>
      <c r="C1109" s="740" t="s">
        <v>7998</v>
      </c>
      <c r="D1109" s="739" t="s">
        <v>31</v>
      </c>
      <c r="E1109" s="741">
        <f t="shared" si="34"/>
        <v>46.79</v>
      </c>
      <c r="F1109">
        <f t="shared" si="35"/>
        <v>93430</v>
      </c>
      <c r="H1109" s="1406">
        <v>46.79</v>
      </c>
      <c r="I1109" s="1406">
        <v>46.79</v>
      </c>
    </row>
    <row r="1110" spans="2:9">
      <c r="B1110" s="677">
        <v>93431</v>
      </c>
      <c r="C1110" s="733" t="s">
        <v>7999</v>
      </c>
      <c r="D1110" s="677" t="s">
        <v>31</v>
      </c>
      <c r="E1110" s="738">
        <f t="shared" si="34"/>
        <v>177.71</v>
      </c>
      <c r="F1110">
        <f t="shared" si="35"/>
        <v>93431</v>
      </c>
      <c r="H1110" s="1405">
        <v>177.71</v>
      </c>
      <c r="I1110" s="1405">
        <v>177.71</v>
      </c>
    </row>
    <row r="1111" spans="2:9">
      <c r="B1111" s="1477">
        <v>93432</v>
      </c>
      <c r="C1111" s="740" t="s">
        <v>8000</v>
      </c>
      <c r="D1111" s="739" t="s">
        <v>31</v>
      </c>
      <c r="E1111" s="741">
        <f t="shared" si="34"/>
        <v>2120.4</v>
      </c>
      <c r="F1111">
        <f t="shared" si="35"/>
        <v>93432</v>
      </c>
      <c r="H1111" s="1406">
        <v>2120.4</v>
      </c>
      <c r="I1111" s="1406">
        <v>2120.4</v>
      </c>
    </row>
    <row r="1112" spans="2:9">
      <c r="B1112" s="677">
        <v>93435</v>
      </c>
      <c r="C1112" s="733" t="s">
        <v>8001</v>
      </c>
      <c r="D1112" s="677" t="s">
        <v>31</v>
      </c>
      <c r="E1112" s="738">
        <f t="shared" si="34"/>
        <v>9.35</v>
      </c>
      <c r="F1112">
        <f t="shared" si="35"/>
        <v>93435</v>
      </c>
      <c r="H1112" s="1405">
        <v>9.35</v>
      </c>
      <c r="I1112" s="1405">
        <v>9.35</v>
      </c>
    </row>
    <row r="1113" spans="2:9">
      <c r="B1113" s="1477">
        <v>93436</v>
      </c>
      <c r="C1113" s="740" t="s">
        <v>8002</v>
      </c>
      <c r="D1113" s="739" t="s">
        <v>31</v>
      </c>
      <c r="E1113" s="741">
        <f t="shared" si="34"/>
        <v>2.63</v>
      </c>
      <c r="F1113">
        <f t="shared" si="35"/>
        <v>93436</v>
      </c>
      <c r="H1113" s="1406">
        <v>2.63</v>
      </c>
      <c r="I1113" s="1406">
        <v>2.63</v>
      </c>
    </row>
    <row r="1114" spans="2:9">
      <c r="B1114" s="677">
        <v>93437</v>
      </c>
      <c r="C1114" s="733" t="s">
        <v>8003</v>
      </c>
      <c r="D1114" s="677" t="s">
        <v>31</v>
      </c>
      <c r="E1114" s="738">
        <f t="shared" si="34"/>
        <v>9.35</v>
      </c>
      <c r="F1114">
        <f t="shared" si="35"/>
        <v>93437</v>
      </c>
      <c r="H1114" s="1405">
        <v>9.35</v>
      </c>
      <c r="I1114" s="1405">
        <v>9.35</v>
      </c>
    </row>
    <row r="1115" spans="2:9">
      <c r="B1115" s="1477">
        <v>93438</v>
      </c>
      <c r="C1115" s="740" t="s">
        <v>8004</v>
      </c>
      <c r="D1115" s="739" t="s">
        <v>31</v>
      </c>
      <c r="E1115" s="741">
        <f t="shared" si="34"/>
        <v>110.55</v>
      </c>
      <c r="F1115">
        <f t="shared" si="35"/>
        <v>93438</v>
      </c>
      <c r="H1115" s="1406">
        <v>110.55</v>
      </c>
      <c r="I1115" s="1406">
        <v>110.55</v>
      </c>
    </row>
    <row r="1116" spans="2:9">
      <c r="B1116" s="677">
        <v>95114</v>
      </c>
      <c r="C1116" s="733" t="s">
        <v>1211</v>
      </c>
      <c r="D1116" s="677" t="s">
        <v>31</v>
      </c>
      <c r="E1116" s="738">
        <f t="shared" si="34"/>
        <v>1.62</v>
      </c>
      <c r="F1116">
        <f t="shared" si="35"/>
        <v>95114</v>
      </c>
      <c r="H1116" s="1405">
        <v>1.62</v>
      </c>
      <c r="I1116" s="1405">
        <v>1.62</v>
      </c>
    </row>
    <row r="1117" spans="2:9">
      <c r="B1117" s="1477">
        <v>95115</v>
      </c>
      <c r="C1117" s="740" t="s">
        <v>1212</v>
      </c>
      <c r="D1117" s="739" t="s">
        <v>31</v>
      </c>
      <c r="E1117" s="741">
        <f t="shared" si="34"/>
        <v>0.37</v>
      </c>
      <c r="F1117">
        <f t="shared" si="35"/>
        <v>95115</v>
      </c>
      <c r="H1117" s="1406">
        <v>0.37</v>
      </c>
      <c r="I1117" s="1406">
        <v>0.37</v>
      </c>
    </row>
    <row r="1118" spans="2:9">
      <c r="B1118" s="677">
        <v>95116</v>
      </c>
      <c r="C1118" s="733" t="s">
        <v>422</v>
      </c>
      <c r="D1118" s="677" t="s">
        <v>31</v>
      </c>
      <c r="E1118" s="738">
        <f t="shared" si="34"/>
        <v>32.549999999999997</v>
      </c>
      <c r="F1118">
        <f t="shared" si="35"/>
        <v>95116</v>
      </c>
      <c r="H1118" s="1405">
        <v>32.549999999999997</v>
      </c>
      <c r="I1118" s="1405">
        <v>32.549999999999997</v>
      </c>
    </row>
    <row r="1119" spans="2:9">
      <c r="B1119" s="1477">
        <v>95117</v>
      </c>
      <c r="C1119" s="740" t="s">
        <v>423</v>
      </c>
      <c r="D1119" s="739" t="s">
        <v>31</v>
      </c>
      <c r="E1119" s="741">
        <f t="shared" si="34"/>
        <v>10.039999999999999</v>
      </c>
      <c r="F1119">
        <f t="shared" si="35"/>
        <v>95117</v>
      </c>
      <c r="H1119" s="1406">
        <v>10.039999999999999</v>
      </c>
      <c r="I1119" s="1406">
        <v>10.039999999999999</v>
      </c>
    </row>
    <row r="1120" spans="2:9">
      <c r="B1120" s="677">
        <v>95118</v>
      </c>
      <c r="C1120" s="733" t="s">
        <v>1213</v>
      </c>
      <c r="D1120" s="677" t="s">
        <v>31</v>
      </c>
      <c r="E1120" s="738">
        <f t="shared" si="34"/>
        <v>69.819999999999993</v>
      </c>
      <c r="F1120">
        <f t="shared" si="35"/>
        <v>95118</v>
      </c>
      <c r="H1120" s="1405">
        <v>69.819999999999993</v>
      </c>
      <c r="I1120" s="1405">
        <v>69.819999999999993</v>
      </c>
    </row>
    <row r="1121" spans="2:9">
      <c r="B1121" s="1477">
        <v>95119</v>
      </c>
      <c r="C1121" s="740" t="s">
        <v>1214</v>
      </c>
      <c r="D1121" s="739" t="s">
        <v>31</v>
      </c>
      <c r="E1121" s="741">
        <f t="shared" si="34"/>
        <v>21.54</v>
      </c>
      <c r="F1121">
        <f t="shared" si="35"/>
        <v>95119</v>
      </c>
      <c r="H1121" s="1406">
        <v>21.54</v>
      </c>
      <c r="I1121" s="1406">
        <v>21.54</v>
      </c>
    </row>
    <row r="1122" spans="2:9">
      <c r="B1122" s="677">
        <v>95120</v>
      </c>
      <c r="C1122" s="733" t="s">
        <v>1215</v>
      </c>
      <c r="D1122" s="677" t="s">
        <v>31</v>
      </c>
      <c r="E1122" s="738">
        <f t="shared" si="34"/>
        <v>68.209999999999994</v>
      </c>
      <c r="F1122">
        <f t="shared" si="35"/>
        <v>95120</v>
      </c>
      <c r="H1122" s="1405">
        <v>68.209999999999994</v>
      </c>
      <c r="I1122" s="1405">
        <v>68.209999999999994</v>
      </c>
    </row>
    <row r="1123" spans="2:9">
      <c r="B1123" s="1477">
        <v>95123</v>
      </c>
      <c r="C1123" s="740" t="s">
        <v>424</v>
      </c>
      <c r="D1123" s="739" t="s">
        <v>31</v>
      </c>
      <c r="E1123" s="741">
        <f t="shared" si="34"/>
        <v>17.87</v>
      </c>
      <c r="F1123">
        <f t="shared" si="35"/>
        <v>95123</v>
      </c>
      <c r="H1123" s="1406">
        <v>17.87</v>
      </c>
      <c r="I1123" s="1406">
        <v>17.87</v>
      </c>
    </row>
    <row r="1124" spans="2:9">
      <c r="B1124" s="677">
        <v>95124</v>
      </c>
      <c r="C1124" s="733" t="s">
        <v>425</v>
      </c>
      <c r="D1124" s="677" t="s">
        <v>31</v>
      </c>
      <c r="E1124" s="738">
        <f t="shared" si="34"/>
        <v>5.51</v>
      </c>
      <c r="F1124">
        <f t="shared" si="35"/>
        <v>95124</v>
      </c>
      <c r="H1124" s="1405">
        <v>5.51</v>
      </c>
      <c r="I1124" s="1405">
        <v>5.51</v>
      </c>
    </row>
    <row r="1125" spans="2:9">
      <c r="B1125" s="1477">
        <v>95125</v>
      </c>
      <c r="C1125" s="740" t="s">
        <v>426</v>
      </c>
      <c r="D1125" s="739" t="s">
        <v>31</v>
      </c>
      <c r="E1125" s="741">
        <f t="shared" si="34"/>
        <v>19.559999999999999</v>
      </c>
      <c r="F1125">
        <f t="shared" si="35"/>
        <v>95125</v>
      </c>
      <c r="H1125" s="1406">
        <v>19.559999999999999</v>
      </c>
      <c r="I1125" s="1406">
        <v>19.559999999999999</v>
      </c>
    </row>
    <row r="1126" spans="2:9">
      <c r="B1126" s="677">
        <v>95126</v>
      </c>
      <c r="C1126" s="733" t="s">
        <v>1216</v>
      </c>
      <c r="D1126" s="677" t="s">
        <v>31</v>
      </c>
      <c r="E1126" s="738">
        <f t="shared" si="34"/>
        <v>144.94999999999999</v>
      </c>
      <c r="F1126">
        <f t="shared" si="35"/>
        <v>95126</v>
      </c>
      <c r="H1126" s="1405">
        <v>144.94999999999999</v>
      </c>
      <c r="I1126" s="1405">
        <v>144.94999999999999</v>
      </c>
    </row>
    <row r="1127" spans="2:9">
      <c r="B1127" s="1477">
        <v>95129</v>
      </c>
      <c r="C1127" s="740" t="s">
        <v>1217</v>
      </c>
      <c r="D1127" s="739" t="s">
        <v>31</v>
      </c>
      <c r="E1127" s="741">
        <f t="shared" si="34"/>
        <v>47.9</v>
      </c>
      <c r="F1127">
        <f t="shared" si="35"/>
        <v>95129</v>
      </c>
      <c r="H1127" s="1406">
        <v>47.9</v>
      </c>
      <c r="I1127" s="1406">
        <v>47.9</v>
      </c>
    </row>
    <row r="1128" spans="2:9">
      <c r="B1128" s="677">
        <v>95130</v>
      </c>
      <c r="C1128" s="733" t="s">
        <v>1218</v>
      </c>
      <c r="D1128" s="677" t="s">
        <v>31</v>
      </c>
      <c r="E1128" s="738">
        <f t="shared" si="34"/>
        <v>17.36</v>
      </c>
      <c r="F1128">
        <f t="shared" si="35"/>
        <v>95130</v>
      </c>
      <c r="H1128" s="1405">
        <v>17.36</v>
      </c>
      <c r="I1128" s="1405">
        <v>17.36</v>
      </c>
    </row>
    <row r="1129" spans="2:9">
      <c r="B1129" s="1477">
        <v>95131</v>
      </c>
      <c r="C1129" s="740" t="s">
        <v>1219</v>
      </c>
      <c r="D1129" s="739" t="s">
        <v>31</v>
      </c>
      <c r="E1129" s="741">
        <f t="shared" si="34"/>
        <v>56.38</v>
      </c>
      <c r="F1129">
        <f t="shared" si="35"/>
        <v>95131</v>
      </c>
      <c r="H1129" s="1406">
        <v>56.38</v>
      </c>
      <c r="I1129" s="1406">
        <v>56.38</v>
      </c>
    </row>
    <row r="1130" spans="2:9" ht="30">
      <c r="B1130" s="677">
        <v>95132</v>
      </c>
      <c r="C1130" s="733" t="s">
        <v>1220</v>
      </c>
      <c r="D1130" s="677" t="s">
        <v>31</v>
      </c>
      <c r="E1130" s="738">
        <f t="shared" si="34"/>
        <v>31.74</v>
      </c>
      <c r="F1130">
        <f t="shared" si="35"/>
        <v>95132</v>
      </c>
      <c r="H1130" s="1405">
        <v>31.74</v>
      </c>
      <c r="I1130" s="1405">
        <v>31.74</v>
      </c>
    </row>
    <row r="1131" spans="2:9">
      <c r="B1131" s="1477">
        <v>95136</v>
      </c>
      <c r="C1131" s="740" t="s">
        <v>1221</v>
      </c>
      <c r="D1131" s="739" t="s">
        <v>31</v>
      </c>
      <c r="E1131" s="741">
        <f t="shared" si="34"/>
        <v>0.03</v>
      </c>
      <c r="F1131">
        <f t="shared" si="35"/>
        <v>95136</v>
      </c>
      <c r="H1131" s="1406">
        <v>0.03</v>
      </c>
      <c r="I1131" s="1406">
        <v>0.03</v>
      </c>
    </row>
    <row r="1132" spans="2:9">
      <c r="B1132" s="677">
        <v>95137</v>
      </c>
      <c r="C1132" s="733" t="s">
        <v>1222</v>
      </c>
      <c r="D1132" s="677" t="s">
        <v>31</v>
      </c>
      <c r="E1132" s="738">
        <f t="shared" si="34"/>
        <v>0.01</v>
      </c>
      <c r="F1132">
        <f t="shared" si="35"/>
        <v>95137</v>
      </c>
      <c r="H1132" s="1405">
        <v>0.01</v>
      </c>
      <c r="I1132" s="1405">
        <v>0.01</v>
      </c>
    </row>
    <row r="1133" spans="2:9">
      <c r="B1133" s="1477">
        <v>95138</v>
      </c>
      <c r="C1133" s="740" t="s">
        <v>1223</v>
      </c>
      <c r="D1133" s="739" t="s">
        <v>31</v>
      </c>
      <c r="E1133" s="741">
        <f t="shared" si="34"/>
        <v>0.02</v>
      </c>
      <c r="F1133">
        <f t="shared" si="35"/>
        <v>95138</v>
      </c>
      <c r="H1133" s="1406">
        <v>0.02</v>
      </c>
      <c r="I1133" s="1406">
        <v>0.02</v>
      </c>
    </row>
    <row r="1134" spans="2:9">
      <c r="B1134" s="677">
        <v>95208</v>
      </c>
      <c r="C1134" s="733" t="s">
        <v>8005</v>
      </c>
      <c r="D1134" s="677" t="s">
        <v>31</v>
      </c>
      <c r="E1134" s="738">
        <f t="shared" si="34"/>
        <v>32.6</v>
      </c>
      <c r="F1134">
        <f t="shared" si="35"/>
        <v>95208</v>
      </c>
      <c r="H1134" s="1405">
        <v>32.6</v>
      </c>
      <c r="I1134" s="1405">
        <v>32.6</v>
      </c>
    </row>
    <row r="1135" spans="2:9">
      <c r="B1135" s="1477">
        <v>95209</v>
      </c>
      <c r="C1135" s="740" t="s">
        <v>8006</v>
      </c>
      <c r="D1135" s="739" t="s">
        <v>31</v>
      </c>
      <c r="E1135" s="741">
        <f t="shared" si="34"/>
        <v>12.06</v>
      </c>
      <c r="F1135">
        <f t="shared" si="35"/>
        <v>95209</v>
      </c>
      <c r="H1135" s="1406">
        <v>12.06</v>
      </c>
      <c r="I1135" s="1406">
        <v>12.06</v>
      </c>
    </row>
    <row r="1136" spans="2:9">
      <c r="B1136" s="677">
        <v>95210</v>
      </c>
      <c r="C1136" s="733" t="s">
        <v>8007</v>
      </c>
      <c r="D1136" s="677" t="s">
        <v>31</v>
      </c>
      <c r="E1136" s="738">
        <f t="shared" si="34"/>
        <v>32.6</v>
      </c>
      <c r="F1136">
        <f t="shared" si="35"/>
        <v>95210</v>
      </c>
      <c r="H1136" s="1405">
        <v>32.6</v>
      </c>
      <c r="I1136" s="1405">
        <v>32.6</v>
      </c>
    </row>
    <row r="1137" spans="2:9">
      <c r="B1137" s="1477">
        <v>95211</v>
      </c>
      <c r="C1137" s="740" t="s">
        <v>8008</v>
      </c>
      <c r="D1137" s="739" t="s">
        <v>31</v>
      </c>
      <c r="E1137" s="741">
        <f t="shared" si="34"/>
        <v>10</v>
      </c>
      <c r="F1137">
        <f t="shared" si="35"/>
        <v>95211</v>
      </c>
      <c r="H1137" s="1406">
        <v>10</v>
      </c>
      <c r="I1137" s="1406">
        <v>10</v>
      </c>
    </row>
    <row r="1138" spans="2:9">
      <c r="B1138" s="677">
        <v>95217</v>
      </c>
      <c r="C1138" s="733" t="s">
        <v>8009</v>
      </c>
      <c r="D1138" s="677" t="s">
        <v>31</v>
      </c>
      <c r="E1138" s="738">
        <f t="shared" si="34"/>
        <v>0.81</v>
      </c>
      <c r="F1138">
        <f t="shared" si="35"/>
        <v>95217</v>
      </c>
      <c r="H1138" s="1405">
        <v>0.81</v>
      </c>
      <c r="I1138" s="1405">
        <v>0.81</v>
      </c>
    </row>
    <row r="1139" spans="2:9">
      <c r="B1139" s="1477">
        <v>95255</v>
      </c>
      <c r="C1139" s="740" t="s">
        <v>505</v>
      </c>
      <c r="D1139" s="739" t="s">
        <v>31</v>
      </c>
      <c r="E1139" s="741">
        <f t="shared" si="34"/>
        <v>1.44</v>
      </c>
      <c r="F1139">
        <f t="shared" si="35"/>
        <v>95255</v>
      </c>
      <c r="H1139" s="1406">
        <v>1.44</v>
      </c>
      <c r="I1139" s="1406">
        <v>1.44</v>
      </c>
    </row>
    <row r="1140" spans="2:9">
      <c r="B1140" s="677">
        <v>95256</v>
      </c>
      <c r="C1140" s="733" t="s">
        <v>506</v>
      </c>
      <c r="D1140" s="677" t="s">
        <v>31</v>
      </c>
      <c r="E1140" s="738">
        <f t="shared" si="34"/>
        <v>0.33</v>
      </c>
      <c r="F1140">
        <f t="shared" si="35"/>
        <v>95256</v>
      </c>
      <c r="H1140" s="1405">
        <v>0.33</v>
      </c>
      <c r="I1140" s="1405">
        <v>0.33</v>
      </c>
    </row>
    <row r="1141" spans="2:9">
      <c r="B1141" s="1477">
        <v>95257</v>
      </c>
      <c r="C1141" s="740" t="s">
        <v>507</v>
      </c>
      <c r="D1141" s="739" t="s">
        <v>31</v>
      </c>
      <c r="E1141" s="741">
        <f t="shared" si="34"/>
        <v>1.8</v>
      </c>
      <c r="F1141">
        <f t="shared" si="35"/>
        <v>95257</v>
      </c>
      <c r="H1141" s="1406">
        <v>1.8</v>
      </c>
      <c r="I1141" s="1406">
        <v>1.8</v>
      </c>
    </row>
    <row r="1142" spans="2:9">
      <c r="B1142" s="677">
        <v>95260</v>
      </c>
      <c r="C1142" s="733" t="s">
        <v>1224</v>
      </c>
      <c r="D1142" s="677" t="s">
        <v>31</v>
      </c>
      <c r="E1142" s="738">
        <f t="shared" si="34"/>
        <v>0.61</v>
      </c>
      <c r="F1142">
        <f t="shared" si="35"/>
        <v>95260</v>
      </c>
      <c r="H1142" s="1405">
        <v>0.61</v>
      </c>
      <c r="I1142" s="1405">
        <v>0.61</v>
      </c>
    </row>
    <row r="1143" spans="2:9">
      <c r="B1143" s="1477">
        <v>95261</v>
      </c>
      <c r="C1143" s="740" t="s">
        <v>1225</v>
      </c>
      <c r="D1143" s="739" t="s">
        <v>31</v>
      </c>
      <c r="E1143" s="741">
        <f t="shared" si="34"/>
        <v>0.16</v>
      </c>
      <c r="F1143">
        <f t="shared" si="35"/>
        <v>95261</v>
      </c>
      <c r="H1143" s="1406">
        <v>0.16</v>
      </c>
      <c r="I1143" s="1406">
        <v>0.16</v>
      </c>
    </row>
    <row r="1144" spans="2:9">
      <c r="B1144" s="677">
        <v>95262</v>
      </c>
      <c r="C1144" s="733" t="s">
        <v>1226</v>
      </c>
      <c r="D1144" s="677" t="s">
        <v>31</v>
      </c>
      <c r="E1144" s="738">
        <f t="shared" si="34"/>
        <v>0.76</v>
      </c>
      <c r="F1144">
        <f t="shared" si="35"/>
        <v>95262</v>
      </c>
      <c r="H1144" s="1405">
        <v>0.76</v>
      </c>
      <c r="I1144" s="1405">
        <v>0.76</v>
      </c>
    </row>
    <row r="1145" spans="2:9" ht="30">
      <c r="B1145" s="1477">
        <v>95263</v>
      </c>
      <c r="C1145" s="740" t="s">
        <v>1227</v>
      </c>
      <c r="D1145" s="739" t="s">
        <v>31</v>
      </c>
      <c r="E1145" s="741">
        <f t="shared" si="34"/>
        <v>4.34</v>
      </c>
      <c r="F1145">
        <f t="shared" si="35"/>
        <v>95263</v>
      </c>
      <c r="H1145" s="1406">
        <v>4.34</v>
      </c>
      <c r="I1145" s="1406">
        <v>4.34</v>
      </c>
    </row>
    <row r="1146" spans="2:9" ht="30">
      <c r="B1146" s="677">
        <v>95266</v>
      </c>
      <c r="C1146" s="733" t="s">
        <v>1228</v>
      </c>
      <c r="D1146" s="677" t="s">
        <v>31</v>
      </c>
      <c r="E1146" s="738">
        <f t="shared" si="34"/>
        <v>0.44</v>
      </c>
      <c r="F1146">
        <f t="shared" si="35"/>
        <v>95266</v>
      </c>
      <c r="H1146" s="1405">
        <v>0.44</v>
      </c>
      <c r="I1146" s="1405">
        <v>0.44</v>
      </c>
    </row>
    <row r="1147" spans="2:9" ht="30">
      <c r="B1147" s="1477">
        <v>95267</v>
      </c>
      <c r="C1147" s="740" t="s">
        <v>1229</v>
      </c>
      <c r="D1147" s="739" t="s">
        <v>31</v>
      </c>
      <c r="E1147" s="741">
        <f t="shared" si="34"/>
        <v>0.09</v>
      </c>
      <c r="F1147">
        <f t="shared" si="35"/>
        <v>95267</v>
      </c>
      <c r="H1147" s="1406">
        <v>0.09</v>
      </c>
      <c r="I1147" s="1406">
        <v>0.09</v>
      </c>
    </row>
    <row r="1148" spans="2:9" ht="30">
      <c r="B1148" s="677">
        <v>95268</v>
      </c>
      <c r="C1148" s="733" t="s">
        <v>1230</v>
      </c>
      <c r="D1148" s="677" t="s">
        <v>31</v>
      </c>
      <c r="E1148" s="738">
        <f t="shared" si="34"/>
        <v>0.43</v>
      </c>
      <c r="F1148">
        <f t="shared" si="35"/>
        <v>95268</v>
      </c>
      <c r="H1148" s="1405">
        <v>0.43</v>
      </c>
      <c r="I1148" s="1405">
        <v>0.43</v>
      </c>
    </row>
    <row r="1149" spans="2:9" ht="30">
      <c r="B1149" s="1477">
        <v>95269</v>
      </c>
      <c r="C1149" s="740" t="s">
        <v>1231</v>
      </c>
      <c r="D1149" s="739" t="s">
        <v>31</v>
      </c>
      <c r="E1149" s="741">
        <f t="shared" si="34"/>
        <v>8.02</v>
      </c>
      <c r="F1149">
        <f t="shared" si="35"/>
        <v>95269</v>
      </c>
      <c r="H1149" s="1406">
        <v>8.02</v>
      </c>
      <c r="I1149" s="1406">
        <v>8.02</v>
      </c>
    </row>
    <row r="1150" spans="2:9">
      <c r="B1150" s="677">
        <v>95272</v>
      </c>
      <c r="C1150" s="733" t="s">
        <v>8010</v>
      </c>
      <c r="D1150" s="677" t="s">
        <v>31</v>
      </c>
      <c r="E1150" s="738">
        <f t="shared" si="34"/>
        <v>0.4</v>
      </c>
      <c r="F1150">
        <f t="shared" si="35"/>
        <v>95272</v>
      </c>
      <c r="H1150" s="1405">
        <v>0.4</v>
      </c>
      <c r="I1150" s="1405">
        <v>0.4</v>
      </c>
    </row>
    <row r="1151" spans="2:9">
      <c r="B1151" s="1477">
        <v>95273</v>
      </c>
      <c r="C1151" s="740" t="s">
        <v>8011</v>
      </c>
      <c r="D1151" s="739" t="s">
        <v>31</v>
      </c>
      <c r="E1151" s="741">
        <f t="shared" si="34"/>
        <v>0.1</v>
      </c>
      <c r="F1151">
        <f t="shared" si="35"/>
        <v>95273</v>
      </c>
      <c r="H1151" s="1406">
        <v>0.1</v>
      </c>
      <c r="I1151" s="1406">
        <v>0.1</v>
      </c>
    </row>
    <row r="1152" spans="2:9">
      <c r="B1152" s="677">
        <v>95274</v>
      </c>
      <c r="C1152" s="733" t="s">
        <v>8012</v>
      </c>
      <c r="D1152" s="677" t="s">
        <v>31</v>
      </c>
      <c r="E1152" s="738">
        <f t="shared" si="34"/>
        <v>0.33</v>
      </c>
      <c r="F1152">
        <f t="shared" si="35"/>
        <v>95274</v>
      </c>
      <c r="H1152" s="1405">
        <v>0.33</v>
      </c>
      <c r="I1152" s="1405">
        <v>0.33</v>
      </c>
    </row>
    <row r="1153" spans="2:9" ht="30">
      <c r="B1153" s="1477">
        <v>95275</v>
      </c>
      <c r="C1153" s="740" t="s">
        <v>8013</v>
      </c>
      <c r="D1153" s="739" t="s">
        <v>31</v>
      </c>
      <c r="E1153" s="741">
        <f t="shared" si="34"/>
        <v>2.71</v>
      </c>
      <c r="F1153">
        <f t="shared" si="35"/>
        <v>95275</v>
      </c>
      <c r="H1153" s="1406">
        <v>2.71</v>
      </c>
      <c r="I1153" s="1406">
        <v>2.71</v>
      </c>
    </row>
    <row r="1154" spans="2:9">
      <c r="B1154" s="677">
        <v>95278</v>
      </c>
      <c r="C1154" s="733" t="s">
        <v>8014</v>
      </c>
      <c r="D1154" s="677" t="s">
        <v>31</v>
      </c>
      <c r="E1154" s="738">
        <f t="shared" si="34"/>
        <v>0.51</v>
      </c>
      <c r="F1154">
        <f t="shared" si="35"/>
        <v>95278</v>
      </c>
      <c r="H1154" s="1405">
        <v>0.51</v>
      </c>
      <c r="I1154" s="1405">
        <v>0.51</v>
      </c>
    </row>
    <row r="1155" spans="2:9">
      <c r="B1155" s="1477">
        <v>95279</v>
      </c>
      <c r="C1155" s="740" t="s">
        <v>8015</v>
      </c>
      <c r="D1155" s="739" t="s">
        <v>31</v>
      </c>
      <c r="E1155" s="741">
        <f t="shared" ref="E1155:E1218" si="36">IF($K$2=$H$1,H1155,I1155)</f>
        <v>0.1</v>
      </c>
      <c r="F1155">
        <f t="shared" ref="F1155:F1218" si="37">IF(LEN($B1155)=7,CONCATENATE(MID($B1155,1,6),"00",RIGHT($B1155,1)),IF(LEN($B1155)=8,CONCATENATE(MID($B1155,1,6),"0",RIGHT($B1155,2)),$B1155))</f>
        <v>95279</v>
      </c>
      <c r="H1155" s="1406">
        <v>0.1</v>
      </c>
      <c r="I1155" s="1406">
        <v>0.1</v>
      </c>
    </row>
    <row r="1156" spans="2:9">
      <c r="B1156" s="677">
        <v>95280</v>
      </c>
      <c r="C1156" s="733" t="s">
        <v>8016</v>
      </c>
      <c r="D1156" s="677" t="s">
        <v>31</v>
      </c>
      <c r="E1156" s="738">
        <f t="shared" si="36"/>
        <v>0.51</v>
      </c>
      <c r="F1156">
        <f t="shared" si="37"/>
        <v>95280</v>
      </c>
      <c r="H1156" s="1405">
        <v>0.51</v>
      </c>
      <c r="I1156" s="1405">
        <v>0.51</v>
      </c>
    </row>
    <row r="1157" spans="2:9" ht="30">
      <c r="B1157" s="1477">
        <v>95281</v>
      </c>
      <c r="C1157" s="740" t="s">
        <v>8017</v>
      </c>
      <c r="D1157" s="739" t="s">
        <v>31</v>
      </c>
      <c r="E1157" s="741">
        <f t="shared" si="36"/>
        <v>7.99</v>
      </c>
      <c r="F1157">
        <f t="shared" si="37"/>
        <v>95281</v>
      </c>
      <c r="H1157" s="1406">
        <v>7.99</v>
      </c>
      <c r="I1157" s="1406">
        <v>7.99</v>
      </c>
    </row>
    <row r="1158" spans="2:9" ht="30">
      <c r="B1158" s="677">
        <v>95617</v>
      </c>
      <c r="C1158" s="733" t="s">
        <v>1232</v>
      </c>
      <c r="D1158" s="677" t="s">
        <v>31</v>
      </c>
      <c r="E1158" s="738">
        <f t="shared" si="36"/>
        <v>1.18</v>
      </c>
      <c r="F1158">
        <f t="shared" si="37"/>
        <v>95617</v>
      </c>
      <c r="H1158" s="1405">
        <v>1.18</v>
      </c>
      <c r="I1158" s="1405">
        <v>1.18</v>
      </c>
    </row>
    <row r="1159" spans="2:9" ht="30">
      <c r="B1159" s="1477">
        <v>95618</v>
      </c>
      <c r="C1159" s="740" t="s">
        <v>1233</v>
      </c>
      <c r="D1159" s="739" t="s">
        <v>31</v>
      </c>
      <c r="E1159" s="741">
        <f t="shared" si="36"/>
        <v>0.27</v>
      </c>
      <c r="F1159">
        <f t="shared" si="37"/>
        <v>95618</v>
      </c>
      <c r="H1159" s="1406">
        <v>0.27</v>
      </c>
      <c r="I1159" s="1406">
        <v>0.27</v>
      </c>
    </row>
    <row r="1160" spans="2:9" ht="30">
      <c r="B1160" s="677">
        <v>95619</v>
      </c>
      <c r="C1160" s="733" t="s">
        <v>1234</v>
      </c>
      <c r="D1160" s="677" t="s">
        <v>31</v>
      </c>
      <c r="E1160" s="738">
        <f t="shared" si="36"/>
        <v>1.48</v>
      </c>
      <c r="F1160">
        <f t="shared" si="37"/>
        <v>95619</v>
      </c>
      <c r="H1160" s="1405">
        <v>1.48</v>
      </c>
      <c r="I1160" s="1405">
        <v>1.48</v>
      </c>
    </row>
    <row r="1161" spans="2:9" ht="30">
      <c r="B1161" s="1477">
        <v>95627</v>
      </c>
      <c r="C1161" s="740" t="s">
        <v>1235</v>
      </c>
      <c r="D1161" s="739" t="s">
        <v>31</v>
      </c>
      <c r="E1161" s="741">
        <f t="shared" si="36"/>
        <v>47.95</v>
      </c>
      <c r="F1161">
        <f t="shared" si="37"/>
        <v>95627</v>
      </c>
      <c r="H1161" s="1406">
        <v>47.95</v>
      </c>
      <c r="I1161" s="1406">
        <v>47.95</v>
      </c>
    </row>
    <row r="1162" spans="2:9" ht="30">
      <c r="B1162" s="677">
        <v>95628</v>
      </c>
      <c r="C1162" s="733" t="s">
        <v>1236</v>
      </c>
      <c r="D1162" s="677" t="s">
        <v>31</v>
      </c>
      <c r="E1162" s="738">
        <f t="shared" si="36"/>
        <v>12.86</v>
      </c>
      <c r="F1162">
        <f t="shared" si="37"/>
        <v>95628</v>
      </c>
      <c r="H1162" s="1405">
        <v>12.86</v>
      </c>
      <c r="I1162" s="1405">
        <v>12.86</v>
      </c>
    </row>
    <row r="1163" spans="2:9" ht="30">
      <c r="B1163" s="1477">
        <v>95629</v>
      </c>
      <c r="C1163" s="740" t="s">
        <v>1237</v>
      </c>
      <c r="D1163" s="739" t="s">
        <v>31</v>
      </c>
      <c r="E1163" s="741">
        <f t="shared" si="36"/>
        <v>60.01</v>
      </c>
      <c r="F1163">
        <f t="shared" si="37"/>
        <v>95629</v>
      </c>
      <c r="H1163" s="1406">
        <v>60.01</v>
      </c>
      <c r="I1163" s="1406">
        <v>60.01</v>
      </c>
    </row>
    <row r="1164" spans="2:9" ht="30">
      <c r="B1164" s="677">
        <v>95630</v>
      </c>
      <c r="C1164" s="733" t="s">
        <v>1238</v>
      </c>
      <c r="D1164" s="677" t="s">
        <v>31</v>
      </c>
      <c r="E1164" s="738">
        <f t="shared" si="36"/>
        <v>87.87</v>
      </c>
      <c r="F1164">
        <f t="shared" si="37"/>
        <v>95630</v>
      </c>
      <c r="H1164" s="1405">
        <v>87.87</v>
      </c>
      <c r="I1164" s="1405">
        <v>87.87</v>
      </c>
    </row>
    <row r="1165" spans="2:9">
      <c r="B1165" s="1477">
        <v>95698</v>
      </c>
      <c r="C1165" s="740" t="s">
        <v>1239</v>
      </c>
      <c r="D1165" s="739" t="s">
        <v>31</v>
      </c>
      <c r="E1165" s="741">
        <f t="shared" si="36"/>
        <v>4.79</v>
      </c>
      <c r="F1165">
        <f t="shared" si="37"/>
        <v>95698</v>
      </c>
      <c r="H1165" s="1406">
        <v>4.79</v>
      </c>
      <c r="I1165" s="1406">
        <v>4.79</v>
      </c>
    </row>
    <row r="1166" spans="2:9">
      <c r="B1166" s="677">
        <v>95699</v>
      </c>
      <c r="C1166" s="733" t="s">
        <v>1240</v>
      </c>
      <c r="D1166" s="677" t="s">
        <v>31</v>
      </c>
      <c r="E1166" s="738">
        <f t="shared" si="36"/>
        <v>1.1000000000000001</v>
      </c>
      <c r="F1166">
        <f t="shared" si="37"/>
        <v>95699</v>
      </c>
      <c r="H1166" s="1405">
        <v>1.1000000000000001</v>
      </c>
      <c r="I1166" s="1405">
        <v>1.1000000000000001</v>
      </c>
    </row>
    <row r="1167" spans="2:9">
      <c r="B1167" s="1477">
        <v>95700</v>
      </c>
      <c r="C1167" s="740" t="s">
        <v>1241</v>
      </c>
      <c r="D1167" s="739" t="s">
        <v>31</v>
      </c>
      <c r="E1167" s="741">
        <f t="shared" si="36"/>
        <v>5.99</v>
      </c>
      <c r="F1167">
        <f t="shared" si="37"/>
        <v>95700</v>
      </c>
      <c r="H1167" s="1406">
        <v>5.99</v>
      </c>
      <c r="I1167" s="1406">
        <v>5.99</v>
      </c>
    </row>
    <row r="1168" spans="2:9" ht="30">
      <c r="B1168" s="677">
        <v>95701</v>
      </c>
      <c r="C1168" s="733" t="s">
        <v>1242</v>
      </c>
      <c r="D1168" s="677" t="s">
        <v>31</v>
      </c>
      <c r="E1168" s="738">
        <f t="shared" si="36"/>
        <v>3.34</v>
      </c>
      <c r="F1168">
        <f t="shared" si="37"/>
        <v>95701</v>
      </c>
      <c r="H1168" s="1405">
        <v>3.34</v>
      </c>
      <c r="I1168" s="1405">
        <v>3.34</v>
      </c>
    </row>
    <row r="1169" spans="2:9" ht="30">
      <c r="B1169" s="1477">
        <v>95704</v>
      </c>
      <c r="C1169" s="740" t="s">
        <v>1243</v>
      </c>
      <c r="D1169" s="739" t="s">
        <v>31</v>
      </c>
      <c r="E1169" s="741">
        <f t="shared" si="36"/>
        <v>44.75</v>
      </c>
      <c r="F1169">
        <f t="shared" si="37"/>
        <v>95704</v>
      </c>
      <c r="H1169" s="1406">
        <v>44.75</v>
      </c>
      <c r="I1169" s="1406">
        <v>44.75</v>
      </c>
    </row>
    <row r="1170" spans="2:9">
      <c r="B1170" s="677">
        <v>95705</v>
      </c>
      <c r="C1170" s="733" t="s">
        <v>1244</v>
      </c>
      <c r="D1170" s="677" t="s">
        <v>31</v>
      </c>
      <c r="E1170" s="738">
        <f t="shared" si="36"/>
        <v>12</v>
      </c>
      <c r="F1170">
        <f t="shared" si="37"/>
        <v>95705</v>
      </c>
      <c r="H1170" s="1405">
        <v>12</v>
      </c>
      <c r="I1170" s="1405">
        <v>12</v>
      </c>
    </row>
    <row r="1171" spans="2:9" ht="30">
      <c r="B1171" s="1477">
        <v>95706</v>
      </c>
      <c r="C1171" s="740" t="s">
        <v>1245</v>
      </c>
      <c r="D1171" s="739" t="s">
        <v>31</v>
      </c>
      <c r="E1171" s="741">
        <f t="shared" si="36"/>
        <v>56</v>
      </c>
      <c r="F1171">
        <f t="shared" si="37"/>
        <v>95706</v>
      </c>
      <c r="H1171" s="1406">
        <v>56</v>
      </c>
      <c r="I1171" s="1406">
        <v>56</v>
      </c>
    </row>
    <row r="1172" spans="2:9" ht="30">
      <c r="B1172" s="677">
        <v>95707</v>
      </c>
      <c r="C1172" s="733" t="s">
        <v>1246</v>
      </c>
      <c r="D1172" s="677" t="s">
        <v>31</v>
      </c>
      <c r="E1172" s="738">
        <f t="shared" si="36"/>
        <v>4.38</v>
      </c>
      <c r="F1172">
        <f t="shared" si="37"/>
        <v>95707</v>
      </c>
      <c r="H1172" s="1405">
        <v>4.38</v>
      </c>
      <c r="I1172" s="1405">
        <v>4.38</v>
      </c>
    </row>
    <row r="1173" spans="2:9" ht="30">
      <c r="B1173" s="1477">
        <v>95710</v>
      </c>
      <c r="C1173" s="740" t="s">
        <v>1247</v>
      </c>
      <c r="D1173" s="739" t="s">
        <v>31</v>
      </c>
      <c r="E1173" s="741">
        <f t="shared" si="36"/>
        <v>53.79</v>
      </c>
      <c r="F1173">
        <f t="shared" si="37"/>
        <v>95710</v>
      </c>
      <c r="H1173" s="1406">
        <v>53.79</v>
      </c>
      <c r="I1173" s="1406">
        <v>53.79</v>
      </c>
    </row>
    <row r="1174" spans="2:9" ht="30">
      <c r="B1174" s="677">
        <v>95711</v>
      </c>
      <c r="C1174" s="733" t="s">
        <v>1248</v>
      </c>
      <c r="D1174" s="677" t="s">
        <v>31</v>
      </c>
      <c r="E1174" s="738">
        <f t="shared" si="36"/>
        <v>14.21</v>
      </c>
      <c r="F1174">
        <f t="shared" si="37"/>
        <v>95711</v>
      </c>
      <c r="H1174" s="1405">
        <v>14.21</v>
      </c>
      <c r="I1174" s="1405">
        <v>14.21</v>
      </c>
    </row>
    <row r="1175" spans="2:9" ht="30">
      <c r="B1175" s="1477">
        <v>95712</v>
      </c>
      <c r="C1175" s="740" t="s">
        <v>1249</v>
      </c>
      <c r="D1175" s="739" t="s">
        <v>31</v>
      </c>
      <c r="E1175" s="741">
        <f t="shared" si="36"/>
        <v>67.239999999999995</v>
      </c>
      <c r="F1175">
        <f t="shared" si="37"/>
        <v>95712</v>
      </c>
      <c r="H1175" s="1406">
        <v>67.239999999999995</v>
      </c>
      <c r="I1175" s="1406">
        <v>67.239999999999995</v>
      </c>
    </row>
    <row r="1176" spans="2:9" ht="30">
      <c r="B1176" s="677">
        <v>95713</v>
      </c>
      <c r="C1176" s="733" t="s">
        <v>1250</v>
      </c>
      <c r="D1176" s="677" t="s">
        <v>31</v>
      </c>
      <c r="E1176" s="738">
        <f t="shared" si="36"/>
        <v>88.52</v>
      </c>
      <c r="F1176">
        <f t="shared" si="37"/>
        <v>95713</v>
      </c>
      <c r="H1176" s="1405">
        <v>88.52</v>
      </c>
      <c r="I1176" s="1405">
        <v>88.52</v>
      </c>
    </row>
    <row r="1177" spans="2:9" ht="30">
      <c r="B1177" s="1477">
        <v>95716</v>
      </c>
      <c r="C1177" s="740" t="s">
        <v>1251</v>
      </c>
      <c r="D1177" s="739" t="s">
        <v>31</v>
      </c>
      <c r="E1177" s="741">
        <f t="shared" si="36"/>
        <v>51.78</v>
      </c>
      <c r="F1177">
        <f t="shared" si="37"/>
        <v>95716</v>
      </c>
      <c r="H1177" s="1406">
        <v>51.78</v>
      </c>
      <c r="I1177" s="1406">
        <v>51.78</v>
      </c>
    </row>
    <row r="1178" spans="2:9" ht="30">
      <c r="B1178" s="677">
        <v>95717</v>
      </c>
      <c r="C1178" s="733" t="s">
        <v>1252</v>
      </c>
      <c r="D1178" s="677" t="s">
        <v>31</v>
      </c>
      <c r="E1178" s="738">
        <f t="shared" si="36"/>
        <v>13.68</v>
      </c>
      <c r="F1178">
        <f t="shared" si="37"/>
        <v>95717</v>
      </c>
      <c r="H1178" s="1405">
        <v>13.68</v>
      </c>
      <c r="I1178" s="1405">
        <v>13.68</v>
      </c>
    </row>
    <row r="1179" spans="2:9" ht="30">
      <c r="B1179" s="1477">
        <v>95718</v>
      </c>
      <c r="C1179" s="740" t="s">
        <v>1253</v>
      </c>
      <c r="D1179" s="739" t="s">
        <v>31</v>
      </c>
      <c r="E1179" s="741">
        <f t="shared" si="36"/>
        <v>64.73</v>
      </c>
      <c r="F1179">
        <f t="shared" si="37"/>
        <v>95718</v>
      </c>
      <c r="H1179" s="1406">
        <v>64.73</v>
      </c>
      <c r="I1179" s="1406">
        <v>64.73</v>
      </c>
    </row>
    <row r="1180" spans="2:9" ht="30">
      <c r="B1180" s="677">
        <v>95719</v>
      </c>
      <c r="C1180" s="733" t="s">
        <v>1254</v>
      </c>
      <c r="D1180" s="677" t="s">
        <v>31</v>
      </c>
      <c r="E1180" s="738">
        <f t="shared" si="36"/>
        <v>88.52</v>
      </c>
      <c r="F1180">
        <f t="shared" si="37"/>
        <v>95719</v>
      </c>
      <c r="H1180" s="1405">
        <v>88.52</v>
      </c>
      <c r="I1180" s="1405">
        <v>88.52</v>
      </c>
    </row>
    <row r="1181" spans="2:9">
      <c r="B1181" s="1477">
        <v>95869</v>
      </c>
      <c r="C1181" s="740" t="s">
        <v>526</v>
      </c>
      <c r="D1181" s="739" t="s">
        <v>31</v>
      </c>
      <c r="E1181" s="741">
        <f t="shared" si="36"/>
        <v>3.58</v>
      </c>
      <c r="F1181">
        <f t="shared" si="37"/>
        <v>95869</v>
      </c>
      <c r="H1181" s="1406">
        <v>3.58</v>
      </c>
      <c r="I1181" s="1406">
        <v>3.58</v>
      </c>
    </row>
    <row r="1182" spans="2:9">
      <c r="B1182" s="677">
        <v>95870</v>
      </c>
      <c r="C1182" s="733" t="s">
        <v>527</v>
      </c>
      <c r="D1182" s="677" t="s">
        <v>31</v>
      </c>
      <c r="E1182" s="738">
        <f t="shared" si="36"/>
        <v>9.08</v>
      </c>
      <c r="F1182">
        <f t="shared" si="37"/>
        <v>95870</v>
      </c>
      <c r="H1182" s="1405">
        <v>9.08</v>
      </c>
      <c r="I1182" s="1405">
        <v>9.08</v>
      </c>
    </row>
    <row r="1183" spans="2:9" ht="30">
      <c r="B1183" s="1477">
        <v>95871</v>
      </c>
      <c r="C1183" s="740" t="s">
        <v>528</v>
      </c>
      <c r="D1183" s="739" t="s">
        <v>31</v>
      </c>
      <c r="E1183" s="741">
        <f t="shared" si="36"/>
        <v>268.81</v>
      </c>
      <c r="F1183">
        <f t="shared" si="37"/>
        <v>95871</v>
      </c>
      <c r="H1183" s="1406">
        <v>268.81</v>
      </c>
      <c r="I1183" s="1406">
        <v>268.81</v>
      </c>
    </row>
    <row r="1184" spans="2:9">
      <c r="B1184" s="677">
        <v>95874</v>
      </c>
      <c r="C1184" s="733" t="s">
        <v>531</v>
      </c>
      <c r="D1184" s="677" t="s">
        <v>31</v>
      </c>
      <c r="E1184" s="738">
        <f t="shared" si="36"/>
        <v>10.17</v>
      </c>
      <c r="F1184">
        <f t="shared" si="37"/>
        <v>95874</v>
      </c>
      <c r="H1184" s="1405">
        <v>10.17</v>
      </c>
      <c r="I1184" s="1405">
        <v>10.17</v>
      </c>
    </row>
    <row r="1185" spans="2:9">
      <c r="B1185" s="1477">
        <v>96008</v>
      </c>
      <c r="C1185" s="740" t="s">
        <v>558</v>
      </c>
      <c r="D1185" s="739" t="s">
        <v>31</v>
      </c>
      <c r="E1185" s="741">
        <f t="shared" si="36"/>
        <v>22.33</v>
      </c>
      <c r="F1185">
        <f t="shared" si="37"/>
        <v>96008</v>
      </c>
      <c r="H1185" s="1406">
        <v>22.33</v>
      </c>
      <c r="I1185" s="1406">
        <v>22.33</v>
      </c>
    </row>
    <row r="1186" spans="2:9">
      <c r="B1186" s="677">
        <v>96009</v>
      </c>
      <c r="C1186" s="733" t="s">
        <v>559</v>
      </c>
      <c r="D1186" s="677" t="s">
        <v>31</v>
      </c>
      <c r="E1186" s="738">
        <f t="shared" si="36"/>
        <v>5.98</v>
      </c>
      <c r="F1186">
        <f t="shared" si="37"/>
        <v>96009</v>
      </c>
      <c r="H1186" s="1405">
        <v>5.98</v>
      </c>
      <c r="I1186" s="1405">
        <v>5.98</v>
      </c>
    </row>
    <row r="1187" spans="2:9">
      <c r="B1187" s="1477">
        <v>96011</v>
      </c>
      <c r="C1187" s="740" t="s">
        <v>560</v>
      </c>
      <c r="D1187" s="739" t="s">
        <v>31</v>
      </c>
      <c r="E1187" s="741">
        <f t="shared" si="36"/>
        <v>24.43</v>
      </c>
      <c r="F1187">
        <f t="shared" si="37"/>
        <v>96011</v>
      </c>
      <c r="H1187" s="1406">
        <v>24.43</v>
      </c>
      <c r="I1187" s="1406">
        <v>24.43</v>
      </c>
    </row>
    <row r="1188" spans="2:9" ht="30">
      <c r="B1188" s="677">
        <v>96012</v>
      </c>
      <c r="C1188" s="733" t="s">
        <v>561</v>
      </c>
      <c r="D1188" s="677" t="s">
        <v>31</v>
      </c>
      <c r="E1188" s="738">
        <f t="shared" si="36"/>
        <v>95.18</v>
      </c>
      <c r="F1188">
        <f t="shared" si="37"/>
        <v>96012</v>
      </c>
      <c r="H1188" s="1405">
        <v>95.18</v>
      </c>
      <c r="I1188" s="1405">
        <v>95.18</v>
      </c>
    </row>
    <row r="1189" spans="2:9">
      <c r="B1189" s="1477">
        <v>96015</v>
      </c>
      <c r="C1189" s="740" t="s">
        <v>563</v>
      </c>
      <c r="D1189" s="739" t="s">
        <v>31</v>
      </c>
      <c r="E1189" s="741">
        <f t="shared" si="36"/>
        <v>22.12</v>
      </c>
      <c r="F1189">
        <f t="shared" si="37"/>
        <v>96015</v>
      </c>
      <c r="H1189" s="1406">
        <v>22.12</v>
      </c>
      <c r="I1189" s="1406">
        <v>22.12</v>
      </c>
    </row>
    <row r="1190" spans="2:9">
      <c r="B1190" s="677">
        <v>96016</v>
      </c>
      <c r="C1190" s="733" t="s">
        <v>564</v>
      </c>
      <c r="D1190" s="677" t="s">
        <v>31</v>
      </c>
      <c r="E1190" s="738">
        <f t="shared" si="36"/>
        <v>5.93</v>
      </c>
      <c r="F1190">
        <f t="shared" si="37"/>
        <v>96016</v>
      </c>
      <c r="H1190" s="1405">
        <v>5.93</v>
      </c>
      <c r="I1190" s="1405">
        <v>5.93</v>
      </c>
    </row>
    <row r="1191" spans="2:9">
      <c r="B1191" s="1477">
        <v>96018</v>
      </c>
      <c r="C1191" s="740" t="s">
        <v>565</v>
      </c>
      <c r="D1191" s="739" t="s">
        <v>31</v>
      </c>
      <c r="E1191" s="741">
        <f t="shared" si="36"/>
        <v>24.2</v>
      </c>
      <c r="F1191">
        <f t="shared" si="37"/>
        <v>96018</v>
      </c>
      <c r="H1191" s="1406">
        <v>24.2</v>
      </c>
      <c r="I1191" s="1406">
        <v>24.2</v>
      </c>
    </row>
    <row r="1192" spans="2:9" ht="30">
      <c r="B1192" s="677">
        <v>96019</v>
      </c>
      <c r="C1192" s="733" t="s">
        <v>566</v>
      </c>
      <c r="D1192" s="677" t="s">
        <v>31</v>
      </c>
      <c r="E1192" s="738">
        <f t="shared" si="36"/>
        <v>95.18</v>
      </c>
      <c r="F1192">
        <f t="shared" si="37"/>
        <v>96019</v>
      </c>
      <c r="H1192" s="1405">
        <v>95.18</v>
      </c>
      <c r="I1192" s="1405">
        <v>95.18</v>
      </c>
    </row>
    <row r="1193" spans="2:9">
      <c r="B1193" s="1477">
        <v>96023</v>
      </c>
      <c r="C1193" s="740" t="s">
        <v>568</v>
      </c>
      <c r="D1193" s="739" t="s">
        <v>31</v>
      </c>
      <c r="E1193" s="741">
        <f t="shared" si="36"/>
        <v>17.13</v>
      </c>
      <c r="F1193">
        <f t="shared" si="37"/>
        <v>96023</v>
      </c>
      <c r="H1193" s="1406">
        <v>17.13</v>
      </c>
      <c r="I1193" s="1406">
        <v>17.13</v>
      </c>
    </row>
    <row r="1194" spans="2:9">
      <c r="B1194" s="677">
        <v>96024</v>
      </c>
      <c r="C1194" s="733" t="s">
        <v>569</v>
      </c>
      <c r="D1194" s="677" t="s">
        <v>31</v>
      </c>
      <c r="E1194" s="738">
        <f t="shared" si="36"/>
        <v>4.59</v>
      </c>
      <c r="F1194">
        <f t="shared" si="37"/>
        <v>96024</v>
      </c>
      <c r="H1194" s="1405">
        <v>4.59</v>
      </c>
      <c r="I1194" s="1405">
        <v>4.59</v>
      </c>
    </row>
    <row r="1195" spans="2:9">
      <c r="B1195" s="1477">
        <v>96026</v>
      </c>
      <c r="C1195" s="740" t="s">
        <v>570</v>
      </c>
      <c r="D1195" s="739" t="s">
        <v>31</v>
      </c>
      <c r="E1195" s="741">
        <f t="shared" si="36"/>
        <v>18.739999999999998</v>
      </c>
      <c r="F1195">
        <f t="shared" si="37"/>
        <v>96026</v>
      </c>
      <c r="H1195" s="1406">
        <v>18.739999999999998</v>
      </c>
      <c r="I1195" s="1406">
        <v>18.739999999999998</v>
      </c>
    </row>
    <row r="1196" spans="2:9" ht="30">
      <c r="B1196" s="677">
        <v>96027</v>
      </c>
      <c r="C1196" s="733" t="s">
        <v>571</v>
      </c>
      <c r="D1196" s="677" t="s">
        <v>31</v>
      </c>
      <c r="E1196" s="738">
        <f t="shared" si="36"/>
        <v>66.319999999999993</v>
      </c>
      <c r="F1196">
        <f t="shared" si="37"/>
        <v>96027</v>
      </c>
      <c r="H1196" s="1405">
        <v>66.319999999999993</v>
      </c>
      <c r="I1196" s="1405">
        <v>66.319999999999993</v>
      </c>
    </row>
    <row r="1197" spans="2:9" ht="30">
      <c r="B1197" s="1477">
        <v>96030</v>
      </c>
      <c r="C1197" s="740" t="s">
        <v>573</v>
      </c>
      <c r="D1197" s="739" t="s">
        <v>31</v>
      </c>
      <c r="E1197" s="741">
        <f t="shared" si="36"/>
        <v>33.32</v>
      </c>
      <c r="F1197">
        <f t="shared" si="37"/>
        <v>96030</v>
      </c>
      <c r="H1197" s="1406">
        <v>33.32</v>
      </c>
      <c r="I1197" s="1406">
        <v>33.32</v>
      </c>
    </row>
    <row r="1198" spans="2:9" ht="30">
      <c r="B1198" s="677">
        <v>96031</v>
      </c>
      <c r="C1198" s="733" t="s">
        <v>574</v>
      </c>
      <c r="D1198" s="677" t="s">
        <v>31</v>
      </c>
      <c r="E1198" s="738">
        <f t="shared" si="36"/>
        <v>12.62</v>
      </c>
      <c r="F1198">
        <f t="shared" si="37"/>
        <v>96031</v>
      </c>
      <c r="H1198" s="1405">
        <v>12.62</v>
      </c>
      <c r="I1198" s="1405">
        <v>12.62</v>
      </c>
    </row>
    <row r="1199" spans="2:9" ht="30">
      <c r="B1199" s="1477">
        <v>96032</v>
      </c>
      <c r="C1199" s="740" t="s">
        <v>575</v>
      </c>
      <c r="D1199" s="739" t="s">
        <v>31</v>
      </c>
      <c r="E1199" s="741">
        <f t="shared" si="36"/>
        <v>5.07</v>
      </c>
      <c r="F1199">
        <f t="shared" si="37"/>
        <v>96032</v>
      </c>
      <c r="H1199" s="1406">
        <v>5.07</v>
      </c>
      <c r="I1199" s="1406">
        <v>5.07</v>
      </c>
    </row>
    <row r="1200" spans="2:9" ht="30">
      <c r="B1200" s="677">
        <v>96033</v>
      </c>
      <c r="C1200" s="733" t="s">
        <v>576</v>
      </c>
      <c r="D1200" s="677" t="s">
        <v>31</v>
      </c>
      <c r="E1200" s="738">
        <f t="shared" si="36"/>
        <v>57.28</v>
      </c>
      <c r="F1200">
        <f t="shared" si="37"/>
        <v>96033</v>
      </c>
      <c r="H1200" s="1405">
        <v>57.28</v>
      </c>
      <c r="I1200" s="1405">
        <v>57.28</v>
      </c>
    </row>
    <row r="1201" spans="2:9" ht="30">
      <c r="B1201" s="1477">
        <v>96034</v>
      </c>
      <c r="C1201" s="740" t="s">
        <v>577</v>
      </c>
      <c r="D1201" s="739" t="s">
        <v>31</v>
      </c>
      <c r="E1201" s="741">
        <f t="shared" si="36"/>
        <v>139.59</v>
      </c>
      <c r="F1201">
        <f t="shared" si="37"/>
        <v>96034</v>
      </c>
      <c r="H1201" s="1406">
        <v>139.59</v>
      </c>
      <c r="I1201" s="1406">
        <v>139.59</v>
      </c>
    </row>
    <row r="1202" spans="2:9">
      <c r="B1202" s="677">
        <v>96053</v>
      </c>
      <c r="C1202" s="733" t="s">
        <v>579</v>
      </c>
      <c r="D1202" s="677" t="s">
        <v>31</v>
      </c>
      <c r="E1202" s="738">
        <f t="shared" si="36"/>
        <v>17.34</v>
      </c>
      <c r="F1202">
        <f t="shared" si="37"/>
        <v>96053</v>
      </c>
      <c r="H1202" s="1405">
        <v>17.34</v>
      </c>
      <c r="I1202" s="1405">
        <v>17.34</v>
      </c>
    </row>
    <row r="1203" spans="2:9" ht="30">
      <c r="B1203" s="1477">
        <v>96054</v>
      </c>
      <c r="C1203" s="740" t="s">
        <v>584</v>
      </c>
      <c r="D1203" s="739" t="s">
        <v>31</v>
      </c>
      <c r="E1203" s="741">
        <f t="shared" si="36"/>
        <v>31.11</v>
      </c>
      <c r="F1203">
        <f t="shared" si="37"/>
        <v>96054</v>
      </c>
      <c r="H1203" s="1406">
        <v>31.11</v>
      </c>
      <c r="I1203" s="1406">
        <v>31.11</v>
      </c>
    </row>
    <row r="1204" spans="2:9">
      <c r="B1204" s="677">
        <v>96055</v>
      </c>
      <c r="C1204" s="733" t="s">
        <v>580</v>
      </c>
      <c r="D1204" s="677" t="s">
        <v>31</v>
      </c>
      <c r="E1204" s="738">
        <f t="shared" si="36"/>
        <v>4.6399999999999997</v>
      </c>
      <c r="F1204">
        <f t="shared" si="37"/>
        <v>96055</v>
      </c>
      <c r="H1204" s="1405">
        <v>4.6399999999999997</v>
      </c>
      <c r="I1204" s="1405">
        <v>4.6399999999999997</v>
      </c>
    </row>
    <row r="1205" spans="2:9">
      <c r="B1205" s="1477">
        <v>96056</v>
      </c>
      <c r="C1205" s="740" t="s">
        <v>581</v>
      </c>
      <c r="D1205" s="739" t="s">
        <v>31</v>
      </c>
      <c r="E1205" s="741">
        <f t="shared" si="36"/>
        <v>18.97</v>
      </c>
      <c r="F1205">
        <f t="shared" si="37"/>
        <v>96056</v>
      </c>
      <c r="H1205" s="1406">
        <v>18.97</v>
      </c>
      <c r="I1205" s="1406">
        <v>18.97</v>
      </c>
    </row>
    <row r="1206" spans="2:9" ht="30">
      <c r="B1206" s="677">
        <v>96057</v>
      </c>
      <c r="C1206" s="733" t="s">
        <v>582</v>
      </c>
      <c r="D1206" s="677" t="s">
        <v>31</v>
      </c>
      <c r="E1206" s="738">
        <f t="shared" si="36"/>
        <v>66.319999999999993</v>
      </c>
      <c r="F1206">
        <f t="shared" si="37"/>
        <v>96057</v>
      </c>
      <c r="H1206" s="1405">
        <v>66.319999999999993</v>
      </c>
      <c r="I1206" s="1405">
        <v>66.319999999999993</v>
      </c>
    </row>
    <row r="1207" spans="2:9" ht="30">
      <c r="B1207" s="1477">
        <v>96060</v>
      </c>
      <c r="C1207" s="740" t="s">
        <v>585</v>
      </c>
      <c r="D1207" s="739" t="s">
        <v>31</v>
      </c>
      <c r="E1207" s="741">
        <f t="shared" si="36"/>
        <v>6.07</v>
      </c>
      <c r="F1207">
        <f t="shared" si="37"/>
        <v>96060</v>
      </c>
      <c r="H1207" s="1406">
        <v>6.07</v>
      </c>
      <c r="I1207" s="1406">
        <v>6.07</v>
      </c>
    </row>
    <row r="1208" spans="2:9" ht="30">
      <c r="B1208" s="677">
        <v>96061</v>
      </c>
      <c r="C1208" s="733" t="s">
        <v>586</v>
      </c>
      <c r="D1208" s="677" t="s">
        <v>31</v>
      </c>
      <c r="E1208" s="738">
        <f t="shared" si="36"/>
        <v>38.89</v>
      </c>
      <c r="F1208">
        <f t="shared" si="37"/>
        <v>96061</v>
      </c>
      <c r="H1208" s="1405">
        <v>38.89</v>
      </c>
      <c r="I1208" s="1405">
        <v>38.89</v>
      </c>
    </row>
    <row r="1209" spans="2:9" ht="30">
      <c r="B1209" s="1477">
        <v>96062</v>
      </c>
      <c r="C1209" s="740" t="s">
        <v>587</v>
      </c>
      <c r="D1209" s="739" t="s">
        <v>31</v>
      </c>
      <c r="E1209" s="741">
        <f t="shared" si="36"/>
        <v>39.22</v>
      </c>
      <c r="F1209">
        <f t="shared" si="37"/>
        <v>96062</v>
      </c>
      <c r="H1209" s="1406">
        <v>39.22</v>
      </c>
      <c r="I1209" s="1406">
        <v>39.22</v>
      </c>
    </row>
    <row r="1210" spans="2:9">
      <c r="B1210" s="677">
        <v>96241</v>
      </c>
      <c r="C1210" s="733" t="s">
        <v>1255</v>
      </c>
      <c r="D1210" s="677" t="s">
        <v>31</v>
      </c>
      <c r="E1210" s="738">
        <f t="shared" si="36"/>
        <v>27.2</v>
      </c>
      <c r="F1210">
        <f t="shared" si="37"/>
        <v>96241</v>
      </c>
      <c r="H1210" s="1405">
        <v>27.2</v>
      </c>
      <c r="I1210" s="1405">
        <v>27.2</v>
      </c>
    </row>
    <row r="1211" spans="2:9">
      <c r="B1211" s="1477">
        <v>96242</v>
      </c>
      <c r="C1211" s="740" t="s">
        <v>1256</v>
      </c>
      <c r="D1211" s="739" t="s">
        <v>31</v>
      </c>
      <c r="E1211" s="741">
        <f t="shared" si="36"/>
        <v>7.18</v>
      </c>
      <c r="F1211">
        <f t="shared" si="37"/>
        <v>96242</v>
      </c>
      <c r="H1211" s="1406">
        <v>7.18</v>
      </c>
      <c r="I1211" s="1406">
        <v>7.18</v>
      </c>
    </row>
    <row r="1212" spans="2:9">
      <c r="B1212" s="677">
        <v>96243</v>
      </c>
      <c r="C1212" s="733" t="s">
        <v>1257</v>
      </c>
      <c r="D1212" s="677" t="s">
        <v>31</v>
      </c>
      <c r="E1212" s="738">
        <f t="shared" si="36"/>
        <v>34</v>
      </c>
      <c r="F1212">
        <f t="shared" si="37"/>
        <v>96243</v>
      </c>
      <c r="H1212" s="1405">
        <v>34</v>
      </c>
      <c r="I1212" s="1405">
        <v>34</v>
      </c>
    </row>
    <row r="1213" spans="2:9" ht="30">
      <c r="B1213" s="1477">
        <v>96244</v>
      </c>
      <c r="C1213" s="740" t="s">
        <v>1258</v>
      </c>
      <c r="D1213" s="739" t="s">
        <v>31</v>
      </c>
      <c r="E1213" s="741">
        <f t="shared" si="36"/>
        <v>17.13</v>
      </c>
      <c r="F1213">
        <f t="shared" si="37"/>
        <v>96244</v>
      </c>
      <c r="H1213" s="1406">
        <v>17.13</v>
      </c>
      <c r="I1213" s="1406">
        <v>17.13</v>
      </c>
    </row>
    <row r="1214" spans="2:9" ht="30">
      <c r="B1214" s="677">
        <v>96301</v>
      </c>
      <c r="C1214" s="733" t="s">
        <v>1580</v>
      </c>
      <c r="D1214" s="677" t="s">
        <v>31</v>
      </c>
      <c r="E1214" s="738">
        <f t="shared" si="36"/>
        <v>48.35</v>
      </c>
      <c r="F1214">
        <f t="shared" si="37"/>
        <v>96301</v>
      </c>
      <c r="H1214" s="1405">
        <v>48.35</v>
      </c>
      <c r="I1214" s="1405">
        <v>48.35</v>
      </c>
    </row>
    <row r="1215" spans="2:9" ht="30">
      <c r="B1215" s="1477">
        <v>96457</v>
      </c>
      <c r="C1215" s="740" t="s">
        <v>1727</v>
      </c>
      <c r="D1215" s="739" t="s">
        <v>31</v>
      </c>
      <c r="E1215" s="741">
        <f t="shared" si="36"/>
        <v>62.84</v>
      </c>
      <c r="F1215">
        <f t="shared" si="37"/>
        <v>96457</v>
      </c>
      <c r="H1215" s="1406">
        <v>62.84</v>
      </c>
      <c r="I1215" s="1406">
        <v>62.84</v>
      </c>
    </row>
    <row r="1216" spans="2:9" ht="30">
      <c r="B1216" s="677">
        <v>96458</v>
      </c>
      <c r="C1216" s="733" t="s">
        <v>1728</v>
      </c>
      <c r="D1216" s="677" t="s">
        <v>31</v>
      </c>
      <c r="E1216" s="738">
        <f t="shared" si="36"/>
        <v>66.55</v>
      </c>
      <c r="F1216">
        <f t="shared" si="37"/>
        <v>96458</v>
      </c>
      <c r="H1216" s="1405">
        <v>66.55</v>
      </c>
      <c r="I1216" s="1405">
        <v>66.55</v>
      </c>
    </row>
    <row r="1217" spans="2:9" ht="30">
      <c r="B1217" s="1477">
        <v>96459</v>
      </c>
      <c r="C1217" s="740" t="s">
        <v>1729</v>
      </c>
      <c r="D1217" s="739" t="s">
        <v>31</v>
      </c>
      <c r="E1217" s="741">
        <f t="shared" si="36"/>
        <v>14.26</v>
      </c>
      <c r="F1217">
        <f t="shared" si="37"/>
        <v>96459</v>
      </c>
      <c r="H1217" s="1406">
        <v>14.26</v>
      </c>
      <c r="I1217" s="1406">
        <v>14.26</v>
      </c>
    </row>
    <row r="1218" spans="2:9" ht="30">
      <c r="B1218" s="677">
        <v>96460</v>
      </c>
      <c r="C1218" s="733" t="s">
        <v>1730</v>
      </c>
      <c r="D1218" s="677" t="s">
        <v>31</v>
      </c>
      <c r="E1218" s="738">
        <f t="shared" si="36"/>
        <v>53.18</v>
      </c>
      <c r="F1218">
        <f t="shared" si="37"/>
        <v>96460</v>
      </c>
      <c r="H1218" s="1405">
        <v>53.18</v>
      </c>
      <c r="I1218" s="1405">
        <v>53.18</v>
      </c>
    </row>
    <row r="1219" spans="2:9" ht="30">
      <c r="B1219" s="1477">
        <v>98760</v>
      </c>
      <c r="C1219" s="740" t="s">
        <v>2064</v>
      </c>
      <c r="D1219" s="739" t="s">
        <v>31</v>
      </c>
      <c r="E1219" s="741">
        <f t="shared" ref="E1219:E1282" si="38">IF($K$2=$H$1,H1219,I1219)</f>
        <v>0.08</v>
      </c>
      <c r="F1219">
        <f t="shared" ref="F1219:F1282" si="39">IF(LEN($B1219)=7,CONCATENATE(MID($B1219,1,6),"00",RIGHT($B1219,1)),IF(LEN($B1219)=8,CONCATENATE(MID($B1219,1,6),"0",RIGHT($B1219,2)),$B1219))</f>
        <v>98760</v>
      </c>
      <c r="H1219" s="1406">
        <v>0.08</v>
      </c>
      <c r="I1219" s="1406">
        <v>0.08</v>
      </c>
    </row>
    <row r="1220" spans="2:9" ht="30">
      <c r="B1220" s="677">
        <v>98761</v>
      </c>
      <c r="C1220" s="733" t="s">
        <v>2065</v>
      </c>
      <c r="D1220" s="677" t="s">
        <v>31</v>
      </c>
      <c r="E1220" s="738">
        <f t="shared" si="38"/>
        <v>0.01</v>
      </c>
      <c r="F1220">
        <f t="shared" si="39"/>
        <v>98761</v>
      </c>
      <c r="H1220" s="1405">
        <v>0.01</v>
      </c>
      <c r="I1220" s="1405">
        <v>0.01</v>
      </c>
    </row>
    <row r="1221" spans="2:9" ht="30">
      <c r="B1221" s="1477">
        <v>98762</v>
      </c>
      <c r="C1221" s="740" t="s">
        <v>2066</v>
      </c>
      <c r="D1221" s="739" t="s">
        <v>31</v>
      </c>
      <c r="E1221" s="741">
        <f t="shared" si="38"/>
        <v>0.1</v>
      </c>
      <c r="F1221">
        <f t="shared" si="39"/>
        <v>98762</v>
      </c>
      <c r="H1221" s="1406">
        <v>0.1</v>
      </c>
      <c r="I1221" s="1406">
        <v>0.1</v>
      </c>
    </row>
    <row r="1222" spans="2:9" ht="30">
      <c r="B1222" s="677">
        <v>98763</v>
      </c>
      <c r="C1222" s="733" t="s">
        <v>2067</v>
      </c>
      <c r="D1222" s="677" t="s">
        <v>31</v>
      </c>
      <c r="E1222" s="738">
        <f t="shared" si="38"/>
        <v>4.91</v>
      </c>
      <c r="F1222">
        <f t="shared" si="39"/>
        <v>98763</v>
      </c>
      <c r="H1222" s="1405">
        <v>4.91</v>
      </c>
      <c r="I1222" s="1405">
        <v>4.91</v>
      </c>
    </row>
    <row r="1223" spans="2:9" ht="30">
      <c r="B1223" s="1477">
        <v>99829</v>
      </c>
      <c r="C1223" s="740" t="s">
        <v>8018</v>
      </c>
      <c r="D1223" s="739" t="s">
        <v>31</v>
      </c>
      <c r="E1223" s="741">
        <f t="shared" si="38"/>
        <v>0.2</v>
      </c>
      <c r="F1223">
        <f t="shared" si="39"/>
        <v>99829</v>
      </c>
      <c r="H1223" s="1406">
        <v>0.2</v>
      </c>
      <c r="I1223" s="1406">
        <v>0.2</v>
      </c>
    </row>
    <row r="1224" spans="2:9" ht="30">
      <c r="B1224" s="677">
        <v>99830</v>
      </c>
      <c r="C1224" s="733" t="s">
        <v>8019</v>
      </c>
      <c r="D1224" s="677" t="s">
        <v>31</v>
      </c>
      <c r="E1224" s="738">
        <f t="shared" si="38"/>
        <v>0.04</v>
      </c>
      <c r="F1224">
        <f t="shared" si="39"/>
        <v>99830</v>
      </c>
      <c r="H1224" s="1405">
        <v>0.04</v>
      </c>
      <c r="I1224" s="1405">
        <v>0.04</v>
      </c>
    </row>
    <row r="1225" spans="2:9" ht="30">
      <c r="B1225" s="1477">
        <v>99831</v>
      </c>
      <c r="C1225" s="740" t="s">
        <v>8020</v>
      </c>
      <c r="D1225" s="739" t="s">
        <v>31</v>
      </c>
      <c r="E1225" s="741">
        <f t="shared" si="38"/>
        <v>0.14000000000000001</v>
      </c>
      <c r="F1225">
        <f t="shared" si="39"/>
        <v>99831</v>
      </c>
      <c r="H1225" s="1406">
        <v>0.14000000000000001</v>
      </c>
      <c r="I1225" s="1406">
        <v>0.14000000000000001</v>
      </c>
    </row>
    <row r="1226" spans="2:9" ht="30">
      <c r="B1226" s="677">
        <v>99832</v>
      </c>
      <c r="C1226" s="733" t="s">
        <v>8021</v>
      </c>
      <c r="D1226" s="677" t="s">
        <v>31</v>
      </c>
      <c r="E1226" s="738">
        <f t="shared" si="38"/>
        <v>2</v>
      </c>
      <c r="F1226">
        <f t="shared" si="39"/>
        <v>99832</v>
      </c>
      <c r="H1226" s="1405">
        <v>2</v>
      </c>
      <c r="I1226" s="1405">
        <v>2</v>
      </c>
    </row>
    <row r="1227" spans="2:9">
      <c r="B1227" s="1477">
        <v>100637</v>
      </c>
      <c r="C1227" s="740" t="s">
        <v>2847</v>
      </c>
      <c r="D1227" s="739" t="s">
        <v>31</v>
      </c>
      <c r="E1227" s="741">
        <f t="shared" si="38"/>
        <v>187</v>
      </c>
      <c r="F1227">
        <f t="shared" si="39"/>
        <v>100637</v>
      </c>
      <c r="H1227" s="1406">
        <v>187</v>
      </c>
      <c r="I1227" s="1406">
        <v>187</v>
      </c>
    </row>
    <row r="1228" spans="2:9">
      <c r="B1228" s="677">
        <v>100638</v>
      </c>
      <c r="C1228" s="733" t="s">
        <v>2848</v>
      </c>
      <c r="D1228" s="677" t="s">
        <v>31</v>
      </c>
      <c r="E1228" s="738">
        <f t="shared" si="38"/>
        <v>57.48</v>
      </c>
      <c r="F1228">
        <f t="shared" si="39"/>
        <v>100638</v>
      </c>
      <c r="H1228" s="1405">
        <v>57.48</v>
      </c>
      <c r="I1228" s="1405">
        <v>57.48</v>
      </c>
    </row>
    <row r="1229" spans="2:9">
      <c r="B1229" s="1477">
        <v>100639</v>
      </c>
      <c r="C1229" s="740" t="s">
        <v>2849</v>
      </c>
      <c r="D1229" s="739" t="s">
        <v>31</v>
      </c>
      <c r="E1229" s="741">
        <f t="shared" si="38"/>
        <v>233.93</v>
      </c>
      <c r="F1229">
        <f t="shared" si="39"/>
        <v>100639</v>
      </c>
      <c r="H1229" s="1406">
        <v>233.93</v>
      </c>
      <c r="I1229" s="1406">
        <v>233.93</v>
      </c>
    </row>
    <row r="1230" spans="2:9">
      <c r="B1230" s="677">
        <v>100640</v>
      </c>
      <c r="C1230" s="733" t="s">
        <v>2850</v>
      </c>
      <c r="D1230" s="677" t="s">
        <v>31</v>
      </c>
      <c r="E1230" s="738">
        <f t="shared" si="38"/>
        <v>4240.8</v>
      </c>
      <c r="F1230">
        <f t="shared" si="39"/>
        <v>100640</v>
      </c>
      <c r="H1230" s="1405">
        <v>4240.8</v>
      </c>
      <c r="I1230" s="1405">
        <v>4240.8</v>
      </c>
    </row>
    <row r="1231" spans="2:9">
      <c r="B1231" s="1477">
        <v>100643</v>
      </c>
      <c r="C1231" s="740" t="s">
        <v>2851</v>
      </c>
      <c r="D1231" s="739" t="s">
        <v>31</v>
      </c>
      <c r="E1231" s="741">
        <f t="shared" si="38"/>
        <v>383.17</v>
      </c>
      <c r="F1231">
        <f t="shared" si="39"/>
        <v>100643</v>
      </c>
      <c r="H1231" s="1406">
        <v>383.17</v>
      </c>
      <c r="I1231" s="1406">
        <v>383.17</v>
      </c>
    </row>
    <row r="1232" spans="2:9">
      <c r="B1232" s="677">
        <v>100644</v>
      </c>
      <c r="C1232" s="733" t="s">
        <v>2852</v>
      </c>
      <c r="D1232" s="677" t="s">
        <v>31</v>
      </c>
      <c r="E1232" s="738">
        <f t="shared" si="38"/>
        <v>135.06</v>
      </c>
      <c r="F1232">
        <f t="shared" si="39"/>
        <v>100644</v>
      </c>
      <c r="H1232" s="1405">
        <v>135.06</v>
      </c>
      <c r="I1232" s="1405">
        <v>135.06</v>
      </c>
    </row>
    <row r="1233" spans="2:9">
      <c r="B1233" s="1477">
        <v>100645</v>
      </c>
      <c r="C1233" s="740" t="s">
        <v>2853</v>
      </c>
      <c r="D1233" s="739" t="s">
        <v>31</v>
      </c>
      <c r="E1233" s="741">
        <f t="shared" si="38"/>
        <v>615.94000000000005</v>
      </c>
      <c r="F1233">
        <f t="shared" si="39"/>
        <v>100645</v>
      </c>
      <c r="H1233" s="1406">
        <v>615.94000000000005</v>
      </c>
      <c r="I1233" s="1406">
        <v>615.94000000000005</v>
      </c>
    </row>
    <row r="1234" spans="2:9">
      <c r="B1234" s="677">
        <v>100646</v>
      </c>
      <c r="C1234" s="733" t="s">
        <v>2854</v>
      </c>
      <c r="D1234" s="677" t="s">
        <v>31</v>
      </c>
      <c r="E1234" s="738">
        <f t="shared" si="38"/>
        <v>5301</v>
      </c>
      <c r="F1234">
        <f t="shared" si="39"/>
        <v>100646</v>
      </c>
      <c r="H1234" s="1405">
        <v>5301</v>
      </c>
      <c r="I1234" s="1405">
        <v>5301</v>
      </c>
    </row>
    <row r="1235" spans="2:9" ht="30">
      <c r="B1235" s="1477">
        <v>102270</v>
      </c>
      <c r="C1235" s="740" t="s">
        <v>4531</v>
      </c>
      <c r="D1235" s="739" t="s">
        <v>31</v>
      </c>
      <c r="E1235" s="741">
        <f t="shared" si="38"/>
        <v>0.71</v>
      </c>
      <c r="F1235">
        <f t="shared" si="39"/>
        <v>102270</v>
      </c>
      <c r="H1235" s="1406">
        <v>0.71</v>
      </c>
      <c r="I1235" s="1406">
        <v>0.71</v>
      </c>
    </row>
    <row r="1236" spans="2:9">
      <c r="B1236" s="677">
        <v>102271</v>
      </c>
      <c r="C1236" s="733" t="s">
        <v>4532</v>
      </c>
      <c r="D1236" s="677" t="s">
        <v>31</v>
      </c>
      <c r="E1236" s="738">
        <f t="shared" si="38"/>
        <v>0.16</v>
      </c>
      <c r="F1236">
        <f t="shared" si="39"/>
        <v>102271</v>
      </c>
      <c r="H1236" s="1405">
        <v>0.16</v>
      </c>
      <c r="I1236" s="1405">
        <v>0.16</v>
      </c>
    </row>
    <row r="1237" spans="2:9" ht="30">
      <c r="B1237" s="1477">
        <v>102272</v>
      </c>
      <c r="C1237" s="740" t="s">
        <v>4533</v>
      </c>
      <c r="D1237" s="739" t="s">
        <v>31</v>
      </c>
      <c r="E1237" s="741">
        <f t="shared" si="38"/>
        <v>0.89</v>
      </c>
      <c r="F1237">
        <f t="shared" si="39"/>
        <v>102272</v>
      </c>
      <c r="H1237" s="1406">
        <v>0.89</v>
      </c>
      <c r="I1237" s="1406">
        <v>0.89</v>
      </c>
    </row>
    <row r="1238" spans="2:9" ht="30">
      <c r="B1238" s="677">
        <v>102273</v>
      </c>
      <c r="C1238" s="733" t="s">
        <v>4534</v>
      </c>
      <c r="D1238" s="677" t="s">
        <v>31</v>
      </c>
      <c r="E1238" s="738">
        <f t="shared" si="38"/>
        <v>1.81</v>
      </c>
      <c r="F1238">
        <f t="shared" si="39"/>
        <v>102273</v>
      </c>
      <c r="H1238" s="1405">
        <v>1.81</v>
      </c>
      <c r="I1238" s="1405">
        <v>1.81</v>
      </c>
    </row>
    <row r="1239" spans="2:9">
      <c r="B1239" s="1477">
        <v>102809</v>
      </c>
      <c r="C1239" s="740" t="s">
        <v>8022</v>
      </c>
      <c r="D1239" s="739" t="s">
        <v>31</v>
      </c>
      <c r="E1239" s="741">
        <f t="shared" si="38"/>
        <v>18.489999999999998</v>
      </c>
      <c r="F1239">
        <f t="shared" si="39"/>
        <v>102809</v>
      </c>
      <c r="H1239" s="1406">
        <v>18.489999999999998</v>
      </c>
      <c r="I1239" s="1406">
        <v>18.489999999999998</v>
      </c>
    </row>
    <row r="1240" spans="2:9" ht="30">
      <c r="B1240" s="677">
        <v>102815</v>
      </c>
      <c r="C1240" s="733" t="s">
        <v>5342</v>
      </c>
      <c r="D1240" s="677" t="s">
        <v>31</v>
      </c>
      <c r="E1240" s="738">
        <f t="shared" si="38"/>
        <v>3.63</v>
      </c>
      <c r="F1240">
        <f t="shared" si="39"/>
        <v>102815</v>
      </c>
      <c r="H1240" s="1405">
        <v>3.63</v>
      </c>
      <c r="I1240" s="1405">
        <v>3.63</v>
      </c>
    </row>
    <row r="1241" spans="2:9" ht="30">
      <c r="B1241" s="1477">
        <v>102826</v>
      </c>
      <c r="C1241" s="740" t="s">
        <v>8023</v>
      </c>
      <c r="D1241" s="739" t="s">
        <v>31</v>
      </c>
      <c r="E1241" s="741">
        <f t="shared" si="38"/>
        <v>6.82</v>
      </c>
      <c r="F1241">
        <f t="shared" si="39"/>
        <v>102826</v>
      </c>
      <c r="H1241" s="1406">
        <v>6.82</v>
      </c>
      <c r="I1241" s="1406">
        <v>6.82</v>
      </c>
    </row>
    <row r="1242" spans="2:9" ht="30">
      <c r="B1242" s="677">
        <v>102832</v>
      </c>
      <c r="C1242" s="733" t="s">
        <v>8024</v>
      </c>
      <c r="D1242" s="677" t="s">
        <v>31</v>
      </c>
      <c r="E1242" s="738">
        <f t="shared" si="38"/>
        <v>9.09</v>
      </c>
      <c r="F1242">
        <f t="shared" si="39"/>
        <v>102832</v>
      </c>
      <c r="H1242" s="1405">
        <v>9.09</v>
      </c>
      <c r="I1242" s="1405">
        <v>9.09</v>
      </c>
    </row>
    <row r="1243" spans="2:9" ht="30">
      <c r="B1243" s="1477">
        <v>102843</v>
      </c>
      <c r="C1243" s="740" t="s">
        <v>5343</v>
      </c>
      <c r="D1243" s="739" t="s">
        <v>31</v>
      </c>
      <c r="E1243" s="741">
        <f t="shared" si="38"/>
        <v>132.52000000000001</v>
      </c>
      <c r="F1243">
        <f t="shared" si="39"/>
        <v>102843</v>
      </c>
      <c r="H1243" s="1406">
        <v>132.52000000000001</v>
      </c>
      <c r="I1243" s="1406">
        <v>132.52000000000001</v>
      </c>
    </row>
    <row r="1244" spans="2:9">
      <c r="B1244" s="677">
        <v>102849</v>
      </c>
      <c r="C1244" s="733" t="s">
        <v>5344</v>
      </c>
      <c r="D1244" s="677" t="s">
        <v>31</v>
      </c>
      <c r="E1244" s="738">
        <f t="shared" si="38"/>
        <v>64.790000000000006</v>
      </c>
      <c r="F1244">
        <f t="shared" si="39"/>
        <v>102849</v>
      </c>
      <c r="H1244" s="1405">
        <v>64.790000000000006</v>
      </c>
      <c r="I1244" s="1405">
        <v>64.790000000000006</v>
      </c>
    </row>
    <row r="1245" spans="2:9" ht="30">
      <c r="B1245" s="1477">
        <v>102855</v>
      </c>
      <c r="C1245" s="740" t="s">
        <v>5345</v>
      </c>
      <c r="D1245" s="739" t="s">
        <v>31</v>
      </c>
      <c r="E1245" s="741">
        <f t="shared" si="38"/>
        <v>64.790000000000006</v>
      </c>
      <c r="F1245">
        <f t="shared" si="39"/>
        <v>102855</v>
      </c>
      <c r="H1245" s="1406">
        <v>64.790000000000006</v>
      </c>
      <c r="I1245" s="1406">
        <v>64.790000000000006</v>
      </c>
    </row>
    <row r="1246" spans="2:9" ht="30">
      <c r="B1246" s="677">
        <v>102861</v>
      </c>
      <c r="C1246" s="733" t="s">
        <v>8025</v>
      </c>
      <c r="D1246" s="677" t="s">
        <v>31</v>
      </c>
      <c r="E1246" s="738">
        <f t="shared" si="38"/>
        <v>1.33</v>
      </c>
      <c r="F1246">
        <f t="shared" si="39"/>
        <v>102861</v>
      </c>
      <c r="H1246" s="1405">
        <v>1.33</v>
      </c>
      <c r="I1246" s="1405">
        <v>1.33</v>
      </c>
    </row>
    <row r="1247" spans="2:9">
      <c r="B1247" s="1477">
        <v>102867</v>
      </c>
      <c r="C1247" s="740" t="s">
        <v>8026</v>
      </c>
      <c r="D1247" s="739" t="s">
        <v>31</v>
      </c>
      <c r="E1247" s="741">
        <f t="shared" si="38"/>
        <v>0.72</v>
      </c>
      <c r="F1247">
        <f t="shared" si="39"/>
        <v>102867</v>
      </c>
      <c r="H1247" s="1406">
        <v>0.72</v>
      </c>
      <c r="I1247" s="1406">
        <v>0.72</v>
      </c>
    </row>
    <row r="1248" spans="2:9" ht="30">
      <c r="B1248" s="677">
        <v>102873</v>
      </c>
      <c r="C1248" s="733" t="s">
        <v>5346</v>
      </c>
      <c r="D1248" s="677" t="s">
        <v>31</v>
      </c>
      <c r="E1248" s="738">
        <f t="shared" si="38"/>
        <v>117.74</v>
      </c>
      <c r="F1248">
        <f t="shared" si="39"/>
        <v>102873</v>
      </c>
      <c r="H1248" s="1405">
        <v>117.74</v>
      </c>
      <c r="I1248" s="1405">
        <v>117.74</v>
      </c>
    </row>
    <row r="1249" spans="2:9" ht="30">
      <c r="B1249" s="1477">
        <v>102879</v>
      </c>
      <c r="C1249" s="740" t="s">
        <v>5347</v>
      </c>
      <c r="D1249" s="739" t="s">
        <v>31</v>
      </c>
      <c r="E1249" s="741">
        <f t="shared" si="38"/>
        <v>176.7</v>
      </c>
      <c r="F1249">
        <f t="shared" si="39"/>
        <v>102879</v>
      </c>
      <c r="H1249" s="1406">
        <v>176.7</v>
      </c>
      <c r="I1249" s="1406">
        <v>176.7</v>
      </c>
    </row>
    <row r="1250" spans="2:9">
      <c r="B1250" s="677">
        <v>102885</v>
      </c>
      <c r="C1250" s="733" t="s">
        <v>5348</v>
      </c>
      <c r="D1250" s="677" t="s">
        <v>31</v>
      </c>
      <c r="E1250" s="738">
        <f t="shared" si="38"/>
        <v>1.36</v>
      </c>
      <c r="F1250">
        <f t="shared" si="39"/>
        <v>102885</v>
      </c>
      <c r="H1250" s="1405">
        <v>1.36</v>
      </c>
      <c r="I1250" s="1405">
        <v>1.36</v>
      </c>
    </row>
    <row r="1251" spans="2:9">
      <c r="B1251" s="1477">
        <v>102891</v>
      </c>
      <c r="C1251" s="740" t="s">
        <v>5349</v>
      </c>
      <c r="D1251" s="739" t="s">
        <v>31</v>
      </c>
      <c r="E1251" s="741">
        <f t="shared" si="38"/>
        <v>1.36</v>
      </c>
      <c r="F1251">
        <f t="shared" si="39"/>
        <v>102891</v>
      </c>
      <c r="H1251" s="1406">
        <v>1.36</v>
      </c>
      <c r="I1251" s="1406">
        <v>1.36</v>
      </c>
    </row>
    <row r="1252" spans="2:9" ht="30">
      <c r="B1252" s="677">
        <v>102897</v>
      </c>
      <c r="C1252" s="733" t="s">
        <v>5350</v>
      </c>
      <c r="D1252" s="677" t="s">
        <v>31</v>
      </c>
      <c r="E1252" s="738">
        <f t="shared" si="38"/>
        <v>88.52</v>
      </c>
      <c r="F1252">
        <f t="shared" si="39"/>
        <v>102897</v>
      </c>
      <c r="H1252" s="1405">
        <v>88.52</v>
      </c>
      <c r="I1252" s="1405">
        <v>88.52</v>
      </c>
    </row>
    <row r="1253" spans="2:9" ht="30">
      <c r="B1253" s="1477">
        <v>102903</v>
      </c>
      <c r="C1253" s="740" t="s">
        <v>8027</v>
      </c>
      <c r="D1253" s="739" t="s">
        <v>31</v>
      </c>
      <c r="E1253" s="741">
        <f t="shared" si="38"/>
        <v>11.48</v>
      </c>
      <c r="F1253">
        <f t="shared" si="39"/>
        <v>102903</v>
      </c>
      <c r="H1253" s="1406">
        <v>11.48</v>
      </c>
      <c r="I1253" s="1406">
        <v>11.48</v>
      </c>
    </row>
    <row r="1254" spans="2:9">
      <c r="B1254" s="677">
        <v>102909</v>
      </c>
      <c r="C1254" s="733" t="s">
        <v>8028</v>
      </c>
      <c r="D1254" s="677" t="s">
        <v>31</v>
      </c>
      <c r="E1254" s="738">
        <f t="shared" si="38"/>
        <v>4.3600000000000003</v>
      </c>
      <c r="F1254">
        <f t="shared" si="39"/>
        <v>102909</v>
      </c>
      <c r="H1254" s="1405">
        <v>4.3600000000000003</v>
      </c>
      <c r="I1254" s="1405">
        <v>4.3600000000000003</v>
      </c>
    </row>
    <row r="1255" spans="2:9">
      <c r="B1255" s="1477">
        <v>102915</v>
      </c>
      <c r="C1255" s="740" t="s">
        <v>8029</v>
      </c>
      <c r="D1255" s="739" t="s">
        <v>31</v>
      </c>
      <c r="E1255" s="741">
        <f t="shared" si="38"/>
        <v>0.67</v>
      </c>
      <c r="F1255">
        <f t="shared" si="39"/>
        <v>102915</v>
      </c>
      <c r="H1255" s="1406">
        <v>0.67</v>
      </c>
      <c r="I1255" s="1406">
        <v>0.67</v>
      </c>
    </row>
    <row r="1256" spans="2:9" ht="30">
      <c r="B1256" s="677">
        <v>102927</v>
      </c>
      <c r="C1256" s="733" t="s">
        <v>8030</v>
      </c>
      <c r="D1256" s="677" t="s">
        <v>31</v>
      </c>
      <c r="E1256" s="738">
        <f t="shared" si="38"/>
        <v>1</v>
      </c>
      <c r="F1256">
        <f t="shared" si="39"/>
        <v>102927</v>
      </c>
      <c r="H1256" s="1405">
        <v>1</v>
      </c>
      <c r="I1256" s="1405">
        <v>1</v>
      </c>
    </row>
    <row r="1257" spans="2:9" ht="45">
      <c r="B1257" s="1477">
        <v>102933</v>
      </c>
      <c r="C1257" s="740" t="s">
        <v>5351</v>
      </c>
      <c r="D1257" s="739" t="s">
        <v>31</v>
      </c>
      <c r="E1257" s="741">
        <f t="shared" si="38"/>
        <v>1</v>
      </c>
      <c r="F1257">
        <f t="shared" si="39"/>
        <v>102933</v>
      </c>
      <c r="H1257" s="1406">
        <v>1</v>
      </c>
      <c r="I1257" s="1406">
        <v>1</v>
      </c>
    </row>
    <row r="1258" spans="2:9">
      <c r="B1258" s="677">
        <v>102939</v>
      </c>
      <c r="C1258" s="733" t="s">
        <v>8031</v>
      </c>
      <c r="D1258" s="677" t="s">
        <v>31</v>
      </c>
      <c r="E1258" s="738">
        <f t="shared" si="38"/>
        <v>10</v>
      </c>
      <c r="F1258">
        <f t="shared" si="39"/>
        <v>102939</v>
      </c>
      <c r="H1258" s="1405">
        <v>10</v>
      </c>
      <c r="I1258" s="1405">
        <v>10</v>
      </c>
    </row>
    <row r="1259" spans="2:9" ht="30">
      <c r="B1259" s="1477">
        <v>102945</v>
      </c>
      <c r="C1259" s="740" t="s">
        <v>8032</v>
      </c>
      <c r="D1259" s="739" t="s">
        <v>31</v>
      </c>
      <c r="E1259" s="741">
        <f t="shared" si="38"/>
        <v>0.03</v>
      </c>
      <c r="F1259">
        <f t="shared" si="39"/>
        <v>102945</v>
      </c>
      <c r="H1259" s="1406">
        <v>0.03</v>
      </c>
      <c r="I1259" s="1406">
        <v>0.03</v>
      </c>
    </row>
    <row r="1260" spans="2:9" ht="30">
      <c r="B1260" s="677">
        <v>102951</v>
      </c>
      <c r="C1260" s="733" t="s">
        <v>8033</v>
      </c>
      <c r="D1260" s="677" t="s">
        <v>31</v>
      </c>
      <c r="E1260" s="738">
        <f t="shared" si="38"/>
        <v>0.66</v>
      </c>
      <c r="F1260">
        <f t="shared" si="39"/>
        <v>102951</v>
      </c>
      <c r="H1260" s="1405">
        <v>0.66</v>
      </c>
      <c r="I1260" s="1405">
        <v>0.66</v>
      </c>
    </row>
    <row r="1261" spans="2:9" ht="30">
      <c r="B1261" s="1477">
        <v>102957</v>
      </c>
      <c r="C1261" s="740" t="s">
        <v>5352</v>
      </c>
      <c r="D1261" s="739" t="s">
        <v>31</v>
      </c>
      <c r="E1261" s="741">
        <f t="shared" si="38"/>
        <v>50.24</v>
      </c>
      <c r="F1261">
        <f t="shared" si="39"/>
        <v>102957</v>
      </c>
      <c r="H1261" s="1406">
        <v>50.24</v>
      </c>
      <c r="I1261" s="1406">
        <v>50.24</v>
      </c>
    </row>
    <row r="1262" spans="2:9" ht="30">
      <c r="B1262" s="677">
        <v>102963</v>
      </c>
      <c r="C1262" s="733" t="s">
        <v>5353</v>
      </c>
      <c r="D1262" s="677" t="s">
        <v>31</v>
      </c>
      <c r="E1262" s="738">
        <f t="shared" si="38"/>
        <v>83.46</v>
      </c>
      <c r="F1262">
        <f t="shared" si="39"/>
        <v>102963</v>
      </c>
      <c r="H1262" s="1405">
        <v>83.46</v>
      </c>
      <c r="I1262" s="1405">
        <v>83.46</v>
      </c>
    </row>
    <row r="1263" spans="2:9" ht="30">
      <c r="B1263" s="1477">
        <v>102969</v>
      </c>
      <c r="C1263" s="740" t="s">
        <v>8034</v>
      </c>
      <c r="D1263" s="739" t="s">
        <v>31</v>
      </c>
      <c r="E1263" s="741">
        <f t="shared" si="38"/>
        <v>1.35</v>
      </c>
      <c r="F1263">
        <f t="shared" si="39"/>
        <v>102969</v>
      </c>
      <c r="H1263" s="1406">
        <v>1.35</v>
      </c>
      <c r="I1263" s="1406">
        <v>1.35</v>
      </c>
    </row>
    <row r="1264" spans="2:9" ht="30">
      <c r="B1264" s="677">
        <v>102985</v>
      </c>
      <c r="C1264" s="733" t="s">
        <v>5354</v>
      </c>
      <c r="D1264" s="677" t="s">
        <v>31</v>
      </c>
      <c r="E1264" s="738">
        <f t="shared" si="38"/>
        <v>2.94</v>
      </c>
      <c r="F1264">
        <f t="shared" si="39"/>
        <v>102985</v>
      </c>
      <c r="H1264" s="1405">
        <v>2.94</v>
      </c>
      <c r="I1264" s="1405">
        <v>2.94</v>
      </c>
    </row>
    <row r="1265" spans="2:9" ht="30">
      <c r="B1265" s="1477">
        <v>103156</v>
      </c>
      <c r="C1265" s="740" t="s">
        <v>8035</v>
      </c>
      <c r="D1265" s="739" t="s">
        <v>31</v>
      </c>
      <c r="E1265" s="741">
        <f t="shared" si="38"/>
        <v>2.61</v>
      </c>
      <c r="F1265">
        <f t="shared" si="39"/>
        <v>103156</v>
      </c>
      <c r="H1265" s="1406">
        <v>2.61</v>
      </c>
      <c r="I1265" s="1406">
        <v>2.61</v>
      </c>
    </row>
    <row r="1266" spans="2:9" ht="30">
      <c r="B1266" s="677">
        <v>103162</v>
      </c>
      <c r="C1266" s="733" t="s">
        <v>8036</v>
      </c>
      <c r="D1266" s="677" t="s">
        <v>31</v>
      </c>
      <c r="E1266" s="738">
        <f t="shared" si="38"/>
        <v>3.18</v>
      </c>
      <c r="F1266">
        <f t="shared" si="39"/>
        <v>103162</v>
      </c>
      <c r="H1266" s="1405">
        <v>3.18</v>
      </c>
      <c r="I1266" s="1405">
        <v>3.18</v>
      </c>
    </row>
    <row r="1267" spans="2:9" ht="30">
      <c r="B1267" s="1477">
        <v>103168</v>
      </c>
      <c r="C1267" s="740" t="s">
        <v>8037</v>
      </c>
      <c r="D1267" s="739" t="s">
        <v>31</v>
      </c>
      <c r="E1267" s="741">
        <f t="shared" si="38"/>
        <v>3.56</v>
      </c>
      <c r="F1267">
        <f t="shared" si="39"/>
        <v>103168</v>
      </c>
      <c r="H1267" s="1406">
        <v>3.56</v>
      </c>
      <c r="I1267" s="1406">
        <v>3.56</v>
      </c>
    </row>
    <row r="1268" spans="2:9" ht="30">
      <c r="B1268" s="677">
        <v>103174</v>
      </c>
      <c r="C1268" s="733" t="s">
        <v>8038</v>
      </c>
      <c r="D1268" s="677" t="s">
        <v>31</v>
      </c>
      <c r="E1268" s="738">
        <f t="shared" si="38"/>
        <v>9.25</v>
      </c>
      <c r="F1268">
        <f t="shared" si="39"/>
        <v>103174</v>
      </c>
      <c r="H1268" s="1405">
        <v>9.25</v>
      </c>
      <c r="I1268" s="1405">
        <v>9.25</v>
      </c>
    </row>
    <row r="1269" spans="2:9" ht="30">
      <c r="B1269" s="1477">
        <v>103180</v>
      </c>
      <c r="C1269" s="740" t="s">
        <v>8039</v>
      </c>
      <c r="D1269" s="739" t="s">
        <v>31</v>
      </c>
      <c r="E1269" s="741">
        <f t="shared" si="38"/>
        <v>20.69</v>
      </c>
      <c r="F1269">
        <f t="shared" si="39"/>
        <v>103180</v>
      </c>
      <c r="H1269" s="1406">
        <v>20.69</v>
      </c>
      <c r="I1269" s="1406">
        <v>20.69</v>
      </c>
    </row>
    <row r="1270" spans="2:9" ht="30">
      <c r="B1270" s="677">
        <v>103223</v>
      </c>
      <c r="C1270" s="733" t="s">
        <v>8040</v>
      </c>
      <c r="D1270" s="677" t="s">
        <v>31</v>
      </c>
      <c r="E1270" s="738">
        <f t="shared" si="38"/>
        <v>34.53</v>
      </c>
      <c r="F1270">
        <f t="shared" si="39"/>
        <v>103223</v>
      </c>
      <c r="H1270" s="1405">
        <v>34.53</v>
      </c>
      <c r="I1270" s="1405">
        <v>34.53</v>
      </c>
    </row>
    <row r="1271" spans="2:9" ht="30">
      <c r="B1271" s="1477">
        <v>103229</v>
      </c>
      <c r="C1271" s="740" t="s">
        <v>8041</v>
      </c>
      <c r="D1271" s="739" t="s">
        <v>31</v>
      </c>
      <c r="E1271" s="741">
        <f t="shared" si="38"/>
        <v>95.57</v>
      </c>
      <c r="F1271">
        <f t="shared" si="39"/>
        <v>103229</v>
      </c>
      <c r="H1271" s="1406">
        <v>95.57</v>
      </c>
      <c r="I1271" s="1406">
        <v>95.57</v>
      </c>
    </row>
    <row r="1272" spans="2:9" ht="30">
      <c r="B1272" s="677">
        <v>103235</v>
      </c>
      <c r="C1272" s="733" t="s">
        <v>8042</v>
      </c>
      <c r="D1272" s="677" t="s">
        <v>31</v>
      </c>
      <c r="E1272" s="738">
        <f t="shared" si="38"/>
        <v>101.06</v>
      </c>
      <c r="F1272">
        <f t="shared" si="39"/>
        <v>103235</v>
      </c>
      <c r="H1272" s="1405">
        <v>101.06</v>
      </c>
      <c r="I1272" s="1405">
        <v>101.06</v>
      </c>
    </row>
    <row r="1273" spans="2:9" ht="30">
      <c r="B1273" s="1477">
        <v>103241</v>
      </c>
      <c r="C1273" s="740" t="s">
        <v>8043</v>
      </c>
      <c r="D1273" s="739" t="s">
        <v>31</v>
      </c>
      <c r="E1273" s="741">
        <f t="shared" si="38"/>
        <v>9.69</v>
      </c>
      <c r="F1273">
        <f t="shared" si="39"/>
        <v>103241</v>
      </c>
      <c r="H1273" s="1406">
        <v>9.69</v>
      </c>
      <c r="I1273" s="1406">
        <v>9.69</v>
      </c>
    </row>
    <row r="1274" spans="2:9">
      <c r="B1274" s="677">
        <v>103660</v>
      </c>
      <c r="C1274" s="733" t="s">
        <v>8044</v>
      </c>
      <c r="D1274" s="677" t="s">
        <v>31</v>
      </c>
      <c r="E1274" s="738">
        <f t="shared" si="38"/>
        <v>10.82</v>
      </c>
      <c r="F1274">
        <f t="shared" si="39"/>
        <v>103660</v>
      </c>
      <c r="H1274" s="1405">
        <v>10.82</v>
      </c>
      <c r="I1274" s="1405">
        <v>10.82</v>
      </c>
    </row>
    <row r="1275" spans="2:9" ht="30">
      <c r="B1275" s="1477">
        <v>103666</v>
      </c>
      <c r="C1275" s="740" t="s">
        <v>8045</v>
      </c>
      <c r="D1275" s="739" t="s">
        <v>31</v>
      </c>
      <c r="E1275" s="741">
        <f t="shared" si="38"/>
        <v>158.55000000000001</v>
      </c>
      <c r="F1275">
        <f t="shared" si="39"/>
        <v>103666</v>
      </c>
      <c r="H1275" s="1406">
        <v>158.55000000000001</v>
      </c>
      <c r="I1275" s="1406">
        <v>158.55000000000001</v>
      </c>
    </row>
    <row r="1276" spans="2:9" ht="45">
      <c r="B1276" s="677">
        <v>103792</v>
      </c>
      <c r="C1276" s="733" t="s">
        <v>5539</v>
      </c>
      <c r="D1276" s="677" t="s">
        <v>31</v>
      </c>
      <c r="E1276" s="738">
        <f t="shared" si="38"/>
        <v>0.28999999999999998</v>
      </c>
      <c r="F1276">
        <f t="shared" si="39"/>
        <v>103792</v>
      </c>
      <c r="H1276" s="1405">
        <v>0.28999999999999998</v>
      </c>
      <c r="I1276" s="1405">
        <v>0.28999999999999998</v>
      </c>
    </row>
    <row r="1277" spans="2:9" ht="30">
      <c r="B1277" s="1477">
        <v>103937</v>
      </c>
      <c r="C1277" s="740" t="s">
        <v>5854</v>
      </c>
      <c r="D1277" s="739" t="s">
        <v>31</v>
      </c>
      <c r="E1277" s="741">
        <f t="shared" si="38"/>
        <v>1.63</v>
      </c>
      <c r="F1277">
        <f t="shared" si="39"/>
        <v>103937</v>
      </c>
      <c r="H1277" s="1406">
        <v>1.63</v>
      </c>
      <c r="I1277" s="1406">
        <v>1.63</v>
      </c>
    </row>
    <row r="1278" spans="2:9" ht="30">
      <c r="B1278" s="677">
        <v>103943</v>
      </c>
      <c r="C1278" s="733" t="s">
        <v>5855</v>
      </c>
      <c r="D1278" s="677" t="s">
        <v>31</v>
      </c>
      <c r="E1278" s="738">
        <f t="shared" si="38"/>
        <v>1.63</v>
      </c>
      <c r="F1278">
        <f t="shared" si="39"/>
        <v>103943</v>
      </c>
      <c r="H1278" s="1405">
        <v>1.63</v>
      </c>
      <c r="I1278" s="1405">
        <v>1.63</v>
      </c>
    </row>
    <row r="1279" spans="2:9" ht="30">
      <c r="B1279" s="1477">
        <v>104087</v>
      </c>
      <c r="C1279" s="740" t="s">
        <v>5856</v>
      </c>
      <c r="D1279" s="739" t="s">
        <v>31</v>
      </c>
      <c r="E1279" s="741">
        <f t="shared" si="38"/>
        <v>7.0000000000000007E-2</v>
      </c>
      <c r="F1279">
        <f t="shared" si="39"/>
        <v>104087</v>
      </c>
      <c r="H1279" s="1406">
        <v>7.0000000000000007E-2</v>
      </c>
      <c r="I1279" s="1406">
        <v>7.0000000000000007E-2</v>
      </c>
    </row>
    <row r="1280" spans="2:9" ht="30">
      <c r="B1280" s="677">
        <v>104088</v>
      </c>
      <c r="C1280" s="733" t="s">
        <v>5857</v>
      </c>
      <c r="D1280" s="677" t="s">
        <v>31</v>
      </c>
      <c r="E1280" s="738">
        <f t="shared" si="38"/>
        <v>0.01</v>
      </c>
      <c r="F1280">
        <f t="shared" si="39"/>
        <v>104088</v>
      </c>
      <c r="H1280" s="1405">
        <v>0.01</v>
      </c>
      <c r="I1280" s="1405">
        <v>0.01</v>
      </c>
    </row>
    <row r="1281" spans="2:9" ht="30">
      <c r="B1281" s="1477">
        <v>104089</v>
      </c>
      <c r="C1281" s="740" t="s">
        <v>5858</v>
      </c>
      <c r="D1281" s="739" t="s">
        <v>31</v>
      </c>
      <c r="E1281" s="741">
        <f t="shared" si="38"/>
        <v>0.09</v>
      </c>
      <c r="F1281">
        <f t="shared" si="39"/>
        <v>104089</v>
      </c>
      <c r="H1281" s="1406">
        <v>0.09</v>
      </c>
      <c r="I1281" s="1406">
        <v>0.09</v>
      </c>
    </row>
    <row r="1282" spans="2:9" ht="30">
      <c r="B1282" s="677">
        <v>104090</v>
      </c>
      <c r="C1282" s="733" t="s">
        <v>5859</v>
      </c>
      <c r="D1282" s="677" t="s">
        <v>31</v>
      </c>
      <c r="E1282" s="738">
        <f t="shared" si="38"/>
        <v>0.72</v>
      </c>
      <c r="F1282">
        <f t="shared" si="39"/>
        <v>104090</v>
      </c>
      <c r="H1282" s="1405">
        <v>0.72</v>
      </c>
      <c r="I1282" s="1405">
        <v>0.72</v>
      </c>
    </row>
    <row r="1283" spans="2:9" ht="30">
      <c r="B1283" s="1477">
        <v>104093</v>
      </c>
      <c r="C1283" s="740" t="s">
        <v>5860</v>
      </c>
      <c r="D1283" s="739" t="s">
        <v>31</v>
      </c>
      <c r="E1283" s="741">
        <f t="shared" ref="E1283:E1346" si="40">IF($K$2=$H$1,H1283,I1283)</f>
        <v>0.1</v>
      </c>
      <c r="F1283">
        <f t="shared" ref="F1283:F1346" si="41">IF(LEN($B1283)=7,CONCATENATE(MID($B1283,1,6),"00",RIGHT($B1283,1)),IF(LEN($B1283)=8,CONCATENATE(MID($B1283,1,6),"0",RIGHT($B1283,2)),$B1283))</f>
        <v>104093</v>
      </c>
      <c r="H1283" s="1406">
        <v>0.1</v>
      </c>
      <c r="I1283" s="1406">
        <v>0.1</v>
      </c>
    </row>
    <row r="1284" spans="2:9" ht="30">
      <c r="B1284" s="677">
        <v>104094</v>
      </c>
      <c r="C1284" s="733" t="s">
        <v>5861</v>
      </c>
      <c r="D1284" s="677" t="s">
        <v>31</v>
      </c>
      <c r="E1284" s="738">
        <f t="shared" si="40"/>
        <v>0.02</v>
      </c>
      <c r="F1284">
        <f t="shared" si="41"/>
        <v>104094</v>
      </c>
      <c r="H1284" s="1405">
        <v>0.02</v>
      </c>
      <c r="I1284" s="1405">
        <v>0.02</v>
      </c>
    </row>
    <row r="1285" spans="2:9" ht="30">
      <c r="B1285" s="1477">
        <v>104095</v>
      </c>
      <c r="C1285" s="740" t="s">
        <v>5862</v>
      </c>
      <c r="D1285" s="739" t="s">
        <v>31</v>
      </c>
      <c r="E1285" s="741">
        <f t="shared" si="40"/>
        <v>0.12</v>
      </c>
      <c r="F1285">
        <f t="shared" si="41"/>
        <v>104095</v>
      </c>
      <c r="H1285" s="1406">
        <v>0.12</v>
      </c>
      <c r="I1285" s="1406">
        <v>0.12</v>
      </c>
    </row>
    <row r="1286" spans="2:9" ht="30">
      <c r="B1286" s="677">
        <v>104096</v>
      </c>
      <c r="C1286" s="733" t="s">
        <v>5863</v>
      </c>
      <c r="D1286" s="677" t="s">
        <v>31</v>
      </c>
      <c r="E1286" s="738">
        <f t="shared" si="40"/>
        <v>1</v>
      </c>
      <c r="F1286">
        <f t="shared" si="41"/>
        <v>104096</v>
      </c>
      <c r="H1286" s="1405">
        <v>1</v>
      </c>
      <c r="I1286" s="1405">
        <v>1</v>
      </c>
    </row>
    <row r="1287" spans="2:9" ht="30">
      <c r="B1287" s="1477">
        <v>104519</v>
      </c>
      <c r="C1287" s="740" t="s">
        <v>7370</v>
      </c>
      <c r="D1287" s="739" t="s">
        <v>31</v>
      </c>
      <c r="E1287" s="741">
        <f t="shared" si="40"/>
        <v>0.68</v>
      </c>
      <c r="F1287">
        <f t="shared" si="41"/>
        <v>104519</v>
      </c>
      <c r="H1287" s="1406">
        <v>0.68</v>
      </c>
      <c r="I1287" s="1406">
        <v>0.68</v>
      </c>
    </row>
    <row r="1288" spans="2:9">
      <c r="B1288" s="677">
        <v>104655</v>
      </c>
      <c r="C1288" s="733" t="s">
        <v>8046</v>
      </c>
      <c r="D1288" s="677" t="s">
        <v>31</v>
      </c>
      <c r="E1288" s="738">
        <f t="shared" si="40"/>
        <v>0.72</v>
      </c>
      <c r="F1288">
        <f t="shared" si="41"/>
        <v>104655</v>
      </c>
      <c r="H1288" s="1405">
        <v>0.72</v>
      </c>
      <c r="I1288" s="1405">
        <v>0.72</v>
      </c>
    </row>
    <row r="1289" spans="2:9" ht="30">
      <c r="B1289" s="1477">
        <v>104687</v>
      </c>
      <c r="C1289" s="740" t="s">
        <v>8047</v>
      </c>
      <c r="D1289" s="739" t="s">
        <v>31</v>
      </c>
      <c r="E1289" s="741">
        <f t="shared" si="40"/>
        <v>442.45</v>
      </c>
      <c r="F1289">
        <f t="shared" si="41"/>
        <v>104687</v>
      </c>
      <c r="H1289" s="1406">
        <v>442.45</v>
      </c>
      <c r="I1289" s="1406">
        <v>442.45</v>
      </c>
    </row>
    <row r="1290" spans="2:9" ht="30">
      <c r="B1290" s="677">
        <v>104694</v>
      </c>
      <c r="C1290" s="733" t="s">
        <v>8048</v>
      </c>
      <c r="D1290" s="677" t="s">
        <v>31</v>
      </c>
      <c r="E1290" s="738">
        <f t="shared" si="40"/>
        <v>2.27</v>
      </c>
      <c r="F1290">
        <f t="shared" si="41"/>
        <v>104694</v>
      </c>
      <c r="H1290" s="1405">
        <v>2.27</v>
      </c>
      <c r="I1290" s="1405">
        <v>2.27</v>
      </c>
    </row>
    <row r="1291" spans="2:9" ht="30">
      <c r="B1291" s="1477">
        <v>104703</v>
      </c>
      <c r="C1291" s="740" t="s">
        <v>8085</v>
      </c>
      <c r="D1291" s="739" t="s">
        <v>31</v>
      </c>
      <c r="E1291" s="741">
        <f t="shared" si="40"/>
        <v>91.05</v>
      </c>
      <c r="F1291">
        <f t="shared" si="41"/>
        <v>104703</v>
      </c>
      <c r="H1291" s="1406">
        <v>91.05</v>
      </c>
      <c r="I1291" s="1406">
        <v>91.05</v>
      </c>
    </row>
    <row r="1292" spans="2:9" ht="30">
      <c r="B1292" s="677">
        <v>104709</v>
      </c>
      <c r="C1292" s="733" t="s">
        <v>8086</v>
      </c>
      <c r="D1292" s="677" t="s">
        <v>31</v>
      </c>
      <c r="E1292" s="738">
        <f t="shared" si="40"/>
        <v>1151.49</v>
      </c>
      <c r="F1292">
        <f t="shared" si="41"/>
        <v>104709</v>
      </c>
      <c r="H1292" s="1405">
        <v>1151.49</v>
      </c>
      <c r="I1292" s="1405">
        <v>1151.49</v>
      </c>
    </row>
    <row r="1293" spans="2:9" ht="30">
      <c r="B1293" s="1477">
        <v>104715</v>
      </c>
      <c r="C1293" s="740" t="s">
        <v>8087</v>
      </c>
      <c r="D1293" s="739" t="s">
        <v>31</v>
      </c>
      <c r="E1293" s="741">
        <f t="shared" si="40"/>
        <v>88.52</v>
      </c>
      <c r="F1293">
        <f t="shared" si="41"/>
        <v>104715</v>
      </c>
      <c r="H1293" s="1406">
        <v>88.52</v>
      </c>
      <c r="I1293" s="1406">
        <v>88.52</v>
      </c>
    </row>
    <row r="1294" spans="2:9" ht="30">
      <c r="B1294" s="677">
        <v>104906</v>
      </c>
      <c r="C1294" s="733" t="s">
        <v>14525</v>
      </c>
      <c r="D1294" s="677" t="s">
        <v>31</v>
      </c>
      <c r="E1294" s="738">
        <f t="shared" si="40"/>
        <v>97.18</v>
      </c>
      <c r="F1294">
        <f t="shared" si="41"/>
        <v>104906</v>
      </c>
      <c r="H1294" s="1405">
        <v>97.18</v>
      </c>
      <c r="I1294" s="1405">
        <v>97.18</v>
      </c>
    </row>
    <row r="1295" spans="2:9">
      <c r="B1295" s="1477">
        <v>104912</v>
      </c>
      <c r="C1295" s="740" t="s">
        <v>14526</v>
      </c>
      <c r="D1295" s="739" t="s">
        <v>31</v>
      </c>
      <c r="E1295" s="741">
        <f t="shared" si="40"/>
        <v>40.92</v>
      </c>
      <c r="F1295">
        <f t="shared" si="41"/>
        <v>104912</v>
      </c>
      <c r="H1295" s="1406">
        <v>40.92</v>
      </c>
      <c r="I1295" s="1406">
        <v>40.92</v>
      </c>
    </row>
    <row r="1296" spans="2:9" ht="30">
      <c r="B1296" s="677">
        <v>92259</v>
      </c>
      <c r="C1296" s="733" t="s">
        <v>2286</v>
      </c>
      <c r="D1296" s="677" t="s">
        <v>22</v>
      </c>
      <c r="E1296" s="738">
        <f t="shared" si="40"/>
        <v>421.22</v>
      </c>
      <c r="F1296">
        <f t="shared" si="41"/>
        <v>92259</v>
      </c>
      <c r="H1296" s="1405">
        <v>408.28</v>
      </c>
      <c r="I1296" s="1405">
        <v>421.22</v>
      </c>
    </row>
    <row r="1297" spans="2:9" ht="30">
      <c r="B1297" s="1477">
        <v>92260</v>
      </c>
      <c r="C1297" s="740" t="s">
        <v>2287</v>
      </c>
      <c r="D1297" s="739" t="s">
        <v>22</v>
      </c>
      <c r="E1297" s="741">
        <f t="shared" si="40"/>
        <v>481.6</v>
      </c>
      <c r="F1297">
        <f t="shared" si="41"/>
        <v>92260</v>
      </c>
      <c r="H1297" s="1406">
        <v>462.38</v>
      </c>
      <c r="I1297" s="1406">
        <v>481.6</v>
      </c>
    </row>
    <row r="1298" spans="2:9" ht="30">
      <c r="B1298" s="677">
        <v>92261</v>
      </c>
      <c r="C1298" s="733" t="s">
        <v>2288</v>
      </c>
      <c r="D1298" s="677" t="s">
        <v>22</v>
      </c>
      <c r="E1298" s="738">
        <f t="shared" si="40"/>
        <v>540.12</v>
      </c>
      <c r="F1298">
        <f t="shared" si="41"/>
        <v>92261</v>
      </c>
      <c r="H1298" s="1405">
        <v>514.85</v>
      </c>
      <c r="I1298" s="1405">
        <v>540.12</v>
      </c>
    </row>
    <row r="1299" spans="2:9" ht="30">
      <c r="B1299" s="1477">
        <v>92262</v>
      </c>
      <c r="C1299" s="740" t="s">
        <v>2289</v>
      </c>
      <c r="D1299" s="739" t="s">
        <v>22</v>
      </c>
      <c r="E1299" s="741">
        <f t="shared" si="40"/>
        <v>634.35</v>
      </c>
      <c r="F1299">
        <f t="shared" si="41"/>
        <v>92262</v>
      </c>
      <c r="H1299" s="1406">
        <v>599.32000000000005</v>
      </c>
      <c r="I1299" s="1406">
        <v>634.35</v>
      </c>
    </row>
    <row r="1300" spans="2:9" ht="30">
      <c r="B1300" s="677">
        <v>92539</v>
      </c>
      <c r="C1300" s="733" t="s">
        <v>2290</v>
      </c>
      <c r="D1300" s="677" t="s">
        <v>0</v>
      </c>
      <c r="E1300" s="738">
        <f t="shared" si="40"/>
        <v>67.959999999999994</v>
      </c>
      <c r="F1300">
        <f t="shared" si="41"/>
        <v>92539</v>
      </c>
      <c r="H1300" s="1405">
        <v>65.91</v>
      </c>
      <c r="I1300" s="1405">
        <v>67.959999999999994</v>
      </c>
    </row>
    <row r="1301" spans="2:9" ht="30">
      <c r="B1301" s="1477">
        <v>92540</v>
      </c>
      <c r="C1301" s="740" t="s">
        <v>2291</v>
      </c>
      <c r="D1301" s="739" t="s">
        <v>0</v>
      </c>
      <c r="E1301" s="741">
        <f t="shared" si="40"/>
        <v>76.930000000000007</v>
      </c>
      <c r="F1301">
        <f t="shared" si="41"/>
        <v>92540</v>
      </c>
      <c r="H1301" s="1406">
        <v>73.97</v>
      </c>
      <c r="I1301" s="1406">
        <v>76.930000000000007</v>
      </c>
    </row>
    <row r="1302" spans="2:9" ht="30">
      <c r="B1302" s="677">
        <v>92541</v>
      </c>
      <c r="C1302" s="733" t="s">
        <v>2292</v>
      </c>
      <c r="D1302" s="677" t="s">
        <v>0</v>
      </c>
      <c r="E1302" s="738">
        <f t="shared" si="40"/>
        <v>73.17</v>
      </c>
      <c r="F1302">
        <f t="shared" si="41"/>
        <v>92541</v>
      </c>
      <c r="H1302" s="1405">
        <v>71.040000000000006</v>
      </c>
      <c r="I1302" s="1405">
        <v>73.17</v>
      </c>
    </row>
    <row r="1303" spans="2:9" ht="30">
      <c r="B1303" s="1477">
        <v>92542</v>
      </c>
      <c r="C1303" s="740" t="s">
        <v>2293</v>
      </c>
      <c r="D1303" s="739" t="s">
        <v>0</v>
      </c>
      <c r="E1303" s="741">
        <f t="shared" si="40"/>
        <v>89.25</v>
      </c>
      <c r="F1303">
        <f t="shared" si="41"/>
        <v>92542</v>
      </c>
      <c r="H1303" s="1406">
        <v>86.18</v>
      </c>
      <c r="I1303" s="1406">
        <v>89.25</v>
      </c>
    </row>
    <row r="1304" spans="2:9" ht="30">
      <c r="B1304" s="677">
        <v>92543</v>
      </c>
      <c r="C1304" s="733" t="s">
        <v>2294</v>
      </c>
      <c r="D1304" s="677" t="s">
        <v>0</v>
      </c>
      <c r="E1304" s="738">
        <f t="shared" si="40"/>
        <v>20.27</v>
      </c>
      <c r="F1304">
        <f t="shared" si="41"/>
        <v>92543</v>
      </c>
      <c r="H1304" s="1405">
        <v>19.79</v>
      </c>
      <c r="I1304" s="1405">
        <v>20.27</v>
      </c>
    </row>
    <row r="1305" spans="2:9" ht="30">
      <c r="B1305" s="1477">
        <v>92544</v>
      </c>
      <c r="C1305" s="740" t="s">
        <v>2295</v>
      </c>
      <c r="D1305" s="739" t="s">
        <v>0</v>
      </c>
      <c r="E1305" s="741">
        <f t="shared" si="40"/>
        <v>16.11</v>
      </c>
      <c r="F1305">
        <f t="shared" si="41"/>
        <v>92544</v>
      </c>
      <c r="H1305" s="1406">
        <v>15.73</v>
      </c>
      <c r="I1305" s="1406">
        <v>16.11</v>
      </c>
    </row>
    <row r="1306" spans="2:9" ht="30">
      <c r="B1306" s="677">
        <v>92545</v>
      </c>
      <c r="C1306" s="733" t="s">
        <v>2296</v>
      </c>
      <c r="D1306" s="677" t="s">
        <v>22</v>
      </c>
      <c r="E1306" s="738">
        <f t="shared" si="40"/>
        <v>921.5</v>
      </c>
      <c r="F1306">
        <f t="shared" si="41"/>
        <v>92545</v>
      </c>
      <c r="H1306" s="1405">
        <v>885.1</v>
      </c>
      <c r="I1306" s="1405">
        <v>921.5</v>
      </c>
    </row>
    <row r="1307" spans="2:9" ht="30">
      <c r="B1307" s="1477">
        <v>92546</v>
      </c>
      <c r="C1307" s="740" t="s">
        <v>2297</v>
      </c>
      <c r="D1307" s="739" t="s">
        <v>22</v>
      </c>
      <c r="E1307" s="741">
        <f t="shared" si="40"/>
        <v>1132.3900000000001</v>
      </c>
      <c r="F1307">
        <f t="shared" si="41"/>
        <v>92546</v>
      </c>
      <c r="H1307" s="1406">
        <v>1084.25</v>
      </c>
      <c r="I1307" s="1406">
        <v>1132.3900000000001</v>
      </c>
    </row>
    <row r="1308" spans="2:9" ht="30">
      <c r="B1308" s="677">
        <v>92547</v>
      </c>
      <c r="C1308" s="733" t="s">
        <v>2298</v>
      </c>
      <c r="D1308" s="677" t="s">
        <v>22</v>
      </c>
      <c r="E1308" s="738">
        <f t="shared" si="40"/>
        <v>1194.25</v>
      </c>
      <c r="F1308">
        <f t="shared" si="41"/>
        <v>92547</v>
      </c>
      <c r="H1308" s="1405">
        <v>1146.1099999999999</v>
      </c>
      <c r="I1308" s="1405">
        <v>1194.25</v>
      </c>
    </row>
    <row r="1309" spans="2:9" ht="30">
      <c r="B1309" s="1477">
        <v>92548</v>
      </c>
      <c r="C1309" s="740" t="s">
        <v>2299</v>
      </c>
      <c r="D1309" s="739" t="s">
        <v>22</v>
      </c>
      <c r="E1309" s="741">
        <f t="shared" si="40"/>
        <v>1328.4</v>
      </c>
      <c r="F1309">
        <f t="shared" si="41"/>
        <v>92548</v>
      </c>
      <c r="H1309" s="1406">
        <v>1273.98</v>
      </c>
      <c r="I1309" s="1406">
        <v>1328.4</v>
      </c>
    </row>
    <row r="1310" spans="2:9" ht="30">
      <c r="B1310" s="677">
        <v>92549</v>
      </c>
      <c r="C1310" s="733" t="s">
        <v>2300</v>
      </c>
      <c r="D1310" s="677" t="s">
        <v>22</v>
      </c>
      <c r="E1310" s="738">
        <f t="shared" si="40"/>
        <v>1667.3</v>
      </c>
      <c r="F1310">
        <f t="shared" si="41"/>
        <v>92549</v>
      </c>
      <c r="H1310" s="1405">
        <v>1589.42</v>
      </c>
      <c r="I1310" s="1405">
        <v>1667.3</v>
      </c>
    </row>
    <row r="1311" spans="2:9" ht="30">
      <c r="B1311" s="1477">
        <v>92550</v>
      </c>
      <c r="C1311" s="740" t="s">
        <v>2301</v>
      </c>
      <c r="D1311" s="739" t="s">
        <v>22</v>
      </c>
      <c r="E1311" s="741">
        <f t="shared" si="40"/>
        <v>2066.52</v>
      </c>
      <c r="F1311">
        <f t="shared" si="41"/>
        <v>92550</v>
      </c>
      <c r="H1311" s="1406">
        <v>1982.59</v>
      </c>
      <c r="I1311" s="1406">
        <v>2066.52</v>
      </c>
    </row>
    <row r="1312" spans="2:9" ht="30">
      <c r="B1312" s="677">
        <v>92551</v>
      </c>
      <c r="C1312" s="733" t="s">
        <v>2302</v>
      </c>
      <c r="D1312" s="677" t="s">
        <v>22</v>
      </c>
      <c r="E1312" s="738">
        <f t="shared" si="40"/>
        <v>2145.88</v>
      </c>
      <c r="F1312">
        <f t="shared" si="41"/>
        <v>92551</v>
      </c>
      <c r="H1312" s="1405">
        <v>2061.9499999999998</v>
      </c>
      <c r="I1312" s="1405">
        <v>2145.88</v>
      </c>
    </row>
    <row r="1313" spans="2:9" ht="30">
      <c r="B1313" s="1477">
        <v>92552</v>
      </c>
      <c r="C1313" s="740" t="s">
        <v>2303</v>
      </c>
      <c r="D1313" s="739" t="s">
        <v>22</v>
      </c>
      <c r="E1313" s="741">
        <f t="shared" si="40"/>
        <v>2331.39</v>
      </c>
      <c r="F1313">
        <f t="shared" si="41"/>
        <v>92552</v>
      </c>
      <c r="H1313" s="1406">
        <v>2237.6999999999998</v>
      </c>
      <c r="I1313" s="1406">
        <v>2331.39</v>
      </c>
    </row>
    <row r="1314" spans="2:9" ht="30">
      <c r="B1314" s="677">
        <v>92553</v>
      </c>
      <c r="C1314" s="733" t="s">
        <v>2304</v>
      </c>
      <c r="D1314" s="677" t="s">
        <v>22</v>
      </c>
      <c r="E1314" s="738">
        <f t="shared" si="40"/>
        <v>2679.44</v>
      </c>
      <c r="F1314">
        <f t="shared" si="41"/>
        <v>92553</v>
      </c>
      <c r="H1314" s="1405">
        <v>2562.27</v>
      </c>
      <c r="I1314" s="1405">
        <v>2679.44</v>
      </c>
    </row>
    <row r="1315" spans="2:9" ht="30">
      <c r="B1315" s="1477">
        <v>92554</v>
      </c>
      <c r="C1315" s="740" t="s">
        <v>2305</v>
      </c>
      <c r="D1315" s="739" t="s">
        <v>22</v>
      </c>
      <c r="E1315" s="741">
        <f t="shared" si="40"/>
        <v>2770.37</v>
      </c>
      <c r="F1315">
        <f t="shared" si="41"/>
        <v>92554</v>
      </c>
      <c r="H1315" s="1406">
        <v>2653.2</v>
      </c>
      <c r="I1315" s="1406">
        <v>2770.37</v>
      </c>
    </row>
    <row r="1316" spans="2:9" ht="30">
      <c r="B1316" s="677">
        <v>92555</v>
      </c>
      <c r="C1316" s="733" t="s">
        <v>2306</v>
      </c>
      <c r="D1316" s="677" t="s">
        <v>22</v>
      </c>
      <c r="E1316" s="738">
        <f t="shared" si="40"/>
        <v>909.6</v>
      </c>
      <c r="F1316">
        <f t="shared" si="41"/>
        <v>92555</v>
      </c>
      <c r="H1316" s="1405">
        <v>873.2</v>
      </c>
      <c r="I1316" s="1405">
        <v>909.6</v>
      </c>
    </row>
    <row r="1317" spans="2:9" ht="30">
      <c r="B1317" s="1477">
        <v>92556</v>
      </c>
      <c r="C1317" s="740" t="s">
        <v>2307</v>
      </c>
      <c r="D1317" s="739" t="s">
        <v>22</v>
      </c>
      <c r="E1317" s="741">
        <f t="shared" si="40"/>
        <v>1111.53</v>
      </c>
      <c r="F1317">
        <f t="shared" si="41"/>
        <v>92556</v>
      </c>
      <c r="H1317" s="1406">
        <v>1063.3900000000001</v>
      </c>
      <c r="I1317" s="1406">
        <v>1111.53</v>
      </c>
    </row>
    <row r="1318" spans="2:9" ht="30">
      <c r="B1318" s="677">
        <v>92557</v>
      </c>
      <c r="C1318" s="733" t="s">
        <v>2308</v>
      </c>
      <c r="D1318" s="677" t="s">
        <v>22</v>
      </c>
      <c r="E1318" s="738">
        <f t="shared" si="40"/>
        <v>1173.3900000000001</v>
      </c>
      <c r="F1318">
        <f t="shared" si="41"/>
        <v>92557</v>
      </c>
      <c r="H1318" s="1405">
        <v>1125.25</v>
      </c>
      <c r="I1318" s="1405">
        <v>1173.3900000000001</v>
      </c>
    </row>
    <row r="1319" spans="2:9" ht="30">
      <c r="B1319" s="1477">
        <v>92558</v>
      </c>
      <c r="C1319" s="740" t="s">
        <v>2309</v>
      </c>
      <c r="D1319" s="739" t="s">
        <v>22</v>
      </c>
      <c r="E1319" s="741">
        <f t="shared" si="40"/>
        <v>1316.49</v>
      </c>
      <c r="F1319">
        <f t="shared" si="41"/>
        <v>92558</v>
      </c>
      <c r="H1319" s="1406">
        <v>1262.07</v>
      </c>
      <c r="I1319" s="1406">
        <v>1316.49</v>
      </c>
    </row>
    <row r="1320" spans="2:9" ht="30">
      <c r="B1320" s="677">
        <v>92559</v>
      </c>
      <c r="C1320" s="733" t="s">
        <v>2310</v>
      </c>
      <c r="D1320" s="677" t="s">
        <v>22</v>
      </c>
      <c r="E1320" s="738">
        <f t="shared" si="40"/>
        <v>1645.13</v>
      </c>
      <c r="F1320">
        <f t="shared" si="41"/>
        <v>92559</v>
      </c>
      <c r="H1320" s="1405">
        <v>1567.25</v>
      </c>
      <c r="I1320" s="1405">
        <v>1645.13</v>
      </c>
    </row>
    <row r="1321" spans="2:9" ht="30">
      <c r="B1321" s="1477">
        <v>92560</v>
      </c>
      <c r="C1321" s="740" t="s">
        <v>2311</v>
      </c>
      <c r="D1321" s="739" t="s">
        <v>22</v>
      </c>
      <c r="E1321" s="741">
        <f t="shared" si="40"/>
        <v>2036.33</v>
      </c>
      <c r="F1321">
        <f t="shared" si="41"/>
        <v>92560</v>
      </c>
      <c r="H1321" s="1406">
        <v>1952.4</v>
      </c>
      <c r="I1321" s="1406">
        <v>2036.33</v>
      </c>
    </row>
    <row r="1322" spans="2:9" ht="30">
      <c r="B1322" s="677">
        <v>92561</v>
      </c>
      <c r="C1322" s="733" t="s">
        <v>2312</v>
      </c>
      <c r="D1322" s="677" t="s">
        <v>22</v>
      </c>
      <c r="E1322" s="738">
        <f t="shared" si="40"/>
        <v>2116.5100000000002</v>
      </c>
      <c r="F1322">
        <f t="shared" si="41"/>
        <v>92561</v>
      </c>
      <c r="H1322" s="1405">
        <v>2032.58</v>
      </c>
      <c r="I1322" s="1405">
        <v>2116.5100000000002</v>
      </c>
    </row>
    <row r="1323" spans="2:9" ht="30">
      <c r="B1323" s="1477">
        <v>92562</v>
      </c>
      <c r="C1323" s="740" t="s">
        <v>2313</v>
      </c>
      <c r="D1323" s="739" t="s">
        <v>22</v>
      </c>
      <c r="E1323" s="741">
        <f t="shared" si="40"/>
        <v>2281.16</v>
      </c>
      <c r="F1323">
        <f t="shared" si="41"/>
        <v>92562</v>
      </c>
      <c r="H1323" s="1406">
        <v>2187.4699999999998</v>
      </c>
      <c r="I1323" s="1406">
        <v>2281.16</v>
      </c>
    </row>
    <row r="1324" spans="2:9" ht="30">
      <c r="B1324" s="677">
        <v>92563</v>
      </c>
      <c r="C1324" s="733" t="s">
        <v>2314</v>
      </c>
      <c r="D1324" s="677" t="s">
        <v>22</v>
      </c>
      <c r="E1324" s="738">
        <f t="shared" si="40"/>
        <v>2620.71</v>
      </c>
      <c r="F1324">
        <f t="shared" si="41"/>
        <v>92563</v>
      </c>
      <c r="H1324" s="1405">
        <v>2503.54</v>
      </c>
      <c r="I1324" s="1405">
        <v>2620.71</v>
      </c>
    </row>
    <row r="1325" spans="2:9" ht="30">
      <c r="B1325" s="1477">
        <v>92564</v>
      </c>
      <c r="C1325" s="740" t="s">
        <v>2315</v>
      </c>
      <c r="D1325" s="739" t="s">
        <v>22</v>
      </c>
      <c r="E1325" s="741">
        <f t="shared" si="40"/>
        <v>2698.43</v>
      </c>
      <c r="F1325">
        <f t="shared" si="41"/>
        <v>92564</v>
      </c>
      <c r="H1325" s="1406">
        <v>2581.2600000000002</v>
      </c>
      <c r="I1325" s="1406">
        <v>2698.43</v>
      </c>
    </row>
    <row r="1326" spans="2:9" ht="30">
      <c r="B1326" s="677">
        <v>100379</v>
      </c>
      <c r="C1326" s="733" t="s">
        <v>2316</v>
      </c>
      <c r="D1326" s="677" t="s">
        <v>0</v>
      </c>
      <c r="E1326" s="738">
        <f t="shared" si="40"/>
        <v>34.380000000000003</v>
      </c>
      <c r="F1326">
        <f t="shared" si="41"/>
        <v>100379</v>
      </c>
      <c r="H1326" s="1405">
        <v>33.07</v>
      </c>
      <c r="I1326" s="1405">
        <v>34.380000000000003</v>
      </c>
    </row>
    <row r="1327" spans="2:9" ht="30">
      <c r="B1327" s="1477">
        <v>100380</v>
      </c>
      <c r="C1327" s="740" t="s">
        <v>2317</v>
      </c>
      <c r="D1327" s="739" t="s">
        <v>0</v>
      </c>
      <c r="E1327" s="741">
        <f t="shared" si="40"/>
        <v>45.6</v>
      </c>
      <c r="F1327">
        <f t="shared" si="41"/>
        <v>100380</v>
      </c>
      <c r="H1327" s="1406">
        <v>43.5</v>
      </c>
      <c r="I1327" s="1406">
        <v>45.6</v>
      </c>
    </row>
    <row r="1328" spans="2:9" ht="30">
      <c r="B1328" s="677">
        <v>100381</v>
      </c>
      <c r="C1328" s="733" t="s">
        <v>2318</v>
      </c>
      <c r="D1328" s="677" t="s">
        <v>0</v>
      </c>
      <c r="E1328" s="738">
        <f t="shared" si="40"/>
        <v>51.27</v>
      </c>
      <c r="F1328">
        <f t="shared" si="41"/>
        <v>100381</v>
      </c>
      <c r="H1328" s="1405">
        <v>48.66</v>
      </c>
      <c r="I1328" s="1405">
        <v>51.27</v>
      </c>
    </row>
    <row r="1329" spans="2:9" ht="45">
      <c r="B1329" s="1477">
        <v>100383</v>
      </c>
      <c r="C1329" s="740" t="s">
        <v>2319</v>
      </c>
      <c r="D1329" s="739" t="s">
        <v>0</v>
      </c>
      <c r="E1329" s="741">
        <f t="shared" si="40"/>
        <v>22.65</v>
      </c>
      <c r="F1329">
        <f t="shared" si="41"/>
        <v>100383</v>
      </c>
      <c r="H1329" s="1406">
        <v>22.07</v>
      </c>
      <c r="I1329" s="1406">
        <v>22.65</v>
      </c>
    </row>
    <row r="1330" spans="2:9" ht="45">
      <c r="B1330" s="677">
        <v>100384</v>
      </c>
      <c r="C1330" s="733" t="s">
        <v>2320</v>
      </c>
      <c r="D1330" s="677" t="s">
        <v>0</v>
      </c>
      <c r="E1330" s="738">
        <f t="shared" si="40"/>
        <v>23.87</v>
      </c>
      <c r="F1330">
        <f t="shared" si="41"/>
        <v>100384</v>
      </c>
      <c r="H1330" s="1405">
        <v>23.14</v>
      </c>
      <c r="I1330" s="1405">
        <v>23.87</v>
      </c>
    </row>
    <row r="1331" spans="2:9" ht="30">
      <c r="B1331" s="1477">
        <v>100385</v>
      </c>
      <c r="C1331" s="740" t="s">
        <v>2321</v>
      </c>
      <c r="D1331" s="739" t="s">
        <v>0</v>
      </c>
      <c r="E1331" s="741">
        <f t="shared" si="40"/>
        <v>30.71</v>
      </c>
      <c r="F1331">
        <f t="shared" si="41"/>
        <v>100385</v>
      </c>
      <c r="H1331" s="1406">
        <v>29.73</v>
      </c>
      <c r="I1331" s="1406">
        <v>30.71</v>
      </c>
    </row>
    <row r="1332" spans="2:9" ht="30">
      <c r="B1332" s="677">
        <v>100386</v>
      </c>
      <c r="C1332" s="733" t="s">
        <v>2322</v>
      </c>
      <c r="D1332" s="677" t="s">
        <v>0</v>
      </c>
      <c r="E1332" s="738">
        <f t="shared" si="40"/>
        <v>39.46</v>
      </c>
      <c r="F1332">
        <f t="shared" si="41"/>
        <v>100386</v>
      </c>
      <c r="H1332" s="1405">
        <v>37.99</v>
      </c>
      <c r="I1332" s="1405">
        <v>39.46</v>
      </c>
    </row>
    <row r="1333" spans="2:9" ht="30">
      <c r="B1333" s="1477">
        <v>100387</v>
      </c>
      <c r="C1333" s="740" t="s">
        <v>2323</v>
      </c>
      <c r="D1333" s="739" t="s">
        <v>0</v>
      </c>
      <c r="E1333" s="741">
        <f t="shared" si="40"/>
        <v>48.12</v>
      </c>
      <c r="F1333">
        <f t="shared" si="41"/>
        <v>100387</v>
      </c>
      <c r="H1333" s="1406">
        <v>46.22</v>
      </c>
      <c r="I1333" s="1406">
        <v>48.12</v>
      </c>
    </row>
    <row r="1334" spans="2:9" ht="30">
      <c r="B1334" s="677">
        <v>100388</v>
      </c>
      <c r="C1334" s="733" t="s">
        <v>2324</v>
      </c>
      <c r="D1334" s="677" t="s">
        <v>0</v>
      </c>
      <c r="E1334" s="738">
        <f t="shared" si="40"/>
        <v>17.55</v>
      </c>
      <c r="F1334">
        <f t="shared" si="41"/>
        <v>100388</v>
      </c>
      <c r="H1334" s="1405">
        <v>16.55</v>
      </c>
      <c r="I1334" s="1405">
        <v>17.55</v>
      </c>
    </row>
    <row r="1335" spans="2:9" ht="30">
      <c r="B1335" s="1477">
        <v>100389</v>
      </c>
      <c r="C1335" s="740" t="s">
        <v>2325</v>
      </c>
      <c r="D1335" s="739" t="s">
        <v>0</v>
      </c>
      <c r="E1335" s="741">
        <f t="shared" si="40"/>
        <v>15.95</v>
      </c>
      <c r="F1335">
        <f t="shared" si="41"/>
        <v>100389</v>
      </c>
      <c r="H1335" s="1406">
        <v>14.86</v>
      </c>
      <c r="I1335" s="1406">
        <v>15.95</v>
      </c>
    </row>
    <row r="1336" spans="2:9" ht="30">
      <c r="B1336" s="677">
        <v>100390</v>
      </c>
      <c r="C1336" s="733" t="s">
        <v>2326</v>
      </c>
      <c r="D1336" s="677" t="s">
        <v>0</v>
      </c>
      <c r="E1336" s="738">
        <f t="shared" si="40"/>
        <v>21.12</v>
      </c>
      <c r="F1336">
        <f t="shared" si="41"/>
        <v>100390</v>
      </c>
      <c r="H1336" s="1405">
        <v>19.739999999999998</v>
      </c>
      <c r="I1336" s="1405">
        <v>21.12</v>
      </c>
    </row>
    <row r="1337" spans="2:9" ht="30">
      <c r="B1337" s="1477">
        <v>100391</v>
      </c>
      <c r="C1337" s="740" t="s">
        <v>2327</v>
      </c>
      <c r="D1337" s="739" t="s">
        <v>0</v>
      </c>
      <c r="E1337" s="741">
        <f t="shared" si="40"/>
        <v>18.36</v>
      </c>
      <c r="F1337">
        <f t="shared" si="41"/>
        <v>100391</v>
      </c>
      <c r="H1337" s="1406">
        <v>17.02</v>
      </c>
      <c r="I1337" s="1406">
        <v>18.36</v>
      </c>
    </row>
    <row r="1338" spans="2:9" ht="30">
      <c r="B1338" s="677">
        <v>100392</v>
      </c>
      <c r="C1338" s="733" t="s">
        <v>2328</v>
      </c>
      <c r="D1338" s="677" t="s">
        <v>0</v>
      </c>
      <c r="E1338" s="738">
        <f t="shared" si="40"/>
        <v>13.85</v>
      </c>
      <c r="F1338">
        <f t="shared" si="41"/>
        <v>100392</v>
      </c>
      <c r="H1338" s="1405">
        <v>13.06</v>
      </c>
      <c r="I1338" s="1405">
        <v>13.85</v>
      </c>
    </row>
    <row r="1339" spans="2:9" ht="30">
      <c r="B1339" s="1477">
        <v>100393</v>
      </c>
      <c r="C1339" s="740" t="s">
        <v>2329</v>
      </c>
      <c r="D1339" s="739" t="s">
        <v>0</v>
      </c>
      <c r="E1339" s="741">
        <f t="shared" si="40"/>
        <v>18.29</v>
      </c>
      <c r="F1339">
        <f t="shared" si="41"/>
        <v>100393</v>
      </c>
      <c r="H1339" s="1406">
        <v>17.04</v>
      </c>
      <c r="I1339" s="1406">
        <v>18.29</v>
      </c>
    </row>
    <row r="1340" spans="2:9" ht="30">
      <c r="B1340" s="677">
        <v>100394</v>
      </c>
      <c r="C1340" s="733" t="s">
        <v>2330</v>
      </c>
      <c r="D1340" s="677" t="s">
        <v>0</v>
      </c>
      <c r="E1340" s="738">
        <f t="shared" si="40"/>
        <v>16.63</v>
      </c>
      <c r="F1340">
        <f t="shared" si="41"/>
        <v>100394</v>
      </c>
      <c r="H1340" s="1405">
        <v>15.57</v>
      </c>
      <c r="I1340" s="1405">
        <v>16.63</v>
      </c>
    </row>
    <row r="1341" spans="2:9" ht="30">
      <c r="B1341" s="1477">
        <v>100395</v>
      </c>
      <c r="C1341" s="740" t="s">
        <v>2331</v>
      </c>
      <c r="D1341" s="739" t="s">
        <v>0</v>
      </c>
      <c r="E1341" s="741">
        <f t="shared" si="40"/>
        <v>21.87</v>
      </c>
      <c r="F1341">
        <f t="shared" si="41"/>
        <v>100395</v>
      </c>
      <c r="H1341" s="1406">
        <v>20.260000000000002</v>
      </c>
      <c r="I1341" s="1406">
        <v>21.87</v>
      </c>
    </row>
    <row r="1342" spans="2:9">
      <c r="B1342" s="677">
        <v>94189</v>
      </c>
      <c r="C1342" s="733" t="s">
        <v>2332</v>
      </c>
      <c r="D1342" s="677" t="s">
        <v>0</v>
      </c>
      <c r="E1342" s="738">
        <f t="shared" si="40"/>
        <v>43.98</v>
      </c>
      <c r="F1342">
        <f t="shared" si="41"/>
        <v>94189</v>
      </c>
      <c r="H1342" s="1405">
        <v>43.5</v>
      </c>
      <c r="I1342" s="1405">
        <v>43.98</v>
      </c>
    </row>
    <row r="1343" spans="2:9">
      <c r="B1343" s="1477">
        <v>94192</v>
      </c>
      <c r="C1343" s="740" t="s">
        <v>2333</v>
      </c>
      <c r="D1343" s="739" t="s">
        <v>0</v>
      </c>
      <c r="E1343" s="741">
        <f t="shared" si="40"/>
        <v>46.43</v>
      </c>
      <c r="F1343">
        <f t="shared" si="41"/>
        <v>94192</v>
      </c>
      <c r="H1343" s="1406">
        <v>45.7</v>
      </c>
      <c r="I1343" s="1406">
        <v>46.43</v>
      </c>
    </row>
    <row r="1344" spans="2:9" ht="30">
      <c r="B1344" s="677">
        <v>94195</v>
      </c>
      <c r="C1344" s="733" t="s">
        <v>2334</v>
      </c>
      <c r="D1344" s="677" t="s">
        <v>0</v>
      </c>
      <c r="E1344" s="738">
        <f t="shared" si="40"/>
        <v>52.8</v>
      </c>
      <c r="F1344">
        <f t="shared" si="41"/>
        <v>94195</v>
      </c>
      <c r="H1344" s="1405">
        <v>51.95</v>
      </c>
      <c r="I1344" s="1405">
        <v>52.8</v>
      </c>
    </row>
    <row r="1345" spans="2:9" ht="30">
      <c r="B1345" s="1477">
        <v>94198</v>
      </c>
      <c r="C1345" s="740" t="s">
        <v>2335</v>
      </c>
      <c r="D1345" s="739" t="s">
        <v>0</v>
      </c>
      <c r="E1345" s="741">
        <f t="shared" si="40"/>
        <v>56.03</v>
      </c>
      <c r="F1345">
        <f t="shared" si="41"/>
        <v>94198</v>
      </c>
      <c r="H1345" s="1406">
        <v>54.86</v>
      </c>
      <c r="I1345" s="1406">
        <v>56.03</v>
      </c>
    </row>
    <row r="1346" spans="2:9" ht="30">
      <c r="B1346" s="677">
        <v>94201</v>
      </c>
      <c r="C1346" s="733" t="s">
        <v>2336</v>
      </c>
      <c r="D1346" s="677" t="s">
        <v>0</v>
      </c>
      <c r="E1346" s="738">
        <f t="shared" si="40"/>
        <v>74.22</v>
      </c>
      <c r="F1346">
        <f t="shared" si="41"/>
        <v>94201</v>
      </c>
      <c r="H1346" s="1405">
        <v>72.88</v>
      </c>
      <c r="I1346" s="1405">
        <v>74.22</v>
      </c>
    </row>
    <row r="1347" spans="2:9" ht="30">
      <c r="B1347" s="1477">
        <v>94204</v>
      </c>
      <c r="C1347" s="740" t="s">
        <v>2337</v>
      </c>
      <c r="D1347" s="739" t="s">
        <v>0</v>
      </c>
      <c r="E1347" s="741">
        <f t="shared" ref="E1347:E1410" si="42">IF($K$2=$H$1,H1347,I1347)</f>
        <v>79.73</v>
      </c>
      <c r="F1347">
        <f t="shared" ref="F1347:F1410" si="43">IF(LEN($B1347)=7,CONCATENATE(MID($B1347,1,6),"00",RIGHT($B1347,1)),IF(LEN($B1347)=8,CONCATENATE(MID($B1347,1,6),"0",RIGHT($B1347,2)),$B1347))</f>
        <v>94204</v>
      </c>
      <c r="H1347" s="1406">
        <v>77.83</v>
      </c>
      <c r="I1347" s="1406">
        <v>79.73</v>
      </c>
    </row>
    <row r="1348" spans="2:9">
      <c r="B1348" s="677">
        <v>94224</v>
      </c>
      <c r="C1348" s="733" t="s">
        <v>2338</v>
      </c>
      <c r="D1348" s="677" t="s">
        <v>21</v>
      </c>
      <c r="E1348" s="738">
        <f t="shared" si="42"/>
        <v>25.01</v>
      </c>
      <c r="F1348">
        <f t="shared" si="43"/>
        <v>94224</v>
      </c>
      <c r="H1348" s="1405">
        <v>22.93</v>
      </c>
      <c r="I1348" s="1405">
        <v>25.01</v>
      </c>
    </row>
    <row r="1349" spans="2:9">
      <c r="B1349" s="1477">
        <v>94226</v>
      </c>
      <c r="C1349" s="740" t="s">
        <v>2339</v>
      </c>
      <c r="D1349" s="739" t="s">
        <v>0</v>
      </c>
      <c r="E1349" s="741">
        <f t="shared" si="42"/>
        <v>20.21</v>
      </c>
      <c r="F1349">
        <f t="shared" si="43"/>
        <v>94226</v>
      </c>
      <c r="H1349" s="1406">
        <v>19.37</v>
      </c>
      <c r="I1349" s="1406">
        <v>20.21</v>
      </c>
    </row>
    <row r="1350" spans="2:9">
      <c r="B1350" s="677">
        <v>94232</v>
      </c>
      <c r="C1350" s="733" t="s">
        <v>2340</v>
      </c>
      <c r="D1350" s="677" t="s">
        <v>22</v>
      </c>
      <c r="E1350" s="738">
        <f t="shared" si="42"/>
        <v>2.71</v>
      </c>
      <c r="F1350">
        <f t="shared" si="43"/>
        <v>94232</v>
      </c>
      <c r="H1350" s="1405">
        <v>2.44</v>
      </c>
      <c r="I1350" s="1405">
        <v>2.71</v>
      </c>
    </row>
    <row r="1351" spans="2:9">
      <c r="B1351" s="1477">
        <v>94440</v>
      </c>
      <c r="C1351" s="740" t="s">
        <v>2341</v>
      </c>
      <c r="D1351" s="739" t="s">
        <v>0</v>
      </c>
      <c r="E1351" s="741">
        <f t="shared" si="42"/>
        <v>52.8</v>
      </c>
      <c r="F1351">
        <f t="shared" si="43"/>
        <v>94440</v>
      </c>
      <c r="H1351" s="1406">
        <v>51.95</v>
      </c>
      <c r="I1351" s="1406">
        <v>52.8</v>
      </c>
    </row>
    <row r="1352" spans="2:9" ht="30">
      <c r="B1352" s="677">
        <v>94441</v>
      </c>
      <c r="C1352" s="733" t="s">
        <v>2342</v>
      </c>
      <c r="D1352" s="677" t="s">
        <v>0</v>
      </c>
      <c r="E1352" s="738">
        <f t="shared" si="42"/>
        <v>56.03</v>
      </c>
      <c r="F1352">
        <f t="shared" si="43"/>
        <v>94441</v>
      </c>
      <c r="H1352" s="1405">
        <v>54.86</v>
      </c>
      <c r="I1352" s="1405">
        <v>56.03</v>
      </c>
    </row>
    <row r="1353" spans="2:9">
      <c r="B1353" s="1477">
        <v>94442</v>
      </c>
      <c r="C1353" s="740" t="s">
        <v>2343</v>
      </c>
      <c r="D1353" s="739" t="s">
        <v>0</v>
      </c>
      <c r="E1353" s="741">
        <f t="shared" si="42"/>
        <v>52.8</v>
      </c>
      <c r="F1353">
        <f t="shared" si="43"/>
        <v>94442</v>
      </c>
      <c r="H1353" s="1406">
        <v>51.95</v>
      </c>
      <c r="I1353" s="1406">
        <v>52.8</v>
      </c>
    </row>
    <row r="1354" spans="2:9" ht="30">
      <c r="B1354" s="677">
        <v>94443</v>
      </c>
      <c r="C1354" s="733" t="s">
        <v>2344</v>
      </c>
      <c r="D1354" s="677" t="s">
        <v>0</v>
      </c>
      <c r="E1354" s="738">
        <f t="shared" si="42"/>
        <v>56.03</v>
      </c>
      <c r="F1354">
        <f t="shared" si="43"/>
        <v>94443</v>
      </c>
      <c r="H1354" s="1405">
        <v>54.86</v>
      </c>
      <c r="I1354" s="1405">
        <v>56.03</v>
      </c>
    </row>
    <row r="1355" spans="2:9">
      <c r="B1355" s="1477">
        <v>94445</v>
      </c>
      <c r="C1355" s="740" t="s">
        <v>2345</v>
      </c>
      <c r="D1355" s="739" t="s">
        <v>0</v>
      </c>
      <c r="E1355" s="741">
        <f t="shared" si="42"/>
        <v>74.22</v>
      </c>
      <c r="F1355">
        <f t="shared" si="43"/>
        <v>94445</v>
      </c>
      <c r="H1355" s="1406">
        <v>72.88</v>
      </c>
      <c r="I1355" s="1406">
        <v>74.22</v>
      </c>
    </row>
    <row r="1356" spans="2:9" ht="30">
      <c r="B1356" s="677">
        <v>94446</v>
      </c>
      <c r="C1356" s="733" t="s">
        <v>2346</v>
      </c>
      <c r="D1356" s="677" t="s">
        <v>0</v>
      </c>
      <c r="E1356" s="738">
        <f t="shared" si="42"/>
        <v>79.73</v>
      </c>
      <c r="F1356">
        <f t="shared" si="43"/>
        <v>94446</v>
      </c>
      <c r="H1356" s="1405">
        <v>77.83</v>
      </c>
      <c r="I1356" s="1405">
        <v>79.73</v>
      </c>
    </row>
    <row r="1357" spans="2:9">
      <c r="B1357" s="1477">
        <v>94447</v>
      </c>
      <c r="C1357" s="740" t="s">
        <v>2347</v>
      </c>
      <c r="D1357" s="739" t="s">
        <v>0</v>
      </c>
      <c r="E1357" s="741">
        <f t="shared" si="42"/>
        <v>74.22</v>
      </c>
      <c r="F1357">
        <f t="shared" si="43"/>
        <v>94447</v>
      </c>
      <c r="H1357" s="1406">
        <v>72.88</v>
      </c>
      <c r="I1357" s="1406">
        <v>74.22</v>
      </c>
    </row>
    <row r="1358" spans="2:9" ht="30">
      <c r="B1358" s="677">
        <v>94448</v>
      </c>
      <c r="C1358" s="733" t="s">
        <v>2348</v>
      </c>
      <c r="D1358" s="677" t="s">
        <v>0</v>
      </c>
      <c r="E1358" s="738">
        <f t="shared" si="42"/>
        <v>79.73</v>
      </c>
      <c r="F1358">
        <f t="shared" si="43"/>
        <v>94448</v>
      </c>
      <c r="H1358" s="1405">
        <v>77.83</v>
      </c>
      <c r="I1358" s="1405">
        <v>79.73</v>
      </c>
    </row>
    <row r="1359" spans="2:9" ht="30">
      <c r="B1359" s="1477">
        <v>94207</v>
      </c>
      <c r="C1359" s="740" t="s">
        <v>2349</v>
      </c>
      <c r="D1359" s="739" t="s">
        <v>0</v>
      </c>
      <c r="E1359" s="741">
        <f t="shared" si="42"/>
        <v>48.68</v>
      </c>
      <c r="F1359">
        <f t="shared" si="43"/>
        <v>94207</v>
      </c>
      <c r="H1359" s="1406">
        <v>48.07</v>
      </c>
      <c r="I1359" s="1406">
        <v>48.68</v>
      </c>
    </row>
    <row r="1360" spans="2:9" ht="30">
      <c r="B1360" s="677">
        <v>94210</v>
      </c>
      <c r="C1360" s="733" t="s">
        <v>2350</v>
      </c>
      <c r="D1360" s="677" t="s">
        <v>0</v>
      </c>
      <c r="E1360" s="738">
        <f t="shared" si="42"/>
        <v>51.72</v>
      </c>
      <c r="F1360">
        <f t="shared" si="43"/>
        <v>94210</v>
      </c>
      <c r="H1360" s="1405">
        <v>51.02</v>
      </c>
      <c r="I1360" s="1405">
        <v>51.72</v>
      </c>
    </row>
    <row r="1361" spans="2:9">
      <c r="B1361" s="1477">
        <v>94218</v>
      </c>
      <c r="C1361" s="740" t="s">
        <v>6808</v>
      </c>
      <c r="D1361" s="739" t="s">
        <v>0</v>
      </c>
      <c r="E1361" s="741">
        <f t="shared" si="42"/>
        <v>127.6</v>
      </c>
      <c r="F1361">
        <f t="shared" si="43"/>
        <v>94218</v>
      </c>
      <c r="H1361" s="1406">
        <v>126.91</v>
      </c>
      <c r="I1361" s="1406">
        <v>127.6</v>
      </c>
    </row>
    <row r="1362" spans="2:9">
      <c r="B1362" s="677">
        <v>94213</v>
      </c>
      <c r="C1362" s="733" t="s">
        <v>2351</v>
      </c>
      <c r="D1362" s="677" t="s">
        <v>0</v>
      </c>
      <c r="E1362" s="738">
        <f t="shared" si="42"/>
        <v>64.239999999999995</v>
      </c>
      <c r="F1362">
        <f t="shared" si="43"/>
        <v>94213</v>
      </c>
      <c r="H1362" s="1405">
        <v>63.79</v>
      </c>
      <c r="I1362" s="1405">
        <v>64.239999999999995</v>
      </c>
    </row>
    <row r="1363" spans="2:9">
      <c r="B1363" s="1477">
        <v>94216</v>
      </c>
      <c r="C1363" s="740" t="s">
        <v>2352</v>
      </c>
      <c r="D1363" s="739" t="s">
        <v>0</v>
      </c>
      <c r="E1363" s="741">
        <f t="shared" si="42"/>
        <v>181.78</v>
      </c>
      <c r="F1363">
        <f t="shared" si="43"/>
        <v>94216</v>
      </c>
      <c r="H1363" s="1406">
        <v>181.5</v>
      </c>
      <c r="I1363" s="1406">
        <v>181.78</v>
      </c>
    </row>
    <row r="1364" spans="2:9" ht="30">
      <c r="B1364" s="677">
        <v>104807</v>
      </c>
      <c r="C1364" s="733" t="s">
        <v>13283</v>
      </c>
      <c r="D1364" s="677" t="s">
        <v>0</v>
      </c>
      <c r="E1364" s="738">
        <f t="shared" si="42"/>
        <v>215.6</v>
      </c>
      <c r="F1364">
        <f t="shared" si="43"/>
        <v>104807</v>
      </c>
      <c r="H1364" s="1405">
        <v>208.16</v>
      </c>
      <c r="I1364" s="1405">
        <v>215.6</v>
      </c>
    </row>
    <row r="1365" spans="2:9" ht="30">
      <c r="B1365" s="1477">
        <v>104809</v>
      </c>
      <c r="C1365" s="740" t="s">
        <v>13284</v>
      </c>
      <c r="D1365" s="739" t="s">
        <v>0</v>
      </c>
      <c r="E1365" s="741">
        <f t="shared" si="42"/>
        <v>171.26</v>
      </c>
      <c r="F1365">
        <f t="shared" si="43"/>
        <v>104809</v>
      </c>
      <c r="H1365" s="1406">
        <v>165.74</v>
      </c>
      <c r="I1365" s="1406">
        <v>171.26</v>
      </c>
    </row>
    <row r="1366" spans="2:9" ht="30">
      <c r="B1366" s="677">
        <v>104810</v>
      </c>
      <c r="C1366" s="733" t="s">
        <v>13285</v>
      </c>
      <c r="D1366" s="677" t="s">
        <v>0</v>
      </c>
      <c r="E1366" s="738">
        <f t="shared" si="42"/>
        <v>101.15</v>
      </c>
      <c r="F1366">
        <f t="shared" si="43"/>
        <v>104810</v>
      </c>
      <c r="H1366" s="1405">
        <v>99.51</v>
      </c>
      <c r="I1366" s="1405">
        <v>101.15</v>
      </c>
    </row>
    <row r="1367" spans="2:9" ht="30">
      <c r="B1367" s="1477">
        <v>104811</v>
      </c>
      <c r="C1367" s="740" t="s">
        <v>13286</v>
      </c>
      <c r="D1367" s="739" t="s">
        <v>0</v>
      </c>
      <c r="E1367" s="741">
        <f t="shared" si="42"/>
        <v>280.02</v>
      </c>
      <c r="F1367">
        <f t="shared" si="43"/>
        <v>104811</v>
      </c>
      <c r="H1367" s="1406">
        <v>275.19</v>
      </c>
      <c r="I1367" s="1406">
        <v>280.02</v>
      </c>
    </row>
    <row r="1368" spans="2:9" ht="30">
      <c r="B1368" s="677">
        <v>104812</v>
      </c>
      <c r="C1368" s="733" t="s">
        <v>13287</v>
      </c>
      <c r="D1368" s="677" t="s">
        <v>0</v>
      </c>
      <c r="E1368" s="738">
        <f t="shared" si="42"/>
        <v>184.94</v>
      </c>
      <c r="F1368">
        <f t="shared" si="43"/>
        <v>104812</v>
      </c>
      <c r="H1368" s="1405">
        <v>182.04</v>
      </c>
      <c r="I1368" s="1405">
        <v>184.94</v>
      </c>
    </row>
    <row r="1369" spans="2:9" ht="30">
      <c r="B1369" s="1477">
        <v>104813</v>
      </c>
      <c r="C1369" s="740" t="s">
        <v>13288</v>
      </c>
      <c r="D1369" s="739" t="s">
        <v>0</v>
      </c>
      <c r="E1369" s="741">
        <f t="shared" si="42"/>
        <v>136.88</v>
      </c>
      <c r="F1369">
        <f t="shared" si="43"/>
        <v>104813</v>
      </c>
      <c r="H1369" s="1406">
        <v>132.66999999999999</v>
      </c>
      <c r="I1369" s="1406">
        <v>136.88</v>
      </c>
    </row>
    <row r="1370" spans="2:9" ht="30">
      <c r="B1370" s="677">
        <v>104814</v>
      </c>
      <c r="C1370" s="733" t="s">
        <v>13289</v>
      </c>
      <c r="D1370" s="677" t="s">
        <v>0</v>
      </c>
      <c r="E1370" s="738">
        <f t="shared" si="42"/>
        <v>80.3</v>
      </c>
      <c r="F1370">
        <f t="shared" si="43"/>
        <v>104814</v>
      </c>
      <c r="H1370" s="1405">
        <v>79.16</v>
      </c>
      <c r="I1370" s="1405">
        <v>80.3</v>
      </c>
    </row>
    <row r="1371" spans="2:9" ht="30">
      <c r="B1371" s="1477">
        <v>104815</v>
      </c>
      <c r="C1371" s="740" t="s">
        <v>13290</v>
      </c>
      <c r="D1371" s="739" t="s">
        <v>0</v>
      </c>
      <c r="E1371" s="741">
        <f t="shared" si="42"/>
        <v>158.6</v>
      </c>
      <c r="F1371">
        <f t="shared" si="43"/>
        <v>104815</v>
      </c>
      <c r="H1371" s="1406">
        <v>156.02000000000001</v>
      </c>
      <c r="I1371" s="1406">
        <v>158.6</v>
      </c>
    </row>
    <row r="1372" spans="2:9" ht="30">
      <c r="B1372" s="677">
        <v>104808</v>
      </c>
      <c r="C1372" s="733" t="s">
        <v>13291</v>
      </c>
      <c r="D1372" s="677" t="s">
        <v>0</v>
      </c>
      <c r="E1372" s="738">
        <f t="shared" si="42"/>
        <v>158.31</v>
      </c>
      <c r="F1372">
        <f t="shared" si="43"/>
        <v>104808</v>
      </c>
      <c r="H1372" s="1405">
        <v>153.94999999999999</v>
      </c>
      <c r="I1372" s="1405">
        <v>158.31</v>
      </c>
    </row>
    <row r="1373" spans="2:9" ht="30">
      <c r="B1373" s="1477">
        <v>104816</v>
      </c>
      <c r="C1373" s="740" t="s">
        <v>13292</v>
      </c>
      <c r="D1373" s="739" t="s">
        <v>0</v>
      </c>
      <c r="E1373" s="741">
        <f t="shared" si="42"/>
        <v>1760.77</v>
      </c>
      <c r="F1373">
        <f t="shared" si="43"/>
        <v>104816</v>
      </c>
      <c r="H1373" s="1406">
        <v>1733.76</v>
      </c>
      <c r="I1373" s="1406">
        <v>1760.77</v>
      </c>
    </row>
    <row r="1374" spans="2:9" ht="30">
      <c r="B1374" s="677">
        <v>104817</v>
      </c>
      <c r="C1374" s="733" t="s">
        <v>13293</v>
      </c>
      <c r="D1374" s="677" t="s">
        <v>0</v>
      </c>
      <c r="E1374" s="738">
        <f t="shared" si="42"/>
        <v>180.66</v>
      </c>
      <c r="F1374">
        <f t="shared" si="43"/>
        <v>104817</v>
      </c>
      <c r="H1374" s="1405">
        <v>174.39</v>
      </c>
      <c r="I1374" s="1405">
        <v>180.66</v>
      </c>
    </row>
    <row r="1375" spans="2:9" ht="30">
      <c r="B1375" s="1477">
        <v>104819</v>
      </c>
      <c r="C1375" s="740" t="s">
        <v>13294</v>
      </c>
      <c r="D1375" s="739" t="s">
        <v>0</v>
      </c>
      <c r="E1375" s="741">
        <f t="shared" si="42"/>
        <v>225.86</v>
      </c>
      <c r="F1375">
        <f t="shared" si="43"/>
        <v>104819</v>
      </c>
      <c r="H1375" s="1406">
        <v>221.87</v>
      </c>
      <c r="I1375" s="1406">
        <v>225.86</v>
      </c>
    </row>
    <row r="1376" spans="2:9" ht="30">
      <c r="B1376" s="677">
        <v>104821</v>
      </c>
      <c r="C1376" s="733" t="s">
        <v>13295</v>
      </c>
      <c r="D1376" s="677" t="s">
        <v>0</v>
      </c>
      <c r="E1376" s="738">
        <f t="shared" si="42"/>
        <v>194</v>
      </c>
      <c r="F1376">
        <f t="shared" si="43"/>
        <v>104821</v>
      </c>
      <c r="H1376" s="1405">
        <v>187.25</v>
      </c>
      <c r="I1376" s="1405">
        <v>194</v>
      </c>
    </row>
    <row r="1377" spans="2:9" ht="30">
      <c r="B1377" s="1477">
        <v>104822</v>
      </c>
      <c r="C1377" s="740" t="s">
        <v>13296</v>
      </c>
      <c r="D1377" s="739" t="s">
        <v>0</v>
      </c>
      <c r="E1377" s="741">
        <f t="shared" si="42"/>
        <v>244</v>
      </c>
      <c r="F1377">
        <f t="shared" si="43"/>
        <v>104822</v>
      </c>
      <c r="H1377" s="1406">
        <v>236.92</v>
      </c>
      <c r="I1377" s="1406">
        <v>244</v>
      </c>
    </row>
    <row r="1378" spans="2:9" ht="30">
      <c r="B1378" s="677">
        <v>104823</v>
      </c>
      <c r="C1378" s="733" t="s">
        <v>13297</v>
      </c>
      <c r="D1378" s="677" t="s">
        <v>0</v>
      </c>
      <c r="E1378" s="738">
        <f t="shared" si="42"/>
        <v>211.38</v>
      </c>
      <c r="F1378">
        <f t="shared" si="43"/>
        <v>104823</v>
      </c>
      <c r="H1378" s="1405">
        <v>203.74</v>
      </c>
      <c r="I1378" s="1405">
        <v>211.38</v>
      </c>
    </row>
    <row r="1379" spans="2:9" ht="30">
      <c r="B1379" s="1477">
        <v>94219</v>
      </c>
      <c r="C1379" s="740" t="s">
        <v>2353</v>
      </c>
      <c r="D1379" s="739" t="s">
        <v>21</v>
      </c>
      <c r="E1379" s="741">
        <f t="shared" si="42"/>
        <v>38.89</v>
      </c>
      <c r="F1379">
        <f t="shared" si="43"/>
        <v>94219</v>
      </c>
      <c r="H1379" s="1406">
        <v>37.24</v>
      </c>
      <c r="I1379" s="1406">
        <v>38.89</v>
      </c>
    </row>
    <row r="1380" spans="2:9" ht="30">
      <c r="B1380" s="677">
        <v>94220</v>
      </c>
      <c r="C1380" s="733" t="s">
        <v>2354</v>
      </c>
      <c r="D1380" s="677" t="s">
        <v>21</v>
      </c>
      <c r="E1380" s="738">
        <f t="shared" si="42"/>
        <v>58.51</v>
      </c>
      <c r="F1380">
        <f t="shared" si="43"/>
        <v>94220</v>
      </c>
      <c r="H1380" s="1405">
        <v>56.86</v>
      </c>
      <c r="I1380" s="1405">
        <v>58.51</v>
      </c>
    </row>
    <row r="1381" spans="2:9" ht="30">
      <c r="B1381" s="1477">
        <v>94221</v>
      </c>
      <c r="C1381" s="740" t="s">
        <v>2355</v>
      </c>
      <c r="D1381" s="739" t="s">
        <v>21</v>
      </c>
      <c r="E1381" s="741">
        <f t="shared" si="42"/>
        <v>32.5</v>
      </c>
      <c r="F1381">
        <f t="shared" si="43"/>
        <v>94221</v>
      </c>
      <c r="H1381" s="1406">
        <v>31.5</v>
      </c>
      <c r="I1381" s="1406">
        <v>32.5</v>
      </c>
    </row>
    <row r="1382" spans="2:9" ht="30">
      <c r="B1382" s="677">
        <v>94222</v>
      </c>
      <c r="C1382" s="733" t="s">
        <v>2356</v>
      </c>
      <c r="D1382" s="677" t="s">
        <v>21</v>
      </c>
      <c r="E1382" s="738">
        <f t="shared" si="42"/>
        <v>52.12</v>
      </c>
      <c r="F1382">
        <f t="shared" si="43"/>
        <v>94222</v>
      </c>
      <c r="H1382" s="1405">
        <v>51.12</v>
      </c>
      <c r="I1382" s="1405">
        <v>52.12</v>
      </c>
    </row>
    <row r="1383" spans="2:9">
      <c r="B1383" s="1477">
        <v>94223</v>
      </c>
      <c r="C1383" s="740" t="s">
        <v>2357</v>
      </c>
      <c r="D1383" s="739" t="s">
        <v>21</v>
      </c>
      <c r="E1383" s="741">
        <f t="shared" si="42"/>
        <v>84</v>
      </c>
      <c r="F1383">
        <f t="shared" si="43"/>
        <v>94223</v>
      </c>
      <c r="H1383" s="1406">
        <v>83.67</v>
      </c>
      <c r="I1383" s="1406">
        <v>84</v>
      </c>
    </row>
    <row r="1384" spans="2:9">
      <c r="B1384" s="677">
        <v>94451</v>
      </c>
      <c r="C1384" s="733" t="s">
        <v>2358</v>
      </c>
      <c r="D1384" s="677" t="s">
        <v>21</v>
      </c>
      <c r="E1384" s="738">
        <f t="shared" si="42"/>
        <v>93.91</v>
      </c>
      <c r="F1384">
        <f t="shared" si="43"/>
        <v>94451</v>
      </c>
      <c r="H1384" s="1405">
        <v>93.58</v>
      </c>
      <c r="I1384" s="1405">
        <v>93.91</v>
      </c>
    </row>
    <row r="1385" spans="2:9">
      <c r="B1385" s="1477">
        <v>100325</v>
      </c>
      <c r="C1385" s="740" t="s">
        <v>2359</v>
      </c>
      <c r="D1385" s="739" t="s">
        <v>21</v>
      </c>
      <c r="E1385" s="741">
        <f t="shared" si="42"/>
        <v>91.27</v>
      </c>
      <c r="F1385">
        <f t="shared" si="43"/>
        <v>100325</v>
      </c>
      <c r="H1385" s="1406">
        <v>91.03</v>
      </c>
      <c r="I1385" s="1406">
        <v>91.27</v>
      </c>
    </row>
    <row r="1386" spans="2:9">
      <c r="B1386" s="677">
        <v>100327</v>
      </c>
      <c r="C1386" s="733" t="s">
        <v>2360</v>
      </c>
      <c r="D1386" s="677" t="s">
        <v>21</v>
      </c>
      <c r="E1386" s="738">
        <f t="shared" si="42"/>
        <v>62.2</v>
      </c>
      <c r="F1386">
        <f t="shared" si="43"/>
        <v>100327</v>
      </c>
      <c r="H1386" s="1405">
        <v>61.27</v>
      </c>
      <c r="I1386" s="1405">
        <v>62.2</v>
      </c>
    </row>
    <row r="1387" spans="2:9">
      <c r="B1387" s="1477">
        <v>100328</v>
      </c>
      <c r="C1387" s="740" t="s">
        <v>2361</v>
      </c>
      <c r="D1387" s="739" t="s">
        <v>0</v>
      </c>
      <c r="E1387" s="741">
        <f t="shared" si="42"/>
        <v>16.850000000000001</v>
      </c>
      <c r="F1387">
        <f t="shared" si="43"/>
        <v>100328</v>
      </c>
      <c r="H1387" s="1406">
        <v>16.04</v>
      </c>
      <c r="I1387" s="1406">
        <v>16.850000000000001</v>
      </c>
    </row>
    <row r="1388" spans="2:9">
      <c r="B1388" s="677">
        <v>100329</v>
      </c>
      <c r="C1388" s="733" t="s">
        <v>2362</v>
      </c>
      <c r="D1388" s="677" t="s">
        <v>0</v>
      </c>
      <c r="E1388" s="738">
        <f t="shared" si="42"/>
        <v>20.100000000000001</v>
      </c>
      <c r="F1388">
        <f t="shared" si="43"/>
        <v>100329</v>
      </c>
      <c r="H1388" s="1405">
        <v>18.97</v>
      </c>
      <c r="I1388" s="1405">
        <v>20.100000000000001</v>
      </c>
    </row>
    <row r="1389" spans="2:9">
      <c r="B1389" s="1477">
        <v>100330</v>
      </c>
      <c r="C1389" s="740" t="s">
        <v>2363</v>
      </c>
      <c r="D1389" s="739" t="s">
        <v>0</v>
      </c>
      <c r="E1389" s="741">
        <f t="shared" si="42"/>
        <v>22.9</v>
      </c>
      <c r="F1389">
        <f t="shared" si="43"/>
        <v>100330</v>
      </c>
      <c r="H1389" s="1406">
        <v>21.81</v>
      </c>
      <c r="I1389" s="1406">
        <v>22.9</v>
      </c>
    </row>
    <row r="1390" spans="2:9">
      <c r="B1390" s="677">
        <v>100331</v>
      </c>
      <c r="C1390" s="733" t="s">
        <v>2364</v>
      </c>
      <c r="D1390" s="677" t="s">
        <v>0</v>
      </c>
      <c r="E1390" s="738">
        <f t="shared" si="42"/>
        <v>28.43</v>
      </c>
      <c r="F1390">
        <f t="shared" si="43"/>
        <v>100331</v>
      </c>
      <c r="H1390" s="1405">
        <v>26.79</v>
      </c>
      <c r="I1390" s="1405">
        <v>28.43</v>
      </c>
    </row>
    <row r="1391" spans="2:9" ht="30">
      <c r="B1391" s="1477">
        <v>100434</v>
      </c>
      <c r="C1391" s="740" t="s">
        <v>2559</v>
      </c>
      <c r="D1391" s="739" t="s">
        <v>21</v>
      </c>
      <c r="E1391" s="741">
        <f t="shared" si="42"/>
        <v>155.53</v>
      </c>
      <c r="F1391">
        <f t="shared" si="43"/>
        <v>100434</v>
      </c>
      <c r="H1391" s="1406">
        <v>154.54</v>
      </c>
      <c r="I1391" s="1406">
        <v>155.53</v>
      </c>
    </row>
    <row r="1392" spans="2:9" ht="30">
      <c r="B1392" s="677">
        <v>100435</v>
      </c>
      <c r="C1392" s="733" t="s">
        <v>2560</v>
      </c>
      <c r="D1392" s="677" t="s">
        <v>21</v>
      </c>
      <c r="E1392" s="738">
        <f t="shared" si="42"/>
        <v>64.760000000000005</v>
      </c>
      <c r="F1392">
        <f t="shared" si="43"/>
        <v>100435</v>
      </c>
      <c r="H1392" s="1405">
        <v>64.11</v>
      </c>
      <c r="I1392" s="1405">
        <v>64.760000000000005</v>
      </c>
    </row>
    <row r="1393" spans="1:9">
      <c r="B1393" s="1477">
        <v>94227</v>
      </c>
      <c r="C1393" s="740" t="s">
        <v>2365</v>
      </c>
      <c r="D1393" s="739" t="s">
        <v>21</v>
      </c>
      <c r="E1393" s="741">
        <f t="shared" si="42"/>
        <v>68.959999999999994</v>
      </c>
      <c r="F1393">
        <f t="shared" si="43"/>
        <v>94227</v>
      </c>
      <c r="H1393" s="1406">
        <v>67.83</v>
      </c>
      <c r="I1393" s="1406">
        <v>68.959999999999994</v>
      </c>
    </row>
    <row r="1394" spans="1:9">
      <c r="B1394" s="677">
        <v>94228</v>
      </c>
      <c r="C1394" s="733" t="s">
        <v>2366</v>
      </c>
      <c r="D1394" s="677" t="s">
        <v>21</v>
      </c>
      <c r="E1394" s="738">
        <f t="shared" si="42"/>
        <v>93.18</v>
      </c>
      <c r="F1394">
        <f t="shared" si="43"/>
        <v>94228</v>
      </c>
      <c r="H1394" s="1405">
        <v>91.65</v>
      </c>
      <c r="I1394" s="1405">
        <v>93.18</v>
      </c>
    </row>
    <row r="1395" spans="1:9">
      <c r="B1395" s="1477">
        <v>94229</v>
      </c>
      <c r="C1395" s="740" t="s">
        <v>2367</v>
      </c>
      <c r="D1395" s="739" t="s">
        <v>21</v>
      </c>
      <c r="E1395" s="741">
        <f t="shared" si="42"/>
        <v>180.47</v>
      </c>
      <c r="F1395">
        <f t="shared" si="43"/>
        <v>94229</v>
      </c>
      <c r="H1395" s="1406">
        <v>177.73</v>
      </c>
      <c r="I1395" s="1406">
        <v>180.47</v>
      </c>
    </row>
    <row r="1396" spans="1:9">
      <c r="A1396" t="s">
        <v>172</v>
      </c>
      <c r="B1396" s="677">
        <v>94231</v>
      </c>
      <c r="C1396" s="733" t="s">
        <v>2368</v>
      </c>
      <c r="D1396" s="677" t="s">
        <v>21</v>
      </c>
      <c r="E1396" s="738">
        <f t="shared" si="42"/>
        <v>55.48</v>
      </c>
      <c r="F1396">
        <f t="shared" si="43"/>
        <v>94231</v>
      </c>
      <c r="H1396" s="1405">
        <v>54.69</v>
      </c>
      <c r="I1396" s="1405">
        <v>55.48</v>
      </c>
    </row>
    <row r="1397" spans="1:9" ht="30">
      <c r="B1397" s="1477">
        <v>94449</v>
      </c>
      <c r="C1397" s="740" t="s">
        <v>2369</v>
      </c>
      <c r="D1397" s="739" t="s">
        <v>0</v>
      </c>
      <c r="E1397" s="741">
        <f t="shared" si="42"/>
        <v>75.72</v>
      </c>
      <c r="F1397">
        <f t="shared" si="43"/>
        <v>94449</v>
      </c>
      <c r="H1397" s="1406">
        <v>75.11</v>
      </c>
      <c r="I1397" s="1406">
        <v>75.72</v>
      </c>
    </row>
    <row r="1398" spans="1:9" ht="30">
      <c r="B1398" s="677">
        <v>92255</v>
      </c>
      <c r="C1398" s="733" t="s">
        <v>2370</v>
      </c>
      <c r="D1398" s="677" t="s">
        <v>22</v>
      </c>
      <c r="E1398" s="738">
        <f t="shared" si="42"/>
        <v>180.06</v>
      </c>
      <c r="F1398">
        <f t="shared" si="43"/>
        <v>92255</v>
      </c>
      <c r="H1398" s="1405">
        <v>170.33</v>
      </c>
      <c r="I1398" s="1405">
        <v>180.06</v>
      </c>
    </row>
    <row r="1399" spans="1:9" ht="30">
      <c r="B1399" s="1477">
        <v>92256</v>
      </c>
      <c r="C1399" s="740" t="s">
        <v>2371</v>
      </c>
      <c r="D1399" s="739" t="s">
        <v>22</v>
      </c>
      <c r="E1399" s="741">
        <f t="shared" si="42"/>
        <v>220.65</v>
      </c>
      <c r="F1399">
        <f t="shared" si="43"/>
        <v>92256</v>
      </c>
      <c r="H1399" s="1406">
        <v>206.64</v>
      </c>
      <c r="I1399" s="1406">
        <v>220.65</v>
      </c>
    </row>
    <row r="1400" spans="1:9" ht="30">
      <c r="B1400" s="677">
        <v>92257</v>
      </c>
      <c r="C1400" s="733" t="s">
        <v>2372</v>
      </c>
      <c r="D1400" s="677" t="s">
        <v>22</v>
      </c>
      <c r="E1400" s="738">
        <f t="shared" si="42"/>
        <v>260.81</v>
      </c>
      <c r="F1400">
        <f t="shared" si="43"/>
        <v>92257</v>
      </c>
      <c r="H1400" s="1405">
        <v>242.57</v>
      </c>
      <c r="I1400" s="1405">
        <v>260.81</v>
      </c>
    </row>
    <row r="1401" spans="1:9" ht="30">
      <c r="B1401" s="1477">
        <v>92258</v>
      </c>
      <c r="C1401" s="740" t="s">
        <v>2373</v>
      </c>
      <c r="D1401" s="739" t="s">
        <v>22</v>
      </c>
      <c r="E1401" s="741">
        <f t="shared" si="42"/>
        <v>325.39</v>
      </c>
      <c r="F1401">
        <f t="shared" si="43"/>
        <v>92258</v>
      </c>
      <c r="H1401" s="1406">
        <v>300.35000000000002</v>
      </c>
      <c r="I1401" s="1406">
        <v>325.39</v>
      </c>
    </row>
    <row r="1402" spans="1:9" ht="30">
      <c r="B1402" s="677">
        <v>92568</v>
      </c>
      <c r="C1402" s="733" t="s">
        <v>2374</v>
      </c>
      <c r="D1402" s="677" t="s">
        <v>0</v>
      </c>
      <c r="E1402" s="738">
        <f t="shared" si="42"/>
        <v>123.64</v>
      </c>
      <c r="F1402">
        <f t="shared" si="43"/>
        <v>92568</v>
      </c>
      <c r="H1402" s="1405">
        <v>122.37</v>
      </c>
      <c r="I1402" s="1405">
        <v>123.64</v>
      </c>
    </row>
    <row r="1403" spans="1:9" ht="30">
      <c r="B1403" s="1477">
        <v>92569</v>
      </c>
      <c r="C1403" s="740" t="s">
        <v>2375</v>
      </c>
      <c r="D1403" s="739" t="s">
        <v>0</v>
      </c>
      <c r="E1403" s="741">
        <f t="shared" si="42"/>
        <v>68.61</v>
      </c>
      <c r="F1403">
        <f t="shared" si="43"/>
        <v>92569</v>
      </c>
      <c r="H1403" s="1406">
        <v>68.069999999999993</v>
      </c>
      <c r="I1403" s="1406">
        <v>68.61</v>
      </c>
    </row>
    <row r="1404" spans="1:9" ht="30">
      <c r="B1404" s="677">
        <v>92570</v>
      </c>
      <c r="C1404" s="733" t="s">
        <v>2376</v>
      </c>
      <c r="D1404" s="677" t="s">
        <v>0</v>
      </c>
      <c r="E1404" s="738">
        <f t="shared" si="42"/>
        <v>43.28</v>
      </c>
      <c r="F1404">
        <f t="shared" si="43"/>
        <v>92570</v>
      </c>
      <c r="H1404" s="1405">
        <v>43.01</v>
      </c>
      <c r="I1404" s="1405">
        <v>43.28</v>
      </c>
    </row>
    <row r="1405" spans="1:9" ht="30">
      <c r="B1405" s="1477">
        <v>92571</v>
      </c>
      <c r="C1405" s="740" t="s">
        <v>2377</v>
      </c>
      <c r="D1405" s="739" t="s">
        <v>0</v>
      </c>
      <c r="E1405" s="741">
        <f t="shared" si="42"/>
        <v>131.55000000000001</v>
      </c>
      <c r="F1405">
        <f t="shared" si="43"/>
        <v>92571</v>
      </c>
      <c r="H1405" s="1406">
        <v>129.54</v>
      </c>
      <c r="I1405" s="1406">
        <v>131.55000000000001</v>
      </c>
    </row>
    <row r="1406" spans="1:9" ht="30">
      <c r="B1406" s="677">
        <v>92572</v>
      </c>
      <c r="C1406" s="733" t="s">
        <v>2378</v>
      </c>
      <c r="D1406" s="677" t="s">
        <v>0</v>
      </c>
      <c r="E1406" s="738">
        <f t="shared" si="42"/>
        <v>78.599999999999994</v>
      </c>
      <c r="F1406">
        <f t="shared" si="43"/>
        <v>92572</v>
      </c>
      <c r="H1406" s="1405">
        <v>77.59</v>
      </c>
      <c r="I1406" s="1405">
        <v>78.599999999999994</v>
      </c>
    </row>
    <row r="1407" spans="1:9" ht="30">
      <c r="B1407" s="1477">
        <v>92573</v>
      </c>
      <c r="C1407" s="740" t="s">
        <v>2379</v>
      </c>
      <c r="D1407" s="739" t="s">
        <v>0</v>
      </c>
      <c r="E1407" s="741">
        <f t="shared" si="42"/>
        <v>46.64</v>
      </c>
      <c r="F1407">
        <f t="shared" si="43"/>
        <v>92573</v>
      </c>
      <c r="H1407" s="1406">
        <v>46.05</v>
      </c>
      <c r="I1407" s="1406">
        <v>46.64</v>
      </c>
    </row>
    <row r="1408" spans="1:9" ht="30">
      <c r="B1408" s="677">
        <v>92574</v>
      </c>
      <c r="C1408" s="733" t="s">
        <v>2380</v>
      </c>
      <c r="D1408" s="677" t="s">
        <v>0</v>
      </c>
      <c r="E1408" s="738">
        <f t="shared" si="42"/>
        <v>125.67</v>
      </c>
      <c r="F1408">
        <f t="shared" si="43"/>
        <v>92574</v>
      </c>
      <c r="H1408" s="1405">
        <v>124.3</v>
      </c>
      <c r="I1408" s="1405">
        <v>125.67</v>
      </c>
    </row>
    <row r="1409" spans="2:9" ht="30">
      <c r="B1409" s="1477">
        <v>92575</v>
      </c>
      <c r="C1409" s="740" t="s">
        <v>2381</v>
      </c>
      <c r="D1409" s="739" t="s">
        <v>0</v>
      </c>
      <c r="E1409" s="741">
        <f t="shared" si="42"/>
        <v>62.85</v>
      </c>
      <c r="F1409">
        <f t="shared" si="43"/>
        <v>92575</v>
      </c>
      <c r="H1409" s="1406">
        <v>62.29</v>
      </c>
      <c r="I1409" s="1406">
        <v>62.85</v>
      </c>
    </row>
    <row r="1410" spans="2:9" ht="30">
      <c r="B1410" s="677">
        <v>92576</v>
      </c>
      <c r="C1410" s="733" t="s">
        <v>2382</v>
      </c>
      <c r="D1410" s="677" t="s">
        <v>0</v>
      </c>
      <c r="E1410" s="738">
        <f t="shared" si="42"/>
        <v>34.200000000000003</v>
      </c>
      <c r="F1410">
        <f t="shared" si="43"/>
        <v>92576</v>
      </c>
      <c r="H1410" s="1405">
        <v>34</v>
      </c>
      <c r="I1410" s="1405">
        <v>34.200000000000003</v>
      </c>
    </row>
    <row r="1411" spans="2:9" ht="30">
      <c r="B1411" s="1477">
        <v>92577</v>
      </c>
      <c r="C1411" s="740" t="s">
        <v>2383</v>
      </c>
      <c r="D1411" s="739" t="s">
        <v>0</v>
      </c>
      <c r="E1411" s="741">
        <f t="shared" ref="E1411:E1474" si="44">IF($K$2=$H$1,H1411,I1411)</f>
        <v>133.99</v>
      </c>
      <c r="F1411">
        <f t="shared" ref="F1411:F1474" si="45">IF(LEN($B1411)=7,CONCATENATE(MID($B1411,1,6),"00",RIGHT($B1411,1)),IF(LEN($B1411)=8,CONCATENATE(MID($B1411,1,6),"0",RIGHT($B1411,2)),$B1411))</f>
        <v>92577</v>
      </c>
      <c r="H1411" s="1406">
        <v>131.87</v>
      </c>
      <c r="I1411" s="1406">
        <v>133.99</v>
      </c>
    </row>
    <row r="1412" spans="2:9" ht="30">
      <c r="B1412" s="677">
        <v>92578</v>
      </c>
      <c r="C1412" s="733" t="s">
        <v>2384</v>
      </c>
      <c r="D1412" s="677" t="s">
        <v>0</v>
      </c>
      <c r="E1412" s="738">
        <f t="shared" si="44"/>
        <v>67.489999999999995</v>
      </c>
      <c r="F1412">
        <f t="shared" si="45"/>
        <v>92578</v>
      </c>
      <c r="H1412" s="1405">
        <v>66.52</v>
      </c>
      <c r="I1412" s="1405">
        <v>67.489999999999995</v>
      </c>
    </row>
    <row r="1413" spans="2:9" ht="30">
      <c r="B1413" s="1477">
        <v>92579</v>
      </c>
      <c r="C1413" s="740" t="s">
        <v>2385</v>
      </c>
      <c r="D1413" s="739" t="s">
        <v>0</v>
      </c>
      <c r="E1413" s="741">
        <f t="shared" si="44"/>
        <v>36.869999999999997</v>
      </c>
      <c r="F1413">
        <f t="shared" si="45"/>
        <v>92579</v>
      </c>
      <c r="H1413" s="1406">
        <v>36.409999999999997</v>
      </c>
      <c r="I1413" s="1406">
        <v>36.869999999999997</v>
      </c>
    </row>
    <row r="1414" spans="2:9" ht="30">
      <c r="B1414" s="677">
        <v>92580</v>
      </c>
      <c r="C1414" s="733" t="s">
        <v>2386</v>
      </c>
      <c r="D1414" s="677" t="s">
        <v>0</v>
      </c>
      <c r="E1414" s="738">
        <f t="shared" si="44"/>
        <v>46.07</v>
      </c>
      <c r="F1414">
        <f t="shared" si="45"/>
        <v>92580</v>
      </c>
      <c r="H1414" s="1405">
        <v>45.3</v>
      </c>
      <c r="I1414" s="1405">
        <v>46.07</v>
      </c>
    </row>
    <row r="1415" spans="2:9" ht="30">
      <c r="B1415" s="1477">
        <v>92581</v>
      </c>
      <c r="C1415" s="740" t="s">
        <v>2387</v>
      </c>
      <c r="D1415" s="739" t="s">
        <v>0</v>
      </c>
      <c r="E1415" s="741">
        <f t="shared" si="44"/>
        <v>48.04</v>
      </c>
      <c r="F1415">
        <f t="shared" si="45"/>
        <v>92581</v>
      </c>
      <c r="H1415" s="1406">
        <v>47.34</v>
      </c>
      <c r="I1415" s="1406">
        <v>48.04</v>
      </c>
    </row>
    <row r="1416" spans="2:9" ht="30">
      <c r="B1416" s="677">
        <v>92582</v>
      </c>
      <c r="C1416" s="733" t="s">
        <v>1261</v>
      </c>
      <c r="D1416" s="677" t="s">
        <v>22</v>
      </c>
      <c r="E1416" s="738">
        <f t="shared" si="44"/>
        <v>677.51</v>
      </c>
      <c r="F1416">
        <f t="shared" si="45"/>
        <v>92582</v>
      </c>
      <c r="H1416" s="1405">
        <v>663.72</v>
      </c>
      <c r="I1416" s="1405">
        <v>677.51</v>
      </c>
    </row>
    <row r="1417" spans="2:9" ht="30">
      <c r="B1417" s="1477">
        <v>92584</v>
      </c>
      <c r="C1417" s="740" t="s">
        <v>1262</v>
      </c>
      <c r="D1417" s="739" t="s">
        <v>22</v>
      </c>
      <c r="E1417" s="741">
        <f t="shared" si="44"/>
        <v>793.57</v>
      </c>
      <c r="F1417">
        <f t="shared" si="45"/>
        <v>92584</v>
      </c>
      <c r="H1417" s="1406">
        <v>779.78</v>
      </c>
      <c r="I1417" s="1406">
        <v>793.57</v>
      </c>
    </row>
    <row r="1418" spans="2:9" ht="30">
      <c r="B1418" s="677">
        <v>92586</v>
      </c>
      <c r="C1418" s="733" t="s">
        <v>1263</v>
      </c>
      <c r="D1418" s="677" t="s">
        <v>22</v>
      </c>
      <c r="E1418" s="738">
        <f t="shared" si="44"/>
        <v>909.62</v>
      </c>
      <c r="F1418">
        <f t="shared" si="45"/>
        <v>92586</v>
      </c>
      <c r="H1418" s="1405">
        <v>895.83</v>
      </c>
      <c r="I1418" s="1405">
        <v>909.62</v>
      </c>
    </row>
    <row r="1419" spans="2:9" ht="30">
      <c r="B1419" s="1477">
        <v>92588</v>
      </c>
      <c r="C1419" s="740" t="s">
        <v>1264</v>
      </c>
      <c r="D1419" s="739" t="s">
        <v>22</v>
      </c>
      <c r="E1419" s="741">
        <f t="shared" si="44"/>
        <v>1149.19</v>
      </c>
      <c r="F1419">
        <f t="shared" si="45"/>
        <v>92588</v>
      </c>
      <c r="H1419" s="1406">
        <v>1129.0899999999999</v>
      </c>
      <c r="I1419" s="1406">
        <v>1149.19</v>
      </c>
    </row>
    <row r="1420" spans="2:9" ht="30">
      <c r="B1420" s="677">
        <v>92590</v>
      </c>
      <c r="C1420" s="733" t="s">
        <v>1265</v>
      </c>
      <c r="D1420" s="677" t="s">
        <v>22</v>
      </c>
      <c r="E1420" s="738">
        <f t="shared" si="44"/>
        <v>1265.24</v>
      </c>
      <c r="F1420">
        <f t="shared" si="45"/>
        <v>92590</v>
      </c>
      <c r="H1420" s="1405">
        <v>1245.1400000000001</v>
      </c>
      <c r="I1420" s="1405">
        <v>1265.24</v>
      </c>
    </row>
    <row r="1421" spans="2:9" ht="30">
      <c r="B1421" s="1477">
        <v>92592</v>
      </c>
      <c r="C1421" s="740" t="s">
        <v>1266</v>
      </c>
      <c r="D1421" s="739" t="s">
        <v>22</v>
      </c>
      <c r="E1421" s="741">
        <f t="shared" si="44"/>
        <v>1421.46</v>
      </c>
      <c r="F1421">
        <f t="shared" si="45"/>
        <v>92592</v>
      </c>
      <c r="H1421" s="1406">
        <v>1397.13</v>
      </c>
      <c r="I1421" s="1406">
        <v>1421.46</v>
      </c>
    </row>
    <row r="1422" spans="2:9" ht="30">
      <c r="B1422" s="677">
        <v>92594</v>
      </c>
      <c r="C1422" s="733" t="s">
        <v>1267</v>
      </c>
      <c r="D1422" s="677" t="s">
        <v>22</v>
      </c>
      <c r="E1422" s="738">
        <f t="shared" si="44"/>
        <v>1649.79</v>
      </c>
      <c r="F1422">
        <f t="shared" si="45"/>
        <v>92594</v>
      </c>
      <c r="H1422" s="1405">
        <v>1623.44</v>
      </c>
      <c r="I1422" s="1405">
        <v>1649.79</v>
      </c>
    </row>
    <row r="1423" spans="2:9" ht="30">
      <c r="B1423" s="1477">
        <v>92596</v>
      </c>
      <c r="C1423" s="740" t="s">
        <v>1268</v>
      </c>
      <c r="D1423" s="739" t="s">
        <v>22</v>
      </c>
      <c r="E1423" s="741">
        <f t="shared" si="44"/>
        <v>1835.39</v>
      </c>
      <c r="F1423">
        <f t="shared" si="45"/>
        <v>92596</v>
      </c>
      <c r="H1423" s="1406">
        <v>1802.24</v>
      </c>
      <c r="I1423" s="1406">
        <v>1835.39</v>
      </c>
    </row>
    <row r="1424" spans="2:9" ht="30">
      <c r="B1424" s="677">
        <v>92598</v>
      </c>
      <c r="C1424" s="733" t="s">
        <v>1269</v>
      </c>
      <c r="D1424" s="677" t="s">
        <v>22</v>
      </c>
      <c r="E1424" s="738">
        <f t="shared" si="44"/>
        <v>1951.44</v>
      </c>
      <c r="F1424">
        <f t="shared" si="45"/>
        <v>92598</v>
      </c>
      <c r="H1424" s="1405">
        <v>1918.29</v>
      </c>
      <c r="I1424" s="1405">
        <v>1951.44</v>
      </c>
    </row>
    <row r="1425" spans="2:9" ht="30">
      <c r="B1425" s="1477">
        <v>92600</v>
      </c>
      <c r="C1425" s="740" t="s">
        <v>1270</v>
      </c>
      <c r="D1425" s="739" t="s">
        <v>22</v>
      </c>
      <c r="E1425" s="741">
        <f t="shared" si="44"/>
        <v>2096.85</v>
      </c>
      <c r="F1425">
        <f t="shared" si="45"/>
        <v>92600</v>
      </c>
      <c r="H1425" s="1406">
        <v>2063.6999999999998</v>
      </c>
      <c r="I1425" s="1406">
        <v>2096.85</v>
      </c>
    </row>
    <row r="1426" spans="2:9" ht="30">
      <c r="B1426" s="677">
        <v>92602</v>
      </c>
      <c r="C1426" s="733" t="s">
        <v>7764</v>
      </c>
      <c r="D1426" s="677" t="s">
        <v>22</v>
      </c>
      <c r="E1426" s="738">
        <f t="shared" si="44"/>
        <v>677.51</v>
      </c>
      <c r="F1426">
        <f t="shared" si="45"/>
        <v>92602</v>
      </c>
      <c r="H1426" s="1405">
        <v>663.72</v>
      </c>
      <c r="I1426" s="1405">
        <v>677.51</v>
      </c>
    </row>
    <row r="1427" spans="2:9" ht="30">
      <c r="B1427" s="1477">
        <v>92604</v>
      </c>
      <c r="C1427" s="740" t="s">
        <v>1271</v>
      </c>
      <c r="D1427" s="739" t="s">
        <v>22</v>
      </c>
      <c r="E1427" s="741">
        <f t="shared" si="44"/>
        <v>764.21</v>
      </c>
      <c r="F1427">
        <f t="shared" si="45"/>
        <v>92604</v>
      </c>
      <c r="H1427" s="1406">
        <v>750.42</v>
      </c>
      <c r="I1427" s="1406">
        <v>764.21</v>
      </c>
    </row>
    <row r="1428" spans="2:9" ht="30">
      <c r="B1428" s="677">
        <v>92606</v>
      </c>
      <c r="C1428" s="733" t="s">
        <v>1272</v>
      </c>
      <c r="D1428" s="677" t="s">
        <v>22</v>
      </c>
      <c r="E1428" s="738">
        <f t="shared" si="44"/>
        <v>880.27</v>
      </c>
      <c r="F1428">
        <f t="shared" si="45"/>
        <v>92606</v>
      </c>
      <c r="H1428" s="1405">
        <v>866.48</v>
      </c>
      <c r="I1428" s="1405">
        <v>880.27</v>
      </c>
    </row>
    <row r="1429" spans="2:9" ht="30">
      <c r="B1429" s="1477">
        <v>92608</v>
      </c>
      <c r="C1429" s="740" t="s">
        <v>1273</v>
      </c>
      <c r="D1429" s="739" t="s">
        <v>22</v>
      </c>
      <c r="E1429" s="741">
        <f t="shared" si="44"/>
        <v>1090.48</v>
      </c>
      <c r="F1429">
        <f t="shared" si="45"/>
        <v>92608</v>
      </c>
      <c r="H1429" s="1406">
        <v>1070.3800000000001</v>
      </c>
      <c r="I1429" s="1406">
        <v>1090.48</v>
      </c>
    </row>
    <row r="1430" spans="2:9" ht="30">
      <c r="B1430" s="677">
        <v>92610</v>
      </c>
      <c r="C1430" s="733" t="s">
        <v>1274</v>
      </c>
      <c r="D1430" s="677" t="s">
        <v>22</v>
      </c>
      <c r="E1430" s="738">
        <f t="shared" si="44"/>
        <v>1206.54</v>
      </c>
      <c r="F1430">
        <f t="shared" si="45"/>
        <v>92610</v>
      </c>
      <c r="H1430" s="1405">
        <v>1186.44</v>
      </c>
      <c r="I1430" s="1405">
        <v>1206.54</v>
      </c>
    </row>
    <row r="1431" spans="2:9" ht="30">
      <c r="B1431" s="1477">
        <v>92612</v>
      </c>
      <c r="C1431" s="740" t="s">
        <v>1275</v>
      </c>
      <c r="D1431" s="739" t="s">
        <v>22</v>
      </c>
      <c r="E1431" s="741">
        <f t="shared" si="44"/>
        <v>1362.75</v>
      </c>
      <c r="F1431">
        <f t="shared" si="45"/>
        <v>92612</v>
      </c>
      <c r="H1431" s="1406">
        <v>1338.42</v>
      </c>
      <c r="I1431" s="1406">
        <v>1362.75</v>
      </c>
    </row>
    <row r="1432" spans="2:9" ht="30">
      <c r="B1432" s="677">
        <v>92614</v>
      </c>
      <c r="C1432" s="733" t="s">
        <v>1276</v>
      </c>
      <c r="D1432" s="677" t="s">
        <v>22</v>
      </c>
      <c r="E1432" s="738">
        <f t="shared" si="44"/>
        <v>1532.38</v>
      </c>
      <c r="F1432">
        <f t="shared" si="45"/>
        <v>92614</v>
      </c>
      <c r="H1432" s="1405">
        <v>1506.03</v>
      </c>
      <c r="I1432" s="1405">
        <v>1532.38</v>
      </c>
    </row>
    <row r="1433" spans="2:9" ht="30">
      <c r="B1433" s="1477">
        <v>92616</v>
      </c>
      <c r="C1433" s="740" t="s">
        <v>1277</v>
      </c>
      <c r="D1433" s="739" t="s">
        <v>22</v>
      </c>
      <c r="E1433" s="741">
        <f t="shared" si="44"/>
        <v>1747.33</v>
      </c>
      <c r="F1433">
        <f t="shared" si="45"/>
        <v>92616</v>
      </c>
      <c r="H1433" s="1406">
        <v>1714.18</v>
      </c>
      <c r="I1433" s="1406">
        <v>1747.33</v>
      </c>
    </row>
    <row r="1434" spans="2:9" ht="30">
      <c r="B1434" s="677">
        <v>92618</v>
      </c>
      <c r="C1434" s="733" t="s">
        <v>1278</v>
      </c>
      <c r="D1434" s="677" t="s">
        <v>22</v>
      </c>
      <c r="E1434" s="738">
        <f t="shared" si="44"/>
        <v>1863.38</v>
      </c>
      <c r="F1434">
        <f t="shared" si="45"/>
        <v>92618</v>
      </c>
      <c r="H1434" s="1405">
        <v>1830.23</v>
      </c>
      <c r="I1434" s="1405">
        <v>1863.38</v>
      </c>
    </row>
    <row r="1435" spans="2:9" ht="30">
      <c r="B1435" s="1477">
        <v>92620</v>
      </c>
      <c r="C1435" s="740" t="s">
        <v>1279</v>
      </c>
      <c r="D1435" s="739" t="s">
        <v>22</v>
      </c>
      <c r="E1435" s="741">
        <f t="shared" si="44"/>
        <v>1979.43</v>
      </c>
      <c r="F1435">
        <f t="shared" si="45"/>
        <v>92620</v>
      </c>
      <c r="H1435" s="1406">
        <v>1946.28</v>
      </c>
      <c r="I1435" s="1406">
        <v>1979.43</v>
      </c>
    </row>
    <row r="1436" spans="2:9" ht="30">
      <c r="B1436" s="677">
        <v>100357</v>
      </c>
      <c r="C1436" s="733" t="s">
        <v>2388</v>
      </c>
      <c r="D1436" s="677" t="s">
        <v>22</v>
      </c>
      <c r="E1436" s="738">
        <f t="shared" si="44"/>
        <v>954.46</v>
      </c>
      <c r="F1436">
        <f t="shared" si="45"/>
        <v>100357</v>
      </c>
      <c r="H1436" s="1405">
        <v>918.06</v>
      </c>
      <c r="I1436" s="1405">
        <v>954.46</v>
      </c>
    </row>
    <row r="1437" spans="2:9" ht="30">
      <c r="B1437" s="1477">
        <v>100358</v>
      </c>
      <c r="C1437" s="740" t="s">
        <v>2389</v>
      </c>
      <c r="D1437" s="739" t="s">
        <v>22</v>
      </c>
      <c r="E1437" s="741">
        <f t="shared" si="44"/>
        <v>1297.51</v>
      </c>
      <c r="F1437">
        <f t="shared" si="45"/>
        <v>100358</v>
      </c>
      <c r="H1437" s="1406">
        <v>1237.6300000000001</v>
      </c>
      <c r="I1437" s="1406">
        <v>1297.51</v>
      </c>
    </row>
    <row r="1438" spans="2:9" ht="30">
      <c r="B1438" s="677">
        <v>100359</v>
      </c>
      <c r="C1438" s="733" t="s">
        <v>2390</v>
      </c>
      <c r="D1438" s="677" t="s">
        <v>22</v>
      </c>
      <c r="E1438" s="738">
        <f t="shared" si="44"/>
        <v>1360.54</v>
      </c>
      <c r="F1438">
        <f t="shared" si="45"/>
        <v>100359</v>
      </c>
      <c r="H1438" s="1405">
        <v>1300.6600000000001</v>
      </c>
      <c r="I1438" s="1405">
        <v>1360.54</v>
      </c>
    </row>
    <row r="1439" spans="2:9" ht="30">
      <c r="B1439" s="1477">
        <v>100360</v>
      </c>
      <c r="C1439" s="740" t="s">
        <v>2391</v>
      </c>
      <c r="D1439" s="739" t="s">
        <v>22</v>
      </c>
      <c r="E1439" s="741">
        <f t="shared" si="44"/>
        <v>1506.93</v>
      </c>
      <c r="F1439">
        <f t="shared" si="45"/>
        <v>100360</v>
      </c>
      <c r="H1439" s="1406">
        <v>1440.77</v>
      </c>
      <c r="I1439" s="1406">
        <v>1506.93</v>
      </c>
    </row>
    <row r="1440" spans="2:9" ht="30">
      <c r="B1440" s="677">
        <v>100361</v>
      </c>
      <c r="C1440" s="733" t="s">
        <v>2392</v>
      </c>
      <c r="D1440" s="677" t="s">
        <v>22</v>
      </c>
      <c r="E1440" s="738">
        <f t="shared" si="44"/>
        <v>1876.37</v>
      </c>
      <c r="F1440">
        <f t="shared" si="45"/>
        <v>100361</v>
      </c>
      <c r="H1440" s="1405">
        <v>1786.75</v>
      </c>
      <c r="I1440" s="1405">
        <v>1876.37</v>
      </c>
    </row>
    <row r="1441" spans="2:9" ht="30">
      <c r="B1441" s="1477">
        <v>100362</v>
      </c>
      <c r="C1441" s="740" t="s">
        <v>2393</v>
      </c>
      <c r="D1441" s="739" t="s">
        <v>22</v>
      </c>
      <c r="E1441" s="741">
        <f t="shared" si="44"/>
        <v>2531.27</v>
      </c>
      <c r="F1441">
        <f t="shared" si="45"/>
        <v>100362</v>
      </c>
      <c r="H1441" s="1406">
        <v>2435.6</v>
      </c>
      <c r="I1441" s="1406">
        <v>2531.27</v>
      </c>
    </row>
    <row r="1442" spans="2:9" ht="30">
      <c r="B1442" s="677">
        <v>100363</v>
      </c>
      <c r="C1442" s="733" t="s">
        <v>2394</v>
      </c>
      <c r="D1442" s="677" t="s">
        <v>22</v>
      </c>
      <c r="E1442" s="738">
        <f t="shared" si="44"/>
        <v>2609.19</v>
      </c>
      <c r="F1442">
        <f t="shared" si="45"/>
        <v>100363</v>
      </c>
      <c r="H1442" s="1405">
        <v>2513.52</v>
      </c>
      <c r="I1442" s="1405">
        <v>2609.19</v>
      </c>
    </row>
    <row r="1443" spans="2:9" ht="30">
      <c r="B1443" s="1477">
        <v>100364</v>
      </c>
      <c r="C1443" s="740" t="s">
        <v>2395</v>
      </c>
      <c r="D1443" s="739" t="s">
        <v>22</v>
      </c>
      <c r="E1443" s="741">
        <f t="shared" si="44"/>
        <v>2827.84</v>
      </c>
      <c r="F1443">
        <f t="shared" si="45"/>
        <v>100364</v>
      </c>
      <c r="H1443" s="1406">
        <v>2722.41</v>
      </c>
      <c r="I1443" s="1406">
        <v>2827.84</v>
      </c>
    </row>
    <row r="1444" spans="2:9" ht="30">
      <c r="B1444" s="677">
        <v>100365</v>
      </c>
      <c r="C1444" s="733" t="s">
        <v>2396</v>
      </c>
      <c r="D1444" s="677" t="s">
        <v>22</v>
      </c>
      <c r="E1444" s="738">
        <f t="shared" si="44"/>
        <v>3244.64</v>
      </c>
      <c r="F1444">
        <f t="shared" si="45"/>
        <v>100365</v>
      </c>
      <c r="H1444" s="1405">
        <v>3115.73</v>
      </c>
      <c r="I1444" s="1405">
        <v>3244.64</v>
      </c>
    </row>
    <row r="1445" spans="2:9" ht="30">
      <c r="B1445" s="1477">
        <v>100366</v>
      </c>
      <c r="C1445" s="740" t="s">
        <v>2397</v>
      </c>
      <c r="D1445" s="739" t="s">
        <v>22</v>
      </c>
      <c r="E1445" s="741">
        <f t="shared" si="44"/>
        <v>3450.83</v>
      </c>
      <c r="F1445">
        <f t="shared" si="45"/>
        <v>100366</v>
      </c>
      <c r="H1445" s="1406">
        <v>3321.92</v>
      </c>
      <c r="I1445" s="1406">
        <v>3450.83</v>
      </c>
    </row>
    <row r="1446" spans="2:9" ht="30">
      <c r="B1446" s="677">
        <v>100367</v>
      </c>
      <c r="C1446" s="733" t="s">
        <v>2398</v>
      </c>
      <c r="D1446" s="677" t="s">
        <v>22</v>
      </c>
      <c r="E1446" s="738">
        <f t="shared" si="44"/>
        <v>930.65</v>
      </c>
      <c r="F1446">
        <f t="shared" si="45"/>
        <v>100367</v>
      </c>
      <c r="H1446" s="1405">
        <v>894.25</v>
      </c>
      <c r="I1446" s="1405">
        <v>930.65</v>
      </c>
    </row>
    <row r="1447" spans="2:9" ht="30">
      <c r="B1447" s="1477">
        <v>100368</v>
      </c>
      <c r="C1447" s="740" t="s">
        <v>2399</v>
      </c>
      <c r="D1447" s="739" t="s">
        <v>22</v>
      </c>
      <c r="E1447" s="741">
        <f t="shared" si="44"/>
        <v>1268.1400000000001</v>
      </c>
      <c r="F1447">
        <f t="shared" si="45"/>
        <v>100368</v>
      </c>
      <c r="H1447" s="1406">
        <v>1208.26</v>
      </c>
      <c r="I1447" s="1406">
        <v>1268.1400000000001</v>
      </c>
    </row>
    <row r="1448" spans="2:9" ht="30">
      <c r="B1448" s="677">
        <v>100369</v>
      </c>
      <c r="C1448" s="733" t="s">
        <v>2400</v>
      </c>
      <c r="D1448" s="677" t="s">
        <v>22</v>
      </c>
      <c r="E1448" s="738">
        <f t="shared" si="44"/>
        <v>1331.17</v>
      </c>
      <c r="F1448">
        <f t="shared" si="45"/>
        <v>100369</v>
      </c>
      <c r="H1448" s="1405">
        <v>1271.29</v>
      </c>
      <c r="I1448" s="1405">
        <v>1331.17</v>
      </c>
    </row>
    <row r="1449" spans="2:9" ht="30">
      <c r="B1449" s="1477">
        <v>100370</v>
      </c>
      <c r="C1449" s="740" t="s">
        <v>2401</v>
      </c>
      <c r="D1449" s="739" t="s">
        <v>22</v>
      </c>
      <c r="E1449" s="741">
        <f t="shared" si="44"/>
        <v>1568.56</v>
      </c>
      <c r="F1449">
        <f t="shared" si="45"/>
        <v>100370</v>
      </c>
      <c r="H1449" s="1406">
        <v>1502.4</v>
      </c>
      <c r="I1449" s="1406">
        <v>1568.56</v>
      </c>
    </row>
    <row r="1450" spans="2:9" ht="30">
      <c r="B1450" s="677">
        <v>100371</v>
      </c>
      <c r="C1450" s="733" t="s">
        <v>2402</v>
      </c>
      <c r="D1450" s="677" t="s">
        <v>22</v>
      </c>
      <c r="E1450" s="738">
        <f t="shared" si="44"/>
        <v>1798.06</v>
      </c>
      <c r="F1450">
        <f t="shared" si="45"/>
        <v>100371</v>
      </c>
      <c r="H1450" s="1405">
        <v>1708.44</v>
      </c>
      <c r="I1450" s="1405">
        <v>1798.06</v>
      </c>
    </row>
    <row r="1451" spans="2:9" ht="30">
      <c r="B1451" s="1477">
        <v>100372</v>
      </c>
      <c r="C1451" s="740" t="s">
        <v>2403</v>
      </c>
      <c r="D1451" s="739" t="s">
        <v>22</v>
      </c>
      <c r="E1451" s="741">
        <f t="shared" si="44"/>
        <v>2397.0700000000002</v>
      </c>
      <c r="F1451">
        <f t="shared" si="45"/>
        <v>100372</v>
      </c>
      <c r="H1451" s="1406">
        <v>2301.4</v>
      </c>
      <c r="I1451" s="1406">
        <v>2397.0700000000002</v>
      </c>
    </row>
    <row r="1452" spans="2:9" ht="30">
      <c r="B1452" s="677">
        <v>100373</v>
      </c>
      <c r="C1452" s="733" t="s">
        <v>2404</v>
      </c>
      <c r="D1452" s="677" t="s">
        <v>22</v>
      </c>
      <c r="E1452" s="738">
        <f t="shared" si="44"/>
        <v>2473.35</v>
      </c>
      <c r="F1452">
        <f t="shared" si="45"/>
        <v>100373</v>
      </c>
      <c r="H1452" s="1405">
        <v>2377.6799999999998</v>
      </c>
      <c r="I1452" s="1405">
        <v>2473.35</v>
      </c>
    </row>
    <row r="1453" spans="2:9" ht="30">
      <c r="B1453" s="1477">
        <v>100374</v>
      </c>
      <c r="C1453" s="740" t="s">
        <v>2405</v>
      </c>
      <c r="D1453" s="739" t="s">
        <v>22</v>
      </c>
      <c r="E1453" s="741">
        <f t="shared" si="44"/>
        <v>2648.11</v>
      </c>
      <c r="F1453">
        <f t="shared" si="45"/>
        <v>100374</v>
      </c>
      <c r="H1453" s="1406">
        <v>2542.6799999999998</v>
      </c>
      <c r="I1453" s="1406">
        <v>2648.11</v>
      </c>
    </row>
    <row r="1454" spans="2:9" ht="30">
      <c r="B1454" s="677">
        <v>100375</v>
      </c>
      <c r="C1454" s="733" t="s">
        <v>2406</v>
      </c>
      <c r="D1454" s="677" t="s">
        <v>22</v>
      </c>
      <c r="E1454" s="738">
        <f t="shared" si="44"/>
        <v>2977.75</v>
      </c>
      <c r="F1454">
        <f t="shared" si="45"/>
        <v>100375</v>
      </c>
      <c r="H1454" s="1405">
        <v>2848.84</v>
      </c>
      <c r="I1454" s="1405">
        <v>2977.75</v>
      </c>
    </row>
    <row r="1455" spans="2:9" ht="30">
      <c r="B1455" s="1477">
        <v>100376</v>
      </c>
      <c r="C1455" s="740" t="s">
        <v>2407</v>
      </c>
      <c r="D1455" s="739" t="s">
        <v>22</v>
      </c>
      <c r="E1455" s="741">
        <f t="shared" si="44"/>
        <v>2921.19</v>
      </c>
      <c r="F1455">
        <f t="shared" si="45"/>
        <v>100376</v>
      </c>
      <c r="H1455" s="1406">
        <v>2792.28</v>
      </c>
      <c r="I1455" s="1406">
        <v>2921.19</v>
      </c>
    </row>
    <row r="1456" spans="2:9" ht="30">
      <c r="B1456" s="677">
        <v>100377</v>
      </c>
      <c r="C1456" s="733" t="s">
        <v>2709</v>
      </c>
      <c r="D1456" s="677" t="s">
        <v>20</v>
      </c>
      <c r="E1456" s="738">
        <f t="shared" si="44"/>
        <v>11.27</v>
      </c>
      <c r="F1456">
        <f t="shared" si="45"/>
        <v>100377</v>
      </c>
      <c r="H1456" s="1405">
        <v>11.09</v>
      </c>
      <c r="I1456" s="1405">
        <v>11.27</v>
      </c>
    </row>
    <row r="1457" spans="2:9" ht="30">
      <c r="B1457" s="1477">
        <v>100378</v>
      </c>
      <c r="C1457" s="740" t="s">
        <v>2710</v>
      </c>
      <c r="D1457" s="739" t="s">
        <v>20</v>
      </c>
      <c r="E1457" s="741">
        <f t="shared" si="44"/>
        <v>10.45</v>
      </c>
      <c r="F1457">
        <f t="shared" si="45"/>
        <v>100378</v>
      </c>
      <c r="H1457" s="1406">
        <v>10.29</v>
      </c>
      <c r="I1457" s="1406">
        <v>10.45</v>
      </c>
    </row>
    <row r="1458" spans="2:9" ht="45">
      <c r="B1458" s="677">
        <v>100382</v>
      </c>
      <c r="C1458" s="733" t="s">
        <v>2408</v>
      </c>
      <c r="D1458" s="677" t="s">
        <v>0</v>
      </c>
      <c r="E1458" s="738">
        <f t="shared" si="44"/>
        <v>20.85</v>
      </c>
      <c r="F1458">
        <f t="shared" si="45"/>
        <v>100382</v>
      </c>
      <c r="H1458" s="1405">
        <v>20.350000000000001</v>
      </c>
      <c r="I1458" s="1405">
        <v>20.85</v>
      </c>
    </row>
    <row r="1459" spans="2:9" ht="30">
      <c r="B1459" s="1477">
        <v>104314</v>
      </c>
      <c r="C1459" s="740" t="s">
        <v>6475</v>
      </c>
      <c r="D1459" s="739" t="s">
        <v>20</v>
      </c>
      <c r="E1459" s="741">
        <f t="shared" si="44"/>
        <v>10.61</v>
      </c>
      <c r="F1459">
        <f t="shared" si="45"/>
        <v>104314</v>
      </c>
      <c r="H1459" s="1406">
        <v>10.44</v>
      </c>
      <c r="I1459" s="1406">
        <v>10.61</v>
      </c>
    </row>
    <row r="1460" spans="2:9">
      <c r="B1460" s="677">
        <v>94444</v>
      </c>
      <c r="C1460" s="733" t="s">
        <v>2409</v>
      </c>
      <c r="D1460" s="677" t="s">
        <v>0</v>
      </c>
      <c r="E1460" s="738">
        <f t="shared" si="44"/>
        <v>1022.78</v>
      </c>
      <c r="F1460">
        <f t="shared" si="45"/>
        <v>94444</v>
      </c>
      <c r="H1460" s="1405">
        <v>1021.93</v>
      </c>
      <c r="I1460" s="1405">
        <v>1022.78</v>
      </c>
    </row>
    <row r="1461" spans="2:9">
      <c r="B1461" s="1477">
        <v>104482</v>
      </c>
      <c r="C1461" s="740" t="s">
        <v>7371</v>
      </c>
      <c r="D1461" s="739" t="s">
        <v>31</v>
      </c>
      <c r="E1461" s="741">
        <f t="shared" si="44"/>
        <v>27.6</v>
      </c>
      <c r="F1461">
        <f t="shared" si="45"/>
        <v>104482</v>
      </c>
      <c r="H1461" s="1406">
        <v>24.8</v>
      </c>
      <c r="I1461" s="1406">
        <v>27.6</v>
      </c>
    </row>
    <row r="1462" spans="2:9" ht="30">
      <c r="B1462" s="677">
        <v>104184</v>
      </c>
      <c r="C1462" s="733" t="s">
        <v>7372</v>
      </c>
      <c r="D1462" s="677" t="s">
        <v>22</v>
      </c>
      <c r="E1462" s="738">
        <f t="shared" si="44"/>
        <v>29.07</v>
      </c>
      <c r="F1462">
        <f t="shared" si="45"/>
        <v>104184</v>
      </c>
      <c r="H1462" s="1405">
        <v>26.85</v>
      </c>
      <c r="I1462" s="1405">
        <v>29.07</v>
      </c>
    </row>
    <row r="1463" spans="2:9" ht="30">
      <c r="B1463" s="1477">
        <v>104185</v>
      </c>
      <c r="C1463" s="740" t="s">
        <v>7373</v>
      </c>
      <c r="D1463" s="739" t="s">
        <v>22</v>
      </c>
      <c r="E1463" s="741">
        <f t="shared" si="44"/>
        <v>23.31</v>
      </c>
      <c r="F1463">
        <f t="shared" si="45"/>
        <v>104185</v>
      </c>
      <c r="H1463" s="1406">
        <v>20.87</v>
      </c>
      <c r="I1463" s="1406">
        <v>23.31</v>
      </c>
    </row>
    <row r="1464" spans="2:9" ht="30">
      <c r="B1464" s="677">
        <v>104189</v>
      </c>
      <c r="C1464" s="733" t="s">
        <v>7374</v>
      </c>
      <c r="D1464" s="677" t="s">
        <v>19</v>
      </c>
      <c r="E1464" s="738">
        <f t="shared" si="44"/>
        <v>191.59</v>
      </c>
      <c r="F1464">
        <f t="shared" si="45"/>
        <v>104189</v>
      </c>
      <c r="H1464" s="1405">
        <v>187.79</v>
      </c>
      <c r="I1464" s="1405">
        <v>191.59</v>
      </c>
    </row>
    <row r="1465" spans="2:9" ht="30">
      <c r="B1465" s="1477">
        <v>104190</v>
      </c>
      <c r="C1465" s="740" t="s">
        <v>7375</v>
      </c>
      <c r="D1465" s="739" t="s">
        <v>22</v>
      </c>
      <c r="E1465" s="741">
        <f t="shared" si="44"/>
        <v>625.34</v>
      </c>
      <c r="F1465">
        <f t="shared" si="45"/>
        <v>104190</v>
      </c>
      <c r="H1465" s="1406">
        <v>561.55999999999995</v>
      </c>
      <c r="I1465" s="1406">
        <v>625.34</v>
      </c>
    </row>
    <row r="1466" spans="2:9" ht="30">
      <c r="B1466" s="677">
        <v>102661</v>
      </c>
      <c r="C1466" s="733" t="s">
        <v>4773</v>
      </c>
      <c r="D1466" s="677" t="s">
        <v>21</v>
      </c>
      <c r="E1466" s="738">
        <f t="shared" si="44"/>
        <v>42.51</v>
      </c>
      <c r="F1466">
        <f t="shared" si="45"/>
        <v>102661</v>
      </c>
      <c r="H1466" s="1405">
        <v>41.89</v>
      </c>
      <c r="I1466" s="1405">
        <v>42.51</v>
      </c>
    </row>
    <row r="1467" spans="2:9" ht="30">
      <c r="B1467" s="1477">
        <v>102662</v>
      </c>
      <c r="C1467" s="740" t="s">
        <v>6888</v>
      </c>
      <c r="D1467" s="739" t="s">
        <v>21</v>
      </c>
      <c r="E1467" s="741">
        <f t="shared" si="44"/>
        <v>93.18</v>
      </c>
      <c r="F1467">
        <f t="shared" si="45"/>
        <v>102662</v>
      </c>
      <c r="H1467" s="1406">
        <v>92.33</v>
      </c>
      <c r="I1467" s="1406">
        <v>93.18</v>
      </c>
    </row>
    <row r="1468" spans="2:9" ht="30">
      <c r="B1468" s="677">
        <v>102663</v>
      </c>
      <c r="C1468" s="733" t="s">
        <v>4774</v>
      </c>
      <c r="D1468" s="677" t="s">
        <v>21</v>
      </c>
      <c r="E1468" s="738">
        <f t="shared" si="44"/>
        <v>70.209999999999994</v>
      </c>
      <c r="F1468">
        <f t="shared" si="45"/>
        <v>102663</v>
      </c>
      <c r="H1468" s="1405">
        <v>69.27</v>
      </c>
      <c r="I1468" s="1405">
        <v>70.209999999999994</v>
      </c>
    </row>
    <row r="1469" spans="2:9">
      <c r="B1469" s="1477">
        <v>102664</v>
      </c>
      <c r="C1469" s="740" t="s">
        <v>4775</v>
      </c>
      <c r="D1469" s="739" t="s">
        <v>21</v>
      </c>
      <c r="E1469" s="741">
        <f t="shared" si="44"/>
        <v>57.32</v>
      </c>
      <c r="F1469">
        <f t="shared" si="45"/>
        <v>102664</v>
      </c>
      <c r="H1469" s="1406">
        <v>56.71</v>
      </c>
      <c r="I1469" s="1406">
        <v>57.32</v>
      </c>
    </row>
    <row r="1470" spans="2:9">
      <c r="B1470" s="677">
        <v>102665</v>
      </c>
      <c r="C1470" s="733" t="s">
        <v>4776</v>
      </c>
      <c r="D1470" s="677" t="s">
        <v>21</v>
      </c>
      <c r="E1470" s="738">
        <f t="shared" si="44"/>
        <v>31.73</v>
      </c>
      <c r="F1470">
        <f t="shared" si="45"/>
        <v>102665</v>
      </c>
      <c r="H1470" s="1405">
        <v>31.17</v>
      </c>
      <c r="I1470" s="1405">
        <v>31.73</v>
      </c>
    </row>
    <row r="1471" spans="2:9" ht="30">
      <c r="B1471" s="1477">
        <v>102666</v>
      </c>
      <c r="C1471" s="740" t="s">
        <v>4777</v>
      </c>
      <c r="D1471" s="739" t="s">
        <v>21</v>
      </c>
      <c r="E1471" s="741">
        <f t="shared" si="44"/>
        <v>68.62</v>
      </c>
      <c r="F1471">
        <f t="shared" si="45"/>
        <v>102666</v>
      </c>
      <c r="H1471" s="1406">
        <v>67.98</v>
      </c>
      <c r="I1471" s="1406">
        <v>68.62</v>
      </c>
    </row>
    <row r="1472" spans="2:9" ht="30">
      <c r="B1472" s="677">
        <v>102668</v>
      </c>
      <c r="C1472" s="733" t="s">
        <v>6889</v>
      </c>
      <c r="D1472" s="677" t="s">
        <v>21</v>
      </c>
      <c r="E1472" s="738">
        <f t="shared" si="44"/>
        <v>119.29</v>
      </c>
      <c r="F1472">
        <f t="shared" si="45"/>
        <v>102668</v>
      </c>
      <c r="H1472" s="1405">
        <v>118.4</v>
      </c>
      <c r="I1472" s="1405">
        <v>119.29</v>
      </c>
    </row>
    <row r="1473" spans="2:9" ht="30">
      <c r="B1473" s="1477">
        <v>102669</v>
      </c>
      <c r="C1473" s="740" t="s">
        <v>4778</v>
      </c>
      <c r="D1473" s="739" t="s">
        <v>21</v>
      </c>
      <c r="E1473" s="741">
        <f t="shared" si="44"/>
        <v>96.25</v>
      </c>
      <c r="F1473">
        <f t="shared" si="45"/>
        <v>102669</v>
      </c>
      <c r="H1473" s="1406">
        <v>95.27</v>
      </c>
      <c r="I1473" s="1406">
        <v>96.25</v>
      </c>
    </row>
    <row r="1474" spans="2:9" ht="30">
      <c r="B1474" s="677">
        <v>102670</v>
      </c>
      <c r="C1474" s="733" t="s">
        <v>4779</v>
      </c>
      <c r="D1474" s="677" t="s">
        <v>21</v>
      </c>
      <c r="E1474" s="738">
        <f t="shared" si="44"/>
        <v>132.19999999999999</v>
      </c>
      <c r="F1474">
        <f t="shared" si="45"/>
        <v>102670</v>
      </c>
      <c r="H1474" s="1405">
        <v>131.05000000000001</v>
      </c>
      <c r="I1474" s="1405">
        <v>132.19999999999999</v>
      </c>
    </row>
    <row r="1475" spans="2:9" ht="30">
      <c r="B1475" s="1477">
        <v>102672</v>
      </c>
      <c r="C1475" s="740" t="s">
        <v>6890</v>
      </c>
      <c r="D1475" s="739" t="s">
        <v>21</v>
      </c>
      <c r="E1475" s="741">
        <f t="shared" ref="E1475:E1538" si="46">IF($K$2=$H$1,H1475,I1475)</f>
        <v>195.45</v>
      </c>
      <c r="F1475">
        <f t="shared" ref="F1475:F1538" si="47">IF(LEN($B1475)=7,CONCATENATE(MID($B1475,1,6),"00",RIGHT($B1475,1)),IF(LEN($B1475)=8,CONCATENATE(MID($B1475,1,6),"0",RIGHT($B1475,2)),$B1475))</f>
        <v>102672</v>
      </c>
      <c r="H1475" s="1406">
        <v>193.3</v>
      </c>
      <c r="I1475" s="1406">
        <v>195.45</v>
      </c>
    </row>
    <row r="1476" spans="2:9" ht="30">
      <c r="B1476" s="677">
        <v>102673</v>
      </c>
      <c r="C1476" s="733" t="s">
        <v>4780</v>
      </c>
      <c r="D1476" s="677" t="s">
        <v>21</v>
      </c>
      <c r="E1476" s="738">
        <f t="shared" si="46"/>
        <v>184.08</v>
      </c>
      <c r="F1476">
        <f t="shared" si="47"/>
        <v>102673</v>
      </c>
      <c r="H1476" s="1405">
        <v>181.26</v>
      </c>
      <c r="I1476" s="1405">
        <v>184.08</v>
      </c>
    </row>
    <row r="1477" spans="2:9" ht="30">
      <c r="B1477" s="1477">
        <v>102674</v>
      </c>
      <c r="C1477" s="740" t="s">
        <v>4781</v>
      </c>
      <c r="D1477" s="739" t="s">
        <v>21</v>
      </c>
      <c r="E1477" s="741">
        <f t="shared" si="46"/>
        <v>147.15</v>
      </c>
      <c r="F1477">
        <f t="shared" si="47"/>
        <v>102674</v>
      </c>
      <c r="H1477" s="1406">
        <v>146.13</v>
      </c>
      <c r="I1477" s="1406">
        <v>147.15</v>
      </c>
    </row>
    <row r="1478" spans="2:9" ht="30">
      <c r="B1478" s="677">
        <v>102676</v>
      </c>
      <c r="C1478" s="733" t="s">
        <v>6891</v>
      </c>
      <c r="D1478" s="677" t="s">
        <v>21</v>
      </c>
      <c r="E1478" s="738">
        <f t="shared" si="46"/>
        <v>200.87</v>
      </c>
      <c r="F1478">
        <f t="shared" si="47"/>
        <v>102676</v>
      </c>
      <c r="H1478" s="1405">
        <v>199.46</v>
      </c>
      <c r="I1478" s="1405">
        <v>200.87</v>
      </c>
    </row>
    <row r="1479" spans="2:9" ht="30">
      <c r="B1479" s="1477">
        <v>102677</v>
      </c>
      <c r="C1479" s="740" t="s">
        <v>4782</v>
      </c>
      <c r="D1479" s="739" t="s">
        <v>21</v>
      </c>
      <c r="E1479" s="741">
        <f t="shared" si="46"/>
        <v>180.15</v>
      </c>
      <c r="F1479">
        <f t="shared" si="47"/>
        <v>102677</v>
      </c>
      <c r="H1479" s="1406">
        <v>178.5</v>
      </c>
      <c r="I1479" s="1406">
        <v>180.15</v>
      </c>
    </row>
    <row r="1480" spans="2:9" ht="30">
      <c r="B1480" s="677">
        <v>102678</v>
      </c>
      <c r="C1480" s="733" t="s">
        <v>4783</v>
      </c>
      <c r="D1480" s="677" t="s">
        <v>21</v>
      </c>
      <c r="E1480" s="738">
        <f t="shared" si="46"/>
        <v>169.51</v>
      </c>
      <c r="F1480">
        <f t="shared" si="47"/>
        <v>102678</v>
      </c>
      <c r="H1480" s="1405">
        <v>168.38</v>
      </c>
      <c r="I1480" s="1405">
        <v>169.51</v>
      </c>
    </row>
    <row r="1481" spans="2:9">
      <c r="B1481" s="1477">
        <v>102679</v>
      </c>
      <c r="C1481" s="740" t="s">
        <v>4784</v>
      </c>
      <c r="D1481" s="739" t="s">
        <v>21</v>
      </c>
      <c r="E1481" s="741">
        <f t="shared" si="46"/>
        <v>188.64</v>
      </c>
      <c r="F1481">
        <f t="shared" si="47"/>
        <v>102679</v>
      </c>
      <c r="H1481" s="1406">
        <v>187.64</v>
      </c>
      <c r="I1481" s="1406">
        <v>188.64</v>
      </c>
    </row>
    <row r="1482" spans="2:9" ht="30">
      <c r="B1482" s="677">
        <v>102680</v>
      </c>
      <c r="C1482" s="733" t="s">
        <v>4785</v>
      </c>
      <c r="D1482" s="677" t="s">
        <v>21</v>
      </c>
      <c r="E1482" s="738">
        <f t="shared" si="46"/>
        <v>181.9</v>
      </c>
      <c r="F1482">
        <f t="shared" si="47"/>
        <v>102680</v>
      </c>
      <c r="H1482" s="1405">
        <v>180.67</v>
      </c>
      <c r="I1482" s="1405">
        <v>181.9</v>
      </c>
    </row>
    <row r="1483" spans="2:9" ht="30">
      <c r="B1483" s="1477">
        <v>102681</v>
      </c>
      <c r="C1483" s="740" t="s">
        <v>6892</v>
      </c>
      <c r="D1483" s="739" t="s">
        <v>21</v>
      </c>
      <c r="E1483" s="741">
        <f t="shared" si="46"/>
        <v>235.63</v>
      </c>
      <c r="F1483">
        <f t="shared" si="47"/>
        <v>102681</v>
      </c>
      <c r="H1483" s="1406">
        <v>234</v>
      </c>
      <c r="I1483" s="1406">
        <v>235.63</v>
      </c>
    </row>
    <row r="1484" spans="2:9" ht="30">
      <c r="B1484" s="677">
        <v>102683</v>
      </c>
      <c r="C1484" s="733" t="s">
        <v>4786</v>
      </c>
      <c r="D1484" s="677" t="s">
        <v>21</v>
      </c>
      <c r="E1484" s="738">
        <f t="shared" si="46"/>
        <v>220.09</v>
      </c>
      <c r="F1484">
        <f t="shared" si="47"/>
        <v>102683</v>
      </c>
      <c r="H1484" s="1405">
        <v>218.12</v>
      </c>
      <c r="I1484" s="1405">
        <v>220.09</v>
      </c>
    </row>
    <row r="1485" spans="2:9" ht="30">
      <c r="B1485" s="1477">
        <v>102684</v>
      </c>
      <c r="C1485" s="740" t="s">
        <v>4787</v>
      </c>
      <c r="D1485" s="739" t="s">
        <v>21</v>
      </c>
      <c r="E1485" s="741">
        <f t="shared" si="46"/>
        <v>201.03</v>
      </c>
      <c r="F1485">
        <f t="shared" si="47"/>
        <v>102684</v>
      </c>
      <c r="H1485" s="1406">
        <v>199.92</v>
      </c>
      <c r="I1485" s="1406">
        <v>201.03</v>
      </c>
    </row>
    <row r="1486" spans="2:9" ht="30">
      <c r="B1486" s="677">
        <v>102685</v>
      </c>
      <c r="C1486" s="733" t="s">
        <v>6893</v>
      </c>
      <c r="D1486" s="677" t="s">
        <v>21</v>
      </c>
      <c r="E1486" s="738">
        <f t="shared" si="46"/>
        <v>254.74</v>
      </c>
      <c r="F1486">
        <f t="shared" si="47"/>
        <v>102685</v>
      </c>
      <c r="H1486" s="1405">
        <v>253.25</v>
      </c>
      <c r="I1486" s="1405">
        <v>254.74</v>
      </c>
    </row>
    <row r="1487" spans="2:9" ht="30">
      <c r="B1487" s="1477">
        <v>102687</v>
      </c>
      <c r="C1487" s="740" t="s">
        <v>4788</v>
      </c>
      <c r="D1487" s="739" t="s">
        <v>21</v>
      </c>
      <c r="E1487" s="741">
        <f t="shared" si="46"/>
        <v>233.94</v>
      </c>
      <c r="F1487">
        <f t="shared" si="47"/>
        <v>102687</v>
      </c>
      <c r="H1487" s="1406">
        <v>232.21</v>
      </c>
      <c r="I1487" s="1406">
        <v>233.94</v>
      </c>
    </row>
    <row r="1488" spans="2:9" ht="30">
      <c r="B1488" s="677">
        <v>102688</v>
      </c>
      <c r="C1488" s="733" t="s">
        <v>13298</v>
      </c>
      <c r="D1488" s="677" t="s">
        <v>21</v>
      </c>
      <c r="E1488" s="738">
        <f t="shared" si="46"/>
        <v>48.21</v>
      </c>
      <c r="F1488">
        <f t="shared" si="47"/>
        <v>102688</v>
      </c>
      <c r="H1488" s="1405">
        <v>47.28</v>
      </c>
      <c r="I1488" s="1405">
        <v>48.21</v>
      </c>
    </row>
    <row r="1489" spans="2:9" ht="30">
      <c r="B1489" s="1477">
        <v>102689</v>
      </c>
      <c r="C1489" s="740" t="s">
        <v>13299</v>
      </c>
      <c r="D1489" s="739" t="s">
        <v>21</v>
      </c>
      <c r="E1489" s="741">
        <f t="shared" si="46"/>
        <v>96.48</v>
      </c>
      <c r="F1489">
        <f t="shared" si="47"/>
        <v>102689</v>
      </c>
      <c r="H1489" s="1406">
        <v>95.47</v>
      </c>
      <c r="I1489" s="1406">
        <v>96.48</v>
      </c>
    </row>
    <row r="1490" spans="2:9" ht="30">
      <c r="B1490" s="677">
        <v>102690</v>
      </c>
      <c r="C1490" s="733" t="s">
        <v>4789</v>
      </c>
      <c r="D1490" s="677" t="s">
        <v>21</v>
      </c>
      <c r="E1490" s="738">
        <f t="shared" si="46"/>
        <v>74.319999999999993</v>
      </c>
      <c r="F1490">
        <f t="shared" si="47"/>
        <v>102690</v>
      </c>
      <c r="H1490" s="1405">
        <v>73.349999999999994</v>
      </c>
      <c r="I1490" s="1405">
        <v>74.319999999999993</v>
      </c>
    </row>
    <row r="1491" spans="2:9" ht="30">
      <c r="B1491" s="1477">
        <v>102693</v>
      </c>
      <c r="C1491" s="740" t="s">
        <v>13300</v>
      </c>
      <c r="D1491" s="739" t="s">
        <v>21</v>
      </c>
      <c r="E1491" s="741">
        <f t="shared" si="46"/>
        <v>122.6</v>
      </c>
      <c r="F1491">
        <f t="shared" si="47"/>
        <v>102693</v>
      </c>
      <c r="H1491" s="1406">
        <v>121.55</v>
      </c>
      <c r="I1491" s="1406">
        <v>122.6</v>
      </c>
    </row>
    <row r="1492" spans="2:9" ht="30">
      <c r="B1492" s="677">
        <v>102694</v>
      </c>
      <c r="C1492" s="733" t="s">
        <v>13301</v>
      </c>
      <c r="D1492" s="677" t="s">
        <v>21</v>
      </c>
      <c r="E1492" s="738">
        <f t="shared" si="46"/>
        <v>94</v>
      </c>
      <c r="F1492">
        <f t="shared" si="47"/>
        <v>102694</v>
      </c>
      <c r="H1492" s="1405">
        <v>92.89</v>
      </c>
      <c r="I1492" s="1405">
        <v>94</v>
      </c>
    </row>
    <row r="1493" spans="2:9" ht="30">
      <c r="B1493" s="1477">
        <v>102696</v>
      </c>
      <c r="C1493" s="740" t="s">
        <v>13302</v>
      </c>
      <c r="D1493" s="739" t="s">
        <v>21</v>
      </c>
      <c r="E1493" s="741">
        <f t="shared" si="46"/>
        <v>142.15</v>
      </c>
      <c r="F1493">
        <f t="shared" si="47"/>
        <v>102696</v>
      </c>
      <c r="H1493" s="1406">
        <v>140.88999999999999</v>
      </c>
      <c r="I1493" s="1406">
        <v>142.15</v>
      </c>
    </row>
    <row r="1494" spans="2:9" ht="30">
      <c r="B1494" s="677">
        <v>102697</v>
      </c>
      <c r="C1494" s="733" t="s">
        <v>13303</v>
      </c>
      <c r="D1494" s="677" t="s">
        <v>21</v>
      </c>
      <c r="E1494" s="738">
        <f t="shared" si="46"/>
        <v>130.36000000000001</v>
      </c>
      <c r="F1494">
        <f t="shared" si="47"/>
        <v>102697</v>
      </c>
      <c r="H1494" s="1405">
        <v>129.16</v>
      </c>
      <c r="I1494" s="1405">
        <v>130.36000000000001</v>
      </c>
    </row>
    <row r="1495" spans="2:9" ht="30">
      <c r="B1495" s="1477">
        <v>102703</v>
      </c>
      <c r="C1495" s="740" t="s">
        <v>13304</v>
      </c>
      <c r="D1495" s="739" t="s">
        <v>21</v>
      </c>
      <c r="E1495" s="741">
        <f t="shared" si="46"/>
        <v>178.5</v>
      </c>
      <c r="F1495">
        <f t="shared" si="47"/>
        <v>102703</v>
      </c>
      <c r="H1495" s="1406">
        <v>177.18</v>
      </c>
      <c r="I1495" s="1406">
        <v>178.5</v>
      </c>
    </row>
    <row r="1496" spans="2:9">
      <c r="B1496" s="677">
        <v>102704</v>
      </c>
      <c r="C1496" s="733" t="s">
        <v>4790</v>
      </c>
      <c r="D1496" s="677" t="s">
        <v>21</v>
      </c>
      <c r="E1496" s="738">
        <f t="shared" si="46"/>
        <v>12.47</v>
      </c>
      <c r="F1496">
        <f t="shared" si="47"/>
        <v>102704</v>
      </c>
      <c r="H1496" s="1405">
        <v>12.43</v>
      </c>
      <c r="I1496" s="1405">
        <v>12.47</v>
      </c>
    </row>
    <row r="1497" spans="2:9">
      <c r="B1497" s="1477">
        <v>102705</v>
      </c>
      <c r="C1497" s="740" t="s">
        <v>6894</v>
      </c>
      <c r="D1497" s="739" t="s">
        <v>21</v>
      </c>
      <c r="E1497" s="741">
        <f t="shared" si="46"/>
        <v>59.66</v>
      </c>
      <c r="F1497">
        <f t="shared" si="47"/>
        <v>102705</v>
      </c>
      <c r="H1497" s="1406">
        <v>59.62</v>
      </c>
      <c r="I1497" s="1406">
        <v>59.66</v>
      </c>
    </row>
    <row r="1498" spans="2:9">
      <c r="B1498" s="677">
        <v>102707</v>
      </c>
      <c r="C1498" s="733" t="s">
        <v>4791</v>
      </c>
      <c r="D1498" s="677" t="s">
        <v>21</v>
      </c>
      <c r="E1498" s="738">
        <f t="shared" si="46"/>
        <v>44.95</v>
      </c>
      <c r="F1498">
        <f t="shared" si="47"/>
        <v>102707</v>
      </c>
      <c r="H1498" s="1405">
        <v>44.48</v>
      </c>
      <c r="I1498" s="1405">
        <v>44.95</v>
      </c>
    </row>
    <row r="1499" spans="2:9" ht="30">
      <c r="B1499" s="1477">
        <v>102708</v>
      </c>
      <c r="C1499" s="740" t="s">
        <v>4792</v>
      </c>
      <c r="D1499" s="739" t="s">
        <v>22</v>
      </c>
      <c r="E1499" s="741">
        <f t="shared" si="46"/>
        <v>22.87</v>
      </c>
      <c r="F1499">
        <f t="shared" si="47"/>
        <v>102708</v>
      </c>
      <c r="H1499" s="1406">
        <v>21.23</v>
      </c>
      <c r="I1499" s="1406">
        <v>22.87</v>
      </c>
    </row>
    <row r="1500" spans="2:9" ht="30">
      <c r="B1500" s="677">
        <v>102710</v>
      </c>
      <c r="C1500" s="733" t="s">
        <v>4793</v>
      </c>
      <c r="D1500" s="677" t="s">
        <v>22</v>
      </c>
      <c r="E1500" s="738">
        <f t="shared" si="46"/>
        <v>56.3</v>
      </c>
      <c r="F1500">
        <f t="shared" si="47"/>
        <v>102710</v>
      </c>
      <c r="H1500" s="1405">
        <v>53.01</v>
      </c>
      <c r="I1500" s="1405">
        <v>56.3</v>
      </c>
    </row>
    <row r="1501" spans="2:9" ht="30">
      <c r="B1501" s="1477">
        <v>102711</v>
      </c>
      <c r="C1501" s="740" t="s">
        <v>4794</v>
      </c>
      <c r="D1501" s="739" t="s">
        <v>22</v>
      </c>
      <c r="E1501" s="741">
        <f t="shared" si="46"/>
        <v>73.58</v>
      </c>
      <c r="F1501">
        <f t="shared" si="47"/>
        <v>102711</v>
      </c>
      <c r="H1501" s="1406">
        <v>70.290000000000006</v>
      </c>
      <c r="I1501" s="1406">
        <v>73.58</v>
      </c>
    </row>
    <row r="1502" spans="2:9" ht="30">
      <c r="B1502" s="677">
        <v>102712</v>
      </c>
      <c r="C1502" s="733" t="s">
        <v>4795</v>
      </c>
      <c r="D1502" s="677" t="s">
        <v>0</v>
      </c>
      <c r="E1502" s="738">
        <f t="shared" si="46"/>
        <v>9.93</v>
      </c>
      <c r="F1502">
        <f t="shared" si="47"/>
        <v>102712</v>
      </c>
      <c r="H1502" s="1405">
        <v>9.89</v>
      </c>
      <c r="I1502" s="1405">
        <v>9.93</v>
      </c>
    </row>
    <row r="1503" spans="2:9" ht="30">
      <c r="B1503" s="1477">
        <v>102713</v>
      </c>
      <c r="C1503" s="740" t="s">
        <v>4796</v>
      </c>
      <c r="D1503" s="739" t="s">
        <v>0</v>
      </c>
      <c r="E1503" s="741">
        <f t="shared" si="46"/>
        <v>13.66</v>
      </c>
      <c r="F1503">
        <f t="shared" si="47"/>
        <v>102713</v>
      </c>
      <c r="H1503" s="1406">
        <v>13.62</v>
      </c>
      <c r="I1503" s="1406">
        <v>13.66</v>
      </c>
    </row>
    <row r="1504" spans="2:9" ht="30">
      <c r="B1504" s="677">
        <v>102715</v>
      </c>
      <c r="C1504" s="733" t="s">
        <v>4797</v>
      </c>
      <c r="D1504" s="677" t="s">
        <v>0</v>
      </c>
      <c r="E1504" s="738">
        <f t="shared" si="46"/>
        <v>27.09</v>
      </c>
      <c r="F1504">
        <f t="shared" si="47"/>
        <v>102715</v>
      </c>
      <c r="H1504" s="1405">
        <v>27.05</v>
      </c>
      <c r="I1504" s="1405">
        <v>27.09</v>
      </c>
    </row>
    <row r="1505" spans="2:9">
      <c r="B1505" s="1477">
        <v>102716</v>
      </c>
      <c r="C1505" s="740" t="s">
        <v>4798</v>
      </c>
      <c r="D1505" s="739" t="s">
        <v>19</v>
      </c>
      <c r="E1505" s="741">
        <f t="shared" si="46"/>
        <v>178.18</v>
      </c>
      <c r="F1505">
        <f t="shared" si="47"/>
        <v>102716</v>
      </c>
      <c r="H1505" s="1406">
        <v>176.97</v>
      </c>
      <c r="I1505" s="1406">
        <v>178.18</v>
      </c>
    </row>
    <row r="1506" spans="2:9">
      <c r="B1506" s="677">
        <v>102717</v>
      </c>
      <c r="C1506" s="733" t="s">
        <v>4799</v>
      </c>
      <c r="D1506" s="677" t="s">
        <v>19</v>
      </c>
      <c r="E1506" s="738">
        <f t="shared" si="46"/>
        <v>181.67</v>
      </c>
      <c r="F1506">
        <f t="shared" si="47"/>
        <v>102717</v>
      </c>
      <c r="H1506" s="1405">
        <v>180.46</v>
      </c>
      <c r="I1506" s="1405">
        <v>181.67</v>
      </c>
    </row>
    <row r="1507" spans="2:9">
      <c r="B1507" s="1477">
        <v>102718</v>
      </c>
      <c r="C1507" s="740" t="s">
        <v>4800</v>
      </c>
      <c r="D1507" s="739" t="s">
        <v>19</v>
      </c>
      <c r="E1507" s="741">
        <f t="shared" si="46"/>
        <v>188.13</v>
      </c>
      <c r="F1507">
        <f t="shared" si="47"/>
        <v>102718</v>
      </c>
      <c r="H1507" s="1406">
        <v>184.93</v>
      </c>
      <c r="I1507" s="1406">
        <v>188.13</v>
      </c>
    </row>
    <row r="1508" spans="2:9">
      <c r="B1508" s="677">
        <v>102719</v>
      </c>
      <c r="C1508" s="733" t="s">
        <v>4801</v>
      </c>
      <c r="D1508" s="677" t="s">
        <v>19</v>
      </c>
      <c r="E1508" s="738">
        <f t="shared" si="46"/>
        <v>191.62</v>
      </c>
      <c r="F1508">
        <f t="shared" si="47"/>
        <v>102719</v>
      </c>
      <c r="H1508" s="1405">
        <v>188.42</v>
      </c>
      <c r="I1508" s="1405">
        <v>191.62</v>
      </c>
    </row>
    <row r="1509" spans="2:9" ht="30">
      <c r="B1509" s="1477">
        <v>102722</v>
      </c>
      <c r="C1509" s="740" t="s">
        <v>4802</v>
      </c>
      <c r="D1509" s="739" t="s">
        <v>21</v>
      </c>
      <c r="E1509" s="741">
        <f t="shared" si="46"/>
        <v>59.83</v>
      </c>
      <c r="F1509">
        <f t="shared" si="47"/>
        <v>102722</v>
      </c>
      <c r="H1509" s="1406">
        <v>58.77</v>
      </c>
      <c r="I1509" s="1406">
        <v>59.83</v>
      </c>
    </row>
    <row r="1510" spans="2:9" ht="30">
      <c r="B1510" s="677">
        <v>102723</v>
      </c>
      <c r="C1510" s="733" t="s">
        <v>14008</v>
      </c>
      <c r="D1510" s="677" t="s">
        <v>21</v>
      </c>
      <c r="E1510" s="738">
        <f t="shared" si="46"/>
        <v>107.02</v>
      </c>
      <c r="F1510">
        <f t="shared" si="47"/>
        <v>102723</v>
      </c>
      <c r="H1510" s="1405">
        <v>105.96</v>
      </c>
      <c r="I1510" s="1405">
        <v>107.02</v>
      </c>
    </row>
    <row r="1511" spans="2:9">
      <c r="B1511" s="1477">
        <v>102724</v>
      </c>
      <c r="C1511" s="740" t="s">
        <v>4803</v>
      </c>
      <c r="D1511" s="739" t="s">
        <v>22</v>
      </c>
      <c r="E1511" s="741">
        <f t="shared" si="46"/>
        <v>30.75</v>
      </c>
      <c r="F1511">
        <f t="shared" si="47"/>
        <v>102724</v>
      </c>
      <c r="H1511" s="1406">
        <v>29.74</v>
      </c>
      <c r="I1511" s="1406">
        <v>30.75</v>
      </c>
    </row>
    <row r="1512" spans="2:9">
      <c r="B1512" s="677">
        <v>102725</v>
      </c>
      <c r="C1512" s="733" t="s">
        <v>4804</v>
      </c>
      <c r="D1512" s="677" t="s">
        <v>22</v>
      </c>
      <c r="E1512" s="738">
        <f t="shared" si="46"/>
        <v>30.14</v>
      </c>
      <c r="F1512">
        <f t="shared" si="47"/>
        <v>102725</v>
      </c>
      <c r="H1512" s="1405">
        <v>29.13</v>
      </c>
      <c r="I1512" s="1405">
        <v>30.14</v>
      </c>
    </row>
    <row r="1513" spans="2:9">
      <c r="B1513" s="1477">
        <v>102726</v>
      </c>
      <c r="C1513" s="740" t="s">
        <v>4805</v>
      </c>
      <c r="D1513" s="739" t="s">
        <v>22</v>
      </c>
      <c r="E1513" s="741">
        <f t="shared" si="46"/>
        <v>28.26</v>
      </c>
      <c r="F1513">
        <f t="shared" si="47"/>
        <v>102726</v>
      </c>
      <c r="H1513" s="1406">
        <v>27.25</v>
      </c>
      <c r="I1513" s="1406">
        <v>28.26</v>
      </c>
    </row>
    <row r="1514" spans="2:9" ht="30">
      <c r="B1514" s="677">
        <v>103653</v>
      </c>
      <c r="C1514" s="733" t="s">
        <v>5518</v>
      </c>
      <c r="D1514" s="677" t="s">
        <v>0</v>
      </c>
      <c r="E1514" s="738">
        <f t="shared" si="46"/>
        <v>32.380000000000003</v>
      </c>
      <c r="F1514">
        <f t="shared" si="47"/>
        <v>103653</v>
      </c>
      <c r="H1514" s="1405">
        <v>32.340000000000003</v>
      </c>
      <c r="I1514" s="1405">
        <v>32.380000000000003</v>
      </c>
    </row>
    <row r="1515" spans="2:9" ht="30">
      <c r="B1515" s="1477">
        <v>92743</v>
      </c>
      <c r="C1515" s="740" t="s">
        <v>2068</v>
      </c>
      <c r="D1515" s="739" t="s">
        <v>19</v>
      </c>
      <c r="E1515" s="741">
        <f t="shared" si="46"/>
        <v>710.58</v>
      </c>
      <c r="F1515">
        <f t="shared" si="47"/>
        <v>92743</v>
      </c>
      <c r="H1515" s="1406">
        <v>696.47</v>
      </c>
      <c r="I1515" s="1406">
        <v>710.58</v>
      </c>
    </row>
    <row r="1516" spans="2:9" ht="30">
      <c r="B1516" s="677">
        <v>92744</v>
      </c>
      <c r="C1516" s="733" t="s">
        <v>2069</v>
      </c>
      <c r="D1516" s="677" t="s">
        <v>19</v>
      </c>
      <c r="E1516" s="738">
        <f t="shared" si="46"/>
        <v>681.89</v>
      </c>
      <c r="F1516">
        <f t="shared" si="47"/>
        <v>92744</v>
      </c>
      <c r="H1516" s="1405">
        <v>675.08</v>
      </c>
      <c r="I1516" s="1405">
        <v>681.89</v>
      </c>
    </row>
    <row r="1517" spans="2:9" ht="30">
      <c r="B1517" s="1477">
        <v>92745</v>
      </c>
      <c r="C1517" s="740" t="s">
        <v>2070</v>
      </c>
      <c r="D1517" s="739" t="s">
        <v>19</v>
      </c>
      <c r="E1517" s="741">
        <f t="shared" si="46"/>
        <v>867.59</v>
      </c>
      <c r="F1517">
        <f t="shared" si="47"/>
        <v>92745</v>
      </c>
      <c r="H1517" s="1406">
        <v>850.61</v>
      </c>
      <c r="I1517" s="1406">
        <v>867.59</v>
      </c>
    </row>
    <row r="1518" spans="2:9" ht="30">
      <c r="B1518" s="677">
        <v>92746</v>
      </c>
      <c r="C1518" s="733" t="s">
        <v>2144</v>
      </c>
      <c r="D1518" s="677" t="s">
        <v>19</v>
      </c>
      <c r="E1518" s="738">
        <f t="shared" si="46"/>
        <v>798.35</v>
      </c>
      <c r="F1518">
        <f t="shared" si="47"/>
        <v>92746</v>
      </c>
      <c r="H1518" s="1405">
        <v>788.76</v>
      </c>
      <c r="I1518" s="1405">
        <v>798.35</v>
      </c>
    </row>
    <row r="1519" spans="2:9" ht="30">
      <c r="B1519" s="1477">
        <v>92747</v>
      </c>
      <c r="C1519" s="740" t="s">
        <v>2145</v>
      </c>
      <c r="D1519" s="739" t="s">
        <v>19</v>
      </c>
      <c r="E1519" s="741">
        <f t="shared" si="46"/>
        <v>957.04</v>
      </c>
      <c r="F1519">
        <f t="shared" si="47"/>
        <v>92747</v>
      </c>
      <c r="H1519" s="1406">
        <v>938.39</v>
      </c>
      <c r="I1519" s="1406">
        <v>957.04</v>
      </c>
    </row>
    <row r="1520" spans="2:9" ht="30">
      <c r="B1520" s="677">
        <v>92748</v>
      </c>
      <c r="C1520" s="733" t="s">
        <v>2071</v>
      </c>
      <c r="D1520" s="677" t="s">
        <v>19</v>
      </c>
      <c r="E1520" s="738">
        <f t="shared" si="46"/>
        <v>865.08</v>
      </c>
      <c r="F1520">
        <f t="shared" si="47"/>
        <v>92748</v>
      </c>
      <c r="H1520" s="1405">
        <v>853.85</v>
      </c>
      <c r="I1520" s="1405">
        <v>865.08</v>
      </c>
    </row>
    <row r="1521" spans="2:9" ht="30">
      <c r="B1521" s="1477">
        <v>92749</v>
      </c>
      <c r="C1521" s="740" t="s">
        <v>2146</v>
      </c>
      <c r="D1521" s="739" t="s">
        <v>19</v>
      </c>
      <c r="E1521" s="741">
        <f t="shared" si="46"/>
        <v>990.14</v>
      </c>
      <c r="F1521">
        <f t="shared" si="47"/>
        <v>92749</v>
      </c>
      <c r="H1521" s="1406">
        <v>976.18</v>
      </c>
      <c r="I1521" s="1406">
        <v>990.14</v>
      </c>
    </row>
    <row r="1522" spans="2:9" ht="30">
      <c r="B1522" s="677">
        <v>92750</v>
      </c>
      <c r="C1522" s="733" t="s">
        <v>2147</v>
      </c>
      <c r="D1522" s="677" t="s">
        <v>19</v>
      </c>
      <c r="E1522" s="738">
        <f t="shared" si="46"/>
        <v>1660.36</v>
      </c>
      <c r="F1522">
        <f t="shared" si="47"/>
        <v>92750</v>
      </c>
      <c r="H1522" s="1405">
        <v>1641.18</v>
      </c>
      <c r="I1522" s="1405">
        <v>1660.36</v>
      </c>
    </row>
    <row r="1523" spans="2:9" ht="30">
      <c r="B1523" s="1477">
        <v>92751</v>
      </c>
      <c r="C1523" s="740" t="s">
        <v>2148</v>
      </c>
      <c r="D1523" s="739" t="s">
        <v>19</v>
      </c>
      <c r="E1523" s="741">
        <f t="shared" si="46"/>
        <v>2049.83</v>
      </c>
      <c r="F1523">
        <f t="shared" si="47"/>
        <v>92751</v>
      </c>
      <c r="H1523" s="1406">
        <v>2027.69</v>
      </c>
      <c r="I1523" s="1406">
        <v>2049.83</v>
      </c>
    </row>
    <row r="1524" spans="2:9" ht="30">
      <c r="B1524" s="677">
        <v>92752</v>
      </c>
      <c r="C1524" s="733" t="s">
        <v>2149</v>
      </c>
      <c r="D1524" s="677" t="s">
        <v>19</v>
      </c>
      <c r="E1524" s="738">
        <f t="shared" si="46"/>
        <v>2437.7600000000002</v>
      </c>
      <c r="F1524">
        <f t="shared" si="47"/>
        <v>92752</v>
      </c>
      <c r="H1524" s="1405">
        <v>2412.7800000000002</v>
      </c>
      <c r="I1524" s="1405">
        <v>2437.7600000000002</v>
      </c>
    </row>
    <row r="1525" spans="2:9" ht="30">
      <c r="B1525" s="1477">
        <v>92753</v>
      </c>
      <c r="C1525" s="740" t="s">
        <v>2150</v>
      </c>
      <c r="D1525" s="739" t="s">
        <v>19</v>
      </c>
      <c r="E1525" s="741">
        <f t="shared" si="46"/>
        <v>636.03</v>
      </c>
      <c r="F1525">
        <f t="shared" si="47"/>
        <v>92753</v>
      </c>
      <c r="H1525" s="1406">
        <v>626.19000000000005</v>
      </c>
      <c r="I1525" s="1406">
        <v>636.03</v>
      </c>
    </row>
    <row r="1526" spans="2:9" ht="45">
      <c r="B1526" s="677">
        <v>92754</v>
      </c>
      <c r="C1526" s="733" t="s">
        <v>2151</v>
      </c>
      <c r="D1526" s="677" t="s">
        <v>19</v>
      </c>
      <c r="E1526" s="738">
        <f t="shared" si="46"/>
        <v>582.63</v>
      </c>
      <c r="F1526">
        <f t="shared" si="47"/>
        <v>92754</v>
      </c>
      <c r="H1526" s="1405">
        <v>573.54999999999995</v>
      </c>
      <c r="I1526" s="1405">
        <v>582.63</v>
      </c>
    </row>
    <row r="1527" spans="2:9" ht="30">
      <c r="B1527" s="1477">
        <v>92755</v>
      </c>
      <c r="C1527" s="740" t="s">
        <v>1280</v>
      </c>
      <c r="D1527" s="739" t="s">
        <v>0</v>
      </c>
      <c r="E1527" s="741">
        <f t="shared" si="46"/>
        <v>250.14</v>
      </c>
      <c r="F1527">
        <f t="shared" si="47"/>
        <v>92755</v>
      </c>
      <c r="H1527" s="1406">
        <v>245.47</v>
      </c>
      <c r="I1527" s="1406">
        <v>250.14</v>
      </c>
    </row>
    <row r="1528" spans="2:9" ht="30">
      <c r="B1528" s="677">
        <v>92756</v>
      </c>
      <c r="C1528" s="733" t="s">
        <v>1281</v>
      </c>
      <c r="D1528" s="677" t="s">
        <v>0</v>
      </c>
      <c r="E1528" s="738">
        <f t="shared" si="46"/>
        <v>285.94</v>
      </c>
      <c r="F1528">
        <f t="shared" si="47"/>
        <v>92756</v>
      </c>
      <c r="H1528" s="1405">
        <v>280.42</v>
      </c>
      <c r="I1528" s="1405">
        <v>285.94</v>
      </c>
    </row>
    <row r="1529" spans="2:9" ht="30">
      <c r="B1529" s="1477">
        <v>92757</v>
      </c>
      <c r="C1529" s="740" t="s">
        <v>1282</v>
      </c>
      <c r="D1529" s="739" t="s">
        <v>0</v>
      </c>
      <c r="E1529" s="741">
        <f t="shared" si="46"/>
        <v>329.28</v>
      </c>
      <c r="F1529">
        <f t="shared" si="47"/>
        <v>92757</v>
      </c>
      <c r="H1529" s="1406">
        <v>322.74</v>
      </c>
      <c r="I1529" s="1406">
        <v>329.28</v>
      </c>
    </row>
    <row r="1530" spans="2:9" ht="30">
      <c r="B1530" s="677">
        <v>92758</v>
      </c>
      <c r="C1530" s="733" t="s">
        <v>1283</v>
      </c>
      <c r="D1530" s="677" t="s">
        <v>19</v>
      </c>
      <c r="E1530" s="738">
        <f t="shared" si="46"/>
        <v>791.38</v>
      </c>
      <c r="F1530">
        <f t="shared" si="47"/>
        <v>92758</v>
      </c>
      <c r="H1530" s="1405">
        <v>780.74</v>
      </c>
      <c r="I1530" s="1405">
        <v>791.38</v>
      </c>
    </row>
    <row r="1531" spans="2:9" ht="30">
      <c r="B1531" s="1477">
        <v>91069</v>
      </c>
      <c r="C1531" s="740" t="s">
        <v>1284</v>
      </c>
      <c r="D1531" s="739" t="s">
        <v>0</v>
      </c>
      <c r="E1531" s="741">
        <f t="shared" si="46"/>
        <v>129.65</v>
      </c>
      <c r="F1531">
        <f t="shared" si="47"/>
        <v>91069</v>
      </c>
      <c r="H1531" s="1406">
        <v>127.02</v>
      </c>
      <c r="I1531" s="1406">
        <v>129.65</v>
      </c>
    </row>
    <row r="1532" spans="2:9" ht="30">
      <c r="B1532" s="677">
        <v>91070</v>
      </c>
      <c r="C1532" s="733" t="s">
        <v>1285</v>
      </c>
      <c r="D1532" s="677" t="s">
        <v>0</v>
      </c>
      <c r="E1532" s="738">
        <f t="shared" si="46"/>
        <v>145.07</v>
      </c>
      <c r="F1532">
        <f t="shared" si="47"/>
        <v>91070</v>
      </c>
      <c r="H1532" s="1405">
        <v>142.27000000000001</v>
      </c>
      <c r="I1532" s="1405">
        <v>145.07</v>
      </c>
    </row>
    <row r="1533" spans="2:9" ht="30">
      <c r="B1533" s="1477">
        <v>91071</v>
      </c>
      <c r="C1533" s="740" t="s">
        <v>1286</v>
      </c>
      <c r="D1533" s="739" t="s">
        <v>0</v>
      </c>
      <c r="E1533" s="741">
        <f t="shared" si="46"/>
        <v>172.27</v>
      </c>
      <c r="F1533">
        <f t="shared" si="47"/>
        <v>91071</v>
      </c>
      <c r="H1533" s="1406">
        <v>165.95</v>
      </c>
      <c r="I1533" s="1406">
        <v>172.27</v>
      </c>
    </row>
    <row r="1534" spans="2:9" ht="30">
      <c r="B1534" s="677">
        <v>91072</v>
      </c>
      <c r="C1534" s="733" t="s">
        <v>1287</v>
      </c>
      <c r="D1534" s="677" t="s">
        <v>0</v>
      </c>
      <c r="E1534" s="738">
        <f t="shared" si="46"/>
        <v>187.68</v>
      </c>
      <c r="F1534">
        <f t="shared" si="47"/>
        <v>91072</v>
      </c>
      <c r="H1534" s="1405">
        <v>181.17</v>
      </c>
      <c r="I1534" s="1405">
        <v>187.68</v>
      </c>
    </row>
    <row r="1535" spans="2:9" ht="30">
      <c r="B1535" s="1477">
        <v>91073</v>
      </c>
      <c r="C1535" s="740" t="s">
        <v>1288</v>
      </c>
      <c r="D1535" s="739" t="s">
        <v>0</v>
      </c>
      <c r="E1535" s="741">
        <f t="shared" si="46"/>
        <v>143.35</v>
      </c>
      <c r="F1535">
        <f t="shared" si="47"/>
        <v>91073</v>
      </c>
      <c r="H1535" s="1406">
        <v>139.31</v>
      </c>
      <c r="I1535" s="1406">
        <v>143.35</v>
      </c>
    </row>
    <row r="1536" spans="2:9" ht="30">
      <c r="B1536" s="677">
        <v>91074</v>
      </c>
      <c r="C1536" s="733" t="s">
        <v>1289</v>
      </c>
      <c r="D1536" s="677" t="s">
        <v>0</v>
      </c>
      <c r="E1536" s="738">
        <f t="shared" si="46"/>
        <v>160.25</v>
      </c>
      <c r="F1536">
        <f t="shared" si="47"/>
        <v>91074</v>
      </c>
      <c r="H1536" s="1405">
        <v>155.91999999999999</v>
      </c>
      <c r="I1536" s="1405">
        <v>160.25</v>
      </c>
    </row>
    <row r="1537" spans="2:9" ht="30">
      <c r="B1537" s="1477">
        <v>91075</v>
      </c>
      <c r="C1537" s="740" t="s">
        <v>1290</v>
      </c>
      <c r="D1537" s="739" t="s">
        <v>0</v>
      </c>
      <c r="E1537" s="741">
        <f t="shared" si="46"/>
        <v>187.65</v>
      </c>
      <c r="F1537">
        <f t="shared" si="47"/>
        <v>91075</v>
      </c>
      <c r="H1537" s="1406">
        <v>179.52</v>
      </c>
      <c r="I1537" s="1406">
        <v>187.65</v>
      </c>
    </row>
    <row r="1538" spans="2:9" ht="30">
      <c r="B1538" s="677">
        <v>91076</v>
      </c>
      <c r="C1538" s="733" t="s">
        <v>1291</v>
      </c>
      <c r="D1538" s="677" t="s">
        <v>0</v>
      </c>
      <c r="E1538" s="738">
        <f t="shared" si="46"/>
        <v>204.58</v>
      </c>
      <c r="F1538">
        <f t="shared" si="47"/>
        <v>91076</v>
      </c>
      <c r="H1538" s="1405">
        <v>196.11</v>
      </c>
      <c r="I1538" s="1405">
        <v>204.58</v>
      </c>
    </row>
    <row r="1539" spans="2:9" ht="30">
      <c r="B1539" s="1477">
        <v>91077</v>
      </c>
      <c r="C1539" s="740" t="s">
        <v>1292</v>
      </c>
      <c r="D1539" s="739" t="s">
        <v>0</v>
      </c>
      <c r="E1539" s="741">
        <f t="shared" ref="E1539:E1602" si="48">IF($K$2=$H$1,H1539,I1539)</f>
        <v>139.44999999999999</v>
      </c>
      <c r="F1539">
        <f t="shared" ref="F1539:F1602" si="49">IF(LEN($B1539)=7,CONCATENATE(MID($B1539,1,6),"00",RIGHT($B1539,1)),IF(LEN($B1539)=8,CONCATENATE(MID($B1539,1,6),"0",RIGHT($B1539,2)),$B1539))</f>
        <v>91077</v>
      </c>
      <c r="H1539" s="1406">
        <v>137.63</v>
      </c>
      <c r="I1539" s="1406">
        <v>139.44999999999999</v>
      </c>
    </row>
    <row r="1540" spans="2:9" ht="30">
      <c r="B1540" s="677">
        <v>91078</v>
      </c>
      <c r="C1540" s="733" t="s">
        <v>1293</v>
      </c>
      <c r="D1540" s="677" t="s">
        <v>0</v>
      </c>
      <c r="E1540" s="738">
        <f t="shared" si="48"/>
        <v>164.14</v>
      </c>
      <c r="F1540">
        <f t="shared" si="49"/>
        <v>91078</v>
      </c>
      <c r="H1540" s="1405">
        <v>162.18</v>
      </c>
      <c r="I1540" s="1405">
        <v>164.14</v>
      </c>
    </row>
    <row r="1541" spans="2:9" ht="30">
      <c r="B1541" s="1477">
        <v>91079</v>
      </c>
      <c r="C1541" s="740" t="s">
        <v>1294</v>
      </c>
      <c r="D1541" s="739" t="s">
        <v>0</v>
      </c>
      <c r="E1541" s="741">
        <f t="shared" si="48"/>
        <v>145.6</v>
      </c>
      <c r="F1541">
        <f t="shared" si="49"/>
        <v>91079</v>
      </c>
      <c r="H1541" s="1406">
        <v>143.25</v>
      </c>
      <c r="I1541" s="1406">
        <v>145.6</v>
      </c>
    </row>
    <row r="1542" spans="2:9" ht="30">
      <c r="B1542" s="677">
        <v>91080</v>
      </c>
      <c r="C1542" s="733" t="s">
        <v>1295</v>
      </c>
      <c r="D1542" s="677" t="s">
        <v>0</v>
      </c>
      <c r="E1542" s="738">
        <f t="shared" si="48"/>
        <v>170.01</v>
      </c>
      <c r="F1542">
        <f t="shared" si="49"/>
        <v>91080</v>
      </c>
      <c r="H1542" s="1405">
        <v>167.53</v>
      </c>
      <c r="I1542" s="1405">
        <v>170.01</v>
      </c>
    </row>
    <row r="1543" spans="2:9" ht="30">
      <c r="B1543" s="1477">
        <v>91081</v>
      </c>
      <c r="C1543" s="740" t="s">
        <v>1296</v>
      </c>
      <c r="D1543" s="739" t="s">
        <v>0</v>
      </c>
      <c r="E1543" s="741">
        <f t="shared" si="48"/>
        <v>155.16999999999999</v>
      </c>
      <c r="F1543">
        <f t="shared" si="49"/>
        <v>91081</v>
      </c>
      <c r="H1543" s="1406">
        <v>151.86000000000001</v>
      </c>
      <c r="I1543" s="1406">
        <v>155.16999999999999</v>
      </c>
    </row>
    <row r="1544" spans="2:9" ht="30">
      <c r="B1544" s="677">
        <v>91082</v>
      </c>
      <c r="C1544" s="733" t="s">
        <v>1297</v>
      </c>
      <c r="D1544" s="677" t="s">
        <v>0</v>
      </c>
      <c r="E1544" s="738">
        <f t="shared" si="48"/>
        <v>181.11</v>
      </c>
      <c r="F1544">
        <f t="shared" si="49"/>
        <v>91082</v>
      </c>
      <c r="H1544" s="1405">
        <v>177.52</v>
      </c>
      <c r="I1544" s="1405">
        <v>181.11</v>
      </c>
    </row>
    <row r="1545" spans="2:9" ht="30">
      <c r="B1545" s="1477">
        <v>91083</v>
      </c>
      <c r="C1545" s="740" t="s">
        <v>1298</v>
      </c>
      <c r="D1545" s="739" t="s">
        <v>0</v>
      </c>
      <c r="E1545" s="741">
        <f t="shared" si="48"/>
        <v>165.77</v>
      </c>
      <c r="F1545">
        <f t="shared" si="49"/>
        <v>91083</v>
      </c>
      <c r="H1545" s="1406">
        <v>161.47999999999999</v>
      </c>
      <c r="I1545" s="1406">
        <v>165.77</v>
      </c>
    </row>
    <row r="1546" spans="2:9" ht="30">
      <c r="B1546" s="677">
        <v>91084</v>
      </c>
      <c r="C1546" s="733" t="s">
        <v>1299</v>
      </c>
      <c r="D1546" s="677" t="s">
        <v>0</v>
      </c>
      <c r="E1546" s="738">
        <f t="shared" si="48"/>
        <v>191.44</v>
      </c>
      <c r="F1546">
        <f t="shared" si="49"/>
        <v>91084</v>
      </c>
      <c r="H1546" s="1405">
        <v>186.88</v>
      </c>
      <c r="I1546" s="1405">
        <v>191.44</v>
      </c>
    </row>
    <row r="1547" spans="2:9" ht="30">
      <c r="B1547" s="1477">
        <v>91086</v>
      </c>
      <c r="C1547" s="740" t="s">
        <v>1300</v>
      </c>
      <c r="D1547" s="739" t="s">
        <v>0</v>
      </c>
      <c r="E1547" s="741">
        <f t="shared" si="48"/>
        <v>140.72999999999999</v>
      </c>
      <c r="F1547">
        <f t="shared" si="49"/>
        <v>91086</v>
      </c>
      <c r="H1547" s="1406">
        <v>137.18</v>
      </c>
      <c r="I1547" s="1406">
        <v>140.72999999999999</v>
      </c>
    </row>
    <row r="1548" spans="2:9" ht="30">
      <c r="B1548" s="677">
        <v>91087</v>
      </c>
      <c r="C1548" s="733" t="s">
        <v>1301</v>
      </c>
      <c r="D1548" s="677" t="s">
        <v>0</v>
      </c>
      <c r="E1548" s="738">
        <f t="shared" si="48"/>
        <v>156.54</v>
      </c>
      <c r="F1548">
        <f t="shared" si="49"/>
        <v>91087</v>
      </c>
      <c r="H1548" s="1405">
        <v>152.80000000000001</v>
      </c>
      <c r="I1548" s="1405">
        <v>156.54</v>
      </c>
    </row>
    <row r="1549" spans="2:9" ht="30">
      <c r="B1549" s="1477">
        <v>91088</v>
      </c>
      <c r="C1549" s="740" t="s">
        <v>303</v>
      </c>
      <c r="D1549" s="739" t="s">
        <v>0</v>
      </c>
      <c r="E1549" s="741">
        <f t="shared" si="48"/>
        <v>184.85</v>
      </c>
      <c r="F1549">
        <f t="shared" si="49"/>
        <v>91088</v>
      </c>
      <c r="H1549" s="1406">
        <v>177.43</v>
      </c>
      <c r="I1549" s="1406">
        <v>184.85</v>
      </c>
    </row>
    <row r="1550" spans="2:9" ht="30">
      <c r="B1550" s="677">
        <v>91089</v>
      </c>
      <c r="C1550" s="733" t="s">
        <v>304</v>
      </c>
      <c r="D1550" s="677" t="s">
        <v>0</v>
      </c>
      <c r="E1550" s="738">
        <f t="shared" si="48"/>
        <v>200.77</v>
      </c>
      <c r="F1550">
        <f t="shared" si="49"/>
        <v>91089</v>
      </c>
      <c r="H1550" s="1405">
        <v>193.15</v>
      </c>
      <c r="I1550" s="1405">
        <v>200.77</v>
      </c>
    </row>
    <row r="1551" spans="2:9" ht="30">
      <c r="B1551" s="1477">
        <v>91090</v>
      </c>
      <c r="C1551" s="740" t="s">
        <v>1302</v>
      </c>
      <c r="D1551" s="739" t="s">
        <v>0</v>
      </c>
      <c r="E1551" s="741">
        <f t="shared" si="48"/>
        <v>152.08000000000001</v>
      </c>
      <c r="F1551">
        <f t="shared" si="49"/>
        <v>91090</v>
      </c>
      <c r="H1551" s="1406">
        <v>147.25</v>
      </c>
      <c r="I1551" s="1406">
        <v>152.08000000000001</v>
      </c>
    </row>
    <row r="1552" spans="2:9" ht="30">
      <c r="B1552" s="677">
        <v>91091</v>
      </c>
      <c r="C1552" s="733" t="s">
        <v>1303</v>
      </c>
      <c r="D1552" s="677" t="s">
        <v>0</v>
      </c>
      <c r="E1552" s="738">
        <f t="shared" si="48"/>
        <v>169.5</v>
      </c>
      <c r="F1552">
        <f t="shared" si="49"/>
        <v>91091</v>
      </c>
      <c r="H1552" s="1405">
        <v>164.34</v>
      </c>
      <c r="I1552" s="1405">
        <v>169.5</v>
      </c>
    </row>
    <row r="1553" spans="2:9" ht="30">
      <c r="B1553" s="1477">
        <v>91092</v>
      </c>
      <c r="C1553" s="740" t="s">
        <v>305</v>
      </c>
      <c r="D1553" s="739" t="s">
        <v>0</v>
      </c>
      <c r="E1553" s="741">
        <f t="shared" si="48"/>
        <v>197.38</v>
      </c>
      <c r="F1553">
        <f t="shared" si="49"/>
        <v>91092</v>
      </c>
      <c r="H1553" s="1406">
        <v>188.34</v>
      </c>
      <c r="I1553" s="1406">
        <v>197.38</v>
      </c>
    </row>
    <row r="1554" spans="2:9" ht="30">
      <c r="B1554" s="677">
        <v>91093</v>
      </c>
      <c r="C1554" s="733" t="s">
        <v>306</v>
      </c>
      <c r="D1554" s="677" t="s">
        <v>0</v>
      </c>
      <c r="E1554" s="738">
        <f t="shared" si="48"/>
        <v>215.17</v>
      </c>
      <c r="F1554">
        <f t="shared" si="49"/>
        <v>91093</v>
      </c>
      <c r="H1554" s="1405">
        <v>205.74</v>
      </c>
      <c r="I1554" s="1405">
        <v>215.17</v>
      </c>
    </row>
    <row r="1555" spans="2:9" ht="30">
      <c r="B1555" s="1477">
        <v>91094</v>
      </c>
      <c r="C1555" s="740" t="s">
        <v>1304</v>
      </c>
      <c r="D1555" s="739" t="s">
        <v>0</v>
      </c>
      <c r="E1555" s="741">
        <f t="shared" si="48"/>
        <v>146.06</v>
      </c>
      <c r="F1555">
        <f t="shared" si="49"/>
        <v>91094</v>
      </c>
      <c r="H1555" s="1406">
        <v>143.62</v>
      </c>
      <c r="I1555" s="1406">
        <v>146.06</v>
      </c>
    </row>
    <row r="1556" spans="2:9" ht="30">
      <c r="B1556" s="677">
        <v>91095</v>
      </c>
      <c r="C1556" s="733" t="s">
        <v>1305</v>
      </c>
      <c r="D1556" s="677" t="s">
        <v>0</v>
      </c>
      <c r="E1556" s="738">
        <f t="shared" si="48"/>
        <v>171.16</v>
      </c>
      <c r="F1556">
        <f t="shared" si="49"/>
        <v>91095</v>
      </c>
      <c r="H1556" s="1405">
        <v>168.56</v>
      </c>
      <c r="I1556" s="1405">
        <v>171.16</v>
      </c>
    </row>
    <row r="1557" spans="2:9" ht="30">
      <c r="B1557" s="1477">
        <v>91096</v>
      </c>
      <c r="C1557" s="740" t="s">
        <v>1306</v>
      </c>
      <c r="D1557" s="739" t="s">
        <v>0</v>
      </c>
      <c r="E1557" s="741">
        <f t="shared" si="48"/>
        <v>149.09</v>
      </c>
      <c r="F1557">
        <f t="shared" si="49"/>
        <v>91096</v>
      </c>
      <c r="H1557" s="1406">
        <v>146.35</v>
      </c>
      <c r="I1557" s="1406">
        <v>149.09</v>
      </c>
    </row>
    <row r="1558" spans="2:9" ht="30">
      <c r="B1558" s="677">
        <v>91097</v>
      </c>
      <c r="C1558" s="733" t="s">
        <v>1307</v>
      </c>
      <c r="D1558" s="677" t="s">
        <v>0</v>
      </c>
      <c r="E1558" s="738">
        <f t="shared" si="48"/>
        <v>174.02</v>
      </c>
      <c r="F1558">
        <f t="shared" si="49"/>
        <v>91097</v>
      </c>
      <c r="H1558" s="1405">
        <v>171.11</v>
      </c>
      <c r="I1558" s="1405">
        <v>174.02</v>
      </c>
    </row>
    <row r="1559" spans="2:9" ht="30">
      <c r="B1559" s="1477">
        <v>91098</v>
      </c>
      <c r="C1559" s="740" t="s">
        <v>1308</v>
      </c>
      <c r="D1559" s="739" t="s">
        <v>0</v>
      </c>
      <c r="E1559" s="741">
        <f t="shared" si="48"/>
        <v>161.37</v>
      </c>
      <c r="F1559">
        <f t="shared" si="49"/>
        <v>91098</v>
      </c>
      <c r="H1559" s="1406">
        <v>157.4</v>
      </c>
      <c r="I1559" s="1406">
        <v>161.37</v>
      </c>
    </row>
    <row r="1560" spans="2:9" ht="30">
      <c r="B1560" s="677">
        <v>91099</v>
      </c>
      <c r="C1560" s="733" t="s">
        <v>1309</v>
      </c>
      <c r="D1560" s="677" t="s">
        <v>0</v>
      </c>
      <c r="E1560" s="738">
        <f t="shared" si="48"/>
        <v>187.87</v>
      </c>
      <c r="F1560">
        <f t="shared" si="49"/>
        <v>91099</v>
      </c>
      <c r="H1560" s="1405">
        <v>183.6</v>
      </c>
      <c r="I1560" s="1405">
        <v>187.87</v>
      </c>
    </row>
    <row r="1561" spans="2:9" ht="30">
      <c r="B1561" s="1477">
        <v>91100</v>
      </c>
      <c r="C1561" s="740" t="s">
        <v>1310</v>
      </c>
      <c r="D1561" s="739" t="s">
        <v>0</v>
      </c>
      <c r="E1561" s="741">
        <f t="shared" si="48"/>
        <v>169.8</v>
      </c>
      <c r="F1561">
        <f t="shared" si="49"/>
        <v>91100</v>
      </c>
      <c r="H1561" s="1406">
        <v>165.02</v>
      </c>
      <c r="I1561" s="1406">
        <v>169.8</v>
      </c>
    </row>
    <row r="1562" spans="2:9" ht="30">
      <c r="B1562" s="677">
        <v>91101</v>
      </c>
      <c r="C1562" s="733" t="s">
        <v>1311</v>
      </c>
      <c r="D1562" s="677" t="s">
        <v>0</v>
      </c>
      <c r="E1562" s="738">
        <f t="shared" si="48"/>
        <v>196.17</v>
      </c>
      <c r="F1562">
        <f t="shared" si="49"/>
        <v>91101</v>
      </c>
      <c r="H1562" s="1405">
        <v>191.1</v>
      </c>
      <c r="I1562" s="1405">
        <v>196.17</v>
      </c>
    </row>
    <row r="1563" spans="2:9" ht="30">
      <c r="B1563" s="1477">
        <v>93952</v>
      </c>
      <c r="C1563" s="740" t="s">
        <v>392</v>
      </c>
      <c r="D1563" s="739" t="s">
        <v>21</v>
      </c>
      <c r="E1563" s="741">
        <f t="shared" si="48"/>
        <v>234.69</v>
      </c>
      <c r="F1563">
        <f t="shared" si="49"/>
        <v>93952</v>
      </c>
      <c r="H1563" s="1406">
        <v>222.96</v>
      </c>
      <c r="I1563" s="1406">
        <v>234.69</v>
      </c>
    </row>
    <row r="1564" spans="2:9" ht="30">
      <c r="B1564" s="677">
        <v>93953</v>
      </c>
      <c r="C1564" s="733" t="s">
        <v>1312</v>
      </c>
      <c r="D1564" s="677" t="s">
        <v>21</v>
      </c>
      <c r="E1564" s="738">
        <f t="shared" si="48"/>
        <v>218.71</v>
      </c>
      <c r="F1564">
        <f t="shared" si="49"/>
        <v>93953</v>
      </c>
      <c r="H1564" s="1405">
        <v>208.26</v>
      </c>
      <c r="I1564" s="1405">
        <v>218.71</v>
      </c>
    </row>
    <row r="1565" spans="2:9" ht="30">
      <c r="B1565" s="1477">
        <v>93954</v>
      </c>
      <c r="C1565" s="740" t="s">
        <v>1313</v>
      </c>
      <c r="D1565" s="739" t="s">
        <v>21</v>
      </c>
      <c r="E1565" s="741">
        <f t="shared" si="48"/>
        <v>209.12</v>
      </c>
      <c r="F1565">
        <f t="shared" si="49"/>
        <v>93954</v>
      </c>
      <c r="H1565" s="1406">
        <v>199.4</v>
      </c>
      <c r="I1565" s="1406">
        <v>209.12</v>
      </c>
    </row>
    <row r="1566" spans="2:9" ht="30">
      <c r="B1566" s="677">
        <v>93955</v>
      </c>
      <c r="C1566" s="733" t="s">
        <v>393</v>
      </c>
      <c r="D1566" s="677" t="s">
        <v>21</v>
      </c>
      <c r="E1566" s="738">
        <f t="shared" si="48"/>
        <v>202.31</v>
      </c>
      <c r="F1566">
        <f t="shared" si="49"/>
        <v>93955</v>
      </c>
      <c r="H1566" s="1405">
        <v>193.1</v>
      </c>
      <c r="I1566" s="1405">
        <v>202.31</v>
      </c>
    </row>
    <row r="1567" spans="2:9" ht="30">
      <c r="B1567" s="1477">
        <v>93956</v>
      </c>
      <c r="C1567" s="740" t="s">
        <v>1314</v>
      </c>
      <c r="D1567" s="739" t="s">
        <v>21</v>
      </c>
      <c r="E1567" s="741">
        <f t="shared" si="48"/>
        <v>196.91</v>
      </c>
      <c r="F1567">
        <f t="shared" si="49"/>
        <v>93956</v>
      </c>
      <c r="H1567" s="1406">
        <v>188.12</v>
      </c>
      <c r="I1567" s="1406">
        <v>196.91</v>
      </c>
    </row>
    <row r="1568" spans="2:9" ht="30">
      <c r="B1568" s="677">
        <v>93957</v>
      </c>
      <c r="C1568" s="733" t="s">
        <v>394</v>
      </c>
      <c r="D1568" s="677" t="s">
        <v>21</v>
      </c>
      <c r="E1568" s="738">
        <f t="shared" si="48"/>
        <v>249.14</v>
      </c>
      <c r="F1568">
        <f t="shared" si="49"/>
        <v>93957</v>
      </c>
      <c r="H1568" s="1405">
        <v>237.19</v>
      </c>
      <c r="I1568" s="1405">
        <v>249.14</v>
      </c>
    </row>
    <row r="1569" spans="2:9" ht="30">
      <c r="B1569" s="1477">
        <v>93958</v>
      </c>
      <c r="C1569" s="740" t="s">
        <v>1315</v>
      </c>
      <c r="D1569" s="739" t="s">
        <v>21</v>
      </c>
      <c r="E1569" s="741">
        <f t="shared" si="48"/>
        <v>232.23</v>
      </c>
      <c r="F1569">
        <f t="shared" si="49"/>
        <v>93958</v>
      </c>
      <c r="H1569" s="1406">
        <v>221.59</v>
      </c>
      <c r="I1569" s="1406">
        <v>232.23</v>
      </c>
    </row>
    <row r="1570" spans="2:9" ht="30">
      <c r="B1570" s="677">
        <v>93959</v>
      </c>
      <c r="C1570" s="733" t="s">
        <v>1316</v>
      </c>
      <c r="D1570" s="677" t="s">
        <v>21</v>
      </c>
      <c r="E1570" s="738">
        <f t="shared" si="48"/>
        <v>222.16</v>
      </c>
      <c r="F1570">
        <f t="shared" si="49"/>
        <v>93959</v>
      </c>
      <c r="H1570" s="1405">
        <v>212.31</v>
      </c>
      <c r="I1570" s="1405">
        <v>222.16</v>
      </c>
    </row>
    <row r="1571" spans="2:9" ht="30">
      <c r="B1571" s="1477">
        <v>93960</v>
      </c>
      <c r="C1571" s="740" t="s">
        <v>395</v>
      </c>
      <c r="D1571" s="739" t="s">
        <v>21</v>
      </c>
      <c r="E1571" s="741">
        <f t="shared" si="48"/>
        <v>215.06</v>
      </c>
      <c r="F1571">
        <f t="shared" si="49"/>
        <v>93960</v>
      </c>
      <c r="H1571" s="1406">
        <v>205.75</v>
      </c>
      <c r="I1571" s="1406">
        <v>215.06</v>
      </c>
    </row>
    <row r="1572" spans="2:9" ht="30">
      <c r="B1572" s="677">
        <v>93961</v>
      </c>
      <c r="C1572" s="733" t="s">
        <v>1317</v>
      </c>
      <c r="D1572" s="677" t="s">
        <v>21</v>
      </c>
      <c r="E1572" s="738">
        <f t="shared" si="48"/>
        <v>209.46</v>
      </c>
      <c r="F1572">
        <f t="shared" si="49"/>
        <v>93961</v>
      </c>
      <c r="H1572" s="1405">
        <v>200.59</v>
      </c>
      <c r="I1572" s="1405">
        <v>209.46</v>
      </c>
    </row>
    <row r="1573" spans="2:9" ht="30">
      <c r="B1573" s="1477">
        <v>93962</v>
      </c>
      <c r="C1573" s="740" t="s">
        <v>396</v>
      </c>
      <c r="D1573" s="739" t="s">
        <v>21</v>
      </c>
      <c r="E1573" s="741">
        <f t="shared" si="48"/>
        <v>219.86</v>
      </c>
      <c r="F1573">
        <f t="shared" si="49"/>
        <v>93962</v>
      </c>
      <c r="H1573" s="1406">
        <v>208.51</v>
      </c>
      <c r="I1573" s="1406">
        <v>219.86</v>
      </c>
    </row>
    <row r="1574" spans="2:9" ht="30">
      <c r="B1574" s="677">
        <v>93963</v>
      </c>
      <c r="C1574" s="733" t="s">
        <v>1318</v>
      </c>
      <c r="D1574" s="677" t="s">
        <v>21</v>
      </c>
      <c r="E1574" s="738">
        <f t="shared" si="48"/>
        <v>203.9</v>
      </c>
      <c r="F1574">
        <f t="shared" si="49"/>
        <v>93963</v>
      </c>
      <c r="H1574" s="1405">
        <v>193.83</v>
      </c>
      <c r="I1574" s="1405">
        <v>203.9</v>
      </c>
    </row>
    <row r="1575" spans="2:9" ht="30">
      <c r="B1575" s="1477">
        <v>93964</v>
      </c>
      <c r="C1575" s="740" t="s">
        <v>1319</v>
      </c>
      <c r="D1575" s="739" t="s">
        <v>21</v>
      </c>
      <c r="E1575" s="741">
        <f t="shared" si="48"/>
        <v>194.37</v>
      </c>
      <c r="F1575">
        <f t="shared" si="49"/>
        <v>93964</v>
      </c>
      <c r="H1575" s="1406">
        <v>185.04</v>
      </c>
      <c r="I1575" s="1406">
        <v>194.37</v>
      </c>
    </row>
    <row r="1576" spans="2:9" ht="30">
      <c r="B1576" s="677">
        <v>93965</v>
      </c>
      <c r="C1576" s="733" t="s">
        <v>1320</v>
      </c>
      <c r="D1576" s="677" t="s">
        <v>21</v>
      </c>
      <c r="E1576" s="738">
        <f t="shared" si="48"/>
        <v>185.42</v>
      </c>
      <c r="F1576">
        <f t="shared" si="49"/>
        <v>93965</v>
      </c>
      <c r="H1576" s="1405">
        <v>176.85</v>
      </c>
      <c r="I1576" s="1405">
        <v>185.42</v>
      </c>
    </row>
    <row r="1577" spans="2:9" ht="30">
      <c r="B1577" s="1477">
        <v>93966</v>
      </c>
      <c r="C1577" s="740" t="s">
        <v>1321</v>
      </c>
      <c r="D1577" s="739" t="s">
        <v>21</v>
      </c>
      <c r="E1577" s="741">
        <f t="shared" si="48"/>
        <v>182.24</v>
      </c>
      <c r="F1577">
        <f t="shared" si="49"/>
        <v>93966</v>
      </c>
      <c r="H1577" s="1406">
        <v>173.83</v>
      </c>
      <c r="I1577" s="1406">
        <v>182.24</v>
      </c>
    </row>
    <row r="1578" spans="2:9" ht="30">
      <c r="B1578" s="677">
        <v>93967</v>
      </c>
      <c r="C1578" s="733" t="s">
        <v>397</v>
      </c>
      <c r="D1578" s="677" t="s">
        <v>21</v>
      </c>
      <c r="E1578" s="738">
        <f t="shared" si="48"/>
        <v>234.31</v>
      </c>
      <c r="F1578">
        <f t="shared" si="49"/>
        <v>93967</v>
      </c>
      <c r="H1578" s="1405">
        <v>222.75</v>
      </c>
      <c r="I1578" s="1405">
        <v>234.31</v>
      </c>
    </row>
    <row r="1579" spans="2:9" ht="30">
      <c r="B1579" s="1477">
        <v>93968</v>
      </c>
      <c r="C1579" s="740" t="s">
        <v>1322</v>
      </c>
      <c r="D1579" s="739" t="s">
        <v>21</v>
      </c>
      <c r="E1579" s="741">
        <f t="shared" si="48"/>
        <v>217.41</v>
      </c>
      <c r="F1579">
        <f t="shared" si="49"/>
        <v>93968</v>
      </c>
      <c r="H1579" s="1406">
        <v>207.19</v>
      </c>
      <c r="I1579" s="1406">
        <v>217.41</v>
      </c>
    </row>
    <row r="1580" spans="2:9" ht="30">
      <c r="B1580" s="677">
        <v>93969</v>
      </c>
      <c r="C1580" s="733" t="s">
        <v>1323</v>
      </c>
      <c r="D1580" s="677" t="s">
        <v>21</v>
      </c>
      <c r="E1580" s="738">
        <f t="shared" si="48"/>
        <v>207.4</v>
      </c>
      <c r="F1580">
        <f t="shared" si="49"/>
        <v>93969</v>
      </c>
      <c r="H1580" s="1405">
        <v>197.96</v>
      </c>
      <c r="I1580" s="1405">
        <v>207.4</v>
      </c>
    </row>
    <row r="1581" spans="2:9" ht="30">
      <c r="B1581" s="1477">
        <v>93970</v>
      </c>
      <c r="C1581" s="740" t="s">
        <v>1324</v>
      </c>
      <c r="D1581" s="739" t="s">
        <v>21</v>
      </c>
      <c r="E1581" s="741">
        <f t="shared" si="48"/>
        <v>200.35</v>
      </c>
      <c r="F1581">
        <f t="shared" si="49"/>
        <v>93970</v>
      </c>
      <c r="H1581" s="1406">
        <v>191.45</v>
      </c>
      <c r="I1581" s="1406">
        <v>200.35</v>
      </c>
    </row>
    <row r="1582" spans="2:9" ht="30">
      <c r="B1582" s="677">
        <v>93971</v>
      </c>
      <c r="C1582" s="733" t="s">
        <v>1325</v>
      </c>
      <c r="D1582" s="677" t="s">
        <v>21</v>
      </c>
      <c r="E1582" s="738">
        <f t="shared" si="48"/>
        <v>188.78</v>
      </c>
      <c r="F1582">
        <f t="shared" si="49"/>
        <v>93971</v>
      </c>
      <c r="H1582" s="1405">
        <v>180.48</v>
      </c>
      <c r="I1582" s="1405">
        <v>188.78</v>
      </c>
    </row>
    <row r="1583" spans="2:9" ht="30">
      <c r="B1583" s="1477">
        <v>95108</v>
      </c>
      <c r="C1583" s="740" t="s">
        <v>13305</v>
      </c>
      <c r="D1583" s="739" t="s">
        <v>22</v>
      </c>
      <c r="E1583" s="741">
        <f t="shared" si="48"/>
        <v>37.17</v>
      </c>
      <c r="F1583">
        <f t="shared" si="49"/>
        <v>95108</v>
      </c>
      <c r="H1583" s="1406">
        <v>34.56</v>
      </c>
      <c r="I1583" s="1406">
        <v>37.17</v>
      </c>
    </row>
    <row r="1584" spans="2:9">
      <c r="B1584" s="677">
        <v>100332</v>
      </c>
      <c r="C1584" s="733" t="s">
        <v>2410</v>
      </c>
      <c r="D1584" s="677" t="s">
        <v>0</v>
      </c>
      <c r="E1584" s="738">
        <f t="shared" si="48"/>
        <v>858.3</v>
      </c>
      <c r="F1584">
        <f t="shared" si="49"/>
        <v>100332</v>
      </c>
      <c r="H1584" s="1405">
        <v>851.22</v>
      </c>
      <c r="I1584" s="1405">
        <v>858.3</v>
      </c>
    </row>
    <row r="1585" spans="2:9" ht="30">
      <c r="B1585" s="1477">
        <v>100333</v>
      </c>
      <c r="C1585" s="740" t="s">
        <v>2411</v>
      </c>
      <c r="D1585" s="739" t="s">
        <v>0</v>
      </c>
      <c r="E1585" s="741">
        <f t="shared" si="48"/>
        <v>545.47</v>
      </c>
      <c r="F1585">
        <f t="shared" si="49"/>
        <v>100333</v>
      </c>
      <c r="H1585" s="1406">
        <v>539.91</v>
      </c>
      <c r="I1585" s="1406">
        <v>545.47</v>
      </c>
    </row>
    <row r="1586" spans="2:9">
      <c r="B1586" s="677">
        <v>100334</v>
      </c>
      <c r="C1586" s="733" t="s">
        <v>2412</v>
      </c>
      <c r="D1586" s="677" t="s">
        <v>0</v>
      </c>
      <c r="E1586" s="738">
        <f t="shared" si="48"/>
        <v>688.56</v>
      </c>
      <c r="F1586">
        <f t="shared" si="49"/>
        <v>100334</v>
      </c>
      <c r="H1586" s="1405">
        <v>682.48</v>
      </c>
      <c r="I1586" s="1405">
        <v>688.56</v>
      </c>
    </row>
    <row r="1587" spans="2:9" ht="30">
      <c r="B1587" s="1477">
        <v>100335</v>
      </c>
      <c r="C1587" s="740" t="s">
        <v>2413</v>
      </c>
      <c r="D1587" s="739" t="s">
        <v>0</v>
      </c>
      <c r="E1587" s="741">
        <f t="shared" si="48"/>
        <v>453.94</v>
      </c>
      <c r="F1587">
        <f t="shared" si="49"/>
        <v>100335</v>
      </c>
      <c r="H1587" s="1406">
        <v>449</v>
      </c>
      <c r="I1587" s="1406">
        <v>453.94</v>
      </c>
    </row>
    <row r="1588" spans="2:9" ht="30">
      <c r="B1588" s="677">
        <v>100341</v>
      </c>
      <c r="C1588" s="733" t="s">
        <v>2414</v>
      </c>
      <c r="D1588" s="677" t="s">
        <v>0</v>
      </c>
      <c r="E1588" s="738">
        <f t="shared" si="48"/>
        <v>41.49</v>
      </c>
      <c r="F1588">
        <f t="shared" si="49"/>
        <v>100341</v>
      </c>
      <c r="H1588" s="1405">
        <v>39.67</v>
      </c>
      <c r="I1588" s="1405">
        <v>41.49</v>
      </c>
    </row>
    <row r="1589" spans="2:9">
      <c r="B1589" s="1477">
        <v>100342</v>
      </c>
      <c r="C1589" s="740" t="s">
        <v>2415</v>
      </c>
      <c r="D1589" s="739" t="s">
        <v>20</v>
      </c>
      <c r="E1589" s="741">
        <f t="shared" si="48"/>
        <v>15.29</v>
      </c>
      <c r="F1589">
        <f t="shared" si="49"/>
        <v>100342</v>
      </c>
      <c r="H1589" s="1406">
        <v>14.88</v>
      </c>
      <c r="I1589" s="1406">
        <v>15.29</v>
      </c>
    </row>
    <row r="1590" spans="2:9">
      <c r="B1590" s="677">
        <v>100343</v>
      </c>
      <c r="C1590" s="733" t="s">
        <v>2416</v>
      </c>
      <c r="D1590" s="677" t="s">
        <v>20</v>
      </c>
      <c r="E1590" s="738">
        <f t="shared" si="48"/>
        <v>14.5</v>
      </c>
      <c r="F1590">
        <f t="shared" si="49"/>
        <v>100343</v>
      </c>
      <c r="H1590" s="1405">
        <v>14.21</v>
      </c>
      <c r="I1590" s="1405">
        <v>14.5</v>
      </c>
    </row>
    <row r="1591" spans="2:9">
      <c r="B1591" s="1477">
        <v>100344</v>
      </c>
      <c r="C1591" s="740" t="s">
        <v>2417</v>
      </c>
      <c r="D1591" s="739" t="s">
        <v>20</v>
      </c>
      <c r="E1591" s="741">
        <f t="shared" si="48"/>
        <v>13.02</v>
      </c>
      <c r="F1591">
        <f t="shared" si="49"/>
        <v>100344</v>
      </c>
      <c r="H1591" s="1406">
        <v>12.82</v>
      </c>
      <c r="I1591" s="1406">
        <v>13.02</v>
      </c>
    </row>
    <row r="1592" spans="2:9">
      <c r="B1592" s="677">
        <v>100345</v>
      </c>
      <c r="C1592" s="733" t="s">
        <v>2418</v>
      </c>
      <c r="D1592" s="677" t="s">
        <v>20</v>
      </c>
      <c r="E1592" s="738">
        <f t="shared" si="48"/>
        <v>11.05</v>
      </c>
      <c r="F1592">
        <f t="shared" si="49"/>
        <v>100345</v>
      </c>
      <c r="H1592" s="1405">
        <v>10.89</v>
      </c>
      <c r="I1592" s="1405">
        <v>11.05</v>
      </c>
    </row>
    <row r="1593" spans="2:9">
      <c r="B1593" s="1477">
        <v>100346</v>
      </c>
      <c r="C1593" s="740" t="s">
        <v>2419</v>
      </c>
      <c r="D1593" s="739" t="s">
        <v>20</v>
      </c>
      <c r="E1593" s="741">
        <f t="shared" si="48"/>
        <v>10.52</v>
      </c>
      <c r="F1593">
        <f t="shared" si="49"/>
        <v>100346</v>
      </c>
      <c r="H1593" s="1406">
        <v>10.42</v>
      </c>
      <c r="I1593" s="1406">
        <v>10.52</v>
      </c>
    </row>
    <row r="1594" spans="2:9">
      <c r="B1594" s="677">
        <v>100347</v>
      </c>
      <c r="C1594" s="733" t="s">
        <v>2420</v>
      </c>
      <c r="D1594" s="677" t="s">
        <v>20</v>
      </c>
      <c r="E1594" s="738">
        <f t="shared" si="48"/>
        <v>11.83</v>
      </c>
      <c r="F1594">
        <f t="shared" si="49"/>
        <v>100347</v>
      </c>
      <c r="H1594" s="1405">
        <v>11.76</v>
      </c>
      <c r="I1594" s="1405">
        <v>11.83</v>
      </c>
    </row>
    <row r="1595" spans="2:9">
      <c r="B1595" s="1477">
        <v>100348</v>
      </c>
      <c r="C1595" s="740" t="s">
        <v>2421</v>
      </c>
      <c r="D1595" s="739" t="s">
        <v>20</v>
      </c>
      <c r="E1595" s="741">
        <f t="shared" si="48"/>
        <v>11.58</v>
      </c>
      <c r="F1595">
        <f t="shared" si="49"/>
        <v>100348</v>
      </c>
      <c r="H1595" s="1406">
        <v>11.54</v>
      </c>
      <c r="I1595" s="1406">
        <v>11.58</v>
      </c>
    </row>
    <row r="1596" spans="2:9">
      <c r="B1596" s="677">
        <v>100349</v>
      </c>
      <c r="C1596" s="733" t="s">
        <v>2422</v>
      </c>
      <c r="D1596" s="677" t="s">
        <v>19</v>
      </c>
      <c r="E1596" s="738">
        <f t="shared" si="48"/>
        <v>880.28</v>
      </c>
      <c r="F1596">
        <f t="shared" si="49"/>
        <v>100349</v>
      </c>
      <c r="H1596" s="1405">
        <v>877.38</v>
      </c>
      <c r="I1596" s="1405">
        <v>880.28</v>
      </c>
    </row>
    <row r="1597" spans="2:9" ht="30">
      <c r="B1597" s="1477">
        <v>104841</v>
      </c>
      <c r="C1597" s="740" t="s">
        <v>13306</v>
      </c>
      <c r="D1597" s="739" t="s">
        <v>21</v>
      </c>
      <c r="E1597" s="741">
        <f t="shared" si="48"/>
        <v>83.22</v>
      </c>
      <c r="F1597">
        <f t="shared" si="49"/>
        <v>104841</v>
      </c>
      <c r="H1597" s="1406">
        <v>80.77</v>
      </c>
      <c r="I1597" s="1406">
        <v>83.22</v>
      </c>
    </row>
    <row r="1598" spans="2:9" ht="30">
      <c r="B1598" s="677">
        <v>104842</v>
      </c>
      <c r="C1598" s="733" t="s">
        <v>13307</v>
      </c>
      <c r="D1598" s="677" t="s">
        <v>21</v>
      </c>
      <c r="E1598" s="738">
        <f t="shared" si="48"/>
        <v>71.69</v>
      </c>
      <c r="F1598">
        <f t="shared" si="49"/>
        <v>104842</v>
      </c>
      <c r="H1598" s="1405">
        <v>69.680000000000007</v>
      </c>
      <c r="I1598" s="1405">
        <v>71.69</v>
      </c>
    </row>
    <row r="1599" spans="2:9" ht="30">
      <c r="B1599" s="1477">
        <v>104843</v>
      </c>
      <c r="C1599" s="740" t="s">
        <v>13308</v>
      </c>
      <c r="D1599" s="739" t="s">
        <v>21</v>
      </c>
      <c r="E1599" s="741">
        <f t="shared" si="48"/>
        <v>112.79</v>
      </c>
      <c r="F1599">
        <f t="shared" si="49"/>
        <v>104843</v>
      </c>
      <c r="H1599" s="1406">
        <v>109.17</v>
      </c>
      <c r="I1599" s="1406">
        <v>112.79</v>
      </c>
    </row>
    <row r="1600" spans="2:9" ht="30">
      <c r="B1600" s="677">
        <v>104844</v>
      </c>
      <c r="C1600" s="733" t="s">
        <v>13309</v>
      </c>
      <c r="D1600" s="677" t="s">
        <v>21</v>
      </c>
      <c r="E1600" s="738">
        <f t="shared" si="48"/>
        <v>91.47</v>
      </c>
      <c r="F1600">
        <f t="shared" si="49"/>
        <v>104844</v>
      </c>
      <c r="H1600" s="1405">
        <v>88.7</v>
      </c>
      <c r="I1600" s="1405">
        <v>91.47</v>
      </c>
    </row>
    <row r="1601" spans="2:9" ht="30">
      <c r="B1601" s="1477">
        <v>104845</v>
      </c>
      <c r="C1601" s="740" t="s">
        <v>13310</v>
      </c>
      <c r="D1601" s="739" t="s">
        <v>21</v>
      </c>
      <c r="E1601" s="741">
        <f t="shared" si="48"/>
        <v>128.04</v>
      </c>
      <c r="F1601">
        <f t="shared" si="49"/>
        <v>104845</v>
      </c>
      <c r="H1601" s="1406">
        <v>123.8</v>
      </c>
      <c r="I1601" s="1406">
        <v>128.04</v>
      </c>
    </row>
    <row r="1602" spans="2:9" ht="30">
      <c r="B1602" s="677">
        <v>104846</v>
      </c>
      <c r="C1602" s="733" t="s">
        <v>13311</v>
      </c>
      <c r="D1602" s="677" t="s">
        <v>21</v>
      </c>
      <c r="E1602" s="738">
        <f t="shared" si="48"/>
        <v>103.74</v>
      </c>
      <c r="F1602">
        <f t="shared" si="49"/>
        <v>104846</v>
      </c>
      <c r="H1602" s="1405">
        <v>100.45</v>
      </c>
      <c r="I1602" s="1405">
        <v>103.74</v>
      </c>
    </row>
    <row r="1603" spans="2:9" ht="30">
      <c r="B1603" s="1477">
        <v>104847</v>
      </c>
      <c r="C1603" s="740" t="s">
        <v>13312</v>
      </c>
      <c r="D1603" s="739" t="s">
        <v>21</v>
      </c>
      <c r="E1603" s="741">
        <f t="shared" ref="E1603:E1666" si="50">IF($K$2=$H$1,H1603,I1603)</f>
        <v>88.78</v>
      </c>
      <c r="F1603">
        <f t="shared" ref="F1603:F1666" si="51">IF(LEN($B1603)=7,CONCATENATE(MID($B1603,1,6),"00",RIGHT($B1603,1)),IF(LEN($B1603)=8,CONCATENATE(MID($B1603,1,6),"0",RIGHT($B1603,2)),$B1603))</f>
        <v>104847</v>
      </c>
      <c r="H1603" s="1406">
        <v>86.11</v>
      </c>
      <c r="I1603" s="1406">
        <v>88.78</v>
      </c>
    </row>
    <row r="1604" spans="2:9" ht="30">
      <c r="B1604" s="677">
        <v>104848</v>
      </c>
      <c r="C1604" s="733" t="s">
        <v>13313</v>
      </c>
      <c r="D1604" s="677" t="s">
        <v>21</v>
      </c>
      <c r="E1604" s="738">
        <f t="shared" si="50"/>
        <v>68.62</v>
      </c>
      <c r="F1604">
        <f t="shared" si="51"/>
        <v>104848</v>
      </c>
      <c r="H1604" s="1405">
        <v>66.459999999999994</v>
      </c>
      <c r="I1604" s="1405">
        <v>68.62</v>
      </c>
    </row>
    <row r="1605" spans="2:9" ht="30">
      <c r="B1605" s="1477">
        <v>104849</v>
      </c>
      <c r="C1605" s="740" t="s">
        <v>13314</v>
      </c>
      <c r="D1605" s="739" t="s">
        <v>21</v>
      </c>
      <c r="E1605" s="741">
        <f t="shared" si="50"/>
        <v>59.45</v>
      </c>
      <c r="F1605">
        <f t="shared" si="51"/>
        <v>104849</v>
      </c>
      <c r="H1605" s="1406">
        <v>57.73</v>
      </c>
      <c r="I1605" s="1406">
        <v>59.45</v>
      </c>
    </row>
    <row r="1606" spans="2:9" ht="30">
      <c r="B1606" s="677">
        <v>104850</v>
      </c>
      <c r="C1606" s="733" t="s">
        <v>13315</v>
      </c>
      <c r="D1606" s="677" t="s">
        <v>21</v>
      </c>
      <c r="E1606" s="738">
        <f t="shared" si="50"/>
        <v>53.31</v>
      </c>
      <c r="F1606">
        <f t="shared" si="51"/>
        <v>104850</v>
      </c>
      <c r="H1606" s="1405">
        <v>51.87</v>
      </c>
      <c r="I1606" s="1405">
        <v>53.31</v>
      </c>
    </row>
    <row r="1607" spans="2:9" ht="30">
      <c r="B1607" s="1477">
        <v>104851</v>
      </c>
      <c r="C1607" s="740" t="s">
        <v>13316</v>
      </c>
      <c r="D1607" s="739" t="s">
        <v>21</v>
      </c>
      <c r="E1607" s="741">
        <f t="shared" si="50"/>
        <v>75.709999999999994</v>
      </c>
      <c r="F1607">
        <f t="shared" si="51"/>
        <v>104851</v>
      </c>
      <c r="H1607" s="1406">
        <v>73.23</v>
      </c>
      <c r="I1607" s="1406">
        <v>75.709999999999994</v>
      </c>
    </row>
    <row r="1608" spans="2:9" ht="30">
      <c r="B1608" s="677">
        <v>104852</v>
      </c>
      <c r="C1608" s="733" t="s">
        <v>13317</v>
      </c>
      <c r="D1608" s="677" t="s">
        <v>21</v>
      </c>
      <c r="E1608" s="738">
        <f t="shared" si="50"/>
        <v>65.14</v>
      </c>
      <c r="F1608">
        <f t="shared" si="51"/>
        <v>104852</v>
      </c>
      <c r="H1608" s="1405">
        <v>63.15</v>
      </c>
      <c r="I1608" s="1405">
        <v>65.14</v>
      </c>
    </row>
    <row r="1609" spans="2:9" ht="30">
      <c r="B1609" s="1477">
        <v>104853</v>
      </c>
      <c r="C1609" s="740" t="s">
        <v>13318</v>
      </c>
      <c r="D1609" s="739" t="s">
        <v>21</v>
      </c>
      <c r="E1609" s="741">
        <f t="shared" si="50"/>
        <v>58.05</v>
      </c>
      <c r="F1609">
        <f t="shared" si="51"/>
        <v>104853</v>
      </c>
      <c r="H1609" s="1406">
        <v>56.4</v>
      </c>
      <c r="I1609" s="1406">
        <v>58.05</v>
      </c>
    </row>
    <row r="1610" spans="2:9" ht="30">
      <c r="B1610" s="677">
        <v>104854</v>
      </c>
      <c r="C1610" s="733" t="s">
        <v>13319</v>
      </c>
      <c r="D1610" s="677" t="s">
        <v>21</v>
      </c>
      <c r="E1610" s="738">
        <f t="shared" si="50"/>
        <v>73.59</v>
      </c>
      <c r="F1610">
        <f t="shared" si="51"/>
        <v>104854</v>
      </c>
      <c r="H1610" s="1405">
        <v>71.209999999999994</v>
      </c>
      <c r="I1610" s="1405">
        <v>73.59</v>
      </c>
    </row>
    <row r="1611" spans="2:9" ht="30">
      <c r="B1611" s="1477">
        <v>104855</v>
      </c>
      <c r="C1611" s="740" t="s">
        <v>13320</v>
      </c>
      <c r="D1611" s="739" t="s">
        <v>21</v>
      </c>
      <c r="E1611" s="741">
        <f t="shared" si="50"/>
        <v>65.09</v>
      </c>
      <c r="F1611">
        <f t="shared" si="51"/>
        <v>104855</v>
      </c>
      <c r="H1611" s="1406">
        <v>63.1</v>
      </c>
      <c r="I1611" s="1406">
        <v>65.09</v>
      </c>
    </row>
    <row r="1612" spans="2:9">
      <c r="B1612" s="677">
        <v>104876</v>
      </c>
      <c r="C1612" s="733" t="s">
        <v>13321</v>
      </c>
      <c r="D1612" s="677" t="s">
        <v>22</v>
      </c>
      <c r="E1612" s="738">
        <f t="shared" si="50"/>
        <v>20.79</v>
      </c>
      <c r="F1612">
        <f t="shared" si="51"/>
        <v>104876</v>
      </c>
      <c r="H1612" s="1405">
        <v>18.75</v>
      </c>
      <c r="I1612" s="1405">
        <v>20.79</v>
      </c>
    </row>
    <row r="1613" spans="2:9" ht="30">
      <c r="B1613" s="1477">
        <v>104877</v>
      </c>
      <c r="C1613" s="740" t="s">
        <v>13322</v>
      </c>
      <c r="D1613" s="739" t="s">
        <v>22</v>
      </c>
      <c r="E1613" s="741">
        <f t="shared" si="50"/>
        <v>645.55999999999995</v>
      </c>
      <c r="F1613">
        <f t="shared" si="51"/>
        <v>104877</v>
      </c>
      <c r="H1613" s="1406">
        <v>635.87</v>
      </c>
      <c r="I1613" s="1406">
        <v>645.55999999999995</v>
      </c>
    </row>
    <row r="1614" spans="2:9" ht="30">
      <c r="B1614" s="677">
        <v>104878</v>
      </c>
      <c r="C1614" s="733" t="s">
        <v>13323</v>
      </c>
      <c r="D1614" s="677" t="s">
        <v>22</v>
      </c>
      <c r="E1614" s="738">
        <f t="shared" si="50"/>
        <v>2501.1799999999998</v>
      </c>
      <c r="F1614">
        <f t="shared" si="51"/>
        <v>104878</v>
      </c>
      <c r="H1614" s="1405">
        <v>2491.4899999999998</v>
      </c>
      <c r="I1614" s="1405">
        <v>2501.1799999999998</v>
      </c>
    </row>
    <row r="1615" spans="2:9" ht="30">
      <c r="B1615" s="1477">
        <v>104879</v>
      </c>
      <c r="C1615" s="740" t="s">
        <v>13324</v>
      </c>
      <c r="D1615" s="739" t="s">
        <v>21</v>
      </c>
      <c r="E1615" s="741">
        <f t="shared" si="50"/>
        <v>78.56</v>
      </c>
      <c r="F1615">
        <f t="shared" si="51"/>
        <v>104879</v>
      </c>
      <c r="H1615" s="1406">
        <v>76.31</v>
      </c>
      <c r="I1615" s="1406">
        <v>78.56</v>
      </c>
    </row>
    <row r="1616" spans="2:9" ht="30">
      <c r="B1616" s="677">
        <v>104880</v>
      </c>
      <c r="C1616" s="733" t="s">
        <v>13325</v>
      </c>
      <c r="D1616" s="677" t="s">
        <v>21</v>
      </c>
      <c r="E1616" s="738">
        <f t="shared" si="50"/>
        <v>86.22</v>
      </c>
      <c r="F1616">
        <f t="shared" si="51"/>
        <v>104880</v>
      </c>
      <c r="H1616" s="1405">
        <v>83.26</v>
      </c>
      <c r="I1616" s="1405">
        <v>86.22</v>
      </c>
    </row>
    <row r="1617" spans="2:9" ht="30">
      <c r="B1617" s="1477">
        <v>104886</v>
      </c>
      <c r="C1617" s="740" t="s">
        <v>13326</v>
      </c>
      <c r="D1617" s="739" t="s">
        <v>21</v>
      </c>
      <c r="E1617" s="741">
        <f t="shared" si="50"/>
        <v>51.78</v>
      </c>
      <c r="F1617">
        <f t="shared" si="51"/>
        <v>104886</v>
      </c>
      <c r="H1617" s="1406">
        <v>50.6</v>
      </c>
      <c r="I1617" s="1406">
        <v>51.78</v>
      </c>
    </row>
    <row r="1618" spans="2:9" ht="30">
      <c r="B1618" s="677">
        <v>104887</v>
      </c>
      <c r="C1618" s="733" t="s">
        <v>13327</v>
      </c>
      <c r="D1618" s="677" t="s">
        <v>21</v>
      </c>
      <c r="E1618" s="738">
        <f t="shared" si="50"/>
        <v>46.02</v>
      </c>
      <c r="F1618">
        <f t="shared" si="51"/>
        <v>104887</v>
      </c>
      <c r="H1618" s="1405">
        <v>45.05</v>
      </c>
      <c r="I1618" s="1405">
        <v>46.02</v>
      </c>
    </row>
    <row r="1619" spans="2:9" ht="30">
      <c r="B1619" s="1477">
        <v>104888</v>
      </c>
      <c r="C1619" s="740" t="s">
        <v>13328</v>
      </c>
      <c r="D1619" s="739" t="s">
        <v>21</v>
      </c>
      <c r="E1619" s="741">
        <f t="shared" si="50"/>
        <v>42.13</v>
      </c>
      <c r="F1619">
        <f t="shared" si="51"/>
        <v>104888</v>
      </c>
      <c r="H1619" s="1406">
        <v>41.34</v>
      </c>
      <c r="I1619" s="1406">
        <v>42.13</v>
      </c>
    </row>
    <row r="1620" spans="2:9" ht="30">
      <c r="B1620" s="677">
        <v>104889</v>
      </c>
      <c r="C1620" s="733" t="s">
        <v>13329</v>
      </c>
      <c r="D1620" s="677" t="s">
        <v>21</v>
      </c>
      <c r="E1620" s="738">
        <f t="shared" si="50"/>
        <v>59.48</v>
      </c>
      <c r="F1620">
        <f t="shared" si="51"/>
        <v>104889</v>
      </c>
      <c r="H1620" s="1405">
        <v>57.99</v>
      </c>
      <c r="I1620" s="1405">
        <v>59.48</v>
      </c>
    </row>
    <row r="1621" spans="2:9" ht="30">
      <c r="B1621" s="1477">
        <v>104890</v>
      </c>
      <c r="C1621" s="740" t="s">
        <v>13330</v>
      </c>
      <c r="D1621" s="739" t="s">
        <v>21</v>
      </c>
      <c r="E1621" s="741">
        <f t="shared" si="50"/>
        <v>52.22</v>
      </c>
      <c r="F1621">
        <f t="shared" si="51"/>
        <v>104890</v>
      </c>
      <c r="H1621" s="1406">
        <v>51.02</v>
      </c>
      <c r="I1621" s="1406">
        <v>52.22</v>
      </c>
    </row>
    <row r="1622" spans="2:9" ht="30">
      <c r="B1622" s="677">
        <v>104891</v>
      </c>
      <c r="C1622" s="733" t="s">
        <v>13331</v>
      </c>
      <c r="D1622" s="677" t="s">
        <v>21</v>
      </c>
      <c r="E1622" s="738">
        <f t="shared" si="50"/>
        <v>47.37</v>
      </c>
      <c r="F1622">
        <f t="shared" si="51"/>
        <v>104891</v>
      </c>
      <c r="H1622" s="1405">
        <v>46.35</v>
      </c>
      <c r="I1622" s="1405">
        <v>47.37</v>
      </c>
    </row>
    <row r="1623" spans="2:9" ht="30">
      <c r="B1623" s="1477">
        <v>104892</v>
      </c>
      <c r="C1623" s="740" t="s">
        <v>13332</v>
      </c>
      <c r="D1623" s="739" t="s">
        <v>21</v>
      </c>
      <c r="E1623" s="741">
        <f t="shared" si="50"/>
        <v>102.51</v>
      </c>
      <c r="F1623">
        <f t="shared" si="51"/>
        <v>104892</v>
      </c>
      <c r="H1623" s="1406">
        <v>99.3</v>
      </c>
      <c r="I1623" s="1406">
        <v>102.51</v>
      </c>
    </row>
    <row r="1624" spans="2:9">
      <c r="B1624" s="677">
        <v>102989</v>
      </c>
      <c r="C1624" s="733" t="s">
        <v>4942</v>
      </c>
      <c r="D1624" s="677" t="s">
        <v>21</v>
      </c>
      <c r="E1624" s="738">
        <f t="shared" si="50"/>
        <v>37.81</v>
      </c>
      <c r="F1624">
        <f t="shared" si="51"/>
        <v>102989</v>
      </c>
      <c r="H1624" s="1405">
        <v>36.67</v>
      </c>
      <c r="I1624" s="1405">
        <v>37.81</v>
      </c>
    </row>
    <row r="1625" spans="2:9">
      <c r="B1625" s="1477">
        <v>102990</v>
      </c>
      <c r="C1625" s="740" t="s">
        <v>4943</v>
      </c>
      <c r="D1625" s="739" t="s">
        <v>21</v>
      </c>
      <c r="E1625" s="741">
        <f t="shared" si="50"/>
        <v>45.99</v>
      </c>
      <c r="F1625">
        <f t="shared" si="51"/>
        <v>102990</v>
      </c>
      <c r="H1625" s="1406">
        <v>44.65</v>
      </c>
      <c r="I1625" s="1406">
        <v>45.99</v>
      </c>
    </row>
    <row r="1626" spans="2:9">
      <c r="B1626" s="677">
        <v>102991</v>
      </c>
      <c r="C1626" s="733" t="s">
        <v>4944</v>
      </c>
      <c r="D1626" s="677" t="s">
        <v>21</v>
      </c>
      <c r="E1626" s="738">
        <f t="shared" si="50"/>
        <v>59.6</v>
      </c>
      <c r="F1626">
        <f t="shared" si="51"/>
        <v>102991</v>
      </c>
      <c r="H1626" s="1405">
        <v>57.91</v>
      </c>
      <c r="I1626" s="1405">
        <v>59.6</v>
      </c>
    </row>
    <row r="1627" spans="2:9">
      <c r="B1627" s="1477">
        <v>102992</v>
      </c>
      <c r="C1627" s="740" t="s">
        <v>4945</v>
      </c>
      <c r="D1627" s="739" t="s">
        <v>21</v>
      </c>
      <c r="E1627" s="741">
        <f t="shared" si="50"/>
        <v>87.97</v>
      </c>
      <c r="F1627">
        <f t="shared" si="51"/>
        <v>102992</v>
      </c>
      <c r="H1627" s="1406">
        <v>86.06</v>
      </c>
      <c r="I1627" s="1406">
        <v>87.97</v>
      </c>
    </row>
    <row r="1628" spans="2:9">
      <c r="B1628" s="677">
        <v>102993</v>
      </c>
      <c r="C1628" s="733" t="s">
        <v>4946</v>
      </c>
      <c r="D1628" s="677" t="s">
        <v>21</v>
      </c>
      <c r="E1628" s="738">
        <f t="shared" si="50"/>
        <v>114.51</v>
      </c>
      <c r="F1628">
        <f t="shared" si="51"/>
        <v>102993</v>
      </c>
      <c r="H1628" s="1405">
        <v>111.95</v>
      </c>
      <c r="I1628" s="1405">
        <v>114.51</v>
      </c>
    </row>
    <row r="1629" spans="2:9">
      <c r="B1629" s="1477">
        <v>102994</v>
      </c>
      <c r="C1629" s="740" t="s">
        <v>4947</v>
      </c>
      <c r="D1629" s="739" t="s">
        <v>21</v>
      </c>
      <c r="E1629" s="741">
        <f t="shared" si="50"/>
        <v>195.97</v>
      </c>
      <c r="F1629">
        <f t="shared" si="51"/>
        <v>102994</v>
      </c>
      <c r="H1629" s="1406">
        <v>192.98</v>
      </c>
      <c r="I1629" s="1406">
        <v>195.97</v>
      </c>
    </row>
    <row r="1630" spans="2:9" ht="30">
      <c r="B1630" s="677">
        <v>102995</v>
      </c>
      <c r="C1630" s="733" t="s">
        <v>4948</v>
      </c>
      <c r="D1630" s="677" t="s">
        <v>21</v>
      </c>
      <c r="E1630" s="738">
        <f t="shared" si="50"/>
        <v>57.72</v>
      </c>
      <c r="F1630">
        <f t="shared" si="51"/>
        <v>102995</v>
      </c>
      <c r="H1630" s="1405">
        <v>55.71</v>
      </c>
      <c r="I1630" s="1405">
        <v>57.72</v>
      </c>
    </row>
    <row r="1631" spans="2:9" ht="30">
      <c r="B1631" s="1477">
        <v>102996</v>
      </c>
      <c r="C1631" s="740" t="s">
        <v>4949</v>
      </c>
      <c r="D1631" s="739" t="s">
        <v>21</v>
      </c>
      <c r="E1631" s="741">
        <f t="shared" si="50"/>
        <v>81.73</v>
      </c>
      <c r="F1631">
        <f t="shared" si="51"/>
        <v>102996</v>
      </c>
      <c r="H1631" s="1406">
        <v>78.92</v>
      </c>
      <c r="I1631" s="1406">
        <v>81.73</v>
      </c>
    </row>
    <row r="1632" spans="2:9" ht="30">
      <c r="B1632" s="677">
        <v>102997</v>
      </c>
      <c r="C1632" s="733" t="s">
        <v>4950</v>
      </c>
      <c r="D1632" s="677" t="s">
        <v>21</v>
      </c>
      <c r="E1632" s="738">
        <f t="shared" si="50"/>
        <v>110</v>
      </c>
      <c r="F1632">
        <f t="shared" si="51"/>
        <v>102997</v>
      </c>
      <c r="H1632" s="1405">
        <v>106.58</v>
      </c>
      <c r="I1632" s="1405">
        <v>110</v>
      </c>
    </row>
    <row r="1633" spans="2:9" ht="30">
      <c r="B1633" s="1477">
        <v>102998</v>
      </c>
      <c r="C1633" s="740" t="s">
        <v>4951</v>
      </c>
      <c r="D1633" s="739" t="s">
        <v>21</v>
      </c>
      <c r="E1633" s="741">
        <f t="shared" si="50"/>
        <v>104.88</v>
      </c>
      <c r="F1633">
        <f t="shared" si="51"/>
        <v>102998</v>
      </c>
      <c r="H1633" s="1406">
        <v>101.53</v>
      </c>
      <c r="I1633" s="1406">
        <v>104.88</v>
      </c>
    </row>
    <row r="1634" spans="2:9" ht="30">
      <c r="B1634" s="677">
        <v>102999</v>
      </c>
      <c r="C1634" s="733" t="s">
        <v>4952</v>
      </c>
      <c r="D1634" s="677" t="s">
        <v>21</v>
      </c>
      <c r="E1634" s="738">
        <f t="shared" si="50"/>
        <v>132.76</v>
      </c>
      <c r="F1634">
        <f t="shared" si="51"/>
        <v>102999</v>
      </c>
      <c r="H1634" s="1405">
        <v>128.55000000000001</v>
      </c>
      <c r="I1634" s="1405">
        <v>132.76</v>
      </c>
    </row>
    <row r="1635" spans="2:9" ht="30">
      <c r="B1635" s="1477">
        <v>103000</v>
      </c>
      <c r="C1635" s="740" t="s">
        <v>4953</v>
      </c>
      <c r="D1635" s="739" t="s">
        <v>21</v>
      </c>
      <c r="E1635" s="741">
        <f t="shared" si="50"/>
        <v>133.32</v>
      </c>
      <c r="F1635">
        <f t="shared" si="51"/>
        <v>103000</v>
      </c>
      <c r="H1635" s="1406">
        <v>129.09</v>
      </c>
      <c r="I1635" s="1406">
        <v>133.32</v>
      </c>
    </row>
    <row r="1636" spans="2:9" ht="30">
      <c r="B1636" s="677">
        <v>103001</v>
      </c>
      <c r="C1636" s="733" t="s">
        <v>4954</v>
      </c>
      <c r="D1636" s="677" t="s">
        <v>22</v>
      </c>
      <c r="E1636" s="738">
        <f t="shared" si="50"/>
        <v>240.54</v>
      </c>
      <c r="F1636">
        <f t="shared" si="51"/>
        <v>103001</v>
      </c>
      <c r="H1636" s="1405">
        <v>238.34</v>
      </c>
      <c r="I1636" s="1405">
        <v>240.54</v>
      </c>
    </row>
    <row r="1637" spans="2:9" ht="30">
      <c r="B1637" s="1477">
        <v>103002</v>
      </c>
      <c r="C1637" s="740" t="s">
        <v>4955</v>
      </c>
      <c r="D1637" s="739" t="s">
        <v>22</v>
      </c>
      <c r="E1637" s="741">
        <f t="shared" si="50"/>
        <v>300.02999999999997</v>
      </c>
      <c r="F1637">
        <f t="shared" si="51"/>
        <v>103002</v>
      </c>
      <c r="H1637" s="1406">
        <v>297.74</v>
      </c>
      <c r="I1637" s="1406">
        <v>300.02999999999997</v>
      </c>
    </row>
    <row r="1638" spans="2:9" ht="30">
      <c r="B1638" s="677">
        <v>103003</v>
      </c>
      <c r="C1638" s="733" t="s">
        <v>4956</v>
      </c>
      <c r="D1638" s="677" t="s">
        <v>22</v>
      </c>
      <c r="E1638" s="738">
        <f t="shared" si="50"/>
        <v>419.07</v>
      </c>
      <c r="F1638">
        <f t="shared" si="51"/>
        <v>103003</v>
      </c>
      <c r="H1638" s="1405">
        <v>416.58</v>
      </c>
      <c r="I1638" s="1405">
        <v>419.07</v>
      </c>
    </row>
    <row r="1639" spans="2:9" ht="30">
      <c r="B1639" s="1477">
        <v>103005</v>
      </c>
      <c r="C1639" s="740" t="s">
        <v>4957</v>
      </c>
      <c r="D1639" s="739" t="s">
        <v>22</v>
      </c>
      <c r="E1639" s="741">
        <f t="shared" si="50"/>
        <v>624.38</v>
      </c>
      <c r="F1639">
        <f t="shared" si="51"/>
        <v>103005</v>
      </c>
      <c r="H1639" s="1406">
        <v>606.49</v>
      </c>
      <c r="I1639" s="1406">
        <v>624.38</v>
      </c>
    </row>
    <row r="1640" spans="2:9" ht="30">
      <c r="B1640" s="677">
        <v>103006</v>
      </c>
      <c r="C1640" s="733" t="s">
        <v>4958</v>
      </c>
      <c r="D1640" s="677" t="s">
        <v>22</v>
      </c>
      <c r="E1640" s="738">
        <f t="shared" si="50"/>
        <v>855.11</v>
      </c>
      <c r="F1640">
        <f t="shared" si="51"/>
        <v>103006</v>
      </c>
      <c r="H1640" s="1405">
        <v>830.56</v>
      </c>
      <c r="I1640" s="1405">
        <v>855.11</v>
      </c>
    </row>
    <row r="1641" spans="2:9" ht="30">
      <c r="B1641" s="1477">
        <v>103007</v>
      </c>
      <c r="C1641" s="740" t="s">
        <v>4959</v>
      </c>
      <c r="D1641" s="739" t="s">
        <v>22</v>
      </c>
      <c r="E1641" s="741">
        <f t="shared" si="50"/>
        <v>1134.2</v>
      </c>
      <c r="F1641">
        <f t="shared" si="51"/>
        <v>103007</v>
      </c>
      <c r="H1641" s="1406">
        <v>1102.96</v>
      </c>
      <c r="I1641" s="1406">
        <v>1134.2</v>
      </c>
    </row>
    <row r="1642" spans="2:9">
      <c r="B1642" s="677">
        <v>97933</v>
      </c>
      <c r="C1642" s="733" t="s">
        <v>4307</v>
      </c>
      <c r="D1642" s="677" t="s">
        <v>22</v>
      </c>
      <c r="E1642" s="738">
        <f t="shared" si="50"/>
        <v>1145</v>
      </c>
      <c r="F1642">
        <f t="shared" si="51"/>
        <v>97933</v>
      </c>
      <c r="H1642" s="1405">
        <v>1141.6099999999999</v>
      </c>
      <c r="I1642" s="1405">
        <v>1145</v>
      </c>
    </row>
    <row r="1643" spans="2:9">
      <c r="B1643" s="1477">
        <v>97934</v>
      </c>
      <c r="C1643" s="740" t="s">
        <v>5864</v>
      </c>
      <c r="D1643" s="739" t="s">
        <v>22</v>
      </c>
      <c r="E1643" s="741">
        <f t="shared" si="50"/>
        <v>2512.91</v>
      </c>
      <c r="F1643">
        <f t="shared" si="51"/>
        <v>97934</v>
      </c>
      <c r="H1643" s="1406">
        <v>2458.7399999999998</v>
      </c>
      <c r="I1643" s="1406">
        <v>2512.91</v>
      </c>
    </row>
    <row r="1644" spans="2:9" ht="30">
      <c r="B1644" s="677">
        <v>97935</v>
      </c>
      <c r="C1644" s="733" t="s">
        <v>4308</v>
      </c>
      <c r="D1644" s="677" t="s">
        <v>22</v>
      </c>
      <c r="E1644" s="738">
        <f t="shared" si="50"/>
        <v>923.65</v>
      </c>
      <c r="F1644">
        <f t="shared" si="51"/>
        <v>97935</v>
      </c>
      <c r="H1644" s="1405">
        <v>907.73</v>
      </c>
      <c r="I1644" s="1405">
        <v>923.65</v>
      </c>
    </row>
    <row r="1645" spans="2:9">
      <c r="B1645" s="1477">
        <v>97936</v>
      </c>
      <c r="C1645" s="740" t="s">
        <v>4309</v>
      </c>
      <c r="D1645" s="739" t="s">
        <v>22</v>
      </c>
      <c r="E1645" s="741">
        <f t="shared" si="50"/>
        <v>2097.9899999999998</v>
      </c>
      <c r="F1645">
        <f t="shared" si="51"/>
        <v>97936</v>
      </c>
      <c r="H1645" s="1406">
        <v>2017.24</v>
      </c>
      <c r="I1645" s="1406">
        <v>2097.9899999999998</v>
      </c>
    </row>
    <row r="1646" spans="2:9" ht="30">
      <c r="B1646" s="677">
        <v>97947</v>
      </c>
      <c r="C1646" s="733" t="s">
        <v>4310</v>
      </c>
      <c r="D1646" s="677" t="s">
        <v>22</v>
      </c>
      <c r="E1646" s="738">
        <f t="shared" si="50"/>
        <v>1923.84</v>
      </c>
      <c r="F1646">
        <f t="shared" si="51"/>
        <v>97947</v>
      </c>
      <c r="H1646" s="1405">
        <v>1866.43</v>
      </c>
      <c r="I1646" s="1405">
        <v>1923.84</v>
      </c>
    </row>
    <row r="1647" spans="2:9" ht="30">
      <c r="B1647" s="1477">
        <v>97948</v>
      </c>
      <c r="C1647" s="740" t="s">
        <v>4311</v>
      </c>
      <c r="D1647" s="739" t="s">
        <v>22</v>
      </c>
      <c r="E1647" s="741">
        <f t="shared" si="50"/>
        <v>3531.73</v>
      </c>
      <c r="F1647">
        <f t="shared" si="51"/>
        <v>97948</v>
      </c>
      <c r="H1647" s="1406">
        <v>3427.38</v>
      </c>
      <c r="I1647" s="1406">
        <v>3531.73</v>
      </c>
    </row>
    <row r="1648" spans="2:9" ht="30">
      <c r="B1648" s="677">
        <v>97949</v>
      </c>
      <c r="C1648" s="733" t="s">
        <v>4312</v>
      </c>
      <c r="D1648" s="677" t="s">
        <v>22</v>
      </c>
      <c r="E1648" s="738">
        <f t="shared" si="50"/>
        <v>1918.13</v>
      </c>
      <c r="F1648">
        <f t="shared" si="51"/>
        <v>97949</v>
      </c>
      <c r="H1648" s="1405">
        <v>1840.07</v>
      </c>
      <c r="I1648" s="1405">
        <v>1918.13</v>
      </c>
    </row>
    <row r="1649" spans="2:9" ht="30">
      <c r="B1649" s="1477">
        <v>97950</v>
      </c>
      <c r="C1649" s="740" t="s">
        <v>4313</v>
      </c>
      <c r="D1649" s="739" t="s">
        <v>22</v>
      </c>
      <c r="E1649" s="741">
        <f t="shared" si="50"/>
        <v>3357.83</v>
      </c>
      <c r="F1649">
        <f t="shared" si="51"/>
        <v>97950</v>
      </c>
      <c r="H1649" s="1406">
        <v>3218.88</v>
      </c>
      <c r="I1649" s="1406">
        <v>3357.83</v>
      </c>
    </row>
    <row r="1650" spans="2:9" ht="30">
      <c r="B1650" s="677">
        <v>97951</v>
      </c>
      <c r="C1650" s="733" t="s">
        <v>4314</v>
      </c>
      <c r="D1650" s="677" t="s">
        <v>22</v>
      </c>
      <c r="E1650" s="738">
        <f t="shared" si="50"/>
        <v>3078.99</v>
      </c>
      <c r="F1650">
        <f t="shared" si="51"/>
        <v>97951</v>
      </c>
      <c r="H1650" s="1405">
        <v>2972.94</v>
      </c>
      <c r="I1650" s="1405">
        <v>3078.99</v>
      </c>
    </row>
    <row r="1651" spans="2:9" ht="30">
      <c r="B1651" s="1477">
        <v>97952</v>
      </c>
      <c r="C1651" s="740" t="s">
        <v>4315</v>
      </c>
      <c r="D1651" s="739" t="s">
        <v>22</v>
      </c>
      <c r="E1651" s="741">
        <f t="shared" si="50"/>
        <v>5298.06</v>
      </c>
      <c r="F1651">
        <f t="shared" si="51"/>
        <v>97952</v>
      </c>
      <c r="H1651" s="1406">
        <v>5117.18</v>
      </c>
      <c r="I1651" s="1406">
        <v>5298.06</v>
      </c>
    </row>
    <row r="1652" spans="2:9" ht="30">
      <c r="B1652" s="677">
        <v>97953</v>
      </c>
      <c r="C1652" s="733" t="s">
        <v>4316</v>
      </c>
      <c r="D1652" s="677" t="s">
        <v>22</v>
      </c>
      <c r="E1652" s="738">
        <f t="shared" si="50"/>
        <v>1438.83</v>
      </c>
      <c r="F1652">
        <f t="shared" si="51"/>
        <v>97953</v>
      </c>
      <c r="H1652" s="1405">
        <v>1399.75</v>
      </c>
      <c r="I1652" s="1405">
        <v>1438.83</v>
      </c>
    </row>
    <row r="1653" spans="2:9" ht="30">
      <c r="B1653" s="1477">
        <v>97955</v>
      </c>
      <c r="C1653" s="740" t="s">
        <v>4317</v>
      </c>
      <c r="D1653" s="739" t="s">
        <v>22</v>
      </c>
      <c r="E1653" s="741">
        <f t="shared" si="50"/>
        <v>3133.78</v>
      </c>
      <c r="F1653">
        <f t="shared" si="51"/>
        <v>97955</v>
      </c>
      <c r="H1653" s="1406">
        <v>3053.16</v>
      </c>
      <c r="I1653" s="1406">
        <v>3133.78</v>
      </c>
    </row>
    <row r="1654" spans="2:9" ht="30">
      <c r="B1654" s="677">
        <v>97956</v>
      </c>
      <c r="C1654" s="733" t="s">
        <v>4318</v>
      </c>
      <c r="D1654" s="677" t="s">
        <v>22</v>
      </c>
      <c r="E1654" s="738">
        <f t="shared" si="50"/>
        <v>1527.57</v>
      </c>
      <c r="F1654">
        <f t="shared" si="51"/>
        <v>97956</v>
      </c>
      <c r="H1654" s="1405">
        <v>1468.21</v>
      </c>
      <c r="I1654" s="1405">
        <v>1527.57</v>
      </c>
    </row>
    <row r="1655" spans="2:9" ht="30">
      <c r="B1655" s="1477">
        <v>97957</v>
      </c>
      <c r="C1655" s="740" t="s">
        <v>4319</v>
      </c>
      <c r="D1655" s="739" t="s">
        <v>22</v>
      </c>
      <c r="E1655" s="741">
        <f t="shared" si="50"/>
        <v>2723.27</v>
      </c>
      <c r="F1655">
        <f t="shared" si="51"/>
        <v>97957</v>
      </c>
      <c r="H1655" s="1406">
        <v>2613.79</v>
      </c>
      <c r="I1655" s="1406">
        <v>2723.27</v>
      </c>
    </row>
    <row r="1656" spans="2:9" ht="30">
      <c r="B1656" s="677">
        <v>97961</v>
      </c>
      <c r="C1656" s="733" t="s">
        <v>4320</v>
      </c>
      <c r="D1656" s="677" t="s">
        <v>22</v>
      </c>
      <c r="E1656" s="738">
        <f t="shared" si="50"/>
        <v>2503.12</v>
      </c>
      <c r="F1656">
        <f t="shared" si="51"/>
        <v>97961</v>
      </c>
      <c r="H1656" s="1405">
        <v>2422.7600000000002</v>
      </c>
      <c r="I1656" s="1405">
        <v>2503.12</v>
      </c>
    </row>
    <row r="1657" spans="2:9" ht="30">
      <c r="B1657" s="1477">
        <v>97973</v>
      </c>
      <c r="C1657" s="740" t="s">
        <v>4321</v>
      </c>
      <c r="D1657" s="739" t="s">
        <v>22</v>
      </c>
      <c r="E1657" s="741">
        <f t="shared" si="50"/>
        <v>4690.6899999999996</v>
      </c>
      <c r="F1657">
        <f t="shared" si="51"/>
        <v>97973</v>
      </c>
      <c r="H1657" s="1406">
        <v>4544.18</v>
      </c>
      <c r="I1657" s="1406">
        <v>4690.6899999999996</v>
      </c>
    </row>
    <row r="1658" spans="2:9" ht="30">
      <c r="B1658" s="677">
        <v>97974</v>
      </c>
      <c r="C1658" s="733" t="s">
        <v>6895</v>
      </c>
      <c r="D1658" s="677" t="s">
        <v>22</v>
      </c>
      <c r="E1658" s="738">
        <f t="shared" si="50"/>
        <v>534.57000000000005</v>
      </c>
      <c r="F1658">
        <f t="shared" si="51"/>
        <v>97974</v>
      </c>
      <c r="H1658" s="1405">
        <v>524.59</v>
      </c>
      <c r="I1658" s="1405">
        <v>534.57000000000005</v>
      </c>
    </row>
    <row r="1659" spans="2:9" ht="30">
      <c r="B1659" s="1477">
        <v>97975</v>
      </c>
      <c r="C1659" s="740" t="s">
        <v>6896</v>
      </c>
      <c r="D1659" s="739" t="s">
        <v>22</v>
      </c>
      <c r="E1659" s="741">
        <f t="shared" si="50"/>
        <v>689.1</v>
      </c>
      <c r="F1659">
        <f t="shared" si="51"/>
        <v>97975</v>
      </c>
      <c r="H1659" s="1406">
        <v>678.04</v>
      </c>
      <c r="I1659" s="1406">
        <v>689.1</v>
      </c>
    </row>
    <row r="1660" spans="2:9" ht="30">
      <c r="B1660" s="677">
        <v>97976</v>
      </c>
      <c r="C1660" s="733" t="s">
        <v>6897</v>
      </c>
      <c r="D1660" s="677" t="s">
        <v>22</v>
      </c>
      <c r="E1660" s="738">
        <f t="shared" si="50"/>
        <v>1210.5999999999999</v>
      </c>
      <c r="F1660">
        <f t="shared" si="51"/>
        <v>97976</v>
      </c>
      <c r="H1660" s="1405">
        <v>1162.33</v>
      </c>
      <c r="I1660" s="1405">
        <v>1210.5999999999999</v>
      </c>
    </row>
    <row r="1661" spans="2:9" ht="30">
      <c r="B1661" s="1477">
        <v>97977</v>
      </c>
      <c r="C1661" s="740" t="s">
        <v>6898</v>
      </c>
      <c r="D1661" s="739" t="s">
        <v>22</v>
      </c>
      <c r="E1661" s="741">
        <f t="shared" si="50"/>
        <v>1723.76</v>
      </c>
      <c r="F1661">
        <f t="shared" si="51"/>
        <v>97977</v>
      </c>
      <c r="H1661" s="1406">
        <v>1652.69</v>
      </c>
      <c r="I1661" s="1406">
        <v>1723.76</v>
      </c>
    </row>
    <row r="1662" spans="2:9" ht="30">
      <c r="B1662" s="677">
        <v>97978</v>
      </c>
      <c r="C1662" s="733" t="s">
        <v>6899</v>
      </c>
      <c r="D1662" s="677" t="s">
        <v>22</v>
      </c>
      <c r="E1662" s="738">
        <f t="shared" si="50"/>
        <v>1031.9100000000001</v>
      </c>
      <c r="F1662">
        <f t="shared" si="51"/>
        <v>97978</v>
      </c>
      <c r="H1662" s="1405">
        <v>1006.54</v>
      </c>
      <c r="I1662" s="1405">
        <v>1031.9100000000001</v>
      </c>
    </row>
    <row r="1663" spans="2:9" ht="30">
      <c r="B1663" s="1477">
        <v>97980</v>
      </c>
      <c r="C1663" s="740" t="s">
        <v>6900</v>
      </c>
      <c r="D1663" s="739" t="s">
        <v>22</v>
      </c>
      <c r="E1663" s="741">
        <f t="shared" si="50"/>
        <v>2219.36</v>
      </c>
      <c r="F1663">
        <f t="shared" si="51"/>
        <v>97980</v>
      </c>
      <c r="H1663" s="1406">
        <v>2130.64</v>
      </c>
      <c r="I1663" s="1406">
        <v>2219.36</v>
      </c>
    </row>
    <row r="1664" spans="2:9" ht="30">
      <c r="B1664" s="677">
        <v>97981</v>
      </c>
      <c r="C1664" s="733" t="s">
        <v>4322</v>
      </c>
      <c r="D1664" s="677" t="s">
        <v>21</v>
      </c>
      <c r="E1664" s="738">
        <f t="shared" si="50"/>
        <v>1262.21</v>
      </c>
      <c r="F1664">
        <f t="shared" si="51"/>
        <v>97981</v>
      </c>
      <c r="H1664" s="1405">
        <v>1204.32</v>
      </c>
      <c r="I1664" s="1405">
        <v>1262.21</v>
      </c>
    </row>
    <row r="1665" spans="2:9">
      <c r="B1665" s="1477">
        <v>97983</v>
      </c>
      <c r="C1665" s="740" t="s">
        <v>4323</v>
      </c>
      <c r="D1665" s="739" t="s">
        <v>21</v>
      </c>
      <c r="E1665" s="741">
        <f t="shared" si="50"/>
        <v>544.65</v>
      </c>
      <c r="F1665">
        <f t="shared" si="51"/>
        <v>97983</v>
      </c>
      <c r="H1665" s="1406">
        <v>540.96</v>
      </c>
      <c r="I1665" s="1406">
        <v>544.65</v>
      </c>
    </row>
    <row r="1666" spans="2:9" ht="30">
      <c r="B1666" s="677">
        <v>97985</v>
      </c>
      <c r="C1666" s="733" t="s">
        <v>4324</v>
      </c>
      <c r="D1666" s="677" t="s">
        <v>21</v>
      </c>
      <c r="E1666" s="738">
        <f t="shared" si="50"/>
        <v>1520.75</v>
      </c>
      <c r="F1666">
        <f t="shared" si="51"/>
        <v>97985</v>
      </c>
      <c r="H1666" s="1405">
        <v>1450</v>
      </c>
      <c r="I1666" s="1405">
        <v>1520.75</v>
      </c>
    </row>
    <row r="1667" spans="2:9" ht="30">
      <c r="B1667" s="1477">
        <v>97987</v>
      </c>
      <c r="C1667" s="740" t="s">
        <v>4325</v>
      </c>
      <c r="D1667" s="739" t="s">
        <v>21</v>
      </c>
      <c r="E1667" s="741">
        <f t="shared" ref="E1667:E1730" si="52">IF($K$2=$H$1,H1667,I1667)</f>
        <v>726.45</v>
      </c>
      <c r="F1667">
        <f t="shared" ref="F1667:F1730" si="53">IF(LEN($B1667)=7,CONCATENATE(MID($B1667,1,6),"00",RIGHT($B1667,1)),IF(LEN($B1667)=8,CONCATENATE(MID($B1667,1,6),"0",RIGHT($B1667,2)),$B1667))</f>
        <v>97987</v>
      </c>
      <c r="H1667" s="1406">
        <v>722.1</v>
      </c>
      <c r="I1667" s="1406">
        <v>726.45</v>
      </c>
    </row>
    <row r="1668" spans="2:9" ht="30">
      <c r="B1668" s="677">
        <v>97988</v>
      </c>
      <c r="C1668" s="733" t="s">
        <v>6901</v>
      </c>
      <c r="D1668" s="677" t="s">
        <v>22</v>
      </c>
      <c r="E1668" s="738">
        <f t="shared" si="52"/>
        <v>3263.86</v>
      </c>
      <c r="F1668">
        <f t="shared" si="53"/>
        <v>97988</v>
      </c>
      <c r="H1668" s="1405">
        <v>3138.91</v>
      </c>
      <c r="I1668" s="1405">
        <v>3263.86</v>
      </c>
    </row>
    <row r="1669" spans="2:9" ht="30">
      <c r="B1669" s="1477">
        <v>97989</v>
      </c>
      <c r="C1669" s="740" t="s">
        <v>4326</v>
      </c>
      <c r="D1669" s="739" t="s">
        <v>21</v>
      </c>
      <c r="E1669" s="741">
        <f t="shared" si="52"/>
        <v>1779.23</v>
      </c>
      <c r="F1669">
        <f t="shared" si="53"/>
        <v>97989</v>
      </c>
      <c r="H1669" s="1406">
        <v>1695.63</v>
      </c>
      <c r="I1669" s="1406">
        <v>1779.23</v>
      </c>
    </row>
    <row r="1670" spans="2:9" ht="30">
      <c r="B1670" s="677">
        <v>97991</v>
      </c>
      <c r="C1670" s="733" t="s">
        <v>4327</v>
      </c>
      <c r="D1670" s="677" t="s">
        <v>21</v>
      </c>
      <c r="E1670" s="738">
        <f t="shared" si="52"/>
        <v>996.87</v>
      </c>
      <c r="F1670">
        <f t="shared" si="53"/>
        <v>97991</v>
      </c>
      <c r="H1670" s="1405">
        <v>991.3</v>
      </c>
      <c r="I1670" s="1405">
        <v>996.87</v>
      </c>
    </row>
    <row r="1671" spans="2:9" ht="30">
      <c r="B1671" s="1477">
        <v>97992</v>
      </c>
      <c r="C1671" s="740" t="s">
        <v>6902</v>
      </c>
      <c r="D1671" s="739" t="s">
        <v>22</v>
      </c>
      <c r="E1671" s="741">
        <f t="shared" si="52"/>
        <v>4195.6899999999996</v>
      </c>
      <c r="F1671">
        <f t="shared" si="53"/>
        <v>97992</v>
      </c>
      <c r="H1671" s="1406">
        <v>4041.07</v>
      </c>
      <c r="I1671" s="1406">
        <v>4195.6899999999996</v>
      </c>
    </row>
    <row r="1672" spans="2:9" ht="30">
      <c r="B1672" s="677">
        <v>97993</v>
      </c>
      <c r="C1672" s="733" t="s">
        <v>4328</v>
      </c>
      <c r="D1672" s="677" t="s">
        <v>21</v>
      </c>
      <c r="E1672" s="738">
        <f t="shared" si="52"/>
        <v>2167.1</v>
      </c>
      <c r="F1672">
        <f t="shared" si="53"/>
        <v>97993</v>
      </c>
      <c r="H1672" s="1405">
        <v>2064.1799999999998</v>
      </c>
      <c r="I1672" s="1405">
        <v>2167.1</v>
      </c>
    </row>
    <row r="1673" spans="2:9" ht="30">
      <c r="B1673" s="1477">
        <v>97994</v>
      </c>
      <c r="C1673" s="740" t="s">
        <v>6903</v>
      </c>
      <c r="D1673" s="739" t="s">
        <v>22</v>
      </c>
      <c r="E1673" s="741">
        <f t="shared" si="52"/>
        <v>2757.03</v>
      </c>
      <c r="F1673">
        <f t="shared" si="53"/>
        <v>97994</v>
      </c>
      <c r="H1673" s="1406">
        <v>2650.95</v>
      </c>
      <c r="I1673" s="1406">
        <v>2757.03</v>
      </c>
    </row>
    <row r="1674" spans="2:9" ht="30">
      <c r="B1674" s="677">
        <v>97995</v>
      </c>
      <c r="C1674" s="733" t="s">
        <v>4329</v>
      </c>
      <c r="D1674" s="677" t="s">
        <v>21</v>
      </c>
      <c r="E1674" s="738">
        <f t="shared" si="52"/>
        <v>1352.95</v>
      </c>
      <c r="F1674">
        <f t="shared" si="53"/>
        <v>97995</v>
      </c>
      <c r="H1674" s="1405">
        <v>1289.46</v>
      </c>
      <c r="I1674" s="1405">
        <v>1352.95</v>
      </c>
    </row>
    <row r="1675" spans="2:9" ht="30">
      <c r="B1675" s="1477">
        <v>97996</v>
      </c>
      <c r="C1675" s="740" t="s">
        <v>6904</v>
      </c>
      <c r="D1675" s="739" t="s">
        <v>22</v>
      </c>
      <c r="E1675" s="741">
        <f t="shared" si="52"/>
        <v>3488.4</v>
      </c>
      <c r="F1675">
        <f t="shared" si="53"/>
        <v>97996</v>
      </c>
      <c r="H1675" s="1406">
        <v>3355.38</v>
      </c>
      <c r="I1675" s="1406">
        <v>3488.4</v>
      </c>
    </row>
    <row r="1676" spans="2:9" ht="30">
      <c r="B1676" s="677">
        <v>97997</v>
      </c>
      <c r="C1676" s="733" t="s">
        <v>4330</v>
      </c>
      <c r="D1676" s="677" t="s">
        <v>21</v>
      </c>
      <c r="E1676" s="738">
        <f t="shared" si="52"/>
        <v>1616.3</v>
      </c>
      <c r="F1676">
        <f t="shared" si="53"/>
        <v>97997</v>
      </c>
      <c r="H1676" s="1405">
        <v>1540.23</v>
      </c>
      <c r="I1676" s="1405">
        <v>1616.3</v>
      </c>
    </row>
    <row r="1677" spans="2:9" ht="30">
      <c r="B1677" s="1477">
        <v>97999</v>
      </c>
      <c r="C1677" s="740" t="s">
        <v>4331</v>
      </c>
      <c r="D1677" s="739" t="s">
        <v>21</v>
      </c>
      <c r="E1677" s="741">
        <f t="shared" si="52"/>
        <v>1879.76</v>
      </c>
      <c r="F1677">
        <f t="shared" si="53"/>
        <v>97999</v>
      </c>
      <c r="H1677" s="1406">
        <v>1791.09</v>
      </c>
      <c r="I1677" s="1406">
        <v>1879.76</v>
      </c>
    </row>
    <row r="1678" spans="2:9" ht="30">
      <c r="B1678" s="677">
        <v>98001</v>
      </c>
      <c r="C1678" s="733" t="s">
        <v>4332</v>
      </c>
      <c r="D1678" s="677" t="s">
        <v>21</v>
      </c>
      <c r="E1678" s="738">
        <f t="shared" si="52"/>
        <v>2143.1</v>
      </c>
      <c r="F1678">
        <f t="shared" si="53"/>
        <v>98001</v>
      </c>
      <c r="H1678" s="1405">
        <v>2041.86</v>
      </c>
      <c r="I1678" s="1405">
        <v>2143.1</v>
      </c>
    </row>
    <row r="1679" spans="2:9" ht="30">
      <c r="B1679" s="1477">
        <v>98002</v>
      </c>
      <c r="C1679" s="740" t="s">
        <v>6905</v>
      </c>
      <c r="D1679" s="739" t="s">
        <v>22</v>
      </c>
      <c r="E1679" s="741">
        <f t="shared" si="52"/>
        <v>5717.98</v>
      </c>
      <c r="F1679">
        <f t="shared" si="53"/>
        <v>98002</v>
      </c>
      <c r="H1679" s="1406">
        <v>5504.16</v>
      </c>
      <c r="I1679" s="1406">
        <v>5717.98</v>
      </c>
    </row>
    <row r="1680" spans="2:9" ht="30">
      <c r="B1680" s="677">
        <v>98003</v>
      </c>
      <c r="C1680" s="733" t="s">
        <v>4333</v>
      </c>
      <c r="D1680" s="677" t="s">
        <v>21</v>
      </c>
      <c r="E1680" s="738">
        <f t="shared" si="52"/>
        <v>2406.5500000000002</v>
      </c>
      <c r="F1680">
        <f t="shared" si="53"/>
        <v>98003</v>
      </c>
      <c r="H1680" s="1405">
        <v>2292.71</v>
      </c>
      <c r="I1680" s="1405">
        <v>2406.5500000000002</v>
      </c>
    </row>
    <row r="1681" spans="2:9" ht="30">
      <c r="B1681" s="1477">
        <v>98005</v>
      </c>
      <c r="C1681" s="740" t="s">
        <v>4334</v>
      </c>
      <c r="D1681" s="739" t="s">
        <v>21</v>
      </c>
      <c r="E1681" s="741">
        <f t="shared" si="52"/>
        <v>2669.99</v>
      </c>
      <c r="F1681">
        <f t="shared" si="53"/>
        <v>98005</v>
      </c>
      <c r="H1681" s="1406">
        <v>2543.5500000000002</v>
      </c>
      <c r="I1681" s="1406">
        <v>2669.99</v>
      </c>
    </row>
    <row r="1682" spans="2:9" ht="30">
      <c r="B1682" s="677">
        <v>98006</v>
      </c>
      <c r="C1682" s="733" t="s">
        <v>6906</v>
      </c>
      <c r="D1682" s="677" t="s">
        <v>22</v>
      </c>
      <c r="E1682" s="738">
        <f t="shared" si="52"/>
        <v>7189.66</v>
      </c>
      <c r="F1682">
        <f t="shared" si="53"/>
        <v>98006</v>
      </c>
      <c r="H1682" s="1405">
        <v>6921.97</v>
      </c>
      <c r="I1682" s="1405">
        <v>7189.66</v>
      </c>
    </row>
    <row r="1683" spans="2:9" ht="30">
      <c r="B1683" s="1477">
        <v>98007</v>
      </c>
      <c r="C1683" s="740" t="s">
        <v>4335</v>
      </c>
      <c r="D1683" s="739" t="s">
        <v>21</v>
      </c>
      <c r="E1683" s="741">
        <f t="shared" si="52"/>
        <v>2933.34</v>
      </c>
      <c r="F1683">
        <f t="shared" si="53"/>
        <v>98007</v>
      </c>
      <c r="H1683" s="1406">
        <v>2794.32</v>
      </c>
      <c r="I1683" s="1406">
        <v>2933.34</v>
      </c>
    </row>
    <row r="1684" spans="2:9" ht="30">
      <c r="B1684" s="677">
        <v>98008</v>
      </c>
      <c r="C1684" s="733" t="s">
        <v>6907</v>
      </c>
      <c r="D1684" s="677" t="s">
        <v>22</v>
      </c>
      <c r="E1684" s="738">
        <f t="shared" si="52"/>
        <v>4330.78</v>
      </c>
      <c r="F1684">
        <f t="shared" si="53"/>
        <v>98008</v>
      </c>
      <c r="H1684" s="1405">
        <v>4171.62</v>
      </c>
      <c r="I1684" s="1405">
        <v>4330.78</v>
      </c>
    </row>
    <row r="1685" spans="2:9" ht="30">
      <c r="B1685" s="1477">
        <v>98009</v>
      </c>
      <c r="C1685" s="740" t="s">
        <v>4336</v>
      </c>
      <c r="D1685" s="739" t="s">
        <v>21</v>
      </c>
      <c r="E1685" s="741">
        <f t="shared" si="52"/>
        <v>1879.76</v>
      </c>
      <c r="F1685">
        <f t="shared" si="53"/>
        <v>98009</v>
      </c>
      <c r="H1685" s="1406">
        <v>1791.09</v>
      </c>
      <c r="I1685" s="1406">
        <v>1879.76</v>
      </c>
    </row>
    <row r="1686" spans="2:9" ht="30">
      <c r="B1686" s="677">
        <v>98010</v>
      </c>
      <c r="C1686" s="733" t="s">
        <v>6908</v>
      </c>
      <c r="D1686" s="677" t="s">
        <v>22</v>
      </c>
      <c r="E1686" s="738">
        <f t="shared" si="52"/>
        <v>5287.9</v>
      </c>
      <c r="F1686">
        <f t="shared" si="53"/>
        <v>98010</v>
      </c>
      <c r="H1686" s="1405">
        <v>5096.92</v>
      </c>
      <c r="I1686" s="1405">
        <v>5287.9</v>
      </c>
    </row>
    <row r="1687" spans="2:9" ht="30">
      <c r="B1687" s="1477">
        <v>98011</v>
      </c>
      <c r="C1687" s="740" t="s">
        <v>4337</v>
      </c>
      <c r="D1687" s="739" t="s">
        <v>21</v>
      </c>
      <c r="E1687" s="741">
        <f t="shared" si="52"/>
        <v>2143.1</v>
      </c>
      <c r="F1687">
        <f t="shared" si="53"/>
        <v>98011</v>
      </c>
      <c r="H1687" s="1406">
        <v>2041.86</v>
      </c>
      <c r="I1687" s="1406">
        <v>2143.1</v>
      </c>
    </row>
    <row r="1688" spans="2:9" ht="30">
      <c r="B1688" s="677">
        <v>98012</v>
      </c>
      <c r="C1688" s="733" t="s">
        <v>6909</v>
      </c>
      <c r="D1688" s="677" t="s">
        <v>22</v>
      </c>
      <c r="E1688" s="738">
        <f t="shared" si="52"/>
        <v>6216.82</v>
      </c>
      <c r="F1688">
        <f t="shared" si="53"/>
        <v>98012</v>
      </c>
      <c r="H1688" s="1405">
        <v>5994.02</v>
      </c>
      <c r="I1688" s="1405">
        <v>6216.82</v>
      </c>
    </row>
    <row r="1689" spans="2:9" ht="30">
      <c r="B1689" s="1477">
        <v>98013</v>
      </c>
      <c r="C1689" s="740" t="s">
        <v>4338</v>
      </c>
      <c r="D1689" s="739" t="s">
        <v>21</v>
      </c>
      <c r="E1689" s="741">
        <f t="shared" si="52"/>
        <v>2406.5500000000002</v>
      </c>
      <c r="F1689">
        <f t="shared" si="53"/>
        <v>98013</v>
      </c>
      <c r="H1689" s="1406">
        <v>2292.71</v>
      </c>
      <c r="I1689" s="1406">
        <v>2406.5500000000002</v>
      </c>
    </row>
    <row r="1690" spans="2:9" ht="30">
      <c r="B1690" s="677">
        <v>98014</v>
      </c>
      <c r="C1690" s="733" t="s">
        <v>6910</v>
      </c>
      <c r="D1690" s="677" t="s">
        <v>22</v>
      </c>
      <c r="E1690" s="738">
        <f t="shared" si="52"/>
        <v>7145.6</v>
      </c>
      <c r="F1690">
        <f t="shared" si="53"/>
        <v>98014</v>
      </c>
      <c r="H1690" s="1405">
        <v>6891.04</v>
      </c>
      <c r="I1690" s="1405">
        <v>7145.6</v>
      </c>
    </row>
    <row r="1691" spans="2:9" ht="30">
      <c r="B1691" s="1477">
        <v>98015</v>
      </c>
      <c r="C1691" s="740" t="s">
        <v>4339</v>
      </c>
      <c r="D1691" s="739" t="s">
        <v>21</v>
      </c>
      <c r="E1691" s="741">
        <f t="shared" si="52"/>
        <v>2669.99</v>
      </c>
      <c r="F1691">
        <f t="shared" si="53"/>
        <v>98015</v>
      </c>
      <c r="H1691" s="1406">
        <v>2543.5500000000002</v>
      </c>
      <c r="I1691" s="1406">
        <v>2669.99</v>
      </c>
    </row>
    <row r="1692" spans="2:9" ht="30">
      <c r="B1692" s="677">
        <v>98016</v>
      </c>
      <c r="C1692" s="733" t="s">
        <v>6911</v>
      </c>
      <c r="D1692" s="677" t="s">
        <v>22</v>
      </c>
      <c r="E1692" s="738">
        <f t="shared" si="52"/>
        <v>8074.59</v>
      </c>
      <c r="F1692">
        <f t="shared" si="53"/>
        <v>98016</v>
      </c>
      <c r="H1692" s="1405">
        <v>7788.23</v>
      </c>
      <c r="I1692" s="1405">
        <v>8074.59</v>
      </c>
    </row>
    <row r="1693" spans="2:9" ht="30">
      <c r="B1693" s="1477">
        <v>98017</v>
      </c>
      <c r="C1693" s="740" t="s">
        <v>4340</v>
      </c>
      <c r="D1693" s="739" t="s">
        <v>21</v>
      </c>
      <c r="E1693" s="741">
        <f t="shared" si="52"/>
        <v>2933.34</v>
      </c>
      <c r="F1693">
        <f t="shared" si="53"/>
        <v>98017</v>
      </c>
      <c r="H1693" s="1406">
        <v>2794.32</v>
      </c>
      <c r="I1693" s="1406">
        <v>2933.34</v>
      </c>
    </row>
    <row r="1694" spans="2:9" ht="30">
      <c r="B1694" s="677">
        <v>98018</v>
      </c>
      <c r="C1694" s="733" t="s">
        <v>6912</v>
      </c>
      <c r="D1694" s="677" t="s">
        <v>22</v>
      </c>
      <c r="E1694" s="738">
        <f t="shared" si="52"/>
        <v>9003.42</v>
      </c>
      <c r="F1694">
        <f t="shared" si="53"/>
        <v>98018</v>
      </c>
      <c r="H1694" s="1405">
        <v>8685.26</v>
      </c>
      <c r="I1694" s="1405">
        <v>9003.42</v>
      </c>
    </row>
    <row r="1695" spans="2:9" ht="30">
      <c r="B1695" s="1477">
        <v>98019</v>
      </c>
      <c r="C1695" s="740" t="s">
        <v>4341</v>
      </c>
      <c r="D1695" s="739" t="s">
        <v>21</v>
      </c>
      <c r="E1695" s="741">
        <f t="shared" si="52"/>
        <v>3221.22</v>
      </c>
      <c r="F1695">
        <f t="shared" si="53"/>
        <v>98019</v>
      </c>
      <c r="H1695" s="1406">
        <v>3068.64</v>
      </c>
      <c r="I1695" s="1406">
        <v>3221.22</v>
      </c>
    </row>
    <row r="1696" spans="2:9" ht="30">
      <c r="B1696" s="677">
        <v>98020</v>
      </c>
      <c r="C1696" s="733" t="s">
        <v>6913</v>
      </c>
      <c r="D1696" s="677" t="s">
        <v>22</v>
      </c>
      <c r="E1696" s="738">
        <f t="shared" si="52"/>
        <v>6397.12</v>
      </c>
      <c r="F1696">
        <f t="shared" si="53"/>
        <v>98020</v>
      </c>
      <c r="H1696" s="1405">
        <v>6169.05</v>
      </c>
      <c r="I1696" s="1405">
        <v>6397.12</v>
      </c>
    </row>
    <row r="1697" spans="2:9" ht="30">
      <c r="B1697" s="1477">
        <v>98021</v>
      </c>
      <c r="C1697" s="740" t="s">
        <v>4342</v>
      </c>
      <c r="D1697" s="739" t="s">
        <v>21</v>
      </c>
      <c r="E1697" s="741">
        <f t="shared" si="52"/>
        <v>2431.09</v>
      </c>
      <c r="F1697">
        <f t="shared" si="53"/>
        <v>98021</v>
      </c>
      <c r="H1697" s="1406">
        <v>2316.2600000000002</v>
      </c>
      <c r="I1697" s="1406">
        <v>2431.09</v>
      </c>
    </row>
    <row r="1698" spans="2:9" ht="30">
      <c r="B1698" s="677">
        <v>98022</v>
      </c>
      <c r="C1698" s="733" t="s">
        <v>6914</v>
      </c>
      <c r="D1698" s="677" t="s">
        <v>22</v>
      </c>
      <c r="E1698" s="738">
        <f t="shared" si="52"/>
        <v>7505.18</v>
      </c>
      <c r="F1698">
        <f t="shared" si="53"/>
        <v>98022</v>
      </c>
      <c r="H1698" s="1405">
        <v>7240.44</v>
      </c>
      <c r="I1698" s="1405">
        <v>7505.18</v>
      </c>
    </row>
    <row r="1699" spans="2:9" ht="30">
      <c r="B1699" s="1477">
        <v>98023</v>
      </c>
      <c r="C1699" s="740" t="s">
        <v>4343</v>
      </c>
      <c r="D1699" s="739" t="s">
        <v>21</v>
      </c>
      <c r="E1699" s="741">
        <f t="shared" si="52"/>
        <v>2694.45</v>
      </c>
      <c r="F1699">
        <f t="shared" si="53"/>
        <v>98023</v>
      </c>
      <c r="H1699" s="1406">
        <v>2567.04</v>
      </c>
      <c r="I1699" s="1406">
        <v>2694.45</v>
      </c>
    </row>
    <row r="1700" spans="2:9" ht="30">
      <c r="B1700" s="677">
        <v>98024</v>
      </c>
      <c r="C1700" s="733" t="s">
        <v>6915</v>
      </c>
      <c r="D1700" s="677" t="s">
        <v>22</v>
      </c>
      <c r="E1700" s="738">
        <f t="shared" si="52"/>
        <v>8675.7800000000007</v>
      </c>
      <c r="F1700">
        <f t="shared" si="53"/>
        <v>98024</v>
      </c>
      <c r="H1700" s="1405">
        <v>8374.4</v>
      </c>
      <c r="I1700" s="1405">
        <v>8675.7800000000007</v>
      </c>
    </row>
    <row r="1701" spans="2:9" ht="30">
      <c r="B1701" s="1477">
        <v>98025</v>
      </c>
      <c r="C1701" s="740" t="s">
        <v>4344</v>
      </c>
      <c r="D1701" s="739" t="s">
        <v>21</v>
      </c>
      <c r="E1701" s="741">
        <f t="shared" si="52"/>
        <v>2957.88</v>
      </c>
      <c r="F1701">
        <f t="shared" si="53"/>
        <v>98025</v>
      </c>
      <c r="H1701" s="1406">
        <v>2817.87</v>
      </c>
      <c r="I1701" s="1406">
        <v>2957.88</v>
      </c>
    </row>
    <row r="1702" spans="2:9" ht="30">
      <c r="B1702" s="677">
        <v>98026</v>
      </c>
      <c r="C1702" s="733" t="s">
        <v>6916</v>
      </c>
      <c r="D1702" s="677" t="s">
        <v>22</v>
      </c>
      <c r="E1702" s="738">
        <f t="shared" si="52"/>
        <v>9791.7199999999993</v>
      </c>
      <c r="F1702">
        <f t="shared" si="53"/>
        <v>98026</v>
      </c>
      <c r="H1702" s="1405">
        <v>9453.7000000000007</v>
      </c>
      <c r="I1702" s="1405">
        <v>9791.7199999999993</v>
      </c>
    </row>
    <row r="1703" spans="2:9" ht="30">
      <c r="B1703" s="1477">
        <v>98027</v>
      </c>
      <c r="C1703" s="740" t="s">
        <v>4345</v>
      </c>
      <c r="D1703" s="739" t="s">
        <v>21</v>
      </c>
      <c r="E1703" s="741">
        <f t="shared" si="52"/>
        <v>3221.22</v>
      </c>
      <c r="F1703">
        <f t="shared" si="53"/>
        <v>98027</v>
      </c>
      <c r="H1703" s="1406">
        <v>3068.64</v>
      </c>
      <c r="I1703" s="1406">
        <v>3221.22</v>
      </c>
    </row>
    <row r="1704" spans="2:9" ht="30">
      <c r="B1704" s="677">
        <v>98028</v>
      </c>
      <c r="C1704" s="733" t="s">
        <v>6917</v>
      </c>
      <c r="D1704" s="677" t="s">
        <v>22</v>
      </c>
      <c r="E1704" s="738">
        <f t="shared" si="52"/>
        <v>10907.73</v>
      </c>
      <c r="F1704">
        <f t="shared" si="53"/>
        <v>98028</v>
      </c>
      <c r="H1704" s="1405">
        <v>10533.09</v>
      </c>
      <c r="I1704" s="1405">
        <v>10907.73</v>
      </c>
    </row>
    <row r="1705" spans="2:9" ht="30">
      <c r="B1705" s="1477">
        <v>98029</v>
      </c>
      <c r="C1705" s="740" t="s">
        <v>4346</v>
      </c>
      <c r="D1705" s="739" t="s">
        <v>21</v>
      </c>
      <c r="E1705" s="741">
        <f t="shared" si="52"/>
        <v>3489.66</v>
      </c>
      <c r="F1705">
        <f t="shared" si="53"/>
        <v>98029</v>
      </c>
      <c r="H1705" s="1406">
        <v>3324.3</v>
      </c>
      <c r="I1705" s="1406">
        <v>3489.66</v>
      </c>
    </row>
    <row r="1706" spans="2:9" ht="30">
      <c r="B1706" s="677">
        <v>98030</v>
      </c>
      <c r="C1706" s="733" t="s">
        <v>6918</v>
      </c>
      <c r="D1706" s="677" t="s">
        <v>22</v>
      </c>
      <c r="E1706" s="738">
        <f t="shared" si="52"/>
        <v>8903.3799999999992</v>
      </c>
      <c r="F1706">
        <f t="shared" si="53"/>
        <v>98030</v>
      </c>
      <c r="H1706" s="1405">
        <v>8604.75</v>
      </c>
      <c r="I1706" s="1405">
        <v>8903.3799999999992</v>
      </c>
    </row>
    <row r="1707" spans="2:9" ht="30">
      <c r="B1707" s="1477">
        <v>98031</v>
      </c>
      <c r="C1707" s="740" t="s">
        <v>4347</v>
      </c>
      <c r="D1707" s="739" t="s">
        <v>21</v>
      </c>
      <c r="E1707" s="741">
        <f t="shared" si="52"/>
        <v>2963</v>
      </c>
      <c r="F1707">
        <f t="shared" si="53"/>
        <v>98031</v>
      </c>
      <c r="H1707" s="1406">
        <v>2822.79</v>
      </c>
      <c r="I1707" s="1406">
        <v>2963</v>
      </c>
    </row>
    <row r="1708" spans="2:9" ht="30">
      <c r="B1708" s="677">
        <v>98032</v>
      </c>
      <c r="C1708" s="733" t="s">
        <v>6919</v>
      </c>
      <c r="D1708" s="677" t="s">
        <v>22</v>
      </c>
      <c r="E1708" s="738">
        <f t="shared" si="52"/>
        <v>10254.56</v>
      </c>
      <c r="F1708">
        <f t="shared" si="53"/>
        <v>98032</v>
      </c>
      <c r="H1708" s="1405">
        <v>9914.34</v>
      </c>
      <c r="I1708" s="1405">
        <v>10254.56</v>
      </c>
    </row>
    <row r="1709" spans="2:9" ht="30">
      <c r="B1709" s="1477">
        <v>98033</v>
      </c>
      <c r="C1709" s="740" t="s">
        <v>4348</v>
      </c>
      <c r="D1709" s="739" t="s">
        <v>21</v>
      </c>
      <c r="E1709" s="741">
        <f t="shared" si="52"/>
        <v>3226.34</v>
      </c>
      <c r="F1709">
        <f t="shared" si="53"/>
        <v>98033</v>
      </c>
      <c r="H1709" s="1406">
        <v>3073.55</v>
      </c>
      <c r="I1709" s="1406">
        <v>3226.34</v>
      </c>
    </row>
    <row r="1710" spans="2:9" ht="30">
      <c r="B1710" s="677">
        <v>98034</v>
      </c>
      <c r="C1710" s="733" t="s">
        <v>6920</v>
      </c>
      <c r="D1710" s="677" t="s">
        <v>22</v>
      </c>
      <c r="E1710" s="738">
        <f t="shared" si="52"/>
        <v>11605.78</v>
      </c>
      <c r="F1710">
        <f t="shared" si="53"/>
        <v>98034</v>
      </c>
      <c r="H1710" s="1405">
        <v>11223.94</v>
      </c>
      <c r="I1710" s="1405">
        <v>11605.78</v>
      </c>
    </row>
    <row r="1711" spans="2:9" ht="30">
      <c r="B1711" s="1477">
        <v>98035</v>
      </c>
      <c r="C1711" s="740" t="s">
        <v>4349</v>
      </c>
      <c r="D1711" s="739" t="s">
        <v>21</v>
      </c>
      <c r="E1711" s="741">
        <f t="shared" si="52"/>
        <v>3489.66</v>
      </c>
      <c r="F1711">
        <f t="shared" si="53"/>
        <v>98035</v>
      </c>
      <c r="H1711" s="1406">
        <v>3324.3</v>
      </c>
      <c r="I1711" s="1406">
        <v>3489.66</v>
      </c>
    </row>
    <row r="1712" spans="2:9" ht="30">
      <c r="B1712" s="677">
        <v>98036</v>
      </c>
      <c r="C1712" s="733" t="s">
        <v>6921</v>
      </c>
      <c r="D1712" s="677" t="s">
        <v>22</v>
      </c>
      <c r="E1712" s="738">
        <f t="shared" si="52"/>
        <v>12957</v>
      </c>
      <c r="F1712">
        <f t="shared" si="53"/>
        <v>98036</v>
      </c>
      <c r="H1712" s="1405">
        <v>12533.54</v>
      </c>
      <c r="I1712" s="1405">
        <v>12957</v>
      </c>
    </row>
    <row r="1713" spans="2:9" ht="30">
      <c r="B1713" s="1477">
        <v>98037</v>
      </c>
      <c r="C1713" s="740" t="s">
        <v>4350</v>
      </c>
      <c r="D1713" s="739" t="s">
        <v>21</v>
      </c>
      <c r="E1713" s="741">
        <f t="shared" si="52"/>
        <v>3758.14</v>
      </c>
      <c r="F1713">
        <f t="shared" si="53"/>
        <v>98037</v>
      </c>
      <c r="H1713" s="1406">
        <v>3579.98</v>
      </c>
      <c r="I1713" s="1406">
        <v>3758.14</v>
      </c>
    </row>
    <row r="1714" spans="2:9" ht="30">
      <c r="B1714" s="677">
        <v>98038</v>
      </c>
      <c r="C1714" s="733" t="s">
        <v>6922</v>
      </c>
      <c r="D1714" s="677" t="s">
        <v>22</v>
      </c>
      <c r="E1714" s="738">
        <f t="shared" si="52"/>
        <v>11859.45</v>
      </c>
      <c r="F1714">
        <f t="shared" si="53"/>
        <v>98038</v>
      </c>
      <c r="H1714" s="1405">
        <v>11472.68</v>
      </c>
      <c r="I1714" s="1405">
        <v>11859.45</v>
      </c>
    </row>
    <row r="1715" spans="2:9" ht="30">
      <c r="B1715" s="1477">
        <v>98039</v>
      </c>
      <c r="C1715" s="740" t="s">
        <v>4351</v>
      </c>
      <c r="D1715" s="739" t="s">
        <v>21</v>
      </c>
      <c r="E1715" s="741">
        <f t="shared" si="52"/>
        <v>3494.78</v>
      </c>
      <c r="F1715">
        <f t="shared" si="53"/>
        <v>98039</v>
      </c>
      <c r="H1715" s="1406">
        <v>3329.21</v>
      </c>
      <c r="I1715" s="1406">
        <v>3494.78</v>
      </c>
    </row>
    <row r="1716" spans="2:9" ht="30">
      <c r="B1716" s="677">
        <v>98040</v>
      </c>
      <c r="C1716" s="733" t="s">
        <v>6923</v>
      </c>
      <c r="D1716" s="677" t="s">
        <v>22</v>
      </c>
      <c r="E1716" s="738">
        <f t="shared" si="52"/>
        <v>13415.95</v>
      </c>
      <c r="F1716">
        <f t="shared" si="53"/>
        <v>98040</v>
      </c>
      <c r="H1716" s="1405">
        <v>12982.68</v>
      </c>
      <c r="I1716" s="1405">
        <v>13415.95</v>
      </c>
    </row>
    <row r="1717" spans="2:9" ht="30">
      <c r="B1717" s="1477">
        <v>98041</v>
      </c>
      <c r="C1717" s="740" t="s">
        <v>4352</v>
      </c>
      <c r="D1717" s="739" t="s">
        <v>21</v>
      </c>
      <c r="E1717" s="741">
        <f t="shared" si="52"/>
        <v>3758.14</v>
      </c>
      <c r="F1717">
        <f t="shared" si="53"/>
        <v>98041</v>
      </c>
      <c r="H1717" s="1406">
        <v>3579.98</v>
      </c>
      <c r="I1717" s="1406">
        <v>3758.14</v>
      </c>
    </row>
    <row r="1718" spans="2:9" ht="30">
      <c r="B1718" s="677">
        <v>98042</v>
      </c>
      <c r="C1718" s="733" t="s">
        <v>6924</v>
      </c>
      <c r="D1718" s="677" t="s">
        <v>22</v>
      </c>
      <c r="E1718" s="738">
        <f t="shared" si="52"/>
        <v>14972.48</v>
      </c>
      <c r="F1718">
        <f t="shared" si="53"/>
        <v>98042</v>
      </c>
      <c r="H1718" s="1405">
        <v>14492.73</v>
      </c>
      <c r="I1718" s="1405">
        <v>14972.48</v>
      </c>
    </row>
    <row r="1719" spans="2:9" ht="30">
      <c r="B1719" s="1477">
        <v>98043</v>
      </c>
      <c r="C1719" s="740" t="s">
        <v>4353</v>
      </c>
      <c r="D1719" s="739" t="s">
        <v>21</v>
      </c>
      <c r="E1719" s="741">
        <f t="shared" si="52"/>
        <v>4026.68</v>
      </c>
      <c r="F1719">
        <f t="shared" si="53"/>
        <v>98043</v>
      </c>
      <c r="H1719" s="1406">
        <v>3835.74</v>
      </c>
      <c r="I1719" s="1406">
        <v>4026.68</v>
      </c>
    </row>
    <row r="1720" spans="2:9" ht="30">
      <c r="B1720" s="677">
        <v>98044</v>
      </c>
      <c r="C1720" s="733" t="s">
        <v>6925</v>
      </c>
      <c r="D1720" s="677" t="s">
        <v>22</v>
      </c>
      <c r="E1720" s="738">
        <f t="shared" si="52"/>
        <v>15226.25</v>
      </c>
      <c r="F1720">
        <f t="shared" si="53"/>
        <v>98044</v>
      </c>
      <c r="H1720" s="1405">
        <v>14741.54</v>
      </c>
      <c r="I1720" s="1405">
        <v>15226.25</v>
      </c>
    </row>
    <row r="1721" spans="2:9" ht="30">
      <c r="B1721" s="1477">
        <v>98045</v>
      </c>
      <c r="C1721" s="740" t="s">
        <v>4354</v>
      </c>
      <c r="D1721" s="739" t="s">
        <v>21</v>
      </c>
      <c r="E1721" s="741">
        <f t="shared" si="52"/>
        <v>4026.68</v>
      </c>
      <c r="F1721">
        <f t="shared" si="53"/>
        <v>98045</v>
      </c>
      <c r="H1721" s="1406">
        <v>3835.74</v>
      </c>
      <c r="I1721" s="1406">
        <v>4026.68</v>
      </c>
    </row>
    <row r="1722" spans="2:9" ht="30">
      <c r="B1722" s="677">
        <v>98046</v>
      </c>
      <c r="C1722" s="733" t="s">
        <v>6926</v>
      </c>
      <c r="D1722" s="677" t="s">
        <v>22</v>
      </c>
      <c r="E1722" s="738">
        <f t="shared" si="52"/>
        <v>16987.849999999999</v>
      </c>
      <c r="F1722">
        <f t="shared" si="53"/>
        <v>98046</v>
      </c>
      <c r="H1722" s="1405">
        <v>16451.8</v>
      </c>
      <c r="I1722" s="1405">
        <v>16987.849999999999</v>
      </c>
    </row>
    <row r="1723" spans="2:9" ht="30">
      <c r="B1723" s="1477">
        <v>98047</v>
      </c>
      <c r="C1723" s="740" t="s">
        <v>4355</v>
      </c>
      <c r="D1723" s="739" t="s">
        <v>21</v>
      </c>
      <c r="E1723" s="741">
        <f t="shared" si="52"/>
        <v>4295.1499999999996</v>
      </c>
      <c r="F1723">
        <f t="shared" si="53"/>
        <v>98047</v>
      </c>
      <c r="H1723" s="1406">
        <v>4091.42</v>
      </c>
      <c r="I1723" s="1406">
        <v>4295.1499999999996</v>
      </c>
    </row>
    <row r="1724" spans="2:9" ht="30">
      <c r="B1724" s="677">
        <v>98048</v>
      </c>
      <c r="C1724" s="733" t="s">
        <v>6927</v>
      </c>
      <c r="D1724" s="677" t="s">
        <v>22</v>
      </c>
      <c r="E1724" s="738">
        <f t="shared" si="52"/>
        <v>19003.419999999998</v>
      </c>
      <c r="F1724">
        <f t="shared" si="53"/>
        <v>98048</v>
      </c>
      <c r="H1724" s="1405">
        <v>18411.009999999998</v>
      </c>
      <c r="I1724" s="1405">
        <v>19003.419999999998</v>
      </c>
    </row>
    <row r="1725" spans="2:9" ht="30">
      <c r="B1725" s="1477">
        <v>98049</v>
      </c>
      <c r="C1725" s="740" t="s">
        <v>4356</v>
      </c>
      <c r="D1725" s="739" t="s">
        <v>21</v>
      </c>
      <c r="E1725" s="741">
        <f t="shared" si="52"/>
        <v>4513.68</v>
      </c>
      <c r="F1725">
        <f t="shared" si="53"/>
        <v>98049</v>
      </c>
      <c r="H1725" s="1406">
        <v>4299.1499999999996</v>
      </c>
      <c r="I1725" s="1406">
        <v>4513.68</v>
      </c>
    </row>
    <row r="1726" spans="2:9">
      <c r="B1726" s="677">
        <v>98050</v>
      </c>
      <c r="C1726" s="733" t="s">
        <v>4357</v>
      </c>
      <c r="D1726" s="677" t="s">
        <v>21</v>
      </c>
      <c r="E1726" s="738">
        <f t="shared" si="52"/>
        <v>301.85000000000002</v>
      </c>
      <c r="F1726">
        <f t="shared" si="53"/>
        <v>98050</v>
      </c>
      <c r="H1726" s="1405">
        <v>299.95</v>
      </c>
      <c r="I1726" s="1405">
        <v>301.85000000000002</v>
      </c>
    </row>
    <row r="1727" spans="2:9" ht="30">
      <c r="B1727" s="1477">
        <v>98051</v>
      </c>
      <c r="C1727" s="740" t="s">
        <v>4358</v>
      </c>
      <c r="D1727" s="739" t="s">
        <v>21</v>
      </c>
      <c r="E1727" s="741">
        <f t="shared" si="52"/>
        <v>1007.92</v>
      </c>
      <c r="F1727">
        <f t="shared" si="53"/>
        <v>98051</v>
      </c>
      <c r="H1727" s="1406">
        <v>962.55</v>
      </c>
      <c r="I1727" s="1406">
        <v>1007.92</v>
      </c>
    </row>
    <row r="1728" spans="2:9" ht="30">
      <c r="B1728" s="677">
        <v>98405</v>
      </c>
      <c r="C1728" s="733" t="s">
        <v>6928</v>
      </c>
      <c r="D1728" s="677" t="s">
        <v>22</v>
      </c>
      <c r="E1728" s="738">
        <f t="shared" si="52"/>
        <v>2740.21</v>
      </c>
      <c r="F1728">
        <f t="shared" si="53"/>
        <v>98405</v>
      </c>
      <c r="H1728" s="1405">
        <v>2632.84</v>
      </c>
      <c r="I1728" s="1405">
        <v>2740.21</v>
      </c>
    </row>
    <row r="1729" spans="2:9" ht="30">
      <c r="B1729" s="1477">
        <v>98406</v>
      </c>
      <c r="C1729" s="740" t="s">
        <v>6929</v>
      </c>
      <c r="D1729" s="739" t="s">
        <v>22</v>
      </c>
      <c r="E1729" s="741">
        <f t="shared" si="52"/>
        <v>6453.76</v>
      </c>
      <c r="F1729">
        <f t="shared" si="53"/>
        <v>98406</v>
      </c>
      <c r="H1729" s="1406">
        <v>6213.01</v>
      </c>
      <c r="I1729" s="1406">
        <v>6453.76</v>
      </c>
    </row>
    <row r="1730" spans="2:9" ht="30">
      <c r="B1730" s="677">
        <v>98407</v>
      </c>
      <c r="C1730" s="733" t="s">
        <v>6930</v>
      </c>
      <c r="D1730" s="677" t="s">
        <v>22</v>
      </c>
      <c r="E1730" s="738">
        <f t="shared" si="52"/>
        <v>4219.6899999999996</v>
      </c>
      <c r="F1730">
        <f t="shared" si="53"/>
        <v>98407</v>
      </c>
      <c r="H1730" s="1405">
        <v>4059.7</v>
      </c>
      <c r="I1730" s="1405">
        <v>4219.6899999999996</v>
      </c>
    </row>
    <row r="1731" spans="2:9" ht="30">
      <c r="B1731" s="1477">
        <v>98408</v>
      </c>
      <c r="C1731" s="740" t="s">
        <v>6931</v>
      </c>
      <c r="D1731" s="739" t="s">
        <v>22</v>
      </c>
      <c r="E1731" s="741">
        <f t="shared" ref="E1731:E1794" si="54">IF($K$2=$H$1,H1731,I1731)</f>
        <v>4951.03</v>
      </c>
      <c r="F1731">
        <f t="shared" ref="F1731:F1794" si="55">IF(LEN($B1731)=7,CONCATENATE(MID($B1731,1,6),"00",RIGHT($B1731,1)),IF(LEN($B1731)=8,CONCATENATE(MID($B1731,1,6),"0",RIGHT($B1731,2)),$B1731))</f>
        <v>98408</v>
      </c>
      <c r="H1731" s="1406">
        <v>4764.1400000000003</v>
      </c>
      <c r="I1731" s="1406">
        <v>4951.03</v>
      </c>
    </row>
    <row r="1732" spans="2:9" ht="30">
      <c r="B1732" s="677">
        <v>98409</v>
      </c>
      <c r="C1732" s="733" t="s">
        <v>4359</v>
      </c>
      <c r="D1732" s="677" t="s">
        <v>21</v>
      </c>
      <c r="E1732" s="738">
        <f t="shared" si="54"/>
        <v>411.63</v>
      </c>
      <c r="F1732">
        <f t="shared" si="55"/>
        <v>98409</v>
      </c>
      <c r="H1732" s="1405">
        <v>408.52</v>
      </c>
      <c r="I1732" s="1405">
        <v>411.63</v>
      </c>
    </row>
    <row r="1733" spans="2:9" ht="30">
      <c r="B1733" s="1477">
        <v>98410</v>
      </c>
      <c r="C1733" s="740" t="s">
        <v>6932</v>
      </c>
      <c r="D1733" s="739" t="s">
        <v>22</v>
      </c>
      <c r="E1733" s="741">
        <f t="shared" si="54"/>
        <v>1342.69</v>
      </c>
      <c r="F1733">
        <f t="shared" si="55"/>
        <v>98410</v>
      </c>
      <c r="H1733" s="1406">
        <v>1316.42</v>
      </c>
      <c r="I1733" s="1406">
        <v>1342.69</v>
      </c>
    </row>
    <row r="1734" spans="2:9" ht="30">
      <c r="B1734" s="677">
        <v>99240</v>
      </c>
      <c r="C1734" s="733" t="s">
        <v>4360</v>
      </c>
      <c r="D1734" s="677" t="s">
        <v>21</v>
      </c>
      <c r="E1734" s="738">
        <f t="shared" si="54"/>
        <v>723.01</v>
      </c>
      <c r="F1734">
        <f t="shared" si="55"/>
        <v>99240</v>
      </c>
      <c r="H1734" s="1405">
        <v>718.67</v>
      </c>
      <c r="I1734" s="1405">
        <v>723.01</v>
      </c>
    </row>
    <row r="1735" spans="2:9" ht="30">
      <c r="B1735" s="1477">
        <v>99241</v>
      </c>
      <c r="C1735" s="740" t="s">
        <v>4361</v>
      </c>
      <c r="D1735" s="739" t="s">
        <v>21</v>
      </c>
      <c r="E1735" s="741">
        <f t="shared" si="54"/>
        <v>1807.64</v>
      </c>
      <c r="F1735">
        <f t="shared" si="55"/>
        <v>99241</v>
      </c>
      <c r="H1735" s="1406">
        <v>1719.29</v>
      </c>
      <c r="I1735" s="1406">
        <v>1807.64</v>
      </c>
    </row>
    <row r="1736" spans="2:9" ht="30">
      <c r="B1736" s="677">
        <v>99242</v>
      </c>
      <c r="C1736" s="733" t="s">
        <v>6933</v>
      </c>
      <c r="D1736" s="677" t="s">
        <v>22</v>
      </c>
      <c r="E1736" s="738">
        <f t="shared" si="54"/>
        <v>3165.79</v>
      </c>
      <c r="F1736">
        <f t="shared" si="55"/>
        <v>99242</v>
      </c>
      <c r="H1736" s="1405">
        <v>3041.27</v>
      </c>
      <c r="I1736" s="1405">
        <v>3165.79</v>
      </c>
    </row>
    <row r="1737" spans="2:9" ht="30">
      <c r="B1737" s="1477">
        <v>99243</v>
      </c>
      <c r="C1737" s="740" t="s">
        <v>4362</v>
      </c>
      <c r="D1737" s="739" t="s">
        <v>21</v>
      </c>
      <c r="E1737" s="741">
        <f t="shared" si="54"/>
        <v>1686.35</v>
      </c>
      <c r="F1737">
        <f t="shared" si="55"/>
        <v>99243</v>
      </c>
      <c r="H1737" s="1406">
        <v>1603.16</v>
      </c>
      <c r="I1737" s="1406">
        <v>1686.35</v>
      </c>
    </row>
    <row r="1738" spans="2:9" ht="30">
      <c r="B1738" s="677">
        <v>99244</v>
      </c>
      <c r="C1738" s="733" t="s">
        <v>6934</v>
      </c>
      <c r="D1738" s="677" t="s">
        <v>22</v>
      </c>
      <c r="E1738" s="738">
        <f t="shared" si="54"/>
        <v>5170.08</v>
      </c>
      <c r="F1738">
        <f t="shared" si="55"/>
        <v>99244</v>
      </c>
      <c r="H1738" s="1405">
        <v>4979.62</v>
      </c>
      <c r="I1738" s="1405">
        <v>5170.08</v>
      </c>
    </row>
    <row r="1739" spans="2:9" ht="30">
      <c r="B1739" s="1477">
        <v>99246</v>
      </c>
      <c r="C1739" s="740" t="s">
        <v>4363</v>
      </c>
      <c r="D1739" s="739" t="s">
        <v>21</v>
      </c>
      <c r="E1739" s="741">
        <f t="shared" si="54"/>
        <v>992.18</v>
      </c>
      <c r="F1739">
        <f t="shared" si="55"/>
        <v>99246</v>
      </c>
      <c r="H1739" s="1406">
        <v>986.63</v>
      </c>
      <c r="I1739" s="1406">
        <v>992.18</v>
      </c>
    </row>
    <row r="1740" spans="2:9" ht="30">
      <c r="B1740" s="677">
        <v>99247</v>
      </c>
      <c r="C1740" s="733" t="s">
        <v>4364</v>
      </c>
      <c r="D1740" s="677" t="s">
        <v>21</v>
      </c>
      <c r="E1740" s="738">
        <f t="shared" si="54"/>
        <v>2060.38</v>
      </c>
      <c r="F1740">
        <f t="shared" si="55"/>
        <v>99247</v>
      </c>
      <c r="H1740" s="1405">
        <v>1959.5</v>
      </c>
      <c r="I1740" s="1405">
        <v>2060.38</v>
      </c>
    </row>
    <row r="1741" spans="2:9" ht="30">
      <c r="B1741" s="1477">
        <v>99248</v>
      </c>
      <c r="C1741" s="740" t="s">
        <v>6935</v>
      </c>
      <c r="D1741" s="739" t="s">
        <v>22</v>
      </c>
      <c r="E1741" s="741">
        <f t="shared" si="54"/>
        <v>4077.34</v>
      </c>
      <c r="F1741">
        <f t="shared" si="55"/>
        <v>99248</v>
      </c>
      <c r="H1741" s="1406">
        <v>3923.23</v>
      </c>
      <c r="I1741" s="1406">
        <v>4077.34</v>
      </c>
    </row>
    <row r="1742" spans="2:9" ht="30">
      <c r="B1742" s="677">
        <v>99249</v>
      </c>
      <c r="C1742" s="733" t="s">
        <v>4365</v>
      </c>
      <c r="D1742" s="677" t="s">
        <v>21</v>
      </c>
      <c r="E1742" s="738">
        <f t="shared" si="54"/>
        <v>2059.7600000000002</v>
      </c>
      <c r="F1742">
        <f t="shared" si="55"/>
        <v>99249</v>
      </c>
      <c r="H1742" s="1405">
        <v>1957.32</v>
      </c>
      <c r="I1742" s="1405">
        <v>2059.7600000000002</v>
      </c>
    </row>
    <row r="1743" spans="2:9" ht="30">
      <c r="B1743" s="1477">
        <v>99252</v>
      </c>
      <c r="C1743" s="740" t="s">
        <v>6936</v>
      </c>
      <c r="D1743" s="739" t="s">
        <v>22</v>
      </c>
      <c r="E1743" s="741">
        <f t="shared" si="54"/>
        <v>2695.61</v>
      </c>
      <c r="F1743">
        <f t="shared" si="55"/>
        <v>99252</v>
      </c>
      <c r="H1743" s="1406">
        <v>2589.8000000000002</v>
      </c>
      <c r="I1743" s="1406">
        <v>2695.61</v>
      </c>
    </row>
    <row r="1744" spans="2:9" ht="30">
      <c r="B1744" s="677">
        <v>99254</v>
      </c>
      <c r="C1744" s="733" t="s">
        <v>4366</v>
      </c>
      <c r="D1744" s="677" t="s">
        <v>21</v>
      </c>
      <c r="E1744" s="738">
        <f t="shared" si="54"/>
        <v>1302.04</v>
      </c>
      <c r="F1744">
        <f t="shared" si="55"/>
        <v>99254</v>
      </c>
      <c r="H1744" s="1405">
        <v>1238.77</v>
      </c>
      <c r="I1744" s="1405">
        <v>1302.04</v>
      </c>
    </row>
    <row r="1745" spans="2:9" ht="30">
      <c r="B1745" s="1477">
        <v>99256</v>
      </c>
      <c r="C1745" s="740" t="s">
        <v>6937</v>
      </c>
      <c r="D1745" s="739" t="s">
        <v>22</v>
      </c>
      <c r="E1745" s="741">
        <f t="shared" si="54"/>
        <v>6077.76</v>
      </c>
      <c r="F1745">
        <f t="shared" si="55"/>
        <v>99256</v>
      </c>
      <c r="H1745" s="1406">
        <v>5855.57</v>
      </c>
      <c r="I1745" s="1406">
        <v>6077.76</v>
      </c>
    </row>
    <row r="1746" spans="2:9" ht="30">
      <c r="B1746" s="677">
        <v>99259</v>
      </c>
      <c r="C1746" s="733" t="s">
        <v>6938</v>
      </c>
      <c r="D1746" s="677" t="s">
        <v>22</v>
      </c>
      <c r="E1746" s="738">
        <f t="shared" si="54"/>
        <v>3410.03</v>
      </c>
      <c r="F1746">
        <f t="shared" si="55"/>
        <v>99259</v>
      </c>
      <c r="H1746" s="1405">
        <v>3277.35</v>
      </c>
      <c r="I1746" s="1405">
        <v>3410.03</v>
      </c>
    </row>
    <row r="1747" spans="2:9" ht="30">
      <c r="B1747" s="1477">
        <v>99261</v>
      </c>
      <c r="C1747" s="740" t="s">
        <v>4367</v>
      </c>
      <c r="D1747" s="739" t="s">
        <v>21</v>
      </c>
      <c r="E1747" s="741">
        <f t="shared" si="54"/>
        <v>1554.79</v>
      </c>
      <c r="F1747">
        <f t="shared" si="55"/>
        <v>99261</v>
      </c>
      <c r="H1747" s="1406">
        <v>1478.99</v>
      </c>
      <c r="I1747" s="1406">
        <v>1554.79</v>
      </c>
    </row>
    <row r="1748" spans="2:9" ht="30">
      <c r="B1748" s="677">
        <v>99263</v>
      </c>
      <c r="C1748" s="733" t="s">
        <v>4368</v>
      </c>
      <c r="D1748" s="677" t="s">
        <v>21</v>
      </c>
      <c r="E1748" s="738">
        <f t="shared" si="54"/>
        <v>2313.2199999999998</v>
      </c>
      <c r="F1748">
        <f t="shared" si="55"/>
        <v>99263</v>
      </c>
      <c r="H1748" s="1405">
        <v>2199.79</v>
      </c>
      <c r="I1748" s="1405">
        <v>2313.2199999999998</v>
      </c>
    </row>
    <row r="1749" spans="2:9" ht="30">
      <c r="B1749" s="1477">
        <v>99265</v>
      </c>
      <c r="C1749" s="740" t="s">
        <v>6939</v>
      </c>
      <c r="D1749" s="739" t="s">
        <v>22</v>
      </c>
      <c r="E1749" s="741">
        <f t="shared" si="54"/>
        <v>4124.38</v>
      </c>
      <c r="F1749">
        <f t="shared" si="55"/>
        <v>99265</v>
      </c>
      <c r="H1749" s="1406">
        <v>3964.81</v>
      </c>
      <c r="I1749" s="1406">
        <v>4124.38</v>
      </c>
    </row>
    <row r="1750" spans="2:9" ht="30">
      <c r="B1750" s="677">
        <v>99266</v>
      </c>
      <c r="C1750" s="733" t="s">
        <v>4369</v>
      </c>
      <c r="D1750" s="677" t="s">
        <v>21</v>
      </c>
      <c r="E1750" s="738">
        <f t="shared" si="54"/>
        <v>1807.64</v>
      </c>
      <c r="F1750">
        <f t="shared" si="55"/>
        <v>99266</v>
      </c>
      <c r="H1750" s="1405">
        <v>1719.29</v>
      </c>
      <c r="I1750" s="1405">
        <v>1807.64</v>
      </c>
    </row>
    <row r="1751" spans="2:9" ht="30">
      <c r="B1751" s="1477">
        <v>99267</v>
      </c>
      <c r="C1751" s="740" t="s">
        <v>6940</v>
      </c>
      <c r="D1751" s="739" t="s">
        <v>22</v>
      </c>
      <c r="E1751" s="741">
        <f t="shared" si="54"/>
        <v>4838.76</v>
      </c>
      <c r="F1751">
        <f t="shared" si="55"/>
        <v>99267</v>
      </c>
      <c r="H1751" s="1406">
        <v>4652.37</v>
      </c>
      <c r="I1751" s="1406">
        <v>4838.76</v>
      </c>
    </row>
    <row r="1752" spans="2:9" ht="30">
      <c r="B1752" s="677">
        <v>99268</v>
      </c>
      <c r="C1752" s="733" t="s">
        <v>6941</v>
      </c>
      <c r="D1752" s="677" t="s">
        <v>22</v>
      </c>
      <c r="E1752" s="738">
        <f t="shared" si="54"/>
        <v>530.17999999999995</v>
      </c>
      <c r="F1752">
        <f t="shared" si="55"/>
        <v>99268</v>
      </c>
      <c r="H1752" s="1405">
        <v>520.21</v>
      </c>
      <c r="I1752" s="1405">
        <v>530.17999999999995</v>
      </c>
    </row>
    <row r="1753" spans="2:9" ht="30">
      <c r="B1753" s="1477">
        <v>99269</v>
      </c>
      <c r="C1753" s="740" t="s">
        <v>4370</v>
      </c>
      <c r="D1753" s="739" t="s">
        <v>21</v>
      </c>
      <c r="E1753" s="741">
        <f t="shared" si="54"/>
        <v>2060.38</v>
      </c>
      <c r="F1753">
        <f t="shared" si="55"/>
        <v>99269</v>
      </c>
      <c r="H1753" s="1406">
        <v>1959.5</v>
      </c>
      <c r="I1753" s="1406">
        <v>2060.38</v>
      </c>
    </row>
    <row r="1754" spans="2:9" ht="30">
      <c r="B1754" s="677">
        <v>99270</v>
      </c>
      <c r="C1754" s="733" t="s">
        <v>6942</v>
      </c>
      <c r="D1754" s="677" t="s">
        <v>22</v>
      </c>
      <c r="E1754" s="738">
        <f t="shared" si="54"/>
        <v>683.97</v>
      </c>
      <c r="F1754">
        <f t="shared" si="55"/>
        <v>99270</v>
      </c>
      <c r="H1754" s="1405">
        <v>672.93</v>
      </c>
      <c r="I1754" s="1405">
        <v>683.97</v>
      </c>
    </row>
    <row r="1755" spans="2:9" ht="30">
      <c r="B1755" s="1477">
        <v>99271</v>
      </c>
      <c r="C1755" s="740" t="s">
        <v>6943</v>
      </c>
      <c r="D1755" s="739" t="s">
        <v>22</v>
      </c>
      <c r="E1755" s="741">
        <f t="shared" si="54"/>
        <v>6985.28</v>
      </c>
      <c r="F1755">
        <f t="shared" si="55"/>
        <v>99271</v>
      </c>
      <c r="H1755" s="1406">
        <v>6731.43</v>
      </c>
      <c r="I1755" s="1406">
        <v>6985.28</v>
      </c>
    </row>
    <row r="1756" spans="2:9" ht="30">
      <c r="B1756" s="677">
        <v>99272</v>
      </c>
      <c r="C1756" s="733" t="s">
        <v>6944</v>
      </c>
      <c r="D1756" s="677" t="s">
        <v>22</v>
      </c>
      <c r="E1756" s="738">
        <f t="shared" si="54"/>
        <v>1166.45</v>
      </c>
      <c r="F1756">
        <f t="shared" si="55"/>
        <v>99272</v>
      </c>
      <c r="H1756" s="1405">
        <v>1118.3800000000001</v>
      </c>
      <c r="I1756" s="1405">
        <v>1166.45</v>
      </c>
    </row>
    <row r="1757" spans="2:9" ht="30">
      <c r="B1757" s="1477">
        <v>99273</v>
      </c>
      <c r="C1757" s="740" t="s">
        <v>6945</v>
      </c>
      <c r="D1757" s="739" t="s">
        <v>22</v>
      </c>
      <c r="E1757" s="741">
        <f t="shared" si="54"/>
        <v>1645.51</v>
      </c>
      <c r="F1757">
        <f t="shared" si="55"/>
        <v>99273</v>
      </c>
      <c r="H1757" s="1406">
        <v>1574.79</v>
      </c>
      <c r="I1757" s="1406">
        <v>1645.51</v>
      </c>
    </row>
    <row r="1758" spans="2:9" ht="30">
      <c r="B1758" s="677">
        <v>99274</v>
      </c>
      <c r="C1758" s="733" t="s">
        <v>6946</v>
      </c>
      <c r="D1758" s="677" t="s">
        <v>22</v>
      </c>
      <c r="E1758" s="738">
        <f t="shared" si="54"/>
        <v>5588.77</v>
      </c>
      <c r="F1758">
        <f t="shared" si="55"/>
        <v>99274</v>
      </c>
      <c r="H1758" s="1405">
        <v>5375.52</v>
      </c>
      <c r="I1758" s="1405">
        <v>5588.77</v>
      </c>
    </row>
    <row r="1759" spans="2:9" ht="30">
      <c r="B1759" s="1477">
        <v>99275</v>
      </c>
      <c r="C1759" s="740" t="s">
        <v>6947</v>
      </c>
      <c r="D1759" s="739" t="s">
        <v>22</v>
      </c>
      <c r="E1759" s="741">
        <f t="shared" si="54"/>
        <v>1023.3</v>
      </c>
      <c r="F1759">
        <f t="shared" si="55"/>
        <v>99275</v>
      </c>
      <c r="H1759" s="1406">
        <v>997.96</v>
      </c>
      <c r="I1759" s="1406">
        <v>1023.3</v>
      </c>
    </row>
    <row r="1760" spans="2:9" ht="30">
      <c r="B1760" s="677">
        <v>99276</v>
      </c>
      <c r="C1760" s="733" t="s">
        <v>4371</v>
      </c>
      <c r="D1760" s="677" t="s">
        <v>21</v>
      </c>
      <c r="E1760" s="738">
        <f t="shared" si="54"/>
        <v>2566.04</v>
      </c>
      <c r="F1760">
        <f t="shared" si="55"/>
        <v>99276</v>
      </c>
      <c r="H1760" s="1405">
        <v>2440.0700000000002</v>
      </c>
      <c r="I1760" s="1405">
        <v>2566.04</v>
      </c>
    </row>
    <row r="1761" spans="2:9" ht="30">
      <c r="B1761" s="1477">
        <v>99277</v>
      </c>
      <c r="C1761" s="740" t="s">
        <v>4372</v>
      </c>
      <c r="D1761" s="739" t="s">
        <v>21</v>
      </c>
      <c r="E1761" s="741">
        <f t="shared" si="54"/>
        <v>2313.2199999999998</v>
      </c>
      <c r="F1761">
        <f t="shared" si="55"/>
        <v>99277</v>
      </c>
      <c r="H1761" s="1406">
        <v>2199.79</v>
      </c>
      <c r="I1761" s="1406">
        <v>2313.2199999999998</v>
      </c>
    </row>
    <row r="1762" spans="2:9" ht="30">
      <c r="B1762" s="677">
        <v>99278</v>
      </c>
      <c r="C1762" s="733" t="s">
        <v>4373</v>
      </c>
      <c r="D1762" s="677" t="s">
        <v>21</v>
      </c>
      <c r="E1762" s="738">
        <f t="shared" si="54"/>
        <v>409.54</v>
      </c>
      <c r="F1762">
        <f t="shared" si="55"/>
        <v>99278</v>
      </c>
      <c r="H1762" s="1405">
        <v>406.44</v>
      </c>
      <c r="I1762" s="1405">
        <v>409.54</v>
      </c>
    </row>
    <row r="1763" spans="2:9" ht="30">
      <c r="B1763" s="1477">
        <v>99279</v>
      </c>
      <c r="C1763" s="740" t="s">
        <v>6948</v>
      </c>
      <c r="D1763" s="739" t="s">
        <v>22</v>
      </c>
      <c r="E1763" s="741">
        <f t="shared" si="54"/>
        <v>6307.59</v>
      </c>
      <c r="F1763">
        <f t="shared" si="55"/>
        <v>99279</v>
      </c>
      <c r="H1763" s="1406">
        <v>6067.49</v>
      </c>
      <c r="I1763" s="1406">
        <v>6307.59</v>
      </c>
    </row>
    <row r="1764" spans="2:9" ht="30">
      <c r="B1764" s="677">
        <v>99280</v>
      </c>
      <c r="C1764" s="733" t="s">
        <v>6949</v>
      </c>
      <c r="D1764" s="677" t="s">
        <v>22</v>
      </c>
      <c r="E1764" s="738">
        <f t="shared" si="54"/>
        <v>2142.0100000000002</v>
      </c>
      <c r="F1764">
        <f t="shared" si="55"/>
        <v>99280</v>
      </c>
      <c r="H1764" s="1405">
        <v>2053.64</v>
      </c>
      <c r="I1764" s="1405">
        <v>2142.0100000000002</v>
      </c>
    </row>
    <row r="1765" spans="2:9" ht="30">
      <c r="B1765" s="1477">
        <v>99281</v>
      </c>
      <c r="C1765" s="740" t="s">
        <v>4374</v>
      </c>
      <c r="D1765" s="739" t="s">
        <v>21</v>
      </c>
      <c r="E1765" s="741">
        <f t="shared" si="54"/>
        <v>2566.04</v>
      </c>
      <c r="F1765">
        <f t="shared" si="55"/>
        <v>99281</v>
      </c>
      <c r="H1765" s="1406">
        <v>2440.0700000000002</v>
      </c>
      <c r="I1765" s="1406">
        <v>2566.04</v>
      </c>
    </row>
    <row r="1766" spans="2:9" ht="30">
      <c r="B1766" s="677">
        <v>99282</v>
      </c>
      <c r="C1766" s="733" t="s">
        <v>4375</v>
      </c>
      <c r="D1766" s="677" t="s">
        <v>21</v>
      </c>
      <c r="E1766" s="738">
        <f t="shared" si="54"/>
        <v>2844.59</v>
      </c>
      <c r="F1766">
        <f t="shared" si="55"/>
        <v>99282</v>
      </c>
      <c r="H1766" s="1405">
        <v>2704.91</v>
      </c>
      <c r="I1766" s="1405">
        <v>2844.59</v>
      </c>
    </row>
    <row r="1767" spans="2:9" ht="30">
      <c r="B1767" s="1477">
        <v>99283</v>
      </c>
      <c r="C1767" s="740" t="s">
        <v>4376</v>
      </c>
      <c r="D1767" s="739" t="s">
        <v>21</v>
      </c>
      <c r="E1767" s="741">
        <f t="shared" si="54"/>
        <v>1188.5899999999999</v>
      </c>
      <c r="F1767">
        <f t="shared" si="55"/>
        <v>99283</v>
      </c>
      <c r="H1767" s="1406">
        <v>1131.03</v>
      </c>
      <c r="I1767" s="1406">
        <v>1188.5899999999999</v>
      </c>
    </row>
    <row r="1768" spans="2:9" ht="30">
      <c r="B1768" s="677">
        <v>99284</v>
      </c>
      <c r="C1768" s="733" t="s">
        <v>6950</v>
      </c>
      <c r="D1768" s="677" t="s">
        <v>22</v>
      </c>
      <c r="E1768" s="738">
        <f t="shared" si="54"/>
        <v>7893.02</v>
      </c>
      <c r="F1768">
        <f t="shared" si="55"/>
        <v>99284</v>
      </c>
      <c r="H1768" s="1405">
        <v>7607.45</v>
      </c>
      <c r="I1768" s="1405">
        <v>7893.02</v>
      </c>
    </row>
    <row r="1769" spans="2:9" ht="30">
      <c r="B1769" s="1477">
        <v>99285</v>
      </c>
      <c r="C1769" s="740" t="s">
        <v>6951</v>
      </c>
      <c r="D1769" s="739" t="s">
        <v>22</v>
      </c>
      <c r="E1769" s="741">
        <f t="shared" si="54"/>
        <v>1398.32</v>
      </c>
      <c r="F1769">
        <f t="shared" si="55"/>
        <v>99285</v>
      </c>
      <c r="H1769" s="1406">
        <v>1367.96</v>
      </c>
      <c r="I1769" s="1406">
        <v>1398.32</v>
      </c>
    </row>
    <row r="1770" spans="2:9" ht="30">
      <c r="B1770" s="677">
        <v>99286</v>
      </c>
      <c r="C1770" s="733" t="s">
        <v>6952</v>
      </c>
      <c r="D1770" s="677" t="s">
        <v>22</v>
      </c>
      <c r="E1770" s="738">
        <f t="shared" si="54"/>
        <v>7026.55</v>
      </c>
      <c r="F1770">
        <f t="shared" si="55"/>
        <v>99286</v>
      </c>
      <c r="H1770" s="1405">
        <v>6759.58</v>
      </c>
      <c r="I1770" s="1405">
        <v>7026.55</v>
      </c>
    </row>
    <row r="1771" spans="2:9" ht="30">
      <c r="B1771" s="1477">
        <v>99287</v>
      </c>
      <c r="C1771" s="740" t="s">
        <v>6953</v>
      </c>
      <c r="D1771" s="739" t="s">
        <v>22</v>
      </c>
      <c r="E1771" s="741">
        <f t="shared" si="54"/>
        <v>10023.469999999999</v>
      </c>
      <c r="F1771">
        <f t="shared" si="55"/>
        <v>99287</v>
      </c>
      <c r="H1771" s="1406">
        <v>9684.27</v>
      </c>
      <c r="I1771" s="1406">
        <v>10023.469999999999</v>
      </c>
    </row>
    <row r="1772" spans="2:9" ht="30">
      <c r="B1772" s="677">
        <v>99288</v>
      </c>
      <c r="C1772" s="733" t="s">
        <v>4377</v>
      </c>
      <c r="D1772" s="677" t="s">
        <v>21</v>
      </c>
      <c r="E1772" s="738">
        <f t="shared" si="54"/>
        <v>541.91</v>
      </c>
      <c r="F1772">
        <f t="shared" si="55"/>
        <v>99288</v>
      </c>
      <c r="H1772" s="1405">
        <v>538.23</v>
      </c>
      <c r="I1772" s="1405">
        <v>541.91</v>
      </c>
    </row>
    <row r="1773" spans="2:9" ht="30">
      <c r="B1773" s="1477">
        <v>99289</v>
      </c>
      <c r="C1773" s="740" t="s">
        <v>4378</v>
      </c>
      <c r="D1773" s="739" t="s">
        <v>21</v>
      </c>
      <c r="E1773" s="741">
        <f t="shared" si="54"/>
        <v>2818.79</v>
      </c>
      <c r="F1773">
        <f t="shared" si="55"/>
        <v>99289</v>
      </c>
      <c r="H1773" s="1406">
        <v>2680.29</v>
      </c>
      <c r="I1773" s="1406">
        <v>2818.79</v>
      </c>
    </row>
    <row r="1774" spans="2:9" ht="30">
      <c r="B1774" s="677">
        <v>99290</v>
      </c>
      <c r="C1774" s="733" t="s">
        <v>6954</v>
      </c>
      <c r="D1774" s="677" t="s">
        <v>22</v>
      </c>
      <c r="E1774" s="738">
        <f t="shared" si="54"/>
        <v>4234.21</v>
      </c>
      <c r="F1774">
        <f t="shared" si="55"/>
        <v>99290</v>
      </c>
      <c r="H1774" s="1405">
        <v>4075.48</v>
      </c>
      <c r="I1774" s="1405">
        <v>4234.21</v>
      </c>
    </row>
    <row r="1775" spans="2:9" ht="30">
      <c r="B1775" s="1477">
        <v>99291</v>
      </c>
      <c r="C1775" s="740" t="s">
        <v>4379</v>
      </c>
      <c r="D1775" s="739" t="s">
        <v>21</v>
      </c>
      <c r="E1775" s="741">
        <f t="shared" si="54"/>
        <v>2818.79</v>
      </c>
      <c r="F1775">
        <f t="shared" si="55"/>
        <v>99291</v>
      </c>
      <c r="H1775" s="1406">
        <v>2680.29</v>
      </c>
      <c r="I1775" s="1406">
        <v>2818.79</v>
      </c>
    </row>
    <row r="1776" spans="2:9" ht="30">
      <c r="B1776" s="677">
        <v>99292</v>
      </c>
      <c r="C1776" s="733" t="s">
        <v>6955</v>
      </c>
      <c r="D1776" s="677" t="s">
        <v>22</v>
      </c>
      <c r="E1776" s="738">
        <f t="shared" si="54"/>
        <v>2652.03</v>
      </c>
      <c r="F1776">
        <f t="shared" si="55"/>
        <v>99292</v>
      </c>
      <c r="H1776" s="1405">
        <v>2545.0500000000002</v>
      </c>
      <c r="I1776" s="1405">
        <v>2652.03</v>
      </c>
    </row>
    <row r="1777" spans="2:9" ht="30">
      <c r="B1777" s="1477">
        <v>99293</v>
      </c>
      <c r="C1777" s="740" t="s">
        <v>4380</v>
      </c>
      <c r="D1777" s="739" t="s">
        <v>21</v>
      </c>
      <c r="E1777" s="741">
        <f t="shared" si="54"/>
        <v>1437.5</v>
      </c>
      <c r="F1777">
        <f t="shared" si="55"/>
        <v>99293</v>
      </c>
      <c r="H1777" s="1406">
        <v>1367.12</v>
      </c>
      <c r="I1777" s="1406">
        <v>1437.5</v>
      </c>
    </row>
    <row r="1778" spans="2:9" ht="30">
      <c r="B1778" s="677">
        <v>99294</v>
      </c>
      <c r="C1778" s="733" t="s">
        <v>6956</v>
      </c>
      <c r="D1778" s="677" t="s">
        <v>22</v>
      </c>
      <c r="E1778" s="738">
        <f t="shared" si="54"/>
        <v>8800.6</v>
      </c>
      <c r="F1778">
        <f t="shared" si="55"/>
        <v>99294</v>
      </c>
      <c r="H1778" s="1405">
        <v>8483.34</v>
      </c>
      <c r="I1778" s="1405">
        <v>8800.6</v>
      </c>
    </row>
    <row r="1779" spans="2:9" ht="30">
      <c r="B1779" s="1477">
        <v>99296</v>
      </c>
      <c r="C1779" s="740" t="s">
        <v>4381</v>
      </c>
      <c r="D1779" s="739" t="s">
        <v>21</v>
      </c>
      <c r="E1779" s="741">
        <f t="shared" si="54"/>
        <v>3097.34</v>
      </c>
      <c r="F1779">
        <f t="shared" si="55"/>
        <v>99296</v>
      </c>
      <c r="H1779" s="1406">
        <v>2945.12</v>
      </c>
      <c r="I1779" s="1406">
        <v>3097.34</v>
      </c>
    </row>
    <row r="1780" spans="2:9" ht="30">
      <c r="B1780" s="677">
        <v>99297</v>
      </c>
      <c r="C1780" s="733" t="s">
        <v>4382</v>
      </c>
      <c r="D1780" s="677" t="s">
        <v>21</v>
      </c>
      <c r="E1780" s="738">
        <f t="shared" si="54"/>
        <v>3092.88</v>
      </c>
      <c r="F1780">
        <f t="shared" si="55"/>
        <v>99297</v>
      </c>
      <c r="H1780" s="1405">
        <v>2940.87</v>
      </c>
      <c r="I1780" s="1405">
        <v>3092.88</v>
      </c>
    </row>
    <row r="1781" spans="2:9" ht="30">
      <c r="B1781" s="1477">
        <v>99298</v>
      </c>
      <c r="C1781" s="740" t="s">
        <v>6957</v>
      </c>
      <c r="D1781" s="739" t="s">
        <v>22</v>
      </c>
      <c r="E1781" s="741">
        <f t="shared" si="54"/>
        <v>11343.64</v>
      </c>
      <c r="F1781">
        <f t="shared" si="55"/>
        <v>99298</v>
      </c>
      <c r="H1781" s="1406">
        <v>10962.95</v>
      </c>
      <c r="I1781" s="1406">
        <v>11343.64</v>
      </c>
    </row>
    <row r="1782" spans="2:9" ht="30">
      <c r="B1782" s="677">
        <v>99299</v>
      </c>
      <c r="C1782" s="733" t="s">
        <v>4383</v>
      </c>
      <c r="D1782" s="677" t="s">
        <v>21</v>
      </c>
      <c r="E1782" s="738">
        <f t="shared" si="54"/>
        <v>3350.05</v>
      </c>
      <c r="F1782">
        <f t="shared" si="55"/>
        <v>99299</v>
      </c>
      <c r="H1782" s="1405">
        <v>3185.3</v>
      </c>
      <c r="I1782" s="1405">
        <v>3350.05</v>
      </c>
    </row>
    <row r="1783" spans="2:9" ht="30">
      <c r="B1783" s="1477">
        <v>99300</v>
      </c>
      <c r="C1783" s="740" t="s">
        <v>6958</v>
      </c>
      <c r="D1783" s="739" t="s">
        <v>22</v>
      </c>
      <c r="E1783" s="741">
        <f t="shared" si="54"/>
        <v>12663.81</v>
      </c>
      <c r="F1783">
        <f t="shared" si="55"/>
        <v>99300</v>
      </c>
      <c r="H1783" s="1406">
        <v>12241.64</v>
      </c>
      <c r="I1783" s="1406">
        <v>12663.81</v>
      </c>
    </row>
    <row r="1784" spans="2:9" ht="30">
      <c r="B1784" s="677">
        <v>99301</v>
      </c>
      <c r="C1784" s="733" t="s">
        <v>6959</v>
      </c>
      <c r="D1784" s="677" t="s">
        <v>22</v>
      </c>
      <c r="E1784" s="738">
        <f t="shared" si="54"/>
        <v>6253.59</v>
      </c>
      <c r="F1784">
        <f t="shared" si="55"/>
        <v>99301</v>
      </c>
      <c r="H1784" s="1405">
        <v>6026.15</v>
      </c>
      <c r="I1784" s="1405">
        <v>6253.59</v>
      </c>
    </row>
    <row r="1785" spans="2:9" ht="30">
      <c r="B1785" s="1477">
        <v>99302</v>
      </c>
      <c r="C1785" s="740" t="s">
        <v>4384</v>
      </c>
      <c r="D1785" s="739" t="s">
        <v>21</v>
      </c>
      <c r="E1785" s="741">
        <f t="shared" si="54"/>
        <v>3607.27</v>
      </c>
      <c r="F1785">
        <f t="shared" si="55"/>
        <v>99302</v>
      </c>
      <c r="H1785" s="1406">
        <v>3429.77</v>
      </c>
      <c r="I1785" s="1406">
        <v>3607.27</v>
      </c>
    </row>
    <row r="1786" spans="2:9" ht="30">
      <c r="B1786" s="677">
        <v>99303</v>
      </c>
      <c r="C1786" s="733" t="s">
        <v>6960</v>
      </c>
      <c r="D1786" s="677" t="s">
        <v>22</v>
      </c>
      <c r="E1786" s="738">
        <f t="shared" si="54"/>
        <v>11591.37</v>
      </c>
      <c r="F1786">
        <f t="shared" si="55"/>
        <v>99303</v>
      </c>
      <c r="H1786" s="1405">
        <v>11205.78</v>
      </c>
      <c r="I1786" s="1405">
        <v>11591.37</v>
      </c>
    </row>
    <row r="1787" spans="2:9" ht="30">
      <c r="B1787" s="1477">
        <v>99304</v>
      </c>
      <c r="C1787" s="740" t="s">
        <v>4385</v>
      </c>
      <c r="D1787" s="739" t="s">
        <v>21</v>
      </c>
      <c r="E1787" s="741">
        <f t="shared" si="54"/>
        <v>3354.5</v>
      </c>
      <c r="F1787">
        <f t="shared" si="55"/>
        <v>99304</v>
      </c>
      <c r="H1787" s="1406">
        <v>3189.55</v>
      </c>
      <c r="I1787" s="1406">
        <v>3354.5</v>
      </c>
    </row>
    <row r="1788" spans="2:9" ht="30">
      <c r="B1788" s="677">
        <v>99305</v>
      </c>
      <c r="C1788" s="733" t="s">
        <v>6961</v>
      </c>
      <c r="D1788" s="677" t="s">
        <v>22</v>
      </c>
      <c r="E1788" s="738">
        <f t="shared" si="54"/>
        <v>13112.3</v>
      </c>
      <c r="F1788">
        <f t="shared" si="55"/>
        <v>99305</v>
      </c>
      <c r="H1788" s="1405">
        <v>12680.36</v>
      </c>
      <c r="I1788" s="1405">
        <v>13112.3</v>
      </c>
    </row>
    <row r="1789" spans="2:9" ht="30">
      <c r="B1789" s="1477">
        <v>99306</v>
      </c>
      <c r="C1789" s="740" t="s">
        <v>4386</v>
      </c>
      <c r="D1789" s="739" t="s">
        <v>21</v>
      </c>
      <c r="E1789" s="741">
        <f t="shared" si="54"/>
        <v>3607.27</v>
      </c>
      <c r="F1789">
        <f t="shared" si="55"/>
        <v>99306</v>
      </c>
      <c r="H1789" s="1406">
        <v>3429.77</v>
      </c>
      <c r="I1789" s="1406">
        <v>3607.27</v>
      </c>
    </row>
    <row r="1790" spans="2:9" ht="30">
      <c r="B1790" s="677">
        <v>99307</v>
      </c>
      <c r="C1790" s="733" t="s">
        <v>4387</v>
      </c>
      <c r="D1790" s="677" t="s">
        <v>21</v>
      </c>
      <c r="E1790" s="738">
        <f t="shared" si="54"/>
        <v>2334.56</v>
      </c>
      <c r="F1790">
        <f t="shared" si="55"/>
        <v>99307</v>
      </c>
      <c r="H1790" s="1405">
        <v>2220.16</v>
      </c>
      <c r="I1790" s="1405">
        <v>2334.56</v>
      </c>
    </row>
    <row r="1791" spans="2:9" ht="30">
      <c r="B1791" s="1477">
        <v>99308</v>
      </c>
      <c r="C1791" s="740" t="s">
        <v>6962</v>
      </c>
      <c r="D1791" s="739" t="s">
        <v>22</v>
      </c>
      <c r="E1791" s="741">
        <f t="shared" si="54"/>
        <v>14633.25</v>
      </c>
      <c r="F1791">
        <f t="shared" si="55"/>
        <v>99308</v>
      </c>
      <c r="H1791" s="1406">
        <v>14155</v>
      </c>
      <c r="I1791" s="1406">
        <v>14633.25</v>
      </c>
    </row>
    <row r="1792" spans="2:9" ht="30">
      <c r="B1792" s="677">
        <v>99309</v>
      </c>
      <c r="C1792" s="733" t="s">
        <v>4388</v>
      </c>
      <c r="D1792" s="677" t="s">
        <v>21</v>
      </c>
      <c r="E1792" s="738">
        <f t="shared" si="54"/>
        <v>3864.53</v>
      </c>
      <c r="F1792">
        <f t="shared" si="55"/>
        <v>99309</v>
      </c>
      <c r="H1792" s="1405">
        <v>3674.3</v>
      </c>
      <c r="I1792" s="1405">
        <v>3864.53</v>
      </c>
    </row>
    <row r="1793" spans="2:9" ht="30">
      <c r="B1793" s="1477">
        <v>99310</v>
      </c>
      <c r="C1793" s="740" t="s">
        <v>6963</v>
      </c>
      <c r="D1793" s="739" t="s">
        <v>22</v>
      </c>
      <c r="E1793" s="741">
        <f t="shared" si="54"/>
        <v>14881.07</v>
      </c>
      <c r="F1793">
        <f t="shared" si="55"/>
        <v>99310</v>
      </c>
      <c r="H1793" s="1406">
        <v>14397.88</v>
      </c>
      <c r="I1793" s="1406">
        <v>14881.07</v>
      </c>
    </row>
    <row r="1794" spans="2:9" ht="30">
      <c r="B1794" s="677">
        <v>99311</v>
      </c>
      <c r="C1794" s="733" t="s">
        <v>4389</v>
      </c>
      <c r="D1794" s="677" t="s">
        <v>21</v>
      </c>
      <c r="E1794" s="738">
        <f t="shared" si="54"/>
        <v>3864.53</v>
      </c>
      <c r="F1794">
        <f t="shared" si="55"/>
        <v>99311</v>
      </c>
      <c r="H1794" s="1405">
        <v>3674.3</v>
      </c>
      <c r="I1794" s="1405">
        <v>3864.53</v>
      </c>
    </row>
    <row r="1795" spans="2:9" ht="30">
      <c r="B1795" s="1477">
        <v>99312</v>
      </c>
      <c r="C1795" s="740" t="s">
        <v>6964</v>
      </c>
      <c r="D1795" s="739" t="s">
        <v>22</v>
      </c>
      <c r="E1795" s="741">
        <f t="shared" ref="E1795:E1858" si="56">IF($K$2=$H$1,H1795,I1795)</f>
        <v>7336.62</v>
      </c>
      <c r="F1795">
        <f t="shared" ref="F1795:F1858" si="57">IF(LEN($B1795)=7,CONCATENATE(MID($B1795,1,6),"00",RIGHT($B1795,1)),IF(LEN($B1795)=8,CONCATENATE(MID($B1795,1,6),"0",RIGHT($B1795,2)),$B1795))</f>
        <v>99312</v>
      </c>
      <c r="H1795" s="1406">
        <v>7072.63</v>
      </c>
      <c r="I1795" s="1406">
        <v>7336.62</v>
      </c>
    </row>
    <row r="1796" spans="2:9" ht="30">
      <c r="B1796" s="677">
        <v>99313</v>
      </c>
      <c r="C1796" s="733" t="s">
        <v>6965</v>
      </c>
      <c r="D1796" s="677" t="s">
        <v>22</v>
      </c>
      <c r="E1796" s="738">
        <f t="shared" si="56"/>
        <v>16602.580000000002</v>
      </c>
      <c r="F1796">
        <f t="shared" si="57"/>
        <v>99313</v>
      </c>
      <c r="H1796" s="1405">
        <v>16068.24</v>
      </c>
      <c r="I1796" s="1405">
        <v>16602.580000000002</v>
      </c>
    </row>
    <row r="1797" spans="2:9" ht="30">
      <c r="B1797" s="1477">
        <v>99314</v>
      </c>
      <c r="C1797" s="740" t="s">
        <v>4390</v>
      </c>
      <c r="D1797" s="739" t="s">
        <v>21</v>
      </c>
      <c r="E1797" s="741">
        <f t="shared" si="56"/>
        <v>4121.7299999999996</v>
      </c>
      <c r="F1797">
        <f t="shared" si="57"/>
        <v>99314</v>
      </c>
      <c r="H1797" s="1406">
        <v>3918.77</v>
      </c>
      <c r="I1797" s="1406">
        <v>4121.7299999999996</v>
      </c>
    </row>
    <row r="1798" spans="2:9" ht="30">
      <c r="B1798" s="677">
        <v>99315</v>
      </c>
      <c r="C1798" s="733" t="s">
        <v>6966</v>
      </c>
      <c r="D1798" s="677" t="s">
        <v>22</v>
      </c>
      <c r="E1798" s="738">
        <f t="shared" si="56"/>
        <v>18572.11</v>
      </c>
      <c r="F1798">
        <f t="shared" si="57"/>
        <v>99315</v>
      </c>
      <c r="H1798" s="1405">
        <v>17981.61</v>
      </c>
      <c r="I1798" s="1405">
        <v>18572.11</v>
      </c>
    </row>
    <row r="1799" spans="2:9" ht="30">
      <c r="B1799" s="1477">
        <v>99317</v>
      </c>
      <c r="C1799" s="740" t="s">
        <v>4391</v>
      </c>
      <c r="D1799" s="739" t="s">
        <v>21</v>
      </c>
      <c r="E1799" s="741">
        <f t="shared" si="56"/>
        <v>2587.3200000000002</v>
      </c>
      <c r="F1799">
        <f t="shared" si="57"/>
        <v>99317</v>
      </c>
      <c r="H1799" s="1406">
        <v>2460.39</v>
      </c>
      <c r="I1799" s="1406">
        <v>2587.3200000000002</v>
      </c>
    </row>
    <row r="1800" spans="2:9" ht="30">
      <c r="B1800" s="677">
        <v>99318</v>
      </c>
      <c r="C1800" s="733" t="s">
        <v>4392</v>
      </c>
      <c r="D1800" s="677" t="s">
        <v>21</v>
      </c>
      <c r="E1800" s="738">
        <f t="shared" si="56"/>
        <v>300.92</v>
      </c>
      <c r="F1800">
        <f t="shared" si="57"/>
        <v>99318</v>
      </c>
      <c r="H1800" s="1405">
        <v>299.01</v>
      </c>
      <c r="I1800" s="1405">
        <v>300.92</v>
      </c>
    </row>
    <row r="1801" spans="2:9" ht="30">
      <c r="B1801" s="1477">
        <v>99319</v>
      </c>
      <c r="C1801" s="740" t="s">
        <v>4393</v>
      </c>
      <c r="D1801" s="739" t="s">
        <v>21</v>
      </c>
      <c r="E1801" s="741">
        <f t="shared" si="56"/>
        <v>946.34</v>
      </c>
      <c r="F1801">
        <f t="shared" si="57"/>
        <v>99319</v>
      </c>
      <c r="H1801" s="1406">
        <v>901.24</v>
      </c>
      <c r="I1801" s="1406">
        <v>946.34</v>
      </c>
    </row>
    <row r="1802" spans="2:9" ht="30">
      <c r="B1802" s="677">
        <v>99320</v>
      </c>
      <c r="C1802" s="733" t="s">
        <v>6967</v>
      </c>
      <c r="D1802" s="677" t="s">
        <v>22</v>
      </c>
      <c r="E1802" s="738">
        <f t="shared" si="56"/>
        <v>8482.18</v>
      </c>
      <c r="F1802">
        <f t="shared" si="57"/>
        <v>99320</v>
      </c>
      <c r="H1802" s="1405">
        <v>8181.66</v>
      </c>
      <c r="I1802" s="1405">
        <v>8482.18</v>
      </c>
    </row>
    <row r="1803" spans="2:9" ht="30">
      <c r="B1803" s="1477">
        <v>99321</v>
      </c>
      <c r="C1803" s="740" t="s">
        <v>4394</v>
      </c>
      <c r="D1803" s="739" t="s">
        <v>21</v>
      </c>
      <c r="E1803" s="741">
        <f t="shared" si="56"/>
        <v>2840.14</v>
      </c>
      <c r="F1803">
        <f t="shared" si="57"/>
        <v>99321</v>
      </c>
      <c r="H1803" s="1406">
        <v>2700.65</v>
      </c>
      <c r="I1803" s="1406">
        <v>2840.14</v>
      </c>
    </row>
    <row r="1804" spans="2:9" ht="30">
      <c r="B1804" s="677">
        <v>99322</v>
      </c>
      <c r="C1804" s="733" t="s">
        <v>6968</v>
      </c>
      <c r="D1804" s="677" t="s">
        <v>22</v>
      </c>
      <c r="E1804" s="738">
        <f t="shared" si="56"/>
        <v>9573.09</v>
      </c>
      <c r="F1804">
        <f t="shared" si="57"/>
        <v>99322</v>
      </c>
      <c r="H1804" s="1405">
        <v>9236.0499999999993</v>
      </c>
      <c r="I1804" s="1405">
        <v>9573.09</v>
      </c>
    </row>
    <row r="1805" spans="2:9" ht="30">
      <c r="B1805" s="1477">
        <v>99323</v>
      </c>
      <c r="C1805" s="740" t="s">
        <v>4395</v>
      </c>
      <c r="D1805" s="739" t="s">
        <v>21</v>
      </c>
      <c r="E1805" s="741">
        <f t="shared" si="56"/>
        <v>3092.88</v>
      </c>
      <c r="F1805">
        <f t="shared" si="57"/>
        <v>99323</v>
      </c>
      <c r="H1805" s="1406">
        <v>2940.87</v>
      </c>
      <c r="I1805" s="1406">
        <v>3092.88</v>
      </c>
    </row>
    <row r="1806" spans="2:9" ht="30">
      <c r="B1806" s="677">
        <v>99324</v>
      </c>
      <c r="C1806" s="733" t="s">
        <v>6969</v>
      </c>
      <c r="D1806" s="677" t="s">
        <v>22</v>
      </c>
      <c r="E1806" s="738">
        <f t="shared" si="56"/>
        <v>10664.06</v>
      </c>
      <c r="F1806">
        <f t="shared" si="57"/>
        <v>99324</v>
      </c>
      <c r="H1806" s="1405">
        <v>10290.51</v>
      </c>
      <c r="I1806" s="1405">
        <v>10664.06</v>
      </c>
    </row>
    <row r="1807" spans="2:9" ht="30">
      <c r="B1807" s="1477">
        <v>99325</v>
      </c>
      <c r="C1807" s="740" t="s">
        <v>4396</v>
      </c>
      <c r="D1807" s="739" t="s">
        <v>21</v>
      </c>
      <c r="E1807" s="741">
        <f t="shared" si="56"/>
        <v>3350.05</v>
      </c>
      <c r="F1807">
        <f t="shared" si="57"/>
        <v>99325</v>
      </c>
      <c r="H1807" s="1406">
        <v>3185.3</v>
      </c>
      <c r="I1807" s="1406">
        <v>3350.05</v>
      </c>
    </row>
    <row r="1808" spans="2:9" ht="30">
      <c r="B1808" s="677">
        <v>99326</v>
      </c>
      <c r="C1808" s="733" t="s">
        <v>6970</v>
      </c>
      <c r="D1808" s="677" t="s">
        <v>22</v>
      </c>
      <c r="E1808" s="738">
        <f t="shared" si="56"/>
        <v>8703.34</v>
      </c>
      <c r="F1808">
        <f t="shared" si="57"/>
        <v>99326</v>
      </c>
      <c r="H1808" s="1405">
        <v>8405.59</v>
      </c>
      <c r="I1808" s="1405">
        <v>8703.34</v>
      </c>
    </row>
    <row r="1809" spans="2:9" ht="30">
      <c r="B1809" s="1477">
        <v>99327</v>
      </c>
      <c r="C1809" s="740" t="s">
        <v>4397</v>
      </c>
      <c r="D1809" s="739" t="s">
        <v>21</v>
      </c>
      <c r="E1809" s="741">
        <f t="shared" si="56"/>
        <v>4335.5</v>
      </c>
      <c r="F1809">
        <f t="shared" si="57"/>
        <v>99327</v>
      </c>
      <c r="H1809" s="1406">
        <v>4121.76</v>
      </c>
      <c r="I1809" s="1406">
        <v>4335.5</v>
      </c>
    </row>
    <row r="1810" spans="2:9" ht="30">
      <c r="B1810" s="677">
        <v>101800</v>
      </c>
      <c r="C1810" s="733" t="s">
        <v>4398</v>
      </c>
      <c r="D1810" s="677" t="s">
        <v>22</v>
      </c>
      <c r="E1810" s="738">
        <f t="shared" si="56"/>
        <v>1596.22</v>
      </c>
      <c r="F1810">
        <f t="shared" si="57"/>
        <v>101800</v>
      </c>
      <c r="H1810" s="1405">
        <v>1547.89</v>
      </c>
      <c r="I1810" s="1405">
        <v>1596.22</v>
      </c>
    </row>
    <row r="1811" spans="2:9" ht="30">
      <c r="B1811" s="1477">
        <v>101801</v>
      </c>
      <c r="C1811" s="740" t="s">
        <v>4399</v>
      </c>
      <c r="D1811" s="739" t="s">
        <v>22</v>
      </c>
      <c r="E1811" s="741">
        <f t="shared" si="56"/>
        <v>1108.17</v>
      </c>
      <c r="F1811">
        <f t="shared" si="57"/>
        <v>101801</v>
      </c>
      <c r="H1811" s="1406">
        <v>1078.07</v>
      </c>
      <c r="I1811" s="1406">
        <v>1108.17</v>
      </c>
    </row>
    <row r="1812" spans="2:9" ht="30">
      <c r="B1812" s="677">
        <v>101806</v>
      </c>
      <c r="C1812" s="733" t="s">
        <v>6436</v>
      </c>
      <c r="D1812" s="677" t="s">
        <v>22</v>
      </c>
      <c r="E1812" s="738">
        <f t="shared" si="56"/>
        <v>559.86</v>
      </c>
      <c r="F1812">
        <f t="shared" si="57"/>
        <v>101806</v>
      </c>
      <c r="H1812" s="1405">
        <v>529.38</v>
      </c>
      <c r="I1812" s="1405">
        <v>559.86</v>
      </c>
    </row>
    <row r="1813" spans="2:9" ht="30">
      <c r="B1813" s="1477">
        <v>101807</v>
      </c>
      <c r="C1813" s="740" t="s">
        <v>6437</v>
      </c>
      <c r="D1813" s="739" t="s">
        <v>22</v>
      </c>
      <c r="E1813" s="741">
        <f t="shared" si="56"/>
        <v>500.22</v>
      </c>
      <c r="F1813">
        <f t="shared" si="57"/>
        <v>101807</v>
      </c>
      <c r="H1813" s="1406">
        <v>472.56</v>
      </c>
      <c r="I1813" s="1406">
        <v>500.22</v>
      </c>
    </row>
    <row r="1814" spans="2:9" ht="30">
      <c r="B1814" s="677">
        <v>101808</v>
      </c>
      <c r="C1814" s="733" t="s">
        <v>6438</v>
      </c>
      <c r="D1814" s="677" t="s">
        <v>22</v>
      </c>
      <c r="E1814" s="738">
        <f t="shared" si="56"/>
        <v>566.96</v>
      </c>
      <c r="F1814">
        <f t="shared" si="57"/>
        <v>101808</v>
      </c>
      <c r="H1814" s="1405">
        <v>560.21</v>
      </c>
      <c r="I1814" s="1405">
        <v>566.96</v>
      </c>
    </row>
    <row r="1815" spans="2:9" ht="30">
      <c r="B1815" s="1477">
        <v>101809</v>
      </c>
      <c r="C1815" s="740" t="s">
        <v>6971</v>
      </c>
      <c r="D1815" s="739" t="s">
        <v>22</v>
      </c>
      <c r="E1815" s="741">
        <f t="shared" si="56"/>
        <v>3089.31</v>
      </c>
      <c r="F1815">
        <f t="shared" si="57"/>
        <v>101809</v>
      </c>
      <c r="H1815" s="1406">
        <v>2980.19</v>
      </c>
      <c r="I1815" s="1406">
        <v>3089.31</v>
      </c>
    </row>
    <row r="1816" spans="2:9" ht="30">
      <c r="B1816" s="677">
        <v>102139</v>
      </c>
      <c r="C1816" s="733" t="s">
        <v>6972</v>
      </c>
      <c r="D1816" s="677" t="s">
        <v>22</v>
      </c>
      <c r="E1816" s="738">
        <f t="shared" si="56"/>
        <v>1849.67</v>
      </c>
      <c r="F1816">
        <f t="shared" si="57"/>
        <v>102139</v>
      </c>
      <c r="H1816" s="1405">
        <v>1815.31</v>
      </c>
      <c r="I1816" s="1405">
        <v>1849.67</v>
      </c>
    </row>
    <row r="1817" spans="2:9" ht="30">
      <c r="B1817" s="1477">
        <v>102141</v>
      </c>
      <c r="C1817" s="740" t="s">
        <v>6973</v>
      </c>
      <c r="D1817" s="739" t="s">
        <v>22</v>
      </c>
      <c r="E1817" s="741">
        <f t="shared" si="56"/>
        <v>2861.81</v>
      </c>
      <c r="F1817">
        <f t="shared" si="57"/>
        <v>102141</v>
      </c>
      <c r="H1817" s="1406">
        <v>2812.32</v>
      </c>
      <c r="I1817" s="1406">
        <v>2861.81</v>
      </c>
    </row>
    <row r="1818" spans="2:9" ht="30">
      <c r="B1818" s="677">
        <v>102142</v>
      </c>
      <c r="C1818" s="733" t="s">
        <v>6974</v>
      </c>
      <c r="D1818" s="677" t="s">
        <v>22</v>
      </c>
      <c r="E1818" s="738">
        <f t="shared" si="56"/>
        <v>2822.9</v>
      </c>
      <c r="F1818">
        <f t="shared" si="57"/>
        <v>102142</v>
      </c>
      <c r="H1818" s="1405">
        <v>2773.58</v>
      </c>
      <c r="I1818" s="1405">
        <v>2822.9</v>
      </c>
    </row>
    <row r="1819" spans="2:9" ht="30">
      <c r="B1819" s="1477">
        <v>102457</v>
      </c>
      <c r="C1819" s="740" t="s">
        <v>6975</v>
      </c>
      <c r="D1819" s="739" t="s">
        <v>22</v>
      </c>
      <c r="E1819" s="741">
        <f t="shared" si="56"/>
        <v>1784.27</v>
      </c>
      <c r="F1819">
        <f t="shared" si="57"/>
        <v>102457</v>
      </c>
      <c r="H1819" s="1406">
        <v>1751.94</v>
      </c>
      <c r="I1819" s="1406">
        <v>1784.27</v>
      </c>
    </row>
    <row r="1820" spans="2:9">
      <c r="B1820" s="677">
        <v>94263</v>
      </c>
      <c r="C1820" s="733" t="s">
        <v>14527</v>
      </c>
      <c r="D1820" s="677" t="s">
        <v>21</v>
      </c>
      <c r="E1820" s="738">
        <f t="shared" si="56"/>
        <v>39.08</v>
      </c>
      <c r="F1820">
        <f t="shared" si="57"/>
        <v>94263</v>
      </c>
      <c r="H1820" s="1405">
        <v>37.51</v>
      </c>
      <c r="I1820" s="1405">
        <v>39.08</v>
      </c>
    </row>
    <row r="1821" spans="2:9">
      <c r="B1821" s="1477">
        <v>94264</v>
      </c>
      <c r="C1821" s="740" t="s">
        <v>14528</v>
      </c>
      <c r="D1821" s="739" t="s">
        <v>21</v>
      </c>
      <c r="E1821" s="741">
        <f t="shared" si="56"/>
        <v>43.36</v>
      </c>
      <c r="F1821">
        <f t="shared" si="57"/>
        <v>94264</v>
      </c>
      <c r="H1821" s="1406">
        <v>41.4</v>
      </c>
      <c r="I1821" s="1406">
        <v>43.36</v>
      </c>
    </row>
    <row r="1822" spans="2:9">
      <c r="B1822" s="677">
        <v>94265</v>
      </c>
      <c r="C1822" s="733" t="s">
        <v>14529</v>
      </c>
      <c r="D1822" s="677" t="s">
        <v>21</v>
      </c>
      <c r="E1822" s="738">
        <f t="shared" si="56"/>
        <v>55.4</v>
      </c>
      <c r="F1822">
        <f t="shared" si="57"/>
        <v>94265</v>
      </c>
      <c r="H1822" s="1405">
        <v>53.71</v>
      </c>
      <c r="I1822" s="1405">
        <v>55.4</v>
      </c>
    </row>
    <row r="1823" spans="2:9">
      <c r="B1823" s="1477">
        <v>94266</v>
      </c>
      <c r="C1823" s="740" t="s">
        <v>14530</v>
      </c>
      <c r="D1823" s="739" t="s">
        <v>21</v>
      </c>
      <c r="E1823" s="741">
        <f t="shared" si="56"/>
        <v>60.29</v>
      </c>
      <c r="F1823">
        <f t="shared" si="57"/>
        <v>94266</v>
      </c>
      <c r="H1823" s="1406">
        <v>58.15</v>
      </c>
      <c r="I1823" s="1406">
        <v>60.29</v>
      </c>
    </row>
    <row r="1824" spans="2:9" ht="30">
      <c r="B1824" s="677">
        <v>94267</v>
      </c>
      <c r="C1824" s="733" t="s">
        <v>14531</v>
      </c>
      <c r="D1824" s="677" t="s">
        <v>21</v>
      </c>
      <c r="E1824" s="738">
        <f t="shared" si="56"/>
        <v>67.66</v>
      </c>
      <c r="F1824">
        <f t="shared" si="57"/>
        <v>94267</v>
      </c>
      <c r="H1824" s="1405">
        <v>65.87</v>
      </c>
      <c r="I1824" s="1405">
        <v>67.66</v>
      </c>
    </row>
    <row r="1825" spans="2:9" ht="30">
      <c r="B1825" s="1477">
        <v>94268</v>
      </c>
      <c r="C1825" s="740" t="s">
        <v>14532</v>
      </c>
      <c r="D1825" s="739" t="s">
        <v>21</v>
      </c>
      <c r="E1825" s="741">
        <f t="shared" si="56"/>
        <v>73.05</v>
      </c>
      <c r="F1825">
        <f t="shared" si="57"/>
        <v>94268</v>
      </c>
      <c r="H1825" s="1406">
        <v>70.77</v>
      </c>
      <c r="I1825" s="1406">
        <v>73.05</v>
      </c>
    </row>
    <row r="1826" spans="2:9" ht="30">
      <c r="B1826" s="677">
        <v>94269</v>
      </c>
      <c r="C1826" s="733" t="s">
        <v>14533</v>
      </c>
      <c r="D1826" s="677" t="s">
        <v>21</v>
      </c>
      <c r="E1826" s="738">
        <f t="shared" si="56"/>
        <v>99.12</v>
      </c>
      <c r="F1826">
        <f t="shared" si="57"/>
        <v>94269</v>
      </c>
      <c r="H1826" s="1405">
        <v>96.95</v>
      </c>
      <c r="I1826" s="1405">
        <v>99.12</v>
      </c>
    </row>
    <row r="1827" spans="2:9" ht="30">
      <c r="B1827" s="1477">
        <v>94270</v>
      </c>
      <c r="C1827" s="740" t="s">
        <v>14534</v>
      </c>
      <c r="D1827" s="739" t="s">
        <v>21</v>
      </c>
      <c r="E1827" s="741">
        <f t="shared" si="56"/>
        <v>106.62</v>
      </c>
      <c r="F1827">
        <f t="shared" si="57"/>
        <v>94270</v>
      </c>
      <c r="H1827" s="1406">
        <v>103.76</v>
      </c>
      <c r="I1827" s="1406">
        <v>106.62</v>
      </c>
    </row>
    <row r="1828" spans="2:9" ht="30">
      <c r="B1828" s="677">
        <v>94271</v>
      </c>
      <c r="C1828" s="733" t="s">
        <v>14535</v>
      </c>
      <c r="D1828" s="677" t="s">
        <v>21</v>
      </c>
      <c r="E1828" s="738">
        <f t="shared" si="56"/>
        <v>121.22</v>
      </c>
      <c r="F1828">
        <f t="shared" si="57"/>
        <v>94271</v>
      </c>
      <c r="H1828" s="1405">
        <v>118.58</v>
      </c>
      <c r="I1828" s="1405">
        <v>121.22</v>
      </c>
    </row>
    <row r="1829" spans="2:9" ht="30">
      <c r="B1829" s="1477">
        <v>94272</v>
      </c>
      <c r="C1829" s="740" t="s">
        <v>14536</v>
      </c>
      <c r="D1829" s="739" t="s">
        <v>21</v>
      </c>
      <c r="E1829" s="741">
        <f t="shared" si="56"/>
        <v>131.22999999999999</v>
      </c>
      <c r="F1829">
        <f t="shared" si="57"/>
        <v>94272</v>
      </c>
      <c r="H1829" s="1406">
        <v>127.68</v>
      </c>
      <c r="I1829" s="1406">
        <v>131.22999999999999</v>
      </c>
    </row>
    <row r="1830" spans="2:9" ht="30">
      <c r="B1830" s="677">
        <v>94273</v>
      </c>
      <c r="C1830" s="733" t="s">
        <v>14537</v>
      </c>
      <c r="D1830" s="677" t="s">
        <v>21</v>
      </c>
      <c r="E1830" s="738">
        <f t="shared" si="56"/>
        <v>51.28</v>
      </c>
      <c r="F1830">
        <f t="shared" si="57"/>
        <v>94273</v>
      </c>
      <c r="H1830" s="1405">
        <v>50.18</v>
      </c>
      <c r="I1830" s="1405">
        <v>51.28</v>
      </c>
    </row>
    <row r="1831" spans="2:9" ht="30">
      <c r="B1831" s="1477">
        <v>94274</v>
      </c>
      <c r="C1831" s="740" t="s">
        <v>14538</v>
      </c>
      <c r="D1831" s="739" t="s">
        <v>21</v>
      </c>
      <c r="E1831" s="741">
        <f t="shared" si="56"/>
        <v>53.87</v>
      </c>
      <c r="F1831">
        <f t="shared" si="57"/>
        <v>94274</v>
      </c>
      <c r="H1831" s="1406">
        <v>52.51</v>
      </c>
      <c r="I1831" s="1406">
        <v>53.87</v>
      </c>
    </row>
    <row r="1832" spans="2:9" ht="30">
      <c r="B1832" s="677">
        <v>94275</v>
      </c>
      <c r="C1832" s="733" t="s">
        <v>14539</v>
      </c>
      <c r="D1832" s="677" t="s">
        <v>21</v>
      </c>
      <c r="E1832" s="738">
        <f t="shared" si="56"/>
        <v>46.53</v>
      </c>
      <c r="F1832">
        <f t="shared" si="57"/>
        <v>94275</v>
      </c>
      <c r="H1832" s="1405">
        <v>45.5</v>
      </c>
      <c r="I1832" s="1405">
        <v>46.53</v>
      </c>
    </row>
    <row r="1833" spans="2:9" ht="30">
      <c r="B1833" s="1477">
        <v>94276</v>
      </c>
      <c r="C1833" s="740" t="s">
        <v>14540</v>
      </c>
      <c r="D1833" s="739" t="s">
        <v>21</v>
      </c>
      <c r="E1833" s="741">
        <f t="shared" si="56"/>
        <v>49.11</v>
      </c>
      <c r="F1833">
        <f t="shared" si="57"/>
        <v>94276</v>
      </c>
      <c r="H1833" s="1406">
        <v>47.83</v>
      </c>
      <c r="I1833" s="1406">
        <v>49.11</v>
      </c>
    </row>
    <row r="1834" spans="2:9" ht="30">
      <c r="B1834" s="677">
        <v>94277</v>
      </c>
      <c r="C1834" s="733" t="s">
        <v>14541</v>
      </c>
      <c r="D1834" s="677" t="s">
        <v>21</v>
      </c>
      <c r="E1834" s="738">
        <f t="shared" si="56"/>
        <v>40.840000000000003</v>
      </c>
      <c r="F1834">
        <f t="shared" si="57"/>
        <v>94277</v>
      </c>
      <c r="H1834" s="1405">
        <v>39.880000000000003</v>
      </c>
      <c r="I1834" s="1405">
        <v>40.840000000000003</v>
      </c>
    </row>
    <row r="1835" spans="2:9" ht="30">
      <c r="B1835" s="1477">
        <v>94278</v>
      </c>
      <c r="C1835" s="740" t="s">
        <v>14542</v>
      </c>
      <c r="D1835" s="739" t="s">
        <v>21</v>
      </c>
      <c r="E1835" s="741">
        <f t="shared" si="56"/>
        <v>43.43</v>
      </c>
      <c r="F1835">
        <f t="shared" si="57"/>
        <v>94278</v>
      </c>
      <c r="H1835" s="1406">
        <v>42.21</v>
      </c>
      <c r="I1835" s="1406">
        <v>43.43</v>
      </c>
    </row>
    <row r="1836" spans="2:9" ht="45">
      <c r="B1836" s="677">
        <v>94279</v>
      </c>
      <c r="C1836" s="733" t="s">
        <v>14543</v>
      </c>
      <c r="D1836" s="677" t="s">
        <v>21</v>
      </c>
      <c r="E1836" s="738">
        <f t="shared" si="56"/>
        <v>49.83</v>
      </c>
      <c r="F1836">
        <f t="shared" si="57"/>
        <v>94279</v>
      </c>
      <c r="H1836" s="1405">
        <v>48.92</v>
      </c>
      <c r="I1836" s="1405">
        <v>49.83</v>
      </c>
    </row>
    <row r="1837" spans="2:9" ht="45">
      <c r="B1837" s="1477">
        <v>94280</v>
      </c>
      <c r="C1837" s="740" t="s">
        <v>14544</v>
      </c>
      <c r="D1837" s="739" t="s">
        <v>21</v>
      </c>
      <c r="E1837" s="741">
        <f t="shared" si="56"/>
        <v>52.42</v>
      </c>
      <c r="F1837">
        <f t="shared" si="57"/>
        <v>94280</v>
      </c>
      <c r="H1837" s="1406">
        <v>51.24</v>
      </c>
      <c r="I1837" s="1406">
        <v>52.42</v>
      </c>
    </row>
    <row r="1838" spans="2:9">
      <c r="B1838" s="677">
        <v>94281</v>
      </c>
      <c r="C1838" s="733" t="s">
        <v>14545</v>
      </c>
      <c r="D1838" s="677" t="s">
        <v>21</v>
      </c>
      <c r="E1838" s="738">
        <f t="shared" si="56"/>
        <v>53.85</v>
      </c>
      <c r="F1838">
        <f t="shared" si="57"/>
        <v>94281</v>
      </c>
      <c r="H1838" s="1405">
        <v>52.68</v>
      </c>
      <c r="I1838" s="1405">
        <v>53.85</v>
      </c>
    </row>
    <row r="1839" spans="2:9">
      <c r="B1839" s="1477">
        <v>94282</v>
      </c>
      <c r="C1839" s="740" t="s">
        <v>14546</v>
      </c>
      <c r="D1839" s="739" t="s">
        <v>21</v>
      </c>
      <c r="E1839" s="741">
        <f t="shared" si="56"/>
        <v>60.68</v>
      </c>
      <c r="F1839">
        <f t="shared" si="57"/>
        <v>94282</v>
      </c>
      <c r="H1839" s="1406">
        <v>58.82</v>
      </c>
      <c r="I1839" s="1406">
        <v>60.68</v>
      </c>
    </row>
    <row r="1840" spans="2:9">
      <c r="B1840" s="677">
        <v>94283</v>
      </c>
      <c r="C1840" s="733" t="s">
        <v>14547</v>
      </c>
      <c r="D1840" s="677" t="s">
        <v>21</v>
      </c>
      <c r="E1840" s="738">
        <f t="shared" si="56"/>
        <v>74.790000000000006</v>
      </c>
      <c r="F1840">
        <f t="shared" si="57"/>
        <v>94283</v>
      </c>
      <c r="H1840" s="1405">
        <v>73.5</v>
      </c>
      <c r="I1840" s="1405">
        <v>74.790000000000006</v>
      </c>
    </row>
    <row r="1841" spans="2:9">
      <c r="B1841" s="1477">
        <v>94284</v>
      </c>
      <c r="C1841" s="740" t="s">
        <v>14548</v>
      </c>
      <c r="D1841" s="739" t="s">
        <v>21</v>
      </c>
      <c r="E1841" s="741">
        <f t="shared" si="56"/>
        <v>81.62</v>
      </c>
      <c r="F1841">
        <f t="shared" si="57"/>
        <v>94284</v>
      </c>
      <c r="H1841" s="1406">
        <v>79.650000000000006</v>
      </c>
      <c r="I1841" s="1406">
        <v>81.62</v>
      </c>
    </row>
    <row r="1842" spans="2:9">
      <c r="B1842" s="677">
        <v>94285</v>
      </c>
      <c r="C1842" s="733" t="s">
        <v>14549</v>
      </c>
      <c r="D1842" s="677" t="s">
        <v>21</v>
      </c>
      <c r="E1842" s="738">
        <f t="shared" si="56"/>
        <v>97.85</v>
      </c>
      <c r="F1842">
        <f t="shared" si="57"/>
        <v>94285</v>
      </c>
      <c r="H1842" s="1405">
        <v>96.21</v>
      </c>
      <c r="I1842" s="1405">
        <v>97.85</v>
      </c>
    </row>
    <row r="1843" spans="2:9">
      <c r="B1843" s="1477">
        <v>94286</v>
      </c>
      <c r="C1843" s="740" t="s">
        <v>14550</v>
      </c>
      <c r="D1843" s="739" t="s">
        <v>21</v>
      </c>
      <c r="E1843" s="741">
        <f t="shared" si="56"/>
        <v>104.7</v>
      </c>
      <c r="F1843">
        <f t="shared" si="57"/>
        <v>94286</v>
      </c>
      <c r="H1843" s="1406">
        <v>102.36</v>
      </c>
      <c r="I1843" s="1406">
        <v>104.7</v>
      </c>
    </row>
    <row r="1844" spans="2:9">
      <c r="B1844" s="677">
        <v>94287</v>
      </c>
      <c r="C1844" s="733" t="s">
        <v>14551</v>
      </c>
      <c r="D1844" s="677" t="s">
        <v>21</v>
      </c>
      <c r="E1844" s="738">
        <f t="shared" si="56"/>
        <v>39.67</v>
      </c>
      <c r="F1844">
        <f t="shared" si="57"/>
        <v>94287</v>
      </c>
      <c r="H1844" s="1405">
        <v>38.590000000000003</v>
      </c>
      <c r="I1844" s="1405">
        <v>39.67</v>
      </c>
    </row>
    <row r="1845" spans="2:9">
      <c r="B1845" s="1477">
        <v>94288</v>
      </c>
      <c r="C1845" s="740" t="s">
        <v>14552</v>
      </c>
      <c r="D1845" s="739" t="s">
        <v>21</v>
      </c>
      <c r="E1845" s="741">
        <f t="shared" si="56"/>
        <v>45.76</v>
      </c>
      <c r="F1845">
        <f t="shared" si="57"/>
        <v>94288</v>
      </c>
      <c r="H1845" s="1406">
        <v>44.06</v>
      </c>
      <c r="I1845" s="1406">
        <v>45.76</v>
      </c>
    </row>
    <row r="1846" spans="2:9">
      <c r="B1846" s="677">
        <v>94289</v>
      </c>
      <c r="C1846" s="733" t="s">
        <v>14553</v>
      </c>
      <c r="D1846" s="677" t="s">
        <v>21</v>
      </c>
      <c r="E1846" s="738">
        <f t="shared" si="56"/>
        <v>53.2</v>
      </c>
      <c r="F1846">
        <f t="shared" si="57"/>
        <v>94289</v>
      </c>
      <c r="H1846" s="1405">
        <v>52.1</v>
      </c>
      <c r="I1846" s="1405">
        <v>53.2</v>
      </c>
    </row>
    <row r="1847" spans="2:9">
      <c r="B1847" s="1477">
        <v>94290</v>
      </c>
      <c r="C1847" s="740" t="s">
        <v>14554</v>
      </c>
      <c r="D1847" s="739" t="s">
        <v>21</v>
      </c>
      <c r="E1847" s="741">
        <f t="shared" si="56"/>
        <v>59.29</v>
      </c>
      <c r="F1847">
        <f t="shared" si="57"/>
        <v>94290</v>
      </c>
      <c r="H1847" s="1406">
        <v>57.57</v>
      </c>
      <c r="I1847" s="1406">
        <v>59.29</v>
      </c>
    </row>
    <row r="1848" spans="2:9">
      <c r="B1848" s="677">
        <v>94291</v>
      </c>
      <c r="C1848" s="733" t="s">
        <v>14555</v>
      </c>
      <c r="D1848" s="677" t="s">
        <v>21</v>
      </c>
      <c r="E1848" s="738">
        <f t="shared" si="56"/>
        <v>67.23</v>
      </c>
      <c r="F1848">
        <f t="shared" si="57"/>
        <v>94291</v>
      </c>
      <c r="H1848" s="1405">
        <v>66.05</v>
      </c>
      <c r="I1848" s="1405">
        <v>67.23</v>
      </c>
    </row>
    <row r="1849" spans="2:9">
      <c r="B1849" s="1477">
        <v>94292</v>
      </c>
      <c r="C1849" s="740" t="s">
        <v>14556</v>
      </c>
      <c r="D1849" s="739" t="s">
        <v>21</v>
      </c>
      <c r="E1849" s="741">
        <f t="shared" si="56"/>
        <v>73.31</v>
      </c>
      <c r="F1849">
        <f t="shared" si="57"/>
        <v>94292</v>
      </c>
      <c r="H1849" s="1406">
        <v>71.52</v>
      </c>
      <c r="I1849" s="1406">
        <v>73.31</v>
      </c>
    </row>
    <row r="1850" spans="2:9">
      <c r="B1850" s="677">
        <v>94293</v>
      </c>
      <c r="C1850" s="733" t="s">
        <v>14557</v>
      </c>
      <c r="D1850" s="677" t="s">
        <v>21</v>
      </c>
      <c r="E1850" s="738">
        <f t="shared" si="56"/>
        <v>219.51</v>
      </c>
      <c r="F1850">
        <f t="shared" si="57"/>
        <v>94293</v>
      </c>
      <c r="H1850" s="1405">
        <v>215.92</v>
      </c>
      <c r="I1850" s="1405">
        <v>219.51</v>
      </c>
    </row>
    <row r="1851" spans="2:9">
      <c r="B1851" s="1477">
        <v>94294</v>
      </c>
      <c r="C1851" s="740" t="s">
        <v>14558</v>
      </c>
      <c r="D1851" s="739" t="s">
        <v>21</v>
      </c>
      <c r="E1851" s="741">
        <f t="shared" si="56"/>
        <v>8.94</v>
      </c>
      <c r="F1851">
        <f t="shared" si="57"/>
        <v>94294</v>
      </c>
      <c r="H1851" s="1406">
        <v>8.7100000000000009</v>
      </c>
      <c r="I1851" s="1406">
        <v>8.94</v>
      </c>
    </row>
    <row r="1852" spans="2:9" ht="45">
      <c r="B1852" s="677">
        <v>104491</v>
      </c>
      <c r="C1852" s="733" t="s">
        <v>7381</v>
      </c>
      <c r="D1852" s="677" t="s">
        <v>21</v>
      </c>
      <c r="E1852" s="738">
        <f t="shared" si="56"/>
        <v>4187.78</v>
      </c>
      <c r="F1852">
        <f t="shared" si="57"/>
        <v>104491</v>
      </c>
      <c r="H1852" s="1405">
        <v>4181.3</v>
      </c>
      <c r="I1852" s="1405">
        <v>4187.78</v>
      </c>
    </row>
    <row r="1853" spans="2:9" ht="45">
      <c r="B1853" s="1477">
        <v>104492</v>
      </c>
      <c r="C1853" s="740" t="s">
        <v>7382</v>
      </c>
      <c r="D1853" s="739" t="s">
        <v>21</v>
      </c>
      <c r="E1853" s="741">
        <f t="shared" si="56"/>
        <v>5237.3</v>
      </c>
      <c r="F1853">
        <f t="shared" si="57"/>
        <v>104492</v>
      </c>
      <c r="H1853" s="1406">
        <v>5229.32</v>
      </c>
      <c r="I1853" s="1406">
        <v>5237.3</v>
      </c>
    </row>
    <row r="1854" spans="2:9" ht="45">
      <c r="B1854" s="677">
        <v>104494</v>
      </c>
      <c r="C1854" s="733" t="s">
        <v>7383</v>
      </c>
      <c r="D1854" s="677" t="s">
        <v>21</v>
      </c>
      <c r="E1854" s="738">
        <f t="shared" si="56"/>
        <v>7075.82</v>
      </c>
      <c r="F1854">
        <f t="shared" si="57"/>
        <v>104494</v>
      </c>
      <c r="H1854" s="1405">
        <v>7066.4</v>
      </c>
      <c r="I1854" s="1405">
        <v>7075.82</v>
      </c>
    </row>
    <row r="1855" spans="2:9" ht="45">
      <c r="B1855" s="1477">
        <v>104497</v>
      </c>
      <c r="C1855" s="740" t="s">
        <v>7384</v>
      </c>
      <c r="D1855" s="739" t="s">
        <v>21</v>
      </c>
      <c r="E1855" s="741">
        <f t="shared" si="56"/>
        <v>8476.43</v>
      </c>
      <c r="F1855">
        <f t="shared" si="57"/>
        <v>104497</v>
      </c>
      <c r="H1855" s="1406">
        <v>8464.26</v>
      </c>
      <c r="I1855" s="1406">
        <v>8476.43</v>
      </c>
    </row>
    <row r="1856" spans="2:9">
      <c r="B1856" s="677">
        <v>104515</v>
      </c>
      <c r="C1856" s="733" t="s">
        <v>7385</v>
      </c>
      <c r="D1856" s="677" t="s">
        <v>0</v>
      </c>
      <c r="E1856" s="738">
        <f t="shared" si="56"/>
        <v>27.96</v>
      </c>
      <c r="F1856">
        <f t="shared" si="57"/>
        <v>104515</v>
      </c>
      <c r="H1856" s="1405">
        <v>27.92</v>
      </c>
      <c r="I1856" s="1405">
        <v>27.96</v>
      </c>
    </row>
    <row r="1857" spans="2:9" ht="30">
      <c r="B1857" s="1477">
        <v>102727</v>
      </c>
      <c r="C1857" s="740" t="s">
        <v>4806</v>
      </c>
      <c r="D1857" s="739" t="s">
        <v>0</v>
      </c>
      <c r="E1857" s="741">
        <f t="shared" si="56"/>
        <v>104.83</v>
      </c>
      <c r="F1857">
        <f t="shared" si="57"/>
        <v>102727</v>
      </c>
      <c r="H1857" s="1406">
        <v>100.5</v>
      </c>
      <c r="I1857" s="1406">
        <v>104.83</v>
      </c>
    </row>
    <row r="1858" spans="2:9">
      <c r="B1858" s="677">
        <v>102728</v>
      </c>
      <c r="C1858" s="733" t="s">
        <v>4807</v>
      </c>
      <c r="D1858" s="677" t="s">
        <v>20</v>
      </c>
      <c r="E1858" s="738">
        <f t="shared" si="56"/>
        <v>15.69</v>
      </c>
      <c r="F1858">
        <f t="shared" si="57"/>
        <v>102728</v>
      </c>
      <c r="H1858" s="1405">
        <v>15.24</v>
      </c>
      <c r="I1858" s="1405">
        <v>15.69</v>
      </c>
    </row>
    <row r="1859" spans="2:9">
      <c r="B1859" s="1477">
        <v>102729</v>
      </c>
      <c r="C1859" s="740" t="s">
        <v>4808</v>
      </c>
      <c r="D1859" s="739" t="s">
        <v>20</v>
      </c>
      <c r="E1859" s="741">
        <f t="shared" ref="E1859:E1922" si="58">IF($K$2=$H$1,H1859,I1859)</f>
        <v>14.79</v>
      </c>
      <c r="F1859">
        <f t="shared" ref="F1859:F1922" si="59">IF(LEN($B1859)=7,CONCATENATE(MID($B1859,1,6),"00",RIGHT($B1859,1)),IF(LEN($B1859)=8,CONCATENATE(MID($B1859,1,6),"0",RIGHT($B1859,2)),$B1859))</f>
        <v>102729</v>
      </c>
      <c r="H1859" s="1406">
        <v>14.47</v>
      </c>
      <c r="I1859" s="1406">
        <v>14.79</v>
      </c>
    </row>
    <row r="1860" spans="2:9">
      <c r="B1860" s="677">
        <v>102730</v>
      </c>
      <c r="C1860" s="733" t="s">
        <v>4809</v>
      </c>
      <c r="D1860" s="677" t="s">
        <v>20</v>
      </c>
      <c r="E1860" s="738">
        <f t="shared" si="58"/>
        <v>13.24</v>
      </c>
      <c r="F1860">
        <f t="shared" si="59"/>
        <v>102730</v>
      </c>
      <c r="H1860" s="1405">
        <v>13.02</v>
      </c>
      <c r="I1860" s="1405">
        <v>13.24</v>
      </c>
    </row>
    <row r="1861" spans="2:9">
      <c r="B1861" s="1477">
        <v>102731</v>
      </c>
      <c r="C1861" s="740" t="s">
        <v>4810</v>
      </c>
      <c r="D1861" s="739" t="s">
        <v>20</v>
      </c>
      <c r="E1861" s="741">
        <f t="shared" si="58"/>
        <v>11.19</v>
      </c>
      <c r="F1861">
        <f t="shared" si="59"/>
        <v>102731</v>
      </c>
      <c r="H1861" s="1406">
        <v>11.02</v>
      </c>
      <c r="I1861" s="1406">
        <v>11.19</v>
      </c>
    </row>
    <row r="1862" spans="2:9">
      <c r="B1862" s="677">
        <v>102732</v>
      </c>
      <c r="C1862" s="733" t="s">
        <v>4811</v>
      </c>
      <c r="D1862" s="677" t="s">
        <v>20</v>
      </c>
      <c r="E1862" s="738">
        <f t="shared" si="58"/>
        <v>10.62</v>
      </c>
      <c r="F1862">
        <f t="shared" si="59"/>
        <v>102732</v>
      </c>
      <c r="H1862" s="1405">
        <v>10.51</v>
      </c>
      <c r="I1862" s="1405">
        <v>10.62</v>
      </c>
    </row>
    <row r="1863" spans="2:9">
      <c r="B1863" s="1477">
        <v>102733</v>
      </c>
      <c r="C1863" s="740" t="s">
        <v>4812</v>
      </c>
      <c r="D1863" s="739" t="s">
        <v>20</v>
      </c>
      <c r="E1863" s="741">
        <f t="shared" si="58"/>
        <v>11.89</v>
      </c>
      <c r="F1863">
        <f t="shared" si="59"/>
        <v>102733</v>
      </c>
      <c r="H1863" s="1406">
        <v>11.81</v>
      </c>
      <c r="I1863" s="1406">
        <v>11.89</v>
      </c>
    </row>
    <row r="1864" spans="2:9">
      <c r="B1864" s="677">
        <v>102734</v>
      </c>
      <c r="C1864" s="733" t="s">
        <v>4813</v>
      </c>
      <c r="D1864" s="677" t="s">
        <v>20</v>
      </c>
      <c r="E1864" s="738">
        <f t="shared" si="58"/>
        <v>14.84</v>
      </c>
      <c r="F1864">
        <f t="shared" si="59"/>
        <v>102734</v>
      </c>
      <c r="H1864" s="1405">
        <v>14.5</v>
      </c>
      <c r="I1864" s="1405">
        <v>14.84</v>
      </c>
    </row>
    <row r="1865" spans="2:9">
      <c r="B1865" s="1477">
        <v>102735</v>
      </c>
      <c r="C1865" s="740" t="s">
        <v>4814</v>
      </c>
      <c r="D1865" s="739" t="s">
        <v>20</v>
      </c>
      <c r="E1865" s="741">
        <f t="shared" si="58"/>
        <v>14.04</v>
      </c>
      <c r="F1865">
        <f t="shared" si="59"/>
        <v>102735</v>
      </c>
      <c r="H1865" s="1406">
        <v>13.81</v>
      </c>
      <c r="I1865" s="1406">
        <v>14.04</v>
      </c>
    </row>
    <row r="1866" spans="2:9" ht="30">
      <c r="B1866" s="677">
        <v>102736</v>
      </c>
      <c r="C1866" s="733" t="s">
        <v>4815</v>
      </c>
      <c r="D1866" s="677" t="s">
        <v>19</v>
      </c>
      <c r="E1866" s="738">
        <f t="shared" si="58"/>
        <v>844.49</v>
      </c>
      <c r="F1866">
        <f t="shared" si="59"/>
        <v>102736</v>
      </c>
      <c r="H1866" s="1405">
        <v>840.15</v>
      </c>
      <c r="I1866" s="1405">
        <v>844.49</v>
      </c>
    </row>
    <row r="1867" spans="2:9" ht="30">
      <c r="B1867" s="1477">
        <v>102737</v>
      </c>
      <c r="C1867" s="740" t="s">
        <v>4816</v>
      </c>
      <c r="D1867" s="739" t="s">
        <v>22</v>
      </c>
      <c r="E1867" s="741">
        <f t="shared" si="58"/>
        <v>1233.4100000000001</v>
      </c>
      <c r="F1867">
        <f t="shared" si="59"/>
        <v>102737</v>
      </c>
      <c r="H1867" s="1406">
        <v>1203.4100000000001</v>
      </c>
      <c r="I1867" s="1406">
        <v>1233.4100000000001</v>
      </c>
    </row>
    <row r="1868" spans="2:9" ht="30">
      <c r="B1868" s="677">
        <v>102738</v>
      </c>
      <c r="C1868" s="733" t="s">
        <v>4817</v>
      </c>
      <c r="D1868" s="677" t="s">
        <v>22</v>
      </c>
      <c r="E1868" s="738">
        <f t="shared" si="58"/>
        <v>2535.33</v>
      </c>
      <c r="F1868">
        <f t="shared" si="59"/>
        <v>102738</v>
      </c>
      <c r="H1868" s="1405">
        <v>2476.56</v>
      </c>
      <c r="I1868" s="1405">
        <v>2535.33</v>
      </c>
    </row>
    <row r="1869" spans="2:9" ht="30">
      <c r="B1869" s="1477">
        <v>102739</v>
      </c>
      <c r="C1869" s="740" t="s">
        <v>4818</v>
      </c>
      <c r="D1869" s="739" t="s">
        <v>22</v>
      </c>
      <c r="E1869" s="741">
        <f t="shared" si="58"/>
        <v>4251.2</v>
      </c>
      <c r="F1869">
        <f t="shared" si="59"/>
        <v>102739</v>
      </c>
      <c r="H1869" s="1406">
        <v>4155.1400000000003</v>
      </c>
      <c r="I1869" s="1406">
        <v>4251.2</v>
      </c>
    </row>
    <row r="1870" spans="2:9" ht="30">
      <c r="B1870" s="677">
        <v>102740</v>
      </c>
      <c r="C1870" s="733" t="s">
        <v>4819</v>
      </c>
      <c r="D1870" s="677" t="s">
        <v>22</v>
      </c>
      <c r="E1870" s="738">
        <f t="shared" si="58"/>
        <v>6381.75</v>
      </c>
      <c r="F1870">
        <f t="shared" si="59"/>
        <v>102740</v>
      </c>
      <c r="H1870" s="1405">
        <v>6241.16</v>
      </c>
      <c r="I1870" s="1405">
        <v>6381.75</v>
      </c>
    </row>
    <row r="1871" spans="2:9" ht="30">
      <c r="B1871" s="1477">
        <v>102741</v>
      </c>
      <c r="C1871" s="740" t="s">
        <v>4820</v>
      </c>
      <c r="D1871" s="739" t="s">
        <v>22</v>
      </c>
      <c r="E1871" s="741">
        <f t="shared" si="58"/>
        <v>8971.06</v>
      </c>
      <c r="F1871">
        <f t="shared" si="59"/>
        <v>102741</v>
      </c>
      <c r="H1871" s="1406">
        <v>8778.17</v>
      </c>
      <c r="I1871" s="1406">
        <v>8971.06</v>
      </c>
    </row>
    <row r="1872" spans="2:9" ht="30">
      <c r="B1872" s="677">
        <v>102742</v>
      </c>
      <c r="C1872" s="733" t="s">
        <v>4821</v>
      </c>
      <c r="D1872" s="677" t="s">
        <v>22</v>
      </c>
      <c r="E1872" s="738">
        <f t="shared" si="58"/>
        <v>15560.48</v>
      </c>
      <c r="F1872">
        <f t="shared" si="59"/>
        <v>102742</v>
      </c>
      <c r="H1872" s="1405">
        <v>15234.47</v>
      </c>
      <c r="I1872" s="1405">
        <v>15560.48</v>
      </c>
    </row>
    <row r="1873" spans="2:9" ht="30">
      <c r="B1873" s="1477">
        <v>102743</v>
      </c>
      <c r="C1873" s="740" t="s">
        <v>4822</v>
      </c>
      <c r="D1873" s="739" t="s">
        <v>22</v>
      </c>
      <c r="E1873" s="741">
        <f t="shared" si="58"/>
        <v>5163.38</v>
      </c>
      <c r="F1873">
        <f t="shared" si="59"/>
        <v>102743</v>
      </c>
      <c r="H1873" s="1406">
        <v>5047.41</v>
      </c>
      <c r="I1873" s="1406">
        <v>5163.38</v>
      </c>
    </row>
    <row r="1874" spans="2:9" ht="30">
      <c r="B1874" s="677">
        <v>102744</v>
      </c>
      <c r="C1874" s="733" t="s">
        <v>4823</v>
      </c>
      <c r="D1874" s="677" t="s">
        <v>22</v>
      </c>
      <c r="E1874" s="738">
        <f t="shared" si="58"/>
        <v>7746.28</v>
      </c>
      <c r="F1874">
        <f t="shared" si="59"/>
        <v>102744</v>
      </c>
      <c r="H1874" s="1405">
        <v>7576.83</v>
      </c>
      <c r="I1874" s="1405">
        <v>7746.28</v>
      </c>
    </row>
    <row r="1875" spans="2:9" ht="30">
      <c r="B1875" s="1477">
        <v>102745</v>
      </c>
      <c r="C1875" s="740" t="s">
        <v>4824</v>
      </c>
      <c r="D1875" s="739" t="s">
        <v>22</v>
      </c>
      <c r="E1875" s="741">
        <f t="shared" si="58"/>
        <v>10903.84</v>
      </c>
      <c r="F1875">
        <f t="shared" si="59"/>
        <v>102745</v>
      </c>
      <c r="H1875" s="1406">
        <v>10671.28</v>
      </c>
      <c r="I1875" s="1406">
        <v>10903.84</v>
      </c>
    </row>
    <row r="1876" spans="2:9" ht="30">
      <c r="B1876" s="677">
        <v>102746</v>
      </c>
      <c r="C1876" s="733" t="s">
        <v>4825</v>
      </c>
      <c r="D1876" s="677" t="s">
        <v>22</v>
      </c>
      <c r="E1876" s="738">
        <f t="shared" si="58"/>
        <v>18937.22</v>
      </c>
      <c r="F1876">
        <f t="shared" si="59"/>
        <v>102746</v>
      </c>
      <c r="H1876" s="1405">
        <v>18544.259999999998</v>
      </c>
      <c r="I1876" s="1405">
        <v>18937.22</v>
      </c>
    </row>
    <row r="1877" spans="2:9" ht="30">
      <c r="B1877" s="1477">
        <v>102747</v>
      </c>
      <c r="C1877" s="740" t="s">
        <v>4826</v>
      </c>
      <c r="D1877" s="739" t="s">
        <v>22</v>
      </c>
      <c r="E1877" s="741">
        <f t="shared" si="58"/>
        <v>9634.43</v>
      </c>
      <c r="F1877">
        <f t="shared" si="59"/>
        <v>102747</v>
      </c>
      <c r="H1877" s="1406">
        <v>9426.56</v>
      </c>
      <c r="I1877" s="1406">
        <v>9634.43</v>
      </c>
    </row>
    <row r="1878" spans="2:9" ht="30">
      <c r="B1878" s="677">
        <v>102748</v>
      </c>
      <c r="C1878" s="733" t="s">
        <v>4827</v>
      </c>
      <c r="D1878" s="677" t="s">
        <v>22</v>
      </c>
      <c r="E1878" s="738">
        <f t="shared" si="58"/>
        <v>13501.25</v>
      </c>
      <c r="F1878">
        <f t="shared" si="59"/>
        <v>102748</v>
      </c>
      <c r="H1878" s="1405">
        <v>13216.98</v>
      </c>
      <c r="I1878" s="1405">
        <v>13501.25</v>
      </c>
    </row>
    <row r="1879" spans="2:9" ht="30">
      <c r="B1879" s="1477">
        <v>102749</v>
      </c>
      <c r="C1879" s="740" t="s">
        <v>4828</v>
      </c>
      <c r="D1879" s="739" t="s">
        <v>22</v>
      </c>
      <c r="E1879" s="741">
        <f t="shared" si="58"/>
        <v>23223.48</v>
      </c>
      <c r="F1879">
        <f t="shared" si="59"/>
        <v>102749</v>
      </c>
      <c r="H1879" s="1406">
        <v>22747.83</v>
      </c>
      <c r="I1879" s="1406">
        <v>23223.48</v>
      </c>
    </row>
    <row r="1880" spans="2:9" ht="30">
      <c r="B1880" s="677">
        <v>102750</v>
      </c>
      <c r="C1880" s="733" t="s">
        <v>4829</v>
      </c>
      <c r="D1880" s="677" t="s">
        <v>22</v>
      </c>
      <c r="E1880" s="738">
        <f t="shared" si="58"/>
        <v>3095.41</v>
      </c>
      <c r="F1880">
        <f t="shared" si="59"/>
        <v>102750</v>
      </c>
      <c r="H1880" s="1405">
        <v>3024.96</v>
      </c>
      <c r="I1880" s="1405">
        <v>3095.41</v>
      </c>
    </row>
    <row r="1881" spans="2:9" ht="30">
      <c r="B1881" s="1477">
        <v>102751</v>
      </c>
      <c r="C1881" s="740" t="s">
        <v>4830</v>
      </c>
      <c r="D1881" s="739" t="s">
        <v>22</v>
      </c>
      <c r="E1881" s="741">
        <f t="shared" si="58"/>
        <v>5393.75</v>
      </c>
      <c r="F1881">
        <f t="shared" si="59"/>
        <v>102751</v>
      </c>
      <c r="H1881" s="1406">
        <v>5276.63</v>
      </c>
      <c r="I1881" s="1406">
        <v>5393.75</v>
      </c>
    </row>
    <row r="1882" spans="2:9" ht="30">
      <c r="B1882" s="677">
        <v>102752</v>
      </c>
      <c r="C1882" s="733" t="s">
        <v>4831</v>
      </c>
      <c r="D1882" s="677" t="s">
        <v>22</v>
      </c>
      <c r="E1882" s="738">
        <f t="shared" si="58"/>
        <v>8612.1</v>
      </c>
      <c r="F1882">
        <f t="shared" si="59"/>
        <v>102752</v>
      </c>
      <c r="H1882" s="1405">
        <v>8431.64</v>
      </c>
      <c r="I1882" s="1405">
        <v>8612.1</v>
      </c>
    </row>
    <row r="1883" spans="2:9" ht="30">
      <c r="B1883" s="1477">
        <v>102753</v>
      </c>
      <c r="C1883" s="740" t="s">
        <v>4832</v>
      </c>
      <c r="D1883" s="739" t="s">
        <v>22</v>
      </c>
      <c r="E1883" s="741">
        <f t="shared" si="58"/>
        <v>12772.86</v>
      </c>
      <c r="F1883">
        <f t="shared" si="59"/>
        <v>102753</v>
      </c>
      <c r="H1883" s="1406">
        <v>12513.6</v>
      </c>
      <c r="I1883" s="1406">
        <v>12772.86</v>
      </c>
    </row>
    <row r="1884" spans="2:9" ht="30">
      <c r="B1884" s="677">
        <v>102754</v>
      </c>
      <c r="C1884" s="733" t="s">
        <v>4833</v>
      </c>
      <c r="D1884" s="677" t="s">
        <v>22</v>
      </c>
      <c r="E1884" s="738">
        <f t="shared" si="58"/>
        <v>24337.26</v>
      </c>
      <c r="F1884">
        <f t="shared" si="59"/>
        <v>102754</v>
      </c>
      <c r="H1884" s="1405">
        <v>23859.1</v>
      </c>
      <c r="I1884" s="1405">
        <v>24337.26</v>
      </c>
    </row>
    <row r="1885" spans="2:9" ht="30">
      <c r="B1885" s="1477">
        <v>102755</v>
      </c>
      <c r="C1885" s="740" t="s">
        <v>4834</v>
      </c>
      <c r="D1885" s="739" t="s">
        <v>22</v>
      </c>
      <c r="E1885" s="741">
        <f t="shared" si="58"/>
        <v>12062.34</v>
      </c>
      <c r="F1885">
        <f t="shared" si="59"/>
        <v>102755</v>
      </c>
      <c r="H1885" s="1406">
        <v>11816.13</v>
      </c>
      <c r="I1885" s="1406">
        <v>12062.34</v>
      </c>
    </row>
    <row r="1886" spans="2:9" ht="30">
      <c r="B1886" s="677">
        <v>102756</v>
      </c>
      <c r="C1886" s="733" t="s">
        <v>4835</v>
      </c>
      <c r="D1886" s="677" t="s">
        <v>22</v>
      </c>
      <c r="E1886" s="738">
        <f t="shared" si="58"/>
        <v>17946.18</v>
      </c>
      <c r="F1886">
        <f t="shared" si="59"/>
        <v>102756</v>
      </c>
      <c r="H1886" s="1405">
        <v>17591.63</v>
      </c>
      <c r="I1886" s="1405">
        <v>17946.18</v>
      </c>
    </row>
    <row r="1887" spans="2:9" ht="30">
      <c r="B1887" s="1477">
        <v>102757</v>
      </c>
      <c r="C1887" s="740" t="s">
        <v>4836</v>
      </c>
      <c r="D1887" s="739" t="s">
        <v>22</v>
      </c>
      <c r="E1887" s="741">
        <f t="shared" si="58"/>
        <v>33459.33</v>
      </c>
      <c r="F1887">
        <f t="shared" si="59"/>
        <v>102757</v>
      </c>
      <c r="H1887" s="1406">
        <v>32819.730000000003</v>
      </c>
      <c r="I1887" s="1406">
        <v>33459.33</v>
      </c>
    </row>
    <row r="1888" spans="2:9" ht="30">
      <c r="B1888" s="677">
        <v>102758</v>
      </c>
      <c r="C1888" s="733" t="s">
        <v>4837</v>
      </c>
      <c r="D1888" s="677" t="s">
        <v>22</v>
      </c>
      <c r="E1888" s="738">
        <f t="shared" si="58"/>
        <v>15527.1</v>
      </c>
      <c r="F1888">
        <f t="shared" si="59"/>
        <v>102758</v>
      </c>
      <c r="H1888" s="1405">
        <v>15214.68</v>
      </c>
      <c r="I1888" s="1405">
        <v>15527.1</v>
      </c>
    </row>
    <row r="1889" spans="2:9" ht="30">
      <c r="B1889" s="1477">
        <v>102759</v>
      </c>
      <c r="C1889" s="740" t="s">
        <v>4838</v>
      </c>
      <c r="D1889" s="739" t="s">
        <v>22</v>
      </c>
      <c r="E1889" s="741">
        <f t="shared" si="58"/>
        <v>23141.46</v>
      </c>
      <c r="F1889">
        <f t="shared" si="59"/>
        <v>102759</v>
      </c>
      <c r="H1889" s="1406">
        <v>22690.99</v>
      </c>
      <c r="I1889" s="1406">
        <v>23141.46</v>
      </c>
    </row>
    <row r="1890" spans="2:9" ht="30">
      <c r="B1890" s="677">
        <v>102760</v>
      </c>
      <c r="C1890" s="733" t="s">
        <v>4839</v>
      </c>
      <c r="D1890" s="677" t="s">
        <v>22</v>
      </c>
      <c r="E1890" s="738">
        <f t="shared" si="58"/>
        <v>42745.82</v>
      </c>
      <c r="F1890">
        <f t="shared" si="59"/>
        <v>102760</v>
      </c>
      <c r="H1890" s="1405">
        <v>41940.69</v>
      </c>
      <c r="I1890" s="1405">
        <v>42745.82</v>
      </c>
    </row>
    <row r="1891" spans="2:9" ht="30">
      <c r="B1891" s="1477">
        <v>102761</v>
      </c>
      <c r="C1891" s="740" t="s">
        <v>4840</v>
      </c>
      <c r="D1891" s="739" t="s">
        <v>22</v>
      </c>
      <c r="E1891" s="741">
        <f t="shared" si="58"/>
        <v>14668.06</v>
      </c>
      <c r="F1891">
        <f t="shared" si="59"/>
        <v>102761</v>
      </c>
      <c r="H1891" s="1406">
        <v>14314.91</v>
      </c>
      <c r="I1891" s="1406">
        <v>14668.06</v>
      </c>
    </row>
    <row r="1892" spans="2:9" ht="30">
      <c r="B1892" s="677">
        <v>102762</v>
      </c>
      <c r="C1892" s="733" t="s">
        <v>4841</v>
      </c>
      <c r="D1892" s="677" t="s">
        <v>22</v>
      </c>
      <c r="E1892" s="738">
        <f t="shared" si="58"/>
        <v>22815.27</v>
      </c>
      <c r="F1892">
        <f t="shared" si="59"/>
        <v>102762</v>
      </c>
      <c r="H1892" s="1405">
        <v>22308.92</v>
      </c>
      <c r="I1892" s="1405">
        <v>22815.27</v>
      </c>
    </row>
    <row r="1893" spans="2:9" ht="30">
      <c r="B1893" s="1477">
        <v>102763</v>
      </c>
      <c r="C1893" s="740" t="s">
        <v>4842</v>
      </c>
      <c r="D1893" s="739" t="s">
        <v>22</v>
      </c>
      <c r="E1893" s="741">
        <f t="shared" si="58"/>
        <v>31740.32</v>
      </c>
      <c r="F1893">
        <f t="shared" si="59"/>
        <v>102763</v>
      </c>
      <c r="H1893" s="1406">
        <v>31058.18</v>
      </c>
      <c r="I1893" s="1406">
        <v>31740.32</v>
      </c>
    </row>
    <row r="1894" spans="2:9" ht="30">
      <c r="B1894" s="677">
        <v>102764</v>
      </c>
      <c r="C1894" s="733" t="s">
        <v>4843</v>
      </c>
      <c r="D1894" s="677" t="s">
        <v>22</v>
      </c>
      <c r="E1894" s="738">
        <f t="shared" si="58"/>
        <v>45014.400000000001</v>
      </c>
      <c r="F1894">
        <f t="shared" si="59"/>
        <v>102764</v>
      </c>
      <c r="H1894" s="1405">
        <v>44122.09</v>
      </c>
      <c r="I1894" s="1405">
        <v>45014.400000000001</v>
      </c>
    </row>
    <row r="1895" spans="2:9" ht="30">
      <c r="B1895" s="1477">
        <v>102765</v>
      </c>
      <c r="C1895" s="740" t="s">
        <v>4844</v>
      </c>
      <c r="D1895" s="739" t="s">
        <v>22</v>
      </c>
      <c r="E1895" s="741">
        <f t="shared" si="58"/>
        <v>18333.36</v>
      </c>
      <c r="F1895">
        <f t="shared" si="59"/>
        <v>102765</v>
      </c>
      <c r="H1895" s="1406">
        <v>17895.560000000001</v>
      </c>
      <c r="I1895" s="1406">
        <v>18333.36</v>
      </c>
    </row>
    <row r="1896" spans="2:9" ht="30">
      <c r="B1896" s="677">
        <v>102766</v>
      </c>
      <c r="C1896" s="733" t="s">
        <v>4845</v>
      </c>
      <c r="D1896" s="677" t="s">
        <v>22</v>
      </c>
      <c r="E1896" s="738">
        <f t="shared" si="58"/>
        <v>27801.95</v>
      </c>
      <c r="F1896">
        <f t="shared" si="59"/>
        <v>102766</v>
      </c>
      <c r="H1896" s="1405">
        <v>27189.35</v>
      </c>
      <c r="I1896" s="1405">
        <v>27801.95</v>
      </c>
    </row>
    <row r="1897" spans="2:9" ht="30">
      <c r="B1897" s="1477">
        <v>102767</v>
      </c>
      <c r="C1897" s="740" t="s">
        <v>4846</v>
      </c>
      <c r="D1897" s="739" t="s">
        <v>22</v>
      </c>
      <c r="E1897" s="741">
        <f t="shared" si="58"/>
        <v>38876.71</v>
      </c>
      <c r="F1897">
        <f t="shared" si="59"/>
        <v>102767</v>
      </c>
      <c r="H1897" s="1406">
        <v>38048.800000000003</v>
      </c>
      <c r="I1897" s="1406">
        <v>38876.71</v>
      </c>
    </row>
    <row r="1898" spans="2:9" ht="30">
      <c r="B1898" s="677">
        <v>102768</v>
      </c>
      <c r="C1898" s="733" t="s">
        <v>4847</v>
      </c>
      <c r="D1898" s="677" t="s">
        <v>22</v>
      </c>
      <c r="E1898" s="738">
        <f t="shared" si="58"/>
        <v>54619.73</v>
      </c>
      <c r="F1898">
        <f t="shared" si="59"/>
        <v>102768</v>
      </c>
      <c r="H1898" s="1405">
        <v>53549.18</v>
      </c>
      <c r="I1898" s="1405">
        <v>54619.73</v>
      </c>
    </row>
    <row r="1899" spans="2:9" ht="30">
      <c r="B1899" s="1477">
        <v>102769</v>
      </c>
      <c r="C1899" s="740" t="s">
        <v>4848</v>
      </c>
      <c r="D1899" s="739" t="s">
        <v>22</v>
      </c>
      <c r="E1899" s="741">
        <f t="shared" si="58"/>
        <v>21314.07</v>
      </c>
      <c r="F1899">
        <f t="shared" si="59"/>
        <v>102769</v>
      </c>
      <c r="H1899" s="1406">
        <v>20818.28</v>
      </c>
      <c r="I1899" s="1406">
        <v>21314.07</v>
      </c>
    </row>
    <row r="1900" spans="2:9" ht="30">
      <c r="B1900" s="677">
        <v>102770</v>
      </c>
      <c r="C1900" s="733" t="s">
        <v>4849</v>
      </c>
      <c r="D1900" s="677" t="s">
        <v>22</v>
      </c>
      <c r="E1900" s="738">
        <f t="shared" si="58"/>
        <v>32847.03</v>
      </c>
      <c r="F1900">
        <f t="shared" si="59"/>
        <v>102770</v>
      </c>
      <c r="H1900" s="1405">
        <v>32127.84</v>
      </c>
      <c r="I1900" s="1405">
        <v>32847.03</v>
      </c>
    </row>
    <row r="1901" spans="2:9" ht="30">
      <c r="B1901" s="1477">
        <v>102771</v>
      </c>
      <c r="C1901" s="740" t="s">
        <v>4850</v>
      </c>
      <c r="D1901" s="739" t="s">
        <v>22</v>
      </c>
      <c r="E1901" s="741">
        <f t="shared" si="58"/>
        <v>45913.96</v>
      </c>
      <c r="F1901">
        <f t="shared" si="59"/>
        <v>102771</v>
      </c>
      <c r="H1901" s="1406">
        <v>44942.38</v>
      </c>
      <c r="I1901" s="1406">
        <v>45913.96</v>
      </c>
    </row>
    <row r="1902" spans="2:9" ht="30">
      <c r="B1902" s="677">
        <v>102772</v>
      </c>
      <c r="C1902" s="733" t="s">
        <v>4851</v>
      </c>
      <c r="D1902" s="677" t="s">
        <v>22</v>
      </c>
      <c r="E1902" s="738">
        <f t="shared" si="58"/>
        <v>64870.35</v>
      </c>
      <c r="F1902">
        <f t="shared" si="59"/>
        <v>102772</v>
      </c>
      <c r="H1902" s="1405">
        <v>63612.93</v>
      </c>
      <c r="I1902" s="1405">
        <v>64870.35</v>
      </c>
    </row>
    <row r="1903" spans="2:9" ht="30">
      <c r="B1903" s="1477">
        <v>102773</v>
      </c>
      <c r="C1903" s="740" t="s">
        <v>4852</v>
      </c>
      <c r="D1903" s="739" t="s">
        <v>22</v>
      </c>
      <c r="E1903" s="741">
        <f t="shared" si="58"/>
        <v>8544.0400000000009</v>
      </c>
      <c r="F1903">
        <f t="shared" si="59"/>
        <v>102773</v>
      </c>
      <c r="H1903" s="1406">
        <v>8375.9599999999991</v>
      </c>
      <c r="I1903" s="1406">
        <v>8544.0400000000009</v>
      </c>
    </row>
    <row r="1904" spans="2:9" ht="30">
      <c r="B1904" s="677">
        <v>102774</v>
      </c>
      <c r="C1904" s="733" t="s">
        <v>4853</v>
      </c>
      <c r="D1904" s="677" t="s">
        <v>22</v>
      </c>
      <c r="E1904" s="738">
        <f t="shared" si="58"/>
        <v>8544.0400000000009</v>
      </c>
      <c r="F1904">
        <f t="shared" si="59"/>
        <v>102774</v>
      </c>
      <c r="H1904" s="1405">
        <v>8375.9599999999991</v>
      </c>
      <c r="I1904" s="1405">
        <v>8544.0400000000009</v>
      </c>
    </row>
    <row r="1905" spans="2:9" ht="30">
      <c r="B1905" s="1477">
        <v>102775</v>
      </c>
      <c r="C1905" s="740" t="s">
        <v>4854</v>
      </c>
      <c r="D1905" s="739" t="s">
        <v>22</v>
      </c>
      <c r="E1905" s="741">
        <f t="shared" si="58"/>
        <v>12807.52</v>
      </c>
      <c r="F1905">
        <f t="shared" si="59"/>
        <v>102775</v>
      </c>
      <c r="H1905" s="1406">
        <v>12554.78</v>
      </c>
      <c r="I1905" s="1406">
        <v>12807.52</v>
      </c>
    </row>
    <row r="1906" spans="2:9" ht="30">
      <c r="B1906" s="677">
        <v>102776</v>
      </c>
      <c r="C1906" s="733" t="s">
        <v>4855</v>
      </c>
      <c r="D1906" s="677" t="s">
        <v>22</v>
      </c>
      <c r="E1906" s="738">
        <f t="shared" si="58"/>
        <v>12807.52</v>
      </c>
      <c r="F1906">
        <f t="shared" si="59"/>
        <v>102776</v>
      </c>
      <c r="H1906" s="1405">
        <v>12554.78</v>
      </c>
      <c r="I1906" s="1405">
        <v>12807.52</v>
      </c>
    </row>
    <row r="1907" spans="2:9" ht="30">
      <c r="B1907" s="1477">
        <v>102777</v>
      </c>
      <c r="C1907" s="740" t="s">
        <v>4856</v>
      </c>
      <c r="D1907" s="739" t="s">
        <v>22</v>
      </c>
      <c r="E1907" s="741">
        <f t="shared" si="58"/>
        <v>19419.330000000002</v>
      </c>
      <c r="F1907">
        <f t="shared" si="59"/>
        <v>102777</v>
      </c>
      <c r="H1907" s="1406">
        <v>19035.61</v>
      </c>
      <c r="I1907" s="1406">
        <v>19419.330000000002</v>
      </c>
    </row>
    <row r="1908" spans="2:9" ht="30">
      <c r="B1908" s="677">
        <v>102778</v>
      </c>
      <c r="C1908" s="733" t="s">
        <v>4857</v>
      </c>
      <c r="D1908" s="677" t="s">
        <v>22</v>
      </c>
      <c r="E1908" s="738">
        <f t="shared" si="58"/>
        <v>29239.16</v>
      </c>
      <c r="F1908">
        <f t="shared" si="59"/>
        <v>102778</v>
      </c>
      <c r="H1908" s="1405">
        <v>28830.6</v>
      </c>
      <c r="I1908" s="1405">
        <v>29239.16</v>
      </c>
    </row>
    <row r="1909" spans="2:9" ht="30">
      <c r="B1909" s="1477">
        <v>102779</v>
      </c>
      <c r="C1909" s="740" t="s">
        <v>4858</v>
      </c>
      <c r="D1909" s="739" t="s">
        <v>22</v>
      </c>
      <c r="E1909" s="741">
        <f t="shared" si="58"/>
        <v>8544.0400000000009</v>
      </c>
      <c r="F1909">
        <f t="shared" si="59"/>
        <v>102779</v>
      </c>
      <c r="H1909" s="1406">
        <v>8375.9599999999991</v>
      </c>
      <c r="I1909" s="1406">
        <v>8544.0400000000009</v>
      </c>
    </row>
    <row r="1910" spans="2:9" ht="30">
      <c r="B1910" s="677">
        <v>102780</v>
      </c>
      <c r="C1910" s="733" t="s">
        <v>4859</v>
      </c>
      <c r="D1910" s="677" t="s">
        <v>22</v>
      </c>
      <c r="E1910" s="738">
        <f t="shared" si="58"/>
        <v>9826.5</v>
      </c>
      <c r="F1910">
        <f t="shared" si="59"/>
        <v>102780</v>
      </c>
      <c r="H1910" s="1405">
        <v>9633.27</v>
      </c>
      <c r="I1910" s="1405">
        <v>9826.5</v>
      </c>
    </row>
    <row r="1911" spans="2:9" ht="30">
      <c r="B1911" s="1477">
        <v>102781</v>
      </c>
      <c r="C1911" s="740" t="s">
        <v>4860</v>
      </c>
      <c r="D1911" s="739" t="s">
        <v>22</v>
      </c>
      <c r="E1911" s="741">
        <f t="shared" si="58"/>
        <v>14622.91</v>
      </c>
      <c r="F1911">
        <f t="shared" si="59"/>
        <v>102781</v>
      </c>
      <c r="H1911" s="1406">
        <v>14334.44</v>
      </c>
      <c r="I1911" s="1406">
        <v>14622.91</v>
      </c>
    </row>
    <row r="1912" spans="2:9" ht="30">
      <c r="B1912" s="677">
        <v>102782</v>
      </c>
      <c r="C1912" s="733" t="s">
        <v>4861</v>
      </c>
      <c r="D1912" s="677" t="s">
        <v>22</v>
      </c>
      <c r="E1912" s="738">
        <f t="shared" si="58"/>
        <v>16323.55</v>
      </c>
      <c r="F1912">
        <f t="shared" si="59"/>
        <v>102782</v>
      </c>
      <c r="H1912" s="1405">
        <v>16028.54</v>
      </c>
      <c r="I1912" s="1405">
        <v>16323.55</v>
      </c>
    </row>
    <row r="1913" spans="2:9" ht="30">
      <c r="B1913" s="1477">
        <v>102783</v>
      </c>
      <c r="C1913" s="740" t="s">
        <v>4862</v>
      </c>
      <c r="D1913" s="739" t="s">
        <v>22</v>
      </c>
      <c r="E1913" s="741">
        <f t="shared" si="58"/>
        <v>21652.9</v>
      </c>
      <c r="F1913">
        <f t="shared" si="59"/>
        <v>102783</v>
      </c>
      <c r="H1913" s="1406">
        <v>21252.07</v>
      </c>
      <c r="I1913" s="1406">
        <v>21652.9</v>
      </c>
    </row>
    <row r="1914" spans="2:9" ht="30">
      <c r="B1914" s="677">
        <v>102784</v>
      </c>
      <c r="C1914" s="733" t="s">
        <v>4863</v>
      </c>
      <c r="D1914" s="677" t="s">
        <v>22</v>
      </c>
      <c r="E1914" s="738">
        <f t="shared" si="58"/>
        <v>34149.07</v>
      </c>
      <c r="F1914">
        <f t="shared" si="59"/>
        <v>102784</v>
      </c>
      <c r="H1914" s="1405">
        <v>33728.1</v>
      </c>
      <c r="I1914" s="1405">
        <v>34149.07</v>
      </c>
    </row>
    <row r="1915" spans="2:9" ht="30">
      <c r="B1915" s="1477">
        <v>102785</v>
      </c>
      <c r="C1915" s="740" t="s">
        <v>4864</v>
      </c>
      <c r="D1915" s="739" t="s">
        <v>22</v>
      </c>
      <c r="E1915" s="741">
        <f t="shared" si="58"/>
        <v>9826.5</v>
      </c>
      <c r="F1915">
        <f t="shared" si="59"/>
        <v>102785</v>
      </c>
      <c r="H1915" s="1406">
        <v>9633.27</v>
      </c>
      <c r="I1915" s="1406">
        <v>9826.5</v>
      </c>
    </row>
    <row r="1916" spans="2:9" ht="30">
      <c r="B1916" s="677">
        <v>102786</v>
      </c>
      <c r="C1916" s="733" t="s">
        <v>4865</v>
      </c>
      <c r="D1916" s="677" t="s">
        <v>22</v>
      </c>
      <c r="E1916" s="738">
        <f t="shared" si="58"/>
        <v>10994.2</v>
      </c>
      <c r="F1916">
        <f t="shared" si="59"/>
        <v>102786</v>
      </c>
      <c r="H1916" s="1405">
        <v>10805.02</v>
      </c>
      <c r="I1916" s="1405">
        <v>10994.2</v>
      </c>
    </row>
    <row r="1917" spans="2:9" ht="30">
      <c r="B1917" s="1477">
        <v>102787</v>
      </c>
      <c r="C1917" s="740" t="s">
        <v>4866</v>
      </c>
      <c r="D1917" s="739" t="s">
        <v>22</v>
      </c>
      <c r="E1917" s="741">
        <f t="shared" si="58"/>
        <v>16323.55</v>
      </c>
      <c r="F1917">
        <f t="shared" si="59"/>
        <v>102787</v>
      </c>
      <c r="H1917" s="1406">
        <v>16028.54</v>
      </c>
      <c r="I1917" s="1406">
        <v>16323.55</v>
      </c>
    </row>
    <row r="1918" spans="2:9" ht="30">
      <c r="B1918" s="677">
        <v>102788</v>
      </c>
      <c r="C1918" s="733" t="s">
        <v>4867</v>
      </c>
      <c r="D1918" s="677" t="s">
        <v>22</v>
      </c>
      <c r="E1918" s="738">
        <f t="shared" si="58"/>
        <v>18002.66</v>
      </c>
      <c r="F1918">
        <f t="shared" si="59"/>
        <v>102788</v>
      </c>
      <c r="H1918" s="1405">
        <v>17706.599999999999</v>
      </c>
      <c r="I1918" s="1405">
        <v>18002.66</v>
      </c>
    </row>
    <row r="1919" spans="2:9" ht="30">
      <c r="B1919" s="1477">
        <v>102789</v>
      </c>
      <c r="C1919" s="740" t="s">
        <v>4868</v>
      </c>
      <c r="D1919" s="739" t="s">
        <v>22</v>
      </c>
      <c r="E1919" s="741">
        <f t="shared" si="58"/>
        <v>23757.360000000001</v>
      </c>
      <c r="F1919">
        <f t="shared" si="59"/>
        <v>102789</v>
      </c>
      <c r="H1919" s="1406">
        <v>23372.27</v>
      </c>
      <c r="I1919" s="1406">
        <v>23757.360000000001</v>
      </c>
    </row>
    <row r="1920" spans="2:9" ht="30">
      <c r="B1920" s="677">
        <v>102790</v>
      </c>
      <c r="C1920" s="733" t="s">
        <v>4869</v>
      </c>
      <c r="D1920" s="677" t="s">
        <v>22</v>
      </c>
      <c r="E1920" s="738">
        <f t="shared" si="58"/>
        <v>39417.61</v>
      </c>
      <c r="F1920">
        <f t="shared" si="59"/>
        <v>102790</v>
      </c>
      <c r="H1920" s="1405">
        <v>38892.97</v>
      </c>
      <c r="I1920" s="1405">
        <v>39417.61</v>
      </c>
    </row>
    <row r="1921" spans="2:9" ht="30">
      <c r="B1921" s="1477">
        <v>102791</v>
      </c>
      <c r="C1921" s="740" t="s">
        <v>4870</v>
      </c>
      <c r="D1921" s="739" t="s">
        <v>22</v>
      </c>
      <c r="E1921" s="741">
        <f t="shared" si="58"/>
        <v>31445.96</v>
      </c>
      <c r="F1921">
        <f t="shared" si="59"/>
        <v>102791</v>
      </c>
      <c r="H1921" s="1406">
        <v>30892.63</v>
      </c>
      <c r="I1921" s="1406">
        <v>31445.96</v>
      </c>
    </row>
    <row r="1922" spans="2:9" ht="30">
      <c r="B1922" s="677">
        <v>102792</v>
      </c>
      <c r="C1922" s="733" t="s">
        <v>4871</v>
      </c>
      <c r="D1922" s="677" t="s">
        <v>22</v>
      </c>
      <c r="E1922" s="738">
        <f t="shared" si="58"/>
        <v>51323.16</v>
      </c>
      <c r="F1922">
        <f t="shared" si="59"/>
        <v>102792</v>
      </c>
      <c r="H1922" s="1405">
        <v>50477.98</v>
      </c>
      <c r="I1922" s="1405">
        <v>51323.16</v>
      </c>
    </row>
    <row r="1923" spans="2:9" ht="30">
      <c r="B1923" s="1477">
        <v>102793</v>
      </c>
      <c r="C1923" s="740" t="s">
        <v>4872</v>
      </c>
      <c r="D1923" s="739" t="s">
        <v>22</v>
      </c>
      <c r="E1923" s="741">
        <f t="shared" ref="E1923:E1986" si="60">IF($K$2=$H$1,H1923,I1923)</f>
        <v>69286.63</v>
      </c>
      <c r="F1923">
        <f t="shared" ref="F1923:F1986" si="61">IF(LEN($B1923)=7,CONCATENATE(MID($B1923,1,6),"00",RIGHT($B1923,1)),IF(LEN($B1923)=8,CONCATENATE(MID($B1923,1,6),"0",RIGHT($B1923,2)),$B1923))</f>
        <v>102793</v>
      </c>
      <c r="H1923" s="1406">
        <v>68238.710000000006</v>
      </c>
      <c r="I1923" s="1406">
        <v>69286.63</v>
      </c>
    </row>
    <row r="1924" spans="2:9" ht="30">
      <c r="B1924" s="677">
        <v>102794</v>
      </c>
      <c r="C1924" s="733" t="s">
        <v>4873</v>
      </c>
      <c r="D1924" s="677" t="s">
        <v>22</v>
      </c>
      <c r="E1924" s="738">
        <f t="shared" si="60"/>
        <v>99539.06</v>
      </c>
      <c r="F1924">
        <f t="shared" si="61"/>
        <v>102794</v>
      </c>
      <c r="H1924" s="1405">
        <v>98073.08</v>
      </c>
      <c r="I1924" s="1405">
        <v>99539.06</v>
      </c>
    </row>
    <row r="1925" spans="2:9" ht="30">
      <c r="B1925" s="1477">
        <v>102795</v>
      </c>
      <c r="C1925" s="740" t="s">
        <v>4874</v>
      </c>
      <c r="D1925" s="739" t="s">
        <v>22</v>
      </c>
      <c r="E1925" s="741">
        <f t="shared" si="60"/>
        <v>33502.54</v>
      </c>
      <c r="F1925">
        <f t="shared" si="61"/>
        <v>102795</v>
      </c>
      <c r="H1925" s="1406">
        <v>32912.69</v>
      </c>
      <c r="I1925" s="1406">
        <v>33502.54</v>
      </c>
    </row>
    <row r="1926" spans="2:9" ht="30">
      <c r="B1926" s="677">
        <v>102796</v>
      </c>
      <c r="C1926" s="733" t="s">
        <v>4875</v>
      </c>
      <c r="D1926" s="677" t="s">
        <v>22</v>
      </c>
      <c r="E1926" s="738">
        <f t="shared" si="60"/>
        <v>54249.53</v>
      </c>
      <c r="F1926">
        <f t="shared" si="61"/>
        <v>102796</v>
      </c>
      <c r="H1926" s="1405">
        <v>53364.33</v>
      </c>
      <c r="I1926" s="1405">
        <v>54249.53</v>
      </c>
    </row>
    <row r="1927" spans="2:9" ht="30">
      <c r="B1927" s="1477">
        <v>102797</v>
      </c>
      <c r="C1927" s="740" t="s">
        <v>4876</v>
      </c>
      <c r="D1927" s="739" t="s">
        <v>22</v>
      </c>
      <c r="E1927" s="741">
        <f t="shared" si="60"/>
        <v>76953.36</v>
      </c>
      <c r="F1927">
        <f t="shared" si="61"/>
        <v>102797</v>
      </c>
      <c r="H1927" s="1406">
        <v>75738.899999999994</v>
      </c>
      <c r="I1927" s="1406">
        <v>76953.36</v>
      </c>
    </row>
    <row r="1928" spans="2:9" ht="30">
      <c r="B1928" s="677">
        <v>102798</v>
      </c>
      <c r="C1928" s="733" t="s">
        <v>4877</v>
      </c>
      <c r="D1928" s="677" t="s">
        <v>22</v>
      </c>
      <c r="E1928" s="738">
        <f t="shared" si="60"/>
        <v>94379.74</v>
      </c>
      <c r="F1928">
        <f t="shared" si="61"/>
        <v>102798</v>
      </c>
      <c r="H1928" s="1405">
        <v>92917.47</v>
      </c>
      <c r="I1928" s="1405">
        <v>94379.74</v>
      </c>
    </row>
    <row r="1929" spans="2:9" ht="30">
      <c r="B1929" s="1477">
        <v>102799</v>
      </c>
      <c r="C1929" s="740" t="s">
        <v>4878</v>
      </c>
      <c r="D1929" s="739" t="s">
        <v>22</v>
      </c>
      <c r="E1929" s="741">
        <f t="shared" si="60"/>
        <v>34213.120000000003</v>
      </c>
      <c r="F1929">
        <f t="shared" si="61"/>
        <v>102799</v>
      </c>
      <c r="H1929" s="1406">
        <v>33609.160000000003</v>
      </c>
      <c r="I1929" s="1406">
        <v>34213.120000000003</v>
      </c>
    </row>
    <row r="1930" spans="2:9" ht="30">
      <c r="B1930" s="677">
        <v>102800</v>
      </c>
      <c r="C1930" s="733" t="s">
        <v>4879</v>
      </c>
      <c r="D1930" s="677" t="s">
        <v>22</v>
      </c>
      <c r="E1930" s="738">
        <f t="shared" si="60"/>
        <v>59499.64</v>
      </c>
      <c r="F1930">
        <f t="shared" si="61"/>
        <v>102800</v>
      </c>
      <c r="H1930" s="1405">
        <v>58524.91</v>
      </c>
      <c r="I1930" s="1405">
        <v>59499.64</v>
      </c>
    </row>
    <row r="1931" spans="2:9" ht="30">
      <c r="B1931" s="1477">
        <v>102801</v>
      </c>
      <c r="C1931" s="740" t="s">
        <v>4880</v>
      </c>
      <c r="D1931" s="739" t="s">
        <v>22</v>
      </c>
      <c r="E1931" s="741">
        <f t="shared" si="60"/>
        <v>83399.86</v>
      </c>
      <c r="F1931">
        <f t="shared" si="61"/>
        <v>102801</v>
      </c>
      <c r="H1931" s="1406">
        <v>82092.62</v>
      </c>
      <c r="I1931" s="1406">
        <v>83399.86</v>
      </c>
    </row>
    <row r="1932" spans="2:9" ht="30">
      <c r="B1932" s="677">
        <v>102802</v>
      </c>
      <c r="C1932" s="733" t="s">
        <v>4881</v>
      </c>
      <c r="D1932" s="677" t="s">
        <v>22</v>
      </c>
      <c r="E1932" s="738">
        <f t="shared" si="60"/>
        <v>100112.23</v>
      </c>
      <c r="F1932">
        <f t="shared" si="61"/>
        <v>102802</v>
      </c>
      <c r="H1932" s="1405">
        <v>98558.84</v>
      </c>
      <c r="I1932" s="1405">
        <v>100112.23</v>
      </c>
    </row>
    <row r="1933" spans="2:9">
      <c r="B1933" s="1477">
        <v>101570</v>
      </c>
      <c r="C1933" s="740" t="s">
        <v>3622</v>
      </c>
      <c r="D1933" s="739" t="s">
        <v>0</v>
      </c>
      <c r="E1933" s="741">
        <f t="shared" si="60"/>
        <v>21.48</v>
      </c>
      <c r="F1933">
        <f t="shared" si="61"/>
        <v>101570</v>
      </c>
      <c r="H1933" s="1406">
        <v>19.88</v>
      </c>
      <c r="I1933" s="1406">
        <v>21.48</v>
      </c>
    </row>
    <row r="1934" spans="2:9" ht="30">
      <c r="B1934" s="677">
        <v>101571</v>
      </c>
      <c r="C1934" s="733" t="s">
        <v>3623</v>
      </c>
      <c r="D1934" s="677" t="s">
        <v>0</v>
      </c>
      <c r="E1934" s="738">
        <f t="shared" si="60"/>
        <v>29.66</v>
      </c>
      <c r="F1934">
        <f t="shared" si="61"/>
        <v>101571</v>
      </c>
      <c r="H1934" s="1405">
        <v>27.29</v>
      </c>
      <c r="I1934" s="1405">
        <v>29.66</v>
      </c>
    </row>
    <row r="1935" spans="2:9">
      <c r="B1935" s="1477">
        <v>101572</v>
      </c>
      <c r="C1935" s="740" t="s">
        <v>3624</v>
      </c>
      <c r="D1935" s="739" t="s">
        <v>0</v>
      </c>
      <c r="E1935" s="741">
        <f t="shared" si="60"/>
        <v>16.84</v>
      </c>
      <c r="F1935">
        <f t="shared" si="61"/>
        <v>101572</v>
      </c>
      <c r="H1935" s="1406">
        <v>15.65</v>
      </c>
      <c r="I1935" s="1406">
        <v>16.84</v>
      </c>
    </row>
    <row r="1936" spans="2:9" ht="30">
      <c r="B1936" s="677">
        <v>101573</v>
      </c>
      <c r="C1936" s="733" t="s">
        <v>3625</v>
      </c>
      <c r="D1936" s="677" t="s">
        <v>0</v>
      </c>
      <c r="E1936" s="738">
        <f t="shared" si="60"/>
        <v>25.01</v>
      </c>
      <c r="F1936">
        <f t="shared" si="61"/>
        <v>101573</v>
      </c>
      <c r="H1936" s="1405">
        <v>23.06</v>
      </c>
      <c r="I1936" s="1405">
        <v>25.01</v>
      </c>
    </row>
    <row r="1937" spans="2:9">
      <c r="B1937" s="1477">
        <v>101574</v>
      </c>
      <c r="C1937" s="740" t="s">
        <v>3626</v>
      </c>
      <c r="D1937" s="739" t="s">
        <v>0</v>
      </c>
      <c r="E1937" s="741">
        <f t="shared" si="60"/>
        <v>12.91</v>
      </c>
      <c r="F1937">
        <f t="shared" si="61"/>
        <v>101574</v>
      </c>
      <c r="H1937" s="1406">
        <v>12.13</v>
      </c>
      <c r="I1937" s="1406">
        <v>12.91</v>
      </c>
    </row>
    <row r="1938" spans="2:9" ht="30">
      <c r="B1938" s="677">
        <v>101575</v>
      </c>
      <c r="C1938" s="733" t="s">
        <v>3627</v>
      </c>
      <c r="D1938" s="677" t="s">
        <v>0</v>
      </c>
      <c r="E1938" s="738">
        <f t="shared" si="60"/>
        <v>21.31</v>
      </c>
      <c r="F1938">
        <f t="shared" si="61"/>
        <v>101575</v>
      </c>
      <c r="H1938" s="1405">
        <v>19.77</v>
      </c>
      <c r="I1938" s="1405">
        <v>21.31</v>
      </c>
    </row>
    <row r="1939" spans="2:9">
      <c r="B1939" s="1477">
        <v>101576</v>
      </c>
      <c r="C1939" s="740" t="s">
        <v>3628</v>
      </c>
      <c r="D1939" s="739" t="s">
        <v>0</v>
      </c>
      <c r="E1939" s="741">
        <f t="shared" si="60"/>
        <v>37.090000000000003</v>
      </c>
      <c r="F1939">
        <f t="shared" si="61"/>
        <v>101576</v>
      </c>
      <c r="H1939" s="1406">
        <v>35.020000000000003</v>
      </c>
      <c r="I1939" s="1406">
        <v>37.090000000000003</v>
      </c>
    </row>
    <row r="1940" spans="2:9" ht="30">
      <c r="B1940" s="677">
        <v>101577</v>
      </c>
      <c r="C1940" s="733" t="s">
        <v>3629</v>
      </c>
      <c r="D1940" s="677" t="s">
        <v>0</v>
      </c>
      <c r="E1940" s="738">
        <f t="shared" si="60"/>
        <v>47.49</v>
      </c>
      <c r="F1940">
        <f t="shared" si="61"/>
        <v>101577</v>
      </c>
      <c r="H1940" s="1405">
        <v>44.41</v>
      </c>
      <c r="I1940" s="1405">
        <v>47.49</v>
      </c>
    </row>
    <row r="1941" spans="2:9">
      <c r="B1941" s="1477">
        <v>101578</v>
      </c>
      <c r="C1941" s="740" t="s">
        <v>3630</v>
      </c>
      <c r="D1941" s="739" t="s">
        <v>0</v>
      </c>
      <c r="E1941" s="741">
        <f t="shared" si="60"/>
        <v>30.47</v>
      </c>
      <c r="F1941">
        <f t="shared" si="61"/>
        <v>101578</v>
      </c>
      <c r="H1941" s="1406">
        <v>28.92</v>
      </c>
      <c r="I1941" s="1406">
        <v>30.47</v>
      </c>
    </row>
    <row r="1942" spans="2:9" ht="30">
      <c r="B1942" s="677">
        <v>101579</v>
      </c>
      <c r="C1942" s="733" t="s">
        <v>3631</v>
      </c>
      <c r="D1942" s="677" t="s">
        <v>0</v>
      </c>
      <c r="E1942" s="738">
        <f t="shared" si="60"/>
        <v>40.869999999999997</v>
      </c>
      <c r="F1942">
        <f t="shared" si="61"/>
        <v>101579</v>
      </c>
      <c r="H1942" s="1405">
        <v>38.32</v>
      </c>
      <c r="I1942" s="1405">
        <v>40.869999999999997</v>
      </c>
    </row>
    <row r="1943" spans="2:9">
      <c r="B1943" s="1477">
        <v>101580</v>
      </c>
      <c r="C1943" s="740" t="s">
        <v>3632</v>
      </c>
      <c r="D1943" s="739" t="s">
        <v>0</v>
      </c>
      <c r="E1943" s="741">
        <f t="shared" si="60"/>
        <v>26.63</v>
      </c>
      <c r="F1943">
        <f t="shared" si="61"/>
        <v>101580</v>
      </c>
      <c r="H1943" s="1406">
        <v>25.62</v>
      </c>
      <c r="I1943" s="1406">
        <v>26.63</v>
      </c>
    </row>
    <row r="1944" spans="2:9" ht="30">
      <c r="B1944" s="677">
        <v>101581</v>
      </c>
      <c r="C1944" s="733" t="s">
        <v>3633</v>
      </c>
      <c r="D1944" s="677" t="s">
        <v>0</v>
      </c>
      <c r="E1944" s="738">
        <f t="shared" si="60"/>
        <v>37.26</v>
      </c>
      <c r="F1944">
        <f t="shared" si="61"/>
        <v>101581</v>
      </c>
      <c r="H1944" s="1405">
        <v>35.25</v>
      </c>
      <c r="I1944" s="1405">
        <v>37.26</v>
      </c>
    </row>
    <row r="1945" spans="2:9">
      <c r="B1945" s="1477">
        <v>101582</v>
      </c>
      <c r="C1945" s="740" t="s">
        <v>3634</v>
      </c>
      <c r="D1945" s="739" t="s">
        <v>0</v>
      </c>
      <c r="E1945" s="741">
        <f t="shared" si="60"/>
        <v>60.55</v>
      </c>
      <c r="F1945">
        <f t="shared" si="61"/>
        <v>101582</v>
      </c>
      <c r="H1945" s="1406">
        <v>57.26</v>
      </c>
      <c r="I1945" s="1406">
        <v>60.55</v>
      </c>
    </row>
    <row r="1946" spans="2:9" ht="30">
      <c r="B1946" s="677">
        <v>101583</v>
      </c>
      <c r="C1946" s="733" t="s">
        <v>3635</v>
      </c>
      <c r="D1946" s="677" t="s">
        <v>0</v>
      </c>
      <c r="E1946" s="738">
        <f t="shared" si="60"/>
        <v>76.61</v>
      </c>
      <c r="F1946">
        <f t="shared" si="61"/>
        <v>101583</v>
      </c>
      <c r="H1946" s="1405">
        <v>71.739999999999995</v>
      </c>
      <c r="I1946" s="1405">
        <v>76.61</v>
      </c>
    </row>
    <row r="1947" spans="2:9">
      <c r="B1947" s="1477">
        <v>101584</v>
      </c>
      <c r="C1947" s="740" t="s">
        <v>3636</v>
      </c>
      <c r="D1947" s="739" t="s">
        <v>0</v>
      </c>
      <c r="E1947" s="741">
        <f t="shared" si="60"/>
        <v>49.46</v>
      </c>
      <c r="F1947">
        <f t="shared" si="61"/>
        <v>101584</v>
      </c>
      <c r="H1947" s="1406">
        <v>47.02</v>
      </c>
      <c r="I1947" s="1406">
        <v>49.46</v>
      </c>
    </row>
    <row r="1948" spans="2:9" ht="30">
      <c r="B1948" s="677">
        <v>101585</v>
      </c>
      <c r="C1948" s="733" t="s">
        <v>3637</v>
      </c>
      <c r="D1948" s="677" t="s">
        <v>0</v>
      </c>
      <c r="E1948" s="738">
        <f t="shared" si="60"/>
        <v>65.52</v>
      </c>
      <c r="F1948">
        <f t="shared" si="61"/>
        <v>101585</v>
      </c>
      <c r="H1948" s="1405">
        <v>61.5</v>
      </c>
      <c r="I1948" s="1405">
        <v>65.52</v>
      </c>
    </row>
    <row r="1949" spans="2:9">
      <c r="B1949" s="1477">
        <v>101586</v>
      </c>
      <c r="C1949" s="740" t="s">
        <v>3638</v>
      </c>
      <c r="D1949" s="739" t="s">
        <v>0</v>
      </c>
      <c r="E1949" s="741">
        <f t="shared" si="60"/>
        <v>42.22</v>
      </c>
      <c r="F1949">
        <f t="shared" si="61"/>
        <v>101586</v>
      </c>
      <c r="H1949" s="1406">
        <v>40.619999999999997</v>
      </c>
      <c r="I1949" s="1406">
        <v>42.22</v>
      </c>
    </row>
    <row r="1950" spans="2:9" ht="30">
      <c r="B1950" s="677">
        <v>101587</v>
      </c>
      <c r="C1950" s="733" t="s">
        <v>3639</v>
      </c>
      <c r="D1950" s="677" t="s">
        <v>0</v>
      </c>
      <c r="E1950" s="738">
        <f t="shared" si="60"/>
        <v>58.51</v>
      </c>
      <c r="F1950">
        <f t="shared" si="61"/>
        <v>101587</v>
      </c>
      <c r="H1950" s="1405">
        <v>55.33</v>
      </c>
      <c r="I1950" s="1405">
        <v>58.51</v>
      </c>
    </row>
    <row r="1951" spans="2:9" ht="30">
      <c r="B1951" s="1477">
        <v>101588</v>
      </c>
      <c r="C1951" s="740" t="s">
        <v>3640</v>
      </c>
      <c r="D1951" s="739" t="s">
        <v>0</v>
      </c>
      <c r="E1951" s="741">
        <f t="shared" si="60"/>
        <v>87.73</v>
      </c>
      <c r="F1951">
        <f t="shared" si="61"/>
        <v>101588</v>
      </c>
      <c r="H1951" s="1406">
        <v>83.85</v>
      </c>
      <c r="I1951" s="1406">
        <v>87.73</v>
      </c>
    </row>
    <row r="1952" spans="2:9" ht="30">
      <c r="B1952" s="677">
        <v>101589</v>
      </c>
      <c r="C1952" s="733" t="s">
        <v>3641</v>
      </c>
      <c r="D1952" s="677" t="s">
        <v>0</v>
      </c>
      <c r="E1952" s="738">
        <f t="shared" si="60"/>
        <v>128.22</v>
      </c>
      <c r="F1952">
        <f t="shared" si="61"/>
        <v>101589</v>
      </c>
      <c r="H1952" s="1405">
        <v>122.47</v>
      </c>
      <c r="I1952" s="1405">
        <v>128.22</v>
      </c>
    </row>
    <row r="1953" spans="2:9" ht="30">
      <c r="B1953" s="1477">
        <v>101590</v>
      </c>
      <c r="C1953" s="740" t="s">
        <v>3642</v>
      </c>
      <c r="D1953" s="739" t="s">
        <v>0</v>
      </c>
      <c r="E1953" s="741">
        <f t="shared" si="60"/>
        <v>66.36</v>
      </c>
      <c r="F1953">
        <f t="shared" si="61"/>
        <v>101590</v>
      </c>
      <c r="H1953" s="1406">
        <v>63.46</v>
      </c>
      <c r="I1953" s="1406">
        <v>66.36</v>
      </c>
    </row>
    <row r="1954" spans="2:9" ht="30">
      <c r="B1954" s="677">
        <v>101591</v>
      </c>
      <c r="C1954" s="733" t="s">
        <v>3643</v>
      </c>
      <c r="D1954" s="677" t="s">
        <v>0</v>
      </c>
      <c r="E1954" s="738">
        <f t="shared" si="60"/>
        <v>106.83</v>
      </c>
      <c r="F1954">
        <f t="shared" si="61"/>
        <v>101591</v>
      </c>
      <c r="H1954" s="1405">
        <v>102.08</v>
      </c>
      <c r="I1954" s="1405">
        <v>106.83</v>
      </c>
    </row>
    <row r="1955" spans="2:9" ht="30">
      <c r="B1955" s="1477">
        <v>101592</v>
      </c>
      <c r="C1955" s="740" t="s">
        <v>3644</v>
      </c>
      <c r="D1955" s="739" t="s">
        <v>0</v>
      </c>
      <c r="E1955" s="741">
        <f t="shared" si="60"/>
        <v>46.44</v>
      </c>
      <c r="F1955">
        <f t="shared" si="61"/>
        <v>101592</v>
      </c>
      <c r="H1955" s="1406">
        <v>44.55</v>
      </c>
      <c r="I1955" s="1406">
        <v>46.44</v>
      </c>
    </row>
    <row r="1956" spans="2:9" ht="30">
      <c r="B1956" s="677">
        <v>101593</v>
      </c>
      <c r="C1956" s="733" t="s">
        <v>3645</v>
      </c>
      <c r="D1956" s="677" t="s">
        <v>0</v>
      </c>
      <c r="E1956" s="738">
        <f t="shared" si="60"/>
        <v>87.14</v>
      </c>
      <c r="F1956">
        <f t="shared" si="61"/>
        <v>101593</v>
      </c>
      <c r="H1956" s="1405">
        <v>83.38</v>
      </c>
      <c r="I1956" s="1405">
        <v>87.14</v>
      </c>
    </row>
    <row r="1957" spans="2:9" ht="30">
      <c r="B1957" s="1477">
        <v>101600</v>
      </c>
      <c r="C1957" s="740" t="s">
        <v>3646</v>
      </c>
      <c r="D1957" s="739" t="s">
        <v>0</v>
      </c>
      <c r="E1957" s="741">
        <f t="shared" si="60"/>
        <v>16.5</v>
      </c>
      <c r="F1957">
        <f t="shared" si="61"/>
        <v>101600</v>
      </c>
      <c r="H1957" s="1406">
        <v>15.73</v>
      </c>
      <c r="I1957" s="1406">
        <v>16.5</v>
      </c>
    </row>
    <row r="1958" spans="2:9" ht="30">
      <c r="B1958" s="677">
        <v>101601</v>
      </c>
      <c r="C1958" s="733" t="s">
        <v>3647</v>
      </c>
      <c r="D1958" s="677" t="s">
        <v>0</v>
      </c>
      <c r="E1958" s="738">
        <f t="shared" si="60"/>
        <v>24.43</v>
      </c>
      <c r="F1958">
        <f t="shared" si="61"/>
        <v>101601</v>
      </c>
      <c r="H1958" s="1405">
        <v>23.27</v>
      </c>
      <c r="I1958" s="1405">
        <v>24.43</v>
      </c>
    </row>
    <row r="1959" spans="2:9" ht="30">
      <c r="B1959" s="1477">
        <v>101602</v>
      </c>
      <c r="C1959" s="740" t="s">
        <v>3648</v>
      </c>
      <c r="D1959" s="739" t="s">
        <v>0</v>
      </c>
      <c r="E1959" s="741">
        <f t="shared" si="60"/>
        <v>12.24</v>
      </c>
      <c r="F1959">
        <f t="shared" si="61"/>
        <v>101602</v>
      </c>
      <c r="H1959" s="1406">
        <v>11.65</v>
      </c>
      <c r="I1959" s="1406">
        <v>12.24</v>
      </c>
    </row>
    <row r="1960" spans="2:9" ht="30">
      <c r="B1960" s="677">
        <v>101603</v>
      </c>
      <c r="C1960" s="733" t="s">
        <v>3649</v>
      </c>
      <c r="D1960" s="677" t="s">
        <v>0</v>
      </c>
      <c r="E1960" s="738">
        <f t="shared" si="60"/>
        <v>20.16</v>
      </c>
      <c r="F1960">
        <f t="shared" si="61"/>
        <v>101603</v>
      </c>
      <c r="H1960" s="1405">
        <v>19.21</v>
      </c>
      <c r="I1960" s="1405">
        <v>20.16</v>
      </c>
    </row>
    <row r="1961" spans="2:9" ht="30">
      <c r="B1961" s="1477">
        <v>101604</v>
      </c>
      <c r="C1961" s="740" t="s">
        <v>3650</v>
      </c>
      <c r="D1961" s="739" t="s">
        <v>0</v>
      </c>
      <c r="E1961" s="741">
        <f t="shared" si="60"/>
        <v>8</v>
      </c>
      <c r="F1961">
        <f t="shared" si="61"/>
        <v>101604</v>
      </c>
      <c r="H1961" s="1406">
        <v>7.63</v>
      </c>
      <c r="I1961" s="1406">
        <v>8</v>
      </c>
    </row>
    <row r="1962" spans="2:9" ht="30">
      <c r="B1962" s="677">
        <v>101605</v>
      </c>
      <c r="C1962" s="733" t="s">
        <v>3651</v>
      </c>
      <c r="D1962" s="677" t="s">
        <v>0</v>
      </c>
      <c r="E1962" s="738">
        <f t="shared" si="60"/>
        <v>15.93</v>
      </c>
      <c r="F1962">
        <f t="shared" si="61"/>
        <v>101605</v>
      </c>
      <c r="H1962" s="1405">
        <v>15.18</v>
      </c>
      <c r="I1962" s="1405">
        <v>15.93</v>
      </c>
    </row>
    <row r="1963" spans="2:9" ht="30">
      <c r="B1963" s="1477">
        <v>90788</v>
      </c>
      <c r="C1963" s="740" t="s">
        <v>2855</v>
      </c>
      <c r="D1963" s="739" t="s">
        <v>22</v>
      </c>
      <c r="E1963" s="741">
        <f t="shared" si="60"/>
        <v>895.51</v>
      </c>
      <c r="F1963">
        <f t="shared" si="61"/>
        <v>90788</v>
      </c>
      <c r="H1963" s="1406">
        <v>893.91</v>
      </c>
      <c r="I1963" s="1406">
        <v>895.51</v>
      </c>
    </row>
    <row r="1964" spans="2:9" ht="30">
      <c r="B1964" s="677">
        <v>90789</v>
      </c>
      <c r="C1964" s="733" t="s">
        <v>2856</v>
      </c>
      <c r="D1964" s="677" t="s">
        <v>22</v>
      </c>
      <c r="E1964" s="738">
        <f t="shared" si="60"/>
        <v>897.16</v>
      </c>
      <c r="F1964">
        <f t="shared" si="61"/>
        <v>90789</v>
      </c>
      <c r="H1964" s="1405">
        <v>895.39</v>
      </c>
      <c r="I1964" s="1405">
        <v>897.16</v>
      </c>
    </row>
    <row r="1965" spans="2:9" ht="30">
      <c r="B1965" s="1477">
        <v>90790</v>
      </c>
      <c r="C1965" s="740" t="s">
        <v>2857</v>
      </c>
      <c r="D1965" s="739" t="s">
        <v>22</v>
      </c>
      <c r="E1965" s="741">
        <f t="shared" si="60"/>
        <v>925.13</v>
      </c>
      <c r="F1965">
        <f t="shared" si="61"/>
        <v>90790</v>
      </c>
      <c r="H1965" s="1406">
        <v>923.2</v>
      </c>
      <c r="I1965" s="1406">
        <v>925.13</v>
      </c>
    </row>
    <row r="1966" spans="2:9" ht="30">
      <c r="B1966" s="677">
        <v>90791</v>
      </c>
      <c r="C1966" s="733" t="s">
        <v>3652</v>
      </c>
      <c r="D1966" s="677" t="s">
        <v>22</v>
      </c>
      <c r="E1966" s="738">
        <f t="shared" si="60"/>
        <v>1083.48</v>
      </c>
      <c r="F1966">
        <f t="shared" si="61"/>
        <v>90791</v>
      </c>
      <c r="H1966" s="1405">
        <v>1080.8599999999999</v>
      </c>
      <c r="I1966" s="1405">
        <v>1083.48</v>
      </c>
    </row>
    <row r="1967" spans="2:9" ht="30">
      <c r="B1967" s="1477">
        <v>90793</v>
      </c>
      <c r="C1967" s="740" t="s">
        <v>3653</v>
      </c>
      <c r="D1967" s="739" t="s">
        <v>22</v>
      </c>
      <c r="E1967" s="741">
        <f t="shared" si="60"/>
        <v>1149.21</v>
      </c>
      <c r="F1967">
        <f t="shared" si="61"/>
        <v>90793</v>
      </c>
      <c r="H1967" s="1406">
        <v>1145.98</v>
      </c>
      <c r="I1967" s="1406">
        <v>1149.21</v>
      </c>
    </row>
    <row r="1968" spans="2:9" ht="30">
      <c r="B1968" s="677">
        <v>90794</v>
      </c>
      <c r="C1968" s="733" t="s">
        <v>3654</v>
      </c>
      <c r="D1968" s="677" t="s">
        <v>22</v>
      </c>
      <c r="E1968" s="738">
        <f t="shared" si="60"/>
        <v>766.59</v>
      </c>
      <c r="F1968">
        <f t="shared" si="61"/>
        <v>90794</v>
      </c>
      <c r="H1968" s="1405">
        <v>759.76</v>
      </c>
      <c r="I1968" s="1405">
        <v>766.59</v>
      </c>
    </row>
    <row r="1969" spans="2:9" ht="30">
      <c r="B1969" s="1477">
        <v>90795</v>
      </c>
      <c r="C1969" s="740" t="s">
        <v>3655</v>
      </c>
      <c r="D1969" s="739" t="s">
        <v>22</v>
      </c>
      <c r="E1969" s="741">
        <f t="shared" si="60"/>
        <v>773.65</v>
      </c>
      <c r="F1969">
        <f t="shared" si="61"/>
        <v>90795</v>
      </c>
      <c r="H1969" s="1406">
        <v>766.13</v>
      </c>
      <c r="I1969" s="1406">
        <v>773.65</v>
      </c>
    </row>
    <row r="1970" spans="2:9" ht="30">
      <c r="B1970" s="677">
        <v>90796</v>
      </c>
      <c r="C1970" s="733" t="s">
        <v>3656</v>
      </c>
      <c r="D1970" s="677" t="s">
        <v>22</v>
      </c>
      <c r="E1970" s="738">
        <f t="shared" si="60"/>
        <v>780.72</v>
      </c>
      <c r="F1970">
        <f t="shared" si="61"/>
        <v>90796</v>
      </c>
      <c r="H1970" s="1405">
        <v>772.48</v>
      </c>
      <c r="I1970" s="1405">
        <v>780.72</v>
      </c>
    </row>
    <row r="1971" spans="2:9" ht="30">
      <c r="B1971" s="1477">
        <v>90797</v>
      </c>
      <c r="C1971" s="740" t="s">
        <v>3657</v>
      </c>
      <c r="D1971" s="739" t="s">
        <v>22</v>
      </c>
      <c r="E1971" s="741">
        <f t="shared" si="60"/>
        <v>787.77</v>
      </c>
      <c r="F1971">
        <f t="shared" si="61"/>
        <v>90797</v>
      </c>
      <c r="H1971" s="1406">
        <v>778.84</v>
      </c>
      <c r="I1971" s="1406">
        <v>787.77</v>
      </c>
    </row>
    <row r="1972" spans="2:9" ht="30">
      <c r="B1972" s="677">
        <v>90798</v>
      </c>
      <c r="C1972" s="733" t="s">
        <v>14559</v>
      </c>
      <c r="D1972" s="677" t="s">
        <v>22</v>
      </c>
      <c r="E1972" s="738">
        <f t="shared" si="60"/>
        <v>1145.49</v>
      </c>
      <c r="F1972">
        <f t="shared" si="61"/>
        <v>90798</v>
      </c>
      <c r="H1972" s="1405">
        <v>1136.23</v>
      </c>
      <c r="I1972" s="1405">
        <v>1145.49</v>
      </c>
    </row>
    <row r="1973" spans="2:9" ht="30">
      <c r="B1973" s="1477">
        <v>90799</v>
      </c>
      <c r="C1973" s="740" t="s">
        <v>14560</v>
      </c>
      <c r="D1973" s="739" t="s">
        <v>22</v>
      </c>
      <c r="E1973" s="741">
        <f t="shared" si="60"/>
        <v>1181.6400000000001</v>
      </c>
      <c r="F1973">
        <f t="shared" si="61"/>
        <v>90799</v>
      </c>
      <c r="H1973" s="1406">
        <v>1171.5899999999999</v>
      </c>
      <c r="I1973" s="1406">
        <v>1181.6400000000001</v>
      </c>
    </row>
    <row r="1974" spans="2:9">
      <c r="B1974" s="677">
        <v>90801</v>
      </c>
      <c r="C1974" s="733" t="s">
        <v>2858</v>
      </c>
      <c r="D1974" s="677" t="s">
        <v>22</v>
      </c>
      <c r="E1974" s="738">
        <f t="shared" si="60"/>
        <v>342.87</v>
      </c>
      <c r="F1974">
        <f t="shared" si="61"/>
        <v>90801</v>
      </c>
      <c r="H1974" s="1405">
        <v>333.36</v>
      </c>
      <c r="I1974" s="1405">
        <v>342.87</v>
      </c>
    </row>
    <row r="1975" spans="2:9">
      <c r="B1975" s="1477">
        <v>90806</v>
      </c>
      <c r="C1975" s="740" t="s">
        <v>5865</v>
      </c>
      <c r="D1975" s="739" t="s">
        <v>22</v>
      </c>
      <c r="E1975" s="741">
        <f t="shared" si="60"/>
        <v>432.98</v>
      </c>
      <c r="F1975">
        <f t="shared" si="61"/>
        <v>90806</v>
      </c>
      <c r="H1975" s="1406">
        <v>416.18</v>
      </c>
      <c r="I1975" s="1406">
        <v>432.98</v>
      </c>
    </row>
    <row r="1976" spans="2:9" ht="30">
      <c r="B1976" s="677">
        <v>90820</v>
      </c>
      <c r="C1976" s="733" t="s">
        <v>2859</v>
      </c>
      <c r="D1976" s="677" t="s">
        <v>22</v>
      </c>
      <c r="E1976" s="738">
        <f t="shared" si="60"/>
        <v>334.38</v>
      </c>
      <c r="F1976">
        <f t="shared" si="61"/>
        <v>90820</v>
      </c>
      <c r="H1976" s="1405">
        <v>329.91</v>
      </c>
      <c r="I1976" s="1405">
        <v>334.38</v>
      </c>
    </row>
    <row r="1977" spans="2:9" ht="30">
      <c r="B1977" s="1477">
        <v>90821</v>
      </c>
      <c r="C1977" s="740" t="s">
        <v>2860</v>
      </c>
      <c r="D1977" s="739" t="s">
        <v>22</v>
      </c>
      <c r="E1977" s="741">
        <f t="shared" si="60"/>
        <v>340.89</v>
      </c>
      <c r="F1977">
        <f t="shared" si="61"/>
        <v>90821</v>
      </c>
      <c r="H1977" s="1406">
        <v>335.97</v>
      </c>
      <c r="I1977" s="1406">
        <v>340.89</v>
      </c>
    </row>
    <row r="1978" spans="2:9" ht="30">
      <c r="B1978" s="677">
        <v>90822</v>
      </c>
      <c r="C1978" s="733" t="s">
        <v>2861</v>
      </c>
      <c r="D1978" s="677" t="s">
        <v>22</v>
      </c>
      <c r="E1978" s="738">
        <f t="shared" si="60"/>
        <v>365.92</v>
      </c>
      <c r="F1978">
        <f t="shared" si="61"/>
        <v>90822</v>
      </c>
      <c r="H1978" s="1405">
        <v>360.54</v>
      </c>
      <c r="I1978" s="1405">
        <v>365.92</v>
      </c>
    </row>
    <row r="1979" spans="2:9" ht="30">
      <c r="B1979" s="1477">
        <v>90823</v>
      </c>
      <c r="C1979" s="740" t="s">
        <v>2862</v>
      </c>
      <c r="D1979" s="739" t="s">
        <v>22</v>
      </c>
      <c r="E1979" s="741">
        <f t="shared" si="60"/>
        <v>451.86</v>
      </c>
      <c r="F1979">
        <f t="shared" si="61"/>
        <v>90823</v>
      </c>
      <c r="H1979" s="1406">
        <v>446.02</v>
      </c>
      <c r="I1979" s="1406">
        <v>451.86</v>
      </c>
    </row>
    <row r="1980" spans="2:9" ht="30">
      <c r="B1980" s="677">
        <v>90824</v>
      </c>
      <c r="C1980" s="733" t="s">
        <v>2863</v>
      </c>
      <c r="D1980" s="677" t="s">
        <v>22</v>
      </c>
      <c r="E1980" s="738">
        <f t="shared" si="60"/>
        <v>649.44000000000005</v>
      </c>
      <c r="F1980">
        <f t="shared" si="61"/>
        <v>90824</v>
      </c>
      <c r="H1980" s="1405">
        <v>641.97</v>
      </c>
      <c r="I1980" s="1405">
        <v>649.44000000000005</v>
      </c>
    </row>
    <row r="1981" spans="2:9" ht="30">
      <c r="B1981" s="1477">
        <v>90825</v>
      </c>
      <c r="C1981" s="740" t="s">
        <v>2864</v>
      </c>
      <c r="D1981" s="739" t="s">
        <v>22</v>
      </c>
      <c r="E1981" s="741">
        <f t="shared" si="60"/>
        <v>724.14</v>
      </c>
      <c r="F1981">
        <f t="shared" si="61"/>
        <v>90825</v>
      </c>
      <c r="H1981" s="1406">
        <v>716.03</v>
      </c>
      <c r="I1981" s="1406">
        <v>724.14</v>
      </c>
    </row>
    <row r="1982" spans="2:9" ht="30">
      <c r="B1982" s="677">
        <v>90830</v>
      </c>
      <c r="C1982" s="733" t="s">
        <v>2865</v>
      </c>
      <c r="D1982" s="677" t="s">
        <v>22</v>
      </c>
      <c r="E1982" s="738">
        <f t="shared" si="60"/>
        <v>179.77</v>
      </c>
      <c r="F1982">
        <f t="shared" si="61"/>
        <v>90830</v>
      </c>
      <c r="H1982" s="1405">
        <v>176.28</v>
      </c>
      <c r="I1982" s="1405">
        <v>179.77</v>
      </c>
    </row>
    <row r="1983" spans="2:9" ht="30">
      <c r="B1983" s="1477">
        <v>90831</v>
      </c>
      <c r="C1983" s="740" t="s">
        <v>2866</v>
      </c>
      <c r="D1983" s="739" t="s">
        <v>22</v>
      </c>
      <c r="E1983" s="741">
        <f t="shared" si="60"/>
        <v>158.07</v>
      </c>
      <c r="F1983">
        <f t="shared" si="61"/>
        <v>90831</v>
      </c>
      <c r="H1983" s="1406">
        <v>155.4</v>
      </c>
      <c r="I1983" s="1406">
        <v>158.07</v>
      </c>
    </row>
    <row r="1984" spans="2:9" ht="45">
      <c r="B1984" s="677">
        <v>90841</v>
      </c>
      <c r="C1984" s="733" t="s">
        <v>2867</v>
      </c>
      <c r="D1984" s="677" t="s">
        <v>22</v>
      </c>
      <c r="E1984" s="738">
        <f t="shared" si="60"/>
        <v>1049.75</v>
      </c>
      <c r="F1984">
        <f t="shared" si="61"/>
        <v>90841</v>
      </c>
      <c r="H1984" s="1405">
        <v>1023.5</v>
      </c>
      <c r="I1984" s="1405">
        <v>1049.75</v>
      </c>
    </row>
    <row r="1985" spans="2:9" ht="45">
      <c r="B1985" s="1477">
        <v>90842</v>
      </c>
      <c r="C1985" s="740" t="s">
        <v>2868</v>
      </c>
      <c r="D1985" s="739" t="s">
        <v>22</v>
      </c>
      <c r="E1985" s="741">
        <f t="shared" si="60"/>
        <v>1058.8499999999999</v>
      </c>
      <c r="F1985">
        <f t="shared" si="61"/>
        <v>90842</v>
      </c>
      <c r="H1985" s="1406">
        <v>1032.0999999999999</v>
      </c>
      <c r="I1985" s="1406">
        <v>1058.8499999999999</v>
      </c>
    </row>
    <row r="1986" spans="2:9" ht="45">
      <c r="B1986" s="677">
        <v>90843</v>
      </c>
      <c r="C1986" s="733" t="s">
        <v>2869</v>
      </c>
      <c r="D1986" s="677" t="s">
        <v>22</v>
      </c>
      <c r="E1986" s="738">
        <f t="shared" si="60"/>
        <v>1108.17</v>
      </c>
      <c r="F1986">
        <f t="shared" si="61"/>
        <v>90843</v>
      </c>
      <c r="H1986" s="1405">
        <v>1080.0999999999999</v>
      </c>
      <c r="I1986" s="1405">
        <v>1108.17</v>
      </c>
    </row>
    <row r="1987" spans="2:9" ht="45">
      <c r="B1987" s="1477">
        <v>90844</v>
      </c>
      <c r="C1987" s="740" t="s">
        <v>2870</v>
      </c>
      <c r="D1987" s="739" t="s">
        <v>22</v>
      </c>
      <c r="E1987" s="741">
        <f t="shared" ref="E1987:E2050" si="62">IF($K$2=$H$1,H1987,I1987)</f>
        <v>1196.7</v>
      </c>
      <c r="F1987">
        <f t="shared" ref="F1987:F2050" si="63">IF(LEN($B1987)=7,CONCATENATE(MID($B1987,1,6),"00",RIGHT($B1987,1)),IF(LEN($B1987)=8,CONCATENATE(MID($B1987,1,6),"0",RIGHT($B1987,2)),$B1987))</f>
        <v>90844</v>
      </c>
      <c r="H1987" s="1406">
        <v>1168.1199999999999</v>
      </c>
      <c r="I1987" s="1406">
        <v>1196.7</v>
      </c>
    </row>
    <row r="1988" spans="2:9" ht="45">
      <c r="B1988" s="677">
        <v>90845</v>
      </c>
      <c r="C1988" s="733" t="s">
        <v>3410</v>
      </c>
      <c r="D1988" s="677" t="s">
        <v>22</v>
      </c>
      <c r="E1988" s="738">
        <f t="shared" si="62"/>
        <v>1391.69</v>
      </c>
      <c r="F1988">
        <f t="shared" si="63"/>
        <v>90845</v>
      </c>
      <c r="H1988" s="1405">
        <v>1361.53</v>
      </c>
      <c r="I1988" s="1405">
        <v>1391.69</v>
      </c>
    </row>
    <row r="1989" spans="2:9" ht="45">
      <c r="B1989" s="1477">
        <v>90846</v>
      </c>
      <c r="C1989" s="740" t="s">
        <v>3411</v>
      </c>
      <c r="D1989" s="739" t="s">
        <v>22</v>
      </c>
      <c r="E1989" s="741">
        <f t="shared" si="62"/>
        <v>1468.98</v>
      </c>
      <c r="F1989">
        <f t="shared" si="63"/>
        <v>90846</v>
      </c>
      <c r="H1989" s="1406">
        <v>1438.13</v>
      </c>
      <c r="I1989" s="1406">
        <v>1468.98</v>
      </c>
    </row>
    <row r="1990" spans="2:9" ht="30">
      <c r="B1990" s="677">
        <v>90847</v>
      </c>
      <c r="C1990" s="733" t="s">
        <v>2871</v>
      </c>
      <c r="D1990" s="677" t="s">
        <v>22</v>
      </c>
      <c r="E1990" s="738">
        <f t="shared" si="62"/>
        <v>891.68</v>
      </c>
      <c r="F1990">
        <f t="shared" si="63"/>
        <v>90847</v>
      </c>
      <c r="H1990" s="1405">
        <v>868.1</v>
      </c>
      <c r="I1990" s="1405">
        <v>891.68</v>
      </c>
    </row>
    <row r="1991" spans="2:9" ht="30">
      <c r="B1991" s="1477">
        <v>90848</v>
      </c>
      <c r="C1991" s="740" t="s">
        <v>2872</v>
      </c>
      <c r="D1991" s="739" t="s">
        <v>22</v>
      </c>
      <c r="E1991" s="741">
        <f t="shared" si="62"/>
        <v>900.78</v>
      </c>
      <c r="F1991">
        <f t="shared" si="63"/>
        <v>90848</v>
      </c>
      <c r="H1991" s="1406">
        <v>876.7</v>
      </c>
      <c r="I1991" s="1406">
        <v>900.78</v>
      </c>
    </row>
    <row r="1992" spans="2:9" ht="30">
      <c r="B1992" s="677">
        <v>90849</v>
      </c>
      <c r="C1992" s="733" t="s">
        <v>2873</v>
      </c>
      <c r="D1992" s="677" t="s">
        <v>22</v>
      </c>
      <c r="E1992" s="738">
        <f t="shared" si="62"/>
        <v>928.4</v>
      </c>
      <c r="F1992">
        <f t="shared" si="63"/>
        <v>90849</v>
      </c>
      <c r="H1992" s="1405">
        <v>903.82</v>
      </c>
      <c r="I1992" s="1405">
        <v>928.4</v>
      </c>
    </row>
    <row r="1993" spans="2:9" ht="30">
      <c r="B1993" s="1477">
        <v>90850</v>
      </c>
      <c r="C1993" s="740" t="s">
        <v>2874</v>
      </c>
      <c r="D1993" s="739" t="s">
        <v>22</v>
      </c>
      <c r="E1993" s="741">
        <f t="shared" si="62"/>
        <v>1016.93</v>
      </c>
      <c r="F1993">
        <f t="shared" si="63"/>
        <v>90850</v>
      </c>
      <c r="H1993" s="1406">
        <v>991.84</v>
      </c>
      <c r="I1993" s="1406">
        <v>1016.93</v>
      </c>
    </row>
    <row r="1994" spans="2:9" ht="45">
      <c r="B1994" s="677">
        <v>90851</v>
      </c>
      <c r="C1994" s="733" t="s">
        <v>3412</v>
      </c>
      <c r="D1994" s="677" t="s">
        <v>22</v>
      </c>
      <c r="E1994" s="738">
        <f t="shared" si="62"/>
        <v>1211.92</v>
      </c>
      <c r="F1994">
        <f t="shared" si="63"/>
        <v>90851</v>
      </c>
      <c r="H1994" s="1405">
        <v>1185.25</v>
      </c>
      <c r="I1994" s="1405">
        <v>1211.92</v>
      </c>
    </row>
    <row r="1995" spans="2:9" ht="45">
      <c r="B1995" s="1477">
        <v>90852</v>
      </c>
      <c r="C1995" s="740" t="s">
        <v>3413</v>
      </c>
      <c r="D1995" s="739" t="s">
        <v>22</v>
      </c>
      <c r="E1995" s="741">
        <f t="shared" si="62"/>
        <v>1289.21</v>
      </c>
      <c r="F1995">
        <f t="shared" si="63"/>
        <v>90852</v>
      </c>
      <c r="H1995" s="1406">
        <v>1261.8499999999999</v>
      </c>
      <c r="I1995" s="1406">
        <v>1289.21</v>
      </c>
    </row>
    <row r="1996" spans="2:9" ht="30">
      <c r="B1996" s="677">
        <v>91009</v>
      </c>
      <c r="C1996" s="733" t="s">
        <v>2875</v>
      </c>
      <c r="D1996" s="677" t="s">
        <v>22</v>
      </c>
      <c r="E1996" s="738">
        <f t="shared" si="62"/>
        <v>346.57</v>
      </c>
      <c r="F1996">
        <f t="shared" si="63"/>
        <v>91009</v>
      </c>
      <c r="H1996" s="1405">
        <v>342.1</v>
      </c>
      <c r="I1996" s="1405">
        <v>346.57</v>
      </c>
    </row>
    <row r="1997" spans="2:9" ht="30">
      <c r="B1997" s="1477">
        <v>91010</v>
      </c>
      <c r="C1997" s="740" t="s">
        <v>2876</v>
      </c>
      <c r="D1997" s="739" t="s">
        <v>22</v>
      </c>
      <c r="E1997" s="741">
        <f t="shared" si="62"/>
        <v>353.66</v>
      </c>
      <c r="F1997">
        <f t="shared" si="63"/>
        <v>91010</v>
      </c>
      <c r="H1997" s="1406">
        <v>348.74</v>
      </c>
      <c r="I1997" s="1406">
        <v>353.66</v>
      </c>
    </row>
    <row r="1998" spans="2:9" ht="30">
      <c r="B1998" s="677">
        <v>91011</v>
      </c>
      <c r="C1998" s="733" t="s">
        <v>2877</v>
      </c>
      <c r="D1998" s="677" t="s">
        <v>22</v>
      </c>
      <c r="E1998" s="738">
        <f t="shared" si="62"/>
        <v>415.42</v>
      </c>
      <c r="F1998">
        <f t="shared" si="63"/>
        <v>91011</v>
      </c>
      <c r="H1998" s="1405">
        <v>410.04</v>
      </c>
      <c r="I1998" s="1405">
        <v>415.42</v>
      </c>
    </row>
    <row r="1999" spans="2:9" ht="30">
      <c r="B1999" s="1477">
        <v>91012</v>
      </c>
      <c r="C1999" s="740" t="s">
        <v>2878</v>
      </c>
      <c r="D1999" s="739" t="s">
        <v>22</v>
      </c>
      <c r="E1999" s="741">
        <f t="shared" si="62"/>
        <v>462.67</v>
      </c>
      <c r="F1999">
        <f t="shared" si="63"/>
        <v>91012</v>
      </c>
      <c r="H1999" s="1406">
        <v>456.83</v>
      </c>
      <c r="I1999" s="1406">
        <v>462.67</v>
      </c>
    </row>
    <row r="2000" spans="2:9" ht="30">
      <c r="B2000" s="677">
        <v>91013</v>
      </c>
      <c r="C2000" s="733" t="s">
        <v>2879</v>
      </c>
      <c r="D2000" s="677" t="s">
        <v>22</v>
      </c>
      <c r="E2000" s="738">
        <f t="shared" si="62"/>
        <v>903.87</v>
      </c>
      <c r="F2000">
        <f t="shared" si="63"/>
        <v>91013</v>
      </c>
      <c r="H2000" s="1405">
        <v>880.29</v>
      </c>
      <c r="I2000" s="1405">
        <v>903.87</v>
      </c>
    </row>
    <row r="2001" spans="2:9" ht="30">
      <c r="B2001" s="1477">
        <v>91014</v>
      </c>
      <c r="C2001" s="740" t="s">
        <v>2880</v>
      </c>
      <c r="D2001" s="739" t="s">
        <v>22</v>
      </c>
      <c r="E2001" s="741">
        <f t="shared" si="62"/>
        <v>913.55</v>
      </c>
      <c r="F2001">
        <f t="shared" si="63"/>
        <v>91014</v>
      </c>
      <c r="H2001" s="1406">
        <v>889.47</v>
      </c>
      <c r="I2001" s="1406">
        <v>913.55</v>
      </c>
    </row>
    <row r="2002" spans="2:9" ht="30">
      <c r="B2002" s="677">
        <v>91015</v>
      </c>
      <c r="C2002" s="733" t="s">
        <v>2881</v>
      </c>
      <c r="D2002" s="677" t="s">
        <v>22</v>
      </c>
      <c r="E2002" s="738">
        <f t="shared" si="62"/>
        <v>977.9</v>
      </c>
      <c r="F2002">
        <f t="shared" si="63"/>
        <v>91015</v>
      </c>
      <c r="H2002" s="1405">
        <v>953.32</v>
      </c>
      <c r="I2002" s="1405">
        <v>977.9</v>
      </c>
    </row>
    <row r="2003" spans="2:9" ht="30">
      <c r="B2003" s="1477">
        <v>91016</v>
      </c>
      <c r="C2003" s="740" t="s">
        <v>2882</v>
      </c>
      <c r="D2003" s="739" t="s">
        <v>22</v>
      </c>
      <c r="E2003" s="741">
        <f t="shared" si="62"/>
        <v>1027.74</v>
      </c>
      <c r="F2003">
        <f t="shared" si="63"/>
        <v>91016</v>
      </c>
      <c r="H2003" s="1406">
        <v>1002.65</v>
      </c>
      <c r="I2003" s="1406">
        <v>1027.74</v>
      </c>
    </row>
    <row r="2004" spans="2:9">
      <c r="B2004" s="677">
        <v>91287</v>
      </c>
      <c r="C2004" s="733" t="s">
        <v>2883</v>
      </c>
      <c r="D2004" s="677" t="s">
        <v>22</v>
      </c>
      <c r="E2004" s="738">
        <f t="shared" si="62"/>
        <v>248.69</v>
      </c>
      <c r="F2004">
        <f t="shared" si="63"/>
        <v>91287</v>
      </c>
      <c r="H2004" s="1405">
        <v>239.14</v>
      </c>
      <c r="I2004" s="1405">
        <v>248.69</v>
      </c>
    </row>
    <row r="2005" spans="2:9">
      <c r="B2005" s="1477">
        <v>91292</v>
      </c>
      <c r="C2005" s="740" t="s">
        <v>5866</v>
      </c>
      <c r="D2005" s="739" t="s">
        <v>22</v>
      </c>
      <c r="E2005" s="741">
        <f t="shared" si="62"/>
        <v>338.8</v>
      </c>
      <c r="F2005">
        <f t="shared" si="63"/>
        <v>91292</v>
      </c>
      <c r="H2005" s="1406">
        <v>321.95999999999998</v>
      </c>
      <c r="I2005" s="1406">
        <v>338.8</v>
      </c>
    </row>
    <row r="2006" spans="2:9" ht="30">
      <c r="B2006" s="677">
        <v>91295</v>
      </c>
      <c r="C2006" s="733" t="s">
        <v>2884</v>
      </c>
      <c r="D2006" s="677" t="s">
        <v>22</v>
      </c>
      <c r="E2006" s="738">
        <f t="shared" si="62"/>
        <v>357.13</v>
      </c>
      <c r="F2006">
        <f t="shared" si="63"/>
        <v>91295</v>
      </c>
      <c r="H2006" s="1405">
        <v>352.66</v>
      </c>
      <c r="I2006" s="1405">
        <v>357.13</v>
      </c>
    </row>
    <row r="2007" spans="2:9" ht="30">
      <c r="B2007" s="1477">
        <v>91296</v>
      </c>
      <c r="C2007" s="740" t="s">
        <v>2885</v>
      </c>
      <c r="D2007" s="739" t="s">
        <v>22</v>
      </c>
      <c r="E2007" s="741">
        <f t="shared" si="62"/>
        <v>383.15</v>
      </c>
      <c r="F2007">
        <f t="shared" si="63"/>
        <v>91296</v>
      </c>
      <c r="H2007" s="1406">
        <v>378.23</v>
      </c>
      <c r="I2007" s="1406">
        <v>383.15</v>
      </c>
    </row>
    <row r="2008" spans="2:9" ht="30">
      <c r="B2008" s="677">
        <v>91297</v>
      </c>
      <c r="C2008" s="733" t="s">
        <v>2886</v>
      </c>
      <c r="D2008" s="677" t="s">
        <v>22</v>
      </c>
      <c r="E2008" s="738">
        <f t="shared" si="62"/>
        <v>422.46</v>
      </c>
      <c r="F2008">
        <f t="shared" si="63"/>
        <v>91297</v>
      </c>
      <c r="H2008" s="1405">
        <v>417.08</v>
      </c>
      <c r="I2008" s="1405">
        <v>422.46</v>
      </c>
    </row>
    <row r="2009" spans="2:9" ht="30">
      <c r="B2009" s="1477">
        <v>91298</v>
      </c>
      <c r="C2009" s="740" t="s">
        <v>2887</v>
      </c>
      <c r="D2009" s="739" t="s">
        <v>22</v>
      </c>
      <c r="E2009" s="741">
        <f t="shared" si="62"/>
        <v>884.68</v>
      </c>
      <c r="F2009">
        <f t="shared" si="63"/>
        <v>91298</v>
      </c>
      <c r="H2009" s="1406">
        <v>879.3</v>
      </c>
      <c r="I2009" s="1406">
        <v>884.68</v>
      </c>
    </row>
    <row r="2010" spans="2:9" ht="30">
      <c r="B2010" s="677">
        <v>91299</v>
      </c>
      <c r="C2010" s="733" t="s">
        <v>2888</v>
      </c>
      <c r="D2010" s="677" t="s">
        <v>22</v>
      </c>
      <c r="E2010" s="738">
        <f t="shared" si="62"/>
        <v>1239.77</v>
      </c>
      <c r="F2010">
        <f t="shared" si="63"/>
        <v>91299</v>
      </c>
      <c r="H2010" s="1405">
        <v>1232.3</v>
      </c>
      <c r="I2010" s="1405">
        <v>1239.77</v>
      </c>
    </row>
    <row r="2011" spans="2:9" ht="30">
      <c r="B2011" s="1477">
        <v>91304</v>
      </c>
      <c r="C2011" s="740" t="s">
        <v>2889</v>
      </c>
      <c r="D2011" s="739" t="s">
        <v>22</v>
      </c>
      <c r="E2011" s="741">
        <f t="shared" si="62"/>
        <v>107.86</v>
      </c>
      <c r="F2011">
        <f t="shared" si="63"/>
        <v>91304</v>
      </c>
      <c r="H2011" s="1406">
        <v>104.37</v>
      </c>
      <c r="I2011" s="1406">
        <v>107.86</v>
      </c>
    </row>
    <row r="2012" spans="2:9" ht="30">
      <c r="B2012" s="677">
        <v>91305</v>
      </c>
      <c r="C2012" s="733" t="s">
        <v>2890</v>
      </c>
      <c r="D2012" s="677" t="s">
        <v>22</v>
      </c>
      <c r="E2012" s="738">
        <f t="shared" si="62"/>
        <v>108.6</v>
      </c>
      <c r="F2012">
        <f t="shared" si="63"/>
        <v>91305</v>
      </c>
      <c r="H2012" s="1405">
        <v>105.93</v>
      </c>
      <c r="I2012" s="1405">
        <v>108.6</v>
      </c>
    </row>
    <row r="2013" spans="2:9" ht="30">
      <c r="B2013" s="1477">
        <v>91306</v>
      </c>
      <c r="C2013" s="740" t="s">
        <v>2891</v>
      </c>
      <c r="D2013" s="739" t="s">
        <v>22</v>
      </c>
      <c r="E2013" s="741">
        <f t="shared" si="62"/>
        <v>158.07</v>
      </c>
      <c r="F2013">
        <f t="shared" si="63"/>
        <v>91306</v>
      </c>
      <c r="H2013" s="1406">
        <v>155.4</v>
      </c>
      <c r="I2013" s="1406">
        <v>158.07</v>
      </c>
    </row>
    <row r="2014" spans="2:9" ht="30">
      <c r="B2014" s="677">
        <v>91307</v>
      </c>
      <c r="C2014" s="733" t="s">
        <v>2892</v>
      </c>
      <c r="D2014" s="677" t="s">
        <v>22</v>
      </c>
      <c r="E2014" s="738">
        <f t="shared" si="62"/>
        <v>91.91</v>
      </c>
      <c r="F2014">
        <f t="shared" si="63"/>
        <v>91307</v>
      </c>
      <c r="H2014" s="1405">
        <v>89.24</v>
      </c>
      <c r="I2014" s="1405">
        <v>91.91</v>
      </c>
    </row>
    <row r="2015" spans="2:9" ht="45">
      <c r="B2015" s="1477">
        <v>91312</v>
      </c>
      <c r="C2015" s="740" t="s">
        <v>2893</v>
      </c>
      <c r="D2015" s="739" t="s">
        <v>22</v>
      </c>
      <c r="E2015" s="741">
        <f t="shared" si="62"/>
        <v>865.39</v>
      </c>
      <c r="F2015">
        <f t="shared" si="63"/>
        <v>91312</v>
      </c>
      <c r="H2015" s="1406">
        <v>839.11</v>
      </c>
      <c r="I2015" s="1406">
        <v>865.39</v>
      </c>
    </row>
    <row r="2016" spans="2:9" ht="45">
      <c r="B2016" s="677">
        <v>91313</v>
      </c>
      <c r="C2016" s="733" t="s">
        <v>2894</v>
      </c>
      <c r="D2016" s="677" t="s">
        <v>22</v>
      </c>
      <c r="E2016" s="738">
        <f t="shared" si="62"/>
        <v>856.95</v>
      </c>
      <c r="F2016">
        <f t="shared" si="63"/>
        <v>91313</v>
      </c>
      <c r="H2016" s="1405">
        <v>830.17</v>
      </c>
      <c r="I2016" s="1405">
        <v>856.95</v>
      </c>
    </row>
    <row r="2017" spans="2:9" ht="45">
      <c r="B2017" s="1477">
        <v>91314</v>
      </c>
      <c r="C2017" s="740" t="s">
        <v>2895</v>
      </c>
      <c r="D2017" s="739" t="s">
        <v>22</v>
      </c>
      <c r="E2017" s="741">
        <f t="shared" si="62"/>
        <v>899.68</v>
      </c>
      <c r="F2017">
        <f t="shared" si="63"/>
        <v>91314</v>
      </c>
      <c r="H2017" s="1406">
        <v>871.57</v>
      </c>
      <c r="I2017" s="1406">
        <v>899.68</v>
      </c>
    </row>
    <row r="2018" spans="2:9" ht="45">
      <c r="B2018" s="677">
        <v>91315</v>
      </c>
      <c r="C2018" s="733" t="s">
        <v>2896</v>
      </c>
      <c r="D2018" s="677" t="s">
        <v>22</v>
      </c>
      <c r="E2018" s="738">
        <f t="shared" si="62"/>
        <v>987.36</v>
      </c>
      <c r="F2018">
        <f t="shared" si="63"/>
        <v>91315</v>
      </c>
      <c r="H2018" s="1405">
        <v>958.74</v>
      </c>
      <c r="I2018" s="1405">
        <v>987.36</v>
      </c>
    </row>
    <row r="2019" spans="2:9" ht="45">
      <c r="B2019" s="1477">
        <v>91316</v>
      </c>
      <c r="C2019" s="740" t="s">
        <v>3414</v>
      </c>
      <c r="D2019" s="739" t="s">
        <v>22</v>
      </c>
      <c r="E2019" s="741">
        <f t="shared" si="62"/>
        <v>1183.2</v>
      </c>
      <c r="F2019">
        <f t="shared" si="63"/>
        <v>91316</v>
      </c>
      <c r="H2019" s="1406">
        <v>1153</v>
      </c>
      <c r="I2019" s="1406">
        <v>1183.2</v>
      </c>
    </row>
    <row r="2020" spans="2:9" ht="45">
      <c r="B2020" s="677">
        <v>91317</v>
      </c>
      <c r="C2020" s="733" t="s">
        <v>3415</v>
      </c>
      <c r="D2020" s="677" t="s">
        <v>22</v>
      </c>
      <c r="E2020" s="738">
        <f t="shared" si="62"/>
        <v>1259.6400000000001</v>
      </c>
      <c r="F2020">
        <f t="shared" si="63"/>
        <v>91317</v>
      </c>
      <c r="H2020" s="1405">
        <v>1228.75</v>
      </c>
      <c r="I2020" s="1405">
        <v>1259.6400000000001</v>
      </c>
    </row>
    <row r="2021" spans="2:9" ht="30">
      <c r="B2021" s="1477">
        <v>91318</v>
      </c>
      <c r="C2021" s="740" t="s">
        <v>2897</v>
      </c>
      <c r="D2021" s="739" t="s">
        <v>22</v>
      </c>
      <c r="E2021" s="741">
        <f t="shared" si="62"/>
        <v>756.79</v>
      </c>
      <c r="F2021">
        <f t="shared" si="63"/>
        <v>91318</v>
      </c>
      <c r="H2021" s="1406">
        <v>733.18</v>
      </c>
      <c r="I2021" s="1406">
        <v>756.79</v>
      </c>
    </row>
    <row r="2022" spans="2:9" ht="30">
      <c r="B2022" s="677">
        <v>91319</v>
      </c>
      <c r="C2022" s="733" t="s">
        <v>2898</v>
      </c>
      <c r="D2022" s="677" t="s">
        <v>22</v>
      </c>
      <c r="E2022" s="738">
        <f t="shared" si="62"/>
        <v>765.04</v>
      </c>
      <c r="F2022">
        <f t="shared" si="63"/>
        <v>91319</v>
      </c>
      <c r="H2022" s="1405">
        <v>740.93</v>
      </c>
      <c r="I2022" s="1405">
        <v>765.04</v>
      </c>
    </row>
    <row r="2023" spans="2:9" ht="30">
      <c r="B2023" s="1477">
        <v>91320</v>
      </c>
      <c r="C2023" s="740" t="s">
        <v>2899</v>
      </c>
      <c r="D2023" s="739" t="s">
        <v>22</v>
      </c>
      <c r="E2023" s="741">
        <f t="shared" si="62"/>
        <v>791.82</v>
      </c>
      <c r="F2023">
        <f t="shared" si="63"/>
        <v>91320</v>
      </c>
      <c r="H2023" s="1406">
        <v>767.2</v>
      </c>
      <c r="I2023" s="1406">
        <v>791.82</v>
      </c>
    </row>
    <row r="2024" spans="2:9" ht="30">
      <c r="B2024" s="677">
        <v>91321</v>
      </c>
      <c r="C2024" s="733" t="s">
        <v>2900</v>
      </c>
      <c r="D2024" s="677" t="s">
        <v>22</v>
      </c>
      <c r="E2024" s="738">
        <f t="shared" si="62"/>
        <v>879.5</v>
      </c>
      <c r="F2024">
        <f t="shared" si="63"/>
        <v>91321</v>
      </c>
      <c r="H2024" s="1405">
        <v>854.37</v>
      </c>
      <c r="I2024" s="1405">
        <v>879.5</v>
      </c>
    </row>
    <row r="2025" spans="2:9" ht="45">
      <c r="B2025" s="1477">
        <v>91322</v>
      </c>
      <c r="C2025" s="740" t="s">
        <v>3416</v>
      </c>
      <c r="D2025" s="739" t="s">
        <v>22</v>
      </c>
      <c r="E2025" s="741">
        <f t="shared" si="62"/>
        <v>1075.3399999999999</v>
      </c>
      <c r="F2025">
        <f t="shared" si="63"/>
        <v>91322</v>
      </c>
      <c r="H2025" s="1406">
        <v>1048.6300000000001</v>
      </c>
      <c r="I2025" s="1406">
        <v>1075.3399999999999</v>
      </c>
    </row>
    <row r="2026" spans="2:9" ht="45">
      <c r="B2026" s="677">
        <v>91323</v>
      </c>
      <c r="C2026" s="733" t="s">
        <v>3417</v>
      </c>
      <c r="D2026" s="677" t="s">
        <v>22</v>
      </c>
      <c r="E2026" s="738">
        <f t="shared" si="62"/>
        <v>1151.78</v>
      </c>
      <c r="F2026">
        <f t="shared" si="63"/>
        <v>91323</v>
      </c>
      <c r="H2026" s="1405">
        <v>1124.3800000000001</v>
      </c>
      <c r="I2026" s="1405">
        <v>1151.78</v>
      </c>
    </row>
    <row r="2027" spans="2:9" ht="30">
      <c r="B2027" s="1477">
        <v>91324</v>
      </c>
      <c r="C2027" s="740" t="s">
        <v>2901</v>
      </c>
      <c r="D2027" s="739" t="s">
        <v>22</v>
      </c>
      <c r="E2027" s="741">
        <f t="shared" si="62"/>
        <v>768.98</v>
      </c>
      <c r="F2027">
        <f t="shared" si="63"/>
        <v>91324</v>
      </c>
      <c r="H2027" s="1406">
        <v>745.37</v>
      </c>
      <c r="I2027" s="1406">
        <v>768.98</v>
      </c>
    </row>
    <row r="2028" spans="2:9" ht="30">
      <c r="B2028" s="677">
        <v>91325</v>
      </c>
      <c r="C2028" s="733" t="s">
        <v>2902</v>
      </c>
      <c r="D2028" s="677" t="s">
        <v>22</v>
      </c>
      <c r="E2028" s="738">
        <f t="shared" si="62"/>
        <v>777.81</v>
      </c>
      <c r="F2028">
        <f t="shared" si="63"/>
        <v>91325</v>
      </c>
      <c r="H2028" s="1405">
        <v>753.7</v>
      </c>
      <c r="I2028" s="1405">
        <v>777.81</v>
      </c>
    </row>
    <row r="2029" spans="2:9" ht="30">
      <c r="B2029" s="1477">
        <v>91326</v>
      </c>
      <c r="C2029" s="740" t="s">
        <v>2903</v>
      </c>
      <c r="D2029" s="739" t="s">
        <v>22</v>
      </c>
      <c r="E2029" s="741">
        <f t="shared" si="62"/>
        <v>841.32</v>
      </c>
      <c r="F2029">
        <f t="shared" si="63"/>
        <v>91326</v>
      </c>
      <c r="H2029" s="1406">
        <v>816.7</v>
      </c>
      <c r="I2029" s="1406">
        <v>841.32</v>
      </c>
    </row>
    <row r="2030" spans="2:9" ht="30">
      <c r="B2030" s="677">
        <v>91327</v>
      </c>
      <c r="C2030" s="733" t="s">
        <v>2904</v>
      </c>
      <c r="D2030" s="677" t="s">
        <v>22</v>
      </c>
      <c r="E2030" s="738">
        <f t="shared" si="62"/>
        <v>890.31</v>
      </c>
      <c r="F2030">
        <f t="shared" si="63"/>
        <v>91327</v>
      </c>
      <c r="H2030" s="1405">
        <v>865.18</v>
      </c>
      <c r="I2030" s="1405">
        <v>890.31</v>
      </c>
    </row>
    <row r="2031" spans="2:9" ht="30">
      <c r="B2031" s="1477">
        <v>91328</v>
      </c>
      <c r="C2031" s="740" t="s">
        <v>2905</v>
      </c>
      <c r="D2031" s="739" t="s">
        <v>22</v>
      </c>
      <c r="E2031" s="741">
        <f t="shared" si="62"/>
        <v>914.43</v>
      </c>
      <c r="F2031">
        <f t="shared" si="63"/>
        <v>91328</v>
      </c>
      <c r="H2031" s="1406">
        <v>890.85</v>
      </c>
      <c r="I2031" s="1406">
        <v>914.43</v>
      </c>
    </row>
    <row r="2032" spans="2:9" ht="30">
      <c r="B2032" s="677">
        <v>91329</v>
      </c>
      <c r="C2032" s="733" t="s">
        <v>2906</v>
      </c>
      <c r="D2032" s="677" t="s">
        <v>22</v>
      </c>
      <c r="E2032" s="738">
        <f t="shared" si="62"/>
        <v>779.54</v>
      </c>
      <c r="F2032">
        <f t="shared" si="63"/>
        <v>91329</v>
      </c>
      <c r="H2032" s="1405">
        <v>755.93</v>
      </c>
      <c r="I2032" s="1405">
        <v>779.54</v>
      </c>
    </row>
    <row r="2033" spans="2:9" ht="30">
      <c r="B2033" s="1477">
        <v>91330</v>
      </c>
      <c r="C2033" s="740" t="s">
        <v>2907</v>
      </c>
      <c r="D2033" s="739" t="s">
        <v>22</v>
      </c>
      <c r="E2033" s="741">
        <f t="shared" si="62"/>
        <v>943.04</v>
      </c>
      <c r="F2033">
        <f t="shared" si="63"/>
        <v>91330</v>
      </c>
      <c r="H2033" s="1406">
        <v>918.96</v>
      </c>
      <c r="I2033" s="1406">
        <v>943.04</v>
      </c>
    </row>
    <row r="2034" spans="2:9" ht="30">
      <c r="B2034" s="677">
        <v>91331</v>
      </c>
      <c r="C2034" s="733" t="s">
        <v>2908</v>
      </c>
      <c r="D2034" s="677" t="s">
        <v>22</v>
      </c>
      <c r="E2034" s="738">
        <f t="shared" si="62"/>
        <v>807.3</v>
      </c>
      <c r="F2034">
        <f t="shared" si="63"/>
        <v>91331</v>
      </c>
      <c r="H2034" s="1405">
        <v>783.19</v>
      </c>
      <c r="I2034" s="1405">
        <v>807.3</v>
      </c>
    </row>
    <row r="2035" spans="2:9" ht="30">
      <c r="B2035" s="1477">
        <v>91332</v>
      </c>
      <c r="C2035" s="740" t="s">
        <v>2909</v>
      </c>
      <c r="D2035" s="739" t="s">
        <v>22</v>
      </c>
      <c r="E2035" s="741">
        <f t="shared" si="62"/>
        <v>984.94</v>
      </c>
      <c r="F2035">
        <f t="shared" si="63"/>
        <v>91332</v>
      </c>
      <c r="H2035" s="1406">
        <v>960.36</v>
      </c>
      <c r="I2035" s="1406">
        <v>984.94</v>
      </c>
    </row>
    <row r="2036" spans="2:9" ht="30">
      <c r="B2036" s="677">
        <v>91333</v>
      </c>
      <c r="C2036" s="733" t="s">
        <v>2910</v>
      </c>
      <c r="D2036" s="677" t="s">
        <v>22</v>
      </c>
      <c r="E2036" s="738">
        <f t="shared" si="62"/>
        <v>848.36</v>
      </c>
      <c r="F2036">
        <f t="shared" si="63"/>
        <v>91333</v>
      </c>
      <c r="H2036" s="1405">
        <v>823.74</v>
      </c>
      <c r="I2036" s="1405">
        <v>848.36</v>
      </c>
    </row>
    <row r="2037" spans="2:9" ht="30">
      <c r="B2037" s="1477">
        <v>91334</v>
      </c>
      <c r="C2037" s="740" t="s">
        <v>2911</v>
      </c>
      <c r="D2037" s="739" t="s">
        <v>22</v>
      </c>
      <c r="E2037" s="741">
        <f t="shared" si="62"/>
        <v>1447.16</v>
      </c>
      <c r="F2037">
        <f t="shared" si="63"/>
        <v>91334</v>
      </c>
      <c r="H2037" s="1406">
        <v>1422.58</v>
      </c>
      <c r="I2037" s="1406">
        <v>1447.16</v>
      </c>
    </row>
    <row r="2038" spans="2:9" ht="30">
      <c r="B2038" s="677">
        <v>91335</v>
      </c>
      <c r="C2038" s="733" t="s">
        <v>2912</v>
      </c>
      <c r="D2038" s="677" t="s">
        <v>22</v>
      </c>
      <c r="E2038" s="738">
        <f t="shared" si="62"/>
        <v>1310.58</v>
      </c>
      <c r="F2038">
        <f t="shared" si="63"/>
        <v>91335</v>
      </c>
      <c r="H2038" s="1405">
        <v>1285.96</v>
      </c>
      <c r="I2038" s="1405">
        <v>1310.58</v>
      </c>
    </row>
    <row r="2039" spans="2:9" ht="45">
      <c r="B2039" s="1477">
        <v>91336</v>
      </c>
      <c r="C2039" s="740" t="s">
        <v>2913</v>
      </c>
      <c r="D2039" s="739" t="s">
        <v>22</v>
      </c>
      <c r="E2039" s="741">
        <f t="shared" si="62"/>
        <v>1802.25</v>
      </c>
      <c r="F2039">
        <f t="shared" si="63"/>
        <v>91336</v>
      </c>
      <c r="H2039" s="1406">
        <v>1775.58</v>
      </c>
      <c r="I2039" s="1406">
        <v>1802.25</v>
      </c>
    </row>
    <row r="2040" spans="2:9" ht="45">
      <c r="B2040" s="677">
        <v>91337</v>
      </c>
      <c r="C2040" s="733" t="s">
        <v>2914</v>
      </c>
      <c r="D2040" s="677" t="s">
        <v>22</v>
      </c>
      <c r="E2040" s="738">
        <f t="shared" si="62"/>
        <v>1665.67</v>
      </c>
      <c r="F2040">
        <f t="shared" si="63"/>
        <v>91337</v>
      </c>
      <c r="H2040" s="1405">
        <v>1638.96</v>
      </c>
      <c r="I2040" s="1405">
        <v>1665.67</v>
      </c>
    </row>
    <row r="2041" spans="2:9">
      <c r="B2041" s="1477">
        <v>100659</v>
      </c>
      <c r="C2041" s="740" t="s">
        <v>2915</v>
      </c>
      <c r="D2041" s="739" t="s">
        <v>21</v>
      </c>
      <c r="E2041" s="741">
        <f t="shared" si="62"/>
        <v>12.95</v>
      </c>
      <c r="F2041">
        <f t="shared" si="63"/>
        <v>100659</v>
      </c>
      <c r="H2041" s="1406">
        <v>12.71</v>
      </c>
      <c r="I2041" s="1406">
        <v>12.95</v>
      </c>
    </row>
    <row r="2042" spans="2:9">
      <c r="B2042" s="677">
        <v>100660</v>
      </c>
      <c r="C2042" s="733" t="s">
        <v>2916</v>
      </c>
      <c r="D2042" s="677" t="s">
        <v>21</v>
      </c>
      <c r="E2042" s="738">
        <f t="shared" si="62"/>
        <v>8.7100000000000009</v>
      </c>
      <c r="F2042">
        <f t="shared" si="63"/>
        <v>100660</v>
      </c>
      <c r="H2042" s="1405">
        <v>8.4700000000000006</v>
      </c>
      <c r="I2042" s="1405">
        <v>8.7100000000000009</v>
      </c>
    </row>
    <row r="2043" spans="2:9" ht="30">
      <c r="B2043" s="1477">
        <v>100675</v>
      </c>
      <c r="C2043" s="740" t="s">
        <v>2917</v>
      </c>
      <c r="D2043" s="739" t="s">
        <v>22</v>
      </c>
      <c r="E2043" s="741">
        <f t="shared" si="62"/>
        <v>1025.5</v>
      </c>
      <c r="F2043">
        <f t="shared" si="63"/>
        <v>100675</v>
      </c>
      <c r="H2043" s="1406">
        <v>1023.13</v>
      </c>
      <c r="I2043" s="1406">
        <v>1025.5</v>
      </c>
    </row>
    <row r="2044" spans="2:9">
      <c r="B2044" s="677">
        <v>100676</v>
      </c>
      <c r="C2044" s="733" t="s">
        <v>2918</v>
      </c>
      <c r="D2044" s="677" t="s">
        <v>22</v>
      </c>
      <c r="E2044" s="738">
        <f t="shared" si="62"/>
        <v>206.8</v>
      </c>
      <c r="F2044">
        <f t="shared" si="63"/>
        <v>100676</v>
      </c>
      <c r="H2044" s="1405">
        <v>199.23</v>
      </c>
      <c r="I2044" s="1405">
        <v>206.8</v>
      </c>
    </row>
    <row r="2045" spans="2:9" ht="45">
      <c r="B2045" s="1477">
        <v>100678</v>
      </c>
      <c r="C2045" s="740" t="s">
        <v>2919</v>
      </c>
      <c r="D2045" s="739" t="s">
        <v>22</v>
      </c>
      <c r="E2045" s="741">
        <f t="shared" si="62"/>
        <v>1061.94</v>
      </c>
      <c r="F2045">
        <f t="shared" si="63"/>
        <v>100678</v>
      </c>
      <c r="H2045" s="1406">
        <v>1035.69</v>
      </c>
      <c r="I2045" s="1406">
        <v>1061.94</v>
      </c>
    </row>
    <row r="2046" spans="2:9" ht="45">
      <c r="B2046" s="677">
        <v>100679</v>
      </c>
      <c r="C2046" s="733" t="s">
        <v>2920</v>
      </c>
      <c r="D2046" s="677" t="s">
        <v>22</v>
      </c>
      <c r="E2046" s="738">
        <f t="shared" si="62"/>
        <v>877.58</v>
      </c>
      <c r="F2046">
        <f t="shared" si="63"/>
        <v>100679</v>
      </c>
      <c r="H2046" s="1405">
        <v>851.3</v>
      </c>
      <c r="I2046" s="1405">
        <v>877.58</v>
      </c>
    </row>
    <row r="2047" spans="2:9" ht="45">
      <c r="B2047" s="1477">
        <v>100680</v>
      </c>
      <c r="C2047" s="740" t="s">
        <v>2921</v>
      </c>
      <c r="D2047" s="739" t="s">
        <v>22</v>
      </c>
      <c r="E2047" s="741">
        <f t="shared" si="62"/>
        <v>1071.6199999999999</v>
      </c>
      <c r="F2047">
        <f t="shared" si="63"/>
        <v>100680</v>
      </c>
      <c r="H2047" s="1406">
        <v>1044.8699999999999</v>
      </c>
      <c r="I2047" s="1406">
        <v>1071.6199999999999</v>
      </c>
    </row>
    <row r="2048" spans="2:9" ht="45">
      <c r="B2048" s="677">
        <v>100681</v>
      </c>
      <c r="C2048" s="733" t="s">
        <v>2922</v>
      </c>
      <c r="D2048" s="677" t="s">
        <v>22</v>
      </c>
      <c r="E2048" s="738">
        <f t="shared" si="62"/>
        <v>1101.1099999999999</v>
      </c>
      <c r="F2048">
        <f t="shared" si="63"/>
        <v>100681</v>
      </c>
      <c r="H2048" s="1405">
        <v>1074.3599999999999</v>
      </c>
      <c r="I2048" s="1405">
        <v>1101.1099999999999</v>
      </c>
    </row>
    <row r="2049" spans="2:9" ht="45">
      <c r="B2049" s="1477">
        <v>100682</v>
      </c>
      <c r="C2049" s="740" t="s">
        <v>2923</v>
      </c>
      <c r="D2049" s="739" t="s">
        <v>22</v>
      </c>
      <c r="E2049" s="741">
        <f t="shared" si="62"/>
        <v>899.21</v>
      </c>
      <c r="F2049">
        <f t="shared" si="63"/>
        <v>100682</v>
      </c>
      <c r="H2049" s="1406">
        <v>872.43</v>
      </c>
      <c r="I2049" s="1406">
        <v>899.21</v>
      </c>
    </row>
    <row r="2050" spans="2:9" ht="45">
      <c r="B2050" s="677">
        <v>100683</v>
      </c>
      <c r="C2050" s="733" t="s">
        <v>2924</v>
      </c>
      <c r="D2050" s="677" t="s">
        <v>22</v>
      </c>
      <c r="E2050" s="738">
        <f t="shared" si="62"/>
        <v>1157.67</v>
      </c>
      <c r="F2050">
        <f t="shared" si="63"/>
        <v>100683</v>
      </c>
      <c r="H2050" s="1405">
        <v>1129.5999999999999</v>
      </c>
      <c r="I2050" s="1405">
        <v>1157.67</v>
      </c>
    </row>
    <row r="2051" spans="2:9" ht="45">
      <c r="B2051" s="1477">
        <v>100684</v>
      </c>
      <c r="C2051" s="740" t="s">
        <v>2925</v>
      </c>
      <c r="D2051" s="739" t="s">
        <v>22</v>
      </c>
      <c r="E2051" s="741">
        <f t="shared" ref="E2051:E2114" si="64">IF($K$2=$H$1,H2051,I2051)</f>
        <v>949.18</v>
      </c>
      <c r="F2051">
        <f t="shared" ref="F2051:F2114" si="65">IF(LEN($B2051)=7,CONCATENATE(MID($B2051,1,6),"00",RIGHT($B2051,1)),IF(LEN($B2051)=8,CONCATENATE(MID($B2051,1,6),"0",RIGHT($B2051,2)),$B2051))</f>
        <v>100684</v>
      </c>
      <c r="H2051" s="1406">
        <v>921.07</v>
      </c>
      <c r="I2051" s="1406">
        <v>949.18</v>
      </c>
    </row>
    <row r="2052" spans="2:9" ht="45">
      <c r="B2052" s="677">
        <v>100685</v>
      </c>
      <c r="C2052" s="733" t="s">
        <v>2926</v>
      </c>
      <c r="D2052" s="677" t="s">
        <v>22</v>
      </c>
      <c r="E2052" s="738">
        <f t="shared" si="64"/>
        <v>1207.51</v>
      </c>
      <c r="F2052">
        <f t="shared" si="65"/>
        <v>100685</v>
      </c>
      <c r="H2052" s="1405">
        <v>1178.93</v>
      </c>
      <c r="I2052" s="1405">
        <v>1207.51</v>
      </c>
    </row>
    <row r="2053" spans="2:9" ht="45">
      <c r="B2053" s="1477">
        <v>100686</v>
      </c>
      <c r="C2053" s="740" t="s">
        <v>2927</v>
      </c>
      <c r="D2053" s="739" t="s">
        <v>22</v>
      </c>
      <c r="E2053" s="741">
        <f t="shared" si="64"/>
        <v>998.17</v>
      </c>
      <c r="F2053">
        <f t="shared" si="65"/>
        <v>100686</v>
      </c>
      <c r="H2053" s="1406">
        <v>969.55</v>
      </c>
      <c r="I2053" s="1406">
        <v>998.17</v>
      </c>
    </row>
    <row r="2054" spans="2:9" ht="45">
      <c r="B2054" s="677">
        <v>100687</v>
      </c>
      <c r="C2054" s="733" t="s">
        <v>2928</v>
      </c>
      <c r="D2054" s="677" t="s">
        <v>22</v>
      </c>
      <c r="E2054" s="738">
        <f t="shared" si="64"/>
        <v>1072.5</v>
      </c>
      <c r="F2054">
        <f t="shared" si="65"/>
        <v>100687</v>
      </c>
      <c r="H2054" s="1405">
        <v>1046.25</v>
      </c>
      <c r="I2054" s="1405">
        <v>1072.5</v>
      </c>
    </row>
    <row r="2055" spans="2:9" ht="45">
      <c r="B2055" s="1477">
        <v>100688</v>
      </c>
      <c r="C2055" s="740" t="s">
        <v>2929</v>
      </c>
      <c r="D2055" s="739" t="s">
        <v>22</v>
      </c>
      <c r="E2055" s="741">
        <f t="shared" si="64"/>
        <v>888.14</v>
      </c>
      <c r="F2055">
        <f t="shared" si="65"/>
        <v>100688</v>
      </c>
      <c r="H2055" s="1406">
        <v>861.86</v>
      </c>
      <c r="I2055" s="1406">
        <v>888.14</v>
      </c>
    </row>
    <row r="2056" spans="2:9" ht="45">
      <c r="B2056" s="677">
        <v>100689</v>
      </c>
      <c r="C2056" s="733" t="s">
        <v>2930</v>
      </c>
      <c r="D2056" s="677" t="s">
        <v>22</v>
      </c>
      <c r="E2056" s="738">
        <f t="shared" si="64"/>
        <v>1164.71</v>
      </c>
      <c r="F2056">
        <f t="shared" si="65"/>
        <v>100689</v>
      </c>
      <c r="H2056" s="1405">
        <v>1136.6400000000001</v>
      </c>
      <c r="I2056" s="1405">
        <v>1164.71</v>
      </c>
    </row>
    <row r="2057" spans="2:9" ht="45">
      <c r="B2057" s="1477">
        <v>100690</v>
      </c>
      <c r="C2057" s="740" t="s">
        <v>2931</v>
      </c>
      <c r="D2057" s="739" t="s">
        <v>22</v>
      </c>
      <c r="E2057" s="741">
        <f t="shared" si="64"/>
        <v>956.22</v>
      </c>
      <c r="F2057">
        <f t="shared" si="65"/>
        <v>100690</v>
      </c>
      <c r="H2057" s="1406">
        <v>928.11</v>
      </c>
      <c r="I2057" s="1406">
        <v>956.22</v>
      </c>
    </row>
    <row r="2058" spans="2:9" ht="30">
      <c r="B2058" s="677">
        <v>100691</v>
      </c>
      <c r="C2058" s="733" t="s">
        <v>2932</v>
      </c>
      <c r="D2058" s="677" t="s">
        <v>22</v>
      </c>
      <c r="E2058" s="738">
        <f t="shared" si="64"/>
        <v>1626.93</v>
      </c>
      <c r="F2058">
        <f t="shared" si="65"/>
        <v>100691</v>
      </c>
      <c r="H2058" s="1405">
        <v>1598.86</v>
      </c>
      <c r="I2058" s="1405">
        <v>1626.93</v>
      </c>
    </row>
    <row r="2059" spans="2:9" ht="30">
      <c r="B2059" s="1477">
        <v>100692</v>
      </c>
      <c r="C2059" s="740" t="s">
        <v>2933</v>
      </c>
      <c r="D2059" s="739" t="s">
        <v>22</v>
      </c>
      <c r="E2059" s="741">
        <f t="shared" si="64"/>
        <v>1418.44</v>
      </c>
      <c r="F2059">
        <f t="shared" si="65"/>
        <v>100692</v>
      </c>
      <c r="H2059" s="1406">
        <v>1390.33</v>
      </c>
      <c r="I2059" s="1406">
        <v>1418.44</v>
      </c>
    </row>
    <row r="2060" spans="2:9" ht="45">
      <c r="B2060" s="677">
        <v>100693</v>
      </c>
      <c r="C2060" s="733" t="s">
        <v>2934</v>
      </c>
      <c r="D2060" s="677" t="s">
        <v>22</v>
      </c>
      <c r="E2060" s="738">
        <f t="shared" si="64"/>
        <v>1982.02</v>
      </c>
      <c r="F2060">
        <f t="shared" si="65"/>
        <v>100693</v>
      </c>
      <c r="H2060" s="1405">
        <v>1951.86</v>
      </c>
      <c r="I2060" s="1405">
        <v>1982.02</v>
      </c>
    </row>
    <row r="2061" spans="2:9" ht="45">
      <c r="B2061" s="1477">
        <v>100694</v>
      </c>
      <c r="C2061" s="740" t="s">
        <v>2935</v>
      </c>
      <c r="D2061" s="739" t="s">
        <v>22</v>
      </c>
      <c r="E2061" s="741">
        <f t="shared" si="64"/>
        <v>1773.53</v>
      </c>
      <c r="F2061">
        <f t="shared" si="65"/>
        <v>100694</v>
      </c>
      <c r="H2061" s="1406">
        <v>1743.33</v>
      </c>
      <c r="I2061" s="1406">
        <v>1773.53</v>
      </c>
    </row>
    <row r="2062" spans="2:9" ht="30">
      <c r="B2062" s="677">
        <v>100695</v>
      </c>
      <c r="C2062" s="733" t="s">
        <v>2936</v>
      </c>
      <c r="D2062" s="677" t="s">
        <v>22</v>
      </c>
      <c r="E2062" s="738">
        <f t="shared" si="64"/>
        <v>56.21</v>
      </c>
      <c r="F2062">
        <f t="shared" si="65"/>
        <v>100695</v>
      </c>
      <c r="H2062" s="1405">
        <v>50.65</v>
      </c>
      <c r="I2062" s="1405">
        <v>56.21</v>
      </c>
    </row>
    <row r="2063" spans="2:9" ht="30">
      <c r="B2063" s="1477">
        <v>100696</v>
      </c>
      <c r="C2063" s="740" t="s">
        <v>2937</v>
      </c>
      <c r="D2063" s="739" t="s">
        <v>22</v>
      </c>
      <c r="E2063" s="741">
        <f t="shared" si="64"/>
        <v>62.52</v>
      </c>
      <c r="F2063">
        <f t="shared" si="65"/>
        <v>100696</v>
      </c>
      <c r="H2063" s="1406">
        <v>56.33</v>
      </c>
      <c r="I2063" s="1406">
        <v>62.52</v>
      </c>
    </row>
    <row r="2064" spans="2:9" ht="30">
      <c r="B2064" s="677">
        <v>100697</v>
      </c>
      <c r="C2064" s="733" t="s">
        <v>2938</v>
      </c>
      <c r="D2064" s="677" t="s">
        <v>22</v>
      </c>
      <c r="E2064" s="738">
        <f t="shared" si="64"/>
        <v>68.89</v>
      </c>
      <c r="F2064">
        <f t="shared" si="65"/>
        <v>100697</v>
      </c>
      <c r="H2064" s="1405">
        <v>62.06</v>
      </c>
      <c r="I2064" s="1405">
        <v>68.89</v>
      </c>
    </row>
    <row r="2065" spans="2:9" ht="30">
      <c r="B2065" s="1477">
        <v>100698</v>
      </c>
      <c r="C2065" s="740" t="s">
        <v>2939</v>
      </c>
      <c r="D2065" s="739" t="s">
        <v>22</v>
      </c>
      <c r="E2065" s="741">
        <f t="shared" si="64"/>
        <v>75.23</v>
      </c>
      <c r="F2065">
        <f t="shared" si="65"/>
        <v>100698</v>
      </c>
      <c r="H2065" s="1406">
        <v>67.760000000000005</v>
      </c>
      <c r="I2065" s="1406">
        <v>75.23</v>
      </c>
    </row>
    <row r="2066" spans="2:9" ht="30">
      <c r="B2066" s="677">
        <v>100699</v>
      </c>
      <c r="C2066" s="733" t="s">
        <v>2940</v>
      </c>
      <c r="D2066" s="677" t="s">
        <v>22</v>
      </c>
      <c r="E2066" s="738">
        <f t="shared" si="64"/>
        <v>89.44</v>
      </c>
      <c r="F2066">
        <f t="shared" si="65"/>
        <v>100699</v>
      </c>
      <c r="H2066" s="1405">
        <v>80.53</v>
      </c>
      <c r="I2066" s="1405">
        <v>89.44</v>
      </c>
    </row>
    <row r="2067" spans="2:9" ht="30">
      <c r="B2067" s="1477">
        <v>100700</v>
      </c>
      <c r="C2067" s="740" t="s">
        <v>2941</v>
      </c>
      <c r="D2067" s="739" t="s">
        <v>22</v>
      </c>
      <c r="E2067" s="741">
        <f t="shared" si="64"/>
        <v>896.96</v>
      </c>
      <c r="F2067">
        <f t="shared" si="65"/>
        <v>100700</v>
      </c>
      <c r="H2067" s="1406">
        <v>879.4</v>
      </c>
      <c r="I2067" s="1406">
        <v>896.96</v>
      </c>
    </row>
    <row r="2068" spans="2:9" ht="45">
      <c r="B2068" s="677">
        <v>100712</v>
      </c>
      <c r="C2068" s="733" t="s">
        <v>2942</v>
      </c>
      <c r="D2068" s="677" t="s">
        <v>22</v>
      </c>
      <c r="E2068" s="738">
        <f t="shared" si="64"/>
        <v>869.72</v>
      </c>
      <c r="F2068">
        <f t="shared" si="65"/>
        <v>100712</v>
      </c>
      <c r="H2068" s="1405">
        <v>842.94</v>
      </c>
      <c r="I2068" s="1405">
        <v>869.72</v>
      </c>
    </row>
    <row r="2069" spans="2:9" ht="45">
      <c r="B2069" s="1477">
        <v>100665</v>
      </c>
      <c r="C2069" s="740" t="s">
        <v>2943</v>
      </c>
      <c r="D2069" s="739" t="s">
        <v>0</v>
      </c>
      <c r="E2069" s="741">
        <f t="shared" si="64"/>
        <v>1185.2</v>
      </c>
      <c r="F2069">
        <f t="shared" si="65"/>
        <v>100665</v>
      </c>
      <c r="H2069" s="1406">
        <v>1179.17</v>
      </c>
      <c r="I2069" s="1406">
        <v>1185.2</v>
      </c>
    </row>
    <row r="2070" spans="2:9" ht="30">
      <c r="B2070" s="677">
        <v>100666</v>
      </c>
      <c r="C2070" s="733" t="s">
        <v>2944</v>
      </c>
      <c r="D2070" s="677" t="s">
        <v>0</v>
      </c>
      <c r="E2070" s="738">
        <f t="shared" si="64"/>
        <v>929.97</v>
      </c>
      <c r="F2070">
        <f t="shared" si="65"/>
        <v>100666</v>
      </c>
      <c r="H2070" s="1405">
        <v>923.94</v>
      </c>
      <c r="I2070" s="1405">
        <v>929.97</v>
      </c>
    </row>
    <row r="2071" spans="2:9" ht="30">
      <c r="B2071" s="1477">
        <v>100667</v>
      </c>
      <c r="C2071" s="740" t="s">
        <v>2945</v>
      </c>
      <c r="D2071" s="739" t="s">
        <v>0</v>
      </c>
      <c r="E2071" s="741">
        <f t="shared" si="64"/>
        <v>1546.02</v>
      </c>
      <c r="F2071">
        <f t="shared" si="65"/>
        <v>100667</v>
      </c>
      <c r="H2071" s="1406">
        <v>1539.99</v>
      </c>
      <c r="I2071" s="1406">
        <v>1546.02</v>
      </c>
    </row>
    <row r="2072" spans="2:9" ht="30">
      <c r="B2072" s="677">
        <v>100668</v>
      </c>
      <c r="C2072" s="733" t="s">
        <v>2946</v>
      </c>
      <c r="D2072" s="677" t="s">
        <v>0</v>
      </c>
      <c r="E2072" s="738">
        <f t="shared" si="64"/>
        <v>1815.54</v>
      </c>
      <c r="F2072">
        <f t="shared" si="65"/>
        <v>100668</v>
      </c>
      <c r="H2072" s="1405">
        <v>1801.97</v>
      </c>
      <c r="I2072" s="1405">
        <v>1815.54</v>
      </c>
    </row>
    <row r="2073" spans="2:9" ht="30">
      <c r="B2073" s="1477">
        <v>100669</v>
      </c>
      <c r="C2073" s="740" t="s">
        <v>2947</v>
      </c>
      <c r="D2073" s="739" t="s">
        <v>0</v>
      </c>
      <c r="E2073" s="741">
        <f t="shared" si="64"/>
        <v>1101.76</v>
      </c>
      <c r="F2073">
        <f t="shared" si="65"/>
        <v>100669</v>
      </c>
      <c r="H2073" s="1406">
        <v>1093.08</v>
      </c>
      <c r="I2073" s="1406">
        <v>1101.76</v>
      </c>
    </row>
    <row r="2074" spans="2:9" ht="45">
      <c r="B2074" s="677">
        <v>100670</v>
      </c>
      <c r="C2074" s="733" t="s">
        <v>2948</v>
      </c>
      <c r="D2074" s="677" t="s">
        <v>0</v>
      </c>
      <c r="E2074" s="738">
        <f t="shared" si="64"/>
        <v>1492.82</v>
      </c>
      <c r="F2074">
        <f t="shared" si="65"/>
        <v>100670</v>
      </c>
      <c r="H2074" s="1405">
        <v>1486.12</v>
      </c>
      <c r="I2074" s="1405">
        <v>1492.82</v>
      </c>
    </row>
    <row r="2075" spans="2:9" ht="45">
      <c r="B2075" s="1477">
        <v>100671</v>
      </c>
      <c r="C2075" s="740" t="s">
        <v>2949</v>
      </c>
      <c r="D2075" s="739" t="s">
        <v>0</v>
      </c>
      <c r="E2075" s="741">
        <f t="shared" si="64"/>
        <v>1859.67</v>
      </c>
      <c r="F2075">
        <f t="shared" si="65"/>
        <v>100671</v>
      </c>
      <c r="H2075" s="1406">
        <v>1852.97</v>
      </c>
      <c r="I2075" s="1406">
        <v>1859.67</v>
      </c>
    </row>
    <row r="2076" spans="2:9" ht="45">
      <c r="B2076" s="677">
        <v>100672</v>
      </c>
      <c r="C2076" s="733" t="s">
        <v>2950</v>
      </c>
      <c r="D2076" s="677" t="s">
        <v>0</v>
      </c>
      <c r="E2076" s="738">
        <f t="shared" si="64"/>
        <v>1190.49</v>
      </c>
      <c r="F2076">
        <f t="shared" si="65"/>
        <v>100672</v>
      </c>
      <c r="H2076" s="1405">
        <v>1183.79</v>
      </c>
      <c r="I2076" s="1405">
        <v>1190.49</v>
      </c>
    </row>
    <row r="2077" spans="2:9">
      <c r="B2077" s="1477">
        <v>100701</v>
      </c>
      <c r="C2077" s="740" t="s">
        <v>2951</v>
      </c>
      <c r="D2077" s="739" t="s">
        <v>0</v>
      </c>
      <c r="E2077" s="741">
        <f t="shared" si="64"/>
        <v>788.27</v>
      </c>
      <c r="F2077">
        <f t="shared" si="65"/>
        <v>100701</v>
      </c>
      <c r="H2077" s="1406">
        <v>786.38</v>
      </c>
      <c r="I2077" s="1406">
        <v>788.27</v>
      </c>
    </row>
    <row r="2078" spans="2:9" ht="30">
      <c r="B2078" s="677">
        <v>94559</v>
      </c>
      <c r="C2078" s="733" t="s">
        <v>2952</v>
      </c>
      <c r="D2078" s="677" t="s">
        <v>0</v>
      </c>
      <c r="E2078" s="738">
        <f t="shared" si="64"/>
        <v>627.73</v>
      </c>
      <c r="F2078">
        <f t="shared" si="65"/>
        <v>94559</v>
      </c>
      <c r="H2078" s="1405">
        <v>610.6</v>
      </c>
      <c r="I2078" s="1405">
        <v>627.73</v>
      </c>
    </row>
    <row r="2079" spans="2:9" ht="30">
      <c r="B2079" s="1477">
        <v>94562</v>
      </c>
      <c r="C2079" s="740" t="s">
        <v>2953</v>
      </c>
      <c r="D2079" s="739" t="s">
        <v>0</v>
      </c>
      <c r="E2079" s="741">
        <f t="shared" si="64"/>
        <v>576.49</v>
      </c>
      <c r="F2079">
        <f t="shared" si="65"/>
        <v>94562</v>
      </c>
      <c r="H2079" s="1406">
        <v>568.67999999999995</v>
      </c>
      <c r="I2079" s="1406">
        <v>576.49</v>
      </c>
    </row>
    <row r="2080" spans="2:9">
      <c r="B2080" s="677">
        <v>94587</v>
      </c>
      <c r="C2080" s="733" t="s">
        <v>2954</v>
      </c>
      <c r="D2080" s="677" t="s">
        <v>21</v>
      </c>
      <c r="E2080" s="738">
        <f t="shared" si="64"/>
        <v>61.68</v>
      </c>
      <c r="F2080">
        <f t="shared" si="65"/>
        <v>94587</v>
      </c>
      <c r="H2080" s="1405">
        <v>59.24</v>
      </c>
      <c r="I2080" s="1405">
        <v>61.68</v>
      </c>
    </row>
    <row r="2081" spans="2:9">
      <c r="B2081" s="1477">
        <v>94588</v>
      </c>
      <c r="C2081" s="740" t="s">
        <v>2955</v>
      </c>
      <c r="D2081" s="739" t="s">
        <v>21</v>
      </c>
      <c r="E2081" s="741">
        <f t="shared" si="64"/>
        <v>54.2</v>
      </c>
      <c r="F2081">
        <f t="shared" si="65"/>
        <v>94588</v>
      </c>
      <c r="H2081" s="1406">
        <v>52.93</v>
      </c>
      <c r="I2081" s="1406">
        <v>54.2</v>
      </c>
    </row>
    <row r="2082" spans="2:9" ht="30">
      <c r="B2082" s="677">
        <v>99837</v>
      </c>
      <c r="C2082" s="733" t="s">
        <v>6976</v>
      </c>
      <c r="D2082" s="677" t="s">
        <v>21</v>
      </c>
      <c r="E2082" s="738">
        <f t="shared" si="64"/>
        <v>560.84</v>
      </c>
      <c r="F2082">
        <f t="shared" si="65"/>
        <v>99837</v>
      </c>
      <c r="H2082" s="1405">
        <v>536.70000000000005</v>
      </c>
      <c r="I2082" s="1405">
        <v>560.84</v>
      </c>
    </row>
    <row r="2083" spans="2:9" ht="45">
      <c r="B2083" s="1477">
        <v>99839</v>
      </c>
      <c r="C2083" s="740" t="s">
        <v>6977</v>
      </c>
      <c r="D2083" s="739" t="s">
        <v>21</v>
      </c>
      <c r="E2083" s="741">
        <f t="shared" si="64"/>
        <v>458.01</v>
      </c>
      <c r="F2083">
        <f t="shared" si="65"/>
        <v>99839</v>
      </c>
      <c r="H2083" s="1406">
        <v>432.68</v>
      </c>
      <c r="I2083" s="1406">
        <v>458.01</v>
      </c>
    </row>
    <row r="2084" spans="2:9" ht="30">
      <c r="B2084" s="677">
        <v>99841</v>
      </c>
      <c r="C2084" s="733" t="s">
        <v>6978</v>
      </c>
      <c r="D2084" s="677" t="s">
        <v>21</v>
      </c>
      <c r="E2084" s="738">
        <f t="shared" si="64"/>
        <v>1263.56</v>
      </c>
      <c r="F2084">
        <f t="shared" si="65"/>
        <v>99841</v>
      </c>
      <c r="H2084" s="1405">
        <v>1248.8699999999999</v>
      </c>
      <c r="I2084" s="1405">
        <v>1263.56</v>
      </c>
    </row>
    <row r="2085" spans="2:9">
      <c r="B2085" s="1477">
        <v>99855</v>
      </c>
      <c r="C2085" s="740" t="s">
        <v>6979</v>
      </c>
      <c r="D2085" s="739" t="s">
        <v>21</v>
      </c>
      <c r="E2085" s="741">
        <f t="shared" si="64"/>
        <v>102.55</v>
      </c>
      <c r="F2085">
        <f t="shared" si="65"/>
        <v>99855</v>
      </c>
      <c r="H2085" s="1406">
        <v>98.4</v>
      </c>
      <c r="I2085" s="1406">
        <v>102.55</v>
      </c>
    </row>
    <row r="2086" spans="2:9">
      <c r="B2086" s="677">
        <v>99857</v>
      </c>
      <c r="C2086" s="733" t="s">
        <v>6980</v>
      </c>
      <c r="D2086" s="677" t="s">
        <v>21</v>
      </c>
      <c r="E2086" s="738">
        <f t="shared" si="64"/>
        <v>83.93</v>
      </c>
      <c r="F2086">
        <f t="shared" si="65"/>
        <v>99857</v>
      </c>
      <c r="H2086" s="1405">
        <v>78.11</v>
      </c>
      <c r="I2086" s="1405">
        <v>83.93</v>
      </c>
    </row>
    <row r="2087" spans="2:9">
      <c r="B2087" s="1477">
        <v>99861</v>
      </c>
      <c r="C2087" s="740" t="s">
        <v>2187</v>
      </c>
      <c r="D2087" s="739" t="s">
        <v>0</v>
      </c>
      <c r="E2087" s="741">
        <f t="shared" si="64"/>
        <v>565.24</v>
      </c>
      <c r="F2087">
        <f t="shared" si="65"/>
        <v>99861</v>
      </c>
      <c r="H2087" s="1406">
        <v>527.97</v>
      </c>
      <c r="I2087" s="1406">
        <v>565.24</v>
      </c>
    </row>
    <row r="2088" spans="2:9">
      <c r="B2088" s="677">
        <v>99862</v>
      </c>
      <c r="C2088" s="733" t="s">
        <v>2188</v>
      </c>
      <c r="D2088" s="677" t="s">
        <v>0</v>
      </c>
      <c r="E2088" s="738">
        <f t="shared" si="64"/>
        <v>546.41999999999996</v>
      </c>
      <c r="F2088">
        <f t="shared" si="65"/>
        <v>99862</v>
      </c>
      <c r="H2088" s="1405">
        <v>507.71</v>
      </c>
      <c r="I2088" s="1405">
        <v>546.41999999999996</v>
      </c>
    </row>
    <row r="2089" spans="2:9">
      <c r="B2089" s="1477">
        <v>90838</v>
      </c>
      <c r="C2089" s="740" t="s">
        <v>2956</v>
      </c>
      <c r="D2089" s="739" t="s">
        <v>22</v>
      </c>
      <c r="E2089" s="741">
        <f t="shared" si="64"/>
        <v>1957.4</v>
      </c>
      <c r="F2089">
        <f t="shared" si="65"/>
        <v>90838</v>
      </c>
      <c r="H2089" s="1406">
        <v>1944.01</v>
      </c>
      <c r="I2089" s="1406">
        <v>1957.4</v>
      </c>
    </row>
    <row r="2090" spans="2:9" ht="30">
      <c r="B2090" s="677">
        <v>91338</v>
      </c>
      <c r="C2090" s="733" t="s">
        <v>2957</v>
      </c>
      <c r="D2090" s="677" t="s">
        <v>0</v>
      </c>
      <c r="E2090" s="738">
        <f t="shared" si="64"/>
        <v>843.91</v>
      </c>
      <c r="F2090">
        <f t="shared" si="65"/>
        <v>91338</v>
      </c>
      <c r="H2090" s="1405">
        <v>842.61</v>
      </c>
      <c r="I2090" s="1405">
        <v>843.91</v>
      </c>
    </row>
    <row r="2091" spans="2:9" ht="30">
      <c r="B2091" s="1477">
        <v>91341</v>
      </c>
      <c r="C2091" s="740" t="s">
        <v>2958</v>
      </c>
      <c r="D2091" s="739" t="s">
        <v>0</v>
      </c>
      <c r="E2091" s="741">
        <f t="shared" si="64"/>
        <v>653.83000000000004</v>
      </c>
      <c r="F2091">
        <f t="shared" si="65"/>
        <v>91341</v>
      </c>
      <c r="H2091" s="1406">
        <v>652.42999999999995</v>
      </c>
      <c r="I2091" s="1406">
        <v>653.83000000000004</v>
      </c>
    </row>
    <row r="2092" spans="2:9" ht="30">
      <c r="B2092" s="677">
        <v>94805</v>
      </c>
      <c r="C2092" s="733" t="s">
        <v>2959</v>
      </c>
      <c r="D2092" s="677" t="s">
        <v>22</v>
      </c>
      <c r="E2092" s="738">
        <f t="shared" si="64"/>
        <v>850.08</v>
      </c>
      <c r="F2092">
        <f t="shared" si="65"/>
        <v>94805</v>
      </c>
      <c r="H2092" s="1405">
        <v>847.71</v>
      </c>
      <c r="I2092" s="1405">
        <v>850.08</v>
      </c>
    </row>
    <row r="2093" spans="2:9" ht="30">
      <c r="B2093" s="1477">
        <v>94806</v>
      </c>
      <c r="C2093" s="740" t="s">
        <v>2960</v>
      </c>
      <c r="D2093" s="739" t="s">
        <v>22</v>
      </c>
      <c r="E2093" s="741">
        <f t="shared" si="64"/>
        <v>906.31</v>
      </c>
      <c r="F2093">
        <f t="shared" si="65"/>
        <v>94806</v>
      </c>
      <c r="H2093" s="1406">
        <v>902.95</v>
      </c>
      <c r="I2093" s="1406">
        <v>906.31</v>
      </c>
    </row>
    <row r="2094" spans="2:9" ht="30">
      <c r="B2094" s="677">
        <v>94807</v>
      </c>
      <c r="C2094" s="733" t="s">
        <v>2961</v>
      </c>
      <c r="D2094" s="677" t="s">
        <v>22</v>
      </c>
      <c r="E2094" s="738">
        <f t="shared" si="64"/>
        <v>823.41</v>
      </c>
      <c r="F2094">
        <f t="shared" si="65"/>
        <v>94807</v>
      </c>
      <c r="H2094" s="1405">
        <v>819.86</v>
      </c>
      <c r="I2094" s="1405">
        <v>823.41</v>
      </c>
    </row>
    <row r="2095" spans="2:9" ht="30">
      <c r="B2095" s="1477">
        <v>100702</v>
      </c>
      <c r="C2095" s="740" t="s">
        <v>2962</v>
      </c>
      <c r="D2095" s="739" t="s">
        <v>0</v>
      </c>
      <c r="E2095" s="741">
        <f t="shared" si="64"/>
        <v>469.53</v>
      </c>
      <c r="F2095">
        <f t="shared" si="65"/>
        <v>100702</v>
      </c>
      <c r="H2095" s="1406">
        <v>468.5</v>
      </c>
      <c r="I2095" s="1406">
        <v>469.53</v>
      </c>
    </row>
    <row r="2096" spans="2:9">
      <c r="B2096" s="677">
        <v>102188</v>
      </c>
      <c r="C2096" s="733" t="s">
        <v>4535</v>
      </c>
      <c r="D2096" s="677" t="s">
        <v>22</v>
      </c>
      <c r="E2096" s="738">
        <f t="shared" si="64"/>
        <v>989.97</v>
      </c>
      <c r="F2096">
        <f t="shared" si="65"/>
        <v>102188</v>
      </c>
      <c r="H2096" s="1405">
        <v>982.34</v>
      </c>
      <c r="I2096" s="1405">
        <v>989.97</v>
      </c>
    </row>
    <row r="2097" spans="2:9" ht="30">
      <c r="B2097" s="1477">
        <v>102189</v>
      </c>
      <c r="C2097" s="740" t="s">
        <v>4536</v>
      </c>
      <c r="D2097" s="739" t="s">
        <v>22</v>
      </c>
      <c r="E2097" s="741">
        <f t="shared" si="64"/>
        <v>255.15</v>
      </c>
      <c r="F2097">
        <f t="shared" si="65"/>
        <v>102189</v>
      </c>
      <c r="H2097" s="1406">
        <v>246.67</v>
      </c>
      <c r="I2097" s="1406">
        <v>255.15</v>
      </c>
    </row>
    <row r="2098" spans="2:9">
      <c r="B2098" s="677">
        <v>100703</v>
      </c>
      <c r="C2098" s="733" t="s">
        <v>2963</v>
      </c>
      <c r="D2098" s="677" t="s">
        <v>22</v>
      </c>
      <c r="E2098" s="738">
        <f t="shared" si="64"/>
        <v>34.619999999999997</v>
      </c>
      <c r="F2098">
        <f t="shared" si="65"/>
        <v>100703</v>
      </c>
      <c r="H2098" s="1405">
        <v>33.47</v>
      </c>
      <c r="I2098" s="1405">
        <v>34.619999999999997</v>
      </c>
    </row>
    <row r="2099" spans="2:9">
      <c r="B2099" s="1477">
        <v>100704</v>
      </c>
      <c r="C2099" s="740" t="s">
        <v>2964</v>
      </c>
      <c r="D2099" s="739" t="s">
        <v>22</v>
      </c>
      <c r="E2099" s="741">
        <f t="shared" si="64"/>
        <v>74.62</v>
      </c>
      <c r="F2099">
        <f t="shared" si="65"/>
        <v>100704</v>
      </c>
      <c r="H2099" s="1406">
        <v>72.78</v>
      </c>
      <c r="I2099" s="1406">
        <v>74.62</v>
      </c>
    </row>
    <row r="2100" spans="2:9">
      <c r="B2100" s="677">
        <v>100705</v>
      </c>
      <c r="C2100" s="733" t="s">
        <v>2965</v>
      </c>
      <c r="D2100" s="677" t="s">
        <v>22</v>
      </c>
      <c r="E2100" s="738">
        <f t="shared" si="64"/>
        <v>83.83</v>
      </c>
      <c r="F2100">
        <f t="shared" si="65"/>
        <v>100705</v>
      </c>
      <c r="H2100" s="1405">
        <v>80.650000000000006</v>
      </c>
      <c r="I2100" s="1405">
        <v>83.83</v>
      </c>
    </row>
    <row r="2101" spans="2:9">
      <c r="B2101" s="1477">
        <v>100706</v>
      </c>
      <c r="C2101" s="740" t="s">
        <v>2966</v>
      </c>
      <c r="D2101" s="739" t="s">
        <v>22</v>
      </c>
      <c r="E2101" s="741">
        <f t="shared" si="64"/>
        <v>72.19</v>
      </c>
      <c r="F2101">
        <f t="shared" si="65"/>
        <v>100706</v>
      </c>
      <c r="H2101" s="1406">
        <v>68.069999999999993</v>
      </c>
      <c r="I2101" s="1406">
        <v>72.19</v>
      </c>
    </row>
    <row r="2102" spans="2:9">
      <c r="B2102" s="677">
        <v>100707</v>
      </c>
      <c r="C2102" s="733" t="s">
        <v>2967</v>
      </c>
      <c r="D2102" s="677" t="s">
        <v>22</v>
      </c>
      <c r="E2102" s="738">
        <f t="shared" si="64"/>
        <v>157.83000000000001</v>
      </c>
      <c r="F2102">
        <f t="shared" si="65"/>
        <v>100707</v>
      </c>
      <c r="H2102" s="1405">
        <v>153.9</v>
      </c>
      <c r="I2102" s="1405">
        <v>157.83000000000001</v>
      </c>
    </row>
    <row r="2103" spans="2:9">
      <c r="B2103" s="1477">
        <v>100708</v>
      </c>
      <c r="C2103" s="740" t="s">
        <v>2968</v>
      </c>
      <c r="D2103" s="739" t="s">
        <v>22</v>
      </c>
      <c r="E2103" s="741">
        <f t="shared" si="64"/>
        <v>198.73</v>
      </c>
      <c r="F2103">
        <f t="shared" si="65"/>
        <v>100708</v>
      </c>
      <c r="H2103" s="1406">
        <v>194.39</v>
      </c>
      <c r="I2103" s="1406">
        <v>198.73</v>
      </c>
    </row>
    <row r="2104" spans="2:9" ht="30">
      <c r="B2104" s="677">
        <v>100709</v>
      </c>
      <c r="C2104" s="733" t="s">
        <v>2969</v>
      </c>
      <c r="D2104" s="677" t="s">
        <v>22</v>
      </c>
      <c r="E2104" s="738">
        <f t="shared" si="64"/>
        <v>43.93</v>
      </c>
      <c r="F2104">
        <f t="shared" si="65"/>
        <v>100709</v>
      </c>
      <c r="H2104" s="1405">
        <v>40.74</v>
      </c>
      <c r="I2104" s="1405">
        <v>43.93</v>
      </c>
    </row>
    <row r="2105" spans="2:9">
      <c r="B2105" s="1477">
        <v>100710</v>
      </c>
      <c r="C2105" s="740" t="s">
        <v>2970</v>
      </c>
      <c r="D2105" s="739" t="s">
        <v>22</v>
      </c>
      <c r="E2105" s="741">
        <f t="shared" si="64"/>
        <v>108.23</v>
      </c>
      <c r="F2105">
        <f t="shared" si="65"/>
        <v>100710</v>
      </c>
      <c r="H2105" s="1406">
        <v>103.97</v>
      </c>
      <c r="I2105" s="1406">
        <v>108.23</v>
      </c>
    </row>
    <row r="2106" spans="2:9">
      <c r="B2106" s="677">
        <v>102151</v>
      </c>
      <c r="C2106" s="733" t="s">
        <v>4537</v>
      </c>
      <c r="D2106" s="677" t="s">
        <v>0</v>
      </c>
      <c r="E2106" s="738">
        <f t="shared" si="64"/>
        <v>207.38</v>
      </c>
      <c r="F2106">
        <f t="shared" si="65"/>
        <v>102151</v>
      </c>
      <c r="H2106" s="1405">
        <v>204.67</v>
      </c>
      <c r="I2106" s="1405">
        <v>207.38</v>
      </c>
    </row>
    <row r="2107" spans="2:9">
      <c r="B2107" s="1477">
        <v>102152</v>
      </c>
      <c r="C2107" s="740" t="s">
        <v>4538</v>
      </c>
      <c r="D2107" s="739" t="s">
        <v>0</v>
      </c>
      <c r="E2107" s="741">
        <f t="shared" si="64"/>
        <v>231.13</v>
      </c>
      <c r="F2107">
        <f t="shared" si="65"/>
        <v>102152</v>
      </c>
      <c r="H2107" s="1406">
        <v>228.42</v>
      </c>
      <c r="I2107" s="1406">
        <v>231.13</v>
      </c>
    </row>
    <row r="2108" spans="2:9">
      <c r="B2108" s="677">
        <v>102153</v>
      </c>
      <c r="C2108" s="733" t="s">
        <v>4539</v>
      </c>
      <c r="D2108" s="677" t="s">
        <v>0</v>
      </c>
      <c r="E2108" s="738">
        <f t="shared" si="64"/>
        <v>294.45999999999998</v>
      </c>
      <c r="F2108">
        <f t="shared" si="65"/>
        <v>102153</v>
      </c>
      <c r="H2108" s="1405">
        <v>291.75</v>
      </c>
      <c r="I2108" s="1405">
        <v>294.45999999999998</v>
      </c>
    </row>
    <row r="2109" spans="2:9">
      <c r="B2109" s="1477">
        <v>102154</v>
      </c>
      <c r="C2109" s="740" t="s">
        <v>4540</v>
      </c>
      <c r="D2109" s="739" t="s">
        <v>0</v>
      </c>
      <c r="E2109" s="741">
        <f t="shared" si="64"/>
        <v>254.76</v>
      </c>
      <c r="F2109">
        <f t="shared" si="65"/>
        <v>102154</v>
      </c>
      <c r="H2109" s="1406">
        <v>252.59</v>
      </c>
      <c r="I2109" s="1406">
        <v>254.76</v>
      </c>
    </row>
    <row r="2110" spans="2:9">
      <c r="B2110" s="677">
        <v>102155</v>
      </c>
      <c r="C2110" s="733" t="s">
        <v>4541</v>
      </c>
      <c r="D2110" s="677" t="s">
        <v>0</v>
      </c>
      <c r="E2110" s="738">
        <f t="shared" si="64"/>
        <v>306.57</v>
      </c>
      <c r="F2110">
        <f t="shared" si="65"/>
        <v>102155</v>
      </c>
      <c r="H2110" s="1405">
        <v>304.39999999999998</v>
      </c>
      <c r="I2110" s="1405">
        <v>306.57</v>
      </c>
    </row>
    <row r="2111" spans="2:9">
      <c r="B2111" s="1477">
        <v>102156</v>
      </c>
      <c r="C2111" s="740" t="s">
        <v>4542</v>
      </c>
      <c r="D2111" s="739" t="s">
        <v>0</v>
      </c>
      <c r="E2111" s="741">
        <f t="shared" si="64"/>
        <v>294.54000000000002</v>
      </c>
      <c r="F2111">
        <f t="shared" si="65"/>
        <v>102156</v>
      </c>
      <c r="H2111" s="1406">
        <v>292.89</v>
      </c>
      <c r="I2111" s="1406">
        <v>294.54000000000002</v>
      </c>
    </row>
    <row r="2112" spans="2:9">
      <c r="B2112" s="677">
        <v>102157</v>
      </c>
      <c r="C2112" s="733" t="s">
        <v>4543</v>
      </c>
      <c r="D2112" s="677" t="s">
        <v>0</v>
      </c>
      <c r="E2112" s="738">
        <f t="shared" si="64"/>
        <v>405.38</v>
      </c>
      <c r="F2112">
        <f t="shared" si="65"/>
        <v>102157</v>
      </c>
      <c r="H2112" s="1405">
        <v>403.73</v>
      </c>
      <c r="I2112" s="1405">
        <v>405.38</v>
      </c>
    </row>
    <row r="2113" spans="2:9">
      <c r="B2113" s="1477">
        <v>102158</v>
      </c>
      <c r="C2113" s="740" t="s">
        <v>4544</v>
      </c>
      <c r="D2113" s="739" t="s">
        <v>0</v>
      </c>
      <c r="E2113" s="741">
        <f t="shared" si="64"/>
        <v>411.51</v>
      </c>
      <c r="F2113">
        <f t="shared" si="65"/>
        <v>102158</v>
      </c>
      <c r="H2113" s="1406">
        <v>410.28</v>
      </c>
      <c r="I2113" s="1406">
        <v>411.51</v>
      </c>
    </row>
    <row r="2114" spans="2:9">
      <c r="B2114" s="677">
        <v>102159</v>
      </c>
      <c r="C2114" s="733" t="s">
        <v>4545</v>
      </c>
      <c r="D2114" s="677" t="s">
        <v>0</v>
      </c>
      <c r="E2114" s="738">
        <f t="shared" si="64"/>
        <v>491.51</v>
      </c>
      <c r="F2114">
        <f t="shared" si="65"/>
        <v>102159</v>
      </c>
      <c r="H2114" s="1405">
        <v>490.42</v>
      </c>
      <c r="I2114" s="1405">
        <v>491.51</v>
      </c>
    </row>
    <row r="2115" spans="2:9">
      <c r="B2115" s="1477">
        <v>102160</v>
      </c>
      <c r="C2115" s="740" t="s">
        <v>4546</v>
      </c>
      <c r="D2115" s="739" t="s">
        <v>0</v>
      </c>
      <c r="E2115" s="741">
        <f t="shared" ref="E2115:E2178" si="66">IF($K$2=$H$1,H2115,I2115)</f>
        <v>199.46</v>
      </c>
      <c r="F2115">
        <f t="shared" ref="F2115:F2178" si="67">IF(LEN($B2115)=7,CONCATENATE(MID($B2115,1,6),"00",RIGHT($B2115,1)),IF(LEN($B2115)=8,CONCATENATE(MID($B2115,1,6),"0",RIGHT($B2115,2)),$B2115))</f>
        <v>102160</v>
      </c>
      <c r="H2115" s="1406">
        <v>196.75</v>
      </c>
      <c r="I2115" s="1406">
        <v>199.46</v>
      </c>
    </row>
    <row r="2116" spans="2:9">
      <c r="B2116" s="677">
        <v>102161</v>
      </c>
      <c r="C2116" s="733" t="s">
        <v>6809</v>
      </c>
      <c r="D2116" s="677" t="s">
        <v>0</v>
      </c>
      <c r="E2116" s="738">
        <f t="shared" si="66"/>
        <v>315.10000000000002</v>
      </c>
      <c r="F2116">
        <f t="shared" si="67"/>
        <v>102161</v>
      </c>
      <c r="H2116" s="1405">
        <v>311.81</v>
      </c>
      <c r="I2116" s="1405">
        <v>315.10000000000002</v>
      </c>
    </row>
    <row r="2117" spans="2:9">
      <c r="B2117" s="1477">
        <v>102162</v>
      </c>
      <c r="C2117" s="740" t="s">
        <v>6810</v>
      </c>
      <c r="D2117" s="739" t="s">
        <v>0</v>
      </c>
      <c r="E2117" s="741">
        <f t="shared" si="66"/>
        <v>338.85</v>
      </c>
      <c r="F2117">
        <f t="shared" si="67"/>
        <v>102162</v>
      </c>
      <c r="H2117" s="1406">
        <v>335.56</v>
      </c>
      <c r="I2117" s="1406">
        <v>338.85</v>
      </c>
    </row>
    <row r="2118" spans="2:9">
      <c r="B2118" s="677">
        <v>102163</v>
      </c>
      <c r="C2118" s="733" t="s">
        <v>6811</v>
      </c>
      <c r="D2118" s="677" t="s">
        <v>0</v>
      </c>
      <c r="E2118" s="738">
        <f t="shared" si="66"/>
        <v>402.18</v>
      </c>
      <c r="F2118">
        <f t="shared" si="67"/>
        <v>102163</v>
      </c>
      <c r="H2118" s="1405">
        <v>398.89</v>
      </c>
      <c r="I2118" s="1405">
        <v>402.18</v>
      </c>
    </row>
    <row r="2119" spans="2:9">
      <c r="B2119" s="1477">
        <v>102164</v>
      </c>
      <c r="C2119" s="740" t="s">
        <v>6812</v>
      </c>
      <c r="D2119" s="739" t="s">
        <v>0</v>
      </c>
      <c r="E2119" s="741">
        <f t="shared" si="66"/>
        <v>342.66</v>
      </c>
      <c r="F2119">
        <f t="shared" si="67"/>
        <v>102164</v>
      </c>
      <c r="H2119" s="1406">
        <v>340.03</v>
      </c>
      <c r="I2119" s="1406">
        <v>342.66</v>
      </c>
    </row>
    <row r="2120" spans="2:9">
      <c r="B2120" s="677">
        <v>102165</v>
      </c>
      <c r="C2120" s="733" t="s">
        <v>6813</v>
      </c>
      <c r="D2120" s="677" t="s">
        <v>0</v>
      </c>
      <c r="E2120" s="738">
        <f t="shared" si="66"/>
        <v>394.47</v>
      </c>
      <c r="F2120">
        <f t="shared" si="67"/>
        <v>102165</v>
      </c>
      <c r="H2120" s="1405">
        <v>391.84</v>
      </c>
      <c r="I2120" s="1405">
        <v>394.47</v>
      </c>
    </row>
    <row r="2121" spans="2:9">
      <c r="B2121" s="1477">
        <v>102166</v>
      </c>
      <c r="C2121" s="740" t="s">
        <v>6814</v>
      </c>
      <c r="D2121" s="739" t="s">
        <v>0</v>
      </c>
      <c r="E2121" s="741">
        <f t="shared" si="66"/>
        <v>362.61</v>
      </c>
      <c r="F2121">
        <f t="shared" si="67"/>
        <v>102166</v>
      </c>
      <c r="H2121" s="1406">
        <v>360.61</v>
      </c>
      <c r="I2121" s="1406">
        <v>362.61</v>
      </c>
    </row>
    <row r="2122" spans="2:9">
      <c r="B2122" s="677">
        <v>102167</v>
      </c>
      <c r="C2122" s="733" t="s">
        <v>6815</v>
      </c>
      <c r="D2122" s="677" t="s">
        <v>0</v>
      </c>
      <c r="E2122" s="738">
        <f t="shared" si="66"/>
        <v>473.45</v>
      </c>
      <c r="F2122">
        <f t="shared" si="67"/>
        <v>102167</v>
      </c>
      <c r="H2122" s="1405">
        <v>471.45</v>
      </c>
      <c r="I2122" s="1405">
        <v>473.45</v>
      </c>
    </row>
    <row r="2123" spans="2:9">
      <c r="B2123" s="1477">
        <v>102168</v>
      </c>
      <c r="C2123" s="740" t="s">
        <v>6816</v>
      </c>
      <c r="D2123" s="739" t="s">
        <v>0</v>
      </c>
      <c r="E2123" s="741">
        <f t="shared" si="66"/>
        <v>461.96</v>
      </c>
      <c r="F2123">
        <f t="shared" si="67"/>
        <v>102168</v>
      </c>
      <c r="H2123" s="1406">
        <v>460.46</v>
      </c>
      <c r="I2123" s="1406">
        <v>461.96</v>
      </c>
    </row>
    <row r="2124" spans="2:9">
      <c r="B2124" s="677">
        <v>102169</v>
      </c>
      <c r="C2124" s="733" t="s">
        <v>6817</v>
      </c>
      <c r="D2124" s="677" t="s">
        <v>0</v>
      </c>
      <c r="E2124" s="738">
        <f t="shared" si="66"/>
        <v>535.41999999999996</v>
      </c>
      <c r="F2124">
        <f t="shared" si="67"/>
        <v>102169</v>
      </c>
      <c r="H2124" s="1405">
        <v>534.12</v>
      </c>
      <c r="I2124" s="1405">
        <v>535.41999999999996</v>
      </c>
    </row>
    <row r="2125" spans="2:9">
      <c r="B2125" s="1477">
        <v>102170</v>
      </c>
      <c r="C2125" s="740" t="s">
        <v>6818</v>
      </c>
      <c r="D2125" s="739" t="s">
        <v>0</v>
      </c>
      <c r="E2125" s="741">
        <f t="shared" si="66"/>
        <v>307.18</v>
      </c>
      <c r="F2125">
        <f t="shared" si="67"/>
        <v>102170</v>
      </c>
      <c r="H2125" s="1406">
        <v>303.89</v>
      </c>
      <c r="I2125" s="1406">
        <v>307.18</v>
      </c>
    </row>
    <row r="2126" spans="2:9">
      <c r="B2126" s="677">
        <v>102171</v>
      </c>
      <c r="C2126" s="733" t="s">
        <v>6819</v>
      </c>
      <c r="D2126" s="677" t="s">
        <v>0</v>
      </c>
      <c r="E2126" s="738">
        <f t="shared" si="66"/>
        <v>596</v>
      </c>
      <c r="F2126">
        <f t="shared" si="67"/>
        <v>102171</v>
      </c>
      <c r="H2126" s="1405">
        <v>593.37</v>
      </c>
      <c r="I2126" s="1405">
        <v>596</v>
      </c>
    </row>
    <row r="2127" spans="2:9">
      <c r="B2127" s="1477">
        <v>102172</v>
      </c>
      <c r="C2127" s="740" t="s">
        <v>6820</v>
      </c>
      <c r="D2127" s="739" t="s">
        <v>0</v>
      </c>
      <c r="E2127" s="741">
        <f t="shared" si="66"/>
        <v>584.28</v>
      </c>
      <c r="F2127">
        <f t="shared" si="67"/>
        <v>102172</v>
      </c>
      <c r="H2127" s="1406">
        <v>582.28</v>
      </c>
      <c r="I2127" s="1406">
        <v>584.28</v>
      </c>
    </row>
    <row r="2128" spans="2:9">
      <c r="B2128" s="677">
        <v>102176</v>
      </c>
      <c r="C2128" s="733" t="s">
        <v>6821</v>
      </c>
      <c r="D2128" s="677" t="s">
        <v>0</v>
      </c>
      <c r="E2128" s="738">
        <f t="shared" si="66"/>
        <v>1070.33</v>
      </c>
      <c r="F2128">
        <f t="shared" si="67"/>
        <v>102176</v>
      </c>
      <c r="H2128" s="1405">
        <v>1063.3399999999999</v>
      </c>
      <c r="I2128" s="1405">
        <v>1070.33</v>
      </c>
    </row>
    <row r="2129" spans="2:9">
      <c r="B2129" s="1477">
        <v>102177</v>
      </c>
      <c r="C2129" s="740" t="s">
        <v>6822</v>
      </c>
      <c r="D2129" s="739" t="s">
        <v>0</v>
      </c>
      <c r="E2129" s="741">
        <f t="shared" si="66"/>
        <v>2201.0100000000002</v>
      </c>
      <c r="F2129">
        <f t="shared" si="67"/>
        <v>102177</v>
      </c>
      <c r="H2129" s="1406">
        <v>2194.65</v>
      </c>
      <c r="I2129" s="1406">
        <v>2201.0100000000002</v>
      </c>
    </row>
    <row r="2130" spans="2:9">
      <c r="B2130" s="677">
        <v>102178</v>
      </c>
      <c r="C2130" s="733" t="s">
        <v>6823</v>
      </c>
      <c r="D2130" s="677" t="s">
        <v>0</v>
      </c>
      <c r="E2130" s="738">
        <f t="shared" si="66"/>
        <v>2535.44</v>
      </c>
      <c r="F2130">
        <f t="shared" si="67"/>
        <v>102178</v>
      </c>
      <c r="H2130" s="1405">
        <v>2529.62</v>
      </c>
      <c r="I2130" s="1405">
        <v>2535.44</v>
      </c>
    </row>
    <row r="2131" spans="2:9">
      <c r="B2131" s="1477">
        <v>102179</v>
      </c>
      <c r="C2131" s="740" t="s">
        <v>6824</v>
      </c>
      <c r="D2131" s="739" t="s">
        <v>0</v>
      </c>
      <c r="E2131" s="741">
        <f t="shared" si="66"/>
        <v>381.54</v>
      </c>
      <c r="F2131">
        <f t="shared" si="67"/>
        <v>102179</v>
      </c>
      <c r="H2131" s="1406">
        <v>374.89</v>
      </c>
      <c r="I2131" s="1406">
        <v>381.54</v>
      </c>
    </row>
    <row r="2132" spans="2:9">
      <c r="B2132" s="677">
        <v>102180</v>
      </c>
      <c r="C2132" s="733" t="s">
        <v>6825</v>
      </c>
      <c r="D2132" s="677" t="s">
        <v>0</v>
      </c>
      <c r="E2132" s="738">
        <f t="shared" si="66"/>
        <v>450.39</v>
      </c>
      <c r="F2132">
        <f t="shared" si="67"/>
        <v>102180</v>
      </c>
      <c r="H2132" s="1405">
        <v>444.05</v>
      </c>
      <c r="I2132" s="1405">
        <v>450.39</v>
      </c>
    </row>
    <row r="2133" spans="2:9">
      <c r="B2133" s="1477">
        <v>102181</v>
      </c>
      <c r="C2133" s="740" t="s">
        <v>6826</v>
      </c>
      <c r="D2133" s="739" t="s">
        <v>0</v>
      </c>
      <c r="E2133" s="741">
        <f t="shared" si="66"/>
        <v>542.11</v>
      </c>
      <c r="F2133">
        <f t="shared" si="67"/>
        <v>102181</v>
      </c>
      <c r="H2133" s="1406">
        <v>536.16</v>
      </c>
      <c r="I2133" s="1406">
        <v>542.11</v>
      </c>
    </row>
    <row r="2134" spans="2:9">
      <c r="B2134" s="677">
        <v>102182</v>
      </c>
      <c r="C2134" s="733" t="s">
        <v>4547</v>
      </c>
      <c r="D2134" s="677" t="s">
        <v>22</v>
      </c>
      <c r="E2134" s="738">
        <f t="shared" si="66"/>
        <v>1148.6199999999999</v>
      </c>
      <c r="F2134">
        <f t="shared" si="67"/>
        <v>102182</v>
      </c>
      <c r="H2134" s="1405">
        <v>1140.57</v>
      </c>
      <c r="I2134" s="1405">
        <v>1148.6199999999999</v>
      </c>
    </row>
    <row r="2135" spans="2:9">
      <c r="B2135" s="1477">
        <v>102183</v>
      </c>
      <c r="C2135" s="740" t="s">
        <v>4548</v>
      </c>
      <c r="D2135" s="739" t="s">
        <v>22</v>
      </c>
      <c r="E2135" s="741">
        <f t="shared" si="66"/>
        <v>2308.31</v>
      </c>
      <c r="F2135">
        <f t="shared" si="67"/>
        <v>102183</v>
      </c>
      <c r="H2135" s="1406">
        <v>2291.11</v>
      </c>
      <c r="I2135" s="1406">
        <v>2308.31</v>
      </c>
    </row>
    <row r="2136" spans="2:9" ht="30">
      <c r="B2136" s="677">
        <v>102184</v>
      </c>
      <c r="C2136" s="733" t="s">
        <v>4549</v>
      </c>
      <c r="D2136" s="677" t="s">
        <v>22</v>
      </c>
      <c r="E2136" s="738">
        <f t="shared" si="66"/>
        <v>2118.0100000000002</v>
      </c>
      <c r="F2136">
        <f t="shared" si="67"/>
        <v>102184</v>
      </c>
      <c r="H2136" s="1405">
        <v>2104.36</v>
      </c>
      <c r="I2136" s="1405">
        <v>2118.0100000000002</v>
      </c>
    </row>
    <row r="2137" spans="2:9" ht="30">
      <c r="B2137" s="1477">
        <v>102185</v>
      </c>
      <c r="C2137" s="740" t="s">
        <v>4550</v>
      </c>
      <c r="D2137" s="739" t="s">
        <v>22</v>
      </c>
      <c r="E2137" s="741">
        <f t="shared" si="66"/>
        <v>4246.78</v>
      </c>
      <c r="F2137">
        <f t="shared" si="67"/>
        <v>102185</v>
      </c>
      <c r="H2137" s="1406">
        <v>4218.42</v>
      </c>
      <c r="I2137" s="1406">
        <v>4246.78</v>
      </c>
    </row>
    <row r="2138" spans="2:9">
      <c r="B2138" s="677">
        <v>102190</v>
      </c>
      <c r="C2138" s="733" t="s">
        <v>4551</v>
      </c>
      <c r="D2138" s="677" t="s">
        <v>0</v>
      </c>
      <c r="E2138" s="738">
        <f t="shared" si="66"/>
        <v>17.010000000000002</v>
      </c>
      <c r="F2138">
        <f t="shared" si="67"/>
        <v>102190</v>
      </c>
      <c r="H2138" s="1405">
        <v>15.33</v>
      </c>
      <c r="I2138" s="1405">
        <v>17.010000000000002</v>
      </c>
    </row>
    <row r="2139" spans="2:9">
      <c r="B2139" s="1477">
        <v>102191</v>
      </c>
      <c r="C2139" s="740" t="s">
        <v>4552</v>
      </c>
      <c r="D2139" s="739" t="s">
        <v>0</v>
      </c>
      <c r="E2139" s="741">
        <f t="shared" si="66"/>
        <v>20.68</v>
      </c>
      <c r="F2139">
        <f t="shared" si="67"/>
        <v>102191</v>
      </c>
      <c r="H2139" s="1406">
        <v>18.63</v>
      </c>
      <c r="I2139" s="1406">
        <v>20.68</v>
      </c>
    </row>
    <row r="2140" spans="2:9">
      <c r="B2140" s="677">
        <v>102192</v>
      </c>
      <c r="C2140" s="733" t="s">
        <v>4553</v>
      </c>
      <c r="D2140" s="677" t="s">
        <v>0</v>
      </c>
      <c r="E2140" s="738">
        <f t="shared" si="66"/>
        <v>14.75</v>
      </c>
      <c r="F2140">
        <f t="shared" si="67"/>
        <v>102192</v>
      </c>
      <c r="H2140" s="1405">
        <v>13.29</v>
      </c>
      <c r="I2140" s="1405">
        <v>14.75</v>
      </c>
    </row>
    <row r="2141" spans="2:9" ht="30">
      <c r="B2141" s="1477">
        <v>94569</v>
      </c>
      <c r="C2141" s="740" t="s">
        <v>2971</v>
      </c>
      <c r="D2141" s="739" t="s">
        <v>0</v>
      </c>
      <c r="E2141" s="741">
        <f t="shared" si="66"/>
        <v>634.79999999999995</v>
      </c>
      <c r="F2141">
        <f t="shared" si="67"/>
        <v>94569</v>
      </c>
      <c r="H2141" s="1406">
        <v>628.54999999999995</v>
      </c>
      <c r="I2141" s="1406">
        <v>634.79999999999995</v>
      </c>
    </row>
    <row r="2142" spans="2:9" ht="30">
      <c r="B2142" s="677">
        <v>94570</v>
      </c>
      <c r="C2142" s="733" t="s">
        <v>2972</v>
      </c>
      <c r="D2142" s="677" t="s">
        <v>0</v>
      </c>
      <c r="E2142" s="738">
        <f t="shared" si="66"/>
        <v>328.21</v>
      </c>
      <c r="F2142">
        <f t="shared" si="67"/>
        <v>94570</v>
      </c>
      <c r="H2142" s="1405">
        <v>326.32</v>
      </c>
      <c r="I2142" s="1405">
        <v>328.21</v>
      </c>
    </row>
    <row r="2143" spans="2:9" ht="30">
      <c r="B2143" s="1477">
        <v>94572</v>
      </c>
      <c r="C2143" s="740" t="s">
        <v>2973</v>
      </c>
      <c r="D2143" s="739" t="s">
        <v>0</v>
      </c>
      <c r="E2143" s="741">
        <f t="shared" si="66"/>
        <v>467.1</v>
      </c>
      <c r="F2143">
        <f t="shared" si="67"/>
        <v>94572</v>
      </c>
      <c r="H2143" s="1406">
        <v>464.55</v>
      </c>
      <c r="I2143" s="1406">
        <v>467.1</v>
      </c>
    </row>
    <row r="2144" spans="2:9" ht="30">
      <c r="B2144" s="677">
        <v>94573</v>
      </c>
      <c r="C2144" s="733" t="s">
        <v>2974</v>
      </c>
      <c r="D2144" s="677" t="s">
        <v>0</v>
      </c>
      <c r="E2144" s="738">
        <f t="shared" si="66"/>
        <v>380.49</v>
      </c>
      <c r="F2144">
        <f t="shared" si="67"/>
        <v>94573</v>
      </c>
      <c r="H2144" s="1405">
        <v>376.98</v>
      </c>
      <c r="I2144" s="1405">
        <v>380.49</v>
      </c>
    </row>
    <row r="2145" spans="2:9" ht="45">
      <c r="B2145" s="1477">
        <v>94580</v>
      </c>
      <c r="C2145" s="740" t="s">
        <v>2975</v>
      </c>
      <c r="D2145" s="739" t="s">
        <v>0</v>
      </c>
      <c r="E2145" s="741">
        <f t="shared" si="66"/>
        <v>520.91999999999996</v>
      </c>
      <c r="F2145">
        <f t="shared" si="67"/>
        <v>94580</v>
      </c>
      <c r="H2145" s="1406">
        <v>516.83000000000004</v>
      </c>
      <c r="I2145" s="1406">
        <v>520.91999999999996</v>
      </c>
    </row>
    <row r="2146" spans="2:9">
      <c r="B2146" s="677">
        <v>94589</v>
      </c>
      <c r="C2146" s="733" t="s">
        <v>5217</v>
      </c>
      <c r="D2146" s="677" t="s">
        <v>21</v>
      </c>
      <c r="E2146" s="738">
        <f t="shared" si="66"/>
        <v>20.65</v>
      </c>
      <c r="F2146">
        <f t="shared" si="67"/>
        <v>94589</v>
      </c>
      <c r="H2146" s="1405">
        <v>19.350000000000001</v>
      </c>
      <c r="I2146" s="1405">
        <v>20.65</v>
      </c>
    </row>
    <row r="2147" spans="2:9">
      <c r="B2147" s="1477">
        <v>94590</v>
      </c>
      <c r="C2147" s="740" t="s">
        <v>5218</v>
      </c>
      <c r="D2147" s="739" t="s">
        <v>21</v>
      </c>
      <c r="E2147" s="741">
        <f t="shared" si="66"/>
        <v>17.34</v>
      </c>
      <c r="F2147">
        <f t="shared" si="67"/>
        <v>94590</v>
      </c>
      <c r="H2147" s="1406">
        <v>16.78</v>
      </c>
      <c r="I2147" s="1406">
        <v>17.34</v>
      </c>
    </row>
    <row r="2148" spans="2:9" ht="30">
      <c r="B2148" s="677">
        <v>100674</v>
      </c>
      <c r="C2148" s="733" t="s">
        <v>2976</v>
      </c>
      <c r="D2148" s="677" t="s">
        <v>0</v>
      </c>
      <c r="E2148" s="738">
        <f t="shared" si="66"/>
        <v>681.34</v>
      </c>
      <c r="F2148">
        <f t="shared" si="67"/>
        <v>100674</v>
      </c>
      <c r="H2148" s="1405">
        <v>678.71</v>
      </c>
      <c r="I2148" s="1405">
        <v>681.34</v>
      </c>
    </row>
    <row r="2149" spans="2:9" ht="30">
      <c r="B2149" s="1477">
        <v>101096</v>
      </c>
      <c r="C2149" s="740" t="s">
        <v>7765</v>
      </c>
      <c r="D2149" s="739" t="s">
        <v>19</v>
      </c>
      <c r="E2149" s="741">
        <f t="shared" si="66"/>
        <v>1331.31</v>
      </c>
      <c r="F2149">
        <f t="shared" si="67"/>
        <v>101096</v>
      </c>
      <c r="H2149" s="1406">
        <v>1269.3399999999999</v>
      </c>
      <c r="I2149" s="1406">
        <v>1331.31</v>
      </c>
    </row>
    <row r="2150" spans="2:9" ht="30">
      <c r="B2150" s="677">
        <v>101097</v>
      </c>
      <c r="C2150" s="733" t="s">
        <v>7766</v>
      </c>
      <c r="D2150" s="677" t="s">
        <v>19</v>
      </c>
      <c r="E2150" s="738">
        <f t="shared" si="66"/>
        <v>1268.0899999999999</v>
      </c>
      <c r="F2150">
        <f t="shared" si="67"/>
        <v>101097</v>
      </c>
      <c r="H2150" s="1405">
        <v>1212.6300000000001</v>
      </c>
      <c r="I2150" s="1405">
        <v>1268.0899999999999</v>
      </c>
    </row>
    <row r="2151" spans="2:9" ht="30">
      <c r="B2151" s="1477">
        <v>101098</v>
      </c>
      <c r="C2151" s="740" t="s">
        <v>7767</v>
      </c>
      <c r="D2151" s="739" t="s">
        <v>19</v>
      </c>
      <c r="E2151" s="741">
        <f t="shared" si="66"/>
        <v>1188.8599999999999</v>
      </c>
      <c r="F2151">
        <f t="shared" si="67"/>
        <v>101098</v>
      </c>
      <c r="H2151" s="1406">
        <v>1142.3599999999999</v>
      </c>
      <c r="I2151" s="1406">
        <v>1188.8599999999999</v>
      </c>
    </row>
    <row r="2152" spans="2:9" ht="30">
      <c r="B2152" s="677">
        <v>101099</v>
      </c>
      <c r="C2152" s="733" t="s">
        <v>7768</v>
      </c>
      <c r="D2152" s="677" t="s">
        <v>19</v>
      </c>
      <c r="E2152" s="738">
        <f t="shared" si="66"/>
        <v>1096.1199999999999</v>
      </c>
      <c r="F2152">
        <f t="shared" si="67"/>
        <v>101099</v>
      </c>
      <c r="H2152" s="1405">
        <v>1055.6199999999999</v>
      </c>
      <c r="I2152" s="1405">
        <v>1096.1199999999999</v>
      </c>
    </row>
    <row r="2153" spans="2:9" ht="30">
      <c r="B2153" s="1477">
        <v>101100</v>
      </c>
      <c r="C2153" s="740" t="s">
        <v>7769</v>
      </c>
      <c r="D2153" s="739" t="s">
        <v>19</v>
      </c>
      <c r="E2153" s="741">
        <f t="shared" si="66"/>
        <v>1039.48</v>
      </c>
      <c r="F2153">
        <f t="shared" si="67"/>
        <v>101100</v>
      </c>
      <c r="H2153" s="1406">
        <v>1020.53</v>
      </c>
      <c r="I2153" s="1406">
        <v>1039.48</v>
      </c>
    </row>
    <row r="2154" spans="2:9" ht="30">
      <c r="B2154" s="677">
        <v>101101</v>
      </c>
      <c r="C2154" s="733" t="s">
        <v>7770</v>
      </c>
      <c r="D2154" s="677" t="s">
        <v>19</v>
      </c>
      <c r="E2154" s="738">
        <f t="shared" si="66"/>
        <v>1016.78</v>
      </c>
      <c r="F2154">
        <f t="shared" si="67"/>
        <v>101101</v>
      </c>
      <c r="H2154" s="1405">
        <v>998.82</v>
      </c>
      <c r="I2154" s="1405">
        <v>1016.78</v>
      </c>
    </row>
    <row r="2155" spans="2:9" ht="30">
      <c r="B2155" s="1477">
        <v>101102</v>
      </c>
      <c r="C2155" s="740" t="s">
        <v>7771</v>
      </c>
      <c r="D2155" s="739" t="s">
        <v>19</v>
      </c>
      <c r="E2155" s="741">
        <f t="shared" si="66"/>
        <v>993.54</v>
      </c>
      <c r="F2155">
        <f t="shared" si="67"/>
        <v>101102</v>
      </c>
      <c r="H2155" s="1406">
        <v>976.99</v>
      </c>
      <c r="I2155" s="1406">
        <v>993.54</v>
      </c>
    </row>
    <row r="2156" spans="2:9" ht="30">
      <c r="B2156" s="677">
        <v>101103</v>
      </c>
      <c r="C2156" s="733" t="s">
        <v>7772</v>
      </c>
      <c r="D2156" s="677" t="s">
        <v>19</v>
      </c>
      <c r="E2156" s="738">
        <f t="shared" si="66"/>
        <v>937.15</v>
      </c>
      <c r="F2156">
        <f t="shared" si="67"/>
        <v>101103</v>
      </c>
      <c r="H2156" s="1405">
        <v>921.71</v>
      </c>
      <c r="I2156" s="1405">
        <v>937.15</v>
      </c>
    </row>
    <row r="2157" spans="2:9" ht="30">
      <c r="B2157" s="1477">
        <v>101104</v>
      </c>
      <c r="C2157" s="740" t="s">
        <v>7773</v>
      </c>
      <c r="D2157" s="739" t="s">
        <v>19</v>
      </c>
      <c r="E2157" s="741">
        <f t="shared" si="66"/>
        <v>1490.01</v>
      </c>
      <c r="F2157">
        <f t="shared" si="67"/>
        <v>101104</v>
      </c>
      <c r="H2157" s="1406">
        <v>1438.88</v>
      </c>
      <c r="I2157" s="1406">
        <v>1490.01</v>
      </c>
    </row>
    <row r="2158" spans="2:9" ht="30">
      <c r="B2158" s="677">
        <v>101105</v>
      </c>
      <c r="C2158" s="733" t="s">
        <v>7774</v>
      </c>
      <c r="D2158" s="677" t="s">
        <v>19</v>
      </c>
      <c r="E2158" s="738">
        <f t="shared" si="66"/>
        <v>1424.39</v>
      </c>
      <c r="F2158">
        <f t="shared" si="67"/>
        <v>101105</v>
      </c>
      <c r="H2158" s="1405">
        <v>1379.57</v>
      </c>
      <c r="I2158" s="1405">
        <v>1424.39</v>
      </c>
    </row>
    <row r="2159" spans="2:9" ht="30">
      <c r="B2159" s="1477">
        <v>101106</v>
      </c>
      <c r="C2159" s="740" t="s">
        <v>7775</v>
      </c>
      <c r="D2159" s="739" t="s">
        <v>19</v>
      </c>
      <c r="E2159" s="741">
        <f t="shared" si="66"/>
        <v>1341.98</v>
      </c>
      <c r="F2159">
        <f t="shared" si="67"/>
        <v>101106</v>
      </c>
      <c r="H2159" s="1406">
        <v>1305.78</v>
      </c>
      <c r="I2159" s="1406">
        <v>1341.98</v>
      </c>
    </row>
    <row r="2160" spans="2:9" ht="30">
      <c r="B2160" s="677">
        <v>101107</v>
      </c>
      <c r="C2160" s="733" t="s">
        <v>7776</v>
      </c>
      <c r="D2160" s="677" t="s">
        <v>19</v>
      </c>
      <c r="E2160" s="738">
        <f t="shared" si="66"/>
        <v>1244.42</v>
      </c>
      <c r="F2160">
        <f t="shared" si="67"/>
        <v>101107</v>
      </c>
      <c r="H2160" s="1405">
        <v>1213.83</v>
      </c>
      <c r="I2160" s="1405">
        <v>1244.42</v>
      </c>
    </row>
    <row r="2161" spans="2:9" ht="45">
      <c r="B2161" s="1477">
        <v>101108</v>
      </c>
      <c r="C2161" s="740" t="s">
        <v>7777</v>
      </c>
      <c r="D2161" s="739" t="s">
        <v>19</v>
      </c>
      <c r="E2161" s="741">
        <f t="shared" si="66"/>
        <v>1192.8599999999999</v>
      </c>
      <c r="F2161">
        <f t="shared" si="67"/>
        <v>101108</v>
      </c>
      <c r="H2161" s="1406">
        <v>1185.42</v>
      </c>
      <c r="I2161" s="1406">
        <v>1192.8599999999999</v>
      </c>
    </row>
    <row r="2162" spans="2:9" ht="45">
      <c r="B2162" s="677">
        <v>101109</v>
      </c>
      <c r="C2162" s="733" t="s">
        <v>7778</v>
      </c>
      <c r="D2162" s="677" t="s">
        <v>19</v>
      </c>
      <c r="E2162" s="738">
        <f t="shared" si="66"/>
        <v>1168.03</v>
      </c>
      <c r="F2162">
        <f t="shared" si="67"/>
        <v>101109</v>
      </c>
      <c r="H2162" s="1405">
        <v>1161.3399999999999</v>
      </c>
      <c r="I2162" s="1405">
        <v>1168.03</v>
      </c>
    </row>
    <row r="2163" spans="2:9" ht="45">
      <c r="B2163" s="1477">
        <v>101110</v>
      </c>
      <c r="C2163" s="740" t="s">
        <v>7779</v>
      </c>
      <c r="D2163" s="739" t="s">
        <v>19</v>
      </c>
      <c r="E2163" s="741">
        <f t="shared" si="66"/>
        <v>1142.22</v>
      </c>
      <c r="F2163">
        <f t="shared" si="67"/>
        <v>101110</v>
      </c>
      <c r="H2163" s="1406">
        <v>1136.53</v>
      </c>
      <c r="I2163" s="1406">
        <v>1142.22</v>
      </c>
    </row>
    <row r="2164" spans="2:9" ht="45">
      <c r="B2164" s="677">
        <v>101111</v>
      </c>
      <c r="C2164" s="733" t="s">
        <v>7780</v>
      </c>
      <c r="D2164" s="677" t="s">
        <v>19</v>
      </c>
      <c r="E2164" s="738">
        <f t="shared" si="66"/>
        <v>1081.6199999999999</v>
      </c>
      <c r="F2164">
        <f t="shared" si="67"/>
        <v>101111</v>
      </c>
      <c r="H2164" s="1405">
        <v>1076.57</v>
      </c>
      <c r="I2164" s="1405">
        <v>1081.6199999999999</v>
      </c>
    </row>
    <row r="2165" spans="2:9" ht="30">
      <c r="B2165" s="1477">
        <v>101112</v>
      </c>
      <c r="C2165" s="740" t="s">
        <v>3226</v>
      </c>
      <c r="D2165" s="739" t="s">
        <v>19</v>
      </c>
      <c r="E2165" s="741">
        <f t="shared" si="66"/>
        <v>979.97</v>
      </c>
      <c r="F2165">
        <f t="shared" si="67"/>
        <v>101112</v>
      </c>
      <c r="H2165" s="1406">
        <v>942.32</v>
      </c>
      <c r="I2165" s="1406">
        <v>979.97</v>
      </c>
    </row>
    <row r="2166" spans="2:9" ht="30">
      <c r="B2166" s="677">
        <v>101113</v>
      </c>
      <c r="C2166" s="733" t="s">
        <v>7781</v>
      </c>
      <c r="D2166" s="677" t="s">
        <v>19</v>
      </c>
      <c r="E2166" s="738">
        <f t="shared" si="66"/>
        <v>1145.58</v>
      </c>
      <c r="F2166">
        <f t="shared" si="67"/>
        <v>101113</v>
      </c>
      <c r="H2166" s="1405">
        <v>1118.51</v>
      </c>
      <c r="I2166" s="1405">
        <v>1145.58</v>
      </c>
    </row>
    <row r="2167" spans="2:9">
      <c r="B2167" s="1477">
        <v>95601</v>
      </c>
      <c r="C2167" s="740" t="s">
        <v>4630</v>
      </c>
      <c r="D2167" s="739" t="s">
        <v>22</v>
      </c>
      <c r="E2167" s="741">
        <f t="shared" si="66"/>
        <v>15.04</v>
      </c>
      <c r="F2167">
        <f t="shared" si="67"/>
        <v>95601</v>
      </c>
      <c r="H2167" s="1406">
        <v>13.61</v>
      </c>
      <c r="I2167" s="1406">
        <v>15.04</v>
      </c>
    </row>
    <row r="2168" spans="2:9">
      <c r="B2168" s="677">
        <v>95602</v>
      </c>
      <c r="C2168" s="733" t="s">
        <v>4631</v>
      </c>
      <c r="D2168" s="677" t="s">
        <v>22</v>
      </c>
      <c r="E2168" s="738">
        <f t="shared" si="66"/>
        <v>24.1</v>
      </c>
      <c r="F2168">
        <f t="shared" si="67"/>
        <v>95602</v>
      </c>
      <c r="H2168" s="1405">
        <v>21.81</v>
      </c>
      <c r="I2168" s="1405">
        <v>24.1</v>
      </c>
    </row>
    <row r="2169" spans="2:9">
      <c r="B2169" s="1477">
        <v>95603</v>
      </c>
      <c r="C2169" s="740" t="s">
        <v>4632</v>
      </c>
      <c r="D2169" s="739" t="s">
        <v>22</v>
      </c>
      <c r="E2169" s="741">
        <f t="shared" si="66"/>
        <v>41.1</v>
      </c>
      <c r="F2169">
        <f t="shared" si="67"/>
        <v>95603</v>
      </c>
      <c r="H2169" s="1406">
        <v>37.200000000000003</v>
      </c>
      <c r="I2169" s="1406">
        <v>41.1</v>
      </c>
    </row>
    <row r="2170" spans="2:9">
      <c r="B2170" s="677">
        <v>95604</v>
      </c>
      <c r="C2170" s="733" t="s">
        <v>4633</v>
      </c>
      <c r="D2170" s="677" t="s">
        <v>22</v>
      </c>
      <c r="E2170" s="738">
        <f t="shared" si="66"/>
        <v>63.78</v>
      </c>
      <c r="F2170">
        <f t="shared" si="67"/>
        <v>95604</v>
      </c>
      <c r="H2170" s="1405">
        <v>57.72</v>
      </c>
      <c r="I2170" s="1405">
        <v>63.78</v>
      </c>
    </row>
    <row r="2171" spans="2:9">
      <c r="B2171" s="1477">
        <v>95605</v>
      </c>
      <c r="C2171" s="740" t="s">
        <v>4634</v>
      </c>
      <c r="D2171" s="739" t="s">
        <v>22</v>
      </c>
      <c r="E2171" s="741">
        <f t="shared" si="66"/>
        <v>117.13</v>
      </c>
      <c r="F2171">
        <f t="shared" si="67"/>
        <v>95605</v>
      </c>
      <c r="H2171" s="1406">
        <v>106.01</v>
      </c>
      <c r="I2171" s="1406">
        <v>117.13</v>
      </c>
    </row>
    <row r="2172" spans="2:9">
      <c r="B2172" s="677">
        <v>95607</v>
      </c>
      <c r="C2172" s="733" t="s">
        <v>4635</v>
      </c>
      <c r="D2172" s="677" t="s">
        <v>22</v>
      </c>
      <c r="E2172" s="738">
        <f t="shared" si="66"/>
        <v>26.16</v>
      </c>
      <c r="F2172">
        <f t="shared" si="67"/>
        <v>95607</v>
      </c>
      <c r="H2172" s="1405">
        <v>25.03</v>
      </c>
      <c r="I2172" s="1405">
        <v>26.16</v>
      </c>
    </row>
    <row r="2173" spans="2:9">
      <c r="B2173" s="1477">
        <v>95608</v>
      </c>
      <c r="C2173" s="740" t="s">
        <v>4636</v>
      </c>
      <c r="D2173" s="739" t="s">
        <v>22</v>
      </c>
      <c r="E2173" s="741">
        <f t="shared" si="66"/>
        <v>37.94</v>
      </c>
      <c r="F2173">
        <f t="shared" si="67"/>
        <v>95608</v>
      </c>
      <c r="H2173" s="1406">
        <v>36.31</v>
      </c>
      <c r="I2173" s="1406">
        <v>37.94</v>
      </c>
    </row>
    <row r="2174" spans="2:9">
      <c r="B2174" s="677">
        <v>95609</v>
      </c>
      <c r="C2174" s="733" t="s">
        <v>4637</v>
      </c>
      <c r="D2174" s="677" t="s">
        <v>22</v>
      </c>
      <c r="E2174" s="738">
        <f t="shared" si="66"/>
        <v>48.11</v>
      </c>
      <c r="F2174">
        <f t="shared" si="67"/>
        <v>95609</v>
      </c>
      <c r="H2174" s="1405">
        <v>46.05</v>
      </c>
      <c r="I2174" s="1405">
        <v>48.11</v>
      </c>
    </row>
    <row r="2175" spans="2:9" ht="30">
      <c r="B2175" s="1477">
        <v>100651</v>
      </c>
      <c r="C2175" s="740" t="s">
        <v>8049</v>
      </c>
      <c r="D2175" s="739" t="s">
        <v>21</v>
      </c>
      <c r="E2175" s="741">
        <f t="shared" si="66"/>
        <v>164.33</v>
      </c>
      <c r="F2175">
        <f t="shared" si="67"/>
        <v>100651</v>
      </c>
      <c r="H2175" s="1406">
        <v>162.91</v>
      </c>
      <c r="I2175" s="1406">
        <v>164.33</v>
      </c>
    </row>
    <row r="2176" spans="2:9" ht="30">
      <c r="B2176" s="677">
        <v>100652</v>
      </c>
      <c r="C2176" s="733" t="s">
        <v>8050</v>
      </c>
      <c r="D2176" s="677" t="s">
        <v>21</v>
      </c>
      <c r="E2176" s="738">
        <f t="shared" si="66"/>
        <v>327.97</v>
      </c>
      <c r="F2176">
        <f t="shared" si="67"/>
        <v>100652</v>
      </c>
      <c r="H2176" s="1405">
        <v>326.10000000000002</v>
      </c>
      <c r="I2176" s="1405">
        <v>327.97</v>
      </c>
    </row>
    <row r="2177" spans="2:9" ht="30">
      <c r="B2177" s="1477">
        <v>100653</v>
      </c>
      <c r="C2177" s="740" t="s">
        <v>8051</v>
      </c>
      <c r="D2177" s="739" t="s">
        <v>21</v>
      </c>
      <c r="E2177" s="741">
        <f t="shared" si="66"/>
        <v>556.42999999999995</v>
      </c>
      <c r="F2177">
        <f t="shared" si="67"/>
        <v>100653</v>
      </c>
      <c r="H2177" s="1406">
        <v>554.08000000000004</v>
      </c>
      <c r="I2177" s="1406">
        <v>556.42999999999995</v>
      </c>
    </row>
    <row r="2178" spans="2:9" ht="30">
      <c r="B2178" s="677">
        <v>100654</v>
      </c>
      <c r="C2178" s="733" t="s">
        <v>8052</v>
      </c>
      <c r="D2178" s="677" t="s">
        <v>21</v>
      </c>
      <c r="E2178" s="738">
        <f t="shared" si="66"/>
        <v>742.77</v>
      </c>
      <c r="F2178">
        <f t="shared" si="67"/>
        <v>100654</v>
      </c>
      <c r="H2178" s="1405">
        <v>740.01</v>
      </c>
      <c r="I2178" s="1405">
        <v>742.77</v>
      </c>
    </row>
    <row r="2179" spans="2:9" ht="30">
      <c r="B2179" s="1477">
        <v>100655</v>
      </c>
      <c r="C2179" s="740" t="s">
        <v>8053</v>
      </c>
      <c r="D2179" s="739" t="s">
        <v>21</v>
      </c>
      <c r="E2179" s="741">
        <f t="shared" ref="E2179:E2242" si="68">IF($K$2=$H$1,H2179,I2179)</f>
        <v>870.2</v>
      </c>
      <c r="F2179">
        <f t="shared" ref="F2179:F2242" si="69">IF(LEN($B2179)=7,CONCATENATE(MID($B2179,1,6),"00",RIGHT($B2179,1)),IF(LEN($B2179)=8,CONCATENATE(MID($B2179,1,6),"0",RIGHT($B2179,2)),$B2179))</f>
        <v>100655</v>
      </c>
      <c r="H2179" s="1406">
        <v>867.8</v>
      </c>
      <c r="I2179" s="1406">
        <v>870.2</v>
      </c>
    </row>
    <row r="2180" spans="2:9" ht="30">
      <c r="B2180" s="677">
        <v>100656</v>
      </c>
      <c r="C2180" s="733" t="s">
        <v>2977</v>
      </c>
      <c r="D2180" s="677" t="s">
        <v>21</v>
      </c>
      <c r="E2180" s="738">
        <f t="shared" si="68"/>
        <v>110.21</v>
      </c>
      <c r="F2180">
        <f t="shared" si="69"/>
        <v>100656</v>
      </c>
      <c r="H2180" s="1405">
        <v>108.79</v>
      </c>
      <c r="I2180" s="1405">
        <v>110.21</v>
      </c>
    </row>
    <row r="2181" spans="2:9" ht="30">
      <c r="B2181" s="1477">
        <v>100657</v>
      </c>
      <c r="C2181" s="740" t="s">
        <v>2978</v>
      </c>
      <c r="D2181" s="739" t="s">
        <v>21</v>
      </c>
      <c r="E2181" s="741">
        <f t="shared" si="68"/>
        <v>142.78</v>
      </c>
      <c r="F2181">
        <f t="shared" si="69"/>
        <v>100657</v>
      </c>
      <c r="H2181" s="1406">
        <v>141.29</v>
      </c>
      <c r="I2181" s="1406">
        <v>142.78</v>
      </c>
    </row>
    <row r="2182" spans="2:9" ht="30">
      <c r="B2182" s="677">
        <v>100658</v>
      </c>
      <c r="C2182" s="733" t="s">
        <v>2979</v>
      </c>
      <c r="D2182" s="677" t="s">
        <v>21</v>
      </c>
      <c r="E2182" s="738">
        <f t="shared" si="68"/>
        <v>332.13</v>
      </c>
      <c r="F2182">
        <f t="shared" si="69"/>
        <v>100658</v>
      </c>
      <c r="H2182" s="1405">
        <v>330.09</v>
      </c>
      <c r="I2182" s="1405">
        <v>332.13</v>
      </c>
    </row>
    <row r="2183" spans="2:9" ht="30">
      <c r="B2183" s="1477">
        <v>100889</v>
      </c>
      <c r="C2183" s="740" t="s">
        <v>3041</v>
      </c>
      <c r="D2183" s="739" t="s">
        <v>20</v>
      </c>
      <c r="E2183" s="741">
        <f t="shared" si="68"/>
        <v>12.89</v>
      </c>
      <c r="F2183">
        <f t="shared" si="69"/>
        <v>100889</v>
      </c>
      <c r="H2183" s="1406">
        <v>12.85</v>
      </c>
      <c r="I2183" s="1406">
        <v>12.89</v>
      </c>
    </row>
    <row r="2184" spans="2:9" ht="30">
      <c r="B2184" s="677">
        <v>100890</v>
      </c>
      <c r="C2184" s="733" t="s">
        <v>3042</v>
      </c>
      <c r="D2184" s="677" t="s">
        <v>20</v>
      </c>
      <c r="E2184" s="738">
        <f t="shared" si="68"/>
        <v>12.74</v>
      </c>
      <c r="F2184">
        <f t="shared" si="69"/>
        <v>100890</v>
      </c>
      <c r="H2184" s="1405">
        <v>12.71</v>
      </c>
      <c r="I2184" s="1405">
        <v>12.74</v>
      </c>
    </row>
    <row r="2185" spans="2:9" ht="30">
      <c r="B2185" s="1477">
        <v>100892</v>
      </c>
      <c r="C2185" s="740" t="s">
        <v>3043</v>
      </c>
      <c r="D2185" s="739" t="s">
        <v>20</v>
      </c>
      <c r="E2185" s="741">
        <f t="shared" si="68"/>
        <v>12.3</v>
      </c>
      <c r="F2185">
        <f t="shared" si="69"/>
        <v>100892</v>
      </c>
      <c r="H2185" s="1406">
        <v>12.24</v>
      </c>
      <c r="I2185" s="1406">
        <v>12.3</v>
      </c>
    </row>
    <row r="2186" spans="2:9" ht="30">
      <c r="B2186" s="677">
        <v>100893</v>
      </c>
      <c r="C2186" s="733" t="s">
        <v>3044</v>
      </c>
      <c r="D2186" s="677" t="s">
        <v>20</v>
      </c>
      <c r="E2186" s="738">
        <f t="shared" si="68"/>
        <v>12.13</v>
      </c>
      <c r="F2186">
        <f t="shared" si="69"/>
        <v>100893</v>
      </c>
      <c r="H2186" s="1405">
        <v>12.08</v>
      </c>
      <c r="I2186" s="1405">
        <v>12.13</v>
      </c>
    </row>
    <row r="2187" spans="2:9" ht="30">
      <c r="B2187" s="1477">
        <v>100894</v>
      </c>
      <c r="C2187" s="740" t="s">
        <v>3045</v>
      </c>
      <c r="D2187" s="739" t="s">
        <v>20</v>
      </c>
      <c r="E2187" s="741">
        <f t="shared" si="68"/>
        <v>12.02</v>
      </c>
      <c r="F2187">
        <f t="shared" si="69"/>
        <v>100894</v>
      </c>
      <c r="H2187" s="1406">
        <v>11.97</v>
      </c>
      <c r="I2187" s="1406">
        <v>12.02</v>
      </c>
    </row>
    <row r="2188" spans="2:9" ht="30">
      <c r="B2188" s="677">
        <v>100896</v>
      </c>
      <c r="C2188" s="733" t="s">
        <v>8054</v>
      </c>
      <c r="D2188" s="677" t="s">
        <v>21</v>
      </c>
      <c r="E2188" s="738">
        <f t="shared" si="68"/>
        <v>72.89</v>
      </c>
      <c r="F2188">
        <f t="shared" si="69"/>
        <v>100896</v>
      </c>
      <c r="H2188" s="1405">
        <v>72.12</v>
      </c>
      <c r="I2188" s="1405">
        <v>72.89</v>
      </c>
    </row>
    <row r="2189" spans="2:9" ht="30">
      <c r="B2189" s="1477">
        <v>100897</v>
      </c>
      <c r="C2189" s="740" t="s">
        <v>8055</v>
      </c>
      <c r="D2189" s="739" t="s">
        <v>21</v>
      </c>
      <c r="E2189" s="741">
        <f t="shared" si="68"/>
        <v>148.58000000000001</v>
      </c>
      <c r="F2189">
        <f t="shared" si="69"/>
        <v>100897</v>
      </c>
      <c r="H2189" s="1406">
        <v>147.63</v>
      </c>
      <c r="I2189" s="1406">
        <v>148.58000000000001</v>
      </c>
    </row>
    <row r="2190" spans="2:9" ht="30">
      <c r="B2190" s="677">
        <v>100898</v>
      </c>
      <c r="C2190" s="733" t="s">
        <v>8056</v>
      </c>
      <c r="D2190" s="677" t="s">
        <v>21</v>
      </c>
      <c r="E2190" s="738">
        <f t="shared" si="68"/>
        <v>295.44</v>
      </c>
      <c r="F2190">
        <f t="shared" si="69"/>
        <v>100898</v>
      </c>
      <c r="H2190" s="1405">
        <v>294.22000000000003</v>
      </c>
      <c r="I2190" s="1405">
        <v>295.44</v>
      </c>
    </row>
    <row r="2191" spans="2:9" ht="30">
      <c r="B2191" s="1477">
        <v>100899</v>
      </c>
      <c r="C2191" s="740" t="s">
        <v>8057</v>
      </c>
      <c r="D2191" s="739" t="s">
        <v>21</v>
      </c>
      <c r="E2191" s="741">
        <f t="shared" si="68"/>
        <v>95.34</v>
      </c>
      <c r="F2191">
        <f t="shared" si="69"/>
        <v>100899</v>
      </c>
      <c r="H2191" s="1406">
        <v>92.26</v>
      </c>
      <c r="I2191" s="1406">
        <v>95.34</v>
      </c>
    </row>
    <row r="2192" spans="2:9" ht="30">
      <c r="B2192" s="677">
        <v>100900</v>
      </c>
      <c r="C2192" s="733" t="s">
        <v>8058</v>
      </c>
      <c r="D2192" s="677" t="s">
        <v>21</v>
      </c>
      <c r="E2192" s="738">
        <f t="shared" si="68"/>
        <v>340.71</v>
      </c>
      <c r="F2192">
        <f t="shared" si="69"/>
        <v>100900</v>
      </c>
      <c r="H2192" s="1405">
        <v>339.08</v>
      </c>
      <c r="I2192" s="1405">
        <v>340.71</v>
      </c>
    </row>
    <row r="2193" spans="2:9" ht="30">
      <c r="B2193" s="1477">
        <v>101173</v>
      </c>
      <c r="C2193" s="740" t="s">
        <v>3227</v>
      </c>
      <c r="D2193" s="739" t="s">
        <v>21</v>
      </c>
      <c r="E2193" s="741">
        <f t="shared" si="68"/>
        <v>63.38</v>
      </c>
      <c r="F2193">
        <f t="shared" si="69"/>
        <v>101173</v>
      </c>
      <c r="H2193" s="1406">
        <v>60.43</v>
      </c>
      <c r="I2193" s="1406">
        <v>63.38</v>
      </c>
    </row>
    <row r="2194" spans="2:9" ht="30">
      <c r="B2194" s="677">
        <v>101174</v>
      </c>
      <c r="C2194" s="733" t="s">
        <v>3228</v>
      </c>
      <c r="D2194" s="677" t="s">
        <v>21</v>
      </c>
      <c r="E2194" s="738">
        <f t="shared" si="68"/>
        <v>88.23</v>
      </c>
      <c r="F2194">
        <f t="shared" si="69"/>
        <v>101174</v>
      </c>
      <c r="H2194" s="1405">
        <v>83.69</v>
      </c>
      <c r="I2194" s="1405">
        <v>88.23</v>
      </c>
    </row>
    <row r="2195" spans="2:9" ht="30">
      <c r="B2195" s="1477">
        <v>101175</v>
      </c>
      <c r="C2195" s="740" t="s">
        <v>3229</v>
      </c>
      <c r="D2195" s="739" t="s">
        <v>21</v>
      </c>
      <c r="E2195" s="741">
        <f t="shared" si="68"/>
        <v>120.62</v>
      </c>
      <c r="F2195">
        <f t="shared" si="69"/>
        <v>101175</v>
      </c>
      <c r="H2195" s="1406">
        <v>114.44</v>
      </c>
      <c r="I2195" s="1406">
        <v>120.62</v>
      </c>
    </row>
    <row r="2196" spans="2:9" ht="30">
      <c r="B2196" s="677">
        <v>101176</v>
      </c>
      <c r="C2196" s="733" t="s">
        <v>8059</v>
      </c>
      <c r="D2196" s="677" t="s">
        <v>21</v>
      </c>
      <c r="E2196" s="738">
        <f t="shared" si="68"/>
        <v>151.05000000000001</v>
      </c>
      <c r="F2196">
        <f t="shared" si="69"/>
        <v>101176</v>
      </c>
      <c r="H2196" s="1405">
        <v>144.21</v>
      </c>
      <c r="I2196" s="1405">
        <v>151.05000000000001</v>
      </c>
    </row>
    <row r="2197" spans="2:9">
      <c r="B2197" s="1477">
        <v>102521</v>
      </c>
      <c r="C2197" s="740" t="s">
        <v>4638</v>
      </c>
      <c r="D2197" s="739" t="s">
        <v>22</v>
      </c>
      <c r="E2197" s="741">
        <f t="shared" si="68"/>
        <v>96.62</v>
      </c>
      <c r="F2197">
        <f t="shared" si="69"/>
        <v>102521</v>
      </c>
      <c r="H2197" s="1406">
        <v>87.45</v>
      </c>
      <c r="I2197" s="1406">
        <v>96.62</v>
      </c>
    </row>
    <row r="2198" spans="2:9">
      <c r="B2198" s="677">
        <v>102522</v>
      </c>
      <c r="C2198" s="733" t="s">
        <v>4639</v>
      </c>
      <c r="D2198" s="677" t="s">
        <v>22</v>
      </c>
      <c r="E2198" s="738">
        <f t="shared" si="68"/>
        <v>141.75</v>
      </c>
      <c r="F2198">
        <f t="shared" si="69"/>
        <v>102522</v>
      </c>
      <c r="H2198" s="1405">
        <v>128.30000000000001</v>
      </c>
      <c r="I2198" s="1405">
        <v>141.75</v>
      </c>
    </row>
    <row r="2199" spans="2:9">
      <c r="B2199" s="1477">
        <v>102523</v>
      </c>
      <c r="C2199" s="740" t="s">
        <v>4640</v>
      </c>
      <c r="D2199" s="739" t="s">
        <v>22</v>
      </c>
      <c r="E2199" s="741">
        <f t="shared" si="68"/>
        <v>186.89</v>
      </c>
      <c r="F2199">
        <f t="shared" si="69"/>
        <v>102523</v>
      </c>
      <c r="H2199" s="1406">
        <v>169.14</v>
      </c>
      <c r="I2199" s="1406">
        <v>186.89</v>
      </c>
    </row>
    <row r="2200" spans="2:9">
      <c r="B2200" s="677">
        <v>95240</v>
      </c>
      <c r="C2200" s="733" t="s">
        <v>14561</v>
      </c>
      <c r="D2200" s="677" t="s">
        <v>0</v>
      </c>
      <c r="E2200" s="738">
        <f t="shared" si="68"/>
        <v>20.45</v>
      </c>
      <c r="F2200">
        <f t="shared" si="69"/>
        <v>95240</v>
      </c>
      <c r="H2200" s="1405">
        <v>19.7</v>
      </c>
      <c r="I2200" s="1405">
        <v>20.45</v>
      </c>
    </row>
    <row r="2201" spans="2:9">
      <c r="B2201" s="1477">
        <v>95241</v>
      </c>
      <c r="C2201" s="740" t="s">
        <v>14562</v>
      </c>
      <c r="D2201" s="739" t="s">
        <v>0</v>
      </c>
      <c r="E2201" s="741">
        <f t="shared" si="68"/>
        <v>39.68</v>
      </c>
      <c r="F2201">
        <f t="shared" si="69"/>
        <v>95241</v>
      </c>
      <c r="H2201" s="1406">
        <v>38.35</v>
      </c>
      <c r="I2201" s="1406">
        <v>39.68</v>
      </c>
    </row>
    <row r="2202" spans="2:9">
      <c r="B2202" s="677">
        <v>96616</v>
      </c>
      <c r="C2202" s="733" t="s">
        <v>14563</v>
      </c>
      <c r="D2202" s="677" t="s">
        <v>19</v>
      </c>
      <c r="E2202" s="738">
        <f t="shared" si="68"/>
        <v>849.83</v>
      </c>
      <c r="F2202">
        <f t="shared" si="69"/>
        <v>96616</v>
      </c>
      <c r="H2202" s="1405">
        <v>817.4</v>
      </c>
      <c r="I2202" s="1405">
        <v>849.83</v>
      </c>
    </row>
    <row r="2203" spans="2:9">
      <c r="B2203" s="1477">
        <v>96617</v>
      </c>
      <c r="C2203" s="740" t="s">
        <v>14564</v>
      </c>
      <c r="D2203" s="739" t="s">
        <v>0</v>
      </c>
      <c r="E2203" s="741">
        <f t="shared" si="68"/>
        <v>21.18</v>
      </c>
      <c r="F2203">
        <f t="shared" si="69"/>
        <v>96617</v>
      </c>
      <c r="H2203" s="1406">
        <v>20.350000000000001</v>
      </c>
      <c r="I2203" s="1406">
        <v>21.18</v>
      </c>
    </row>
    <row r="2204" spans="2:9">
      <c r="B2204" s="677">
        <v>96619</v>
      </c>
      <c r="C2204" s="733" t="s">
        <v>14565</v>
      </c>
      <c r="D2204" s="677" t="s">
        <v>0</v>
      </c>
      <c r="E2204" s="738">
        <f t="shared" si="68"/>
        <v>42.48</v>
      </c>
      <c r="F2204">
        <f t="shared" si="69"/>
        <v>96619</v>
      </c>
      <c r="H2204" s="1405">
        <v>40.86</v>
      </c>
      <c r="I2204" s="1405">
        <v>42.48</v>
      </c>
    </row>
    <row r="2205" spans="2:9">
      <c r="B2205" s="1477">
        <v>96620</v>
      </c>
      <c r="C2205" s="740" t="s">
        <v>14566</v>
      </c>
      <c r="D2205" s="739" t="s">
        <v>19</v>
      </c>
      <c r="E2205" s="741">
        <f t="shared" si="68"/>
        <v>793.83</v>
      </c>
      <c r="F2205">
        <f t="shared" si="69"/>
        <v>96620</v>
      </c>
      <c r="H2205" s="1406">
        <v>767.15</v>
      </c>
      <c r="I2205" s="1406">
        <v>793.83</v>
      </c>
    </row>
    <row r="2206" spans="2:9">
      <c r="B2206" s="677">
        <v>96621</v>
      </c>
      <c r="C2206" s="733" t="s">
        <v>14567</v>
      </c>
      <c r="D2206" s="677" t="s">
        <v>19</v>
      </c>
      <c r="E2206" s="738">
        <f t="shared" si="68"/>
        <v>279.16000000000003</v>
      </c>
      <c r="F2206">
        <f t="shared" si="69"/>
        <v>96621</v>
      </c>
      <c r="H2206" s="1405">
        <v>271.13</v>
      </c>
      <c r="I2206" s="1405">
        <v>279.16000000000003</v>
      </c>
    </row>
    <row r="2207" spans="2:9">
      <c r="B2207" s="1477">
        <v>96622</v>
      </c>
      <c r="C2207" s="740" t="s">
        <v>14568</v>
      </c>
      <c r="D2207" s="739" t="s">
        <v>19</v>
      </c>
      <c r="E2207" s="741">
        <f t="shared" si="68"/>
        <v>265.69</v>
      </c>
      <c r="F2207">
        <f t="shared" si="69"/>
        <v>96622</v>
      </c>
      <c r="H2207" s="1406">
        <v>258.99</v>
      </c>
      <c r="I2207" s="1406">
        <v>265.69</v>
      </c>
    </row>
    <row r="2208" spans="2:9">
      <c r="B2208" s="677">
        <v>96623</v>
      </c>
      <c r="C2208" s="733" t="s">
        <v>14569</v>
      </c>
      <c r="D2208" s="677" t="s">
        <v>19</v>
      </c>
      <c r="E2208" s="738">
        <f t="shared" si="68"/>
        <v>239.65</v>
      </c>
      <c r="F2208">
        <f t="shared" si="69"/>
        <v>96623</v>
      </c>
      <c r="H2208" s="1405">
        <v>232.85</v>
      </c>
      <c r="I2208" s="1405">
        <v>239.65</v>
      </c>
    </row>
    <row r="2209" spans="2:9" ht="30">
      <c r="B2209" s="1477">
        <v>96624</v>
      </c>
      <c r="C2209" s="740" t="s">
        <v>14570</v>
      </c>
      <c r="D2209" s="739" t="s">
        <v>19</v>
      </c>
      <c r="E2209" s="741">
        <f t="shared" si="68"/>
        <v>226.18</v>
      </c>
      <c r="F2209">
        <f t="shared" si="69"/>
        <v>96624</v>
      </c>
      <c r="H2209" s="1406">
        <v>220.7</v>
      </c>
      <c r="I2209" s="1406">
        <v>226.18</v>
      </c>
    </row>
    <row r="2210" spans="2:9">
      <c r="B2210" s="677">
        <v>97082</v>
      </c>
      <c r="C2210" s="733" t="s">
        <v>5125</v>
      </c>
      <c r="D2210" s="677" t="s">
        <v>19</v>
      </c>
      <c r="E2210" s="738">
        <f t="shared" si="68"/>
        <v>59</v>
      </c>
      <c r="F2210">
        <f t="shared" si="69"/>
        <v>97082</v>
      </c>
      <c r="H2210" s="1405">
        <v>53.25</v>
      </c>
      <c r="I2210" s="1405">
        <v>59</v>
      </c>
    </row>
    <row r="2211" spans="2:9" ht="30">
      <c r="B2211" s="1477">
        <v>97083</v>
      </c>
      <c r="C2211" s="740" t="s">
        <v>5126</v>
      </c>
      <c r="D2211" s="739" t="s">
        <v>0</v>
      </c>
      <c r="E2211" s="741">
        <f t="shared" si="68"/>
        <v>3.12</v>
      </c>
      <c r="F2211">
        <f t="shared" si="69"/>
        <v>97083</v>
      </c>
      <c r="H2211" s="1406">
        <v>2.83</v>
      </c>
      <c r="I2211" s="1406">
        <v>3.12</v>
      </c>
    </row>
    <row r="2212" spans="2:9" ht="30">
      <c r="B2212" s="677">
        <v>97084</v>
      </c>
      <c r="C2212" s="733" t="s">
        <v>5127</v>
      </c>
      <c r="D2212" s="677" t="s">
        <v>0</v>
      </c>
      <c r="E2212" s="738">
        <f t="shared" si="68"/>
        <v>0.65</v>
      </c>
      <c r="F2212">
        <f t="shared" si="69"/>
        <v>97084</v>
      </c>
      <c r="H2212" s="1405">
        <v>0.57999999999999996</v>
      </c>
      <c r="I2212" s="1405">
        <v>0.65</v>
      </c>
    </row>
    <row r="2213" spans="2:9" ht="30">
      <c r="B2213" s="1477">
        <v>97086</v>
      </c>
      <c r="C2213" s="740" t="s">
        <v>5128</v>
      </c>
      <c r="D2213" s="739" t="s">
        <v>0</v>
      </c>
      <c r="E2213" s="741">
        <f t="shared" si="68"/>
        <v>120.2</v>
      </c>
      <c r="F2213">
        <f t="shared" si="69"/>
        <v>97086</v>
      </c>
      <c r="H2213" s="1406">
        <v>110.9</v>
      </c>
      <c r="I2213" s="1406">
        <v>120.2</v>
      </c>
    </row>
    <row r="2214" spans="2:9">
      <c r="B2214" s="677">
        <v>97087</v>
      </c>
      <c r="C2214" s="733" t="s">
        <v>5129</v>
      </c>
      <c r="D2214" s="677" t="s">
        <v>0</v>
      </c>
      <c r="E2214" s="738">
        <f t="shared" si="68"/>
        <v>2.3199999999999998</v>
      </c>
      <c r="F2214">
        <f t="shared" si="69"/>
        <v>97087</v>
      </c>
      <c r="H2214" s="1405">
        <v>2.2799999999999998</v>
      </c>
      <c r="I2214" s="1405">
        <v>2.3199999999999998</v>
      </c>
    </row>
    <row r="2215" spans="2:9">
      <c r="B2215" s="1477">
        <v>97088</v>
      </c>
      <c r="C2215" s="740" t="s">
        <v>5130</v>
      </c>
      <c r="D2215" s="739" t="s">
        <v>20</v>
      </c>
      <c r="E2215" s="741">
        <f t="shared" si="68"/>
        <v>19.059999999999999</v>
      </c>
      <c r="F2215">
        <f t="shared" si="69"/>
        <v>97088</v>
      </c>
      <c r="H2215" s="1406">
        <v>18.920000000000002</v>
      </c>
      <c r="I2215" s="1406">
        <v>19.059999999999999</v>
      </c>
    </row>
    <row r="2216" spans="2:9">
      <c r="B2216" s="677">
        <v>97089</v>
      </c>
      <c r="C2216" s="733" t="s">
        <v>5131</v>
      </c>
      <c r="D2216" s="677" t="s">
        <v>20</v>
      </c>
      <c r="E2216" s="738">
        <f t="shared" si="68"/>
        <v>17.420000000000002</v>
      </c>
      <c r="F2216">
        <f t="shared" si="69"/>
        <v>97089</v>
      </c>
      <c r="H2216" s="1405">
        <v>17.3</v>
      </c>
      <c r="I2216" s="1405">
        <v>17.420000000000002</v>
      </c>
    </row>
    <row r="2217" spans="2:9">
      <c r="B2217" s="1477">
        <v>97090</v>
      </c>
      <c r="C2217" s="740" t="s">
        <v>5132</v>
      </c>
      <c r="D2217" s="739" t="s">
        <v>20</v>
      </c>
      <c r="E2217" s="741">
        <f t="shared" si="68"/>
        <v>17.11</v>
      </c>
      <c r="F2217">
        <f t="shared" si="69"/>
        <v>97090</v>
      </c>
      <c r="H2217" s="1406">
        <v>17.010000000000002</v>
      </c>
      <c r="I2217" s="1406">
        <v>17.11</v>
      </c>
    </row>
    <row r="2218" spans="2:9">
      <c r="B2218" s="677">
        <v>97091</v>
      </c>
      <c r="C2218" s="733" t="s">
        <v>5133</v>
      </c>
      <c r="D2218" s="677" t="s">
        <v>20</v>
      </c>
      <c r="E2218" s="738">
        <f t="shared" si="68"/>
        <v>16.600000000000001</v>
      </c>
      <c r="F2218">
        <f t="shared" si="69"/>
        <v>97091</v>
      </c>
      <c r="H2218" s="1405">
        <v>16.5</v>
      </c>
      <c r="I2218" s="1405">
        <v>16.600000000000001</v>
      </c>
    </row>
    <row r="2219" spans="2:9">
      <c r="B2219" s="1477">
        <v>97092</v>
      </c>
      <c r="C2219" s="740" t="s">
        <v>5134</v>
      </c>
      <c r="D2219" s="739" t="s">
        <v>20</v>
      </c>
      <c r="E2219" s="741">
        <f t="shared" si="68"/>
        <v>16.05</v>
      </c>
      <c r="F2219">
        <f t="shared" si="69"/>
        <v>97092</v>
      </c>
      <c r="H2219" s="1406">
        <v>15.97</v>
      </c>
      <c r="I2219" s="1406">
        <v>16.05</v>
      </c>
    </row>
    <row r="2220" spans="2:9">
      <c r="B2220" s="677">
        <v>97093</v>
      </c>
      <c r="C2220" s="733" t="s">
        <v>5135</v>
      </c>
      <c r="D2220" s="677" t="s">
        <v>20</v>
      </c>
      <c r="E2220" s="738">
        <f t="shared" si="68"/>
        <v>15.08</v>
      </c>
      <c r="F2220">
        <f t="shared" si="69"/>
        <v>97093</v>
      </c>
      <c r="H2220" s="1405">
        <v>15.01</v>
      </c>
      <c r="I2220" s="1405">
        <v>15.08</v>
      </c>
    </row>
    <row r="2221" spans="2:9" ht="30">
      <c r="B2221" s="1477">
        <v>97096</v>
      </c>
      <c r="C2221" s="740" t="s">
        <v>5136</v>
      </c>
      <c r="D2221" s="739" t="s">
        <v>19</v>
      </c>
      <c r="E2221" s="741">
        <f t="shared" si="68"/>
        <v>838.01</v>
      </c>
      <c r="F2221">
        <f t="shared" si="69"/>
        <v>97096</v>
      </c>
      <c r="H2221" s="1406">
        <v>836.1</v>
      </c>
      <c r="I2221" s="1406">
        <v>838.01</v>
      </c>
    </row>
    <row r="2222" spans="2:9">
      <c r="B2222" s="677">
        <v>97097</v>
      </c>
      <c r="C2222" s="733" t="s">
        <v>5137</v>
      </c>
      <c r="D2222" s="677" t="s">
        <v>0</v>
      </c>
      <c r="E2222" s="738">
        <f t="shared" si="68"/>
        <v>38.11</v>
      </c>
      <c r="F2222">
        <f t="shared" si="69"/>
        <v>97097</v>
      </c>
      <c r="H2222" s="1405">
        <v>37.869999999999997</v>
      </c>
      <c r="I2222" s="1405">
        <v>38.11</v>
      </c>
    </row>
    <row r="2223" spans="2:9">
      <c r="B2223" s="1477">
        <v>97101</v>
      </c>
      <c r="C2223" s="740" t="s">
        <v>5138</v>
      </c>
      <c r="D2223" s="739" t="s">
        <v>0</v>
      </c>
      <c r="E2223" s="741">
        <f t="shared" si="68"/>
        <v>216.11</v>
      </c>
      <c r="F2223">
        <f t="shared" si="69"/>
        <v>97101</v>
      </c>
      <c r="H2223" s="1406">
        <v>213.6</v>
      </c>
      <c r="I2223" s="1406">
        <v>216.11</v>
      </c>
    </row>
    <row r="2224" spans="2:9">
      <c r="B2224" s="677">
        <v>97102</v>
      </c>
      <c r="C2224" s="733" t="s">
        <v>5139</v>
      </c>
      <c r="D2224" s="677" t="s">
        <v>0</v>
      </c>
      <c r="E2224" s="738">
        <f t="shared" si="68"/>
        <v>272.99</v>
      </c>
      <c r="F2224">
        <f t="shared" si="69"/>
        <v>97102</v>
      </c>
      <c r="H2224" s="1405">
        <v>270.18</v>
      </c>
      <c r="I2224" s="1405">
        <v>272.99</v>
      </c>
    </row>
    <row r="2225" spans="2:9">
      <c r="B2225" s="1477">
        <v>97103</v>
      </c>
      <c r="C2225" s="740" t="s">
        <v>5140</v>
      </c>
      <c r="D2225" s="739" t="s">
        <v>0</v>
      </c>
      <c r="E2225" s="741">
        <f t="shared" si="68"/>
        <v>325.67</v>
      </c>
      <c r="F2225">
        <f t="shared" si="69"/>
        <v>97103</v>
      </c>
      <c r="H2225" s="1406">
        <v>322.52</v>
      </c>
      <c r="I2225" s="1406">
        <v>325.67</v>
      </c>
    </row>
    <row r="2226" spans="2:9" ht="30">
      <c r="B2226" s="677">
        <v>100322</v>
      </c>
      <c r="C2226" s="733" t="s">
        <v>14571</v>
      </c>
      <c r="D2226" s="677" t="s">
        <v>19</v>
      </c>
      <c r="E2226" s="738">
        <f t="shared" si="68"/>
        <v>215.76</v>
      </c>
      <c r="F2226">
        <f t="shared" si="69"/>
        <v>100322</v>
      </c>
      <c r="H2226" s="1405">
        <v>210.28</v>
      </c>
      <c r="I2226" s="1405">
        <v>215.76</v>
      </c>
    </row>
    <row r="2227" spans="2:9">
      <c r="B2227" s="1477">
        <v>100323</v>
      </c>
      <c r="C2227" s="740" t="s">
        <v>14572</v>
      </c>
      <c r="D2227" s="739" t="s">
        <v>19</v>
      </c>
      <c r="E2227" s="741">
        <f t="shared" si="68"/>
        <v>220.23</v>
      </c>
      <c r="F2227">
        <f t="shared" si="69"/>
        <v>100323</v>
      </c>
      <c r="H2227" s="1406">
        <v>214.75</v>
      </c>
      <c r="I2227" s="1406">
        <v>220.23</v>
      </c>
    </row>
    <row r="2228" spans="2:9" ht="30">
      <c r="B2228" s="677">
        <v>100324</v>
      </c>
      <c r="C2228" s="733" t="s">
        <v>14573</v>
      </c>
      <c r="D2228" s="677" t="s">
        <v>19</v>
      </c>
      <c r="E2228" s="738">
        <f t="shared" si="68"/>
        <v>225.72</v>
      </c>
      <c r="F2228">
        <f t="shared" si="69"/>
        <v>100324</v>
      </c>
      <c r="H2228" s="1405">
        <v>220.24</v>
      </c>
      <c r="I2228" s="1405">
        <v>225.72</v>
      </c>
    </row>
    <row r="2229" spans="2:9">
      <c r="B2229" s="1477">
        <v>103072</v>
      </c>
      <c r="C2229" s="740" t="s">
        <v>5141</v>
      </c>
      <c r="D2229" s="739" t="s">
        <v>0</v>
      </c>
      <c r="E2229" s="741">
        <f t="shared" si="68"/>
        <v>386.14</v>
      </c>
      <c r="F2229">
        <f t="shared" si="69"/>
        <v>103072</v>
      </c>
      <c r="H2229" s="1406">
        <v>382.71</v>
      </c>
      <c r="I2229" s="1406">
        <v>386.14</v>
      </c>
    </row>
    <row r="2230" spans="2:9">
      <c r="B2230" s="677">
        <v>103073</v>
      </c>
      <c r="C2230" s="733" t="s">
        <v>5142</v>
      </c>
      <c r="D2230" s="677" t="s">
        <v>0</v>
      </c>
      <c r="E2230" s="738">
        <f t="shared" si="68"/>
        <v>465.73</v>
      </c>
      <c r="F2230">
        <f t="shared" si="69"/>
        <v>103073</v>
      </c>
      <c r="H2230" s="1405">
        <v>461.89</v>
      </c>
      <c r="I2230" s="1405">
        <v>465.73</v>
      </c>
    </row>
    <row r="2231" spans="2:9" ht="30">
      <c r="B2231" s="1477">
        <v>103074</v>
      </c>
      <c r="C2231" s="740" t="s">
        <v>5143</v>
      </c>
      <c r="D2231" s="739" t="s">
        <v>0</v>
      </c>
      <c r="E2231" s="741">
        <f t="shared" si="68"/>
        <v>215.68</v>
      </c>
      <c r="F2231">
        <f t="shared" si="69"/>
        <v>103074</v>
      </c>
      <c r="H2231" s="1406">
        <v>213.34</v>
      </c>
      <c r="I2231" s="1406">
        <v>215.68</v>
      </c>
    </row>
    <row r="2232" spans="2:9" ht="30">
      <c r="B2232" s="677">
        <v>103075</v>
      </c>
      <c r="C2232" s="733" t="s">
        <v>5144</v>
      </c>
      <c r="D2232" s="677" t="s">
        <v>0</v>
      </c>
      <c r="E2232" s="738">
        <f t="shared" si="68"/>
        <v>253.79</v>
      </c>
      <c r="F2232">
        <f t="shared" si="69"/>
        <v>103075</v>
      </c>
      <c r="H2232" s="1405">
        <v>251.21</v>
      </c>
      <c r="I2232" s="1405">
        <v>253.79</v>
      </c>
    </row>
    <row r="2233" spans="2:9">
      <c r="B2233" s="1477">
        <v>103076</v>
      </c>
      <c r="C2233" s="740" t="s">
        <v>5145</v>
      </c>
      <c r="D2233" s="739" t="s">
        <v>0</v>
      </c>
      <c r="E2233" s="741">
        <f t="shared" si="68"/>
        <v>184.17</v>
      </c>
      <c r="F2233">
        <f t="shared" si="69"/>
        <v>103076</v>
      </c>
      <c r="H2233" s="1406">
        <v>181.94</v>
      </c>
      <c r="I2233" s="1406">
        <v>184.17</v>
      </c>
    </row>
    <row r="2234" spans="2:9">
      <c r="B2234" s="677">
        <v>103077</v>
      </c>
      <c r="C2234" s="733" t="s">
        <v>5146</v>
      </c>
      <c r="D2234" s="677" t="s">
        <v>0</v>
      </c>
      <c r="E2234" s="738">
        <f t="shared" si="68"/>
        <v>241.05</v>
      </c>
      <c r="F2234">
        <f t="shared" si="69"/>
        <v>103077</v>
      </c>
      <c r="H2234" s="1405">
        <v>238.52</v>
      </c>
      <c r="I2234" s="1405">
        <v>241.05</v>
      </c>
    </row>
    <row r="2235" spans="2:9">
      <c r="B2235" s="1477">
        <v>103078</v>
      </c>
      <c r="C2235" s="740" t="s">
        <v>5147</v>
      </c>
      <c r="D2235" s="739" t="s">
        <v>0</v>
      </c>
      <c r="E2235" s="741">
        <f t="shared" si="68"/>
        <v>293.73</v>
      </c>
      <c r="F2235">
        <f t="shared" si="69"/>
        <v>103078</v>
      </c>
      <c r="H2235" s="1406">
        <v>290.86</v>
      </c>
      <c r="I2235" s="1406">
        <v>293.73</v>
      </c>
    </row>
    <row r="2236" spans="2:9">
      <c r="B2236" s="677">
        <v>103079</v>
      </c>
      <c r="C2236" s="733" t="s">
        <v>5148</v>
      </c>
      <c r="D2236" s="677" t="s">
        <v>0</v>
      </c>
      <c r="E2236" s="738">
        <f t="shared" si="68"/>
        <v>354.2</v>
      </c>
      <c r="F2236">
        <f t="shared" si="69"/>
        <v>103079</v>
      </c>
      <c r="H2236" s="1405">
        <v>351.05</v>
      </c>
      <c r="I2236" s="1405">
        <v>354.2</v>
      </c>
    </row>
    <row r="2237" spans="2:9">
      <c r="B2237" s="1477">
        <v>103080</v>
      </c>
      <c r="C2237" s="740" t="s">
        <v>5149</v>
      </c>
      <c r="D2237" s="739" t="s">
        <v>0</v>
      </c>
      <c r="E2237" s="741">
        <f t="shared" si="68"/>
        <v>433.79</v>
      </c>
      <c r="F2237">
        <f t="shared" si="69"/>
        <v>103080</v>
      </c>
      <c r="H2237" s="1406">
        <v>430.23</v>
      </c>
      <c r="I2237" s="1406">
        <v>433.79</v>
      </c>
    </row>
    <row r="2238" spans="2:9" ht="30">
      <c r="B2238" s="677">
        <v>92263</v>
      </c>
      <c r="C2238" s="733" t="s">
        <v>3658</v>
      </c>
      <c r="D2238" s="677" t="s">
        <v>0</v>
      </c>
      <c r="E2238" s="738">
        <f t="shared" si="68"/>
        <v>187.08</v>
      </c>
      <c r="F2238">
        <f t="shared" si="69"/>
        <v>92263</v>
      </c>
      <c r="H2238" s="1405">
        <v>182.7</v>
      </c>
      <c r="I2238" s="1405">
        <v>187.08</v>
      </c>
    </row>
    <row r="2239" spans="2:9" ht="30">
      <c r="B2239" s="1477">
        <v>92264</v>
      </c>
      <c r="C2239" s="740" t="s">
        <v>3659</v>
      </c>
      <c r="D2239" s="739" t="s">
        <v>0</v>
      </c>
      <c r="E2239" s="741">
        <f t="shared" si="68"/>
        <v>241.76</v>
      </c>
      <c r="F2239">
        <f t="shared" si="69"/>
        <v>92264</v>
      </c>
      <c r="H2239" s="1406">
        <v>237.38</v>
      </c>
      <c r="I2239" s="1406">
        <v>241.76</v>
      </c>
    </row>
    <row r="2240" spans="2:9">
      <c r="B2240" s="677">
        <v>92265</v>
      </c>
      <c r="C2240" s="733" t="s">
        <v>3660</v>
      </c>
      <c r="D2240" s="677" t="s">
        <v>0</v>
      </c>
      <c r="E2240" s="738">
        <f t="shared" si="68"/>
        <v>133.44999999999999</v>
      </c>
      <c r="F2240">
        <f t="shared" si="69"/>
        <v>92265</v>
      </c>
      <c r="H2240" s="1405">
        <v>129.94999999999999</v>
      </c>
      <c r="I2240" s="1405">
        <v>133.44999999999999</v>
      </c>
    </row>
    <row r="2241" spans="2:9">
      <c r="B2241" s="1477">
        <v>92266</v>
      </c>
      <c r="C2241" s="740" t="s">
        <v>3661</v>
      </c>
      <c r="D2241" s="739" t="s">
        <v>0</v>
      </c>
      <c r="E2241" s="741">
        <f t="shared" si="68"/>
        <v>180.36</v>
      </c>
      <c r="F2241">
        <f t="shared" si="69"/>
        <v>92266</v>
      </c>
      <c r="H2241" s="1406">
        <v>176.86</v>
      </c>
      <c r="I2241" s="1406">
        <v>180.36</v>
      </c>
    </row>
    <row r="2242" spans="2:9">
      <c r="B2242" s="677">
        <v>92267</v>
      </c>
      <c r="C2242" s="733" t="s">
        <v>3662</v>
      </c>
      <c r="D2242" s="677" t="s">
        <v>0</v>
      </c>
      <c r="E2242" s="738">
        <f t="shared" si="68"/>
        <v>62.79</v>
      </c>
      <c r="F2242">
        <f t="shared" si="69"/>
        <v>92267</v>
      </c>
      <c r="H2242" s="1405">
        <v>62.7</v>
      </c>
      <c r="I2242" s="1405">
        <v>62.79</v>
      </c>
    </row>
    <row r="2243" spans="2:9">
      <c r="B2243" s="1477">
        <v>92268</v>
      </c>
      <c r="C2243" s="740" t="s">
        <v>3663</v>
      </c>
      <c r="D2243" s="739" t="s">
        <v>0</v>
      </c>
      <c r="E2243" s="741">
        <f t="shared" ref="E2243:E2306" si="70">IF($K$2=$H$1,H2243,I2243)</f>
        <v>105.76</v>
      </c>
      <c r="F2243">
        <f t="shared" ref="F2243:F2306" si="71">IF(LEN($B2243)=7,CONCATENATE(MID($B2243,1,6),"00",RIGHT($B2243,1)),IF(LEN($B2243)=8,CONCATENATE(MID($B2243,1,6),"0",RIGHT($B2243,2)),$B2243))</f>
        <v>92268</v>
      </c>
      <c r="H2243" s="1406">
        <v>105.67</v>
      </c>
      <c r="I2243" s="1406">
        <v>105.76</v>
      </c>
    </row>
    <row r="2244" spans="2:9">
      <c r="B2244" s="677">
        <v>92269</v>
      </c>
      <c r="C2244" s="733" t="s">
        <v>3664</v>
      </c>
      <c r="D2244" s="677" t="s">
        <v>0</v>
      </c>
      <c r="E2244" s="738">
        <f t="shared" si="70"/>
        <v>164.22</v>
      </c>
      <c r="F2244">
        <f t="shared" si="71"/>
        <v>92269</v>
      </c>
      <c r="H2244" s="1405">
        <v>161.72999999999999</v>
      </c>
      <c r="I2244" s="1405">
        <v>164.22</v>
      </c>
    </row>
    <row r="2245" spans="2:9">
      <c r="B2245" s="1477">
        <v>92270</v>
      </c>
      <c r="C2245" s="740" t="s">
        <v>3665</v>
      </c>
      <c r="D2245" s="739" t="s">
        <v>0</v>
      </c>
      <c r="E2245" s="741">
        <f t="shared" si="70"/>
        <v>152.33000000000001</v>
      </c>
      <c r="F2245">
        <f t="shared" si="71"/>
        <v>92270</v>
      </c>
      <c r="H2245" s="1406">
        <v>149.21</v>
      </c>
      <c r="I2245" s="1406">
        <v>152.33000000000001</v>
      </c>
    </row>
    <row r="2246" spans="2:9">
      <c r="B2246" s="677">
        <v>92271</v>
      </c>
      <c r="C2246" s="733" t="s">
        <v>3666</v>
      </c>
      <c r="D2246" s="677" t="s">
        <v>0</v>
      </c>
      <c r="E2246" s="738">
        <f t="shared" si="70"/>
        <v>89.93</v>
      </c>
      <c r="F2246">
        <f t="shared" si="71"/>
        <v>92271</v>
      </c>
      <c r="H2246" s="1405">
        <v>89.88</v>
      </c>
      <c r="I2246" s="1405">
        <v>89.93</v>
      </c>
    </row>
    <row r="2247" spans="2:9">
      <c r="B2247" s="1477">
        <v>92272</v>
      </c>
      <c r="C2247" s="740" t="s">
        <v>3667</v>
      </c>
      <c r="D2247" s="739" t="s">
        <v>21</v>
      </c>
      <c r="E2247" s="741">
        <f t="shared" si="70"/>
        <v>45.25</v>
      </c>
      <c r="F2247">
        <f t="shared" si="71"/>
        <v>92272</v>
      </c>
      <c r="H2247" s="1406">
        <v>44.7</v>
      </c>
      <c r="I2247" s="1406">
        <v>45.25</v>
      </c>
    </row>
    <row r="2248" spans="2:9">
      <c r="B2248" s="677">
        <v>92273</v>
      </c>
      <c r="C2248" s="733" t="s">
        <v>3668</v>
      </c>
      <c r="D2248" s="677" t="s">
        <v>21</v>
      </c>
      <c r="E2248" s="738">
        <f t="shared" si="70"/>
        <v>18.649999999999999</v>
      </c>
      <c r="F2248">
        <f t="shared" si="71"/>
        <v>92273</v>
      </c>
      <c r="H2248" s="1405">
        <v>18.28</v>
      </c>
      <c r="I2248" s="1405">
        <v>18.649999999999999</v>
      </c>
    </row>
    <row r="2249" spans="2:9" ht="30">
      <c r="B2249" s="1477">
        <v>92409</v>
      </c>
      <c r="C2249" s="740" t="s">
        <v>3669</v>
      </c>
      <c r="D2249" s="739" t="s">
        <v>0</v>
      </c>
      <c r="E2249" s="741">
        <f t="shared" si="70"/>
        <v>256.47000000000003</v>
      </c>
      <c r="F2249">
        <f t="shared" si="71"/>
        <v>92409</v>
      </c>
      <c r="H2249" s="1406">
        <v>244.77</v>
      </c>
      <c r="I2249" s="1406">
        <v>256.47000000000003</v>
      </c>
    </row>
    <row r="2250" spans="2:9" ht="30">
      <c r="B2250" s="677">
        <v>92411</v>
      </c>
      <c r="C2250" s="733" t="s">
        <v>3670</v>
      </c>
      <c r="D2250" s="677" t="s">
        <v>0</v>
      </c>
      <c r="E2250" s="738">
        <f t="shared" si="70"/>
        <v>165.64</v>
      </c>
      <c r="F2250">
        <f t="shared" si="71"/>
        <v>92411</v>
      </c>
      <c r="H2250" s="1405">
        <v>156.24</v>
      </c>
      <c r="I2250" s="1405">
        <v>165.64</v>
      </c>
    </row>
    <row r="2251" spans="2:9" ht="30">
      <c r="B2251" s="1477">
        <v>92413</v>
      </c>
      <c r="C2251" s="740" t="s">
        <v>3671</v>
      </c>
      <c r="D2251" s="739" t="s">
        <v>0</v>
      </c>
      <c r="E2251" s="741">
        <f t="shared" si="70"/>
        <v>105.79</v>
      </c>
      <c r="F2251">
        <f t="shared" si="71"/>
        <v>92413</v>
      </c>
      <c r="H2251" s="1406">
        <v>98.88</v>
      </c>
      <c r="I2251" s="1406">
        <v>105.79</v>
      </c>
    </row>
    <row r="2252" spans="2:9" ht="30">
      <c r="B2252" s="677">
        <v>92415</v>
      </c>
      <c r="C2252" s="733" t="s">
        <v>3672</v>
      </c>
      <c r="D2252" s="677" t="s">
        <v>0</v>
      </c>
      <c r="E2252" s="738">
        <f t="shared" si="70"/>
        <v>152.4</v>
      </c>
      <c r="F2252">
        <f t="shared" si="71"/>
        <v>92415</v>
      </c>
      <c r="H2252" s="1405">
        <v>146.69</v>
      </c>
      <c r="I2252" s="1405">
        <v>152.4</v>
      </c>
    </row>
    <row r="2253" spans="2:9" ht="30">
      <c r="B2253" s="1477">
        <v>92417</v>
      </c>
      <c r="C2253" s="740" t="s">
        <v>3673</v>
      </c>
      <c r="D2253" s="739" t="s">
        <v>0</v>
      </c>
      <c r="E2253" s="741">
        <f t="shared" si="70"/>
        <v>173.64</v>
      </c>
      <c r="F2253">
        <f t="shared" si="71"/>
        <v>92417</v>
      </c>
      <c r="H2253" s="1406">
        <v>165.72</v>
      </c>
      <c r="I2253" s="1406">
        <v>173.64</v>
      </c>
    </row>
    <row r="2254" spans="2:9" ht="30">
      <c r="B2254" s="677">
        <v>92419</v>
      </c>
      <c r="C2254" s="733" t="s">
        <v>3674</v>
      </c>
      <c r="D2254" s="677" t="s">
        <v>0</v>
      </c>
      <c r="E2254" s="738">
        <f t="shared" si="70"/>
        <v>95.84</v>
      </c>
      <c r="F2254">
        <f t="shared" si="71"/>
        <v>92419</v>
      </c>
      <c r="H2254" s="1405">
        <v>92.06</v>
      </c>
      <c r="I2254" s="1405">
        <v>95.84</v>
      </c>
    </row>
    <row r="2255" spans="2:9" ht="30">
      <c r="B2255" s="1477">
        <v>92421</v>
      </c>
      <c r="C2255" s="740" t="s">
        <v>3675</v>
      </c>
      <c r="D2255" s="739" t="s">
        <v>0</v>
      </c>
      <c r="E2255" s="741">
        <f t="shared" si="70"/>
        <v>112.13</v>
      </c>
      <c r="F2255">
        <f t="shared" si="71"/>
        <v>92421</v>
      </c>
      <c r="H2255" s="1406">
        <v>106.66</v>
      </c>
      <c r="I2255" s="1406">
        <v>112.13</v>
      </c>
    </row>
    <row r="2256" spans="2:9" ht="30">
      <c r="B2256" s="677">
        <v>92423</v>
      </c>
      <c r="C2256" s="733" t="s">
        <v>3676</v>
      </c>
      <c r="D2256" s="677" t="s">
        <v>0</v>
      </c>
      <c r="E2256" s="738">
        <f t="shared" si="70"/>
        <v>78.48</v>
      </c>
      <c r="F2256">
        <f t="shared" si="71"/>
        <v>92423</v>
      </c>
      <c r="H2256" s="1405">
        <v>75.38</v>
      </c>
      <c r="I2256" s="1405">
        <v>78.48</v>
      </c>
    </row>
    <row r="2257" spans="2:9" ht="30">
      <c r="B2257" s="1477">
        <v>92425</v>
      </c>
      <c r="C2257" s="740" t="s">
        <v>3677</v>
      </c>
      <c r="D2257" s="739" t="s">
        <v>0</v>
      </c>
      <c r="E2257" s="741">
        <f t="shared" si="70"/>
        <v>92.64</v>
      </c>
      <c r="F2257">
        <f t="shared" si="71"/>
        <v>92425</v>
      </c>
      <c r="H2257" s="1406">
        <v>88.06</v>
      </c>
      <c r="I2257" s="1406">
        <v>92.64</v>
      </c>
    </row>
    <row r="2258" spans="2:9" ht="30">
      <c r="B2258" s="677">
        <v>92427</v>
      </c>
      <c r="C2258" s="733" t="s">
        <v>3678</v>
      </c>
      <c r="D2258" s="677" t="s">
        <v>0</v>
      </c>
      <c r="E2258" s="738">
        <f t="shared" si="70"/>
        <v>69.7</v>
      </c>
      <c r="F2258">
        <f t="shared" si="71"/>
        <v>92427</v>
      </c>
      <c r="H2258" s="1405">
        <v>66.930000000000007</v>
      </c>
      <c r="I2258" s="1405">
        <v>69.7</v>
      </c>
    </row>
    <row r="2259" spans="2:9" ht="30">
      <c r="B2259" s="1477">
        <v>92429</v>
      </c>
      <c r="C2259" s="740" t="s">
        <v>3679</v>
      </c>
      <c r="D2259" s="739" t="s">
        <v>0</v>
      </c>
      <c r="E2259" s="741">
        <f t="shared" si="70"/>
        <v>82.81</v>
      </c>
      <c r="F2259">
        <f t="shared" si="71"/>
        <v>92429</v>
      </c>
      <c r="H2259" s="1406">
        <v>78.69</v>
      </c>
      <c r="I2259" s="1406">
        <v>82.81</v>
      </c>
    </row>
    <row r="2260" spans="2:9" ht="30">
      <c r="B2260" s="677">
        <v>92431</v>
      </c>
      <c r="C2260" s="733" t="s">
        <v>3680</v>
      </c>
      <c r="D2260" s="677" t="s">
        <v>0</v>
      </c>
      <c r="E2260" s="738">
        <f t="shared" si="70"/>
        <v>65.989999999999995</v>
      </c>
      <c r="F2260">
        <f t="shared" si="71"/>
        <v>92431</v>
      </c>
      <c r="H2260" s="1405">
        <v>63.53</v>
      </c>
      <c r="I2260" s="1405">
        <v>65.989999999999995</v>
      </c>
    </row>
    <row r="2261" spans="2:9" ht="30">
      <c r="B2261" s="1477">
        <v>92433</v>
      </c>
      <c r="C2261" s="740" t="s">
        <v>3681</v>
      </c>
      <c r="D2261" s="739" t="s">
        <v>0</v>
      </c>
      <c r="E2261" s="741">
        <f t="shared" si="70"/>
        <v>78.45</v>
      </c>
      <c r="F2261">
        <f t="shared" si="71"/>
        <v>92433</v>
      </c>
      <c r="H2261" s="1406">
        <v>74.69</v>
      </c>
      <c r="I2261" s="1406">
        <v>78.45</v>
      </c>
    </row>
    <row r="2262" spans="2:9" ht="30">
      <c r="B2262" s="677">
        <v>92435</v>
      </c>
      <c r="C2262" s="733" t="s">
        <v>3682</v>
      </c>
      <c r="D2262" s="677" t="s">
        <v>0</v>
      </c>
      <c r="E2262" s="738">
        <f t="shared" si="70"/>
        <v>62.66</v>
      </c>
      <c r="F2262">
        <f t="shared" si="71"/>
        <v>92435</v>
      </c>
      <c r="H2262" s="1405">
        <v>60.32</v>
      </c>
      <c r="I2262" s="1405">
        <v>62.66</v>
      </c>
    </row>
    <row r="2263" spans="2:9" ht="30">
      <c r="B2263" s="1477">
        <v>92437</v>
      </c>
      <c r="C2263" s="740" t="s">
        <v>3683</v>
      </c>
      <c r="D2263" s="739" t="s">
        <v>0</v>
      </c>
      <c r="E2263" s="741">
        <f t="shared" si="70"/>
        <v>74.7</v>
      </c>
      <c r="F2263">
        <f t="shared" si="71"/>
        <v>92437</v>
      </c>
      <c r="H2263" s="1406">
        <v>71.11</v>
      </c>
      <c r="I2263" s="1406">
        <v>74.7</v>
      </c>
    </row>
    <row r="2264" spans="2:9" ht="30">
      <c r="B2264" s="677">
        <v>92439</v>
      </c>
      <c r="C2264" s="733" t="s">
        <v>3684</v>
      </c>
      <c r="D2264" s="677" t="s">
        <v>0</v>
      </c>
      <c r="E2264" s="738">
        <f t="shared" si="70"/>
        <v>60.27</v>
      </c>
      <c r="F2264">
        <f t="shared" si="71"/>
        <v>92439</v>
      </c>
      <c r="H2264" s="1405">
        <v>57.99</v>
      </c>
      <c r="I2264" s="1405">
        <v>60.27</v>
      </c>
    </row>
    <row r="2265" spans="2:9" ht="30">
      <c r="B2265" s="1477">
        <v>92441</v>
      </c>
      <c r="C2265" s="740" t="s">
        <v>3685</v>
      </c>
      <c r="D2265" s="739" t="s">
        <v>0</v>
      </c>
      <c r="E2265" s="741">
        <f t="shared" si="70"/>
        <v>72</v>
      </c>
      <c r="F2265">
        <f t="shared" si="71"/>
        <v>92441</v>
      </c>
      <c r="H2265" s="1406">
        <v>68.52</v>
      </c>
      <c r="I2265" s="1406">
        <v>72</v>
      </c>
    </row>
    <row r="2266" spans="2:9" ht="30">
      <c r="B2266" s="677">
        <v>92443</v>
      </c>
      <c r="C2266" s="733" t="s">
        <v>3686</v>
      </c>
      <c r="D2266" s="677" t="s">
        <v>0</v>
      </c>
      <c r="E2266" s="738">
        <f t="shared" si="70"/>
        <v>55.02</v>
      </c>
      <c r="F2266">
        <f t="shared" si="71"/>
        <v>92443</v>
      </c>
      <c r="H2266" s="1405">
        <v>52.92</v>
      </c>
      <c r="I2266" s="1405">
        <v>55.02</v>
      </c>
    </row>
    <row r="2267" spans="2:9" ht="30">
      <c r="B2267" s="1477">
        <v>92445</v>
      </c>
      <c r="C2267" s="740" t="s">
        <v>3687</v>
      </c>
      <c r="D2267" s="739" t="s">
        <v>0</v>
      </c>
      <c r="E2267" s="741">
        <f t="shared" si="70"/>
        <v>66.34</v>
      </c>
      <c r="F2267">
        <f t="shared" si="71"/>
        <v>92445</v>
      </c>
      <c r="H2267" s="1406">
        <v>63.06</v>
      </c>
      <c r="I2267" s="1406">
        <v>66.34</v>
      </c>
    </row>
    <row r="2268" spans="2:9" ht="30">
      <c r="B2268" s="677">
        <v>92446</v>
      </c>
      <c r="C2268" s="733" t="s">
        <v>3688</v>
      </c>
      <c r="D2268" s="677" t="s">
        <v>0</v>
      </c>
      <c r="E2268" s="738">
        <f t="shared" si="70"/>
        <v>275.32</v>
      </c>
      <c r="F2268">
        <f t="shared" si="71"/>
        <v>92446</v>
      </c>
      <c r="H2268" s="1405">
        <v>264</v>
      </c>
      <c r="I2268" s="1405">
        <v>275.32</v>
      </c>
    </row>
    <row r="2269" spans="2:9" ht="30">
      <c r="B2269" s="1477">
        <v>92447</v>
      </c>
      <c r="C2269" s="740" t="s">
        <v>3689</v>
      </c>
      <c r="D2269" s="739" t="s">
        <v>0</v>
      </c>
      <c r="E2269" s="741">
        <f t="shared" si="70"/>
        <v>193.68</v>
      </c>
      <c r="F2269">
        <f t="shared" si="71"/>
        <v>92447</v>
      </c>
      <c r="H2269" s="1406">
        <v>184.95</v>
      </c>
      <c r="I2269" s="1406">
        <v>193.68</v>
      </c>
    </row>
    <row r="2270" spans="2:9" ht="30">
      <c r="B2270" s="677">
        <v>92448</v>
      </c>
      <c r="C2270" s="733" t="s">
        <v>3690</v>
      </c>
      <c r="D2270" s="677" t="s">
        <v>0</v>
      </c>
      <c r="E2270" s="738">
        <f t="shared" si="70"/>
        <v>154.93</v>
      </c>
      <c r="F2270">
        <f t="shared" si="71"/>
        <v>92448</v>
      </c>
      <c r="H2270" s="1405">
        <v>147.82</v>
      </c>
      <c r="I2270" s="1405">
        <v>154.93</v>
      </c>
    </row>
    <row r="2271" spans="2:9" ht="30">
      <c r="B2271" s="1477">
        <v>92449</v>
      </c>
      <c r="C2271" s="740" t="s">
        <v>3691</v>
      </c>
      <c r="D2271" s="739" t="s">
        <v>0</v>
      </c>
      <c r="E2271" s="741">
        <f t="shared" si="70"/>
        <v>308.54000000000002</v>
      </c>
      <c r="F2271">
        <f t="shared" si="71"/>
        <v>92449</v>
      </c>
      <c r="H2271" s="1406">
        <v>299.32</v>
      </c>
      <c r="I2271" s="1406">
        <v>308.54000000000002</v>
      </c>
    </row>
    <row r="2272" spans="2:9" ht="30">
      <c r="B2272" s="677">
        <v>92450</v>
      </c>
      <c r="C2272" s="733" t="s">
        <v>3692</v>
      </c>
      <c r="D2272" s="677" t="s">
        <v>0</v>
      </c>
      <c r="E2272" s="738">
        <f t="shared" si="70"/>
        <v>347.57</v>
      </c>
      <c r="F2272">
        <f t="shared" si="71"/>
        <v>92450</v>
      </c>
      <c r="H2272" s="1405">
        <v>338.24</v>
      </c>
      <c r="I2272" s="1405">
        <v>347.57</v>
      </c>
    </row>
    <row r="2273" spans="2:9" ht="30">
      <c r="B2273" s="1477">
        <v>92451</v>
      </c>
      <c r="C2273" s="740" t="s">
        <v>3693</v>
      </c>
      <c r="D2273" s="739" t="s">
        <v>0</v>
      </c>
      <c r="E2273" s="741">
        <f t="shared" si="70"/>
        <v>207.14</v>
      </c>
      <c r="F2273">
        <f t="shared" si="71"/>
        <v>92451</v>
      </c>
      <c r="H2273" s="1406">
        <v>200.55</v>
      </c>
      <c r="I2273" s="1406">
        <v>207.14</v>
      </c>
    </row>
    <row r="2274" spans="2:9" ht="30">
      <c r="B2274" s="677">
        <v>92452</v>
      </c>
      <c r="C2274" s="733" t="s">
        <v>3694</v>
      </c>
      <c r="D2274" s="677" t="s">
        <v>0</v>
      </c>
      <c r="E2274" s="738">
        <f t="shared" si="70"/>
        <v>197.96</v>
      </c>
      <c r="F2274">
        <f t="shared" si="71"/>
        <v>92452</v>
      </c>
      <c r="H2274" s="1405">
        <v>190.4</v>
      </c>
      <c r="I2274" s="1405">
        <v>197.96</v>
      </c>
    </row>
    <row r="2275" spans="2:9" ht="30">
      <c r="B2275" s="1477">
        <v>92453</v>
      </c>
      <c r="C2275" s="740" t="s">
        <v>3695</v>
      </c>
      <c r="D2275" s="739" t="s">
        <v>0</v>
      </c>
      <c r="E2275" s="741">
        <f t="shared" si="70"/>
        <v>265.32</v>
      </c>
      <c r="F2275">
        <f t="shared" si="71"/>
        <v>92453</v>
      </c>
      <c r="H2275" s="1406">
        <v>257.33999999999997</v>
      </c>
      <c r="I2275" s="1406">
        <v>265.32</v>
      </c>
    </row>
    <row r="2276" spans="2:9" ht="30">
      <c r="B2276" s="677">
        <v>92454</v>
      </c>
      <c r="C2276" s="733" t="s">
        <v>3696</v>
      </c>
      <c r="D2276" s="677" t="s">
        <v>0</v>
      </c>
      <c r="E2276" s="738">
        <f t="shared" si="70"/>
        <v>314.10000000000002</v>
      </c>
      <c r="F2276">
        <f t="shared" si="71"/>
        <v>92454</v>
      </c>
      <c r="H2276" s="1405">
        <v>306.04000000000002</v>
      </c>
      <c r="I2276" s="1405">
        <v>314.10000000000002</v>
      </c>
    </row>
    <row r="2277" spans="2:9" ht="30">
      <c r="B2277" s="1477">
        <v>92455</v>
      </c>
      <c r="C2277" s="740" t="s">
        <v>3697</v>
      </c>
      <c r="D2277" s="739" t="s">
        <v>0</v>
      </c>
      <c r="E2277" s="741">
        <f t="shared" si="70"/>
        <v>170.1</v>
      </c>
      <c r="F2277">
        <f t="shared" si="71"/>
        <v>92455</v>
      </c>
      <c r="H2277" s="1406">
        <v>164.57</v>
      </c>
      <c r="I2277" s="1406">
        <v>170.1</v>
      </c>
    </row>
    <row r="2278" spans="2:9" ht="30">
      <c r="B2278" s="677">
        <v>92456</v>
      </c>
      <c r="C2278" s="733" t="s">
        <v>3698</v>
      </c>
      <c r="D2278" s="677" t="s">
        <v>0</v>
      </c>
      <c r="E2278" s="738">
        <f t="shared" si="70"/>
        <v>163.44999999999999</v>
      </c>
      <c r="F2278">
        <f t="shared" si="71"/>
        <v>92456</v>
      </c>
      <c r="H2278" s="1405">
        <v>157.04</v>
      </c>
      <c r="I2278" s="1405">
        <v>163.44999999999999</v>
      </c>
    </row>
    <row r="2279" spans="2:9" ht="30">
      <c r="B2279" s="1477">
        <v>92457</v>
      </c>
      <c r="C2279" s="740" t="s">
        <v>3699</v>
      </c>
      <c r="D2279" s="739" t="s">
        <v>0</v>
      </c>
      <c r="E2279" s="741">
        <f t="shared" si="70"/>
        <v>230.2</v>
      </c>
      <c r="F2279">
        <f t="shared" si="71"/>
        <v>92457</v>
      </c>
      <c r="H2279" s="1406">
        <v>223.16</v>
      </c>
      <c r="I2279" s="1406">
        <v>230.2</v>
      </c>
    </row>
    <row r="2280" spans="2:9" ht="30">
      <c r="B2280" s="677">
        <v>92458</v>
      </c>
      <c r="C2280" s="733" t="s">
        <v>1326</v>
      </c>
      <c r="D2280" s="677" t="s">
        <v>0</v>
      </c>
      <c r="E2280" s="738">
        <f t="shared" si="70"/>
        <v>293.66000000000003</v>
      </c>
      <c r="F2280">
        <f t="shared" si="71"/>
        <v>92458</v>
      </c>
      <c r="H2280" s="1405">
        <v>286.51</v>
      </c>
      <c r="I2280" s="1405">
        <v>293.66000000000003</v>
      </c>
    </row>
    <row r="2281" spans="2:9" ht="30">
      <c r="B2281" s="1477">
        <v>92459</v>
      </c>
      <c r="C2281" s="740" t="s">
        <v>3700</v>
      </c>
      <c r="D2281" s="739" t="s">
        <v>0</v>
      </c>
      <c r="E2281" s="741">
        <f t="shared" si="70"/>
        <v>144.15</v>
      </c>
      <c r="F2281">
        <f t="shared" si="71"/>
        <v>92459</v>
      </c>
      <c r="H2281" s="1406">
        <v>139.35</v>
      </c>
      <c r="I2281" s="1406">
        <v>144.15</v>
      </c>
    </row>
    <row r="2282" spans="2:9" ht="30">
      <c r="B2282" s="677">
        <v>92460</v>
      </c>
      <c r="C2282" s="733" t="s">
        <v>3701</v>
      </c>
      <c r="D2282" s="677" t="s">
        <v>0</v>
      </c>
      <c r="E2282" s="738">
        <f t="shared" si="70"/>
        <v>136.19</v>
      </c>
      <c r="F2282">
        <f t="shared" si="71"/>
        <v>92460</v>
      </c>
      <c r="H2282" s="1405">
        <v>130.57</v>
      </c>
      <c r="I2282" s="1405">
        <v>136.19</v>
      </c>
    </row>
    <row r="2283" spans="2:9" ht="30">
      <c r="B2283" s="1477">
        <v>92461</v>
      </c>
      <c r="C2283" s="740" t="s">
        <v>3702</v>
      </c>
      <c r="D2283" s="739" t="s">
        <v>0</v>
      </c>
      <c r="E2283" s="741">
        <f t="shared" si="70"/>
        <v>212.72</v>
      </c>
      <c r="F2283">
        <f t="shared" si="71"/>
        <v>92461</v>
      </c>
      <c r="H2283" s="1406">
        <v>206.28</v>
      </c>
      <c r="I2283" s="1406">
        <v>212.72</v>
      </c>
    </row>
    <row r="2284" spans="2:9" ht="30">
      <c r="B2284" s="677">
        <v>92462</v>
      </c>
      <c r="C2284" s="733" t="s">
        <v>3703</v>
      </c>
      <c r="D2284" s="677" t="s">
        <v>0</v>
      </c>
      <c r="E2284" s="738">
        <f t="shared" si="70"/>
        <v>281.05</v>
      </c>
      <c r="F2284">
        <f t="shared" si="71"/>
        <v>92462</v>
      </c>
      <c r="H2284" s="1405">
        <v>274.58</v>
      </c>
      <c r="I2284" s="1405">
        <v>281.05</v>
      </c>
    </row>
    <row r="2285" spans="2:9" ht="30">
      <c r="B2285" s="1477">
        <v>92463</v>
      </c>
      <c r="C2285" s="740" t="s">
        <v>3704</v>
      </c>
      <c r="D2285" s="739" t="s">
        <v>0</v>
      </c>
      <c r="E2285" s="741">
        <f t="shared" si="70"/>
        <v>130.77000000000001</v>
      </c>
      <c r="F2285">
        <f t="shared" si="71"/>
        <v>92463</v>
      </c>
      <c r="H2285" s="1406">
        <v>126.44</v>
      </c>
      <c r="I2285" s="1406">
        <v>130.77000000000001</v>
      </c>
    </row>
    <row r="2286" spans="2:9" ht="30">
      <c r="B2286" s="677">
        <v>92464</v>
      </c>
      <c r="C2286" s="733" t="s">
        <v>3705</v>
      </c>
      <c r="D2286" s="677" t="s">
        <v>0</v>
      </c>
      <c r="E2286" s="738">
        <f t="shared" si="70"/>
        <v>130.24</v>
      </c>
      <c r="F2286">
        <f t="shared" si="71"/>
        <v>92464</v>
      </c>
      <c r="H2286" s="1405">
        <v>125.18</v>
      </c>
      <c r="I2286" s="1405">
        <v>130.24</v>
      </c>
    </row>
    <row r="2287" spans="2:9" ht="30">
      <c r="B2287" s="1477">
        <v>92465</v>
      </c>
      <c r="C2287" s="740" t="s">
        <v>3706</v>
      </c>
      <c r="D2287" s="739" t="s">
        <v>0</v>
      </c>
      <c r="E2287" s="741">
        <f t="shared" si="70"/>
        <v>167.81</v>
      </c>
      <c r="F2287">
        <f t="shared" si="71"/>
        <v>92465</v>
      </c>
      <c r="H2287" s="1406">
        <v>162.44</v>
      </c>
      <c r="I2287" s="1406">
        <v>167.81</v>
      </c>
    </row>
    <row r="2288" spans="2:9" ht="30">
      <c r="B2288" s="677">
        <v>92466</v>
      </c>
      <c r="C2288" s="733" t="s">
        <v>3707</v>
      </c>
      <c r="D2288" s="677" t="s">
        <v>0</v>
      </c>
      <c r="E2288" s="738">
        <f t="shared" si="70"/>
        <v>275.17</v>
      </c>
      <c r="F2288">
        <f t="shared" si="71"/>
        <v>92466</v>
      </c>
      <c r="H2288" s="1405">
        <v>269.39</v>
      </c>
      <c r="I2288" s="1405">
        <v>275.17</v>
      </c>
    </row>
    <row r="2289" spans="2:9" ht="30">
      <c r="B2289" s="1477">
        <v>92467</v>
      </c>
      <c r="C2289" s="740" t="s">
        <v>3708</v>
      </c>
      <c r="D2289" s="739" t="s">
        <v>0</v>
      </c>
      <c r="E2289" s="741">
        <f t="shared" si="70"/>
        <v>106.94</v>
      </c>
      <c r="F2289">
        <f t="shared" si="71"/>
        <v>92467</v>
      </c>
      <c r="H2289" s="1406">
        <v>103.33</v>
      </c>
      <c r="I2289" s="1406">
        <v>106.94</v>
      </c>
    </row>
    <row r="2290" spans="2:9" ht="30">
      <c r="B2290" s="677">
        <v>92468</v>
      </c>
      <c r="C2290" s="733" t="s">
        <v>3709</v>
      </c>
      <c r="D2290" s="677" t="s">
        <v>0</v>
      </c>
      <c r="E2290" s="738">
        <f t="shared" si="70"/>
        <v>124.39</v>
      </c>
      <c r="F2290">
        <f t="shared" si="71"/>
        <v>92468</v>
      </c>
      <c r="H2290" s="1405">
        <v>119.91</v>
      </c>
      <c r="I2290" s="1405">
        <v>124.39</v>
      </c>
    </row>
    <row r="2291" spans="2:9" ht="30">
      <c r="B2291" s="1477">
        <v>92469</v>
      </c>
      <c r="C2291" s="740" t="s">
        <v>3710</v>
      </c>
      <c r="D2291" s="739" t="s">
        <v>0</v>
      </c>
      <c r="E2291" s="741">
        <f t="shared" si="70"/>
        <v>152.38999999999999</v>
      </c>
      <c r="F2291">
        <f t="shared" si="71"/>
        <v>92469</v>
      </c>
      <c r="H2291" s="1406">
        <v>147.44999999999999</v>
      </c>
      <c r="I2291" s="1406">
        <v>152.38999999999999</v>
      </c>
    </row>
    <row r="2292" spans="2:9" ht="30">
      <c r="B2292" s="677">
        <v>92470</v>
      </c>
      <c r="C2292" s="733" t="s">
        <v>3711</v>
      </c>
      <c r="D2292" s="677" t="s">
        <v>0</v>
      </c>
      <c r="E2292" s="738">
        <f t="shared" si="70"/>
        <v>268.32</v>
      </c>
      <c r="F2292">
        <f t="shared" si="71"/>
        <v>92470</v>
      </c>
      <c r="H2292" s="1405">
        <v>262.98</v>
      </c>
      <c r="I2292" s="1405">
        <v>268.32</v>
      </c>
    </row>
    <row r="2293" spans="2:9" ht="30">
      <c r="B2293" s="1477">
        <v>92471</v>
      </c>
      <c r="C2293" s="740" t="s">
        <v>3712</v>
      </c>
      <c r="D2293" s="739" t="s">
        <v>0</v>
      </c>
      <c r="E2293" s="741">
        <f t="shared" si="70"/>
        <v>97.24</v>
      </c>
      <c r="F2293">
        <f t="shared" si="71"/>
        <v>92471</v>
      </c>
      <c r="H2293" s="1406">
        <v>93.92</v>
      </c>
      <c r="I2293" s="1406">
        <v>97.24</v>
      </c>
    </row>
    <row r="2294" spans="2:9" ht="30">
      <c r="B2294" s="677">
        <v>92472</v>
      </c>
      <c r="C2294" s="733" t="s">
        <v>3713</v>
      </c>
      <c r="D2294" s="677" t="s">
        <v>0</v>
      </c>
      <c r="E2294" s="738">
        <f t="shared" si="70"/>
        <v>118.23</v>
      </c>
      <c r="F2294">
        <f t="shared" si="71"/>
        <v>92472</v>
      </c>
      <c r="H2294" s="1405">
        <v>114.09</v>
      </c>
      <c r="I2294" s="1405">
        <v>118.23</v>
      </c>
    </row>
    <row r="2295" spans="2:9" ht="30">
      <c r="B2295" s="1477">
        <v>92473</v>
      </c>
      <c r="C2295" s="740" t="s">
        <v>3714</v>
      </c>
      <c r="D2295" s="739" t="s">
        <v>0</v>
      </c>
      <c r="E2295" s="741">
        <f t="shared" si="70"/>
        <v>139.97999999999999</v>
      </c>
      <c r="F2295">
        <f t="shared" si="71"/>
        <v>92473</v>
      </c>
      <c r="H2295" s="1406">
        <v>135.46</v>
      </c>
      <c r="I2295" s="1406">
        <v>139.97999999999999</v>
      </c>
    </row>
    <row r="2296" spans="2:9" ht="30">
      <c r="B2296" s="677">
        <v>92474</v>
      </c>
      <c r="C2296" s="733" t="s">
        <v>3715</v>
      </c>
      <c r="D2296" s="677" t="s">
        <v>0</v>
      </c>
      <c r="E2296" s="738">
        <f t="shared" si="70"/>
        <v>262.47000000000003</v>
      </c>
      <c r="F2296">
        <f t="shared" si="71"/>
        <v>92474</v>
      </c>
      <c r="H2296" s="1405">
        <v>257.54000000000002</v>
      </c>
      <c r="I2296" s="1405">
        <v>262.47000000000003</v>
      </c>
    </row>
    <row r="2297" spans="2:9" ht="30">
      <c r="B2297" s="1477">
        <v>92475</v>
      </c>
      <c r="C2297" s="740" t="s">
        <v>3716</v>
      </c>
      <c r="D2297" s="739" t="s">
        <v>0</v>
      </c>
      <c r="E2297" s="741">
        <f t="shared" si="70"/>
        <v>89.42</v>
      </c>
      <c r="F2297">
        <f t="shared" si="71"/>
        <v>92475</v>
      </c>
      <c r="H2297" s="1406">
        <v>86.36</v>
      </c>
      <c r="I2297" s="1406">
        <v>89.42</v>
      </c>
    </row>
    <row r="2298" spans="2:9" ht="30">
      <c r="B2298" s="677">
        <v>92476</v>
      </c>
      <c r="C2298" s="733" t="s">
        <v>3717</v>
      </c>
      <c r="D2298" s="677" t="s">
        <v>0</v>
      </c>
      <c r="E2298" s="738">
        <f t="shared" si="70"/>
        <v>113.05</v>
      </c>
      <c r="F2298">
        <f t="shared" si="71"/>
        <v>92476</v>
      </c>
      <c r="H2298" s="1405">
        <v>109.23</v>
      </c>
      <c r="I2298" s="1405">
        <v>113.05</v>
      </c>
    </row>
    <row r="2299" spans="2:9" ht="30">
      <c r="B2299" s="1477">
        <v>92477</v>
      </c>
      <c r="C2299" s="740" t="s">
        <v>3718</v>
      </c>
      <c r="D2299" s="739" t="s">
        <v>0</v>
      </c>
      <c r="E2299" s="741">
        <f t="shared" si="70"/>
        <v>113.19</v>
      </c>
      <c r="F2299">
        <f t="shared" si="71"/>
        <v>92477</v>
      </c>
      <c r="H2299" s="1406">
        <v>109.44</v>
      </c>
      <c r="I2299" s="1406">
        <v>113.19</v>
      </c>
    </row>
    <row r="2300" spans="2:9" ht="30">
      <c r="B2300" s="677">
        <v>92478</v>
      </c>
      <c r="C2300" s="733" t="s">
        <v>3719</v>
      </c>
      <c r="D2300" s="677" t="s">
        <v>0</v>
      </c>
      <c r="E2300" s="738">
        <f t="shared" si="70"/>
        <v>250.77</v>
      </c>
      <c r="F2300">
        <f t="shared" si="71"/>
        <v>92478</v>
      </c>
      <c r="H2300" s="1405">
        <v>246.6</v>
      </c>
      <c r="I2300" s="1405">
        <v>250.77</v>
      </c>
    </row>
    <row r="2301" spans="2:9" ht="30">
      <c r="B2301" s="1477">
        <v>92479</v>
      </c>
      <c r="C2301" s="740" t="s">
        <v>3720</v>
      </c>
      <c r="D2301" s="739" t="s">
        <v>0</v>
      </c>
      <c r="E2301" s="741">
        <f t="shared" si="70"/>
        <v>72.510000000000005</v>
      </c>
      <c r="F2301">
        <f t="shared" si="71"/>
        <v>92479</v>
      </c>
      <c r="H2301" s="1406">
        <v>69.989999999999995</v>
      </c>
      <c r="I2301" s="1406">
        <v>72.510000000000005</v>
      </c>
    </row>
    <row r="2302" spans="2:9" ht="30">
      <c r="B2302" s="677">
        <v>92480</v>
      </c>
      <c r="C2302" s="733" t="s">
        <v>3721</v>
      </c>
      <c r="D2302" s="677" t="s">
        <v>0</v>
      </c>
      <c r="E2302" s="738">
        <f t="shared" si="70"/>
        <v>102.53</v>
      </c>
      <c r="F2302">
        <f t="shared" si="71"/>
        <v>92480</v>
      </c>
      <c r="H2302" s="1405">
        <v>99.31</v>
      </c>
      <c r="I2302" s="1405">
        <v>102.53</v>
      </c>
    </row>
    <row r="2303" spans="2:9">
      <c r="B2303" s="1477">
        <v>92482</v>
      </c>
      <c r="C2303" s="740" t="s">
        <v>3722</v>
      </c>
      <c r="D2303" s="739" t="s">
        <v>0</v>
      </c>
      <c r="E2303" s="741">
        <f t="shared" si="70"/>
        <v>295.89</v>
      </c>
      <c r="F2303">
        <f t="shared" si="71"/>
        <v>92482</v>
      </c>
      <c r="H2303" s="1406">
        <v>283.29000000000002</v>
      </c>
      <c r="I2303" s="1406">
        <v>295.89</v>
      </c>
    </row>
    <row r="2304" spans="2:9">
      <c r="B2304" s="677">
        <v>92484</v>
      </c>
      <c r="C2304" s="733" t="s">
        <v>3723</v>
      </c>
      <c r="D2304" s="677" t="s">
        <v>0</v>
      </c>
      <c r="E2304" s="738">
        <f t="shared" si="70"/>
        <v>207.77</v>
      </c>
      <c r="F2304">
        <f t="shared" si="71"/>
        <v>92484</v>
      </c>
      <c r="H2304" s="1405">
        <v>197.36</v>
      </c>
      <c r="I2304" s="1405">
        <v>207.77</v>
      </c>
    </row>
    <row r="2305" spans="2:9">
      <c r="B2305" s="1477">
        <v>92486</v>
      </c>
      <c r="C2305" s="740" t="s">
        <v>3724</v>
      </c>
      <c r="D2305" s="739" t="s">
        <v>0</v>
      </c>
      <c r="E2305" s="741">
        <f t="shared" si="70"/>
        <v>150.81</v>
      </c>
      <c r="F2305">
        <f t="shared" si="71"/>
        <v>92486</v>
      </c>
      <c r="H2305" s="1406">
        <v>142.19</v>
      </c>
      <c r="I2305" s="1406">
        <v>150.81</v>
      </c>
    </row>
    <row r="2306" spans="2:9" ht="30">
      <c r="B2306" s="677">
        <v>92488</v>
      </c>
      <c r="C2306" s="733" t="s">
        <v>3725</v>
      </c>
      <c r="D2306" s="677" t="s">
        <v>0</v>
      </c>
      <c r="E2306" s="738">
        <f t="shared" si="70"/>
        <v>113.66</v>
      </c>
      <c r="F2306">
        <f t="shared" si="71"/>
        <v>92488</v>
      </c>
      <c r="H2306" s="1405">
        <v>108.96</v>
      </c>
      <c r="I2306" s="1405">
        <v>113.66</v>
      </c>
    </row>
    <row r="2307" spans="2:9" ht="30">
      <c r="B2307" s="1477">
        <v>92490</v>
      </c>
      <c r="C2307" s="740" t="s">
        <v>3726</v>
      </c>
      <c r="D2307" s="739" t="s">
        <v>0</v>
      </c>
      <c r="E2307" s="741">
        <f t="shared" ref="E2307:E2370" si="72">IF($K$2=$H$1,H2307,I2307)</f>
        <v>73.84</v>
      </c>
      <c r="F2307">
        <f t="shared" ref="F2307:F2370" si="73">IF(LEN($B2307)=7,CONCATENATE(MID($B2307,1,6),"00",RIGHT($B2307,1)),IF(LEN($B2307)=8,CONCATENATE(MID($B2307,1,6),"0",RIGHT($B2307,2)),$B2307))</f>
        <v>92490</v>
      </c>
      <c r="H2307" s="1406">
        <v>70.48</v>
      </c>
      <c r="I2307" s="1406">
        <v>73.84</v>
      </c>
    </row>
    <row r="2308" spans="2:9" ht="30">
      <c r="B2308" s="677">
        <v>92492</v>
      </c>
      <c r="C2308" s="733" t="s">
        <v>3727</v>
      </c>
      <c r="D2308" s="677" t="s">
        <v>0</v>
      </c>
      <c r="E2308" s="738">
        <f t="shared" si="72"/>
        <v>107.97</v>
      </c>
      <c r="F2308">
        <f t="shared" si="73"/>
        <v>92492</v>
      </c>
      <c r="H2308" s="1405">
        <v>103.63</v>
      </c>
      <c r="I2308" s="1405">
        <v>107.97</v>
      </c>
    </row>
    <row r="2309" spans="2:9" ht="30">
      <c r="B2309" s="1477">
        <v>92494</v>
      </c>
      <c r="C2309" s="740" t="s">
        <v>3728</v>
      </c>
      <c r="D2309" s="739" t="s">
        <v>0</v>
      </c>
      <c r="E2309" s="741">
        <f t="shared" si="72"/>
        <v>69.16</v>
      </c>
      <c r="F2309">
        <f t="shared" si="73"/>
        <v>92494</v>
      </c>
      <c r="H2309" s="1406">
        <v>66.05</v>
      </c>
      <c r="I2309" s="1406">
        <v>69.16</v>
      </c>
    </row>
    <row r="2310" spans="2:9" ht="30">
      <c r="B2310" s="677">
        <v>92496</v>
      </c>
      <c r="C2310" s="733" t="s">
        <v>3729</v>
      </c>
      <c r="D2310" s="677" t="s">
        <v>0</v>
      </c>
      <c r="E2310" s="738">
        <f t="shared" si="72"/>
        <v>103.29</v>
      </c>
      <c r="F2310">
        <f t="shared" si="73"/>
        <v>92496</v>
      </c>
      <c r="H2310" s="1405">
        <v>99.27</v>
      </c>
      <c r="I2310" s="1405">
        <v>103.29</v>
      </c>
    </row>
    <row r="2311" spans="2:9" ht="30">
      <c r="B2311" s="1477">
        <v>92498</v>
      </c>
      <c r="C2311" s="740" t="s">
        <v>3730</v>
      </c>
      <c r="D2311" s="739" t="s">
        <v>0</v>
      </c>
      <c r="E2311" s="741">
        <f t="shared" si="72"/>
        <v>65.34</v>
      </c>
      <c r="F2311">
        <f t="shared" si="73"/>
        <v>92498</v>
      </c>
      <c r="H2311" s="1406">
        <v>62.47</v>
      </c>
      <c r="I2311" s="1406">
        <v>65.34</v>
      </c>
    </row>
    <row r="2312" spans="2:9" ht="30">
      <c r="B2312" s="677">
        <v>92500</v>
      </c>
      <c r="C2312" s="733" t="s">
        <v>3731</v>
      </c>
      <c r="D2312" s="677" t="s">
        <v>0</v>
      </c>
      <c r="E2312" s="738">
        <f t="shared" si="72"/>
        <v>99.65</v>
      </c>
      <c r="F2312">
        <f t="shared" si="73"/>
        <v>92500</v>
      </c>
      <c r="H2312" s="1405">
        <v>95.96</v>
      </c>
      <c r="I2312" s="1405">
        <v>99.65</v>
      </c>
    </row>
    <row r="2313" spans="2:9" ht="30">
      <c r="B2313" s="1477">
        <v>92502</v>
      </c>
      <c r="C2313" s="740" t="s">
        <v>3732</v>
      </c>
      <c r="D2313" s="739" t="s">
        <v>0</v>
      </c>
      <c r="E2313" s="741">
        <f t="shared" si="72"/>
        <v>62.55</v>
      </c>
      <c r="F2313">
        <f t="shared" si="73"/>
        <v>92502</v>
      </c>
      <c r="H2313" s="1406">
        <v>59.9</v>
      </c>
      <c r="I2313" s="1406">
        <v>62.55</v>
      </c>
    </row>
    <row r="2314" spans="2:9" ht="30">
      <c r="B2314" s="677">
        <v>92504</v>
      </c>
      <c r="C2314" s="733" t="s">
        <v>3733</v>
      </c>
      <c r="D2314" s="677" t="s">
        <v>0</v>
      </c>
      <c r="E2314" s="738">
        <f t="shared" si="72"/>
        <v>93</v>
      </c>
      <c r="F2314">
        <f t="shared" si="73"/>
        <v>92504</v>
      </c>
      <c r="H2314" s="1405">
        <v>89.83</v>
      </c>
      <c r="I2314" s="1405">
        <v>93</v>
      </c>
    </row>
    <row r="2315" spans="2:9" ht="30">
      <c r="B2315" s="1477">
        <v>92506</v>
      </c>
      <c r="C2315" s="740" t="s">
        <v>3734</v>
      </c>
      <c r="D2315" s="739" t="s">
        <v>0</v>
      </c>
      <c r="E2315" s="741">
        <f t="shared" si="72"/>
        <v>57.35</v>
      </c>
      <c r="F2315">
        <f t="shared" si="73"/>
        <v>92506</v>
      </c>
      <c r="H2315" s="1406">
        <v>55.09</v>
      </c>
      <c r="I2315" s="1406">
        <v>57.35</v>
      </c>
    </row>
    <row r="2316" spans="2:9" ht="30">
      <c r="B2316" s="677">
        <v>92508</v>
      </c>
      <c r="C2316" s="733" t="s">
        <v>3735</v>
      </c>
      <c r="D2316" s="677" t="s">
        <v>0</v>
      </c>
      <c r="E2316" s="738">
        <f t="shared" si="72"/>
        <v>113.22</v>
      </c>
      <c r="F2316">
        <f t="shared" si="73"/>
        <v>92508</v>
      </c>
      <c r="H2316" s="1405">
        <v>109.58</v>
      </c>
      <c r="I2316" s="1405">
        <v>113.22</v>
      </c>
    </row>
    <row r="2317" spans="2:9" ht="30">
      <c r="B2317" s="1477">
        <v>92510</v>
      </c>
      <c r="C2317" s="740" t="s">
        <v>3736</v>
      </c>
      <c r="D2317" s="739" t="s">
        <v>0</v>
      </c>
      <c r="E2317" s="741">
        <f t="shared" si="72"/>
        <v>71.66</v>
      </c>
      <c r="F2317">
        <f t="shared" si="73"/>
        <v>92510</v>
      </c>
      <c r="H2317" s="1406">
        <v>69.53</v>
      </c>
      <c r="I2317" s="1406">
        <v>71.66</v>
      </c>
    </row>
    <row r="2318" spans="2:9" ht="30">
      <c r="B2318" s="677">
        <v>92512</v>
      </c>
      <c r="C2318" s="733" t="s">
        <v>3737</v>
      </c>
      <c r="D2318" s="677" t="s">
        <v>0</v>
      </c>
      <c r="E2318" s="738">
        <f t="shared" si="72"/>
        <v>95.81</v>
      </c>
      <c r="F2318">
        <f t="shared" si="73"/>
        <v>92512</v>
      </c>
      <c r="H2318" s="1405">
        <v>92.44</v>
      </c>
      <c r="I2318" s="1405">
        <v>95.81</v>
      </c>
    </row>
    <row r="2319" spans="2:9" ht="30">
      <c r="B2319" s="1477">
        <v>92514</v>
      </c>
      <c r="C2319" s="740" t="s">
        <v>3738</v>
      </c>
      <c r="D2319" s="739" t="s">
        <v>0</v>
      </c>
      <c r="E2319" s="741">
        <f t="shared" si="72"/>
        <v>55.33</v>
      </c>
      <c r="F2319">
        <f t="shared" si="73"/>
        <v>92514</v>
      </c>
      <c r="H2319" s="1406">
        <v>53.37</v>
      </c>
      <c r="I2319" s="1406">
        <v>55.33</v>
      </c>
    </row>
    <row r="2320" spans="2:9" ht="30">
      <c r="B2320" s="677">
        <v>92515</v>
      </c>
      <c r="C2320" s="733" t="s">
        <v>3739</v>
      </c>
      <c r="D2320" s="677" t="s">
        <v>0</v>
      </c>
      <c r="E2320" s="738">
        <f t="shared" si="72"/>
        <v>87.36</v>
      </c>
      <c r="F2320">
        <f t="shared" si="73"/>
        <v>92515</v>
      </c>
      <c r="H2320" s="1405">
        <v>84.26</v>
      </c>
      <c r="I2320" s="1405">
        <v>87.36</v>
      </c>
    </row>
    <row r="2321" spans="2:9" ht="30">
      <c r="B2321" s="1477">
        <v>92518</v>
      </c>
      <c r="C2321" s="740" t="s">
        <v>3740</v>
      </c>
      <c r="D2321" s="739" t="s">
        <v>0</v>
      </c>
      <c r="E2321" s="741">
        <f t="shared" si="72"/>
        <v>47.91</v>
      </c>
      <c r="F2321">
        <f t="shared" si="73"/>
        <v>92518</v>
      </c>
      <c r="H2321" s="1406">
        <v>46.11</v>
      </c>
      <c r="I2321" s="1406">
        <v>47.91</v>
      </c>
    </row>
    <row r="2322" spans="2:9" ht="30">
      <c r="B2322" s="677">
        <v>92520</v>
      </c>
      <c r="C2322" s="733" t="s">
        <v>3741</v>
      </c>
      <c r="D2322" s="677" t="s">
        <v>0</v>
      </c>
      <c r="E2322" s="738">
        <f t="shared" si="72"/>
        <v>81.97</v>
      </c>
      <c r="F2322">
        <f t="shared" si="73"/>
        <v>92520</v>
      </c>
      <c r="H2322" s="1405">
        <v>79.11</v>
      </c>
      <c r="I2322" s="1405">
        <v>81.97</v>
      </c>
    </row>
    <row r="2323" spans="2:9" ht="30">
      <c r="B2323" s="1477">
        <v>92522</v>
      </c>
      <c r="C2323" s="740" t="s">
        <v>3742</v>
      </c>
      <c r="D2323" s="739" t="s">
        <v>0</v>
      </c>
      <c r="E2323" s="741">
        <f t="shared" si="72"/>
        <v>43.47</v>
      </c>
      <c r="F2323">
        <f t="shared" si="73"/>
        <v>92522</v>
      </c>
      <c r="H2323" s="1406">
        <v>41.8</v>
      </c>
      <c r="I2323" s="1406">
        <v>43.47</v>
      </c>
    </row>
    <row r="2324" spans="2:9" ht="30">
      <c r="B2324" s="677">
        <v>92524</v>
      </c>
      <c r="C2324" s="733" t="s">
        <v>5447</v>
      </c>
      <c r="D2324" s="677" t="s">
        <v>0</v>
      </c>
      <c r="E2324" s="738">
        <f t="shared" si="72"/>
        <v>82</v>
      </c>
      <c r="F2324">
        <f t="shared" si="73"/>
        <v>92524</v>
      </c>
      <c r="H2324" s="1405">
        <v>79.36</v>
      </c>
      <c r="I2324" s="1405">
        <v>82</v>
      </c>
    </row>
    <row r="2325" spans="2:9" ht="30">
      <c r="B2325" s="1477">
        <v>92526</v>
      </c>
      <c r="C2325" s="740" t="s">
        <v>3743</v>
      </c>
      <c r="D2325" s="739" t="s">
        <v>0</v>
      </c>
      <c r="E2325" s="741">
        <f t="shared" si="72"/>
        <v>44.39</v>
      </c>
      <c r="F2325">
        <f t="shared" si="73"/>
        <v>92526</v>
      </c>
      <c r="H2325" s="1406">
        <v>42.85</v>
      </c>
      <c r="I2325" s="1406">
        <v>44.39</v>
      </c>
    </row>
    <row r="2326" spans="2:9" ht="30">
      <c r="B2326" s="677">
        <v>92528</v>
      </c>
      <c r="C2326" s="733" t="s">
        <v>3744</v>
      </c>
      <c r="D2326" s="677" t="s">
        <v>0</v>
      </c>
      <c r="E2326" s="738">
        <f t="shared" si="72"/>
        <v>78.59</v>
      </c>
      <c r="F2326">
        <f t="shared" si="73"/>
        <v>92528</v>
      </c>
      <c r="H2326" s="1405">
        <v>76.16</v>
      </c>
      <c r="I2326" s="1405">
        <v>78.59</v>
      </c>
    </row>
    <row r="2327" spans="2:9" ht="30">
      <c r="B2327" s="1477">
        <v>92530</v>
      </c>
      <c r="C2327" s="740" t="s">
        <v>3745</v>
      </c>
      <c r="D2327" s="739" t="s">
        <v>0</v>
      </c>
      <c r="E2327" s="741">
        <f t="shared" si="72"/>
        <v>41.8</v>
      </c>
      <c r="F2327">
        <f t="shared" si="73"/>
        <v>92530</v>
      </c>
      <c r="H2327" s="1406">
        <v>40.369999999999997</v>
      </c>
      <c r="I2327" s="1406">
        <v>41.8</v>
      </c>
    </row>
    <row r="2328" spans="2:9" ht="30">
      <c r="B2328" s="677">
        <v>92532</v>
      </c>
      <c r="C2328" s="733" t="s">
        <v>3746</v>
      </c>
      <c r="D2328" s="677" t="s">
        <v>0</v>
      </c>
      <c r="E2328" s="738">
        <f t="shared" si="72"/>
        <v>75.680000000000007</v>
      </c>
      <c r="F2328">
        <f t="shared" si="73"/>
        <v>92532</v>
      </c>
      <c r="H2328" s="1405">
        <v>73.42</v>
      </c>
      <c r="I2328" s="1405">
        <v>75.680000000000007</v>
      </c>
    </row>
    <row r="2329" spans="2:9" ht="30">
      <c r="B2329" s="1477">
        <v>92534</v>
      </c>
      <c r="C2329" s="740" t="s">
        <v>3747</v>
      </c>
      <c r="D2329" s="739" t="s">
        <v>0</v>
      </c>
      <c r="E2329" s="741">
        <f t="shared" si="72"/>
        <v>39.61</v>
      </c>
      <c r="F2329">
        <f t="shared" si="73"/>
        <v>92534</v>
      </c>
      <c r="H2329" s="1406">
        <v>38.299999999999997</v>
      </c>
      <c r="I2329" s="1406">
        <v>39.61</v>
      </c>
    </row>
    <row r="2330" spans="2:9" ht="30">
      <c r="B2330" s="677">
        <v>92536</v>
      </c>
      <c r="C2330" s="733" t="s">
        <v>3748</v>
      </c>
      <c r="D2330" s="677" t="s">
        <v>0</v>
      </c>
      <c r="E2330" s="738">
        <f t="shared" si="72"/>
        <v>69.989999999999995</v>
      </c>
      <c r="F2330">
        <f t="shared" si="73"/>
        <v>92536</v>
      </c>
      <c r="H2330" s="1405">
        <v>68.06</v>
      </c>
      <c r="I2330" s="1405">
        <v>69.989999999999995</v>
      </c>
    </row>
    <row r="2331" spans="2:9" ht="30">
      <c r="B2331" s="1477">
        <v>92538</v>
      </c>
      <c r="C2331" s="740" t="s">
        <v>3749</v>
      </c>
      <c r="D2331" s="739" t="s">
        <v>0</v>
      </c>
      <c r="E2331" s="741">
        <f t="shared" si="72"/>
        <v>35.229999999999997</v>
      </c>
      <c r="F2331">
        <f t="shared" si="73"/>
        <v>92538</v>
      </c>
      <c r="H2331" s="1406">
        <v>34.11</v>
      </c>
      <c r="I2331" s="1406">
        <v>35.229999999999997</v>
      </c>
    </row>
    <row r="2332" spans="2:9">
      <c r="B2332" s="677">
        <v>96252</v>
      </c>
      <c r="C2332" s="733" t="s">
        <v>1744</v>
      </c>
      <c r="D2332" s="677" t="s">
        <v>0</v>
      </c>
      <c r="E2332" s="738">
        <f t="shared" si="72"/>
        <v>268.60000000000002</v>
      </c>
      <c r="F2332">
        <f t="shared" si="73"/>
        <v>96252</v>
      </c>
      <c r="H2332" s="1405">
        <v>261.61</v>
      </c>
      <c r="I2332" s="1405">
        <v>268.60000000000002</v>
      </c>
    </row>
    <row r="2333" spans="2:9" ht="30">
      <c r="B2333" s="1477">
        <v>96257</v>
      </c>
      <c r="C2333" s="740" t="s">
        <v>1731</v>
      </c>
      <c r="D2333" s="739" t="s">
        <v>0</v>
      </c>
      <c r="E2333" s="741">
        <f t="shared" si="72"/>
        <v>212.3</v>
      </c>
      <c r="F2333">
        <f t="shared" si="73"/>
        <v>96257</v>
      </c>
      <c r="H2333" s="1406">
        <v>202.39</v>
      </c>
      <c r="I2333" s="1406">
        <v>212.3</v>
      </c>
    </row>
    <row r="2334" spans="2:9" ht="30">
      <c r="B2334" s="677">
        <v>96258</v>
      </c>
      <c r="C2334" s="733" t="s">
        <v>1732</v>
      </c>
      <c r="D2334" s="677" t="s">
        <v>0</v>
      </c>
      <c r="E2334" s="738">
        <f t="shared" si="72"/>
        <v>199.41</v>
      </c>
      <c r="F2334">
        <f t="shared" si="73"/>
        <v>96258</v>
      </c>
      <c r="H2334" s="1405">
        <v>190.44</v>
      </c>
      <c r="I2334" s="1405">
        <v>199.41</v>
      </c>
    </row>
    <row r="2335" spans="2:9" ht="30">
      <c r="B2335" s="1477">
        <v>96259</v>
      </c>
      <c r="C2335" s="740" t="s">
        <v>1733</v>
      </c>
      <c r="D2335" s="739" t="s">
        <v>0</v>
      </c>
      <c r="E2335" s="741">
        <f t="shared" si="72"/>
        <v>232.99</v>
      </c>
      <c r="F2335">
        <f t="shared" si="73"/>
        <v>96259</v>
      </c>
      <c r="H2335" s="1406">
        <v>220.51</v>
      </c>
      <c r="I2335" s="1406">
        <v>232.99</v>
      </c>
    </row>
    <row r="2336" spans="2:9">
      <c r="B2336" s="677">
        <v>96529</v>
      </c>
      <c r="C2336" s="733" t="s">
        <v>14574</v>
      </c>
      <c r="D2336" s="677" t="s">
        <v>0</v>
      </c>
      <c r="E2336" s="738">
        <f t="shared" si="72"/>
        <v>274.66000000000003</v>
      </c>
      <c r="F2336">
        <f t="shared" si="73"/>
        <v>96529</v>
      </c>
      <c r="H2336" s="1405">
        <v>260.85000000000002</v>
      </c>
      <c r="I2336" s="1405">
        <v>274.66000000000003</v>
      </c>
    </row>
    <row r="2337" spans="2:9" ht="30">
      <c r="B2337" s="1477">
        <v>96530</v>
      </c>
      <c r="C2337" s="740" t="s">
        <v>14575</v>
      </c>
      <c r="D2337" s="739" t="s">
        <v>0</v>
      </c>
      <c r="E2337" s="741">
        <f t="shared" si="72"/>
        <v>165.93</v>
      </c>
      <c r="F2337">
        <f t="shared" si="73"/>
        <v>96530</v>
      </c>
      <c r="H2337" s="1406">
        <v>160.61000000000001</v>
      </c>
      <c r="I2337" s="1406">
        <v>165.93</v>
      </c>
    </row>
    <row r="2338" spans="2:9" ht="30">
      <c r="B2338" s="677">
        <v>96531</v>
      </c>
      <c r="C2338" s="733" t="s">
        <v>14576</v>
      </c>
      <c r="D2338" s="677" t="s">
        <v>0</v>
      </c>
      <c r="E2338" s="738">
        <f t="shared" si="72"/>
        <v>115.52</v>
      </c>
      <c r="F2338">
        <f t="shared" si="73"/>
        <v>96531</v>
      </c>
      <c r="H2338" s="1405">
        <v>110.22</v>
      </c>
      <c r="I2338" s="1405">
        <v>115.52</v>
      </c>
    </row>
    <row r="2339" spans="2:9" ht="30">
      <c r="B2339" s="1477">
        <v>96532</v>
      </c>
      <c r="C2339" s="740" t="s">
        <v>14577</v>
      </c>
      <c r="D2339" s="739" t="s">
        <v>0</v>
      </c>
      <c r="E2339" s="741">
        <f t="shared" si="72"/>
        <v>179.73</v>
      </c>
      <c r="F2339">
        <f t="shared" si="73"/>
        <v>96532</v>
      </c>
      <c r="H2339" s="1406">
        <v>168.8</v>
      </c>
      <c r="I2339" s="1406">
        <v>179.73</v>
      </c>
    </row>
    <row r="2340" spans="2:9" ht="30">
      <c r="B2340" s="677">
        <v>96533</v>
      </c>
      <c r="C2340" s="733" t="s">
        <v>14578</v>
      </c>
      <c r="D2340" s="677" t="s">
        <v>0</v>
      </c>
      <c r="E2340" s="738">
        <f t="shared" si="72"/>
        <v>103.47</v>
      </c>
      <c r="F2340">
        <f t="shared" si="73"/>
        <v>96533</v>
      </c>
      <c r="H2340" s="1405">
        <v>98.98</v>
      </c>
      <c r="I2340" s="1405">
        <v>103.47</v>
      </c>
    </row>
    <row r="2341" spans="2:9" ht="30">
      <c r="B2341" s="1477">
        <v>96534</v>
      </c>
      <c r="C2341" s="740" t="s">
        <v>14579</v>
      </c>
      <c r="D2341" s="739" t="s">
        <v>0</v>
      </c>
      <c r="E2341" s="741">
        <f t="shared" si="72"/>
        <v>81.13</v>
      </c>
      <c r="F2341">
        <f t="shared" si="73"/>
        <v>96534</v>
      </c>
      <c r="H2341" s="1406">
        <v>76.23</v>
      </c>
      <c r="I2341" s="1406">
        <v>81.13</v>
      </c>
    </row>
    <row r="2342" spans="2:9" ht="30">
      <c r="B2342" s="677">
        <v>96535</v>
      </c>
      <c r="C2342" s="733" t="s">
        <v>14580</v>
      </c>
      <c r="D2342" s="677" t="s">
        <v>0</v>
      </c>
      <c r="E2342" s="738">
        <f t="shared" si="72"/>
        <v>130.34</v>
      </c>
      <c r="F2342">
        <f t="shared" si="73"/>
        <v>96535</v>
      </c>
      <c r="H2342" s="1405">
        <v>120.9</v>
      </c>
      <c r="I2342" s="1405">
        <v>130.34</v>
      </c>
    </row>
    <row r="2343" spans="2:9" ht="30">
      <c r="B2343" s="1477">
        <v>96536</v>
      </c>
      <c r="C2343" s="740" t="s">
        <v>14581</v>
      </c>
      <c r="D2343" s="739" t="s">
        <v>0</v>
      </c>
      <c r="E2343" s="741">
        <f t="shared" si="72"/>
        <v>70.959999999999994</v>
      </c>
      <c r="F2343">
        <f t="shared" si="73"/>
        <v>96536</v>
      </c>
      <c r="H2343" s="1406">
        <v>66.930000000000007</v>
      </c>
      <c r="I2343" s="1406">
        <v>70.959999999999994</v>
      </c>
    </row>
    <row r="2344" spans="2:9" ht="30">
      <c r="B2344" s="677">
        <v>96537</v>
      </c>
      <c r="C2344" s="733" t="s">
        <v>14582</v>
      </c>
      <c r="D2344" s="677" t="s">
        <v>0</v>
      </c>
      <c r="E2344" s="738">
        <f t="shared" si="72"/>
        <v>195.15</v>
      </c>
      <c r="F2344">
        <f t="shared" si="73"/>
        <v>96537</v>
      </c>
      <c r="H2344" s="1405">
        <v>186.01</v>
      </c>
      <c r="I2344" s="1405">
        <v>195.15</v>
      </c>
    </row>
    <row r="2345" spans="2:9" ht="30">
      <c r="B2345" s="1477">
        <v>96538</v>
      </c>
      <c r="C2345" s="740" t="s">
        <v>14583</v>
      </c>
      <c r="D2345" s="739" t="s">
        <v>0</v>
      </c>
      <c r="E2345" s="741">
        <f t="shared" si="72"/>
        <v>245.71</v>
      </c>
      <c r="F2345">
        <f t="shared" si="73"/>
        <v>96538</v>
      </c>
      <c r="H2345" s="1406">
        <v>230.49</v>
      </c>
      <c r="I2345" s="1406">
        <v>245.71</v>
      </c>
    </row>
    <row r="2346" spans="2:9" ht="30">
      <c r="B2346" s="677">
        <v>96539</v>
      </c>
      <c r="C2346" s="733" t="s">
        <v>14584</v>
      </c>
      <c r="D2346" s="677" t="s">
        <v>0</v>
      </c>
      <c r="E2346" s="738">
        <f t="shared" si="72"/>
        <v>134.75</v>
      </c>
      <c r="F2346">
        <f t="shared" si="73"/>
        <v>96539</v>
      </c>
      <c r="H2346" s="1405">
        <v>127.77</v>
      </c>
      <c r="I2346" s="1405">
        <v>134.75</v>
      </c>
    </row>
    <row r="2347" spans="2:9" ht="30">
      <c r="B2347" s="1477">
        <v>96540</v>
      </c>
      <c r="C2347" s="740" t="s">
        <v>14585</v>
      </c>
      <c r="D2347" s="739" t="s">
        <v>0</v>
      </c>
      <c r="E2347" s="741">
        <f t="shared" si="72"/>
        <v>132.72999999999999</v>
      </c>
      <c r="F2347">
        <f t="shared" si="73"/>
        <v>96540</v>
      </c>
      <c r="H2347" s="1406">
        <v>124.91</v>
      </c>
      <c r="I2347" s="1406">
        <v>132.72999999999999</v>
      </c>
    </row>
    <row r="2348" spans="2:9" ht="30">
      <c r="B2348" s="677">
        <v>96541</v>
      </c>
      <c r="C2348" s="733" t="s">
        <v>14586</v>
      </c>
      <c r="D2348" s="677" t="s">
        <v>0</v>
      </c>
      <c r="E2348" s="738">
        <f t="shared" si="72"/>
        <v>175.78</v>
      </c>
      <c r="F2348">
        <f t="shared" si="73"/>
        <v>96541</v>
      </c>
      <c r="H2348" s="1405">
        <v>163.16999999999999</v>
      </c>
      <c r="I2348" s="1405">
        <v>175.78</v>
      </c>
    </row>
    <row r="2349" spans="2:9" ht="30">
      <c r="B2349" s="1477">
        <v>96542</v>
      </c>
      <c r="C2349" s="740" t="s">
        <v>14587</v>
      </c>
      <c r="D2349" s="739" t="s">
        <v>0</v>
      </c>
      <c r="E2349" s="741">
        <f t="shared" si="72"/>
        <v>96.39</v>
      </c>
      <c r="F2349">
        <f t="shared" si="73"/>
        <v>96542</v>
      </c>
      <c r="H2349" s="1406">
        <v>90.15</v>
      </c>
      <c r="I2349" s="1406">
        <v>96.39</v>
      </c>
    </row>
    <row r="2350" spans="2:9">
      <c r="B2350" s="677">
        <v>96543</v>
      </c>
      <c r="C2350" s="733" t="s">
        <v>14588</v>
      </c>
      <c r="D2350" s="677" t="s">
        <v>20</v>
      </c>
      <c r="E2350" s="738">
        <f t="shared" si="72"/>
        <v>20.440000000000001</v>
      </c>
      <c r="F2350">
        <f t="shared" si="73"/>
        <v>96543</v>
      </c>
      <c r="H2350" s="1405">
        <v>19.39</v>
      </c>
      <c r="I2350" s="1405">
        <v>20.440000000000001</v>
      </c>
    </row>
    <row r="2351" spans="2:9" ht="30">
      <c r="B2351" s="1477">
        <v>97747</v>
      </c>
      <c r="C2351" s="740" t="s">
        <v>1994</v>
      </c>
      <c r="D2351" s="739" t="s">
        <v>0</v>
      </c>
      <c r="E2351" s="741">
        <f t="shared" si="72"/>
        <v>217.64</v>
      </c>
      <c r="F2351">
        <f t="shared" si="73"/>
        <v>97747</v>
      </c>
      <c r="H2351" s="1406">
        <v>206.52</v>
      </c>
      <c r="I2351" s="1406">
        <v>217.64</v>
      </c>
    </row>
    <row r="2352" spans="2:9">
      <c r="B2352" s="677">
        <v>101791</v>
      </c>
      <c r="C2352" s="733" t="s">
        <v>3750</v>
      </c>
      <c r="D2352" s="677" t="s">
        <v>21</v>
      </c>
      <c r="E2352" s="738">
        <f t="shared" si="72"/>
        <v>34.25</v>
      </c>
      <c r="F2352">
        <f t="shared" si="73"/>
        <v>101791</v>
      </c>
      <c r="H2352" s="1405">
        <v>34.049999999999997</v>
      </c>
      <c r="I2352" s="1405">
        <v>34.25</v>
      </c>
    </row>
    <row r="2353" spans="2:9" ht="30">
      <c r="B2353" s="1477">
        <v>101792</v>
      </c>
      <c r="C2353" s="740" t="s">
        <v>3751</v>
      </c>
      <c r="D2353" s="739" t="s">
        <v>19</v>
      </c>
      <c r="E2353" s="741">
        <f t="shared" si="72"/>
        <v>17.809999999999999</v>
      </c>
      <c r="F2353">
        <f t="shared" si="73"/>
        <v>101792</v>
      </c>
      <c r="H2353" s="1406">
        <v>17.09</v>
      </c>
      <c r="I2353" s="1406">
        <v>17.809999999999999</v>
      </c>
    </row>
    <row r="2354" spans="2:9" ht="30">
      <c r="B2354" s="677">
        <v>101793</v>
      </c>
      <c r="C2354" s="733" t="s">
        <v>3752</v>
      </c>
      <c r="D2354" s="677" t="s">
        <v>19</v>
      </c>
      <c r="E2354" s="738">
        <f t="shared" si="72"/>
        <v>29.13</v>
      </c>
      <c r="F2354">
        <f t="shared" si="73"/>
        <v>101793</v>
      </c>
      <c r="H2354" s="1405">
        <v>28.14</v>
      </c>
      <c r="I2354" s="1405">
        <v>29.13</v>
      </c>
    </row>
    <row r="2355" spans="2:9" ht="30">
      <c r="B2355" s="1477">
        <v>101969</v>
      </c>
      <c r="C2355" s="740" t="s">
        <v>3844</v>
      </c>
      <c r="D2355" s="739" t="s">
        <v>0</v>
      </c>
      <c r="E2355" s="741">
        <f t="shared" si="72"/>
        <v>227.02</v>
      </c>
      <c r="F2355">
        <f t="shared" si="73"/>
        <v>101969</v>
      </c>
      <c r="H2355" s="1406">
        <v>224.25</v>
      </c>
      <c r="I2355" s="1406">
        <v>227.02</v>
      </c>
    </row>
    <row r="2356" spans="2:9" ht="30">
      <c r="B2356" s="677">
        <v>101971</v>
      </c>
      <c r="C2356" s="733" t="s">
        <v>3845</v>
      </c>
      <c r="D2356" s="677" t="s">
        <v>0</v>
      </c>
      <c r="E2356" s="738">
        <f t="shared" si="72"/>
        <v>177.98</v>
      </c>
      <c r="F2356">
        <f t="shared" si="73"/>
        <v>101971</v>
      </c>
      <c r="H2356" s="1405">
        <v>175.21</v>
      </c>
      <c r="I2356" s="1405">
        <v>177.98</v>
      </c>
    </row>
    <row r="2357" spans="2:9">
      <c r="B2357" s="1477">
        <v>101973</v>
      </c>
      <c r="C2357" s="740" t="s">
        <v>3846</v>
      </c>
      <c r="D2357" s="739" t="s">
        <v>0</v>
      </c>
      <c r="E2357" s="741">
        <f t="shared" si="72"/>
        <v>187.76</v>
      </c>
      <c r="F2357">
        <f t="shared" si="73"/>
        <v>101973</v>
      </c>
      <c r="H2357" s="1406">
        <v>184.76</v>
      </c>
      <c r="I2357" s="1406">
        <v>187.76</v>
      </c>
    </row>
    <row r="2358" spans="2:9" ht="30">
      <c r="B2358" s="677">
        <v>101974</v>
      </c>
      <c r="C2358" s="733" t="s">
        <v>3847</v>
      </c>
      <c r="D2358" s="677" t="s">
        <v>0</v>
      </c>
      <c r="E2358" s="738">
        <f t="shared" si="72"/>
        <v>461.72</v>
      </c>
      <c r="F2358">
        <f t="shared" si="73"/>
        <v>101974</v>
      </c>
      <c r="H2358" s="1405">
        <v>438.29</v>
      </c>
      <c r="I2358" s="1405">
        <v>461.72</v>
      </c>
    </row>
    <row r="2359" spans="2:9" ht="30">
      <c r="B2359" s="1477">
        <v>101975</v>
      </c>
      <c r="C2359" s="740" t="s">
        <v>3848</v>
      </c>
      <c r="D2359" s="739" t="s">
        <v>0</v>
      </c>
      <c r="E2359" s="741">
        <f t="shared" si="72"/>
        <v>393.1</v>
      </c>
      <c r="F2359">
        <f t="shared" si="73"/>
        <v>101975</v>
      </c>
      <c r="H2359" s="1406">
        <v>374.49</v>
      </c>
      <c r="I2359" s="1406">
        <v>393.1</v>
      </c>
    </row>
    <row r="2360" spans="2:9" ht="30">
      <c r="B2360" s="677">
        <v>101977</v>
      </c>
      <c r="C2360" s="733" t="s">
        <v>3849</v>
      </c>
      <c r="D2360" s="677" t="s">
        <v>0</v>
      </c>
      <c r="E2360" s="738">
        <f t="shared" si="72"/>
        <v>329.35</v>
      </c>
      <c r="F2360">
        <f t="shared" si="73"/>
        <v>101977</v>
      </c>
      <c r="H2360" s="1405">
        <v>313.23</v>
      </c>
      <c r="I2360" s="1405">
        <v>329.35</v>
      </c>
    </row>
    <row r="2361" spans="2:9" ht="30">
      <c r="B2361" s="1477">
        <v>101980</v>
      </c>
      <c r="C2361" s="740" t="s">
        <v>3850</v>
      </c>
      <c r="D2361" s="739" t="s">
        <v>0</v>
      </c>
      <c r="E2361" s="741">
        <f t="shared" si="72"/>
        <v>312.05</v>
      </c>
      <c r="F2361">
        <f t="shared" si="73"/>
        <v>101980</v>
      </c>
      <c r="H2361" s="1406">
        <v>299.10000000000002</v>
      </c>
      <c r="I2361" s="1406">
        <v>312.05</v>
      </c>
    </row>
    <row r="2362" spans="2:9" ht="30">
      <c r="B2362" s="677">
        <v>101981</v>
      </c>
      <c r="C2362" s="733" t="s">
        <v>3851</v>
      </c>
      <c r="D2362" s="677" t="s">
        <v>0</v>
      </c>
      <c r="E2362" s="738">
        <f t="shared" si="72"/>
        <v>268.83</v>
      </c>
      <c r="F2362">
        <f t="shared" si="73"/>
        <v>101981</v>
      </c>
      <c r="H2362" s="1405">
        <v>257.88</v>
      </c>
      <c r="I2362" s="1405">
        <v>268.83</v>
      </c>
    </row>
    <row r="2363" spans="2:9" ht="30">
      <c r="B2363" s="1477">
        <v>101982</v>
      </c>
      <c r="C2363" s="740" t="s">
        <v>3852</v>
      </c>
      <c r="D2363" s="739" t="s">
        <v>0</v>
      </c>
      <c r="E2363" s="741">
        <f t="shared" si="72"/>
        <v>238.79</v>
      </c>
      <c r="F2363">
        <f t="shared" si="73"/>
        <v>101982</v>
      </c>
      <c r="H2363" s="1406">
        <v>228.67</v>
      </c>
      <c r="I2363" s="1406">
        <v>238.79</v>
      </c>
    </row>
    <row r="2364" spans="2:9" ht="30">
      <c r="B2364" s="677">
        <v>101983</v>
      </c>
      <c r="C2364" s="733" t="s">
        <v>3853</v>
      </c>
      <c r="D2364" s="677" t="s">
        <v>0</v>
      </c>
      <c r="E2364" s="738">
        <f t="shared" si="72"/>
        <v>219.85</v>
      </c>
      <c r="F2364">
        <f t="shared" si="73"/>
        <v>101983</v>
      </c>
      <c r="H2364" s="1405">
        <v>210.26</v>
      </c>
      <c r="I2364" s="1405">
        <v>219.85</v>
      </c>
    </row>
    <row r="2365" spans="2:9" ht="30">
      <c r="B2365" s="1477">
        <v>101985</v>
      </c>
      <c r="C2365" s="740" t="s">
        <v>3854</v>
      </c>
      <c r="D2365" s="739" t="s">
        <v>0</v>
      </c>
      <c r="E2365" s="741">
        <f t="shared" si="72"/>
        <v>231.45</v>
      </c>
      <c r="F2365">
        <f t="shared" si="73"/>
        <v>101985</v>
      </c>
      <c r="H2365" s="1406">
        <v>228.23</v>
      </c>
      <c r="I2365" s="1406">
        <v>231.45</v>
      </c>
    </row>
    <row r="2366" spans="2:9" ht="30">
      <c r="B2366" s="677">
        <v>101986</v>
      </c>
      <c r="C2366" s="733" t="s">
        <v>3855</v>
      </c>
      <c r="D2366" s="677" t="s">
        <v>0</v>
      </c>
      <c r="E2366" s="738">
        <f t="shared" si="72"/>
        <v>169.12</v>
      </c>
      <c r="F2366">
        <f t="shared" si="73"/>
        <v>101986</v>
      </c>
      <c r="H2366" s="1405">
        <v>165.9</v>
      </c>
      <c r="I2366" s="1405">
        <v>169.12</v>
      </c>
    </row>
    <row r="2367" spans="2:9">
      <c r="B2367" s="1477">
        <v>101987</v>
      </c>
      <c r="C2367" s="740" t="s">
        <v>3856</v>
      </c>
      <c r="D2367" s="739" t="s">
        <v>0</v>
      </c>
      <c r="E2367" s="741">
        <f t="shared" si="72"/>
        <v>215.05</v>
      </c>
      <c r="F2367">
        <f t="shared" si="73"/>
        <v>101987</v>
      </c>
      <c r="H2367" s="1406">
        <v>211.89</v>
      </c>
      <c r="I2367" s="1406">
        <v>215.05</v>
      </c>
    </row>
    <row r="2368" spans="2:9" ht="30">
      <c r="B2368" s="677">
        <v>101988</v>
      </c>
      <c r="C2368" s="733" t="s">
        <v>3857</v>
      </c>
      <c r="D2368" s="677" t="s">
        <v>0</v>
      </c>
      <c r="E2368" s="738">
        <f t="shared" si="72"/>
        <v>234.73</v>
      </c>
      <c r="F2368">
        <f t="shared" si="73"/>
        <v>101988</v>
      </c>
      <c r="H2368" s="1405">
        <v>231.42</v>
      </c>
      <c r="I2368" s="1405">
        <v>234.73</v>
      </c>
    </row>
    <row r="2369" spans="2:9" ht="30">
      <c r="B2369" s="1477">
        <v>101989</v>
      </c>
      <c r="C2369" s="740" t="s">
        <v>3858</v>
      </c>
      <c r="D2369" s="739" t="s">
        <v>0</v>
      </c>
      <c r="E2369" s="741">
        <f t="shared" si="72"/>
        <v>186.31</v>
      </c>
      <c r="F2369">
        <f t="shared" si="73"/>
        <v>101989</v>
      </c>
      <c r="H2369" s="1406">
        <v>183</v>
      </c>
      <c r="I2369" s="1406">
        <v>186.31</v>
      </c>
    </row>
    <row r="2370" spans="2:9">
      <c r="B2370" s="677">
        <v>101990</v>
      </c>
      <c r="C2370" s="733" t="s">
        <v>3859</v>
      </c>
      <c r="D2370" s="677" t="s">
        <v>0</v>
      </c>
      <c r="E2370" s="738">
        <f t="shared" si="72"/>
        <v>201.73</v>
      </c>
      <c r="F2370">
        <f t="shared" si="73"/>
        <v>101990</v>
      </c>
      <c r="H2370" s="1405">
        <v>198.46</v>
      </c>
      <c r="I2370" s="1405">
        <v>201.73</v>
      </c>
    </row>
    <row r="2371" spans="2:9" ht="30">
      <c r="B2371" s="1477">
        <v>101991</v>
      </c>
      <c r="C2371" s="740" t="s">
        <v>3860</v>
      </c>
      <c r="D2371" s="739" t="s">
        <v>0</v>
      </c>
      <c r="E2371" s="741">
        <f t="shared" ref="E2371:E2434" si="74">IF($K$2=$H$1,H2371,I2371)</f>
        <v>230.7</v>
      </c>
      <c r="F2371">
        <f t="shared" ref="F2371:F2434" si="75">IF(LEN($B2371)=7,CONCATENATE(MID($B2371,1,6),"00",RIGHT($B2371,1)),IF(LEN($B2371)=8,CONCATENATE(MID($B2371,1,6),"0",RIGHT($B2371,2)),$B2371))</f>
        <v>101991</v>
      </c>
      <c r="H2371" s="1406">
        <v>227.01</v>
      </c>
      <c r="I2371" s="1406">
        <v>230.7</v>
      </c>
    </row>
    <row r="2372" spans="2:9" ht="30">
      <c r="B2372" s="677">
        <v>101992</v>
      </c>
      <c r="C2372" s="733" t="s">
        <v>3861</v>
      </c>
      <c r="D2372" s="677" t="s">
        <v>0</v>
      </c>
      <c r="E2372" s="738">
        <f t="shared" si="74"/>
        <v>171.1</v>
      </c>
      <c r="F2372">
        <f t="shared" si="75"/>
        <v>101992</v>
      </c>
      <c r="H2372" s="1405">
        <v>167.41</v>
      </c>
      <c r="I2372" s="1405">
        <v>171.1</v>
      </c>
    </row>
    <row r="2373" spans="2:9">
      <c r="B2373" s="1477">
        <v>101993</v>
      </c>
      <c r="C2373" s="740" t="s">
        <v>3862</v>
      </c>
      <c r="D2373" s="739" t="s">
        <v>0</v>
      </c>
      <c r="E2373" s="741">
        <f t="shared" si="74"/>
        <v>250.67</v>
      </c>
      <c r="F2373">
        <f t="shared" si="75"/>
        <v>101993</v>
      </c>
      <c r="H2373" s="1406">
        <v>247.28</v>
      </c>
      <c r="I2373" s="1406">
        <v>250.67</v>
      </c>
    </row>
    <row r="2374" spans="2:9" ht="30">
      <c r="B2374" s="677">
        <v>101994</v>
      </c>
      <c r="C2374" s="733" t="s">
        <v>3863</v>
      </c>
      <c r="D2374" s="677" t="s">
        <v>0</v>
      </c>
      <c r="E2374" s="738">
        <f t="shared" si="74"/>
        <v>249.87</v>
      </c>
      <c r="F2374">
        <f t="shared" si="75"/>
        <v>101994</v>
      </c>
      <c r="H2374" s="1405">
        <v>246.8</v>
      </c>
      <c r="I2374" s="1405">
        <v>249.87</v>
      </c>
    </row>
    <row r="2375" spans="2:9" ht="30">
      <c r="B2375" s="1477">
        <v>101995</v>
      </c>
      <c r="C2375" s="740" t="s">
        <v>3864</v>
      </c>
      <c r="D2375" s="739" t="s">
        <v>0</v>
      </c>
      <c r="E2375" s="741">
        <f t="shared" si="74"/>
        <v>195.52</v>
      </c>
      <c r="F2375">
        <f t="shared" si="75"/>
        <v>101995</v>
      </c>
      <c r="H2375" s="1406">
        <v>192.45</v>
      </c>
      <c r="I2375" s="1406">
        <v>195.52</v>
      </c>
    </row>
    <row r="2376" spans="2:9">
      <c r="B2376" s="677">
        <v>101996</v>
      </c>
      <c r="C2376" s="733" t="s">
        <v>3865</v>
      </c>
      <c r="D2376" s="677" t="s">
        <v>0</v>
      </c>
      <c r="E2376" s="738">
        <f t="shared" si="74"/>
        <v>216.03</v>
      </c>
      <c r="F2376">
        <f t="shared" si="75"/>
        <v>101996</v>
      </c>
      <c r="H2376" s="1405">
        <v>212.78</v>
      </c>
      <c r="I2376" s="1405">
        <v>216.03</v>
      </c>
    </row>
    <row r="2377" spans="2:9" ht="30">
      <c r="B2377" s="1477">
        <v>101997</v>
      </c>
      <c r="C2377" s="740" t="s">
        <v>3866</v>
      </c>
      <c r="D2377" s="739" t="s">
        <v>0</v>
      </c>
      <c r="E2377" s="741">
        <f t="shared" si="74"/>
        <v>229.96</v>
      </c>
      <c r="F2377">
        <f t="shared" si="75"/>
        <v>101997</v>
      </c>
      <c r="H2377" s="1406">
        <v>226.29</v>
      </c>
      <c r="I2377" s="1406">
        <v>229.96</v>
      </c>
    </row>
    <row r="2378" spans="2:9" ht="30">
      <c r="B2378" s="677">
        <v>101998</v>
      </c>
      <c r="C2378" s="733" t="s">
        <v>3867</v>
      </c>
      <c r="D2378" s="677" t="s">
        <v>0</v>
      </c>
      <c r="E2378" s="738">
        <f t="shared" si="74"/>
        <v>169.01</v>
      </c>
      <c r="F2378">
        <f t="shared" si="75"/>
        <v>101998</v>
      </c>
      <c r="H2378" s="1405">
        <v>165.34</v>
      </c>
      <c r="I2378" s="1405">
        <v>169.01</v>
      </c>
    </row>
    <row r="2379" spans="2:9">
      <c r="B2379" s="1477">
        <v>101999</v>
      </c>
      <c r="C2379" s="740" t="s">
        <v>3868</v>
      </c>
      <c r="D2379" s="739" t="s">
        <v>0</v>
      </c>
      <c r="E2379" s="741">
        <f t="shared" si="74"/>
        <v>267.77</v>
      </c>
      <c r="F2379">
        <f t="shared" si="75"/>
        <v>101999</v>
      </c>
      <c r="H2379" s="1406">
        <v>264.31</v>
      </c>
      <c r="I2379" s="1406">
        <v>267.77</v>
      </c>
    </row>
    <row r="2380" spans="2:9" ht="30">
      <c r="B2380" s="677">
        <v>102000</v>
      </c>
      <c r="C2380" s="733" t="s">
        <v>3869</v>
      </c>
      <c r="D2380" s="677" t="s">
        <v>0</v>
      </c>
      <c r="E2380" s="738">
        <f t="shared" si="74"/>
        <v>455.72</v>
      </c>
      <c r="F2380">
        <f t="shared" si="75"/>
        <v>102000</v>
      </c>
      <c r="H2380" s="1405">
        <v>432.84</v>
      </c>
      <c r="I2380" s="1405">
        <v>455.72</v>
      </c>
    </row>
    <row r="2381" spans="2:9" ht="30">
      <c r="B2381" s="1477">
        <v>102001</v>
      </c>
      <c r="C2381" s="740" t="s">
        <v>3870</v>
      </c>
      <c r="D2381" s="739" t="s">
        <v>0</v>
      </c>
      <c r="E2381" s="741">
        <f t="shared" si="74"/>
        <v>391.77</v>
      </c>
      <c r="F2381">
        <f t="shared" si="75"/>
        <v>102001</v>
      </c>
      <c r="H2381" s="1406">
        <v>373.6</v>
      </c>
      <c r="I2381" s="1406">
        <v>391.77</v>
      </c>
    </row>
    <row r="2382" spans="2:9" ht="30">
      <c r="B2382" s="677">
        <v>102002</v>
      </c>
      <c r="C2382" s="733" t="s">
        <v>3871</v>
      </c>
      <c r="D2382" s="677" t="s">
        <v>0</v>
      </c>
      <c r="E2382" s="738">
        <f t="shared" si="74"/>
        <v>313.16000000000003</v>
      </c>
      <c r="F2382">
        <f t="shared" si="75"/>
        <v>102002</v>
      </c>
      <c r="H2382" s="1405">
        <v>296.56</v>
      </c>
      <c r="I2382" s="1405">
        <v>313.16000000000003</v>
      </c>
    </row>
    <row r="2383" spans="2:9" ht="30">
      <c r="B2383" s="1477">
        <v>102003</v>
      </c>
      <c r="C2383" s="740" t="s">
        <v>3872</v>
      </c>
      <c r="D2383" s="739" t="s">
        <v>0</v>
      </c>
      <c r="E2383" s="741">
        <f t="shared" si="74"/>
        <v>294.27</v>
      </c>
      <c r="F2383">
        <f t="shared" si="75"/>
        <v>102003</v>
      </c>
      <c r="H2383" s="1406">
        <v>280.79000000000002</v>
      </c>
      <c r="I2383" s="1406">
        <v>294.27</v>
      </c>
    </row>
    <row r="2384" spans="2:9" ht="30">
      <c r="B2384" s="677">
        <v>102004</v>
      </c>
      <c r="C2384" s="733" t="s">
        <v>3873</v>
      </c>
      <c r="D2384" s="677" t="s">
        <v>0</v>
      </c>
      <c r="E2384" s="738">
        <f t="shared" si="74"/>
        <v>259.37</v>
      </c>
      <c r="F2384">
        <f t="shared" si="75"/>
        <v>102004</v>
      </c>
      <c r="H2384" s="1405">
        <v>248.1</v>
      </c>
      <c r="I2384" s="1405">
        <v>259.37</v>
      </c>
    </row>
    <row r="2385" spans="2:9" ht="30">
      <c r="B2385" s="1477">
        <v>102005</v>
      </c>
      <c r="C2385" s="740" t="s">
        <v>3874</v>
      </c>
      <c r="D2385" s="739" t="s">
        <v>0</v>
      </c>
      <c r="E2385" s="741">
        <f t="shared" si="74"/>
        <v>228.85</v>
      </c>
      <c r="F2385">
        <f t="shared" si="75"/>
        <v>102005</v>
      </c>
      <c r="H2385" s="1406">
        <v>218.45</v>
      </c>
      <c r="I2385" s="1406">
        <v>228.85</v>
      </c>
    </row>
    <row r="2386" spans="2:9" ht="30">
      <c r="B2386" s="677">
        <v>102006</v>
      </c>
      <c r="C2386" s="733" t="s">
        <v>3875</v>
      </c>
      <c r="D2386" s="677" t="s">
        <v>0</v>
      </c>
      <c r="E2386" s="738">
        <f t="shared" si="74"/>
        <v>209.6</v>
      </c>
      <c r="F2386">
        <f t="shared" si="75"/>
        <v>102006</v>
      </c>
      <c r="H2386" s="1405">
        <v>199.77</v>
      </c>
      <c r="I2386" s="1405">
        <v>209.6</v>
      </c>
    </row>
    <row r="2387" spans="2:9" ht="30">
      <c r="B2387" s="1477">
        <v>102007</v>
      </c>
      <c r="C2387" s="740" t="s">
        <v>3876</v>
      </c>
      <c r="D2387" s="739" t="s">
        <v>0</v>
      </c>
      <c r="E2387" s="741">
        <f t="shared" si="74"/>
        <v>452.21</v>
      </c>
      <c r="F2387">
        <f t="shared" si="75"/>
        <v>102007</v>
      </c>
      <c r="H2387" s="1406">
        <v>428.85</v>
      </c>
      <c r="I2387" s="1406">
        <v>452.21</v>
      </c>
    </row>
    <row r="2388" spans="2:9" ht="30">
      <c r="B2388" s="677">
        <v>102008</v>
      </c>
      <c r="C2388" s="733" t="s">
        <v>3877</v>
      </c>
      <c r="D2388" s="677" t="s">
        <v>0</v>
      </c>
      <c r="E2388" s="738">
        <f t="shared" si="74"/>
        <v>378.33</v>
      </c>
      <c r="F2388">
        <f t="shared" si="75"/>
        <v>102008</v>
      </c>
      <c r="H2388" s="1405">
        <v>359.88</v>
      </c>
      <c r="I2388" s="1405">
        <v>378.33</v>
      </c>
    </row>
    <row r="2389" spans="2:9" ht="30">
      <c r="B2389" s="1477">
        <v>102009</v>
      </c>
      <c r="C2389" s="740" t="s">
        <v>3878</v>
      </c>
      <c r="D2389" s="739" t="s">
        <v>0</v>
      </c>
      <c r="E2389" s="741">
        <f t="shared" si="74"/>
        <v>329.82</v>
      </c>
      <c r="F2389">
        <f t="shared" si="75"/>
        <v>102009</v>
      </c>
      <c r="H2389" s="1406">
        <v>313.27999999999997</v>
      </c>
      <c r="I2389" s="1406">
        <v>329.82</v>
      </c>
    </row>
    <row r="2390" spans="2:9" ht="30">
      <c r="B2390" s="677">
        <v>102010</v>
      </c>
      <c r="C2390" s="733" t="s">
        <v>3879</v>
      </c>
      <c r="D2390" s="677" t="s">
        <v>0</v>
      </c>
      <c r="E2390" s="738">
        <f t="shared" si="74"/>
        <v>309.02</v>
      </c>
      <c r="F2390">
        <f t="shared" si="75"/>
        <v>102010</v>
      </c>
      <c r="H2390" s="1405">
        <v>295.7</v>
      </c>
      <c r="I2390" s="1405">
        <v>309.02</v>
      </c>
    </row>
    <row r="2391" spans="2:9" ht="30">
      <c r="B2391" s="1477">
        <v>102011</v>
      </c>
      <c r="C2391" s="740" t="s">
        <v>3880</v>
      </c>
      <c r="D2391" s="739" t="s">
        <v>0</v>
      </c>
      <c r="E2391" s="741">
        <f t="shared" si="74"/>
        <v>263.52</v>
      </c>
      <c r="F2391">
        <f t="shared" si="75"/>
        <v>102011</v>
      </c>
      <c r="H2391" s="1406">
        <v>252.33</v>
      </c>
      <c r="I2391" s="1406">
        <v>263.52</v>
      </c>
    </row>
    <row r="2392" spans="2:9" ht="30">
      <c r="B2392" s="677">
        <v>102012</v>
      </c>
      <c r="C2392" s="733" t="s">
        <v>3881</v>
      </c>
      <c r="D2392" s="677" t="s">
        <v>0</v>
      </c>
      <c r="E2392" s="738">
        <f t="shared" si="74"/>
        <v>232.64</v>
      </c>
      <c r="F2392">
        <f t="shared" si="75"/>
        <v>102012</v>
      </c>
      <c r="H2392" s="1405">
        <v>222.34</v>
      </c>
      <c r="I2392" s="1405">
        <v>232.64</v>
      </c>
    </row>
    <row r="2393" spans="2:9" ht="30">
      <c r="B2393" s="1477">
        <v>102013</v>
      </c>
      <c r="C2393" s="740" t="s">
        <v>3882</v>
      </c>
      <c r="D2393" s="739" t="s">
        <v>0</v>
      </c>
      <c r="E2393" s="741">
        <f t="shared" si="74"/>
        <v>215.51</v>
      </c>
      <c r="F2393">
        <f t="shared" si="75"/>
        <v>102013</v>
      </c>
      <c r="H2393" s="1406">
        <v>205.74</v>
      </c>
      <c r="I2393" s="1406">
        <v>215.51</v>
      </c>
    </row>
    <row r="2394" spans="2:9" ht="30">
      <c r="B2394" s="677">
        <v>102014</v>
      </c>
      <c r="C2394" s="733" t="s">
        <v>3883</v>
      </c>
      <c r="D2394" s="677" t="s">
        <v>0</v>
      </c>
      <c r="E2394" s="738">
        <f t="shared" si="74"/>
        <v>490.84</v>
      </c>
      <c r="F2394">
        <f t="shared" si="75"/>
        <v>102014</v>
      </c>
      <c r="H2394" s="1405">
        <v>467.76</v>
      </c>
      <c r="I2394" s="1405">
        <v>490.84</v>
      </c>
    </row>
    <row r="2395" spans="2:9" ht="30">
      <c r="B2395" s="1477">
        <v>102015</v>
      </c>
      <c r="C2395" s="740" t="s">
        <v>3884</v>
      </c>
      <c r="D2395" s="739" t="s">
        <v>0</v>
      </c>
      <c r="E2395" s="741">
        <f t="shared" si="74"/>
        <v>411.43</v>
      </c>
      <c r="F2395">
        <f t="shared" si="75"/>
        <v>102015</v>
      </c>
      <c r="H2395" s="1406">
        <v>393.14</v>
      </c>
      <c r="I2395" s="1406">
        <v>411.43</v>
      </c>
    </row>
    <row r="2396" spans="2:9" ht="30">
      <c r="B2396" s="677">
        <v>102016</v>
      </c>
      <c r="C2396" s="733" t="s">
        <v>3885</v>
      </c>
      <c r="D2396" s="677" t="s">
        <v>0</v>
      </c>
      <c r="E2396" s="738">
        <f t="shared" si="74"/>
        <v>309.77</v>
      </c>
      <c r="F2396">
        <f t="shared" si="75"/>
        <v>102016</v>
      </c>
      <c r="H2396" s="1405">
        <v>292.81</v>
      </c>
      <c r="I2396" s="1405">
        <v>309.77</v>
      </c>
    </row>
    <row r="2397" spans="2:9" ht="30">
      <c r="B2397" s="1477">
        <v>102017</v>
      </c>
      <c r="C2397" s="740" t="s">
        <v>3886</v>
      </c>
      <c r="D2397" s="739" t="s">
        <v>0</v>
      </c>
      <c r="E2397" s="741">
        <f t="shared" si="74"/>
        <v>288.33999999999997</v>
      </c>
      <c r="F2397">
        <f t="shared" si="75"/>
        <v>102017</v>
      </c>
      <c r="H2397" s="1406">
        <v>274.52999999999997</v>
      </c>
      <c r="I2397" s="1406">
        <v>288.33999999999997</v>
      </c>
    </row>
    <row r="2398" spans="2:9" ht="30">
      <c r="B2398" s="677">
        <v>102036</v>
      </c>
      <c r="C2398" s="733" t="s">
        <v>3887</v>
      </c>
      <c r="D2398" s="677" t="s">
        <v>0</v>
      </c>
      <c r="E2398" s="738">
        <f t="shared" si="74"/>
        <v>251.66</v>
      </c>
      <c r="F2398">
        <f t="shared" si="75"/>
        <v>102036</v>
      </c>
      <c r="H2398" s="1405">
        <v>240.19</v>
      </c>
      <c r="I2398" s="1405">
        <v>251.66</v>
      </c>
    </row>
    <row r="2399" spans="2:9" ht="30">
      <c r="B2399" s="1477">
        <v>102037</v>
      </c>
      <c r="C2399" s="740" t="s">
        <v>3888</v>
      </c>
      <c r="D2399" s="739" t="s">
        <v>0</v>
      </c>
      <c r="E2399" s="741">
        <f t="shared" si="74"/>
        <v>221.22</v>
      </c>
      <c r="F2399">
        <f t="shared" si="75"/>
        <v>102037</v>
      </c>
      <c r="H2399" s="1406">
        <v>210.68</v>
      </c>
      <c r="I2399" s="1406">
        <v>221.22</v>
      </c>
    </row>
    <row r="2400" spans="2:9" ht="30">
      <c r="B2400" s="677">
        <v>102038</v>
      </c>
      <c r="C2400" s="733" t="s">
        <v>3889</v>
      </c>
      <c r="D2400" s="677" t="s">
        <v>0</v>
      </c>
      <c r="E2400" s="738">
        <f t="shared" si="74"/>
        <v>204.33</v>
      </c>
      <c r="F2400">
        <f t="shared" si="75"/>
        <v>102038</v>
      </c>
      <c r="H2400" s="1405">
        <v>194.35</v>
      </c>
      <c r="I2400" s="1405">
        <v>204.33</v>
      </c>
    </row>
    <row r="2401" spans="2:9" ht="30">
      <c r="B2401" s="1477">
        <v>102039</v>
      </c>
      <c r="C2401" s="740" t="s">
        <v>3890</v>
      </c>
      <c r="D2401" s="739" t="s">
        <v>0</v>
      </c>
      <c r="E2401" s="741">
        <f t="shared" si="74"/>
        <v>470.77</v>
      </c>
      <c r="F2401">
        <f t="shared" si="75"/>
        <v>102039</v>
      </c>
      <c r="H2401" s="1406">
        <v>447.45</v>
      </c>
      <c r="I2401" s="1406">
        <v>470.77</v>
      </c>
    </row>
    <row r="2402" spans="2:9" ht="30">
      <c r="B2402" s="677">
        <v>102040</v>
      </c>
      <c r="C2402" s="733" t="s">
        <v>3891</v>
      </c>
      <c r="D2402" s="677" t="s">
        <v>0</v>
      </c>
      <c r="E2402" s="738">
        <f t="shared" si="74"/>
        <v>392.7</v>
      </c>
      <c r="F2402">
        <f t="shared" si="75"/>
        <v>102040</v>
      </c>
      <c r="H2402" s="1405">
        <v>374.32</v>
      </c>
      <c r="I2402" s="1405">
        <v>392.7</v>
      </c>
    </row>
    <row r="2403" spans="2:9" ht="30">
      <c r="B2403" s="1477">
        <v>102041</v>
      </c>
      <c r="C2403" s="740" t="s">
        <v>3892</v>
      </c>
      <c r="D2403" s="739" t="s">
        <v>0</v>
      </c>
      <c r="E2403" s="741">
        <f t="shared" si="74"/>
        <v>330.91</v>
      </c>
      <c r="F2403">
        <f t="shared" si="75"/>
        <v>102041</v>
      </c>
      <c r="H2403" s="1406">
        <v>314.64</v>
      </c>
      <c r="I2403" s="1406">
        <v>330.91</v>
      </c>
    </row>
    <row r="2404" spans="2:9" ht="30">
      <c r="B2404" s="677">
        <v>102042</v>
      </c>
      <c r="C2404" s="733" t="s">
        <v>3893</v>
      </c>
      <c r="D2404" s="677" t="s">
        <v>0</v>
      </c>
      <c r="E2404" s="738">
        <f t="shared" si="74"/>
        <v>306.49</v>
      </c>
      <c r="F2404">
        <f t="shared" si="75"/>
        <v>102042</v>
      </c>
      <c r="H2404" s="1405">
        <v>293.45999999999998</v>
      </c>
      <c r="I2404" s="1405">
        <v>306.49</v>
      </c>
    </row>
    <row r="2405" spans="2:9" ht="30">
      <c r="B2405" s="1477">
        <v>102043</v>
      </c>
      <c r="C2405" s="740" t="s">
        <v>3894</v>
      </c>
      <c r="D2405" s="739" t="s">
        <v>0</v>
      </c>
      <c r="E2405" s="741">
        <f t="shared" si="74"/>
        <v>262.02</v>
      </c>
      <c r="F2405">
        <f t="shared" si="75"/>
        <v>102043</v>
      </c>
      <c r="H2405" s="1406">
        <v>251.02</v>
      </c>
      <c r="I2405" s="1406">
        <v>262.02</v>
      </c>
    </row>
    <row r="2406" spans="2:9" ht="30">
      <c r="B2406" s="677">
        <v>102044</v>
      </c>
      <c r="C2406" s="733" t="s">
        <v>3895</v>
      </c>
      <c r="D2406" s="677" t="s">
        <v>0</v>
      </c>
      <c r="E2406" s="738">
        <f t="shared" si="74"/>
        <v>231.97</v>
      </c>
      <c r="F2406">
        <f t="shared" si="75"/>
        <v>102044</v>
      </c>
      <c r="H2406" s="1405">
        <v>221.8</v>
      </c>
      <c r="I2406" s="1405">
        <v>231.97</v>
      </c>
    </row>
    <row r="2407" spans="2:9" ht="30">
      <c r="B2407" s="1477">
        <v>102045</v>
      </c>
      <c r="C2407" s="740" t="s">
        <v>3896</v>
      </c>
      <c r="D2407" s="739" t="s">
        <v>0</v>
      </c>
      <c r="E2407" s="741">
        <f t="shared" si="74"/>
        <v>213.93</v>
      </c>
      <c r="F2407">
        <f t="shared" si="75"/>
        <v>102045</v>
      </c>
      <c r="H2407" s="1406">
        <v>204.28</v>
      </c>
      <c r="I2407" s="1406">
        <v>213.93</v>
      </c>
    </row>
    <row r="2408" spans="2:9" ht="30">
      <c r="B2408" s="677">
        <v>102046</v>
      </c>
      <c r="C2408" s="733" t="s">
        <v>3897</v>
      </c>
      <c r="D2408" s="677" t="s">
        <v>0</v>
      </c>
      <c r="E2408" s="738">
        <f t="shared" si="74"/>
        <v>495.75</v>
      </c>
      <c r="F2408">
        <f t="shared" si="75"/>
        <v>102046</v>
      </c>
      <c r="H2408" s="1405">
        <v>472.83</v>
      </c>
      <c r="I2408" s="1405">
        <v>495.75</v>
      </c>
    </row>
    <row r="2409" spans="2:9" ht="30">
      <c r="B2409" s="1477">
        <v>102047</v>
      </c>
      <c r="C2409" s="740" t="s">
        <v>3898</v>
      </c>
      <c r="D2409" s="739" t="s">
        <v>0</v>
      </c>
      <c r="E2409" s="741">
        <f t="shared" si="74"/>
        <v>422.15</v>
      </c>
      <c r="F2409">
        <f t="shared" si="75"/>
        <v>102047</v>
      </c>
      <c r="H2409" s="1406">
        <v>404.03</v>
      </c>
      <c r="I2409" s="1406">
        <v>422.15</v>
      </c>
    </row>
    <row r="2410" spans="2:9" ht="30">
      <c r="B2410" s="677">
        <v>102048</v>
      </c>
      <c r="C2410" s="733" t="s">
        <v>3899</v>
      </c>
      <c r="D2410" s="677" t="s">
        <v>0</v>
      </c>
      <c r="E2410" s="738">
        <f t="shared" si="74"/>
        <v>299.77999999999997</v>
      </c>
      <c r="F2410">
        <f t="shared" si="75"/>
        <v>102048</v>
      </c>
      <c r="H2410" s="1405">
        <v>282.88</v>
      </c>
      <c r="I2410" s="1405">
        <v>299.77999999999997</v>
      </c>
    </row>
    <row r="2411" spans="2:9" ht="30">
      <c r="B2411" s="1477">
        <v>102049</v>
      </c>
      <c r="C2411" s="740" t="s">
        <v>3900</v>
      </c>
      <c r="D2411" s="739" t="s">
        <v>0</v>
      </c>
      <c r="E2411" s="741">
        <f t="shared" si="74"/>
        <v>273.79000000000002</v>
      </c>
      <c r="F2411">
        <f t="shared" si="75"/>
        <v>102049</v>
      </c>
      <c r="H2411" s="1406">
        <v>260.08</v>
      </c>
      <c r="I2411" s="1406">
        <v>273.79000000000002</v>
      </c>
    </row>
    <row r="2412" spans="2:9" ht="30">
      <c r="B2412" s="677">
        <v>102050</v>
      </c>
      <c r="C2412" s="733" t="s">
        <v>3901</v>
      </c>
      <c r="D2412" s="677" t="s">
        <v>0</v>
      </c>
      <c r="E2412" s="738">
        <f t="shared" si="74"/>
        <v>239.68</v>
      </c>
      <c r="F2412">
        <f t="shared" si="75"/>
        <v>102050</v>
      </c>
      <c r="H2412" s="1405">
        <v>228.26</v>
      </c>
      <c r="I2412" s="1405">
        <v>239.68</v>
      </c>
    </row>
    <row r="2413" spans="2:9" ht="30">
      <c r="B2413" s="1477">
        <v>102051</v>
      </c>
      <c r="C2413" s="740" t="s">
        <v>3902</v>
      </c>
      <c r="D2413" s="739" t="s">
        <v>0</v>
      </c>
      <c r="E2413" s="741">
        <f t="shared" si="74"/>
        <v>209.33</v>
      </c>
      <c r="F2413">
        <f t="shared" si="75"/>
        <v>102051</v>
      </c>
      <c r="H2413" s="1406">
        <v>198.83</v>
      </c>
      <c r="I2413" s="1406">
        <v>209.33</v>
      </c>
    </row>
    <row r="2414" spans="2:9" ht="30">
      <c r="B2414" s="677">
        <v>102052</v>
      </c>
      <c r="C2414" s="733" t="s">
        <v>3903</v>
      </c>
      <c r="D2414" s="677" t="s">
        <v>0</v>
      </c>
      <c r="E2414" s="738">
        <f t="shared" si="74"/>
        <v>192.48</v>
      </c>
      <c r="F2414">
        <f t="shared" si="75"/>
        <v>102052</v>
      </c>
      <c r="H2414" s="1405">
        <v>182.55</v>
      </c>
      <c r="I2414" s="1405">
        <v>192.48</v>
      </c>
    </row>
    <row r="2415" spans="2:9" ht="30">
      <c r="B2415" s="1477">
        <v>102059</v>
      </c>
      <c r="C2415" s="740" t="s">
        <v>3904</v>
      </c>
      <c r="D2415" s="739" t="s">
        <v>0</v>
      </c>
      <c r="E2415" s="741">
        <f t="shared" si="74"/>
        <v>441.08</v>
      </c>
      <c r="F2415">
        <f t="shared" si="75"/>
        <v>102059</v>
      </c>
      <c r="H2415" s="1406">
        <v>419.9</v>
      </c>
      <c r="I2415" s="1406">
        <v>441.08</v>
      </c>
    </row>
    <row r="2416" spans="2:9" ht="30">
      <c r="B2416" s="677">
        <v>102060</v>
      </c>
      <c r="C2416" s="733" t="s">
        <v>3905</v>
      </c>
      <c r="D2416" s="677" t="s">
        <v>0</v>
      </c>
      <c r="E2416" s="738">
        <f t="shared" si="74"/>
        <v>371.2</v>
      </c>
      <c r="F2416">
        <f t="shared" si="75"/>
        <v>102060</v>
      </c>
      <c r="H2416" s="1405">
        <v>354.39</v>
      </c>
      <c r="I2416" s="1405">
        <v>371.2</v>
      </c>
    </row>
    <row r="2417" spans="2:9" ht="30">
      <c r="B2417" s="1477">
        <v>102061</v>
      </c>
      <c r="C2417" s="740" t="s">
        <v>3906</v>
      </c>
      <c r="D2417" s="739" t="s">
        <v>0</v>
      </c>
      <c r="E2417" s="741">
        <f t="shared" si="74"/>
        <v>310.7</v>
      </c>
      <c r="F2417">
        <f t="shared" si="75"/>
        <v>102061</v>
      </c>
      <c r="H2417" s="1406">
        <v>296.56</v>
      </c>
      <c r="I2417" s="1406">
        <v>310.7</v>
      </c>
    </row>
    <row r="2418" spans="2:9" ht="30">
      <c r="B2418" s="677">
        <v>102062</v>
      </c>
      <c r="C2418" s="733" t="s">
        <v>3907</v>
      </c>
      <c r="D2418" s="677" t="s">
        <v>0</v>
      </c>
      <c r="E2418" s="738">
        <f t="shared" si="74"/>
        <v>294.81</v>
      </c>
      <c r="F2418">
        <f t="shared" si="75"/>
        <v>102062</v>
      </c>
      <c r="H2418" s="1405">
        <v>283.38</v>
      </c>
      <c r="I2418" s="1405">
        <v>294.81</v>
      </c>
    </row>
    <row r="2419" spans="2:9" ht="30">
      <c r="B2419" s="1477">
        <v>102063</v>
      </c>
      <c r="C2419" s="740" t="s">
        <v>3908</v>
      </c>
      <c r="D2419" s="739" t="s">
        <v>0</v>
      </c>
      <c r="E2419" s="741">
        <f t="shared" si="74"/>
        <v>251.49</v>
      </c>
      <c r="F2419">
        <f t="shared" si="75"/>
        <v>102063</v>
      </c>
      <c r="H2419" s="1406">
        <v>241.96</v>
      </c>
      <c r="I2419" s="1406">
        <v>251.49</v>
      </c>
    </row>
    <row r="2420" spans="2:9" ht="30">
      <c r="B2420" s="677">
        <v>102064</v>
      </c>
      <c r="C2420" s="733" t="s">
        <v>3909</v>
      </c>
      <c r="D2420" s="677" t="s">
        <v>0</v>
      </c>
      <c r="E2420" s="738">
        <f t="shared" si="74"/>
        <v>220.9</v>
      </c>
      <c r="F2420">
        <f t="shared" si="75"/>
        <v>102064</v>
      </c>
      <c r="H2420" s="1405">
        <v>212.14</v>
      </c>
      <c r="I2420" s="1405">
        <v>220.9</v>
      </c>
    </row>
    <row r="2421" spans="2:9" ht="30">
      <c r="B2421" s="1477">
        <v>102065</v>
      </c>
      <c r="C2421" s="740" t="s">
        <v>3910</v>
      </c>
      <c r="D2421" s="739" t="s">
        <v>0</v>
      </c>
      <c r="E2421" s="741">
        <f t="shared" si="74"/>
        <v>203.98</v>
      </c>
      <c r="F2421">
        <f t="shared" si="75"/>
        <v>102065</v>
      </c>
      <c r="H2421" s="1406">
        <v>195.68</v>
      </c>
      <c r="I2421" s="1406">
        <v>203.98</v>
      </c>
    </row>
    <row r="2422" spans="2:9" ht="30">
      <c r="B2422" s="677">
        <v>102066</v>
      </c>
      <c r="C2422" s="733" t="s">
        <v>3911</v>
      </c>
      <c r="D2422" s="677" t="s">
        <v>0</v>
      </c>
      <c r="E2422" s="738">
        <f t="shared" si="74"/>
        <v>446.84</v>
      </c>
      <c r="F2422">
        <f t="shared" si="75"/>
        <v>102066</v>
      </c>
      <c r="H2422" s="1405">
        <v>426</v>
      </c>
      <c r="I2422" s="1405">
        <v>446.84</v>
      </c>
    </row>
    <row r="2423" spans="2:9" ht="30">
      <c r="B2423" s="1477">
        <v>102067</v>
      </c>
      <c r="C2423" s="740" t="s">
        <v>3912</v>
      </c>
      <c r="D2423" s="739" t="s">
        <v>0</v>
      </c>
      <c r="E2423" s="741">
        <f t="shared" si="74"/>
        <v>382.31</v>
      </c>
      <c r="F2423">
        <f t="shared" si="75"/>
        <v>102067</v>
      </c>
      <c r="H2423" s="1406">
        <v>365.72</v>
      </c>
      <c r="I2423" s="1406">
        <v>382.31</v>
      </c>
    </row>
    <row r="2424" spans="2:9" ht="30">
      <c r="B2424" s="677">
        <v>102068</v>
      </c>
      <c r="C2424" s="733" t="s">
        <v>3913</v>
      </c>
      <c r="D2424" s="677" t="s">
        <v>0</v>
      </c>
      <c r="E2424" s="738">
        <f t="shared" si="74"/>
        <v>279.70999999999998</v>
      </c>
      <c r="F2424">
        <f t="shared" si="75"/>
        <v>102068</v>
      </c>
      <c r="H2424" s="1405">
        <v>265.27999999999997</v>
      </c>
      <c r="I2424" s="1405">
        <v>279.70999999999998</v>
      </c>
    </row>
    <row r="2425" spans="2:9" ht="30">
      <c r="B2425" s="1477">
        <v>102069</v>
      </c>
      <c r="C2425" s="740" t="s">
        <v>3914</v>
      </c>
      <c r="D2425" s="739" t="s">
        <v>0</v>
      </c>
      <c r="E2425" s="741">
        <f t="shared" si="74"/>
        <v>263.23</v>
      </c>
      <c r="F2425">
        <f t="shared" si="75"/>
        <v>102069</v>
      </c>
      <c r="H2425" s="1406">
        <v>251.45</v>
      </c>
      <c r="I2425" s="1406">
        <v>263.23</v>
      </c>
    </row>
    <row r="2426" spans="2:9" ht="30">
      <c r="B2426" s="677">
        <v>102070</v>
      </c>
      <c r="C2426" s="733" t="s">
        <v>3915</v>
      </c>
      <c r="D2426" s="677" t="s">
        <v>0</v>
      </c>
      <c r="E2426" s="738">
        <f t="shared" si="74"/>
        <v>230.51</v>
      </c>
      <c r="F2426">
        <f t="shared" si="75"/>
        <v>102070</v>
      </c>
      <c r="H2426" s="1405">
        <v>220.78</v>
      </c>
      <c r="I2426" s="1405">
        <v>230.51</v>
      </c>
    </row>
    <row r="2427" spans="2:9" ht="30">
      <c r="B2427" s="1477">
        <v>102071</v>
      </c>
      <c r="C2427" s="740" t="s">
        <v>3916</v>
      </c>
      <c r="D2427" s="739" t="s">
        <v>0</v>
      </c>
      <c r="E2427" s="741">
        <f t="shared" si="74"/>
        <v>202.17</v>
      </c>
      <c r="F2427">
        <f t="shared" si="75"/>
        <v>102071</v>
      </c>
      <c r="H2427" s="1406">
        <v>193.24</v>
      </c>
      <c r="I2427" s="1406">
        <v>202.17</v>
      </c>
    </row>
    <row r="2428" spans="2:9" ht="30">
      <c r="B2428" s="677">
        <v>102072</v>
      </c>
      <c r="C2428" s="733" t="s">
        <v>3917</v>
      </c>
      <c r="D2428" s="677" t="s">
        <v>0</v>
      </c>
      <c r="E2428" s="738">
        <f t="shared" si="74"/>
        <v>194.21</v>
      </c>
      <c r="F2428">
        <f t="shared" si="75"/>
        <v>102072</v>
      </c>
      <c r="H2428" s="1405">
        <v>185.86</v>
      </c>
      <c r="I2428" s="1405">
        <v>194.21</v>
      </c>
    </row>
    <row r="2429" spans="2:9" ht="30">
      <c r="B2429" s="1477">
        <v>102073</v>
      </c>
      <c r="C2429" s="740" t="s">
        <v>8088</v>
      </c>
      <c r="D2429" s="739" t="s">
        <v>19</v>
      </c>
      <c r="E2429" s="741">
        <f t="shared" si="74"/>
        <v>4157.8900000000003</v>
      </c>
      <c r="F2429">
        <f t="shared" si="75"/>
        <v>102073</v>
      </c>
      <c r="H2429" s="1406">
        <v>4026.26</v>
      </c>
      <c r="I2429" s="1406">
        <v>4157.8900000000003</v>
      </c>
    </row>
    <row r="2430" spans="2:9" ht="30">
      <c r="B2430" s="677">
        <v>102074</v>
      </c>
      <c r="C2430" s="733" t="s">
        <v>8089</v>
      </c>
      <c r="D2430" s="677" t="s">
        <v>19</v>
      </c>
      <c r="E2430" s="738">
        <f t="shared" si="74"/>
        <v>4949.1400000000003</v>
      </c>
      <c r="F2430">
        <f t="shared" si="75"/>
        <v>102074</v>
      </c>
      <c r="H2430" s="1405">
        <v>4801.41</v>
      </c>
      <c r="I2430" s="1405">
        <v>4949.1400000000003</v>
      </c>
    </row>
    <row r="2431" spans="2:9" ht="30">
      <c r="B2431" s="1477">
        <v>102075</v>
      </c>
      <c r="C2431" s="740" t="s">
        <v>8090</v>
      </c>
      <c r="D2431" s="739" t="s">
        <v>19</v>
      </c>
      <c r="E2431" s="741">
        <f t="shared" si="74"/>
        <v>5119.3100000000004</v>
      </c>
      <c r="F2431">
        <f t="shared" si="75"/>
        <v>102075</v>
      </c>
      <c r="H2431" s="1406">
        <v>4966.13</v>
      </c>
      <c r="I2431" s="1406">
        <v>5119.3100000000004</v>
      </c>
    </row>
    <row r="2432" spans="2:9" ht="30">
      <c r="B2432" s="677">
        <v>102076</v>
      </c>
      <c r="C2432" s="733" t="s">
        <v>8091</v>
      </c>
      <c r="D2432" s="677" t="s">
        <v>19</v>
      </c>
      <c r="E2432" s="738">
        <f t="shared" si="74"/>
        <v>5285.91</v>
      </c>
      <c r="F2432">
        <f t="shared" si="75"/>
        <v>102076</v>
      </c>
      <c r="H2432" s="1405">
        <v>5136.42</v>
      </c>
      <c r="I2432" s="1405">
        <v>5285.91</v>
      </c>
    </row>
    <row r="2433" spans="2:9" ht="30">
      <c r="B2433" s="1477">
        <v>102077</v>
      </c>
      <c r="C2433" s="740" t="s">
        <v>8092</v>
      </c>
      <c r="D2433" s="739" t="s">
        <v>19</v>
      </c>
      <c r="E2433" s="741">
        <f t="shared" si="74"/>
        <v>5585.11</v>
      </c>
      <c r="F2433">
        <f t="shared" si="75"/>
        <v>102077</v>
      </c>
      <c r="H2433" s="1406">
        <v>5387.56</v>
      </c>
      <c r="I2433" s="1406">
        <v>5585.11</v>
      </c>
    </row>
    <row r="2434" spans="2:9" ht="30">
      <c r="B2434" s="677">
        <v>102078</v>
      </c>
      <c r="C2434" s="733" t="s">
        <v>8093</v>
      </c>
      <c r="D2434" s="677" t="s">
        <v>19</v>
      </c>
      <c r="E2434" s="738">
        <f t="shared" si="74"/>
        <v>5764.63</v>
      </c>
      <c r="F2434">
        <f t="shared" si="75"/>
        <v>102078</v>
      </c>
      <c r="H2434" s="1405">
        <v>5570</v>
      </c>
      <c r="I2434" s="1405">
        <v>5764.63</v>
      </c>
    </row>
    <row r="2435" spans="2:9" ht="30">
      <c r="B2435" s="1477">
        <v>102079</v>
      </c>
      <c r="C2435" s="740" t="s">
        <v>8094</v>
      </c>
      <c r="D2435" s="739" t="s">
        <v>19</v>
      </c>
      <c r="E2435" s="741">
        <f t="shared" ref="E2435:E2498" si="76">IF($K$2=$H$1,H2435,I2435)</f>
        <v>5514.97</v>
      </c>
      <c r="F2435">
        <f t="shared" ref="F2435:F2498" si="77">IF(LEN($B2435)=7,CONCATENATE(MID($B2435,1,6),"00",RIGHT($B2435,1)),IF(LEN($B2435)=8,CONCATENATE(MID($B2435,1,6),"0",RIGHT($B2435,2)),$B2435))</f>
        <v>102079</v>
      </c>
      <c r="H2435" s="1406">
        <v>5328.81</v>
      </c>
      <c r="I2435" s="1406">
        <v>5514.97</v>
      </c>
    </row>
    <row r="2436" spans="2:9" ht="30">
      <c r="B2436" s="677">
        <v>102080</v>
      </c>
      <c r="C2436" s="733" t="s">
        <v>8095</v>
      </c>
      <c r="D2436" s="677" t="s">
        <v>19</v>
      </c>
      <c r="E2436" s="738">
        <f t="shared" si="76"/>
        <v>4872.68</v>
      </c>
      <c r="F2436">
        <f t="shared" si="77"/>
        <v>102080</v>
      </c>
      <c r="H2436" s="1405">
        <v>4723.7299999999996</v>
      </c>
      <c r="I2436" s="1405">
        <v>4872.68</v>
      </c>
    </row>
    <row r="2437" spans="2:9" ht="30">
      <c r="B2437" s="1477">
        <v>102086</v>
      </c>
      <c r="C2437" s="740" t="s">
        <v>3918</v>
      </c>
      <c r="D2437" s="739" t="s">
        <v>0</v>
      </c>
      <c r="E2437" s="741">
        <f t="shared" si="76"/>
        <v>239.49</v>
      </c>
      <c r="F2437">
        <f t="shared" si="77"/>
        <v>102086</v>
      </c>
      <c r="H2437" s="1406">
        <v>236.41</v>
      </c>
      <c r="I2437" s="1406">
        <v>239.49</v>
      </c>
    </row>
    <row r="2438" spans="2:9" ht="30">
      <c r="B2438" s="677">
        <v>102087</v>
      </c>
      <c r="C2438" s="733" t="s">
        <v>3919</v>
      </c>
      <c r="D2438" s="677" t="s">
        <v>0</v>
      </c>
      <c r="E2438" s="738">
        <f t="shared" si="76"/>
        <v>188.65</v>
      </c>
      <c r="F2438">
        <f t="shared" si="77"/>
        <v>102087</v>
      </c>
      <c r="H2438" s="1405">
        <v>185.57</v>
      </c>
      <c r="I2438" s="1405">
        <v>188.65</v>
      </c>
    </row>
    <row r="2439" spans="2:9">
      <c r="B2439" s="1477">
        <v>102088</v>
      </c>
      <c r="C2439" s="740" t="s">
        <v>3920</v>
      </c>
      <c r="D2439" s="739" t="s">
        <v>0</v>
      </c>
      <c r="E2439" s="741">
        <f t="shared" si="76"/>
        <v>201.97</v>
      </c>
      <c r="F2439">
        <f t="shared" si="77"/>
        <v>102088</v>
      </c>
      <c r="H2439" s="1406">
        <v>198.75</v>
      </c>
      <c r="I2439" s="1406">
        <v>201.97</v>
      </c>
    </row>
    <row r="2440" spans="2:9" ht="30">
      <c r="B2440" s="677">
        <v>102089</v>
      </c>
      <c r="C2440" s="733" t="s">
        <v>3921</v>
      </c>
      <c r="D2440" s="677" t="s">
        <v>0</v>
      </c>
      <c r="E2440" s="738">
        <f t="shared" si="76"/>
        <v>219.07</v>
      </c>
      <c r="F2440">
        <f t="shared" si="77"/>
        <v>102089</v>
      </c>
      <c r="H2440" s="1405">
        <v>215.74</v>
      </c>
      <c r="I2440" s="1405">
        <v>219.07</v>
      </c>
    </row>
    <row r="2441" spans="2:9" ht="30">
      <c r="B2441" s="1477">
        <v>102090</v>
      </c>
      <c r="C2441" s="740" t="s">
        <v>3922</v>
      </c>
      <c r="D2441" s="739" t="s">
        <v>0</v>
      </c>
      <c r="E2441" s="741">
        <f t="shared" si="76"/>
        <v>161.4</v>
      </c>
      <c r="F2441">
        <f t="shared" si="77"/>
        <v>102090</v>
      </c>
      <c r="H2441" s="1406">
        <v>158.07</v>
      </c>
      <c r="I2441" s="1406">
        <v>161.4</v>
      </c>
    </row>
    <row r="2442" spans="2:9">
      <c r="B2442" s="677">
        <v>102091</v>
      </c>
      <c r="C2442" s="733" t="s">
        <v>3923</v>
      </c>
      <c r="D2442" s="677" t="s">
        <v>0</v>
      </c>
      <c r="E2442" s="738">
        <f t="shared" si="76"/>
        <v>228.43</v>
      </c>
      <c r="F2442">
        <f t="shared" si="77"/>
        <v>102091</v>
      </c>
      <c r="H2442" s="1405">
        <v>225.06</v>
      </c>
      <c r="I2442" s="1405">
        <v>228.43</v>
      </c>
    </row>
    <row r="2443" spans="2:9" ht="30">
      <c r="B2443" s="1477">
        <v>103760</v>
      </c>
      <c r="C2443" s="740" t="s">
        <v>5540</v>
      </c>
      <c r="D2443" s="739" t="s">
        <v>0</v>
      </c>
      <c r="E2443" s="741">
        <f t="shared" si="76"/>
        <v>116.62</v>
      </c>
      <c r="F2443">
        <f t="shared" si="77"/>
        <v>103760</v>
      </c>
      <c r="H2443" s="1406">
        <v>113.16</v>
      </c>
      <c r="I2443" s="1406">
        <v>116.62</v>
      </c>
    </row>
    <row r="2444" spans="2:9" ht="30">
      <c r="B2444" s="677">
        <v>103761</v>
      </c>
      <c r="C2444" s="733" t="s">
        <v>5541</v>
      </c>
      <c r="D2444" s="677" t="s">
        <v>0</v>
      </c>
      <c r="E2444" s="738">
        <f t="shared" si="76"/>
        <v>80.63</v>
      </c>
      <c r="F2444">
        <f t="shared" si="77"/>
        <v>103761</v>
      </c>
      <c r="H2444" s="1405">
        <v>77.44</v>
      </c>
      <c r="I2444" s="1405">
        <v>80.63</v>
      </c>
    </row>
    <row r="2445" spans="2:9" ht="30">
      <c r="B2445" s="1477">
        <v>103762</v>
      </c>
      <c r="C2445" s="740" t="s">
        <v>5542</v>
      </c>
      <c r="D2445" s="739" t="s">
        <v>0</v>
      </c>
      <c r="E2445" s="741">
        <f t="shared" si="76"/>
        <v>68.47</v>
      </c>
      <c r="F2445">
        <f t="shared" si="77"/>
        <v>103762</v>
      </c>
      <c r="H2445" s="1406">
        <v>65.55</v>
      </c>
      <c r="I2445" s="1406">
        <v>68.47</v>
      </c>
    </row>
    <row r="2446" spans="2:9" ht="30">
      <c r="B2446" s="677">
        <v>103763</v>
      </c>
      <c r="C2446" s="733" t="s">
        <v>5543</v>
      </c>
      <c r="D2446" s="677" t="s">
        <v>0</v>
      </c>
      <c r="E2446" s="738">
        <f t="shared" si="76"/>
        <v>60.45</v>
      </c>
      <c r="F2446">
        <f t="shared" si="77"/>
        <v>103763</v>
      </c>
      <c r="H2446" s="1405">
        <v>57.74</v>
      </c>
      <c r="I2446" s="1405">
        <v>60.45</v>
      </c>
    </row>
    <row r="2447" spans="2:9" ht="30">
      <c r="B2447" s="1477">
        <v>104925</v>
      </c>
      <c r="C2447" s="740" t="s">
        <v>14589</v>
      </c>
      <c r="D2447" s="739" t="s">
        <v>0</v>
      </c>
      <c r="E2447" s="741">
        <f t="shared" si="76"/>
        <v>187.06</v>
      </c>
      <c r="F2447">
        <f t="shared" si="77"/>
        <v>104925</v>
      </c>
      <c r="H2447" s="1406">
        <v>181.41</v>
      </c>
      <c r="I2447" s="1406">
        <v>187.06</v>
      </c>
    </row>
    <row r="2448" spans="2:9" ht="30">
      <c r="B2448" s="677">
        <v>104926</v>
      </c>
      <c r="C2448" s="733" t="s">
        <v>14590</v>
      </c>
      <c r="D2448" s="677" t="s">
        <v>0</v>
      </c>
      <c r="E2448" s="738">
        <f t="shared" si="76"/>
        <v>114.8</v>
      </c>
      <c r="F2448">
        <f t="shared" si="77"/>
        <v>104926</v>
      </c>
      <c r="H2448" s="1405">
        <v>110.15</v>
      </c>
      <c r="I2448" s="1405">
        <v>114.8</v>
      </c>
    </row>
    <row r="2449" spans="2:9" ht="30">
      <c r="B2449" s="1477">
        <v>104927</v>
      </c>
      <c r="C2449" s="740" t="s">
        <v>14591</v>
      </c>
      <c r="D2449" s="739" t="s">
        <v>0</v>
      </c>
      <c r="E2449" s="741">
        <f t="shared" si="76"/>
        <v>77.22</v>
      </c>
      <c r="F2449">
        <f t="shared" si="77"/>
        <v>104927</v>
      </c>
      <c r="H2449" s="1406">
        <v>73.09</v>
      </c>
      <c r="I2449" s="1406">
        <v>77.22</v>
      </c>
    </row>
    <row r="2450" spans="2:9" ht="30">
      <c r="B2450" s="677">
        <v>104928</v>
      </c>
      <c r="C2450" s="733" t="s">
        <v>14592</v>
      </c>
      <c r="D2450" s="677" t="s">
        <v>0</v>
      </c>
      <c r="E2450" s="738">
        <f t="shared" si="76"/>
        <v>153.22999999999999</v>
      </c>
      <c r="F2450">
        <f t="shared" si="77"/>
        <v>104928</v>
      </c>
      <c r="H2450" s="1405">
        <v>145.1</v>
      </c>
      <c r="I2450" s="1405">
        <v>153.22999999999999</v>
      </c>
    </row>
    <row r="2451" spans="2:9" ht="30">
      <c r="B2451" s="1477">
        <v>104929</v>
      </c>
      <c r="C2451" s="740" t="s">
        <v>14593</v>
      </c>
      <c r="D2451" s="739" t="s">
        <v>0</v>
      </c>
      <c r="E2451" s="741">
        <f t="shared" si="76"/>
        <v>92.14</v>
      </c>
      <c r="F2451">
        <f t="shared" si="77"/>
        <v>104929</v>
      </c>
      <c r="H2451" s="1406">
        <v>86.75</v>
      </c>
      <c r="I2451" s="1406">
        <v>92.14</v>
      </c>
    </row>
    <row r="2452" spans="2:9">
      <c r="B2452" s="677">
        <v>89996</v>
      </c>
      <c r="C2452" s="733" t="s">
        <v>5150</v>
      </c>
      <c r="D2452" s="677" t="s">
        <v>20</v>
      </c>
      <c r="E2452" s="738">
        <f t="shared" si="76"/>
        <v>11.74</v>
      </c>
      <c r="F2452">
        <f t="shared" si="77"/>
        <v>89996</v>
      </c>
      <c r="H2452" s="1405">
        <v>11.48</v>
      </c>
      <c r="I2452" s="1405">
        <v>11.74</v>
      </c>
    </row>
    <row r="2453" spans="2:9">
      <c r="B2453" s="1477">
        <v>89997</v>
      </c>
      <c r="C2453" s="740" t="s">
        <v>5151</v>
      </c>
      <c r="D2453" s="739" t="s">
        <v>20</v>
      </c>
      <c r="E2453" s="741">
        <f t="shared" si="76"/>
        <v>9.6199999999999992</v>
      </c>
      <c r="F2453">
        <f t="shared" si="77"/>
        <v>89997</v>
      </c>
      <c r="H2453" s="1406">
        <v>9.4499999999999993</v>
      </c>
      <c r="I2453" s="1406">
        <v>9.6199999999999992</v>
      </c>
    </row>
    <row r="2454" spans="2:9">
      <c r="B2454" s="677">
        <v>89998</v>
      </c>
      <c r="C2454" s="733" t="s">
        <v>5152</v>
      </c>
      <c r="D2454" s="677" t="s">
        <v>20</v>
      </c>
      <c r="E2454" s="738">
        <f t="shared" si="76"/>
        <v>11.22</v>
      </c>
      <c r="F2454">
        <f t="shared" si="77"/>
        <v>89998</v>
      </c>
      <c r="H2454" s="1405">
        <v>11.03</v>
      </c>
      <c r="I2454" s="1405">
        <v>11.22</v>
      </c>
    </row>
    <row r="2455" spans="2:9">
      <c r="B2455" s="1477">
        <v>89999</v>
      </c>
      <c r="C2455" s="740" t="s">
        <v>5153</v>
      </c>
      <c r="D2455" s="739" t="s">
        <v>20</v>
      </c>
      <c r="E2455" s="741">
        <f t="shared" si="76"/>
        <v>16.98</v>
      </c>
      <c r="F2455">
        <f t="shared" si="77"/>
        <v>89999</v>
      </c>
      <c r="H2455" s="1406">
        <v>16.25</v>
      </c>
      <c r="I2455" s="1406">
        <v>16.98</v>
      </c>
    </row>
    <row r="2456" spans="2:9">
      <c r="B2456" s="677">
        <v>90000</v>
      </c>
      <c r="C2456" s="733" t="s">
        <v>5154</v>
      </c>
      <c r="D2456" s="677" t="s">
        <v>20</v>
      </c>
      <c r="E2456" s="738">
        <f t="shared" si="76"/>
        <v>13.85</v>
      </c>
      <c r="F2456">
        <f t="shared" si="77"/>
        <v>90000</v>
      </c>
      <c r="H2456" s="1405">
        <v>13.39</v>
      </c>
      <c r="I2456" s="1405">
        <v>13.85</v>
      </c>
    </row>
    <row r="2457" spans="2:9" ht="30">
      <c r="B2457" s="1477">
        <v>91593</v>
      </c>
      <c r="C2457" s="740" t="s">
        <v>2200</v>
      </c>
      <c r="D2457" s="739" t="s">
        <v>20</v>
      </c>
      <c r="E2457" s="741">
        <f t="shared" si="76"/>
        <v>11.99</v>
      </c>
      <c r="F2457">
        <f t="shared" si="77"/>
        <v>91593</v>
      </c>
      <c r="H2457" s="1406">
        <v>11.91</v>
      </c>
      <c r="I2457" s="1406">
        <v>11.99</v>
      </c>
    </row>
    <row r="2458" spans="2:9" ht="30">
      <c r="B2458" s="677">
        <v>91594</v>
      </c>
      <c r="C2458" s="733" t="s">
        <v>2201</v>
      </c>
      <c r="D2458" s="677" t="s">
        <v>20</v>
      </c>
      <c r="E2458" s="738">
        <f t="shared" si="76"/>
        <v>12.41</v>
      </c>
      <c r="F2458">
        <f t="shared" si="77"/>
        <v>91594</v>
      </c>
      <c r="H2458" s="1405">
        <v>12.29</v>
      </c>
      <c r="I2458" s="1405">
        <v>12.41</v>
      </c>
    </row>
    <row r="2459" spans="2:9">
      <c r="B2459" s="1477">
        <v>91595</v>
      </c>
      <c r="C2459" s="740" t="s">
        <v>2202</v>
      </c>
      <c r="D2459" s="739" t="s">
        <v>20</v>
      </c>
      <c r="E2459" s="741">
        <f t="shared" si="76"/>
        <v>13.08</v>
      </c>
      <c r="F2459">
        <f t="shared" si="77"/>
        <v>91595</v>
      </c>
      <c r="H2459" s="1406">
        <v>12.9</v>
      </c>
      <c r="I2459" s="1406">
        <v>13.08</v>
      </c>
    </row>
    <row r="2460" spans="2:9">
      <c r="B2460" s="677">
        <v>91596</v>
      </c>
      <c r="C2460" s="733" t="s">
        <v>2203</v>
      </c>
      <c r="D2460" s="677" t="s">
        <v>20</v>
      </c>
      <c r="E2460" s="738">
        <f t="shared" si="76"/>
        <v>12.29</v>
      </c>
      <c r="F2460">
        <f t="shared" si="77"/>
        <v>91596</v>
      </c>
      <c r="H2460" s="1405">
        <v>12.19</v>
      </c>
      <c r="I2460" s="1405">
        <v>12.29</v>
      </c>
    </row>
    <row r="2461" spans="2:9">
      <c r="B2461" s="1477">
        <v>91597</v>
      </c>
      <c r="C2461" s="740" t="s">
        <v>2204</v>
      </c>
      <c r="D2461" s="739" t="s">
        <v>20</v>
      </c>
      <c r="E2461" s="741">
        <f t="shared" si="76"/>
        <v>8.7100000000000009</v>
      </c>
      <c r="F2461">
        <f t="shared" si="77"/>
        <v>91597</v>
      </c>
      <c r="H2461" s="1406">
        <v>8.59</v>
      </c>
      <c r="I2461" s="1406">
        <v>8.7100000000000009</v>
      </c>
    </row>
    <row r="2462" spans="2:9">
      <c r="B2462" s="677">
        <v>91598</v>
      </c>
      <c r="C2462" s="733" t="s">
        <v>2205</v>
      </c>
      <c r="D2462" s="677" t="s">
        <v>20</v>
      </c>
      <c r="E2462" s="738">
        <f t="shared" si="76"/>
        <v>12.05</v>
      </c>
      <c r="F2462">
        <f t="shared" si="77"/>
        <v>91598</v>
      </c>
      <c r="H2462" s="1405">
        <v>11.91</v>
      </c>
      <c r="I2462" s="1405">
        <v>12.05</v>
      </c>
    </row>
    <row r="2463" spans="2:9">
      <c r="B2463" s="1477">
        <v>91599</v>
      </c>
      <c r="C2463" s="740" t="s">
        <v>2206</v>
      </c>
      <c r="D2463" s="739" t="s">
        <v>20</v>
      </c>
      <c r="E2463" s="741">
        <f t="shared" si="76"/>
        <v>9.08</v>
      </c>
      <c r="F2463">
        <f t="shared" si="77"/>
        <v>91599</v>
      </c>
      <c r="H2463" s="1406">
        <v>8.94</v>
      </c>
      <c r="I2463" s="1406">
        <v>9.08</v>
      </c>
    </row>
    <row r="2464" spans="2:9">
      <c r="B2464" s="677">
        <v>91600</v>
      </c>
      <c r="C2464" s="733" t="s">
        <v>2207</v>
      </c>
      <c r="D2464" s="677" t="s">
        <v>20</v>
      </c>
      <c r="E2464" s="738">
        <f t="shared" si="76"/>
        <v>14.77</v>
      </c>
      <c r="F2464">
        <f t="shared" si="77"/>
        <v>91600</v>
      </c>
      <c r="H2464" s="1405">
        <v>14.43</v>
      </c>
      <c r="I2464" s="1405">
        <v>14.77</v>
      </c>
    </row>
    <row r="2465" spans="2:9">
      <c r="B2465" s="1477">
        <v>91601</v>
      </c>
      <c r="C2465" s="740" t="s">
        <v>2208</v>
      </c>
      <c r="D2465" s="739" t="s">
        <v>20</v>
      </c>
      <c r="E2465" s="741">
        <f t="shared" si="76"/>
        <v>13.64</v>
      </c>
      <c r="F2465">
        <f t="shared" si="77"/>
        <v>91601</v>
      </c>
      <c r="H2465" s="1406">
        <v>13.38</v>
      </c>
      <c r="I2465" s="1406">
        <v>13.64</v>
      </c>
    </row>
    <row r="2466" spans="2:9">
      <c r="B2466" s="677">
        <v>91602</v>
      </c>
      <c r="C2466" s="733" t="s">
        <v>2209</v>
      </c>
      <c r="D2466" s="677" t="s">
        <v>20</v>
      </c>
      <c r="E2466" s="738">
        <f t="shared" si="76"/>
        <v>12.72</v>
      </c>
      <c r="F2466">
        <f t="shared" si="77"/>
        <v>91602</v>
      </c>
      <c r="H2466" s="1405">
        <v>12.56</v>
      </c>
      <c r="I2466" s="1405">
        <v>12.72</v>
      </c>
    </row>
    <row r="2467" spans="2:9" ht="30">
      <c r="B2467" s="1477">
        <v>91603</v>
      </c>
      <c r="C2467" s="740" t="s">
        <v>2210</v>
      </c>
      <c r="D2467" s="739" t="s">
        <v>20</v>
      </c>
      <c r="E2467" s="741">
        <f t="shared" si="76"/>
        <v>12.01</v>
      </c>
      <c r="F2467">
        <f t="shared" si="77"/>
        <v>91603</v>
      </c>
      <c r="H2467" s="1406">
        <v>11.86</v>
      </c>
      <c r="I2467" s="1406">
        <v>12.01</v>
      </c>
    </row>
    <row r="2468" spans="2:9" ht="30">
      <c r="B2468" s="677">
        <v>92759</v>
      </c>
      <c r="C2468" s="733" t="s">
        <v>5884</v>
      </c>
      <c r="D2468" s="677" t="s">
        <v>20</v>
      </c>
      <c r="E2468" s="738">
        <f t="shared" si="76"/>
        <v>15.05</v>
      </c>
      <c r="F2468">
        <f t="shared" si="77"/>
        <v>92759</v>
      </c>
      <c r="H2468" s="1405">
        <v>14.56</v>
      </c>
      <c r="I2468" s="1405">
        <v>15.05</v>
      </c>
    </row>
    <row r="2469" spans="2:9" ht="30">
      <c r="B2469" s="1477">
        <v>92760</v>
      </c>
      <c r="C2469" s="740" t="s">
        <v>5885</v>
      </c>
      <c r="D2469" s="739" t="s">
        <v>20</v>
      </c>
      <c r="E2469" s="741">
        <f t="shared" si="76"/>
        <v>14.48</v>
      </c>
      <c r="F2469">
        <f t="shared" si="77"/>
        <v>92760</v>
      </c>
      <c r="H2469" s="1406">
        <v>14.16</v>
      </c>
      <c r="I2469" s="1406">
        <v>14.48</v>
      </c>
    </row>
    <row r="2470" spans="2:9" ht="30">
      <c r="B2470" s="677">
        <v>92761</v>
      </c>
      <c r="C2470" s="733" t="s">
        <v>5886</v>
      </c>
      <c r="D2470" s="677" t="s">
        <v>20</v>
      </c>
      <c r="E2470" s="738">
        <f t="shared" si="76"/>
        <v>13.81</v>
      </c>
      <c r="F2470">
        <f t="shared" si="77"/>
        <v>92761</v>
      </c>
      <c r="H2470" s="1405">
        <v>13.59</v>
      </c>
      <c r="I2470" s="1405">
        <v>13.81</v>
      </c>
    </row>
    <row r="2471" spans="2:9" ht="30">
      <c r="B2471" s="1477">
        <v>92762</v>
      </c>
      <c r="C2471" s="740" t="s">
        <v>5887</v>
      </c>
      <c r="D2471" s="739" t="s">
        <v>20</v>
      </c>
      <c r="E2471" s="741">
        <f t="shared" si="76"/>
        <v>12.43</v>
      </c>
      <c r="F2471">
        <f t="shared" si="77"/>
        <v>92762</v>
      </c>
      <c r="H2471" s="1406">
        <v>12.29</v>
      </c>
      <c r="I2471" s="1406">
        <v>12.43</v>
      </c>
    </row>
    <row r="2472" spans="2:9" ht="30">
      <c r="B2472" s="677">
        <v>92763</v>
      </c>
      <c r="C2472" s="733" t="s">
        <v>5888</v>
      </c>
      <c r="D2472" s="677" t="s">
        <v>20</v>
      </c>
      <c r="E2472" s="738">
        <f t="shared" si="76"/>
        <v>10.52</v>
      </c>
      <c r="F2472">
        <f t="shared" si="77"/>
        <v>92763</v>
      </c>
      <c r="H2472" s="1405">
        <v>10.42</v>
      </c>
      <c r="I2472" s="1405">
        <v>10.52</v>
      </c>
    </row>
    <row r="2473" spans="2:9" ht="30">
      <c r="B2473" s="1477">
        <v>92764</v>
      </c>
      <c r="C2473" s="740" t="s">
        <v>5889</v>
      </c>
      <c r="D2473" s="739" t="s">
        <v>20</v>
      </c>
      <c r="E2473" s="741">
        <f t="shared" si="76"/>
        <v>10.220000000000001</v>
      </c>
      <c r="F2473">
        <f t="shared" si="77"/>
        <v>92764</v>
      </c>
      <c r="H2473" s="1406">
        <v>10.16</v>
      </c>
      <c r="I2473" s="1406">
        <v>10.220000000000001</v>
      </c>
    </row>
    <row r="2474" spans="2:9" ht="30">
      <c r="B2474" s="677">
        <v>92765</v>
      </c>
      <c r="C2474" s="733" t="s">
        <v>5890</v>
      </c>
      <c r="D2474" s="677" t="s">
        <v>20</v>
      </c>
      <c r="E2474" s="738">
        <f t="shared" si="76"/>
        <v>11.7</v>
      </c>
      <c r="F2474">
        <f t="shared" si="77"/>
        <v>92765</v>
      </c>
      <c r="H2474" s="1405">
        <v>11.64</v>
      </c>
      <c r="I2474" s="1405">
        <v>11.7</v>
      </c>
    </row>
    <row r="2475" spans="2:9" ht="30">
      <c r="B2475" s="1477">
        <v>92766</v>
      </c>
      <c r="C2475" s="740" t="s">
        <v>5891</v>
      </c>
      <c r="D2475" s="739" t="s">
        <v>20</v>
      </c>
      <c r="E2475" s="741">
        <f t="shared" si="76"/>
        <v>11.59</v>
      </c>
      <c r="F2475">
        <f t="shared" si="77"/>
        <v>92766</v>
      </c>
      <c r="H2475" s="1406">
        <v>11.55</v>
      </c>
      <c r="I2475" s="1406">
        <v>11.59</v>
      </c>
    </row>
    <row r="2476" spans="2:9" ht="30">
      <c r="B2476" s="677">
        <v>92767</v>
      </c>
      <c r="C2476" s="733" t="s">
        <v>5892</v>
      </c>
      <c r="D2476" s="677" t="s">
        <v>20</v>
      </c>
      <c r="E2476" s="738">
        <f t="shared" si="76"/>
        <v>16.36</v>
      </c>
      <c r="F2476">
        <f t="shared" si="77"/>
        <v>92767</v>
      </c>
      <c r="H2476" s="1405">
        <v>15.79</v>
      </c>
      <c r="I2476" s="1405">
        <v>16.36</v>
      </c>
    </row>
    <row r="2477" spans="2:9" ht="30">
      <c r="B2477" s="1477">
        <v>92768</v>
      </c>
      <c r="C2477" s="740" t="s">
        <v>5893</v>
      </c>
      <c r="D2477" s="739" t="s">
        <v>20</v>
      </c>
      <c r="E2477" s="741">
        <f t="shared" si="76"/>
        <v>14.58</v>
      </c>
      <c r="F2477">
        <f t="shared" si="77"/>
        <v>92768</v>
      </c>
      <c r="H2477" s="1406">
        <v>14.16</v>
      </c>
      <c r="I2477" s="1406">
        <v>14.58</v>
      </c>
    </row>
    <row r="2478" spans="2:9" ht="30">
      <c r="B2478" s="677">
        <v>92769</v>
      </c>
      <c r="C2478" s="733" t="s">
        <v>5894</v>
      </c>
      <c r="D2478" s="677" t="s">
        <v>20</v>
      </c>
      <c r="E2478" s="738">
        <f t="shared" si="76"/>
        <v>14.01</v>
      </c>
      <c r="F2478">
        <f t="shared" si="77"/>
        <v>92769</v>
      </c>
      <c r="H2478" s="1405">
        <v>13.73</v>
      </c>
      <c r="I2478" s="1405">
        <v>14.01</v>
      </c>
    </row>
    <row r="2479" spans="2:9" ht="30">
      <c r="B2479" s="1477">
        <v>92770</v>
      </c>
      <c r="C2479" s="740" t="s">
        <v>5895</v>
      </c>
      <c r="D2479" s="739" t="s">
        <v>20</v>
      </c>
      <c r="E2479" s="741">
        <f t="shared" si="76"/>
        <v>13.36</v>
      </c>
      <c r="F2479">
        <f t="shared" si="77"/>
        <v>92770</v>
      </c>
      <c r="H2479" s="1406">
        <v>13.18</v>
      </c>
      <c r="I2479" s="1406">
        <v>13.36</v>
      </c>
    </row>
    <row r="2480" spans="2:9" ht="30">
      <c r="B2480" s="677">
        <v>92771</v>
      </c>
      <c r="C2480" s="733" t="s">
        <v>5896</v>
      </c>
      <c r="D2480" s="677" t="s">
        <v>20</v>
      </c>
      <c r="E2480" s="738">
        <f t="shared" si="76"/>
        <v>12.01</v>
      </c>
      <c r="F2480">
        <f t="shared" si="77"/>
        <v>92771</v>
      </c>
      <c r="H2480" s="1405">
        <v>11.9</v>
      </c>
      <c r="I2480" s="1405">
        <v>12.01</v>
      </c>
    </row>
    <row r="2481" spans="2:9" ht="30">
      <c r="B2481" s="1477">
        <v>92772</v>
      </c>
      <c r="C2481" s="740" t="s">
        <v>5897</v>
      </c>
      <c r="D2481" s="739" t="s">
        <v>20</v>
      </c>
      <c r="E2481" s="741">
        <f t="shared" si="76"/>
        <v>10.130000000000001</v>
      </c>
      <c r="F2481">
        <f t="shared" si="77"/>
        <v>92772</v>
      </c>
      <c r="H2481" s="1406">
        <v>10.07</v>
      </c>
      <c r="I2481" s="1406">
        <v>10.130000000000001</v>
      </c>
    </row>
    <row r="2482" spans="2:9" ht="30">
      <c r="B2482" s="677">
        <v>92773</v>
      </c>
      <c r="C2482" s="733" t="s">
        <v>5898</v>
      </c>
      <c r="D2482" s="677" t="s">
        <v>20</v>
      </c>
      <c r="E2482" s="738">
        <f t="shared" si="76"/>
        <v>9.9700000000000006</v>
      </c>
      <c r="F2482">
        <f t="shared" si="77"/>
        <v>92773</v>
      </c>
      <c r="H2482" s="1405">
        <v>9.92</v>
      </c>
      <c r="I2482" s="1405">
        <v>9.9700000000000006</v>
      </c>
    </row>
    <row r="2483" spans="2:9" ht="30">
      <c r="B2483" s="1477">
        <v>92774</v>
      </c>
      <c r="C2483" s="740" t="s">
        <v>5899</v>
      </c>
      <c r="D2483" s="739" t="s">
        <v>20</v>
      </c>
      <c r="E2483" s="741">
        <f t="shared" si="76"/>
        <v>11.55</v>
      </c>
      <c r="F2483">
        <f t="shared" si="77"/>
        <v>92774</v>
      </c>
      <c r="H2483" s="1406">
        <v>11.51</v>
      </c>
      <c r="I2483" s="1406">
        <v>11.55</v>
      </c>
    </row>
    <row r="2484" spans="2:9">
      <c r="B2484" s="677">
        <v>92798</v>
      </c>
      <c r="C2484" s="733" t="s">
        <v>5900</v>
      </c>
      <c r="D2484" s="677" t="s">
        <v>20</v>
      </c>
      <c r="E2484" s="738">
        <f t="shared" si="76"/>
        <v>10.61</v>
      </c>
      <c r="F2484">
        <f t="shared" si="77"/>
        <v>92798</v>
      </c>
      <c r="H2484" s="1405">
        <v>10.61</v>
      </c>
      <c r="I2484" s="1405">
        <v>10.61</v>
      </c>
    </row>
    <row r="2485" spans="2:9">
      <c r="B2485" s="1477">
        <v>92799</v>
      </c>
      <c r="C2485" s="740" t="s">
        <v>5901</v>
      </c>
      <c r="D2485" s="739" t="s">
        <v>20</v>
      </c>
      <c r="E2485" s="741">
        <f t="shared" si="76"/>
        <v>12.09</v>
      </c>
      <c r="F2485">
        <f t="shared" si="77"/>
        <v>92799</v>
      </c>
      <c r="H2485" s="1406">
        <v>11.82</v>
      </c>
      <c r="I2485" s="1406">
        <v>12.09</v>
      </c>
    </row>
    <row r="2486" spans="2:9">
      <c r="B2486" s="677">
        <v>92800</v>
      </c>
      <c r="C2486" s="733" t="s">
        <v>5902</v>
      </c>
      <c r="D2486" s="677" t="s">
        <v>20</v>
      </c>
      <c r="E2486" s="738">
        <f t="shared" si="76"/>
        <v>11.08</v>
      </c>
      <c r="F2486">
        <f t="shared" si="77"/>
        <v>92800</v>
      </c>
      <c r="H2486" s="1405">
        <v>10.91</v>
      </c>
      <c r="I2486" s="1405">
        <v>11.08</v>
      </c>
    </row>
    <row r="2487" spans="2:9">
      <c r="B2487" s="1477">
        <v>92801</v>
      </c>
      <c r="C2487" s="740" t="s">
        <v>5903</v>
      </c>
      <c r="D2487" s="739" t="s">
        <v>20</v>
      </c>
      <c r="E2487" s="741">
        <f t="shared" si="76"/>
        <v>11.37</v>
      </c>
      <c r="F2487">
        <f t="shared" si="77"/>
        <v>92801</v>
      </c>
      <c r="H2487" s="1406">
        <v>11.28</v>
      </c>
      <c r="I2487" s="1406">
        <v>11.37</v>
      </c>
    </row>
    <row r="2488" spans="2:9">
      <c r="B2488" s="677">
        <v>92802</v>
      </c>
      <c r="C2488" s="733" t="s">
        <v>5904</v>
      </c>
      <c r="D2488" s="677" t="s">
        <v>20</v>
      </c>
      <c r="E2488" s="738">
        <f t="shared" si="76"/>
        <v>11.41</v>
      </c>
      <c r="F2488">
        <f t="shared" si="77"/>
        <v>92802</v>
      </c>
      <c r="H2488" s="1405">
        <v>11.36</v>
      </c>
      <c r="I2488" s="1405">
        <v>11.41</v>
      </c>
    </row>
    <row r="2489" spans="2:9">
      <c r="B2489" s="1477">
        <v>92803</v>
      </c>
      <c r="C2489" s="740" t="s">
        <v>5905</v>
      </c>
      <c r="D2489" s="739" t="s">
        <v>20</v>
      </c>
      <c r="E2489" s="741">
        <f t="shared" si="76"/>
        <v>10.57</v>
      </c>
      <c r="F2489">
        <f t="shared" si="77"/>
        <v>92803</v>
      </c>
      <c r="H2489" s="1406">
        <v>10.54</v>
      </c>
      <c r="I2489" s="1406">
        <v>10.57</v>
      </c>
    </row>
    <row r="2490" spans="2:9">
      <c r="B2490" s="677">
        <v>92804</v>
      </c>
      <c r="C2490" s="733" t="s">
        <v>5906</v>
      </c>
      <c r="D2490" s="677" t="s">
        <v>20</v>
      </c>
      <c r="E2490" s="738">
        <f t="shared" si="76"/>
        <v>9.07</v>
      </c>
      <c r="F2490">
        <f t="shared" si="77"/>
        <v>92804</v>
      </c>
      <c r="H2490" s="1405">
        <v>9.0500000000000007</v>
      </c>
      <c r="I2490" s="1405">
        <v>9.07</v>
      </c>
    </row>
    <row r="2491" spans="2:9">
      <c r="B2491" s="1477">
        <v>92805</v>
      </c>
      <c r="C2491" s="740" t="s">
        <v>5907</v>
      </c>
      <c r="D2491" s="739" t="s">
        <v>20</v>
      </c>
      <c r="E2491" s="741">
        <f t="shared" si="76"/>
        <v>9</v>
      </c>
      <c r="F2491">
        <f t="shared" si="77"/>
        <v>92805</v>
      </c>
      <c r="H2491" s="1406">
        <v>8.99</v>
      </c>
      <c r="I2491" s="1406">
        <v>9</v>
      </c>
    </row>
    <row r="2492" spans="2:9">
      <c r="B2492" s="677">
        <v>92806</v>
      </c>
      <c r="C2492" s="733" t="s">
        <v>5908</v>
      </c>
      <c r="D2492" s="677" t="s">
        <v>20</v>
      </c>
      <c r="E2492" s="738">
        <f t="shared" si="76"/>
        <v>10.62</v>
      </c>
      <c r="F2492">
        <f t="shared" si="77"/>
        <v>92806</v>
      </c>
      <c r="H2492" s="1405">
        <v>10.61</v>
      </c>
      <c r="I2492" s="1405">
        <v>10.62</v>
      </c>
    </row>
    <row r="2493" spans="2:9">
      <c r="B2493" s="1477">
        <v>92875</v>
      </c>
      <c r="C2493" s="740" t="s">
        <v>5909</v>
      </c>
      <c r="D2493" s="739" t="s">
        <v>20</v>
      </c>
      <c r="E2493" s="741">
        <f t="shared" si="76"/>
        <v>10.73</v>
      </c>
      <c r="F2493">
        <f t="shared" si="77"/>
        <v>92875</v>
      </c>
      <c r="H2493" s="1406">
        <v>10.61</v>
      </c>
      <c r="I2493" s="1406">
        <v>10.73</v>
      </c>
    </row>
    <row r="2494" spans="2:9">
      <c r="B2494" s="677">
        <v>92876</v>
      </c>
      <c r="C2494" s="733" t="s">
        <v>5910</v>
      </c>
      <c r="D2494" s="677" t="s">
        <v>20</v>
      </c>
      <c r="E2494" s="738">
        <f t="shared" si="76"/>
        <v>10.53</v>
      </c>
      <c r="F2494">
        <f t="shared" si="77"/>
        <v>92876</v>
      </c>
      <c r="H2494" s="1405">
        <v>10.47</v>
      </c>
      <c r="I2494" s="1405">
        <v>10.53</v>
      </c>
    </row>
    <row r="2495" spans="2:9">
      <c r="B2495" s="1477">
        <v>92877</v>
      </c>
      <c r="C2495" s="740" t="s">
        <v>5911</v>
      </c>
      <c r="D2495" s="739" t="s">
        <v>20</v>
      </c>
      <c r="E2495" s="741">
        <f t="shared" si="76"/>
        <v>11.44</v>
      </c>
      <c r="F2495">
        <f t="shared" si="77"/>
        <v>92877</v>
      </c>
      <c r="H2495" s="1406">
        <v>11.41</v>
      </c>
      <c r="I2495" s="1406">
        <v>11.44</v>
      </c>
    </row>
    <row r="2496" spans="2:9">
      <c r="B2496" s="677">
        <v>92878</v>
      </c>
      <c r="C2496" s="733" t="s">
        <v>5912</v>
      </c>
      <c r="D2496" s="677" t="s">
        <v>20</v>
      </c>
      <c r="E2496" s="738">
        <f t="shared" si="76"/>
        <v>11.29</v>
      </c>
      <c r="F2496">
        <f t="shared" si="77"/>
        <v>92878</v>
      </c>
      <c r="H2496" s="1405">
        <v>11.26</v>
      </c>
      <c r="I2496" s="1405">
        <v>11.29</v>
      </c>
    </row>
    <row r="2497" spans="2:9">
      <c r="B2497" s="1477">
        <v>92879</v>
      </c>
      <c r="C2497" s="740" t="s">
        <v>5913</v>
      </c>
      <c r="D2497" s="739" t="s">
        <v>20</v>
      </c>
      <c r="E2497" s="741">
        <f t="shared" si="76"/>
        <v>11.19</v>
      </c>
      <c r="F2497">
        <f t="shared" si="77"/>
        <v>92879</v>
      </c>
      <c r="H2497" s="1406">
        <v>11.18</v>
      </c>
      <c r="I2497" s="1406">
        <v>11.19</v>
      </c>
    </row>
    <row r="2498" spans="2:9">
      <c r="B2498" s="677">
        <v>92880</v>
      </c>
      <c r="C2498" s="733" t="s">
        <v>5914</v>
      </c>
      <c r="D2498" s="677" t="s">
        <v>20</v>
      </c>
      <c r="E2498" s="738">
        <f t="shared" si="76"/>
        <v>11.45</v>
      </c>
      <c r="F2498">
        <f t="shared" si="77"/>
        <v>92880</v>
      </c>
      <c r="H2498" s="1405">
        <v>11.44</v>
      </c>
      <c r="I2498" s="1405">
        <v>11.45</v>
      </c>
    </row>
    <row r="2499" spans="2:9">
      <c r="B2499" s="1477">
        <v>92881</v>
      </c>
      <c r="C2499" s="740" t="s">
        <v>5915</v>
      </c>
      <c r="D2499" s="739" t="s">
        <v>20</v>
      </c>
      <c r="E2499" s="741">
        <f t="shared" ref="E2499:E2562" si="78">IF($K$2=$H$1,H2499,I2499)</f>
        <v>11.42</v>
      </c>
      <c r="F2499">
        <f t="shared" ref="F2499:F2562" si="79">IF(LEN($B2499)=7,CONCATENATE(MID($B2499,1,6),"00",RIGHT($B2499,1)),IF(LEN($B2499)=8,CONCATENATE(MID($B2499,1,6),"0",RIGHT($B2499,2)),$B2499))</f>
        <v>92881</v>
      </c>
      <c r="H2499" s="1406">
        <v>11.42</v>
      </c>
      <c r="I2499" s="1406">
        <v>11.42</v>
      </c>
    </row>
    <row r="2500" spans="2:9">
      <c r="B2500" s="677">
        <v>92882</v>
      </c>
      <c r="C2500" s="733" t="s">
        <v>5916</v>
      </c>
      <c r="D2500" s="677" t="s">
        <v>20</v>
      </c>
      <c r="E2500" s="738">
        <f t="shared" si="78"/>
        <v>14.3</v>
      </c>
      <c r="F2500">
        <f t="shared" si="79"/>
        <v>92882</v>
      </c>
      <c r="H2500" s="1405">
        <v>13.9</v>
      </c>
      <c r="I2500" s="1405">
        <v>14.3</v>
      </c>
    </row>
    <row r="2501" spans="2:9">
      <c r="B2501" s="1477">
        <v>92883</v>
      </c>
      <c r="C2501" s="740" t="s">
        <v>5917</v>
      </c>
      <c r="D2501" s="739" t="s">
        <v>20</v>
      </c>
      <c r="E2501" s="741">
        <f t="shared" si="78"/>
        <v>13.35</v>
      </c>
      <c r="F2501">
        <f t="shared" si="79"/>
        <v>92883</v>
      </c>
      <c r="H2501" s="1406">
        <v>13.08</v>
      </c>
      <c r="I2501" s="1406">
        <v>13.35</v>
      </c>
    </row>
    <row r="2502" spans="2:9">
      <c r="B2502" s="677">
        <v>92884</v>
      </c>
      <c r="C2502" s="733" t="s">
        <v>5918</v>
      </c>
      <c r="D2502" s="677" t="s">
        <v>20</v>
      </c>
      <c r="E2502" s="738">
        <f t="shared" si="78"/>
        <v>13.7</v>
      </c>
      <c r="F2502">
        <f t="shared" si="79"/>
        <v>92884</v>
      </c>
      <c r="H2502" s="1405">
        <v>13.51</v>
      </c>
      <c r="I2502" s="1405">
        <v>13.7</v>
      </c>
    </row>
    <row r="2503" spans="2:9">
      <c r="B2503" s="1477">
        <v>92885</v>
      </c>
      <c r="C2503" s="740" t="s">
        <v>5919</v>
      </c>
      <c r="D2503" s="739" t="s">
        <v>20</v>
      </c>
      <c r="E2503" s="741">
        <f t="shared" si="78"/>
        <v>13.11</v>
      </c>
      <c r="F2503">
        <f t="shared" si="79"/>
        <v>92885</v>
      </c>
      <c r="H2503" s="1406">
        <v>12.96</v>
      </c>
      <c r="I2503" s="1406">
        <v>13.11</v>
      </c>
    </row>
    <row r="2504" spans="2:9">
      <c r="B2504" s="677">
        <v>92886</v>
      </c>
      <c r="C2504" s="733" t="s">
        <v>5920</v>
      </c>
      <c r="D2504" s="677" t="s">
        <v>20</v>
      </c>
      <c r="E2504" s="738">
        <f t="shared" si="78"/>
        <v>12.61</v>
      </c>
      <c r="F2504">
        <f t="shared" si="79"/>
        <v>92886</v>
      </c>
      <c r="H2504" s="1405">
        <v>12.52</v>
      </c>
      <c r="I2504" s="1405">
        <v>12.61</v>
      </c>
    </row>
    <row r="2505" spans="2:9">
      <c r="B2505" s="1477">
        <v>92887</v>
      </c>
      <c r="C2505" s="740" t="s">
        <v>5921</v>
      </c>
      <c r="D2505" s="739" t="s">
        <v>20</v>
      </c>
      <c r="E2505" s="741">
        <f t="shared" si="78"/>
        <v>12.59</v>
      </c>
      <c r="F2505">
        <f t="shared" si="79"/>
        <v>92887</v>
      </c>
      <c r="H2505" s="1406">
        <v>12.53</v>
      </c>
      <c r="I2505" s="1406">
        <v>12.59</v>
      </c>
    </row>
    <row r="2506" spans="2:9">
      <c r="B2506" s="677">
        <v>92888</v>
      </c>
      <c r="C2506" s="733" t="s">
        <v>5922</v>
      </c>
      <c r="D2506" s="677" t="s">
        <v>20</v>
      </c>
      <c r="E2506" s="738">
        <f t="shared" si="78"/>
        <v>12.33</v>
      </c>
      <c r="F2506">
        <f t="shared" si="79"/>
        <v>92888</v>
      </c>
      <c r="H2506" s="1405">
        <v>12.3</v>
      </c>
      <c r="I2506" s="1405">
        <v>12.33</v>
      </c>
    </row>
    <row r="2507" spans="2:9" ht="30">
      <c r="B2507" s="1477">
        <v>92915</v>
      </c>
      <c r="C2507" s="740" t="s">
        <v>5923</v>
      </c>
      <c r="D2507" s="739" t="s">
        <v>20</v>
      </c>
      <c r="E2507" s="741">
        <f t="shared" si="78"/>
        <v>17.54</v>
      </c>
      <c r="F2507">
        <f t="shared" si="79"/>
        <v>92915</v>
      </c>
      <c r="H2507" s="1406">
        <v>16.8</v>
      </c>
      <c r="I2507" s="1406">
        <v>17.54</v>
      </c>
    </row>
    <row r="2508" spans="2:9" ht="30">
      <c r="B2508" s="677">
        <v>92916</v>
      </c>
      <c r="C2508" s="733" t="s">
        <v>5924</v>
      </c>
      <c r="D2508" s="677" t="s">
        <v>20</v>
      </c>
      <c r="E2508" s="738">
        <f t="shared" si="78"/>
        <v>16.329999999999998</v>
      </c>
      <c r="F2508">
        <f t="shared" si="79"/>
        <v>92916</v>
      </c>
      <c r="H2508" s="1405">
        <v>15.82</v>
      </c>
      <c r="I2508" s="1405">
        <v>16.329999999999998</v>
      </c>
    </row>
    <row r="2509" spans="2:9" ht="30">
      <c r="B2509" s="1477">
        <v>92917</v>
      </c>
      <c r="C2509" s="740" t="s">
        <v>5925</v>
      </c>
      <c r="D2509" s="739" t="s">
        <v>20</v>
      </c>
      <c r="E2509" s="741">
        <f t="shared" si="78"/>
        <v>15.12</v>
      </c>
      <c r="F2509">
        <f t="shared" si="79"/>
        <v>92917</v>
      </c>
      <c r="H2509" s="1406">
        <v>14.78</v>
      </c>
      <c r="I2509" s="1406">
        <v>15.12</v>
      </c>
    </row>
    <row r="2510" spans="2:9" ht="30">
      <c r="B2510" s="677">
        <v>92919</v>
      </c>
      <c r="C2510" s="733" t="s">
        <v>5926</v>
      </c>
      <c r="D2510" s="677" t="s">
        <v>20</v>
      </c>
      <c r="E2510" s="738">
        <f t="shared" si="78"/>
        <v>13.35</v>
      </c>
      <c r="F2510">
        <f t="shared" si="79"/>
        <v>92919</v>
      </c>
      <c r="H2510" s="1405">
        <v>13.11</v>
      </c>
      <c r="I2510" s="1405">
        <v>13.35</v>
      </c>
    </row>
    <row r="2511" spans="2:9" ht="30">
      <c r="B2511" s="1477">
        <v>92921</v>
      </c>
      <c r="C2511" s="740" t="s">
        <v>5927</v>
      </c>
      <c r="D2511" s="739" t="s">
        <v>20</v>
      </c>
      <c r="E2511" s="741">
        <f t="shared" si="78"/>
        <v>11.11</v>
      </c>
      <c r="F2511">
        <f t="shared" si="79"/>
        <v>92921</v>
      </c>
      <c r="H2511" s="1406">
        <v>10.95</v>
      </c>
      <c r="I2511" s="1406">
        <v>11.11</v>
      </c>
    </row>
    <row r="2512" spans="2:9" ht="30">
      <c r="B2512" s="677">
        <v>92922</v>
      </c>
      <c r="C2512" s="733" t="s">
        <v>5928</v>
      </c>
      <c r="D2512" s="677" t="s">
        <v>20</v>
      </c>
      <c r="E2512" s="738">
        <f t="shared" si="78"/>
        <v>10.68</v>
      </c>
      <c r="F2512">
        <f t="shared" si="79"/>
        <v>92922</v>
      </c>
      <c r="H2512" s="1405">
        <v>10.56</v>
      </c>
      <c r="I2512" s="1405">
        <v>10.68</v>
      </c>
    </row>
    <row r="2513" spans="2:9" ht="30">
      <c r="B2513" s="1477">
        <v>92923</v>
      </c>
      <c r="C2513" s="740" t="s">
        <v>5929</v>
      </c>
      <c r="D2513" s="739" t="s">
        <v>20</v>
      </c>
      <c r="E2513" s="741">
        <f t="shared" si="78"/>
        <v>12.05</v>
      </c>
      <c r="F2513">
        <f t="shared" si="79"/>
        <v>92923</v>
      </c>
      <c r="H2513" s="1406">
        <v>11.96</v>
      </c>
      <c r="I2513" s="1406">
        <v>12.05</v>
      </c>
    </row>
    <row r="2514" spans="2:9" ht="30">
      <c r="B2514" s="677">
        <v>92924</v>
      </c>
      <c r="C2514" s="733" t="s">
        <v>5930</v>
      </c>
      <c r="D2514" s="677" t="s">
        <v>20</v>
      </c>
      <c r="E2514" s="738">
        <f t="shared" si="78"/>
        <v>11.86</v>
      </c>
      <c r="F2514">
        <f t="shared" si="79"/>
        <v>92924</v>
      </c>
      <c r="H2514" s="1405">
        <v>11.8</v>
      </c>
      <c r="I2514" s="1405">
        <v>11.86</v>
      </c>
    </row>
    <row r="2515" spans="2:9">
      <c r="B2515" s="1477">
        <v>95448</v>
      </c>
      <c r="C2515" s="740" t="s">
        <v>5931</v>
      </c>
      <c r="D2515" s="739" t="s">
        <v>20</v>
      </c>
      <c r="E2515" s="741">
        <f t="shared" si="78"/>
        <v>11.64</v>
      </c>
      <c r="F2515">
        <f t="shared" si="79"/>
        <v>95448</v>
      </c>
      <c r="H2515" s="1406">
        <v>11.64</v>
      </c>
      <c r="I2515" s="1406">
        <v>11.64</v>
      </c>
    </row>
    <row r="2516" spans="2:9">
      <c r="B2516" s="677">
        <v>95576</v>
      </c>
      <c r="C2516" s="733" t="s">
        <v>6827</v>
      </c>
      <c r="D2516" s="677" t="s">
        <v>20</v>
      </c>
      <c r="E2516" s="738">
        <f t="shared" si="78"/>
        <v>13.98</v>
      </c>
      <c r="F2516">
        <f t="shared" si="79"/>
        <v>95576</v>
      </c>
      <c r="H2516" s="1405">
        <v>13.74</v>
      </c>
      <c r="I2516" s="1405">
        <v>13.98</v>
      </c>
    </row>
    <row r="2517" spans="2:9">
      <c r="B2517" s="1477">
        <v>95577</v>
      </c>
      <c r="C2517" s="740" t="s">
        <v>6828</v>
      </c>
      <c r="D2517" s="739" t="s">
        <v>20</v>
      </c>
      <c r="E2517" s="741">
        <f t="shared" si="78"/>
        <v>12.09</v>
      </c>
      <c r="F2517">
        <f t="shared" si="79"/>
        <v>95577</v>
      </c>
      <c r="H2517" s="1406">
        <v>11.96</v>
      </c>
      <c r="I2517" s="1406">
        <v>12.09</v>
      </c>
    </row>
    <row r="2518" spans="2:9">
      <c r="B2518" s="677">
        <v>95578</v>
      </c>
      <c r="C2518" s="733" t="s">
        <v>6829</v>
      </c>
      <c r="D2518" s="677" t="s">
        <v>20</v>
      </c>
      <c r="E2518" s="738">
        <f t="shared" si="78"/>
        <v>10.15</v>
      </c>
      <c r="F2518">
        <f t="shared" si="79"/>
        <v>95578</v>
      </c>
      <c r="H2518" s="1405">
        <v>10.08</v>
      </c>
      <c r="I2518" s="1405">
        <v>10.15</v>
      </c>
    </row>
    <row r="2519" spans="2:9">
      <c r="B2519" s="1477">
        <v>95579</v>
      </c>
      <c r="C2519" s="740" t="s">
        <v>6830</v>
      </c>
      <c r="D2519" s="739" t="s">
        <v>20</v>
      </c>
      <c r="E2519" s="741">
        <f t="shared" si="78"/>
        <v>9.85</v>
      </c>
      <c r="F2519">
        <f t="shared" si="79"/>
        <v>95579</v>
      </c>
      <c r="H2519" s="1406">
        <v>9.82</v>
      </c>
      <c r="I2519" s="1406">
        <v>9.85</v>
      </c>
    </row>
    <row r="2520" spans="2:9">
      <c r="B2520" s="677">
        <v>95580</v>
      </c>
      <c r="C2520" s="733" t="s">
        <v>6831</v>
      </c>
      <c r="D2520" s="677" t="s">
        <v>20</v>
      </c>
      <c r="E2520" s="738">
        <f t="shared" si="78"/>
        <v>11.39</v>
      </c>
      <c r="F2520">
        <f t="shared" si="79"/>
        <v>95580</v>
      </c>
      <c r="H2520" s="1405">
        <v>11.36</v>
      </c>
      <c r="I2520" s="1405">
        <v>11.39</v>
      </c>
    </row>
    <row r="2521" spans="2:9">
      <c r="B2521" s="1477">
        <v>95581</v>
      </c>
      <c r="C2521" s="740" t="s">
        <v>6832</v>
      </c>
      <c r="D2521" s="739" t="s">
        <v>20</v>
      </c>
      <c r="E2521" s="741">
        <f t="shared" si="78"/>
        <v>11.35</v>
      </c>
      <c r="F2521">
        <f t="shared" si="79"/>
        <v>95581</v>
      </c>
      <c r="H2521" s="1406">
        <v>11.32</v>
      </c>
      <c r="I2521" s="1406">
        <v>11.35</v>
      </c>
    </row>
    <row r="2522" spans="2:9">
      <c r="B2522" s="677">
        <v>95582</v>
      </c>
      <c r="C2522" s="733" t="s">
        <v>8060</v>
      </c>
      <c r="D2522" s="677" t="s">
        <v>20</v>
      </c>
      <c r="E2522" s="738">
        <f t="shared" si="78"/>
        <v>12.36</v>
      </c>
      <c r="F2522">
        <f t="shared" si="79"/>
        <v>95582</v>
      </c>
      <c r="H2522" s="1405">
        <v>12.33</v>
      </c>
      <c r="I2522" s="1405">
        <v>12.36</v>
      </c>
    </row>
    <row r="2523" spans="2:9">
      <c r="B2523" s="1477">
        <v>95583</v>
      </c>
      <c r="C2523" s="740" t="s">
        <v>6833</v>
      </c>
      <c r="D2523" s="739" t="s">
        <v>20</v>
      </c>
      <c r="E2523" s="741">
        <f t="shared" si="78"/>
        <v>16.739999999999998</v>
      </c>
      <c r="F2523">
        <f t="shared" si="79"/>
        <v>95583</v>
      </c>
      <c r="H2523" s="1406">
        <v>16.059999999999999</v>
      </c>
      <c r="I2523" s="1406">
        <v>16.739999999999998</v>
      </c>
    </row>
    <row r="2524" spans="2:9">
      <c r="B2524" s="677">
        <v>95584</v>
      </c>
      <c r="C2524" s="733" t="s">
        <v>6834</v>
      </c>
      <c r="D2524" s="677" t="s">
        <v>20</v>
      </c>
      <c r="E2524" s="738">
        <f t="shared" si="78"/>
        <v>15.17</v>
      </c>
      <c r="F2524">
        <f t="shared" si="79"/>
        <v>95584</v>
      </c>
      <c r="H2524" s="1405">
        <v>14.76</v>
      </c>
      <c r="I2524" s="1405">
        <v>15.17</v>
      </c>
    </row>
    <row r="2525" spans="2:9">
      <c r="B2525" s="1477">
        <v>95592</v>
      </c>
      <c r="C2525" s="740" t="s">
        <v>6835</v>
      </c>
      <c r="D2525" s="739" t="s">
        <v>20</v>
      </c>
      <c r="E2525" s="741">
        <f t="shared" si="78"/>
        <v>16.739999999999998</v>
      </c>
      <c r="F2525">
        <f t="shared" si="79"/>
        <v>95592</v>
      </c>
      <c r="H2525" s="1406">
        <v>16.059999999999999</v>
      </c>
      <c r="I2525" s="1406">
        <v>16.739999999999998</v>
      </c>
    </row>
    <row r="2526" spans="2:9">
      <c r="B2526" s="677">
        <v>95593</v>
      </c>
      <c r="C2526" s="733" t="s">
        <v>6836</v>
      </c>
      <c r="D2526" s="677" t="s">
        <v>20</v>
      </c>
      <c r="E2526" s="738">
        <f t="shared" si="78"/>
        <v>15.17</v>
      </c>
      <c r="F2526">
        <f t="shared" si="79"/>
        <v>95593</v>
      </c>
      <c r="H2526" s="1405">
        <v>14.76</v>
      </c>
      <c r="I2526" s="1405">
        <v>15.17</v>
      </c>
    </row>
    <row r="2527" spans="2:9" ht="30">
      <c r="B2527" s="1477">
        <v>95943</v>
      </c>
      <c r="C2527" s="740" t="s">
        <v>3924</v>
      </c>
      <c r="D2527" s="739" t="s">
        <v>20</v>
      </c>
      <c r="E2527" s="741">
        <f t="shared" si="78"/>
        <v>22.46</v>
      </c>
      <c r="F2527">
        <f t="shared" si="79"/>
        <v>95943</v>
      </c>
      <c r="H2527" s="1406">
        <v>21.21</v>
      </c>
      <c r="I2527" s="1406">
        <v>22.46</v>
      </c>
    </row>
    <row r="2528" spans="2:9" ht="30">
      <c r="B2528" s="677">
        <v>95944</v>
      </c>
      <c r="C2528" s="733" t="s">
        <v>3925</v>
      </c>
      <c r="D2528" s="677" t="s">
        <v>20</v>
      </c>
      <c r="E2528" s="738">
        <f t="shared" si="78"/>
        <v>20.73</v>
      </c>
      <c r="F2528">
        <f t="shared" si="79"/>
        <v>95944</v>
      </c>
      <c r="H2528" s="1405">
        <v>19.75</v>
      </c>
      <c r="I2528" s="1405">
        <v>20.73</v>
      </c>
    </row>
    <row r="2529" spans="2:9" ht="30">
      <c r="B2529" s="1477">
        <v>95945</v>
      </c>
      <c r="C2529" s="740" t="s">
        <v>3926</v>
      </c>
      <c r="D2529" s="739" t="s">
        <v>20</v>
      </c>
      <c r="E2529" s="741">
        <f t="shared" si="78"/>
        <v>17.21</v>
      </c>
      <c r="F2529">
        <f t="shared" si="79"/>
        <v>95945</v>
      </c>
      <c r="H2529" s="1406">
        <v>16.64</v>
      </c>
      <c r="I2529" s="1406">
        <v>17.21</v>
      </c>
    </row>
    <row r="2530" spans="2:9" ht="30">
      <c r="B2530" s="677">
        <v>95946</v>
      </c>
      <c r="C2530" s="733" t="s">
        <v>3927</v>
      </c>
      <c r="D2530" s="677" t="s">
        <v>20</v>
      </c>
      <c r="E2530" s="738">
        <f t="shared" si="78"/>
        <v>13.99</v>
      </c>
      <c r="F2530">
        <f t="shared" si="79"/>
        <v>95946</v>
      </c>
      <c r="H2530" s="1405">
        <v>13.68</v>
      </c>
      <c r="I2530" s="1405">
        <v>13.99</v>
      </c>
    </row>
    <row r="2531" spans="2:9" ht="30">
      <c r="B2531" s="1477">
        <v>95947</v>
      </c>
      <c r="C2531" s="740" t="s">
        <v>3928</v>
      </c>
      <c r="D2531" s="739" t="s">
        <v>20</v>
      </c>
      <c r="E2531" s="741">
        <f t="shared" si="78"/>
        <v>10.97</v>
      </c>
      <c r="F2531">
        <f t="shared" si="79"/>
        <v>95947</v>
      </c>
      <c r="H2531" s="1406">
        <v>10.82</v>
      </c>
      <c r="I2531" s="1406">
        <v>10.97</v>
      </c>
    </row>
    <row r="2532" spans="2:9" ht="30">
      <c r="B2532" s="677">
        <v>95948</v>
      </c>
      <c r="C2532" s="733" t="s">
        <v>3929</v>
      </c>
      <c r="D2532" s="677" t="s">
        <v>20</v>
      </c>
      <c r="E2532" s="738">
        <f t="shared" si="78"/>
        <v>9.85</v>
      </c>
      <c r="F2532">
        <f t="shared" si="79"/>
        <v>95948</v>
      </c>
      <c r="H2532" s="1405">
        <v>9.81</v>
      </c>
      <c r="I2532" s="1405">
        <v>9.85</v>
      </c>
    </row>
    <row r="2533" spans="2:9">
      <c r="B2533" s="1477">
        <v>96544</v>
      </c>
      <c r="C2533" s="740" t="s">
        <v>14594</v>
      </c>
      <c r="D2533" s="739" t="s">
        <v>20</v>
      </c>
      <c r="E2533" s="741">
        <f t="shared" si="78"/>
        <v>18.760000000000002</v>
      </c>
      <c r="F2533">
        <f t="shared" si="79"/>
        <v>96544</v>
      </c>
      <c r="H2533" s="1406">
        <v>18</v>
      </c>
      <c r="I2533" s="1406">
        <v>18.760000000000002</v>
      </c>
    </row>
    <row r="2534" spans="2:9">
      <c r="B2534" s="677">
        <v>96545</v>
      </c>
      <c r="C2534" s="733" t="s">
        <v>14595</v>
      </c>
      <c r="D2534" s="677" t="s">
        <v>20</v>
      </c>
      <c r="E2534" s="738">
        <f t="shared" si="78"/>
        <v>17.2</v>
      </c>
      <c r="F2534">
        <f t="shared" si="79"/>
        <v>96545</v>
      </c>
      <c r="H2534" s="1405">
        <v>16.63</v>
      </c>
      <c r="I2534" s="1405">
        <v>17.2</v>
      </c>
    </row>
    <row r="2535" spans="2:9">
      <c r="B2535" s="1477">
        <v>96546</v>
      </c>
      <c r="C2535" s="740" t="s">
        <v>14596</v>
      </c>
      <c r="D2535" s="739" t="s">
        <v>20</v>
      </c>
      <c r="E2535" s="741">
        <f t="shared" si="78"/>
        <v>15.18</v>
      </c>
      <c r="F2535">
        <f t="shared" si="79"/>
        <v>96546</v>
      </c>
      <c r="H2535" s="1406">
        <v>14.76</v>
      </c>
      <c r="I2535" s="1406">
        <v>15.18</v>
      </c>
    </row>
    <row r="2536" spans="2:9">
      <c r="B2536" s="677">
        <v>100064</v>
      </c>
      <c r="C2536" s="733" t="s">
        <v>4620</v>
      </c>
      <c r="D2536" s="677" t="s">
        <v>20</v>
      </c>
      <c r="E2536" s="738">
        <f t="shared" si="78"/>
        <v>12.27</v>
      </c>
      <c r="F2536">
        <f t="shared" si="79"/>
        <v>100064</v>
      </c>
      <c r="H2536" s="1405">
        <v>12.17</v>
      </c>
      <c r="I2536" s="1405">
        <v>12.27</v>
      </c>
    </row>
    <row r="2537" spans="2:9">
      <c r="B2537" s="1477">
        <v>100066</v>
      </c>
      <c r="C2537" s="740" t="s">
        <v>2211</v>
      </c>
      <c r="D2537" s="739" t="s">
        <v>20</v>
      </c>
      <c r="E2537" s="741">
        <f t="shared" si="78"/>
        <v>12.19</v>
      </c>
      <c r="F2537">
        <f t="shared" si="79"/>
        <v>100066</v>
      </c>
      <c r="H2537" s="1406">
        <v>12.11</v>
      </c>
      <c r="I2537" s="1406">
        <v>12.19</v>
      </c>
    </row>
    <row r="2538" spans="2:9">
      <c r="B2538" s="677">
        <v>100067</v>
      </c>
      <c r="C2538" s="733" t="s">
        <v>2212</v>
      </c>
      <c r="D2538" s="677" t="s">
        <v>20</v>
      </c>
      <c r="E2538" s="738">
        <f t="shared" si="78"/>
        <v>13.14</v>
      </c>
      <c r="F2538">
        <f t="shared" si="79"/>
        <v>100067</v>
      </c>
      <c r="H2538" s="1405">
        <v>12.81</v>
      </c>
      <c r="I2538" s="1405">
        <v>13.14</v>
      </c>
    </row>
    <row r="2539" spans="2:9" ht="30">
      <c r="B2539" s="1477">
        <v>100068</v>
      </c>
      <c r="C2539" s="740" t="s">
        <v>2213</v>
      </c>
      <c r="D2539" s="739" t="s">
        <v>20</v>
      </c>
      <c r="E2539" s="741">
        <f t="shared" si="78"/>
        <v>10.3</v>
      </c>
      <c r="F2539">
        <f t="shared" si="79"/>
        <v>100068</v>
      </c>
      <c r="H2539" s="1406">
        <v>10.19</v>
      </c>
      <c r="I2539" s="1406">
        <v>10.3</v>
      </c>
    </row>
    <row r="2540" spans="2:9">
      <c r="B2540" s="677">
        <v>102920</v>
      </c>
      <c r="C2540" s="733" t="s">
        <v>5155</v>
      </c>
      <c r="D2540" s="677" t="s">
        <v>20</v>
      </c>
      <c r="E2540" s="738">
        <f t="shared" si="78"/>
        <v>9.2899999999999991</v>
      </c>
      <c r="F2540">
        <f t="shared" si="79"/>
        <v>102920</v>
      </c>
      <c r="H2540" s="1405">
        <v>9.17</v>
      </c>
      <c r="I2540" s="1405">
        <v>9.2899999999999991</v>
      </c>
    </row>
    <row r="2541" spans="2:9">
      <c r="B2541" s="1477">
        <v>102921</v>
      </c>
      <c r="C2541" s="740" t="s">
        <v>5156</v>
      </c>
      <c r="D2541" s="739" t="s">
        <v>20</v>
      </c>
      <c r="E2541" s="741">
        <f t="shared" si="78"/>
        <v>9.01</v>
      </c>
      <c r="F2541">
        <f t="shared" si="79"/>
        <v>102921</v>
      </c>
      <c r="H2541" s="1406">
        <v>8.91</v>
      </c>
      <c r="I2541" s="1406">
        <v>9.01</v>
      </c>
    </row>
    <row r="2542" spans="2:9">
      <c r="B2542" s="677">
        <v>102922</v>
      </c>
      <c r="C2542" s="733" t="s">
        <v>5157</v>
      </c>
      <c r="D2542" s="677" t="s">
        <v>20</v>
      </c>
      <c r="E2542" s="738">
        <f t="shared" si="78"/>
        <v>9.84</v>
      </c>
      <c r="F2542">
        <f t="shared" si="79"/>
        <v>102922</v>
      </c>
      <c r="H2542" s="1405">
        <v>9.65</v>
      </c>
      <c r="I2542" s="1405">
        <v>9.84</v>
      </c>
    </row>
    <row r="2543" spans="2:9">
      <c r="B2543" s="1477">
        <v>102923</v>
      </c>
      <c r="C2543" s="740" t="s">
        <v>5158</v>
      </c>
      <c r="D2543" s="739" t="s">
        <v>20</v>
      </c>
      <c r="E2543" s="741">
        <f t="shared" si="78"/>
        <v>8.81</v>
      </c>
      <c r="F2543">
        <f t="shared" si="79"/>
        <v>102923</v>
      </c>
      <c r="H2543" s="1406">
        <v>8.73</v>
      </c>
      <c r="I2543" s="1406">
        <v>8.81</v>
      </c>
    </row>
    <row r="2544" spans="2:9">
      <c r="B2544" s="677">
        <v>103088</v>
      </c>
      <c r="C2544" s="733" t="s">
        <v>5159</v>
      </c>
      <c r="D2544" s="677" t="s">
        <v>20</v>
      </c>
      <c r="E2544" s="738">
        <f t="shared" si="78"/>
        <v>10.97</v>
      </c>
      <c r="F2544">
        <f t="shared" si="79"/>
        <v>103088</v>
      </c>
      <c r="H2544" s="1405">
        <v>10.67</v>
      </c>
      <c r="I2544" s="1405">
        <v>10.97</v>
      </c>
    </row>
    <row r="2545" spans="2:9" ht="30">
      <c r="B2545" s="1477">
        <v>104104</v>
      </c>
      <c r="C2545" s="740" t="s">
        <v>5932</v>
      </c>
      <c r="D2545" s="739" t="s">
        <v>20</v>
      </c>
      <c r="E2545" s="741">
        <f t="shared" si="78"/>
        <v>12.52</v>
      </c>
      <c r="F2545">
        <f t="shared" si="79"/>
        <v>104104</v>
      </c>
      <c r="H2545" s="1406">
        <v>12.49</v>
      </c>
      <c r="I2545" s="1406">
        <v>12.52</v>
      </c>
    </row>
    <row r="2546" spans="2:9" ht="30">
      <c r="B2546" s="677">
        <v>104105</v>
      </c>
      <c r="C2546" s="733" t="s">
        <v>5933</v>
      </c>
      <c r="D2546" s="677" t="s">
        <v>20</v>
      </c>
      <c r="E2546" s="738">
        <f t="shared" si="78"/>
        <v>12.53</v>
      </c>
      <c r="F2546">
        <f t="shared" si="79"/>
        <v>104105</v>
      </c>
      <c r="H2546" s="1405">
        <v>12.49</v>
      </c>
      <c r="I2546" s="1405">
        <v>12.53</v>
      </c>
    </row>
    <row r="2547" spans="2:9" ht="30">
      <c r="B2547" s="1477">
        <v>104106</v>
      </c>
      <c r="C2547" s="740" t="s">
        <v>5934</v>
      </c>
      <c r="D2547" s="739" t="s">
        <v>20</v>
      </c>
      <c r="E2547" s="741">
        <f t="shared" si="78"/>
        <v>11.28</v>
      </c>
      <c r="F2547">
        <f t="shared" si="79"/>
        <v>104106</v>
      </c>
      <c r="H2547" s="1406">
        <v>11.1</v>
      </c>
      <c r="I2547" s="1406">
        <v>11.28</v>
      </c>
    </row>
    <row r="2548" spans="2:9" ht="30">
      <c r="B2548" s="677">
        <v>104107</v>
      </c>
      <c r="C2548" s="733" t="s">
        <v>5935</v>
      </c>
      <c r="D2548" s="677" t="s">
        <v>20</v>
      </c>
      <c r="E2548" s="738">
        <f t="shared" si="78"/>
        <v>11.92</v>
      </c>
      <c r="F2548">
        <f t="shared" si="79"/>
        <v>104107</v>
      </c>
      <c r="H2548" s="1405">
        <v>11.68</v>
      </c>
      <c r="I2548" s="1405">
        <v>11.92</v>
      </c>
    </row>
    <row r="2549" spans="2:9" ht="30">
      <c r="B2549" s="1477">
        <v>104108</v>
      </c>
      <c r="C2549" s="740" t="s">
        <v>5936</v>
      </c>
      <c r="D2549" s="739" t="s">
        <v>20</v>
      </c>
      <c r="E2549" s="741">
        <f t="shared" si="78"/>
        <v>14.06</v>
      </c>
      <c r="F2549">
        <f t="shared" si="79"/>
        <v>104108</v>
      </c>
      <c r="H2549" s="1406">
        <v>13.75</v>
      </c>
      <c r="I2549" s="1406">
        <v>14.06</v>
      </c>
    </row>
    <row r="2550" spans="2:9" ht="30">
      <c r="B2550" s="677">
        <v>104109</v>
      </c>
      <c r="C2550" s="733" t="s">
        <v>5937</v>
      </c>
      <c r="D2550" s="677" t="s">
        <v>20</v>
      </c>
      <c r="E2550" s="738">
        <f t="shared" si="78"/>
        <v>16.88</v>
      </c>
      <c r="F2550">
        <f t="shared" si="79"/>
        <v>104109</v>
      </c>
      <c r="H2550" s="1405">
        <v>16.350000000000001</v>
      </c>
      <c r="I2550" s="1405">
        <v>16.88</v>
      </c>
    </row>
    <row r="2551" spans="2:9" ht="30">
      <c r="B2551" s="1477">
        <v>104110</v>
      </c>
      <c r="C2551" s="740" t="s">
        <v>5938</v>
      </c>
      <c r="D2551" s="739" t="s">
        <v>20</v>
      </c>
      <c r="E2551" s="741">
        <f t="shared" si="78"/>
        <v>18.809999999999999</v>
      </c>
      <c r="F2551">
        <f t="shared" si="79"/>
        <v>104110</v>
      </c>
      <c r="H2551" s="1406">
        <v>18.04</v>
      </c>
      <c r="I2551" s="1406">
        <v>18.809999999999999</v>
      </c>
    </row>
    <row r="2552" spans="2:9" ht="30">
      <c r="B2552" s="677">
        <v>104111</v>
      </c>
      <c r="C2552" s="733" t="s">
        <v>5939</v>
      </c>
      <c r="D2552" s="677" t="s">
        <v>20</v>
      </c>
      <c r="E2552" s="738">
        <f t="shared" si="78"/>
        <v>20.9</v>
      </c>
      <c r="F2552">
        <f t="shared" si="79"/>
        <v>104111</v>
      </c>
      <c r="H2552" s="1405">
        <v>19.809999999999999</v>
      </c>
      <c r="I2552" s="1405">
        <v>20.9</v>
      </c>
    </row>
    <row r="2553" spans="2:9">
      <c r="B2553" s="1477">
        <v>104915</v>
      </c>
      <c r="C2553" s="740" t="s">
        <v>14597</v>
      </c>
      <c r="D2553" s="739" t="s">
        <v>20</v>
      </c>
      <c r="E2553" s="741">
        <f t="shared" si="78"/>
        <v>11.65</v>
      </c>
      <c r="F2553">
        <f t="shared" si="79"/>
        <v>104915</v>
      </c>
      <c r="H2553" s="1406">
        <v>11.61</v>
      </c>
      <c r="I2553" s="1406">
        <v>11.65</v>
      </c>
    </row>
    <row r="2554" spans="2:9">
      <c r="B2554" s="677">
        <v>104917</v>
      </c>
      <c r="C2554" s="733" t="s">
        <v>14598</v>
      </c>
      <c r="D2554" s="677" t="s">
        <v>20</v>
      </c>
      <c r="E2554" s="738">
        <f t="shared" si="78"/>
        <v>16.53</v>
      </c>
      <c r="F2554">
        <f t="shared" si="79"/>
        <v>104917</v>
      </c>
      <c r="H2554" s="1405">
        <v>15.99</v>
      </c>
      <c r="I2554" s="1405">
        <v>16.53</v>
      </c>
    </row>
    <row r="2555" spans="2:9">
      <c r="B2555" s="1477">
        <v>104918</v>
      </c>
      <c r="C2555" s="740" t="s">
        <v>14599</v>
      </c>
      <c r="D2555" s="739" t="s">
        <v>20</v>
      </c>
      <c r="E2555" s="741">
        <f t="shared" si="78"/>
        <v>15.57</v>
      </c>
      <c r="F2555">
        <f t="shared" si="79"/>
        <v>104918</v>
      </c>
      <c r="H2555" s="1406">
        <v>15.17</v>
      </c>
      <c r="I2555" s="1406">
        <v>15.57</v>
      </c>
    </row>
    <row r="2556" spans="2:9">
      <c r="B2556" s="677">
        <v>104919</v>
      </c>
      <c r="C2556" s="733" t="s">
        <v>14600</v>
      </c>
      <c r="D2556" s="677" t="s">
        <v>20</v>
      </c>
      <c r="E2556" s="738">
        <f t="shared" si="78"/>
        <v>13.99</v>
      </c>
      <c r="F2556">
        <f t="shared" si="79"/>
        <v>104919</v>
      </c>
      <c r="H2556" s="1405">
        <v>13.69</v>
      </c>
      <c r="I2556" s="1405">
        <v>13.99</v>
      </c>
    </row>
    <row r="2557" spans="2:9" ht="30">
      <c r="B2557" s="1477">
        <v>104920</v>
      </c>
      <c r="C2557" s="740" t="s">
        <v>14601</v>
      </c>
      <c r="D2557" s="739" t="s">
        <v>20</v>
      </c>
      <c r="E2557" s="741">
        <f t="shared" si="78"/>
        <v>11.91</v>
      </c>
      <c r="F2557">
        <f t="shared" si="79"/>
        <v>104920</v>
      </c>
      <c r="H2557" s="1406">
        <v>11.67</v>
      </c>
      <c r="I2557" s="1406">
        <v>11.91</v>
      </c>
    </row>
    <row r="2558" spans="2:9" ht="30">
      <c r="B2558" s="677">
        <v>104921</v>
      </c>
      <c r="C2558" s="733" t="s">
        <v>14602</v>
      </c>
      <c r="D2558" s="677" t="s">
        <v>20</v>
      </c>
      <c r="E2558" s="738">
        <f t="shared" si="78"/>
        <v>11.32</v>
      </c>
      <c r="F2558">
        <f t="shared" si="79"/>
        <v>104921</v>
      </c>
      <c r="H2558" s="1405">
        <v>11.14</v>
      </c>
      <c r="I2558" s="1405">
        <v>11.32</v>
      </c>
    </row>
    <row r="2559" spans="2:9">
      <c r="B2559" s="1477">
        <v>104922</v>
      </c>
      <c r="C2559" s="740" t="s">
        <v>14603</v>
      </c>
      <c r="D2559" s="739" t="s">
        <v>20</v>
      </c>
      <c r="E2559" s="741">
        <f t="shared" si="78"/>
        <v>12.6</v>
      </c>
      <c r="F2559">
        <f t="shared" si="79"/>
        <v>104922</v>
      </c>
      <c r="H2559" s="1406">
        <v>12.45</v>
      </c>
      <c r="I2559" s="1406">
        <v>12.6</v>
      </c>
    </row>
    <row r="2560" spans="2:9">
      <c r="B2560" s="677">
        <v>89993</v>
      </c>
      <c r="C2560" s="733" t="s">
        <v>5160</v>
      </c>
      <c r="D2560" s="677" t="s">
        <v>19</v>
      </c>
      <c r="E2560" s="738">
        <f t="shared" si="78"/>
        <v>1096.3399999999999</v>
      </c>
      <c r="F2560">
        <f t="shared" si="79"/>
        <v>89993</v>
      </c>
      <c r="H2560" s="1405">
        <v>1053.25</v>
      </c>
      <c r="I2560" s="1405">
        <v>1096.3399999999999</v>
      </c>
    </row>
    <row r="2561" spans="2:9">
      <c r="B2561" s="1477">
        <v>89994</v>
      </c>
      <c r="C2561" s="740" t="s">
        <v>5161</v>
      </c>
      <c r="D2561" s="739" t="s">
        <v>19</v>
      </c>
      <c r="E2561" s="741">
        <f t="shared" si="78"/>
        <v>961.2</v>
      </c>
      <c r="F2561">
        <f t="shared" si="79"/>
        <v>89994</v>
      </c>
      <c r="H2561" s="1406">
        <v>931.88</v>
      </c>
      <c r="I2561" s="1406">
        <v>961.2</v>
      </c>
    </row>
    <row r="2562" spans="2:9">
      <c r="B2562" s="677">
        <v>89995</v>
      </c>
      <c r="C2562" s="733" t="s">
        <v>5162</v>
      </c>
      <c r="D2562" s="677" t="s">
        <v>19</v>
      </c>
      <c r="E2562" s="738">
        <f t="shared" si="78"/>
        <v>1061.77</v>
      </c>
      <c r="F2562">
        <f t="shared" si="79"/>
        <v>89995</v>
      </c>
      <c r="H2562" s="1405">
        <v>1022.2</v>
      </c>
      <c r="I2562" s="1405">
        <v>1061.77</v>
      </c>
    </row>
    <row r="2563" spans="2:9" ht="30">
      <c r="B2563" s="1477">
        <v>90278</v>
      </c>
      <c r="C2563" s="740" t="s">
        <v>5163</v>
      </c>
      <c r="D2563" s="739" t="s">
        <v>19</v>
      </c>
      <c r="E2563" s="741">
        <f t="shared" ref="E2563:E2626" si="80">IF($K$2=$H$1,H2563,I2563)</f>
        <v>585.5</v>
      </c>
      <c r="F2563">
        <f t="shared" ref="F2563:F2626" si="81">IF(LEN($B2563)=7,CONCATENATE(MID($B2563,1,6),"00",RIGHT($B2563,1)),IF(LEN($B2563)=8,CONCATENATE(MID($B2563,1,6),"0",RIGHT($B2563,2)),$B2563))</f>
        <v>90278</v>
      </c>
      <c r="H2563" s="1406">
        <v>577.91999999999996</v>
      </c>
      <c r="I2563" s="1406">
        <v>585.5</v>
      </c>
    </row>
    <row r="2564" spans="2:9" ht="30">
      <c r="B2564" s="677">
        <v>90279</v>
      </c>
      <c r="C2564" s="733" t="s">
        <v>5164</v>
      </c>
      <c r="D2564" s="677" t="s">
        <v>19</v>
      </c>
      <c r="E2564" s="738">
        <f t="shared" si="80"/>
        <v>641.21</v>
      </c>
      <c r="F2564">
        <f t="shared" si="81"/>
        <v>90279</v>
      </c>
      <c r="H2564" s="1405">
        <v>632.91</v>
      </c>
      <c r="I2564" s="1405">
        <v>641.21</v>
      </c>
    </row>
    <row r="2565" spans="2:9" ht="30">
      <c r="B2565" s="1477">
        <v>90280</v>
      </c>
      <c r="C2565" s="740" t="s">
        <v>5165</v>
      </c>
      <c r="D2565" s="739" t="s">
        <v>19</v>
      </c>
      <c r="E2565" s="741">
        <f t="shared" si="80"/>
        <v>707.8</v>
      </c>
      <c r="F2565">
        <f t="shared" si="81"/>
        <v>90280</v>
      </c>
      <c r="H2565" s="1406">
        <v>699.5</v>
      </c>
      <c r="I2565" s="1406">
        <v>707.8</v>
      </c>
    </row>
    <row r="2566" spans="2:9" ht="30">
      <c r="B2566" s="677">
        <v>90281</v>
      </c>
      <c r="C2566" s="733" t="s">
        <v>5166</v>
      </c>
      <c r="D2566" s="677" t="s">
        <v>19</v>
      </c>
      <c r="E2566" s="738">
        <f t="shared" si="80"/>
        <v>817.47</v>
      </c>
      <c r="F2566">
        <f t="shared" si="81"/>
        <v>90281</v>
      </c>
      <c r="H2566" s="1405">
        <v>809.36</v>
      </c>
      <c r="I2566" s="1405">
        <v>817.47</v>
      </c>
    </row>
    <row r="2567" spans="2:9" ht="30">
      <c r="B2567" s="1477">
        <v>90282</v>
      </c>
      <c r="C2567" s="740" t="s">
        <v>5167</v>
      </c>
      <c r="D2567" s="739" t="s">
        <v>19</v>
      </c>
      <c r="E2567" s="741">
        <f t="shared" si="80"/>
        <v>576.20000000000005</v>
      </c>
      <c r="F2567">
        <f t="shared" si="81"/>
        <v>90282</v>
      </c>
      <c r="H2567" s="1406">
        <v>568.87</v>
      </c>
      <c r="I2567" s="1406">
        <v>576.20000000000005</v>
      </c>
    </row>
    <row r="2568" spans="2:9" ht="30">
      <c r="B2568" s="677">
        <v>90283</v>
      </c>
      <c r="C2568" s="733" t="s">
        <v>5168</v>
      </c>
      <c r="D2568" s="677" t="s">
        <v>19</v>
      </c>
      <c r="E2568" s="738">
        <f t="shared" si="80"/>
        <v>632.29999999999995</v>
      </c>
      <c r="F2568">
        <f t="shared" si="81"/>
        <v>90283</v>
      </c>
      <c r="H2568" s="1405">
        <v>624.29999999999995</v>
      </c>
      <c r="I2568" s="1405">
        <v>632.29999999999995</v>
      </c>
    </row>
    <row r="2569" spans="2:9" ht="30">
      <c r="B2569" s="1477">
        <v>90284</v>
      </c>
      <c r="C2569" s="740" t="s">
        <v>5169</v>
      </c>
      <c r="D2569" s="739" t="s">
        <v>19</v>
      </c>
      <c r="E2569" s="741">
        <f t="shared" si="80"/>
        <v>702.81</v>
      </c>
      <c r="F2569">
        <f t="shared" si="81"/>
        <v>90284</v>
      </c>
      <c r="H2569" s="1406">
        <v>694.8</v>
      </c>
      <c r="I2569" s="1406">
        <v>702.81</v>
      </c>
    </row>
    <row r="2570" spans="2:9" ht="30">
      <c r="B2570" s="677">
        <v>90285</v>
      </c>
      <c r="C2570" s="733" t="s">
        <v>5170</v>
      </c>
      <c r="D2570" s="677" t="s">
        <v>19</v>
      </c>
      <c r="E2570" s="738">
        <f t="shared" si="80"/>
        <v>818.84</v>
      </c>
      <c r="F2570">
        <f t="shared" si="81"/>
        <v>90285</v>
      </c>
      <c r="H2570" s="1405">
        <v>810.94</v>
      </c>
      <c r="I2570" s="1405">
        <v>818.84</v>
      </c>
    </row>
    <row r="2571" spans="2:9" ht="30">
      <c r="B2571" s="1477">
        <v>94962</v>
      </c>
      <c r="C2571" s="740" t="s">
        <v>4641</v>
      </c>
      <c r="D2571" s="739" t="s">
        <v>19</v>
      </c>
      <c r="E2571" s="741">
        <f t="shared" si="80"/>
        <v>455.77</v>
      </c>
      <c r="F2571">
        <f t="shared" si="81"/>
        <v>94962</v>
      </c>
      <c r="H2571" s="1406">
        <v>448.13</v>
      </c>
      <c r="I2571" s="1406">
        <v>455.77</v>
      </c>
    </row>
    <row r="2572" spans="2:9" ht="30">
      <c r="B2572" s="677">
        <v>94963</v>
      </c>
      <c r="C2572" s="733" t="s">
        <v>4642</v>
      </c>
      <c r="D2572" s="677" t="s">
        <v>19</v>
      </c>
      <c r="E2572" s="738">
        <f t="shared" si="80"/>
        <v>503.53</v>
      </c>
      <c r="F2572">
        <f t="shared" si="81"/>
        <v>94963</v>
      </c>
      <c r="H2572" s="1405">
        <v>495.93</v>
      </c>
      <c r="I2572" s="1405">
        <v>503.53</v>
      </c>
    </row>
    <row r="2573" spans="2:9" ht="30">
      <c r="B2573" s="1477">
        <v>94964</v>
      </c>
      <c r="C2573" s="740" t="s">
        <v>4643</v>
      </c>
      <c r="D2573" s="739" t="s">
        <v>19</v>
      </c>
      <c r="E2573" s="741">
        <f t="shared" si="80"/>
        <v>546.78</v>
      </c>
      <c r="F2573">
        <f t="shared" si="81"/>
        <v>94964</v>
      </c>
      <c r="H2573" s="1406">
        <v>538.51</v>
      </c>
      <c r="I2573" s="1406">
        <v>546.78</v>
      </c>
    </row>
    <row r="2574" spans="2:9" ht="30">
      <c r="B2574" s="677">
        <v>94965</v>
      </c>
      <c r="C2574" s="733" t="s">
        <v>4644</v>
      </c>
      <c r="D2574" s="677" t="s">
        <v>19</v>
      </c>
      <c r="E2574" s="738">
        <f t="shared" si="80"/>
        <v>568.95000000000005</v>
      </c>
      <c r="F2574">
        <f t="shared" si="81"/>
        <v>94965</v>
      </c>
      <c r="H2574" s="1405">
        <v>561.4</v>
      </c>
      <c r="I2574" s="1405">
        <v>568.95000000000005</v>
      </c>
    </row>
    <row r="2575" spans="2:9" ht="30">
      <c r="B2575" s="1477">
        <v>94966</v>
      </c>
      <c r="C2575" s="740" t="s">
        <v>4645</v>
      </c>
      <c r="D2575" s="739" t="s">
        <v>19</v>
      </c>
      <c r="E2575" s="741">
        <f t="shared" si="80"/>
        <v>587.64</v>
      </c>
      <c r="F2575">
        <f t="shared" si="81"/>
        <v>94966</v>
      </c>
      <c r="H2575" s="1406">
        <v>580.14</v>
      </c>
      <c r="I2575" s="1406">
        <v>587.64</v>
      </c>
    </row>
    <row r="2576" spans="2:9" ht="30">
      <c r="B2576" s="677">
        <v>94967</v>
      </c>
      <c r="C2576" s="733" t="s">
        <v>4646</v>
      </c>
      <c r="D2576" s="677" t="s">
        <v>19</v>
      </c>
      <c r="E2576" s="738">
        <f t="shared" si="80"/>
        <v>666.05</v>
      </c>
      <c r="F2576">
        <f t="shared" si="81"/>
        <v>94967</v>
      </c>
      <c r="H2576" s="1405">
        <v>658.09</v>
      </c>
      <c r="I2576" s="1405">
        <v>666.05</v>
      </c>
    </row>
    <row r="2577" spans="2:9" ht="30">
      <c r="B2577" s="1477">
        <v>94968</v>
      </c>
      <c r="C2577" s="740" t="s">
        <v>4647</v>
      </c>
      <c r="D2577" s="739" t="s">
        <v>19</v>
      </c>
      <c r="E2577" s="741">
        <f t="shared" si="80"/>
        <v>453.82</v>
      </c>
      <c r="F2577">
        <f t="shared" si="81"/>
        <v>94968</v>
      </c>
      <c r="H2577" s="1406">
        <v>446.96</v>
      </c>
      <c r="I2577" s="1406">
        <v>453.82</v>
      </c>
    </row>
    <row r="2578" spans="2:9" ht="30">
      <c r="B2578" s="677">
        <v>94969</v>
      </c>
      <c r="C2578" s="733" t="s">
        <v>4648</v>
      </c>
      <c r="D2578" s="677" t="s">
        <v>19</v>
      </c>
      <c r="E2578" s="738">
        <f t="shared" si="80"/>
        <v>498.37</v>
      </c>
      <c r="F2578">
        <f t="shared" si="81"/>
        <v>94969</v>
      </c>
      <c r="H2578" s="1405">
        <v>491.74</v>
      </c>
      <c r="I2578" s="1405">
        <v>498.37</v>
      </c>
    </row>
    <row r="2579" spans="2:9" ht="30">
      <c r="B2579" s="1477">
        <v>94970</v>
      </c>
      <c r="C2579" s="740" t="s">
        <v>4649</v>
      </c>
      <c r="D2579" s="739" t="s">
        <v>19</v>
      </c>
      <c r="E2579" s="741">
        <f t="shared" si="80"/>
        <v>536.04999999999995</v>
      </c>
      <c r="F2579">
        <f t="shared" si="81"/>
        <v>94970</v>
      </c>
      <c r="H2579" s="1406">
        <v>529.44000000000005</v>
      </c>
      <c r="I2579" s="1406">
        <v>536.04999999999995</v>
      </c>
    </row>
    <row r="2580" spans="2:9" ht="30">
      <c r="B2580" s="677">
        <v>94971</v>
      </c>
      <c r="C2580" s="733" t="s">
        <v>4650</v>
      </c>
      <c r="D2580" s="677" t="s">
        <v>19</v>
      </c>
      <c r="E2580" s="738">
        <f t="shared" si="80"/>
        <v>564.07000000000005</v>
      </c>
      <c r="F2580">
        <f t="shared" si="81"/>
        <v>94971</v>
      </c>
      <c r="H2580" s="1405">
        <v>557.61</v>
      </c>
      <c r="I2580" s="1405">
        <v>564.07000000000005</v>
      </c>
    </row>
    <row r="2581" spans="2:9" ht="30">
      <c r="B2581" s="1477">
        <v>94972</v>
      </c>
      <c r="C2581" s="740" t="s">
        <v>4651</v>
      </c>
      <c r="D2581" s="739" t="s">
        <v>19</v>
      </c>
      <c r="E2581" s="741">
        <f t="shared" si="80"/>
        <v>582.70000000000005</v>
      </c>
      <c r="F2581">
        <f t="shared" si="81"/>
        <v>94972</v>
      </c>
      <c r="H2581" s="1406">
        <v>576.29</v>
      </c>
      <c r="I2581" s="1406">
        <v>582.70000000000005</v>
      </c>
    </row>
    <row r="2582" spans="2:9" ht="30">
      <c r="B2582" s="677">
        <v>94973</v>
      </c>
      <c r="C2582" s="733" t="s">
        <v>4652</v>
      </c>
      <c r="D2582" s="677" t="s">
        <v>19</v>
      </c>
      <c r="E2582" s="738">
        <f t="shared" si="80"/>
        <v>659.67</v>
      </c>
      <c r="F2582">
        <f t="shared" si="81"/>
        <v>94973</v>
      </c>
      <c r="H2582" s="1405">
        <v>653.05999999999995</v>
      </c>
      <c r="I2582" s="1405">
        <v>659.67</v>
      </c>
    </row>
    <row r="2583" spans="2:9" ht="30">
      <c r="B2583" s="1477">
        <v>94974</v>
      </c>
      <c r="C2583" s="740" t="s">
        <v>4653</v>
      </c>
      <c r="D2583" s="739" t="s">
        <v>19</v>
      </c>
      <c r="E2583" s="741">
        <f t="shared" si="80"/>
        <v>517.27</v>
      </c>
      <c r="F2583">
        <f t="shared" si="81"/>
        <v>94974</v>
      </c>
      <c r="H2583" s="1406">
        <v>504.83</v>
      </c>
      <c r="I2583" s="1406">
        <v>517.27</v>
      </c>
    </row>
    <row r="2584" spans="2:9">
      <c r="B2584" s="677">
        <v>94975</v>
      </c>
      <c r="C2584" s="733" t="s">
        <v>4654</v>
      </c>
      <c r="D2584" s="677" t="s">
        <v>19</v>
      </c>
      <c r="E2584" s="738">
        <f t="shared" si="80"/>
        <v>559.12</v>
      </c>
      <c r="F2584">
        <f t="shared" si="81"/>
        <v>94975</v>
      </c>
      <c r="H2584" s="1405">
        <v>546.83000000000004</v>
      </c>
      <c r="I2584" s="1405">
        <v>559.12</v>
      </c>
    </row>
    <row r="2585" spans="2:9" ht="30">
      <c r="B2585" s="1477">
        <v>96555</v>
      </c>
      <c r="C2585" s="740" t="s">
        <v>14604</v>
      </c>
      <c r="D2585" s="739" t="s">
        <v>19</v>
      </c>
      <c r="E2585" s="741">
        <f t="shared" si="80"/>
        <v>797.6</v>
      </c>
      <c r="F2585">
        <f t="shared" si="81"/>
        <v>96555</v>
      </c>
      <c r="H2585" s="1406">
        <v>777.98</v>
      </c>
      <c r="I2585" s="1406">
        <v>797.6</v>
      </c>
    </row>
    <row r="2586" spans="2:9">
      <c r="B2586" s="677">
        <v>96556</v>
      </c>
      <c r="C2586" s="733" t="s">
        <v>14605</v>
      </c>
      <c r="D2586" s="677" t="s">
        <v>19</v>
      </c>
      <c r="E2586" s="738">
        <f t="shared" si="80"/>
        <v>941.62</v>
      </c>
      <c r="F2586">
        <f t="shared" si="81"/>
        <v>96556</v>
      </c>
      <c r="H2586" s="1405">
        <v>909</v>
      </c>
      <c r="I2586" s="1405">
        <v>941.62</v>
      </c>
    </row>
    <row r="2587" spans="2:9" ht="30">
      <c r="B2587" s="1477">
        <v>96557</v>
      </c>
      <c r="C2587" s="740" t="s">
        <v>14606</v>
      </c>
      <c r="D2587" s="739" t="s">
        <v>19</v>
      </c>
      <c r="E2587" s="741">
        <f t="shared" si="80"/>
        <v>969.28</v>
      </c>
      <c r="F2587">
        <f t="shared" si="81"/>
        <v>96557</v>
      </c>
      <c r="H2587" s="1406">
        <v>967.39</v>
      </c>
      <c r="I2587" s="1406">
        <v>969.28</v>
      </c>
    </row>
    <row r="2588" spans="2:9">
      <c r="B2588" s="677">
        <v>96558</v>
      </c>
      <c r="C2588" s="733" t="s">
        <v>14607</v>
      </c>
      <c r="D2588" s="677" t="s">
        <v>19</v>
      </c>
      <c r="E2588" s="738">
        <f t="shared" si="80"/>
        <v>1006.78</v>
      </c>
      <c r="F2588">
        <f t="shared" si="81"/>
        <v>96558</v>
      </c>
      <c r="H2588" s="1405">
        <v>1003.47</v>
      </c>
      <c r="I2588" s="1405">
        <v>1006.78</v>
      </c>
    </row>
    <row r="2589" spans="2:9" ht="30">
      <c r="B2589" s="1477">
        <v>99235</v>
      </c>
      <c r="C2589" s="740" t="s">
        <v>5219</v>
      </c>
      <c r="D2589" s="739" t="s">
        <v>19</v>
      </c>
      <c r="E2589" s="741">
        <f t="shared" si="80"/>
        <v>883.12</v>
      </c>
      <c r="F2589">
        <f t="shared" si="81"/>
        <v>99235</v>
      </c>
      <c r="H2589" s="1406">
        <v>881.52</v>
      </c>
      <c r="I2589" s="1406">
        <v>883.12</v>
      </c>
    </row>
    <row r="2590" spans="2:9" ht="30">
      <c r="B2590" s="677">
        <v>99431</v>
      </c>
      <c r="C2590" s="733" t="s">
        <v>5220</v>
      </c>
      <c r="D2590" s="677" t="s">
        <v>19</v>
      </c>
      <c r="E2590" s="738">
        <f t="shared" si="80"/>
        <v>909.53</v>
      </c>
      <c r="F2590">
        <f t="shared" si="81"/>
        <v>99431</v>
      </c>
      <c r="H2590" s="1405">
        <v>906.83</v>
      </c>
      <c r="I2590" s="1405">
        <v>909.53</v>
      </c>
    </row>
    <row r="2591" spans="2:9" ht="30">
      <c r="B2591" s="1477">
        <v>99432</v>
      </c>
      <c r="C2591" s="740" t="s">
        <v>5221</v>
      </c>
      <c r="D2591" s="739" t="s">
        <v>19</v>
      </c>
      <c r="E2591" s="741">
        <f t="shared" si="80"/>
        <v>883.71</v>
      </c>
      <c r="F2591">
        <f t="shared" si="81"/>
        <v>99432</v>
      </c>
      <c r="H2591" s="1406">
        <v>881.22</v>
      </c>
      <c r="I2591" s="1406">
        <v>883.71</v>
      </c>
    </row>
    <row r="2592" spans="2:9" ht="30">
      <c r="B2592" s="677">
        <v>99433</v>
      </c>
      <c r="C2592" s="733" t="s">
        <v>5222</v>
      </c>
      <c r="D2592" s="677" t="s">
        <v>19</v>
      </c>
      <c r="E2592" s="738">
        <f t="shared" si="80"/>
        <v>953.34</v>
      </c>
      <c r="F2592">
        <f t="shared" si="81"/>
        <v>99433</v>
      </c>
      <c r="H2592" s="1405">
        <v>949.44</v>
      </c>
      <c r="I2592" s="1405">
        <v>953.34</v>
      </c>
    </row>
    <row r="2593" spans="2:9" ht="30">
      <c r="B2593" s="1477">
        <v>99434</v>
      </c>
      <c r="C2593" s="740" t="s">
        <v>5223</v>
      </c>
      <c r="D2593" s="739" t="s">
        <v>19</v>
      </c>
      <c r="E2593" s="741">
        <f t="shared" si="80"/>
        <v>913.49</v>
      </c>
      <c r="F2593">
        <f t="shared" si="81"/>
        <v>99434</v>
      </c>
      <c r="H2593" s="1406">
        <v>910.4</v>
      </c>
      <c r="I2593" s="1406">
        <v>913.49</v>
      </c>
    </row>
    <row r="2594" spans="2:9" ht="30">
      <c r="B2594" s="677">
        <v>99435</v>
      </c>
      <c r="C2594" s="733" t="s">
        <v>5224</v>
      </c>
      <c r="D2594" s="677" t="s">
        <v>19</v>
      </c>
      <c r="E2594" s="738">
        <f t="shared" si="80"/>
        <v>886.42</v>
      </c>
      <c r="F2594">
        <f t="shared" si="81"/>
        <v>99435</v>
      </c>
      <c r="H2594" s="1405">
        <v>883.66</v>
      </c>
      <c r="I2594" s="1405">
        <v>886.42</v>
      </c>
    </row>
    <row r="2595" spans="2:9" ht="45">
      <c r="B2595" s="1477">
        <v>99436</v>
      </c>
      <c r="C2595" s="740" t="s">
        <v>5225</v>
      </c>
      <c r="D2595" s="739" t="s">
        <v>19</v>
      </c>
      <c r="E2595" s="741">
        <f t="shared" si="80"/>
        <v>973.99</v>
      </c>
      <c r="F2595">
        <f t="shared" si="81"/>
        <v>99436</v>
      </c>
      <c r="H2595" s="1406">
        <v>968.01</v>
      </c>
      <c r="I2595" s="1406">
        <v>973.99</v>
      </c>
    </row>
    <row r="2596" spans="2:9" ht="30">
      <c r="B2596" s="677">
        <v>99437</v>
      </c>
      <c r="C2596" s="733" t="s">
        <v>5226</v>
      </c>
      <c r="D2596" s="677" t="s">
        <v>19</v>
      </c>
      <c r="E2596" s="738">
        <f t="shared" si="80"/>
        <v>935.08</v>
      </c>
      <c r="F2596">
        <f t="shared" si="81"/>
        <v>99437</v>
      </c>
      <c r="H2596" s="1405">
        <v>933.05</v>
      </c>
      <c r="I2596" s="1405">
        <v>935.08</v>
      </c>
    </row>
    <row r="2597" spans="2:9" ht="30">
      <c r="B2597" s="1477">
        <v>99438</v>
      </c>
      <c r="C2597" s="740" t="s">
        <v>5227</v>
      </c>
      <c r="D2597" s="739" t="s">
        <v>19</v>
      </c>
      <c r="E2597" s="741">
        <f t="shared" si="80"/>
        <v>940.76</v>
      </c>
      <c r="F2597">
        <f t="shared" si="81"/>
        <v>99438</v>
      </c>
      <c r="H2597" s="1406">
        <v>938.17</v>
      </c>
      <c r="I2597" s="1406">
        <v>940.76</v>
      </c>
    </row>
    <row r="2598" spans="2:9" ht="30">
      <c r="B2598" s="677">
        <v>99439</v>
      </c>
      <c r="C2598" s="733" t="s">
        <v>5228</v>
      </c>
      <c r="D2598" s="677" t="s">
        <v>19</v>
      </c>
      <c r="E2598" s="738">
        <f t="shared" si="80"/>
        <v>894.75</v>
      </c>
      <c r="F2598">
        <f t="shared" si="81"/>
        <v>99439</v>
      </c>
      <c r="H2598" s="1405">
        <v>891.94</v>
      </c>
      <c r="I2598" s="1405">
        <v>894.75</v>
      </c>
    </row>
    <row r="2599" spans="2:9" ht="30">
      <c r="B2599" s="1477">
        <v>102473</v>
      </c>
      <c r="C2599" s="740" t="s">
        <v>4655</v>
      </c>
      <c r="D2599" s="739" t="s">
        <v>19</v>
      </c>
      <c r="E2599" s="741">
        <f t="shared" si="80"/>
        <v>663.12</v>
      </c>
      <c r="F2599">
        <f t="shared" si="81"/>
        <v>102473</v>
      </c>
      <c r="H2599" s="1406">
        <v>655.32000000000005</v>
      </c>
      <c r="I2599" s="1406">
        <v>663.12</v>
      </c>
    </row>
    <row r="2600" spans="2:9" ht="30">
      <c r="B2600" s="677">
        <v>102474</v>
      </c>
      <c r="C2600" s="733" t="s">
        <v>4656</v>
      </c>
      <c r="D2600" s="677" t="s">
        <v>19</v>
      </c>
      <c r="E2600" s="738">
        <f t="shared" si="80"/>
        <v>705.76</v>
      </c>
      <c r="F2600">
        <f t="shared" si="81"/>
        <v>102474</v>
      </c>
      <c r="H2600" s="1405">
        <v>698.01</v>
      </c>
      <c r="I2600" s="1405">
        <v>705.76</v>
      </c>
    </row>
    <row r="2601" spans="2:9" ht="30">
      <c r="B2601" s="1477">
        <v>102475</v>
      </c>
      <c r="C2601" s="740" t="s">
        <v>4657</v>
      </c>
      <c r="D2601" s="739" t="s">
        <v>19</v>
      </c>
      <c r="E2601" s="741">
        <f t="shared" si="80"/>
        <v>754.94</v>
      </c>
      <c r="F2601">
        <f t="shared" si="81"/>
        <v>102475</v>
      </c>
      <c r="H2601" s="1406">
        <v>746.41</v>
      </c>
      <c r="I2601" s="1406">
        <v>754.94</v>
      </c>
    </row>
    <row r="2602" spans="2:9" ht="30">
      <c r="B2602" s="677">
        <v>102476</v>
      </c>
      <c r="C2602" s="733" t="s">
        <v>4658</v>
      </c>
      <c r="D2602" s="677" t="s">
        <v>19</v>
      </c>
      <c r="E2602" s="738">
        <f t="shared" si="80"/>
        <v>777.14</v>
      </c>
      <c r="F2602">
        <f t="shared" si="81"/>
        <v>102476</v>
      </c>
      <c r="H2602" s="1405">
        <v>769.8</v>
      </c>
      <c r="I2602" s="1405">
        <v>777.14</v>
      </c>
    </row>
    <row r="2603" spans="2:9" ht="30">
      <c r="B2603" s="1477">
        <v>102477</v>
      </c>
      <c r="C2603" s="740" t="s">
        <v>4659</v>
      </c>
      <c r="D2603" s="739" t="s">
        <v>19</v>
      </c>
      <c r="E2603" s="741">
        <f t="shared" si="80"/>
        <v>815.65</v>
      </c>
      <c r="F2603">
        <f t="shared" si="81"/>
        <v>102477</v>
      </c>
      <c r="H2603" s="1406">
        <v>807.55</v>
      </c>
      <c r="I2603" s="1406">
        <v>815.65</v>
      </c>
    </row>
    <row r="2604" spans="2:9" ht="30">
      <c r="B2604" s="677">
        <v>102478</v>
      </c>
      <c r="C2604" s="733" t="s">
        <v>4660</v>
      </c>
      <c r="D2604" s="677" t="s">
        <v>19</v>
      </c>
      <c r="E2604" s="738">
        <f t="shared" si="80"/>
        <v>872.81</v>
      </c>
      <c r="F2604">
        <f t="shared" si="81"/>
        <v>102478</v>
      </c>
      <c r="H2604" s="1405">
        <v>865.47</v>
      </c>
      <c r="I2604" s="1405">
        <v>872.81</v>
      </c>
    </row>
    <row r="2605" spans="2:9" ht="30">
      <c r="B2605" s="1477">
        <v>102479</v>
      </c>
      <c r="C2605" s="740" t="s">
        <v>4661</v>
      </c>
      <c r="D2605" s="739" t="s">
        <v>19</v>
      </c>
      <c r="E2605" s="741">
        <f t="shared" si="80"/>
        <v>662.19</v>
      </c>
      <c r="F2605">
        <f t="shared" si="81"/>
        <v>102479</v>
      </c>
      <c r="H2605" s="1406">
        <v>655.21</v>
      </c>
      <c r="I2605" s="1406">
        <v>662.19</v>
      </c>
    </row>
    <row r="2606" spans="2:9" ht="30">
      <c r="B2606" s="677">
        <v>102480</v>
      </c>
      <c r="C2606" s="733" t="s">
        <v>4662</v>
      </c>
      <c r="D2606" s="677" t="s">
        <v>19</v>
      </c>
      <c r="E2606" s="738">
        <f t="shared" si="80"/>
        <v>701.35</v>
      </c>
      <c r="F2606">
        <f t="shared" si="81"/>
        <v>102480</v>
      </c>
      <c r="H2606" s="1405">
        <v>694.59</v>
      </c>
      <c r="I2606" s="1405">
        <v>701.35</v>
      </c>
    </row>
    <row r="2607" spans="2:9" ht="30">
      <c r="B2607" s="1477">
        <v>102481</v>
      </c>
      <c r="C2607" s="740" t="s">
        <v>4663</v>
      </c>
      <c r="D2607" s="739" t="s">
        <v>19</v>
      </c>
      <c r="E2607" s="741">
        <f t="shared" si="80"/>
        <v>745.18</v>
      </c>
      <c r="F2607">
        <f t="shared" si="81"/>
        <v>102481</v>
      </c>
      <c r="H2607" s="1406">
        <v>738.38</v>
      </c>
      <c r="I2607" s="1406">
        <v>745.18</v>
      </c>
    </row>
    <row r="2608" spans="2:9" ht="30">
      <c r="B2608" s="677">
        <v>102482</v>
      </c>
      <c r="C2608" s="733" t="s">
        <v>4664</v>
      </c>
      <c r="D2608" s="677" t="s">
        <v>19</v>
      </c>
      <c r="E2608" s="738">
        <f t="shared" si="80"/>
        <v>776.53</v>
      </c>
      <c r="F2608">
        <f t="shared" si="81"/>
        <v>102482</v>
      </c>
      <c r="H2608" s="1405">
        <v>770.03</v>
      </c>
      <c r="I2608" s="1405">
        <v>776.53</v>
      </c>
    </row>
    <row r="2609" spans="2:9" ht="30">
      <c r="B2609" s="1477">
        <v>102483</v>
      </c>
      <c r="C2609" s="740" t="s">
        <v>4665</v>
      </c>
      <c r="D2609" s="739" t="s">
        <v>19</v>
      </c>
      <c r="E2609" s="741">
        <f t="shared" si="80"/>
        <v>811.66</v>
      </c>
      <c r="F2609">
        <f t="shared" si="81"/>
        <v>102483</v>
      </c>
      <c r="H2609" s="1406">
        <v>804.94</v>
      </c>
      <c r="I2609" s="1406">
        <v>811.66</v>
      </c>
    </row>
    <row r="2610" spans="2:9" ht="30">
      <c r="B2610" s="677">
        <v>102484</v>
      </c>
      <c r="C2610" s="733" t="s">
        <v>4666</v>
      </c>
      <c r="D2610" s="677" t="s">
        <v>19</v>
      </c>
      <c r="E2610" s="738">
        <f t="shared" si="80"/>
        <v>873.63</v>
      </c>
      <c r="F2610">
        <f t="shared" si="81"/>
        <v>102484</v>
      </c>
      <c r="H2610" s="1405">
        <v>866.91</v>
      </c>
      <c r="I2610" s="1405">
        <v>873.63</v>
      </c>
    </row>
    <row r="2611" spans="2:9" ht="30">
      <c r="B2611" s="1477">
        <v>102485</v>
      </c>
      <c r="C2611" s="740" t="s">
        <v>4667</v>
      </c>
      <c r="D2611" s="739" t="s">
        <v>19</v>
      </c>
      <c r="E2611" s="741">
        <f t="shared" si="80"/>
        <v>729.72</v>
      </c>
      <c r="F2611">
        <f t="shared" si="81"/>
        <v>102485</v>
      </c>
      <c r="H2611" s="1406">
        <v>717.24</v>
      </c>
      <c r="I2611" s="1406">
        <v>729.72</v>
      </c>
    </row>
    <row r="2612" spans="2:9" ht="30">
      <c r="B2612" s="677">
        <v>102486</v>
      </c>
      <c r="C2612" s="733" t="s">
        <v>4668</v>
      </c>
      <c r="D2612" s="677" t="s">
        <v>19</v>
      </c>
      <c r="E2612" s="738">
        <f t="shared" si="80"/>
        <v>763.53</v>
      </c>
      <c r="F2612">
        <f t="shared" si="81"/>
        <v>102486</v>
      </c>
      <c r="H2612" s="1405">
        <v>751.18</v>
      </c>
      <c r="I2612" s="1405">
        <v>763.53</v>
      </c>
    </row>
    <row r="2613" spans="2:9">
      <c r="B2613" s="1477">
        <v>102487</v>
      </c>
      <c r="C2613" s="740" t="s">
        <v>4669</v>
      </c>
      <c r="D2613" s="739" t="s">
        <v>19</v>
      </c>
      <c r="E2613" s="741">
        <f t="shared" si="80"/>
        <v>641.75</v>
      </c>
      <c r="F2613">
        <f t="shared" si="81"/>
        <v>102487</v>
      </c>
      <c r="H2613" s="1406">
        <v>618.37</v>
      </c>
      <c r="I2613" s="1406">
        <v>641.75</v>
      </c>
    </row>
    <row r="2614" spans="2:9" ht="30">
      <c r="B2614" s="677">
        <v>103183</v>
      </c>
      <c r="C2614" s="733" t="s">
        <v>5229</v>
      </c>
      <c r="D2614" s="677" t="s">
        <v>19</v>
      </c>
      <c r="E2614" s="738">
        <f t="shared" si="80"/>
        <v>933.78</v>
      </c>
      <c r="F2614">
        <f t="shared" si="81"/>
        <v>103183</v>
      </c>
      <c r="H2614" s="1405">
        <v>927.04</v>
      </c>
      <c r="I2614" s="1405">
        <v>933.78</v>
      </c>
    </row>
    <row r="2615" spans="2:9" ht="30">
      <c r="B2615" s="1477">
        <v>103184</v>
      </c>
      <c r="C2615" s="740" t="s">
        <v>5230</v>
      </c>
      <c r="D2615" s="739" t="s">
        <v>19</v>
      </c>
      <c r="E2615" s="741">
        <f t="shared" si="80"/>
        <v>894.6</v>
      </c>
      <c r="F2615">
        <f t="shared" si="81"/>
        <v>103184</v>
      </c>
      <c r="H2615" s="1406">
        <v>891.83</v>
      </c>
      <c r="I2615" s="1406">
        <v>894.6</v>
      </c>
    </row>
    <row r="2616" spans="2:9">
      <c r="B2616" s="677">
        <v>103669</v>
      </c>
      <c r="C2616" s="733" t="s">
        <v>5521</v>
      </c>
      <c r="D2616" s="677" t="s">
        <v>19</v>
      </c>
      <c r="E2616" s="738">
        <f t="shared" si="80"/>
        <v>1154.43</v>
      </c>
      <c r="F2616">
        <f t="shared" si="81"/>
        <v>103669</v>
      </c>
      <c r="H2616" s="1405">
        <v>1126.77</v>
      </c>
      <c r="I2616" s="1405">
        <v>1154.43</v>
      </c>
    </row>
    <row r="2617" spans="2:9">
      <c r="B2617" s="1477">
        <v>103670</v>
      </c>
      <c r="C2617" s="740" t="s">
        <v>5522</v>
      </c>
      <c r="D2617" s="739" t="s">
        <v>19</v>
      </c>
      <c r="E2617" s="741">
        <f t="shared" si="80"/>
        <v>277.10000000000002</v>
      </c>
      <c r="F2617">
        <f t="shared" si="81"/>
        <v>103670</v>
      </c>
      <c r="H2617" s="1406">
        <v>249.44</v>
      </c>
      <c r="I2617" s="1406">
        <v>277.10000000000002</v>
      </c>
    </row>
    <row r="2618" spans="2:9">
      <c r="B2618" s="677">
        <v>103671</v>
      </c>
      <c r="C2618" s="733" t="s">
        <v>5523</v>
      </c>
      <c r="D2618" s="677" t="s">
        <v>19</v>
      </c>
      <c r="E2618" s="738">
        <f t="shared" si="80"/>
        <v>922.25</v>
      </c>
      <c r="F2618">
        <f t="shared" si="81"/>
        <v>103671</v>
      </c>
      <c r="H2618" s="1405">
        <v>917.76</v>
      </c>
      <c r="I2618" s="1405">
        <v>922.25</v>
      </c>
    </row>
    <row r="2619" spans="2:9">
      <c r="B2619" s="1477">
        <v>103672</v>
      </c>
      <c r="C2619" s="740" t="s">
        <v>7782</v>
      </c>
      <c r="D2619" s="739" t="s">
        <v>19</v>
      </c>
      <c r="E2619" s="741">
        <f t="shared" si="80"/>
        <v>865.73</v>
      </c>
      <c r="F2619">
        <f t="shared" si="81"/>
        <v>103672</v>
      </c>
      <c r="H2619" s="1406">
        <v>861.88</v>
      </c>
      <c r="I2619" s="1406">
        <v>865.73</v>
      </c>
    </row>
    <row r="2620" spans="2:9">
      <c r="B2620" s="677">
        <v>103673</v>
      </c>
      <c r="C2620" s="733" t="s">
        <v>5524</v>
      </c>
      <c r="D2620" s="677" t="s">
        <v>19</v>
      </c>
      <c r="E2620" s="738">
        <f t="shared" si="80"/>
        <v>38.89</v>
      </c>
      <c r="F2620">
        <f t="shared" si="81"/>
        <v>103673</v>
      </c>
      <c r="H2620" s="1405">
        <v>35.04</v>
      </c>
      <c r="I2620" s="1405">
        <v>38.89</v>
      </c>
    </row>
    <row r="2621" spans="2:9" ht="30">
      <c r="B2621" s="1477">
        <v>103674</v>
      </c>
      <c r="C2621" s="740" t="s">
        <v>7783</v>
      </c>
      <c r="D2621" s="739" t="s">
        <v>19</v>
      </c>
      <c r="E2621" s="741">
        <f t="shared" si="80"/>
        <v>884.75</v>
      </c>
      <c r="F2621">
        <f t="shared" si="81"/>
        <v>103674</v>
      </c>
      <c r="H2621" s="1406">
        <v>878.92</v>
      </c>
      <c r="I2621" s="1406">
        <v>884.75</v>
      </c>
    </row>
    <row r="2622" spans="2:9" ht="30">
      <c r="B2622" s="677">
        <v>103675</v>
      </c>
      <c r="C2622" s="733" t="s">
        <v>7784</v>
      </c>
      <c r="D2622" s="677" t="s">
        <v>19</v>
      </c>
      <c r="E2622" s="738">
        <f t="shared" si="80"/>
        <v>866.28</v>
      </c>
      <c r="F2622">
        <f t="shared" si="81"/>
        <v>103675</v>
      </c>
      <c r="H2622" s="1405">
        <v>862.3</v>
      </c>
      <c r="I2622" s="1405">
        <v>866.28</v>
      </c>
    </row>
    <row r="2623" spans="2:9" ht="30">
      <c r="B2623" s="1477">
        <v>103676</v>
      </c>
      <c r="C2623" s="740" t="s">
        <v>5525</v>
      </c>
      <c r="D2623" s="739" t="s">
        <v>19</v>
      </c>
      <c r="E2623" s="741">
        <f t="shared" si="80"/>
        <v>1206.94</v>
      </c>
      <c r="F2623">
        <f t="shared" si="81"/>
        <v>103676</v>
      </c>
      <c r="H2623" s="1406">
        <v>1174.1300000000001</v>
      </c>
      <c r="I2623" s="1406">
        <v>1206.94</v>
      </c>
    </row>
    <row r="2624" spans="2:9" ht="30">
      <c r="B2624" s="677">
        <v>103677</v>
      </c>
      <c r="C2624" s="733" t="s">
        <v>5526</v>
      </c>
      <c r="D2624" s="677" t="s">
        <v>19</v>
      </c>
      <c r="E2624" s="738">
        <f t="shared" si="80"/>
        <v>1048.18</v>
      </c>
      <c r="F2624">
        <f t="shared" si="81"/>
        <v>103677</v>
      </c>
      <c r="H2624" s="1405">
        <v>1031.18</v>
      </c>
      <c r="I2624" s="1405">
        <v>1048.18</v>
      </c>
    </row>
    <row r="2625" spans="2:9" ht="30">
      <c r="B2625" s="1477">
        <v>103678</v>
      </c>
      <c r="C2625" s="740" t="s">
        <v>5527</v>
      </c>
      <c r="D2625" s="739" t="s">
        <v>19</v>
      </c>
      <c r="E2625" s="741">
        <f t="shared" si="80"/>
        <v>1118.17</v>
      </c>
      <c r="F2625">
        <f t="shared" si="81"/>
        <v>103678</v>
      </c>
      <c r="H2625" s="1406">
        <v>1094.29</v>
      </c>
      <c r="I2625" s="1406">
        <v>1118.17</v>
      </c>
    </row>
    <row r="2626" spans="2:9" ht="30">
      <c r="B2626" s="677">
        <v>103679</v>
      </c>
      <c r="C2626" s="733" t="s">
        <v>5528</v>
      </c>
      <c r="D2626" s="677" t="s">
        <v>19</v>
      </c>
      <c r="E2626" s="738">
        <f t="shared" si="80"/>
        <v>1008.78</v>
      </c>
      <c r="F2626">
        <f t="shared" si="81"/>
        <v>103679</v>
      </c>
      <c r="H2626" s="1405">
        <v>995.75</v>
      </c>
      <c r="I2626" s="1405">
        <v>1008.78</v>
      </c>
    </row>
    <row r="2627" spans="2:9" ht="30">
      <c r="B2627" s="1477">
        <v>103680</v>
      </c>
      <c r="C2627" s="740" t="s">
        <v>5529</v>
      </c>
      <c r="D2627" s="739" t="s">
        <v>19</v>
      </c>
      <c r="E2627" s="741">
        <f t="shared" ref="E2627:E2690" si="82">IF($K$2=$H$1,H2627,I2627)</f>
        <v>1053.0999999999999</v>
      </c>
      <c r="F2627">
        <f t="shared" ref="F2627:F2690" si="83">IF(LEN($B2627)=7,CONCATENATE(MID($B2627,1,6),"00",RIGHT($B2627,1)),IF(LEN($B2627)=8,CONCATENATE(MID($B2627,1,6),"0",RIGHT($B2627,2)),$B2627))</f>
        <v>103680</v>
      </c>
      <c r="H2627" s="1406">
        <v>1035.26</v>
      </c>
      <c r="I2627" s="1406">
        <v>1053.0999999999999</v>
      </c>
    </row>
    <row r="2628" spans="2:9" ht="30">
      <c r="B2628" s="677">
        <v>103681</v>
      </c>
      <c r="C2628" s="733" t="s">
        <v>5530</v>
      </c>
      <c r="D2628" s="677" t="s">
        <v>19</v>
      </c>
      <c r="E2628" s="738">
        <f t="shared" si="82"/>
        <v>946.52</v>
      </c>
      <c r="F2628">
        <f t="shared" si="83"/>
        <v>103681</v>
      </c>
      <c r="H2628" s="1405">
        <v>939.5</v>
      </c>
      <c r="I2628" s="1405">
        <v>946.52</v>
      </c>
    </row>
    <row r="2629" spans="2:9" ht="30">
      <c r="B2629" s="1477">
        <v>103682</v>
      </c>
      <c r="C2629" s="740" t="s">
        <v>5531</v>
      </c>
      <c r="D2629" s="739" t="s">
        <v>19</v>
      </c>
      <c r="E2629" s="741">
        <f t="shared" si="82"/>
        <v>1171.0899999999999</v>
      </c>
      <c r="F2629">
        <f t="shared" si="83"/>
        <v>103682</v>
      </c>
      <c r="H2629" s="1406">
        <v>1141.77</v>
      </c>
      <c r="I2629" s="1406">
        <v>1171.0899999999999</v>
      </c>
    </row>
    <row r="2630" spans="2:9" ht="30">
      <c r="B2630" s="677">
        <v>103683</v>
      </c>
      <c r="C2630" s="733" t="s">
        <v>5532</v>
      </c>
      <c r="D2630" s="677" t="s">
        <v>19</v>
      </c>
      <c r="E2630" s="738">
        <f t="shared" si="82"/>
        <v>1440.04</v>
      </c>
      <c r="F2630">
        <f t="shared" si="83"/>
        <v>103683</v>
      </c>
      <c r="H2630" s="1405">
        <v>1383.86</v>
      </c>
      <c r="I2630" s="1405">
        <v>1440.04</v>
      </c>
    </row>
    <row r="2631" spans="2:9" ht="30">
      <c r="B2631" s="1477">
        <v>103684</v>
      </c>
      <c r="C2631" s="740" t="s">
        <v>7785</v>
      </c>
      <c r="D2631" s="739" t="s">
        <v>19</v>
      </c>
      <c r="E2631" s="741">
        <f t="shared" si="82"/>
        <v>882.25</v>
      </c>
      <c r="F2631">
        <f t="shared" si="83"/>
        <v>103684</v>
      </c>
      <c r="H2631" s="1406">
        <v>876.66</v>
      </c>
      <c r="I2631" s="1406">
        <v>882.25</v>
      </c>
    </row>
    <row r="2632" spans="2:9">
      <c r="B2632" s="677">
        <v>103685</v>
      </c>
      <c r="C2632" s="733" t="s">
        <v>7786</v>
      </c>
      <c r="D2632" s="677" t="s">
        <v>19</v>
      </c>
      <c r="E2632" s="738">
        <f t="shared" si="82"/>
        <v>870.53</v>
      </c>
      <c r="F2632">
        <f t="shared" si="83"/>
        <v>103685</v>
      </c>
      <c r="H2632" s="1405">
        <v>866.12</v>
      </c>
      <c r="I2632" s="1405">
        <v>870.53</v>
      </c>
    </row>
    <row r="2633" spans="2:9">
      <c r="B2633" s="1477">
        <v>103686</v>
      </c>
      <c r="C2633" s="740" t="s">
        <v>7787</v>
      </c>
      <c r="D2633" s="739" t="s">
        <v>19</v>
      </c>
      <c r="E2633" s="741">
        <f t="shared" si="82"/>
        <v>926.6</v>
      </c>
      <c r="F2633">
        <f t="shared" si="83"/>
        <v>103686</v>
      </c>
      <c r="H2633" s="1406">
        <v>916.34</v>
      </c>
      <c r="I2633" s="1406">
        <v>926.6</v>
      </c>
    </row>
    <row r="2634" spans="2:9" ht="30">
      <c r="B2634" s="677">
        <v>103687</v>
      </c>
      <c r="C2634" s="733" t="s">
        <v>5533</v>
      </c>
      <c r="D2634" s="677" t="s">
        <v>19</v>
      </c>
      <c r="E2634" s="738">
        <f t="shared" si="82"/>
        <v>1269.54</v>
      </c>
      <c r="F2634">
        <f t="shared" si="83"/>
        <v>103687</v>
      </c>
      <c r="H2634" s="1405">
        <v>1230.33</v>
      </c>
      <c r="I2634" s="1405">
        <v>1269.54</v>
      </c>
    </row>
    <row r="2635" spans="2:9" ht="30">
      <c r="B2635" s="1477">
        <v>103688</v>
      </c>
      <c r="C2635" s="740" t="s">
        <v>5534</v>
      </c>
      <c r="D2635" s="739" t="s">
        <v>19</v>
      </c>
      <c r="E2635" s="741">
        <f t="shared" si="82"/>
        <v>1042.1300000000001</v>
      </c>
      <c r="F2635">
        <f t="shared" si="83"/>
        <v>103688</v>
      </c>
      <c r="H2635" s="1406">
        <v>1025.7</v>
      </c>
      <c r="I2635" s="1406">
        <v>1042.1300000000001</v>
      </c>
    </row>
    <row r="2636" spans="2:9">
      <c r="B2636" s="677">
        <v>104916</v>
      </c>
      <c r="C2636" s="733" t="s">
        <v>14608</v>
      </c>
      <c r="D2636" s="677" t="s">
        <v>20</v>
      </c>
      <c r="E2636" s="738">
        <f t="shared" si="82"/>
        <v>17.47</v>
      </c>
      <c r="F2636">
        <f t="shared" si="83"/>
        <v>104916</v>
      </c>
      <c r="H2636" s="1405">
        <v>16.73</v>
      </c>
      <c r="I2636" s="1405">
        <v>17.47</v>
      </c>
    </row>
    <row r="2637" spans="2:9" ht="30">
      <c r="B2637" s="1477">
        <v>104923</v>
      </c>
      <c r="C2637" s="740" t="s">
        <v>14609</v>
      </c>
      <c r="D2637" s="739" t="s">
        <v>19</v>
      </c>
      <c r="E2637" s="741">
        <f t="shared" si="82"/>
        <v>852.03</v>
      </c>
      <c r="F2637">
        <f t="shared" si="83"/>
        <v>104923</v>
      </c>
      <c r="H2637" s="1406">
        <v>828.53</v>
      </c>
      <c r="I2637" s="1406">
        <v>852.03</v>
      </c>
    </row>
    <row r="2638" spans="2:9" ht="30">
      <c r="B2638" s="677">
        <v>104924</v>
      </c>
      <c r="C2638" s="733" t="s">
        <v>14610</v>
      </c>
      <c r="D2638" s="677" t="s">
        <v>19</v>
      </c>
      <c r="E2638" s="738">
        <f t="shared" si="82"/>
        <v>998.46</v>
      </c>
      <c r="F2638">
        <f t="shared" si="83"/>
        <v>104924</v>
      </c>
      <c r="H2638" s="1405">
        <v>995.97</v>
      </c>
      <c r="I2638" s="1405">
        <v>998.46</v>
      </c>
    </row>
    <row r="2639" spans="2:9" ht="30">
      <c r="B2639" s="1477">
        <v>101963</v>
      </c>
      <c r="C2639" s="740" t="s">
        <v>8061</v>
      </c>
      <c r="D2639" s="739" t="s">
        <v>0</v>
      </c>
      <c r="E2639" s="741">
        <f t="shared" si="82"/>
        <v>195.09</v>
      </c>
      <c r="F2639">
        <f t="shared" si="83"/>
        <v>101963</v>
      </c>
      <c r="H2639" s="1406">
        <v>191.71</v>
      </c>
      <c r="I2639" s="1406">
        <v>195.09</v>
      </c>
    </row>
    <row r="2640" spans="2:9" ht="30">
      <c r="B2640" s="677">
        <v>101964</v>
      </c>
      <c r="C2640" s="733" t="s">
        <v>8062</v>
      </c>
      <c r="D2640" s="677" t="s">
        <v>0</v>
      </c>
      <c r="E2640" s="738">
        <f t="shared" si="82"/>
        <v>180.45</v>
      </c>
      <c r="F2640">
        <f t="shared" si="83"/>
        <v>101964</v>
      </c>
      <c r="H2640" s="1405">
        <v>177.25</v>
      </c>
      <c r="I2640" s="1405">
        <v>180.45</v>
      </c>
    </row>
    <row r="2641" spans="2:9" ht="30">
      <c r="B2641" s="1477">
        <v>101165</v>
      </c>
      <c r="C2641" s="740" t="s">
        <v>3231</v>
      </c>
      <c r="D2641" s="739" t="s">
        <v>19</v>
      </c>
      <c r="E2641" s="741">
        <f t="shared" si="82"/>
        <v>988.38</v>
      </c>
      <c r="F2641">
        <f t="shared" si="83"/>
        <v>101165</v>
      </c>
      <c r="H2641" s="1406">
        <v>949.63</v>
      </c>
      <c r="I2641" s="1406">
        <v>988.38</v>
      </c>
    </row>
    <row r="2642" spans="2:9" ht="30">
      <c r="B2642" s="677">
        <v>101166</v>
      </c>
      <c r="C2642" s="733" t="s">
        <v>3232</v>
      </c>
      <c r="D2642" s="677" t="s">
        <v>19</v>
      </c>
      <c r="E2642" s="738">
        <f t="shared" si="82"/>
        <v>700.84</v>
      </c>
      <c r="F2642">
        <f t="shared" si="83"/>
        <v>101166</v>
      </c>
      <c r="H2642" s="1405">
        <v>669.11</v>
      </c>
      <c r="I2642" s="1405">
        <v>700.84</v>
      </c>
    </row>
    <row r="2643" spans="2:9" ht="30">
      <c r="B2643" s="1477">
        <v>98575</v>
      </c>
      <c r="C2643" s="740" t="s">
        <v>8219</v>
      </c>
      <c r="D2643" s="739" t="s">
        <v>21</v>
      </c>
      <c r="E2643" s="741">
        <f t="shared" si="82"/>
        <v>66.02</v>
      </c>
      <c r="F2643">
        <f t="shared" si="83"/>
        <v>98575</v>
      </c>
      <c r="H2643" s="1406">
        <v>61.94</v>
      </c>
      <c r="I2643" s="1406">
        <v>66.02</v>
      </c>
    </row>
    <row r="2644" spans="2:9">
      <c r="B2644" s="677">
        <v>98576</v>
      </c>
      <c r="C2644" s="733" t="s">
        <v>8220</v>
      </c>
      <c r="D2644" s="677" t="s">
        <v>21</v>
      </c>
      <c r="E2644" s="738">
        <f t="shared" si="82"/>
        <v>26.73</v>
      </c>
      <c r="F2644">
        <f t="shared" si="83"/>
        <v>98576</v>
      </c>
      <c r="H2644" s="1405">
        <v>26.65</v>
      </c>
      <c r="I2644" s="1405">
        <v>26.73</v>
      </c>
    </row>
    <row r="2645" spans="2:9">
      <c r="B2645" s="1477">
        <v>98577</v>
      </c>
      <c r="C2645" s="740" t="s">
        <v>8221</v>
      </c>
      <c r="D2645" s="739" t="s">
        <v>21</v>
      </c>
      <c r="E2645" s="741">
        <f t="shared" si="82"/>
        <v>43.88</v>
      </c>
      <c r="F2645">
        <f t="shared" si="83"/>
        <v>98577</v>
      </c>
      <c r="H2645" s="1406">
        <v>40.29</v>
      </c>
      <c r="I2645" s="1406">
        <v>43.88</v>
      </c>
    </row>
    <row r="2646" spans="2:9">
      <c r="B2646" s="677">
        <v>93182</v>
      </c>
      <c r="C2646" s="733" t="s">
        <v>377</v>
      </c>
      <c r="D2646" s="677" t="s">
        <v>21</v>
      </c>
      <c r="E2646" s="738">
        <f t="shared" si="82"/>
        <v>47.76</v>
      </c>
      <c r="F2646">
        <f t="shared" si="83"/>
        <v>93182</v>
      </c>
      <c r="H2646" s="1405">
        <v>46.61</v>
      </c>
      <c r="I2646" s="1405">
        <v>47.76</v>
      </c>
    </row>
    <row r="2647" spans="2:9">
      <c r="B2647" s="1477">
        <v>93183</v>
      </c>
      <c r="C2647" s="740" t="s">
        <v>378</v>
      </c>
      <c r="D2647" s="739" t="s">
        <v>21</v>
      </c>
      <c r="E2647" s="741">
        <f t="shared" si="82"/>
        <v>61.01</v>
      </c>
      <c r="F2647">
        <f t="shared" si="83"/>
        <v>93183</v>
      </c>
      <c r="H2647" s="1406">
        <v>59.74</v>
      </c>
      <c r="I2647" s="1406">
        <v>61.01</v>
      </c>
    </row>
    <row r="2648" spans="2:9">
      <c r="B2648" s="677">
        <v>93184</v>
      </c>
      <c r="C2648" s="733" t="s">
        <v>379</v>
      </c>
      <c r="D2648" s="677" t="s">
        <v>21</v>
      </c>
      <c r="E2648" s="738">
        <f t="shared" si="82"/>
        <v>35.42</v>
      </c>
      <c r="F2648">
        <f t="shared" si="83"/>
        <v>93184</v>
      </c>
      <c r="H2648" s="1405">
        <v>34.43</v>
      </c>
      <c r="I2648" s="1405">
        <v>35.42</v>
      </c>
    </row>
    <row r="2649" spans="2:9">
      <c r="B2649" s="1477">
        <v>93185</v>
      </c>
      <c r="C2649" s="740" t="s">
        <v>380</v>
      </c>
      <c r="D2649" s="739" t="s">
        <v>21</v>
      </c>
      <c r="E2649" s="741">
        <f t="shared" si="82"/>
        <v>60.12</v>
      </c>
      <c r="F2649">
        <f t="shared" si="83"/>
        <v>93185</v>
      </c>
      <c r="H2649" s="1406">
        <v>58.92</v>
      </c>
      <c r="I2649" s="1406">
        <v>60.12</v>
      </c>
    </row>
    <row r="2650" spans="2:9">
      <c r="B2650" s="677">
        <v>93186</v>
      </c>
      <c r="C2650" s="733" t="s">
        <v>1327</v>
      </c>
      <c r="D2650" s="677" t="s">
        <v>21</v>
      </c>
      <c r="E2650" s="738">
        <f t="shared" si="82"/>
        <v>87.27</v>
      </c>
      <c r="F2650">
        <f t="shared" si="83"/>
        <v>93186</v>
      </c>
      <c r="H2650" s="1405">
        <v>84.62</v>
      </c>
      <c r="I2650" s="1405">
        <v>87.27</v>
      </c>
    </row>
    <row r="2651" spans="2:9">
      <c r="B2651" s="1477">
        <v>93187</v>
      </c>
      <c r="C2651" s="740" t="s">
        <v>1328</v>
      </c>
      <c r="D2651" s="739" t="s">
        <v>21</v>
      </c>
      <c r="E2651" s="741">
        <f t="shared" si="82"/>
        <v>99.49</v>
      </c>
      <c r="F2651">
        <f t="shared" si="83"/>
        <v>93187</v>
      </c>
      <c r="H2651" s="1406">
        <v>96.73</v>
      </c>
      <c r="I2651" s="1406">
        <v>99.49</v>
      </c>
    </row>
    <row r="2652" spans="2:9">
      <c r="B2652" s="677">
        <v>93188</v>
      </c>
      <c r="C2652" s="733" t="s">
        <v>1329</v>
      </c>
      <c r="D2652" s="677" t="s">
        <v>21</v>
      </c>
      <c r="E2652" s="738">
        <f t="shared" si="82"/>
        <v>84.36</v>
      </c>
      <c r="F2652">
        <f t="shared" si="83"/>
        <v>93188</v>
      </c>
      <c r="H2652" s="1405">
        <v>81.88</v>
      </c>
      <c r="I2652" s="1405">
        <v>84.36</v>
      </c>
    </row>
    <row r="2653" spans="2:9">
      <c r="B2653" s="1477">
        <v>93189</v>
      </c>
      <c r="C2653" s="740" t="s">
        <v>1330</v>
      </c>
      <c r="D2653" s="739" t="s">
        <v>21</v>
      </c>
      <c r="E2653" s="741">
        <f t="shared" si="82"/>
        <v>100.91</v>
      </c>
      <c r="F2653">
        <f t="shared" si="83"/>
        <v>93189</v>
      </c>
      <c r="H2653" s="1406">
        <v>98.18</v>
      </c>
      <c r="I2653" s="1406">
        <v>100.91</v>
      </c>
    </row>
    <row r="2654" spans="2:9">
      <c r="B2654" s="677">
        <v>93190</v>
      </c>
      <c r="C2654" s="733" t="s">
        <v>1331</v>
      </c>
      <c r="D2654" s="677" t="s">
        <v>21</v>
      </c>
      <c r="E2654" s="738">
        <f t="shared" si="82"/>
        <v>51.35</v>
      </c>
      <c r="F2654">
        <f t="shared" si="83"/>
        <v>93190</v>
      </c>
      <c r="H2654" s="1405">
        <v>50.18</v>
      </c>
      <c r="I2654" s="1405">
        <v>51.35</v>
      </c>
    </row>
    <row r="2655" spans="2:9">
      <c r="B2655" s="1477">
        <v>93191</v>
      </c>
      <c r="C2655" s="740" t="s">
        <v>1332</v>
      </c>
      <c r="D2655" s="739" t="s">
        <v>21</v>
      </c>
      <c r="E2655" s="741">
        <f t="shared" si="82"/>
        <v>52.85</v>
      </c>
      <c r="F2655">
        <f t="shared" si="83"/>
        <v>93191</v>
      </c>
      <c r="H2655" s="1406">
        <v>51.75</v>
      </c>
      <c r="I2655" s="1406">
        <v>52.85</v>
      </c>
    </row>
    <row r="2656" spans="2:9">
      <c r="B2656" s="677">
        <v>93192</v>
      </c>
      <c r="C2656" s="733" t="s">
        <v>1333</v>
      </c>
      <c r="D2656" s="677" t="s">
        <v>21</v>
      </c>
      <c r="E2656" s="738">
        <f t="shared" si="82"/>
        <v>59.2</v>
      </c>
      <c r="F2656">
        <f t="shared" si="83"/>
        <v>93192</v>
      </c>
      <c r="H2656" s="1405">
        <v>58</v>
      </c>
      <c r="I2656" s="1405">
        <v>59.2</v>
      </c>
    </row>
    <row r="2657" spans="2:9">
      <c r="B2657" s="1477">
        <v>93193</v>
      </c>
      <c r="C2657" s="740" t="s">
        <v>1334</v>
      </c>
      <c r="D2657" s="739" t="s">
        <v>21</v>
      </c>
      <c r="E2657" s="741">
        <f t="shared" si="82"/>
        <v>54.37</v>
      </c>
      <c r="F2657">
        <f t="shared" si="83"/>
        <v>93193</v>
      </c>
      <c r="H2657" s="1406">
        <v>53.31</v>
      </c>
      <c r="I2657" s="1406">
        <v>54.37</v>
      </c>
    </row>
    <row r="2658" spans="2:9">
      <c r="B2658" s="677">
        <v>93194</v>
      </c>
      <c r="C2658" s="733" t="s">
        <v>1335</v>
      </c>
      <c r="D2658" s="677" t="s">
        <v>21</v>
      </c>
      <c r="E2658" s="738">
        <f t="shared" si="82"/>
        <v>46.85</v>
      </c>
      <c r="F2658">
        <f t="shared" si="83"/>
        <v>93194</v>
      </c>
      <c r="H2658" s="1405">
        <v>45.72</v>
      </c>
      <c r="I2658" s="1405">
        <v>46.85</v>
      </c>
    </row>
    <row r="2659" spans="2:9">
      <c r="B2659" s="1477">
        <v>93195</v>
      </c>
      <c r="C2659" s="740" t="s">
        <v>1336</v>
      </c>
      <c r="D2659" s="739" t="s">
        <v>21</v>
      </c>
      <c r="E2659" s="741">
        <f t="shared" si="82"/>
        <v>56.96</v>
      </c>
      <c r="F2659">
        <f t="shared" si="83"/>
        <v>93195</v>
      </c>
      <c r="H2659" s="1406">
        <v>55.7</v>
      </c>
      <c r="I2659" s="1406">
        <v>56.96</v>
      </c>
    </row>
    <row r="2660" spans="2:9">
      <c r="B2660" s="677">
        <v>93196</v>
      </c>
      <c r="C2660" s="733" t="s">
        <v>1337</v>
      </c>
      <c r="D2660" s="677" t="s">
        <v>21</v>
      </c>
      <c r="E2660" s="738">
        <f t="shared" si="82"/>
        <v>83.33</v>
      </c>
      <c r="F2660">
        <f t="shared" si="83"/>
        <v>93196</v>
      </c>
      <c r="H2660" s="1405">
        <v>80.680000000000007</v>
      </c>
      <c r="I2660" s="1405">
        <v>83.33</v>
      </c>
    </row>
    <row r="2661" spans="2:9">
      <c r="B2661" s="1477">
        <v>93197</v>
      </c>
      <c r="C2661" s="740" t="s">
        <v>381</v>
      </c>
      <c r="D2661" s="739" t="s">
        <v>21</v>
      </c>
      <c r="E2661" s="741">
        <f t="shared" si="82"/>
        <v>93.59</v>
      </c>
      <c r="F2661">
        <f t="shared" si="83"/>
        <v>93197</v>
      </c>
      <c r="H2661" s="1406">
        <v>90.82</v>
      </c>
      <c r="I2661" s="1406">
        <v>93.59</v>
      </c>
    </row>
    <row r="2662" spans="2:9" ht="30">
      <c r="B2662" s="677">
        <v>93198</v>
      </c>
      <c r="C2662" s="733" t="s">
        <v>1338</v>
      </c>
      <c r="D2662" s="677" t="s">
        <v>21</v>
      </c>
      <c r="E2662" s="738">
        <f t="shared" si="82"/>
        <v>44.61</v>
      </c>
      <c r="F2662">
        <f t="shared" si="83"/>
        <v>93198</v>
      </c>
      <c r="H2662" s="1405">
        <v>43.44</v>
      </c>
      <c r="I2662" s="1405">
        <v>44.61</v>
      </c>
    </row>
    <row r="2663" spans="2:9" ht="30">
      <c r="B2663" s="1477">
        <v>93199</v>
      </c>
      <c r="C2663" s="740" t="s">
        <v>1339</v>
      </c>
      <c r="D2663" s="739" t="s">
        <v>21</v>
      </c>
      <c r="E2663" s="741">
        <f t="shared" si="82"/>
        <v>44.04</v>
      </c>
      <c r="F2663">
        <f t="shared" si="83"/>
        <v>93199</v>
      </c>
      <c r="H2663" s="1406">
        <v>42.93</v>
      </c>
      <c r="I2663" s="1406">
        <v>44.04</v>
      </c>
    </row>
    <row r="2664" spans="2:9">
      <c r="B2664" s="677">
        <v>93200</v>
      </c>
      <c r="C2664" s="733" t="s">
        <v>382</v>
      </c>
      <c r="D2664" s="677" t="s">
        <v>21</v>
      </c>
      <c r="E2664" s="738">
        <f t="shared" si="82"/>
        <v>3.27</v>
      </c>
      <c r="F2664">
        <f t="shared" si="83"/>
        <v>93200</v>
      </c>
      <c r="H2664" s="1405">
        <v>3.09</v>
      </c>
      <c r="I2664" s="1405">
        <v>3.27</v>
      </c>
    </row>
    <row r="2665" spans="2:9">
      <c r="B2665" s="1477">
        <v>93201</v>
      </c>
      <c r="C2665" s="740" t="s">
        <v>383</v>
      </c>
      <c r="D2665" s="739" t="s">
        <v>21</v>
      </c>
      <c r="E2665" s="741">
        <f t="shared" si="82"/>
        <v>6.43</v>
      </c>
      <c r="F2665">
        <f t="shared" si="83"/>
        <v>93201</v>
      </c>
      <c r="H2665" s="1406">
        <v>5.94</v>
      </c>
      <c r="I2665" s="1406">
        <v>6.43</v>
      </c>
    </row>
    <row r="2666" spans="2:9">
      <c r="B2666" s="677">
        <v>93202</v>
      </c>
      <c r="C2666" s="733" t="s">
        <v>1340</v>
      </c>
      <c r="D2666" s="677" t="s">
        <v>21</v>
      </c>
      <c r="E2666" s="738">
        <f t="shared" si="82"/>
        <v>27.72</v>
      </c>
      <c r="F2666">
        <f t="shared" si="83"/>
        <v>93202</v>
      </c>
      <c r="H2666" s="1405">
        <v>26.06</v>
      </c>
      <c r="I2666" s="1405">
        <v>27.72</v>
      </c>
    </row>
    <row r="2667" spans="2:9">
      <c r="B2667" s="1477">
        <v>93203</v>
      </c>
      <c r="C2667" s="740" t="s">
        <v>1988</v>
      </c>
      <c r="D2667" s="739" t="s">
        <v>21</v>
      </c>
      <c r="E2667" s="741">
        <f t="shared" si="82"/>
        <v>18.91</v>
      </c>
      <c r="F2667">
        <f t="shared" si="83"/>
        <v>93203</v>
      </c>
      <c r="H2667" s="1406">
        <v>18.670000000000002</v>
      </c>
      <c r="I2667" s="1406">
        <v>18.91</v>
      </c>
    </row>
    <row r="2668" spans="2:9">
      <c r="B2668" s="677">
        <v>93204</v>
      </c>
      <c r="C2668" s="733" t="s">
        <v>1341</v>
      </c>
      <c r="D2668" s="677" t="s">
        <v>21</v>
      </c>
      <c r="E2668" s="738">
        <f t="shared" si="82"/>
        <v>61.93</v>
      </c>
      <c r="F2668">
        <f t="shared" si="83"/>
        <v>93204</v>
      </c>
      <c r="H2668" s="1405">
        <v>59.86</v>
      </c>
      <c r="I2668" s="1405">
        <v>61.93</v>
      </c>
    </row>
    <row r="2669" spans="2:9">
      <c r="B2669" s="1477">
        <v>93205</v>
      </c>
      <c r="C2669" s="740" t="s">
        <v>1342</v>
      </c>
      <c r="D2669" s="739" t="s">
        <v>21</v>
      </c>
      <c r="E2669" s="741">
        <f t="shared" si="82"/>
        <v>42.32</v>
      </c>
      <c r="F2669">
        <f t="shared" si="83"/>
        <v>93205</v>
      </c>
      <c r="H2669" s="1406">
        <v>41.25</v>
      </c>
      <c r="I2669" s="1406">
        <v>42.32</v>
      </c>
    </row>
    <row r="2670" spans="2:9">
      <c r="B2670" s="677">
        <v>97733</v>
      </c>
      <c r="C2670" s="733" t="s">
        <v>2022</v>
      </c>
      <c r="D2670" s="677" t="s">
        <v>19</v>
      </c>
      <c r="E2670" s="738">
        <f t="shared" si="82"/>
        <v>3360.49</v>
      </c>
      <c r="F2670">
        <f t="shared" si="83"/>
        <v>97733</v>
      </c>
      <c r="H2670" s="1405">
        <v>3148.08</v>
      </c>
      <c r="I2670" s="1405">
        <v>3360.49</v>
      </c>
    </row>
    <row r="2671" spans="2:9">
      <c r="B2671" s="1477">
        <v>97734</v>
      </c>
      <c r="C2671" s="740" t="s">
        <v>2023</v>
      </c>
      <c r="D2671" s="739" t="s">
        <v>19</v>
      </c>
      <c r="E2671" s="741">
        <f t="shared" si="82"/>
        <v>2943.17</v>
      </c>
      <c r="F2671">
        <f t="shared" si="83"/>
        <v>97734</v>
      </c>
      <c r="H2671" s="1406">
        <v>2752.69</v>
      </c>
      <c r="I2671" s="1406">
        <v>2943.17</v>
      </c>
    </row>
    <row r="2672" spans="2:9">
      <c r="B2672" s="677">
        <v>97735</v>
      </c>
      <c r="C2672" s="733" t="s">
        <v>2024</v>
      </c>
      <c r="D2672" s="677" t="s">
        <v>19</v>
      </c>
      <c r="E2672" s="738">
        <f t="shared" si="82"/>
        <v>2459</v>
      </c>
      <c r="F2672">
        <f t="shared" si="83"/>
        <v>97735</v>
      </c>
      <c r="H2672" s="1405">
        <v>2315.9299999999998</v>
      </c>
      <c r="I2672" s="1405">
        <v>2459</v>
      </c>
    </row>
    <row r="2673" spans="2:9" ht="30">
      <c r="B2673" s="1477">
        <v>97736</v>
      </c>
      <c r="C2673" s="740" t="s">
        <v>2025</v>
      </c>
      <c r="D2673" s="739" t="s">
        <v>19</v>
      </c>
      <c r="E2673" s="741">
        <f t="shared" si="82"/>
        <v>1614.54</v>
      </c>
      <c r="F2673">
        <f t="shared" si="83"/>
        <v>97736</v>
      </c>
      <c r="H2673" s="1406">
        <v>1559.62</v>
      </c>
      <c r="I2673" s="1406">
        <v>1614.54</v>
      </c>
    </row>
    <row r="2674" spans="2:9">
      <c r="B2674" s="677">
        <v>97737</v>
      </c>
      <c r="C2674" s="733" t="s">
        <v>2026</v>
      </c>
      <c r="D2674" s="677" t="s">
        <v>19</v>
      </c>
      <c r="E2674" s="738">
        <f t="shared" si="82"/>
        <v>3272.44</v>
      </c>
      <c r="F2674">
        <f t="shared" si="83"/>
        <v>97737</v>
      </c>
      <c r="H2674" s="1405">
        <v>3101.44</v>
      </c>
      <c r="I2674" s="1405">
        <v>3272.44</v>
      </c>
    </row>
    <row r="2675" spans="2:9" ht="30">
      <c r="B2675" s="1477">
        <v>97738</v>
      </c>
      <c r="C2675" s="740" t="s">
        <v>6981</v>
      </c>
      <c r="D2675" s="739" t="s">
        <v>19</v>
      </c>
      <c r="E2675" s="741">
        <f t="shared" si="82"/>
        <v>5318.35</v>
      </c>
      <c r="F2675">
        <f t="shared" si="83"/>
        <v>97738</v>
      </c>
      <c r="H2675" s="1406">
        <v>5089.2299999999996</v>
      </c>
      <c r="I2675" s="1406">
        <v>5318.35</v>
      </c>
    </row>
    <row r="2676" spans="2:9">
      <c r="B2676" s="677">
        <v>97739</v>
      </c>
      <c r="C2676" s="733" t="s">
        <v>2027</v>
      </c>
      <c r="D2676" s="677" t="s">
        <v>19</v>
      </c>
      <c r="E2676" s="738">
        <f t="shared" si="82"/>
        <v>2967.71</v>
      </c>
      <c r="F2676">
        <f t="shared" si="83"/>
        <v>97739</v>
      </c>
      <c r="H2676" s="1405">
        <v>2816.85</v>
      </c>
      <c r="I2676" s="1405">
        <v>2967.71</v>
      </c>
    </row>
    <row r="2677" spans="2:9">
      <c r="B2677" s="1477">
        <v>97740</v>
      </c>
      <c r="C2677" s="740" t="s">
        <v>2028</v>
      </c>
      <c r="D2677" s="739" t="s">
        <v>19</v>
      </c>
      <c r="E2677" s="741">
        <f t="shared" si="82"/>
        <v>2234.8000000000002</v>
      </c>
      <c r="F2677">
        <f t="shared" si="83"/>
        <v>97740</v>
      </c>
      <c r="H2677" s="1406">
        <v>2163.14</v>
      </c>
      <c r="I2677" s="1406">
        <v>2234.8000000000002</v>
      </c>
    </row>
    <row r="2678" spans="2:9" ht="30">
      <c r="B2678" s="677">
        <v>98615</v>
      </c>
      <c r="C2678" s="733" t="s">
        <v>2072</v>
      </c>
      <c r="D2678" s="677" t="s">
        <v>0</v>
      </c>
      <c r="E2678" s="738">
        <f t="shared" si="82"/>
        <v>176.05</v>
      </c>
      <c r="F2678">
        <f t="shared" si="83"/>
        <v>98615</v>
      </c>
      <c r="H2678" s="1405">
        <v>173.96</v>
      </c>
      <c r="I2678" s="1405">
        <v>176.05</v>
      </c>
    </row>
    <row r="2679" spans="2:9" ht="30">
      <c r="B2679" s="1477">
        <v>98616</v>
      </c>
      <c r="C2679" s="740" t="s">
        <v>2073</v>
      </c>
      <c r="D2679" s="739" t="s">
        <v>0</v>
      </c>
      <c r="E2679" s="741">
        <f t="shared" si="82"/>
        <v>143.31</v>
      </c>
      <c r="F2679">
        <f t="shared" si="83"/>
        <v>98616</v>
      </c>
      <c r="H2679" s="1406">
        <v>142.01</v>
      </c>
      <c r="I2679" s="1406">
        <v>143.31</v>
      </c>
    </row>
    <row r="2680" spans="2:9">
      <c r="B2680" s="677">
        <v>98617</v>
      </c>
      <c r="C2680" s="733" t="s">
        <v>2074</v>
      </c>
      <c r="D2680" s="677" t="s">
        <v>0</v>
      </c>
      <c r="E2680" s="738">
        <f t="shared" si="82"/>
        <v>134.41</v>
      </c>
      <c r="F2680">
        <f t="shared" si="83"/>
        <v>98617</v>
      </c>
      <c r="H2680" s="1405">
        <v>133.41</v>
      </c>
      <c r="I2680" s="1405">
        <v>134.41</v>
      </c>
    </row>
    <row r="2681" spans="2:9" ht="30">
      <c r="B2681" s="1477">
        <v>98618</v>
      </c>
      <c r="C2681" s="740" t="s">
        <v>2075</v>
      </c>
      <c r="D2681" s="739" t="s">
        <v>0</v>
      </c>
      <c r="E2681" s="741">
        <f t="shared" si="82"/>
        <v>183.53</v>
      </c>
      <c r="F2681">
        <f t="shared" si="83"/>
        <v>98618</v>
      </c>
      <c r="H2681" s="1406">
        <v>182.01</v>
      </c>
      <c r="I2681" s="1406">
        <v>183.53</v>
      </c>
    </row>
    <row r="2682" spans="2:9" ht="30">
      <c r="B2682" s="677">
        <v>98619</v>
      </c>
      <c r="C2682" s="733" t="s">
        <v>2076</v>
      </c>
      <c r="D2682" s="677" t="s">
        <v>0</v>
      </c>
      <c r="E2682" s="738">
        <f t="shared" si="82"/>
        <v>170.01</v>
      </c>
      <c r="F2682">
        <f t="shared" si="83"/>
        <v>98619</v>
      </c>
      <c r="H2682" s="1405">
        <v>168.92</v>
      </c>
      <c r="I2682" s="1405">
        <v>170.01</v>
      </c>
    </row>
    <row r="2683" spans="2:9">
      <c r="B2683" s="1477">
        <v>98620</v>
      </c>
      <c r="C2683" s="740" t="s">
        <v>2077</v>
      </c>
      <c r="D2683" s="739" t="s">
        <v>0</v>
      </c>
      <c r="E2683" s="741">
        <f t="shared" si="82"/>
        <v>163.18</v>
      </c>
      <c r="F2683">
        <f t="shared" si="83"/>
        <v>98620</v>
      </c>
      <c r="H2683" s="1406">
        <v>162.29</v>
      </c>
      <c r="I2683" s="1406">
        <v>163.18</v>
      </c>
    </row>
    <row r="2684" spans="2:9" ht="30">
      <c r="B2684" s="677">
        <v>98621</v>
      </c>
      <c r="C2684" s="733" t="s">
        <v>2078</v>
      </c>
      <c r="D2684" s="677" t="s">
        <v>0</v>
      </c>
      <c r="E2684" s="738">
        <f t="shared" si="82"/>
        <v>211.91</v>
      </c>
      <c r="F2684">
        <f t="shared" si="83"/>
        <v>98621</v>
      </c>
      <c r="H2684" s="1405">
        <v>210.57</v>
      </c>
      <c r="I2684" s="1405">
        <v>211.91</v>
      </c>
    </row>
    <row r="2685" spans="2:9" ht="30">
      <c r="B2685" s="1477">
        <v>98622</v>
      </c>
      <c r="C2685" s="740" t="s">
        <v>2079</v>
      </c>
      <c r="D2685" s="739" t="s">
        <v>0</v>
      </c>
      <c r="E2685" s="741">
        <f t="shared" si="82"/>
        <v>201.02</v>
      </c>
      <c r="F2685">
        <f t="shared" si="83"/>
        <v>98622</v>
      </c>
      <c r="H2685" s="1406">
        <v>200.01</v>
      </c>
      <c r="I2685" s="1406">
        <v>201.02</v>
      </c>
    </row>
    <row r="2686" spans="2:9">
      <c r="B2686" s="677">
        <v>98623</v>
      </c>
      <c r="C2686" s="733" t="s">
        <v>2080</v>
      </c>
      <c r="D2686" s="677" t="s">
        <v>0</v>
      </c>
      <c r="E2686" s="738">
        <f t="shared" si="82"/>
        <v>195.44</v>
      </c>
      <c r="F2686">
        <f t="shared" si="83"/>
        <v>98623</v>
      </c>
      <c r="H2686" s="1405">
        <v>194.6</v>
      </c>
      <c r="I2686" s="1405">
        <v>195.44</v>
      </c>
    </row>
    <row r="2687" spans="2:9" ht="30">
      <c r="B2687" s="1477">
        <v>98624</v>
      </c>
      <c r="C2687" s="740" t="s">
        <v>2081</v>
      </c>
      <c r="D2687" s="739" t="s">
        <v>0</v>
      </c>
      <c r="E2687" s="741">
        <f t="shared" si="82"/>
        <v>242.09</v>
      </c>
      <c r="F2687">
        <f t="shared" si="83"/>
        <v>98624</v>
      </c>
      <c r="H2687" s="1406">
        <v>240.86</v>
      </c>
      <c r="I2687" s="1406">
        <v>242.09</v>
      </c>
    </row>
    <row r="2688" spans="2:9" ht="30">
      <c r="B2688" s="677">
        <v>98625</v>
      </c>
      <c r="C2688" s="733" t="s">
        <v>2082</v>
      </c>
      <c r="D2688" s="677" t="s">
        <v>0</v>
      </c>
      <c r="E2688" s="738">
        <f t="shared" si="82"/>
        <v>232.86</v>
      </c>
      <c r="F2688">
        <f t="shared" si="83"/>
        <v>98625</v>
      </c>
      <c r="H2688" s="1405">
        <v>231.91</v>
      </c>
      <c r="I2688" s="1405">
        <v>232.86</v>
      </c>
    </row>
    <row r="2689" spans="2:9">
      <c r="B2689" s="1477">
        <v>98626</v>
      </c>
      <c r="C2689" s="740" t="s">
        <v>2083</v>
      </c>
      <c r="D2689" s="739" t="s">
        <v>0</v>
      </c>
      <c r="E2689" s="741">
        <f t="shared" si="82"/>
        <v>228.04</v>
      </c>
      <c r="F2689">
        <f t="shared" si="83"/>
        <v>98626</v>
      </c>
      <c r="H2689" s="1406">
        <v>227.24</v>
      </c>
      <c r="I2689" s="1406">
        <v>228.04</v>
      </c>
    </row>
    <row r="2690" spans="2:9">
      <c r="B2690" s="677">
        <v>98655</v>
      </c>
      <c r="C2690" s="733" t="s">
        <v>2084</v>
      </c>
      <c r="D2690" s="677" t="s">
        <v>21</v>
      </c>
      <c r="E2690" s="738">
        <f t="shared" si="82"/>
        <v>722.54</v>
      </c>
      <c r="F2690">
        <f t="shared" si="83"/>
        <v>98655</v>
      </c>
      <c r="H2690" s="1405">
        <v>699.67</v>
      </c>
      <c r="I2690" s="1405">
        <v>722.54</v>
      </c>
    </row>
    <row r="2691" spans="2:9">
      <c r="B2691" s="1477">
        <v>98656</v>
      </c>
      <c r="C2691" s="740" t="s">
        <v>2085</v>
      </c>
      <c r="D2691" s="739" t="s">
        <v>21</v>
      </c>
      <c r="E2691" s="741">
        <f t="shared" ref="E2691:E2754" si="84">IF($K$2=$H$1,H2691,I2691)</f>
        <v>734.3</v>
      </c>
      <c r="F2691">
        <f t="shared" ref="F2691:F2754" si="85">IF(LEN($B2691)=7,CONCATENATE(MID($B2691,1,6),"00",RIGHT($B2691,1)),IF(LEN($B2691)=8,CONCATENATE(MID($B2691,1,6),"0",RIGHT($B2691,2)),$B2691))</f>
        <v>98656</v>
      </c>
      <c r="H2691" s="1406">
        <v>711.23</v>
      </c>
      <c r="I2691" s="1406">
        <v>734.3</v>
      </c>
    </row>
    <row r="2692" spans="2:9">
      <c r="B2692" s="677">
        <v>98657</v>
      </c>
      <c r="C2692" s="733" t="s">
        <v>2086</v>
      </c>
      <c r="D2692" s="677" t="s">
        <v>21</v>
      </c>
      <c r="E2692" s="738">
        <f t="shared" si="84"/>
        <v>746.07</v>
      </c>
      <c r="F2692">
        <f t="shared" si="85"/>
        <v>98657</v>
      </c>
      <c r="H2692" s="1405">
        <v>722.8</v>
      </c>
      <c r="I2692" s="1405">
        <v>746.07</v>
      </c>
    </row>
    <row r="2693" spans="2:9">
      <c r="B2693" s="1477">
        <v>98658</v>
      </c>
      <c r="C2693" s="740" t="s">
        <v>2087</v>
      </c>
      <c r="D2693" s="739" t="s">
        <v>21</v>
      </c>
      <c r="E2693" s="741">
        <f t="shared" si="84"/>
        <v>757.82</v>
      </c>
      <c r="F2693">
        <f t="shared" si="85"/>
        <v>98658</v>
      </c>
      <c r="H2693" s="1406">
        <v>734.36</v>
      </c>
      <c r="I2693" s="1406">
        <v>757.82</v>
      </c>
    </row>
    <row r="2694" spans="2:9">
      <c r="B2694" s="677">
        <v>98659</v>
      </c>
      <c r="C2694" s="733" t="s">
        <v>2088</v>
      </c>
      <c r="D2694" s="677" t="s">
        <v>21</v>
      </c>
      <c r="E2694" s="738">
        <f t="shared" si="84"/>
        <v>781.35</v>
      </c>
      <c r="F2694">
        <f t="shared" si="85"/>
        <v>98659</v>
      </c>
      <c r="H2694" s="1405">
        <v>757.49</v>
      </c>
      <c r="I2694" s="1405">
        <v>781.35</v>
      </c>
    </row>
    <row r="2695" spans="2:9">
      <c r="B2695" s="1477">
        <v>98746</v>
      </c>
      <c r="C2695" s="740" t="s">
        <v>2138</v>
      </c>
      <c r="D2695" s="739" t="s">
        <v>21</v>
      </c>
      <c r="E2695" s="741">
        <f t="shared" si="84"/>
        <v>62.33</v>
      </c>
      <c r="F2695">
        <f t="shared" si="85"/>
        <v>98746</v>
      </c>
      <c r="H2695" s="1406">
        <v>58.21</v>
      </c>
      <c r="I2695" s="1406">
        <v>62.33</v>
      </c>
    </row>
    <row r="2696" spans="2:9">
      <c r="B2696" s="677">
        <v>98749</v>
      </c>
      <c r="C2696" s="733" t="s">
        <v>2139</v>
      </c>
      <c r="D2696" s="677" t="s">
        <v>21</v>
      </c>
      <c r="E2696" s="738">
        <f t="shared" si="84"/>
        <v>74.69</v>
      </c>
      <c r="F2696">
        <f t="shared" si="85"/>
        <v>98749</v>
      </c>
      <c r="H2696" s="1405">
        <v>70.41</v>
      </c>
      <c r="I2696" s="1405">
        <v>74.69</v>
      </c>
    </row>
    <row r="2697" spans="2:9">
      <c r="B2697" s="1477">
        <v>98750</v>
      </c>
      <c r="C2697" s="740" t="s">
        <v>2140</v>
      </c>
      <c r="D2697" s="739" t="s">
        <v>21</v>
      </c>
      <c r="E2697" s="741">
        <f t="shared" si="84"/>
        <v>89.67</v>
      </c>
      <c r="F2697">
        <f t="shared" si="85"/>
        <v>98750</v>
      </c>
      <c r="H2697" s="1406">
        <v>85.26</v>
      </c>
      <c r="I2697" s="1406">
        <v>89.67</v>
      </c>
    </row>
    <row r="2698" spans="2:9">
      <c r="B2698" s="677">
        <v>98751</v>
      </c>
      <c r="C2698" s="733" t="s">
        <v>2141</v>
      </c>
      <c r="D2698" s="677" t="s">
        <v>21</v>
      </c>
      <c r="E2698" s="738">
        <f t="shared" si="84"/>
        <v>128.78</v>
      </c>
      <c r="F2698">
        <f t="shared" si="85"/>
        <v>98751</v>
      </c>
      <c r="H2698" s="1405">
        <v>124.05</v>
      </c>
      <c r="I2698" s="1405">
        <v>128.78</v>
      </c>
    </row>
    <row r="2699" spans="2:9">
      <c r="B2699" s="1477">
        <v>98752</v>
      </c>
      <c r="C2699" s="740" t="s">
        <v>2142</v>
      </c>
      <c r="D2699" s="739" t="s">
        <v>21</v>
      </c>
      <c r="E2699" s="741">
        <f t="shared" si="84"/>
        <v>175.9</v>
      </c>
      <c r="F2699">
        <f t="shared" si="85"/>
        <v>98752</v>
      </c>
      <c r="H2699" s="1406">
        <v>170.88</v>
      </c>
      <c r="I2699" s="1406">
        <v>175.9</v>
      </c>
    </row>
    <row r="2700" spans="2:9">
      <c r="B2700" s="677">
        <v>98753</v>
      </c>
      <c r="C2700" s="733" t="s">
        <v>2143</v>
      </c>
      <c r="D2700" s="677" t="s">
        <v>21</v>
      </c>
      <c r="E2700" s="738">
        <f t="shared" si="84"/>
        <v>234.52</v>
      </c>
      <c r="F2700">
        <f t="shared" si="85"/>
        <v>98753</v>
      </c>
      <c r="H2700" s="1405">
        <v>229.21</v>
      </c>
      <c r="I2700" s="1405">
        <v>234.52</v>
      </c>
    </row>
    <row r="2701" spans="2:9" ht="30">
      <c r="B2701" s="1477">
        <v>100763</v>
      </c>
      <c r="C2701" s="740" t="s">
        <v>6982</v>
      </c>
      <c r="D2701" s="739" t="s">
        <v>20</v>
      </c>
      <c r="E2701" s="741">
        <f t="shared" si="84"/>
        <v>15.6</v>
      </c>
      <c r="F2701">
        <f t="shared" si="85"/>
        <v>100763</v>
      </c>
      <c r="H2701" s="1406">
        <v>15.48</v>
      </c>
      <c r="I2701" s="1406">
        <v>15.6</v>
      </c>
    </row>
    <row r="2702" spans="2:9" ht="30">
      <c r="B2702" s="677">
        <v>100764</v>
      </c>
      <c r="C2702" s="733" t="s">
        <v>7376</v>
      </c>
      <c r="D2702" s="677" t="s">
        <v>20</v>
      </c>
      <c r="E2702" s="738">
        <f t="shared" si="84"/>
        <v>15.32</v>
      </c>
      <c r="F2702">
        <f t="shared" si="85"/>
        <v>100764</v>
      </c>
      <c r="H2702" s="1405">
        <v>15.21</v>
      </c>
      <c r="I2702" s="1405">
        <v>15.32</v>
      </c>
    </row>
    <row r="2703" spans="2:9" ht="30">
      <c r="B2703" s="1477">
        <v>100765</v>
      </c>
      <c r="C2703" s="740" t="s">
        <v>6983</v>
      </c>
      <c r="D2703" s="739" t="s">
        <v>20</v>
      </c>
      <c r="E2703" s="741">
        <f t="shared" si="84"/>
        <v>14.9</v>
      </c>
      <c r="F2703">
        <f t="shared" si="85"/>
        <v>100765</v>
      </c>
      <c r="H2703" s="1406">
        <v>14.84</v>
      </c>
      <c r="I2703" s="1406">
        <v>14.9</v>
      </c>
    </row>
    <row r="2704" spans="2:9" ht="30">
      <c r="B2704" s="677">
        <v>100766</v>
      </c>
      <c r="C2704" s="733" t="s">
        <v>7245</v>
      </c>
      <c r="D2704" s="677" t="s">
        <v>20</v>
      </c>
      <c r="E2704" s="738">
        <f t="shared" si="84"/>
        <v>15.01</v>
      </c>
      <c r="F2704">
        <f t="shared" si="85"/>
        <v>100766</v>
      </c>
      <c r="H2704" s="1405">
        <v>14.92</v>
      </c>
      <c r="I2704" s="1405">
        <v>15.01</v>
      </c>
    </row>
    <row r="2705" spans="2:9" ht="45">
      <c r="B2705" s="1477">
        <v>100767</v>
      </c>
      <c r="C2705" s="740" t="s">
        <v>6984</v>
      </c>
      <c r="D2705" s="739" t="s">
        <v>20</v>
      </c>
      <c r="E2705" s="741">
        <f t="shared" si="84"/>
        <v>16.14</v>
      </c>
      <c r="F2705">
        <f t="shared" si="85"/>
        <v>100767</v>
      </c>
      <c r="H2705" s="1406">
        <v>15.74</v>
      </c>
      <c r="I2705" s="1406">
        <v>16.14</v>
      </c>
    </row>
    <row r="2706" spans="2:9" ht="45">
      <c r="B2706" s="677">
        <v>100768</v>
      </c>
      <c r="C2706" s="733" t="s">
        <v>7377</v>
      </c>
      <c r="D2706" s="677" t="s">
        <v>20</v>
      </c>
      <c r="E2706" s="738">
        <f t="shared" si="84"/>
        <v>15.27</v>
      </c>
      <c r="F2706">
        <f t="shared" si="85"/>
        <v>100768</v>
      </c>
      <c r="H2706" s="1405">
        <v>14.86</v>
      </c>
      <c r="I2706" s="1405">
        <v>15.27</v>
      </c>
    </row>
    <row r="2707" spans="2:9" ht="45">
      <c r="B2707" s="1477">
        <v>100769</v>
      </c>
      <c r="C2707" s="740" t="s">
        <v>6985</v>
      </c>
      <c r="D2707" s="739" t="s">
        <v>20</v>
      </c>
      <c r="E2707" s="741">
        <f t="shared" si="84"/>
        <v>22.01</v>
      </c>
      <c r="F2707">
        <f t="shared" si="85"/>
        <v>100769</v>
      </c>
      <c r="H2707" s="1406">
        <v>21.68</v>
      </c>
      <c r="I2707" s="1406">
        <v>22.01</v>
      </c>
    </row>
    <row r="2708" spans="2:9" ht="45">
      <c r="B2708" s="677">
        <v>100770</v>
      </c>
      <c r="C2708" s="733" t="s">
        <v>7378</v>
      </c>
      <c r="D2708" s="677" t="s">
        <v>20</v>
      </c>
      <c r="E2708" s="738">
        <f t="shared" si="84"/>
        <v>20.92</v>
      </c>
      <c r="F2708">
        <f t="shared" si="85"/>
        <v>100770</v>
      </c>
      <c r="H2708" s="1405">
        <v>20.59</v>
      </c>
      <c r="I2708" s="1405">
        <v>20.92</v>
      </c>
    </row>
    <row r="2709" spans="2:9" ht="45">
      <c r="B2709" s="1477">
        <v>100771</v>
      </c>
      <c r="C2709" s="740" t="s">
        <v>6986</v>
      </c>
      <c r="D2709" s="739" t="s">
        <v>20</v>
      </c>
      <c r="E2709" s="741">
        <f t="shared" si="84"/>
        <v>16.39</v>
      </c>
      <c r="F2709">
        <f t="shared" si="85"/>
        <v>100771</v>
      </c>
      <c r="H2709" s="1406">
        <v>16.11</v>
      </c>
      <c r="I2709" s="1406">
        <v>16.39</v>
      </c>
    </row>
    <row r="2710" spans="2:9" ht="45">
      <c r="B2710" s="677">
        <v>100772</v>
      </c>
      <c r="C2710" s="733" t="s">
        <v>7379</v>
      </c>
      <c r="D2710" s="677" t="s">
        <v>20</v>
      </c>
      <c r="E2710" s="738">
        <f t="shared" si="84"/>
        <v>15.41</v>
      </c>
      <c r="F2710">
        <f t="shared" si="85"/>
        <v>100772</v>
      </c>
      <c r="H2710" s="1405">
        <v>15.09</v>
      </c>
      <c r="I2710" s="1405">
        <v>15.41</v>
      </c>
    </row>
    <row r="2711" spans="2:9" ht="30">
      <c r="B2711" s="1477">
        <v>100773</v>
      </c>
      <c r="C2711" s="740" t="s">
        <v>6987</v>
      </c>
      <c r="D2711" s="739" t="s">
        <v>20</v>
      </c>
      <c r="E2711" s="741">
        <f t="shared" si="84"/>
        <v>18.93</v>
      </c>
      <c r="F2711">
        <f t="shared" si="85"/>
        <v>100773</v>
      </c>
      <c r="H2711" s="1406">
        <v>18.809999999999999</v>
      </c>
      <c r="I2711" s="1406">
        <v>18.93</v>
      </c>
    </row>
    <row r="2712" spans="2:9" ht="30">
      <c r="B2712" s="677">
        <v>100774</v>
      </c>
      <c r="C2712" s="733" t="s">
        <v>6988</v>
      </c>
      <c r="D2712" s="677" t="s">
        <v>20</v>
      </c>
      <c r="E2712" s="738">
        <f t="shared" si="84"/>
        <v>11.34</v>
      </c>
      <c r="F2712">
        <f t="shared" si="85"/>
        <v>100774</v>
      </c>
      <c r="H2712" s="1405">
        <v>11.29</v>
      </c>
      <c r="I2712" s="1405">
        <v>11.34</v>
      </c>
    </row>
    <row r="2713" spans="2:9" ht="30">
      <c r="B2713" s="1477">
        <v>100775</v>
      </c>
      <c r="C2713" s="740" t="s">
        <v>6989</v>
      </c>
      <c r="D2713" s="739" t="s">
        <v>20</v>
      </c>
      <c r="E2713" s="741">
        <f t="shared" si="84"/>
        <v>13.28</v>
      </c>
      <c r="F2713">
        <f t="shared" si="85"/>
        <v>100775</v>
      </c>
      <c r="H2713" s="1406">
        <v>13.17</v>
      </c>
      <c r="I2713" s="1406">
        <v>13.28</v>
      </c>
    </row>
    <row r="2714" spans="2:9" ht="30">
      <c r="B2714" s="677">
        <v>100776</v>
      </c>
      <c r="C2714" s="733" t="s">
        <v>6990</v>
      </c>
      <c r="D2714" s="677" t="s">
        <v>20</v>
      </c>
      <c r="E2714" s="738">
        <f t="shared" si="84"/>
        <v>19.09</v>
      </c>
      <c r="F2714">
        <f t="shared" si="85"/>
        <v>100776</v>
      </c>
      <c r="H2714" s="1405">
        <v>18.97</v>
      </c>
      <c r="I2714" s="1405">
        <v>19.09</v>
      </c>
    </row>
    <row r="2715" spans="2:9" ht="30">
      <c r="B2715" s="1477">
        <v>100777</v>
      </c>
      <c r="C2715" s="740" t="s">
        <v>6991</v>
      </c>
      <c r="D2715" s="739" t="s">
        <v>20</v>
      </c>
      <c r="E2715" s="741">
        <f t="shared" si="84"/>
        <v>13.71</v>
      </c>
      <c r="F2715">
        <f t="shared" si="85"/>
        <v>100777</v>
      </c>
      <c r="H2715" s="1406">
        <v>13.58</v>
      </c>
      <c r="I2715" s="1406">
        <v>13.71</v>
      </c>
    </row>
    <row r="2716" spans="2:9" ht="30">
      <c r="B2716" s="677">
        <v>100778</v>
      </c>
      <c r="C2716" s="733" t="s">
        <v>6992</v>
      </c>
      <c r="D2716" s="677" t="s">
        <v>20</v>
      </c>
      <c r="E2716" s="738">
        <f t="shared" si="84"/>
        <v>10.130000000000001</v>
      </c>
      <c r="F2716">
        <f t="shared" si="85"/>
        <v>100778</v>
      </c>
      <c r="H2716" s="1405">
        <v>10.119999999999999</v>
      </c>
      <c r="I2716" s="1405">
        <v>10.130000000000001</v>
      </c>
    </row>
    <row r="2717" spans="2:9" ht="30">
      <c r="B2717" s="1477">
        <v>103795</v>
      </c>
      <c r="C2717" s="740" t="s">
        <v>6476</v>
      </c>
      <c r="D2717" s="739" t="s">
        <v>0</v>
      </c>
      <c r="E2717" s="741">
        <f t="shared" si="84"/>
        <v>88.96</v>
      </c>
      <c r="F2717">
        <f t="shared" si="85"/>
        <v>103795</v>
      </c>
      <c r="H2717" s="1406">
        <v>84.9</v>
      </c>
      <c r="I2717" s="1406">
        <v>88.96</v>
      </c>
    </row>
    <row r="2718" spans="2:9" ht="30">
      <c r="B2718" s="677">
        <v>103796</v>
      </c>
      <c r="C2718" s="733" t="s">
        <v>6477</v>
      </c>
      <c r="D2718" s="677" t="s">
        <v>0</v>
      </c>
      <c r="E2718" s="738">
        <f t="shared" si="84"/>
        <v>70.23</v>
      </c>
      <c r="F2718">
        <f t="shared" si="85"/>
        <v>103796</v>
      </c>
      <c r="H2718" s="1405">
        <v>68.78</v>
      </c>
      <c r="I2718" s="1405">
        <v>70.23</v>
      </c>
    </row>
    <row r="2719" spans="2:9">
      <c r="B2719" s="1477">
        <v>103797</v>
      </c>
      <c r="C2719" s="740" t="s">
        <v>6478</v>
      </c>
      <c r="D2719" s="739" t="s">
        <v>20</v>
      </c>
      <c r="E2719" s="741">
        <f t="shared" si="84"/>
        <v>16.989999999999998</v>
      </c>
      <c r="F2719">
        <f t="shared" si="85"/>
        <v>103797</v>
      </c>
      <c r="H2719" s="1406">
        <v>16.27</v>
      </c>
      <c r="I2719" s="1406">
        <v>16.989999999999998</v>
      </c>
    </row>
    <row r="2720" spans="2:9" ht="30">
      <c r="B2720" s="677">
        <v>103798</v>
      </c>
      <c r="C2720" s="733" t="s">
        <v>6479</v>
      </c>
      <c r="D2720" s="677" t="s">
        <v>19</v>
      </c>
      <c r="E2720" s="738">
        <f t="shared" si="84"/>
        <v>860.76</v>
      </c>
      <c r="F2720">
        <f t="shared" si="85"/>
        <v>103798</v>
      </c>
      <c r="H2720" s="1405">
        <v>854.84</v>
      </c>
      <c r="I2720" s="1405">
        <v>860.76</v>
      </c>
    </row>
    <row r="2721" spans="2:9" ht="45">
      <c r="B2721" s="1477">
        <v>103799</v>
      </c>
      <c r="C2721" s="740" t="s">
        <v>6480</v>
      </c>
      <c r="D2721" s="739" t="s">
        <v>19</v>
      </c>
      <c r="E2721" s="741">
        <f t="shared" si="84"/>
        <v>479.47</v>
      </c>
      <c r="F2721">
        <f t="shared" si="85"/>
        <v>103799</v>
      </c>
      <c r="H2721" s="1406">
        <v>464.5</v>
      </c>
      <c r="I2721" s="1406">
        <v>479.47</v>
      </c>
    </row>
    <row r="2722" spans="2:9" ht="30">
      <c r="B2722" s="677">
        <v>103800</v>
      </c>
      <c r="C2722" s="733" t="s">
        <v>6481</v>
      </c>
      <c r="D2722" s="677" t="s">
        <v>19</v>
      </c>
      <c r="E2722" s="738">
        <f t="shared" si="84"/>
        <v>564.87</v>
      </c>
      <c r="F2722">
        <f t="shared" si="85"/>
        <v>103800</v>
      </c>
      <c r="H2722" s="1405">
        <v>545.34</v>
      </c>
      <c r="I2722" s="1405">
        <v>564.87</v>
      </c>
    </row>
    <row r="2723" spans="2:9" ht="30">
      <c r="B2723" s="1477">
        <v>103801</v>
      </c>
      <c r="C2723" s="740" t="s">
        <v>6482</v>
      </c>
      <c r="D2723" s="739" t="s">
        <v>19</v>
      </c>
      <c r="E2723" s="741">
        <f t="shared" si="84"/>
        <v>714.28</v>
      </c>
      <c r="F2723">
        <f t="shared" si="85"/>
        <v>103801</v>
      </c>
      <c r="H2723" s="1406">
        <v>694.78</v>
      </c>
      <c r="I2723" s="1406">
        <v>714.28</v>
      </c>
    </row>
    <row r="2724" spans="2:9" ht="45">
      <c r="B2724" s="677">
        <v>103925</v>
      </c>
      <c r="C2724" s="733" t="s">
        <v>6483</v>
      </c>
      <c r="D2724" s="677" t="s">
        <v>19</v>
      </c>
      <c r="E2724" s="738">
        <f t="shared" si="84"/>
        <v>1952.56</v>
      </c>
      <c r="F2724">
        <f t="shared" si="85"/>
        <v>103925</v>
      </c>
      <c r="H2724" s="1405">
        <v>1898.68</v>
      </c>
      <c r="I2724" s="1405">
        <v>1952.56</v>
      </c>
    </row>
    <row r="2725" spans="2:9" ht="45">
      <c r="B2725" s="1477">
        <v>103926</v>
      </c>
      <c r="C2725" s="740" t="s">
        <v>6484</v>
      </c>
      <c r="D2725" s="739" t="s">
        <v>19</v>
      </c>
      <c r="E2725" s="741">
        <f t="shared" si="84"/>
        <v>1613.47</v>
      </c>
      <c r="F2725">
        <f t="shared" si="85"/>
        <v>103926</v>
      </c>
      <c r="H2725" s="1406">
        <v>1574.62</v>
      </c>
      <c r="I2725" s="1406">
        <v>1613.47</v>
      </c>
    </row>
    <row r="2726" spans="2:9" ht="30">
      <c r="B2726" s="677">
        <v>103928</v>
      </c>
      <c r="C2726" s="733" t="s">
        <v>6485</v>
      </c>
      <c r="D2726" s="677" t="s">
        <v>19</v>
      </c>
      <c r="E2726" s="738">
        <f t="shared" si="84"/>
        <v>564.87</v>
      </c>
      <c r="F2726">
        <f t="shared" si="85"/>
        <v>103928</v>
      </c>
      <c r="H2726" s="1405">
        <v>545.34</v>
      </c>
      <c r="I2726" s="1405">
        <v>564.87</v>
      </c>
    </row>
    <row r="2727" spans="2:9" ht="30">
      <c r="B2727" s="1477">
        <v>103929</v>
      </c>
      <c r="C2727" s="740" t="s">
        <v>6486</v>
      </c>
      <c r="D2727" s="739" t="s">
        <v>19</v>
      </c>
      <c r="E2727" s="741">
        <f t="shared" si="84"/>
        <v>1416.65</v>
      </c>
      <c r="F2727">
        <f t="shared" si="85"/>
        <v>103929</v>
      </c>
      <c r="H2727" s="1406">
        <v>1382.65</v>
      </c>
      <c r="I2727" s="1406">
        <v>1416.65</v>
      </c>
    </row>
    <row r="2728" spans="2:9" ht="30">
      <c r="B2728" s="677">
        <v>103930</v>
      </c>
      <c r="C2728" s="733" t="s">
        <v>6487</v>
      </c>
      <c r="D2728" s="677" t="s">
        <v>19</v>
      </c>
      <c r="E2728" s="738">
        <f t="shared" si="84"/>
        <v>877.37</v>
      </c>
      <c r="F2728">
        <f t="shared" si="85"/>
        <v>103930</v>
      </c>
      <c r="H2728" s="1405">
        <v>854.33</v>
      </c>
      <c r="I2728" s="1405">
        <v>877.37</v>
      </c>
    </row>
    <row r="2729" spans="2:9" ht="30">
      <c r="B2729" s="1477">
        <v>103931</v>
      </c>
      <c r="C2729" s="740" t="s">
        <v>6488</v>
      </c>
      <c r="D2729" s="739" t="s">
        <v>19</v>
      </c>
      <c r="E2729" s="741">
        <f t="shared" si="84"/>
        <v>642.09</v>
      </c>
      <c r="F2729">
        <f t="shared" si="85"/>
        <v>103931</v>
      </c>
      <c r="H2729" s="1406">
        <v>623.87</v>
      </c>
      <c r="I2729" s="1406">
        <v>642.09</v>
      </c>
    </row>
    <row r="2730" spans="2:9" ht="30">
      <c r="B2730" s="677">
        <v>103932</v>
      </c>
      <c r="C2730" s="733" t="s">
        <v>6489</v>
      </c>
      <c r="D2730" s="677" t="s">
        <v>19</v>
      </c>
      <c r="E2730" s="738">
        <f t="shared" si="84"/>
        <v>607.63</v>
      </c>
      <c r="F2730">
        <f t="shared" si="85"/>
        <v>103932</v>
      </c>
      <c r="H2730" s="1405">
        <v>590.11</v>
      </c>
      <c r="I2730" s="1405">
        <v>607.63</v>
      </c>
    </row>
    <row r="2731" spans="2:9" ht="30">
      <c r="B2731" s="1477">
        <v>103933</v>
      </c>
      <c r="C2731" s="740" t="s">
        <v>6490</v>
      </c>
      <c r="D2731" s="739" t="s">
        <v>19</v>
      </c>
      <c r="E2731" s="741">
        <f t="shared" si="84"/>
        <v>1851.08</v>
      </c>
      <c r="F2731">
        <f t="shared" si="85"/>
        <v>103933</v>
      </c>
      <c r="H2731" s="1406">
        <v>1815.46</v>
      </c>
      <c r="I2731" s="1406">
        <v>1851.08</v>
      </c>
    </row>
    <row r="2732" spans="2:9" ht="30">
      <c r="B2732" s="677">
        <v>104466</v>
      </c>
      <c r="C2732" s="733" t="s">
        <v>7246</v>
      </c>
      <c r="D2732" s="677" t="s">
        <v>20</v>
      </c>
      <c r="E2732" s="738">
        <f t="shared" si="84"/>
        <v>26.91</v>
      </c>
      <c r="F2732">
        <f t="shared" si="85"/>
        <v>104466</v>
      </c>
      <c r="H2732" s="1405">
        <v>26.62</v>
      </c>
      <c r="I2732" s="1405">
        <v>26.91</v>
      </c>
    </row>
    <row r="2733" spans="2:9" ht="30">
      <c r="B2733" s="1477">
        <v>104467</v>
      </c>
      <c r="C2733" s="740" t="s">
        <v>7247</v>
      </c>
      <c r="D2733" s="739" t="s">
        <v>20</v>
      </c>
      <c r="E2733" s="741">
        <f t="shared" si="84"/>
        <v>37.630000000000003</v>
      </c>
      <c r="F2733">
        <f t="shared" si="85"/>
        <v>104467</v>
      </c>
      <c r="H2733" s="1406">
        <v>37.14</v>
      </c>
      <c r="I2733" s="1406">
        <v>37.630000000000003</v>
      </c>
    </row>
    <row r="2734" spans="2:9" ht="30">
      <c r="B2734" s="677">
        <v>104468</v>
      </c>
      <c r="C2734" s="733" t="s">
        <v>7248</v>
      </c>
      <c r="D2734" s="677" t="s">
        <v>20</v>
      </c>
      <c r="E2734" s="738">
        <f t="shared" si="84"/>
        <v>50.24</v>
      </c>
      <c r="F2734">
        <f t="shared" si="85"/>
        <v>104468</v>
      </c>
      <c r="H2734" s="1405">
        <v>49.6</v>
      </c>
      <c r="I2734" s="1405">
        <v>50.24</v>
      </c>
    </row>
    <row r="2735" spans="2:9" ht="30">
      <c r="B2735" s="1477">
        <v>104469</v>
      </c>
      <c r="C2735" s="740" t="s">
        <v>7249</v>
      </c>
      <c r="D2735" s="739" t="s">
        <v>20</v>
      </c>
      <c r="E2735" s="741">
        <f t="shared" si="84"/>
        <v>51.94</v>
      </c>
      <c r="F2735">
        <f t="shared" si="85"/>
        <v>104469</v>
      </c>
      <c r="H2735" s="1406">
        <v>51.28</v>
      </c>
      <c r="I2735" s="1406">
        <v>51.94</v>
      </c>
    </row>
    <row r="2736" spans="2:9" ht="30">
      <c r="B2736" s="677">
        <v>104470</v>
      </c>
      <c r="C2736" s="733" t="s">
        <v>7250</v>
      </c>
      <c r="D2736" s="677" t="s">
        <v>20</v>
      </c>
      <c r="E2736" s="738">
        <f t="shared" si="84"/>
        <v>28.72</v>
      </c>
      <c r="F2736">
        <f t="shared" si="85"/>
        <v>104470</v>
      </c>
      <c r="H2736" s="1405">
        <v>28.35</v>
      </c>
      <c r="I2736" s="1405">
        <v>28.72</v>
      </c>
    </row>
    <row r="2737" spans="2:9" ht="30">
      <c r="B2737" s="1477">
        <v>104471</v>
      </c>
      <c r="C2737" s="740" t="s">
        <v>7251</v>
      </c>
      <c r="D2737" s="739" t="s">
        <v>20</v>
      </c>
      <c r="E2737" s="741">
        <f t="shared" si="84"/>
        <v>25.9</v>
      </c>
      <c r="F2737">
        <f t="shared" si="85"/>
        <v>104471</v>
      </c>
      <c r="H2737" s="1406">
        <v>25.56</v>
      </c>
      <c r="I2737" s="1406">
        <v>25.9</v>
      </c>
    </row>
    <row r="2738" spans="2:9" ht="30">
      <c r="B2738" s="677">
        <v>104472</v>
      </c>
      <c r="C2738" s="733" t="s">
        <v>7252</v>
      </c>
      <c r="D2738" s="677" t="s">
        <v>20</v>
      </c>
      <c r="E2738" s="738">
        <f t="shared" si="84"/>
        <v>38.82</v>
      </c>
      <c r="F2738">
        <f t="shared" si="85"/>
        <v>104472</v>
      </c>
      <c r="H2738" s="1405">
        <v>38.36</v>
      </c>
      <c r="I2738" s="1405">
        <v>38.82</v>
      </c>
    </row>
    <row r="2739" spans="2:9" ht="30">
      <c r="B2739" s="1477">
        <v>104483</v>
      </c>
      <c r="C2739" s="740" t="s">
        <v>7253</v>
      </c>
      <c r="D2739" s="739" t="s">
        <v>19</v>
      </c>
      <c r="E2739" s="741">
        <f t="shared" si="84"/>
        <v>2583.0700000000002</v>
      </c>
      <c r="F2739">
        <f t="shared" si="85"/>
        <v>104483</v>
      </c>
      <c r="H2739" s="1406">
        <v>2531.0700000000002</v>
      </c>
      <c r="I2739" s="1406">
        <v>2583.0700000000002</v>
      </c>
    </row>
    <row r="2740" spans="2:9" ht="30">
      <c r="B2740" s="677">
        <v>104484</v>
      </c>
      <c r="C2740" s="733" t="s">
        <v>7254</v>
      </c>
      <c r="D2740" s="677" t="s">
        <v>19</v>
      </c>
      <c r="E2740" s="738">
        <f t="shared" si="84"/>
        <v>4206.2700000000004</v>
      </c>
      <c r="F2740">
        <f t="shared" si="85"/>
        <v>104484</v>
      </c>
      <c r="H2740" s="1405">
        <v>4065.88</v>
      </c>
      <c r="I2740" s="1405">
        <v>4206.2700000000004</v>
      </c>
    </row>
    <row r="2741" spans="2:9" ht="30">
      <c r="B2741" s="1477">
        <v>104485</v>
      </c>
      <c r="C2741" s="740" t="s">
        <v>7255</v>
      </c>
      <c r="D2741" s="739" t="s">
        <v>19</v>
      </c>
      <c r="E2741" s="741">
        <f t="shared" si="84"/>
        <v>3370.8</v>
      </c>
      <c r="F2741">
        <f t="shared" si="85"/>
        <v>104485</v>
      </c>
      <c r="H2741" s="1406">
        <v>3280.18</v>
      </c>
      <c r="I2741" s="1406">
        <v>3370.8</v>
      </c>
    </row>
    <row r="2742" spans="2:9" ht="30">
      <c r="B2742" s="677">
        <v>104486</v>
      </c>
      <c r="C2742" s="733" t="s">
        <v>7256</v>
      </c>
      <c r="D2742" s="677" t="s">
        <v>19</v>
      </c>
      <c r="E2742" s="738">
        <f t="shared" si="84"/>
        <v>3590.96</v>
      </c>
      <c r="F2742">
        <f t="shared" si="85"/>
        <v>104486</v>
      </c>
      <c r="H2742" s="1405">
        <v>3486.11</v>
      </c>
      <c r="I2742" s="1405">
        <v>3590.96</v>
      </c>
    </row>
    <row r="2743" spans="2:9" ht="30">
      <c r="B2743" s="1477">
        <v>104487</v>
      </c>
      <c r="C2743" s="740" t="s">
        <v>7257</v>
      </c>
      <c r="D2743" s="739" t="s">
        <v>19</v>
      </c>
      <c r="E2743" s="741">
        <f t="shared" si="84"/>
        <v>2949.86</v>
      </c>
      <c r="F2743">
        <f t="shared" si="85"/>
        <v>104487</v>
      </c>
      <c r="H2743" s="1406">
        <v>2878.06</v>
      </c>
      <c r="I2743" s="1406">
        <v>2949.86</v>
      </c>
    </row>
    <row r="2744" spans="2:9" ht="30">
      <c r="B2744" s="677">
        <v>104488</v>
      </c>
      <c r="C2744" s="733" t="s">
        <v>7258</v>
      </c>
      <c r="D2744" s="677" t="s">
        <v>19</v>
      </c>
      <c r="E2744" s="738">
        <f t="shared" si="84"/>
        <v>2883.32</v>
      </c>
      <c r="F2744">
        <f t="shared" si="85"/>
        <v>104488</v>
      </c>
      <c r="H2744" s="1405">
        <v>2827.44</v>
      </c>
      <c r="I2744" s="1405">
        <v>2883.32</v>
      </c>
    </row>
    <row r="2745" spans="2:9">
      <c r="B2745" s="1477">
        <v>104489</v>
      </c>
      <c r="C2745" s="740" t="s">
        <v>7259</v>
      </c>
      <c r="D2745" s="739" t="s">
        <v>19</v>
      </c>
      <c r="E2745" s="741">
        <f t="shared" si="84"/>
        <v>4488.17</v>
      </c>
      <c r="F2745">
        <f t="shared" si="85"/>
        <v>104489</v>
      </c>
      <c r="H2745" s="1406">
        <v>4336.07</v>
      </c>
      <c r="I2745" s="1406">
        <v>4488.17</v>
      </c>
    </row>
    <row r="2746" spans="2:9" ht="30">
      <c r="B2746" s="677">
        <v>104490</v>
      </c>
      <c r="C2746" s="733" t="s">
        <v>7260</v>
      </c>
      <c r="D2746" s="677" t="s">
        <v>19</v>
      </c>
      <c r="E2746" s="738">
        <f t="shared" si="84"/>
        <v>2784.58</v>
      </c>
      <c r="F2746">
        <f t="shared" si="85"/>
        <v>104490</v>
      </c>
      <c r="H2746" s="1405">
        <v>2730.71</v>
      </c>
      <c r="I2746" s="1405">
        <v>2784.58</v>
      </c>
    </row>
    <row r="2747" spans="2:9" ht="30">
      <c r="B2747" s="1477">
        <v>98562</v>
      </c>
      <c r="C2747" s="740" t="s">
        <v>8222</v>
      </c>
      <c r="D2747" s="739" t="s">
        <v>0</v>
      </c>
      <c r="E2747" s="741">
        <f t="shared" si="84"/>
        <v>48.07</v>
      </c>
      <c r="F2747">
        <f t="shared" si="85"/>
        <v>98562</v>
      </c>
      <c r="H2747" s="1406">
        <v>44.81</v>
      </c>
      <c r="I2747" s="1406">
        <v>48.07</v>
      </c>
    </row>
    <row r="2748" spans="2:9">
      <c r="B2748" s="677">
        <v>98555</v>
      </c>
      <c r="C2748" s="733" t="s">
        <v>8223</v>
      </c>
      <c r="D2748" s="677" t="s">
        <v>0</v>
      </c>
      <c r="E2748" s="738">
        <f t="shared" si="84"/>
        <v>28.37</v>
      </c>
      <c r="F2748">
        <f t="shared" si="85"/>
        <v>98555</v>
      </c>
      <c r="H2748" s="1405">
        <v>26.68</v>
      </c>
      <c r="I2748" s="1405">
        <v>28.37</v>
      </c>
    </row>
    <row r="2749" spans="2:9" ht="30">
      <c r="B2749" s="1477">
        <v>98556</v>
      </c>
      <c r="C2749" s="740" t="s">
        <v>8224</v>
      </c>
      <c r="D2749" s="739" t="s">
        <v>0</v>
      </c>
      <c r="E2749" s="741">
        <f t="shared" si="84"/>
        <v>53.93</v>
      </c>
      <c r="F2749">
        <f t="shared" si="85"/>
        <v>98556</v>
      </c>
      <c r="H2749" s="1406">
        <v>51.15</v>
      </c>
      <c r="I2749" s="1406">
        <v>53.93</v>
      </c>
    </row>
    <row r="2750" spans="2:9" ht="30">
      <c r="B2750" s="677">
        <v>98558</v>
      </c>
      <c r="C2750" s="733" t="s">
        <v>8225</v>
      </c>
      <c r="D2750" s="677" t="s">
        <v>22</v>
      </c>
      <c r="E2750" s="738">
        <f t="shared" si="84"/>
        <v>9.14</v>
      </c>
      <c r="F2750">
        <f t="shared" si="85"/>
        <v>98558</v>
      </c>
      <c r="H2750" s="1405">
        <v>8.76</v>
      </c>
      <c r="I2750" s="1405">
        <v>9.14</v>
      </c>
    </row>
    <row r="2751" spans="2:9">
      <c r="B2751" s="1477">
        <v>98559</v>
      </c>
      <c r="C2751" s="740" t="s">
        <v>8226</v>
      </c>
      <c r="D2751" s="739" t="s">
        <v>21</v>
      </c>
      <c r="E2751" s="741">
        <f t="shared" si="84"/>
        <v>4.96</v>
      </c>
      <c r="F2751">
        <f t="shared" si="85"/>
        <v>98559</v>
      </c>
      <c r="H2751" s="1406">
        <v>4.79</v>
      </c>
      <c r="I2751" s="1406">
        <v>4.96</v>
      </c>
    </row>
    <row r="2752" spans="2:9" ht="30">
      <c r="B2752" s="677">
        <v>98546</v>
      </c>
      <c r="C2752" s="733" t="s">
        <v>8227</v>
      </c>
      <c r="D2752" s="677" t="s">
        <v>0</v>
      </c>
      <c r="E2752" s="738">
        <f t="shared" si="84"/>
        <v>130.91999999999999</v>
      </c>
      <c r="F2752">
        <f t="shared" si="85"/>
        <v>98546</v>
      </c>
      <c r="H2752" s="1405">
        <v>128.30000000000001</v>
      </c>
      <c r="I2752" s="1405">
        <v>130.91999999999999</v>
      </c>
    </row>
    <row r="2753" spans="2:9" ht="30">
      <c r="B2753" s="1477">
        <v>98547</v>
      </c>
      <c r="C2753" s="740" t="s">
        <v>8228</v>
      </c>
      <c r="D2753" s="739" t="s">
        <v>0</v>
      </c>
      <c r="E2753" s="741">
        <f t="shared" si="84"/>
        <v>218.94</v>
      </c>
      <c r="F2753">
        <f t="shared" si="85"/>
        <v>98547</v>
      </c>
      <c r="H2753" s="1406">
        <v>214.75</v>
      </c>
      <c r="I2753" s="1406">
        <v>218.94</v>
      </c>
    </row>
    <row r="2754" spans="2:9">
      <c r="B2754" s="677">
        <v>98553</v>
      </c>
      <c r="C2754" s="733" t="s">
        <v>8229</v>
      </c>
      <c r="D2754" s="677" t="s">
        <v>0</v>
      </c>
      <c r="E2754" s="738">
        <f t="shared" si="84"/>
        <v>165.9</v>
      </c>
      <c r="F2754">
        <f t="shared" si="85"/>
        <v>98553</v>
      </c>
      <c r="H2754" s="1405">
        <v>164.49</v>
      </c>
      <c r="I2754" s="1405">
        <v>165.9</v>
      </c>
    </row>
    <row r="2755" spans="2:9">
      <c r="B2755" s="1477">
        <v>98554</v>
      </c>
      <c r="C2755" s="740" t="s">
        <v>8230</v>
      </c>
      <c r="D2755" s="739" t="s">
        <v>0</v>
      </c>
      <c r="E2755" s="741">
        <f t="shared" ref="E2755:E2818" si="86">IF($K$2=$H$1,H2755,I2755)</f>
        <v>44.01</v>
      </c>
      <c r="F2755">
        <f t="shared" ref="F2755:F2818" si="87">IF(LEN($B2755)=7,CONCATENATE(MID($B2755,1,6),"00",RIGHT($B2755,1)),IF(LEN($B2755)=8,CONCATENATE(MID($B2755,1,6),"0",RIGHT($B2755,2)),$B2755))</f>
        <v>98554</v>
      </c>
      <c r="H2755" s="1406">
        <v>42.41</v>
      </c>
      <c r="I2755" s="1406">
        <v>44.01</v>
      </c>
    </row>
    <row r="2756" spans="2:9">
      <c r="B2756" s="677">
        <v>98557</v>
      </c>
      <c r="C2756" s="733" t="s">
        <v>8231</v>
      </c>
      <c r="D2756" s="677" t="s">
        <v>0</v>
      </c>
      <c r="E2756" s="738">
        <f t="shared" si="86"/>
        <v>45.05</v>
      </c>
      <c r="F2756">
        <f t="shared" si="87"/>
        <v>98557</v>
      </c>
      <c r="H2756" s="1405">
        <v>43.85</v>
      </c>
      <c r="I2756" s="1405">
        <v>45.05</v>
      </c>
    </row>
    <row r="2757" spans="2:9">
      <c r="B2757" s="1477">
        <v>98563</v>
      </c>
      <c r="C2757" s="740" t="s">
        <v>8232</v>
      </c>
      <c r="D2757" s="739" t="s">
        <v>0</v>
      </c>
      <c r="E2757" s="741">
        <f t="shared" si="86"/>
        <v>38.32</v>
      </c>
      <c r="F2757">
        <f t="shared" si="87"/>
        <v>98563</v>
      </c>
      <c r="H2757" s="1406">
        <v>36.33</v>
      </c>
      <c r="I2757" s="1406">
        <v>38.32</v>
      </c>
    </row>
    <row r="2758" spans="2:9">
      <c r="B2758" s="677">
        <v>98564</v>
      </c>
      <c r="C2758" s="733" t="s">
        <v>8233</v>
      </c>
      <c r="D2758" s="677" t="s">
        <v>0</v>
      </c>
      <c r="E2758" s="738">
        <f t="shared" si="86"/>
        <v>51.23</v>
      </c>
      <c r="F2758">
        <f t="shared" si="87"/>
        <v>98564</v>
      </c>
      <c r="H2758" s="1405">
        <v>49.05</v>
      </c>
      <c r="I2758" s="1405">
        <v>51.23</v>
      </c>
    </row>
    <row r="2759" spans="2:9">
      <c r="B2759" s="1477">
        <v>98565</v>
      </c>
      <c r="C2759" s="740" t="s">
        <v>8234</v>
      </c>
      <c r="D2759" s="739" t="s">
        <v>0</v>
      </c>
      <c r="E2759" s="741">
        <f t="shared" si="86"/>
        <v>54.32</v>
      </c>
      <c r="F2759">
        <f t="shared" si="87"/>
        <v>98565</v>
      </c>
      <c r="H2759" s="1406">
        <v>51.37</v>
      </c>
      <c r="I2759" s="1406">
        <v>54.32</v>
      </c>
    </row>
    <row r="2760" spans="2:9">
      <c r="B2760" s="677">
        <v>98566</v>
      </c>
      <c r="C2760" s="733" t="s">
        <v>8235</v>
      </c>
      <c r="D2760" s="677" t="s">
        <v>0</v>
      </c>
      <c r="E2760" s="738">
        <f t="shared" si="86"/>
        <v>67.23</v>
      </c>
      <c r="F2760">
        <f t="shared" si="87"/>
        <v>98566</v>
      </c>
      <c r="H2760" s="1405">
        <v>64.09</v>
      </c>
      <c r="I2760" s="1405">
        <v>67.23</v>
      </c>
    </row>
    <row r="2761" spans="2:9">
      <c r="B2761" s="1477">
        <v>98567</v>
      </c>
      <c r="C2761" s="740" t="s">
        <v>8236</v>
      </c>
      <c r="D2761" s="739" t="s">
        <v>0</v>
      </c>
      <c r="E2761" s="741">
        <f t="shared" si="86"/>
        <v>69.459999999999994</v>
      </c>
      <c r="F2761">
        <f t="shared" si="87"/>
        <v>98567</v>
      </c>
      <c r="H2761" s="1406">
        <v>65.55</v>
      </c>
      <c r="I2761" s="1406">
        <v>69.459999999999994</v>
      </c>
    </row>
    <row r="2762" spans="2:9">
      <c r="B2762" s="677">
        <v>98568</v>
      </c>
      <c r="C2762" s="733" t="s">
        <v>8237</v>
      </c>
      <c r="D2762" s="677" t="s">
        <v>0</v>
      </c>
      <c r="E2762" s="738">
        <f t="shared" si="86"/>
        <v>82.37</v>
      </c>
      <c r="F2762">
        <f t="shared" si="87"/>
        <v>98568</v>
      </c>
      <c r="H2762" s="1405">
        <v>78.28</v>
      </c>
      <c r="I2762" s="1405">
        <v>82.37</v>
      </c>
    </row>
    <row r="2763" spans="2:9">
      <c r="B2763" s="1477">
        <v>98569</v>
      </c>
      <c r="C2763" s="740" t="s">
        <v>8238</v>
      </c>
      <c r="D2763" s="739" t="s">
        <v>0</v>
      </c>
      <c r="E2763" s="741">
        <f t="shared" si="86"/>
        <v>85.47</v>
      </c>
      <c r="F2763">
        <f t="shared" si="87"/>
        <v>98569</v>
      </c>
      <c r="H2763" s="1406">
        <v>80.59</v>
      </c>
      <c r="I2763" s="1406">
        <v>85.47</v>
      </c>
    </row>
    <row r="2764" spans="2:9">
      <c r="B2764" s="677">
        <v>98570</v>
      </c>
      <c r="C2764" s="733" t="s">
        <v>8239</v>
      </c>
      <c r="D2764" s="677" t="s">
        <v>0</v>
      </c>
      <c r="E2764" s="738">
        <f t="shared" si="86"/>
        <v>98.38</v>
      </c>
      <c r="F2764">
        <f t="shared" si="87"/>
        <v>98570</v>
      </c>
      <c r="H2764" s="1405">
        <v>93.32</v>
      </c>
      <c r="I2764" s="1405">
        <v>98.38</v>
      </c>
    </row>
    <row r="2765" spans="2:9">
      <c r="B2765" s="1477">
        <v>98571</v>
      </c>
      <c r="C2765" s="740" t="s">
        <v>8240</v>
      </c>
      <c r="D2765" s="739" t="s">
        <v>0</v>
      </c>
      <c r="E2765" s="741">
        <f t="shared" si="86"/>
        <v>51.01</v>
      </c>
      <c r="F2765">
        <f t="shared" si="87"/>
        <v>98571</v>
      </c>
      <c r="H2765" s="1406">
        <v>48.93</v>
      </c>
      <c r="I2765" s="1406">
        <v>51.01</v>
      </c>
    </row>
    <row r="2766" spans="2:9">
      <c r="B2766" s="677">
        <v>98572</v>
      </c>
      <c r="C2766" s="733" t="s">
        <v>8241</v>
      </c>
      <c r="D2766" s="677" t="s">
        <v>0</v>
      </c>
      <c r="E2766" s="738">
        <f t="shared" si="86"/>
        <v>62.49</v>
      </c>
      <c r="F2766">
        <f t="shared" si="87"/>
        <v>98572</v>
      </c>
      <c r="H2766" s="1405">
        <v>59.89</v>
      </c>
      <c r="I2766" s="1405">
        <v>62.49</v>
      </c>
    </row>
    <row r="2767" spans="2:9">
      <c r="B2767" s="1477">
        <v>98573</v>
      </c>
      <c r="C2767" s="740" t="s">
        <v>8242</v>
      </c>
      <c r="D2767" s="739" t="s">
        <v>0</v>
      </c>
      <c r="E2767" s="741">
        <f t="shared" si="86"/>
        <v>74.87</v>
      </c>
      <c r="F2767">
        <f t="shared" si="87"/>
        <v>98573</v>
      </c>
      <c r="H2767" s="1406">
        <v>72.14</v>
      </c>
      <c r="I2767" s="1406">
        <v>74.87</v>
      </c>
    </row>
    <row r="2768" spans="2:9" ht="30">
      <c r="B2768" s="677">
        <v>91831</v>
      </c>
      <c r="C2768" s="733" t="s">
        <v>7528</v>
      </c>
      <c r="D2768" s="677" t="s">
        <v>21</v>
      </c>
      <c r="E2768" s="738">
        <f t="shared" si="86"/>
        <v>16.68</v>
      </c>
      <c r="F2768">
        <f t="shared" si="87"/>
        <v>91831</v>
      </c>
      <c r="H2768" s="1405">
        <v>15.6</v>
      </c>
      <c r="I2768" s="1405">
        <v>16.68</v>
      </c>
    </row>
    <row r="2769" spans="2:9" ht="30">
      <c r="B2769" s="1477">
        <v>91833</v>
      </c>
      <c r="C2769" s="740" t="s">
        <v>7529</v>
      </c>
      <c r="D2769" s="739" t="s">
        <v>21</v>
      </c>
      <c r="E2769" s="741">
        <f t="shared" si="86"/>
        <v>17.309999999999999</v>
      </c>
      <c r="F2769">
        <f t="shared" si="87"/>
        <v>91833</v>
      </c>
      <c r="H2769" s="1406">
        <v>16.23</v>
      </c>
      <c r="I2769" s="1406">
        <v>17.309999999999999</v>
      </c>
    </row>
    <row r="2770" spans="2:9" ht="30">
      <c r="B2770" s="677">
        <v>91834</v>
      </c>
      <c r="C2770" s="733" t="s">
        <v>7530</v>
      </c>
      <c r="D2770" s="677" t="s">
        <v>21</v>
      </c>
      <c r="E2770" s="738">
        <f t="shared" si="86"/>
        <v>17.45</v>
      </c>
      <c r="F2770">
        <f t="shared" si="87"/>
        <v>91834</v>
      </c>
      <c r="H2770" s="1405">
        <v>16.309999999999999</v>
      </c>
      <c r="I2770" s="1405">
        <v>17.45</v>
      </c>
    </row>
    <row r="2771" spans="2:9" ht="30">
      <c r="B2771" s="1477">
        <v>91835</v>
      </c>
      <c r="C2771" s="740" t="s">
        <v>7531</v>
      </c>
      <c r="D2771" s="739" t="s">
        <v>21</v>
      </c>
      <c r="E2771" s="741">
        <f t="shared" si="86"/>
        <v>19.079999999999998</v>
      </c>
      <c r="F2771">
        <f t="shared" si="87"/>
        <v>91835</v>
      </c>
      <c r="H2771" s="1406">
        <v>17.940000000000001</v>
      </c>
      <c r="I2771" s="1406">
        <v>19.079999999999998</v>
      </c>
    </row>
    <row r="2772" spans="2:9" ht="30">
      <c r="B2772" s="677">
        <v>91836</v>
      </c>
      <c r="C2772" s="733" t="s">
        <v>7532</v>
      </c>
      <c r="D2772" s="677" t="s">
        <v>21</v>
      </c>
      <c r="E2772" s="738">
        <f t="shared" si="86"/>
        <v>20.350000000000001</v>
      </c>
      <c r="F2772">
        <f t="shared" si="87"/>
        <v>91836</v>
      </c>
      <c r="H2772" s="1405">
        <v>19.13</v>
      </c>
      <c r="I2772" s="1405">
        <v>20.350000000000001</v>
      </c>
    </row>
    <row r="2773" spans="2:9" ht="30">
      <c r="B2773" s="1477">
        <v>91837</v>
      </c>
      <c r="C2773" s="740" t="s">
        <v>7533</v>
      </c>
      <c r="D2773" s="739" t="s">
        <v>21</v>
      </c>
      <c r="E2773" s="741">
        <f t="shared" si="86"/>
        <v>24.14</v>
      </c>
      <c r="F2773">
        <f t="shared" si="87"/>
        <v>91837</v>
      </c>
      <c r="H2773" s="1406">
        <v>22.92</v>
      </c>
      <c r="I2773" s="1406">
        <v>24.14</v>
      </c>
    </row>
    <row r="2774" spans="2:9" ht="30">
      <c r="B2774" s="677">
        <v>91839</v>
      </c>
      <c r="C2774" s="733" t="s">
        <v>7534</v>
      </c>
      <c r="D2774" s="677" t="s">
        <v>21</v>
      </c>
      <c r="E2774" s="738">
        <f t="shared" si="86"/>
        <v>17.47</v>
      </c>
      <c r="F2774">
        <f t="shared" si="87"/>
        <v>91839</v>
      </c>
      <c r="H2774" s="1405">
        <v>16.25</v>
      </c>
      <c r="I2774" s="1405">
        <v>17.47</v>
      </c>
    </row>
    <row r="2775" spans="2:9" ht="30">
      <c r="B2775" s="1477">
        <v>91840</v>
      </c>
      <c r="C2775" s="740" t="s">
        <v>7535</v>
      </c>
      <c r="D2775" s="739" t="s">
        <v>21</v>
      </c>
      <c r="E2775" s="741">
        <f t="shared" si="86"/>
        <v>19.61</v>
      </c>
      <c r="F2775">
        <f t="shared" si="87"/>
        <v>91840</v>
      </c>
      <c r="H2775" s="1406">
        <v>18.3</v>
      </c>
      <c r="I2775" s="1406">
        <v>19.61</v>
      </c>
    </row>
    <row r="2776" spans="2:9" ht="30">
      <c r="B2776" s="677">
        <v>91841</v>
      </c>
      <c r="C2776" s="733" t="s">
        <v>7536</v>
      </c>
      <c r="D2776" s="677" t="s">
        <v>21</v>
      </c>
      <c r="E2776" s="738">
        <f t="shared" si="86"/>
        <v>19.04</v>
      </c>
      <c r="F2776">
        <f t="shared" si="87"/>
        <v>91841</v>
      </c>
      <c r="H2776" s="1405">
        <v>17.73</v>
      </c>
      <c r="I2776" s="1405">
        <v>19.04</v>
      </c>
    </row>
    <row r="2777" spans="2:9" ht="30">
      <c r="B2777" s="1477">
        <v>91842</v>
      </c>
      <c r="C2777" s="740" t="s">
        <v>7537</v>
      </c>
      <c r="D2777" s="739" t="s">
        <v>21</v>
      </c>
      <c r="E2777" s="741">
        <f t="shared" si="86"/>
        <v>5.86</v>
      </c>
      <c r="F2777">
        <f t="shared" si="87"/>
        <v>91842</v>
      </c>
      <c r="H2777" s="1406">
        <v>5.56</v>
      </c>
      <c r="I2777" s="1406">
        <v>5.86</v>
      </c>
    </row>
    <row r="2778" spans="2:9" ht="30">
      <c r="B2778" s="677">
        <v>91843</v>
      </c>
      <c r="C2778" s="733" t="s">
        <v>7538</v>
      </c>
      <c r="D2778" s="677" t="s">
        <v>21</v>
      </c>
      <c r="E2778" s="738">
        <f t="shared" si="86"/>
        <v>6.49</v>
      </c>
      <c r="F2778">
        <f t="shared" si="87"/>
        <v>91843</v>
      </c>
      <c r="H2778" s="1405">
        <v>6.19</v>
      </c>
      <c r="I2778" s="1405">
        <v>6.49</v>
      </c>
    </row>
    <row r="2779" spans="2:9" ht="30">
      <c r="B2779" s="1477">
        <v>91844</v>
      </c>
      <c r="C2779" s="740" t="s">
        <v>7539</v>
      </c>
      <c r="D2779" s="739" t="s">
        <v>21</v>
      </c>
      <c r="E2779" s="741">
        <f t="shared" si="86"/>
        <v>6.59</v>
      </c>
      <c r="F2779">
        <f t="shared" si="87"/>
        <v>91844</v>
      </c>
      <c r="H2779" s="1406">
        <v>6.24</v>
      </c>
      <c r="I2779" s="1406">
        <v>6.59</v>
      </c>
    </row>
    <row r="2780" spans="2:9" ht="30">
      <c r="B2780" s="677">
        <v>91845</v>
      </c>
      <c r="C2780" s="733" t="s">
        <v>7540</v>
      </c>
      <c r="D2780" s="677" t="s">
        <v>21</v>
      </c>
      <c r="E2780" s="738">
        <f t="shared" si="86"/>
        <v>8.2200000000000006</v>
      </c>
      <c r="F2780">
        <f t="shared" si="87"/>
        <v>91845</v>
      </c>
      <c r="H2780" s="1405">
        <v>7.87</v>
      </c>
      <c r="I2780" s="1405">
        <v>8.2200000000000006</v>
      </c>
    </row>
    <row r="2781" spans="2:9" ht="30">
      <c r="B2781" s="1477">
        <v>91846</v>
      </c>
      <c r="C2781" s="740" t="s">
        <v>7541</v>
      </c>
      <c r="D2781" s="739" t="s">
        <v>21</v>
      </c>
      <c r="E2781" s="741">
        <f t="shared" si="86"/>
        <v>9.5399999999999991</v>
      </c>
      <c r="F2781">
        <f t="shared" si="87"/>
        <v>91846</v>
      </c>
      <c r="H2781" s="1406">
        <v>9.1199999999999992</v>
      </c>
      <c r="I2781" s="1406">
        <v>9.5399999999999991</v>
      </c>
    </row>
    <row r="2782" spans="2:9" ht="30">
      <c r="B2782" s="677">
        <v>91847</v>
      </c>
      <c r="C2782" s="733" t="s">
        <v>7542</v>
      </c>
      <c r="D2782" s="677" t="s">
        <v>21</v>
      </c>
      <c r="E2782" s="738">
        <f t="shared" si="86"/>
        <v>13.33</v>
      </c>
      <c r="F2782">
        <f t="shared" si="87"/>
        <v>91847</v>
      </c>
      <c r="H2782" s="1405">
        <v>12.91</v>
      </c>
      <c r="I2782" s="1405">
        <v>13.33</v>
      </c>
    </row>
    <row r="2783" spans="2:9" ht="30">
      <c r="B2783" s="1477">
        <v>91849</v>
      </c>
      <c r="C2783" s="740" t="s">
        <v>7543</v>
      </c>
      <c r="D2783" s="739" t="s">
        <v>21</v>
      </c>
      <c r="E2783" s="741">
        <f t="shared" si="86"/>
        <v>6.66</v>
      </c>
      <c r="F2783">
        <f t="shared" si="87"/>
        <v>91849</v>
      </c>
      <c r="H2783" s="1406">
        <v>6.24</v>
      </c>
      <c r="I2783" s="1406">
        <v>6.66</v>
      </c>
    </row>
    <row r="2784" spans="2:9" ht="30">
      <c r="B2784" s="677">
        <v>91850</v>
      </c>
      <c r="C2784" s="733" t="s">
        <v>7544</v>
      </c>
      <c r="D2784" s="677" t="s">
        <v>21</v>
      </c>
      <c r="E2784" s="738">
        <f t="shared" si="86"/>
        <v>8.75</v>
      </c>
      <c r="F2784">
        <f t="shared" si="87"/>
        <v>91850</v>
      </c>
      <c r="H2784" s="1405">
        <v>8.23</v>
      </c>
      <c r="I2784" s="1405">
        <v>8.75</v>
      </c>
    </row>
    <row r="2785" spans="2:9" ht="30">
      <c r="B2785" s="1477">
        <v>91851</v>
      </c>
      <c r="C2785" s="740" t="s">
        <v>7545</v>
      </c>
      <c r="D2785" s="739" t="s">
        <v>21</v>
      </c>
      <c r="E2785" s="741">
        <f t="shared" si="86"/>
        <v>8.18</v>
      </c>
      <c r="F2785">
        <f t="shared" si="87"/>
        <v>91851</v>
      </c>
      <c r="H2785" s="1406">
        <v>7.66</v>
      </c>
      <c r="I2785" s="1406">
        <v>8.18</v>
      </c>
    </row>
    <row r="2786" spans="2:9" ht="30">
      <c r="B2786" s="677">
        <v>91852</v>
      </c>
      <c r="C2786" s="733" t="s">
        <v>7546</v>
      </c>
      <c r="D2786" s="677" t="s">
        <v>21</v>
      </c>
      <c r="E2786" s="738">
        <f t="shared" si="86"/>
        <v>8.67</v>
      </c>
      <c r="F2786">
        <f t="shared" si="87"/>
        <v>91852</v>
      </c>
      <c r="H2786" s="1405">
        <v>8.06</v>
      </c>
      <c r="I2786" s="1405">
        <v>8.67</v>
      </c>
    </row>
    <row r="2787" spans="2:9" ht="30">
      <c r="B2787" s="1477">
        <v>91853</v>
      </c>
      <c r="C2787" s="740" t="s">
        <v>7547</v>
      </c>
      <c r="D2787" s="739" t="s">
        <v>21</v>
      </c>
      <c r="E2787" s="741">
        <f t="shared" si="86"/>
        <v>9.26</v>
      </c>
      <c r="F2787">
        <f t="shared" si="87"/>
        <v>91853</v>
      </c>
      <c r="H2787" s="1406">
        <v>8.65</v>
      </c>
      <c r="I2787" s="1406">
        <v>9.26</v>
      </c>
    </row>
    <row r="2788" spans="2:9" ht="30">
      <c r="B2788" s="677">
        <v>91854</v>
      </c>
      <c r="C2788" s="733" t="s">
        <v>7548</v>
      </c>
      <c r="D2788" s="677" t="s">
        <v>21</v>
      </c>
      <c r="E2788" s="738">
        <f t="shared" si="86"/>
        <v>9.3800000000000008</v>
      </c>
      <c r="F2788">
        <f t="shared" si="87"/>
        <v>91854</v>
      </c>
      <c r="H2788" s="1405">
        <v>8.7100000000000009</v>
      </c>
      <c r="I2788" s="1405">
        <v>9.3800000000000008</v>
      </c>
    </row>
    <row r="2789" spans="2:9" ht="30">
      <c r="B2789" s="1477">
        <v>91855</v>
      </c>
      <c r="C2789" s="740" t="s">
        <v>7549</v>
      </c>
      <c r="D2789" s="739" t="s">
        <v>21</v>
      </c>
      <c r="E2789" s="741">
        <f t="shared" si="86"/>
        <v>10.89</v>
      </c>
      <c r="F2789">
        <f t="shared" si="87"/>
        <v>91855</v>
      </c>
      <c r="H2789" s="1406">
        <v>10.220000000000001</v>
      </c>
      <c r="I2789" s="1406">
        <v>10.89</v>
      </c>
    </row>
    <row r="2790" spans="2:9" ht="30">
      <c r="B2790" s="677">
        <v>91856</v>
      </c>
      <c r="C2790" s="733" t="s">
        <v>7550</v>
      </c>
      <c r="D2790" s="677" t="s">
        <v>21</v>
      </c>
      <c r="E2790" s="738">
        <f t="shared" si="86"/>
        <v>12.16</v>
      </c>
      <c r="F2790">
        <f t="shared" si="87"/>
        <v>91856</v>
      </c>
      <c r="H2790" s="1405">
        <v>11.41</v>
      </c>
      <c r="I2790" s="1405">
        <v>12.16</v>
      </c>
    </row>
    <row r="2791" spans="2:9" ht="30">
      <c r="B2791" s="1477">
        <v>91857</v>
      </c>
      <c r="C2791" s="740" t="s">
        <v>7551</v>
      </c>
      <c r="D2791" s="739" t="s">
        <v>21</v>
      </c>
      <c r="E2791" s="741">
        <f t="shared" si="86"/>
        <v>15.67</v>
      </c>
      <c r="F2791">
        <f t="shared" si="87"/>
        <v>91857</v>
      </c>
      <c r="H2791" s="1406">
        <v>14.92</v>
      </c>
      <c r="I2791" s="1406">
        <v>15.67</v>
      </c>
    </row>
    <row r="2792" spans="2:9" ht="30">
      <c r="B2792" s="677">
        <v>91859</v>
      </c>
      <c r="C2792" s="733" t="s">
        <v>7552</v>
      </c>
      <c r="D2792" s="677" t="s">
        <v>21</v>
      </c>
      <c r="E2792" s="738">
        <f t="shared" si="86"/>
        <v>9.49</v>
      </c>
      <c r="F2792">
        <f t="shared" si="87"/>
        <v>91859</v>
      </c>
      <c r="H2792" s="1405">
        <v>8.74</v>
      </c>
      <c r="I2792" s="1405">
        <v>9.49</v>
      </c>
    </row>
    <row r="2793" spans="2:9" ht="30">
      <c r="B2793" s="1477">
        <v>91860</v>
      </c>
      <c r="C2793" s="740" t="s">
        <v>7553</v>
      </c>
      <c r="D2793" s="739" t="s">
        <v>21</v>
      </c>
      <c r="E2793" s="741">
        <f t="shared" si="86"/>
        <v>11.48</v>
      </c>
      <c r="F2793">
        <f t="shared" si="87"/>
        <v>91860</v>
      </c>
      <c r="H2793" s="1406">
        <v>10.66</v>
      </c>
      <c r="I2793" s="1406">
        <v>11.48</v>
      </c>
    </row>
    <row r="2794" spans="2:9" ht="30">
      <c r="B2794" s="677">
        <v>91861</v>
      </c>
      <c r="C2794" s="733" t="s">
        <v>7554</v>
      </c>
      <c r="D2794" s="677" t="s">
        <v>21</v>
      </c>
      <c r="E2794" s="738">
        <f t="shared" si="86"/>
        <v>10.95</v>
      </c>
      <c r="F2794">
        <f t="shared" si="87"/>
        <v>91861</v>
      </c>
      <c r="H2794" s="1405">
        <v>10.130000000000001</v>
      </c>
      <c r="I2794" s="1405">
        <v>10.95</v>
      </c>
    </row>
    <row r="2795" spans="2:9" ht="30">
      <c r="B2795" s="1477">
        <v>91862</v>
      </c>
      <c r="C2795" s="740" t="s">
        <v>7555</v>
      </c>
      <c r="D2795" s="739" t="s">
        <v>21</v>
      </c>
      <c r="E2795" s="741">
        <f t="shared" si="86"/>
        <v>9.49</v>
      </c>
      <c r="F2795">
        <f t="shared" si="87"/>
        <v>91862</v>
      </c>
      <c r="H2795" s="1406">
        <v>8.9600000000000009</v>
      </c>
      <c r="I2795" s="1406">
        <v>9.49</v>
      </c>
    </row>
    <row r="2796" spans="2:9" ht="30">
      <c r="B2796" s="677">
        <v>91863</v>
      </c>
      <c r="C2796" s="733" t="s">
        <v>7556</v>
      </c>
      <c r="D2796" s="677" t="s">
        <v>21</v>
      </c>
      <c r="E2796" s="738">
        <f t="shared" si="86"/>
        <v>11.25</v>
      </c>
      <c r="F2796">
        <f t="shared" si="87"/>
        <v>91863</v>
      </c>
      <c r="H2796" s="1405">
        <v>10.66</v>
      </c>
      <c r="I2796" s="1405">
        <v>11.25</v>
      </c>
    </row>
    <row r="2797" spans="2:9" ht="30">
      <c r="B2797" s="1477">
        <v>91864</v>
      </c>
      <c r="C2797" s="740" t="s">
        <v>7557</v>
      </c>
      <c r="D2797" s="739" t="s">
        <v>21</v>
      </c>
      <c r="E2797" s="741">
        <f t="shared" si="86"/>
        <v>15.29</v>
      </c>
      <c r="F2797">
        <f t="shared" si="87"/>
        <v>91864</v>
      </c>
      <c r="H2797" s="1406">
        <v>14.59</v>
      </c>
      <c r="I2797" s="1406">
        <v>15.29</v>
      </c>
    </row>
    <row r="2798" spans="2:9" ht="30">
      <c r="B2798" s="677">
        <v>91865</v>
      </c>
      <c r="C2798" s="733" t="s">
        <v>7558</v>
      </c>
      <c r="D2798" s="677" t="s">
        <v>21</v>
      </c>
      <c r="E2798" s="738">
        <f t="shared" si="86"/>
        <v>19.25</v>
      </c>
      <c r="F2798">
        <f t="shared" si="87"/>
        <v>91865</v>
      </c>
      <c r="H2798" s="1405">
        <v>18.440000000000001</v>
      </c>
      <c r="I2798" s="1405">
        <v>19.25</v>
      </c>
    </row>
    <row r="2799" spans="2:9" ht="30">
      <c r="B2799" s="1477">
        <v>91866</v>
      </c>
      <c r="C2799" s="740" t="s">
        <v>7559</v>
      </c>
      <c r="D2799" s="739" t="s">
        <v>21</v>
      </c>
      <c r="E2799" s="741">
        <f t="shared" si="86"/>
        <v>8.31</v>
      </c>
      <c r="F2799">
        <f t="shared" si="87"/>
        <v>91866</v>
      </c>
      <c r="H2799" s="1406">
        <v>7.92</v>
      </c>
      <c r="I2799" s="1406">
        <v>8.31</v>
      </c>
    </row>
    <row r="2800" spans="2:9" ht="30">
      <c r="B2800" s="677">
        <v>91867</v>
      </c>
      <c r="C2800" s="733" t="s">
        <v>7560</v>
      </c>
      <c r="D2800" s="677" t="s">
        <v>21</v>
      </c>
      <c r="E2800" s="738">
        <f t="shared" si="86"/>
        <v>10.07</v>
      </c>
      <c r="F2800">
        <f t="shared" si="87"/>
        <v>91867</v>
      </c>
      <c r="H2800" s="1405">
        <v>9.6</v>
      </c>
      <c r="I2800" s="1405">
        <v>10.07</v>
      </c>
    </row>
    <row r="2801" spans="2:9" ht="30">
      <c r="B2801" s="1477">
        <v>91868</v>
      </c>
      <c r="C2801" s="740" t="s">
        <v>7561</v>
      </c>
      <c r="D2801" s="739" t="s">
        <v>21</v>
      </c>
      <c r="E2801" s="741">
        <f t="shared" si="86"/>
        <v>14.13</v>
      </c>
      <c r="F2801">
        <f t="shared" si="87"/>
        <v>91868</v>
      </c>
      <c r="H2801" s="1406">
        <v>13.56</v>
      </c>
      <c r="I2801" s="1406">
        <v>14.13</v>
      </c>
    </row>
    <row r="2802" spans="2:9" ht="30">
      <c r="B2802" s="677">
        <v>91869</v>
      </c>
      <c r="C2802" s="733" t="s">
        <v>7562</v>
      </c>
      <c r="D2802" s="677" t="s">
        <v>21</v>
      </c>
      <c r="E2802" s="738">
        <f t="shared" si="86"/>
        <v>18.03</v>
      </c>
      <c r="F2802">
        <f t="shared" si="87"/>
        <v>91869</v>
      </c>
      <c r="H2802" s="1405">
        <v>17.36</v>
      </c>
      <c r="I2802" s="1405">
        <v>18.03</v>
      </c>
    </row>
    <row r="2803" spans="2:9" ht="30">
      <c r="B2803" s="1477">
        <v>91870</v>
      </c>
      <c r="C2803" s="740" t="s">
        <v>7563</v>
      </c>
      <c r="D2803" s="739" t="s">
        <v>21</v>
      </c>
      <c r="E2803" s="741">
        <f t="shared" si="86"/>
        <v>12.3</v>
      </c>
      <c r="F2803">
        <f t="shared" si="87"/>
        <v>91870</v>
      </c>
      <c r="H2803" s="1406">
        <v>11.5</v>
      </c>
      <c r="I2803" s="1406">
        <v>12.3</v>
      </c>
    </row>
    <row r="2804" spans="2:9" ht="30">
      <c r="B2804" s="677">
        <v>91871</v>
      </c>
      <c r="C2804" s="733" t="s">
        <v>7564</v>
      </c>
      <c r="D2804" s="677" t="s">
        <v>21</v>
      </c>
      <c r="E2804" s="738">
        <f t="shared" si="86"/>
        <v>14.07</v>
      </c>
      <c r="F2804">
        <f t="shared" si="87"/>
        <v>91871</v>
      </c>
      <c r="H2804" s="1405">
        <v>13.19</v>
      </c>
      <c r="I2804" s="1405">
        <v>14.07</v>
      </c>
    </row>
    <row r="2805" spans="2:9" ht="30">
      <c r="B2805" s="1477">
        <v>91872</v>
      </c>
      <c r="C2805" s="740" t="s">
        <v>7565</v>
      </c>
      <c r="D2805" s="739" t="s">
        <v>21</v>
      </c>
      <c r="E2805" s="741">
        <f t="shared" si="86"/>
        <v>18.11</v>
      </c>
      <c r="F2805">
        <f t="shared" si="87"/>
        <v>91872</v>
      </c>
      <c r="H2805" s="1406">
        <v>17.13</v>
      </c>
      <c r="I2805" s="1406">
        <v>18.11</v>
      </c>
    </row>
    <row r="2806" spans="2:9" ht="30">
      <c r="B2806" s="677">
        <v>91873</v>
      </c>
      <c r="C2806" s="733" t="s">
        <v>7566</v>
      </c>
      <c r="D2806" s="677" t="s">
        <v>21</v>
      </c>
      <c r="E2806" s="738">
        <f t="shared" si="86"/>
        <v>22.02</v>
      </c>
      <c r="F2806">
        <f t="shared" si="87"/>
        <v>91873</v>
      </c>
      <c r="H2806" s="1405">
        <v>20.93</v>
      </c>
      <c r="I2806" s="1405">
        <v>22.02</v>
      </c>
    </row>
    <row r="2807" spans="2:9" ht="30">
      <c r="B2807" s="1477">
        <v>93008</v>
      </c>
      <c r="C2807" s="740" t="s">
        <v>5448</v>
      </c>
      <c r="D2807" s="739" t="s">
        <v>21</v>
      </c>
      <c r="E2807" s="741">
        <f t="shared" si="86"/>
        <v>18.98</v>
      </c>
      <c r="F2807">
        <f t="shared" si="87"/>
        <v>93008</v>
      </c>
      <c r="H2807" s="1406">
        <v>18.41</v>
      </c>
      <c r="I2807" s="1406">
        <v>18.98</v>
      </c>
    </row>
    <row r="2808" spans="2:9" ht="30">
      <c r="B2808" s="677">
        <v>93009</v>
      </c>
      <c r="C2808" s="733" t="s">
        <v>5449</v>
      </c>
      <c r="D2808" s="677" t="s">
        <v>21</v>
      </c>
      <c r="E2808" s="738">
        <f t="shared" si="86"/>
        <v>28.38</v>
      </c>
      <c r="F2808">
        <f t="shared" si="87"/>
        <v>93009</v>
      </c>
      <c r="H2808" s="1405">
        <v>27.74</v>
      </c>
      <c r="I2808" s="1405">
        <v>28.38</v>
      </c>
    </row>
    <row r="2809" spans="2:9" ht="30">
      <c r="B2809" s="1477">
        <v>93010</v>
      </c>
      <c r="C2809" s="740" t="s">
        <v>5450</v>
      </c>
      <c r="D2809" s="739" t="s">
        <v>21</v>
      </c>
      <c r="E2809" s="741">
        <f t="shared" si="86"/>
        <v>39.75</v>
      </c>
      <c r="F2809">
        <f t="shared" si="87"/>
        <v>93010</v>
      </c>
      <c r="H2809" s="1406">
        <v>38.99</v>
      </c>
      <c r="I2809" s="1406">
        <v>39.75</v>
      </c>
    </row>
    <row r="2810" spans="2:9" ht="30">
      <c r="B2810" s="677">
        <v>93011</v>
      </c>
      <c r="C2810" s="733" t="s">
        <v>5451</v>
      </c>
      <c r="D2810" s="677" t="s">
        <v>21</v>
      </c>
      <c r="E2810" s="738">
        <f t="shared" si="86"/>
        <v>48.76</v>
      </c>
      <c r="F2810">
        <f t="shared" si="87"/>
        <v>93011</v>
      </c>
      <c r="H2810" s="1405">
        <v>47.91</v>
      </c>
      <c r="I2810" s="1405">
        <v>48.76</v>
      </c>
    </row>
    <row r="2811" spans="2:9" ht="30">
      <c r="B2811" s="1477">
        <v>93012</v>
      </c>
      <c r="C2811" s="740" t="s">
        <v>5452</v>
      </c>
      <c r="D2811" s="739" t="s">
        <v>21</v>
      </c>
      <c r="E2811" s="741">
        <f t="shared" si="86"/>
        <v>74.09</v>
      </c>
      <c r="F2811">
        <f t="shared" si="87"/>
        <v>93012</v>
      </c>
      <c r="H2811" s="1406">
        <v>73.03</v>
      </c>
      <c r="I2811" s="1406">
        <v>74.09</v>
      </c>
    </row>
    <row r="2812" spans="2:9">
      <c r="B2812" s="677">
        <v>95726</v>
      </c>
      <c r="C2812" s="733" t="s">
        <v>6993</v>
      </c>
      <c r="D2812" s="677" t="s">
        <v>21</v>
      </c>
      <c r="E2812" s="738">
        <f t="shared" si="86"/>
        <v>15.67</v>
      </c>
      <c r="F2812">
        <f t="shared" si="87"/>
        <v>95726</v>
      </c>
      <c r="H2812" s="1405">
        <v>14.66</v>
      </c>
      <c r="I2812" s="1405">
        <v>15.67</v>
      </c>
    </row>
    <row r="2813" spans="2:9">
      <c r="B2813" s="1477">
        <v>95727</v>
      </c>
      <c r="C2813" s="740" t="s">
        <v>6994</v>
      </c>
      <c r="D2813" s="739" t="s">
        <v>21</v>
      </c>
      <c r="E2813" s="741">
        <f t="shared" si="86"/>
        <v>19.149999999999999</v>
      </c>
      <c r="F2813">
        <f t="shared" si="87"/>
        <v>95727</v>
      </c>
      <c r="H2813" s="1406">
        <v>17.86</v>
      </c>
      <c r="I2813" s="1406">
        <v>19.149999999999999</v>
      </c>
    </row>
    <row r="2814" spans="2:9">
      <c r="B2814" s="677">
        <v>95728</v>
      </c>
      <c r="C2814" s="733" t="s">
        <v>6995</v>
      </c>
      <c r="D2814" s="677" t="s">
        <v>21</v>
      </c>
      <c r="E2814" s="738">
        <f t="shared" si="86"/>
        <v>24.9</v>
      </c>
      <c r="F2814">
        <f t="shared" si="87"/>
        <v>95728</v>
      </c>
      <c r="H2814" s="1405">
        <v>23.2</v>
      </c>
      <c r="I2814" s="1405">
        <v>24.9</v>
      </c>
    </row>
    <row r="2815" spans="2:9" ht="30">
      <c r="B2815" s="1477">
        <v>97667</v>
      </c>
      <c r="C2815" s="740" t="s">
        <v>5453</v>
      </c>
      <c r="D2815" s="739" t="s">
        <v>21</v>
      </c>
      <c r="E2815" s="741">
        <f t="shared" si="86"/>
        <v>7.5</v>
      </c>
      <c r="F2815">
        <f t="shared" si="87"/>
        <v>97667</v>
      </c>
      <c r="H2815" s="1406">
        <v>7.16</v>
      </c>
      <c r="I2815" s="1406">
        <v>7.5</v>
      </c>
    </row>
    <row r="2816" spans="2:9" ht="30">
      <c r="B2816" s="677">
        <v>97668</v>
      </c>
      <c r="C2816" s="733" t="s">
        <v>5454</v>
      </c>
      <c r="D2816" s="677" t="s">
        <v>21</v>
      </c>
      <c r="E2816" s="738">
        <f t="shared" si="86"/>
        <v>10.69</v>
      </c>
      <c r="F2816">
        <f t="shared" si="87"/>
        <v>97668</v>
      </c>
      <c r="H2816" s="1405">
        <v>10.210000000000001</v>
      </c>
      <c r="I2816" s="1405">
        <v>10.69</v>
      </c>
    </row>
    <row r="2817" spans="2:9" ht="30">
      <c r="B2817" s="1477">
        <v>97669</v>
      </c>
      <c r="C2817" s="740" t="s">
        <v>5455</v>
      </c>
      <c r="D2817" s="739" t="s">
        <v>21</v>
      </c>
      <c r="E2817" s="741">
        <f t="shared" si="86"/>
        <v>15.88</v>
      </c>
      <c r="F2817">
        <f t="shared" si="87"/>
        <v>97669</v>
      </c>
      <c r="H2817" s="1406">
        <v>15.12</v>
      </c>
      <c r="I2817" s="1406">
        <v>15.88</v>
      </c>
    </row>
    <row r="2818" spans="2:9" ht="30">
      <c r="B2818" s="677">
        <v>97670</v>
      </c>
      <c r="C2818" s="733" t="s">
        <v>5456</v>
      </c>
      <c r="D2818" s="677" t="s">
        <v>21</v>
      </c>
      <c r="E2818" s="738">
        <f t="shared" si="86"/>
        <v>20.27</v>
      </c>
      <c r="F2818">
        <f t="shared" si="87"/>
        <v>97670</v>
      </c>
      <c r="H2818" s="1405">
        <v>19.41</v>
      </c>
      <c r="I2818" s="1405">
        <v>20.27</v>
      </c>
    </row>
    <row r="2819" spans="2:9" ht="30">
      <c r="B2819" s="1477">
        <v>91874</v>
      </c>
      <c r="C2819" s="740" t="s">
        <v>7567</v>
      </c>
      <c r="D2819" s="739" t="s">
        <v>22</v>
      </c>
      <c r="E2819" s="741">
        <f t="shared" ref="E2819:E2882" si="88">IF($K$2=$H$1,H2819,I2819)</f>
        <v>6.76</v>
      </c>
      <c r="F2819">
        <f t="shared" ref="F2819:F2882" si="89">IF(LEN($B2819)=7,CONCATENATE(MID($B2819,1,6),"00",RIGHT($B2819,1)),IF(LEN($B2819)=8,CONCATENATE(MID($B2819,1,6),"0",RIGHT($B2819,2)),$B2819))</f>
        <v>91874</v>
      </c>
      <c r="H2819" s="1406">
        <v>6.16</v>
      </c>
      <c r="I2819" s="1406">
        <v>6.76</v>
      </c>
    </row>
    <row r="2820" spans="2:9" ht="30">
      <c r="B2820" s="677">
        <v>91875</v>
      </c>
      <c r="C2820" s="733" t="s">
        <v>7568</v>
      </c>
      <c r="D2820" s="677" t="s">
        <v>22</v>
      </c>
      <c r="E2820" s="738">
        <f t="shared" si="88"/>
        <v>7.97</v>
      </c>
      <c r="F2820">
        <f t="shared" si="89"/>
        <v>91875</v>
      </c>
      <c r="H2820" s="1405">
        <v>7.29</v>
      </c>
      <c r="I2820" s="1405">
        <v>7.97</v>
      </c>
    </row>
    <row r="2821" spans="2:9" ht="30">
      <c r="B2821" s="1477">
        <v>91876</v>
      </c>
      <c r="C2821" s="740" t="s">
        <v>7569</v>
      </c>
      <c r="D2821" s="739" t="s">
        <v>22</v>
      </c>
      <c r="E2821" s="741">
        <f t="shared" si="88"/>
        <v>9.61</v>
      </c>
      <c r="F2821">
        <f t="shared" si="89"/>
        <v>91876</v>
      </c>
      <c r="H2821" s="1406">
        <v>8.82</v>
      </c>
      <c r="I2821" s="1406">
        <v>9.61</v>
      </c>
    </row>
    <row r="2822" spans="2:9" ht="30">
      <c r="B2822" s="677">
        <v>91877</v>
      </c>
      <c r="C2822" s="733" t="s">
        <v>7570</v>
      </c>
      <c r="D2822" s="677" t="s">
        <v>22</v>
      </c>
      <c r="E2822" s="738">
        <f t="shared" si="88"/>
        <v>11.9</v>
      </c>
      <c r="F2822">
        <f t="shared" si="89"/>
        <v>91877</v>
      </c>
      <c r="H2822" s="1405">
        <v>10.97</v>
      </c>
      <c r="I2822" s="1405">
        <v>11.9</v>
      </c>
    </row>
    <row r="2823" spans="2:9" ht="30">
      <c r="B2823" s="1477">
        <v>91878</v>
      </c>
      <c r="C2823" s="740" t="s">
        <v>7571</v>
      </c>
      <c r="D2823" s="739" t="s">
        <v>22</v>
      </c>
      <c r="E2823" s="741">
        <f t="shared" si="88"/>
        <v>5.36</v>
      </c>
      <c r="F2823">
        <f t="shared" si="89"/>
        <v>91878</v>
      </c>
      <c r="H2823" s="1406">
        <v>4.8899999999999997</v>
      </c>
      <c r="I2823" s="1406">
        <v>5.36</v>
      </c>
    </row>
    <row r="2824" spans="2:9" ht="30">
      <c r="B2824" s="677">
        <v>91879</v>
      </c>
      <c r="C2824" s="733" t="s">
        <v>7572</v>
      </c>
      <c r="D2824" s="677" t="s">
        <v>22</v>
      </c>
      <c r="E2824" s="738">
        <f t="shared" si="88"/>
        <v>6.57</v>
      </c>
      <c r="F2824">
        <f t="shared" si="89"/>
        <v>91879</v>
      </c>
      <c r="H2824" s="1405">
        <v>6.02</v>
      </c>
      <c r="I2824" s="1405">
        <v>6.57</v>
      </c>
    </row>
    <row r="2825" spans="2:9" ht="30">
      <c r="B2825" s="1477">
        <v>91880</v>
      </c>
      <c r="C2825" s="740" t="s">
        <v>7573</v>
      </c>
      <c r="D2825" s="739" t="s">
        <v>22</v>
      </c>
      <c r="E2825" s="741">
        <f t="shared" si="88"/>
        <v>8.1999999999999993</v>
      </c>
      <c r="F2825">
        <f t="shared" si="89"/>
        <v>91880</v>
      </c>
      <c r="H2825" s="1406">
        <v>7.55</v>
      </c>
      <c r="I2825" s="1406">
        <v>8.1999999999999993</v>
      </c>
    </row>
    <row r="2826" spans="2:9" ht="30">
      <c r="B2826" s="677">
        <v>91881</v>
      </c>
      <c r="C2826" s="733" t="s">
        <v>7574</v>
      </c>
      <c r="D2826" s="677" t="s">
        <v>22</v>
      </c>
      <c r="E2826" s="738">
        <f t="shared" si="88"/>
        <v>10.48</v>
      </c>
      <c r="F2826">
        <f t="shared" si="89"/>
        <v>91881</v>
      </c>
      <c r="H2826" s="1405">
        <v>9.6999999999999993</v>
      </c>
      <c r="I2826" s="1405">
        <v>10.48</v>
      </c>
    </row>
    <row r="2827" spans="2:9" ht="30">
      <c r="B2827" s="1477">
        <v>91882</v>
      </c>
      <c r="C2827" s="740" t="s">
        <v>7575</v>
      </c>
      <c r="D2827" s="739" t="s">
        <v>22</v>
      </c>
      <c r="E2827" s="741">
        <f t="shared" si="88"/>
        <v>9.68</v>
      </c>
      <c r="F2827">
        <f t="shared" si="89"/>
        <v>91882</v>
      </c>
      <c r="H2827" s="1406">
        <v>8.7899999999999991</v>
      </c>
      <c r="I2827" s="1406">
        <v>9.68</v>
      </c>
    </row>
    <row r="2828" spans="2:9" ht="30">
      <c r="B2828" s="677">
        <v>91884</v>
      </c>
      <c r="C2828" s="733" t="s">
        <v>7576</v>
      </c>
      <c r="D2828" s="677" t="s">
        <v>22</v>
      </c>
      <c r="E2828" s="738">
        <f t="shared" si="88"/>
        <v>10.89</v>
      </c>
      <c r="F2828">
        <f t="shared" si="89"/>
        <v>91884</v>
      </c>
      <c r="H2828" s="1405">
        <v>9.91</v>
      </c>
      <c r="I2828" s="1405">
        <v>10.89</v>
      </c>
    </row>
    <row r="2829" spans="2:9" ht="30">
      <c r="B2829" s="1477">
        <v>91885</v>
      </c>
      <c r="C2829" s="740" t="s">
        <v>7577</v>
      </c>
      <c r="D2829" s="739" t="s">
        <v>22</v>
      </c>
      <c r="E2829" s="741">
        <f t="shared" si="88"/>
        <v>12.48</v>
      </c>
      <c r="F2829">
        <f t="shared" si="89"/>
        <v>91885</v>
      </c>
      <c r="H2829" s="1406">
        <v>11.39</v>
      </c>
      <c r="I2829" s="1406">
        <v>12.48</v>
      </c>
    </row>
    <row r="2830" spans="2:9" ht="30">
      <c r="B2830" s="677">
        <v>91886</v>
      </c>
      <c r="C2830" s="733" t="s">
        <v>7578</v>
      </c>
      <c r="D2830" s="677" t="s">
        <v>22</v>
      </c>
      <c r="E2830" s="738">
        <f t="shared" si="88"/>
        <v>14.71</v>
      </c>
      <c r="F2830">
        <f t="shared" si="89"/>
        <v>91886</v>
      </c>
      <c r="H2830" s="1405">
        <v>13.5</v>
      </c>
      <c r="I2830" s="1405">
        <v>14.71</v>
      </c>
    </row>
    <row r="2831" spans="2:9" ht="30">
      <c r="B2831" s="1477">
        <v>91887</v>
      </c>
      <c r="C2831" s="740" t="s">
        <v>7579</v>
      </c>
      <c r="D2831" s="739" t="s">
        <v>22</v>
      </c>
      <c r="E2831" s="741">
        <f t="shared" si="88"/>
        <v>11.84</v>
      </c>
      <c r="F2831">
        <f t="shared" si="89"/>
        <v>91887</v>
      </c>
      <c r="H2831" s="1406">
        <v>10.93</v>
      </c>
      <c r="I2831" s="1406">
        <v>11.84</v>
      </c>
    </row>
    <row r="2832" spans="2:9" ht="30">
      <c r="B2832" s="677">
        <v>91889</v>
      </c>
      <c r="C2832" s="733" t="s">
        <v>7580</v>
      </c>
      <c r="D2832" s="677" t="s">
        <v>22</v>
      </c>
      <c r="E2832" s="738">
        <f t="shared" si="88"/>
        <v>11.51</v>
      </c>
      <c r="F2832">
        <f t="shared" si="89"/>
        <v>91889</v>
      </c>
      <c r="H2832" s="1405">
        <v>10.6</v>
      </c>
      <c r="I2832" s="1405">
        <v>11.51</v>
      </c>
    </row>
    <row r="2833" spans="2:9" ht="30">
      <c r="B2833" s="1477">
        <v>91890</v>
      </c>
      <c r="C2833" s="740" t="s">
        <v>7581</v>
      </c>
      <c r="D2833" s="739" t="s">
        <v>22</v>
      </c>
      <c r="E2833" s="741">
        <f t="shared" si="88"/>
        <v>13.05</v>
      </c>
      <c r="F2833">
        <f t="shared" si="89"/>
        <v>91890</v>
      </c>
      <c r="H2833" s="1406">
        <v>12.02</v>
      </c>
      <c r="I2833" s="1406">
        <v>13.05</v>
      </c>
    </row>
    <row r="2834" spans="2:9" ht="30">
      <c r="B2834" s="677">
        <v>91892</v>
      </c>
      <c r="C2834" s="733" t="s">
        <v>7582</v>
      </c>
      <c r="D2834" s="677" t="s">
        <v>22</v>
      </c>
      <c r="E2834" s="738">
        <f t="shared" si="88"/>
        <v>15.22</v>
      </c>
      <c r="F2834">
        <f t="shared" si="89"/>
        <v>91892</v>
      </c>
      <c r="H2834" s="1405">
        <v>14.19</v>
      </c>
      <c r="I2834" s="1405">
        <v>15.22</v>
      </c>
    </row>
    <row r="2835" spans="2:9" ht="30">
      <c r="B2835" s="1477">
        <v>91893</v>
      </c>
      <c r="C2835" s="740" t="s">
        <v>7583</v>
      </c>
      <c r="D2835" s="739" t="s">
        <v>22</v>
      </c>
      <c r="E2835" s="741">
        <f t="shared" si="88"/>
        <v>16.27</v>
      </c>
      <c r="F2835">
        <f t="shared" si="89"/>
        <v>91893</v>
      </c>
      <c r="H2835" s="1406">
        <v>15.07</v>
      </c>
      <c r="I2835" s="1406">
        <v>16.27</v>
      </c>
    </row>
    <row r="2836" spans="2:9" ht="30">
      <c r="B2836" s="677">
        <v>91895</v>
      </c>
      <c r="C2836" s="733" t="s">
        <v>7584</v>
      </c>
      <c r="D2836" s="677" t="s">
        <v>22</v>
      </c>
      <c r="E2836" s="738">
        <f t="shared" si="88"/>
        <v>18.48</v>
      </c>
      <c r="F2836">
        <f t="shared" si="89"/>
        <v>91895</v>
      </c>
      <c r="H2836" s="1405">
        <v>17.28</v>
      </c>
      <c r="I2836" s="1405">
        <v>18.48</v>
      </c>
    </row>
    <row r="2837" spans="2:9" ht="30">
      <c r="B2837" s="1477">
        <v>91896</v>
      </c>
      <c r="C2837" s="740" t="s">
        <v>7585</v>
      </c>
      <c r="D2837" s="739" t="s">
        <v>22</v>
      </c>
      <c r="E2837" s="741">
        <f t="shared" si="88"/>
        <v>18.7</v>
      </c>
      <c r="F2837">
        <f t="shared" si="89"/>
        <v>91896</v>
      </c>
      <c r="H2837" s="1406">
        <v>17.309999999999999</v>
      </c>
      <c r="I2837" s="1406">
        <v>18.7</v>
      </c>
    </row>
    <row r="2838" spans="2:9" ht="30">
      <c r="B2838" s="677">
        <v>91898</v>
      </c>
      <c r="C2838" s="733" t="s">
        <v>7586</v>
      </c>
      <c r="D2838" s="677" t="s">
        <v>22</v>
      </c>
      <c r="E2838" s="738">
        <f t="shared" si="88"/>
        <v>21.07</v>
      </c>
      <c r="F2838">
        <f t="shared" si="89"/>
        <v>91898</v>
      </c>
      <c r="H2838" s="1405">
        <v>19.68</v>
      </c>
      <c r="I2838" s="1405">
        <v>21.07</v>
      </c>
    </row>
    <row r="2839" spans="2:9" ht="30">
      <c r="B2839" s="1477">
        <v>91899</v>
      </c>
      <c r="C2839" s="740" t="s">
        <v>7587</v>
      </c>
      <c r="D2839" s="739" t="s">
        <v>22</v>
      </c>
      <c r="E2839" s="741">
        <f t="shared" si="88"/>
        <v>9.7100000000000009</v>
      </c>
      <c r="F2839">
        <f t="shared" si="89"/>
        <v>91899</v>
      </c>
      <c r="H2839" s="1406">
        <v>9.01</v>
      </c>
      <c r="I2839" s="1406">
        <v>9.7100000000000009</v>
      </c>
    </row>
    <row r="2840" spans="2:9" ht="30">
      <c r="B2840" s="677">
        <v>91901</v>
      </c>
      <c r="C2840" s="733" t="s">
        <v>7588</v>
      </c>
      <c r="D2840" s="677" t="s">
        <v>22</v>
      </c>
      <c r="E2840" s="738">
        <f t="shared" si="88"/>
        <v>9.3800000000000008</v>
      </c>
      <c r="F2840">
        <f t="shared" si="89"/>
        <v>91901</v>
      </c>
      <c r="H2840" s="1405">
        <v>8.68</v>
      </c>
      <c r="I2840" s="1405">
        <v>9.3800000000000008</v>
      </c>
    </row>
    <row r="2841" spans="2:9" ht="30">
      <c r="B2841" s="1477">
        <v>91902</v>
      </c>
      <c r="C2841" s="740" t="s">
        <v>7589</v>
      </c>
      <c r="D2841" s="739" t="s">
        <v>22</v>
      </c>
      <c r="E2841" s="741">
        <f t="shared" si="88"/>
        <v>10.91</v>
      </c>
      <c r="F2841">
        <f t="shared" si="89"/>
        <v>91902</v>
      </c>
      <c r="H2841" s="1406">
        <v>10.1</v>
      </c>
      <c r="I2841" s="1406">
        <v>10.91</v>
      </c>
    </row>
    <row r="2842" spans="2:9" ht="30">
      <c r="B2842" s="677">
        <v>91904</v>
      </c>
      <c r="C2842" s="733" t="s">
        <v>7590</v>
      </c>
      <c r="D2842" s="677" t="s">
        <v>22</v>
      </c>
      <c r="E2842" s="738">
        <f t="shared" si="88"/>
        <v>13.08</v>
      </c>
      <c r="F2842">
        <f t="shared" si="89"/>
        <v>91904</v>
      </c>
      <c r="H2842" s="1405">
        <v>12.27</v>
      </c>
      <c r="I2842" s="1405">
        <v>13.08</v>
      </c>
    </row>
    <row r="2843" spans="2:9" ht="30">
      <c r="B2843" s="1477">
        <v>91905</v>
      </c>
      <c r="C2843" s="740" t="s">
        <v>7591</v>
      </c>
      <c r="D2843" s="739" t="s">
        <v>22</v>
      </c>
      <c r="E2843" s="741">
        <f t="shared" si="88"/>
        <v>14.12</v>
      </c>
      <c r="F2843">
        <f t="shared" si="89"/>
        <v>91905</v>
      </c>
      <c r="H2843" s="1406">
        <v>13.15</v>
      </c>
      <c r="I2843" s="1406">
        <v>14.12</v>
      </c>
    </row>
    <row r="2844" spans="2:9" ht="30">
      <c r="B2844" s="677">
        <v>91907</v>
      </c>
      <c r="C2844" s="733" t="s">
        <v>7592</v>
      </c>
      <c r="D2844" s="677" t="s">
        <v>22</v>
      </c>
      <c r="E2844" s="738">
        <f t="shared" si="88"/>
        <v>16.329999999999998</v>
      </c>
      <c r="F2844">
        <f t="shared" si="89"/>
        <v>91907</v>
      </c>
      <c r="H2844" s="1405">
        <v>15.36</v>
      </c>
      <c r="I2844" s="1405">
        <v>16.329999999999998</v>
      </c>
    </row>
    <row r="2845" spans="2:9" ht="30">
      <c r="B2845" s="1477">
        <v>91908</v>
      </c>
      <c r="C2845" s="740" t="s">
        <v>7593</v>
      </c>
      <c r="D2845" s="739" t="s">
        <v>22</v>
      </c>
      <c r="E2845" s="741">
        <f t="shared" si="88"/>
        <v>16.61</v>
      </c>
      <c r="F2845">
        <f t="shared" si="89"/>
        <v>91908</v>
      </c>
      <c r="H2845" s="1406">
        <v>15.44</v>
      </c>
      <c r="I2845" s="1406">
        <v>16.61</v>
      </c>
    </row>
    <row r="2846" spans="2:9" ht="30">
      <c r="B2846" s="677">
        <v>91910</v>
      </c>
      <c r="C2846" s="733" t="s">
        <v>7594</v>
      </c>
      <c r="D2846" s="677" t="s">
        <v>22</v>
      </c>
      <c r="E2846" s="738">
        <f t="shared" si="88"/>
        <v>18.98</v>
      </c>
      <c r="F2846">
        <f t="shared" si="89"/>
        <v>91910</v>
      </c>
      <c r="H2846" s="1405">
        <v>17.809999999999999</v>
      </c>
      <c r="I2846" s="1405">
        <v>18.98</v>
      </c>
    </row>
    <row r="2847" spans="2:9" ht="30">
      <c r="B2847" s="1477">
        <v>91911</v>
      </c>
      <c r="C2847" s="740" t="s">
        <v>7595</v>
      </c>
      <c r="D2847" s="739" t="s">
        <v>22</v>
      </c>
      <c r="E2847" s="741">
        <f t="shared" si="88"/>
        <v>16.22</v>
      </c>
      <c r="F2847">
        <f t="shared" si="89"/>
        <v>91911</v>
      </c>
      <c r="H2847" s="1406">
        <v>14.87</v>
      </c>
      <c r="I2847" s="1406">
        <v>16.22</v>
      </c>
    </row>
    <row r="2848" spans="2:9" ht="30">
      <c r="B2848" s="677">
        <v>91913</v>
      </c>
      <c r="C2848" s="733" t="s">
        <v>7596</v>
      </c>
      <c r="D2848" s="677" t="s">
        <v>22</v>
      </c>
      <c r="E2848" s="738">
        <f t="shared" si="88"/>
        <v>15.89</v>
      </c>
      <c r="F2848">
        <f t="shared" si="89"/>
        <v>91913</v>
      </c>
      <c r="H2848" s="1405">
        <v>14.54</v>
      </c>
      <c r="I2848" s="1405">
        <v>15.89</v>
      </c>
    </row>
    <row r="2849" spans="2:9" ht="30">
      <c r="B2849" s="1477">
        <v>91914</v>
      </c>
      <c r="C2849" s="740" t="s">
        <v>7597</v>
      </c>
      <c r="D2849" s="739" t="s">
        <v>22</v>
      </c>
      <c r="E2849" s="741">
        <f t="shared" si="88"/>
        <v>17.38</v>
      </c>
      <c r="F2849">
        <f t="shared" si="89"/>
        <v>91914</v>
      </c>
      <c r="H2849" s="1406">
        <v>15.91</v>
      </c>
      <c r="I2849" s="1406">
        <v>17.38</v>
      </c>
    </row>
    <row r="2850" spans="2:9" ht="30">
      <c r="B2850" s="677">
        <v>91916</v>
      </c>
      <c r="C2850" s="733" t="s">
        <v>7598</v>
      </c>
      <c r="D2850" s="677" t="s">
        <v>22</v>
      </c>
      <c r="E2850" s="738">
        <f t="shared" si="88"/>
        <v>19.55</v>
      </c>
      <c r="F2850">
        <f t="shared" si="89"/>
        <v>91916</v>
      </c>
      <c r="H2850" s="1405">
        <v>18.079999999999998</v>
      </c>
      <c r="I2850" s="1405">
        <v>19.55</v>
      </c>
    </row>
    <row r="2851" spans="2:9" ht="30">
      <c r="B2851" s="1477">
        <v>91917</v>
      </c>
      <c r="C2851" s="740" t="s">
        <v>7599</v>
      </c>
      <c r="D2851" s="739" t="s">
        <v>22</v>
      </c>
      <c r="E2851" s="741">
        <f t="shared" si="88"/>
        <v>20.55</v>
      </c>
      <c r="F2851">
        <f t="shared" si="89"/>
        <v>91917</v>
      </c>
      <c r="H2851" s="1406">
        <v>18.91</v>
      </c>
      <c r="I2851" s="1406">
        <v>20.55</v>
      </c>
    </row>
    <row r="2852" spans="2:9" ht="30">
      <c r="B2852" s="677">
        <v>91919</v>
      </c>
      <c r="C2852" s="733" t="s">
        <v>7600</v>
      </c>
      <c r="D2852" s="677" t="s">
        <v>22</v>
      </c>
      <c r="E2852" s="738">
        <f t="shared" si="88"/>
        <v>22.76</v>
      </c>
      <c r="F2852">
        <f t="shared" si="89"/>
        <v>91919</v>
      </c>
      <c r="H2852" s="1405">
        <v>21.12</v>
      </c>
      <c r="I2852" s="1405">
        <v>22.76</v>
      </c>
    </row>
    <row r="2853" spans="2:9" ht="30">
      <c r="B2853" s="1477">
        <v>91920</v>
      </c>
      <c r="C2853" s="740" t="s">
        <v>7601</v>
      </c>
      <c r="D2853" s="739" t="s">
        <v>22</v>
      </c>
      <c r="E2853" s="741">
        <f t="shared" si="88"/>
        <v>22.93</v>
      </c>
      <c r="F2853">
        <f t="shared" si="89"/>
        <v>91920</v>
      </c>
      <c r="H2853" s="1406">
        <v>21.11</v>
      </c>
      <c r="I2853" s="1406">
        <v>22.93</v>
      </c>
    </row>
    <row r="2854" spans="2:9" ht="30">
      <c r="B2854" s="677">
        <v>91922</v>
      </c>
      <c r="C2854" s="733" t="s">
        <v>7602</v>
      </c>
      <c r="D2854" s="677" t="s">
        <v>22</v>
      </c>
      <c r="E2854" s="738">
        <f t="shared" si="88"/>
        <v>25.3</v>
      </c>
      <c r="F2854">
        <f t="shared" si="89"/>
        <v>91922</v>
      </c>
      <c r="H2854" s="1405">
        <v>23.48</v>
      </c>
      <c r="I2854" s="1405">
        <v>25.3</v>
      </c>
    </row>
    <row r="2855" spans="2:9" ht="30">
      <c r="B2855" s="1477">
        <v>93013</v>
      </c>
      <c r="C2855" s="740" t="s">
        <v>5457</v>
      </c>
      <c r="D2855" s="739" t="s">
        <v>22</v>
      </c>
      <c r="E2855" s="741">
        <f t="shared" si="88"/>
        <v>14.83</v>
      </c>
      <c r="F2855">
        <f t="shared" si="89"/>
        <v>93013</v>
      </c>
      <c r="H2855" s="1406">
        <v>13.71</v>
      </c>
      <c r="I2855" s="1406">
        <v>14.83</v>
      </c>
    </row>
    <row r="2856" spans="2:9" ht="30">
      <c r="B2856" s="677">
        <v>93014</v>
      </c>
      <c r="C2856" s="733" t="s">
        <v>5458</v>
      </c>
      <c r="D2856" s="677" t="s">
        <v>22</v>
      </c>
      <c r="E2856" s="738">
        <f t="shared" si="88"/>
        <v>18.22</v>
      </c>
      <c r="F2856">
        <f t="shared" si="89"/>
        <v>93014</v>
      </c>
      <c r="H2856" s="1405">
        <v>16.93</v>
      </c>
      <c r="I2856" s="1405">
        <v>18.22</v>
      </c>
    </row>
    <row r="2857" spans="2:9" ht="30">
      <c r="B2857" s="1477">
        <v>93015</v>
      </c>
      <c r="C2857" s="740" t="s">
        <v>5459</v>
      </c>
      <c r="D2857" s="739" t="s">
        <v>22</v>
      </c>
      <c r="E2857" s="741">
        <f t="shared" si="88"/>
        <v>27.63</v>
      </c>
      <c r="F2857">
        <f t="shared" si="89"/>
        <v>93015</v>
      </c>
      <c r="H2857" s="1406">
        <v>26.1</v>
      </c>
      <c r="I2857" s="1406">
        <v>27.63</v>
      </c>
    </row>
    <row r="2858" spans="2:9" ht="30">
      <c r="B2858" s="677">
        <v>93016</v>
      </c>
      <c r="C2858" s="733" t="s">
        <v>5460</v>
      </c>
      <c r="D2858" s="677" t="s">
        <v>22</v>
      </c>
      <c r="E2858" s="738">
        <f t="shared" si="88"/>
        <v>33.6</v>
      </c>
      <c r="F2858">
        <f t="shared" si="89"/>
        <v>93016</v>
      </c>
      <c r="H2858" s="1405">
        <v>31.89</v>
      </c>
      <c r="I2858" s="1405">
        <v>33.6</v>
      </c>
    </row>
    <row r="2859" spans="2:9" ht="30">
      <c r="B2859" s="1477">
        <v>93017</v>
      </c>
      <c r="C2859" s="740" t="s">
        <v>5461</v>
      </c>
      <c r="D2859" s="739" t="s">
        <v>22</v>
      </c>
      <c r="E2859" s="741">
        <f t="shared" si="88"/>
        <v>50.53</v>
      </c>
      <c r="F2859">
        <f t="shared" si="89"/>
        <v>93017</v>
      </c>
      <c r="H2859" s="1406">
        <v>48.41</v>
      </c>
      <c r="I2859" s="1406">
        <v>50.53</v>
      </c>
    </row>
    <row r="2860" spans="2:9" ht="30">
      <c r="B2860" s="677">
        <v>93018</v>
      </c>
      <c r="C2860" s="733" t="s">
        <v>5462</v>
      </c>
      <c r="D2860" s="677" t="s">
        <v>22</v>
      </c>
      <c r="E2860" s="738">
        <f t="shared" si="88"/>
        <v>22.64</v>
      </c>
      <c r="F2860">
        <f t="shared" si="89"/>
        <v>93018</v>
      </c>
      <c r="H2860" s="1405">
        <v>20.97</v>
      </c>
      <c r="I2860" s="1405">
        <v>22.64</v>
      </c>
    </row>
    <row r="2861" spans="2:9" ht="30">
      <c r="B2861" s="1477">
        <v>93020</v>
      </c>
      <c r="C2861" s="740" t="s">
        <v>5463</v>
      </c>
      <c r="D2861" s="739" t="s">
        <v>22</v>
      </c>
      <c r="E2861" s="741">
        <f t="shared" si="88"/>
        <v>29.03</v>
      </c>
      <c r="F2861">
        <f t="shared" si="89"/>
        <v>93020</v>
      </c>
      <c r="H2861" s="1406">
        <v>27.1</v>
      </c>
      <c r="I2861" s="1406">
        <v>29.03</v>
      </c>
    </row>
    <row r="2862" spans="2:9" ht="30">
      <c r="B2862" s="677">
        <v>93022</v>
      </c>
      <c r="C2862" s="733" t="s">
        <v>5464</v>
      </c>
      <c r="D2862" s="677" t="s">
        <v>22</v>
      </c>
      <c r="E2862" s="738">
        <f t="shared" si="88"/>
        <v>48.56</v>
      </c>
      <c r="F2862">
        <f t="shared" si="89"/>
        <v>93022</v>
      </c>
      <c r="H2862" s="1405">
        <v>46.26</v>
      </c>
      <c r="I2862" s="1405">
        <v>48.56</v>
      </c>
    </row>
    <row r="2863" spans="2:9" ht="30">
      <c r="B2863" s="1477">
        <v>93024</v>
      </c>
      <c r="C2863" s="740" t="s">
        <v>5465</v>
      </c>
      <c r="D2863" s="739" t="s">
        <v>22</v>
      </c>
      <c r="E2863" s="741">
        <f t="shared" si="88"/>
        <v>51.06</v>
      </c>
      <c r="F2863">
        <f t="shared" si="89"/>
        <v>93024</v>
      </c>
      <c r="H2863" s="1406">
        <v>48.51</v>
      </c>
      <c r="I2863" s="1406">
        <v>51.06</v>
      </c>
    </row>
    <row r="2864" spans="2:9" ht="30">
      <c r="B2864" s="677">
        <v>93026</v>
      </c>
      <c r="C2864" s="733" t="s">
        <v>5466</v>
      </c>
      <c r="D2864" s="677" t="s">
        <v>22</v>
      </c>
      <c r="E2864" s="738">
        <f t="shared" si="88"/>
        <v>83.54</v>
      </c>
      <c r="F2864">
        <f t="shared" si="89"/>
        <v>93026</v>
      </c>
      <c r="H2864" s="1405">
        <v>80.349999999999994</v>
      </c>
      <c r="I2864" s="1405">
        <v>83.54</v>
      </c>
    </row>
    <row r="2865" spans="2:9" ht="30">
      <c r="B2865" s="1477">
        <v>97559</v>
      </c>
      <c r="C2865" s="740" t="s">
        <v>7603</v>
      </c>
      <c r="D2865" s="739" t="s">
        <v>22</v>
      </c>
      <c r="E2865" s="741">
        <f t="shared" si="88"/>
        <v>12.8</v>
      </c>
      <c r="F2865">
        <f t="shared" si="89"/>
        <v>97559</v>
      </c>
      <c r="H2865" s="1406">
        <v>11.77</v>
      </c>
      <c r="I2865" s="1406">
        <v>12.8</v>
      </c>
    </row>
    <row r="2866" spans="2:9" ht="30">
      <c r="B2866" s="677">
        <v>97562</v>
      </c>
      <c r="C2866" s="733" t="s">
        <v>7604</v>
      </c>
      <c r="D2866" s="677" t="s">
        <v>22</v>
      </c>
      <c r="E2866" s="738">
        <f t="shared" si="88"/>
        <v>10.66</v>
      </c>
      <c r="F2866">
        <f t="shared" si="89"/>
        <v>97562</v>
      </c>
      <c r="H2866" s="1405">
        <v>9.85</v>
      </c>
      <c r="I2866" s="1405">
        <v>10.66</v>
      </c>
    </row>
    <row r="2867" spans="2:9" ht="30">
      <c r="B2867" s="1477">
        <v>97564</v>
      </c>
      <c r="C2867" s="740" t="s">
        <v>7605</v>
      </c>
      <c r="D2867" s="739" t="s">
        <v>22</v>
      </c>
      <c r="E2867" s="741">
        <f t="shared" si="88"/>
        <v>17.13</v>
      </c>
      <c r="F2867">
        <f t="shared" si="89"/>
        <v>97564</v>
      </c>
      <c r="H2867" s="1406">
        <v>15.66</v>
      </c>
      <c r="I2867" s="1406">
        <v>17.13</v>
      </c>
    </row>
    <row r="2868" spans="2:9" ht="30">
      <c r="B2868" s="677">
        <v>104395</v>
      </c>
      <c r="C2868" s="733" t="s">
        <v>6996</v>
      </c>
      <c r="D2868" s="677" t="s">
        <v>22</v>
      </c>
      <c r="E2868" s="738">
        <f t="shared" si="88"/>
        <v>21.36</v>
      </c>
      <c r="F2868">
        <f t="shared" si="89"/>
        <v>104395</v>
      </c>
      <c r="H2868" s="1405">
        <v>20.28</v>
      </c>
      <c r="I2868" s="1405">
        <v>21.36</v>
      </c>
    </row>
    <row r="2869" spans="2:9" ht="30">
      <c r="B2869" s="1477">
        <v>91924</v>
      </c>
      <c r="C2869" s="740" t="s">
        <v>7606</v>
      </c>
      <c r="D2869" s="739" t="s">
        <v>21</v>
      </c>
      <c r="E2869" s="741">
        <f t="shared" si="88"/>
        <v>2.77</v>
      </c>
      <c r="F2869">
        <f t="shared" si="89"/>
        <v>91924</v>
      </c>
      <c r="H2869" s="1406">
        <v>2.65</v>
      </c>
      <c r="I2869" s="1406">
        <v>2.77</v>
      </c>
    </row>
    <row r="2870" spans="2:9" ht="30">
      <c r="B2870" s="677">
        <v>91925</v>
      </c>
      <c r="C2870" s="733" t="s">
        <v>7607</v>
      </c>
      <c r="D2870" s="677" t="s">
        <v>21</v>
      </c>
      <c r="E2870" s="738">
        <f t="shared" si="88"/>
        <v>3.35</v>
      </c>
      <c r="F2870">
        <f t="shared" si="89"/>
        <v>91925</v>
      </c>
      <c r="H2870" s="1405">
        <v>3.23</v>
      </c>
      <c r="I2870" s="1405">
        <v>3.35</v>
      </c>
    </row>
    <row r="2871" spans="2:9" ht="30">
      <c r="B2871" s="1477">
        <v>91926</v>
      </c>
      <c r="C2871" s="740" t="s">
        <v>7608</v>
      </c>
      <c r="D2871" s="739" t="s">
        <v>21</v>
      </c>
      <c r="E2871" s="741">
        <f t="shared" si="88"/>
        <v>4.0199999999999996</v>
      </c>
      <c r="F2871">
        <f t="shared" si="89"/>
        <v>91926</v>
      </c>
      <c r="H2871" s="1406">
        <v>3.88</v>
      </c>
      <c r="I2871" s="1406">
        <v>4.0199999999999996</v>
      </c>
    </row>
    <row r="2872" spans="2:9" ht="30">
      <c r="B2872" s="677">
        <v>91927</v>
      </c>
      <c r="C2872" s="733" t="s">
        <v>7609</v>
      </c>
      <c r="D2872" s="677" t="s">
        <v>21</v>
      </c>
      <c r="E2872" s="738">
        <f t="shared" si="88"/>
        <v>4.51</v>
      </c>
      <c r="F2872">
        <f t="shared" si="89"/>
        <v>91927</v>
      </c>
      <c r="H2872" s="1405">
        <v>4.37</v>
      </c>
      <c r="I2872" s="1405">
        <v>4.51</v>
      </c>
    </row>
    <row r="2873" spans="2:9" ht="30">
      <c r="B2873" s="1477">
        <v>91928</v>
      </c>
      <c r="C2873" s="740" t="s">
        <v>7610</v>
      </c>
      <c r="D2873" s="739" t="s">
        <v>21</v>
      </c>
      <c r="E2873" s="741">
        <f t="shared" si="88"/>
        <v>6.21</v>
      </c>
      <c r="F2873">
        <f t="shared" si="89"/>
        <v>91928</v>
      </c>
      <c r="H2873" s="1406">
        <v>6.02</v>
      </c>
      <c r="I2873" s="1406">
        <v>6.21</v>
      </c>
    </row>
    <row r="2874" spans="2:9" ht="30">
      <c r="B2874" s="677">
        <v>91929</v>
      </c>
      <c r="C2874" s="733" t="s">
        <v>7611</v>
      </c>
      <c r="D2874" s="677" t="s">
        <v>21</v>
      </c>
      <c r="E2874" s="738">
        <f t="shared" si="88"/>
        <v>6.64</v>
      </c>
      <c r="F2874">
        <f t="shared" si="89"/>
        <v>91929</v>
      </c>
      <c r="H2874" s="1405">
        <v>6.45</v>
      </c>
      <c r="I2874" s="1405">
        <v>6.64</v>
      </c>
    </row>
    <row r="2875" spans="2:9" ht="30">
      <c r="B2875" s="1477">
        <v>91930</v>
      </c>
      <c r="C2875" s="740" t="s">
        <v>7612</v>
      </c>
      <c r="D2875" s="739" t="s">
        <v>21</v>
      </c>
      <c r="E2875" s="741">
        <f t="shared" si="88"/>
        <v>8.67</v>
      </c>
      <c r="F2875">
        <f t="shared" si="89"/>
        <v>91930</v>
      </c>
      <c r="H2875" s="1406">
        <v>8.41</v>
      </c>
      <c r="I2875" s="1406">
        <v>8.67</v>
      </c>
    </row>
    <row r="2876" spans="2:9" ht="30">
      <c r="B2876" s="677">
        <v>91931</v>
      </c>
      <c r="C2876" s="733" t="s">
        <v>7613</v>
      </c>
      <c r="D2876" s="677" t="s">
        <v>21</v>
      </c>
      <c r="E2876" s="738">
        <f t="shared" si="88"/>
        <v>9.36</v>
      </c>
      <c r="F2876">
        <f t="shared" si="89"/>
        <v>91931</v>
      </c>
      <c r="H2876" s="1405">
        <v>9.1</v>
      </c>
      <c r="I2876" s="1405">
        <v>9.36</v>
      </c>
    </row>
    <row r="2877" spans="2:9" ht="30">
      <c r="B2877" s="1477">
        <v>91932</v>
      </c>
      <c r="C2877" s="740" t="s">
        <v>7614</v>
      </c>
      <c r="D2877" s="739" t="s">
        <v>21</v>
      </c>
      <c r="E2877" s="741">
        <f t="shared" si="88"/>
        <v>15.5</v>
      </c>
      <c r="F2877">
        <f t="shared" si="89"/>
        <v>91932</v>
      </c>
      <c r="H2877" s="1406">
        <v>15.13</v>
      </c>
      <c r="I2877" s="1406">
        <v>15.5</v>
      </c>
    </row>
    <row r="2878" spans="2:9" ht="30">
      <c r="B2878" s="677">
        <v>91933</v>
      </c>
      <c r="C2878" s="733" t="s">
        <v>7615</v>
      </c>
      <c r="D2878" s="677" t="s">
        <v>21</v>
      </c>
      <c r="E2878" s="738">
        <f t="shared" si="88"/>
        <v>14.96</v>
      </c>
      <c r="F2878">
        <f t="shared" si="89"/>
        <v>91933</v>
      </c>
      <c r="H2878" s="1405">
        <v>14.59</v>
      </c>
      <c r="I2878" s="1405">
        <v>14.96</v>
      </c>
    </row>
    <row r="2879" spans="2:9" ht="30">
      <c r="B2879" s="1477">
        <v>91934</v>
      </c>
      <c r="C2879" s="740" t="s">
        <v>7616</v>
      </c>
      <c r="D2879" s="739" t="s">
        <v>21</v>
      </c>
      <c r="E2879" s="741">
        <f t="shared" si="88"/>
        <v>22.41</v>
      </c>
      <c r="F2879">
        <f t="shared" si="89"/>
        <v>91934</v>
      </c>
      <c r="H2879" s="1406">
        <v>21.84</v>
      </c>
      <c r="I2879" s="1406">
        <v>22.41</v>
      </c>
    </row>
    <row r="2880" spans="2:9" ht="30">
      <c r="B2880" s="677">
        <v>91935</v>
      </c>
      <c r="C2880" s="733" t="s">
        <v>7617</v>
      </c>
      <c r="D2880" s="677" t="s">
        <v>21</v>
      </c>
      <c r="E2880" s="738">
        <f t="shared" si="88"/>
        <v>23.47</v>
      </c>
      <c r="F2880">
        <f t="shared" si="89"/>
        <v>91935</v>
      </c>
      <c r="H2880" s="1405">
        <v>22.9</v>
      </c>
      <c r="I2880" s="1405">
        <v>23.47</v>
      </c>
    </row>
    <row r="2881" spans="2:9" ht="30">
      <c r="B2881" s="1477">
        <v>92979</v>
      </c>
      <c r="C2881" s="740" t="s">
        <v>1347</v>
      </c>
      <c r="D2881" s="739" t="s">
        <v>21</v>
      </c>
      <c r="E2881" s="741">
        <f t="shared" si="88"/>
        <v>10.199999999999999</v>
      </c>
      <c r="F2881">
        <f t="shared" si="89"/>
        <v>92979</v>
      </c>
      <c r="H2881" s="1406">
        <v>10.15</v>
      </c>
      <c r="I2881" s="1406">
        <v>10.199999999999999</v>
      </c>
    </row>
    <row r="2882" spans="2:9" ht="30">
      <c r="B2882" s="677">
        <v>92980</v>
      </c>
      <c r="C2882" s="733" t="s">
        <v>1348</v>
      </c>
      <c r="D2882" s="677" t="s">
        <v>21</v>
      </c>
      <c r="E2882" s="738">
        <f t="shared" si="88"/>
        <v>9.75</v>
      </c>
      <c r="F2882">
        <f t="shared" si="89"/>
        <v>92980</v>
      </c>
      <c r="H2882" s="1405">
        <v>9.6999999999999993</v>
      </c>
      <c r="I2882" s="1405">
        <v>9.75</v>
      </c>
    </row>
    <row r="2883" spans="2:9" ht="30">
      <c r="B2883" s="1477">
        <v>92981</v>
      </c>
      <c r="C2883" s="740" t="s">
        <v>1349</v>
      </c>
      <c r="D2883" s="739" t="s">
        <v>21</v>
      </c>
      <c r="E2883" s="741">
        <f t="shared" ref="E2883:E2946" si="90">IF($K$2=$H$1,H2883,I2883)</f>
        <v>14.56</v>
      </c>
      <c r="F2883">
        <f t="shared" ref="F2883:F2946" si="91">IF(LEN($B2883)=7,CONCATENATE(MID($B2883,1,6),"00",RIGHT($B2883,1)),IF(LEN($B2883)=8,CONCATENATE(MID($B2883,1,6),"0",RIGHT($B2883,2)),$B2883))</f>
        <v>92981</v>
      </c>
      <c r="H2883" s="1406">
        <v>14.5</v>
      </c>
      <c r="I2883" s="1406">
        <v>14.56</v>
      </c>
    </row>
    <row r="2884" spans="2:9" ht="30">
      <c r="B2884" s="677">
        <v>92982</v>
      </c>
      <c r="C2884" s="733" t="s">
        <v>1350</v>
      </c>
      <c r="D2884" s="677" t="s">
        <v>21</v>
      </c>
      <c r="E2884" s="738">
        <f t="shared" si="90"/>
        <v>15.43</v>
      </c>
      <c r="F2884">
        <f t="shared" si="91"/>
        <v>92982</v>
      </c>
      <c r="H2884" s="1405">
        <v>15.37</v>
      </c>
      <c r="I2884" s="1405">
        <v>15.43</v>
      </c>
    </row>
    <row r="2885" spans="2:9" ht="30">
      <c r="B2885" s="1477">
        <v>92984</v>
      </c>
      <c r="C2885" s="740" t="s">
        <v>5467</v>
      </c>
      <c r="D2885" s="739" t="s">
        <v>21</v>
      </c>
      <c r="E2885" s="741">
        <f t="shared" si="90"/>
        <v>25.63</v>
      </c>
      <c r="F2885">
        <f t="shared" si="91"/>
        <v>92984</v>
      </c>
      <c r="H2885" s="1406">
        <v>25.33</v>
      </c>
      <c r="I2885" s="1406">
        <v>25.63</v>
      </c>
    </row>
    <row r="2886" spans="2:9" ht="30">
      <c r="B2886" s="677">
        <v>92986</v>
      </c>
      <c r="C2886" s="733" t="s">
        <v>5468</v>
      </c>
      <c r="D2886" s="677" t="s">
        <v>21</v>
      </c>
      <c r="E2886" s="738">
        <f t="shared" si="90"/>
        <v>35.42</v>
      </c>
      <c r="F2886">
        <f t="shared" si="91"/>
        <v>92986</v>
      </c>
      <c r="H2886" s="1405">
        <v>35.07</v>
      </c>
      <c r="I2886" s="1405">
        <v>35.42</v>
      </c>
    </row>
    <row r="2887" spans="2:9" ht="30">
      <c r="B2887" s="1477">
        <v>92988</v>
      </c>
      <c r="C2887" s="740" t="s">
        <v>5469</v>
      </c>
      <c r="D2887" s="739" t="s">
        <v>21</v>
      </c>
      <c r="E2887" s="741">
        <f t="shared" si="90"/>
        <v>51.39</v>
      </c>
      <c r="F2887">
        <f t="shared" si="91"/>
        <v>92988</v>
      </c>
      <c r="H2887" s="1406">
        <v>50.98</v>
      </c>
      <c r="I2887" s="1406">
        <v>51.39</v>
      </c>
    </row>
    <row r="2888" spans="2:9" ht="30">
      <c r="B2888" s="677">
        <v>92990</v>
      </c>
      <c r="C2888" s="733" t="s">
        <v>5470</v>
      </c>
      <c r="D2888" s="677" t="s">
        <v>21</v>
      </c>
      <c r="E2888" s="738">
        <f t="shared" si="90"/>
        <v>71.13</v>
      </c>
      <c r="F2888">
        <f t="shared" si="91"/>
        <v>92990</v>
      </c>
      <c r="H2888" s="1405">
        <v>70.63</v>
      </c>
      <c r="I2888" s="1405">
        <v>71.13</v>
      </c>
    </row>
    <row r="2889" spans="2:9" ht="30">
      <c r="B2889" s="1477">
        <v>92992</v>
      </c>
      <c r="C2889" s="740" t="s">
        <v>5471</v>
      </c>
      <c r="D2889" s="739" t="s">
        <v>21</v>
      </c>
      <c r="E2889" s="741">
        <f t="shared" si="90"/>
        <v>91.96</v>
      </c>
      <c r="F2889">
        <f t="shared" si="91"/>
        <v>92992</v>
      </c>
      <c r="H2889" s="1406">
        <v>91.35</v>
      </c>
      <c r="I2889" s="1406">
        <v>91.96</v>
      </c>
    </row>
    <row r="2890" spans="2:9" ht="30">
      <c r="B2890" s="677">
        <v>92994</v>
      </c>
      <c r="C2890" s="733" t="s">
        <v>5472</v>
      </c>
      <c r="D2890" s="677" t="s">
        <v>21</v>
      </c>
      <c r="E2890" s="738">
        <f t="shared" si="90"/>
        <v>119.5</v>
      </c>
      <c r="F2890">
        <f t="shared" si="91"/>
        <v>92994</v>
      </c>
      <c r="H2890" s="1405">
        <v>118.78</v>
      </c>
      <c r="I2890" s="1405">
        <v>119.5</v>
      </c>
    </row>
    <row r="2891" spans="2:9" ht="30">
      <c r="B2891" s="1477">
        <v>92996</v>
      </c>
      <c r="C2891" s="740" t="s">
        <v>5473</v>
      </c>
      <c r="D2891" s="739" t="s">
        <v>21</v>
      </c>
      <c r="E2891" s="741">
        <f t="shared" si="90"/>
        <v>144.56</v>
      </c>
      <c r="F2891">
        <f t="shared" si="91"/>
        <v>92996</v>
      </c>
      <c r="H2891" s="1406">
        <v>143.71</v>
      </c>
      <c r="I2891" s="1406">
        <v>144.56</v>
      </c>
    </row>
    <row r="2892" spans="2:9" ht="30">
      <c r="B2892" s="677">
        <v>92998</v>
      </c>
      <c r="C2892" s="733" t="s">
        <v>5474</v>
      </c>
      <c r="D2892" s="677" t="s">
        <v>21</v>
      </c>
      <c r="E2892" s="738">
        <f t="shared" si="90"/>
        <v>177.17</v>
      </c>
      <c r="F2892">
        <f t="shared" si="91"/>
        <v>92998</v>
      </c>
      <c r="H2892" s="1405">
        <v>176.16</v>
      </c>
      <c r="I2892" s="1405">
        <v>177.17</v>
      </c>
    </row>
    <row r="2893" spans="2:9" ht="30">
      <c r="B2893" s="1477">
        <v>93000</v>
      </c>
      <c r="C2893" s="740" t="s">
        <v>5475</v>
      </c>
      <c r="D2893" s="739" t="s">
        <v>21</v>
      </c>
      <c r="E2893" s="741">
        <f t="shared" si="90"/>
        <v>234.55</v>
      </c>
      <c r="F2893">
        <f t="shared" si="91"/>
        <v>93000</v>
      </c>
      <c r="H2893" s="1406">
        <v>233.29</v>
      </c>
      <c r="I2893" s="1406">
        <v>234.55</v>
      </c>
    </row>
    <row r="2894" spans="2:9" ht="30">
      <c r="B2894" s="677">
        <v>93002</v>
      </c>
      <c r="C2894" s="733" t="s">
        <v>5476</v>
      </c>
      <c r="D2894" s="677" t="s">
        <v>21</v>
      </c>
      <c r="E2894" s="738">
        <f t="shared" si="90"/>
        <v>303.27</v>
      </c>
      <c r="F2894">
        <f t="shared" si="91"/>
        <v>93002</v>
      </c>
      <c r="H2894" s="1405">
        <v>301.75</v>
      </c>
      <c r="I2894" s="1405">
        <v>303.27</v>
      </c>
    </row>
    <row r="2895" spans="2:9" ht="30">
      <c r="B2895" s="1477">
        <v>101884</v>
      </c>
      <c r="C2895" s="740" t="s">
        <v>3930</v>
      </c>
      <c r="D2895" s="739" t="s">
        <v>21</v>
      </c>
      <c r="E2895" s="741">
        <f t="shared" si="90"/>
        <v>9.9499999999999993</v>
      </c>
      <c r="F2895">
        <f t="shared" si="91"/>
        <v>101884</v>
      </c>
      <c r="H2895" s="1406">
        <v>9.93</v>
      </c>
      <c r="I2895" s="1406">
        <v>9.9499999999999993</v>
      </c>
    </row>
    <row r="2896" spans="2:9" ht="30">
      <c r="B2896" s="677">
        <v>101885</v>
      </c>
      <c r="C2896" s="733" t="s">
        <v>3931</v>
      </c>
      <c r="D2896" s="677" t="s">
        <v>21</v>
      </c>
      <c r="E2896" s="738">
        <f t="shared" si="90"/>
        <v>9.5</v>
      </c>
      <c r="F2896">
        <f t="shared" si="91"/>
        <v>101885</v>
      </c>
      <c r="H2896" s="1405">
        <v>9.48</v>
      </c>
      <c r="I2896" s="1405">
        <v>9.5</v>
      </c>
    </row>
    <row r="2897" spans="2:9" ht="30">
      <c r="B2897" s="1477">
        <v>101886</v>
      </c>
      <c r="C2897" s="740" t="s">
        <v>3932</v>
      </c>
      <c r="D2897" s="739" t="s">
        <v>21</v>
      </c>
      <c r="E2897" s="741">
        <f t="shared" si="90"/>
        <v>14.27</v>
      </c>
      <c r="F2897">
        <f t="shared" si="91"/>
        <v>101886</v>
      </c>
      <c r="H2897" s="1406">
        <v>14.24</v>
      </c>
      <c r="I2897" s="1406">
        <v>14.27</v>
      </c>
    </row>
    <row r="2898" spans="2:9" ht="30">
      <c r="B2898" s="677">
        <v>101887</v>
      </c>
      <c r="C2898" s="733" t="s">
        <v>3933</v>
      </c>
      <c r="D2898" s="677" t="s">
        <v>21</v>
      </c>
      <c r="E2898" s="738">
        <f t="shared" si="90"/>
        <v>15.14</v>
      </c>
      <c r="F2898">
        <f t="shared" si="91"/>
        <v>101887</v>
      </c>
      <c r="H2898" s="1405">
        <v>15.11</v>
      </c>
      <c r="I2898" s="1405">
        <v>15.14</v>
      </c>
    </row>
    <row r="2899" spans="2:9" ht="30">
      <c r="B2899" s="1477">
        <v>101888</v>
      </c>
      <c r="C2899" s="740" t="s">
        <v>3934</v>
      </c>
      <c r="D2899" s="739" t="s">
        <v>21</v>
      </c>
      <c r="E2899" s="741">
        <f t="shared" si="90"/>
        <v>22.38</v>
      </c>
      <c r="F2899">
        <f t="shared" si="91"/>
        <v>101888</v>
      </c>
      <c r="H2899" s="1406">
        <v>22.32</v>
      </c>
      <c r="I2899" s="1406">
        <v>22.38</v>
      </c>
    </row>
    <row r="2900" spans="2:9" ht="30">
      <c r="B2900" s="677">
        <v>101889</v>
      </c>
      <c r="C2900" s="733" t="s">
        <v>3935</v>
      </c>
      <c r="D2900" s="677" t="s">
        <v>21</v>
      </c>
      <c r="E2900" s="738">
        <f t="shared" si="90"/>
        <v>23.52</v>
      </c>
      <c r="F2900">
        <f t="shared" si="91"/>
        <v>101889</v>
      </c>
      <c r="H2900" s="1405">
        <v>23.46</v>
      </c>
      <c r="I2900" s="1405">
        <v>23.52</v>
      </c>
    </row>
    <row r="2901" spans="2:9">
      <c r="B2901" s="1477">
        <v>91936</v>
      </c>
      <c r="C2901" s="740" t="s">
        <v>7618</v>
      </c>
      <c r="D2901" s="739" t="s">
        <v>22</v>
      </c>
      <c r="E2901" s="741">
        <f t="shared" si="90"/>
        <v>17.57</v>
      </c>
      <c r="F2901">
        <f t="shared" si="91"/>
        <v>91936</v>
      </c>
      <c r="H2901" s="1406">
        <v>16.47</v>
      </c>
      <c r="I2901" s="1406">
        <v>17.57</v>
      </c>
    </row>
    <row r="2902" spans="2:9">
      <c r="B2902" s="677">
        <v>91937</v>
      </c>
      <c r="C2902" s="733" t="s">
        <v>7619</v>
      </c>
      <c r="D2902" s="677" t="s">
        <v>22</v>
      </c>
      <c r="E2902" s="738">
        <f t="shared" si="90"/>
        <v>15.48</v>
      </c>
      <c r="F2902">
        <f t="shared" si="91"/>
        <v>91937</v>
      </c>
      <c r="H2902" s="1405">
        <v>14.38</v>
      </c>
      <c r="I2902" s="1405">
        <v>15.48</v>
      </c>
    </row>
    <row r="2903" spans="2:9">
      <c r="B2903" s="1477">
        <v>91939</v>
      </c>
      <c r="C2903" s="740" t="s">
        <v>7620</v>
      </c>
      <c r="D2903" s="739" t="s">
        <v>22</v>
      </c>
      <c r="E2903" s="741">
        <f t="shared" si="90"/>
        <v>30.01</v>
      </c>
      <c r="F2903">
        <f t="shared" si="91"/>
        <v>91939</v>
      </c>
      <c r="H2903" s="1406">
        <v>27.26</v>
      </c>
      <c r="I2903" s="1406">
        <v>30.01</v>
      </c>
    </row>
    <row r="2904" spans="2:9">
      <c r="B2904" s="677">
        <v>91940</v>
      </c>
      <c r="C2904" s="733" t="s">
        <v>7621</v>
      </c>
      <c r="D2904" s="677" t="s">
        <v>22</v>
      </c>
      <c r="E2904" s="738">
        <f t="shared" si="90"/>
        <v>17.420000000000002</v>
      </c>
      <c r="F2904">
        <f t="shared" si="91"/>
        <v>91940</v>
      </c>
      <c r="H2904" s="1405">
        <v>15.95</v>
      </c>
      <c r="I2904" s="1405">
        <v>17.420000000000002</v>
      </c>
    </row>
    <row r="2905" spans="2:9">
      <c r="B2905" s="1477">
        <v>91941</v>
      </c>
      <c r="C2905" s="740" t="s">
        <v>7622</v>
      </c>
      <c r="D2905" s="739" t="s">
        <v>22</v>
      </c>
      <c r="E2905" s="741">
        <f t="shared" si="90"/>
        <v>11.24</v>
      </c>
      <c r="F2905">
        <f t="shared" si="91"/>
        <v>91941</v>
      </c>
      <c r="H2905" s="1406">
        <v>10.41</v>
      </c>
      <c r="I2905" s="1406">
        <v>11.24</v>
      </c>
    </row>
    <row r="2906" spans="2:9">
      <c r="B2906" s="677">
        <v>91942</v>
      </c>
      <c r="C2906" s="733" t="s">
        <v>7623</v>
      </c>
      <c r="D2906" s="677" t="s">
        <v>22</v>
      </c>
      <c r="E2906" s="738">
        <f t="shared" si="90"/>
        <v>33.75</v>
      </c>
      <c r="F2906">
        <f t="shared" si="91"/>
        <v>91942</v>
      </c>
      <c r="H2906" s="1405">
        <v>30.89</v>
      </c>
      <c r="I2906" s="1405">
        <v>33.75</v>
      </c>
    </row>
    <row r="2907" spans="2:9">
      <c r="B2907" s="1477">
        <v>91943</v>
      </c>
      <c r="C2907" s="740" t="s">
        <v>7624</v>
      </c>
      <c r="D2907" s="739" t="s">
        <v>22</v>
      </c>
      <c r="E2907" s="741">
        <f t="shared" si="90"/>
        <v>20.71</v>
      </c>
      <c r="F2907">
        <f t="shared" si="91"/>
        <v>91943</v>
      </c>
      <c r="H2907" s="1406">
        <v>19.190000000000001</v>
      </c>
      <c r="I2907" s="1406">
        <v>20.71</v>
      </c>
    </row>
    <row r="2908" spans="2:9">
      <c r="B2908" s="677">
        <v>91944</v>
      </c>
      <c r="C2908" s="733" t="s">
        <v>7625</v>
      </c>
      <c r="D2908" s="677" t="s">
        <v>22</v>
      </c>
      <c r="E2908" s="738">
        <f t="shared" si="90"/>
        <v>14.29</v>
      </c>
      <c r="F2908">
        <f t="shared" si="91"/>
        <v>91944</v>
      </c>
      <c r="H2908" s="1405">
        <v>13.43</v>
      </c>
      <c r="I2908" s="1405">
        <v>14.29</v>
      </c>
    </row>
    <row r="2909" spans="2:9">
      <c r="B2909" s="1477">
        <v>92865</v>
      </c>
      <c r="C2909" s="740" t="s">
        <v>7626</v>
      </c>
      <c r="D2909" s="739" t="s">
        <v>22</v>
      </c>
      <c r="E2909" s="741">
        <f t="shared" si="90"/>
        <v>14.72</v>
      </c>
      <c r="F2909">
        <f t="shared" si="91"/>
        <v>92865</v>
      </c>
      <c r="H2909" s="1406">
        <v>13.62</v>
      </c>
      <c r="I2909" s="1406">
        <v>14.72</v>
      </c>
    </row>
    <row r="2910" spans="2:9">
      <c r="B2910" s="677">
        <v>92866</v>
      </c>
      <c r="C2910" s="733" t="s">
        <v>7627</v>
      </c>
      <c r="D2910" s="677" t="s">
        <v>22</v>
      </c>
      <c r="E2910" s="738">
        <f t="shared" si="90"/>
        <v>12.59</v>
      </c>
      <c r="F2910">
        <f t="shared" si="91"/>
        <v>92866</v>
      </c>
      <c r="H2910" s="1405">
        <v>11.49</v>
      </c>
      <c r="I2910" s="1405">
        <v>12.59</v>
      </c>
    </row>
    <row r="2911" spans="2:9">
      <c r="B2911" s="1477">
        <v>92867</v>
      </c>
      <c r="C2911" s="740" t="s">
        <v>7628</v>
      </c>
      <c r="D2911" s="739" t="s">
        <v>22</v>
      </c>
      <c r="E2911" s="741">
        <f t="shared" si="90"/>
        <v>29.25</v>
      </c>
      <c r="F2911">
        <f t="shared" si="91"/>
        <v>92867</v>
      </c>
      <c r="H2911" s="1406">
        <v>26.5</v>
      </c>
      <c r="I2911" s="1406">
        <v>29.25</v>
      </c>
    </row>
    <row r="2912" spans="2:9" ht="30">
      <c r="B2912" s="677">
        <v>92868</v>
      </c>
      <c r="C2912" s="733" t="s">
        <v>7629</v>
      </c>
      <c r="D2912" s="677" t="s">
        <v>22</v>
      </c>
      <c r="E2912" s="738">
        <f t="shared" si="90"/>
        <v>16.66</v>
      </c>
      <c r="F2912">
        <f t="shared" si="91"/>
        <v>92868</v>
      </c>
      <c r="H2912" s="1405">
        <v>15.19</v>
      </c>
      <c r="I2912" s="1405">
        <v>16.66</v>
      </c>
    </row>
    <row r="2913" spans="2:9" ht="30">
      <c r="B2913" s="1477">
        <v>92869</v>
      </c>
      <c r="C2913" s="740" t="s">
        <v>7630</v>
      </c>
      <c r="D2913" s="739" t="s">
        <v>22</v>
      </c>
      <c r="E2913" s="741">
        <f t="shared" si="90"/>
        <v>10.48</v>
      </c>
      <c r="F2913">
        <f t="shared" si="91"/>
        <v>92869</v>
      </c>
      <c r="H2913" s="1406">
        <v>9.65</v>
      </c>
      <c r="I2913" s="1406">
        <v>10.48</v>
      </c>
    </row>
    <row r="2914" spans="2:9">
      <c r="B2914" s="677">
        <v>92870</v>
      </c>
      <c r="C2914" s="733" t="s">
        <v>7631</v>
      </c>
      <c r="D2914" s="677" t="s">
        <v>22</v>
      </c>
      <c r="E2914" s="738">
        <f t="shared" si="90"/>
        <v>32.47</v>
      </c>
      <c r="F2914">
        <f t="shared" si="91"/>
        <v>92870</v>
      </c>
      <c r="H2914" s="1405">
        <v>29.61</v>
      </c>
      <c r="I2914" s="1405">
        <v>32.47</v>
      </c>
    </row>
    <row r="2915" spans="2:9" ht="30">
      <c r="B2915" s="1477">
        <v>92871</v>
      </c>
      <c r="C2915" s="740" t="s">
        <v>7632</v>
      </c>
      <c r="D2915" s="739" t="s">
        <v>22</v>
      </c>
      <c r="E2915" s="741">
        <f t="shared" si="90"/>
        <v>19.43</v>
      </c>
      <c r="F2915">
        <f t="shared" si="91"/>
        <v>92871</v>
      </c>
      <c r="H2915" s="1406">
        <v>17.91</v>
      </c>
      <c r="I2915" s="1406">
        <v>19.43</v>
      </c>
    </row>
    <row r="2916" spans="2:9" ht="30">
      <c r="B2916" s="677">
        <v>92872</v>
      </c>
      <c r="C2916" s="733" t="s">
        <v>7633</v>
      </c>
      <c r="D2916" s="677" t="s">
        <v>22</v>
      </c>
      <c r="E2916" s="738">
        <f t="shared" si="90"/>
        <v>13.01</v>
      </c>
      <c r="F2916">
        <f t="shared" si="91"/>
        <v>92872</v>
      </c>
      <c r="H2916" s="1405">
        <v>12.15</v>
      </c>
      <c r="I2916" s="1405">
        <v>13.01</v>
      </c>
    </row>
    <row r="2917" spans="2:9" ht="30">
      <c r="B2917" s="1477">
        <v>95777</v>
      </c>
      <c r="C2917" s="740" t="s">
        <v>6997</v>
      </c>
      <c r="D2917" s="739" t="s">
        <v>22</v>
      </c>
      <c r="E2917" s="741">
        <f t="shared" si="90"/>
        <v>22.95</v>
      </c>
      <c r="F2917">
        <f t="shared" si="91"/>
        <v>95777</v>
      </c>
      <c r="H2917" s="1406">
        <v>21.81</v>
      </c>
      <c r="I2917" s="1406">
        <v>22.95</v>
      </c>
    </row>
    <row r="2918" spans="2:9" ht="30">
      <c r="B2918" s="677">
        <v>95778</v>
      </c>
      <c r="C2918" s="733" t="s">
        <v>6998</v>
      </c>
      <c r="D2918" s="677" t="s">
        <v>22</v>
      </c>
      <c r="E2918" s="738">
        <f t="shared" si="90"/>
        <v>25.7</v>
      </c>
      <c r="F2918">
        <f t="shared" si="91"/>
        <v>95778</v>
      </c>
      <c r="H2918" s="1405">
        <v>24.35</v>
      </c>
      <c r="I2918" s="1405">
        <v>25.7</v>
      </c>
    </row>
    <row r="2919" spans="2:9" ht="30">
      <c r="B2919" s="1477">
        <v>95779</v>
      </c>
      <c r="C2919" s="740" t="s">
        <v>6999</v>
      </c>
      <c r="D2919" s="739" t="s">
        <v>22</v>
      </c>
      <c r="E2919" s="741">
        <f t="shared" si="90"/>
        <v>21.34</v>
      </c>
      <c r="F2919">
        <f t="shared" si="91"/>
        <v>95779</v>
      </c>
      <c r="H2919" s="1406">
        <v>20.2</v>
      </c>
      <c r="I2919" s="1406">
        <v>21.34</v>
      </c>
    </row>
    <row r="2920" spans="2:9" ht="30">
      <c r="B2920" s="677">
        <v>95780</v>
      </c>
      <c r="C2920" s="733" t="s">
        <v>7000</v>
      </c>
      <c r="D2920" s="677" t="s">
        <v>22</v>
      </c>
      <c r="E2920" s="738">
        <f t="shared" si="90"/>
        <v>27.35</v>
      </c>
      <c r="F2920">
        <f t="shared" si="91"/>
        <v>95780</v>
      </c>
      <c r="H2920" s="1405">
        <v>26.08</v>
      </c>
      <c r="I2920" s="1405">
        <v>27.35</v>
      </c>
    </row>
    <row r="2921" spans="2:9" ht="30">
      <c r="B2921" s="1477">
        <v>95781</v>
      </c>
      <c r="C2921" s="740" t="s">
        <v>7001</v>
      </c>
      <c r="D2921" s="739" t="s">
        <v>22</v>
      </c>
      <c r="E2921" s="741">
        <f t="shared" si="90"/>
        <v>31.15</v>
      </c>
      <c r="F2921">
        <f t="shared" si="91"/>
        <v>95781</v>
      </c>
      <c r="H2921" s="1406">
        <v>29.55</v>
      </c>
      <c r="I2921" s="1406">
        <v>31.15</v>
      </c>
    </row>
    <row r="2922" spans="2:9" ht="30">
      <c r="B2922" s="677">
        <v>95782</v>
      </c>
      <c r="C2922" s="733" t="s">
        <v>7002</v>
      </c>
      <c r="D2922" s="677" t="s">
        <v>22</v>
      </c>
      <c r="E2922" s="738">
        <f t="shared" si="90"/>
        <v>29.18</v>
      </c>
      <c r="F2922">
        <f t="shared" si="91"/>
        <v>95782</v>
      </c>
      <c r="H2922" s="1405">
        <v>27.91</v>
      </c>
      <c r="I2922" s="1405">
        <v>29.18</v>
      </c>
    </row>
    <row r="2923" spans="2:9" ht="30">
      <c r="B2923" s="1477">
        <v>95785</v>
      </c>
      <c r="C2923" s="740" t="s">
        <v>7003</v>
      </c>
      <c r="D2923" s="739" t="s">
        <v>22</v>
      </c>
      <c r="E2923" s="741">
        <f t="shared" si="90"/>
        <v>34.590000000000003</v>
      </c>
      <c r="F2923">
        <f t="shared" si="91"/>
        <v>95785</v>
      </c>
      <c r="H2923" s="1406">
        <v>33.15</v>
      </c>
      <c r="I2923" s="1406">
        <v>34.590000000000003</v>
      </c>
    </row>
    <row r="2924" spans="2:9" ht="30">
      <c r="B2924" s="677">
        <v>95787</v>
      </c>
      <c r="C2924" s="733" t="s">
        <v>7004</v>
      </c>
      <c r="D2924" s="677" t="s">
        <v>22</v>
      </c>
      <c r="E2924" s="738">
        <f t="shared" si="90"/>
        <v>25.81</v>
      </c>
      <c r="F2924">
        <f t="shared" si="91"/>
        <v>95787</v>
      </c>
      <c r="H2924" s="1405">
        <v>24.24</v>
      </c>
      <c r="I2924" s="1405">
        <v>25.81</v>
      </c>
    </row>
    <row r="2925" spans="2:9" ht="30">
      <c r="B2925" s="1477">
        <v>95789</v>
      </c>
      <c r="C2925" s="740" t="s">
        <v>7005</v>
      </c>
      <c r="D2925" s="739" t="s">
        <v>22</v>
      </c>
      <c r="E2925" s="741">
        <f t="shared" si="90"/>
        <v>35.22</v>
      </c>
      <c r="F2925">
        <f t="shared" si="91"/>
        <v>95789</v>
      </c>
      <c r="H2925" s="1406">
        <v>33.270000000000003</v>
      </c>
      <c r="I2925" s="1406">
        <v>35.22</v>
      </c>
    </row>
    <row r="2926" spans="2:9" ht="30">
      <c r="B2926" s="677">
        <v>95791</v>
      </c>
      <c r="C2926" s="733" t="s">
        <v>7006</v>
      </c>
      <c r="D2926" s="677" t="s">
        <v>22</v>
      </c>
      <c r="E2926" s="738">
        <f t="shared" si="90"/>
        <v>49</v>
      </c>
      <c r="F2926">
        <f t="shared" si="91"/>
        <v>95791</v>
      </c>
      <c r="H2926" s="1405">
        <v>46.53</v>
      </c>
      <c r="I2926" s="1405">
        <v>49</v>
      </c>
    </row>
    <row r="2927" spans="2:9" ht="30">
      <c r="B2927" s="1477">
        <v>95795</v>
      </c>
      <c r="C2927" s="740" t="s">
        <v>7007</v>
      </c>
      <c r="D2927" s="739" t="s">
        <v>22</v>
      </c>
      <c r="E2927" s="741">
        <f t="shared" si="90"/>
        <v>29.44</v>
      </c>
      <c r="F2927">
        <f t="shared" si="91"/>
        <v>95795</v>
      </c>
      <c r="H2927" s="1406">
        <v>27.66</v>
      </c>
      <c r="I2927" s="1406">
        <v>29.44</v>
      </c>
    </row>
    <row r="2928" spans="2:9" ht="30">
      <c r="B2928" s="677">
        <v>95796</v>
      </c>
      <c r="C2928" s="733" t="s">
        <v>7008</v>
      </c>
      <c r="D2928" s="677" t="s">
        <v>22</v>
      </c>
      <c r="E2928" s="738">
        <f t="shared" si="90"/>
        <v>41.39</v>
      </c>
      <c r="F2928">
        <f t="shared" si="91"/>
        <v>95796</v>
      </c>
      <c r="H2928" s="1405">
        <v>39.11</v>
      </c>
      <c r="I2928" s="1405">
        <v>41.39</v>
      </c>
    </row>
    <row r="2929" spans="2:9" ht="30">
      <c r="B2929" s="1477">
        <v>95797</v>
      </c>
      <c r="C2929" s="740" t="s">
        <v>7009</v>
      </c>
      <c r="D2929" s="739" t="s">
        <v>22</v>
      </c>
      <c r="E2929" s="741">
        <f t="shared" si="90"/>
        <v>57.27</v>
      </c>
      <c r="F2929">
        <f t="shared" si="91"/>
        <v>95797</v>
      </c>
      <c r="H2929" s="1406">
        <v>54.3</v>
      </c>
      <c r="I2929" s="1406">
        <v>57.27</v>
      </c>
    </row>
    <row r="2930" spans="2:9" ht="30">
      <c r="B2930" s="677">
        <v>95801</v>
      </c>
      <c r="C2930" s="733" t="s">
        <v>7010</v>
      </c>
      <c r="D2930" s="677" t="s">
        <v>22</v>
      </c>
      <c r="E2930" s="738">
        <f t="shared" si="90"/>
        <v>35.24</v>
      </c>
      <c r="F2930">
        <f t="shared" si="91"/>
        <v>95801</v>
      </c>
      <c r="H2930" s="1405">
        <v>33.24</v>
      </c>
      <c r="I2930" s="1405">
        <v>35.24</v>
      </c>
    </row>
    <row r="2931" spans="2:9" ht="30">
      <c r="B2931" s="1477">
        <v>95802</v>
      </c>
      <c r="C2931" s="740" t="s">
        <v>7011</v>
      </c>
      <c r="D2931" s="739" t="s">
        <v>22</v>
      </c>
      <c r="E2931" s="741">
        <f t="shared" si="90"/>
        <v>43.87</v>
      </c>
      <c r="F2931">
        <f t="shared" si="91"/>
        <v>95802</v>
      </c>
      <c r="H2931" s="1406">
        <v>41.26</v>
      </c>
      <c r="I2931" s="1406">
        <v>43.87</v>
      </c>
    </row>
    <row r="2932" spans="2:9" ht="30">
      <c r="B2932" s="677">
        <v>95803</v>
      </c>
      <c r="C2932" s="733" t="s">
        <v>7012</v>
      </c>
      <c r="D2932" s="677" t="s">
        <v>22</v>
      </c>
      <c r="E2932" s="738">
        <f t="shared" si="90"/>
        <v>63.86</v>
      </c>
      <c r="F2932">
        <f t="shared" si="91"/>
        <v>95803</v>
      </c>
      <c r="H2932" s="1405">
        <v>60.38</v>
      </c>
      <c r="I2932" s="1405">
        <v>63.86</v>
      </c>
    </row>
    <row r="2933" spans="2:9" ht="30">
      <c r="B2933" s="1477">
        <v>95804</v>
      </c>
      <c r="C2933" s="740" t="s">
        <v>7013</v>
      </c>
      <c r="D2933" s="739" t="s">
        <v>22</v>
      </c>
      <c r="E2933" s="741">
        <f t="shared" si="90"/>
        <v>21.86</v>
      </c>
      <c r="F2933">
        <f t="shared" si="91"/>
        <v>95804</v>
      </c>
      <c r="H2933" s="1406">
        <v>20.78</v>
      </c>
      <c r="I2933" s="1406">
        <v>21.86</v>
      </c>
    </row>
    <row r="2934" spans="2:9" ht="30">
      <c r="B2934" s="677">
        <v>95805</v>
      </c>
      <c r="C2934" s="733" t="s">
        <v>7014</v>
      </c>
      <c r="D2934" s="677" t="s">
        <v>22</v>
      </c>
      <c r="E2934" s="738">
        <f t="shared" si="90"/>
        <v>23.07</v>
      </c>
      <c r="F2934">
        <f t="shared" si="91"/>
        <v>95805</v>
      </c>
      <c r="H2934" s="1405">
        <v>21.88</v>
      </c>
      <c r="I2934" s="1405">
        <v>23.07</v>
      </c>
    </row>
    <row r="2935" spans="2:9" ht="30">
      <c r="B2935" s="1477">
        <v>95806</v>
      </c>
      <c r="C2935" s="740" t="s">
        <v>7015</v>
      </c>
      <c r="D2935" s="739" t="s">
        <v>22</v>
      </c>
      <c r="E2935" s="741">
        <f t="shared" si="90"/>
        <v>25.28</v>
      </c>
      <c r="F2935">
        <f t="shared" si="91"/>
        <v>95806</v>
      </c>
      <c r="H2935" s="1406">
        <v>23.91</v>
      </c>
      <c r="I2935" s="1406">
        <v>25.28</v>
      </c>
    </row>
    <row r="2936" spans="2:9" ht="30">
      <c r="B2936" s="677">
        <v>95807</v>
      </c>
      <c r="C2936" s="733" t="s">
        <v>7016</v>
      </c>
      <c r="D2936" s="677" t="s">
        <v>22</v>
      </c>
      <c r="E2936" s="738">
        <f t="shared" si="90"/>
        <v>25.65</v>
      </c>
      <c r="F2936">
        <f t="shared" si="91"/>
        <v>95807</v>
      </c>
      <c r="H2936" s="1405">
        <v>24.3</v>
      </c>
      <c r="I2936" s="1405">
        <v>25.65</v>
      </c>
    </row>
    <row r="2937" spans="2:9" ht="30">
      <c r="B2937" s="1477">
        <v>95808</v>
      </c>
      <c r="C2937" s="740" t="s">
        <v>7017</v>
      </c>
      <c r="D2937" s="739" t="s">
        <v>22</v>
      </c>
      <c r="E2937" s="741">
        <f t="shared" si="90"/>
        <v>29.28</v>
      </c>
      <c r="F2937">
        <f t="shared" si="91"/>
        <v>95808</v>
      </c>
      <c r="H2937" s="1406">
        <v>27.57</v>
      </c>
      <c r="I2937" s="1406">
        <v>29.28</v>
      </c>
    </row>
    <row r="2938" spans="2:9" ht="30">
      <c r="B2938" s="677">
        <v>95809</v>
      </c>
      <c r="C2938" s="733" t="s">
        <v>7018</v>
      </c>
      <c r="D2938" s="677" t="s">
        <v>22</v>
      </c>
      <c r="E2938" s="738">
        <f t="shared" si="90"/>
        <v>36.36</v>
      </c>
      <c r="F2938">
        <f t="shared" si="91"/>
        <v>95809</v>
      </c>
      <c r="H2938" s="1405">
        <v>34.130000000000003</v>
      </c>
      <c r="I2938" s="1405">
        <v>36.36</v>
      </c>
    </row>
    <row r="2939" spans="2:9" ht="30">
      <c r="B2939" s="1477">
        <v>95810</v>
      </c>
      <c r="C2939" s="740" t="s">
        <v>7019</v>
      </c>
      <c r="D2939" s="739" t="s">
        <v>22</v>
      </c>
      <c r="E2939" s="741">
        <f t="shared" si="90"/>
        <v>16.13</v>
      </c>
      <c r="F2939">
        <f t="shared" si="91"/>
        <v>95810</v>
      </c>
      <c r="H2939" s="1406">
        <v>15.72</v>
      </c>
      <c r="I2939" s="1406">
        <v>16.13</v>
      </c>
    </row>
    <row r="2940" spans="2:9" ht="30">
      <c r="B2940" s="677">
        <v>95811</v>
      </c>
      <c r="C2940" s="733" t="s">
        <v>7020</v>
      </c>
      <c r="D2940" s="677" t="s">
        <v>22</v>
      </c>
      <c r="E2940" s="738">
        <f t="shared" si="90"/>
        <v>19.760000000000002</v>
      </c>
      <c r="F2940">
        <f t="shared" si="91"/>
        <v>95811</v>
      </c>
      <c r="H2940" s="1405">
        <v>18.98</v>
      </c>
      <c r="I2940" s="1405">
        <v>19.760000000000002</v>
      </c>
    </row>
    <row r="2941" spans="2:9" ht="30">
      <c r="B2941" s="1477">
        <v>95812</v>
      </c>
      <c r="C2941" s="740" t="s">
        <v>7021</v>
      </c>
      <c r="D2941" s="739" t="s">
        <v>22</v>
      </c>
      <c r="E2941" s="741">
        <f t="shared" si="90"/>
        <v>26.84</v>
      </c>
      <c r="F2941">
        <f t="shared" si="91"/>
        <v>95812</v>
      </c>
      <c r="H2941" s="1406">
        <v>25.54</v>
      </c>
      <c r="I2941" s="1406">
        <v>26.84</v>
      </c>
    </row>
    <row r="2942" spans="2:9" ht="30">
      <c r="B2942" s="677">
        <v>95813</v>
      </c>
      <c r="C2942" s="733" t="s">
        <v>7022</v>
      </c>
      <c r="D2942" s="677" t="s">
        <v>22</v>
      </c>
      <c r="E2942" s="738">
        <f t="shared" si="90"/>
        <v>18.72</v>
      </c>
      <c r="F2942">
        <f t="shared" si="91"/>
        <v>95813</v>
      </c>
      <c r="H2942" s="1405">
        <v>18.170000000000002</v>
      </c>
      <c r="I2942" s="1405">
        <v>18.72</v>
      </c>
    </row>
    <row r="2943" spans="2:9" ht="30">
      <c r="B2943" s="1477">
        <v>95814</v>
      </c>
      <c r="C2943" s="740" t="s">
        <v>7023</v>
      </c>
      <c r="D2943" s="739" t="s">
        <v>22</v>
      </c>
      <c r="E2943" s="741">
        <f t="shared" si="90"/>
        <v>23.57</v>
      </c>
      <c r="F2943">
        <f t="shared" si="91"/>
        <v>95814</v>
      </c>
      <c r="H2943" s="1406">
        <v>22.52</v>
      </c>
      <c r="I2943" s="1406">
        <v>23.57</v>
      </c>
    </row>
    <row r="2944" spans="2:9" ht="30">
      <c r="B2944" s="677">
        <v>95815</v>
      </c>
      <c r="C2944" s="733" t="s">
        <v>7024</v>
      </c>
      <c r="D2944" s="677" t="s">
        <v>22</v>
      </c>
      <c r="E2944" s="738">
        <f t="shared" si="90"/>
        <v>34.61</v>
      </c>
      <c r="F2944">
        <f t="shared" si="91"/>
        <v>95815</v>
      </c>
      <c r="H2944" s="1405">
        <v>32.869999999999997</v>
      </c>
      <c r="I2944" s="1405">
        <v>34.61</v>
      </c>
    </row>
    <row r="2945" spans="2:9" ht="30">
      <c r="B2945" s="1477">
        <v>95816</v>
      </c>
      <c r="C2945" s="740" t="s">
        <v>7025</v>
      </c>
      <c r="D2945" s="739" t="s">
        <v>22</v>
      </c>
      <c r="E2945" s="741">
        <f t="shared" si="90"/>
        <v>31.09</v>
      </c>
      <c r="F2945">
        <f t="shared" si="91"/>
        <v>95816</v>
      </c>
      <c r="H2945" s="1406">
        <v>29.47</v>
      </c>
      <c r="I2945" s="1406">
        <v>31.09</v>
      </c>
    </row>
    <row r="2946" spans="2:9" ht="30">
      <c r="B2946" s="677">
        <v>95817</v>
      </c>
      <c r="C2946" s="733" t="s">
        <v>7026</v>
      </c>
      <c r="D2946" s="677" t="s">
        <v>22</v>
      </c>
      <c r="E2946" s="738">
        <f t="shared" si="90"/>
        <v>36.65</v>
      </c>
      <c r="F2946">
        <f t="shared" si="91"/>
        <v>95817</v>
      </c>
      <c r="H2946" s="1405">
        <v>34.42</v>
      </c>
      <c r="I2946" s="1405">
        <v>36.65</v>
      </c>
    </row>
    <row r="2947" spans="2:9" ht="30">
      <c r="B2947" s="1477">
        <v>95818</v>
      </c>
      <c r="C2947" s="740" t="s">
        <v>7027</v>
      </c>
      <c r="D2947" s="739" t="s">
        <v>22</v>
      </c>
      <c r="E2947" s="741">
        <f t="shared" ref="E2947:E3010" si="92">IF($K$2=$H$1,H2947,I2947)</f>
        <v>50.9</v>
      </c>
      <c r="F2947">
        <f t="shared" ref="F2947:F3010" si="93">IF(LEN($B2947)=7,CONCATENATE(MID($B2947,1,6),"00",RIGHT($B2947,1)),IF(LEN($B2947)=8,CONCATENATE(MID($B2947,1,6),"0",RIGHT($B2947,2)),$B2947))</f>
        <v>95818</v>
      </c>
      <c r="H2947" s="1406">
        <v>47.8</v>
      </c>
      <c r="I2947" s="1406">
        <v>50.9</v>
      </c>
    </row>
    <row r="2948" spans="2:9" ht="30">
      <c r="B2948" s="677">
        <v>97881</v>
      </c>
      <c r="C2948" s="733" t="s">
        <v>4400</v>
      </c>
      <c r="D2948" s="677" t="s">
        <v>22</v>
      </c>
      <c r="E2948" s="738">
        <f t="shared" si="92"/>
        <v>141.74</v>
      </c>
      <c r="F2948">
        <f t="shared" si="93"/>
        <v>97881</v>
      </c>
      <c r="H2948" s="1405">
        <v>139.18</v>
      </c>
      <c r="I2948" s="1405">
        <v>141.74</v>
      </c>
    </row>
    <row r="2949" spans="2:9" ht="30">
      <c r="B2949" s="1477">
        <v>97882</v>
      </c>
      <c r="C2949" s="740" t="s">
        <v>4401</v>
      </c>
      <c r="D2949" s="739" t="s">
        <v>22</v>
      </c>
      <c r="E2949" s="741">
        <f t="shared" si="92"/>
        <v>224.25</v>
      </c>
      <c r="F2949">
        <f t="shared" si="93"/>
        <v>97882</v>
      </c>
      <c r="H2949" s="1406">
        <v>220.6</v>
      </c>
      <c r="I2949" s="1406">
        <v>224.25</v>
      </c>
    </row>
    <row r="2950" spans="2:9" ht="30">
      <c r="B2950" s="677">
        <v>97883</v>
      </c>
      <c r="C2950" s="733" t="s">
        <v>4402</v>
      </c>
      <c r="D2950" s="677" t="s">
        <v>22</v>
      </c>
      <c r="E2950" s="738">
        <f t="shared" si="92"/>
        <v>433.49</v>
      </c>
      <c r="F2950">
        <f t="shared" si="93"/>
        <v>97883</v>
      </c>
      <c r="H2950" s="1405">
        <v>427.14</v>
      </c>
      <c r="I2950" s="1405">
        <v>433.49</v>
      </c>
    </row>
    <row r="2951" spans="2:9" ht="30">
      <c r="B2951" s="1477">
        <v>97884</v>
      </c>
      <c r="C2951" s="740" t="s">
        <v>4403</v>
      </c>
      <c r="D2951" s="739" t="s">
        <v>22</v>
      </c>
      <c r="E2951" s="741">
        <f t="shared" si="92"/>
        <v>852.28</v>
      </c>
      <c r="F2951">
        <f t="shared" si="93"/>
        <v>97884</v>
      </c>
      <c r="H2951" s="1406">
        <v>841.65</v>
      </c>
      <c r="I2951" s="1406">
        <v>852.28</v>
      </c>
    </row>
    <row r="2952" spans="2:9" ht="30">
      <c r="B2952" s="677">
        <v>97885</v>
      </c>
      <c r="C2952" s="733" t="s">
        <v>4404</v>
      </c>
      <c r="D2952" s="677" t="s">
        <v>22</v>
      </c>
      <c r="E2952" s="738">
        <f t="shared" si="92"/>
        <v>1313.91</v>
      </c>
      <c r="F2952">
        <f t="shared" si="93"/>
        <v>97885</v>
      </c>
      <c r="H2952" s="1405">
        <v>1299.55</v>
      </c>
      <c r="I2952" s="1405">
        <v>1313.91</v>
      </c>
    </row>
    <row r="2953" spans="2:9" ht="30">
      <c r="B2953" s="1477">
        <v>97886</v>
      </c>
      <c r="C2953" s="740" t="s">
        <v>4405</v>
      </c>
      <c r="D2953" s="739" t="s">
        <v>22</v>
      </c>
      <c r="E2953" s="741">
        <f t="shared" si="92"/>
        <v>170.99</v>
      </c>
      <c r="F2953">
        <f t="shared" si="93"/>
        <v>97886</v>
      </c>
      <c r="H2953" s="1406">
        <v>161.53</v>
      </c>
      <c r="I2953" s="1406">
        <v>170.99</v>
      </c>
    </row>
    <row r="2954" spans="2:9" ht="30">
      <c r="B2954" s="677">
        <v>97887</v>
      </c>
      <c r="C2954" s="733" t="s">
        <v>4406</v>
      </c>
      <c r="D2954" s="677" t="s">
        <v>22</v>
      </c>
      <c r="E2954" s="738">
        <f t="shared" si="92"/>
        <v>269.42</v>
      </c>
      <c r="F2954">
        <f t="shared" si="93"/>
        <v>97887</v>
      </c>
      <c r="H2954" s="1405">
        <v>254.57</v>
      </c>
      <c r="I2954" s="1405">
        <v>269.42</v>
      </c>
    </row>
    <row r="2955" spans="2:9" ht="30">
      <c r="B2955" s="1477">
        <v>97888</v>
      </c>
      <c r="C2955" s="740" t="s">
        <v>4407</v>
      </c>
      <c r="D2955" s="739" t="s">
        <v>22</v>
      </c>
      <c r="E2955" s="741">
        <f t="shared" si="92"/>
        <v>522.53</v>
      </c>
      <c r="F2955">
        <f t="shared" si="93"/>
        <v>97888</v>
      </c>
      <c r="H2955" s="1406">
        <v>494.79</v>
      </c>
      <c r="I2955" s="1406">
        <v>522.53</v>
      </c>
    </row>
    <row r="2956" spans="2:9" ht="30">
      <c r="B2956" s="677">
        <v>97889</v>
      </c>
      <c r="C2956" s="733" t="s">
        <v>4408</v>
      </c>
      <c r="D2956" s="677" t="s">
        <v>22</v>
      </c>
      <c r="E2956" s="738">
        <f t="shared" si="92"/>
        <v>707.89</v>
      </c>
      <c r="F2956">
        <f t="shared" si="93"/>
        <v>97889</v>
      </c>
      <c r="H2956" s="1405">
        <v>670.15</v>
      </c>
      <c r="I2956" s="1405">
        <v>707.89</v>
      </c>
    </row>
    <row r="2957" spans="2:9" ht="30">
      <c r="B2957" s="1477">
        <v>97890</v>
      </c>
      <c r="C2957" s="740" t="s">
        <v>4409</v>
      </c>
      <c r="D2957" s="739" t="s">
        <v>22</v>
      </c>
      <c r="E2957" s="741">
        <f t="shared" si="92"/>
        <v>816.92</v>
      </c>
      <c r="F2957">
        <f t="shared" si="93"/>
        <v>97890</v>
      </c>
      <c r="H2957" s="1406">
        <v>778.41</v>
      </c>
      <c r="I2957" s="1406">
        <v>816.92</v>
      </c>
    </row>
    <row r="2958" spans="2:9" ht="30">
      <c r="B2958" s="677">
        <v>97891</v>
      </c>
      <c r="C2958" s="733" t="s">
        <v>4410</v>
      </c>
      <c r="D2958" s="677" t="s">
        <v>22</v>
      </c>
      <c r="E2958" s="738">
        <f t="shared" si="92"/>
        <v>203.95</v>
      </c>
      <c r="F2958">
        <f t="shared" si="93"/>
        <v>97891</v>
      </c>
      <c r="H2958" s="1405">
        <v>192.37</v>
      </c>
      <c r="I2958" s="1405">
        <v>203.95</v>
      </c>
    </row>
    <row r="2959" spans="2:9" ht="30">
      <c r="B2959" s="1477">
        <v>97892</v>
      </c>
      <c r="C2959" s="740" t="s">
        <v>4411</v>
      </c>
      <c r="D2959" s="739" t="s">
        <v>22</v>
      </c>
      <c r="E2959" s="741">
        <f t="shared" si="92"/>
        <v>384.15</v>
      </c>
      <c r="F2959">
        <f t="shared" si="93"/>
        <v>97892</v>
      </c>
      <c r="H2959" s="1406">
        <v>363.34</v>
      </c>
      <c r="I2959" s="1406">
        <v>384.15</v>
      </c>
    </row>
    <row r="2960" spans="2:9" ht="30">
      <c r="B2960" s="677">
        <v>97893</v>
      </c>
      <c r="C2960" s="733" t="s">
        <v>4412</v>
      </c>
      <c r="D2960" s="677" t="s">
        <v>22</v>
      </c>
      <c r="E2960" s="738">
        <f t="shared" si="92"/>
        <v>531.39</v>
      </c>
      <c r="F2960">
        <f t="shared" si="93"/>
        <v>97893</v>
      </c>
      <c r="H2960" s="1405">
        <v>502.48</v>
      </c>
      <c r="I2960" s="1405">
        <v>531.39</v>
      </c>
    </row>
    <row r="2961" spans="2:9" ht="30">
      <c r="B2961" s="1477">
        <v>97894</v>
      </c>
      <c r="C2961" s="740" t="s">
        <v>4413</v>
      </c>
      <c r="D2961" s="739" t="s">
        <v>22</v>
      </c>
      <c r="E2961" s="741">
        <f t="shared" si="92"/>
        <v>603.04999999999995</v>
      </c>
      <c r="F2961">
        <f t="shared" si="93"/>
        <v>97894</v>
      </c>
      <c r="H2961" s="1406">
        <v>575.24</v>
      </c>
      <c r="I2961" s="1406">
        <v>603.04999999999995</v>
      </c>
    </row>
    <row r="2962" spans="2:9" ht="30">
      <c r="B2962" s="677">
        <v>104396</v>
      </c>
      <c r="C2962" s="733" t="s">
        <v>7028</v>
      </c>
      <c r="D2962" s="677" t="s">
        <v>22</v>
      </c>
      <c r="E2962" s="738">
        <f t="shared" si="92"/>
        <v>21.72</v>
      </c>
      <c r="F2962">
        <f t="shared" si="93"/>
        <v>104396</v>
      </c>
      <c r="H2962" s="1405">
        <v>20.53</v>
      </c>
      <c r="I2962" s="1405">
        <v>21.72</v>
      </c>
    </row>
    <row r="2963" spans="2:9" ht="30">
      <c r="B2963" s="1477">
        <v>104397</v>
      </c>
      <c r="C2963" s="740" t="s">
        <v>7029</v>
      </c>
      <c r="D2963" s="739" t="s">
        <v>22</v>
      </c>
      <c r="E2963" s="741">
        <f t="shared" si="92"/>
        <v>25.92</v>
      </c>
      <c r="F2963">
        <f t="shared" si="93"/>
        <v>104397</v>
      </c>
      <c r="H2963" s="1406">
        <v>24.55</v>
      </c>
      <c r="I2963" s="1406">
        <v>25.92</v>
      </c>
    </row>
    <row r="2964" spans="2:9" ht="30">
      <c r="B2964" s="677">
        <v>104398</v>
      </c>
      <c r="C2964" s="733" t="s">
        <v>7030</v>
      </c>
      <c r="D2964" s="677" t="s">
        <v>22</v>
      </c>
      <c r="E2964" s="738">
        <f t="shared" si="92"/>
        <v>25.64</v>
      </c>
      <c r="F2964">
        <f t="shared" si="93"/>
        <v>104398</v>
      </c>
      <c r="H2964" s="1405">
        <v>24.29</v>
      </c>
      <c r="I2964" s="1405">
        <v>25.64</v>
      </c>
    </row>
    <row r="2965" spans="2:9" ht="30">
      <c r="B2965" s="1477">
        <v>104399</v>
      </c>
      <c r="C2965" s="740" t="s">
        <v>7031</v>
      </c>
      <c r="D2965" s="739" t="s">
        <v>22</v>
      </c>
      <c r="E2965" s="741">
        <f t="shared" si="92"/>
        <v>27.93</v>
      </c>
      <c r="F2965">
        <f t="shared" si="93"/>
        <v>104399</v>
      </c>
      <c r="H2965" s="1406">
        <v>26.22</v>
      </c>
      <c r="I2965" s="1406">
        <v>27.93</v>
      </c>
    </row>
    <row r="2966" spans="2:9" ht="30">
      <c r="B2966" s="677">
        <v>104400</v>
      </c>
      <c r="C2966" s="733" t="s">
        <v>7032</v>
      </c>
      <c r="D2966" s="677" t="s">
        <v>22</v>
      </c>
      <c r="E2966" s="738">
        <f t="shared" si="92"/>
        <v>35.78</v>
      </c>
      <c r="F2966">
        <f t="shared" si="93"/>
        <v>104400</v>
      </c>
      <c r="H2966" s="1405">
        <v>33.549999999999997</v>
      </c>
      <c r="I2966" s="1405">
        <v>35.78</v>
      </c>
    </row>
    <row r="2967" spans="2:9" ht="30">
      <c r="B2967" s="1477">
        <v>104401</v>
      </c>
      <c r="C2967" s="740" t="s">
        <v>7033</v>
      </c>
      <c r="D2967" s="739" t="s">
        <v>22</v>
      </c>
      <c r="E2967" s="741">
        <f t="shared" si="92"/>
        <v>24.3</v>
      </c>
      <c r="F2967">
        <f t="shared" si="93"/>
        <v>104401</v>
      </c>
      <c r="H2967" s="1406">
        <v>23.1</v>
      </c>
      <c r="I2967" s="1406">
        <v>24.3</v>
      </c>
    </row>
    <row r="2968" spans="2:9" ht="30">
      <c r="B2968" s="677">
        <v>104402</v>
      </c>
      <c r="C2968" s="733" t="s">
        <v>7034</v>
      </c>
      <c r="D2968" s="677" t="s">
        <v>22</v>
      </c>
      <c r="E2968" s="738">
        <f t="shared" si="92"/>
        <v>25.39</v>
      </c>
      <c r="F2968">
        <f t="shared" si="93"/>
        <v>104402</v>
      </c>
      <c r="H2968" s="1405">
        <v>23.93</v>
      </c>
      <c r="I2968" s="1405">
        <v>25.39</v>
      </c>
    </row>
    <row r="2969" spans="2:9" ht="30">
      <c r="B2969" s="1477">
        <v>104403</v>
      </c>
      <c r="C2969" s="740" t="s">
        <v>7035</v>
      </c>
      <c r="D2969" s="739" t="s">
        <v>22</v>
      </c>
      <c r="E2969" s="741">
        <f t="shared" si="92"/>
        <v>31.54</v>
      </c>
      <c r="F2969">
        <f t="shared" si="93"/>
        <v>104403</v>
      </c>
      <c r="H2969" s="1406">
        <v>29.73</v>
      </c>
      <c r="I2969" s="1406">
        <v>31.54</v>
      </c>
    </row>
    <row r="2970" spans="2:9" ht="30">
      <c r="B2970" s="677">
        <v>104404</v>
      </c>
      <c r="C2970" s="733" t="s">
        <v>7036</v>
      </c>
      <c r="D2970" s="677" t="s">
        <v>22</v>
      </c>
      <c r="E2970" s="738">
        <f t="shared" si="92"/>
        <v>32.659999999999997</v>
      </c>
      <c r="F2970">
        <f t="shared" si="93"/>
        <v>104404</v>
      </c>
      <c r="H2970" s="1405">
        <v>30.68</v>
      </c>
      <c r="I2970" s="1405">
        <v>32.659999999999997</v>
      </c>
    </row>
    <row r="2971" spans="2:9" ht="30">
      <c r="B2971" s="1477">
        <v>104405</v>
      </c>
      <c r="C2971" s="740" t="s">
        <v>7037</v>
      </c>
      <c r="D2971" s="739" t="s">
        <v>22</v>
      </c>
      <c r="E2971" s="741">
        <f t="shared" si="92"/>
        <v>44.13</v>
      </c>
      <c r="F2971">
        <f t="shared" si="93"/>
        <v>104405</v>
      </c>
      <c r="H2971" s="1406">
        <v>41.46</v>
      </c>
      <c r="I2971" s="1406">
        <v>44.13</v>
      </c>
    </row>
    <row r="2972" spans="2:9">
      <c r="B2972" s="677">
        <v>93653</v>
      </c>
      <c r="C2972" s="733" t="s">
        <v>3936</v>
      </c>
      <c r="D2972" s="677" t="s">
        <v>22</v>
      </c>
      <c r="E2972" s="738">
        <f t="shared" si="92"/>
        <v>11</v>
      </c>
      <c r="F2972">
        <f t="shared" si="93"/>
        <v>93653</v>
      </c>
      <c r="H2972" s="1405">
        <v>10.83</v>
      </c>
      <c r="I2972" s="1405">
        <v>11</v>
      </c>
    </row>
    <row r="2973" spans="2:9">
      <c r="B2973" s="1477">
        <v>93654</v>
      </c>
      <c r="C2973" s="740" t="s">
        <v>3937</v>
      </c>
      <c r="D2973" s="739" t="s">
        <v>22</v>
      </c>
      <c r="E2973" s="741">
        <f t="shared" si="92"/>
        <v>11.6</v>
      </c>
      <c r="F2973">
        <f t="shared" si="93"/>
        <v>93654</v>
      </c>
      <c r="H2973" s="1406">
        <v>11.37</v>
      </c>
      <c r="I2973" s="1406">
        <v>11.6</v>
      </c>
    </row>
    <row r="2974" spans="2:9">
      <c r="B2974" s="677">
        <v>93655</v>
      </c>
      <c r="C2974" s="733" t="s">
        <v>3938</v>
      </c>
      <c r="D2974" s="677" t="s">
        <v>22</v>
      </c>
      <c r="E2974" s="738">
        <f t="shared" si="92"/>
        <v>12.87</v>
      </c>
      <c r="F2974">
        <f t="shared" si="93"/>
        <v>93655</v>
      </c>
      <c r="H2974" s="1405">
        <v>12.55</v>
      </c>
      <c r="I2974" s="1405">
        <v>12.87</v>
      </c>
    </row>
    <row r="2975" spans="2:9">
      <c r="B2975" s="1477">
        <v>93656</v>
      </c>
      <c r="C2975" s="740" t="s">
        <v>3939</v>
      </c>
      <c r="D2975" s="739" t="s">
        <v>22</v>
      </c>
      <c r="E2975" s="741">
        <f t="shared" si="92"/>
        <v>12.87</v>
      </c>
      <c r="F2975">
        <f t="shared" si="93"/>
        <v>93656</v>
      </c>
      <c r="H2975" s="1406">
        <v>12.55</v>
      </c>
      <c r="I2975" s="1406">
        <v>12.87</v>
      </c>
    </row>
    <row r="2976" spans="2:9">
      <c r="B2976" s="677">
        <v>93657</v>
      </c>
      <c r="C2976" s="733" t="s">
        <v>3940</v>
      </c>
      <c r="D2976" s="677" t="s">
        <v>22</v>
      </c>
      <c r="E2976" s="738">
        <f t="shared" si="92"/>
        <v>14.39</v>
      </c>
      <c r="F2976">
        <f t="shared" si="93"/>
        <v>93657</v>
      </c>
      <c r="H2976" s="1405">
        <v>13.93</v>
      </c>
      <c r="I2976" s="1405">
        <v>14.39</v>
      </c>
    </row>
    <row r="2977" spans="2:9">
      <c r="B2977" s="1477">
        <v>93658</v>
      </c>
      <c r="C2977" s="740" t="s">
        <v>3941</v>
      </c>
      <c r="D2977" s="739" t="s">
        <v>22</v>
      </c>
      <c r="E2977" s="741">
        <f t="shared" si="92"/>
        <v>20.58</v>
      </c>
      <c r="F2977">
        <f t="shared" si="93"/>
        <v>93658</v>
      </c>
      <c r="H2977" s="1406">
        <v>19.91</v>
      </c>
      <c r="I2977" s="1406">
        <v>20.58</v>
      </c>
    </row>
    <row r="2978" spans="2:9">
      <c r="B2978" s="677">
        <v>93659</v>
      </c>
      <c r="C2978" s="733" t="s">
        <v>3942</v>
      </c>
      <c r="D2978" s="677" t="s">
        <v>22</v>
      </c>
      <c r="E2978" s="738">
        <f t="shared" si="92"/>
        <v>23.59</v>
      </c>
      <c r="F2978">
        <f t="shared" si="93"/>
        <v>93659</v>
      </c>
      <c r="H2978" s="1405">
        <v>22.65</v>
      </c>
      <c r="I2978" s="1405">
        <v>23.59</v>
      </c>
    </row>
    <row r="2979" spans="2:9">
      <c r="B2979" s="1477">
        <v>93660</v>
      </c>
      <c r="C2979" s="740" t="s">
        <v>3943</v>
      </c>
      <c r="D2979" s="739" t="s">
        <v>22</v>
      </c>
      <c r="E2979" s="741">
        <f t="shared" si="92"/>
        <v>52.23</v>
      </c>
      <c r="F2979">
        <f t="shared" si="93"/>
        <v>93660</v>
      </c>
      <c r="H2979" s="1406">
        <v>51.88</v>
      </c>
      <c r="I2979" s="1406">
        <v>52.23</v>
      </c>
    </row>
    <row r="2980" spans="2:9">
      <c r="B2980" s="677">
        <v>93661</v>
      </c>
      <c r="C2980" s="733" t="s">
        <v>3944</v>
      </c>
      <c r="D2980" s="677" t="s">
        <v>22</v>
      </c>
      <c r="E2980" s="738">
        <f t="shared" si="92"/>
        <v>53.44</v>
      </c>
      <c r="F2980">
        <f t="shared" si="93"/>
        <v>93661</v>
      </c>
      <c r="H2980" s="1405">
        <v>52.97</v>
      </c>
      <c r="I2980" s="1405">
        <v>53.44</v>
      </c>
    </row>
    <row r="2981" spans="2:9">
      <c r="B2981" s="1477">
        <v>93662</v>
      </c>
      <c r="C2981" s="740" t="s">
        <v>3945</v>
      </c>
      <c r="D2981" s="739" t="s">
        <v>22</v>
      </c>
      <c r="E2981" s="741">
        <f t="shared" si="92"/>
        <v>55.97</v>
      </c>
      <c r="F2981">
        <f t="shared" si="93"/>
        <v>93662</v>
      </c>
      <c r="H2981" s="1406">
        <v>55.32</v>
      </c>
      <c r="I2981" s="1406">
        <v>55.97</v>
      </c>
    </row>
    <row r="2982" spans="2:9">
      <c r="B2982" s="677">
        <v>93663</v>
      </c>
      <c r="C2982" s="733" t="s">
        <v>3946</v>
      </c>
      <c r="D2982" s="677" t="s">
        <v>22</v>
      </c>
      <c r="E2982" s="738">
        <f t="shared" si="92"/>
        <v>55.97</v>
      </c>
      <c r="F2982">
        <f t="shared" si="93"/>
        <v>93663</v>
      </c>
      <c r="H2982" s="1405">
        <v>55.32</v>
      </c>
      <c r="I2982" s="1405">
        <v>55.97</v>
      </c>
    </row>
    <row r="2983" spans="2:9">
      <c r="B2983" s="1477">
        <v>93664</v>
      </c>
      <c r="C2983" s="740" t="s">
        <v>3947</v>
      </c>
      <c r="D2983" s="739" t="s">
        <v>22</v>
      </c>
      <c r="E2983" s="741">
        <f t="shared" si="92"/>
        <v>59</v>
      </c>
      <c r="F2983">
        <f t="shared" si="93"/>
        <v>93664</v>
      </c>
      <c r="H2983" s="1406">
        <v>58.09</v>
      </c>
      <c r="I2983" s="1406">
        <v>59</v>
      </c>
    </row>
    <row r="2984" spans="2:9">
      <c r="B2984" s="677">
        <v>93665</v>
      </c>
      <c r="C2984" s="733" t="s">
        <v>3948</v>
      </c>
      <c r="D2984" s="677" t="s">
        <v>22</v>
      </c>
      <c r="E2984" s="738">
        <f t="shared" si="92"/>
        <v>62.88</v>
      </c>
      <c r="F2984">
        <f t="shared" si="93"/>
        <v>93665</v>
      </c>
      <c r="H2984" s="1405">
        <v>61.53</v>
      </c>
      <c r="I2984" s="1405">
        <v>62.88</v>
      </c>
    </row>
    <row r="2985" spans="2:9">
      <c r="B2985" s="1477">
        <v>93666</v>
      </c>
      <c r="C2985" s="740" t="s">
        <v>3949</v>
      </c>
      <c r="D2985" s="739" t="s">
        <v>22</v>
      </c>
      <c r="E2985" s="741">
        <f t="shared" si="92"/>
        <v>68.88</v>
      </c>
      <c r="F2985">
        <f t="shared" si="93"/>
        <v>93666</v>
      </c>
      <c r="H2985" s="1406">
        <v>67</v>
      </c>
      <c r="I2985" s="1406">
        <v>68.88</v>
      </c>
    </row>
    <row r="2986" spans="2:9">
      <c r="B2986" s="677">
        <v>93667</v>
      </c>
      <c r="C2986" s="733" t="s">
        <v>3950</v>
      </c>
      <c r="D2986" s="677" t="s">
        <v>22</v>
      </c>
      <c r="E2986" s="738">
        <f t="shared" si="92"/>
        <v>65.599999999999994</v>
      </c>
      <c r="F2986">
        <f t="shared" si="93"/>
        <v>93667</v>
      </c>
      <c r="H2986" s="1405">
        <v>65.069999999999993</v>
      </c>
      <c r="I2986" s="1405">
        <v>65.599999999999994</v>
      </c>
    </row>
    <row r="2987" spans="2:9">
      <c r="B2987" s="1477">
        <v>93668</v>
      </c>
      <c r="C2987" s="740" t="s">
        <v>3951</v>
      </c>
      <c r="D2987" s="739" t="s">
        <v>22</v>
      </c>
      <c r="E2987" s="741">
        <f t="shared" si="92"/>
        <v>67.41</v>
      </c>
      <c r="F2987">
        <f t="shared" si="93"/>
        <v>93668</v>
      </c>
      <c r="H2987" s="1406">
        <v>66.709999999999994</v>
      </c>
      <c r="I2987" s="1406">
        <v>67.41</v>
      </c>
    </row>
    <row r="2988" spans="2:9">
      <c r="B2988" s="677">
        <v>93669</v>
      </c>
      <c r="C2988" s="733" t="s">
        <v>3952</v>
      </c>
      <c r="D2988" s="677" t="s">
        <v>22</v>
      </c>
      <c r="E2988" s="738">
        <f t="shared" si="92"/>
        <v>71.22</v>
      </c>
      <c r="F2988">
        <f t="shared" si="93"/>
        <v>93669</v>
      </c>
      <c r="H2988" s="1405">
        <v>70.23</v>
      </c>
      <c r="I2988" s="1405">
        <v>71.22</v>
      </c>
    </row>
    <row r="2989" spans="2:9">
      <c r="B2989" s="1477">
        <v>93670</v>
      </c>
      <c r="C2989" s="740" t="s">
        <v>3953</v>
      </c>
      <c r="D2989" s="739" t="s">
        <v>22</v>
      </c>
      <c r="E2989" s="741">
        <f t="shared" si="92"/>
        <v>71.22</v>
      </c>
      <c r="F2989">
        <f t="shared" si="93"/>
        <v>93670</v>
      </c>
      <c r="H2989" s="1406">
        <v>70.23</v>
      </c>
      <c r="I2989" s="1406">
        <v>71.22</v>
      </c>
    </row>
    <row r="2990" spans="2:9">
      <c r="B2990" s="677">
        <v>93671</v>
      </c>
      <c r="C2990" s="733" t="s">
        <v>3954</v>
      </c>
      <c r="D2990" s="677" t="s">
        <v>22</v>
      </c>
      <c r="E2990" s="738">
        <f t="shared" si="92"/>
        <v>75.75</v>
      </c>
      <c r="F2990">
        <f t="shared" si="93"/>
        <v>93671</v>
      </c>
      <c r="H2990" s="1405">
        <v>74.38</v>
      </c>
      <c r="I2990" s="1405">
        <v>75.75</v>
      </c>
    </row>
    <row r="2991" spans="2:9">
      <c r="B2991" s="1477">
        <v>93672</v>
      </c>
      <c r="C2991" s="740" t="s">
        <v>3955</v>
      </c>
      <c r="D2991" s="739" t="s">
        <v>22</v>
      </c>
      <c r="E2991" s="741">
        <f t="shared" si="92"/>
        <v>82.63</v>
      </c>
      <c r="F2991">
        <f t="shared" si="93"/>
        <v>93672</v>
      </c>
      <c r="H2991" s="1406">
        <v>80.61</v>
      </c>
      <c r="I2991" s="1406">
        <v>82.63</v>
      </c>
    </row>
    <row r="2992" spans="2:9">
      <c r="B2992" s="677">
        <v>93673</v>
      </c>
      <c r="C2992" s="733" t="s">
        <v>3956</v>
      </c>
      <c r="D2992" s="677" t="s">
        <v>22</v>
      </c>
      <c r="E2992" s="738">
        <f t="shared" si="92"/>
        <v>91.65</v>
      </c>
      <c r="F2992">
        <f t="shared" si="93"/>
        <v>93673</v>
      </c>
      <c r="H2992" s="1405">
        <v>88.82</v>
      </c>
      <c r="I2992" s="1405">
        <v>91.65</v>
      </c>
    </row>
    <row r="2993" spans="2:9">
      <c r="B2993" s="1477">
        <v>97359</v>
      </c>
      <c r="C2993" s="740" t="s">
        <v>3957</v>
      </c>
      <c r="D2993" s="739" t="s">
        <v>22</v>
      </c>
      <c r="E2993" s="741">
        <f t="shared" si="92"/>
        <v>4055.41</v>
      </c>
      <c r="F2993">
        <f t="shared" si="93"/>
        <v>97359</v>
      </c>
      <c r="H2993" s="1406">
        <v>4037.18</v>
      </c>
      <c r="I2993" s="1406">
        <v>4055.41</v>
      </c>
    </row>
    <row r="2994" spans="2:9">
      <c r="B2994" s="677">
        <v>97360</v>
      </c>
      <c r="C2994" s="733" t="s">
        <v>3958</v>
      </c>
      <c r="D2994" s="677" t="s">
        <v>22</v>
      </c>
      <c r="E2994" s="738">
        <f t="shared" si="92"/>
        <v>7827.96</v>
      </c>
      <c r="F2994">
        <f t="shared" si="93"/>
        <v>97360</v>
      </c>
      <c r="H2994" s="1405">
        <v>7800.63</v>
      </c>
      <c r="I2994" s="1405">
        <v>7827.96</v>
      </c>
    </row>
    <row r="2995" spans="2:9">
      <c r="B2995" s="1477">
        <v>97361</v>
      </c>
      <c r="C2995" s="740" t="s">
        <v>3959</v>
      </c>
      <c r="D2995" s="739" t="s">
        <v>22</v>
      </c>
      <c r="E2995" s="741">
        <f t="shared" si="92"/>
        <v>10437.290000000001</v>
      </c>
      <c r="F2995">
        <f t="shared" si="93"/>
        <v>97361</v>
      </c>
      <c r="H2995" s="1406">
        <v>10400.83</v>
      </c>
      <c r="I2995" s="1406">
        <v>10437.290000000001</v>
      </c>
    </row>
    <row r="2996" spans="2:9" ht="30">
      <c r="B2996" s="677">
        <v>97362</v>
      </c>
      <c r="C2996" s="733" t="s">
        <v>3960</v>
      </c>
      <c r="D2996" s="677" t="s">
        <v>22</v>
      </c>
      <c r="E2996" s="738">
        <f t="shared" si="92"/>
        <v>2121.94</v>
      </c>
      <c r="F2996">
        <f t="shared" si="93"/>
        <v>97362</v>
      </c>
      <c r="H2996" s="1405">
        <v>2117.71</v>
      </c>
      <c r="I2996" s="1405">
        <v>2121.94</v>
      </c>
    </row>
    <row r="2997" spans="2:9" ht="30">
      <c r="B2997" s="1477">
        <v>101875</v>
      </c>
      <c r="C2997" s="740" t="s">
        <v>3961</v>
      </c>
      <c r="D2997" s="739" t="s">
        <v>22</v>
      </c>
      <c r="E2997" s="741">
        <f t="shared" si="92"/>
        <v>453.44</v>
      </c>
      <c r="F2997">
        <f t="shared" si="93"/>
        <v>101875</v>
      </c>
      <c r="H2997" s="1406">
        <v>450.78</v>
      </c>
      <c r="I2997" s="1406">
        <v>453.44</v>
      </c>
    </row>
    <row r="2998" spans="2:9" ht="30">
      <c r="B2998" s="677">
        <v>101876</v>
      </c>
      <c r="C2998" s="733" t="s">
        <v>3962</v>
      </c>
      <c r="D2998" s="677" t="s">
        <v>22</v>
      </c>
      <c r="E2998" s="738">
        <f t="shared" si="92"/>
        <v>89.18</v>
      </c>
      <c r="F2998">
        <f t="shared" si="93"/>
        <v>101876</v>
      </c>
      <c r="H2998" s="1405">
        <v>87.47</v>
      </c>
      <c r="I2998" s="1405">
        <v>89.18</v>
      </c>
    </row>
    <row r="2999" spans="2:9" ht="30">
      <c r="B2999" s="1477">
        <v>101877</v>
      </c>
      <c r="C2999" s="740" t="s">
        <v>3963</v>
      </c>
      <c r="D2999" s="739" t="s">
        <v>22</v>
      </c>
      <c r="E2999" s="741">
        <f t="shared" si="92"/>
        <v>61.03</v>
      </c>
      <c r="F2999">
        <f t="shared" si="93"/>
        <v>101877</v>
      </c>
      <c r="H2999" s="1406">
        <v>59.5</v>
      </c>
      <c r="I2999" s="1406">
        <v>61.03</v>
      </c>
    </row>
    <row r="3000" spans="2:9" ht="30">
      <c r="B3000" s="677">
        <v>101878</v>
      </c>
      <c r="C3000" s="733" t="s">
        <v>3964</v>
      </c>
      <c r="D3000" s="677" t="s">
        <v>22</v>
      </c>
      <c r="E3000" s="738">
        <f t="shared" si="92"/>
        <v>620.85</v>
      </c>
      <c r="F3000">
        <f t="shared" si="93"/>
        <v>101878</v>
      </c>
      <c r="H3000" s="1405">
        <v>613.26</v>
      </c>
      <c r="I3000" s="1405">
        <v>620.85</v>
      </c>
    </row>
    <row r="3001" spans="2:9" ht="30">
      <c r="B3001" s="1477">
        <v>101879</v>
      </c>
      <c r="C3001" s="740" t="s">
        <v>3965</v>
      </c>
      <c r="D3001" s="739" t="s">
        <v>22</v>
      </c>
      <c r="E3001" s="741">
        <f t="shared" si="92"/>
        <v>657.28</v>
      </c>
      <c r="F3001">
        <f t="shared" si="93"/>
        <v>101879</v>
      </c>
      <c r="H3001" s="1406">
        <v>654.29999999999995</v>
      </c>
      <c r="I3001" s="1406">
        <v>657.28</v>
      </c>
    </row>
    <row r="3002" spans="2:9" ht="30">
      <c r="B3002" s="677">
        <v>101880</v>
      </c>
      <c r="C3002" s="733" t="s">
        <v>3966</v>
      </c>
      <c r="D3002" s="677" t="s">
        <v>22</v>
      </c>
      <c r="E3002" s="738">
        <f t="shared" si="92"/>
        <v>756.73</v>
      </c>
      <c r="F3002">
        <f t="shared" si="93"/>
        <v>101880</v>
      </c>
      <c r="H3002" s="1405">
        <v>753.16</v>
      </c>
      <c r="I3002" s="1405">
        <v>756.73</v>
      </c>
    </row>
    <row r="3003" spans="2:9" ht="30">
      <c r="B3003" s="1477">
        <v>101881</v>
      </c>
      <c r="C3003" s="740" t="s">
        <v>3967</v>
      </c>
      <c r="D3003" s="739" t="s">
        <v>22</v>
      </c>
      <c r="E3003" s="741">
        <f t="shared" si="92"/>
        <v>1089.47</v>
      </c>
      <c r="F3003">
        <f t="shared" si="93"/>
        <v>101881</v>
      </c>
      <c r="H3003" s="1406">
        <v>1085.8699999999999</v>
      </c>
      <c r="I3003" s="1406">
        <v>1089.47</v>
      </c>
    </row>
    <row r="3004" spans="2:9" ht="30">
      <c r="B3004" s="677">
        <v>101882</v>
      </c>
      <c r="C3004" s="733" t="s">
        <v>3968</v>
      </c>
      <c r="D3004" s="677" t="s">
        <v>22</v>
      </c>
      <c r="E3004" s="738">
        <f t="shared" si="92"/>
        <v>1548.15</v>
      </c>
      <c r="F3004">
        <f t="shared" si="93"/>
        <v>101882</v>
      </c>
      <c r="H3004" s="1405">
        <v>1544.56</v>
      </c>
      <c r="I3004" s="1405">
        <v>1548.15</v>
      </c>
    </row>
    <row r="3005" spans="2:9" ht="30">
      <c r="B3005" s="1477">
        <v>101883</v>
      </c>
      <c r="C3005" s="740" t="s">
        <v>3969</v>
      </c>
      <c r="D3005" s="739" t="s">
        <v>22</v>
      </c>
      <c r="E3005" s="741">
        <f t="shared" si="92"/>
        <v>626.44000000000005</v>
      </c>
      <c r="F3005">
        <f t="shared" si="93"/>
        <v>101883</v>
      </c>
      <c r="H3005" s="1406">
        <v>623.48</v>
      </c>
      <c r="I3005" s="1406">
        <v>626.44000000000005</v>
      </c>
    </row>
    <row r="3006" spans="2:9">
      <c r="B3006" s="677">
        <v>101890</v>
      </c>
      <c r="C3006" s="733" t="s">
        <v>3970</v>
      </c>
      <c r="D3006" s="677" t="s">
        <v>22</v>
      </c>
      <c r="E3006" s="738">
        <f t="shared" si="92"/>
        <v>15.26</v>
      </c>
      <c r="F3006">
        <f t="shared" si="93"/>
        <v>101890</v>
      </c>
      <c r="H3006" s="1405">
        <v>14.94</v>
      </c>
      <c r="I3006" s="1405">
        <v>15.26</v>
      </c>
    </row>
    <row r="3007" spans="2:9">
      <c r="B3007" s="1477">
        <v>101891</v>
      </c>
      <c r="C3007" s="740" t="s">
        <v>3971</v>
      </c>
      <c r="D3007" s="739" t="s">
        <v>22</v>
      </c>
      <c r="E3007" s="741">
        <f t="shared" si="92"/>
        <v>26.16</v>
      </c>
      <c r="F3007">
        <f t="shared" si="93"/>
        <v>101891</v>
      </c>
      <c r="H3007" s="1406">
        <v>25.49</v>
      </c>
      <c r="I3007" s="1406">
        <v>26.16</v>
      </c>
    </row>
    <row r="3008" spans="2:9">
      <c r="B3008" s="677">
        <v>101892</v>
      </c>
      <c r="C3008" s="733" t="s">
        <v>3972</v>
      </c>
      <c r="D3008" s="677" t="s">
        <v>22</v>
      </c>
      <c r="E3008" s="738">
        <f t="shared" si="92"/>
        <v>66</v>
      </c>
      <c r="F3008">
        <f t="shared" si="93"/>
        <v>101892</v>
      </c>
      <c r="H3008" s="1405">
        <v>65.349999999999994</v>
      </c>
      <c r="I3008" s="1405">
        <v>66</v>
      </c>
    </row>
    <row r="3009" spans="2:9">
      <c r="B3009" s="1477">
        <v>101893</v>
      </c>
      <c r="C3009" s="740" t="s">
        <v>3973</v>
      </c>
      <c r="D3009" s="739" t="s">
        <v>22</v>
      </c>
      <c r="E3009" s="741">
        <f t="shared" si="92"/>
        <v>84.75</v>
      </c>
      <c r="F3009">
        <f t="shared" si="93"/>
        <v>101893</v>
      </c>
      <c r="H3009" s="1406">
        <v>83.76</v>
      </c>
      <c r="I3009" s="1406">
        <v>84.75</v>
      </c>
    </row>
    <row r="3010" spans="2:9">
      <c r="B3010" s="677">
        <v>101894</v>
      </c>
      <c r="C3010" s="733" t="s">
        <v>3974</v>
      </c>
      <c r="D3010" s="677" t="s">
        <v>22</v>
      </c>
      <c r="E3010" s="738">
        <f t="shared" si="92"/>
        <v>147.19</v>
      </c>
      <c r="F3010">
        <f t="shared" si="93"/>
        <v>101894</v>
      </c>
      <c r="H3010" s="1405">
        <v>143.28</v>
      </c>
      <c r="I3010" s="1405">
        <v>147.19</v>
      </c>
    </row>
    <row r="3011" spans="2:9">
      <c r="B3011" s="1477">
        <v>101895</v>
      </c>
      <c r="C3011" s="740" t="s">
        <v>3975</v>
      </c>
      <c r="D3011" s="739" t="s">
        <v>22</v>
      </c>
      <c r="E3011" s="741">
        <f t="shared" ref="E3011:E3074" si="94">IF($K$2=$H$1,H3011,I3011)</f>
        <v>394</v>
      </c>
      <c r="F3011">
        <f t="shared" ref="F3011:F3074" si="95">IF(LEN($B3011)=7,CONCATENATE(MID($B3011,1,6),"00",RIGHT($B3011,1)),IF(LEN($B3011)=8,CONCATENATE(MID($B3011,1,6),"0",RIGHT($B3011,2)),$B3011))</f>
        <v>101895</v>
      </c>
      <c r="H3011" s="1406">
        <v>387.41</v>
      </c>
      <c r="I3011" s="1406">
        <v>394</v>
      </c>
    </row>
    <row r="3012" spans="2:9">
      <c r="B3012" s="677">
        <v>101896</v>
      </c>
      <c r="C3012" s="733" t="s">
        <v>3976</v>
      </c>
      <c r="D3012" s="677" t="s">
        <v>22</v>
      </c>
      <c r="E3012" s="738">
        <f t="shared" si="94"/>
        <v>588.09</v>
      </c>
      <c r="F3012">
        <f t="shared" si="95"/>
        <v>101896</v>
      </c>
      <c r="H3012" s="1405">
        <v>581.5</v>
      </c>
      <c r="I3012" s="1405">
        <v>588.09</v>
      </c>
    </row>
    <row r="3013" spans="2:9">
      <c r="B3013" s="1477">
        <v>101897</v>
      </c>
      <c r="C3013" s="740" t="s">
        <v>3977</v>
      </c>
      <c r="D3013" s="739" t="s">
        <v>22</v>
      </c>
      <c r="E3013" s="741">
        <f t="shared" si="94"/>
        <v>933.44</v>
      </c>
      <c r="F3013">
        <f t="shared" si="95"/>
        <v>101897</v>
      </c>
      <c r="H3013" s="1406">
        <v>926.85</v>
      </c>
      <c r="I3013" s="1406">
        <v>933.44</v>
      </c>
    </row>
    <row r="3014" spans="2:9">
      <c r="B3014" s="677">
        <v>101898</v>
      </c>
      <c r="C3014" s="733" t="s">
        <v>3978</v>
      </c>
      <c r="D3014" s="677" t="s">
        <v>22</v>
      </c>
      <c r="E3014" s="738">
        <f t="shared" si="94"/>
        <v>1242.52</v>
      </c>
      <c r="F3014">
        <f t="shared" si="95"/>
        <v>101898</v>
      </c>
      <c r="H3014" s="1405">
        <v>1235.93</v>
      </c>
      <c r="I3014" s="1405">
        <v>1242.52</v>
      </c>
    </row>
    <row r="3015" spans="2:9">
      <c r="B3015" s="1477">
        <v>101899</v>
      </c>
      <c r="C3015" s="740" t="s">
        <v>3979</v>
      </c>
      <c r="D3015" s="739" t="s">
        <v>22</v>
      </c>
      <c r="E3015" s="741">
        <f t="shared" si="94"/>
        <v>1977.72</v>
      </c>
      <c r="F3015">
        <f t="shared" si="95"/>
        <v>101899</v>
      </c>
      <c r="H3015" s="1406">
        <v>1971.13</v>
      </c>
      <c r="I3015" s="1406">
        <v>1977.72</v>
      </c>
    </row>
    <row r="3016" spans="2:9">
      <c r="B3016" s="677">
        <v>101900</v>
      </c>
      <c r="C3016" s="733" t="s">
        <v>3980</v>
      </c>
      <c r="D3016" s="677" t="s">
        <v>22</v>
      </c>
      <c r="E3016" s="738">
        <f t="shared" si="94"/>
        <v>4107.17</v>
      </c>
      <c r="F3016">
        <f t="shared" si="95"/>
        <v>101900</v>
      </c>
      <c r="H3016" s="1405">
        <v>4100.58</v>
      </c>
      <c r="I3016" s="1405">
        <v>4107.17</v>
      </c>
    </row>
    <row r="3017" spans="2:9">
      <c r="B3017" s="1477">
        <v>101901</v>
      </c>
      <c r="C3017" s="740" t="s">
        <v>3981</v>
      </c>
      <c r="D3017" s="739" t="s">
        <v>22</v>
      </c>
      <c r="E3017" s="741">
        <f t="shared" si="94"/>
        <v>129.99</v>
      </c>
      <c r="F3017">
        <f t="shared" si="95"/>
        <v>101901</v>
      </c>
      <c r="H3017" s="1406">
        <v>129.29</v>
      </c>
      <c r="I3017" s="1406">
        <v>129.99</v>
      </c>
    </row>
    <row r="3018" spans="2:9">
      <c r="B3018" s="677">
        <v>101902</v>
      </c>
      <c r="C3018" s="733" t="s">
        <v>3982</v>
      </c>
      <c r="D3018" s="677" t="s">
        <v>22</v>
      </c>
      <c r="E3018" s="738">
        <f t="shared" si="94"/>
        <v>160.82</v>
      </c>
      <c r="F3018">
        <f t="shared" si="95"/>
        <v>101902</v>
      </c>
      <c r="H3018" s="1405">
        <v>159.83000000000001</v>
      </c>
      <c r="I3018" s="1405">
        <v>160.82</v>
      </c>
    </row>
    <row r="3019" spans="2:9">
      <c r="B3019" s="1477">
        <v>101903</v>
      </c>
      <c r="C3019" s="740" t="s">
        <v>3983</v>
      </c>
      <c r="D3019" s="739" t="s">
        <v>22</v>
      </c>
      <c r="E3019" s="741">
        <f t="shared" si="94"/>
        <v>334.32</v>
      </c>
      <c r="F3019">
        <f t="shared" si="95"/>
        <v>101903</v>
      </c>
      <c r="H3019" s="1406">
        <v>332.3</v>
      </c>
      <c r="I3019" s="1406">
        <v>334.32</v>
      </c>
    </row>
    <row r="3020" spans="2:9">
      <c r="B3020" s="677">
        <v>101904</v>
      </c>
      <c r="C3020" s="733" t="s">
        <v>3984</v>
      </c>
      <c r="D3020" s="677" t="s">
        <v>22</v>
      </c>
      <c r="E3020" s="738">
        <f t="shared" si="94"/>
        <v>1221.71</v>
      </c>
      <c r="F3020">
        <f t="shared" si="95"/>
        <v>101904</v>
      </c>
      <c r="H3020" s="1405">
        <v>1217.8</v>
      </c>
      <c r="I3020" s="1405">
        <v>1221.71</v>
      </c>
    </row>
    <row r="3021" spans="2:9">
      <c r="B3021" s="1477">
        <v>101938</v>
      </c>
      <c r="C3021" s="740" t="s">
        <v>3985</v>
      </c>
      <c r="D3021" s="739" t="s">
        <v>22</v>
      </c>
      <c r="E3021" s="741">
        <f t="shared" si="94"/>
        <v>119.95</v>
      </c>
      <c r="F3021">
        <f t="shared" si="95"/>
        <v>101938</v>
      </c>
      <c r="H3021" s="1406">
        <v>117.79</v>
      </c>
      <c r="I3021" s="1406">
        <v>119.95</v>
      </c>
    </row>
    <row r="3022" spans="2:9">
      <c r="B3022" s="677">
        <v>101946</v>
      </c>
      <c r="C3022" s="733" t="s">
        <v>3986</v>
      </c>
      <c r="D3022" s="677" t="s">
        <v>22</v>
      </c>
      <c r="E3022" s="738">
        <f t="shared" si="94"/>
        <v>169.4</v>
      </c>
      <c r="F3022">
        <f t="shared" si="95"/>
        <v>101946</v>
      </c>
      <c r="H3022" s="1405">
        <v>161.81</v>
      </c>
      <c r="I3022" s="1405">
        <v>169.4</v>
      </c>
    </row>
    <row r="3023" spans="2:9" ht="30">
      <c r="B3023" s="1477">
        <v>91945</v>
      </c>
      <c r="C3023" s="740" t="s">
        <v>7634</v>
      </c>
      <c r="D3023" s="739" t="s">
        <v>22</v>
      </c>
      <c r="E3023" s="741">
        <f t="shared" si="94"/>
        <v>13.12</v>
      </c>
      <c r="F3023">
        <f t="shared" si="95"/>
        <v>91945</v>
      </c>
      <c r="H3023" s="1406">
        <v>12.19</v>
      </c>
      <c r="I3023" s="1406">
        <v>13.12</v>
      </c>
    </row>
    <row r="3024" spans="2:9" ht="30">
      <c r="B3024" s="677">
        <v>91946</v>
      </c>
      <c r="C3024" s="733" t="s">
        <v>7635</v>
      </c>
      <c r="D3024" s="677" t="s">
        <v>22</v>
      </c>
      <c r="E3024" s="738">
        <f t="shared" si="94"/>
        <v>10.26</v>
      </c>
      <c r="F3024">
        <f t="shared" si="95"/>
        <v>91946</v>
      </c>
      <c r="H3024" s="1405">
        <v>9.6199999999999992</v>
      </c>
      <c r="I3024" s="1405">
        <v>10.26</v>
      </c>
    </row>
    <row r="3025" spans="2:9" ht="30">
      <c r="B3025" s="1477">
        <v>91947</v>
      </c>
      <c r="C3025" s="740" t="s">
        <v>7636</v>
      </c>
      <c r="D3025" s="739" t="s">
        <v>22</v>
      </c>
      <c r="E3025" s="741">
        <f t="shared" si="94"/>
        <v>8.4499999999999993</v>
      </c>
      <c r="F3025">
        <f t="shared" si="95"/>
        <v>91947</v>
      </c>
      <c r="H3025" s="1406">
        <v>8</v>
      </c>
      <c r="I3025" s="1406">
        <v>8.4499999999999993</v>
      </c>
    </row>
    <row r="3026" spans="2:9" ht="30">
      <c r="B3026" s="677">
        <v>91949</v>
      </c>
      <c r="C3026" s="733" t="s">
        <v>7637</v>
      </c>
      <c r="D3026" s="677" t="s">
        <v>22</v>
      </c>
      <c r="E3026" s="738">
        <f t="shared" si="94"/>
        <v>18.45</v>
      </c>
      <c r="F3026">
        <f t="shared" si="95"/>
        <v>91949</v>
      </c>
      <c r="H3026" s="1405">
        <v>17.350000000000001</v>
      </c>
      <c r="I3026" s="1405">
        <v>18.45</v>
      </c>
    </row>
    <row r="3027" spans="2:9" ht="30">
      <c r="B3027" s="1477">
        <v>91950</v>
      </c>
      <c r="C3027" s="740" t="s">
        <v>7638</v>
      </c>
      <c r="D3027" s="739" t="s">
        <v>22</v>
      </c>
      <c r="E3027" s="741">
        <f t="shared" si="94"/>
        <v>14.95</v>
      </c>
      <c r="F3027">
        <f t="shared" si="95"/>
        <v>91950</v>
      </c>
      <c r="H3027" s="1406">
        <v>14.2</v>
      </c>
      <c r="I3027" s="1406">
        <v>14.95</v>
      </c>
    </row>
    <row r="3028" spans="2:9" ht="30">
      <c r="B3028" s="677">
        <v>91951</v>
      </c>
      <c r="C3028" s="733" t="s">
        <v>7639</v>
      </c>
      <c r="D3028" s="677" t="s">
        <v>22</v>
      </c>
      <c r="E3028" s="738">
        <f t="shared" si="94"/>
        <v>12.85</v>
      </c>
      <c r="F3028">
        <f t="shared" si="95"/>
        <v>91951</v>
      </c>
      <c r="H3028" s="1405">
        <v>12.32</v>
      </c>
      <c r="I3028" s="1405">
        <v>12.85</v>
      </c>
    </row>
    <row r="3029" spans="2:9">
      <c r="B3029" s="1477">
        <v>91952</v>
      </c>
      <c r="C3029" s="740" t="s">
        <v>7640</v>
      </c>
      <c r="D3029" s="739" t="s">
        <v>22</v>
      </c>
      <c r="E3029" s="741">
        <f t="shared" si="94"/>
        <v>17.55</v>
      </c>
      <c r="F3029">
        <f t="shared" si="95"/>
        <v>91952</v>
      </c>
      <c r="H3029" s="1406">
        <v>16.399999999999999</v>
      </c>
      <c r="I3029" s="1406">
        <v>17.55</v>
      </c>
    </row>
    <row r="3030" spans="2:9">
      <c r="B3030" s="677">
        <v>91953</v>
      </c>
      <c r="C3030" s="733" t="s">
        <v>7641</v>
      </c>
      <c r="D3030" s="677" t="s">
        <v>22</v>
      </c>
      <c r="E3030" s="738">
        <f t="shared" si="94"/>
        <v>27.81</v>
      </c>
      <c r="F3030">
        <f t="shared" si="95"/>
        <v>91953</v>
      </c>
      <c r="H3030" s="1405">
        <v>26.02</v>
      </c>
      <c r="I3030" s="1405">
        <v>27.81</v>
      </c>
    </row>
    <row r="3031" spans="2:9">
      <c r="B3031" s="1477">
        <v>91954</v>
      </c>
      <c r="C3031" s="740" t="s">
        <v>7642</v>
      </c>
      <c r="D3031" s="739" t="s">
        <v>22</v>
      </c>
      <c r="E3031" s="741">
        <f t="shared" si="94"/>
        <v>23.59</v>
      </c>
      <c r="F3031">
        <f t="shared" si="95"/>
        <v>91954</v>
      </c>
      <c r="H3031" s="1406">
        <v>22.01</v>
      </c>
      <c r="I3031" s="1406">
        <v>23.59</v>
      </c>
    </row>
    <row r="3032" spans="2:9">
      <c r="B3032" s="677">
        <v>91955</v>
      </c>
      <c r="C3032" s="733" t="s">
        <v>7643</v>
      </c>
      <c r="D3032" s="677" t="s">
        <v>22</v>
      </c>
      <c r="E3032" s="738">
        <f t="shared" si="94"/>
        <v>33.85</v>
      </c>
      <c r="F3032">
        <f t="shared" si="95"/>
        <v>91955</v>
      </c>
      <c r="H3032" s="1405">
        <v>31.63</v>
      </c>
      <c r="I3032" s="1405">
        <v>33.85</v>
      </c>
    </row>
    <row r="3033" spans="2:9" ht="30">
      <c r="B3033" s="1477">
        <v>91956</v>
      </c>
      <c r="C3033" s="740" t="s">
        <v>7644</v>
      </c>
      <c r="D3033" s="739" t="s">
        <v>22</v>
      </c>
      <c r="E3033" s="741">
        <f t="shared" si="94"/>
        <v>38.090000000000003</v>
      </c>
      <c r="F3033">
        <f t="shared" si="95"/>
        <v>91956</v>
      </c>
      <c r="H3033" s="1406">
        <v>35.67</v>
      </c>
      <c r="I3033" s="1406">
        <v>38.090000000000003</v>
      </c>
    </row>
    <row r="3034" spans="2:9" ht="30">
      <c r="B3034" s="677">
        <v>91957</v>
      </c>
      <c r="C3034" s="733" t="s">
        <v>7645</v>
      </c>
      <c r="D3034" s="677" t="s">
        <v>22</v>
      </c>
      <c r="E3034" s="738">
        <f t="shared" si="94"/>
        <v>48.35</v>
      </c>
      <c r="F3034">
        <f t="shared" si="95"/>
        <v>91957</v>
      </c>
      <c r="H3034" s="1405">
        <v>45.29</v>
      </c>
      <c r="I3034" s="1405">
        <v>48.35</v>
      </c>
    </row>
    <row r="3035" spans="2:9">
      <c r="B3035" s="1477">
        <v>91958</v>
      </c>
      <c r="C3035" s="740" t="s">
        <v>7646</v>
      </c>
      <c r="D3035" s="739" t="s">
        <v>22</v>
      </c>
      <c r="E3035" s="741">
        <f t="shared" si="94"/>
        <v>32.1</v>
      </c>
      <c r="F3035">
        <f t="shared" si="95"/>
        <v>91958</v>
      </c>
      <c r="H3035" s="1406">
        <v>30.1</v>
      </c>
      <c r="I3035" s="1406">
        <v>32.1</v>
      </c>
    </row>
    <row r="3036" spans="2:9">
      <c r="B3036" s="677">
        <v>91959</v>
      </c>
      <c r="C3036" s="733" t="s">
        <v>7647</v>
      </c>
      <c r="D3036" s="677" t="s">
        <v>22</v>
      </c>
      <c r="E3036" s="738">
        <f t="shared" si="94"/>
        <v>42.36</v>
      </c>
      <c r="F3036">
        <f t="shared" si="95"/>
        <v>91959</v>
      </c>
      <c r="H3036" s="1405">
        <v>39.72</v>
      </c>
      <c r="I3036" s="1405">
        <v>42.36</v>
      </c>
    </row>
    <row r="3037" spans="2:9">
      <c r="B3037" s="1477">
        <v>91960</v>
      </c>
      <c r="C3037" s="740" t="s">
        <v>7648</v>
      </c>
      <c r="D3037" s="739" t="s">
        <v>22</v>
      </c>
      <c r="E3037" s="741">
        <f t="shared" si="94"/>
        <v>44.18</v>
      </c>
      <c r="F3037">
        <f t="shared" si="95"/>
        <v>91960</v>
      </c>
      <c r="H3037" s="1406">
        <v>41.32</v>
      </c>
      <c r="I3037" s="1406">
        <v>44.18</v>
      </c>
    </row>
    <row r="3038" spans="2:9">
      <c r="B3038" s="677">
        <v>91961</v>
      </c>
      <c r="C3038" s="733" t="s">
        <v>7649</v>
      </c>
      <c r="D3038" s="677" t="s">
        <v>22</v>
      </c>
      <c r="E3038" s="738">
        <f t="shared" si="94"/>
        <v>54.44</v>
      </c>
      <c r="F3038">
        <f t="shared" si="95"/>
        <v>91961</v>
      </c>
      <c r="H3038" s="1405">
        <v>50.94</v>
      </c>
      <c r="I3038" s="1405">
        <v>54.44</v>
      </c>
    </row>
    <row r="3039" spans="2:9" ht="30">
      <c r="B3039" s="1477">
        <v>91962</v>
      </c>
      <c r="C3039" s="740" t="s">
        <v>7650</v>
      </c>
      <c r="D3039" s="739" t="s">
        <v>22</v>
      </c>
      <c r="E3039" s="741">
        <f t="shared" si="94"/>
        <v>58.67</v>
      </c>
      <c r="F3039">
        <f t="shared" si="95"/>
        <v>91962</v>
      </c>
      <c r="H3039" s="1406">
        <v>54.98</v>
      </c>
      <c r="I3039" s="1406">
        <v>58.67</v>
      </c>
    </row>
    <row r="3040" spans="2:9" ht="30">
      <c r="B3040" s="677">
        <v>91963</v>
      </c>
      <c r="C3040" s="733" t="s">
        <v>7651</v>
      </c>
      <c r="D3040" s="677" t="s">
        <v>22</v>
      </c>
      <c r="E3040" s="738">
        <f t="shared" si="94"/>
        <v>68.930000000000007</v>
      </c>
      <c r="F3040">
        <f t="shared" si="95"/>
        <v>91963</v>
      </c>
      <c r="H3040" s="1405">
        <v>64.599999999999994</v>
      </c>
      <c r="I3040" s="1405">
        <v>68.930000000000007</v>
      </c>
    </row>
    <row r="3041" spans="2:9" ht="30">
      <c r="B3041" s="1477">
        <v>91964</v>
      </c>
      <c r="C3041" s="740" t="s">
        <v>7652</v>
      </c>
      <c r="D3041" s="739" t="s">
        <v>22</v>
      </c>
      <c r="E3041" s="741">
        <f t="shared" si="94"/>
        <v>52.64</v>
      </c>
      <c r="F3041">
        <f t="shared" si="95"/>
        <v>91964</v>
      </c>
      <c r="H3041" s="1406">
        <v>49.37</v>
      </c>
      <c r="I3041" s="1406">
        <v>52.64</v>
      </c>
    </row>
    <row r="3042" spans="2:9" ht="30">
      <c r="B3042" s="677">
        <v>91965</v>
      </c>
      <c r="C3042" s="733" t="s">
        <v>7653</v>
      </c>
      <c r="D3042" s="677" t="s">
        <v>22</v>
      </c>
      <c r="E3042" s="738">
        <f t="shared" si="94"/>
        <v>62.9</v>
      </c>
      <c r="F3042">
        <f t="shared" si="95"/>
        <v>91965</v>
      </c>
      <c r="H3042" s="1405">
        <v>58.99</v>
      </c>
      <c r="I3042" s="1405">
        <v>62.9</v>
      </c>
    </row>
    <row r="3043" spans="2:9">
      <c r="B3043" s="1477">
        <v>91966</v>
      </c>
      <c r="C3043" s="740" t="s">
        <v>7654</v>
      </c>
      <c r="D3043" s="739" t="s">
        <v>22</v>
      </c>
      <c r="E3043" s="741">
        <f t="shared" si="94"/>
        <v>46.66</v>
      </c>
      <c r="F3043">
        <f t="shared" si="95"/>
        <v>91966</v>
      </c>
      <c r="H3043" s="1406">
        <v>43.8</v>
      </c>
      <c r="I3043" s="1406">
        <v>46.66</v>
      </c>
    </row>
    <row r="3044" spans="2:9">
      <c r="B3044" s="677">
        <v>91967</v>
      </c>
      <c r="C3044" s="733" t="s">
        <v>7655</v>
      </c>
      <c r="D3044" s="677" t="s">
        <v>22</v>
      </c>
      <c r="E3044" s="738">
        <f t="shared" si="94"/>
        <v>56.92</v>
      </c>
      <c r="F3044">
        <f t="shared" si="95"/>
        <v>91967</v>
      </c>
      <c r="H3044" s="1405">
        <v>53.42</v>
      </c>
      <c r="I3044" s="1405">
        <v>56.92</v>
      </c>
    </row>
    <row r="3045" spans="2:9">
      <c r="B3045" s="1477">
        <v>91968</v>
      </c>
      <c r="C3045" s="740" t="s">
        <v>7656</v>
      </c>
      <c r="D3045" s="739" t="s">
        <v>22</v>
      </c>
      <c r="E3045" s="741">
        <f t="shared" si="94"/>
        <v>64.7</v>
      </c>
      <c r="F3045">
        <f t="shared" si="95"/>
        <v>91968</v>
      </c>
      <c r="H3045" s="1406">
        <v>60.59</v>
      </c>
      <c r="I3045" s="1406">
        <v>64.7</v>
      </c>
    </row>
    <row r="3046" spans="2:9">
      <c r="B3046" s="677">
        <v>91969</v>
      </c>
      <c r="C3046" s="733" t="s">
        <v>7657</v>
      </c>
      <c r="D3046" s="677" t="s">
        <v>22</v>
      </c>
      <c r="E3046" s="738">
        <f t="shared" si="94"/>
        <v>74.959999999999994</v>
      </c>
      <c r="F3046">
        <f t="shared" si="95"/>
        <v>91969</v>
      </c>
      <c r="H3046" s="1405">
        <v>70.209999999999994</v>
      </c>
      <c r="I3046" s="1405">
        <v>74.959999999999994</v>
      </c>
    </row>
    <row r="3047" spans="2:9" ht="30">
      <c r="B3047" s="1477">
        <v>91970</v>
      </c>
      <c r="C3047" s="740" t="s">
        <v>7658</v>
      </c>
      <c r="D3047" s="739" t="s">
        <v>22</v>
      </c>
      <c r="E3047" s="741">
        <f t="shared" si="94"/>
        <v>67.53</v>
      </c>
      <c r="F3047">
        <f t="shared" si="95"/>
        <v>91970</v>
      </c>
      <c r="H3047" s="1406">
        <v>63.38</v>
      </c>
      <c r="I3047" s="1406">
        <v>67.53</v>
      </c>
    </row>
    <row r="3048" spans="2:9" ht="30">
      <c r="B3048" s="677">
        <v>91971</v>
      </c>
      <c r="C3048" s="733" t="s">
        <v>7659</v>
      </c>
      <c r="D3048" s="677" t="s">
        <v>22</v>
      </c>
      <c r="E3048" s="738">
        <f t="shared" si="94"/>
        <v>82.48</v>
      </c>
      <c r="F3048">
        <f t="shared" si="95"/>
        <v>91971</v>
      </c>
      <c r="H3048" s="1405">
        <v>77.58</v>
      </c>
      <c r="I3048" s="1405">
        <v>82.48</v>
      </c>
    </row>
    <row r="3049" spans="2:9" ht="30">
      <c r="B3049" s="1477">
        <v>91972</v>
      </c>
      <c r="C3049" s="740" t="s">
        <v>7660</v>
      </c>
      <c r="D3049" s="739" t="s">
        <v>22</v>
      </c>
      <c r="E3049" s="741">
        <f t="shared" si="94"/>
        <v>73.61</v>
      </c>
      <c r="F3049">
        <f t="shared" si="95"/>
        <v>91972</v>
      </c>
      <c r="H3049" s="1406">
        <v>69.03</v>
      </c>
      <c r="I3049" s="1406">
        <v>73.61</v>
      </c>
    </row>
    <row r="3050" spans="2:9" ht="30">
      <c r="B3050" s="677">
        <v>91973</v>
      </c>
      <c r="C3050" s="733" t="s">
        <v>7661</v>
      </c>
      <c r="D3050" s="677" t="s">
        <v>22</v>
      </c>
      <c r="E3050" s="738">
        <f t="shared" si="94"/>
        <v>88.56</v>
      </c>
      <c r="F3050">
        <f t="shared" si="95"/>
        <v>91973</v>
      </c>
      <c r="H3050" s="1405">
        <v>83.23</v>
      </c>
      <c r="I3050" s="1405">
        <v>88.56</v>
      </c>
    </row>
    <row r="3051" spans="2:9">
      <c r="B3051" s="1477">
        <v>91974</v>
      </c>
      <c r="C3051" s="740" t="s">
        <v>7662</v>
      </c>
      <c r="D3051" s="739" t="s">
        <v>22</v>
      </c>
      <c r="E3051" s="741">
        <f t="shared" si="94"/>
        <v>61.49</v>
      </c>
      <c r="F3051">
        <f t="shared" si="95"/>
        <v>91974</v>
      </c>
      <c r="H3051" s="1406">
        <v>57.77</v>
      </c>
      <c r="I3051" s="1406">
        <v>61.49</v>
      </c>
    </row>
    <row r="3052" spans="2:9">
      <c r="B3052" s="677">
        <v>91975</v>
      </c>
      <c r="C3052" s="733" t="s">
        <v>7663</v>
      </c>
      <c r="D3052" s="677" t="s">
        <v>22</v>
      </c>
      <c r="E3052" s="738">
        <f t="shared" si="94"/>
        <v>76.44</v>
      </c>
      <c r="F3052">
        <f t="shared" si="95"/>
        <v>91975</v>
      </c>
      <c r="H3052" s="1405">
        <v>71.97</v>
      </c>
      <c r="I3052" s="1405">
        <v>76.44</v>
      </c>
    </row>
    <row r="3053" spans="2:9">
      <c r="B3053" s="1477">
        <v>91976</v>
      </c>
      <c r="C3053" s="740" t="s">
        <v>7664</v>
      </c>
      <c r="D3053" s="739" t="s">
        <v>22</v>
      </c>
      <c r="E3053" s="741">
        <f t="shared" si="94"/>
        <v>90.64</v>
      </c>
      <c r="F3053">
        <f t="shared" si="95"/>
        <v>91976</v>
      </c>
      <c r="H3053" s="1406">
        <v>85.22</v>
      </c>
      <c r="I3053" s="1406">
        <v>90.64</v>
      </c>
    </row>
    <row r="3054" spans="2:9">
      <c r="B3054" s="677">
        <v>91977</v>
      </c>
      <c r="C3054" s="733" t="s">
        <v>7665</v>
      </c>
      <c r="D3054" s="677" t="s">
        <v>22</v>
      </c>
      <c r="E3054" s="738">
        <f t="shared" si="94"/>
        <v>105.59</v>
      </c>
      <c r="F3054">
        <f t="shared" si="95"/>
        <v>91977</v>
      </c>
      <c r="H3054" s="1405">
        <v>99.42</v>
      </c>
      <c r="I3054" s="1405">
        <v>105.59</v>
      </c>
    </row>
    <row r="3055" spans="2:9">
      <c r="B3055" s="1477">
        <v>91978</v>
      </c>
      <c r="C3055" s="740" t="s">
        <v>7666</v>
      </c>
      <c r="D3055" s="739" t="s">
        <v>22</v>
      </c>
      <c r="E3055" s="741">
        <f t="shared" si="94"/>
        <v>36.92</v>
      </c>
      <c r="F3055">
        <f t="shared" si="95"/>
        <v>91978</v>
      </c>
      <c r="H3055" s="1406">
        <v>34.92</v>
      </c>
      <c r="I3055" s="1406">
        <v>36.92</v>
      </c>
    </row>
    <row r="3056" spans="2:9">
      <c r="B3056" s="677">
        <v>91979</v>
      </c>
      <c r="C3056" s="733" t="s">
        <v>7667</v>
      </c>
      <c r="D3056" s="677" t="s">
        <v>22</v>
      </c>
      <c r="E3056" s="738">
        <f t="shared" si="94"/>
        <v>47.18</v>
      </c>
      <c r="F3056">
        <f t="shared" si="95"/>
        <v>91979</v>
      </c>
      <c r="H3056" s="1405">
        <v>44.54</v>
      </c>
      <c r="I3056" s="1405">
        <v>47.18</v>
      </c>
    </row>
    <row r="3057" spans="2:9">
      <c r="B3057" s="1477">
        <v>91980</v>
      </c>
      <c r="C3057" s="740" t="s">
        <v>7668</v>
      </c>
      <c r="D3057" s="739" t="s">
        <v>22</v>
      </c>
      <c r="E3057" s="741">
        <f t="shared" si="94"/>
        <v>35.81</v>
      </c>
      <c r="F3057">
        <f t="shared" si="95"/>
        <v>91980</v>
      </c>
      <c r="H3057" s="1406">
        <v>33.81</v>
      </c>
      <c r="I3057" s="1406">
        <v>35.81</v>
      </c>
    </row>
    <row r="3058" spans="2:9">
      <c r="B3058" s="677">
        <v>91981</v>
      </c>
      <c r="C3058" s="733" t="s">
        <v>7669</v>
      </c>
      <c r="D3058" s="677" t="s">
        <v>22</v>
      </c>
      <c r="E3058" s="738">
        <f t="shared" si="94"/>
        <v>46.07</v>
      </c>
      <c r="F3058">
        <f t="shared" si="95"/>
        <v>91981</v>
      </c>
      <c r="H3058" s="1405">
        <v>43.43</v>
      </c>
      <c r="I3058" s="1405">
        <v>46.07</v>
      </c>
    </row>
    <row r="3059" spans="2:9">
      <c r="B3059" s="1477">
        <v>91982</v>
      </c>
      <c r="C3059" s="740" t="s">
        <v>7670</v>
      </c>
      <c r="D3059" s="739" t="s">
        <v>22</v>
      </c>
      <c r="E3059" s="741">
        <f t="shared" si="94"/>
        <v>81.19</v>
      </c>
      <c r="F3059">
        <f t="shared" si="95"/>
        <v>91982</v>
      </c>
      <c r="H3059" s="1406">
        <v>80.040000000000006</v>
      </c>
      <c r="I3059" s="1406">
        <v>81.19</v>
      </c>
    </row>
    <row r="3060" spans="2:9">
      <c r="B3060" s="677">
        <v>91983</v>
      </c>
      <c r="C3060" s="733" t="s">
        <v>7671</v>
      </c>
      <c r="D3060" s="677" t="s">
        <v>22</v>
      </c>
      <c r="E3060" s="738">
        <f t="shared" si="94"/>
        <v>91.45</v>
      </c>
      <c r="F3060">
        <f t="shared" si="95"/>
        <v>91983</v>
      </c>
      <c r="H3060" s="1405">
        <v>89.66</v>
      </c>
      <c r="I3060" s="1405">
        <v>91.45</v>
      </c>
    </row>
    <row r="3061" spans="2:9" ht="30">
      <c r="B3061" s="1477">
        <v>91984</v>
      </c>
      <c r="C3061" s="740" t="s">
        <v>7672</v>
      </c>
      <c r="D3061" s="739" t="s">
        <v>22</v>
      </c>
      <c r="E3061" s="741">
        <f t="shared" si="94"/>
        <v>16.53</v>
      </c>
      <c r="F3061">
        <f t="shared" si="95"/>
        <v>91984</v>
      </c>
      <c r="H3061" s="1406">
        <v>15.38</v>
      </c>
      <c r="I3061" s="1406">
        <v>16.53</v>
      </c>
    </row>
    <row r="3062" spans="2:9" ht="30">
      <c r="B3062" s="677">
        <v>91985</v>
      </c>
      <c r="C3062" s="733" t="s">
        <v>7673</v>
      </c>
      <c r="D3062" s="677" t="s">
        <v>22</v>
      </c>
      <c r="E3062" s="738">
        <f t="shared" si="94"/>
        <v>26.79</v>
      </c>
      <c r="F3062">
        <f t="shared" si="95"/>
        <v>91985</v>
      </c>
      <c r="H3062" s="1405">
        <v>25</v>
      </c>
      <c r="I3062" s="1405">
        <v>26.79</v>
      </c>
    </row>
    <row r="3063" spans="2:9">
      <c r="B3063" s="1477">
        <v>91986</v>
      </c>
      <c r="C3063" s="740" t="s">
        <v>7674</v>
      </c>
      <c r="D3063" s="739" t="s">
        <v>22</v>
      </c>
      <c r="E3063" s="741">
        <f t="shared" si="94"/>
        <v>34.380000000000003</v>
      </c>
      <c r="F3063">
        <f t="shared" si="95"/>
        <v>91986</v>
      </c>
      <c r="H3063" s="1406">
        <v>32.590000000000003</v>
      </c>
      <c r="I3063" s="1406">
        <v>34.380000000000003</v>
      </c>
    </row>
    <row r="3064" spans="2:9">
      <c r="B3064" s="677">
        <v>91987</v>
      </c>
      <c r="C3064" s="733" t="s">
        <v>7675</v>
      </c>
      <c r="D3064" s="677" t="s">
        <v>22</v>
      </c>
      <c r="E3064" s="738">
        <f t="shared" si="94"/>
        <v>44.64</v>
      </c>
      <c r="F3064">
        <f t="shared" si="95"/>
        <v>91987</v>
      </c>
      <c r="H3064" s="1405">
        <v>42.21</v>
      </c>
      <c r="I3064" s="1405">
        <v>44.64</v>
      </c>
    </row>
    <row r="3065" spans="2:9" ht="30">
      <c r="B3065" s="1477">
        <v>91988</v>
      </c>
      <c r="C3065" s="740" t="s">
        <v>7676</v>
      </c>
      <c r="D3065" s="739" t="s">
        <v>22</v>
      </c>
      <c r="E3065" s="741">
        <f t="shared" si="94"/>
        <v>20.23</v>
      </c>
      <c r="F3065">
        <f t="shared" si="95"/>
        <v>91988</v>
      </c>
      <c r="H3065" s="1406">
        <v>19.079999999999998</v>
      </c>
      <c r="I3065" s="1406">
        <v>20.23</v>
      </c>
    </row>
    <row r="3066" spans="2:9" ht="30">
      <c r="B3066" s="677">
        <v>91989</v>
      </c>
      <c r="C3066" s="733" t="s">
        <v>7677</v>
      </c>
      <c r="D3066" s="677" t="s">
        <v>22</v>
      </c>
      <c r="E3066" s="738">
        <f t="shared" si="94"/>
        <v>30.49</v>
      </c>
      <c r="F3066">
        <f t="shared" si="95"/>
        <v>91989</v>
      </c>
      <c r="H3066" s="1405">
        <v>28.7</v>
      </c>
      <c r="I3066" s="1405">
        <v>30.49</v>
      </c>
    </row>
    <row r="3067" spans="2:9">
      <c r="B3067" s="1477">
        <v>91990</v>
      </c>
      <c r="C3067" s="740" t="s">
        <v>7678</v>
      </c>
      <c r="D3067" s="739" t="s">
        <v>22</v>
      </c>
      <c r="E3067" s="741">
        <f t="shared" si="94"/>
        <v>32</v>
      </c>
      <c r="F3067">
        <f t="shared" si="95"/>
        <v>91990</v>
      </c>
      <c r="H3067" s="1406">
        <v>29.45</v>
      </c>
      <c r="I3067" s="1406">
        <v>32</v>
      </c>
    </row>
    <row r="3068" spans="2:9">
      <c r="B3068" s="677">
        <v>91991</v>
      </c>
      <c r="C3068" s="733" t="s">
        <v>7679</v>
      </c>
      <c r="D3068" s="677" t="s">
        <v>22</v>
      </c>
      <c r="E3068" s="738">
        <f t="shared" si="94"/>
        <v>33.99</v>
      </c>
      <c r="F3068">
        <f t="shared" si="95"/>
        <v>91991</v>
      </c>
      <c r="H3068" s="1405">
        <v>31.44</v>
      </c>
      <c r="I3068" s="1405">
        <v>33.99</v>
      </c>
    </row>
    <row r="3069" spans="2:9">
      <c r="B3069" s="1477">
        <v>91992</v>
      </c>
      <c r="C3069" s="740" t="s">
        <v>7680</v>
      </c>
      <c r="D3069" s="739" t="s">
        <v>22</v>
      </c>
      <c r="E3069" s="741">
        <f t="shared" si="94"/>
        <v>42.26</v>
      </c>
      <c r="F3069">
        <f t="shared" si="95"/>
        <v>91992</v>
      </c>
      <c r="H3069" s="1406">
        <v>39.07</v>
      </c>
      <c r="I3069" s="1406">
        <v>42.26</v>
      </c>
    </row>
    <row r="3070" spans="2:9">
      <c r="B3070" s="677">
        <v>91993</v>
      </c>
      <c r="C3070" s="733" t="s">
        <v>7681</v>
      </c>
      <c r="D3070" s="677" t="s">
        <v>22</v>
      </c>
      <c r="E3070" s="738">
        <f t="shared" si="94"/>
        <v>44.25</v>
      </c>
      <c r="F3070">
        <f t="shared" si="95"/>
        <v>91993</v>
      </c>
      <c r="H3070" s="1405">
        <v>41.06</v>
      </c>
      <c r="I3070" s="1405">
        <v>44.25</v>
      </c>
    </row>
    <row r="3071" spans="2:9">
      <c r="B3071" s="1477">
        <v>91994</v>
      </c>
      <c r="C3071" s="740" t="s">
        <v>7682</v>
      </c>
      <c r="D3071" s="739" t="s">
        <v>22</v>
      </c>
      <c r="E3071" s="741">
        <f t="shared" si="94"/>
        <v>22.56</v>
      </c>
      <c r="F3071">
        <f t="shared" si="95"/>
        <v>91994</v>
      </c>
      <c r="H3071" s="1406">
        <v>20.98</v>
      </c>
      <c r="I3071" s="1406">
        <v>22.56</v>
      </c>
    </row>
    <row r="3072" spans="2:9">
      <c r="B3072" s="677">
        <v>91995</v>
      </c>
      <c r="C3072" s="733" t="s">
        <v>7683</v>
      </c>
      <c r="D3072" s="677" t="s">
        <v>22</v>
      </c>
      <c r="E3072" s="738">
        <f t="shared" si="94"/>
        <v>24.55</v>
      </c>
      <c r="F3072">
        <f t="shared" si="95"/>
        <v>91995</v>
      </c>
      <c r="H3072" s="1405">
        <v>22.97</v>
      </c>
      <c r="I3072" s="1405">
        <v>24.55</v>
      </c>
    </row>
    <row r="3073" spans="2:9">
      <c r="B3073" s="1477">
        <v>91996</v>
      </c>
      <c r="C3073" s="740" t="s">
        <v>7684</v>
      </c>
      <c r="D3073" s="739" t="s">
        <v>22</v>
      </c>
      <c r="E3073" s="741">
        <f t="shared" si="94"/>
        <v>32.82</v>
      </c>
      <c r="F3073">
        <f t="shared" si="95"/>
        <v>91996</v>
      </c>
      <c r="H3073" s="1406">
        <v>30.6</v>
      </c>
      <c r="I3073" s="1406">
        <v>32.82</v>
      </c>
    </row>
    <row r="3074" spans="2:9">
      <c r="B3074" s="677">
        <v>91997</v>
      </c>
      <c r="C3074" s="733" t="s">
        <v>7685</v>
      </c>
      <c r="D3074" s="677" t="s">
        <v>22</v>
      </c>
      <c r="E3074" s="738">
        <f t="shared" si="94"/>
        <v>34.81</v>
      </c>
      <c r="F3074">
        <f t="shared" si="95"/>
        <v>91997</v>
      </c>
      <c r="H3074" s="1405">
        <v>32.590000000000003</v>
      </c>
      <c r="I3074" s="1405">
        <v>34.81</v>
      </c>
    </row>
    <row r="3075" spans="2:9">
      <c r="B3075" s="1477">
        <v>91998</v>
      </c>
      <c r="C3075" s="740" t="s">
        <v>7686</v>
      </c>
      <c r="D3075" s="739" t="s">
        <v>22</v>
      </c>
      <c r="E3075" s="741">
        <f t="shared" ref="E3075:E3138" si="96">IF($K$2=$H$1,H3075,I3075)</f>
        <v>18.91</v>
      </c>
      <c r="F3075">
        <f t="shared" ref="F3075:F3138" si="97">IF(LEN($B3075)=7,CONCATENATE(MID($B3075,1,6),"00",RIGHT($B3075,1)),IF(LEN($B3075)=8,CONCATENATE(MID($B3075,1,6),"0",RIGHT($B3075,2)),$B3075))</f>
        <v>91998</v>
      </c>
      <c r="H3075" s="1406">
        <v>17.7</v>
      </c>
      <c r="I3075" s="1406">
        <v>18.91</v>
      </c>
    </row>
    <row r="3076" spans="2:9">
      <c r="B3076" s="677">
        <v>91999</v>
      </c>
      <c r="C3076" s="733" t="s">
        <v>7687</v>
      </c>
      <c r="D3076" s="677" t="s">
        <v>22</v>
      </c>
      <c r="E3076" s="738">
        <f t="shared" si="96"/>
        <v>20.9</v>
      </c>
      <c r="F3076">
        <f t="shared" si="97"/>
        <v>91999</v>
      </c>
      <c r="H3076" s="1405">
        <v>19.690000000000001</v>
      </c>
      <c r="I3076" s="1405">
        <v>20.9</v>
      </c>
    </row>
    <row r="3077" spans="2:9">
      <c r="B3077" s="1477">
        <v>92000</v>
      </c>
      <c r="C3077" s="740" t="s">
        <v>7688</v>
      </c>
      <c r="D3077" s="739" t="s">
        <v>22</v>
      </c>
      <c r="E3077" s="741">
        <f t="shared" si="96"/>
        <v>29.17</v>
      </c>
      <c r="F3077">
        <f t="shared" si="97"/>
        <v>92000</v>
      </c>
      <c r="H3077" s="1406">
        <v>27.32</v>
      </c>
      <c r="I3077" s="1406">
        <v>29.17</v>
      </c>
    </row>
    <row r="3078" spans="2:9">
      <c r="B3078" s="677">
        <v>92001</v>
      </c>
      <c r="C3078" s="733" t="s">
        <v>7689</v>
      </c>
      <c r="D3078" s="677" t="s">
        <v>22</v>
      </c>
      <c r="E3078" s="738">
        <f t="shared" si="96"/>
        <v>31.16</v>
      </c>
      <c r="F3078">
        <f t="shared" si="97"/>
        <v>92001</v>
      </c>
      <c r="H3078" s="1405">
        <v>29.31</v>
      </c>
      <c r="I3078" s="1405">
        <v>31.16</v>
      </c>
    </row>
    <row r="3079" spans="2:9">
      <c r="B3079" s="1477">
        <v>92002</v>
      </c>
      <c r="C3079" s="740" t="s">
        <v>7690</v>
      </c>
      <c r="D3079" s="739" t="s">
        <v>22</v>
      </c>
      <c r="E3079" s="741">
        <f t="shared" si="96"/>
        <v>42.12</v>
      </c>
      <c r="F3079">
        <f t="shared" si="97"/>
        <v>92002</v>
      </c>
      <c r="H3079" s="1406">
        <v>39.26</v>
      </c>
      <c r="I3079" s="1406">
        <v>42.12</v>
      </c>
    </row>
    <row r="3080" spans="2:9">
      <c r="B3080" s="677">
        <v>92003</v>
      </c>
      <c r="C3080" s="733" t="s">
        <v>7691</v>
      </c>
      <c r="D3080" s="677" t="s">
        <v>22</v>
      </c>
      <c r="E3080" s="738">
        <f t="shared" si="96"/>
        <v>46.1</v>
      </c>
      <c r="F3080">
        <f t="shared" si="97"/>
        <v>92003</v>
      </c>
      <c r="H3080" s="1405">
        <v>43.24</v>
      </c>
      <c r="I3080" s="1405">
        <v>46.1</v>
      </c>
    </row>
    <row r="3081" spans="2:9">
      <c r="B3081" s="1477">
        <v>92004</v>
      </c>
      <c r="C3081" s="740" t="s">
        <v>7692</v>
      </c>
      <c r="D3081" s="739" t="s">
        <v>22</v>
      </c>
      <c r="E3081" s="741">
        <f t="shared" si="96"/>
        <v>52.38</v>
      </c>
      <c r="F3081">
        <f t="shared" si="97"/>
        <v>92004</v>
      </c>
      <c r="H3081" s="1406">
        <v>48.88</v>
      </c>
      <c r="I3081" s="1406">
        <v>52.38</v>
      </c>
    </row>
    <row r="3082" spans="2:9">
      <c r="B3082" s="677">
        <v>92005</v>
      </c>
      <c r="C3082" s="733" t="s">
        <v>7693</v>
      </c>
      <c r="D3082" s="677" t="s">
        <v>22</v>
      </c>
      <c r="E3082" s="738">
        <f t="shared" si="96"/>
        <v>56.36</v>
      </c>
      <c r="F3082">
        <f t="shared" si="97"/>
        <v>92005</v>
      </c>
      <c r="H3082" s="1405">
        <v>52.86</v>
      </c>
      <c r="I3082" s="1405">
        <v>56.36</v>
      </c>
    </row>
    <row r="3083" spans="2:9">
      <c r="B3083" s="1477">
        <v>92006</v>
      </c>
      <c r="C3083" s="740" t="s">
        <v>7694</v>
      </c>
      <c r="D3083" s="739" t="s">
        <v>22</v>
      </c>
      <c r="E3083" s="741">
        <f t="shared" si="96"/>
        <v>34.770000000000003</v>
      </c>
      <c r="F3083">
        <f t="shared" si="97"/>
        <v>92006</v>
      </c>
      <c r="H3083" s="1406">
        <v>32.67</v>
      </c>
      <c r="I3083" s="1406">
        <v>34.770000000000003</v>
      </c>
    </row>
    <row r="3084" spans="2:9">
      <c r="B3084" s="677">
        <v>92007</v>
      </c>
      <c r="C3084" s="733" t="s">
        <v>7695</v>
      </c>
      <c r="D3084" s="677" t="s">
        <v>22</v>
      </c>
      <c r="E3084" s="738">
        <f t="shared" si="96"/>
        <v>38.75</v>
      </c>
      <c r="F3084">
        <f t="shared" si="97"/>
        <v>92007</v>
      </c>
      <c r="H3084" s="1405">
        <v>36.65</v>
      </c>
      <c r="I3084" s="1405">
        <v>38.75</v>
      </c>
    </row>
    <row r="3085" spans="2:9">
      <c r="B3085" s="1477">
        <v>92008</v>
      </c>
      <c r="C3085" s="740" t="s">
        <v>7696</v>
      </c>
      <c r="D3085" s="739" t="s">
        <v>22</v>
      </c>
      <c r="E3085" s="741">
        <f t="shared" si="96"/>
        <v>45.03</v>
      </c>
      <c r="F3085">
        <f t="shared" si="97"/>
        <v>92008</v>
      </c>
      <c r="H3085" s="1406">
        <v>42.29</v>
      </c>
      <c r="I3085" s="1406">
        <v>45.03</v>
      </c>
    </row>
    <row r="3086" spans="2:9">
      <c r="B3086" s="677">
        <v>92009</v>
      </c>
      <c r="C3086" s="733" t="s">
        <v>7697</v>
      </c>
      <c r="D3086" s="677" t="s">
        <v>22</v>
      </c>
      <c r="E3086" s="738">
        <f t="shared" si="96"/>
        <v>49.01</v>
      </c>
      <c r="F3086">
        <f t="shared" si="97"/>
        <v>92009</v>
      </c>
      <c r="H3086" s="1405">
        <v>46.27</v>
      </c>
      <c r="I3086" s="1405">
        <v>49.01</v>
      </c>
    </row>
    <row r="3087" spans="2:9">
      <c r="B3087" s="1477">
        <v>92010</v>
      </c>
      <c r="C3087" s="740" t="s">
        <v>7698</v>
      </c>
      <c r="D3087" s="739" t="s">
        <v>22</v>
      </c>
      <c r="E3087" s="741">
        <f t="shared" si="96"/>
        <v>61.61</v>
      </c>
      <c r="F3087">
        <f t="shared" si="97"/>
        <v>92010</v>
      </c>
      <c r="H3087" s="1406">
        <v>57.5</v>
      </c>
      <c r="I3087" s="1406">
        <v>61.61</v>
      </c>
    </row>
    <row r="3088" spans="2:9">
      <c r="B3088" s="677">
        <v>92011</v>
      </c>
      <c r="C3088" s="733" t="s">
        <v>7699</v>
      </c>
      <c r="D3088" s="677" t="s">
        <v>22</v>
      </c>
      <c r="E3088" s="738">
        <f t="shared" si="96"/>
        <v>67.58</v>
      </c>
      <c r="F3088">
        <f t="shared" si="97"/>
        <v>92011</v>
      </c>
      <c r="H3088" s="1405">
        <v>63.47</v>
      </c>
      <c r="I3088" s="1405">
        <v>67.58</v>
      </c>
    </row>
    <row r="3089" spans="2:9">
      <c r="B3089" s="1477">
        <v>92012</v>
      </c>
      <c r="C3089" s="740" t="s">
        <v>7700</v>
      </c>
      <c r="D3089" s="739" t="s">
        <v>22</v>
      </c>
      <c r="E3089" s="741">
        <f t="shared" si="96"/>
        <v>71.87</v>
      </c>
      <c r="F3089">
        <f t="shared" si="97"/>
        <v>92012</v>
      </c>
      <c r="H3089" s="1406">
        <v>67.12</v>
      </c>
      <c r="I3089" s="1406">
        <v>71.87</v>
      </c>
    </row>
    <row r="3090" spans="2:9">
      <c r="B3090" s="677">
        <v>92013</v>
      </c>
      <c r="C3090" s="733" t="s">
        <v>7701</v>
      </c>
      <c r="D3090" s="677" t="s">
        <v>22</v>
      </c>
      <c r="E3090" s="738">
        <f t="shared" si="96"/>
        <v>77.84</v>
      </c>
      <c r="F3090">
        <f t="shared" si="97"/>
        <v>92013</v>
      </c>
      <c r="H3090" s="1405">
        <v>73.09</v>
      </c>
      <c r="I3090" s="1405">
        <v>77.84</v>
      </c>
    </row>
    <row r="3091" spans="2:9">
      <c r="B3091" s="1477">
        <v>92014</v>
      </c>
      <c r="C3091" s="740" t="s">
        <v>7702</v>
      </c>
      <c r="D3091" s="739" t="s">
        <v>22</v>
      </c>
      <c r="E3091" s="741">
        <f t="shared" si="96"/>
        <v>50.62</v>
      </c>
      <c r="F3091">
        <f t="shared" si="97"/>
        <v>92014</v>
      </c>
      <c r="H3091" s="1406">
        <v>47.63</v>
      </c>
      <c r="I3091" s="1406">
        <v>50.62</v>
      </c>
    </row>
    <row r="3092" spans="2:9">
      <c r="B3092" s="677">
        <v>92015</v>
      </c>
      <c r="C3092" s="733" t="s">
        <v>7703</v>
      </c>
      <c r="D3092" s="677" t="s">
        <v>22</v>
      </c>
      <c r="E3092" s="738">
        <f t="shared" si="96"/>
        <v>56.59</v>
      </c>
      <c r="F3092">
        <f t="shared" si="97"/>
        <v>92015</v>
      </c>
      <c r="H3092" s="1405">
        <v>53.6</v>
      </c>
      <c r="I3092" s="1405">
        <v>56.59</v>
      </c>
    </row>
    <row r="3093" spans="2:9">
      <c r="B3093" s="1477">
        <v>92016</v>
      </c>
      <c r="C3093" s="740" t="s">
        <v>7704</v>
      </c>
      <c r="D3093" s="739" t="s">
        <v>22</v>
      </c>
      <c r="E3093" s="741">
        <f t="shared" si="96"/>
        <v>60.88</v>
      </c>
      <c r="F3093">
        <f t="shared" si="97"/>
        <v>92016</v>
      </c>
      <c r="H3093" s="1406">
        <v>57.25</v>
      </c>
      <c r="I3093" s="1406">
        <v>60.88</v>
      </c>
    </row>
    <row r="3094" spans="2:9">
      <c r="B3094" s="677">
        <v>92017</v>
      </c>
      <c r="C3094" s="733" t="s">
        <v>7705</v>
      </c>
      <c r="D3094" s="677" t="s">
        <v>22</v>
      </c>
      <c r="E3094" s="738">
        <f t="shared" si="96"/>
        <v>66.849999999999994</v>
      </c>
      <c r="F3094">
        <f t="shared" si="97"/>
        <v>92017</v>
      </c>
      <c r="H3094" s="1405">
        <v>63.22</v>
      </c>
      <c r="I3094" s="1405">
        <v>66.849999999999994</v>
      </c>
    </row>
    <row r="3095" spans="2:9">
      <c r="B3095" s="1477">
        <v>92018</v>
      </c>
      <c r="C3095" s="740" t="s">
        <v>7706</v>
      </c>
      <c r="D3095" s="739" t="s">
        <v>22</v>
      </c>
      <c r="E3095" s="741">
        <f t="shared" si="96"/>
        <v>67.010000000000005</v>
      </c>
      <c r="F3095">
        <f t="shared" si="97"/>
        <v>92018</v>
      </c>
      <c r="H3095" s="1406">
        <v>63.08</v>
      </c>
      <c r="I3095" s="1406">
        <v>67.010000000000005</v>
      </c>
    </row>
    <row r="3096" spans="2:9">
      <c r="B3096" s="677">
        <v>92019</v>
      </c>
      <c r="C3096" s="733" t="s">
        <v>7707</v>
      </c>
      <c r="D3096" s="677" t="s">
        <v>22</v>
      </c>
      <c r="E3096" s="738">
        <f t="shared" si="96"/>
        <v>81.96</v>
      </c>
      <c r="F3096">
        <f t="shared" si="97"/>
        <v>92019</v>
      </c>
      <c r="H3096" s="1405">
        <v>77.28</v>
      </c>
      <c r="I3096" s="1405">
        <v>81.96</v>
      </c>
    </row>
    <row r="3097" spans="2:9">
      <c r="B3097" s="1477">
        <v>92020</v>
      </c>
      <c r="C3097" s="740" t="s">
        <v>7708</v>
      </c>
      <c r="D3097" s="739" t="s">
        <v>22</v>
      </c>
      <c r="E3097" s="741">
        <f t="shared" si="96"/>
        <v>98.97</v>
      </c>
      <c r="F3097">
        <f t="shared" si="97"/>
        <v>92020</v>
      </c>
      <c r="H3097" s="1406">
        <v>93.23</v>
      </c>
      <c r="I3097" s="1406">
        <v>98.97</v>
      </c>
    </row>
    <row r="3098" spans="2:9">
      <c r="B3098" s="677">
        <v>92021</v>
      </c>
      <c r="C3098" s="733" t="s">
        <v>7709</v>
      </c>
      <c r="D3098" s="677" t="s">
        <v>22</v>
      </c>
      <c r="E3098" s="738">
        <f t="shared" si="96"/>
        <v>113.92</v>
      </c>
      <c r="F3098">
        <f t="shared" si="97"/>
        <v>92021</v>
      </c>
      <c r="H3098" s="1405">
        <v>107.43</v>
      </c>
      <c r="I3098" s="1405">
        <v>113.92</v>
      </c>
    </row>
    <row r="3099" spans="2:9" ht="30">
      <c r="B3099" s="1477">
        <v>92022</v>
      </c>
      <c r="C3099" s="740" t="s">
        <v>7710</v>
      </c>
      <c r="D3099" s="739" t="s">
        <v>22</v>
      </c>
      <c r="E3099" s="741">
        <f t="shared" si="96"/>
        <v>37.06</v>
      </c>
      <c r="F3099">
        <f t="shared" si="97"/>
        <v>92022</v>
      </c>
      <c r="H3099" s="1406">
        <v>34.64</v>
      </c>
      <c r="I3099" s="1406">
        <v>37.06</v>
      </c>
    </row>
    <row r="3100" spans="2:9" ht="30">
      <c r="B3100" s="677">
        <v>92023</v>
      </c>
      <c r="C3100" s="733" t="s">
        <v>7711</v>
      </c>
      <c r="D3100" s="677" t="s">
        <v>22</v>
      </c>
      <c r="E3100" s="738">
        <f t="shared" si="96"/>
        <v>47.32</v>
      </c>
      <c r="F3100">
        <f t="shared" si="97"/>
        <v>92023</v>
      </c>
      <c r="H3100" s="1405">
        <v>44.26</v>
      </c>
      <c r="I3100" s="1405">
        <v>47.32</v>
      </c>
    </row>
    <row r="3101" spans="2:9" ht="30">
      <c r="B3101" s="1477">
        <v>92024</v>
      </c>
      <c r="C3101" s="740" t="s">
        <v>7712</v>
      </c>
      <c r="D3101" s="739" t="s">
        <v>22</v>
      </c>
      <c r="E3101" s="741">
        <f t="shared" si="96"/>
        <v>56.61</v>
      </c>
      <c r="F3101">
        <f t="shared" si="97"/>
        <v>92024</v>
      </c>
      <c r="H3101" s="1406">
        <v>52.92</v>
      </c>
      <c r="I3101" s="1406">
        <v>56.61</v>
      </c>
    </row>
    <row r="3102" spans="2:9" ht="30">
      <c r="B3102" s="677">
        <v>92025</v>
      </c>
      <c r="C3102" s="733" t="s">
        <v>7713</v>
      </c>
      <c r="D3102" s="677" t="s">
        <v>22</v>
      </c>
      <c r="E3102" s="738">
        <f t="shared" si="96"/>
        <v>66.87</v>
      </c>
      <c r="F3102">
        <f t="shared" si="97"/>
        <v>92025</v>
      </c>
      <c r="H3102" s="1405">
        <v>62.54</v>
      </c>
      <c r="I3102" s="1405">
        <v>66.87</v>
      </c>
    </row>
    <row r="3103" spans="2:9" ht="30">
      <c r="B3103" s="1477">
        <v>92026</v>
      </c>
      <c r="C3103" s="740" t="s">
        <v>7714</v>
      </c>
      <c r="D3103" s="739" t="s">
        <v>22</v>
      </c>
      <c r="E3103" s="741">
        <f t="shared" si="96"/>
        <v>51.61</v>
      </c>
      <c r="F3103">
        <f t="shared" si="97"/>
        <v>92026</v>
      </c>
      <c r="H3103" s="1406">
        <v>48.34</v>
      </c>
      <c r="I3103" s="1406">
        <v>51.61</v>
      </c>
    </row>
    <row r="3104" spans="2:9" ht="30">
      <c r="B3104" s="677">
        <v>92027</v>
      </c>
      <c r="C3104" s="733" t="s">
        <v>7715</v>
      </c>
      <c r="D3104" s="677" t="s">
        <v>22</v>
      </c>
      <c r="E3104" s="738">
        <f t="shared" si="96"/>
        <v>61.87</v>
      </c>
      <c r="F3104">
        <f t="shared" si="97"/>
        <v>92027</v>
      </c>
      <c r="H3104" s="1405">
        <v>57.96</v>
      </c>
      <c r="I3104" s="1405">
        <v>61.87</v>
      </c>
    </row>
    <row r="3105" spans="2:9" ht="30">
      <c r="B3105" s="1477">
        <v>92028</v>
      </c>
      <c r="C3105" s="740" t="s">
        <v>7716</v>
      </c>
      <c r="D3105" s="739" t="s">
        <v>22</v>
      </c>
      <c r="E3105" s="741">
        <f t="shared" si="96"/>
        <v>43.15</v>
      </c>
      <c r="F3105">
        <f t="shared" si="97"/>
        <v>92028</v>
      </c>
      <c r="H3105" s="1406">
        <v>40.29</v>
      </c>
      <c r="I3105" s="1406">
        <v>43.15</v>
      </c>
    </row>
    <row r="3106" spans="2:9" ht="30">
      <c r="B3106" s="677">
        <v>92029</v>
      </c>
      <c r="C3106" s="733" t="s">
        <v>7717</v>
      </c>
      <c r="D3106" s="677" t="s">
        <v>22</v>
      </c>
      <c r="E3106" s="738">
        <f t="shared" si="96"/>
        <v>53.41</v>
      </c>
      <c r="F3106">
        <f t="shared" si="97"/>
        <v>92029</v>
      </c>
      <c r="H3106" s="1405">
        <v>49.91</v>
      </c>
      <c r="I3106" s="1405">
        <v>53.41</v>
      </c>
    </row>
    <row r="3107" spans="2:9" ht="30">
      <c r="B3107" s="1477">
        <v>92030</v>
      </c>
      <c r="C3107" s="740" t="s">
        <v>7718</v>
      </c>
      <c r="D3107" s="739" t="s">
        <v>22</v>
      </c>
      <c r="E3107" s="741">
        <f t="shared" si="96"/>
        <v>62.64</v>
      </c>
      <c r="F3107">
        <f t="shared" si="97"/>
        <v>92030</v>
      </c>
      <c r="H3107" s="1406">
        <v>58.53</v>
      </c>
      <c r="I3107" s="1406">
        <v>62.64</v>
      </c>
    </row>
    <row r="3108" spans="2:9" ht="30">
      <c r="B3108" s="677">
        <v>92031</v>
      </c>
      <c r="C3108" s="733" t="s">
        <v>7719</v>
      </c>
      <c r="D3108" s="677" t="s">
        <v>22</v>
      </c>
      <c r="E3108" s="738">
        <f t="shared" si="96"/>
        <v>72.900000000000006</v>
      </c>
      <c r="F3108">
        <f t="shared" si="97"/>
        <v>92031</v>
      </c>
      <c r="H3108" s="1405">
        <v>68.150000000000006</v>
      </c>
      <c r="I3108" s="1405">
        <v>72.900000000000006</v>
      </c>
    </row>
    <row r="3109" spans="2:9" ht="30">
      <c r="B3109" s="1477">
        <v>92032</v>
      </c>
      <c r="C3109" s="740" t="s">
        <v>7720</v>
      </c>
      <c r="D3109" s="739" t="s">
        <v>22</v>
      </c>
      <c r="E3109" s="741">
        <f t="shared" si="96"/>
        <v>63.67</v>
      </c>
      <c r="F3109">
        <f t="shared" si="97"/>
        <v>92032</v>
      </c>
      <c r="H3109" s="1406">
        <v>59.56</v>
      </c>
      <c r="I3109" s="1406">
        <v>63.67</v>
      </c>
    </row>
    <row r="3110" spans="2:9" ht="30">
      <c r="B3110" s="677">
        <v>92033</v>
      </c>
      <c r="C3110" s="733" t="s">
        <v>7721</v>
      </c>
      <c r="D3110" s="677" t="s">
        <v>22</v>
      </c>
      <c r="E3110" s="738">
        <f t="shared" si="96"/>
        <v>73.930000000000007</v>
      </c>
      <c r="F3110">
        <f t="shared" si="97"/>
        <v>92033</v>
      </c>
      <c r="H3110" s="1405">
        <v>69.180000000000007</v>
      </c>
      <c r="I3110" s="1405">
        <v>73.930000000000007</v>
      </c>
    </row>
    <row r="3111" spans="2:9" ht="30">
      <c r="B3111" s="1477">
        <v>92034</v>
      </c>
      <c r="C3111" s="740" t="s">
        <v>7722</v>
      </c>
      <c r="D3111" s="739" t="s">
        <v>22</v>
      </c>
      <c r="E3111" s="741">
        <f t="shared" si="96"/>
        <v>57.64</v>
      </c>
      <c r="F3111">
        <f t="shared" si="97"/>
        <v>92034</v>
      </c>
      <c r="H3111" s="1406">
        <v>53.95</v>
      </c>
      <c r="I3111" s="1406">
        <v>57.64</v>
      </c>
    </row>
    <row r="3112" spans="2:9" ht="30">
      <c r="B3112" s="677">
        <v>92035</v>
      </c>
      <c r="C3112" s="733" t="s">
        <v>7723</v>
      </c>
      <c r="D3112" s="677" t="s">
        <v>22</v>
      </c>
      <c r="E3112" s="738">
        <f t="shared" si="96"/>
        <v>67.900000000000006</v>
      </c>
      <c r="F3112">
        <f t="shared" si="97"/>
        <v>92035</v>
      </c>
      <c r="H3112" s="1405">
        <v>63.57</v>
      </c>
      <c r="I3112" s="1405">
        <v>67.900000000000006</v>
      </c>
    </row>
    <row r="3113" spans="2:9" ht="30">
      <c r="B3113" s="1477">
        <v>97583</v>
      </c>
      <c r="C3113" s="740" t="s">
        <v>3172</v>
      </c>
      <c r="D3113" s="739" t="s">
        <v>22</v>
      </c>
      <c r="E3113" s="741">
        <f t="shared" si="96"/>
        <v>86.3</v>
      </c>
      <c r="F3113">
        <f t="shared" si="97"/>
        <v>97583</v>
      </c>
      <c r="H3113" s="1406">
        <v>84.95</v>
      </c>
      <c r="I3113" s="1406">
        <v>86.3</v>
      </c>
    </row>
    <row r="3114" spans="2:9" ht="30">
      <c r="B3114" s="677">
        <v>97584</v>
      </c>
      <c r="C3114" s="733" t="s">
        <v>3173</v>
      </c>
      <c r="D3114" s="677" t="s">
        <v>22</v>
      </c>
      <c r="E3114" s="738">
        <f t="shared" si="96"/>
        <v>121.12</v>
      </c>
      <c r="F3114">
        <f t="shared" si="97"/>
        <v>97584</v>
      </c>
      <c r="H3114" s="1405">
        <v>119.77</v>
      </c>
      <c r="I3114" s="1405">
        <v>121.12</v>
      </c>
    </row>
    <row r="3115" spans="2:9" ht="30">
      <c r="B3115" s="1477">
        <v>97585</v>
      </c>
      <c r="C3115" s="740" t="s">
        <v>3174</v>
      </c>
      <c r="D3115" s="739" t="s">
        <v>22</v>
      </c>
      <c r="E3115" s="741">
        <f t="shared" si="96"/>
        <v>116.35</v>
      </c>
      <c r="F3115">
        <f t="shared" si="97"/>
        <v>97585</v>
      </c>
      <c r="H3115" s="1406">
        <v>114.81</v>
      </c>
      <c r="I3115" s="1406">
        <v>116.35</v>
      </c>
    </row>
    <row r="3116" spans="2:9" ht="30">
      <c r="B3116" s="677">
        <v>97586</v>
      </c>
      <c r="C3116" s="733" t="s">
        <v>3175</v>
      </c>
      <c r="D3116" s="677" t="s">
        <v>22</v>
      </c>
      <c r="E3116" s="738">
        <f t="shared" si="96"/>
        <v>158.4</v>
      </c>
      <c r="F3116">
        <f t="shared" si="97"/>
        <v>97586</v>
      </c>
      <c r="H3116" s="1405">
        <v>156.86000000000001</v>
      </c>
      <c r="I3116" s="1405">
        <v>158.4</v>
      </c>
    </row>
    <row r="3117" spans="2:9" ht="30">
      <c r="B3117" s="1477">
        <v>97587</v>
      </c>
      <c r="C3117" s="740" t="s">
        <v>3176</v>
      </c>
      <c r="D3117" s="739" t="s">
        <v>22</v>
      </c>
      <c r="E3117" s="741">
        <f t="shared" si="96"/>
        <v>290.14</v>
      </c>
      <c r="F3117">
        <f t="shared" si="97"/>
        <v>97587</v>
      </c>
      <c r="H3117" s="1406">
        <v>288.81</v>
      </c>
      <c r="I3117" s="1406">
        <v>290.14</v>
      </c>
    </row>
    <row r="3118" spans="2:9" ht="30">
      <c r="B3118" s="677">
        <v>97589</v>
      </c>
      <c r="C3118" s="733" t="s">
        <v>3177</v>
      </c>
      <c r="D3118" s="677" t="s">
        <v>22</v>
      </c>
      <c r="E3118" s="738">
        <f t="shared" si="96"/>
        <v>35.18</v>
      </c>
      <c r="F3118">
        <f t="shared" si="97"/>
        <v>97589</v>
      </c>
      <c r="H3118" s="1405">
        <v>33.200000000000003</v>
      </c>
      <c r="I3118" s="1405">
        <v>35.18</v>
      </c>
    </row>
    <row r="3119" spans="2:9" ht="30">
      <c r="B3119" s="1477">
        <v>97590</v>
      </c>
      <c r="C3119" s="740" t="s">
        <v>3178</v>
      </c>
      <c r="D3119" s="739" t="s">
        <v>22</v>
      </c>
      <c r="E3119" s="741">
        <f t="shared" si="96"/>
        <v>93.29</v>
      </c>
      <c r="F3119">
        <f t="shared" si="97"/>
        <v>97590</v>
      </c>
      <c r="H3119" s="1406">
        <v>91.31</v>
      </c>
      <c r="I3119" s="1406">
        <v>93.29</v>
      </c>
    </row>
    <row r="3120" spans="2:9" ht="30">
      <c r="B3120" s="677">
        <v>97591</v>
      </c>
      <c r="C3120" s="733" t="s">
        <v>3179</v>
      </c>
      <c r="D3120" s="677" t="s">
        <v>22</v>
      </c>
      <c r="E3120" s="738">
        <f t="shared" si="96"/>
        <v>118.29</v>
      </c>
      <c r="F3120">
        <f t="shared" si="97"/>
        <v>97591</v>
      </c>
      <c r="H3120" s="1405">
        <v>115.72</v>
      </c>
      <c r="I3120" s="1405">
        <v>118.29</v>
      </c>
    </row>
    <row r="3121" spans="2:9" ht="30">
      <c r="B3121" s="1477">
        <v>97593</v>
      </c>
      <c r="C3121" s="740" t="s">
        <v>3180</v>
      </c>
      <c r="D3121" s="739" t="s">
        <v>22</v>
      </c>
      <c r="E3121" s="741">
        <f t="shared" si="96"/>
        <v>138.07</v>
      </c>
      <c r="F3121">
        <f t="shared" si="97"/>
        <v>97593</v>
      </c>
      <c r="H3121" s="1406">
        <v>136.4</v>
      </c>
      <c r="I3121" s="1406">
        <v>138.07</v>
      </c>
    </row>
    <row r="3122" spans="2:9" ht="30">
      <c r="B3122" s="677">
        <v>97594</v>
      </c>
      <c r="C3122" s="733" t="s">
        <v>3181</v>
      </c>
      <c r="D3122" s="677" t="s">
        <v>22</v>
      </c>
      <c r="E3122" s="738">
        <f t="shared" si="96"/>
        <v>119.18</v>
      </c>
      <c r="F3122">
        <f t="shared" si="97"/>
        <v>97594</v>
      </c>
      <c r="H3122" s="1405">
        <v>117.02</v>
      </c>
      <c r="I3122" s="1405">
        <v>119.18</v>
      </c>
    </row>
    <row r="3123" spans="2:9">
      <c r="B3123" s="1477">
        <v>97595</v>
      </c>
      <c r="C3123" s="740" t="s">
        <v>3182</v>
      </c>
      <c r="D3123" s="739" t="s">
        <v>22</v>
      </c>
      <c r="E3123" s="741">
        <f t="shared" si="96"/>
        <v>102.48</v>
      </c>
      <c r="F3123">
        <f t="shared" si="97"/>
        <v>97595</v>
      </c>
      <c r="H3123" s="1406">
        <v>100.39</v>
      </c>
      <c r="I3123" s="1406">
        <v>102.48</v>
      </c>
    </row>
    <row r="3124" spans="2:9">
      <c r="B3124" s="677">
        <v>97596</v>
      </c>
      <c r="C3124" s="733" t="s">
        <v>3183</v>
      </c>
      <c r="D3124" s="677" t="s">
        <v>22</v>
      </c>
      <c r="E3124" s="738">
        <f t="shared" si="96"/>
        <v>71.09</v>
      </c>
      <c r="F3124">
        <f t="shared" si="97"/>
        <v>97596</v>
      </c>
      <c r="H3124" s="1405">
        <v>69</v>
      </c>
      <c r="I3124" s="1405">
        <v>71.09</v>
      </c>
    </row>
    <row r="3125" spans="2:9">
      <c r="B3125" s="1477">
        <v>97597</v>
      </c>
      <c r="C3125" s="740" t="s">
        <v>3184</v>
      </c>
      <c r="D3125" s="739" t="s">
        <v>22</v>
      </c>
      <c r="E3125" s="741">
        <f t="shared" si="96"/>
        <v>70.709999999999994</v>
      </c>
      <c r="F3125">
        <f t="shared" si="97"/>
        <v>97597</v>
      </c>
      <c r="H3125" s="1406">
        <v>69.319999999999993</v>
      </c>
      <c r="I3125" s="1406">
        <v>70.709999999999994</v>
      </c>
    </row>
    <row r="3126" spans="2:9">
      <c r="B3126" s="677">
        <v>97598</v>
      </c>
      <c r="C3126" s="733" t="s">
        <v>3185</v>
      </c>
      <c r="D3126" s="677" t="s">
        <v>22</v>
      </c>
      <c r="E3126" s="738">
        <f t="shared" si="96"/>
        <v>66.7</v>
      </c>
      <c r="F3126">
        <f t="shared" si="97"/>
        <v>97598</v>
      </c>
      <c r="H3126" s="1405">
        <v>65.31</v>
      </c>
      <c r="I3126" s="1405">
        <v>66.7</v>
      </c>
    </row>
    <row r="3127" spans="2:9">
      <c r="B3127" s="1477">
        <v>97599</v>
      </c>
      <c r="C3127" s="740" t="s">
        <v>3186</v>
      </c>
      <c r="D3127" s="739" t="s">
        <v>22</v>
      </c>
      <c r="E3127" s="741">
        <f t="shared" si="96"/>
        <v>17.7</v>
      </c>
      <c r="F3127">
        <f t="shared" si="97"/>
        <v>97599</v>
      </c>
      <c r="H3127" s="1406">
        <v>17.03</v>
      </c>
      <c r="I3127" s="1406">
        <v>17.7</v>
      </c>
    </row>
    <row r="3128" spans="2:9">
      <c r="B3128" s="677">
        <v>97609</v>
      </c>
      <c r="C3128" s="733" t="s">
        <v>3187</v>
      </c>
      <c r="D3128" s="677" t="s">
        <v>22</v>
      </c>
      <c r="E3128" s="738">
        <f t="shared" si="96"/>
        <v>12.74</v>
      </c>
      <c r="F3128">
        <f t="shared" si="97"/>
        <v>97609</v>
      </c>
      <c r="H3128" s="1405">
        <v>12.13</v>
      </c>
      <c r="I3128" s="1405">
        <v>12.74</v>
      </c>
    </row>
    <row r="3129" spans="2:9">
      <c r="B3129" s="1477">
        <v>97610</v>
      </c>
      <c r="C3129" s="740" t="s">
        <v>3188</v>
      </c>
      <c r="D3129" s="739" t="s">
        <v>22</v>
      </c>
      <c r="E3129" s="741">
        <f t="shared" si="96"/>
        <v>13.33</v>
      </c>
      <c r="F3129">
        <f t="shared" si="97"/>
        <v>97610</v>
      </c>
      <c r="H3129" s="1406">
        <v>12.72</v>
      </c>
      <c r="I3129" s="1406">
        <v>13.33</v>
      </c>
    </row>
    <row r="3130" spans="2:9">
      <c r="B3130" s="677">
        <v>97611</v>
      </c>
      <c r="C3130" s="733" t="s">
        <v>3189</v>
      </c>
      <c r="D3130" s="677" t="s">
        <v>22</v>
      </c>
      <c r="E3130" s="738">
        <f t="shared" si="96"/>
        <v>17.96</v>
      </c>
      <c r="F3130">
        <f t="shared" si="97"/>
        <v>97611</v>
      </c>
      <c r="H3130" s="1405">
        <v>17.350000000000001</v>
      </c>
      <c r="I3130" s="1405">
        <v>17.96</v>
      </c>
    </row>
    <row r="3131" spans="2:9">
      <c r="B3131" s="1477">
        <v>97612</v>
      </c>
      <c r="C3131" s="740" t="s">
        <v>3190</v>
      </c>
      <c r="D3131" s="739" t="s">
        <v>22</v>
      </c>
      <c r="E3131" s="741">
        <f t="shared" si="96"/>
        <v>19.25</v>
      </c>
      <c r="F3131">
        <f t="shared" si="97"/>
        <v>97612</v>
      </c>
      <c r="H3131" s="1406">
        <v>18.64</v>
      </c>
      <c r="I3131" s="1406">
        <v>19.25</v>
      </c>
    </row>
    <row r="3132" spans="2:9">
      <c r="B3132" s="677">
        <v>97613</v>
      </c>
      <c r="C3132" s="733" t="s">
        <v>3191</v>
      </c>
      <c r="D3132" s="677" t="s">
        <v>22</v>
      </c>
      <c r="E3132" s="738">
        <f t="shared" si="96"/>
        <v>23.53</v>
      </c>
      <c r="F3132">
        <f t="shared" si="97"/>
        <v>97613</v>
      </c>
      <c r="H3132" s="1405">
        <v>22.92</v>
      </c>
      <c r="I3132" s="1405">
        <v>23.53</v>
      </c>
    </row>
    <row r="3133" spans="2:9">
      <c r="B3133" s="1477">
        <v>97614</v>
      </c>
      <c r="C3133" s="740" t="s">
        <v>3192</v>
      </c>
      <c r="D3133" s="739" t="s">
        <v>22</v>
      </c>
      <c r="E3133" s="741">
        <f t="shared" si="96"/>
        <v>38.96</v>
      </c>
      <c r="F3133">
        <f t="shared" si="97"/>
        <v>97614</v>
      </c>
      <c r="H3133" s="1406">
        <v>38.35</v>
      </c>
      <c r="I3133" s="1406">
        <v>38.96</v>
      </c>
    </row>
    <row r="3134" spans="2:9">
      <c r="B3134" s="677">
        <v>97615</v>
      </c>
      <c r="C3134" s="733" t="s">
        <v>6837</v>
      </c>
      <c r="D3134" s="677" t="s">
        <v>22</v>
      </c>
      <c r="E3134" s="738">
        <f t="shared" si="96"/>
        <v>50.28</v>
      </c>
      <c r="F3134">
        <f t="shared" si="97"/>
        <v>97615</v>
      </c>
      <c r="H3134" s="1405">
        <v>49.36</v>
      </c>
      <c r="I3134" s="1405">
        <v>50.28</v>
      </c>
    </row>
    <row r="3135" spans="2:9">
      <c r="B3135" s="1477">
        <v>97616</v>
      </c>
      <c r="C3135" s="740" t="s">
        <v>6838</v>
      </c>
      <c r="D3135" s="739" t="s">
        <v>22</v>
      </c>
      <c r="E3135" s="741">
        <f t="shared" si="96"/>
        <v>58.12</v>
      </c>
      <c r="F3135">
        <f t="shared" si="97"/>
        <v>97616</v>
      </c>
      <c r="H3135" s="1406">
        <v>57.2</v>
      </c>
      <c r="I3135" s="1406">
        <v>58.12</v>
      </c>
    </row>
    <row r="3136" spans="2:9">
      <c r="B3136" s="677">
        <v>97617</v>
      </c>
      <c r="C3136" s="733" t="s">
        <v>6839</v>
      </c>
      <c r="D3136" s="677" t="s">
        <v>22</v>
      </c>
      <c r="E3136" s="738">
        <f t="shared" si="96"/>
        <v>57.92</v>
      </c>
      <c r="F3136">
        <f t="shared" si="97"/>
        <v>97617</v>
      </c>
      <c r="H3136" s="1405">
        <v>57</v>
      </c>
      <c r="I3136" s="1405">
        <v>57.92</v>
      </c>
    </row>
    <row r="3137" spans="2:9">
      <c r="B3137" s="1477">
        <v>97618</v>
      </c>
      <c r="C3137" s="740" t="s">
        <v>6840</v>
      </c>
      <c r="D3137" s="739" t="s">
        <v>22</v>
      </c>
      <c r="E3137" s="741">
        <f t="shared" si="96"/>
        <v>52.09</v>
      </c>
      <c r="F3137">
        <f t="shared" si="97"/>
        <v>97618</v>
      </c>
      <c r="H3137" s="1406">
        <v>51.17</v>
      </c>
      <c r="I3137" s="1406">
        <v>52.09</v>
      </c>
    </row>
    <row r="3138" spans="2:9">
      <c r="B3138" s="677">
        <v>100902</v>
      </c>
      <c r="C3138" s="733" t="s">
        <v>6841</v>
      </c>
      <c r="D3138" s="677" t="s">
        <v>22</v>
      </c>
      <c r="E3138" s="738">
        <f t="shared" si="96"/>
        <v>20.71</v>
      </c>
      <c r="F3138">
        <f t="shared" si="97"/>
        <v>100902</v>
      </c>
      <c r="H3138" s="1405">
        <v>19.79</v>
      </c>
      <c r="I3138" s="1405">
        <v>20.71</v>
      </c>
    </row>
    <row r="3139" spans="2:9">
      <c r="B3139" s="1477">
        <v>100903</v>
      </c>
      <c r="C3139" s="740" t="s">
        <v>6842</v>
      </c>
      <c r="D3139" s="739" t="s">
        <v>22</v>
      </c>
      <c r="E3139" s="741">
        <f t="shared" ref="E3139:E3202" si="98">IF($K$2=$H$1,H3139,I3139)</f>
        <v>23.31</v>
      </c>
      <c r="F3139">
        <f t="shared" ref="F3139:F3202" si="99">IF(LEN($B3139)=7,CONCATENATE(MID($B3139,1,6),"00",RIGHT($B3139,1)),IF(LEN($B3139)=8,CONCATENATE(MID($B3139,1,6),"0",RIGHT($B3139,2)),$B3139))</f>
        <v>100903</v>
      </c>
      <c r="H3139" s="1406">
        <v>22.39</v>
      </c>
      <c r="I3139" s="1406">
        <v>23.31</v>
      </c>
    </row>
    <row r="3140" spans="2:9" ht="30">
      <c r="B3140" s="677">
        <v>100904</v>
      </c>
      <c r="C3140" s="733" t="s">
        <v>3193</v>
      </c>
      <c r="D3140" s="677" t="s">
        <v>22</v>
      </c>
      <c r="E3140" s="738">
        <f t="shared" si="98"/>
        <v>86.3</v>
      </c>
      <c r="F3140">
        <f t="shared" si="99"/>
        <v>100904</v>
      </c>
      <c r="H3140" s="1405">
        <v>84.95</v>
      </c>
      <c r="I3140" s="1405">
        <v>86.3</v>
      </c>
    </row>
    <row r="3141" spans="2:9" ht="30">
      <c r="B3141" s="1477">
        <v>100905</v>
      </c>
      <c r="C3141" s="740" t="s">
        <v>3194</v>
      </c>
      <c r="D3141" s="739" t="s">
        <v>22</v>
      </c>
      <c r="E3141" s="741">
        <f t="shared" si="98"/>
        <v>232.71</v>
      </c>
      <c r="F3141">
        <f t="shared" si="99"/>
        <v>100905</v>
      </c>
      <c r="H3141" s="1406">
        <v>229.64</v>
      </c>
      <c r="I3141" s="1406">
        <v>232.71</v>
      </c>
    </row>
    <row r="3142" spans="2:9" ht="30">
      <c r="B3142" s="677">
        <v>100906</v>
      </c>
      <c r="C3142" s="733" t="s">
        <v>3195</v>
      </c>
      <c r="D3142" s="677" t="s">
        <v>22</v>
      </c>
      <c r="E3142" s="738">
        <f t="shared" si="98"/>
        <v>316.81</v>
      </c>
      <c r="F3142">
        <f t="shared" si="99"/>
        <v>100906</v>
      </c>
      <c r="H3142" s="1405">
        <v>313.74</v>
      </c>
      <c r="I3142" s="1405">
        <v>316.81</v>
      </c>
    </row>
    <row r="3143" spans="2:9">
      <c r="B3143" s="1477">
        <v>100919</v>
      </c>
      <c r="C3143" s="740" t="s">
        <v>3196</v>
      </c>
      <c r="D3143" s="739" t="s">
        <v>22</v>
      </c>
      <c r="E3143" s="741">
        <f t="shared" si="98"/>
        <v>44</v>
      </c>
      <c r="F3143">
        <f t="shared" si="99"/>
        <v>100919</v>
      </c>
      <c r="H3143" s="1406">
        <v>43.39</v>
      </c>
      <c r="I3143" s="1406">
        <v>44</v>
      </c>
    </row>
    <row r="3144" spans="2:9">
      <c r="B3144" s="677">
        <v>100920</v>
      </c>
      <c r="C3144" s="733" t="s">
        <v>3197</v>
      </c>
      <c r="D3144" s="677" t="s">
        <v>22</v>
      </c>
      <c r="E3144" s="738">
        <f t="shared" si="98"/>
        <v>72.459999999999994</v>
      </c>
      <c r="F3144">
        <f t="shared" si="99"/>
        <v>100920</v>
      </c>
      <c r="H3144" s="1405">
        <v>71.849999999999994</v>
      </c>
      <c r="I3144" s="1405">
        <v>72.459999999999994</v>
      </c>
    </row>
    <row r="3145" spans="2:9">
      <c r="B3145" s="1477">
        <v>100921</v>
      </c>
      <c r="C3145" s="740" t="s">
        <v>3198</v>
      </c>
      <c r="D3145" s="739" t="s">
        <v>22</v>
      </c>
      <c r="E3145" s="741">
        <f t="shared" si="98"/>
        <v>65.569999999999993</v>
      </c>
      <c r="F3145">
        <f t="shared" si="99"/>
        <v>100921</v>
      </c>
      <c r="H3145" s="1406">
        <v>63.01</v>
      </c>
      <c r="I3145" s="1406">
        <v>65.569999999999993</v>
      </c>
    </row>
    <row r="3146" spans="2:9">
      <c r="B3146" s="677">
        <v>100922</v>
      </c>
      <c r="C3146" s="733" t="s">
        <v>3199</v>
      </c>
      <c r="D3146" s="677" t="s">
        <v>22</v>
      </c>
      <c r="E3146" s="738">
        <f t="shared" si="98"/>
        <v>47.12</v>
      </c>
      <c r="F3146">
        <f t="shared" si="99"/>
        <v>100922</v>
      </c>
      <c r="H3146" s="1405">
        <v>45.36</v>
      </c>
      <c r="I3146" s="1405">
        <v>47.12</v>
      </c>
    </row>
    <row r="3147" spans="2:9">
      <c r="B3147" s="1477">
        <v>100923</v>
      </c>
      <c r="C3147" s="740" t="s">
        <v>3200</v>
      </c>
      <c r="D3147" s="739" t="s">
        <v>22</v>
      </c>
      <c r="E3147" s="741">
        <f t="shared" si="98"/>
        <v>54.63</v>
      </c>
      <c r="F3147">
        <f t="shared" si="99"/>
        <v>100923</v>
      </c>
      <c r="H3147" s="1406">
        <v>52.87</v>
      </c>
      <c r="I3147" s="1406">
        <v>54.63</v>
      </c>
    </row>
    <row r="3148" spans="2:9">
      <c r="B3148" s="677">
        <v>103782</v>
      </c>
      <c r="C3148" s="733" t="s">
        <v>5544</v>
      </c>
      <c r="D3148" s="677" t="s">
        <v>22</v>
      </c>
      <c r="E3148" s="738">
        <f t="shared" si="98"/>
        <v>28.3</v>
      </c>
      <c r="F3148">
        <f t="shared" si="99"/>
        <v>103782</v>
      </c>
      <c r="H3148" s="1405">
        <v>26.45</v>
      </c>
      <c r="I3148" s="1405">
        <v>28.3</v>
      </c>
    </row>
    <row r="3149" spans="2:9" ht="30">
      <c r="B3149" s="1477">
        <v>101489</v>
      </c>
      <c r="C3149" s="740" t="s">
        <v>6843</v>
      </c>
      <c r="D3149" s="739" t="s">
        <v>22</v>
      </c>
      <c r="E3149" s="741">
        <f t="shared" si="98"/>
        <v>1392.07</v>
      </c>
      <c r="F3149">
        <f t="shared" si="99"/>
        <v>101489</v>
      </c>
      <c r="H3149" s="1406">
        <v>1349.65</v>
      </c>
      <c r="I3149" s="1406">
        <v>1392.07</v>
      </c>
    </row>
    <row r="3150" spans="2:9" ht="30">
      <c r="B3150" s="677">
        <v>101490</v>
      </c>
      <c r="C3150" s="733" t="s">
        <v>6844</v>
      </c>
      <c r="D3150" s="677" t="s">
        <v>22</v>
      </c>
      <c r="E3150" s="738">
        <f t="shared" si="98"/>
        <v>1485.68</v>
      </c>
      <c r="F3150">
        <f t="shared" si="99"/>
        <v>101490</v>
      </c>
      <c r="H3150" s="1405">
        <v>1441.06</v>
      </c>
      <c r="I3150" s="1405">
        <v>1485.68</v>
      </c>
    </row>
    <row r="3151" spans="2:9" ht="30">
      <c r="B3151" s="1477">
        <v>101491</v>
      </c>
      <c r="C3151" s="740" t="s">
        <v>6845</v>
      </c>
      <c r="D3151" s="739" t="s">
        <v>22</v>
      </c>
      <c r="E3151" s="741">
        <f t="shared" si="98"/>
        <v>1509.44</v>
      </c>
      <c r="F3151">
        <f t="shared" si="99"/>
        <v>101491</v>
      </c>
      <c r="H3151" s="1406">
        <v>1467.79</v>
      </c>
      <c r="I3151" s="1406">
        <v>1509.44</v>
      </c>
    </row>
    <row r="3152" spans="2:9" ht="30">
      <c r="B3152" s="677">
        <v>101492</v>
      </c>
      <c r="C3152" s="733" t="s">
        <v>6846</v>
      </c>
      <c r="D3152" s="677" t="s">
        <v>22</v>
      </c>
      <c r="E3152" s="738">
        <f t="shared" si="98"/>
        <v>1647.94</v>
      </c>
      <c r="F3152">
        <f t="shared" si="99"/>
        <v>101492</v>
      </c>
      <c r="H3152" s="1405">
        <v>1604.59</v>
      </c>
      <c r="I3152" s="1405">
        <v>1647.94</v>
      </c>
    </row>
    <row r="3153" spans="2:9" ht="30">
      <c r="B3153" s="1477">
        <v>101493</v>
      </c>
      <c r="C3153" s="740" t="s">
        <v>6847</v>
      </c>
      <c r="D3153" s="739" t="s">
        <v>22</v>
      </c>
      <c r="E3153" s="741">
        <f t="shared" si="98"/>
        <v>1377.82</v>
      </c>
      <c r="F3153">
        <f t="shared" si="99"/>
        <v>101493</v>
      </c>
      <c r="H3153" s="1406">
        <v>1337.23</v>
      </c>
      <c r="I3153" s="1406">
        <v>1377.82</v>
      </c>
    </row>
    <row r="3154" spans="2:9" ht="30">
      <c r="B3154" s="677">
        <v>101494</v>
      </c>
      <c r="C3154" s="733" t="s">
        <v>6848</v>
      </c>
      <c r="D3154" s="677" t="s">
        <v>22</v>
      </c>
      <c r="E3154" s="738">
        <f t="shared" si="98"/>
        <v>1471.43</v>
      </c>
      <c r="F3154">
        <f t="shared" si="99"/>
        <v>101494</v>
      </c>
      <c r="H3154" s="1405">
        <v>1428.64</v>
      </c>
      <c r="I3154" s="1405">
        <v>1471.43</v>
      </c>
    </row>
    <row r="3155" spans="2:9" ht="30">
      <c r="B3155" s="1477">
        <v>101495</v>
      </c>
      <c r="C3155" s="740" t="s">
        <v>6849</v>
      </c>
      <c r="D3155" s="739" t="s">
        <v>22</v>
      </c>
      <c r="E3155" s="741">
        <f t="shared" si="98"/>
        <v>1495.19</v>
      </c>
      <c r="F3155">
        <f t="shared" si="99"/>
        <v>101495</v>
      </c>
      <c r="H3155" s="1406">
        <v>1455.37</v>
      </c>
      <c r="I3155" s="1406">
        <v>1495.19</v>
      </c>
    </row>
    <row r="3156" spans="2:9" ht="30">
      <c r="B3156" s="677">
        <v>101496</v>
      </c>
      <c r="C3156" s="733" t="s">
        <v>6850</v>
      </c>
      <c r="D3156" s="677" t="s">
        <v>22</v>
      </c>
      <c r="E3156" s="738">
        <f t="shared" si="98"/>
        <v>1633.69</v>
      </c>
      <c r="F3156">
        <f t="shared" si="99"/>
        <v>101496</v>
      </c>
      <c r="H3156" s="1405">
        <v>1592.17</v>
      </c>
      <c r="I3156" s="1405">
        <v>1633.69</v>
      </c>
    </row>
    <row r="3157" spans="2:9" ht="30">
      <c r="B3157" s="1477">
        <v>101497</v>
      </c>
      <c r="C3157" s="740" t="s">
        <v>6851</v>
      </c>
      <c r="D3157" s="739" t="s">
        <v>22</v>
      </c>
      <c r="E3157" s="741">
        <f t="shared" si="98"/>
        <v>1651.53</v>
      </c>
      <c r="F3157">
        <f t="shared" si="99"/>
        <v>101497</v>
      </c>
      <c r="H3157" s="1406">
        <v>1606.08</v>
      </c>
      <c r="I3157" s="1406">
        <v>1651.53</v>
      </c>
    </row>
    <row r="3158" spans="2:9" ht="30">
      <c r="B3158" s="677">
        <v>101498</v>
      </c>
      <c r="C3158" s="733" t="s">
        <v>6852</v>
      </c>
      <c r="D3158" s="677" t="s">
        <v>22</v>
      </c>
      <c r="E3158" s="738">
        <f t="shared" si="98"/>
        <v>1793.22</v>
      </c>
      <c r="F3158">
        <f t="shared" si="99"/>
        <v>101498</v>
      </c>
      <c r="H3158" s="1405">
        <v>1744.44</v>
      </c>
      <c r="I3158" s="1405">
        <v>1793.22</v>
      </c>
    </row>
    <row r="3159" spans="2:9" ht="30">
      <c r="B3159" s="1477">
        <v>101499</v>
      </c>
      <c r="C3159" s="740" t="s">
        <v>6853</v>
      </c>
      <c r="D3159" s="739" t="s">
        <v>22</v>
      </c>
      <c r="E3159" s="741">
        <f t="shared" si="98"/>
        <v>1829.18</v>
      </c>
      <c r="F3159">
        <f t="shared" si="99"/>
        <v>101499</v>
      </c>
      <c r="H3159" s="1406">
        <v>1784.9</v>
      </c>
      <c r="I3159" s="1406">
        <v>1829.18</v>
      </c>
    </row>
    <row r="3160" spans="2:9" ht="30">
      <c r="B3160" s="677">
        <v>101500</v>
      </c>
      <c r="C3160" s="733" t="s">
        <v>6854</v>
      </c>
      <c r="D3160" s="677" t="s">
        <v>22</v>
      </c>
      <c r="E3160" s="738">
        <f t="shared" si="98"/>
        <v>2023</v>
      </c>
      <c r="F3160">
        <f t="shared" si="99"/>
        <v>101500</v>
      </c>
      <c r="H3160" s="1405">
        <v>1976.73</v>
      </c>
      <c r="I3160" s="1405">
        <v>2023</v>
      </c>
    </row>
    <row r="3161" spans="2:9" ht="30">
      <c r="B3161" s="1477">
        <v>101501</v>
      </c>
      <c r="C3161" s="740" t="s">
        <v>6855</v>
      </c>
      <c r="D3161" s="739" t="s">
        <v>22</v>
      </c>
      <c r="E3161" s="741">
        <f t="shared" si="98"/>
        <v>1645.39</v>
      </c>
      <c r="F3161">
        <f t="shared" si="99"/>
        <v>101501</v>
      </c>
      <c r="H3161" s="1406">
        <v>1601.39</v>
      </c>
      <c r="I3161" s="1406">
        <v>1645.39</v>
      </c>
    </row>
    <row r="3162" spans="2:9" ht="30">
      <c r="B3162" s="677">
        <v>101502</v>
      </c>
      <c r="C3162" s="733" t="s">
        <v>6856</v>
      </c>
      <c r="D3162" s="677" t="s">
        <v>22</v>
      </c>
      <c r="E3162" s="738">
        <f t="shared" si="98"/>
        <v>1787.08</v>
      </c>
      <c r="F3162">
        <f t="shared" si="99"/>
        <v>101502</v>
      </c>
      <c r="H3162" s="1405">
        <v>1739.75</v>
      </c>
      <c r="I3162" s="1405">
        <v>1787.08</v>
      </c>
    </row>
    <row r="3163" spans="2:9" ht="30">
      <c r="B3163" s="1477">
        <v>101503</v>
      </c>
      <c r="C3163" s="740" t="s">
        <v>6857</v>
      </c>
      <c r="D3163" s="739" t="s">
        <v>22</v>
      </c>
      <c r="E3163" s="741">
        <f t="shared" si="98"/>
        <v>1823.04</v>
      </c>
      <c r="F3163">
        <f t="shared" si="99"/>
        <v>101503</v>
      </c>
      <c r="H3163" s="1406">
        <v>1780.21</v>
      </c>
      <c r="I3163" s="1406">
        <v>1823.04</v>
      </c>
    </row>
    <row r="3164" spans="2:9" ht="30">
      <c r="B3164" s="677">
        <v>101504</v>
      </c>
      <c r="C3164" s="733" t="s">
        <v>6858</v>
      </c>
      <c r="D3164" s="677" t="s">
        <v>22</v>
      </c>
      <c r="E3164" s="738">
        <f t="shared" si="98"/>
        <v>2016.86</v>
      </c>
      <c r="F3164">
        <f t="shared" si="99"/>
        <v>101504</v>
      </c>
      <c r="H3164" s="1405">
        <v>1972.04</v>
      </c>
      <c r="I3164" s="1405">
        <v>2016.86</v>
      </c>
    </row>
    <row r="3165" spans="2:9" ht="30">
      <c r="B3165" s="1477">
        <v>101505</v>
      </c>
      <c r="C3165" s="740" t="s">
        <v>6859</v>
      </c>
      <c r="D3165" s="739" t="s">
        <v>22</v>
      </c>
      <c r="E3165" s="741">
        <f t="shared" si="98"/>
        <v>1757.33</v>
      </c>
      <c r="F3165">
        <f t="shared" si="99"/>
        <v>101505</v>
      </c>
      <c r="H3165" s="1406">
        <v>1708.87</v>
      </c>
      <c r="I3165" s="1406">
        <v>1757.33</v>
      </c>
    </row>
    <row r="3166" spans="2:9" ht="30">
      <c r="B3166" s="677">
        <v>101506</v>
      </c>
      <c r="C3166" s="733" t="s">
        <v>6860</v>
      </c>
      <c r="D3166" s="677" t="s">
        <v>22</v>
      </c>
      <c r="E3166" s="738">
        <f t="shared" si="98"/>
        <v>1946.25</v>
      </c>
      <c r="F3166">
        <f t="shared" si="99"/>
        <v>101506</v>
      </c>
      <c r="H3166" s="1405">
        <v>1893.36</v>
      </c>
      <c r="I3166" s="1405">
        <v>1946.25</v>
      </c>
    </row>
    <row r="3167" spans="2:9" ht="30">
      <c r="B3167" s="1477">
        <v>101507</v>
      </c>
      <c r="C3167" s="740" t="s">
        <v>6861</v>
      </c>
      <c r="D3167" s="739" t="s">
        <v>22</v>
      </c>
      <c r="E3167" s="741">
        <f t="shared" si="98"/>
        <v>1994.2</v>
      </c>
      <c r="F3167">
        <f t="shared" si="99"/>
        <v>101507</v>
      </c>
      <c r="H3167" s="1406">
        <v>1947.3</v>
      </c>
      <c r="I3167" s="1406">
        <v>1994.2</v>
      </c>
    </row>
    <row r="3168" spans="2:9" ht="30">
      <c r="B3168" s="677">
        <v>101508</v>
      </c>
      <c r="C3168" s="733" t="s">
        <v>6862</v>
      </c>
      <c r="D3168" s="677" t="s">
        <v>22</v>
      </c>
      <c r="E3168" s="738">
        <f t="shared" si="98"/>
        <v>2242.35</v>
      </c>
      <c r="F3168">
        <f t="shared" si="99"/>
        <v>101508</v>
      </c>
      <c r="H3168" s="1405">
        <v>2193.19</v>
      </c>
      <c r="I3168" s="1405">
        <v>2242.35</v>
      </c>
    </row>
    <row r="3169" spans="2:9" ht="30">
      <c r="B3169" s="1477">
        <v>101509</v>
      </c>
      <c r="C3169" s="740" t="s">
        <v>7038</v>
      </c>
      <c r="D3169" s="739" t="s">
        <v>22</v>
      </c>
      <c r="E3169" s="741">
        <f t="shared" si="98"/>
        <v>1844.51</v>
      </c>
      <c r="F3169">
        <f t="shared" si="99"/>
        <v>101509</v>
      </c>
      <c r="H3169" s="1406">
        <v>1797.44</v>
      </c>
      <c r="I3169" s="1406">
        <v>1844.51</v>
      </c>
    </row>
    <row r="3170" spans="2:9" ht="30">
      <c r="B3170" s="677">
        <v>101510</v>
      </c>
      <c r="C3170" s="733" t="s">
        <v>7039</v>
      </c>
      <c r="D3170" s="677" t="s">
        <v>22</v>
      </c>
      <c r="E3170" s="738">
        <f t="shared" si="98"/>
        <v>2033.43</v>
      </c>
      <c r="F3170">
        <f t="shared" si="99"/>
        <v>101510</v>
      </c>
      <c r="H3170" s="1405">
        <v>1981.93</v>
      </c>
      <c r="I3170" s="1405">
        <v>2033.43</v>
      </c>
    </row>
    <row r="3171" spans="2:9" ht="30">
      <c r="B3171" s="1477">
        <v>101511</v>
      </c>
      <c r="C3171" s="740" t="s">
        <v>7040</v>
      </c>
      <c r="D3171" s="739" t="s">
        <v>22</v>
      </c>
      <c r="E3171" s="741">
        <f t="shared" si="98"/>
        <v>2081.38</v>
      </c>
      <c r="F3171">
        <f t="shared" si="99"/>
        <v>101511</v>
      </c>
      <c r="H3171" s="1406">
        <v>2035.87</v>
      </c>
      <c r="I3171" s="1406">
        <v>2081.38</v>
      </c>
    </row>
    <row r="3172" spans="2:9" ht="30">
      <c r="B3172" s="677">
        <v>101512</v>
      </c>
      <c r="C3172" s="733" t="s">
        <v>7041</v>
      </c>
      <c r="D3172" s="677" t="s">
        <v>22</v>
      </c>
      <c r="E3172" s="738">
        <f t="shared" si="98"/>
        <v>2329.5300000000002</v>
      </c>
      <c r="F3172">
        <f t="shared" si="99"/>
        <v>101512</v>
      </c>
      <c r="H3172" s="1405">
        <v>2281.7600000000002</v>
      </c>
      <c r="I3172" s="1405">
        <v>2329.5300000000002</v>
      </c>
    </row>
    <row r="3173" spans="2:9" ht="30">
      <c r="B3173" s="1477">
        <v>101513</v>
      </c>
      <c r="C3173" s="740" t="s">
        <v>6863</v>
      </c>
      <c r="D3173" s="739" t="s">
        <v>22</v>
      </c>
      <c r="E3173" s="741">
        <f t="shared" si="98"/>
        <v>764.65</v>
      </c>
      <c r="F3173">
        <f t="shared" si="99"/>
        <v>101513</v>
      </c>
      <c r="H3173" s="1406">
        <v>746.39</v>
      </c>
      <c r="I3173" s="1406">
        <v>764.65</v>
      </c>
    </row>
    <row r="3174" spans="2:9" ht="30">
      <c r="B3174" s="677">
        <v>101514</v>
      </c>
      <c r="C3174" s="733" t="s">
        <v>6864</v>
      </c>
      <c r="D3174" s="677" t="s">
        <v>22</v>
      </c>
      <c r="E3174" s="738">
        <f t="shared" si="98"/>
        <v>876.98</v>
      </c>
      <c r="F3174">
        <f t="shared" si="99"/>
        <v>101514</v>
      </c>
      <c r="H3174" s="1405">
        <v>856.09</v>
      </c>
      <c r="I3174" s="1405">
        <v>876.98</v>
      </c>
    </row>
    <row r="3175" spans="2:9" ht="30">
      <c r="B3175" s="1477">
        <v>101515</v>
      </c>
      <c r="C3175" s="740" t="s">
        <v>6865</v>
      </c>
      <c r="D3175" s="739" t="s">
        <v>22</v>
      </c>
      <c r="E3175" s="741">
        <f t="shared" si="98"/>
        <v>905.49</v>
      </c>
      <c r="F3175">
        <f t="shared" si="99"/>
        <v>101515</v>
      </c>
      <c r="H3175" s="1406">
        <v>888.16</v>
      </c>
      <c r="I3175" s="1406">
        <v>905.49</v>
      </c>
    </row>
    <row r="3176" spans="2:9" ht="30">
      <c r="B3176" s="677">
        <v>101516</v>
      </c>
      <c r="C3176" s="733" t="s">
        <v>6866</v>
      </c>
      <c r="D3176" s="677" t="s">
        <v>22</v>
      </c>
      <c r="E3176" s="738">
        <f t="shared" si="98"/>
        <v>1034.72</v>
      </c>
      <c r="F3176">
        <f t="shared" si="99"/>
        <v>101516</v>
      </c>
      <c r="H3176" s="1405">
        <v>1016.73</v>
      </c>
      <c r="I3176" s="1405">
        <v>1034.72</v>
      </c>
    </row>
    <row r="3177" spans="2:9" ht="30">
      <c r="B3177" s="1477">
        <v>101517</v>
      </c>
      <c r="C3177" s="740" t="s">
        <v>6867</v>
      </c>
      <c r="D3177" s="739" t="s">
        <v>22</v>
      </c>
      <c r="E3177" s="741">
        <f t="shared" si="98"/>
        <v>750.39</v>
      </c>
      <c r="F3177">
        <f t="shared" si="99"/>
        <v>101517</v>
      </c>
      <c r="H3177" s="1406">
        <v>733.97</v>
      </c>
      <c r="I3177" s="1406">
        <v>750.39</v>
      </c>
    </row>
    <row r="3178" spans="2:9" ht="30">
      <c r="B3178" s="677">
        <v>101518</v>
      </c>
      <c r="C3178" s="733" t="s">
        <v>6868</v>
      </c>
      <c r="D3178" s="677" t="s">
        <v>22</v>
      </c>
      <c r="E3178" s="738">
        <f t="shared" si="98"/>
        <v>862.72</v>
      </c>
      <c r="F3178">
        <f t="shared" si="99"/>
        <v>101518</v>
      </c>
      <c r="H3178" s="1405">
        <v>843.67</v>
      </c>
      <c r="I3178" s="1405">
        <v>862.72</v>
      </c>
    </row>
    <row r="3179" spans="2:9" ht="30">
      <c r="B3179" s="1477">
        <v>101519</v>
      </c>
      <c r="C3179" s="740" t="s">
        <v>6869</v>
      </c>
      <c r="D3179" s="739" t="s">
        <v>22</v>
      </c>
      <c r="E3179" s="741">
        <f t="shared" si="98"/>
        <v>891.23</v>
      </c>
      <c r="F3179">
        <f t="shared" si="99"/>
        <v>101519</v>
      </c>
      <c r="H3179" s="1406">
        <v>875.74</v>
      </c>
      <c r="I3179" s="1406">
        <v>891.23</v>
      </c>
    </row>
    <row r="3180" spans="2:9" ht="30">
      <c r="B3180" s="677">
        <v>101520</v>
      </c>
      <c r="C3180" s="733" t="s">
        <v>6870</v>
      </c>
      <c r="D3180" s="677" t="s">
        <v>22</v>
      </c>
      <c r="E3180" s="738">
        <f t="shared" si="98"/>
        <v>1020.46</v>
      </c>
      <c r="F3180">
        <f t="shared" si="99"/>
        <v>101520</v>
      </c>
      <c r="H3180" s="1405">
        <v>1004.31</v>
      </c>
      <c r="I3180" s="1405">
        <v>1020.46</v>
      </c>
    </row>
    <row r="3181" spans="2:9" ht="30">
      <c r="B3181" s="1477">
        <v>101521</v>
      </c>
      <c r="C3181" s="740" t="s">
        <v>6871</v>
      </c>
      <c r="D3181" s="739" t="s">
        <v>22</v>
      </c>
      <c r="E3181" s="741">
        <f t="shared" si="98"/>
        <v>1038.32</v>
      </c>
      <c r="F3181">
        <f t="shared" si="99"/>
        <v>101521</v>
      </c>
      <c r="H3181" s="1406">
        <v>1016.69</v>
      </c>
      <c r="I3181" s="1406">
        <v>1038.32</v>
      </c>
    </row>
    <row r="3182" spans="2:9" ht="30">
      <c r="B3182" s="677">
        <v>101522</v>
      </c>
      <c r="C3182" s="733" t="s">
        <v>6872</v>
      </c>
      <c r="D3182" s="677" t="s">
        <v>22</v>
      </c>
      <c r="E3182" s="738">
        <f t="shared" si="98"/>
        <v>1206.82</v>
      </c>
      <c r="F3182">
        <f t="shared" si="99"/>
        <v>101522</v>
      </c>
      <c r="H3182" s="1405">
        <v>1181.23</v>
      </c>
      <c r="I3182" s="1405">
        <v>1206.82</v>
      </c>
    </row>
    <row r="3183" spans="2:9" ht="30">
      <c r="B3183" s="1477">
        <v>101523</v>
      </c>
      <c r="C3183" s="740" t="s">
        <v>6873</v>
      </c>
      <c r="D3183" s="739" t="s">
        <v>22</v>
      </c>
      <c r="E3183" s="741">
        <f t="shared" si="98"/>
        <v>1249.5899999999999</v>
      </c>
      <c r="F3183">
        <f t="shared" si="99"/>
        <v>101523</v>
      </c>
      <c r="H3183" s="1406">
        <v>1229.3399999999999</v>
      </c>
      <c r="I3183" s="1406">
        <v>1249.5899999999999</v>
      </c>
    </row>
    <row r="3184" spans="2:9" ht="30">
      <c r="B3184" s="677">
        <v>101524</v>
      </c>
      <c r="C3184" s="733" t="s">
        <v>6874</v>
      </c>
      <c r="D3184" s="677" t="s">
        <v>22</v>
      </c>
      <c r="E3184" s="738">
        <f t="shared" si="98"/>
        <v>1443.43</v>
      </c>
      <c r="F3184">
        <f t="shared" si="99"/>
        <v>101524</v>
      </c>
      <c r="H3184" s="1405">
        <v>1422.19</v>
      </c>
      <c r="I3184" s="1405">
        <v>1443.43</v>
      </c>
    </row>
    <row r="3185" spans="2:9" ht="30">
      <c r="B3185" s="1477">
        <v>101525</v>
      </c>
      <c r="C3185" s="740" t="s">
        <v>6875</v>
      </c>
      <c r="D3185" s="739" t="s">
        <v>22</v>
      </c>
      <c r="E3185" s="741">
        <f t="shared" si="98"/>
        <v>1032.18</v>
      </c>
      <c r="F3185">
        <f t="shared" si="99"/>
        <v>101525</v>
      </c>
      <c r="H3185" s="1406">
        <v>1011.99</v>
      </c>
      <c r="I3185" s="1406">
        <v>1032.18</v>
      </c>
    </row>
    <row r="3186" spans="2:9" ht="30">
      <c r="B3186" s="677">
        <v>101526</v>
      </c>
      <c r="C3186" s="733" t="s">
        <v>6876</v>
      </c>
      <c r="D3186" s="677" t="s">
        <v>22</v>
      </c>
      <c r="E3186" s="738">
        <f t="shared" si="98"/>
        <v>1200.68</v>
      </c>
      <c r="F3186">
        <f t="shared" si="99"/>
        <v>101526</v>
      </c>
      <c r="H3186" s="1405">
        <v>1176.53</v>
      </c>
      <c r="I3186" s="1405">
        <v>1200.68</v>
      </c>
    </row>
    <row r="3187" spans="2:9" ht="30">
      <c r="B3187" s="1477">
        <v>101527</v>
      </c>
      <c r="C3187" s="740" t="s">
        <v>6877</v>
      </c>
      <c r="D3187" s="739" t="s">
        <v>22</v>
      </c>
      <c r="E3187" s="741">
        <f t="shared" si="98"/>
        <v>1243.45</v>
      </c>
      <c r="F3187">
        <f t="shared" si="99"/>
        <v>101527</v>
      </c>
      <c r="H3187" s="1406">
        <v>1224.6400000000001</v>
      </c>
      <c r="I3187" s="1406">
        <v>1243.45</v>
      </c>
    </row>
    <row r="3188" spans="2:9" ht="30">
      <c r="B3188" s="677">
        <v>101528</v>
      </c>
      <c r="C3188" s="733" t="s">
        <v>6878</v>
      </c>
      <c r="D3188" s="677" t="s">
        <v>22</v>
      </c>
      <c r="E3188" s="738">
        <f t="shared" si="98"/>
        <v>1437.29</v>
      </c>
      <c r="F3188">
        <f t="shared" si="99"/>
        <v>101528</v>
      </c>
      <c r="H3188" s="1405">
        <v>1417.49</v>
      </c>
      <c r="I3188" s="1405">
        <v>1437.29</v>
      </c>
    </row>
    <row r="3189" spans="2:9" ht="30">
      <c r="B3189" s="1477">
        <v>101529</v>
      </c>
      <c r="C3189" s="740" t="s">
        <v>6879</v>
      </c>
      <c r="D3189" s="739" t="s">
        <v>22</v>
      </c>
      <c r="E3189" s="741">
        <f t="shared" si="98"/>
        <v>1159.83</v>
      </c>
      <c r="F3189">
        <f t="shared" si="99"/>
        <v>101529</v>
      </c>
      <c r="H3189" s="1406">
        <v>1134.8</v>
      </c>
      <c r="I3189" s="1406">
        <v>1159.83</v>
      </c>
    </row>
    <row r="3190" spans="2:9" ht="30">
      <c r="B3190" s="677">
        <v>101530</v>
      </c>
      <c r="C3190" s="733" t="s">
        <v>6880</v>
      </c>
      <c r="D3190" s="677" t="s">
        <v>22</v>
      </c>
      <c r="E3190" s="738">
        <f t="shared" si="98"/>
        <v>1384.49</v>
      </c>
      <c r="F3190">
        <f t="shared" si="99"/>
        <v>101530</v>
      </c>
      <c r="H3190" s="1405">
        <v>1354.19</v>
      </c>
      <c r="I3190" s="1405">
        <v>1384.49</v>
      </c>
    </row>
    <row r="3191" spans="2:9" ht="30">
      <c r="B3191" s="1477">
        <v>101531</v>
      </c>
      <c r="C3191" s="740" t="s">
        <v>6881</v>
      </c>
      <c r="D3191" s="739" t="s">
        <v>22</v>
      </c>
      <c r="E3191" s="741">
        <f t="shared" si="98"/>
        <v>1441.52</v>
      </c>
      <c r="F3191">
        <f t="shared" si="99"/>
        <v>101531</v>
      </c>
      <c r="H3191" s="1406">
        <v>1418.34</v>
      </c>
      <c r="I3191" s="1406">
        <v>1441.52</v>
      </c>
    </row>
    <row r="3192" spans="2:9" ht="30">
      <c r="B3192" s="677">
        <v>101532</v>
      </c>
      <c r="C3192" s="733" t="s">
        <v>6882</v>
      </c>
      <c r="D3192" s="677" t="s">
        <v>22</v>
      </c>
      <c r="E3192" s="738">
        <f t="shared" si="98"/>
        <v>1699.97</v>
      </c>
      <c r="F3192">
        <f t="shared" si="99"/>
        <v>101532</v>
      </c>
      <c r="H3192" s="1405">
        <v>1675.47</v>
      </c>
      <c r="I3192" s="1405">
        <v>1699.97</v>
      </c>
    </row>
    <row r="3193" spans="2:9" ht="30">
      <c r="B3193" s="1477">
        <v>101533</v>
      </c>
      <c r="C3193" s="740" t="s">
        <v>7042</v>
      </c>
      <c r="D3193" s="739" t="s">
        <v>22</v>
      </c>
      <c r="E3193" s="741">
        <f t="shared" si="98"/>
        <v>1247.01</v>
      </c>
      <c r="F3193">
        <f t="shared" si="99"/>
        <v>101533</v>
      </c>
      <c r="H3193" s="1406">
        <v>1223.3599999999999</v>
      </c>
      <c r="I3193" s="1406">
        <v>1247.01</v>
      </c>
    </row>
    <row r="3194" spans="2:9" ht="30">
      <c r="B3194" s="677">
        <v>101534</v>
      </c>
      <c r="C3194" s="733" t="s">
        <v>7043</v>
      </c>
      <c r="D3194" s="677" t="s">
        <v>22</v>
      </c>
      <c r="E3194" s="738">
        <f t="shared" si="98"/>
        <v>1471.67</v>
      </c>
      <c r="F3194">
        <f t="shared" si="99"/>
        <v>101534</v>
      </c>
      <c r="H3194" s="1405">
        <v>1442.75</v>
      </c>
      <c r="I3194" s="1405">
        <v>1471.67</v>
      </c>
    </row>
    <row r="3195" spans="2:9" ht="30">
      <c r="B3195" s="1477">
        <v>101535</v>
      </c>
      <c r="C3195" s="740" t="s">
        <v>7044</v>
      </c>
      <c r="D3195" s="739" t="s">
        <v>22</v>
      </c>
      <c r="E3195" s="741">
        <f t="shared" si="98"/>
        <v>1528.7</v>
      </c>
      <c r="F3195">
        <f t="shared" si="99"/>
        <v>101535</v>
      </c>
      <c r="H3195" s="1406">
        <v>1506.9</v>
      </c>
      <c r="I3195" s="1406">
        <v>1528.7</v>
      </c>
    </row>
    <row r="3196" spans="2:9" ht="30">
      <c r="B3196" s="677">
        <v>101536</v>
      </c>
      <c r="C3196" s="733" t="s">
        <v>7045</v>
      </c>
      <c r="D3196" s="677" t="s">
        <v>22</v>
      </c>
      <c r="E3196" s="738">
        <f t="shared" si="98"/>
        <v>1787.15</v>
      </c>
      <c r="F3196">
        <f t="shared" si="99"/>
        <v>101536</v>
      </c>
      <c r="H3196" s="1405">
        <v>1764.03</v>
      </c>
      <c r="I3196" s="1405">
        <v>1787.15</v>
      </c>
    </row>
    <row r="3197" spans="2:9">
      <c r="B3197" s="1477">
        <v>101537</v>
      </c>
      <c r="C3197" s="740" t="s">
        <v>3418</v>
      </c>
      <c r="D3197" s="739" t="s">
        <v>22</v>
      </c>
      <c r="E3197" s="741">
        <f t="shared" si="98"/>
        <v>88.41</v>
      </c>
      <c r="F3197">
        <f t="shared" si="99"/>
        <v>101537</v>
      </c>
      <c r="H3197" s="1406">
        <v>84.36</v>
      </c>
      <c r="I3197" s="1406">
        <v>88.41</v>
      </c>
    </row>
    <row r="3198" spans="2:9">
      <c r="B3198" s="677">
        <v>101538</v>
      </c>
      <c r="C3198" s="733" t="s">
        <v>3419</v>
      </c>
      <c r="D3198" s="677" t="s">
        <v>22</v>
      </c>
      <c r="E3198" s="738">
        <f t="shared" si="98"/>
        <v>59.35</v>
      </c>
      <c r="F3198">
        <f t="shared" si="99"/>
        <v>101538</v>
      </c>
      <c r="H3198" s="1405">
        <v>58.21</v>
      </c>
      <c r="I3198" s="1405">
        <v>59.35</v>
      </c>
    </row>
    <row r="3199" spans="2:9">
      <c r="B3199" s="1477">
        <v>101539</v>
      </c>
      <c r="C3199" s="740" t="s">
        <v>3420</v>
      </c>
      <c r="D3199" s="739" t="s">
        <v>22</v>
      </c>
      <c r="E3199" s="741">
        <f t="shared" si="98"/>
        <v>95.95</v>
      </c>
      <c r="F3199">
        <f t="shared" si="99"/>
        <v>101539</v>
      </c>
      <c r="H3199" s="1406">
        <v>93.68</v>
      </c>
      <c r="I3199" s="1406">
        <v>95.95</v>
      </c>
    </row>
    <row r="3200" spans="2:9">
      <c r="B3200" s="677">
        <v>101540</v>
      </c>
      <c r="C3200" s="733" t="s">
        <v>3421</v>
      </c>
      <c r="D3200" s="677" t="s">
        <v>22</v>
      </c>
      <c r="E3200" s="738">
        <f t="shared" si="98"/>
        <v>164.14</v>
      </c>
      <c r="F3200">
        <f t="shared" si="99"/>
        <v>101540</v>
      </c>
      <c r="H3200" s="1405">
        <v>160.74</v>
      </c>
      <c r="I3200" s="1405">
        <v>164.14</v>
      </c>
    </row>
    <row r="3201" spans="2:9">
      <c r="B3201" s="1477">
        <v>101541</v>
      </c>
      <c r="C3201" s="740" t="s">
        <v>3422</v>
      </c>
      <c r="D3201" s="739" t="s">
        <v>22</v>
      </c>
      <c r="E3201" s="741">
        <f t="shared" si="98"/>
        <v>213.53</v>
      </c>
      <c r="F3201">
        <f t="shared" si="99"/>
        <v>101541</v>
      </c>
      <c r="H3201" s="1406">
        <v>208.99</v>
      </c>
      <c r="I3201" s="1406">
        <v>213.53</v>
      </c>
    </row>
    <row r="3202" spans="2:9">
      <c r="B3202" s="677">
        <v>101542</v>
      </c>
      <c r="C3202" s="733" t="s">
        <v>3423</v>
      </c>
      <c r="D3202" s="677" t="s">
        <v>22</v>
      </c>
      <c r="E3202" s="738">
        <f t="shared" si="98"/>
        <v>44.23</v>
      </c>
      <c r="F3202">
        <f t="shared" si="99"/>
        <v>101542</v>
      </c>
      <c r="H3202" s="1405">
        <v>43.28</v>
      </c>
      <c r="I3202" s="1405">
        <v>44.23</v>
      </c>
    </row>
    <row r="3203" spans="2:9">
      <c r="B3203" s="1477">
        <v>101543</v>
      </c>
      <c r="C3203" s="740" t="s">
        <v>3424</v>
      </c>
      <c r="D3203" s="739" t="s">
        <v>22</v>
      </c>
      <c r="E3203" s="741">
        <f t="shared" ref="E3203:E3266" si="100">IF($K$2=$H$1,H3203,I3203)</f>
        <v>77.45</v>
      </c>
      <c r="F3203">
        <f t="shared" ref="F3203:F3266" si="101">IF(LEN($B3203)=7,CONCATENATE(MID($B3203,1,6),"00",RIGHT($B3203,1)),IF(LEN($B3203)=8,CONCATENATE(MID($B3203,1,6),"0",RIGHT($B3203,2)),$B3203))</f>
        <v>101543</v>
      </c>
      <c r="H3203" s="1406">
        <v>75.55</v>
      </c>
      <c r="I3203" s="1406">
        <v>77.45</v>
      </c>
    </row>
    <row r="3204" spans="2:9">
      <c r="B3204" s="677">
        <v>101544</v>
      </c>
      <c r="C3204" s="733" t="s">
        <v>3425</v>
      </c>
      <c r="D3204" s="677" t="s">
        <v>22</v>
      </c>
      <c r="E3204" s="738">
        <f t="shared" si="100"/>
        <v>124.94</v>
      </c>
      <c r="F3204">
        <f t="shared" si="101"/>
        <v>101544</v>
      </c>
      <c r="H3204" s="1405">
        <v>122.1</v>
      </c>
      <c r="I3204" s="1405">
        <v>124.94</v>
      </c>
    </row>
    <row r="3205" spans="2:9">
      <c r="B3205" s="1477">
        <v>101545</v>
      </c>
      <c r="C3205" s="740" t="s">
        <v>3426</v>
      </c>
      <c r="D3205" s="739" t="s">
        <v>22</v>
      </c>
      <c r="E3205" s="741">
        <f t="shared" si="100"/>
        <v>183.17</v>
      </c>
      <c r="F3205">
        <f t="shared" si="101"/>
        <v>101545</v>
      </c>
      <c r="H3205" s="1406">
        <v>179.37</v>
      </c>
      <c r="I3205" s="1406">
        <v>183.17</v>
      </c>
    </row>
    <row r="3206" spans="2:9">
      <c r="B3206" s="677">
        <v>101546</v>
      </c>
      <c r="C3206" s="733" t="s">
        <v>3427</v>
      </c>
      <c r="D3206" s="677" t="s">
        <v>22</v>
      </c>
      <c r="E3206" s="738">
        <f t="shared" si="100"/>
        <v>32.97</v>
      </c>
      <c r="F3206">
        <f t="shared" si="101"/>
        <v>101546</v>
      </c>
      <c r="H3206" s="1405">
        <v>32.770000000000003</v>
      </c>
      <c r="I3206" s="1405">
        <v>32.97</v>
      </c>
    </row>
    <row r="3207" spans="2:9">
      <c r="B3207" s="1477">
        <v>101547</v>
      </c>
      <c r="C3207" s="740" t="s">
        <v>3428</v>
      </c>
      <c r="D3207" s="739" t="s">
        <v>22</v>
      </c>
      <c r="E3207" s="741">
        <f t="shared" si="100"/>
        <v>103.63</v>
      </c>
      <c r="F3207">
        <f t="shared" si="101"/>
        <v>101547</v>
      </c>
      <c r="H3207" s="1406">
        <v>103.43</v>
      </c>
      <c r="I3207" s="1406">
        <v>103.63</v>
      </c>
    </row>
    <row r="3208" spans="2:9">
      <c r="B3208" s="677">
        <v>101548</v>
      </c>
      <c r="C3208" s="733" t="s">
        <v>3429</v>
      </c>
      <c r="D3208" s="677" t="s">
        <v>22</v>
      </c>
      <c r="E3208" s="738">
        <f t="shared" si="100"/>
        <v>8.0500000000000007</v>
      </c>
      <c r="F3208">
        <f t="shared" si="101"/>
        <v>101548</v>
      </c>
      <c r="H3208" s="1405">
        <v>7.85</v>
      </c>
      <c r="I3208" s="1405">
        <v>8.0500000000000007</v>
      </c>
    </row>
    <row r="3209" spans="2:9" ht="30">
      <c r="B3209" s="1477">
        <v>101549</v>
      </c>
      <c r="C3209" s="740" t="s">
        <v>3430</v>
      </c>
      <c r="D3209" s="739" t="s">
        <v>22</v>
      </c>
      <c r="E3209" s="741">
        <f t="shared" si="100"/>
        <v>18.63</v>
      </c>
      <c r="F3209">
        <f t="shared" si="101"/>
        <v>101549</v>
      </c>
      <c r="H3209" s="1406">
        <v>18.03</v>
      </c>
      <c r="I3209" s="1406">
        <v>18.63</v>
      </c>
    </row>
    <row r="3210" spans="2:9">
      <c r="B3210" s="677">
        <v>101553</v>
      </c>
      <c r="C3210" s="733" t="s">
        <v>3431</v>
      </c>
      <c r="D3210" s="677" t="s">
        <v>22</v>
      </c>
      <c r="E3210" s="738">
        <f t="shared" si="100"/>
        <v>20.82</v>
      </c>
      <c r="F3210">
        <f t="shared" si="101"/>
        <v>101553</v>
      </c>
      <c r="H3210" s="1405">
        <v>20.34</v>
      </c>
      <c r="I3210" s="1405">
        <v>20.82</v>
      </c>
    </row>
    <row r="3211" spans="2:9">
      <c r="B3211" s="1477">
        <v>101554</v>
      </c>
      <c r="C3211" s="740" t="s">
        <v>3432</v>
      </c>
      <c r="D3211" s="739" t="s">
        <v>22</v>
      </c>
      <c r="E3211" s="741">
        <f t="shared" si="100"/>
        <v>14.38</v>
      </c>
      <c r="F3211">
        <f t="shared" si="101"/>
        <v>101554</v>
      </c>
      <c r="H3211" s="1406">
        <v>13.9</v>
      </c>
      <c r="I3211" s="1406">
        <v>14.38</v>
      </c>
    </row>
    <row r="3212" spans="2:9">
      <c r="B3212" s="677">
        <v>101555</v>
      </c>
      <c r="C3212" s="733" t="s">
        <v>3433</v>
      </c>
      <c r="D3212" s="677" t="s">
        <v>22</v>
      </c>
      <c r="E3212" s="738">
        <f t="shared" si="100"/>
        <v>8.5</v>
      </c>
      <c r="F3212">
        <f t="shared" si="101"/>
        <v>101555</v>
      </c>
      <c r="H3212" s="1405">
        <v>8.02</v>
      </c>
      <c r="I3212" s="1405">
        <v>8.5</v>
      </c>
    </row>
    <row r="3213" spans="2:9">
      <c r="B3213" s="1477">
        <v>101556</v>
      </c>
      <c r="C3213" s="740" t="s">
        <v>3434</v>
      </c>
      <c r="D3213" s="739" t="s">
        <v>22</v>
      </c>
      <c r="E3213" s="741">
        <f t="shared" si="100"/>
        <v>7.56</v>
      </c>
      <c r="F3213">
        <f t="shared" si="101"/>
        <v>101556</v>
      </c>
      <c r="H3213" s="1406">
        <v>7.08</v>
      </c>
      <c r="I3213" s="1406">
        <v>7.56</v>
      </c>
    </row>
    <row r="3214" spans="2:9" ht="30">
      <c r="B3214" s="677">
        <v>101560</v>
      </c>
      <c r="C3214" s="733" t="s">
        <v>3435</v>
      </c>
      <c r="D3214" s="677" t="s">
        <v>21</v>
      </c>
      <c r="E3214" s="738">
        <f t="shared" si="100"/>
        <v>9.4700000000000006</v>
      </c>
      <c r="F3214">
        <f t="shared" si="101"/>
        <v>101560</v>
      </c>
      <c r="H3214" s="1405">
        <v>9.4600000000000009</v>
      </c>
      <c r="I3214" s="1405">
        <v>9.4700000000000006</v>
      </c>
    </row>
    <row r="3215" spans="2:9" ht="30">
      <c r="B3215" s="1477">
        <v>101561</v>
      </c>
      <c r="C3215" s="740" t="s">
        <v>3436</v>
      </c>
      <c r="D3215" s="739" t="s">
        <v>21</v>
      </c>
      <c r="E3215" s="741">
        <f t="shared" si="100"/>
        <v>15.03</v>
      </c>
      <c r="F3215">
        <f t="shared" si="101"/>
        <v>101561</v>
      </c>
      <c r="H3215" s="1406">
        <v>15.02</v>
      </c>
      <c r="I3215" s="1406">
        <v>15.03</v>
      </c>
    </row>
    <row r="3216" spans="2:9" ht="30">
      <c r="B3216" s="677">
        <v>101562</v>
      </c>
      <c r="C3216" s="733" t="s">
        <v>3437</v>
      </c>
      <c r="D3216" s="677" t="s">
        <v>21</v>
      </c>
      <c r="E3216" s="738">
        <f t="shared" si="100"/>
        <v>23.27</v>
      </c>
      <c r="F3216">
        <f t="shared" si="101"/>
        <v>101562</v>
      </c>
      <c r="H3216" s="1405">
        <v>23.26</v>
      </c>
      <c r="I3216" s="1405">
        <v>23.27</v>
      </c>
    </row>
    <row r="3217" spans="2:9" ht="30">
      <c r="B3217" s="1477">
        <v>101563</v>
      </c>
      <c r="C3217" s="740" t="s">
        <v>3438</v>
      </c>
      <c r="D3217" s="739" t="s">
        <v>21</v>
      </c>
      <c r="E3217" s="741">
        <f t="shared" si="100"/>
        <v>32.869999999999997</v>
      </c>
      <c r="F3217">
        <f t="shared" si="101"/>
        <v>101563</v>
      </c>
      <c r="H3217" s="1406">
        <v>32.86</v>
      </c>
      <c r="I3217" s="1406">
        <v>32.869999999999997</v>
      </c>
    </row>
    <row r="3218" spans="2:9" ht="30">
      <c r="B3218" s="677">
        <v>101564</v>
      </c>
      <c r="C3218" s="733" t="s">
        <v>3439</v>
      </c>
      <c r="D3218" s="677" t="s">
        <v>21</v>
      </c>
      <c r="E3218" s="738">
        <f t="shared" si="100"/>
        <v>48.57</v>
      </c>
      <c r="F3218">
        <f t="shared" si="101"/>
        <v>101564</v>
      </c>
      <c r="H3218" s="1405">
        <v>48.56</v>
      </c>
      <c r="I3218" s="1405">
        <v>48.57</v>
      </c>
    </row>
    <row r="3219" spans="2:9" ht="30">
      <c r="B3219" s="1477">
        <v>101565</v>
      </c>
      <c r="C3219" s="740" t="s">
        <v>3440</v>
      </c>
      <c r="D3219" s="739" t="s">
        <v>21</v>
      </c>
      <c r="E3219" s="741">
        <f t="shared" si="100"/>
        <v>67.92</v>
      </c>
      <c r="F3219">
        <f t="shared" si="101"/>
        <v>101565</v>
      </c>
      <c r="H3219" s="1406">
        <v>67.91</v>
      </c>
      <c r="I3219" s="1406">
        <v>67.92</v>
      </c>
    </row>
    <row r="3220" spans="2:9" ht="30">
      <c r="B3220" s="677">
        <v>101567</v>
      </c>
      <c r="C3220" s="733" t="s">
        <v>3441</v>
      </c>
      <c r="D3220" s="677" t="s">
        <v>21</v>
      </c>
      <c r="E3220" s="738">
        <f t="shared" si="100"/>
        <v>88.16</v>
      </c>
      <c r="F3220">
        <f t="shared" si="101"/>
        <v>101567</v>
      </c>
      <c r="H3220" s="1405">
        <v>88.15</v>
      </c>
      <c r="I3220" s="1405">
        <v>88.16</v>
      </c>
    </row>
    <row r="3221" spans="2:9" ht="30">
      <c r="B3221" s="1477">
        <v>101568</v>
      </c>
      <c r="C3221" s="740" t="s">
        <v>3442</v>
      </c>
      <c r="D3221" s="739" t="s">
        <v>21</v>
      </c>
      <c r="E3221" s="741">
        <f t="shared" si="100"/>
        <v>115.28</v>
      </c>
      <c r="F3221">
        <f t="shared" si="101"/>
        <v>101568</v>
      </c>
      <c r="H3221" s="1406">
        <v>115.27</v>
      </c>
      <c r="I3221" s="1406">
        <v>115.28</v>
      </c>
    </row>
    <row r="3222" spans="2:9">
      <c r="B3222" s="677">
        <v>101626</v>
      </c>
      <c r="C3222" s="733" t="s">
        <v>3753</v>
      </c>
      <c r="D3222" s="677" t="s">
        <v>22</v>
      </c>
      <c r="E3222" s="738">
        <f t="shared" si="100"/>
        <v>171.45</v>
      </c>
      <c r="F3222">
        <f t="shared" si="101"/>
        <v>101626</v>
      </c>
      <c r="H3222" s="1405">
        <v>170.49</v>
      </c>
      <c r="I3222" s="1405">
        <v>171.45</v>
      </c>
    </row>
    <row r="3223" spans="2:9">
      <c r="B3223" s="1477">
        <v>101627</v>
      </c>
      <c r="C3223" s="740" t="s">
        <v>3754</v>
      </c>
      <c r="D3223" s="739" t="s">
        <v>22</v>
      </c>
      <c r="E3223" s="741">
        <f t="shared" si="100"/>
        <v>266.66000000000003</v>
      </c>
      <c r="F3223">
        <f t="shared" si="101"/>
        <v>101627</v>
      </c>
      <c r="H3223" s="1406">
        <v>265.7</v>
      </c>
      <c r="I3223" s="1406">
        <v>266.66000000000003</v>
      </c>
    </row>
    <row r="3224" spans="2:9">
      <c r="B3224" s="677">
        <v>101628</v>
      </c>
      <c r="C3224" s="733" t="s">
        <v>3755</v>
      </c>
      <c r="D3224" s="677" t="s">
        <v>22</v>
      </c>
      <c r="E3224" s="738">
        <f t="shared" si="100"/>
        <v>127.4</v>
      </c>
      <c r="F3224">
        <f t="shared" si="101"/>
        <v>101628</v>
      </c>
      <c r="H3224" s="1405">
        <v>126.44</v>
      </c>
      <c r="I3224" s="1405">
        <v>127.4</v>
      </c>
    </row>
    <row r="3225" spans="2:9">
      <c r="B3225" s="1477">
        <v>101629</v>
      </c>
      <c r="C3225" s="740" t="s">
        <v>3756</v>
      </c>
      <c r="D3225" s="739" t="s">
        <v>22</v>
      </c>
      <c r="E3225" s="741">
        <f t="shared" si="100"/>
        <v>150.09</v>
      </c>
      <c r="F3225">
        <f t="shared" si="101"/>
        <v>101629</v>
      </c>
      <c r="H3225" s="1406">
        <v>149.13</v>
      </c>
      <c r="I3225" s="1406">
        <v>150.09</v>
      </c>
    </row>
    <row r="3226" spans="2:9">
      <c r="B3226" s="677">
        <v>101630</v>
      </c>
      <c r="C3226" s="733" t="s">
        <v>3757</v>
      </c>
      <c r="D3226" s="677" t="s">
        <v>22</v>
      </c>
      <c r="E3226" s="738">
        <f t="shared" si="100"/>
        <v>79.72</v>
      </c>
      <c r="F3226">
        <f t="shared" si="101"/>
        <v>101630</v>
      </c>
      <c r="H3226" s="1405">
        <v>77.42</v>
      </c>
      <c r="I3226" s="1405">
        <v>79.72</v>
      </c>
    </row>
    <row r="3227" spans="2:9">
      <c r="B3227" s="1477">
        <v>101631</v>
      </c>
      <c r="C3227" s="740" t="s">
        <v>3758</v>
      </c>
      <c r="D3227" s="739" t="s">
        <v>22</v>
      </c>
      <c r="E3227" s="741">
        <f t="shared" si="100"/>
        <v>31.1</v>
      </c>
      <c r="F3227">
        <f t="shared" si="101"/>
        <v>101631</v>
      </c>
      <c r="H3227" s="1406">
        <v>30.14</v>
      </c>
      <c r="I3227" s="1406">
        <v>31.1</v>
      </c>
    </row>
    <row r="3228" spans="2:9">
      <c r="B3228" s="677">
        <v>101632</v>
      </c>
      <c r="C3228" s="733" t="s">
        <v>3759</v>
      </c>
      <c r="D3228" s="677" t="s">
        <v>22</v>
      </c>
      <c r="E3228" s="738">
        <f t="shared" si="100"/>
        <v>38.14</v>
      </c>
      <c r="F3228">
        <f t="shared" si="101"/>
        <v>101632</v>
      </c>
      <c r="H3228" s="1405">
        <v>38.07</v>
      </c>
      <c r="I3228" s="1405">
        <v>38.14</v>
      </c>
    </row>
    <row r="3229" spans="2:9" ht="30">
      <c r="B3229" s="1477">
        <v>101633</v>
      </c>
      <c r="C3229" s="740" t="s">
        <v>3760</v>
      </c>
      <c r="D3229" s="739" t="s">
        <v>22</v>
      </c>
      <c r="E3229" s="741">
        <f t="shared" si="100"/>
        <v>105.19</v>
      </c>
      <c r="F3229">
        <f t="shared" si="101"/>
        <v>101633</v>
      </c>
      <c r="H3229" s="1406">
        <v>104.1</v>
      </c>
      <c r="I3229" s="1406">
        <v>105.19</v>
      </c>
    </row>
    <row r="3230" spans="2:9" ht="30">
      <c r="B3230" s="677">
        <v>101636</v>
      </c>
      <c r="C3230" s="733" t="s">
        <v>3761</v>
      </c>
      <c r="D3230" s="677" t="s">
        <v>22</v>
      </c>
      <c r="E3230" s="738">
        <f t="shared" si="100"/>
        <v>152.25</v>
      </c>
      <c r="F3230">
        <f t="shared" si="101"/>
        <v>101636</v>
      </c>
      <c r="H3230" s="1405">
        <v>147.99</v>
      </c>
      <c r="I3230" s="1405">
        <v>152.25</v>
      </c>
    </row>
    <row r="3231" spans="2:9" ht="30">
      <c r="B3231" s="1477">
        <v>101637</v>
      </c>
      <c r="C3231" s="740" t="s">
        <v>3762</v>
      </c>
      <c r="D3231" s="739" t="s">
        <v>22</v>
      </c>
      <c r="E3231" s="741">
        <f t="shared" si="100"/>
        <v>147.31</v>
      </c>
      <c r="F3231">
        <f t="shared" si="101"/>
        <v>101637</v>
      </c>
      <c r="H3231" s="1406">
        <v>143.05000000000001</v>
      </c>
      <c r="I3231" s="1406">
        <v>147.31</v>
      </c>
    </row>
    <row r="3232" spans="2:9">
      <c r="B3232" s="677">
        <v>101640</v>
      </c>
      <c r="C3232" s="733" t="s">
        <v>3763</v>
      </c>
      <c r="D3232" s="677" t="s">
        <v>22</v>
      </c>
      <c r="E3232" s="738">
        <f t="shared" si="100"/>
        <v>60.27</v>
      </c>
      <c r="F3232">
        <f t="shared" si="101"/>
        <v>101640</v>
      </c>
      <c r="H3232" s="1405">
        <v>60.13</v>
      </c>
      <c r="I3232" s="1405">
        <v>60.27</v>
      </c>
    </row>
    <row r="3233" spans="2:9">
      <c r="B3233" s="1477">
        <v>101641</v>
      </c>
      <c r="C3233" s="740" t="s">
        <v>3764</v>
      </c>
      <c r="D3233" s="739" t="s">
        <v>22</v>
      </c>
      <c r="E3233" s="741">
        <f t="shared" si="100"/>
        <v>31.45</v>
      </c>
      <c r="F3233">
        <f t="shared" si="101"/>
        <v>101641</v>
      </c>
      <c r="H3233" s="1406">
        <v>31.31</v>
      </c>
      <c r="I3233" s="1406">
        <v>31.45</v>
      </c>
    </row>
    <row r="3234" spans="2:9">
      <c r="B3234" s="677">
        <v>101642</v>
      </c>
      <c r="C3234" s="733" t="s">
        <v>3765</v>
      </c>
      <c r="D3234" s="677" t="s">
        <v>22</v>
      </c>
      <c r="E3234" s="738">
        <f t="shared" si="100"/>
        <v>16.02</v>
      </c>
      <c r="F3234">
        <f t="shared" si="101"/>
        <v>101642</v>
      </c>
      <c r="H3234" s="1405">
        <v>15.88</v>
      </c>
      <c r="I3234" s="1405">
        <v>16.02</v>
      </c>
    </row>
    <row r="3235" spans="2:9">
      <c r="B3235" s="1477">
        <v>101643</v>
      </c>
      <c r="C3235" s="740" t="s">
        <v>3766</v>
      </c>
      <c r="D3235" s="739" t="s">
        <v>22</v>
      </c>
      <c r="E3235" s="741">
        <f t="shared" si="100"/>
        <v>27.51</v>
      </c>
      <c r="F3235">
        <f t="shared" si="101"/>
        <v>101643</v>
      </c>
      <c r="H3235" s="1406">
        <v>27.37</v>
      </c>
      <c r="I3235" s="1406">
        <v>27.51</v>
      </c>
    </row>
    <row r="3236" spans="2:9">
      <c r="B3236" s="677">
        <v>101644</v>
      </c>
      <c r="C3236" s="733" t="s">
        <v>3767</v>
      </c>
      <c r="D3236" s="677" t="s">
        <v>22</v>
      </c>
      <c r="E3236" s="738">
        <f t="shared" si="100"/>
        <v>37.06</v>
      </c>
      <c r="F3236">
        <f t="shared" si="101"/>
        <v>101644</v>
      </c>
      <c r="H3236" s="1405">
        <v>36.92</v>
      </c>
      <c r="I3236" s="1405">
        <v>37.06</v>
      </c>
    </row>
    <row r="3237" spans="2:9">
      <c r="B3237" s="1477">
        <v>101648</v>
      </c>
      <c r="C3237" s="740" t="s">
        <v>3768</v>
      </c>
      <c r="D3237" s="739" t="s">
        <v>22</v>
      </c>
      <c r="E3237" s="741">
        <f t="shared" si="100"/>
        <v>33.14</v>
      </c>
      <c r="F3237">
        <f t="shared" si="101"/>
        <v>101648</v>
      </c>
      <c r="H3237" s="1406">
        <v>33</v>
      </c>
      <c r="I3237" s="1406">
        <v>33.14</v>
      </c>
    </row>
    <row r="3238" spans="2:9">
      <c r="B3238" s="677">
        <v>101649</v>
      </c>
      <c r="C3238" s="733" t="s">
        <v>3769</v>
      </c>
      <c r="D3238" s="677" t="s">
        <v>22</v>
      </c>
      <c r="E3238" s="738">
        <f t="shared" si="100"/>
        <v>38.119999999999997</v>
      </c>
      <c r="F3238">
        <f t="shared" si="101"/>
        <v>101649</v>
      </c>
      <c r="H3238" s="1405">
        <v>37.979999999999997</v>
      </c>
      <c r="I3238" s="1405">
        <v>38.119999999999997</v>
      </c>
    </row>
    <row r="3239" spans="2:9">
      <c r="B3239" s="1477">
        <v>101650</v>
      </c>
      <c r="C3239" s="740" t="s">
        <v>3770</v>
      </c>
      <c r="D3239" s="739" t="s">
        <v>22</v>
      </c>
      <c r="E3239" s="741">
        <f t="shared" si="100"/>
        <v>44.22</v>
      </c>
      <c r="F3239">
        <f t="shared" si="101"/>
        <v>101650</v>
      </c>
      <c r="H3239" s="1406">
        <v>44.08</v>
      </c>
      <c r="I3239" s="1406">
        <v>44.22</v>
      </c>
    </row>
    <row r="3240" spans="2:9">
      <c r="B3240" s="677">
        <v>101651</v>
      </c>
      <c r="C3240" s="733" t="s">
        <v>3771</v>
      </c>
      <c r="D3240" s="677" t="s">
        <v>22</v>
      </c>
      <c r="E3240" s="738">
        <f t="shared" si="100"/>
        <v>69.06</v>
      </c>
      <c r="F3240">
        <f t="shared" si="101"/>
        <v>101651</v>
      </c>
      <c r="H3240" s="1405">
        <v>67.849999999999994</v>
      </c>
      <c r="I3240" s="1405">
        <v>69.06</v>
      </c>
    </row>
    <row r="3241" spans="2:9" ht="30">
      <c r="B3241" s="1477">
        <v>101652</v>
      </c>
      <c r="C3241" s="740" t="s">
        <v>3772</v>
      </c>
      <c r="D3241" s="739" t="s">
        <v>22</v>
      </c>
      <c r="E3241" s="741">
        <f t="shared" si="100"/>
        <v>515.29999999999995</v>
      </c>
      <c r="F3241">
        <f t="shared" si="101"/>
        <v>101652</v>
      </c>
      <c r="H3241" s="1406">
        <v>510.34</v>
      </c>
      <c r="I3241" s="1406">
        <v>515.29999999999995</v>
      </c>
    </row>
    <row r="3242" spans="2:9" ht="45">
      <c r="B3242" s="677">
        <v>101653</v>
      </c>
      <c r="C3242" s="733" t="s">
        <v>3773</v>
      </c>
      <c r="D3242" s="677" t="s">
        <v>22</v>
      </c>
      <c r="E3242" s="738">
        <f t="shared" si="100"/>
        <v>279.52</v>
      </c>
      <c r="F3242">
        <f t="shared" si="101"/>
        <v>101653</v>
      </c>
      <c r="H3242" s="1405">
        <v>271.20999999999998</v>
      </c>
      <c r="I3242" s="1405">
        <v>279.52</v>
      </c>
    </row>
    <row r="3243" spans="2:9">
      <c r="B3243" s="1477">
        <v>101654</v>
      </c>
      <c r="C3243" s="740" t="s">
        <v>3774</v>
      </c>
      <c r="D3243" s="739" t="s">
        <v>22</v>
      </c>
      <c r="E3243" s="741">
        <f t="shared" si="100"/>
        <v>193.56</v>
      </c>
      <c r="F3243">
        <f t="shared" si="101"/>
        <v>101654</v>
      </c>
      <c r="H3243" s="1406">
        <v>191.45</v>
      </c>
      <c r="I3243" s="1406">
        <v>193.56</v>
      </c>
    </row>
    <row r="3244" spans="2:9">
      <c r="B3244" s="677">
        <v>101655</v>
      </c>
      <c r="C3244" s="733" t="s">
        <v>3775</v>
      </c>
      <c r="D3244" s="677" t="s">
        <v>22</v>
      </c>
      <c r="E3244" s="738">
        <f t="shared" si="100"/>
        <v>291.37</v>
      </c>
      <c r="F3244">
        <f t="shared" si="101"/>
        <v>101655</v>
      </c>
      <c r="H3244" s="1405">
        <v>289.26</v>
      </c>
      <c r="I3244" s="1405">
        <v>291.37</v>
      </c>
    </row>
    <row r="3245" spans="2:9">
      <c r="B3245" s="1477">
        <v>101656</v>
      </c>
      <c r="C3245" s="740" t="s">
        <v>3776</v>
      </c>
      <c r="D3245" s="739" t="s">
        <v>22</v>
      </c>
      <c r="E3245" s="741">
        <f t="shared" si="100"/>
        <v>314.2</v>
      </c>
      <c r="F3245">
        <f t="shared" si="101"/>
        <v>101656</v>
      </c>
      <c r="H3245" s="1406">
        <v>312.08999999999997</v>
      </c>
      <c r="I3245" s="1406">
        <v>314.2</v>
      </c>
    </row>
    <row r="3246" spans="2:9">
      <c r="B3246" s="677">
        <v>101657</v>
      </c>
      <c r="C3246" s="733" t="s">
        <v>3777</v>
      </c>
      <c r="D3246" s="677" t="s">
        <v>22</v>
      </c>
      <c r="E3246" s="738">
        <f t="shared" si="100"/>
        <v>362.85</v>
      </c>
      <c r="F3246">
        <f t="shared" si="101"/>
        <v>101657</v>
      </c>
      <c r="H3246" s="1405">
        <v>360.74</v>
      </c>
      <c r="I3246" s="1405">
        <v>362.85</v>
      </c>
    </row>
    <row r="3247" spans="2:9">
      <c r="B3247" s="1477">
        <v>101658</v>
      </c>
      <c r="C3247" s="740" t="s">
        <v>3778</v>
      </c>
      <c r="D3247" s="739" t="s">
        <v>22</v>
      </c>
      <c r="E3247" s="741">
        <f t="shared" si="100"/>
        <v>462.87</v>
      </c>
      <c r="F3247">
        <f t="shared" si="101"/>
        <v>101658</v>
      </c>
      <c r="H3247" s="1406">
        <v>460.76</v>
      </c>
      <c r="I3247" s="1406">
        <v>462.87</v>
      </c>
    </row>
    <row r="3248" spans="2:9">
      <c r="B3248" s="677">
        <v>101659</v>
      </c>
      <c r="C3248" s="733" t="s">
        <v>3779</v>
      </c>
      <c r="D3248" s="677" t="s">
        <v>22</v>
      </c>
      <c r="E3248" s="738">
        <f t="shared" si="100"/>
        <v>525.08000000000004</v>
      </c>
      <c r="F3248">
        <f t="shared" si="101"/>
        <v>101659</v>
      </c>
      <c r="H3248" s="1405">
        <v>522.97</v>
      </c>
      <c r="I3248" s="1405">
        <v>525.08000000000004</v>
      </c>
    </row>
    <row r="3249" spans="2:9">
      <c r="B3249" s="1477">
        <v>101660</v>
      </c>
      <c r="C3249" s="740" t="s">
        <v>3780</v>
      </c>
      <c r="D3249" s="739" t="s">
        <v>22</v>
      </c>
      <c r="E3249" s="741">
        <f t="shared" si="100"/>
        <v>818.74</v>
      </c>
      <c r="F3249">
        <f t="shared" si="101"/>
        <v>101660</v>
      </c>
      <c r="H3249" s="1406">
        <v>816.63</v>
      </c>
      <c r="I3249" s="1406">
        <v>818.74</v>
      </c>
    </row>
    <row r="3250" spans="2:9" ht="30">
      <c r="B3250" s="677">
        <v>101661</v>
      </c>
      <c r="C3250" s="733" t="s">
        <v>3781</v>
      </c>
      <c r="D3250" s="677" t="s">
        <v>22</v>
      </c>
      <c r="E3250" s="738">
        <f t="shared" si="100"/>
        <v>117.22</v>
      </c>
      <c r="F3250">
        <f t="shared" si="101"/>
        <v>101661</v>
      </c>
      <c r="H3250" s="1405">
        <v>111.09</v>
      </c>
      <c r="I3250" s="1405">
        <v>117.22</v>
      </c>
    </row>
    <row r="3251" spans="2:9" ht="30">
      <c r="B3251" s="1477">
        <v>101662</v>
      </c>
      <c r="C3251" s="740" t="s">
        <v>3782</v>
      </c>
      <c r="D3251" s="739" t="s">
        <v>22</v>
      </c>
      <c r="E3251" s="741">
        <f t="shared" si="100"/>
        <v>692.93</v>
      </c>
      <c r="F3251">
        <f t="shared" si="101"/>
        <v>101662</v>
      </c>
      <c r="H3251" s="1406">
        <v>686.87</v>
      </c>
      <c r="I3251" s="1406">
        <v>692.93</v>
      </c>
    </row>
    <row r="3252" spans="2:9">
      <c r="B3252" s="677">
        <v>101663</v>
      </c>
      <c r="C3252" s="733" t="s">
        <v>3783</v>
      </c>
      <c r="D3252" s="677" t="s">
        <v>22</v>
      </c>
      <c r="E3252" s="738">
        <f t="shared" si="100"/>
        <v>25.57</v>
      </c>
      <c r="F3252">
        <f t="shared" si="101"/>
        <v>101663</v>
      </c>
      <c r="H3252" s="1405">
        <v>23.73</v>
      </c>
      <c r="I3252" s="1405">
        <v>25.57</v>
      </c>
    </row>
    <row r="3253" spans="2:9">
      <c r="B3253" s="1477">
        <v>101664</v>
      </c>
      <c r="C3253" s="740" t="s">
        <v>3784</v>
      </c>
      <c r="D3253" s="739" t="s">
        <v>22</v>
      </c>
      <c r="E3253" s="741">
        <f t="shared" si="100"/>
        <v>26.69</v>
      </c>
      <c r="F3253">
        <f t="shared" si="101"/>
        <v>101664</v>
      </c>
      <c r="H3253" s="1406">
        <v>24.85</v>
      </c>
      <c r="I3253" s="1406">
        <v>26.69</v>
      </c>
    </row>
    <row r="3254" spans="2:9">
      <c r="B3254" s="677">
        <v>101665</v>
      </c>
      <c r="C3254" s="733" t="s">
        <v>3785</v>
      </c>
      <c r="D3254" s="677" t="s">
        <v>22</v>
      </c>
      <c r="E3254" s="738">
        <f t="shared" si="100"/>
        <v>31.51</v>
      </c>
      <c r="F3254">
        <f t="shared" si="101"/>
        <v>101665</v>
      </c>
      <c r="H3254" s="1405">
        <v>29.67</v>
      </c>
      <c r="I3254" s="1405">
        <v>31.51</v>
      </c>
    </row>
    <row r="3255" spans="2:9">
      <c r="B3255" s="1477">
        <v>101666</v>
      </c>
      <c r="C3255" s="740" t="s">
        <v>3786</v>
      </c>
      <c r="D3255" s="739" t="s">
        <v>22</v>
      </c>
      <c r="E3255" s="741">
        <f t="shared" si="100"/>
        <v>363.07</v>
      </c>
      <c r="F3255">
        <f t="shared" si="101"/>
        <v>101666</v>
      </c>
      <c r="H3255" s="1406">
        <v>360.14</v>
      </c>
      <c r="I3255" s="1406">
        <v>363.07</v>
      </c>
    </row>
    <row r="3256" spans="2:9">
      <c r="B3256" s="677">
        <v>102085</v>
      </c>
      <c r="C3256" s="733" t="s">
        <v>3987</v>
      </c>
      <c r="D3256" s="677" t="s">
        <v>22</v>
      </c>
      <c r="E3256" s="738">
        <f t="shared" si="100"/>
        <v>199.32</v>
      </c>
      <c r="F3256">
        <f t="shared" si="101"/>
        <v>102085</v>
      </c>
      <c r="H3256" s="1405">
        <v>195.99</v>
      </c>
      <c r="I3256" s="1405">
        <v>199.32</v>
      </c>
    </row>
    <row r="3257" spans="2:9" ht="30">
      <c r="B3257" s="1477">
        <v>100578</v>
      </c>
      <c r="C3257" s="740" t="s">
        <v>2714</v>
      </c>
      <c r="D3257" s="739" t="s">
        <v>22</v>
      </c>
      <c r="E3257" s="741">
        <f t="shared" si="100"/>
        <v>465.13</v>
      </c>
      <c r="F3257">
        <f t="shared" si="101"/>
        <v>100578</v>
      </c>
      <c r="H3257" s="1406">
        <v>450.93</v>
      </c>
      <c r="I3257" s="1406">
        <v>465.13</v>
      </c>
    </row>
    <row r="3258" spans="2:9" ht="30">
      <c r="B3258" s="677">
        <v>100579</v>
      </c>
      <c r="C3258" s="733" t="s">
        <v>2715</v>
      </c>
      <c r="D3258" s="677" t="s">
        <v>22</v>
      </c>
      <c r="E3258" s="738">
        <f t="shared" si="100"/>
        <v>510.01</v>
      </c>
      <c r="F3258">
        <f t="shared" si="101"/>
        <v>100579</v>
      </c>
      <c r="H3258" s="1405">
        <v>494.74</v>
      </c>
      <c r="I3258" s="1405">
        <v>510.01</v>
      </c>
    </row>
    <row r="3259" spans="2:9" ht="30">
      <c r="B3259" s="1477">
        <v>100580</v>
      </c>
      <c r="C3259" s="740" t="s">
        <v>2716</v>
      </c>
      <c r="D3259" s="739" t="s">
        <v>22</v>
      </c>
      <c r="E3259" s="741">
        <f t="shared" si="100"/>
        <v>556.88</v>
      </c>
      <c r="F3259">
        <f t="shared" si="101"/>
        <v>100580</v>
      </c>
      <c r="H3259" s="1406">
        <v>537</v>
      </c>
      <c r="I3259" s="1406">
        <v>556.88</v>
      </c>
    </row>
    <row r="3260" spans="2:9" ht="30">
      <c r="B3260" s="677">
        <v>100581</v>
      </c>
      <c r="C3260" s="733" t="s">
        <v>2717</v>
      </c>
      <c r="D3260" s="677" t="s">
        <v>22</v>
      </c>
      <c r="E3260" s="738">
        <f t="shared" si="100"/>
        <v>532.23</v>
      </c>
      <c r="F3260">
        <f t="shared" si="101"/>
        <v>100581</v>
      </c>
      <c r="H3260" s="1405">
        <v>516.44000000000005</v>
      </c>
      <c r="I3260" s="1405">
        <v>532.23</v>
      </c>
    </row>
    <row r="3261" spans="2:9" ht="30">
      <c r="B3261" s="1477">
        <v>100582</v>
      </c>
      <c r="C3261" s="740" t="s">
        <v>2718</v>
      </c>
      <c r="D3261" s="739" t="s">
        <v>22</v>
      </c>
      <c r="E3261" s="741">
        <f t="shared" si="100"/>
        <v>616.65</v>
      </c>
      <c r="F3261">
        <f t="shared" si="101"/>
        <v>100582</v>
      </c>
      <c r="H3261" s="1406">
        <v>592.5</v>
      </c>
      <c r="I3261" s="1406">
        <v>616.65</v>
      </c>
    </row>
    <row r="3262" spans="2:9" ht="30">
      <c r="B3262" s="677">
        <v>100583</v>
      </c>
      <c r="C3262" s="733" t="s">
        <v>2719</v>
      </c>
      <c r="D3262" s="677" t="s">
        <v>22</v>
      </c>
      <c r="E3262" s="738">
        <f t="shared" si="100"/>
        <v>556.01</v>
      </c>
      <c r="F3262">
        <f t="shared" si="101"/>
        <v>100583</v>
      </c>
      <c r="H3262" s="1405">
        <v>539.55999999999995</v>
      </c>
      <c r="I3262" s="1405">
        <v>556.01</v>
      </c>
    </row>
    <row r="3263" spans="2:9" ht="30">
      <c r="B3263" s="1477">
        <v>100584</v>
      </c>
      <c r="C3263" s="740" t="s">
        <v>2720</v>
      </c>
      <c r="D3263" s="739" t="s">
        <v>22</v>
      </c>
      <c r="E3263" s="741">
        <f t="shared" si="100"/>
        <v>606.82000000000005</v>
      </c>
      <c r="F3263">
        <f t="shared" si="101"/>
        <v>100584</v>
      </c>
      <c r="H3263" s="1406">
        <v>585.37</v>
      </c>
      <c r="I3263" s="1406">
        <v>606.82000000000005</v>
      </c>
    </row>
    <row r="3264" spans="2:9" ht="30">
      <c r="B3264" s="677">
        <v>100585</v>
      </c>
      <c r="C3264" s="733" t="s">
        <v>2721</v>
      </c>
      <c r="D3264" s="677" t="s">
        <v>22</v>
      </c>
      <c r="E3264" s="738">
        <f t="shared" si="100"/>
        <v>602.24</v>
      </c>
      <c r="F3264">
        <f t="shared" si="101"/>
        <v>100585</v>
      </c>
      <c r="H3264" s="1405">
        <v>584.6</v>
      </c>
      <c r="I3264" s="1405">
        <v>602.24</v>
      </c>
    </row>
    <row r="3265" spans="2:9" ht="30">
      <c r="B3265" s="1477">
        <v>100586</v>
      </c>
      <c r="C3265" s="740" t="s">
        <v>2722</v>
      </c>
      <c r="D3265" s="739" t="s">
        <v>22</v>
      </c>
      <c r="E3265" s="741">
        <f t="shared" si="100"/>
        <v>683.27</v>
      </c>
      <c r="F3265">
        <f t="shared" si="101"/>
        <v>100586</v>
      </c>
      <c r="H3265" s="1406">
        <v>657.68</v>
      </c>
      <c r="I3265" s="1406">
        <v>683.27</v>
      </c>
    </row>
    <row r="3266" spans="2:9" ht="30">
      <c r="B3266" s="677">
        <v>100587</v>
      </c>
      <c r="C3266" s="733" t="s">
        <v>2723</v>
      </c>
      <c r="D3266" s="677" t="s">
        <v>22</v>
      </c>
      <c r="E3266" s="738">
        <f t="shared" si="100"/>
        <v>650.04</v>
      </c>
      <c r="F3266">
        <f t="shared" si="101"/>
        <v>100587</v>
      </c>
      <c r="H3266" s="1405">
        <v>631.04</v>
      </c>
      <c r="I3266" s="1405">
        <v>650.04</v>
      </c>
    </row>
    <row r="3267" spans="2:9" ht="30">
      <c r="B3267" s="1477">
        <v>100588</v>
      </c>
      <c r="C3267" s="740" t="s">
        <v>2724</v>
      </c>
      <c r="D3267" s="739" t="s">
        <v>22</v>
      </c>
      <c r="E3267" s="741">
        <f t="shared" ref="E3267:E3330" si="102">IF($K$2=$H$1,H3267,I3267)</f>
        <v>713.05</v>
      </c>
      <c r="F3267">
        <f t="shared" ref="F3267:F3330" si="103">IF(LEN($B3267)=7,CONCATENATE(MID($B3267,1,6),"00",RIGHT($B3267,1)),IF(LEN($B3267)=8,CONCATENATE(MID($B3267,1,6),"0",RIGHT($B3267,2)),$B3267))</f>
        <v>100588</v>
      </c>
      <c r="H3267" s="1406">
        <v>687.87</v>
      </c>
      <c r="I3267" s="1406">
        <v>713.05</v>
      </c>
    </row>
    <row r="3268" spans="2:9" ht="30">
      <c r="B3268" s="677">
        <v>100589</v>
      </c>
      <c r="C3268" s="733" t="s">
        <v>2725</v>
      </c>
      <c r="D3268" s="677" t="s">
        <v>22</v>
      </c>
      <c r="E3268" s="738">
        <f t="shared" si="102"/>
        <v>717.46</v>
      </c>
      <c r="F3268">
        <f t="shared" si="103"/>
        <v>100589</v>
      </c>
      <c r="H3268" s="1405">
        <v>693.38</v>
      </c>
      <c r="I3268" s="1405">
        <v>717.46</v>
      </c>
    </row>
    <row r="3269" spans="2:9" ht="30">
      <c r="B3269" s="1477">
        <v>100590</v>
      </c>
      <c r="C3269" s="740" t="s">
        <v>2726</v>
      </c>
      <c r="D3269" s="739" t="s">
        <v>22</v>
      </c>
      <c r="E3269" s="741">
        <f t="shared" si="102"/>
        <v>779.58</v>
      </c>
      <c r="F3269">
        <f t="shared" si="103"/>
        <v>100590</v>
      </c>
      <c r="H3269" s="1406">
        <v>749.32</v>
      </c>
      <c r="I3269" s="1406">
        <v>779.58</v>
      </c>
    </row>
    <row r="3270" spans="2:9" ht="30">
      <c r="B3270" s="677">
        <v>100591</v>
      </c>
      <c r="C3270" s="733" t="s">
        <v>2727</v>
      </c>
      <c r="D3270" s="677" t="s">
        <v>22</v>
      </c>
      <c r="E3270" s="738">
        <f t="shared" si="102"/>
        <v>714.45</v>
      </c>
      <c r="F3270">
        <f t="shared" si="103"/>
        <v>100591</v>
      </c>
      <c r="H3270" s="1405">
        <v>692.51</v>
      </c>
      <c r="I3270" s="1405">
        <v>714.45</v>
      </c>
    </row>
    <row r="3271" spans="2:9" ht="30">
      <c r="B3271" s="1477">
        <v>100592</v>
      </c>
      <c r="C3271" s="740" t="s">
        <v>2728</v>
      </c>
      <c r="D3271" s="739" t="s">
        <v>22</v>
      </c>
      <c r="E3271" s="741">
        <f t="shared" si="102"/>
        <v>765.97</v>
      </c>
      <c r="F3271">
        <f t="shared" si="103"/>
        <v>100592</v>
      </c>
      <c r="H3271" s="1406">
        <v>738.92</v>
      </c>
      <c r="I3271" s="1406">
        <v>765.97</v>
      </c>
    </row>
    <row r="3272" spans="2:9" ht="30">
      <c r="B3272" s="677">
        <v>100593</v>
      </c>
      <c r="C3272" s="733" t="s">
        <v>2729</v>
      </c>
      <c r="D3272" s="677" t="s">
        <v>22</v>
      </c>
      <c r="E3272" s="738">
        <f t="shared" si="102"/>
        <v>765.11</v>
      </c>
      <c r="F3272">
        <f t="shared" si="103"/>
        <v>100593</v>
      </c>
      <c r="H3272" s="1405">
        <v>741.52</v>
      </c>
      <c r="I3272" s="1405">
        <v>765.11</v>
      </c>
    </row>
    <row r="3273" spans="2:9" ht="30">
      <c r="B3273" s="1477">
        <v>100594</v>
      </c>
      <c r="C3273" s="740" t="s">
        <v>2730</v>
      </c>
      <c r="D3273" s="739" t="s">
        <v>22</v>
      </c>
      <c r="E3273" s="741">
        <f t="shared" si="102"/>
        <v>852.56</v>
      </c>
      <c r="F3273">
        <f t="shared" si="103"/>
        <v>100594</v>
      </c>
      <c r="H3273" s="1406">
        <v>820.39</v>
      </c>
      <c r="I3273" s="1406">
        <v>852.56</v>
      </c>
    </row>
    <row r="3274" spans="2:9" ht="30">
      <c r="B3274" s="677">
        <v>100595</v>
      </c>
      <c r="C3274" s="733" t="s">
        <v>2731</v>
      </c>
      <c r="D3274" s="677" t="s">
        <v>22</v>
      </c>
      <c r="E3274" s="738">
        <f t="shared" si="102"/>
        <v>916.99</v>
      </c>
      <c r="F3274">
        <f t="shared" si="103"/>
        <v>100595</v>
      </c>
      <c r="H3274" s="1405">
        <v>888.47</v>
      </c>
      <c r="I3274" s="1405">
        <v>916.99</v>
      </c>
    </row>
    <row r="3275" spans="2:9" ht="30">
      <c r="B3275" s="1477">
        <v>100596</v>
      </c>
      <c r="C3275" s="740" t="s">
        <v>2732</v>
      </c>
      <c r="D3275" s="739" t="s">
        <v>22</v>
      </c>
      <c r="E3275" s="741">
        <f t="shared" si="102"/>
        <v>1035.08</v>
      </c>
      <c r="F3275">
        <f t="shared" si="103"/>
        <v>100596</v>
      </c>
      <c r="H3275" s="1406">
        <v>995.03</v>
      </c>
      <c r="I3275" s="1406">
        <v>1035.08</v>
      </c>
    </row>
    <row r="3276" spans="2:9" ht="30">
      <c r="B3276" s="677">
        <v>100597</v>
      </c>
      <c r="C3276" s="733" t="s">
        <v>2733</v>
      </c>
      <c r="D3276" s="677" t="s">
        <v>22</v>
      </c>
      <c r="E3276" s="738">
        <f t="shared" si="102"/>
        <v>1058.3800000000001</v>
      </c>
      <c r="F3276">
        <f t="shared" si="103"/>
        <v>100597</v>
      </c>
      <c r="H3276" s="1405">
        <v>1022.62</v>
      </c>
      <c r="I3276" s="1405">
        <v>1058.3800000000001</v>
      </c>
    </row>
    <row r="3277" spans="2:9" ht="30">
      <c r="B3277" s="1477">
        <v>100598</v>
      </c>
      <c r="C3277" s="740" t="s">
        <v>2734</v>
      </c>
      <c r="D3277" s="739" t="s">
        <v>22</v>
      </c>
      <c r="E3277" s="741">
        <f t="shared" si="102"/>
        <v>1155.75</v>
      </c>
      <c r="F3277">
        <f t="shared" si="103"/>
        <v>100598</v>
      </c>
      <c r="H3277" s="1406">
        <v>1110.5</v>
      </c>
      <c r="I3277" s="1406">
        <v>1155.75</v>
      </c>
    </row>
    <row r="3278" spans="2:9" ht="30">
      <c r="B3278" s="677">
        <v>100599</v>
      </c>
      <c r="C3278" s="733" t="s">
        <v>2735</v>
      </c>
      <c r="D3278" s="677" t="s">
        <v>22</v>
      </c>
      <c r="E3278" s="738">
        <f t="shared" si="102"/>
        <v>496.97</v>
      </c>
      <c r="F3278">
        <f t="shared" si="103"/>
        <v>100599</v>
      </c>
      <c r="H3278" s="1405">
        <v>485.14</v>
      </c>
      <c r="I3278" s="1405">
        <v>496.97</v>
      </c>
    </row>
    <row r="3279" spans="2:9" ht="30">
      <c r="B3279" s="1477">
        <v>100600</v>
      </c>
      <c r="C3279" s="740" t="s">
        <v>2736</v>
      </c>
      <c r="D3279" s="739" t="s">
        <v>22</v>
      </c>
      <c r="E3279" s="741">
        <f t="shared" si="102"/>
        <v>597.14</v>
      </c>
      <c r="F3279">
        <f t="shared" si="103"/>
        <v>100600</v>
      </c>
      <c r="H3279" s="1406">
        <v>579.91999999999996</v>
      </c>
      <c r="I3279" s="1406">
        <v>597.14</v>
      </c>
    </row>
    <row r="3280" spans="2:9" ht="30">
      <c r="B3280" s="677">
        <v>100601</v>
      </c>
      <c r="C3280" s="733" t="s">
        <v>2737</v>
      </c>
      <c r="D3280" s="677" t="s">
        <v>22</v>
      </c>
      <c r="E3280" s="738">
        <f t="shared" si="102"/>
        <v>771.01</v>
      </c>
      <c r="F3280">
        <f t="shared" si="103"/>
        <v>100601</v>
      </c>
      <c r="H3280" s="1405">
        <v>745.74</v>
      </c>
      <c r="I3280" s="1405">
        <v>771.01</v>
      </c>
    </row>
    <row r="3281" spans="2:9" ht="30">
      <c r="B3281" s="1477">
        <v>100602</v>
      </c>
      <c r="C3281" s="740" t="s">
        <v>2738</v>
      </c>
      <c r="D3281" s="739" t="s">
        <v>22</v>
      </c>
      <c r="E3281" s="741">
        <f t="shared" si="102"/>
        <v>987.86</v>
      </c>
      <c r="F3281">
        <f t="shared" si="103"/>
        <v>100602</v>
      </c>
      <c r="H3281" s="1406">
        <v>952.53</v>
      </c>
      <c r="I3281" s="1406">
        <v>987.86</v>
      </c>
    </row>
    <row r="3282" spans="2:9" ht="30">
      <c r="B3282" s="677">
        <v>100603</v>
      </c>
      <c r="C3282" s="733" t="s">
        <v>2739</v>
      </c>
      <c r="D3282" s="677" t="s">
        <v>22</v>
      </c>
      <c r="E3282" s="738">
        <f t="shared" si="102"/>
        <v>1544.02</v>
      </c>
      <c r="F3282">
        <f t="shared" si="103"/>
        <v>100603</v>
      </c>
      <c r="H3282" s="1405">
        <v>1482.44</v>
      </c>
      <c r="I3282" s="1405">
        <v>1544.02</v>
      </c>
    </row>
    <row r="3283" spans="2:9" ht="30">
      <c r="B3283" s="1477">
        <v>100604</v>
      </c>
      <c r="C3283" s="740" t="s">
        <v>2740</v>
      </c>
      <c r="D3283" s="739" t="s">
        <v>22</v>
      </c>
      <c r="E3283" s="741">
        <f t="shared" si="102"/>
        <v>631.59</v>
      </c>
      <c r="F3283">
        <f t="shared" si="103"/>
        <v>100604</v>
      </c>
      <c r="H3283" s="1406">
        <v>613.82000000000005</v>
      </c>
      <c r="I3283" s="1406">
        <v>631.59</v>
      </c>
    </row>
    <row r="3284" spans="2:9" ht="30">
      <c r="B3284" s="677">
        <v>100605</v>
      </c>
      <c r="C3284" s="733" t="s">
        <v>2741</v>
      </c>
      <c r="D3284" s="677" t="s">
        <v>22</v>
      </c>
      <c r="E3284" s="738">
        <f t="shared" si="102"/>
        <v>1030.69</v>
      </c>
      <c r="F3284">
        <f t="shared" si="103"/>
        <v>100605</v>
      </c>
      <c r="H3284" s="1405">
        <v>993.9</v>
      </c>
      <c r="I3284" s="1405">
        <v>1030.69</v>
      </c>
    </row>
    <row r="3285" spans="2:9" ht="30">
      <c r="B3285" s="1477">
        <v>100606</v>
      </c>
      <c r="C3285" s="740" t="s">
        <v>2742</v>
      </c>
      <c r="D3285" s="739" t="s">
        <v>22</v>
      </c>
      <c r="E3285" s="741">
        <f t="shared" si="102"/>
        <v>1597.54</v>
      </c>
      <c r="F3285">
        <f t="shared" si="103"/>
        <v>100606</v>
      </c>
      <c r="H3285" s="1406">
        <v>1533.3</v>
      </c>
      <c r="I3285" s="1406">
        <v>1597.54</v>
      </c>
    </row>
    <row r="3286" spans="2:9" ht="30">
      <c r="B3286" s="677">
        <v>100607</v>
      </c>
      <c r="C3286" s="733" t="s">
        <v>2743</v>
      </c>
      <c r="D3286" s="677" t="s">
        <v>22</v>
      </c>
      <c r="E3286" s="738">
        <f t="shared" si="102"/>
        <v>647.79</v>
      </c>
      <c r="F3286">
        <f t="shared" si="103"/>
        <v>100607</v>
      </c>
      <c r="H3286" s="1405">
        <v>629.77</v>
      </c>
      <c r="I3286" s="1405">
        <v>647.79</v>
      </c>
    </row>
    <row r="3287" spans="2:9" ht="30">
      <c r="B3287" s="1477">
        <v>100608</v>
      </c>
      <c r="C3287" s="740" t="s">
        <v>2744</v>
      </c>
      <c r="D3287" s="739" t="s">
        <v>22</v>
      </c>
      <c r="E3287" s="741">
        <f t="shared" si="102"/>
        <v>1051.76</v>
      </c>
      <c r="F3287">
        <f t="shared" si="103"/>
        <v>100608</v>
      </c>
      <c r="H3287" s="1406">
        <v>1014.26</v>
      </c>
      <c r="I3287" s="1406">
        <v>1051.76</v>
      </c>
    </row>
    <row r="3288" spans="2:9" ht="30">
      <c r="B3288" s="677">
        <v>100609</v>
      </c>
      <c r="C3288" s="733" t="s">
        <v>2745</v>
      </c>
      <c r="D3288" s="677" t="s">
        <v>22</v>
      </c>
      <c r="E3288" s="738">
        <f t="shared" si="102"/>
        <v>1626.21</v>
      </c>
      <c r="F3288">
        <f t="shared" si="103"/>
        <v>100609</v>
      </c>
      <c r="H3288" s="1405">
        <v>1560.47</v>
      </c>
      <c r="I3288" s="1405">
        <v>1626.21</v>
      </c>
    </row>
    <row r="3289" spans="2:9" ht="30">
      <c r="B3289" s="1477">
        <v>100610</v>
      </c>
      <c r="C3289" s="740" t="s">
        <v>2746</v>
      </c>
      <c r="D3289" s="739" t="s">
        <v>22</v>
      </c>
      <c r="E3289" s="741">
        <f t="shared" si="102"/>
        <v>663.97</v>
      </c>
      <c r="F3289">
        <f t="shared" si="103"/>
        <v>100610</v>
      </c>
      <c r="H3289" s="1406">
        <v>645.71</v>
      </c>
      <c r="I3289" s="1406">
        <v>663.97</v>
      </c>
    </row>
    <row r="3290" spans="2:9" ht="30">
      <c r="B3290" s="677">
        <v>100611</v>
      </c>
      <c r="C3290" s="733" t="s">
        <v>2747</v>
      </c>
      <c r="D3290" s="677" t="s">
        <v>22</v>
      </c>
      <c r="E3290" s="738">
        <f t="shared" si="102"/>
        <v>845.23</v>
      </c>
      <c r="F3290">
        <f t="shared" si="103"/>
        <v>100611</v>
      </c>
      <c r="H3290" s="1405">
        <v>818.11</v>
      </c>
      <c r="I3290" s="1405">
        <v>845.23</v>
      </c>
    </row>
    <row r="3291" spans="2:9" ht="30">
      <c r="B3291" s="1477">
        <v>100612</v>
      </c>
      <c r="C3291" s="740" t="s">
        <v>2748</v>
      </c>
      <c r="D3291" s="739" t="s">
        <v>22</v>
      </c>
      <c r="E3291" s="741">
        <f t="shared" si="102"/>
        <v>1072.3800000000001</v>
      </c>
      <c r="F3291">
        <f t="shared" si="103"/>
        <v>100612</v>
      </c>
      <c r="H3291" s="1406">
        <v>1034.19</v>
      </c>
      <c r="I3291" s="1406">
        <v>1072.3800000000001</v>
      </c>
    </row>
    <row r="3292" spans="2:9" ht="30">
      <c r="B3292" s="677">
        <v>100613</v>
      </c>
      <c r="C3292" s="733" t="s">
        <v>2749</v>
      </c>
      <c r="D3292" s="677" t="s">
        <v>22</v>
      </c>
      <c r="E3292" s="738">
        <f t="shared" si="102"/>
        <v>1654.08</v>
      </c>
      <c r="F3292">
        <f t="shared" si="103"/>
        <v>100613</v>
      </c>
      <c r="H3292" s="1405">
        <v>1586.87</v>
      </c>
      <c r="I3292" s="1405">
        <v>1654.08</v>
      </c>
    </row>
    <row r="3293" spans="2:9" ht="30">
      <c r="B3293" s="1477">
        <v>100614</v>
      </c>
      <c r="C3293" s="740" t="s">
        <v>2750</v>
      </c>
      <c r="D3293" s="739" t="s">
        <v>22</v>
      </c>
      <c r="E3293" s="741">
        <f t="shared" si="102"/>
        <v>881.59</v>
      </c>
      <c r="F3293">
        <f t="shared" si="103"/>
        <v>100614</v>
      </c>
      <c r="H3293" s="1406">
        <v>853.62</v>
      </c>
      <c r="I3293" s="1406">
        <v>881.59</v>
      </c>
    </row>
    <row r="3294" spans="2:9" ht="30">
      <c r="B3294" s="677">
        <v>100615</v>
      </c>
      <c r="C3294" s="733" t="s">
        <v>2751</v>
      </c>
      <c r="D3294" s="677" t="s">
        <v>22</v>
      </c>
      <c r="E3294" s="738">
        <f t="shared" si="102"/>
        <v>1113.19</v>
      </c>
      <c r="F3294">
        <f t="shared" si="103"/>
        <v>100615</v>
      </c>
      <c r="H3294" s="1405">
        <v>1073.6400000000001</v>
      </c>
      <c r="I3294" s="1405">
        <v>1113.19</v>
      </c>
    </row>
    <row r="3295" spans="2:9" ht="30">
      <c r="B3295" s="1477">
        <v>100616</v>
      </c>
      <c r="C3295" s="740" t="s">
        <v>2752</v>
      </c>
      <c r="D3295" s="739" t="s">
        <v>22</v>
      </c>
      <c r="E3295" s="741">
        <f t="shared" si="102"/>
        <v>1712.64</v>
      </c>
      <c r="F3295">
        <f t="shared" si="103"/>
        <v>100616</v>
      </c>
      <c r="H3295" s="1406">
        <v>1642.23</v>
      </c>
      <c r="I3295" s="1406">
        <v>1712.64</v>
      </c>
    </row>
    <row r="3296" spans="2:9" ht="30">
      <c r="B3296" s="677">
        <v>100617</v>
      </c>
      <c r="C3296" s="733" t="s">
        <v>2753</v>
      </c>
      <c r="D3296" s="677" t="s">
        <v>22</v>
      </c>
      <c r="E3296" s="738">
        <f t="shared" si="102"/>
        <v>1153.74</v>
      </c>
      <c r="F3296">
        <f t="shared" si="103"/>
        <v>100617</v>
      </c>
      <c r="H3296" s="1405">
        <v>1112.81</v>
      </c>
      <c r="I3296" s="1405">
        <v>1153.74</v>
      </c>
    </row>
    <row r="3297" spans="2:9" ht="30">
      <c r="B3297" s="1477">
        <v>100618</v>
      </c>
      <c r="C3297" s="740" t="s">
        <v>2754</v>
      </c>
      <c r="D3297" s="739" t="s">
        <v>22</v>
      </c>
      <c r="E3297" s="741">
        <f t="shared" si="102"/>
        <v>1778.94</v>
      </c>
      <c r="F3297">
        <f t="shared" si="103"/>
        <v>100618</v>
      </c>
      <c r="H3297" s="1406">
        <v>1705.57</v>
      </c>
      <c r="I3297" s="1406">
        <v>1778.94</v>
      </c>
    </row>
    <row r="3298" spans="2:9">
      <c r="B3298" s="677">
        <v>100619</v>
      </c>
      <c r="C3298" s="733" t="s">
        <v>2755</v>
      </c>
      <c r="D3298" s="677" t="s">
        <v>22</v>
      </c>
      <c r="E3298" s="738">
        <f t="shared" si="102"/>
        <v>578.79</v>
      </c>
      <c r="F3298">
        <f t="shared" si="103"/>
        <v>100619</v>
      </c>
      <c r="H3298" s="1405">
        <v>566.86</v>
      </c>
      <c r="I3298" s="1405">
        <v>578.79</v>
      </c>
    </row>
    <row r="3299" spans="2:9" ht="30">
      <c r="B3299" s="1477">
        <v>100620</v>
      </c>
      <c r="C3299" s="740" t="s">
        <v>2756</v>
      </c>
      <c r="D3299" s="739" t="s">
        <v>22</v>
      </c>
      <c r="E3299" s="741">
        <f t="shared" si="102"/>
        <v>2819.86</v>
      </c>
      <c r="F3299">
        <f t="shared" si="103"/>
        <v>100620</v>
      </c>
      <c r="H3299" s="1406">
        <v>2811.93</v>
      </c>
      <c r="I3299" s="1406">
        <v>2819.86</v>
      </c>
    </row>
    <row r="3300" spans="2:9" ht="30">
      <c r="B3300" s="677">
        <v>100621</v>
      </c>
      <c r="C3300" s="733" t="s">
        <v>2757</v>
      </c>
      <c r="D3300" s="677" t="s">
        <v>22</v>
      </c>
      <c r="E3300" s="738">
        <f t="shared" si="102"/>
        <v>3290.18</v>
      </c>
      <c r="F3300">
        <f t="shared" si="103"/>
        <v>100621</v>
      </c>
      <c r="H3300" s="1405">
        <v>3278.99</v>
      </c>
      <c r="I3300" s="1405">
        <v>3290.18</v>
      </c>
    </row>
    <row r="3301" spans="2:9" ht="30">
      <c r="B3301" s="1477">
        <v>100622</v>
      </c>
      <c r="C3301" s="740" t="s">
        <v>2758</v>
      </c>
      <c r="D3301" s="739" t="s">
        <v>22</v>
      </c>
      <c r="E3301" s="741">
        <f t="shared" si="102"/>
        <v>2531.19</v>
      </c>
      <c r="F3301">
        <f t="shared" si="103"/>
        <v>100622</v>
      </c>
      <c r="H3301" s="1406">
        <v>2518.09</v>
      </c>
      <c r="I3301" s="1406">
        <v>2531.19</v>
      </c>
    </row>
    <row r="3302" spans="2:9" ht="30">
      <c r="B3302" s="677">
        <v>100623</v>
      </c>
      <c r="C3302" s="733" t="s">
        <v>2759</v>
      </c>
      <c r="D3302" s="677" t="s">
        <v>22</v>
      </c>
      <c r="E3302" s="738">
        <f t="shared" si="102"/>
        <v>2718.75</v>
      </c>
      <c r="F3302">
        <f t="shared" si="103"/>
        <v>100623</v>
      </c>
      <c r="H3302" s="1405">
        <v>2702.39</v>
      </c>
      <c r="I3302" s="1405">
        <v>2718.75</v>
      </c>
    </row>
    <row r="3303" spans="2:9" ht="30">
      <c r="B3303" s="1477">
        <v>97600</v>
      </c>
      <c r="C3303" s="740" t="s">
        <v>3201</v>
      </c>
      <c r="D3303" s="739" t="s">
        <v>22</v>
      </c>
      <c r="E3303" s="741">
        <f t="shared" si="102"/>
        <v>333.29</v>
      </c>
      <c r="F3303">
        <f t="shared" si="103"/>
        <v>97600</v>
      </c>
      <c r="H3303" s="1406">
        <v>331.74</v>
      </c>
      <c r="I3303" s="1406">
        <v>333.29</v>
      </c>
    </row>
    <row r="3304" spans="2:9" ht="30">
      <c r="B3304" s="677">
        <v>97601</v>
      </c>
      <c r="C3304" s="733" t="s">
        <v>3202</v>
      </c>
      <c r="D3304" s="677" t="s">
        <v>22</v>
      </c>
      <c r="E3304" s="738">
        <f t="shared" si="102"/>
        <v>344.78</v>
      </c>
      <c r="F3304">
        <f t="shared" si="103"/>
        <v>97601</v>
      </c>
      <c r="H3304" s="1405">
        <v>343.23</v>
      </c>
      <c r="I3304" s="1405">
        <v>344.78</v>
      </c>
    </row>
    <row r="3305" spans="2:9" ht="30">
      <c r="B3305" s="1477">
        <v>97605</v>
      </c>
      <c r="C3305" s="740" t="s">
        <v>3203</v>
      </c>
      <c r="D3305" s="739" t="s">
        <v>22</v>
      </c>
      <c r="E3305" s="741">
        <f t="shared" si="102"/>
        <v>89.39</v>
      </c>
      <c r="F3305">
        <f t="shared" si="103"/>
        <v>97605</v>
      </c>
      <c r="H3305" s="1406">
        <v>87.64</v>
      </c>
      <c r="I3305" s="1406">
        <v>89.39</v>
      </c>
    </row>
    <row r="3306" spans="2:9" ht="30">
      <c r="B3306" s="677">
        <v>97606</v>
      </c>
      <c r="C3306" s="733" t="s">
        <v>3204</v>
      </c>
      <c r="D3306" s="677" t="s">
        <v>22</v>
      </c>
      <c r="E3306" s="738">
        <f t="shared" si="102"/>
        <v>94.61</v>
      </c>
      <c r="F3306">
        <f t="shared" si="103"/>
        <v>97606</v>
      </c>
      <c r="H3306" s="1405">
        <v>92.86</v>
      </c>
      <c r="I3306" s="1405">
        <v>94.61</v>
      </c>
    </row>
    <row r="3307" spans="2:9" ht="30">
      <c r="B3307" s="1477">
        <v>97607</v>
      </c>
      <c r="C3307" s="740" t="s">
        <v>3205</v>
      </c>
      <c r="D3307" s="739" t="s">
        <v>22</v>
      </c>
      <c r="E3307" s="741">
        <f t="shared" si="102"/>
        <v>108.51</v>
      </c>
      <c r="F3307">
        <f t="shared" si="103"/>
        <v>97607</v>
      </c>
      <c r="H3307" s="1406">
        <v>106.46</v>
      </c>
      <c r="I3307" s="1406">
        <v>108.51</v>
      </c>
    </row>
    <row r="3308" spans="2:9" ht="30">
      <c r="B3308" s="677">
        <v>97608</v>
      </c>
      <c r="C3308" s="733" t="s">
        <v>3206</v>
      </c>
      <c r="D3308" s="677" t="s">
        <v>22</v>
      </c>
      <c r="E3308" s="738">
        <f t="shared" si="102"/>
        <v>113.73</v>
      </c>
      <c r="F3308">
        <f t="shared" si="103"/>
        <v>97608</v>
      </c>
      <c r="H3308" s="1405">
        <v>111.68</v>
      </c>
      <c r="I3308" s="1405">
        <v>113.73</v>
      </c>
    </row>
    <row r="3309" spans="2:9" ht="30">
      <c r="B3309" s="1477">
        <v>102102</v>
      </c>
      <c r="C3309" s="740" t="s">
        <v>4414</v>
      </c>
      <c r="D3309" s="739" t="s">
        <v>22</v>
      </c>
      <c r="E3309" s="741">
        <f t="shared" si="102"/>
        <v>21555.03</v>
      </c>
      <c r="F3309">
        <f t="shared" si="103"/>
        <v>102102</v>
      </c>
      <c r="H3309" s="1406">
        <v>21511.01</v>
      </c>
      <c r="I3309" s="1406">
        <v>21555.03</v>
      </c>
    </row>
    <row r="3310" spans="2:9" ht="30">
      <c r="B3310" s="677">
        <v>102103</v>
      </c>
      <c r="C3310" s="733" t="s">
        <v>4415</v>
      </c>
      <c r="D3310" s="677" t="s">
        <v>22</v>
      </c>
      <c r="E3310" s="738">
        <f t="shared" si="102"/>
        <v>24034.47</v>
      </c>
      <c r="F3310">
        <f t="shared" si="103"/>
        <v>102103</v>
      </c>
      <c r="H3310" s="1405">
        <v>23989.68</v>
      </c>
      <c r="I3310" s="1405">
        <v>24034.47</v>
      </c>
    </row>
    <row r="3311" spans="2:9" ht="30">
      <c r="B3311" s="1477">
        <v>102104</v>
      </c>
      <c r="C3311" s="740" t="s">
        <v>4416</v>
      </c>
      <c r="D3311" s="739" t="s">
        <v>22</v>
      </c>
      <c r="E3311" s="741">
        <f t="shared" si="102"/>
        <v>30962.79</v>
      </c>
      <c r="F3311">
        <f t="shared" si="103"/>
        <v>102104</v>
      </c>
      <c r="H3311" s="1406">
        <v>30916.66</v>
      </c>
      <c r="I3311" s="1406">
        <v>30962.79</v>
      </c>
    </row>
    <row r="3312" spans="2:9" ht="30">
      <c r="B3312" s="677">
        <v>102105</v>
      </c>
      <c r="C3312" s="733" t="s">
        <v>4417</v>
      </c>
      <c r="D3312" s="677" t="s">
        <v>22</v>
      </c>
      <c r="E3312" s="738">
        <f t="shared" si="102"/>
        <v>38162.449999999997</v>
      </c>
      <c r="F3312">
        <f t="shared" si="103"/>
        <v>102105</v>
      </c>
      <c r="H3312" s="1405">
        <v>38115</v>
      </c>
      <c r="I3312" s="1405">
        <v>38162.449999999997</v>
      </c>
    </row>
    <row r="3313" spans="2:9" ht="30">
      <c r="B3313" s="1477">
        <v>102106</v>
      </c>
      <c r="C3313" s="740" t="s">
        <v>4418</v>
      </c>
      <c r="D3313" s="739" t="s">
        <v>22</v>
      </c>
      <c r="E3313" s="741">
        <f t="shared" si="102"/>
        <v>48007.98</v>
      </c>
      <c r="F3313">
        <f t="shared" si="103"/>
        <v>102106</v>
      </c>
      <c r="H3313" s="1406">
        <v>47959.76</v>
      </c>
      <c r="I3313" s="1406">
        <v>48007.98</v>
      </c>
    </row>
    <row r="3314" spans="2:9" ht="30">
      <c r="B3314" s="677">
        <v>102107</v>
      </c>
      <c r="C3314" s="733" t="s">
        <v>4419</v>
      </c>
      <c r="D3314" s="677" t="s">
        <v>22</v>
      </c>
      <c r="E3314" s="738">
        <f t="shared" si="102"/>
        <v>67179.899999999994</v>
      </c>
      <c r="F3314">
        <f t="shared" si="103"/>
        <v>102107</v>
      </c>
      <c r="H3314" s="1405">
        <v>67128.789999999994</v>
      </c>
      <c r="I3314" s="1405">
        <v>67179.899999999994</v>
      </c>
    </row>
    <row r="3315" spans="2:9" ht="30">
      <c r="B3315" s="1477">
        <v>102108</v>
      </c>
      <c r="C3315" s="740" t="s">
        <v>4420</v>
      </c>
      <c r="D3315" s="739" t="s">
        <v>22</v>
      </c>
      <c r="E3315" s="741">
        <f t="shared" si="102"/>
        <v>78308.63</v>
      </c>
      <c r="F3315">
        <f t="shared" si="103"/>
        <v>102108</v>
      </c>
      <c r="H3315" s="1406">
        <v>78255.740000000005</v>
      </c>
      <c r="I3315" s="1406">
        <v>78308.63</v>
      </c>
    </row>
    <row r="3316" spans="2:9">
      <c r="B3316" s="677">
        <v>102109</v>
      </c>
      <c r="C3316" s="733" t="s">
        <v>4421</v>
      </c>
      <c r="D3316" s="677" t="s">
        <v>22</v>
      </c>
      <c r="E3316" s="738">
        <f t="shared" si="102"/>
        <v>76.599999999999994</v>
      </c>
      <c r="F3316">
        <f t="shared" si="103"/>
        <v>102109</v>
      </c>
      <c r="H3316" s="1405">
        <v>74.39</v>
      </c>
      <c r="I3316" s="1405">
        <v>76.599999999999994</v>
      </c>
    </row>
    <row r="3317" spans="2:9">
      <c r="B3317" s="1477">
        <v>102110</v>
      </c>
      <c r="C3317" s="740" t="s">
        <v>4422</v>
      </c>
      <c r="D3317" s="739" t="s">
        <v>22</v>
      </c>
      <c r="E3317" s="741">
        <f t="shared" si="102"/>
        <v>261.5</v>
      </c>
      <c r="F3317">
        <f t="shared" si="103"/>
        <v>102110</v>
      </c>
      <c r="H3317" s="1406">
        <v>259.29000000000002</v>
      </c>
      <c r="I3317" s="1406">
        <v>261.5</v>
      </c>
    </row>
    <row r="3318" spans="2:9" ht="30">
      <c r="B3318" s="677">
        <v>103654</v>
      </c>
      <c r="C3318" s="733" t="s">
        <v>5535</v>
      </c>
      <c r="D3318" s="677" t="s">
        <v>22</v>
      </c>
      <c r="E3318" s="738">
        <f t="shared" si="102"/>
        <v>127334.62</v>
      </c>
      <c r="F3318">
        <f t="shared" si="103"/>
        <v>103654</v>
      </c>
      <c r="H3318" s="1405">
        <v>127281.7</v>
      </c>
      <c r="I3318" s="1405">
        <v>127334.62</v>
      </c>
    </row>
    <row r="3319" spans="2:9" ht="30">
      <c r="B3319" s="1477">
        <v>103655</v>
      </c>
      <c r="C3319" s="740" t="s">
        <v>5536</v>
      </c>
      <c r="D3319" s="739" t="s">
        <v>22</v>
      </c>
      <c r="E3319" s="741">
        <f t="shared" si="102"/>
        <v>174553.3</v>
      </c>
      <c r="F3319">
        <f t="shared" si="103"/>
        <v>103655</v>
      </c>
      <c r="H3319" s="1406">
        <v>174491.33</v>
      </c>
      <c r="I3319" s="1406">
        <v>174553.3</v>
      </c>
    </row>
    <row r="3320" spans="2:9" ht="30">
      <c r="B3320" s="677">
        <v>103656</v>
      </c>
      <c r="C3320" s="733" t="s">
        <v>5537</v>
      </c>
      <c r="D3320" s="677" t="s">
        <v>22</v>
      </c>
      <c r="E3320" s="738">
        <f t="shared" si="102"/>
        <v>244233.43</v>
      </c>
      <c r="F3320">
        <f t="shared" si="103"/>
        <v>103656</v>
      </c>
      <c r="H3320" s="1405">
        <v>244162.47</v>
      </c>
      <c r="I3320" s="1405">
        <v>244233.43</v>
      </c>
    </row>
    <row r="3321" spans="2:9" ht="45">
      <c r="B3321" s="1477">
        <v>104473</v>
      </c>
      <c r="C3321" s="740" t="s">
        <v>7261</v>
      </c>
      <c r="D3321" s="739" t="s">
        <v>22</v>
      </c>
      <c r="E3321" s="741">
        <f t="shared" si="102"/>
        <v>161.1</v>
      </c>
      <c r="F3321">
        <f t="shared" si="103"/>
        <v>104473</v>
      </c>
      <c r="H3321" s="1406">
        <v>150.51</v>
      </c>
      <c r="I3321" s="1406">
        <v>161.1</v>
      </c>
    </row>
    <row r="3322" spans="2:9" ht="45">
      <c r="B3322" s="677">
        <v>104474</v>
      </c>
      <c r="C3322" s="733" t="s">
        <v>7262</v>
      </c>
      <c r="D3322" s="677" t="s">
        <v>22</v>
      </c>
      <c r="E3322" s="738">
        <f t="shared" si="102"/>
        <v>342.98</v>
      </c>
      <c r="F3322">
        <f t="shared" si="103"/>
        <v>104474</v>
      </c>
      <c r="H3322" s="1405">
        <v>321.38</v>
      </c>
      <c r="I3322" s="1405">
        <v>342.98</v>
      </c>
    </row>
    <row r="3323" spans="2:9" ht="45">
      <c r="B3323" s="1477">
        <v>104475</v>
      </c>
      <c r="C3323" s="740" t="s">
        <v>7263</v>
      </c>
      <c r="D3323" s="739" t="s">
        <v>22</v>
      </c>
      <c r="E3323" s="741">
        <f t="shared" si="102"/>
        <v>136.80000000000001</v>
      </c>
      <c r="F3323">
        <f t="shared" si="103"/>
        <v>104475</v>
      </c>
      <c r="H3323" s="1406">
        <v>128.47999999999999</v>
      </c>
      <c r="I3323" s="1406">
        <v>136.80000000000001</v>
      </c>
    </row>
    <row r="3324" spans="2:9" ht="45">
      <c r="B3324" s="677">
        <v>104476</v>
      </c>
      <c r="C3324" s="733" t="s">
        <v>7264</v>
      </c>
      <c r="D3324" s="677" t="s">
        <v>22</v>
      </c>
      <c r="E3324" s="738">
        <f t="shared" si="102"/>
        <v>175.99</v>
      </c>
      <c r="F3324">
        <f t="shared" si="103"/>
        <v>104476</v>
      </c>
      <c r="H3324" s="1405">
        <v>164.49</v>
      </c>
      <c r="I3324" s="1405">
        <v>175.99</v>
      </c>
    </row>
    <row r="3325" spans="2:9" ht="45">
      <c r="B3325" s="1477">
        <v>104477</v>
      </c>
      <c r="C3325" s="740" t="s">
        <v>7265</v>
      </c>
      <c r="D3325" s="739" t="s">
        <v>22</v>
      </c>
      <c r="E3325" s="741">
        <f t="shared" si="102"/>
        <v>133.18</v>
      </c>
      <c r="F3325">
        <f t="shared" si="103"/>
        <v>104477</v>
      </c>
      <c r="H3325" s="1406">
        <v>125.17</v>
      </c>
      <c r="I3325" s="1406">
        <v>133.18</v>
      </c>
    </row>
    <row r="3326" spans="2:9" ht="45">
      <c r="B3326" s="677">
        <v>104478</v>
      </c>
      <c r="C3326" s="733" t="s">
        <v>7266</v>
      </c>
      <c r="D3326" s="677" t="s">
        <v>22</v>
      </c>
      <c r="E3326" s="738">
        <f t="shared" si="102"/>
        <v>293.55</v>
      </c>
      <c r="F3326">
        <f t="shared" si="103"/>
        <v>104478</v>
      </c>
      <c r="H3326" s="1405">
        <v>276.5</v>
      </c>
      <c r="I3326" s="1405">
        <v>293.55</v>
      </c>
    </row>
    <row r="3327" spans="2:9" ht="30">
      <c r="B3327" s="1477">
        <v>104479</v>
      </c>
      <c r="C3327" s="740" t="s">
        <v>7267</v>
      </c>
      <c r="D3327" s="739" t="s">
        <v>22</v>
      </c>
      <c r="E3327" s="741">
        <f t="shared" si="102"/>
        <v>116.92</v>
      </c>
      <c r="F3327">
        <f t="shared" si="103"/>
        <v>104479</v>
      </c>
      <c r="H3327" s="1406">
        <v>110.44</v>
      </c>
      <c r="I3327" s="1406">
        <v>116.92</v>
      </c>
    </row>
    <row r="3328" spans="2:9" ht="45">
      <c r="B3328" s="677">
        <v>104480</v>
      </c>
      <c r="C3328" s="733" t="s">
        <v>7268</v>
      </c>
      <c r="D3328" s="677" t="s">
        <v>22</v>
      </c>
      <c r="E3328" s="738">
        <f t="shared" si="102"/>
        <v>132.5</v>
      </c>
      <c r="F3328">
        <f t="shared" si="103"/>
        <v>104480</v>
      </c>
      <c r="H3328" s="1405">
        <v>125.01</v>
      </c>
      <c r="I3328" s="1405">
        <v>132.5</v>
      </c>
    </row>
    <row r="3329" spans="2:9" ht="45">
      <c r="B3329" s="1477">
        <v>104481</v>
      </c>
      <c r="C3329" s="740" t="s">
        <v>7269</v>
      </c>
      <c r="D3329" s="739" t="s">
        <v>22</v>
      </c>
      <c r="E3329" s="741">
        <f t="shared" si="102"/>
        <v>317.04000000000002</v>
      </c>
      <c r="F3329">
        <f t="shared" si="103"/>
        <v>104481</v>
      </c>
      <c r="H3329" s="1406">
        <v>300.68</v>
      </c>
      <c r="I3329" s="1406">
        <v>317.04000000000002</v>
      </c>
    </row>
    <row r="3330" spans="2:9">
      <c r="B3330" s="677">
        <v>96973</v>
      </c>
      <c r="C3330" s="733" t="s">
        <v>8147</v>
      </c>
      <c r="D3330" s="677" t="s">
        <v>21</v>
      </c>
      <c r="E3330" s="738">
        <f t="shared" si="102"/>
        <v>65.819999999999993</v>
      </c>
      <c r="F3330">
        <f t="shared" si="103"/>
        <v>96973</v>
      </c>
      <c r="H3330" s="1405">
        <v>63.56</v>
      </c>
      <c r="I3330" s="1405">
        <v>65.819999999999993</v>
      </c>
    </row>
    <row r="3331" spans="2:9">
      <c r="B3331" s="1477">
        <v>96974</v>
      </c>
      <c r="C3331" s="740" t="s">
        <v>8148</v>
      </c>
      <c r="D3331" s="739" t="s">
        <v>21</v>
      </c>
      <c r="E3331" s="741">
        <f t="shared" ref="E3331:E3394" si="104">IF($K$2=$H$1,H3331,I3331)</f>
        <v>84.59</v>
      </c>
      <c r="F3331">
        <f t="shared" ref="F3331:F3394" si="105">IF(LEN($B3331)=7,CONCATENATE(MID($B3331,1,6),"00",RIGHT($B3331,1)),IF(LEN($B3331)=8,CONCATENATE(MID($B3331,1,6),"0",RIGHT($B3331,2)),$B3331))</f>
        <v>96974</v>
      </c>
      <c r="H3331" s="1406">
        <v>81.97</v>
      </c>
      <c r="I3331" s="1406">
        <v>84.59</v>
      </c>
    </row>
    <row r="3332" spans="2:9">
      <c r="B3332" s="677">
        <v>96975</v>
      </c>
      <c r="C3332" s="733" t="s">
        <v>8149</v>
      </c>
      <c r="D3332" s="677" t="s">
        <v>21</v>
      </c>
      <c r="E3332" s="738">
        <f t="shared" si="104"/>
        <v>104.33</v>
      </c>
      <c r="F3332">
        <f t="shared" si="105"/>
        <v>96975</v>
      </c>
      <c r="H3332" s="1405">
        <v>101.39</v>
      </c>
      <c r="I3332" s="1405">
        <v>104.33</v>
      </c>
    </row>
    <row r="3333" spans="2:9">
      <c r="B3333" s="1477">
        <v>96976</v>
      </c>
      <c r="C3333" s="740" t="s">
        <v>8150</v>
      </c>
      <c r="D3333" s="739" t="s">
        <v>21</v>
      </c>
      <c r="E3333" s="741">
        <f t="shared" si="104"/>
        <v>137.07</v>
      </c>
      <c r="F3333">
        <f t="shared" si="105"/>
        <v>96976</v>
      </c>
      <c r="H3333" s="1406">
        <v>133.83000000000001</v>
      </c>
      <c r="I3333" s="1406">
        <v>137.07</v>
      </c>
    </row>
    <row r="3334" spans="2:9">
      <c r="B3334" s="677">
        <v>96977</v>
      </c>
      <c r="C3334" s="733" t="s">
        <v>8151</v>
      </c>
      <c r="D3334" s="677" t="s">
        <v>21</v>
      </c>
      <c r="E3334" s="738">
        <f t="shared" si="104"/>
        <v>53.08</v>
      </c>
      <c r="F3334">
        <f t="shared" si="105"/>
        <v>96977</v>
      </c>
      <c r="H3334" s="1405">
        <v>52.92</v>
      </c>
      <c r="I3334" s="1405">
        <v>53.08</v>
      </c>
    </row>
    <row r="3335" spans="2:9">
      <c r="B3335" s="1477">
        <v>96978</v>
      </c>
      <c r="C3335" s="740" t="s">
        <v>8152</v>
      </c>
      <c r="D3335" s="739" t="s">
        <v>21</v>
      </c>
      <c r="E3335" s="741">
        <f t="shared" si="104"/>
        <v>69.92</v>
      </c>
      <c r="F3335">
        <f t="shared" si="105"/>
        <v>96978</v>
      </c>
      <c r="H3335" s="1406">
        <v>69.73</v>
      </c>
      <c r="I3335" s="1406">
        <v>69.92</v>
      </c>
    </row>
    <row r="3336" spans="2:9">
      <c r="B3336" s="677">
        <v>96979</v>
      </c>
      <c r="C3336" s="733" t="s">
        <v>8153</v>
      </c>
      <c r="D3336" s="677" t="s">
        <v>21</v>
      </c>
      <c r="E3336" s="738">
        <f t="shared" si="104"/>
        <v>100.04</v>
      </c>
      <c r="F3336">
        <f t="shared" si="105"/>
        <v>96979</v>
      </c>
      <c r="H3336" s="1405">
        <v>99.81</v>
      </c>
      <c r="I3336" s="1405">
        <v>100.04</v>
      </c>
    </row>
    <row r="3337" spans="2:9">
      <c r="B3337" s="1477">
        <v>96984</v>
      </c>
      <c r="C3337" s="740" t="s">
        <v>8154</v>
      </c>
      <c r="D3337" s="739" t="s">
        <v>22</v>
      </c>
      <c r="E3337" s="741">
        <f t="shared" si="104"/>
        <v>56.49</v>
      </c>
      <c r="F3337">
        <f t="shared" si="105"/>
        <v>96984</v>
      </c>
      <c r="H3337" s="1406">
        <v>52.78</v>
      </c>
      <c r="I3337" s="1406">
        <v>56.49</v>
      </c>
    </row>
    <row r="3338" spans="2:9">
      <c r="B3338" s="677">
        <v>96985</v>
      </c>
      <c r="C3338" s="733" t="s">
        <v>8155</v>
      </c>
      <c r="D3338" s="677" t="s">
        <v>22</v>
      </c>
      <c r="E3338" s="738">
        <f t="shared" si="104"/>
        <v>77.89</v>
      </c>
      <c r="F3338">
        <f t="shared" si="105"/>
        <v>96985</v>
      </c>
      <c r="H3338" s="1405">
        <v>76.66</v>
      </c>
      <c r="I3338" s="1405">
        <v>77.89</v>
      </c>
    </row>
    <row r="3339" spans="2:9">
      <c r="B3339" s="1477">
        <v>96986</v>
      </c>
      <c r="C3339" s="740" t="s">
        <v>8156</v>
      </c>
      <c r="D3339" s="739" t="s">
        <v>22</v>
      </c>
      <c r="E3339" s="741">
        <f t="shared" si="104"/>
        <v>116.26</v>
      </c>
      <c r="F3339">
        <f t="shared" si="105"/>
        <v>96986</v>
      </c>
      <c r="H3339" s="1406">
        <v>114.33</v>
      </c>
      <c r="I3339" s="1406">
        <v>116.26</v>
      </c>
    </row>
    <row r="3340" spans="2:9">
      <c r="B3340" s="677">
        <v>96987</v>
      </c>
      <c r="C3340" s="733" t="s">
        <v>8157</v>
      </c>
      <c r="D3340" s="677" t="s">
        <v>22</v>
      </c>
      <c r="E3340" s="738">
        <f t="shared" si="104"/>
        <v>129.51</v>
      </c>
      <c r="F3340">
        <f t="shared" si="105"/>
        <v>96987</v>
      </c>
      <c r="H3340" s="1405">
        <v>123.63</v>
      </c>
      <c r="I3340" s="1405">
        <v>129.51</v>
      </c>
    </row>
    <row r="3341" spans="2:9">
      <c r="B3341" s="1477">
        <v>96988</v>
      </c>
      <c r="C3341" s="740" t="s">
        <v>8158</v>
      </c>
      <c r="D3341" s="739" t="s">
        <v>22</v>
      </c>
      <c r="E3341" s="741">
        <f t="shared" si="104"/>
        <v>195.39</v>
      </c>
      <c r="F3341">
        <f t="shared" si="105"/>
        <v>96988</v>
      </c>
      <c r="H3341" s="1406">
        <v>194.56</v>
      </c>
      <c r="I3341" s="1406">
        <v>195.39</v>
      </c>
    </row>
    <row r="3342" spans="2:9">
      <c r="B3342" s="677">
        <v>96989</v>
      </c>
      <c r="C3342" s="733" t="s">
        <v>8159</v>
      </c>
      <c r="D3342" s="677" t="s">
        <v>22</v>
      </c>
      <c r="E3342" s="738">
        <f t="shared" si="104"/>
        <v>163.63</v>
      </c>
      <c r="F3342">
        <f t="shared" si="105"/>
        <v>96989</v>
      </c>
      <c r="H3342" s="1405">
        <v>162.96</v>
      </c>
      <c r="I3342" s="1405">
        <v>163.63</v>
      </c>
    </row>
    <row r="3343" spans="2:9" ht="30">
      <c r="B3343" s="1477">
        <v>98463</v>
      </c>
      <c r="C3343" s="740" t="s">
        <v>8160</v>
      </c>
      <c r="D3343" s="739" t="s">
        <v>22</v>
      </c>
      <c r="E3343" s="741">
        <f t="shared" si="104"/>
        <v>26.42</v>
      </c>
      <c r="F3343">
        <f t="shared" si="105"/>
        <v>98463</v>
      </c>
      <c r="H3343" s="1406">
        <v>24.87</v>
      </c>
      <c r="I3343" s="1406">
        <v>26.42</v>
      </c>
    </row>
    <row r="3344" spans="2:9">
      <c r="B3344" s="677">
        <v>104746</v>
      </c>
      <c r="C3344" s="733" t="s">
        <v>8161</v>
      </c>
      <c r="D3344" s="677" t="s">
        <v>22</v>
      </c>
      <c r="E3344" s="738">
        <f t="shared" si="104"/>
        <v>29.21</v>
      </c>
      <c r="F3344">
        <f t="shared" si="105"/>
        <v>104746</v>
      </c>
      <c r="H3344" s="1405">
        <v>28.25</v>
      </c>
      <c r="I3344" s="1405">
        <v>29.21</v>
      </c>
    </row>
    <row r="3345" spans="2:9" ht="30">
      <c r="B3345" s="1477">
        <v>104749</v>
      </c>
      <c r="C3345" s="740" t="s">
        <v>8162</v>
      </c>
      <c r="D3345" s="739" t="s">
        <v>22</v>
      </c>
      <c r="E3345" s="741">
        <f t="shared" si="104"/>
        <v>19.13</v>
      </c>
      <c r="F3345">
        <f t="shared" si="105"/>
        <v>104749</v>
      </c>
      <c r="H3345" s="1406">
        <v>18.190000000000001</v>
      </c>
      <c r="I3345" s="1406">
        <v>19.13</v>
      </c>
    </row>
    <row r="3346" spans="2:9" ht="30">
      <c r="B3346" s="677">
        <v>104750</v>
      </c>
      <c r="C3346" s="733" t="s">
        <v>8163</v>
      </c>
      <c r="D3346" s="677" t="s">
        <v>22</v>
      </c>
      <c r="E3346" s="738">
        <f t="shared" si="104"/>
        <v>15.3</v>
      </c>
      <c r="F3346">
        <f t="shared" si="105"/>
        <v>104750</v>
      </c>
      <c r="H3346" s="1405">
        <v>14.36</v>
      </c>
      <c r="I3346" s="1405">
        <v>15.3</v>
      </c>
    </row>
    <row r="3347" spans="2:9">
      <c r="B3347" s="1477">
        <v>104751</v>
      </c>
      <c r="C3347" s="740" t="s">
        <v>8164</v>
      </c>
      <c r="D3347" s="739" t="s">
        <v>22</v>
      </c>
      <c r="E3347" s="741">
        <f t="shared" si="104"/>
        <v>21.87</v>
      </c>
      <c r="F3347">
        <f t="shared" si="105"/>
        <v>104751</v>
      </c>
      <c r="H3347" s="1406">
        <v>20.93</v>
      </c>
      <c r="I3347" s="1406">
        <v>21.87</v>
      </c>
    </row>
    <row r="3348" spans="2:9">
      <c r="B3348" s="677">
        <v>104752</v>
      </c>
      <c r="C3348" s="733" t="s">
        <v>8165</v>
      </c>
      <c r="D3348" s="677" t="s">
        <v>22</v>
      </c>
      <c r="E3348" s="738">
        <f t="shared" si="104"/>
        <v>21.27</v>
      </c>
      <c r="F3348">
        <f t="shared" si="105"/>
        <v>104752</v>
      </c>
      <c r="H3348" s="1405">
        <v>20.329999999999998</v>
      </c>
      <c r="I3348" s="1405">
        <v>21.27</v>
      </c>
    </row>
    <row r="3349" spans="2:9">
      <c r="B3349" s="1477">
        <v>104753</v>
      </c>
      <c r="C3349" s="740" t="s">
        <v>8166</v>
      </c>
      <c r="D3349" s="739" t="s">
        <v>22</v>
      </c>
      <c r="E3349" s="741">
        <f t="shared" si="104"/>
        <v>26.18</v>
      </c>
      <c r="F3349">
        <f t="shared" si="105"/>
        <v>104753</v>
      </c>
      <c r="H3349" s="1406">
        <v>25.24</v>
      </c>
      <c r="I3349" s="1406">
        <v>26.18</v>
      </c>
    </row>
    <row r="3350" spans="2:9">
      <c r="B3350" s="677">
        <v>104754</v>
      </c>
      <c r="C3350" s="733" t="s">
        <v>8167</v>
      </c>
      <c r="D3350" s="677" t="s">
        <v>22</v>
      </c>
      <c r="E3350" s="738">
        <f t="shared" si="104"/>
        <v>34.619999999999997</v>
      </c>
      <c r="F3350">
        <f t="shared" si="105"/>
        <v>104754</v>
      </c>
      <c r="H3350" s="1405">
        <v>33.68</v>
      </c>
      <c r="I3350" s="1405">
        <v>34.619999999999997</v>
      </c>
    </row>
    <row r="3351" spans="2:9">
      <c r="B3351" s="1477">
        <v>104755</v>
      </c>
      <c r="C3351" s="740" t="s">
        <v>8168</v>
      </c>
      <c r="D3351" s="739" t="s">
        <v>22</v>
      </c>
      <c r="E3351" s="741">
        <f t="shared" si="104"/>
        <v>47.7</v>
      </c>
      <c r="F3351">
        <f t="shared" si="105"/>
        <v>104755</v>
      </c>
      <c r="H3351" s="1406">
        <v>46.76</v>
      </c>
      <c r="I3351" s="1406">
        <v>47.7</v>
      </c>
    </row>
    <row r="3352" spans="2:9" ht="30">
      <c r="B3352" s="677">
        <v>103490</v>
      </c>
      <c r="C3352" s="733" t="s">
        <v>5477</v>
      </c>
      <c r="D3352" s="677" t="s">
        <v>19</v>
      </c>
      <c r="E3352" s="738">
        <f t="shared" si="104"/>
        <v>3091.77</v>
      </c>
      <c r="F3352">
        <f t="shared" si="105"/>
        <v>103490</v>
      </c>
      <c r="H3352" s="1405">
        <v>2886.08</v>
      </c>
      <c r="I3352" s="1405">
        <v>3091.77</v>
      </c>
    </row>
    <row r="3353" spans="2:9" ht="30">
      <c r="B3353" s="1477">
        <v>103491</v>
      </c>
      <c r="C3353" s="740" t="s">
        <v>5478</v>
      </c>
      <c r="D3353" s="739" t="s">
        <v>19</v>
      </c>
      <c r="E3353" s="741">
        <f t="shared" si="104"/>
        <v>855.38</v>
      </c>
      <c r="F3353">
        <f t="shared" si="105"/>
        <v>103491</v>
      </c>
      <c r="H3353" s="1406">
        <v>808.33</v>
      </c>
      <c r="I3353" s="1406">
        <v>855.38</v>
      </c>
    </row>
    <row r="3354" spans="2:9">
      <c r="B3354" s="677">
        <v>104758</v>
      </c>
      <c r="C3354" s="733" t="s">
        <v>8243</v>
      </c>
      <c r="D3354" s="677" t="s">
        <v>22</v>
      </c>
      <c r="E3354" s="738">
        <f t="shared" si="104"/>
        <v>14.34</v>
      </c>
      <c r="F3354">
        <f t="shared" si="105"/>
        <v>104758</v>
      </c>
      <c r="H3354" s="1405">
        <v>12.86</v>
      </c>
      <c r="I3354" s="1405">
        <v>14.34</v>
      </c>
    </row>
    <row r="3355" spans="2:9" ht="30">
      <c r="B3355" s="1477">
        <v>104759</v>
      </c>
      <c r="C3355" s="740" t="s">
        <v>8244</v>
      </c>
      <c r="D3355" s="739" t="s">
        <v>22</v>
      </c>
      <c r="E3355" s="741">
        <f t="shared" si="104"/>
        <v>38.25</v>
      </c>
      <c r="F3355">
        <f t="shared" si="105"/>
        <v>104759</v>
      </c>
      <c r="H3355" s="1406">
        <v>34.270000000000003</v>
      </c>
      <c r="I3355" s="1406">
        <v>38.25</v>
      </c>
    </row>
    <row r="3356" spans="2:9" ht="30">
      <c r="B3356" s="677">
        <v>104760</v>
      </c>
      <c r="C3356" s="733" t="s">
        <v>8245</v>
      </c>
      <c r="D3356" s="677" t="s">
        <v>22</v>
      </c>
      <c r="E3356" s="738">
        <f t="shared" si="104"/>
        <v>55.87</v>
      </c>
      <c r="F3356">
        <f t="shared" si="105"/>
        <v>104760</v>
      </c>
      <c r="H3356" s="1405">
        <v>50.07</v>
      </c>
      <c r="I3356" s="1405">
        <v>55.87</v>
      </c>
    </row>
    <row r="3357" spans="2:9" ht="30">
      <c r="B3357" s="1477">
        <v>104761</v>
      </c>
      <c r="C3357" s="740" t="s">
        <v>8246</v>
      </c>
      <c r="D3357" s="739" t="s">
        <v>22</v>
      </c>
      <c r="E3357" s="741">
        <f t="shared" si="104"/>
        <v>7.9</v>
      </c>
      <c r="F3357">
        <f t="shared" si="105"/>
        <v>104761</v>
      </c>
      <c r="H3357" s="1406">
        <v>7.14</v>
      </c>
      <c r="I3357" s="1406">
        <v>7.9</v>
      </c>
    </row>
    <row r="3358" spans="2:9" ht="30">
      <c r="B3358" s="677">
        <v>104762</v>
      </c>
      <c r="C3358" s="733" t="s">
        <v>8247</v>
      </c>
      <c r="D3358" s="677" t="s">
        <v>22</v>
      </c>
      <c r="E3358" s="738">
        <f t="shared" si="104"/>
        <v>21.06</v>
      </c>
      <c r="F3358">
        <f t="shared" si="105"/>
        <v>104762</v>
      </c>
      <c r="H3358" s="1405">
        <v>19.05</v>
      </c>
      <c r="I3358" s="1405">
        <v>21.06</v>
      </c>
    </row>
    <row r="3359" spans="2:9" ht="30">
      <c r="B3359" s="1477">
        <v>104763</v>
      </c>
      <c r="C3359" s="740" t="s">
        <v>8248</v>
      </c>
      <c r="D3359" s="739" t="s">
        <v>22</v>
      </c>
      <c r="E3359" s="741">
        <f t="shared" si="104"/>
        <v>30.76</v>
      </c>
      <c r="F3359">
        <f t="shared" si="105"/>
        <v>104763</v>
      </c>
      <c r="H3359" s="1406">
        <v>27.82</v>
      </c>
      <c r="I3359" s="1406">
        <v>30.76</v>
      </c>
    </row>
    <row r="3360" spans="2:9" ht="30">
      <c r="B3360" s="677">
        <v>104764</v>
      </c>
      <c r="C3360" s="733" t="s">
        <v>8249</v>
      </c>
      <c r="D3360" s="677" t="s">
        <v>21</v>
      </c>
      <c r="E3360" s="738">
        <f t="shared" si="104"/>
        <v>19.989999999999998</v>
      </c>
      <c r="F3360">
        <f t="shared" si="105"/>
        <v>104764</v>
      </c>
      <c r="H3360" s="1405">
        <v>19.12</v>
      </c>
      <c r="I3360" s="1405">
        <v>19.989999999999998</v>
      </c>
    </row>
    <row r="3361" spans="2:9" ht="30">
      <c r="B3361" s="1477">
        <v>104765</v>
      </c>
      <c r="C3361" s="740" t="s">
        <v>8250</v>
      </c>
      <c r="D3361" s="739" t="s">
        <v>21</v>
      </c>
      <c r="E3361" s="741">
        <f t="shared" si="104"/>
        <v>15.83</v>
      </c>
      <c r="F3361">
        <f t="shared" si="105"/>
        <v>104765</v>
      </c>
      <c r="H3361" s="1406">
        <v>14.83</v>
      </c>
      <c r="I3361" s="1406">
        <v>15.83</v>
      </c>
    </row>
    <row r="3362" spans="2:9">
      <c r="B3362" s="677">
        <v>104766</v>
      </c>
      <c r="C3362" s="733" t="s">
        <v>8251</v>
      </c>
      <c r="D3362" s="677" t="s">
        <v>21</v>
      </c>
      <c r="E3362" s="738">
        <f t="shared" si="104"/>
        <v>15.27</v>
      </c>
      <c r="F3362">
        <f t="shared" si="105"/>
        <v>104766</v>
      </c>
      <c r="H3362" s="1405">
        <v>13.98</v>
      </c>
      <c r="I3362" s="1405">
        <v>15.27</v>
      </c>
    </row>
    <row r="3363" spans="2:9">
      <c r="B3363" s="1477">
        <v>104768</v>
      </c>
      <c r="C3363" s="740" t="s">
        <v>8252</v>
      </c>
      <c r="D3363" s="739" t="s">
        <v>22</v>
      </c>
      <c r="E3363" s="741">
        <f t="shared" si="104"/>
        <v>0.6</v>
      </c>
      <c r="F3363">
        <f t="shared" si="105"/>
        <v>104768</v>
      </c>
      <c r="H3363" s="1406">
        <v>0.54</v>
      </c>
      <c r="I3363" s="1406">
        <v>0.6</v>
      </c>
    </row>
    <row r="3364" spans="2:9" ht="30">
      <c r="B3364" s="677">
        <v>104770</v>
      </c>
      <c r="C3364" s="733" t="s">
        <v>8253</v>
      </c>
      <c r="D3364" s="677" t="s">
        <v>22</v>
      </c>
      <c r="E3364" s="738">
        <f t="shared" si="104"/>
        <v>1.62</v>
      </c>
      <c r="F3364">
        <f t="shared" si="105"/>
        <v>104770</v>
      </c>
      <c r="H3364" s="1405">
        <v>1.45</v>
      </c>
      <c r="I3364" s="1405">
        <v>1.62</v>
      </c>
    </row>
    <row r="3365" spans="2:9" ht="30">
      <c r="B3365" s="1477">
        <v>104772</v>
      </c>
      <c r="C3365" s="740" t="s">
        <v>8254</v>
      </c>
      <c r="D3365" s="739" t="s">
        <v>22</v>
      </c>
      <c r="E3365" s="741">
        <f t="shared" si="104"/>
        <v>2.36</v>
      </c>
      <c r="F3365">
        <f t="shared" si="105"/>
        <v>104772</v>
      </c>
      <c r="H3365" s="1406">
        <v>2.12</v>
      </c>
      <c r="I3365" s="1406">
        <v>2.36</v>
      </c>
    </row>
    <row r="3366" spans="2:9" ht="30">
      <c r="B3366" s="677">
        <v>104774</v>
      </c>
      <c r="C3366" s="733" t="s">
        <v>8255</v>
      </c>
      <c r="D3366" s="677" t="s">
        <v>22</v>
      </c>
      <c r="E3366" s="738">
        <f t="shared" si="104"/>
        <v>2.12</v>
      </c>
      <c r="F3366">
        <f t="shared" si="105"/>
        <v>104774</v>
      </c>
      <c r="H3366" s="1405">
        <v>1.93</v>
      </c>
      <c r="I3366" s="1405">
        <v>2.12</v>
      </c>
    </row>
    <row r="3367" spans="2:9" ht="30">
      <c r="B3367" s="1477">
        <v>104776</v>
      </c>
      <c r="C3367" s="740" t="s">
        <v>8256</v>
      </c>
      <c r="D3367" s="739" t="s">
        <v>22</v>
      </c>
      <c r="E3367" s="741">
        <f t="shared" si="104"/>
        <v>5.68</v>
      </c>
      <c r="F3367">
        <f t="shared" si="105"/>
        <v>104776</v>
      </c>
      <c r="H3367" s="1406">
        <v>5.16</v>
      </c>
      <c r="I3367" s="1406">
        <v>5.68</v>
      </c>
    </row>
    <row r="3368" spans="2:9" ht="30">
      <c r="B3368" s="677">
        <v>104778</v>
      </c>
      <c r="C3368" s="733" t="s">
        <v>8257</v>
      </c>
      <c r="D3368" s="677" t="s">
        <v>22</v>
      </c>
      <c r="E3368" s="738">
        <f t="shared" si="104"/>
        <v>8.33</v>
      </c>
      <c r="F3368">
        <f t="shared" si="105"/>
        <v>104778</v>
      </c>
      <c r="H3368" s="1405">
        <v>7.56</v>
      </c>
      <c r="I3368" s="1405">
        <v>8.33</v>
      </c>
    </row>
    <row r="3369" spans="2:9">
      <c r="B3369" s="1477">
        <v>104780</v>
      </c>
      <c r="C3369" s="740" t="s">
        <v>8258</v>
      </c>
      <c r="D3369" s="739" t="s">
        <v>21</v>
      </c>
      <c r="E3369" s="741">
        <f t="shared" si="104"/>
        <v>4.79</v>
      </c>
      <c r="F3369">
        <f t="shared" si="105"/>
        <v>104780</v>
      </c>
      <c r="H3369" s="1406">
        <v>4.3</v>
      </c>
      <c r="I3369" s="1406">
        <v>4.79</v>
      </c>
    </row>
    <row r="3370" spans="2:9" ht="30">
      <c r="B3370" s="677">
        <v>104785</v>
      </c>
      <c r="C3370" s="733" t="s">
        <v>8259</v>
      </c>
      <c r="D3370" s="677" t="s">
        <v>21</v>
      </c>
      <c r="E3370" s="738">
        <f t="shared" si="104"/>
        <v>11.86</v>
      </c>
      <c r="F3370">
        <f t="shared" si="105"/>
        <v>104785</v>
      </c>
      <c r="H3370" s="1405">
        <v>11.21</v>
      </c>
      <c r="I3370" s="1405">
        <v>11.86</v>
      </c>
    </row>
    <row r="3371" spans="2:9" ht="30">
      <c r="B3371" s="1477">
        <v>96765</v>
      </c>
      <c r="C3371" s="740" t="s">
        <v>3988</v>
      </c>
      <c r="D3371" s="739" t="s">
        <v>22</v>
      </c>
      <c r="E3371" s="741">
        <f t="shared" si="104"/>
        <v>1522.99</v>
      </c>
      <c r="F3371">
        <f t="shared" si="105"/>
        <v>96765</v>
      </c>
      <c r="H3371" s="1406">
        <v>1508.17</v>
      </c>
      <c r="I3371" s="1406">
        <v>1522.99</v>
      </c>
    </row>
    <row r="3372" spans="2:9" ht="30">
      <c r="B3372" s="677">
        <v>101905</v>
      </c>
      <c r="C3372" s="733" t="s">
        <v>7046</v>
      </c>
      <c r="D3372" s="677" t="s">
        <v>22</v>
      </c>
      <c r="E3372" s="738">
        <f t="shared" si="104"/>
        <v>258.75</v>
      </c>
      <c r="F3372">
        <f t="shared" si="105"/>
        <v>101905</v>
      </c>
      <c r="H3372" s="1405">
        <v>256.52</v>
      </c>
      <c r="I3372" s="1405">
        <v>258.75</v>
      </c>
    </row>
    <row r="3373" spans="2:9">
      <c r="B3373" s="1477">
        <v>101906</v>
      </c>
      <c r="C3373" s="740" t="s">
        <v>7047</v>
      </c>
      <c r="D3373" s="739" t="s">
        <v>22</v>
      </c>
      <c r="E3373" s="741">
        <f t="shared" si="104"/>
        <v>770.19</v>
      </c>
      <c r="F3373">
        <f t="shared" si="105"/>
        <v>101906</v>
      </c>
      <c r="H3373" s="1406">
        <v>767.96</v>
      </c>
      <c r="I3373" s="1406">
        <v>770.19</v>
      </c>
    </row>
    <row r="3374" spans="2:9">
      <c r="B3374" s="677">
        <v>101907</v>
      </c>
      <c r="C3374" s="733" t="s">
        <v>7048</v>
      </c>
      <c r="D3374" s="677" t="s">
        <v>22</v>
      </c>
      <c r="E3374" s="738">
        <f t="shared" si="104"/>
        <v>832.5</v>
      </c>
      <c r="F3374">
        <f t="shared" si="105"/>
        <v>101907</v>
      </c>
      <c r="H3374" s="1405">
        <v>830.27</v>
      </c>
      <c r="I3374" s="1405">
        <v>832.5</v>
      </c>
    </row>
    <row r="3375" spans="2:9">
      <c r="B3375" s="1477">
        <v>101908</v>
      </c>
      <c r="C3375" s="740" t="s">
        <v>7049</v>
      </c>
      <c r="D3375" s="739" t="s">
        <v>22</v>
      </c>
      <c r="E3375" s="741">
        <f t="shared" si="104"/>
        <v>250.96</v>
      </c>
      <c r="F3375">
        <f t="shared" si="105"/>
        <v>101908</v>
      </c>
      <c r="H3375" s="1406">
        <v>248.73</v>
      </c>
      <c r="I3375" s="1406">
        <v>250.96</v>
      </c>
    </row>
    <row r="3376" spans="2:9">
      <c r="B3376" s="677">
        <v>101909</v>
      </c>
      <c r="C3376" s="733" t="s">
        <v>7050</v>
      </c>
      <c r="D3376" s="677" t="s">
        <v>22</v>
      </c>
      <c r="E3376" s="738">
        <f t="shared" si="104"/>
        <v>292.5</v>
      </c>
      <c r="F3376">
        <f t="shared" si="105"/>
        <v>101909</v>
      </c>
      <c r="H3376" s="1405">
        <v>290.27</v>
      </c>
      <c r="I3376" s="1405">
        <v>292.5</v>
      </c>
    </row>
    <row r="3377" spans="2:9">
      <c r="B3377" s="1477">
        <v>101910</v>
      </c>
      <c r="C3377" s="740" t="s">
        <v>7051</v>
      </c>
      <c r="D3377" s="739" t="s">
        <v>22</v>
      </c>
      <c r="E3377" s="741">
        <f t="shared" si="104"/>
        <v>344.42</v>
      </c>
      <c r="F3377">
        <f t="shared" si="105"/>
        <v>101910</v>
      </c>
      <c r="H3377" s="1406">
        <v>342.19</v>
      </c>
      <c r="I3377" s="1406">
        <v>344.42</v>
      </c>
    </row>
    <row r="3378" spans="2:9">
      <c r="B3378" s="677">
        <v>101911</v>
      </c>
      <c r="C3378" s="733" t="s">
        <v>7052</v>
      </c>
      <c r="D3378" s="677" t="s">
        <v>22</v>
      </c>
      <c r="E3378" s="738">
        <f t="shared" si="104"/>
        <v>396.34</v>
      </c>
      <c r="F3378">
        <f t="shared" si="105"/>
        <v>101911</v>
      </c>
      <c r="H3378" s="1405">
        <v>394.11</v>
      </c>
      <c r="I3378" s="1405">
        <v>396.34</v>
      </c>
    </row>
    <row r="3379" spans="2:9" ht="30">
      <c r="B3379" s="1477">
        <v>101912</v>
      </c>
      <c r="C3379" s="740" t="s">
        <v>3989</v>
      </c>
      <c r="D3379" s="739" t="s">
        <v>22</v>
      </c>
      <c r="E3379" s="741">
        <f t="shared" si="104"/>
        <v>2003.64</v>
      </c>
      <c r="F3379">
        <f t="shared" si="105"/>
        <v>101912</v>
      </c>
      <c r="H3379" s="1406">
        <v>1987.82</v>
      </c>
      <c r="I3379" s="1406">
        <v>2003.64</v>
      </c>
    </row>
    <row r="3380" spans="2:9">
      <c r="B3380" s="677">
        <v>101913</v>
      </c>
      <c r="C3380" s="733" t="s">
        <v>3990</v>
      </c>
      <c r="D3380" s="677" t="s">
        <v>22</v>
      </c>
      <c r="E3380" s="738">
        <f t="shared" si="104"/>
        <v>338.43</v>
      </c>
      <c r="F3380">
        <f t="shared" si="105"/>
        <v>101913</v>
      </c>
      <c r="H3380" s="1405">
        <v>333.13</v>
      </c>
      <c r="I3380" s="1405">
        <v>338.43</v>
      </c>
    </row>
    <row r="3381" spans="2:9">
      <c r="B3381" s="1477">
        <v>101914</v>
      </c>
      <c r="C3381" s="740" t="s">
        <v>3991</v>
      </c>
      <c r="D3381" s="739" t="s">
        <v>22</v>
      </c>
      <c r="E3381" s="741">
        <f t="shared" si="104"/>
        <v>431.33</v>
      </c>
      <c r="F3381">
        <f t="shared" si="105"/>
        <v>101914</v>
      </c>
      <c r="H3381" s="1406">
        <v>424.71</v>
      </c>
      <c r="I3381" s="1406">
        <v>431.33</v>
      </c>
    </row>
    <row r="3382" spans="2:9" ht="30">
      <c r="B3382" s="677">
        <v>101915</v>
      </c>
      <c r="C3382" s="733" t="s">
        <v>3992</v>
      </c>
      <c r="D3382" s="677" t="s">
        <v>22</v>
      </c>
      <c r="E3382" s="738">
        <f t="shared" si="104"/>
        <v>450.11</v>
      </c>
      <c r="F3382">
        <f t="shared" si="105"/>
        <v>101915</v>
      </c>
      <c r="H3382" s="1405">
        <v>449.42</v>
      </c>
      <c r="I3382" s="1405">
        <v>450.11</v>
      </c>
    </row>
    <row r="3383" spans="2:9">
      <c r="B3383" s="1477">
        <v>101916</v>
      </c>
      <c r="C3383" s="740" t="s">
        <v>3993</v>
      </c>
      <c r="D3383" s="739" t="s">
        <v>22</v>
      </c>
      <c r="E3383" s="741">
        <f t="shared" si="104"/>
        <v>3576.12</v>
      </c>
      <c r="F3383">
        <f t="shared" si="105"/>
        <v>101916</v>
      </c>
      <c r="H3383" s="1406">
        <v>3554.45</v>
      </c>
      <c r="I3383" s="1406">
        <v>3576.12</v>
      </c>
    </row>
    <row r="3384" spans="2:9">
      <c r="B3384" s="677">
        <v>101917</v>
      </c>
      <c r="C3384" s="733" t="s">
        <v>3994</v>
      </c>
      <c r="D3384" s="677" t="s">
        <v>22</v>
      </c>
      <c r="E3384" s="738">
        <f t="shared" si="104"/>
        <v>144.09</v>
      </c>
      <c r="F3384">
        <f t="shared" si="105"/>
        <v>101917</v>
      </c>
      <c r="H3384" s="1405">
        <v>139.97999999999999</v>
      </c>
      <c r="I3384" s="1405">
        <v>144.09</v>
      </c>
    </row>
    <row r="3385" spans="2:9">
      <c r="B3385" s="1477">
        <v>98261</v>
      </c>
      <c r="C3385" s="740" t="s">
        <v>2760</v>
      </c>
      <c r="D3385" s="739" t="s">
        <v>21</v>
      </c>
      <c r="E3385" s="741">
        <f t="shared" si="104"/>
        <v>3.67</v>
      </c>
      <c r="F3385">
        <f t="shared" si="105"/>
        <v>98261</v>
      </c>
      <c r="H3385" s="1406">
        <v>3.37</v>
      </c>
      <c r="I3385" s="1406">
        <v>3.67</v>
      </c>
    </row>
    <row r="3386" spans="2:9" ht="30">
      <c r="B3386" s="677">
        <v>98262</v>
      </c>
      <c r="C3386" s="733" t="s">
        <v>2761</v>
      </c>
      <c r="D3386" s="677" t="s">
        <v>21</v>
      </c>
      <c r="E3386" s="738">
        <f t="shared" si="104"/>
        <v>4.45</v>
      </c>
      <c r="F3386">
        <f t="shared" si="105"/>
        <v>98262</v>
      </c>
      <c r="H3386" s="1405">
        <v>4.13</v>
      </c>
      <c r="I3386" s="1405">
        <v>4.45</v>
      </c>
    </row>
    <row r="3387" spans="2:9" ht="30">
      <c r="B3387" s="1477">
        <v>98263</v>
      </c>
      <c r="C3387" s="740" t="s">
        <v>2762</v>
      </c>
      <c r="D3387" s="739" t="s">
        <v>21</v>
      </c>
      <c r="E3387" s="741">
        <f t="shared" si="104"/>
        <v>4.6399999999999997</v>
      </c>
      <c r="F3387">
        <f t="shared" si="105"/>
        <v>98263</v>
      </c>
      <c r="H3387" s="1406">
        <v>4.3099999999999996</v>
      </c>
      <c r="I3387" s="1406">
        <v>4.6399999999999997</v>
      </c>
    </row>
    <row r="3388" spans="2:9" ht="30">
      <c r="B3388" s="677">
        <v>98264</v>
      </c>
      <c r="C3388" s="733" t="s">
        <v>2763</v>
      </c>
      <c r="D3388" s="677" t="s">
        <v>21</v>
      </c>
      <c r="E3388" s="738">
        <f t="shared" si="104"/>
        <v>5.48</v>
      </c>
      <c r="F3388">
        <f t="shared" si="105"/>
        <v>98264</v>
      </c>
      <c r="H3388" s="1405">
        <v>5.13</v>
      </c>
      <c r="I3388" s="1405">
        <v>5.48</v>
      </c>
    </row>
    <row r="3389" spans="2:9" ht="30">
      <c r="B3389" s="1477">
        <v>98265</v>
      </c>
      <c r="C3389" s="740" t="s">
        <v>2764</v>
      </c>
      <c r="D3389" s="739" t="s">
        <v>21</v>
      </c>
      <c r="E3389" s="741">
        <f t="shared" si="104"/>
        <v>6.03</v>
      </c>
      <c r="F3389">
        <f t="shared" si="105"/>
        <v>98265</v>
      </c>
      <c r="H3389" s="1406">
        <v>5.68</v>
      </c>
      <c r="I3389" s="1406">
        <v>6.03</v>
      </c>
    </row>
    <row r="3390" spans="2:9" ht="30">
      <c r="B3390" s="677">
        <v>98266</v>
      </c>
      <c r="C3390" s="733" t="s">
        <v>2765</v>
      </c>
      <c r="D3390" s="677" t="s">
        <v>21</v>
      </c>
      <c r="E3390" s="738">
        <f t="shared" si="104"/>
        <v>6.78</v>
      </c>
      <c r="F3390">
        <f t="shared" si="105"/>
        <v>98266</v>
      </c>
      <c r="H3390" s="1405">
        <v>6.42</v>
      </c>
      <c r="I3390" s="1405">
        <v>6.78</v>
      </c>
    </row>
    <row r="3391" spans="2:9">
      <c r="B3391" s="1477">
        <v>98267</v>
      </c>
      <c r="C3391" s="740" t="s">
        <v>2766</v>
      </c>
      <c r="D3391" s="739" t="s">
        <v>21</v>
      </c>
      <c r="E3391" s="741">
        <f t="shared" si="104"/>
        <v>10.58</v>
      </c>
      <c r="F3391">
        <f t="shared" si="105"/>
        <v>98267</v>
      </c>
      <c r="H3391" s="1406">
        <v>10.119999999999999</v>
      </c>
      <c r="I3391" s="1406">
        <v>10.58</v>
      </c>
    </row>
    <row r="3392" spans="2:9">
      <c r="B3392" s="677">
        <v>98268</v>
      </c>
      <c r="C3392" s="733" t="s">
        <v>2767</v>
      </c>
      <c r="D3392" s="677" t="s">
        <v>21</v>
      </c>
      <c r="E3392" s="738">
        <f t="shared" si="104"/>
        <v>16.68</v>
      </c>
      <c r="F3392">
        <f t="shared" si="105"/>
        <v>98268</v>
      </c>
      <c r="H3392" s="1405">
        <v>16.16</v>
      </c>
      <c r="I3392" s="1405">
        <v>16.68</v>
      </c>
    </row>
    <row r="3393" spans="2:9">
      <c r="B3393" s="1477">
        <v>98269</v>
      </c>
      <c r="C3393" s="740" t="s">
        <v>2768</v>
      </c>
      <c r="D3393" s="739" t="s">
        <v>21</v>
      </c>
      <c r="E3393" s="741">
        <f t="shared" si="104"/>
        <v>22.57</v>
      </c>
      <c r="F3393">
        <f t="shared" si="105"/>
        <v>98269</v>
      </c>
      <c r="H3393" s="1406">
        <v>22</v>
      </c>
      <c r="I3393" s="1406">
        <v>22.57</v>
      </c>
    </row>
    <row r="3394" spans="2:9">
      <c r="B3394" s="677">
        <v>98270</v>
      </c>
      <c r="C3394" s="733" t="s">
        <v>2769</v>
      </c>
      <c r="D3394" s="677" t="s">
        <v>21</v>
      </c>
      <c r="E3394" s="738">
        <f t="shared" si="104"/>
        <v>33.67</v>
      </c>
      <c r="F3394">
        <f t="shared" si="105"/>
        <v>98270</v>
      </c>
      <c r="H3394" s="1405">
        <v>33.04</v>
      </c>
      <c r="I3394" s="1405">
        <v>33.67</v>
      </c>
    </row>
    <row r="3395" spans="2:9">
      <c r="B3395" s="1477">
        <v>98271</v>
      </c>
      <c r="C3395" s="740" t="s">
        <v>2770</v>
      </c>
      <c r="D3395" s="739" t="s">
        <v>21</v>
      </c>
      <c r="E3395" s="741">
        <f t="shared" ref="E3395:E3458" si="106">IF($K$2=$H$1,H3395,I3395)</f>
        <v>47.02</v>
      </c>
      <c r="F3395">
        <f t="shared" ref="F3395:F3458" si="107">IF(LEN($B3395)=7,CONCATENATE(MID($B3395,1,6),"00",RIGHT($B3395,1)),IF(LEN($B3395)=8,CONCATENATE(MID($B3395,1,6),"0",RIGHT($B3395,2)),$B3395))</f>
        <v>98271</v>
      </c>
      <c r="H3395" s="1406">
        <v>46.33</v>
      </c>
      <c r="I3395" s="1406">
        <v>47.02</v>
      </c>
    </row>
    <row r="3396" spans="2:9">
      <c r="B3396" s="677">
        <v>98272</v>
      </c>
      <c r="C3396" s="733" t="s">
        <v>2771</v>
      </c>
      <c r="D3396" s="677" t="s">
        <v>21</v>
      </c>
      <c r="E3396" s="738">
        <f t="shared" si="106"/>
        <v>106.87</v>
      </c>
      <c r="F3396">
        <f t="shared" si="107"/>
        <v>98272</v>
      </c>
      <c r="H3396" s="1405">
        <v>105.93</v>
      </c>
      <c r="I3396" s="1405">
        <v>106.87</v>
      </c>
    </row>
    <row r="3397" spans="2:9">
      <c r="B3397" s="1477">
        <v>98273</v>
      </c>
      <c r="C3397" s="740" t="s">
        <v>2772</v>
      </c>
      <c r="D3397" s="739" t="s">
        <v>21</v>
      </c>
      <c r="E3397" s="741">
        <f t="shared" si="106"/>
        <v>2.5499999999999998</v>
      </c>
      <c r="F3397">
        <f t="shared" si="107"/>
        <v>98273</v>
      </c>
      <c r="H3397" s="1406">
        <v>2.5099999999999998</v>
      </c>
      <c r="I3397" s="1406">
        <v>2.5499999999999998</v>
      </c>
    </row>
    <row r="3398" spans="2:9">
      <c r="B3398" s="677">
        <v>98274</v>
      </c>
      <c r="C3398" s="733" t="s">
        <v>2773</v>
      </c>
      <c r="D3398" s="677" t="s">
        <v>21</v>
      </c>
      <c r="E3398" s="738">
        <f t="shared" si="106"/>
        <v>3.09</v>
      </c>
      <c r="F3398">
        <f t="shared" si="107"/>
        <v>98274</v>
      </c>
      <c r="H3398" s="1405">
        <v>3.04</v>
      </c>
      <c r="I3398" s="1405">
        <v>3.09</v>
      </c>
    </row>
    <row r="3399" spans="2:9">
      <c r="B3399" s="1477">
        <v>98275</v>
      </c>
      <c r="C3399" s="740" t="s">
        <v>2774</v>
      </c>
      <c r="D3399" s="739" t="s">
        <v>21</v>
      </c>
      <c r="E3399" s="741">
        <f t="shared" si="106"/>
        <v>3.84</v>
      </c>
      <c r="F3399">
        <f t="shared" si="107"/>
        <v>98275</v>
      </c>
      <c r="H3399" s="1406">
        <v>3.79</v>
      </c>
      <c r="I3399" s="1406">
        <v>3.84</v>
      </c>
    </row>
    <row r="3400" spans="2:9">
      <c r="B3400" s="677">
        <v>98276</v>
      </c>
      <c r="C3400" s="733" t="s">
        <v>2775</v>
      </c>
      <c r="D3400" s="677" t="s">
        <v>21</v>
      </c>
      <c r="E3400" s="738">
        <f t="shared" si="106"/>
        <v>7.65</v>
      </c>
      <c r="F3400">
        <f t="shared" si="107"/>
        <v>98276</v>
      </c>
      <c r="H3400" s="1405">
        <v>7.49</v>
      </c>
      <c r="I3400" s="1405">
        <v>7.65</v>
      </c>
    </row>
    <row r="3401" spans="2:9">
      <c r="B3401" s="1477">
        <v>98277</v>
      </c>
      <c r="C3401" s="740" t="s">
        <v>2776</v>
      </c>
      <c r="D3401" s="739" t="s">
        <v>21</v>
      </c>
      <c r="E3401" s="741">
        <f t="shared" si="106"/>
        <v>13.76</v>
      </c>
      <c r="F3401">
        <f t="shared" si="107"/>
        <v>98277</v>
      </c>
      <c r="H3401" s="1406">
        <v>13.53</v>
      </c>
      <c r="I3401" s="1406">
        <v>13.76</v>
      </c>
    </row>
    <row r="3402" spans="2:9">
      <c r="B3402" s="677">
        <v>98278</v>
      </c>
      <c r="C3402" s="733" t="s">
        <v>2777</v>
      </c>
      <c r="D3402" s="677" t="s">
        <v>21</v>
      </c>
      <c r="E3402" s="738">
        <f t="shared" si="106"/>
        <v>19.64</v>
      </c>
      <c r="F3402">
        <f t="shared" si="107"/>
        <v>98278</v>
      </c>
      <c r="H3402" s="1405">
        <v>19.38</v>
      </c>
      <c r="I3402" s="1405">
        <v>19.64</v>
      </c>
    </row>
    <row r="3403" spans="2:9">
      <c r="B3403" s="1477">
        <v>98279</v>
      </c>
      <c r="C3403" s="740" t="s">
        <v>2778</v>
      </c>
      <c r="D3403" s="739" t="s">
        <v>21</v>
      </c>
      <c r="E3403" s="741">
        <f t="shared" si="106"/>
        <v>30.73</v>
      </c>
      <c r="F3403">
        <f t="shared" si="107"/>
        <v>98279</v>
      </c>
      <c r="H3403" s="1406">
        <v>30.41</v>
      </c>
      <c r="I3403" s="1406">
        <v>30.73</v>
      </c>
    </row>
    <row r="3404" spans="2:9" ht="30">
      <c r="B3404" s="677">
        <v>98280</v>
      </c>
      <c r="C3404" s="733" t="s">
        <v>2779</v>
      </c>
      <c r="D3404" s="677" t="s">
        <v>21</v>
      </c>
      <c r="E3404" s="738">
        <f t="shared" si="106"/>
        <v>7.44</v>
      </c>
      <c r="F3404">
        <f t="shared" si="107"/>
        <v>98280</v>
      </c>
      <c r="H3404" s="1405">
        <v>6.75</v>
      </c>
      <c r="I3404" s="1405">
        <v>7.44</v>
      </c>
    </row>
    <row r="3405" spans="2:9" ht="30">
      <c r="B3405" s="1477">
        <v>98281</v>
      </c>
      <c r="C3405" s="740" t="s">
        <v>2780</v>
      </c>
      <c r="D3405" s="739" t="s">
        <v>21</v>
      </c>
      <c r="E3405" s="741">
        <f t="shared" si="106"/>
        <v>8.2100000000000009</v>
      </c>
      <c r="F3405">
        <f t="shared" si="107"/>
        <v>98281</v>
      </c>
      <c r="H3405" s="1406">
        <v>7.52</v>
      </c>
      <c r="I3405" s="1406">
        <v>8.2100000000000009</v>
      </c>
    </row>
    <row r="3406" spans="2:9" ht="30">
      <c r="B3406" s="677">
        <v>98282</v>
      </c>
      <c r="C3406" s="733" t="s">
        <v>2781</v>
      </c>
      <c r="D3406" s="677" t="s">
        <v>21</v>
      </c>
      <c r="E3406" s="738">
        <f t="shared" si="106"/>
        <v>8.41</v>
      </c>
      <c r="F3406">
        <f t="shared" si="107"/>
        <v>98282</v>
      </c>
      <c r="H3406" s="1405">
        <v>7.7</v>
      </c>
      <c r="I3406" s="1405">
        <v>8.41</v>
      </c>
    </row>
    <row r="3407" spans="2:9" ht="30">
      <c r="B3407" s="1477">
        <v>98283</v>
      </c>
      <c r="C3407" s="740" t="s">
        <v>2782</v>
      </c>
      <c r="D3407" s="739" t="s">
        <v>21</v>
      </c>
      <c r="E3407" s="741">
        <f t="shared" si="106"/>
        <v>9.24</v>
      </c>
      <c r="F3407">
        <f t="shared" si="107"/>
        <v>98283</v>
      </c>
      <c r="H3407" s="1406">
        <v>8.51</v>
      </c>
      <c r="I3407" s="1406">
        <v>9.24</v>
      </c>
    </row>
    <row r="3408" spans="2:9" ht="30">
      <c r="B3408" s="677">
        <v>98284</v>
      </c>
      <c r="C3408" s="733" t="s">
        <v>2783</v>
      </c>
      <c r="D3408" s="677" t="s">
        <v>21</v>
      </c>
      <c r="E3408" s="738">
        <f t="shared" si="106"/>
        <v>9.8000000000000007</v>
      </c>
      <c r="F3408">
        <f t="shared" si="107"/>
        <v>98284</v>
      </c>
      <c r="H3408" s="1405">
        <v>9.06</v>
      </c>
      <c r="I3408" s="1405">
        <v>9.8000000000000007</v>
      </c>
    </row>
    <row r="3409" spans="2:9" ht="30">
      <c r="B3409" s="1477">
        <v>98285</v>
      </c>
      <c r="C3409" s="740" t="s">
        <v>2784</v>
      </c>
      <c r="D3409" s="739" t="s">
        <v>21</v>
      </c>
      <c r="E3409" s="741">
        <f t="shared" si="106"/>
        <v>10.55</v>
      </c>
      <c r="F3409">
        <f t="shared" si="107"/>
        <v>98285</v>
      </c>
      <c r="H3409" s="1406">
        <v>9.8000000000000007</v>
      </c>
      <c r="I3409" s="1406">
        <v>10.55</v>
      </c>
    </row>
    <row r="3410" spans="2:9" ht="30">
      <c r="B3410" s="677">
        <v>98286</v>
      </c>
      <c r="C3410" s="733" t="s">
        <v>2785</v>
      </c>
      <c r="D3410" s="677" t="s">
        <v>21</v>
      </c>
      <c r="E3410" s="738">
        <f t="shared" si="106"/>
        <v>14.35</v>
      </c>
      <c r="F3410">
        <f t="shared" si="107"/>
        <v>98286</v>
      </c>
      <c r="H3410" s="1405">
        <v>13.51</v>
      </c>
      <c r="I3410" s="1405">
        <v>14.35</v>
      </c>
    </row>
    <row r="3411" spans="2:9" ht="30">
      <c r="B3411" s="1477">
        <v>98287</v>
      </c>
      <c r="C3411" s="740" t="s">
        <v>2786</v>
      </c>
      <c r="D3411" s="739" t="s">
        <v>21</v>
      </c>
      <c r="E3411" s="741">
        <f t="shared" si="106"/>
        <v>1.41</v>
      </c>
      <c r="F3411">
        <f t="shared" si="107"/>
        <v>98287</v>
      </c>
      <c r="H3411" s="1406">
        <v>1.34</v>
      </c>
      <c r="I3411" s="1406">
        <v>1.41</v>
      </c>
    </row>
    <row r="3412" spans="2:9" ht="30">
      <c r="B3412" s="677">
        <v>98288</v>
      </c>
      <c r="C3412" s="733" t="s">
        <v>2787</v>
      </c>
      <c r="D3412" s="677" t="s">
        <v>21</v>
      </c>
      <c r="E3412" s="738">
        <f t="shared" si="106"/>
        <v>2.1800000000000002</v>
      </c>
      <c r="F3412">
        <f t="shared" si="107"/>
        <v>98288</v>
      </c>
      <c r="H3412" s="1405">
        <v>2.1</v>
      </c>
      <c r="I3412" s="1405">
        <v>2.1800000000000002</v>
      </c>
    </row>
    <row r="3413" spans="2:9" ht="30">
      <c r="B3413" s="1477">
        <v>98289</v>
      </c>
      <c r="C3413" s="740" t="s">
        <v>2788</v>
      </c>
      <c r="D3413" s="739" t="s">
        <v>21</v>
      </c>
      <c r="E3413" s="741">
        <f t="shared" si="106"/>
        <v>2.38</v>
      </c>
      <c r="F3413">
        <f t="shared" si="107"/>
        <v>98289</v>
      </c>
      <c r="H3413" s="1406">
        <v>2.27</v>
      </c>
      <c r="I3413" s="1406">
        <v>2.38</v>
      </c>
    </row>
    <row r="3414" spans="2:9" ht="30">
      <c r="B3414" s="677">
        <v>98290</v>
      </c>
      <c r="C3414" s="733" t="s">
        <v>2789</v>
      </c>
      <c r="D3414" s="677" t="s">
        <v>21</v>
      </c>
      <c r="E3414" s="738">
        <f t="shared" si="106"/>
        <v>3.21</v>
      </c>
      <c r="F3414">
        <f t="shared" si="107"/>
        <v>98290</v>
      </c>
      <c r="H3414" s="1405">
        <v>3.1</v>
      </c>
      <c r="I3414" s="1405">
        <v>3.21</v>
      </c>
    </row>
    <row r="3415" spans="2:9" ht="30">
      <c r="B3415" s="1477">
        <v>98291</v>
      </c>
      <c r="C3415" s="740" t="s">
        <v>2790</v>
      </c>
      <c r="D3415" s="739" t="s">
        <v>21</v>
      </c>
      <c r="E3415" s="741">
        <f t="shared" si="106"/>
        <v>3.77</v>
      </c>
      <c r="F3415">
        <f t="shared" si="107"/>
        <v>98291</v>
      </c>
      <c r="H3415" s="1406">
        <v>3.65</v>
      </c>
      <c r="I3415" s="1406">
        <v>3.77</v>
      </c>
    </row>
    <row r="3416" spans="2:9" ht="30">
      <c r="B3416" s="677">
        <v>98292</v>
      </c>
      <c r="C3416" s="733" t="s">
        <v>2791</v>
      </c>
      <c r="D3416" s="677" t="s">
        <v>21</v>
      </c>
      <c r="E3416" s="738">
        <f t="shared" si="106"/>
        <v>4.5199999999999996</v>
      </c>
      <c r="F3416">
        <f t="shared" si="107"/>
        <v>98292</v>
      </c>
      <c r="H3416" s="1405">
        <v>4.3899999999999997</v>
      </c>
      <c r="I3416" s="1405">
        <v>4.5199999999999996</v>
      </c>
    </row>
    <row r="3417" spans="2:9" ht="30">
      <c r="B3417" s="1477">
        <v>98293</v>
      </c>
      <c r="C3417" s="740" t="s">
        <v>2792</v>
      </c>
      <c r="D3417" s="739" t="s">
        <v>21</v>
      </c>
      <c r="E3417" s="741">
        <f t="shared" si="106"/>
        <v>8.32</v>
      </c>
      <c r="F3417">
        <f t="shared" si="107"/>
        <v>98293</v>
      </c>
      <c r="H3417" s="1406">
        <v>8.09</v>
      </c>
      <c r="I3417" s="1406">
        <v>8.32</v>
      </c>
    </row>
    <row r="3418" spans="2:9">
      <c r="B3418" s="677">
        <v>98400</v>
      </c>
      <c r="C3418" s="733" t="s">
        <v>2793</v>
      </c>
      <c r="D3418" s="677" t="s">
        <v>21</v>
      </c>
      <c r="E3418" s="738">
        <f t="shared" si="106"/>
        <v>12.83</v>
      </c>
      <c r="F3418">
        <f t="shared" si="107"/>
        <v>98400</v>
      </c>
      <c r="H3418" s="1405">
        <v>12.37</v>
      </c>
      <c r="I3418" s="1405">
        <v>12.83</v>
      </c>
    </row>
    <row r="3419" spans="2:9">
      <c r="B3419" s="1477">
        <v>98401</v>
      </c>
      <c r="C3419" s="740" t="s">
        <v>2794</v>
      </c>
      <c r="D3419" s="739" t="s">
        <v>21</v>
      </c>
      <c r="E3419" s="741">
        <f t="shared" si="106"/>
        <v>19.8</v>
      </c>
      <c r="F3419">
        <f t="shared" si="107"/>
        <v>98401</v>
      </c>
      <c r="H3419" s="1406">
        <v>19.28</v>
      </c>
      <c r="I3419" s="1406">
        <v>19.8</v>
      </c>
    </row>
    <row r="3420" spans="2:9">
      <c r="B3420" s="677">
        <v>98402</v>
      </c>
      <c r="C3420" s="733" t="s">
        <v>2795</v>
      </c>
      <c r="D3420" s="677" t="s">
        <v>21</v>
      </c>
      <c r="E3420" s="738">
        <f t="shared" si="106"/>
        <v>23.05</v>
      </c>
      <c r="F3420">
        <f t="shared" si="107"/>
        <v>98402</v>
      </c>
      <c r="H3420" s="1405">
        <v>22.48</v>
      </c>
      <c r="I3420" s="1405">
        <v>23.05</v>
      </c>
    </row>
    <row r="3421" spans="2:9">
      <c r="B3421" s="1477">
        <v>100556</v>
      </c>
      <c r="C3421" s="740" t="s">
        <v>2796</v>
      </c>
      <c r="D3421" s="739" t="s">
        <v>22</v>
      </c>
      <c r="E3421" s="741">
        <f t="shared" si="106"/>
        <v>43.33</v>
      </c>
      <c r="F3421">
        <f t="shared" si="107"/>
        <v>100556</v>
      </c>
      <c r="H3421" s="1406">
        <v>41.61</v>
      </c>
      <c r="I3421" s="1406">
        <v>43.33</v>
      </c>
    </row>
    <row r="3422" spans="2:9">
      <c r="B3422" s="677">
        <v>100557</v>
      </c>
      <c r="C3422" s="733" t="s">
        <v>2797</v>
      </c>
      <c r="D3422" s="677" t="s">
        <v>22</v>
      </c>
      <c r="E3422" s="738">
        <f t="shared" si="106"/>
        <v>545.57000000000005</v>
      </c>
      <c r="F3422">
        <f t="shared" si="107"/>
        <v>100557</v>
      </c>
      <c r="H3422" s="1405">
        <v>540.42999999999995</v>
      </c>
      <c r="I3422" s="1405">
        <v>545.57000000000005</v>
      </c>
    </row>
    <row r="3423" spans="2:9" ht="30">
      <c r="B3423" s="1477">
        <v>100560</v>
      </c>
      <c r="C3423" s="740" t="s">
        <v>2798</v>
      </c>
      <c r="D3423" s="739" t="s">
        <v>22</v>
      </c>
      <c r="E3423" s="741">
        <f t="shared" si="106"/>
        <v>117.97</v>
      </c>
      <c r="F3423">
        <f t="shared" si="107"/>
        <v>100560</v>
      </c>
      <c r="H3423" s="1406">
        <v>113.5</v>
      </c>
      <c r="I3423" s="1406">
        <v>117.97</v>
      </c>
    </row>
    <row r="3424" spans="2:9" ht="30">
      <c r="B3424" s="677">
        <v>100561</v>
      </c>
      <c r="C3424" s="733" t="s">
        <v>2799</v>
      </c>
      <c r="D3424" s="677" t="s">
        <v>22</v>
      </c>
      <c r="E3424" s="738">
        <f t="shared" si="106"/>
        <v>216.71</v>
      </c>
      <c r="F3424">
        <f t="shared" si="107"/>
        <v>100561</v>
      </c>
      <c r="H3424" s="1405">
        <v>211.59</v>
      </c>
      <c r="I3424" s="1405">
        <v>216.71</v>
      </c>
    </row>
    <row r="3425" spans="2:9" ht="30">
      <c r="B3425" s="1477">
        <v>100562</v>
      </c>
      <c r="C3425" s="740" t="s">
        <v>2800</v>
      </c>
      <c r="D3425" s="739" t="s">
        <v>22</v>
      </c>
      <c r="E3425" s="741">
        <f t="shared" si="106"/>
        <v>336.36</v>
      </c>
      <c r="F3425">
        <f t="shared" si="107"/>
        <v>100562</v>
      </c>
      <c r="H3425" s="1406">
        <v>330.52</v>
      </c>
      <c r="I3425" s="1406">
        <v>336.36</v>
      </c>
    </row>
    <row r="3426" spans="2:9" ht="30">
      <c r="B3426" s="677">
        <v>100563</v>
      </c>
      <c r="C3426" s="733" t="s">
        <v>2801</v>
      </c>
      <c r="D3426" s="677" t="s">
        <v>22</v>
      </c>
      <c r="E3426" s="738">
        <f t="shared" si="106"/>
        <v>485.66</v>
      </c>
      <c r="F3426">
        <f t="shared" si="107"/>
        <v>100563</v>
      </c>
      <c r="H3426" s="1405">
        <v>479.01</v>
      </c>
      <c r="I3426" s="1405">
        <v>485.66</v>
      </c>
    </row>
    <row r="3427" spans="2:9" ht="30">
      <c r="B3427" s="1477">
        <v>101795</v>
      </c>
      <c r="C3427" s="740" t="s">
        <v>4423</v>
      </c>
      <c r="D3427" s="739" t="s">
        <v>22</v>
      </c>
      <c r="E3427" s="741">
        <f t="shared" si="106"/>
        <v>594.08000000000004</v>
      </c>
      <c r="F3427">
        <f t="shared" si="107"/>
        <v>101795</v>
      </c>
      <c r="H3427" s="1406">
        <v>568.15</v>
      </c>
      <c r="I3427" s="1406">
        <v>594.08000000000004</v>
      </c>
    </row>
    <row r="3428" spans="2:9" ht="30">
      <c r="B3428" s="677">
        <v>101798</v>
      </c>
      <c r="C3428" s="733" t="s">
        <v>4424</v>
      </c>
      <c r="D3428" s="677" t="s">
        <v>22</v>
      </c>
      <c r="E3428" s="738">
        <f t="shared" si="106"/>
        <v>371.1</v>
      </c>
      <c r="F3428">
        <f t="shared" si="107"/>
        <v>101798</v>
      </c>
      <c r="H3428" s="1405">
        <v>366.81</v>
      </c>
      <c r="I3428" s="1405">
        <v>371.1</v>
      </c>
    </row>
    <row r="3429" spans="2:9" ht="30">
      <c r="B3429" s="1477">
        <v>101799</v>
      </c>
      <c r="C3429" s="740" t="s">
        <v>4425</v>
      </c>
      <c r="D3429" s="739" t="s">
        <v>22</v>
      </c>
      <c r="E3429" s="741">
        <f t="shared" si="106"/>
        <v>901.89</v>
      </c>
      <c r="F3429">
        <f t="shared" si="107"/>
        <v>101799</v>
      </c>
      <c r="H3429" s="1406">
        <v>894.81</v>
      </c>
      <c r="I3429" s="1406">
        <v>901.89</v>
      </c>
    </row>
    <row r="3430" spans="2:9">
      <c r="B3430" s="677">
        <v>98397</v>
      </c>
      <c r="C3430" s="733" t="s">
        <v>2001</v>
      </c>
      <c r="D3430" s="677" t="s">
        <v>0</v>
      </c>
      <c r="E3430" s="738">
        <f t="shared" si="106"/>
        <v>11.76</v>
      </c>
      <c r="F3430">
        <f t="shared" si="107"/>
        <v>98397</v>
      </c>
      <c r="H3430" s="1405">
        <v>11.09</v>
      </c>
      <c r="I3430" s="1405">
        <v>11.76</v>
      </c>
    </row>
    <row r="3431" spans="2:9">
      <c r="B3431" s="1477">
        <v>103244</v>
      </c>
      <c r="C3431" s="740" t="s">
        <v>7053</v>
      </c>
      <c r="D3431" s="739" t="s">
        <v>22</v>
      </c>
      <c r="E3431" s="741">
        <f t="shared" si="106"/>
        <v>2372.96</v>
      </c>
      <c r="F3431">
        <f t="shared" si="107"/>
        <v>103244</v>
      </c>
      <c r="H3431" s="1406">
        <v>2361.16</v>
      </c>
      <c r="I3431" s="1406">
        <v>2372.96</v>
      </c>
    </row>
    <row r="3432" spans="2:9">
      <c r="B3432" s="677">
        <v>103245</v>
      </c>
      <c r="C3432" s="733" t="s">
        <v>7054</v>
      </c>
      <c r="D3432" s="677" t="s">
        <v>22</v>
      </c>
      <c r="E3432" s="738">
        <f t="shared" si="106"/>
        <v>1868.54</v>
      </c>
      <c r="F3432">
        <f t="shared" si="107"/>
        <v>103245</v>
      </c>
      <c r="H3432" s="1405">
        <v>1856.74</v>
      </c>
      <c r="I3432" s="1405">
        <v>1868.54</v>
      </c>
    </row>
    <row r="3433" spans="2:9" ht="30">
      <c r="B3433" s="1477">
        <v>103246</v>
      </c>
      <c r="C3433" s="740" t="s">
        <v>7055</v>
      </c>
      <c r="D3433" s="739" t="s">
        <v>22</v>
      </c>
      <c r="E3433" s="741">
        <f t="shared" si="106"/>
        <v>2039.12</v>
      </c>
      <c r="F3433">
        <f t="shared" si="107"/>
        <v>103246</v>
      </c>
      <c r="H3433" s="1406">
        <v>2027.32</v>
      </c>
      <c r="I3433" s="1406">
        <v>2039.12</v>
      </c>
    </row>
    <row r="3434" spans="2:9">
      <c r="B3434" s="677">
        <v>103247</v>
      </c>
      <c r="C3434" s="733" t="s">
        <v>7056</v>
      </c>
      <c r="D3434" s="677" t="s">
        <v>22</v>
      </c>
      <c r="E3434" s="738">
        <f t="shared" si="106"/>
        <v>2635.32</v>
      </c>
      <c r="F3434">
        <f t="shared" si="107"/>
        <v>103247</v>
      </c>
      <c r="H3434" s="1405">
        <v>2623.52</v>
      </c>
      <c r="I3434" s="1405">
        <v>2635.32</v>
      </c>
    </row>
    <row r="3435" spans="2:9">
      <c r="B3435" s="1477">
        <v>103248</v>
      </c>
      <c r="C3435" s="740" t="s">
        <v>7057</v>
      </c>
      <c r="D3435" s="739" t="s">
        <v>22</v>
      </c>
      <c r="E3435" s="741">
        <f t="shared" si="106"/>
        <v>2150.8200000000002</v>
      </c>
      <c r="F3435">
        <f t="shared" si="107"/>
        <v>103248</v>
      </c>
      <c r="H3435" s="1406">
        <v>2139.02</v>
      </c>
      <c r="I3435" s="1406">
        <v>2150.8200000000002</v>
      </c>
    </row>
    <row r="3436" spans="2:9" ht="30">
      <c r="B3436" s="677">
        <v>103249</v>
      </c>
      <c r="C3436" s="733" t="s">
        <v>7058</v>
      </c>
      <c r="D3436" s="677" t="s">
        <v>22</v>
      </c>
      <c r="E3436" s="738">
        <f t="shared" si="106"/>
        <v>2311.81</v>
      </c>
      <c r="F3436">
        <f t="shared" si="107"/>
        <v>103249</v>
      </c>
      <c r="H3436" s="1405">
        <v>2300.0100000000002</v>
      </c>
      <c r="I3436" s="1405">
        <v>2311.81</v>
      </c>
    </row>
    <row r="3437" spans="2:9">
      <c r="B3437" s="1477">
        <v>103250</v>
      </c>
      <c r="C3437" s="740" t="s">
        <v>7059</v>
      </c>
      <c r="D3437" s="739" t="s">
        <v>22</v>
      </c>
      <c r="E3437" s="741">
        <f t="shared" si="106"/>
        <v>3833.65</v>
      </c>
      <c r="F3437">
        <f t="shared" si="107"/>
        <v>103250</v>
      </c>
      <c r="H3437" s="1406">
        <v>3820.88</v>
      </c>
      <c r="I3437" s="1406">
        <v>3833.65</v>
      </c>
    </row>
    <row r="3438" spans="2:9">
      <c r="B3438" s="677">
        <v>103251</v>
      </c>
      <c r="C3438" s="733" t="s">
        <v>7060</v>
      </c>
      <c r="D3438" s="677" t="s">
        <v>22</v>
      </c>
      <c r="E3438" s="738">
        <f t="shared" si="106"/>
        <v>3024.46</v>
      </c>
      <c r="F3438">
        <f t="shared" si="107"/>
        <v>103251</v>
      </c>
      <c r="H3438" s="1405">
        <v>3011.69</v>
      </c>
      <c r="I3438" s="1405">
        <v>3024.46</v>
      </c>
    </row>
    <row r="3439" spans="2:9" ht="30">
      <c r="B3439" s="1477">
        <v>103252</v>
      </c>
      <c r="C3439" s="740" t="s">
        <v>7061</v>
      </c>
      <c r="D3439" s="739" t="s">
        <v>22</v>
      </c>
      <c r="E3439" s="741">
        <f t="shared" si="106"/>
        <v>3350.78</v>
      </c>
      <c r="F3439">
        <f t="shared" si="107"/>
        <v>103252</v>
      </c>
      <c r="H3439" s="1406">
        <v>3338.01</v>
      </c>
      <c r="I3439" s="1406">
        <v>3350.78</v>
      </c>
    </row>
    <row r="3440" spans="2:9">
      <c r="B3440" s="677">
        <v>103253</v>
      </c>
      <c r="C3440" s="733" t="s">
        <v>7062</v>
      </c>
      <c r="D3440" s="677" t="s">
        <v>22</v>
      </c>
      <c r="E3440" s="738">
        <f t="shared" si="106"/>
        <v>5231.04</v>
      </c>
      <c r="F3440">
        <f t="shared" si="107"/>
        <v>103253</v>
      </c>
      <c r="H3440" s="1405">
        <v>5217.71</v>
      </c>
      <c r="I3440" s="1405">
        <v>5231.04</v>
      </c>
    </row>
    <row r="3441" spans="2:9">
      <c r="B3441" s="1477">
        <v>103254</v>
      </c>
      <c r="C3441" s="740" t="s">
        <v>7063</v>
      </c>
      <c r="D3441" s="739" t="s">
        <v>22</v>
      </c>
      <c r="E3441" s="741">
        <f t="shared" si="106"/>
        <v>3908.1</v>
      </c>
      <c r="F3441">
        <f t="shared" si="107"/>
        <v>103254</v>
      </c>
      <c r="H3441" s="1406">
        <v>3894.77</v>
      </c>
      <c r="I3441" s="1406">
        <v>3908.1</v>
      </c>
    </row>
    <row r="3442" spans="2:9" ht="30">
      <c r="B3442" s="677">
        <v>103255</v>
      </c>
      <c r="C3442" s="733" t="s">
        <v>7064</v>
      </c>
      <c r="D3442" s="677" t="s">
        <v>22</v>
      </c>
      <c r="E3442" s="738">
        <f t="shared" si="106"/>
        <v>4374.87</v>
      </c>
      <c r="F3442">
        <f t="shared" si="107"/>
        <v>103255</v>
      </c>
      <c r="H3442" s="1405">
        <v>4361.54</v>
      </c>
      <c r="I3442" s="1405">
        <v>4374.87</v>
      </c>
    </row>
    <row r="3443" spans="2:9">
      <c r="B3443" s="1477">
        <v>103256</v>
      </c>
      <c r="C3443" s="740" t="s">
        <v>7065</v>
      </c>
      <c r="D3443" s="739" t="s">
        <v>22</v>
      </c>
      <c r="E3443" s="741">
        <f t="shared" si="106"/>
        <v>9722.65</v>
      </c>
      <c r="F3443">
        <f t="shared" si="107"/>
        <v>103256</v>
      </c>
      <c r="H3443" s="1406">
        <v>9703.06</v>
      </c>
      <c r="I3443" s="1406">
        <v>9722.65</v>
      </c>
    </row>
    <row r="3444" spans="2:9">
      <c r="B3444" s="677">
        <v>103257</v>
      </c>
      <c r="C3444" s="733" t="s">
        <v>7066</v>
      </c>
      <c r="D3444" s="677" t="s">
        <v>22</v>
      </c>
      <c r="E3444" s="738">
        <f t="shared" si="106"/>
        <v>5546.89</v>
      </c>
      <c r="F3444">
        <f t="shared" si="107"/>
        <v>103257</v>
      </c>
      <c r="H3444" s="1405">
        <v>5527.3</v>
      </c>
      <c r="I3444" s="1405">
        <v>5546.89</v>
      </c>
    </row>
    <row r="3445" spans="2:9">
      <c r="B3445" s="1477">
        <v>103258</v>
      </c>
      <c r="C3445" s="740" t="s">
        <v>7067</v>
      </c>
      <c r="D3445" s="739" t="s">
        <v>22</v>
      </c>
      <c r="E3445" s="741">
        <f t="shared" si="106"/>
        <v>10871.64</v>
      </c>
      <c r="F3445">
        <f t="shared" si="107"/>
        <v>103258</v>
      </c>
      <c r="H3445" s="1406">
        <v>10851.54</v>
      </c>
      <c r="I3445" s="1406">
        <v>10871.64</v>
      </c>
    </row>
    <row r="3446" spans="2:9">
      <c r="B3446" s="677">
        <v>103259</v>
      </c>
      <c r="C3446" s="733" t="s">
        <v>7068</v>
      </c>
      <c r="D3446" s="677" t="s">
        <v>22</v>
      </c>
      <c r="E3446" s="738">
        <f t="shared" si="106"/>
        <v>5848.69</v>
      </c>
      <c r="F3446">
        <f t="shared" si="107"/>
        <v>103259</v>
      </c>
      <c r="H3446" s="1405">
        <v>5828.59</v>
      </c>
      <c r="I3446" s="1405">
        <v>5848.69</v>
      </c>
    </row>
    <row r="3447" spans="2:9">
      <c r="B3447" s="1477">
        <v>103260</v>
      </c>
      <c r="C3447" s="740" t="s">
        <v>7069</v>
      </c>
      <c r="D3447" s="739" t="s">
        <v>22</v>
      </c>
      <c r="E3447" s="741">
        <f t="shared" si="106"/>
        <v>6008.53</v>
      </c>
      <c r="F3447">
        <f t="shared" si="107"/>
        <v>103260</v>
      </c>
      <c r="H3447" s="1406">
        <v>5988.43</v>
      </c>
      <c r="I3447" s="1406">
        <v>6008.53</v>
      </c>
    </row>
    <row r="3448" spans="2:9">
      <c r="B3448" s="677">
        <v>103261</v>
      </c>
      <c r="C3448" s="733" t="s">
        <v>7070</v>
      </c>
      <c r="D3448" s="677" t="s">
        <v>22</v>
      </c>
      <c r="E3448" s="738">
        <f t="shared" si="106"/>
        <v>12265.4</v>
      </c>
      <c r="F3448">
        <f t="shared" si="107"/>
        <v>103261</v>
      </c>
      <c r="H3448" s="1405">
        <v>12243.33</v>
      </c>
      <c r="I3448" s="1405">
        <v>12265.4</v>
      </c>
    </row>
    <row r="3449" spans="2:9">
      <c r="B3449" s="1477">
        <v>103262</v>
      </c>
      <c r="C3449" s="740" t="s">
        <v>7071</v>
      </c>
      <c r="D3449" s="739" t="s">
        <v>22</v>
      </c>
      <c r="E3449" s="741">
        <f t="shared" si="106"/>
        <v>7688.81</v>
      </c>
      <c r="F3449">
        <f t="shared" si="107"/>
        <v>103262</v>
      </c>
      <c r="H3449" s="1406">
        <v>7666.74</v>
      </c>
      <c r="I3449" s="1406">
        <v>7688.81</v>
      </c>
    </row>
    <row r="3450" spans="2:9">
      <c r="B3450" s="677">
        <v>103263</v>
      </c>
      <c r="C3450" s="733" t="s">
        <v>7072</v>
      </c>
      <c r="D3450" s="677" t="s">
        <v>22</v>
      </c>
      <c r="E3450" s="738">
        <f t="shared" si="106"/>
        <v>17034.21</v>
      </c>
      <c r="F3450">
        <f t="shared" si="107"/>
        <v>103263</v>
      </c>
      <c r="H3450" s="1405">
        <v>17006.330000000002</v>
      </c>
      <c r="I3450" s="1405">
        <v>17034.21</v>
      </c>
    </row>
    <row r="3451" spans="2:9">
      <c r="B3451" s="1477">
        <v>103264</v>
      </c>
      <c r="C3451" s="740" t="s">
        <v>7073</v>
      </c>
      <c r="D3451" s="739" t="s">
        <v>22</v>
      </c>
      <c r="E3451" s="741">
        <f t="shared" si="106"/>
        <v>9541.01</v>
      </c>
      <c r="F3451">
        <f t="shared" si="107"/>
        <v>103264</v>
      </c>
      <c r="H3451" s="1406">
        <v>9513.1299999999992</v>
      </c>
      <c r="I3451" s="1406">
        <v>9541.01</v>
      </c>
    </row>
    <row r="3452" spans="2:9" ht="30">
      <c r="B3452" s="677">
        <v>103265</v>
      </c>
      <c r="C3452" s="733" t="s">
        <v>7074</v>
      </c>
      <c r="D3452" s="677" t="s">
        <v>22</v>
      </c>
      <c r="E3452" s="738">
        <f t="shared" si="106"/>
        <v>20541.63</v>
      </c>
      <c r="F3452">
        <f t="shared" si="107"/>
        <v>103265</v>
      </c>
      <c r="H3452" s="1405">
        <v>20513.75</v>
      </c>
      <c r="I3452" s="1405">
        <v>20541.63</v>
      </c>
    </row>
    <row r="3453" spans="2:9">
      <c r="B3453" s="1477">
        <v>103266</v>
      </c>
      <c r="C3453" s="740" t="s">
        <v>7075</v>
      </c>
      <c r="D3453" s="739" t="s">
        <v>22</v>
      </c>
      <c r="E3453" s="741">
        <f t="shared" si="106"/>
        <v>10658.74</v>
      </c>
      <c r="F3453">
        <f t="shared" si="107"/>
        <v>103266</v>
      </c>
      <c r="H3453" s="1406">
        <v>10630.86</v>
      </c>
      <c r="I3453" s="1406">
        <v>10658.74</v>
      </c>
    </row>
    <row r="3454" spans="2:9">
      <c r="B3454" s="677">
        <v>103267</v>
      </c>
      <c r="C3454" s="733" t="s">
        <v>7076</v>
      </c>
      <c r="D3454" s="677" t="s">
        <v>22</v>
      </c>
      <c r="E3454" s="738">
        <f t="shared" si="106"/>
        <v>6065.32</v>
      </c>
      <c r="F3454">
        <f t="shared" si="107"/>
        <v>103267</v>
      </c>
      <c r="H3454" s="1405">
        <v>6045.23</v>
      </c>
      <c r="I3454" s="1405">
        <v>6065.32</v>
      </c>
    </row>
    <row r="3455" spans="2:9" ht="30">
      <c r="B3455" s="1477">
        <v>103268</v>
      </c>
      <c r="C3455" s="740" t="s">
        <v>7077</v>
      </c>
      <c r="D3455" s="739" t="s">
        <v>22</v>
      </c>
      <c r="E3455" s="741">
        <f t="shared" si="106"/>
        <v>7203.82</v>
      </c>
      <c r="F3455">
        <f t="shared" si="107"/>
        <v>103268</v>
      </c>
      <c r="H3455" s="1406">
        <v>7183.73</v>
      </c>
      <c r="I3455" s="1406">
        <v>7203.82</v>
      </c>
    </row>
    <row r="3456" spans="2:9">
      <c r="B3456" s="677">
        <v>103269</v>
      </c>
      <c r="C3456" s="733" t="s">
        <v>7078</v>
      </c>
      <c r="D3456" s="677" t="s">
        <v>22</v>
      </c>
      <c r="E3456" s="738">
        <f t="shared" si="106"/>
        <v>7459.2</v>
      </c>
      <c r="F3456">
        <f t="shared" si="107"/>
        <v>103269</v>
      </c>
      <c r="H3456" s="1405">
        <v>7438.31</v>
      </c>
      <c r="I3456" s="1405">
        <v>7459.2</v>
      </c>
    </row>
    <row r="3457" spans="2:9" ht="30">
      <c r="B3457" s="1477">
        <v>103270</v>
      </c>
      <c r="C3457" s="740" t="s">
        <v>7079</v>
      </c>
      <c r="D3457" s="739" t="s">
        <v>22</v>
      </c>
      <c r="E3457" s="741">
        <f t="shared" si="106"/>
        <v>7743.61</v>
      </c>
      <c r="F3457">
        <f t="shared" si="107"/>
        <v>103270</v>
      </c>
      <c r="H3457" s="1406">
        <v>7722.72</v>
      </c>
      <c r="I3457" s="1406">
        <v>7743.61</v>
      </c>
    </row>
    <row r="3458" spans="2:9">
      <c r="B3458" s="677">
        <v>103271</v>
      </c>
      <c r="C3458" s="733" t="s">
        <v>7080</v>
      </c>
      <c r="D3458" s="677" t="s">
        <v>22</v>
      </c>
      <c r="E3458" s="738">
        <f t="shared" si="106"/>
        <v>10977.83</v>
      </c>
      <c r="F3458">
        <f t="shared" si="107"/>
        <v>103271</v>
      </c>
      <c r="H3458" s="1405">
        <v>10953.78</v>
      </c>
      <c r="I3458" s="1405">
        <v>10977.83</v>
      </c>
    </row>
    <row r="3459" spans="2:9" ht="30">
      <c r="B3459" s="1477">
        <v>103272</v>
      </c>
      <c r="C3459" s="740" t="s">
        <v>7081</v>
      </c>
      <c r="D3459" s="739" t="s">
        <v>22</v>
      </c>
      <c r="E3459" s="741">
        <f t="shared" ref="E3459:E3522" si="108">IF($K$2=$H$1,H3459,I3459)</f>
        <v>11339.52</v>
      </c>
      <c r="F3459">
        <f t="shared" ref="F3459:F3522" si="109">IF(LEN($B3459)=7,CONCATENATE(MID($B3459,1,6),"00",RIGHT($B3459,1)),IF(LEN($B3459)=8,CONCATENATE(MID($B3459,1,6),"0",RIGHT($B3459,2)),$B3459))</f>
        <v>103272</v>
      </c>
      <c r="H3459" s="1406">
        <v>11315.47</v>
      </c>
      <c r="I3459" s="1406">
        <v>11339.52</v>
      </c>
    </row>
    <row r="3460" spans="2:9">
      <c r="B3460" s="677">
        <v>103273</v>
      </c>
      <c r="C3460" s="733" t="s">
        <v>7082</v>
      </c>
      <c r="D3460" s="677" t="s">
        <v>22</v>
      </c>
      <c r="E3460" s="738">
        <f t="shared" si="108"/>
        <v>11659.07</v>
      </c>
      <c r="F3460">
        <f t="shared" si="109"/>
        <v>103273</v>
      </c>
      <c r="H3460" s="1405">
        <v>11628.99</v>
      </c>
      <c r="I3460" s="1405">
        <v>11659.07</v>
      </c>
    </row>
    <row r="3461" spans="2:9" ht="30">
      <c r="B3461" s="1477">
        <v>103274</v>
      </c>
      <c r="C3461" s="740" t="s">
        <v>7083</v>
      </c>
      <c r="D3461" s="739" t="s">
        <v>22</v>
      </c>
      <c r="E3461" s="741">
        <f t="shared" si="108"/>
        <v>13360.11</v>
      </c>
      <c r="F3461">
        <f t="shared" si="109"/>
        <v>103274</v>
      </c>
      <c r="H3461" s="1406">
        <v>13330.03</v>
      </c>
      <c r="I3461" s="1406">
        <v>13360.11</v>
      </c>
    </row>
    <row r="3462" spans="2:9">
      <c r="B3462" s="677">
        <v>103275</v>
      </c>
      <c r="C3462" s="733" t="s">
        <v>7084</v>
      </c>
      <c r="D3462" s="677" t="s">
        <v>22</v>
      </c>
      <c r="E3462" s="738">
        <f t="shared" si="108"/>
        <v>13290.66</v>
      </c>
      <c r="F3462">
        <f t="shared" si="109"/>
        <v>103275</v>
      </c>
      <c r="H3462" s="1405">
        <v>13260.58</v>
      </c>
      <c r="I3462" s="1405">
        <v>13290.66</v>
      </c>
    </row>
    <row r="3463" spans="2:9" ht="30">
      <c r="B3463" s="1477">
        <v>103276</v>
      </c>
      <c r="C3463" s="740" t="s">
        <v>7085</v>
      </c>
      <c r="D3463" s="739" t="s">
        <v>22</v>
      </c>
      <c r="E3463" s="741">
        <f t="shared" si="108"/>
        <v>13948.57</v>
      </c>
      <c r="F3463">
        <f t="shared" si="109"/>
        <v>103276</v>
      </c>
      <c r="H3463" s="1406">
        <v>13918.49</v>
      </c>
      <c r="I3463" s="1406">
        <v>13948.57</v>
      </c>
    </row>
    <row r="3464" spans="2:9">
      <c r="B3464" s="677">
        <v>103277</v>
      </c>
      <c r="C3464" s="733" t="s">
        <v>7086</v>
      </c>
      <c r="D3464" s="677" t="s">
        <v>22</v>
      </c>
      <c r="E3464" s="738">
        <f t="shared" si="108"/>
        <v>25771.17</v>
      </c>
      <c r="F3464">
        <f t="shared" si="109"/>
        <v>103277</v>
      </c>
      <c r="H3464" s="1405">
        <v>25734.57</v>
      </c>
      <c r="I3464" s="1405">
        <v>25771.17</v>
      </c>
    </row>
    <row r="3465" spans="2:9">
      <c r="B3465" s="1477">
        <v>103278</v>
      </c>
      <c r="C3465" s="740" t="s">
        <v>7087</v>
      </c>
      <c r="D3465" s="739" t="s">
        <v>22</v>
      </c>
      <c r="E3465" s="741">
        <f t="shared" si="108"/>
        <v>32998.28</v>
      </c>
      <c r="F3465">
        <f t="shared" si="109"/>
        <v>103278</v>
      </c>
      <c r="H3465" s="1406">
        <v>32960.65</v>
      </c>
      <c r="I3465" s="1406">
        <v>32998.28</v>
      </c>
    </row>
    <row r="3466" spans="2:9">
      <c r="B3466" s="677">
        <v>103288</v>
      </c>
      <c r="C3466" s="733" t="s">
        <v>5355</v>
      </c>
      <c r="D3466" s="677" t="s">
        <v>22</v>
      </c>
      <c r="E3466" s="738">
        <f t="shared" si="108"/>
        <v>14.39</v>
      </c>
      <c r="F3466">
        <f t="shared" si="109"/>
        <v>103288</v>
      </c>
      <c r="H3466" s="1405">
        <v>13.05</v>
      </c>
      <c r="I3466" s="1405">
        <v>14.39</v>
      </c>
    </row>
    <row r="3467" spans="2:9" ht="30">
      <c r="B3467" s="1477">
        <v>103289</v>
      </c>
      <c r="C3467" s="740" t="s">
        <v>5356</v>
      </c>
      <c r="D3467" s="739" t="s">
        <v>21</v>
      </c>
      <c r="E3467" s="741">
        <f t="shared" si="108"/>
        <v>30.51</v>
      </c>
      <c r="F3467">
        <f t="shared" si="109"/>
        <v>103289</v>
      </c>
      <c r="H3467" s="1406">
        <v>30.04</v>
      </c>
      <c r="I3467" s="1406">
        <v>30.51</v>
      </c>
    </row>
    <row r="3468" spans="2:9" ht="30">
      <c r="B3468" s="677">
        <v>103290</v>
      </c>
      <c r="C3468" s="733" t="s">
        <v>5357</v>
      </c>
      <c r="D3468" s="677" t="s">
        <v>21</v>
      </c>
      <c r="E3468" s="738">
        <f t="shared" si="108"/>
        <v>48.15</v>
      </c>
      <c r="F3468">
        <f t="shared" si="109"/>
        <v>103290</v>
      </c>
      <c r="H3468" s="1405">
        <v>47.66</v>
      </c>
      <c r="I3468" s="1405">
        <v>48.15</v>
      </c>
    </row>
    <row r="3469" spans="2:9" ht="30">
      <c r="B3469" s="1477">
        <v>103291</v>
      </c>
      <c r="C3469" s="740" t="s">
        <v>5358</v>
      </c>
      <c r="D3469" s="739" t="s">
        <v>21</v>
      </c>
      <c r="E3469" s="741">
        <f t="shared" si="108"/>
        <v>59.87</v>
      </c>
      <c r="F3469">
        <f t="shared" si="109"/>
        <v>103291</v>
      </c>
      <c r="H3469" s="1406">
        <v>59.34</v>
      </c>
      <c r="I3469" s="1406">
        <v>59.87</v>
      </c>
    </row>
    <row r="3470" spans="2:9" ht="30">
      <c r="B3470" s="677">
        <v>103292</v>
      </c>
      <c r="C3470" s="733" t="s">
        <v>5359</v>
      </c>
      <c r="D3470" s="677" t="s">
        <v>21</v>
      </c>
      <c r="E3470" s="738">
        <f t="shared" si="108"/>
        <v>72.150000000000006</v>
      </c>
      <c r="F3470">
        <f t="shared" si="109"/>
        <v>103292</v>
      </c>
      <c r="H3470" s="1405">
        <v>71.61</v>
      </c>
      <c r="I3470" s="1405">
        <v>72.150000000000006</v>
      </c>
    </row>
    <row r="3471" spans="2:9" ht="30">
      <c r="B3471" s="1477">
        <v>101936</v>
      </c>
      <c r="C3471" s="740" t="s">
        <v>3995</v>
      </c>
      <c r="D3471" s="739" t="s">
        <v>22</v>
      </c>
      <c r="E3471" s="741">
        <f t="shared" si="108"/>
        <v>6997.52</v>
      </c>
      <c r="F3471">
        <f t="shared" si="109"/>
        <v>101936</v>
      </c>
      <c r="H3471" s="1406">
        <v>6637.12</v>
      </c>
      <c r="I3471" s="1406">
        <v>6997.52</v>
      </c>
    </row>
    <row r="3472" spans="2:9" ht="30">
      <c r="B3472" s="677">
        <v>101937</v>
      </c>
      <c r="C3472" s="733" t="s">
        <v>3996</v>
      </c>
      <c r="D3472" s="677" t="s">
        <v>22</v>
      </c>
      <c r="E3472" s="738">
        <f t="shared" si="108"/>
        <v>12866.03</v>
      </c>
      <c r="F3472">
        <f t="shared" si="109"/>
        <v>101937</v>
      </c>
      <c r="H3472" s="1405">
        <v>12086.65</v>
      </c>
      <c r="I3472" s="1405">
        <v>12866.03</v>
      </c>
    </row>
    <row r="3473" spans="2:9">
      <c r="B3473" s="1477">
        <v>98294</v>
      </c>
      <c r="C3473" s="740" t="s">
        <v>2802</v>
      </c>
      <c r="D3473" s="739" t="s">
        <v>21</v>
      </c>
      <c r="E3473" s="741">
        <f t="shared" si="108"/>
        <v>6.22</v>
      </c>
      <c r="F3473">
        <f t="shared" si="109"/>
        <v>98294</v>
      </c>
      <c r="H3473" s="1406">
        <v>6.13</v>
      </c>
      <c r="I3473" s="1406">
        <v>6.22</v>
      </c>
    </row>
    <row r="3474" spans="2:9">
      <c r="B3474" s="677">
        <v>98295</v>
      </c>
      <c r="C3474" s="733" t="s">
        <v>2803</v>
      </c>
      <c r="D3474" s="677" t="s">
        <v>21</v>
      </c>
      <c r="E3474" s="738">
        <f t="shared" si="108"/>
        <v>5.53</v>
      </c>
      <c r="F3474">
        <f t="shared" si="109"/>
        <v>98295</v>
      </c>
      <c r="H3474" s="1405">
        <v>5.51</v>
      </c>
      <c r="I3474" s="1405">
        <v>5.53</v>
      </c>
    </row>
    <row r="3475" spans="2:9">
      <c r="B3475" s="1477">
        <v>98296</v>
      </c>
      <c r="C3475" s="740" t="s">
        <v>2804</v>
      </c>
      <c r="D3475" s="739" t="s">
        <v>21</v>
      </c>
      <c r="E3475" s="741">
        <f t="shared" si="108"/>
        <v>9.08</v>
      </c>
      <c r="F3475">
        <f t="shared" si="109"/>
        <v>98296</v>
      </c>
      <c r="H3475" s="1406">
        <v>8.9499999999999993</v>
      </c>
      <c r="I3475" s="1406">
        <v>9.08</v>
      </c>
    </row>
    <row r="3476" spans="2:9">
      <c r="B3476" s="677">
        <v>98297</v>
      </c>
      <c r="C3476" s="733" t="s">
        <v>2805</v>
      </c>
      <c r="D3476" s="677" t="s">
        <v>21</v>
      </c>
      <c r="E3476" s="738">
        <f t="shared" si="108"/>
        <v>7.99</v>
      </c>
      <c r="F3476">
        <f t="shared" si="109"/>
        <v>98297</v>
      </c>
      <c r="H3476" s="1405">
        <v>7.96</v>
      </c>
      <c r="I3476" s="1405">
        <v>7.99</v>
      </c>
    </row>
    <row r="3477" spans="2:9">
      <c r="B3477" s="1477">
        <v>98298</v>
      </c>
      <c r="C3477" s="740" t="s">
        <v>6883</v>
      </c>
      <c r="D3477" s="739" t="s">
        <v>21</v>
      </c>
      <c r="E3477" s="741">
        <f t="shared" si="108"/>
        <v>22.1</v>
      </c>
      <c r="F3477">
        <f t="shared" si="109"/>
        <v>98298</v>
      </c>
      <c r="H3477" s="1406">
        <v>21.94</v>
      </c>
      <c r="I3477" s="1406">
        <v>22.1</v>
      </c>
    </row>
    <row r="3478" spans="2:9">
      <c r="B3478" s="677">
        <v>98299</v>
      </c>
      <c r="C3478" s="733" t="s">
        <v>6884</v>
      </c>
      <c r="D3478" s="677" t="s">
        <v>21</v>
      </c>
      <c r="E3478" s="738">
        <f t="shared" si="108"/>
        <v>20.76</v>
      </c>
      <c r="F3478">
        <f t="shared" si="109"/>
        <v>98299</v>
      </c>
      <c r="H3478" s="1405">
        <v>20.73</v>
      </c>
      <c r="I3478" s="1405">
        <v>20.76</v>
      </c>
    </row>
    <row r="3479" spans="2:9">
      <c r="B3479" s="1477">
        <v>98300</v>
      </c>
      <c r="C3479" s="740" t="s">
        <v>7088</v>
      </c>
      <c r="D3479" s="739" t="s">
        <v>21</v>
      </c>
      <c r="E3479" s="741">
        <f t="shared" si="108"/>
        <v>5.48</v>
      </c>
      <c r="F3479">
        <f t="shared" si="109"/>
        <v>98300</v>
      </c>
      <c r="H3479" s="1406">
        <v>5.0999999999999996</v>
      </c>
      <c r="I3479" s="1406">
        <v>5.48</v>
      </c>
    </row>
    <row r="3480" spans="2:9">
      <c r="B3480" s="677">
        <v>98301</v>
      </c>
      <c r="C3480" s="733" t="s">
        <v>2806</v>
      </c>
      <c r="D3480" s="677" t="s">
        <v>22</v>
      </c>
      <c r="E3480" s="738">
        <f t="shared" si="108"/>
        <v>591.59</v>
      </c>
      <c r="F3480">
        <f t="shared" si="109"/>
        <v>98301</v>
      </c>
      <c r="H3480" s="1405">
        <v>560.71</v>
      </c>
      <c r="I3480" s="1405">
        <v>591.59</v>
      </c>
    </row>
    <row r="3481" spans="2:9">
      <c r="B3481" s="1477">
        <v>98302</v>
      </c>
      <c r="C3481" s="740" t="s">
        <v>2807</v>
      </c>
      <c r="D3481" s="739" t="s">
        <v>22</v>
      </c>
      <c r="E3481" s="741">
        <f t="shared" si="108"/>
        <v>1078.23</v>
      </c>
      <c r="F3481">
        <f t="shared" si="109"/>
        <v>98302</v>
      </c>
      <c r="H3481" s="1406">
        <v>1047.3499999999999</v>
      </c>
      <c r="I3481" s="1406">
        <v>1078.23</v>
      </c>
    </row>
    <row r="3482" spans="2:9">
      <c r="B3482" s="677">
        <v>98304</v>
      </c>
      <c r="C3482" s="733" t="s">
        <v>2808</v>
      </c>
      <c r="D3482" s="677" t="s">
        <v>22</v>
      </c>
      <c r="E3482" s="738">
        <f t="shared" si="108"/>
        <v>3336.69</v>
      </c>
      <c r="F3482">
        <f t="shared" si="109"/>
        <v>98304</v>
      </c>
      <c r="H3482" s="1405">
        <v>3275.32</v>
      </c>
      <c r="I3482" s="1405">
        <v>3336.69</v>
      </c>
    </row>
    <row r="3483" spans="2:9">
      <c r="B3483" s="1477">
        <v>98305</v>
      </c>
      <c r="C3483" s="740" t="s">
        <v>5940</v>
      </c>
      <c r="D3483" s="739" t="s">
        <v>22</v>
      </c>
      <c r="E3483" s="741">
        <f t="shared" si="108"/>
        <v>2409.86</v>
      </c>
      <c r="F3483">
        <f t="shared" si="109"/>
        <v>98305</v>
      </c>
      <c r="H3483" s="1406">
        <v>2404.75</v>
      </c>
      <c r="I3483" s="1406">
        <v>2409.86</v>
      </c>
    </row>
    <row r="3484" spans="2:9">
      <c r="B3484" s="677">
        <v>98306</v>
      </c>
      <c r="C3484" s="733" t="s">
        <v>5941</v>
      </c>
      <c r="D3484" s="677" t="s">
        <v>22</v>
      </c>
      <c r="E3484" s="738">
        <f t="shared" si="108"/>
        <v>58.82</v>
      </c>
      <c r="F3484">
        <f t="shared" si="109"/>
        <v>98306</v>
      </c>
      <c r="H3484" s="1405">
        <v>55.43</v>
      </c>
      <c r="I3484" s="1405">
        <v>58.82</v>
      </c>
    </row>
    <row r="3485" spans="2:9">
      <c r="B3485" s="1477">
        <v>98307</v>
      </c>
      <c r="C3485" s="740" t="s">
        <v>2809</v>
      </c>
      <c r="D3485" s="739" t="s">
        <v>22</v>
      </c>
      <c r="E3485" s="741">
        <f t="shared" si="108"/>
        <v>42.69</v>
      </c>
      <c r="F3485">
        <f t="shared" si="109"/>
        <v>98307</v>
      </c>
      <c r="H3485" s="1406">
        <v>41.66</v>
      </c>
      <c r="I3485" s="1406">
        <v>42.69</v>
      </c>
    </row>
    <row r="3486" spans="2:9">
      <c r="B3486" s="677">
        <v>98308</v>
      </c>
      <c r="C3486" s="733" t="s">
        <v>2810</v>
      </c>
      <c r="D3486" s="677" t="s">
        <v>22</v>
      </c>
      <c r="E3486" s="738">
        <f t="shared" si="108"/>
        <v>28.53</v>
      </c>
      <c r="F3486">
        <f t="shared" si="109"/>
        <v>98308</v>
      </c>
      <c r="H3486" s="1405">
        <v>27.5</v>
      </c>
      <c r="I3486" s="1405">
        <v>28.53</v>
      </c>
    </row>
    <row r="3487" spans="2:9">
      <c r="B3487" s="1477">
        <v>98593</v>
      </c>
      <c r="C3487" s="740" t="s">
        <v>2811</v>
      </c>
      <c r="D3487" s="739" t="s">
        <v>22</v>
      </c>
      <c r="E3487" s="741">
        <f t="shared" si="108"/>
        <v>2344.42</v>
      </c>
      <c r="F3487">
        <f t="shared" si="109"/>
        <v>98593</v>
      </c>
      <c r="H3487" s="1406">
        <v>2283.0500000000002</v>
      </c>
      <c r="I3487" s="1406">
        <v>2344.42</v>
      </c>
    </row>
    <row r="3488" spans="2:9">
      <c r="B3488" s="677">
        <v>100553</v>
      </c>
      <c r="C3488" s="733" t="s">
        <v>7089</v>
      </c>
      <c r="D3488" s="677" t="s">
        <v>21</v>
      </c>
      <c r="E3488" s="738">
        <f t="shared" si="108"/>
        <v>23.69</v>
      </c>
      <c r="F3488">
        <f t="shared" si="109"/>
        <v>100553</v>
      </c>
      <c r="H3488" s="1405">
        <v>23.32</v>
      </c>
      <c r="I3488" s="1405">
        <v>23.69</v>
      </c>
    </row>
    <row r="3489" spans="2:9">
      <c r="B3489" s="1477">
        <v>100554</v>
      </c>
      <c r="C3489" s="740" t="s">
        <v>7090</v>
      </c>
      <c r="D3489" s="739" t="s">
        <v>21</v>
      </c>
      <c r="E3489" s="741">
        <f t="shared" si="108"/>
        <v>5.23</v>
      </c>
      <c r="F3489">
        <f t="shared" si="109"/>
        <v>100554</v>
      </c>
      <c r="H3489" s="1406">
        <v>4.88</v>
      </c>
      <c r="I3489" s="1406">
        <v>5.23</v>
      </c>
    </row>
    <row r="3490" spans="2:9">
      <c r="B3490" s="677">
        <v>100555</v>
      </c>
      <c r="C3490" s="733" t="s">
        <v>5942</v>
      </c>
      <c r="D3490" s="677" t="s">
        <v>22</v>
      </c>
      <c r="E3490" s="738">
        <f t="shared" si="108"/>
        <v>1209.69</v>
      </c>
      <c r="F3490">
        <f t="shared" si="109"/>
        <v>100555</v>
      </c>
      <c r="H3490" s="1405">
        <v>1204.58</v>
      </c>
      <c r="I3490" s="1405">
        <v>1209.69</v>
      </c>
    </row>
    <row r="3491" spans="2:9">
      <c r="B3491" s="1477">
        <v>89355</v>
      </c>
      <c r="C3491" s="740" t="s">
        <v>5943</v>
      </c>
      <c r="D3491" s="739" t="s">
        <v>21</v>
      </c>
      <c r="E3491" s="741">
        <f t="shared" si="108"/>
        <v>19.079999999999998</v>
      </c>
      <c r="F3491">
        <f t="shared" si="109"/>
        <v>89355</v>
      </c>
      <c r="H3491" s="1406">
        <v>17.489999999999998</v>
      </c>
      <c r="I3491" s="1406">
        <v>19.079999999999998</v>
      </c>
    </row>
    <row r="3492" spans="2:9">
      <c r="B3492" s="677">
        <v>89356</v>
      </c>
      <c r="C3492" s="733" t="s">
        <v>5944</v>
      </c>
      <c r="D3492" s="677" t="s">
        <v>21</v>
      </c>
      <c r="E3492" s="738">
        <f t="shared" si="108"/>
        <v>22.01</v>
      </c>
      <c r="F3492">
        <f t="shared" si="109"/>
        <v>89356</v>
      </c>
      <c r="H3492" s="1405">
        <v>20.170000000000002</v>
      </c>
      <c r="I3492" s="1405">
        <v>22.01</v>
      </c>
    </row>
    <row r="3493" spans="2:9">
      <c r="B3493" s="1477">
        <v>89357</v>
      </c>
      <c r="C3493" s="740" t="s">
        <v>5945</v>
      </c>
      <c r="D3493" s="739" t="s">
        <v>21</v>
      </c>
      <c r="E3493" s="741">
        <f t="shared" si="108"/>
        <v>30.25</v>
      </c>
      <c r="F3493">
        <f t="shared" si="109"/>
        <v>89357</v>
      </c>
      <c r="H3493" s="1406">
        <v>28.04</v>
      </c>
      <c r="I3493" s="1406">
        <v>30.25</v>
      </c>
    </row>
    <row r="3494" spans="2:9">
      <c r="B3494" s="677">
        <v>89401</v>
      </c>
      <c r="C3494" s="733" t="s">
        <v>5946</v>
      </c>
      <c r="D3494" s="677" t="s">
        <v>21</v>
      </c>
      <c r="E3494" s="738">
        <f t="shared" si="108"/>
        <v>10.09</v>
      </c>
      <c r="F3494">
        <f t="shared" si="109"/>
        <v>89401</v>
      </c>
      <c r="H3494" s="1405">
        <v>9.42</v>
      </c>
      <c r="I3494" s="1405">
        <v>10.09</v>
      </c>
    </row>
    <row r="3495" spans="2:9">
      <c r="B3495" s="1477">
        <v>89402</v>
      </c>
      <c r="C3495" s="740" t="s">
        <v>5947</v>
      </c>
      <c r="D3495" s="739" t="s">
        <v>21</v>
      </c>
      <c r="E3495" s="741">
        <f t="shared" si="108"/>
        <v>11.59</v>
      </c>
      <c r="F3495">
        <f t="shared" si="109"/>
        <v>89402</v>
      </c>
      <c r="H3495" s="1406">
        <v>10.82</v>
      </c>
      <c r="I3495" s="1406">
        <v>11.59</v>
      </c>
    </row>
    <row r="3496" spans="2:9">
      <c r="B3496" s="677">
        <v>89403</v>
      </c>
      <c r="C3496" s="733" t="s">
        <v>5948</v>
      </c>
      <c r="D3496" s="677" t="s">
        <v>21</v>
      </c>
      <c r="E3496" s="738">
        <f t="shared" si="108"/>
        <v>17.829999999999998</v>
      </c>
      <c r="F3496">
        <f t="shared" si="109"/>
        <v>89403</v>
      </c>
      <c r="H3496" s="1405">
        <v>16.91</v>
      </c>
      <c r="I3496" s="1405">
        <v>17.829999999999998</v>
      </c>
    </row>
    <row r="3497" spans="2:9">
      <c r="B3497" s="1477">
        <v>89446</v>
      </c>
      <c r="C3497" s="740" t="s">
        <v>5949</v>
      </c>
      <c r="D3497" s="739" t="s">
        <v>21</v>
      </c>
      <c r="E3497" s="741">
        <f t="shared" si="108"/>
        <v>5.04</v>
      </c>
      <c r="F3497">
        <f t="shared" si="109"/>
        <v>89446</v>
      </c>
      <c r="H3497" s="1406">
        <v>4.95</v>
      </c>
      <c r="I3497" s="1406">
        <v>5.04</v>
      </c>
    </row>
    <row r="3498" spans="2:9">
      <c r="B3498" s="677">
        <v>89447</v>
      </c>
      <c r="C3498" s="733" t="s">
        <v>5950</v>
      </c>
      <c r="D3498" s="677" t="s">
        <v>21</v>
      </c>
      <c r="E3498" s="738">
        <f t="shared" si="108"/>
        <v>10.039999999999999</v>
      </c>
      <c r="F3498">
        <f t="shared" si="109"/>
        <v>89447</v>
      </c>
      <c r="H3498" s="1405">
        <v>9.92</v>
      </c>
      <c r="I3498" s="1405">
        <v>10.039999999999999</v>
      </c>
    </row>
    <row r="3499" spans="2:9">
      <c r="B3499" s="1477">
        <v>89448</v>
      </c>
      <c r="C3499" s="740" t="s">
        <v>5951</v>
      </c>
      <c r="D3499" s="739" t="s">
        <v>21</v>
      </c>
      <c r="E3499" s="741">
        <f t="shared" si="108"/>
        <v>15.34</v>
      </c>
      <c r="F3499">
        <f t="shared" si="109"/>
        <v>89448</v>
      </c>
      <c r="H3499" s="1406">
        <v>15.2</v>
      </c>
      <c r="I3499" s="1406">
        <v>15.34</v>
      </c>
    </row>
    <row r="3500" spans="2:9">
      <c r="B3500" s="677">
        <v>89449</v>
      </c>
      <c r="C3500" s="733" t="s">
        <v>5952</v>
      </c>
      <c r="D3500" s="677" t="s">
        <v>21</v>
      </c>
      <c r="E3500" s="738">
        <f t="shared" si="108"/>
        <v>17</v>
      </c>
      <c r="F3500">
        <f t="shared" si="109"/>
        <v>89449</v>
      </c>
      <c r="H3500" s="1405">
        <v>16.829999999999998</v>
      </c>
      <c r="I3500" s="1405">
        <v>17</v>
      </c>
    </row>
    <row r="3501" spans="2:9">
      <c r="B3501" s="1477">
        <v>89450</v>
      </c>
      <c r="C3501" s="740" t="s">
        <v>5953</v>
      </c>
      <c r="D3501" s="739" t="s">
        <v>21</v>
      </c>
      <c r="E3501" s="741">
        <f t="shared" si="108"/>
        <v>27.21</v>
      </c>
      <c r="F3501">
        <f t="shared" si="109"/>
        <v>89450</v>
      </c>
      <c r="H3501" s="1406">
        <v>27.02</v>
      </c>
      <c r="I3501" s="1406">
        <v>27.21</v>
      </c>
    </row>
    <row r="3502" spans="2:9">
      <c r="B3502" s="677">
        <v>89451</v>
      </c>
      <c r="C3502" s="733" t="s">
        <v>5954</v>
      </c>
      <c r="D3502" s="677" t="s">
        <v>21</v>
      </c>
      <c r="E3502" s="738">
        <f t="shared" si="108"/>
        <v>44.31</v>
      </c>
      <c r="F3502">
        <f t="shared" si="109"/>
        <v>89451</v>
      </c>
      <c r="H3502" s="1405">
        <v>44.06</v>
      </c>
      <c r="I3502" s="1405">
        <v>44.31</v>
      </c>
    </row>
    <row r="3503" spans="2:9">
      <c r="B3503" s="1477">
        <v>89452</v>
      </c>
      <c r="C3503" s="740" t="s">
        <v>5955</v>
      </c>
      <c r="D3503" s="739" t="s">
        <v>21</v>
      </c>
      <c r="E3503" s="741">
        <f t="shared" si="108"/>
        <v>61.01</v>
      </c>
      <c r="F3503">
        <f t="shared" si="109"/>
        <v>89452</v>
      </c>
      <c r="H3503" s="1406">
        <v>60.74</v>
      </c>
      <c r="I3503" s="1406">
        <v>61.01</v>
      </c>
    </row>
    <row r="3504" spans="2:9">
      <c r="B3504" s="677">
        <v>89508</v>
      </c>
      <c r="C3504" s="733" t="s">
        <v>5956</v>
      </c>
      <c r="D3504" s="677" t="s">
        <v>21</v>
      </c>
      <c r="E3504" s="738">
        <f t="shared" si="108"/>
        <v>16.010000000000002</v>
      </c>
      <c r="F3504">
        <f t="shared" si="109"/>
        <v>89508</v>
      </c>
      <c r="H3504" s="1405">
        <v>15.29</v>
      </c>
      <c r="I3504" s="1405">
        <v>16.010000000000002</v>
      </c>
    </row>
    <row r="3505" spans="2:9">
      <c r="B3505" s="1477">
        <v>89509</v>
      </c>
      <c r="C3505" s="740" t="s">
        <v>5957</v>
      </c>
      <c r="D3505" s="739" t="s">
        <v>21</v>
      </c>
      <c r="E3505" s="741">
        <f t="shared" si="108"/>
        <v>21.64</v>
      </c>
      <c r="F3505">
        <f t="shared" si="109"/>
        <v>89509</v>
      </c>
      <c r="H3505" s="1406">
        <v>20.72</v>
      </c>
      <c r="I3505" s="1406">
        <v>21.64</v>
      </c>
    </row>
    <row r="3506" spans="2:9">
      <c r="B3506" s="677">
        <v>89511</v>
      </c>
      <c r="C3506" s="733" t="s">
        <v>5958</v>
      </c>
      <c r="D3506" s="677" t="s">
        <v>21</v>
      </c>
      <c r="E3506" s="738">
        <f t="shared" si="108"/>
        <v>36.950000000000003</v>
      </c>
      <c r="F3506">
        <f t="shared" si="109"/>
        <v>89511</v>
      </c>
      <c r="H3506" s="1405">
        <v>35.53</v>
      </c>
      <c r="I3506" s="1405">
        <v>36.950000000000003</v>
      </c>
    </row>
    <row r="3507" spans="2:9">
      <c r="B3507" s="1477">
        <v>89512</v>
      </c>
      <c r="C3507" s="740" t="s">
        <v>5959</v>
      </c>
      <c r="D3507" s="739" t="s">
        <v>21</v>
      </c>
      <c r="E3507" s="741">
        <f t="shared" si="108"/>
        <v>46.82</v>
      </c>
      <c r="F3507">
        <f t="shared" si="109"/>
        <v>89512</v>
      </c>
      <c r="H3507" s="1406">
        <v>44.86</v>
      </c>
      <c r="I3507" s="1406">
        <v>46.82</v>
      </c>
    </row>
    <row r="3508" spans="2:9" ht="30">
      <c r="B3508" s="677">
        <v>89576</v>
      </c>
      <c r="C3508" s="733" t="s">
        <v>5960</v>
      </c>
      <c r="D3508" s="677" t="s">
        <v>21</v>
      </c>
      <c r="E3508" s="738">
        <f t="shared" si="108"/>
        <v>25.57</v>
      </c>
      <c r="F3508">
        <f t="shared" si="109"/>
        <v>89576</v>
      </c>
      <c r="H3508" s="1405">
        <v>25.33</v>
      </c>
      <c r="I3508" s="1405">
        <v>25.57</v>
      </c>
    </row>
    <row r="3509" spans="2:9" ht="30">
      <c r="B3509" s="1477">
        <v>89578</v>
      </c>
      <c r="C3509" s="740" t="s">
        <v>5961</v>
      </c>
      <c r="D3509" s="739" t="s">
        <v>21</v>
      </c>
      <c r="E3509" s="741">
        <f t="shared" si="108"/>
        <v>31.69</v>
      </c>
      <c r="F3509">
        <f t="shared" si="109"/>
        <v>89578</v>
      </c>
      <c r="H3509" s="1406">
        <v>31.32</v>
      </c>
      <c r="I3509" s="1406">
        <v>31.69</v>
      </c>
    </row>
    <row r="3510" spans="2:9" ht="30">
      <c r="B3510" s="677">
        <v>89580</v>
      </c>
      <c r="C3510" s="733" t="s">
        <v>5962</v>
      </c>
      <c r="D3510" s="677" t="s">
        <v>21</v>
      </c>
      <c r="E3510" s="738">
        <f t="shared" si="108"/>
        <v>65.59</v>
      </c>
      <c r="F3510">
        <f t="shared" si="109"/>
        <v>89580</v>
      </c>
      <c r="H3510" s="1405">
        <v>64.95</v>
      </c>
      <c r="I3510" s="1405">
        <v>65.59</v>
      </c>
    </row>
    <row r="3511" spans="2:9">
      <c r="B3511" s="1477">
        <v>89633</v>
      </c>
      <c r="C3511" s="740" t="s">
        <v>5963</v>
      </c>
      <c r="D3511" s="739" t="s">
        <v>21</v>
      </c>
      <c r="E3511" s="741">
        <f t="shared" si="108"/>
        <v>24.65</v>
      </c>
      <c r="F3511">
        <f t="shared" si="109"/>
        <v>89633</v>
      </c>
      <c r="H3511" s="1406">
        <v>23.31</v>
      </c>
      <c r="I3511" s="1406">
        <v>24.65</v>
      </c>
    </row>
    <row r="3512" spans="2:9">
      <c r="B3512" s="677">
        <v>89634</v>
      </c>
      <c r="C3512" s="733" t="s">
        <v>5964</v>
      </c>
      <c r="D3512" s="677" t="s">
        <v>21</v>
      </c>
      <c r="E3512" s="738">
        <f t="shared" si="108"/>
        <v>35.119999999999997</v>
      </c>
      <c r="F3512">
        <f t="shared" si="109"/>
        <v>89634</v>
      </c>
      <c r="H3512" s="1405">
        <v>33.43</v>
      </c>
      <c r="I3512" s="1405">
        <v>35.119999999999997</v>
      </c>
    </row>
    <row r="3513" spans="2:9">
      <c r="B3513" s="1477">
        <v>89635</v>
      </c>
      <c r="C3513" s="740" t="s">
        <v>5965</v>
      </c>
      <c r="D3513" s="739" t="s">
        <v>21</v>
      </c>
      <c r="E3513" s="741">
        <f t="shared" si="108"/>
        <v>51.72</v>
      </c>
      <c r="F3513">
        <f t="shared" si="109"/>
        <v>89635</v>
      </c>
      <c r="H3513" s="1406">
        <v>49.71</v>
      </c>
      <c r="I3513" s="1406">
        <v>51.72</v>
      </c>
    </row>
    <row r="3514" spans="2:9">
      <c r="B3514" s="677">
        <v>89636</v>
      </c>
      <c r="C3514" s="733" t="s">
        <v>5966</v>
      </c>
      <c r="D3514" s="677" t="s">
        <v>21</v>
      </c>
      <c r="E3514" s="738">
        <f t="shared" si="108"/>
        <v>65.099999999999994</v>
      </c>
      <c r="F3514">
        <f t="shared" si="109"/>
        <v>89636</v>
      </c>
      <c r="H3514" s="1405">
        <v>62.73</v>
      </c>
      <c r="I3514" s="1405">
        <v>65.099999999999994</v>
      </c>
    </row>
    <row r="3515" spans="2:9" ht="30">
      <c r="B3515" s="1477">
        <v>89711</v>
      </c>
      <c r="C3515" s="740" t="s">
        <v>6491</v>
      </c>
      <c r="D3515" s="739" t="s">
        <v>21</v>
      </c>
      <c r="E3515" s="741">
        <f t="shared" si="108"/>
        <v>20.27</v>
      </c>
      <c r="F3515">
        <f t="shared" si="109"/>
        <v>89711</v>
      </c>
      <c r="H3515" s="1406">
        <v>18.850000000000001</v>
      </c>
      <c r="I3515" s="1406">
        <v>20.27</v>
      </c>
    </row>
    <row r="3516" spans="2:9" ht="30">
      <c r="B3516" s="677">
        <v>89712</v>
      </c>
      <c r="C3516" s="733" t="s">
        <v>6492</v>
      </c>
      <c r="D3516" s="677" t="s">
        <v>21</v>
      </c>
      <c r="E3516" s="738">
        <f t="shared" si="108"/>
        <v>25.79</v>
      </c>
      <c r="F3516">
        <f t="shared" si="109"/>
        <v>89712</v>
      </c>
      <c r="H3516" s="1405">
        <v>24.23</v>
      </c>
      <c r="I3516" s="1405">
        <v>25.79</v>
      </c>
    </row>
    <row r="3517" spans="2:9" ht="30">
      <c r="B3517" s="1477">
        <v>89713</v>
      </c>
      <c r="C3517" s="740" t="s">
        <v>6493</v>
      </c>
      <c r="D3517" s="739" t="s">
        <v>21</v>
      </c>
      <c r="E3517" s="741">
        <f t="shared" si="108"/>
        <v>32.14</v>
      </c>
      <c r="F3517">
        <f t="shared" si="109"/>
        <v>89713</v>
      </c>
      <c r="H3517" s="1406">
        <v>30.28</v>
      </c>
      <c r="I3517" s="1406">
        <v>32.14</v>
      </c>
    </row>
    <row r="3518" spans="2:9" ht="30">
      <c r="B3518" s="677">
        <v>89714</v>
      </c>
      <c r="C3518" s="733" t="s">
        <v>6494</v>
      </c>
      <c r="D3518" s="677" t="s">
        <v>21</v>
      </c>
      <c r="E3518" s="738">
        <f t="shared" si="108"/>
        <v>35.9</v>
      </c>
      <c r="F3518">
        <f t="shared" si="109"/>
        <v>89714</v>
      </c>
      <c r="H3518" s="1405">
        <v>33.74</v>
      </c>
      <c r="I3518" s="1405">
        <v>35.9</v>
      </c>
    </row>
    <row r="3519" spans="2:9">
      <c r="B3519" s="1477">
        <v>89716</v>
      </c>
      <c r="C3519" s="740" t="s">
        <v>5967</v>
      </c>
      <c r="D3519" s="739" t="s">
        <v>21</v>
      </c>
      <c r="E3519" s="741">
        <f t="shared" si="108"/>
        <v>25.68</v>
      </c>
      <c r="F3519">
        <f t="shared" si="109"/>
        <v>89716</v>
      </c>
      <c r="H3519" s="1406">
        <v>24.97</v>
      </c>
      <c r="I3519" s="1406">
        <v>25.68</v>
      </c>
    </row>
    <row r="3520" spans="2:9">
      <c r="B3520" s="677">
        <v>89717</v>
      </c>
      <c r="C3520" s="733" t="s">
        <v>5968</v>
      </c>
      <c r="D3520" s="677" t="s">
        <v>21</v>
      </c>
      <c r="E3520" s="738">
        <f t="shared" si="108"/>
        <v>40.58</v>
      </c>
      <c r="F3520">
        <f t="shared" si="109"/>
        <v>89717</v>
      </c>
      <c r="H3520" s="1405">
        <v>39.75</v>
      </c>
      <c r="I3520" s="1405">
        <v>40.58</v>
      </c>
    </row>
    <row r="3521" spans="2:9">
      <c r="B3521" s="1477">
        <v>89770</v>
      </c>
      <c r="C3521" s="740" t="s">
        <v>5969</v>
      </c>
      <c r="D3521" s="739" t="s">
        <v>21</v>
      </c>
      <c r="E3521" s="741">
        <f t="shared" si="108"/>
        <v>43.74</v>
      </c>
      <c r="F3521">
        <f t="shared" si="109"/>
        <v>89770</v>
      </c>
      <c r="H3521" s="1406">
        <v>43.62</v>
      </c>
      <c r="I3521" s="1406">
        <v>43.74</v>
      </c>
    </row>
    <row r="3522" spans="2:9">
      <c r="B3522" s="677">
        <v>89771</v>
      </c>
      <c r="C3522" s="733" t="s">
        <v>5970</v>
      </c>
      <c r="D3522" s="677" t="s">
        <v>21</v>
      </c>
      <c r="E3522" s="738">
        <f t="shared" si="108"/>
        <v>58.39</v>
      </c>
      <c r="F3522">
        <f t="shared" si="109"/>
        <v>89771</v>
      </c>
      <c r="H3522" s="1405">
        <v>58.25</v>
      </c>
      <c r="I3522" s="1405">
        <v>58.39</v>
      </c>
    </row>
    <row r="3523" spans="2:9">
      <c r="B3523" s="1477">
        <v>89773</v>
      </c>
      <c r="C3523" s="740" t="s">
        <v>5971</v>
      </c>
      <c r="D3523" s="739" t="s">
        <v>21</v>
      </c>
      <c r="E3523" s="741">
        <f t="shared" ref="E3523:E3586" si="110">IF($K$2=$H$1,H3523,I3523)</f>
        <v>137.22999999999999</v>
      </c>
      <c r="F3523">
        <f t="shared" ref="F3523:F3586" si="111">IF(LEN($B3523)=7,CONCATENATE(MID($B3523,1,6),"00",RIGHT($B3523,1)),IF(LEN($B3523)=8,CONCATENATE(MID($B3523,1,6),"0",RIGHT($B3523,2)),$B3523))</f>
        <v>89773</v>
      </c>
      <c r="H3523" s="1406">
        <v>136.99</v>
      </c>
      <c r="I3523" s="1406">
        <v>137.22999999999999</v>
      </c>
    </row>
    <row r="3524" spans="2:9">
      <c r="B3524" s="677">
        <v>89775</v>
      </c>
      <c r="C3524" s="733" t="s">
        <v>5972</v>
      </c>
      <c r="D3524" s="677" t="s">
        <v>21</v>
      </c>
      <c r="E3524" s="738">
        <f t="shared" si="110"/>
        <v>214.56</v>
      </c>
      <c r="F3524">
        <f t="shared" si="111"/>
        <v>89775</v>
      </c>
      <c r="H3524" s="1405">
        <v>214.28</v>
      </c>
      <c r="I3524" s="1405">
        <v>214.56</v>
      </c>
    </row>
    <row r="3525" spans="2:9" ht="30">
      <c r="B3525" s="1477">
        <v>89798</v>
      </c>
      <c r="C3525" s="740" t="s">
        <v>6495</v>
      </c>
      <c r="D3525" s="739" t="s">
        <v>21</v>
      </c>
      <c r="E3525" s="741">
        <f t="shared" si="110"/>
        <v>12.94</v>
      </c>
      <c r="F3525">
        <f t="shared" si="111"/>
        <v>89798</v>
      </c>
      <c r="H3525" s="1406">
        <v>12.73</v>
      </c>
      <c r="I3525" s="1406">
        <v>12.94</v>
      </c>
    </row>
    <row r="3526" spans="2:9" ht="30">
      <c r="B3526" s="677">
        <v>89799</v>
      </c>
      <c r="C3526" s="733" t="s">
        <v>6496</v>
      </c>
      <c r="D3526" s="677" t="s">
        <v>21</v>
      </c>
      <c r="E3526" s="738">
        <f t="shared" si="110"/>
        <v>21.47</v>
      </c>
      <c r="F3526">
        <f t="shared" si="111"/>
        <v>89799</v>
      </c>
      <c r="H3526" s="1405">
        <v>20.73</v>
      </c>
      <c r="I3526" s="1405">
        <v>21.47</v>
      </c>
    </row>
    <row r="3527" spans="2:9" ht="30">
      <c r="B3527" s="1477">
        <v>89800</v>
      </c>
      <c r="C3527" s="740" t="s">
        <v>6497</v>
      </c>
      <c r="D3527" s="739" t="s">
        <v>21</v>
      </c>
      <c r="E3527" s="741">
        <f t="shared" si="110"/>
        <v>27.45</v>
      </c>
      <c r="F3527">
        <f t="shared" si="111"/>
        <v>89800</v>
      </c>
      <c r="H3527" s="1406">
        <v>26.17</v>
      </c>
      <c r="I3527" s="1406">
        <v>27.45</v>
      </c>
    </row>
    <row r="3528" spans="2:9" ht="30">
      <c r="B3528" s="677">
        <v>89848</v>
      </c>
      <c r="C3528" s="733" t="s">
        <v>6498</v>
      </c>
      <c r="D3528" s="677" t="s">
        <v>21</v>
      </c>
      <c r="E3528" s="738">
        <f t="shared" si="110"/>
        <v>26.36</v>
      </c>
      <c r="F3528">
        <f t="shared" si="111"/>
        <v>89848</v>
      </c>
      <c r="H3528" s="1405">
        <v>25.19</v>
      </c>
      <c r="I3528" s="1405">
        <v>26.36</v>
      </c>
    </row>
    <row r="3529" spans="2:9" ht="30">
      <c r="B3529" s="1477">
        <v>89849</v>
      </c>
      <c r="C3529" s="740" t="s">
        <v>6499</v>
      </c>
      <c r="D3529" s="739" t="s">
        <v>21</v>
      </c>
      <c r="E3529" s="741">
        <f t="shared" si="110"/>
        <v>54.23</v>
      </c>
      <c r="F3529">
        <f t="shared" si="111"/>
        <v>89849</v>
      </c>
      <c r="H3529" s="1406">
        <v>52.71</v>
      </c>
      <c r="I3529" s="1406">
        <v>54.23</v>
      </c>
    </row>
    <row r="3530" spans="2:9">
      <c r="B3530" s="677">
        <v>89865</v>
      </c>
      <c r="C3530" s="733" t="s">
        <v>6500</v>
      </c>
      <c r="D3530" s="677" t="s">
        <v>21</v>
      </c>
      <c r="E3530" s="738">
        <f t="shared" si="110"/>
        <v>16.04</v>
      </c>
      <c r="F3530">
        <f t="shared" si="111"/>
        <v>89865</v>
      </c>
      <c r="H3530" s="1405">
        <v>14.79</v>
      </c>
      <c r="I3530" s="1405">
        <v>16.04</v>
      </c>
    </row>
    <row r="3531" spans="2:9" ht="30">
      <c r="B3531" s="1477">
        <v>92275</v>
      </c>
      <c r="C3531" s="740" t="s">
        <v>5576</v>
      </c>
      <c r="D3531" s="739" t="s">
        <v>21</v>
      </c>
      <c r="E3531" s="741">
        <f t="shared" si="110"/>
        <v>53</v>
      </c>
      <c r="F3531">
        <f t="shared" si="111"/>
        <v>92275</v>
      </c>
      <c r="H3531" s="1406">
        <v>52.79</v>
      </c>
      <c r="I3531" s="1406">
        <v>53</v>
      </c>
    </row>
    <row r="3532" spans="2:9" ht="30">
      <c r="B3532" s="677">
        <v>92276</v>
      </c>
      <c r="C3532" s="733" t="s">
        <v>5577</v>
      </c>
      <c r="D3532" s="677" t="s">
        <v>21</v>
      </c>
      <c r="E3532" s="738">
        <f t="shared" si="110"/>
        <v>67.31</v>
      </c>
      <c r="F3532">
        <f t="shared" si="111"/>
        <v>92276</v>
      </c>
      <c r="H3532" s="1405">
        <v>67.040000000000006</v>
      </c>
      <c r="I3532" s="1405">
        <v>67.31</v>
      </c>
    </row>
    <row r="3533" spans="2:9" ht="30">
      <c r="B3533" s="1477">
        <v>92277</v>
      </c>
      <c r="C3533" s="740" t="s">
        <v>5578</v>
      </c>
      <c r="D3533" s="739" t="s">
        <v>21</v>
      </c>
      <c r="E3533" s="741">
        <f t="shared" si="110"/>
        <v>97.25</v>
      </c>
      <c r="F3533">
        <f t="shared" si="111"/>
        <v>92277</v>
      </c>
      <c r="H3533" s="1406">
        <v>96.91</v>
      </c>
      <c r="I3533" s="1406">
        <v>97.25</v>
      </c>
    </row>
    <row r="3534" spans="2:9" ht="30">
      <c r="B3534" s="677">
        <v>92278</v>
      </c>
      <c r="C3534" s="733" t="s">
        <v>5579</v>
      </c>
      <c r="D3534" s="677" t="s">
        <v>21</v>
      </c>
      <c r="E3534" s="738">
        <f t="shared" si="110"/>
        <v>130.86000000000001</v>
      </c>
      <c r="F3534">
        <f t="shared" si="111"/>
        <v>92278</v>
      </c>
      <c r="H3534" s="1405">
        <v>130.44</v>
      </c>
      <c r="I3534" s="1405">
        <v>130.86000000000001</v>
      </c>
    </row>
    <row r="3535" spans="2:9" ht="30">
      <c r="B3535" s="1477">
        <v>92279</v>
      </c>
      <c r="C3535" s="740" t="s">
        <v>5580</v>
      </c>
      <c r="D3535" s="739" t="s">
        <v>21</v>
      </c>
      <c r="E3535" s="741">
        <f t="shared" si="110"/>
        <v>189.15</v>
      </c>
      <c r="F3535">
        <f t="shared" si="111"/>
        <v>92279</v>
      </c>
      <c r="H3535" s="1406">
        <v>188.61</v>
      </c>
      <c r="I3535" s="1406">
        <v>189.15</v>
      </c>
    </row>
    <row r="3536" spans="2:9" ht="30">
      <c r="B3536" s="677">
        <v>92280</v>
      </c>
      <c r="C3536" s="733" t="s">
        <v>5581</v>
      </c>
      <c r="D3536" s="677" t="s">
        <v>21</v>
      </c>
      <c r="E3536" s="738">
        <f t="shared" si="110"/>
        <v>265.56</v>
      </c>
      <c r="F3536">
        <f t="shared" si="111"/>
        <v>92280</v>
      </c>
      <c r="H3536" s="1405">
        <v>264.89</v>
      </c>
      <c r="I3536" s="1405">
        <v>265.56</v>
      </c>
    </row>
    <row r="3537" spans="2:9" ht="30">
      <c r="B3537" s="1477">
        <v>92281</v>
      </c>
      <c r="C3537" s="740" t="s">
        <v>5582</v>
      </c>
      <c r="D3537" s="739" t="s">
        <v>21</v>
      </c>
      <c r="E3537" s="741">
        <f t="shared" si="110"/>
        <v>119.75</v>
      </c>
      <c r="F3537">
        <f t="shared" si="111"/>
        <v>92281</v>
      </c>
      <c r="H3537" s="1406">
        <v>119.43</v>
      </c>
      <c r="I3537" s="1406">
        <v>119.75</v>
      </c>
    </row>
    <row r="3538" spans="2:9" ht="30">
      <c r="B3538" s="677">
        <v>92282</v>
      </c>
      <c r="C3538" s="733" t="s">
        <v>5583</v>
      </c>
      <c r="D3538" s="677" t="s">
        <v>21</v>
      </c>
      <c r="E3538" s="738">
        <f t="shared" si="110"/>
        <v>136.77000000000001</v>
      </c>
      <c r="F3538">
        <f t="shared" si="111"/>
        <v>92282</v>
      </c>
      <c r="H3538" s="1405">
        <v>136.4</v>
      </c>
      <c r="I3538" s="1405">
        <v>136.77000000000001</v>
      </c>
    </row>
    <row r="3539" spans="2:9" ht="30">
      <c r="B3539" s="1477">
        <v>92283</v>
      </c>
      <c r="C3539" s="740" t="s">
        <v>5584</v>
      </c>
      <c r="D3539" s="739" t="s">
        <v>21</v>
      </c>
      <c r="E3539" s="741">
        <f t="shared" si="110"/>
        <v>185.02</v>
      </c>
      <c r="F3539">
        <f t="shared" si="111"/>
        <v>92283</v>
      </c>
      <c r="H3539" s="1406">
        <v>184.58</v>
      </c>
      <c r="I3539" s="1406">
        <v>185.02</v>
      </c>
    </row>
    <row r="3540" spans="2:9" ht="30">
      <c r="B3540" s="677">
        <v>92284</v>
      </c>
      <c r="C3540" s="733" t="s">
        <v>5585</v>
      </c>
      <c r="D3540" s="677" t="s">
        <v>21</v>
      </c>
      <c r="E3540" s="738">
        <f t="shared" si="110"/>
        <v>230.9</v>
      </c>
      <c r="F3540">
        <f t="shared" si="111"/>
        <v>92284</v>
      </c>
      <c r="H3540" s="1405">
        <v>230.38</v>
      </c>
      <c r="I3540" s="1405">
        <v>230.9</v>
      </c>
    </row>
    <row r="3541" spans="2:9" ht="30">
      <c r="B3541" s="1477">
        <v>92285</v>
      </c>
      <c r="C3541" s="740" t="s">
        <v>5586</v>
      </c>
      <c r="D3541" s="739" t="s">
        <v>21</v>
      </c>
      <c r="E3541" s="741">
        <f t="shared" si="110"/>
        <v>308.67</v>
      </c>
      <c r="F3541">
        <f t="shared" si="111"/>
        <v>92285</v>
      </c>
      <c r="H3541" s="1406">
        <v>308.02999999999997</v>
      </c>
      <c r="I3541" s="1406">
        <v>308.67</v>
      </c>
    </row>
    <row r="3542" spans="2:9" ht="30">
      <c r="B3542" s="677">
        <v>92286</v>
      </c>
      <c r="C3542" s="733" t="s">
        <v>5587</v>
      </c>
      <c r="D3542" s="677" t="s">
        <v>21</v>
      </c>
      <c r="E3542" s="738">
        <f t="shared" si="110"/>
        <v>386.75</v>
      </c>
      <c r="F3542">
        <f t="shared" si="111"/>
        <v>92286</v>
      </c>
      <c r="H3542" s="1405">
        <v>385.98</v>
      </c>
      <c r="I3542" s="1405">
        <v>386.75</v>
      </c>
    </row>
    <row r="3543" spans="2:9" ht="30">
      <c r="B3543" s="1477">
        <v>92305</v>
      </c>
      <c r="C3543" s="740" t="s">
        <v>5588</v>
      </c>
      <c r="D3543" s="739" t="s">
        <v>21</v>
      </c>
      <c r="E3543" s="741">
        <f t="shared" si="110"/>
        <v>35.94</v>
      </c>
      <c r="F3543">
        <f t="shared" si="111"/>
        <v>92305</v>
      </c>
      <c r="H3543" s="1406">
        <v>35.270000000000003</v>
      </c>
      <c r="I3543" s="1406">
        <v>35.94</v>
      </c>
    </row>
    <row r="3544" spans="2:9" ht="30">
      <c r="B3544" s="677">
        <v>92306</v>
      </c>
      <c r="C3544" s="733" t="s">
        <v>5589</v>
      </c>
      <c r="D3544" s="677" t="s">
        <v>21</v>
      </c>
      <c r="E3544" s="738">
        <f t="shared" si="110"/>
        <v>58.24</v>
      </c>
      <c r="F3544">
        <f t="shared" si="111"/>
        <v>92306</v>
      </c>
      <c r="H3544" s="1405">
        <v>57.48</v>
      </c>
      <c r="I3544" s="1405">
        <v>58.24</v>
      </c>
    </row>
    <row r="3545" spans="2:9" ht="30">
      <c r="B3545" s="1477">
        <v>92307</v>
      </c>
      <c r="C3545" s="740" t="s">
        <v>5590</v>
      </c>
      <c r="D3545" s="739" t="s">
        <v>21</v>
      </c>
      <c r="E3545" s="741">
        <f t="shared" si="110"/>
        <v>72.8</v>
      </c>
      <c r="F3545">
        <f t="shared" si="111"/>
        <v>92307</v>
      </c>
      <c r="H3545" s="1406">
        <v>71.95</v>
      </c>
      <c r="I3545" s="1406">
        <v>72.8</v>
      </c>
    </row>
    <row r="3546" spans="2:9" ht="30">
      <c r="B3546" s="677">
        <v>92308</v>
      </c>
      <c r="C3546" s="733" t="s">
        <v>5591</v>
      </c>
      <c r="D3546" s="677" t="s">
        <v>21</v>
      </c>
      <c r="E3546" s="738">
        <f t="shared" si="110"/>
        <v>52.83</v>
      </c>
      <c r="F3546">
        <f t="shared" si="111"/>
        <v>92308</v>
      </c>
      <c r="H3546" s="1405">
        <v>51.79</v>
      </c>
      <c r="I3546" s="1405">
        <v>52.83</v>
      </c>
    </row>
    <row r="3547" spans="2:9" ht="30">
      <c r="B3547" s="1477">
        <v>92309</v>
      </c>
      <c r="C3547" s="740" t="s">
        <v>5592</v>
      </c>
      <c r="D3547" s="739" t="s">
        <v>21</v>
      </c>
      <c r="E3547" s="741">
        <f t="shared" si="110"/>
        <v>127.6</v>
      </c>
      <c r="F3547">
        <f t="shared" si="111"/>
        <v>92309</v>
      </c>
      <c r="H3547" s="1406">
        <v>126.46</v>
      </c>
      <c r="I3547" s="1406">
        <v>127.6</v>
      </c>
    </row>
    <row r="3548" spans="2:9" ht="30">
      <c r="B3548" s="677">
        <v>92310</v>
      </c>
      <c r="C3548" s="733" t="s">
        <v>5593</v>
      </c>
      <c r="D3548" s="677" t="s">
        <v>21</v>
      </c>
      <c r="E3548" s="738">
        <f t="shared" si="110"/>
        <v>144.87</v>
      </c>
      <c r="F3548">
        <f t="shared" si="111"/>
        <v>92310</v>
      </c>
      <c r="H3548" s="1405">
        <v>143.63999999999999</v>
      </c>
      <c r="I3548" s="1405">
        <v>144.87</v>
      </c>
    </row>
    <row r="3549" spans="2:9" ht="30">
      <c r="B3549" s="1477">
        <v>92320</v>
      </c>
      <c r="C3549" s="740" t="s">
        <v>5594</v>
      </c>
      <c r="D3549" s="739" t="s">
        <v>21</v>
      </c>
      <c r="E3549" s="741">
        <f t="shared" si="110"/>
        <v>46.71</v>
      </c>
      <c r="F3549">
        <f t="shared" si="111"/>
        <v>92320</v>
      </c>
      <c r="H3549" s="1406">
        <v>44.91</v>
      </c>
      <c r="I3549" s="1406">
        <v>46.71</v>
      </c>
    </row>
    <row r="3550" spans="2:9" ht="30">
      <c r="B3550" s="677">
        <v>92321</v>
      </c>
      <c r="C3550" s="733" t="s">
        <v>5595</v>
      </c>
      <c r="D3550" s="677" t="s">
        <v>21</v>
      </c>
      <c r="E3550" s="738">
        <f t="shared" si="110"/>
        <v>76.790000000000006</v>
      </c>
      <c r="F3550">
        <f t="shared" si="111"/>
        <v>92321</v>
      </c>
      <c r="H3550" s="1405">
        <v>74.08</v>
      </c>
      <c r="I3550" s="1405">
        <v>76.790000000000006</v>
      </c>
    </row>
    <row r="3551" spans="2:9" ht="30">
      <c r="B3551" s="1477">
        <v>92322</v>
      </c>
      <c r="C3551" s="740" t="s">
        <v>5596</v>
      </c>
      <c r="D3551" s="739" t="s">
        <v>21</v>
      </c>
      <c r="E3551" s="741">
        <f t="shared" si="110"/>
        <v>98.01</v>
      </c>
      <c r="F3551">
        <f t="shared" si="111"/>
        <v>92322</v>
      </c>
      <c r="H3551" s="1406">
        <v>94.51</v>
      </c>
      <c r="I3551" s="1406">
        <v>98.01</v>
      </c>
    </row>
    <row r="3552" spans="2:9" ht="30">
      <c r="B3552" s="677">
        <v>92323</v>
      </c>
      <c r="C3552" s="733" t="s">
        <v>5597</v>
      </c>
      <c r="D3552" s="677" t="s">
        <v>21</v>
      </c>
      <c r="E3552" s="738">
        <f t="shared" si="110"/>
        <v>61.01</v>
      </c>
      <c r="F3552">
        <f t="shared" si="111"/>
        <v>92323</v>
      </c>
      <c r="H3552" s="1405">
        <v>59.11</v>
      </c>
      <c r="I3552" s="1405">
        <v>61.01</v>
      </c>
    </row>
    <row r="3553" spans="2:9" ht="30">
      <c r="B3553" s="1477">
        <v>92324</v>
      </c>
      <c r="C3553" s="740" t="s">
        <v>5598</v>
      </c>
      <c r="D3553" s="739" t="s">
        <v>21</v>
      </c>
      <c r="E3553" s="741">
        <f t="shared" si="110"/>
        <v>143.56</v>
      </c>
      <c r="F3553">
        <f t="shared" si="111"/>
        <v>92324</v>
      </c>
      <c r="H3553" s="1406">
        <v>140.75</v>
      </c>
      <c r="I3553" s="1406">
        <v>143.56</v>
      </c>
    </row>
    <row r="3554" spans="2:9" ht="30">
      <c r="B3554" s="677">
        <v>92325</v>
      </c>
      <c r="C3554" s="733" t="s">
        <v>5599</v>
      </c>
      <c r="D3554" s="677" t="s">
        <v>21</v>
      </c>
      <c r="E3554" s="738">
        <f t="shared" si="110"/>
        <v>167.51</v>
      </c>
      <c r="F3554">
        <f t="shared" si="111"/>
        <v>92325</v>
      </c>
      <c r="H3554" s="1405">
        <v>163.9</v>
      </c>
      <c r="I3554" s="1405">
        <v>167.51</v>
      </c>
    </row>
    <row r="3555" spans="2:9" ht="30">
      <c r="B3555" s="1477">
        <v>92335</v>
      </c>
      <c r="C3555" s="740" t="s">
        <v>3997</v>
      </c>
      <c r="D3555" s="739" t="s">
        <v>21</v>
      </c>
      <c r="E3555" s="741">
        <f t="shared" si="110"/>
        <v>88.02</v>
      </c>
      <c r="F3555">
        <f t="shared" si="111"/>
        <v>92335</v>
      </c>
      <c r="H3555" s="1406">
        <v>86.72</v>
      </c>
      <c r="I3555" s="1406">
        <v>88.02</v>
      </c>
    </row>
    <row r="3556" spans="2:9" ht="30">
      <c r="B3556" s="677">
        <v>92336</v>
      </c>
      <c r="C3556" s="733" t="s">
        <v>3998</v>
      </c>
      <c r="D3556" s="677" t="s">
        <v>21</v>
      </c>
      <c r="E3556" s="738">
        <f t="shared" si="110"/>
        <v>108.15</v>
      </c>
      <c r="F3556">
        <f t="shared" si="111"/>
        <v>92336</v>
      </c>
      <c r="H3556" s="1405">
        <v>106.65</v>
      </c>
      <c r="I3556" s="1405">
        <v>108.15</v>
      </c>
    </row>
    <row r="3557" spans="2:9" ht="30">
      <c r="B3557" s="1477">
        <v>92337</v>
      </c>
      <c r="C3557" s="740" t="s">
        <v>3999</v>
      </c>
      <c r="D3557" s="739" t="s">
        <v>21</v>
      </c>
      <c r="E3557" s="741">
        <f t="shared" si="110"/>
        <v>142.49</v>
      </c>
      <c r="F3557">
        <f t="shared" si="111"/>
        <v>92337</v>
      </c>
      <c r="H3557" s="1406">
        <v>140.80000000000001</v>
      </c>
      <c r="I3557" s="1406">
        <v>142.49</v>
      </c>
    </row>
    <row r="3558" spans="2:9" ht="30">
      <c r="B3558" s="677">
        <v>92338</v>
      </c>
      <c r="C3558" s="733" t="s">
        <v>4000</v>
      </c>
      <c r="D3558" s="677" t="s">
        <v>21</v>
      </c>
      <c r="E3558" s="738">
        <f t="shared" si="110"/>
        <v>156.31</v>
      </c>
      <c r="F3558">
        <f t="shared" si="111"/>
        <v>92338</v>
      </c>
      <c r="H3558" s="1405">
        <v>153.47</v>
      </c>
      <c r="I3558" s="1405">
        <v>156.31</v>
      </c>
    </row>
    <row r="3559" spans="2:9" ht="30">
      <c r="B3559" s="1477">
        <v>92339</v>
      </c>
      <c r="C3559" s="740" t="s">
        <v>4001</v>
      </c>
      <c r="D3559" s="739" t="s">
        <v>21</v>
      </c>
      <c r="E3559" s="741">
        <f t="shared" si="110"/>
        <v>239.19</v>
      </c>
      <c r="F3559">
        <f t="shared" si="111"/>
        <v>92339</v>
      </c>
      <c r="H3559" s="1406">
        <v>236.04</v>
      </c>
      <c r="I3559" s="1406">
        <v>239.19</v>
      </c>
    </row>
    <row r="3560" spans="2:9" ht="30">
      <c r="B3560" s="677">
        <v>92341</v>
      </c>
      <c r="C3560" s="733" t="s">
        <v>4002</v>
      </c>
      <c r="D3560" s="677" t="s">
        <v>21</v>
      </c>
      <c r="E3560" s="738">
        <f t="shared" si="110"/>
        <v>97.9</v>
      </c>
      <c r="F3560">
        <f t="shared" si="111"/>
        <v>92341</v>
      </c>
      <c r="H3560" s="1405">
        <v>95.57</v>
      </c>
      <c r="I3560" s="1405">
        <v>97.9</v>
      </c>
    </row>
    <row r="3561" spans="2:9" ht="30">
      <c r="B3561" s="1477">
        <v>92342</v>
      </c>
      <c r="C3561" s="740" t="s">
        <v>4003</v>
      </c>
      <c r="D3561" s="739" t="s">
        <v>21</v>
      </c>
      <c r="E3561" s="741">
        <f t="shared" si="110"/>
        <v>118.09</v>
      </c>
      <c r="F3561">
        <f t="shared" si="111"/>
        <v>92342</v>
      </c>
      <c r="H3561" s="1406">
        <v>115.56</v>
      </c>
      <c r="I3561" s="1406">
        <v>118.09</v>
      </c>
    </row>
    <row r="3562" spans="2:9" ht="30">
      <c r="B3562" s="677">
        <v>92343</v>
      </c>
      <c r="C3562" s="733" t="s">
        <v>4004</v>
      </c>
      <c r="D3562" s="677" t="s">
        <v>21</v>
      </c>
      <c r="E3562" s="738">
        <f t="shared" si="110"/>
        <v>152.52000000000001</v>
      </c>
      <c r="F3562">
        <f t="shared" si="111"/>
        <v>92343</v>
      </c>
      <c r="H3562" s="1405">
        <v>149.78</v>
      </c>
      <c r="I3562" s="1405">
        <v>152.52000000000001</v>
      </c>
    </row>
    <row r="3563" spans="2:9" ht="30">
      <c r="B3563" s="1477">
        <v>92359</v>
      </c>
      <c r="C3563" s="740" t="s">
        <v>4005</v>
      </c>
      <c r="D3563" s="739" t="s">
        <v>21</v>
      </c>
      <c r="E3563" s="741">
        <f t="shared" si="110"/>
        <v>75.489999999999995</v>
      </c>
      <c r="F3563">
        <f t="shared" si="111"/>
        <v>92359</v>
      </c>
      <c r="H3563" s="1406">
        <v>75.12</v>
      </c>
      <c r="I3563" s="1406">
        <v>75.489999999999995</v>
      </c>
    </row>
    <row r="3564" spans="2:9" ht="30">
      <c r="B3564" s="677">
        <v>92360</v>
      </c>
      <c r="C3564" s="733" t="s">
        <v>4006</v>
      </c>
      <c r="D3564" s="677" t="s">
        <v>21</v>
      </c>
      <c r="E3564" s="738">
        <f t="shared" si="110"/>
        <v>100.95</v>
      </c>
      <c r="F3564">
        <f t="shared" si="111"/>
        <v>92360</v>
      </c>
      <c r="H3564" s="1405">
        <v>100.47</v>
      </c>
      <c r="I3564" s="1405">
        <v>100.95</v>
      </c>
    </row>
    <row r="3565" spans="2:9" ht="30">
      <c r="B3565" s="1477">
        <v>92361</v>
      </c>
      <c r="C3565" s="740" t="s">
        <v>4007</v>
      </c>
      <c r="D3565" s="739" t="s">
        <v>21</v>
      </c>
      <c r="E3565" s="741">
        <f t="shared" si="110"/>
        <v>136.07</v>
      </c>
      <c r="F3565">
        <f t="shared" si="111"/>
        <v>92361</v>
      </c>
      <c r="H3565" s="1406">
        <v>135.32</v>
      </c>
      <c r="I3565" s="1406">
        <v>136.07</v>
      </c>
    </row>
    <row r="3566" spans="2:9" ht="30">
      <c r="B3566" s="677">
        <v>92362</v>
      </c>
      <c r="C3566" s="733" t="s">
        <v>4008</v>
      </c>
      <c r="D3566" s="677" t="s">
        <v>21</v>
      </c>
      <c r="E3566" s="738">
        <f t="shared" si="110"/>
        <v>218.14</v>
      </c>
      <c r="F3566">
        <f t="shared" si="111"/>
        <v>92362</v>
      </c>
      <c r="H3566" s="1405">
        <v>217.17</v>
      </c>
      <c r="I3566" s="1405">
        <v>218.14</v>
      </c>
    </row>
    <row r="3567" spans="2:9" ht="30">
      <c r="B3567" s="1477">
        <v>92364</v>
      </c>
      <c r="C3567" s="740" t="s">
        <v>4009</v>
      </c>
      <c r="D3567" s="739" t="s">
        <v>21</v>
      </c>
      <c r="E3567" s="741">
        <f t="shared" si="110"/>
        <v>53.44</v>
      </c>
      <c r="F3567">
        <f t="shared" si="111"/>
        <v>92364</v>
      </c>
      <c r="H3567" s="1406">
        <v>52.57</v>
      </c>
      <c r="I3567" s="1406">
        <v>53.44</v>
      </c>
    </row>
    <row r="3568" spans="2:9" ht="30">
      <c r="B3568" s="677">
        <v>92365</v>
      </c>
      <c r="C3568" s="733" t="s">
        <v>4010</v>
      </c>
      <c r="D3568" s="677" t="s">
        <v>21</v>
      </c>
      <c r="E3568" s="738">
        <f t="shared" si="110"/>
        <v>61.5</v>
      </c>
      <c r="F3568">
        <f t="shared" si="111"/>
        <v>92365</v>
      </c>
      <c r="H3568" s="1405">
        <v>60.56</v>
      </c>
      <c r="I3568" s="1405">
        <v>61.5</v>
      </c>
    </row>
    <row r="3569" spans="2:9" ht="30">
      <c r="B3569" s="1477">
        <v>92366</v>
      </c>
      <c r="C3569" s="740" t="s">
        <v>4011</v>
      </c>
      <c r="D3569" s="739" t="s">
        <v>21</v>
      </c>
      <c r="E3569" s="741">
        <f t="shared" si="110"/>
        <v>85.68</v>
      </c>
      <c r="F3569">
        <f t="shared" si="111"/>
        <v>92366</v>
      </c>
      <c r="H3569" s="1406">
        <v>84.63</v>
      </c>
      <c r="I3569" s="1406">
        <v>85.68</v>
      </c>
    </row>
    <row r="3570" spans="2:9" ht="30">
      <c r="B3570" s="677">
        <v>92367</v>
      </c>
      <c r="C3570" s="733" t="s">
        <v>4012</v>
      </c>
      <c r="D3570" s="677" t="s">
        <v>21</v>
      </c>
      <c r="E3570" s="738">
        <f t="shared" si="110"/>
        <v>105.31</v>
      </c>
      <c r="F3570">
        <f t="shared" si="111"/>
        <v>92367</v>
      </c>
      <c r="H3570" s="1405">
        <v>104.12</v>
      </c>
      <c r="I3570" s="1405">
        <v>105.31</v>
      </c>
    </row>
    <row r="3571" spans="2:9" ht="30">
      <c r="B3571" s="1477">
        <v>92368</v>
      </c>
      <c r="C3571" s="740" t="s">
        <v>4013</v>
      </c>
      <c r="D3571" s="739" t="s">
        <v>21</v>
      </c>
      <c r="E3571" s="741">
        <f t="shared" si="110"/>
        <v>139.24</v>
      </c>
      <c r="F3571">
        <f t="shared" si="111"/>
        <v>92368</v>
      </c>
      <c r="H3571" s="1406">
        <v>137.88999999999999</v>
      </c>
      <c r="I3571" s="1406">
        <v>139.24</v>
      </c>
    </row>
    <row r="3572" spans="2:9" ht="30">
      <c r="B3572" s="677">
        <v>92645</v>
      </c>
      <c r="C3572" s="733" t="s">
        <v>4014</v>
      </c>
      <c r="D3572" s="677" t="s">
        <v>21</v>
      </c>
      <c r="E3572" s="738">
        <f t="shared" si="110"/>
        <v>79.14</v>
      </c>
      <c r="F3572">
        <f t="shared" si="111"/>
        <v>92645</v>
      </c>
      <c r="H3572" s="1405">
        <v>78.39</v>
      </c>
      <c r="I3572" s="1405">
        <v>79.14</v>
      </c>
    </row>
    <row r="3573" spans="2:9" ht="30">
      <c r="B3573" s="1477">
        <v>92646</v>
      </c>
      <c r="C3573" s="740" t="s">
        <v>4015</v>
      </c>
      <c r="D3573" s="739" t="s">
        <v>21</v>
      </c>
      <c r="E3573" s="741">
        <f t="shared" si="110"/>
        <v>104.6</v>
      </c>
      <c r="F3573">
        <f t="shared" si="111"/>
        <v>92646</v>
      </c>
      <c r="H3573" s="1406">
        <v>103.74</v>
      </c>
      <c r="I3573" s="1406">
        <v>104.6</v>
      </c>
    </row>
    <row r="3574" spans="2:9" ht="30">
      <c r="B3574" s="677">
        <v>92648</v>
      </c>
      <c r="C3574" s="733" t="s">
        <v>4016</v>
      </c>
      <c r="D3574" s="677" t="s">
        <v>21</v>
      </c>
      <c r="E3574" s="738">
        <f t="shared" si="110"/>
        <v>114.4</v>
      </c>
      <c r="F3574">
        <f t="shared" si="111"/>
        <v>92648</v>
      </c>
      <c r="H3574" s="1405">
        <v>113.43</v>
      </c>
      <c r="I3574" s="1405">
        <v>114.4</v>
      </c>
    </row>
    <row r="3575" spans="2:9" ht="30">
      <c r="B3575" s="1477">
        <v>92649</v>
      </c>
      <c r="C3575" s="740" t="s">
        <v>4017</v>
      </c>
      <c r="D3575" s="739" t="s">
        <v>21</v>
      </c>
      <c r="E3575" s="741">
        <f t="shared" si="110"/>
        <v>139.71</v>
      </c>
      <c r="F3575">
        <f t="shared" si="111"/>
        <v>92649</v>
      </c>
      <c r="H3575" s="1406">
        <v>138.58000000000001</v>
      </c>
      <c r="I3575" s="1406">
        <v>139.71</v>
      </c>
    </row>
    <row r="3576" spans="2:9" ht="30">
      <c r="B3576" s="677">
        <v>92650</v>
      </c>
      <c r="C3576" s="733" t="s">
        <v>4018</v>
      </c>
      <c r="D3576" s="677" t="s">
        <v>21</v>
      </c>
      <c r="E3576" s="738">
        <f t="shared" si="110"/>
        <v>221.78</v>
      </c>
      <c r="F3576">
        <f t="shared" si="111"/>
        <v>92650</v>
      </c>
      <c r="H3576" s="1405">
        <v>220.43</v>
      </c>
      <c r="I3576" s="1405">
        <v>221.78</v>
      </c>
    </row>
    <row r="3577" spans="2:9" ht="30">
      <c r="B3577" s="1477">
        <v>92652</v>
      </c>
      <c r="C3577" s="740" t="s">
        <v>4019</v>
      </c>
      <c r="D3577" s="739" t="s">
        <v>21</v>
      </c>
      <c r="E3577" s="741">
        <f t="shared" si="110"/>
        <v>57.95</v>
      </c>
      <c r="F3577">
        <f t="shared" si="111"/>
        <v>92652</v>
      </c>
      <c r="H3577" s="1406">
        <v>56.61</v>
      </c>
      <c r="I3577" s="1406">
        <v>57.95</v>
      </c>
    </row>
    <row r="3578" spans="2:9" ht="30">
      <c r="B3578" s="677">
        <v>92653</v>
      </c>
      <c r="C3578" s="733" t="s">
        <v>4020</v>
      </c>
      <c r="D3578" s="677" t="s">
        <v>21</v>
      </c>
      <c r="E3578" s="738">
        <f t="shared" si="110"/>
        <v>66.06</v>
      </c>
      <c r="F3578">
        <f t="shared" si="111"/>
        <v>92653</v>
      </c>
      <c r="H3578" s="1405">
        <v>64.63</v>
      </c>
      <c r="I3578" s="1405">
        <v>66.06</v>
      </c>
    </row>
    <row r="3579" spans="2:9" ht="30">
      <c r="B3579" s="1477">
        <v>92654</v>
      </c>
      <c r="C3579" s="740" t="s">
        <v>4021</v>
      </c>
      <c r="D3579" s="739" t="s">
        <v>21</v>
      </c>
      <c r="E3579" s="741">
        <f t="shared" si="110"/>
        <v>90.23</v>
      </c>
      <c r="F3579">
        <f t="shared" si="111"/>
        <v>92654</v>
      </c>
      <c r="H3579" s="1406">
        <v>88.71</v>
      </c>
      <c r="I3579" s="1406">
        <v>90.23</v>
      </c>
    </row>
    <row r="3580" spans="2:9" ht="30">
      <c r="B3580" s="677">
        <v>92655</v>
      </c>
      <c r="C3580" s="733" t="s">
        <v>4022</v>
      </c>
      <c r="D3580" s="677" t="s">
        <v>21</v>
      </c>
      <c r="E3580" s="738">
        <f t="shared" si="110"/>
        <v>109.96</v>
      </c>
      <c r="F3580">
        <f t="shared" si="111"/>
        <v>92655</v>
      </c>
      <c r="H3580" s="1405">
        <v>108.28</v>
      </c>
      <c r="I3580" s="1405">
        <v>109.96</v>
      </c>
    </row>
    <row r="3581" spans="2:9" ht="30">
      <c r="B3581" s="1477">
        <v>92656</v>
      </c>
      <c r="C3581" s="740" t="s">
        <v>4023</v>
      </c>
      <c r="D3581" s="739" t="s">
        <v>21</v>
      </c>
      <c r="E3581" s="741">
        <f t="shared" si="110"/>
        <v>143.88</v>
      </c>
      <c r="F3581">
        <f t="shared" si="111"/>
        <v>92656</v>
      </c>
      <c r="H3581" s="1406">
        <v>142.05000000000001</v>
      </c>
      <c r="I3581" s="1406">
        <v>143.88</v>
      </c>
    </row>
    <row r="3582" spans="2:9" ht="30">
      <c r="B3582" s="677">
        <v>92687</v>
      </c>
      <c r="C3582" s="733" t="s">
        <v>4024</v>
      </c>
      <c r="D3582" s="677" t="s">
        <v>21</v>
      </c>
      <c r="E3582" s="738">
        <f t="shared" si="110"/>
        <v>27.12</v>
      </c>
      <c r="F3582">
        <f t="shared" si="111"/>
        <v>92687</v>
      </c>
      <c r="H3582" s="1405">
        <v>26.28</v>
      </c>
      <c r="I3582" s="1405">
        <v>27.12</v>
      </c>
    </row>
    <row r="3583" spans="2:9" ht="30">
      <c r="B3583" s="1477">
        <v>92688</v>
      </c>
      <c r="C3583" s="740" t="s">
        <v>4025</v>
      </c>
      <c r="D3583" s="739" t="s">
        <v>21</v>
      </c>
      <c r="E3583" s="741">
        <f t="shared" si="110"/>
        <v>37.93</v>
      </c>
      <c r="F3583">
        <f t="shared" si="111"/>
        <v>92688</v>
      </c>
      <c r="H3583" s="1406">
        <v>36.49</v>
      </c>
      <c r="I3583" s="1406">
        <v>37.93</v>
      </c>
    </row>
    <row r="3584" spans="2:9" ht="30">
      <c r="B3584" s="677">
        <v>92689</v>
      </c>
      <c r="C3584" s="733" t="s">
        <v>4026</v>
      </c>
      <c r="D3584" s="677" t="s">
        <v>21</v>
      </c>
      <c r="E3584" s="738">
        <f t="shared" si="110"/>
        <v>55.1</v>
      </c>
      <c r="F3584">
        <f t="shared" si="111"/>
        <v>92689</v>
      </c>
      <c r="H3584" s="1405">
        <v>54.24</v>
      </c>
      <c r="I3584" s="1405">
        <v>55.1</v>
      </c>
    </row>
    <row r="3585" spans="2:9" ht="30">
      <c r="B3585" s="1477">
        <v>92690</v>
      </c>
      <c r="C3585" s="740" t="s">
        <v>4027</v>
      </c>
      <c r="D3585" s="739" t="s">
        <v>21</v>
      </c>
      <c r="E3585" s="741">
        <f t="shared" si="110"/>
        <v>78.12</v>
      </c>
      <c r="F3585">
        <f t="shared" si="111"/>
        <v>92690</v>
      </c>
      <c r="H3585" s="1406">
        <v>76.64</v>
      </c>
      <c r="I3585" s="1406">
        <v>78.12</v>
      </c>
    </row>
    <row r="3586" spans="2:9" ht="30">
      <c r="B3586" s="677">
        <v>92691</v>
      </c>
      <c r="C3586" s="733" t="s">
        <v>4028</v>
      </c>
      <c r="D3586" s="677" t="s">
        <v>21</v>
      </c>
      <c r="E3586" s="738">
        <f t="shared" si="110"/>
        <v>99.68</v>
      </c>
      <c r="F3586">
        <f t="shared" si="111"/>
        <v>92691</v>
      </c>
      <c r="H3586" s="1405">
        <v>96.8</v>
      </c>
      <c r="I3586" s="1405">
        <v>99.68</v>
      </c>
    </row>
    <row r="3587" spans="2:9" ht="30">
      <c r="B3587" s="1477">
        <v>94462</v>
      </c>
      <c r="C3587" s="740" t="s">
        <v>1353</v>
      </c>
      <c r="D3587" s="739" t="s">
        <v>21</v>
      </c>
      <c r="E3587" s="741">
        <f t="shared" ref="E3587:E3650" si="112">IF($K$2=$H$1,H3587,I3587)</f>
        <v>96.73</v>
      </c>
      <c r="F3587">
        <f t="shared" ref="F3587:F3650" si="113">IF(LEN($B3587)=7,CONCATENATE(MID($B3587,1,6),"00",RIGHT($B3587,1)),IF(LEN($B3587)=8,CONCATENATE(MID($B3587,1,6),"0",RIGHT($B3587,2)),$B3587))</f>
        <v>94462</v>
      </c>
      <c r="H3587" s="1406">
        <v>93.9</v>
      </c>
      <c r="I3587" s="1406">
        <v>96.73</v>
      </c>
    </row>
    <row r="3588" spans="2:9" ht="30">
      <c r="B3588" s="677">
        <v>94463</v>
      </c>
      <c r="C3588" s="733" t="s">
        <v>1354</v>
      </c>
      <c r="D3588" s="677" t="s">
        <v>21</v>
      </c>
      <c r="E3588" s="738">
        <f t="shared" si="112"/>
        <v>113.56</v>
      </c>
      <c r="F3588">
        <f t="shared" si="113"/>
        <v>94463</v>
      </c>
      <c r="H3588" s="1405">
        <v>110.73</v>
      </c>
      <c r="I3588" s="1405">
        <v>113.56</v>
      </c>
    </row>
    <row r="3589" spans="2:9" ht="30">
      <c r="B3589" s="1477">
        <v>94464</v>
      </c>
      <c r="C3589" s="740" t="s">
        <v>1355</v>
      </c>
      <c r="D3589" s="739" t="s">
        <v>21</v>
      </c>
      <c r="E3589" s="741">
        <f t="shared" si="112"/>
        <v>160.1</v>
      </c>
      <c r="F3589">
        <f t="shared" si="113"/>
        <v>94464</v>
      </c>
      <c r="H3589" s="1406">
        <v>156.57</v>
      </c>
      <c r="I3589" s="1406">
        <v>160.1</v>
      </c>
    </row>
    <row r="3590" spans="2:9" ht="30">
      <c r="B3590" s="677">
        <v>94602</v>
      </c>
      <c r="C3590" s="733" t="s">
        <v>2101</v>
      </c>
      <c r="D3590" s="677" t="s">
        <v>21</v>
      </c>
      <c r="E3590" s="738">
        <f t="shared" si="112"/>
        <v>202.97</v>
      </c>
      <c r="F3590">
        <f t="shared" si="113"/>
        <v>94602</v>
      </c>
      <c r="H3590" s="1405">
        <v>199.64</v>
      </c>
      <c r="I3590" s="1405">
        <v>202.97</v>
      </c>
    </row>
    <row r="3591" spans="2:9" ht="30">
      <c r="B3591" s="1477">
        <v>94603</v>
      </c>
      <c r="C3591" s="740" t="s">
        <v>2102</v>
      </c>
      <c r="D3591" s="739" t="s">
        <v>21</v>
      </c>
      <c r="E3591" s="741">
        <f t="shared" si="112"/>
        <v>273</v>
      </c>
      <c r="F3591">
        <f t="shared" si="113"/>
        <v>94603</v>
      </c>
      <c r="H3591" s="1406">
        <v>269.67</v>
      </c>
      <c r="I3591" s="1406">
        <v>273</v>
      </c>
    </row>
    <row r="3592" spans="2:9" ht="30">
      <c r="B3592" s="677">
        <v>94604</v>
      </c>
      <c r="C3592" s="733" t="s">
        <v>2103</v>
      </c>
      <c r="D3592" s="677" t="s">
        <v>21</v>
      </c>
      <c r="E3592" s="738">
        <f t="shared" si="112"/>
        <v>373.21</v>
      </c>
      <c r="F3592">
        <f t="shared" si="113"/>
        <v>94604</v>
      </c>
      <c r="H3592" s="1405">
        <v>369.59</v>
      </c>
      <c r="I3592" s="1405">
        <v>373.21</v>
      </c>
    </row>
    <row r="3593" spans="2:9" ht="30">
      <c r="B3593" s="1477">
        <v>94605</v>
      </c>
      <c r="C3593" s="740" t="s">
        <v>2104</v>
      </c>
      <c r="D3593" s="739" t="s">
        <v>21</v>
      </c>
      <c r="E3593" s="741">
        <f t="shared" si="112"/>
        <v>533.94000000000005</v>
      </c>
      <c r="F3593">
        <f t="shared" si="113"/>
        <v>94605</v>
      </c>
      <c r="H3593" s="1406">
        <v>530.32000000000005</v>
      </c>
      <c r="I3593" s="1406">
        <v>533.94000000000005</v>
      </c>
    </row>
    <row r="3594" spans="2:9" ht="30">
      <c r="B3594" s="677">
        <v>94648</v>
      </c>
      <c r="C3594" s="733" t="s">
        <v>1356</v>
      </c>
      <c r="D3594" s="677" t="s">
        <v>21</v>
      </c>
      <c r="E3594" s="738">
        <f t="shared" si="112"/>
        <v>10.28</v>
      </c>
      <c r="F3594">
        <f t="shared" si="113"/>
        <v>94648</v>
      </c>
      <c r="H3594" s="1405">
        <v>9.6300000000000008</v>
      </c>
      <c r="I3594" s="1405">
        <v>10.28</v>
      </c>
    </row>
    <row r="3595" spans="2:9" ht="30">
      <c r="B3595" s="1477">
        <v>94649</v>
      </c>
      <c r="C3595" s="740" t="s">
        <v>1357</v>
      </c>
      <c r="D3595" s="739" t="s">
        <v>21</v>
      </c>
      <c r="E3595" s="741">
        <f t="shared" si="112"/>
        <v>15.05</v>
      </c>
      <c r="F3595">
        <f t="shared" si="113"/>
        <v>94649</v>
      </c>
      <c r="H3595" s="1406">
        <v>14.4</v>
      </c>
      <c r="I3595" s="1406">
        <v>15.05</v>
      </c>
    </row>
    <row r="3596" spans="2:9" ht="30">
      <c r="B3596" s="677">
        <v>94650</v>
      </c>
      <c r="C3596" s="733" t="s">
        <v>1358</v>
      </c>
      <c r="D3596" s="677" t="s">
        <v>21</v>
      </c>
      <c r="E3596" s="738">
        <f t="shared" si="112"/>
        <v>22.53</v>
      </c>
      <c r="F3596">
        <f t="shared" si="113"/>
        <v>94650</v>
      </c>
      <c r="H3596" s="1405">
        <v>21.61</v>
      </c>
      <c r="I3596" s="1405">
        <v>22.53</v>
      </c>
    </row>
    <row r="3597" spans="2:9" ht="30">
      <c r="B3597" s="1477">
        <v>94651</v>
      </c>
      <c r="C3597" s="740" t="s">
        <v>1359</v>
      </c>
      <c r="D3597" s="739" t="s">
        <v>21</v>
      </c>
      <c r="E3597" s="741">
        <f t="shared" si="112"/>
        <v>23.86</v>
      </c>
      <c r="F3597">
        <f t="shared" si="113"/>
        <v>94651</v>
      </c>
      <c r="H3597" s="1406">
        <v>22.94</v>
      </c>
      <c r="I3597" s="1406">
        <v>23.86</v>
      </c>
    </row>
    <row r="3598" spans="2:9" ht="30">
      <c r="B3598" s="677">
        <v>94652</v>
      </c>
      <c r="C3598" s="733" t="s">
        <v>1360</v>
      </c>
      <c r="D3598" s="677" t="s">
        <v>21</v>
      </c>
      <c r="E3598" s="738">
        <f t="shared" si="112"/>
        <v>38.229999999999997</v>
      </c>
      <c r="F3598">
        <f t="shared" si="113"/>
        <v>94652</v>
      </c>
      <c r="H3598" s="1405">
        <v>36.72</v>
      </c>
      <c r="I3598" s="1405">
        <v>38.229999999999997</v>
      </c>
    </row>
    <row r="3599" spans="2:9" ht="30">
      <c r="B3599" s="1477">
        <v>94653</v>
      </c>
      <c r="C3599" s="740" t="s">
        <v>1361</v>
      </c>
      <c r="D3599" s="739" t="s">
        <v>21</v>
      </c>
      <c r="E3599" s="741">
        <f t="shared" si="112"/>
        <v>53.96</v>
      </c>
      <c r="F3599">
        <f t="shared" si="113"/>
        <v>94653</v>
      </c>
      <c r="H3599" s="1406">
        <v>52.45</v>
      </c>
      <c r="I3599" s="1406">
        <v>53.96</v>
      </c>
    </row>
    <row r="3600" spans="2:9" ht="30">
      <c r="B3600" s="677">
        <v>94654</v>
      </c>
      <c r="C3600" s="733" t="s">
        <v>1362</v>
      </c>
      <c r="D3600" s="677" t="s">
        <v>21</v>
      </c>
      <c r="E3600" s="738">
        <f t="shared" si="112"/>
        <v>77.510000000000005</v>
      </c>
      <c r="F3600">
        <f t="shared" si="113"/>
        <v>94654</v>
      </c>
      <c r="H3600" s="1405">
        <v>74.88</v>
      </c>
      <c r="I3600" s="1405">
        <v>77.510000000000005</v>
      </c>
    </row>
    <row r="3601" spans="2:9" ht="30">
      <c r="B3601" s="1477">
        <v>94655</v>
      </c>
      <c r="C3601" s="740" t="s">
        <v>1363</v>
      </c>
      <c r="D3601" s="739" t="s">
        <v>21</v>
      </c>
      <c r="E3601" s="741">
        <f t="shared" si="112"/>
        <v>107.14</v>
      </c>
      <c r="F3601">
        <f t="shared" si="113"/>
        <v>94655</v>
      </c>
      <c r="H3601" s="1406">
        <v>104.51</v>
      </c>
      <c r="I3601" s="1406">
        <v>107.14</v>
      </c>
    </row>
    <row r="3602" spans="2:9" ht="30">
      <c r="B3602" s="677">
        <v>94716</v>
      </c>
      <c r="C3602" s="733" t="s">
        <v>1364</v>
      </c>
      <c r="D3602" s="677" t="s">
        <v>21</v>
      </c>
      <c r="E3602" s="738">
        <f t="shared" si="112"/>
        <v>24.28</v>
      </c>
      <c r="F3602">
        <f t="shared" si="113"/>
        <v>94716</v>
      </c>
      <c r="H3602" s="1405">
        <v>23.67</v>
      </c>
      <c r="I3602" s="1405">
        <v>24.28</v>
      </c>
    </row>
    <row r="3603" spans="2:9" ht="30">
      <c r="B3603" s="1477">
        <v>94717</v>
      </c>
      <c r="C3603" s="740" t="s">
        <v>1365</v>
      </c>
      <c r="D3603" s="739" t="s">
        <v>21</v>
      </c>
      <c r="E3603" s="741">
        <f t="shared" si="112"/>
        <v>37.67</v>
      </c>
      <c r="F3603">
        <f t="shared" si="113"/>
        <v>94717</v>
      </c>
      <c r="H3603" s="1406">
        <v>37.06</v>
      </c>
      <c r="I3603" s="1406">
        <v>37.67</v>
      </c>
    </row>
    <row r="3604" spans="2:9" ht="30">
      <c r="B3604" s="677">
        <v>94718</v>
      </c>
      <c r="C3604" s="733" t="s">
        <v>1366</v>
      </c>
      <c r="D3604" s="677" t="s">
        <v>21</v>
      </c>
      <c r="E3604" s="738">
        <f t="shared" si="112"/>
        <v>48.74</v>
      </c>
      <c r="F3604">
        <f t="shared" si="113"/>
        <v>94718</v>
      </c>
      <c r="H3604" s="1405">
        <v>47.93</v>
      </c>
      <c r="I3604" s="1405">
        <v>48.74</v>
      </c>
    </row>
    <row r="3605" spans="2:9" ht="30">
      <c r="B3605" s="1477">
        <v>94719</v>
      </c>
      <c r="C3605" s="740" t="s">
        <v>1367</v>
      </c>
      <c r="D3605" s="739" t="s">
        <v>21</v>
      </c>
      <c r="E3605" s="741">
        <f t="shared" si="112"/>
        <v>62.68</v>
      </c>
      <c r="F3605">
        <f t="shared" si="113"/>
        <v>94719</v>
      </c>
      <c r="H3605" s="1406">
        <v>61.87</v>
      </c>
      <c r="I3605" s="1406">
        <v>62.68</v>
      </c>
    </row>
    <row r="3606" spans="2:9" ht="30">
      <c r="B3606" s="677">
        <v>94720</v>
      </c>
      <c r="C3606" s="733" t="s">
        <v>1368</v>
      </c>
      <c r="D3606" s="677" t="s">
        <v>21</v>
      </c>
      <c r="E3606" s="738">
        <f t="shared" si="112"/>
        <v>91.31</v>
      </c>
      <c r="F3606">
        <f t="shared" si="113"/>
        <v>94720</v>
      </c>
      <c r="H3606" s="1405">
        <v>89.92</v>
      </c>
      <c r="I3606" s="1405">
        <v>91.31</v>
      </c>
    </row>
    <row r="3607" spans="2:9" ht="30">
      <c r="B3607" s="1477">
        <v>94721</v>
      </c>
      <c r="C3607" s="740" t="s">
        <v>1369</v>
      </c>
      <c r="D3607" s="739" t="s">
        <v>21</v>
      </c>
      <c r="E3607" s="741">
        <f t="shared" si="112"/>
        <v>139.53</v>
      </c>
      <c r="F3607">
        <f t="shared" si="113"/>
        <v>94721</v>
      </c>
      <c r="H3607" s="1406">
        <v>138.13999999999999</v>
      </c>
      <c r="I3607" s="1406">
        <v>139.53</v>
      </c>
    </row>
    <row r="3608" spans="2:9" ht="30">
      <c r="B3608" s="677">
        <v>94722</v>
      </c>
      <c r="C3608" s="733" t="s">
        <v>1370</v>
      </c>
      <c r="D3608" s="677" t="s">
        <v>21</v>
      </c>
      <c r="E3608" s="738">
        <f t="shared" si="112"/>
        <v>240.96</v>
      </c>
      <c r="F3608">
        <f t="shared" si="113"/>
        <v>94722</v>
      </c>
      <c r="H3608" s="1405">
        <v>238.16</v>
      </c>
      <c r="I3608" s="1405">
        <v>240.96</v>
      </c>
    </row>
    <row r="3609" spans="2:9" ht="30">
      <c r="B3609" s="1477">
        <v>94723</v>
      </c>
      <c r="C3609" s="740" t="s">
        <v>7091</v>
      </c>
      <c r="D3609" s="739" t="s">
        <v>21</v>
      </c>
      <c r="E3609" s="741">
        <f t="shared" si="112"/>
        <v>434.47</v>
      </c>
      <c r="F3609">
        <f t="shared" si="113"/>
        <v>94723</v>
      </c>
      <c r="H3609" s="1406">
        <v>431.67</v>
      </c>
      <c r="I3609" s="1406">
        <v>434.47</v>
      </c>
    </row>
    <row r="3610" spans="2:9" ht="30">
      <c r="B3610" s="677">
        <v>95697</v>
      </c>
      <c r="C3610" s="733" t="s">
        <v>4029</v>
      </c>
      <c r="D3610" s="677" t="s">
        <v>21</v>
      </c>
      <c r="E3610" s="738">
        <f t="shared" si="112"/>
        <v>110.76</v>
      </c>
      <c r="F3610">
        <f t="shared" si="113"/>
        <v>95697</v>
      </c>
      <c r="H3610" s="1405">
        <v>110.16</v>
      </c>
      <c r="I3610" s="1405">
        <v>110.76</v>
      </c>
    </row>
    <row r="3611" spans="2:9">
      <c r="B3611" s="1477">
        <v>96635</v>
      </c>
      <c r="C3611" s="740" t="s">
        <v>6501</v>
      </c>
      <c r="D3611" s="739" t="s">
        <v>21</v>
      </c>
      <c r="E3611" s="741">
        <f t="shared" si="112"/>
        <v>38.24</v>
      </c>
      <c r="F3611">
        <f t="shared" si="113"/>
        <v>96635</v>
      </c>
      <c r="H3611" s="1406">
        <v>35.619999999999997</v>
      </c>
      <c r="I3611" s="1406">
        <v>38.24</v>
      </c>
    </row>
    <row r="3612" spans="2:9">
      <c r="B3612" s="677">
        <v>96636</v>
      </c>
      <c r="C3612" s="733" t="s">
        <v>6502</v>
      </c>
      <c r="D3612" s="677" t="s">
        <v>21</v>
      </c>
      <c r="E3612" s="738">
        <f t="shared" si="112"/>
        <v>40.56</v>
      </c>
      <c r="F3612">
        <f t="shared" si="113"/>
        <v>96636</v>
      </c>
      <c r="H3612" s="1405">
        <v>37.85</v>
      </c>
      <c r="I3612" s="1405">
        <v>40.56</v>
      </c>
    </row>
    <row r="3613" spans="2:9">
      <c r="B3613" s="1477">
        <v>96644</v>
      </c>
      <c r="C3613" s="740" t="s">
        <v>6503</v>
      </c>
      <c r="D3613" s="739" t="s">
        <v>21</v>
      </c>
      <c r="E3613" s="741">
        <f t="shared" si="112"/>
        <v>20.95</v>
      </c>
      <c r="F3613">
        <f t="shared" si="113"/>
        <v>96644</v>
      </c>
      <c r="H3613" s="1406">
        <v>20.12</v>
      </c>
      <c r="I3613" s="1406">
        <v>20.95</v>
      </c>
    </row>
    <row r="3614" spans="2:9">
      <c r="B3614" s="677">
        <v>96645</v>
      </c>
      <c r="C3614" s="733" t="s">
        <v>6504</v>
      </c>
      <c r="D3614" s="677" t="s">
        <v>21</v>
      </c>
      <c r="E3614" s="738">
        <f t="shared" si="112"/>
        <v>18.57</v>
      </c>
      <c r="F3614">
        <f t="shared" si="113"/>
        <v>96645</v>
      </c>
      <c r="H3614" s="1405">
        <v>17.75</v>
      </c>
      <c r="I3614" s="1405">
        <v>18.57</v>
      </c>
    </row>
    <row r="3615" spans="2:9">
      <c r="B3615" s="1477">
        <v>96646</v>
      </c>
      <c r="C3615" s="740" t="s">
        <v>6505</v>
      </c>
      <c r="D3615" s="739" t="s">
        <v>21</v>
      </c>
      <c r="E3615" s="741">
        <f t="shared" si="112"/>
        <v>22.72</v>
      </c>
      <c r="F3615">
        <f t="shared" si="113"/>
        <v>96646</v>
      </c>
      <c r="H3615" s="1406">
        <v>21.84</v>
      </c>
      <c r="I3615" s="1406">
        <v>22.72</v>
      </c>
    </row>
    <row r="3616" spans="2:9">
      <c r="B3616" s="677">
        <v>96647</v>
      </c>
      <c r="C3616" s="733" t="s">
        <v>6506</v>
      </c>
      <c r="D3616" s="677" t="s">
        <v>21</v>
      </c>
      <c r="E3616" s="738">
        <f t="shared" si="112"/>
        <v>22.76</v>
      </c>
      <c r="F3616">
        <f t="shared" si="113"/>
        <v>96647</v>
      </c>
      <c r="H3616" s="1405">
        <v>21.9</v>
      </c>
      <c r="I3616" s="1405">
        <v>22.76</v>
      </c>
    </row>
    <row r="3617" spans="2:9">
      <c r="B3617" s="1477">
        <v>96648</v>
      </c>
      <c r="C3617" s="740" t="s">
        <v>6507</v>
      </c>
      <c r="D3617" s="739" t="s">
        <v>21</v>
      </c>
      <c r="E3617" s="741">
        <f t="shared" si="112"/>
        <v>28.11</v>
      </c>
      <c r="F3617">
        <f t="shared" si="113"/>
        <v>96648</v>
      </c>
      <c r="H3617" s="1406">
        <v>27.2</v>
      </c>
      <c r="I3617" s="1406">
        <v>28.11</v>
      </c>
    </row>
    <row r="3618" spans="2:9">
      <c r="B3618" s="677">
        <v>96649</v>
      </c>
      <c r="C3618" s="733" t="s">
        <v>6508</v>
      </c>
      <c r="D3618" s="677" t="s">
        <v>21</v>
      </c>
      <c r="E3618" s="738">
        <f t="shared" si="112"/>
        <v>37.19</v>
      </c>
      <c r="F3618">
        <f t="shared" si="113"/>
        <v>96649</v>
      </c>
      <c r="H3618" s="1405">
        <v>36.229999999999997</v>
      </c>
      <c r="I3618" s="1405">
        <v>37.19</v>
      </c>
    </row>
    <row r="3619" spans="2:9">
      <c r="B3619" s="1477">
        <v>96668</v>
      </c>
      <c r="C3619" s="740" t="s">
        <v>6509</v>
      </c>
      <c r="D3619" s="739" t="s">
        <v>21</v>
      </c>
      <c r="E3619" s="741">
        <f t="shared" si="112"/>
        <v>16.36</v>
      </c>
      <c r="F3619">
        <f t="shared" si="113"/>
        <v>96668</v>
      </c>
      <c r="H3619" s="1406">
        <v>16</v>
      </c>
      <c r="I3619" s="1406">
        <v>16.36</v>
      </c>
    </row>
    <row r="3620" spans="2:9">
      <c r="B3620" s="677">
        <v>96669</v>
      </c>
      <c r="C3620" s="733" t="s">
        <v>6510</v>
      </c>
      <c r="D3620" s="677" t="s">
        <v>21</v>
      </c>
      <c r="E3620" s="738">
        <f t="shared" si="112"/>
        <v>16.12</v>
      </c>
      <c r="F3620">
        <f t="shared" si="113"/>
        <v>96669</v>
      </c>
      <c r="H3620" s="1405">
        <v>15.55</v>
      </c>
      <c r="I3620" s="1405">
        <v>16.12</v>
      </c>
    </row>
    <row r="3621" spans="2:9">
      <c r="B3621" s="1477">
        <v>96670</v>
      </c>
      <c r="C3621" s="740" t="s">
        <v>6511</v>
      </c>
      <c r="D3621" s="739" t="s">
        <v>21</v>
      </c>
      <c r="E3621" s="741">
        <f t="shared" si="112"/>
        <v>20.95</v>
      </c>
      <c r="F3621">
        <f t="shared" si="113"/>
        <v>96670</v>
      </c>
      <c r="H3621" s="1406">
        <v>20.260000000000002</v>
      </c>
      <c r="I3621" s="1406">
        <v>20.95</v>
      </c>
    </row>
    <row r="3622" spans="2:9">
      <c r="B3622" s="677">
        <v>96671</v>
      </c>
      <c r="C3622" s="733" t="s">
        <v>6512</v>
      </c>
      <c r="D3622" s="677" t="s">
        <v>21</v>
      </c>
      <c r="E3622" s="738">
        <f t="shared" si="112"/>
        <v>31.7</v>
      </c>
      <c r="F3622">
        <f t="shared" si="113"/>
        <v>96671</v>
      </c>
      <c r="H3622" s="1405">
        <v>30.87</v>
      </c>
      <c r="I3622" s="1405">
        <v>31.7</v>
      </c>
    </row>
    <row r="3623" spans="2:9">
      <c r="B3623" s="1477">
        <v>96672</v>
      </c>
      <c r="C3623" s="740" t="s">
        <v>6513</v>
      </c>
      <c r="D3623" s="739" t="s">
        <v>21</v>
      </c>
      <c r="E3623" s="741">
        <f t="shared" si="112"/>
        <v>48.31</v>
      </c>
      <c r="F3623">
        <f t="shared" si="113"/>
        <v>96672</v>
      </c>
      <c r="H3623" s="1406">
        <v>47.28</v>
      </c>
      <c r="I3623" s="1406">
        <v>48.31</v>
      </c>
    </row>
    <row r="3624" spans="2:9">
      <c r="B3624" s="677">
        <v>96673</v>
      </c>
      <c r="C3624" s="733" t="s">
        <v>6514</v>
      </c>
      <c r="D3624" s="677" t="s">
        <v>21</v>
      </c>
      <c r="E3624" s="738">
        <f t="shared" si="112"/>
        <v>60.9</v>
      </c>
      <c r="F3624">
        <f t="shared" si="113"/>
        <v>96673</v>
      </c>
      <c r="H3624" s="1405">
        <v>59.69</v>
      </c>
      <c r="I3624" s="1405">
        <v>60.9</v>
      </c>
    </row>
    <row r="3625" spans="2:9">
      <c r="B3625" s="1477">
        <v>96674</v>
      </c>
      <c r="C3625" s="740" t="s">
        <v>6515</v>
      </c>
      <c r="D3625" s="739" t="s">
        <v>21</v>
      </c>
      <c r="E3625" s="741">
        <f t="shared" si="112"/>
        <v>98.49</v>
      </c>
      <c r="F3625">
        <f t="shared" si="113"/>
        <v>96674</v>
      </c>
      <c r="H3625" s="1406">
        <v>97.05</v>
      </c>
      <c r="I3625" s="1406">
        <v>98.49</v>
      </c>
    </row>
    <row r="3626" spans="2:9">
      <c r="B3626" s="677">
        <v>96675</v>
      </c>
      <c r="C3626" s="733" t="s">
        <v>6516</v>
      </c>
      <c r="D3626" s="677" t="s">
        <v>21</v>
      </c>
      <c r="E3626" s="738">
        <f t="shared" si="112"/>
        <v>143.18</v>
      </c>
      <c r="F3626">
        <f t="shared" si="113"/>
        <v>96675</v>
      </c>
      <c r="H3626" s="1405">
        <v>141.46</v>
      </c>
      <c r="I3626" s="1405">
        <v>143.18</v>
      </c>
    </row>
    <row r="3627" spans="2:9">
      <c r="B3627" s="1477">
        <v>96676</v>
      </c>
      <c r="C3627" s="740" t="s">
        <v>6517</v>
      </c>
      <c r="D3627" s="739" t="s">
        <v>21</v>
      </c>
      <c r="E3627" s="741">
        <f t="shared" si="112"/>
        <v>20.66</v>
      </c>
      <c r="F3627">
        <f t="shared" si="113"/>
        <v>96676</v>
      </c>
      <c r="H3627" s="1406">
        <v>20.02</v>
      </c>
      <c r="I3627" s="1406">
        <v>20.66</v>
      </c>
    </row>
    <row r="3628" spans="2:9">
      <c r="B3628" s="677">
        <v>96677</v>
      </c>
      <c r="C3628" s="733" t="s">
        <v>6518</v>
      </c>
      <c r="D3628" s="677" t="s">
        <v>21</v>
      </c>
      <c r="E3628" s="738">
        <f t="shared" si="112"/>
        <v>26.92</v>
      </c>
      <c r="F3628">
        <f t="shared" si="113"/>
        <v>96677</v>
      </c>
      <c r="H3628" s="1405">
        <v>26.14</v>
      </c>
      <c r="I3628" s="1405">
        <v>26.92</v>
      </c>
    </row>
    <row r="3629" spans="2:9">
      <c r="B3629" s="1477">
        <v>96678</v>
      </c>
      <c r="C3629" s="740" t="s">
        <v>6519</v>
      </c>
      <c r="D3629" s="739" t="s">
        <v>21</v>
      </c>
      <c r="E3629" s="741">
        <f t="shared" si="112"/>
        <v>37.06</v>
      </c>
      <c r="F3629">
        <f t="shared" si="113"/>
        <v>96678</v>
      </c>
      <c r="H3629" s="1406">
        <v>36.119999999999997</v>
      </c>
      <c r="I3629" s="1406">
        <v>37.06</v>
      </c>
    </row>
    <row r="3630" spans="2:9">
      <c r="B3630" s="677">
        <v>96679</v>
      </c>
      <c r="C3630" s="733" t="s">
        <v>6520</v>
      </c>
      <c r="D3630" s="677" t="s">
        <v>21</v>
      </c>
      <c r="E3630" s="738">
        <f t="shared" si="112"/>
        <v>55.23</v>
      </c>
      <c r="F3630">
        <f t="shared" si="113"/>
        <v>96679</v>
      </c>
      <c r="H3630" s="1405">
        <v>54.08</v>
      </c>
      <c r="I3630" s="1405">
        <v>55.23</v>
      </c>
    </row>
    <row r="3631" spans="2:9">
      <c r="B3631" s="1477">
        <v>96680</v>
      </c>
      <c r="C3631" s="740" t="s">
        <v>6521</v>
      </c>
      <c r="D3631" s="739" t="s">
        <v>21</v>
      </c>
      <c r="E3631" s="741">
        <f t="shared" si="112"/>
        <v>91.34</v>
      </c>
      <c r="F3631">
        <f t="shared" si="113"/>
        <v>96680</v>
      </c>
      <c r="H3631" s="1406">
        <v>89.94</v>
      </c>
      <c r="I3631" s="1406">
        <v>91.34</v>
      </c>
    </row>
    <row r="3632" spans="2:9">
      <c r="B3632" s="677">
        <v>96681</v>
      </c>
      <c r="C3632" s="733" t="s">
        <v>6522</v>
      </c>
      <c r="D3632" s="677" t="s">
        <v>21</v>
      </c>
      <c r="E3632" s="738">
        <f t="shared" si="112"/>
        <v>122.92</v>
      </c>
      <c r="F3632">
        <f t="shared" si="113"/>
        <v>96681</v>
      </c>
      <c r="H3632" s="1405">
        <v>121.29</v>
      </c>
      <c r="I3632" s="1405">
        <v>122.92</v>
      </c>
    </row>
    <row r="3633" spans="2:9">
      <c r="B3633" s="1477">
        <v>96682</v>
      </c>
      <c r="C3633" s="740" t="s">
        <v>6523</v>
      </c>
      <c r="D3633" s="739" t="s">
        <v>21</v>
      </c>
      <c r="E3633" s="741">
        <f t="shared" si="112"/>
        <v>202.79</v>
      </c>
      <c r="F3633">
        <f t="shared" si="113"/>
        <v>96682</v>
      </c>
      <c r="H3633" s="1406">
        <v>200.84</v>
      </c>
      <c r="I3633" s="1406">
        <v>202.79</v>
      </c>
    </row>
    <row r="3634" spans="2:9">
      <c r="B3634" s="677">
        <v>96683</v>
      </c>
      <c r="C3634" s="733" t="s">
        <v>6524</v>
      </c>
      <c r="D3634" s="677" t="s">
        <v>21</v>
      </c>
      <c r="E3634" s="738">
        <f t="shared" si="112"/>
        <v>278.35000000000002</v>
      </c>
      <c r="F3634">
        <f t="shared" si="113"/>
        <v>96683</v>
      </c>
      <c r="H3634" s="1405">
        <v>276</v>
      </c>
      <c r="I3634" s="1405">
        <v>278.35000000000002</v>
      </c>
    </row>
    <row r="3635" spans="2:9" ht="30">
      <c r="B3635" s="1477">
        <v>96718</v>
      </c>
      <c r="C3635" s="740" t="s">
        <v>1758</v>
      </c>
      <c r="D3635" s="739" t="s">
        <v>21</v>
      </c>
      <c r="E3635" s="741">
        <f t="shared" si="112"/>
        <v>9.5</v>
      </c>
      <c r="F3635">
        <f t="shared" si="113"/>
        <v>96718</v>
      </c>
      <c r="H3635" s="1406">
        <v>9.4700000000000006</v>
      </c>
      <c r="I3635" s="1406">
        <v>9.5</v>
      </c>
    </row>
    <row r="3636" spans="2:9" ht="30">
      <c r="B3636" s="677">
        <v>96719</v>
      </c>
      <c r="C3636" s="733" t="s">
        <v>1759</v>
      </c>
      <c r="D3636" s="677" t="s">
        <v>21</v>
      </c>
      <c r="E3636" s="738">
        <f t="shared" si="112"/>
        <v>18.53</v>
      </c>
      <c r="F3636">
        <f t="shared" si="113"/>
        <v>96719</v>
      </c>
      <c r="H3636" s="1405">
        <v>17.89</v>
      </c>
      <c r="I3636" s="1405">
        <v>18.53</v>
      </c>
    </row>
    <row r="3637" spans="2:9" ht="30">
      <c r="B3637" s="1477">
        <v>96720</v>
      </c>
      <c r="C3637" s="740" t="s">
        <v>1760</v>
      </c>
      <c r="D3637" s="739" t="s">
        <v>21</v>
      </c>
      <c r="E3637" s="741">
        <f t="shared" si="112"/>
        <v>17.22</v>
      </c>
      <c r="F3637">
        <f t="shared" si="113"/>
        <v>96720</v>
      </c>
      <c r="H3637" s="1406">
        <v>16.47</v>
      </c>
      <c r="I3637" s="1406">
        <v>17.22</v>
      </c>
    </row>
    <row r="3638" spans="2:9" ht="30">
      <c r="B3638" s="677">
        <v>96721</v>
      </c>
      <c r="C3638" s="733" t="s">
        <v>1761</v>
      </c>
      <c r="D3638" s="677" t="s">
        <v>21</v>
      </c>
      <c r="E3638" s="738">
        <f t="shared" si="112"/>
        <v>20.76</v>
      </c>
      <c r="F3638">
        <f t="shared" si="113"/>
        <v>96721</v>
      </c>
      <c r="H3638" s="1405">
        <v>20.010000000000002</v>
      </c>
      <c r="I3638" s="1405">
        <v>20.76</v>
      </c>
    </row>
    <row r="3639" spans="2:9" ht="30">
      <c r="B3639" s="1477">
        <v>96722</v>
      </c>
      <c r="C3639" s="740" t="s">
        <v>1762</v>
      </c>
      <c r="D3639" s="739" t="s">
        <v>21</v>
      </c>
      <c r="E3639" s="741">
        <f t="shared" si="112"/>
        <v>33.18</v>
      </c>
      <c r="F3639">
        <f t="shared" si="113"/>
        <v>96722</v>
      </c>
      <c r="H3639" s="1406">
        <v>32.04</v>
      </c>
      <c r="I3639" s="1406">
        <v>33.18</v>
      </c>
    </row>
    <row r="3640" spans="2:9" ht="30">
      <c r="B3640" s="677">
        <v>96723</v>
      </c>
      <c r="C3640" s="733" t="s">
        <v>1763</v>
      </c>
      <c r="D3640" s="677" t="s">
        <v>21</v>
      </c>
      <c r="E3640" s="738">
        <f t="shared" si="112"/>
        <v>47.15</v>
      </c>
      <c r="F3640">
        <f t="shared" si="113"/>
        <v>96723</v>
      </c>
      <c r="H3640" s="1405">
        <v>46.01</v>
      </c>
      <c r="I3640" s="1405">
        <v>47.15</v>
      </c>
    </row>
    <row r="3641" spans="2:9" ht="30">
      <c r="B3641" s="1477">
        <v>96724</v>
      </c>
      <c r="C3641" s="740" t="s">
        <v>1764</v>
      </c>
      <c r="D3641" s="739" t="s">
        <v>21</v>
      </c>
      <c r="E3641" s="741">
        <f t="shared" si="112"/>
        <v>63.36</v>
      </c>
      <c r="F3641">
        <f t="shared" si="113"/>
        <v>96724</v>
      </c>
      <c r="H3641" s="1406">
        <v>61.48</v>
      </c>
      <c r="I3641" s="1406">
        <v>63.36</v>
      </c>
    </row>
    <row r="3642" spans="2:9" ht="30">
      <c r="B3642" s="677">
        <v>96725</v>
      </c>
      <c r="C3642" s="733" t="s">
        <v>1765</v>
      </c>
      <c r="D3642" s="677" t="s">
        <v>21</v>
      </c>
      <c r="E3642" s="738">
        <f t="shared" si="112"/>
        <v>96.1</v>
      </c>
      <c r="F3642">
        <f t="shared" si="113"/>
        <v>96725</v>
      </c>
      <c r="H3642" s="1405">
        <v>94.22</v>
      </c>
      <c r="I3642" s="1405">
        <v>96.1</v>
      </c>
    </row>
    <row r="3643" spans="2:9" ht="30">
      <c r="B3643" s="1477">
        <v>96726</v>
      </c>
      <c r="C3643" s="740" t="s">
        <v>1766</v>
      </c>
      <c r="D3643" s="739" t="s">
        <v>21</v>
      </c>
      <c r="E3643" s="741">
        <f t="shared" si="112"/>
        <v>136.63999999999999</v>
      </c>
      <c r="F3643">
        <f t="shared" si="113"/>
        <v>96726</v>
      </c>
      <c r="H3643" s="1406">
        <v>133.69999999999999</v>
      </c>
      <c r="I3643" s="1406">
        <v>136.63999999999999</v>
      </c>
    </row>
    <row r="3644" spans="2:9" ht="30">
      <c r="B3644" s="677">
        <v>96727</v>
      </c>
      <c r="C3644" s="733" t="s">
        <v>1767</v>
      </c>
      <c r="D3644" s="677" t="s">
        <v>21</v>
      </c>
      <c r="E3644" s="738">
        <f t="shared" si="112"/>
        <v>16.739999999999998</v>
      </c>
      <c r="F3644">
        <f t="shared" si="113"/>
        <v>96727</v>
      </c>
      <c r="H3644" s="1405">
        <v>16.04</v>
      </c>
      <c r="I3644" s="1405">
        <v>16.739999999999998</v>
      </c>
    </row>
    <row r="3645" spans="2:9" ht="30">
      <c r="B3645" s="1477">
        <v>96728</v>
      </c>
      <c r="C3645" s="740" t="s">
        <v>1768</v>
      </c>
      <c r="D3645" s="739" t="s">
        <v>21</v>
      </c>
      <c r="E3645" s="741">
        <f t="shared" si="112"/>
        <v>20.61</v>
      </c>
      <c r="F3645">
        <f t="shared" si="113"/>
        <v>96728</v>
      </c>
      <c r="H3645" s="1406">
        <v>19.91</v>
      </c>
      <c r="I3645" s="1406">
        <v>20.61</v>
      </c>
    </row>
    <row r="3646" spans="2:9" ht="30">
      <c r="B3646" s="677">
        <v>96729</v>
      </c>
      <c r="C3646" s="733" t="s">
        <v>1769</v>
      </c>
      <c r="D3646" s="677" t="s">
        <v>21</v>
      </c>
      <c r="E3646" s="738">
        <f t="shared" si="112"/>
        <v>27</v>
      </c>
      <c r="F3646">
        <f t="shared" si="113"/>
        <v>96729</v>
      </c>
      <c r="H3646" s="1405">
        <v>26.11</v>
      </c>
      <c r="I3646" s="1405">
        <v>27</v>
      </c>
    </row>
    <row r="3647" spans="2:9" ht="30">
      <c r="B3647" s="1477">
        <v>96730</v>
      </c>
      <c r="C3647" s="740" t="s">
        <v>1770</v>
      </c>
      <c r="D3647" s="739" t="s">
        <v>21</v>
      </c>
      <c r="E3647" s="741">
        <f t="shared" si="112"/>
        <v>35.200000000000003</v>
      </c>
      <c r="F3647">
        <f t="shared" si="113"/>
        <v>96730</v>
      </c>
      <c r="H3647" s="1406">
        <v>34.31</v>
      </c>
      <c r="I3647" s="1406">
        <v>35.200000000000003</v>
      </c>
    </row>
    <row r="3648" spans="2:9" ht="30">
      <c r="B3648" s="677">
        <v>96731</v>
      </c>
      <c r="C3648" s="733" t="s">
        <v>1771</v>
      </c>
      <c r="D3648" s="677" t="s">
        <v>21</v>
      </c>
      <c r="E3648" s="738">
        <f t="shared" si="112"/>
        <v>54.78</v>
      </c>
      <c r="F3648">
        <f t="shared" si="113"/>
        <v>96731</v>
      </c>
      <c r="H3648" s="1405">
        <v>53.43</v>
      </c>
      <c r="I3648" s="1405">
        <v>54.78</v>
      </c>
    </row>
    <row r="3649" spans="2:9" ht="30">
      <c r="B3649" s="1477">
        <v>96732</v>
      </c>
      <c r="C3649" s="740" t="s">
        <v>1772</v>
      </c>
      <c r="D3649" s="739" t="s">
        <v>21</v>
      </c>
      <c r="E3649" s="741">
        <f t="shared" si="112"/>
        <v>86.56</v>
      </c>
      <c r="F3649">
        <f t="shared" si="113"/>
        <v>96732</v>
      </c>
      <c r="H3649" s="1406">
        <v>85.21</v>
      </c>
      <c r="I3649" s="1406">
        <v>86.56</v>
      </c>
    </row>
    <row r="3650" spans="2:9" ht="30">
      <c r="B3650" s="677">
        <v>96733</v>
      </c>
      <c r="C3650" s="733" t="s">
        <v>1773</v>
      </c>
      <c r="D3650" s="677" t="s">
        <v>21</v>
      </c>
      <c r="E3650" s="738">
        <f t="shared" si="112"/>
        <v>120.3</v>
      </c>
      <c r="F3650">
        <f t="shared" si="113"/>
        <v>96733</v>
      </c>
      <c r="H3650" s="1405">
        <v>118.06</v>
      </c>
      <c r="I3650" s="1405">
        <v>120.3</v>
      </c>
    </row>
    <row r="3651" spans="2:9" ht="30">
      <c r="B3651" s="1477">
        <v>96734</v>
      </c>
      <c r="C3651" s="740" t="s">
        <v>1774</v>
      </c>
      <c r="D3651" s="739" t="s">
        <v>21</v>
      </c>
      <c r="E3651" s="741">
        <f t="shared" ref="E3651:E3714" si="114">IF($K$2=$H$1,H3651,I3651)</f>
        <v>191.43</v>
      </c>
      <c r="F3651">
        <f t="shared" ref="F3651:F3714" si="115">IF(LEN($B3651)=7,CONCATENATE(MID($B3651,1,6),"00",RIGHT($B3651,1)),IF(LEN($B3651)=8,CONCATENATE(MID($B3651,1,6),"0",RIGHT($B3651,2)),$B3651))</f>
        <v>96734</v>
      </c>
      <c r="H3651" s="1406">
        <v>189.19</v>
      </c>
      <c r="I3651" s="1406">
        <v>191.43</v>
      </c>
    </row>
    <row r="3652" spans="2:9" ht="30">
      <c r="B3652" s="677">
        <v>96735</v>
      </c>
      <c r="C3652" s="733" t="s">
        <v>1775</v>
      </c>
      <c r="D3652" s="677" t="s">
        <v>21</v>
      </c>
      <c r="E3652" s="738">
        <f t="shared" si="114"/>
        <v>253.08</v>
      </c>
      <c r="F3652">
        <f t="shared" si="115"/>
        <v>96735</v>
      </c>
      <c r="H3652" s="1405">
        <v>249.55</v>
      </c>
      <c r="I3652" s="1405">
        <v>253.08</v>
      </c>
    </row>
    <row r="3653" spans="2:9" ht="30">
      <c r="B3653" s="1477">
        <v>96798</v>
      </c>
      <c r="C3653" s="740" t="s">
        <v>7386</v>
      </c>
      <c r="D3653" s="739" t="s">
        <v>21</v>
      </c>
      <c r="E3653" s="741">
        <f t="shared" si="114"/>
        <v>7.91</v>
      </c>
      <c r="F3653">
        <f t="shared" si="115"/>
        <v>96798</v>
      </c>
      <c r="H3653" s="1406">
        <v>7.62</v>
      </c>
      <c r="I3653" s="1406">
        <v>7.91</v>
      </c>
    </row>
    <row r="3654" spans="2:9" ht="30">
      <c r="B3654" s="677">
        <v>96799</v>
      </c>
      <c r="C3654" s="733" t="s">
        <v>7387</v>
      </c>
      <c r="D3654" s="677" t="s">
        <v>21</v>
      </c>
      <c r="E3654" s="738">
        <f t="shared" si="114"/>
        <v>10.15</v>
      </c>
      <c r="F3654">
        <f t="shared" si="115"/>
        <v>96799</v>
      </c>
      <c r="H3654" s="1405">
        <v>9.7799999999999994</v>
      </c>
      <c r="I3654" s="1405">
        <v>10.15</v>
      </c>
    </row>
    <row r="3655" spans="2:9" ht="30">
      <c r="B3655" s="1477">
        <v>96800</v>
      </c>
      <c r="C3655" s="740" t="s">
        <v>7388</v>
      </c>
      <c r="D3655" s="739" t="s">
        <v>21</v>
      </c>
      <c r="E3655" s="741">
        <f t="shared" si="114"/>
        <v>13.87</v>
      </c>
      <c r="F3655">
        <f t="shared" si="115"/>
        <v>96800</v>
      </c>
      <c r="H3655" s="1406">
        <v>13.42</v>
      </c>
      <c r="I3655" s="1406">
        <v>13.87</v>
      </c>
    </row>
    <row r="3656" spans="2:9" ht="30">
      <c r="B3656" s="677">
        <v>96801</v>
      </c>
      <c r="C3656" s="733" t="s">
        <v>7389</v>
      </c>
      <c r="D3656" s="677" t="s">
        <v>21</v>
      </c>
      <c r="E3656" s="738">
        <f t="shared" si="114"/>
        <v>21.18</v>
      </c>
      <c r="F3656">
        <f t="shared" si="115"/>
        <v>96801</v>
      </c>
      <c r="H3656" s="1405">
        <v>20.59</v>
      </c>
      <c r="I3656" s="1405">
        <v>21.18</v>
      </c>
    </row>
    <row r="3657" spans="2:9" ht="30">
      <c r="B3657" s="1477">
        <v>97327</v>
      </c>
      <c r="C3657" s="740" t="s">
        <v>2152</v>
      </c>
      <c r="D3657" s="739" t="s">
        <v>21</v>
      </c>
      <c r="E3657" s="741">
        <f t="shared" si="114"/>
        <v>25.88</v>
      </c>
      <c r="F3657">
        <f t="shared" si="115"/>
        <v>97327</v>
      </c>
      <c r="H3657" s="1406">
        <v>25.63</v>
      </c>
      <c r="I3657" s="1406">
        <v>25.88</v>
      </c>
    </row>
    <row r="3658" spans="2:9" ht="30">
      <c r="B3658" s="677">
        <v>97328</v>
      </c>
      <c r="C3658" s="733" t="s">
        <v>2105</v>
      </c>
      <c r="D3658" s="677" t="s">
        <v>21</v>
      </c>
      <c r="E3658" s="738">
        <f t="shared" si="114"/>
        <v>43.48</v>
      </c>
      <c r="F3658">
        <f t="shared" si="115"/>
        <v>97328</v>
      </c>
      <c r="H3658" s="1405">
        <v>43.2</v>
      </c>
      <c r="I3658" s="1405">
        <v>43.48</v>
      </c>
    </row>
    <row r="3659" spans="2:9" ht="30">
      <c r="B3659" s="1477">
        <v>97329</v>
      </c>
      <c r="C3659" s="740" t="s">
        <v>2106</v>
      </c>
      <c r="D3659" s="739" t="s">
        <v>21</v>
      </c>
      <c r="E3659" s="741">
        <f t="shared" si="114"/>
        <v>55.1</v>
      </c>
      <c r="F3659">
        <f t="shared" si="115"/>
        <v>97329</v>
      </c>
      <c r="H3659" s="1406">
        <v>54.81</v>
      </c>
      <c r="I3659" s="1406">
        <v>55.1</v>
      </c>
    </row>
    <row r="3660" spans="2:9" ht="30">
      <c r="B3660" s="677">
        <v>97330</v>
      </c>
      <c r="C3660" s="733" t="s">
        <v>2107</v>
      </c>
      <c r="D3660" s="677" t="s">
        <v>21</v>
      </c>
      <c r="E3660" s="738">
        <f t="shared" si="114"/>
        <v>67.34</v>
      </c>
      <c r="F3660">
        <f t="shared" si="115"/>
        <v>97330</v>
      </c>
      <c r="H3660" s="1405">
        <v>67.03</v>
      </c>
      <c r="I3660" s="1405">
        <v>67.34</v>
      </c>
    </row>
    <row r="3661" spans="2:9" ht="30">
      <c r="B3661" s="1477">
        <v>97331</v>
      </c>
      <c r="C3661" s="740" t="s">
        <v>2108</v>
      </c>
      <c r="D3661" s="739" t="s">
        <v>21</v>
      </c>
      <c r="E3661" s="741">
        <f t="shared" si="114"/>
        <v>26.21</v>
      </c>
      <c r="F3661">
        <f t="shared" si="115"/>
        <v>97331</v>
      </c>
      <c r="H3661" s="1406">
        <v>25.92</v>
      </c>
      <c r="I3661" s="1406">
        <v>26.21</v>
      </c>
    </row>
    <row r="3662" spans="2:9" ht="30">
      <c r="B3662" s="677">
        <v>97332</v>
      </c>
      <c r="C3662" s="733" t="s">
        <v>2109</v>
      </c>
      <c r="D3662" s="677" t="s">
        <v>21</v>
      </c>
      <c r="E3662" s="738">
        <f t="shared" si="114"/>
        <v>43.85</v>
      </c>
      <c r="F3662">
        <f t="shared" si="115"/>
        <v>97332</v>
      </c>
      <c r="H3662" s="1405">
        <v>43.54</v>
      </c>
      <c r="I3662" s="1405">
        <v>43.85</v>
      </c>
    </row>
    <row r="3663" spans="2:9" ht="30">
      <c r="B3663" s="1477">
        <v>97333</v>
      </c>
      <c r="C3663" s="740" t="s">
        <v>2110</v>
      </c>
      <c r="D3663" s="739" t="s">
        <v>21</v>
      </c>
      <c r="E3663" s="741">
        <f t="shared" si="114"/>
        <v>55.57</v>
      </c>
      <c r="F3663">
        <f t="shared" si="115"/>
        <v>97333</v>
      </c>
      <c r="H3663" s="1406">
        <v>55.22</v>
      </c>
      <c r="I3663" s="1406">
        <v>55.57</v>
      </c>
    </row>
    <row r="3664" spans="2:9" ht="30">
      <c r="B3664" s="677">
        <v>97334</v>
      </c>
      <c r="C3664" s="733" t="s">
        <v>2153</v>
      </c>
      <c r="D3664" s="677" t="s">
        <v>21</v>
      </c>
      <c r="E3664" s="738">
        <f t="shared" si="114"/>
        <v>67.849999999999994</v>
      </c>
      <c r="F3664">
        <f t="shared" si="115"/>
        <v>97334</v>
      </c>
      <c r="H3664" s="1405">
        <v>67.489999999999995</v>
      </c>
      <c r="I3664" s="1405">
        <v>67.849999999999994</v>
      </c>
    </row>
    <row r="3665" spans="2:9" ht="30">
      <c r="B3665" s="1477">
        <v>97335</v>
      </c>
      <c r="C3665" s="740" t="s">
        <v>5600</v>
      </c>
      <c r="D3665" s="739" t="s">
        <v>21</v>
      </c>
      <c r="E3665" s="741">
        <f t="shared" si="114"/>
        <v>76.260000000000005</v>
      </c>
      <c r="F3665">
        <f t="shared" si="115"/>
        <v>97335</v>
      </c>
      <c r="H3665" s="1406">
        <v>76.05</v>
      </c>
      <c r="I3665" s="1406">
        <v>76.260000000000005</v>
      </c>
    </row>
    <row r="3666" spans="2:9" ht="30">
      <c r="B3666" s="677">
        <v>97336</v>
      </c>
      <c r="C3666" s="733" t="s">
        <v>5601</v>
      </c>
      <c r="D3666" s="677" t="s">
        <v>21</v>
      </c>
      <c r="E3666" s="738">
        <f t="shared" si="114"/>
        <v>97.04</v>
      </c>
      <c r="F3666">
        <f t="shared" si="115"/>
        <v>97336</v>
      </c>
      <c r="H3666" s="1405">
        <v>96.77</v>
      </c>
      <c r="I3666" s="1405">
        <v>97.04</v>
      </c>
    </row>
    <row r="3667" spans="2:9" ht="30">
      <c r="B3667" s="1477">
        <v>97337</v>
      </c>
      <c r="C3667" s="740" t="s">
        <v>5602</v>
      </c>
      <c r="D3667" s="739" t="s">
        <v>21</v>
      </c>
      <c r="E3667" s="741">
        <f t="shared" si="114"/>
        <v>145.93</v>
      </c>
      <c r="F3667">
        <f t="shared" si="115"/>
        <v>97337</v>
      </c>
      <c r="H3667" s="1406">
        <v>145.59</v>
      </c>
      <c r="I3667" s="1406">
        <v>145.93</v>
      </c>
    </row>
    <row r="3668" spans="2:9" ht="30">
      <c r="B3668" s="677">
        <v>97338</v>
      </c>
      <c r="C3668" s="733" t="s">
        <v>5603</v>
      </c>
      <c r="D3668" s="677" t="s">
        <v>21</v>
      </c>
      <c r="E3668" s="738">
        <f t="shared" si="114"/>
        <v>175.59</v>
      </c>
      <c r="F3668">
        <f t="shared" si="115"/>
        <v>97338</v>
      </c>
      <c r="H3668" s="1405">
        <v>175.17</v>
      </c>
      <c r="I3668" s="1405">
        <v>175.59</v>
      </c>
    </row>
    <row r="3669" spans="2:9" ht="30">
      <c r="B3669" s="1477">
        <v>97339</v>
      </c>
      <c r="C3669" s="740" t="s">
        <v>5604</v>
      </c>
      <c r="D3669" s="739" t="s">
        <v>21</v>
      </c>
      <c r="E3669" s="741">
        <f t="shared" si="114"/>
        <v>189.15</v>
      </c>
      <c r="F3669">
        <f t="shared" si="115"/>
        <v>97339</v>
      </c>
      <c r="H3669" s="1406">
        <v>188.61</v>
      </c>
      <c r="I3669" s="1406">
        <v>189.15</v>
      </c>
    </row>
    <row r="3670" spans="2:9" ht="30">
      <c r="B3670" s="677">
        <v>97340</v>
      </c>
      <c r="C3670" s="733" t="s">
        <v>5605</v>
      </c>
      <c r="D3670" s="677" t="s">
        <v>21</v>
      </c>
      <c r="E3670" s="738">
        <f t="shared" si="114"/>
        <v>190.34</v>
      </c>
      <c r="F3670">
        <f t="shared" si="115"/>
        <v>97340</v>
      </c>
      <c r="H3670" s="1405">
        <v>189.67</v>
      </c>
      <c r="I3670" s="1405">
        <v>190.34</v>
      </c>
    </row>
    <row r="3671" spans="2:9" ht="30">
      <c r="B3671" s="1477">
        <v>97347</v>
      </c>
      <c r="C3671" s="740" t="s">
        <v>2111</v>
      </c>
      <c r="D3671" s="739" t="s">
        <v>21</v>
      </c>
      <c r="E3671" s="741">
        <f t="shared" si="114"/>
        <v>91.88</v>
      </c>
      <c r="F3671">
        <f t="shared" si="115"/>
        <v>97347</v>
      </c>
      <c r="H3671" s="1406">
        <v>91.65</v>
      </c>
      <c r="I3671" s="1406">
        <v>91.88</v>
      </c>
    </row>
    <row r="3672" spans="2:9" ht="30">
      <c r="B3672" s="677">
        <v>97348</v>
      </c>
      <c r="C3672" s="733" t="s">
        <v>2112</v>
      </c>
      <c r="D3672" s="677" t="s">
        <v>21</v>
      </c>
      <c r="E3672" s="738">
        <f t="shared" si="114"/>
        <v>126.87</v>
      </c>
      <c r="F3672">
        <f t="shared" si="115"/>
        <v>97348</v>
      </c>
      <c r="H3672" s="1405">
        <v>126.59</v>
      </c>
      <c r="I3672" s="1405">
        <v>126.87</v>
      </c>
    </row>
    <row r="3673" spans="2:9" ht="30">
      <c r="B3673" s="1477">
        <v>97349</v>
      </c>
      <c r="C3673" s="740" t="s">
        <v>2113</v>
      </c>
      <c r="D3673" s="739" t="s">
        <v>21</v>
      </c>
      <c r="E3673" s="741">
        <f t="shared" si="114"/>
        <v>182.81</v>
      </c>
      <c r="F3673">
        <f t="shared" si="115"/>
        <v>97349</v>
      </c>
      <c r="H3673" s="1406">
        <v>182.49</v>
      </c>
      <c r="I3673" s="1406">
        <v>182.81</v>
      </c>
    </row>
    <row r="3674" spans="2:9" ht="30">
      <c r="B3674" s="677">
        <v>97350</v>
      </c>
      <c r="C3674" s="733" t="s">
        <v>2114</v>
      </c>
      <c r="D3674" s="677" t="s">
        <v>21</v>
      </c>
      <c r="E3674" s="738">
        <f t="shared" si="114"/>
        <v>221.95</v>
      </c>
      <c r="F3674">
        <f t="shared" si="115"/>
        <v>97350</v>
      </c>
      <c r="H3674" s="1405">
        <v>221.58</v>
      </c>
      <c r="I3674" s="1405">
        <v>221.95</v>
      </c>
    </row>
    <row r="3675" spans="2:9" ht="30">
      <c r="B3675" s="1477">
        <v>97351</v>
      </c>
      <c r="C3675" s="740" t="s">
        <v>2115</v>
      </c>
      <c r="D3675" s="739" t="s">
        <v>21</v>
      </c>
      <c r="E3675" s="741">
        <f t="shared" si="114"/>
        <v>306.83999999999997</v>
      </c>
      <c r="F3675">
        <f t="shared" si="115"/>
        <v>97351</v>
      </c>
      <c r="H3675" s="1406">
        <v>306.38</v>
      </c>
      <c r="I3675" s="1406">
        <v>306.83999999999997</v>
      </c>
    </row>
    <row r="3676" spans="2:9" ht="30">
      <c r="B3676" s="677">
        <v>97352</v>
      </c>
      <c r="C3676" s="733" t="s">
        <v>2116</v>
      </c>
      <c r="D3676" s="677" t="s">
        <v>21</v>
      </c>
      <c r="E3676" s="738">
        <f t="shared" si="114"/>
        <v>397.6</v>
      </c>
      <c r="F3676">
        <f t="shared" si="115"/>
        <v>97352</v>
      </c>
      <c r="H3676" s="1405">
        <v>397.06</v>
      </c>
      <c r="I3676" s="1405">
        <v>397.6</v>
      </c>
    </row>
    <row r="3677" spans="2:9" ht="30">
      <c r="B3677" s="1477">
        <v>97353</v>
      </c>
      <c r="C3677" s="740" t="s">
        <v>2117</v>
      </c>
      <c r="D3677" s="739" t="s">
        <v>21</v>
      </c>
      <c r="E3677" s="741">
        <f t="shared" si="114"/>
        <v>60.83</v>
      </c>
      <c r="F3677">
        <f t="shared" si="115"/>
        <v>97353</v>
      </c>
      <c r="H3677" s="1406">
        <v>60.22</v>
      </c>
      <c r="I3677" s="1406">
        <v>60.83</v>
      </c>
    </row>
    <row r="3678" spans="2:9" ht="30">
      <c r="B3678" s="677">
        <v>97354</v>
      </c>
      <c r="C3678" s="733" t="s">
        <v>2118</v>
      </c>
      <c r="D3678" s="677" t="s">
        <v>21</v>
      </c>
      <c r="E3678" s="738">
        <f t="shared" si="114"/>
        <v>96.38</v>
      </c>
      <c r="F3678">
        <f t="shared" si="115"/>
        <v>97354</v>
      </c>
      <c r="H3678" s="1405">
        <v>95.68</v>
      </c>
      <c r="I3678" s="1405">
        <v>96.38</v>
      </c>
    </row>
    <row r="3679" spans="2:9" ht="30">
      <c r="B3679" s="1477">
        <v>97355</v>
      </c>
      <c r="C3679" s="740" t="s">
        <v>2119</v>
      </c>
      <c r="D3679" s="739" t="s">
        <v>21</v>
      </c>
      <c r="E3679" s="741">
        <f t="shared" si="114"/>
        <v>131.69</v>
      </c>
      <c r="F3679">
        <f t="shared" si="115"/>
        <v>97355</v>
      </c>
      <c r="H3679" s="1406">
        <v>130.91</v>
      </c>
      <c r="I3679" s="1406">
        <v>131.69</v>
      </c>
    </row>
    <row r="3680" spans="2:9" ht="30">
      <c r="B3680" s="677">
        <v>97356</v>
      </c>
      <c r="C3680" s="733" t="s">
        <v>2120</v>
      </c>
      <c r="D3680" s="677" t="s">
        <v>21</v>
      </c>
      <c r="E3680" s="738">
        <f t="shared" si="114"/>
        <v>70.73</v>
      </c>
      <c r="F3680">
        <f t="shared" si="115"/>
        <v>97356</v>
      </c>
      <c r="H3680" s="1405">
        <v>69.08</v>
      </c>
      <c r="I3680" s="1405">
        <v>70.73</v>
      </c>
    </row>
    <row r="3681" spans="2:9" ht="30">
      <c r="B3681" s="1477">
        <v>97357</v>
      </c>
      <c r="C3681" s="740" t="s">
        <v>2121</v>
      </c>
      <c r="D3681" s="739" t="s">
        <v>21</v>
      </c>
      <c r="E3681" s="741">
        <f t="shared" si="114"/>
        <v>113.39</v>
      </c>
      <c r="F3681">
        <f t="shared" si="115"/>
        <v>97357</v>
      </c>
      <c r="H3681" s="1406">
        <v>110.9</v>
      </c>
      <c r="I3681" s="1406">
        <v>113.39</v>
      </c>
    </row>
    <row r="3682" spans="2:9" ht="30">
      <c r="B3682" s="677">
        <v>97358</v>
      </c>
      <c r="C3682" s="733" t="s">
        <v>2122</v>
      </c>
      <c r="D3682" s="677" t="s">
        <v>21</v>
      </c>
      <c r="E3682" s="738">
        <f t="shared" si="114"/>
        <v>154.88</v>
      </c>
      <c r="F3682">
        <f t="shared" si="115"/>
        <v>97358</v>
      </c>
      <c r="H3682" s="1405">
        <v>151.66999999999999</v>
      </c>
      <c r="I3682" s="1405">
        <v>154.88</v>
      </c>
    </row>
    <row r="3683" spans="2:9" ht="30">
      <c r="B3683" s="1477">
        <v>97498</v>
      </c>
      <c r="C3683" s="740" t="s">
        <v>4030</v>
      </c>
      <c r="D3683" s="739" t="s">
        <v>21</v>
      </c>
      <c r="E3683" s="741">
        <f t="shared" si="114"/>
        <v>43.39</v>
      </c>
      <c r="F3683">
        <f t="shared" si="115"/>
        <v>97498</v>
      </c>
      <c r="H3683" s="1406">
        <v>42.6</v>
      </c>
      <c r="I3683" s="1406">
        <v>43.39</v>
      </c>
    </row>
    <row r="3684" spans="2:9" ht="30">
      <c r="B3684" s="677">
        <v>97535</v>
      </c>
      <c r="C3684" s="733" t="s">
        <v>4031</v>
      </c>
      <c r="D3684" s="677" t="s">
        <v>21</v>
      </c>
      <c r="E3684" s="738">
        <f t="shared" si="114"/>
        <v>47.9</v>
      </c>
      <c r="F3684">
        <f t="shared" si="115"/>
        <v>97535</v>
      </c>
      <c r="H3684" s="1405">
        <v>46.63</v>
      </c>
      <c r="I3684" s="1405">
        <v>47.9</v>
      </c>
    </row>
    <row r="3685" spans="2:9" ht="30">
      <c r="B3685" s="1477">
        <v>97536</v>
      </c>
      <c r="C3685" s="740" t="s">
        <v>4032</v>
      </c>
      <c r="D3685" s="739" t="s">
        <v>21</v>
      </c>
      <c r="E3685" s="741">
        <f t="shared" si="114"/>
        <v>58.27</v>
      </c>
      <c r="F3685">
        <f t="shared" si="115"/>
        <v>97536</v>
      </c>
      <c r="H3685" s="1406">
        <v>55.91</v>
      </c>
      <c r="I3685" s="1406">
        <v>58.27</v>
      </c>
    </row>
    <row r="3686" spans="2:9" ht="30">
      <c r="B3686" s="677">
        <v>100788</v>
      </c>
      <c r="C3686" s="733" t="s">
        <v>3046</v>
      </c>
      <c r="D3686" s="677" t="s">
        <v>22</v>
      </c>
      <c r="E3686" s="738">
        <f t="shared" si="114"/>
        <v>577.77</v>
      </c>
      <c r="F3686">
        <f t="shared" si="115"/>
        <v>100788</v>
      </c>
      <c r="H3686" s="1405">
        <v>559.33000000000004</v>
      </c>
      <c r="I3686" s="1405">
        <v>577.77</v>
      </c>
    </row>
    <row r="3687" spans="2:9" ht="30">
      <c r="B3687" s="1477">
        <v>100791</v>
      </c>
      <c r="C3687" s="740" t="s">
        <v>3047</v>
      </c>
      <c r="D3687" s="739" t="s">
        <v>21</v>
      </c>
      <c r="E3687" s="741">
        <f t="shared" si="114"/>
        <v>17.02</v>
      </c>
      <c r="F3687">
        <f t="shared" si="115"/>
        <v>100791</v>
      </c>
      <c r="H3687" s="1406">
        <v>16.239999999999998</v>
      </c>
      <c r="I3687" s="1406">
        <v>17.02</v>
      </c>
    </row>
    <row r="3688" spans="2:9" ht="30">
      <c r="B3688" s="677">
        <v>100792</v>
      </c>
      <c r="C3688" s="733" t="s">
        <v>3048</v>
      </c>
      <c r="D3688" s="677" t="s">
        <v>21</v>
      </c>
      <c r="E3688" s="738">
        <f t="shared" si="114"/>
        <v>24.61</v>
      </c>
      <c r="F3688">
        <f t="shared" si="115"/>
        <v>100792</v>
      </c>
      <c r="H3688" s="1405">
        <v>23.69</v>
      </c>
      <c r="I3688" s="1405">
        <v>24.61</v>
      </c>
    </row>
    <row r="3689" spans="2:9" ht="30">
      <c r="B3689" s="1477">
        <v>100793</v>
      </c>
      <c r="C3689" s="740" t="s">
        <v>3049</v>
      </c>
      <c r="D3689" s="739" t="s">
        <v>21</v>
      </c>
      <c r="E3689" s="741">
        <f t="shared" si="114"/>
        <v>32.46</v>
      </c>
      <c r="F3689">
        <f t="shared" si="115"/>
        <v>100793</v>
      </c>
      <c r="H3689" s="1406">
        <v>31.36</v>
      </c>
      <c r="I3689" s="1406">
        <v>32.46</v>
      </c>
    </row>
    <row r="3690" spans="2:9" ht="30">
      <c r="B3690" s="677">
        <v>100794</v>
      </c>
      <c r="C3690" s="733" t="s">
        <v>3050</v>
      </c>
      <c r="D3690" s="677" t="s">
        <v>21</v>
      </c>
      <c r="E3690" s="738">
        <f t="shared" si="114"/>
        <v>43.57</v>
      </c>
      <c r="F3690">
        <f t="shared" si="115"/>
        <v>100794</v>
      </c>
      <c r="H3690" s="1405">
        <v>42.23</v>
      </c>
      <c r="I3690" s="1405">
        <v>43.57</v>
      </c>
    </row>
    <row r="3691" spans="2:9" ht="30">
      <c r="B3691" s="1477">
        <v>100799</v>
      </c>
      <c r="C3691" s="740" t="s">
        <v>4621</v>
      </c>
      <c r="D3691" s="739" t="s">
        <v>21</v>
      </c>
      <c r="E3691" s="741">
        <f t="shared" si="114"/>
        <v>17.48</v>
      </c>
      <c r="F3691">
        <f t="shared" si="115"/>
        <v>100799</v>
      </c>
      <c r="H3691" s="1406">
        <v>16.649999999999999</v>
      </c>
      <c r="I3691" s="1406">
        <v>17.48</v>
      </c>
    </row>
    <row r="3692" spans="2:9" ht="30">
      <c r="B3692" s="677">
        <v>100800</v>
      </c>
      <c r="C3692" s="733" t="s">
        <v>4622</v>
      </c>
      <c r="D3692" s="677" t="s">
        <v>21</v>
      </c>
      <c r="E3692" s="738">
        <f t="shared" si="114"/>
        <v>25.07</v>
      </c>
      <c r="F3692">
        <f t="shared" si="115"/>
        <v>100800</v>
      </c>
      <c r="H3692" s="1405">
        <v>24.1</v>
      </c>
      <c r="I3692" s="1405">
        <v>25.07</v>
      </c>
    </row>
    <row r="3693" spans="2:9" ht="30">
      <c r="B3693" s="1477">
        <v>100801</v>
      </c>
      <c r="C3693" s="740" t="s">
        <v>4623</v>
      </c>
      <c r="D3693" s="739" t="s">
        <v>21</v>
      </c>
      <c r="E3693" s="741">
        <f t="shared" si="114"/>
        <v>32.93</v>
      </c>
      <c r="F3693">
        <f t="shared" si="115"/>
        <v>100801</v>
      </c>
      <c r="H3693" s="1406">
        <v>31.78</v>
      </c>
      <c r="I3693" s="1406">
        <v>32.93</v>
      </c>
    </row>
    <row r="3694" spans="2:9" ht="30">
      <c r="B3694" s="677">
        <v>100802</v>
      </c>
      <c r="C3694" s="733" t="s">
        <v>4624</v>
      </c>
      <c r="D3694" s="677" t="s">
        <v>21</v>
      </c>
      <c r="E3694" s="738">
        <f t="shared" si="114"/>
        <v>44.03</v>
      </c>
      <c r="F3694">
        <f t="shared" si="115"/>
        <v>100802</v>
      </c>
      <c r="H3694" s="1405">
        <v>42.64</v>
      </c>
      <c r="I3694" s="1405">
        <v>44.03</v>
      </c>
    </row>
    <row r="3695" spans="2:9" ht="30">
      <c r="B3695" s="1477">
        <v>100803</v>
      </c>
      <c r="C3695" s="740" t="s">
        <v>3051</v>
      </c>
      <c r="D3695" s="739" t="s">
        <v>21</v>
      </c>
      <c r="E3695" s="741">
        <f t="shared" si="114"/>
        <v>16.07</v>
      </c>
      <c r="F3695">
        <f t="shared" si="115"/>
        <v>100803</v>
      </c>
      <c r="H3695" s="1406">
        <v>15.4</v>
      </c>
      <c r="I3695" s="1406">
        <v>16.07</v>
      </c>
    </row>
    <row r="3696" spans="2:9" ht="30">
      <c r="B3696" s="677">
        <v>100804</v>
      </c>
      <c r="C3696" s="733" t="s">
        <v>3052</v>
      </c>
      <c r="D3696" s="677" t="s">
        <v>21</v>
      </c>
      <c r="E3696" s="738">
        <f t="shared" si="114"/>
        <v>23.49</v>
      </c>
      <c r="F3696">
        <f t="shared" si="115"/>
        <v>100804</v>
      </c>
      <c r="H3696" s="1405">
        <v>22.69</v>
      </c>
      <c r="I3696" s="1405">
        <v>23.49</v>
      </c>
    </row>
    <row r="3697" spans="2:9" ht="30">
      <c r="B3697" s="1477">
        <v>100805</v>
      </c>
      <c r="C3697" s="740" t="s">
        <v>3053</v>
      </c>
      <c r="D3697" s="739" t="s">
        <v>21</v>
      </c>
      <c r="E3697" s="741">
        <f t="shared" si="114"/>
        <v>31.12</v>
      </c>
      <c r="F3697">
        <f t="shared" si="115"/>
        <v>100805</v>
      </c>
      <c r="H3697" s="1406">
        <v>30.17</v>
      </c>
      <c r="I3697" s="1406">
        <v>31.12</v>
      </c>
    </row>
    <row r="3698" spans="2:9" ht="30">
      <c r="B3698" s="677">
        <v>100806</v>
      </c>
      <c r="C3698" s="733" t="s">
        <v>3054</v>
      </c>
      <c r="D3698" s="677" t="s">
        <v>21</v>
      </c>
      <c r="E3698" s="738">
        <f t="shared" si="114"/>
        <v>41.93</v>
      </c>
      <c r="F3698">
        <f t="shared" si="115"/>
        <v>100806</v>
      </c>
      <c r="H3698" s="1405">
        <v>40.75</v>
      </c>
      <c r="I3698" s="1405">
        <v>41.93</v>
      </c>
    </row>
    <row r="3699" spans="2:9" ht="30">
      <c r="B3699" s="1477">
        <v>100807</v>
      </c>
      <c r="C3699" s="740" t="s">
        <v>4625</v>
      </c>
      <c r="D3699" s="739" t="s">
        <v>21</v>
      </c>
      <c r="E3699" s="741">
        <f t="shared" si="114"/>
        <v>22.85</v>
      </c>
      <c r="F3699">
        <f t="shared" si="115"/>
        <v>100807</v>
      </c>
      <c r="H3699" s="1406">
        <v>21.45</v>
      </c>
      <c r="I3699" s="1406">
        <v>22.85</v>
      </c>
    </row>
    <row r="3700" spans="2:9" ht="30">
      <c r="B3700" s="677">
        <v>100808</v>
      </c>
      <c r="C3700" s="733" t="s">
        <v>4626</v>
      </c>
      <c r="D3700" s="677" t="s">
        <v>21</v>
      </c>
      <c r="E3700" s="738">
        <f t="shared" si="114"/>
        <v>31.45</v>
      </c>
      <c r="F3700">
        <f t="shared" si="115"/>
        <v>100808</v>
      </c>
      <c r="H3700" s="1405">
        <v>29.79</v>
      </c>
      <c r="I3700" s="1405">
        <v>31.45</v>
      </c>
    </row>
    <row r="3701" spans="2:9" ht="30">
      <c r="B3701" s="1477">
        <v>100809</v>
      </c>
      <c r="C3701" s="740" t="s">
        <v>4627</v>
      </c>
      <c r="D3701" s="739" t="s">
        <v>21</v>
      </c>
      <c r="E3701" s="741">
        <f t="shared" si="114"/>
        <v>40.54</v>
      </c>
      <c r="F3701">
        <f t="shared" si="115"/>
        <v>100809</v>
      </c>
      <c r="H3701" s="1406">
        <v>38.590000000000003</v>
      </c>
      <c r="I3701" s="1406">
        <v>40.54</v>
      </c>
    </row>
    <row r="3702" spans="2:9" ht="30">
      <c r="B3702" s="677">
        <v>100810</v>
      </c>
      <c r="C3702" s="733" t="s">
        <v>4628</v>
      </c>
      <c r="D3702" s="677" t="s">
        <v>21</v>
      </c>
      <c r="E3702" s="738">
        <f t="shared" si="114"/>
        <v>53.41</v>
      </c>
      <c r="F3702">
        <f t="shared" si="115"/>
        <v>100810</v>
      </c>
      <c r="H3702" s="1405">
        <v>51.01</v>
      </c>
      <c r="I3702" s="1405">
        <v>53.41</v>
      </c>
    </row>
    <row r="3703" spans="2:9" ht="30">
      <c r="B3703" s="1477">
        <v>101918</v>
      </c>
      <c r="C3703" s="740" t="s">
        <v>4033</v>
      </c>
      <c r="D3703" s="739" t="s">
        <v>21</v>
      </c>
      <c r="E3703" s="741">
        <f t="shared" si="114"/>
        <v>202.98</v>
      </c>
      <c r="F3703">
        <f t="shared" si="115"/>
        <v>101918</v>
      </c>
      <c r="H3703" s="1406">
        <v>199.95</v>
      </c>
      <c r="I3703" s="1406">
        <v>202.98</v>
      </c>
    </row>
    <row r="3704" spans="2:9" ht="30">
      <c r="B3704" s="677">
        <v>101919</v>
      </c>
      <c r="C3704" s="733" t="s">
        <v>4034</v>
      </c>
      <c r="D3704" s="677" t="s">
        <v>22</v>
      </c>
      <c r="E3704" s="738">
        <f t="shared" si="114"/>
        <v>337.4</v>
      </c>
      <c r="F3704">
        <f t="shared" si="115"/>
        <v>101919</v>
      </c>
      <c r="H3704" s="1405">
        <v>333.31</v>
      </c>
      <c r="I3704" s="1405">
        <v>337.4</v>
      </c>
    </row>
    <row r="3705" spans="2:9" ht="30">
      <c r="B3705" s="1477">
        <v>101920</v>
      </c>
      <c r="C3705" s="740" t="s">
        <v>4035</v>
      </c>
      <c r="D3705" s="739" t="s">
        <v>22</v>
      </c>
      <c r="E3705" s="741">
        <f t="shared" si="114"/>
        <v>163.68</v>
      </c>
      <c r="F3705">
        <f t="shared" si="115"/>
        <v>101920</v>
      </c>
      <c r="H3705" s="1406">
        <v>159.59</v>
      </c>
      <c r="I3705" s="1406">
        <v>163.68</v>
      </c>
    </row>
    <row r="3706" spans="2:9" ht="30">
      <c r="B3706" s="677">
        <v>101921</v>
      </c>
      <c r="C3706" s="733" t="s">
        <v>4036</v>
      </c>
      <c r="D3706" s="677" t="s">
        <v>22</v>
      </c>
      <c r="E3706" s="738">
        <f t="shared" si="114"/>
        <v>186.05</v>
      </c>
      <c r="F3706">
        <f t="shared" si="115"/>
        <v>101921</v>
      </c>
      <c r="H3706" s="1405">
        <v>181.96</v>
      </c>
      <c r="I3706" s="1405">
        <v>186.05</v>
      </c>
    </row>
    <row r="3707" spans="2:9" ht="30">
      <c r="B3707" s="1477">
        <v>101922</v>
      </c>
      <c r="C3707" s="740" t="s">
        <v>4037</v>
      </c>
      <c r="D3707" s="739" t="s">
        <v>22</v>
      </c>
      <c r="E3707" s="741">
        <f t="shared" si="114"/>
        <v>186.05</v>
      </c>
      <c r="F3707">
        <f t="shared" si="115"/>
        <v>101922</v>
      </c>
      <c r="H3707" s="1406">
        <v>181.96</v>
      </c>
      <c r="I3707" s="1406">
        <v>186.05</v>
      </c>
    </row>
    <row r="3708" spans="2:9" ht="30">
      <c r="B3708" s="677">
        <v>101923</v>
      </c>
      <c r="C3708" s="733" t="s">
        <v>4038</v>
      </c>
      <c r="D3708" s="677" t="s">
        <v>22</v>
      </c>
      <c r="E3708" s="738">
        <f t="shared" si="114"/>
        <v>186.05</v>
      </c>
      <c r="F3708">
        <f t="shared" si="115"/>
        <v>101923</v>
      </c>
      <c r="H3708" s="1405">
        <v>181.96</v>
      </c>
      <c r="I3708" s="1405">
        <v>186.05</v>
      </c>
    </row>
    <row r="3709" spans="2:9" ht="30">
      <c r="B3709" s="1477">
        <v>101924</v>
      </c>
      <c r="C3709" s="740" t="s">
        <v>4039</v>
      </c>
      <c r="D3709" s="739" t="s">
        <v>22</v>
      </c>
      <c r="E3709" s="741">
        <f t="shared" si="114"/>
        <v>154.32</v>
      </c>
      <c r="F3709">
        <f t="shared" si="115"/>
        <v>101924</v>
      </c>
      <c r="H3709" s="1406">
        <v>150.22999999999999</v>
      </c>
      <c r="I3709" s="1406">
        <v>154.32</v>
      </c>
    </row>
    <row r="3710" spans="2:9" ht="30">
      <c r="B3710" s="677">
        <v>101925</v>
      </c>
      <c r="C3710" s="733" t="s">
        <v>4040</v>
      </c>
      <c r="D3710" s="677" t="s">
        <v>22</v>
      </c>
      <c r="E3710" s="738">
        <f t="shared" si="114"/>
        <v>257.14</v>
      </c>
      <c r="F3710">
        <f t="shared" si="115"/>
        <v>101925</v>
      </c>
      <c r="H3710" s="1405">
        <v>251</v>
      </c>
      <c r="I3710" s="1405">
        <v>257.14</v>
      </c>
    </row>
    <row r="3711" spans="2:9">
      <c r="B3711" s="1477">
        <v>101926</v>
      </c>
      <c r="C3711" s="740" t="s">
        <v>4041</v>
      </c>
      <c r="D3711" s="739" t="s">
        <v>22</v>
      </c>
      <c r="E3711" s="741">
        <f t="shared" si="114"/>
        <v>331.87</v>
      </c>
      <c r="F3711">
        <f t="shared" si="115"/>
        <v>101926</v>
      </c>
      <c r="H3711" s="1406">
        <v>323.69</v>
      </c>
      <c r="I3711" s="1406">
        <v>331.87</v>
      </c>
    </row>
    <row r="3712" spans="2:9" ht="30">
      <c r="B3712" s="677">
        <v>101927</v>
      </c>
      <c r="C3712" s="733" t="s">
        <v>4042</v>
      </c>
      <c r="D3712" s="677" t="s">
        <v>21</v>
      </c>
      <c r="E3712" s="738">
        <f t="shared" si="114"/>
        <v>188.92</v>
      </c>
      <c r="F3712">
        <f t="shared" si="115"/>
        <v>101927</v>
      </c>
      <c r="H3712" s="1405">
        <v>187.37</v>
      </c>
      <c r="I3712" s="1405">
        <v>188.92</v>
      </c>
    </row>
    <row r="3713" spans="2:9" ht="30">
      <c r="B3713" s="1477">
        <v>101928</v>
      </c>
      <c r="C3713" s="740" t="s">
        <v>4043</v>
      </c>
      <c r="D3713" s="739" t="s">
        <v>22</v>
      </c>
      <c r="E3713" s="741">
        <f t="shared" si="114"/>
        <v>342.78</v>
      </c>
      <c r="F3713">
        <f t="shared" si="115"/>
        <v>101928</v>
      </c>
      <c r="H3713" s="1406">
        <v>338.13</v>
      </c>
      <c r="I3713" s="1406">
        <v>342.78</v>
      </c>
    </row>
    <row r="3714" spans="2:9" ht="30">
      <c r="B3714" s="677">
        <v>101929</v>
      </c>
      <c r="C3714" s="733" t="s">
        <v>4044</v>
      </c>
      <c r="D3714" s="677" t="s">
        <v>22</v>
      </c>
      <c r="E3714" s="738">
        <f t="shared" si="114"/>
        <v>169.06</v>
      </c>
      <c r="F3714">
        <f t="shared" si="115"/>
        <v>101929</v>
      </c>
      <c r="H3714" s="1405">
        <v>164.41</v>
      </c>
      <c r="I3714" s="1405">
        <v>169.06</v>
      </c>
    </row>
    <row r="3715" spans="2:9" ht="30">
      <c r="B3715" s="1477">
        <v>101930</v>
      </c>
      <c r="C3715" s="740" t="s">
        <v>4045</v>
      </c>
      <c r="D3715" s="739" t="s">
        <v>22</v>
      </c>
      <c r="E3715" s="741">
        <f t="shared" ref="E3715:E3778" si="116">IF($K$2=$H$1,H3715,I3715)</f>
        <v>191.43</v>
      </c>
      <c r="F3715">
        <f t="shared" ref="F3715:F3778" si="117">IF(LEN($B3715)=7,CONCATENATE(MID($B3715,1,6),"00",RIGHT($B3715,1)),IF(LEN($B3715)=8,CONCATENATE(MID($B3715,1,6),"0",RIGHT($B3715,2)),$B3715))</f>
        <v>101930</v>
      </c>
      <c r="H3715" s="1406">
        <v>186.78</v>
      </c>
      <c r="I3715" s="1406">
        <v>191.43</v>
      </c>
    </row>
    <row r="3716" spans="2:9" ht="30">
      <c r="B3716" s="677">
        <v>101931</v>
      </c>
      <c r="C3716" s="733" t="s">
        <v>4046</v>
      </c>
      <c r="D3716" s="677" t="s">
        <v>22</v>
      </c>
      <c r="E3716" s="738">
        <f t="shared" si="116"/>
        <v>191.43</v>
      </c>
      <c r="F3716">
        <f t="shared" si="117"/>
        <v>101931</v>
      </c>
      <c r="H3716" s="1405">
        <v>186.78</v>
      </c>
      <c r="I3716" s="1405">
        <v>191.43</v>
      </c>
    </row>
    <row r="3717" spans="2:9" ht="30">
      <c r="B3717" s="1477">
        <v>101932</v>
      </c>
      <c r="C3717" s="740" t="s">
        <v>4047</v>
      </c>
      <c r="D3717" s="739" t="s">
        <v>22</v>
      </c>
      <c r="E3717" s="741">
        <f t="shared" si="116"/>
        <v>191.43</v>
      </c>
      <c r="F3717">
        <f t="shared" si="117"/>
        <v>101932</v>
      </c>
      <c r="H3717" s="1406">
        <v>186.78</v>
      </c>
      <c r="I3717" s="1406">
        <v>191.43</v>
      </c>
    </row>
    <row r="3718" spans="2:9" ht="30">
      <c r="B3718" s="677">
        <v>101933</v>
      </c>
      <c r="C3718" s="733" t="s">
        <v>4048</v>
      </c>
      <c r="D3718" s="677" t="s">
        <v>22</v>
      </c>
      <c r="E3718" s="738">
        <f t="shared" si="116"/>
        <v>159.69999999999999</v>
      </c>
      <c r="F3718">
        <f t="shared" si="117"/>
        <v>101933</v>
      </c>
      <c r="H3718" s="1405">
        <v>155.05000000000001</v>
      </c>
      <c r="I3718" s="1405">
        <v>159.69999999999999</v>
      </c>
    </row>
    <row r="3719" spans="2:9" ht="30">
      <c r="B3719" s="1477">
        <v>101934</v>
      </c>
      <c r="C3719" s="740" t="s">
        <v>4049</v>
      </c>
      <c r="D3719" s="739" t="s">
        <v>22</v>
      </c>
      <c r="E3719" s="741">
        <f t="shared" si="116"/>
        <v>265.22000000000003</v>
      </c>
      <c r="F3719">
        <f t="shared" si="117"/>
        <v>101934</v>
      </c>
      <c r="H3719" s="1406">
        <v>258.23</v>
      </c>
      <c r="I3719" s="1406">
        <v>265.22000000000003</v>
      </c>
    </row>
    <row r="3720" spans="2:9" ht="30">
      <c r="B3720" s="677">
        <v>101935</v>
      </c>
      <c r="C3720" s="733" t="s">
        <v>4050</v>
      </c>
      <c r="D3720" s="677" t="s">
        <v>22</v>
      </c>
      <c r="E3720" s="738">
        <f t="shared" si="116"/>
        <v>342.64</v>
      </c>
      <c r="F3720">
        <f t="shared" si="117"/>
        <v>101935</v>
      </c>
      <c r="H3720" s="1405">
        <v>333.33</v>
      </c>
      <c r="I3720" s="1405">
        <v>342.64</v>
      </c>
    </row>
    <row r="3721" spans="2:9" ht="30">
      <c r="B3721" s="1477">
        <v>103802</v>
      </c>
      <c r="C3721" s="740" t="s">
        <v>5606</v>
      </c>
      <c r="D3721" s="739" t="s">
        <v>21</v>
      </c>
      <c r="E3721" s="741">
        <f t="shared" si="116"/>
        <v>38</v>
      </c>
      <c r="F3721">
        <f t="shared" si="117"/>
        <v>103802</v>
      </c>
      <c r="H3721" s="1406">
        <v>37.119999999999997</v>
      </c>
      <c r="I3721" s="1406">
        <v>38</v>
      </c>
    </row>
    <row r="3722" spans="2:9" ht="30">
      <c r="B3722" s="677">
        <v>103803</v>
      </c>
      <c r="C3722" s="733" t="s">
        <v>5607</v>
      </c>
      <c r="D3722" s="677" t="s">
        <v>21</v>
      </c>
      <c r="E3722" s="738">
        <f t="shared" si="116"/>
        <v>65.319999999999993</v>
      </c>
      <c r="F3722">
        <f t="shared" si="117"/>
        <v>103803</v>
      </c>
      <c r="H3722" s="1405">
        <v>63.81</v>
      </c>
      <c r="I3722" s="1405">
        <v>65.319999999999993</v>
      </c>
    </row>
    <row r="3723" spans="2:9" ht="30">
      <c r="B3723" s="1477">
        <v>103804</v>
      </c>
      <c r="C3723" s="740" t="s">
        <v>5608</v>
      </c>
      <c r="D3723" s="739" t="s">
        <v>21</v>
      </c>
      <c r="E3723" s="741">
        <f t="shared" si="116"/>
        <v>79.040000000000006</v>
      </c>
      <c r="F3723">
        <f t="shared" si="117"/>
        <v>103804</v>
      </c>
      <c r="H3723" s="1406">
        <v>77.53</v>
      </c>
      <c r="I3723" s="1406">
        <v>79.040000000000006</v>
      </c>
    </row>
    <row r="3724" spans="2:9" ht="30">
      <c r="B3724" s="677">
        <v>103835</v>
      </c>
      <c r="C3724" s="733" t="s">
        <v>5609</v>
      </c>
      <c r="D3724" s="677" t="s">
        <v>21</v>
      </c>
      <c r="E3724" s="738">
        <f t="shared" si="116"/>
        <v>59.38</v>
      </c>
      <c r="F3724">
        <f t="shared" si="117"/>
        <v>103835</v>
      </c>
      <c r="H3724" s="1405">
        <v>57.96</v>
      </c>
      <c r="I3724" s="1405">
        <v>59.38</v>
      </c>
    </row>
    <row r="3725" spans="2:9" ht="30">
      <c r="B3725" s="1477">
        <v>103836</v>
      </c>
      <c r="C3725" s="740" t="s">
        <v>5610</v>
      </c>
      <c r="D3725" s="739" t="s">
        <v>21</v>
      </c>
      <c r="E3725" s="741">
        <f t="shared" si="116"/>
        <v>92.23</v>
      </c>
      <c r="F3725">
        <f t="shared" si="117"/>
        <v>103836</v>
      </c>
      <c r="H3725" s="1406">
        <v>90.34</v>
      </c>
      <c r="I3725" s="1406">
        <v>92.23</v>
      </c>
    </row>
    <row r="3726" spans="2:9" ht="30">
      <c r="B3726" s="677">
        <v>103837</v>
      </c>
      <c r="C3726" s="733" t="s">
        <v>5611</v>
      </c>
      <c r="D3726" s="677" t="s">
        <v>21</v>
      </c>
      <c r="E3726" s="738">
        <f t="shared" si="116"/>
        <v>116.28</v>
      </c>
      <c r="F3726">
        <f t="shared" si="117"/>
        <v>103837</v>
      </c>
      <c r="H3726" s="1405">
        <v>113.98</v>
      </c>
      <c r="I3726" s="1405">
        <v>116.28</v>
      </c>
    </row>
    <row r="3727" spans="2:9" ht="30">
      <c r="B3727" s="1477">
        <v>103868</v>
      </c>
      <c r="C3727" s="740" t="s">
        <v>5612</v>
      </c>
      <c r="D3727" s="739" t="s">
        <v>21</v>
      </c>
      <c r="E3727" s="741">
        <f t="shared" si="116"/>
        <v>47.29</v>
      </c>
      <c r="F3727">
        <f t="shared" si="117"/>
        <v>103868</v>
      </c>
      <c r="H3727" s="1406">
        <v>45.43</v>
      </c>
      <c r="I3727" s="1406">
        <v>47.29</v>
      </c>
    </row>
    <row r="3728" spans="2:9" ht="30">
      <c r="B3728" s="677">
        <v>103869</v>
      </c>
      <c r="C3728" s="733" t="s">
        <v>5613</v>
      </c>
      <c r="D3728" s="677" t="s">
        <v>21</v>
      </c>
      <c r="E3728" s="738">
        <f t="shared" si="116"/>
        <v>71.83</v>
      </c>
      <c r="F3728">
        <f t="shared" si="117"/>
        <v>103869</v>
      </c>
      <c r="H3728" s="1405">
        <v>69.63</v>
      </c>
      <c r="I3728" s="1405">
        <v>71.83</v>
      </c>
    </row>
    <row r="3729" spans="2:9" ht="30">
      <c r="B3729" s="1477">
        <v>103870</v>
      </c>
      <c r="C3729" s="740" t="s">
        <v>5614</v>
      </c>
      <c r="D3729" s="739" t="s">
        <v>21</v>
      </c>
      <c r="E3729" s="741">
        <f t="shared" si="116"/>
        <v>88.28</v>
      </c>
      <c r="F3729">
        <f t="shared" si="117"/>
        <v>103870</v>
      </c>
      <c r="H3729" s="1406">
        <v>85.81</v>
      </c>
      <c r="I3729" s="1406">
        <v>88.28</v>
      </c>
    </row>
    <row r="3730" spans="2:9" ht="30">
      <c r="B3730" s="677">
        <v>103871</v>
      </c>
      <c r="C3730" s="733" t="s">
        <v>5615</v>
      </c>
      <c r="D3730" s="677" t="s">
        <v>21</v>
      </c>
      <c r="E3730" s="738">
        <f t="shared" si="116"/>
        <v>61.49</v>
      </c>
      <c r="F3730">
        <f t="shared" si="117"/>
        <v>103871</v>
      </c>
      <c r="H3730" s="1405">
        <v>59.55</v>
      </c>
      <c r="I3730" s="1405">
        <v>61.49</v>
      </c>
    </row>
    <row r="3731" spans="2:9" ht="30">
      <c r="B3731" s="1477">
        <v>103872</v>
      </c>
      <c r="C3731" s="740" t="s">
        <v>5616</v>
      </c>
      <c r="D3731" s="739" t="s">
        <v>21</v>
      </c>
      <c r="E3731" s="741">
        <f t="shared" si="116"/>
        <v>138.49</v>
      </c>
      <c r="F3731">
        <f t="shared" si="117"/>
        <v>103872</v>
      </c>
      <c r="H3731" s="1406">
        <v>136.21</v>
      </c>
      <c r="I3731" s="1406">
        <v>138.49</v>
      </c>
    </row>
    <row r="3732" spans="2:9" ht="30">
      <c r="B3732" s="677">
        <v>103873</v>
      </c>
      <c r="C3732" s="733" t="s">
        <v>5617</v>
      </c>
      <c r="D3732" s="677" t="s">
        <v>21</v>
      </c>
      <c r="E3732" s="738">
        <f t="shared" si="116"/>
        <v>157.66999999999999</v>
      </c>
      <c r="F3732">
        <f t="shared" si="117"/>
        <v>103873</v>
      </c>
      <c r="H3732" s="1405">
        <v>155.1</v>
      </c>
      <c r="I3732" s="1405">
        <v>157.66999999999999</v>
      </c>
    </row>
    <row r="3733" spans="2:9">
      <c r="B3733" s="1477">
        <v>103978</v>
      </c>
      <c r="C3733" s="740" t="s">
        <v>5973</v>
      </c>
      <c r="D3733" s="739" t="s">
        <v>21</v>
      </c>
      <c r="E3733" s="741">
        <f t="shared" si="116"/>
        <v>24.49</v>
      </c>
      <c r="F3733">
        <f t="shared" si="117"/>
        <v>103978</v>
      </c>
      <c r="H3733" s="1406">
        <v>23.39</v>
      </c>
      <c r="I3733" s="1406">
        <v>24.49</v>
      </c>
    </row>
    <row r="3734" spans="2:9">
      <c r="B3734" s="677">
        <v>103979</v>
      </c>
      <c r="C3734" s="733" t="s">
        <v>5974</v>
      </c>
      <c r="D3734" s="677" t="s">
        <v>21</v>
      </c>
      <c r="E3734" s="738">
        <f t="shared" si="116"/>
        <v>27.91</v>
      </c>
      <c r="F3734">
        <f t="shared" si="117"/>
        <v>103979</v>
      </c>
      <c r="H3734" s="1405">
        <v>26.61</v>
      </c>
      <c r="I3734" s="1405">
        <v>27.91</v>
      </c>
    </row>
    <row r="3735" spans="2:9">
      <c r="B3735" s="1477">
        <v>104021</v>
      </c>
      <c r="C3735" s="740" t="s">
        <v>6439</v>
      </c>
      <c r="D3735" s="739" t="s">
        <v>21</v>
      </c>
      <c r="E3735" s="741">
        <f t="shared" si="116"/>
        <v>67.84</v>
      </c>
      <c r="F3735">
        <f t="shared" si="117"/>
        <v>104021</v>
      </c>
      <c r="H3735" s="1406">
        <v>66.7</v>
      </c>
      <c r="I3735" s="1406">
        <v>67.84</v>
      </c>
    </row>
    <row r="3736" spans="2:9">
      <c r="B3736" s="677">
        <v>104166</v>
      </c>
      <c r="C3736" s="733" t="s">
        <v>5975</v>
      </c>
      <c r="D3736" s="677" t="s">
        <v>21</v>
      </c>
      <c r="E3736" s="738">
        <f t="shared" si="116"/>
        <v>71.13</v>
      </c>
      <c r="F3736">
        <f t="shared" si="117"/>
        <v>104166</v>
      </c>
      <c r="H3736" s="1405">
        <v>69.89</v>
      </c>
      <c r="I3736" s="1405">
        <v>71.13</v>
      </c>
    </row>
    <row r="3737" spans="2:9">
      <c r="B3737" s="1477">
        <v>104194</v>
      </c>
      <c r="C3737" s="740" t="s">
        <v>6525</v>
      </c>
      <c r="D3737" s="739" t="s">
        <v>21</v>
      </c>
      <c r="E3737" s="741">
        <f t="shared" si="116"/>
        <v>20.149999999999999</v>
      </c>
      <c r="F3737">
        <f t="shared" si="117"/>
        <v>104194</v>
      </c>
      <c r="H3737" s="1406">
        <v>19.05</v>
      </c>
      <c r="I3737" s="1406">
        <v>20.149999999999999</v>
      </c>
    </row>
    <row r="3738" spans="2:9">
      <c r="B3738" s="677">
        <v>104195</v>
      </c>
      <c r="C3738" s="733" t="s">
        <v>6526</v>
      </c>
      <c r="D3738" s="677" t="s">
        <v>21</v>
      </c>
      <c r="E3738" s="738">
        <f t="shared" si="116"/>
        <v>21.42</v>
      </c>
      <c r="F3738">
        <f t="shared" si="117"/>
        <v>104195</v>
      </c>
      <c r="H3738" s="1405">
        <v>20.29</v>
      </c>
      <c r="I3738" s="1405">
        <v>21.42</v>
      </c>
    </row>
    <row r="3739" spans="2:9">
      <c r="B3739" s="1477">
        <v>104315</v>
      </c>
      <c r="C3739" s="740" t="s">
        <v>6527</v>
      </c>
      <c r="D3739" s="739" t="s">
        <v>21</v>
      </c>
      <c r="E3739" s="741">
        <f t="shared" si="116"/>
        <v>14.98</v>
      </c>
      <c r="F3739">
        <f t="shared" si="117"/>
        <v>104315</v>
      </c>
      <c r="H3739" s="1406">
        <v>13.79</v>
      </c>
      <c r="I3739" s="1406">
        <v>14.98</v>
      </c>
    </row>
    <row r="3740" spans="2:9">
      <c r="B3740" s="677">
        <v>104316</v>
      </c>
      <c r="C3740" s="733" t="s">
        <v>6528</v>
      </c>
      <c r="D3740" s="677" t="s">
        <v>21</v>
      </c>
      <c r="E3740" s="738">
        <f t="shared" si="116"/>
        <v>21.68</v>
      </c>
      <c r="F3740">
        <f t="shared" si="117"/>
        <v>104316</v>
      </c>
      <c r="H3740" s="1405">
        <v>20.34</v>
      </c>
      <c r="I3740" s="1405">
        <v>21.68</v>
      </c>
    </row>
    <row r="3741" spans="2:9" ht="30">
      <c r="B3741" s="1477">
        <v>89358</v>
      </c>
      <c r="C3741" s="740" t="s">
        <v>5976</v>
      </c>
      <c r="D3741" s="739" t="s">
        <v>22</v>
      </c>
      <c r="E3741" s="741">
        <f t="shared" si="116"/>
        <v>7.59</v>
      </c>
      <c r="F3741">
        <f t="shared" si="117"/>
        <v>89358</v>
      </c>
      <c r="H3741" s="1406">
        <v>6.95</v>
      </c>
      <c r="I3741" s="1406">
        <v>7.59</v>
      </c>
    </row>
    <row r="3742" spans="2:9" ht="30">
      <c r="B3742" s="677">
        <v>89359</v>
      </c>
      <c r="C3742" s="733" t="s">
        <v>5977</v>
      </c>
      <c r="D3742" s="677" t="s">
        <v>22</v>
      </c>
      <c r="E3742" s="738">
        <f t="shared" si="116"/>
        <v>8.11</v>
      </c>
      <c r="F3742">
        <f t="shared" si="117"/>
        <v>89359</v>
      </c>
      <c r="H3742" s="1405">
        <v>7.47</v>
      </c>
      <c r="I3742" s="1405">
        <v>8.11</v>
      </c>
    </row>
    <row r="3743" spans="2:9" ht="30">
      <c r="B3743" s="1477">
        <v>89360</v>
      </c>
      <c r="C3743" s="740" t="s">
        <v>5978</v>
      </c>
      <c r="D3743" s="739" t="s">
        <v>22</v>
      </c>
      <c r="E3743" s="741">
        <f t="shared" si="116"/>
        <v>9.0399999999999991</v>
      </c>
      <c r="F3743">
        <f t="shared" si="117"/>
        <v>89360</v>
      </c>
      <c r="H3743" s="1406">
        <v>8.4</v>
      </c>
      <c r="I3743" s="1406">
        <v>9.0399999999999991</v>
      </c>
    </row>
    <row r="3744" spans="2:9" ht="30">
      <c r="B3744" s="677">
        <v>89361</v>
      </c>
      <c r="C3744" s="733" t="s">
        <v>5979</v>
      </c>
      <c r="D3744" s="677" t="s">
        <v>22</v>
      </c>
      <c r="E3744" s="738">
        <f t="shared" si="116"/>
        <v>9.11</v>
      </c>
      <c r="F3744">
        <f t="shared" si="117"/>
        <v>89361</v>
      </c>
      <c r="H3744" s="1405">
        <v>8.4700000000000006</v>
      </c>
      <c r="I3744" s="1405">
        <v>9.11</v>
      </c>
    </row>
    <row r="3745" spans="2:9" ht="30">
      <c r="B3745" s="1477">
        <v>89362</v>
      </c>
      <c r="C3745" s="740" t="s">
        <v>5980</v>
      </c>
      <c r="D3745" s="739" t="s">
        <v>22</v>
      </c>
      <c r="E3745" s="741">
        <f t="shared" si="116"/>
        <v>9.0500000000000007</v>
      </c>
      <c r="F3745">
        <f t="shared" si="117"/>
        <v>89362</v>
      </c>
      <c r="H3745" s="1406">
        <v>8.31</v>
      </c>
      <c r="I3745" s="1406">
        <v>9.0500000000000007</v>
      </c>
    </row>
    <row r="3746" spans="2:9" ht="30">
      <c r="B3746" s="677">
        <v>89363</v>
      </c>
      <c r="C3746" s="733" t="s">
        <v>5981</v>
      </c>
      <c r="D3746" s="677" t="s">
        <v>22</v>
      </c>
      <c r="E3746" s="738">
        <f t="shared" si="116"/>
        <v>9.7899999999999991</v>
      </c>
      <c r="F3746">
        <f t="shared" si="117"/>
        <v>89363</v>
      </c>
      <c r="H3746" s="1405">
        <v>9.0500000000000007</v>
      </c>
      <c r="I3746" s="1405">
        <v>9.7899999999999991</v>
      </c>
    </row>
    <row r="3747" spans="2:9" ht="30">
      <c r="B3747" s="1477">
        <v>89364</v>
      </c>
      <c r="C3747" s="740" t="s">
        <v>5982</v>
      </c>
      <c r="D3747" s="739" t="s">
        <v>22</v>
      </c>
      <c r="E3747" s="741">
        <f t="shared" si="116"/>
        <v>11.2</v>
      </c>
      <c r="F3747">
        <f t="shared" si="117"/>
        <v>89364</v>
      </c>
      <c r="H3747" s="1406">
        <v>10.46</v>
      </c>
      <c r="I3747" s="1406">
        <v>11.2</v>
      </c>
    </row>
    <row r="3748" spans="2:9" ht="30">
      <c r="B3748" s="677">
        <v>89365</v>
      </c>
      <c r="C3748" s="733" t="s">
        <v>5983</v>
      </c>
      <c r="D3748" s="677" t="s">
        <v>22</v>
      </c>
      <c r="E3748" s="738">
        <f t="shared" si="116"/>
        <v>10.69</v>
      </c>
      <c r="F3748">
        <f t="shared" si="117"/>
        <v>89365</v>
      </c>
      <c r="H3748" s="1405">
        <v>9.9499999999999993</v>
      </c>
      <c r="I3748" s="1405">
        <v>10.69</v>
      </c>
    </row>
    <row r="3749" spans="2:9" ht="30">
      <c r="B3749" s="1477">
        <v>89366</v>
      </c>
      <c r="C3749" s="740" t="s">
        <v>5984</v>
      </c>
      <c r="D3749" s="739" t="s">
        <v>22</v>
      </c>
      <c r="E3749" s="741">
        <f t="shared" si="116"/>
        <v>15.37</v>
      </c>
      <c r="F3749">
        <f t="shared" si="117"/>
        <v>89366</v>
      </c>
      <c r="H3749" s="1406">
        <v>14.68</v>
      </c>
      <c r="I3749" s="1406">
        <v>15.37</v>
      </c>
    </row>
    <row r="3750" spans="2:9" ht="30">
      <c r="B3750" s="677">
        <v>89367</v>
      </c>
      <c r="C3750" s="733" t="s">
        <v>5985</v>
      </c>
      <c r="D3750" s="677" t="s">
        <v>22</v>
      </c>
      <c r="E3750" s="738">
        <f t="shared" si="116"/>
        <v>12.48</v>
      </c>
      <c r="F3750">
        <f t="shared" si="117"/>
        <v>89367</v>
      </c>
      <c r="H3750" s="1405">
        <v>11.6</v>
      </c>
      <c r="I3750" s="1405">
        <v>12.48</v>
      </c>
    </row>
    <row r="3751" spans="2:9" ht="30">
      <c r="B3751" s="1477">
        <v>89368</v>
      </c>
      <c r="C3751" s="740" t="s">
        <v>5986</v>
      </c>
      <c r="D3751" s="739" t="s">
        <v>22</v>
      </c>
      <c r="E3751" s="741">
        <f t="shared" si="116"/>
        <v>14.12</v>
      </c>
      <c r="F3751">
        <f t="shared" si="117"/>
        <v>89368</v>
      </c>
      <c r="H3751" s="1406">
        <v>13.24</v>
      </c>
      <c r="I3751" s="1406">
        <v>14.12</v>
      </c>
    </row>
    <row r="3752" spans="2:9" ht="30">
      <c r="B3752" s="677">
        <v>89369</v>
      </c>
      <c r="C3752" s="733" t="s">
        <v>5987</v>
      </c>
      <c r="D3752" s="677" t="s">
        <v>22</v>
      </c>
      <c r="E3752" s="738">
        <f t="shared" si="116"/>
        <v>16.32</v>
      </c>
      <c r="F3752">
        <f t="shared" si="117"/>
        <v>89369</v>
      </c>
      <c r="H3752" s="1405">
        <v>15.44</v>
      </c>
      <c r="I3752" s="1405">
        <v>16.32</v>
      </c>
    </row>
    <row r="3753" spans="2:9" ht="30">
      <c r="B3753" s="1477">
        <v>89370</v>
      </c>
      <c r="C3753" s="740" t="s">
        <v>5988</v>
      </c>
      <c r="D3753" s="739" t="s">
        <v>22</v>
      </c>
      <c r="E3753" s="741">
        <f t="shared" si="116"/>
        <v>14.43</v>
      </c>
      <c r="F3753">
        <f t="shared" si="117"/>
        <v>89370</v>
      </c>
      <c r="H3753" s="1406">
        <v>13.55</v>
      </c>
      <c r="I3753" s="1406">
        <v>14.43</v>
      </c>
    </row>
    <row r="3754" spans="2:9">
      <c r="B3754" s="677">
        <v>89371</v>
      </c>
      <c r="C3754" s="733" t="s">
        <v>5989</v>
      </c>
      <c r="D3754" s="677" t="s">
        <v>22</v>
      </c>
      <c r="E3754" s="738">
        <f t="shared" si="116"/>
        <v>5.73</v>
      </c>
      <c r="F3754">
        <f t="shared" si="117"/>
        <v>89371</v>
      </c>
      <c r="H3754" s="1405">
        <v>5.31</v>
      </c>
      <c r="I3754" s="1405">
        <v>5.73</v>
      </c>
    </row>
    <row r="3755" spans="2:9" ht="30">
      <c r="B3755" s="1477">
        <v>89372</v>
      </c>
      <c r="C3755" s="740" t="s">
        <v>5990</v>
      </c>
      <c r="D3755" s="739" t="s">
        <v>22</v>
      </c>
      <c r="E3755" s="741">
        <f t="shared" si="116"/>
        <v>15.08</v>
      </c>
      <c r="F3755">
        <f t="shared" si="117"/>
        <v>89372</v>
      </c>
      <c r="H3755" s="1406">
        <v>14.66</v>
      </c>
      <c r="I3755" s="1406">
        <v>15.08</v>
      </c>
    </row>
    <row r="3756" spans="2:9" ht="30">
      <c r="B3756" s="677">
        <v>89373</v>
      </c>
      <c r="C3756" s="733" t="s">
        <v>5991</v>
      </c>
      <c r="D3756" s="677" t="s">
        <v>22</v>
      </c>
      <c r="E3756" s="738">
        <f t="shared" si="116"/>
        <v>6.84</v>
      </c>
      <c r="F3756">
        <f t="shared" si="117"/>
        <v>89373</v>
      </c>
      <c r="H3756" s="1405">
        <v>6.38</v>
      </c>
      <c r="I3756" s="1405">
        <v>6.84</v>
      </c>
    </row>
    <row r="3757" spans="2:9" ht="30">
      <c r="B3757" s="1477">
        <v>89374</v>
      </c>
      <c r="C3757" s="740" t="s">
        <v>5992</v>
      </c>
      <c r="D3757" s="739" t="s">
        <v>22</v>
      </c>
      <c r="E3757" s="741">
        <f t="shared" si="116"/>
        <v>9.59</v>
      </c>
      <c r="F3757">
        <f t="shared" si="117"/>
        <v>89374</v>
      </c>
      <c r="H3757" s="1406">
        <v>9.1999999999999993</v>
      </c>
      <c r="I3757" s="1406">
        <v>9.59</v>
      </c>
    </row>
    <row r="3758" spans="2:9">
      <c r="B3758" s="677">
        <v>89375</v>
      </c>
      <c r="C3758" s="733" t="s">
        <v>5993</v>
      </c>
      <c r="D3758" s="677" t="s">
        <v>22</v>
      </c>
      <c r="E3758" s="738">
        <f t="shared" si="116"/>
        <v>11.3</v>
      </c>
      <c r="F3758">
        <f t="shared" si="117"/>
        <v>89375</v>
      </c>
      <c r="H3758" s="1405">
        <v>10.88</v>
      </c>
      <c r="I3758" s="1405">
        <v>11.3</v>
      </c>
    </row>
    <row r="3759" spans="2:9" ht="30">
      <c r="B3759" s="1477">
        <v>89376</v>
      </c>
      <c r="C3759" s="740" t="s">
        <v>5994</v>
      </c>
      <c r="D3759" s="739" t="s">
        <v>22</v>
      </c>
      <c r="E3759" s="741">
        <f t="shared" si="116"/>
        <v>5.45</v>
      </c>
      <c r="F3759">
        <f t="shared" si="117"/>
        <v>89376</v>
      </c>
      <c r="H3759" s="1406">
        <v>5.0599999999999996</v>
      </c>
      <c r="I3759" s="1406">
        <v>5.45</v>
      </c>
    </row>
    <row r="3760" spans="2:9" ht="30">
      <c r="B3760" s="677">
        <v>89377</v>
      </c>
      <c r="C3760" s="733" t="s">
        <v>5995</v>
      </c>
      <c r="D3760" s="677" t="s">
        <v>22</v>
      </c>
      <c r="E3760" s="738">
        <f t="shared" si="116"/>
        <v>9.68</v>
      </c>
      <c r="F3760">
        <f t="shared" si="117"/>
        <v>89377</v>
      </c>
      <c r="H3760" s="1405">
        <v>9.26</v>
      </c>
      <c r="I3760" s="1405">
        <v>9.68</v>
      </c>
    </row>
    <row r="3761" spans="2:9">
      <c r="B3761" s="1477">
        <v>89378</v>
      </c>
      <c r="C3761" s="740" t="s">
        <v>5996</v>
      </c>
      <c r="D3761" s="739" t="s">
        <v>22</v>
      </c>
      <c r="E3761" s="741">
        <f t="shared" si="116"/>
        <v>6.78</v>
      </c>
      <c r="F3761">
        <f t="shared" si="117"/>
        <v>89378</v>
      </c>
      <c r="H3761" s="1406">
        <v>6.29</v>
      </c>
      <c r="I3761" s="1406">
        <v>6.78</v>
      </c>
    </row>
    <row r="3762" spans="2:9" ht="30">
      <c r="B3762" s="677">
        <v>89379</v>
      </c>
      <c r="C3762" s="733" t="s">
        <v>1371</v>
      </c>
      <c r="D3762" s="677" t="s">
        <v>22</v>
      </c>
      <c r="E3762" s="738">
        <f t="shared" si="116"/>
        <v>17.739999999999998</v>
      </c>
      <c r="F3762">
        <f t="shared" si="117"/>
        <v>89379</v>
      </c>
      <c r="H3762" s="1405">
        <v>17.25</v>
      </c>
      <c r="I3762" s="1405">
        <v>17.739999999999998</v>
      </c>
    </row>
    <row r="3763" spans="2:9" ht="30">
      <c r="B3763" s="1477">
        <v>89380</v>
      </c>
      <c r="C3763" s="740" t="s">
        <v>5997</v>
      </c>
      <c r="D3763" s="739" t="s">
        <v>22</v>
      </c>
      <c r="E3763" s="741">
        <f t="shared" si="116"/>
        <v>9.6300000000000008</v>
      </c>
      <c r="F3763">
        <f t="shared" si="117"/>
        <v>89380</v>
      </c>
      <c r="H3763" s="1406">
        <v>9.09</v>
      </c>
      <c r="I3763" s="1406">
        <v>9.6300000000000008</v>
      </c>
    </row>
    <row r="3764" spans="2:9" ht="30">
      <c r="B3764" s="677">
        <v>89381</v>
      </c>
      <c r="C3764" s="733" t="s">
        <v>5998</v>
      </c>
      <c r="D3764" s="677" t="s">
        <v>22</v>
      </c>
      <c r="E3764" s="738">
        <f t="shared" si="116"/>
        <v>11.75</v>
      </c>
      <c r="F3764">
        <f t="shared" si="117"/>
        <v>89381</v>
      </c>
      <c r="H3764" s="1405">
        <v>11.29</v>
      </c>
      <c r="I3764" s="1405">
        <v>11.75</v>
      </c>
    </row>
    <row r="3765" spans="2:9">
      <c r="B3765" s="1477">
        <v>89382</v>
      </c>
      <c r="C3765" s="740" t="s">
        <v>5999</v>
      </c>
      <c r="D3765" s="739" t="s">
        <v>22</v>
      </c>
      <c r="E3765" s="741">
        <f t="shared" si="116"/>
        <v>13.6</v>
      </c>
      <c r="F3765">
        <f t="shared" si="117"/>
        <v>89382</v>
      </c>
      <c r="H3765" s="1406">
        <v>13.11</v>
      </c>
      <c r="I3765" s="1406">
        <v>13.6</v>
      </c>
    </row>
    <row r="3766" spans="2:9" ht="30">
      <c r="B3766" s="677">
        <v>89383</v>
      </c>
      <c r="C3766" s="733" t="s">
        <v>6000</v>
      </c>
      <c r="D3766" s="677" t="s">
        <v>22</v>
      </c>
      <c r="E3766" s="738">
        <f t="shared" si="116"/>
        <v>6.36</v>
      </c>
      <c r="F3766">
        <f t="shared" si="117"/>
        <v>89383</v>
      </c>
      <c r="H3766" s="1405">
        <v>5.9</v>
      </c>
      <c r="I3766" s="1405">
        <v>6.36</v>
      </c>
    </row>
    <row r="3767" spans="2:9" ht="30">
      <c r="B3767" s="1477">
        <v>89384</v>
      </c>
      <c r="C3767" s="740" t="s">
        <v>6001</v>
      </c>
      <c r="D3767" s="739" t="s">
        <v>22</v>
      </c>
      <c r="E3767" s="741">
        <f t="shared" si="116"/>
        <v>12.36</v>
      </c>
      <c r="F3767">
        <f t="shared" si="117"/>
        <v>89384</v>
      </c>
      <c r="H3767" s="1406">
        <v>11.87</v>
      </c>
      <c r="I3767" s="1406">
        <v>12.36</v>
      </c>
    </row>
    <row r="3768" spans="2:9" ht="30">
      <c r="B3768" s="677">
        <v>89385</v>
      </c>
      <c r="C3768" s="733" t="s">
        <v>6002</v>
      </c>
      <c r="D3768" s="677" t="s">
        <v>22</v>
      </c>
      <c r="E3768" s="738">
        <f t="shared" si="116"/>
        <v>6.95</v>
      </c>
      <c r="F3768">
        <f t="shared" si="117"/>
        <v>89385</v>
      </c>
      <c r="H3768" s="1405">
        <v>6.49</v>
      </c>
      <c r="I3768" s="1405">
        <v>6.95</v>
      </c>
    </row>
    <row r="3769" spans="2:9">
      <c r="B3769" s="1477">
        <v>89386</v>
      </c>
      <c r="C3769" s="740" t="s">
        <v>6003</v>
      </c>
      <c r="D3769" s="739" t="s">
        <v>22</v>
      </c>
      <c r="E3769" s="741">
        <f t="shared" si="116"/>
        <v>9.27</v>
      </c>
      <c r="F3769">
        <f t="shared" si="117"/>
        <v>89386</v>
      </c>
      <c r="H3769" s="1406">
        <v>8.68</v>
      </c>
      <c r="I3769" s="1406">
        <v>9.27</v>
      </c>
    </row>
    <row r="3770" spans="2:9" ht="30">
      <c r="B3770" s="677">
        <v>89387</v>
      </c>
      <c r="C3770" s="733" t="s">
        <v>6004</v>
      </c>
      <c r="D3770" s="677" t="s">
        <v>22</v>
      </c>
      <c r="E3770" s="738">
        <f t="shared" si="116"/>
        <v>28.21</v>
      </c>
      <c r="F3770">
        <f t="shared" si="117"/>
        <v>89387</v>
      </c>
      <c r="H3770" s="1405">
        <v>27.62</v>
      </c>
      <c r="I3770" s="1405">
        <v>28.21</v>
      </c>
    </row>
    <row r="3771" spans="2:9" ht="30">
      <c r="B3771" s="1477">
        <v>89389</v>
      </c>
      <c r="C3771" s="740" t="s">
        <v>6005</v>
      </c>
      <c r="D3771" s="739" t="s">
        <v>22</v>
      </c>
      <c r="E3771" s="741">
        <f t="shared" si="116"/>
        <v>10.96</v>
      </c>
      <c r="F3771">
        <f t="shared" si="117"/>
        <v>89389</v>
      </c>
      <c r="H3771" s="1406">
        <v>10.42</v>
      </c>
      <c r="I3771" s="1406">
        <v>10.96</v>
      </c>
    </row>
    <row r="3772" spans="2:9">
      <c r="B3772" s="677">
        <v>89390</v>
      </c>
      <c r="C3772" s="733" t="s">
        <v>6006</v>
      </c>
      <c r="D3772" s="677" t="s">
        <v>22</v>
      </c>
      <c r="E3772" s="738">
        <f t="shared" si="116"/>
        <v>20.170000000000002</v>
      </c>
      <c r="F3772">
        <f t="shared" si="117"/>
        <v>89390</v>
      </c>
      <c r="H3772" s="1405">
        <v>19.579999999999998</v>
      </c>
      <c r="I3772" s="1405">
        <v>20.170000000000002</v>
      </c>
    </row>
    <row r="3773" spans="2:9" ht="30">
      <c r="B3773" s="1477">
        <v>89391</v>
      </c>
      <c r="C3773" s="740" t="s">
        <v>6007</v>
      </c>
      <c r="D3773" s="739" t="s">
        <v>22</v>
      </c>
      <c r="E3773" s="741">
        <f t="shared" si="116"/>
        <v>8.3800000000000008</v>
      </c>
      <c r="F3773">
        <f t="shared" si="117"/>
        <v>89391</v>
      </c>
      <c r="H3773" s="1406">
        <v>7.84</v>
      </c>
      <c r="I3773" s="1406">
        <v>8.3800000000000008</v>
      </c>
    </row>
    <row r="3774" spans="2:9" ht="30">
      <c r="B3774" s="677">
        <v>89392</v>
      </c>
      <c r="C3774" s="733" t="s">
        <v>6008</v>
      </c>
      <c r="D3774" s="677" t="s">
        <v>22</v>
      </c>
      <c r="E3774" s="738">
        <f t="shared" si="116"/>
        <v>23.06</v>
      </c>
      <c r="F3774">
        <f t="shared" si="117"/>
        <v>89392</v>
      </c>
      <c r="H3774" s="1405">
        <v>22.47</v>
      </c>
      <c r="I3774" s="1405">
        <v>23.06</v>
      </c>
    </row>
    <row r="3775" spans="2:9">
      <c r="B3775" s="1477">
        <v>89393</v>
      </c>
      <c r="C3775" s="740" t="s">
        <v>6009</v>
      </c>
      <c r="D3775" s="739" t="s">
        <v>22</v>
      </c>
      <c r="E3775" s="741">
        <f t="shared" si="116"/>
        <v>10.55</v>
      </c>
      <c r="F3775">
        <f t="shared" si="117"/>
        <v>89393</v>
      </c>
      <c r="H3775" s="1406">
        <v>9.6999999999999993</v>
      </c>
      <c r="I3775" s="1406">
        <v>10.55</v>
      </c>
    </row>
    <row r="3776" spans="2:9" ht="30">
      <c r="B3776" s="677">
        <v>89394</v>
      </c>
      <c r="C3776" s="733" t="s">
        <v>6010</v>
      </c>
      <c r="D3776" s="677" t="s">
        <v>22</v>
      </c>
      <c r="E3776" s="738">
        <f t="shared" si="116"/>
        <v>17.61</v>
      </c>
      <c r="F3776">
        <f t="shared" si="117"/>
        <v>89394</v>
      </c>
      <c r="H3776" s="1405">
        <v>16.82</v>
      </c>
      <c r="I3776" s="1405">
        <v>17.61</v>
      </c>
    </row>
    <row r="3777" spans="2:9">
      <c r="B3777" s="1477">
        <v>89395</v>
      </c>
      <c r="C3777" s="740" t="s">
        <v>6011</v>
      </c>
      <c r="D3777" s="739" t="s">
        <v>22</v>
      </c>
      <c r="E3777" s="741">
        <f t="shared" si="116"/>
        <v>12.52</v>
      </c>
      <c r="F3777">
        <f t="shared" si="117"/>
        <v>89395</v>
      </c>
      <c r="H3777" s="1406">
        <v>11.53</v>
      </c>
      <c r="I3777" s="1406">
        <v>12.52</v>
      </c>
    </row>
    <row r="3778" spans="2:9" ht="30">
      <c r="B3778" s="677">
        <v>89396</v>
      </c>
      <c r="C3778" s="733" t="s">
        <v>6012</v>
      </c>
      <c r="D3778" s="677" t="s">
        <v>22</v>
      </c>
      <c r="E3778" s="738">
        <f t="shared" si="116"/>
        <v>19.329999999999998</v>
      </c>
      <c r="F3778">
        <f t="shared" si="117"/>
        <v>89396</v>
      </c>
      <c r="H3778" s="1405">
        <v>18.48</v>
      </c>
      <c r="I3778" s="1405">
        <v>19.329999999999998</v>
      </c>
    </row>
    <row r="3779" spans="2:9" ht="30">
      <c r="B3779" s="1477">
        <v>89397</v>
      </c>
      <c r="C3779" s="740" t="s">
        <v>6013</v>
      </c>
      <c r="D3779" s="739" t="s">
        <v>22</v>
      </c>
      <c r="E3779" s="741">
        <f t="shared" ref="E3779:E3842" si="118">IF($K$2=$H$1,H3779,I3779)</f>
        <v>14.11</v>
      </c>
      <c r="F3779">
        <f t="shared" ref="F3779:F3842" si="119">IF(LEN($B3779)=7,CONCATENATE(MID($B3779,1,6),"00",RIGHT($B3779,1)),IF(LEN($B3779)=8,CONCATENATE(MID($B3779,1,6),"0",RIGHT($B3779,2)),$B3779))</f>
        <v>89397</v>
      </c>
      <c r="H3779" s="1406">
        <v>13.19</v>
      </c>
      <c r="I3779" s="1406">
        <v>14.11</v>
      </c>
    </row>
    <row r="3780" spans="2:9">
      <c r="B3780" s="677">
        <v>89398</v>
      </c>
      <c r="C3780" s="733" t="s">
        <v>6014</v>
      </c>
      <c r="D3780" s="677" t="s">
        <v>22</v>
      </c>
      <c r="E3780" s="738">
        <f t="shared" si="118"/>
        <v>17.47</v>
      </c>
      <c r="F3780">
        <f t="shared" si="119"/>
        <v>89398</v>
      </c>
      <c r="H3780" s="1405">
        <v>16.28</v>
      </c>
      <c r="I3780" s="1405">
        <v>17.47</v>
      </c>
    </row>
    <row r="3781" spans="2:9" ht="30">
      <c r="B3781" s="1477">
        <v>89399</v>
      </c>
      <c r="C3781" s="740" t="s">
        <v>6015</v>
      </c>
      <c r="D3781" s="739" t="s">
        <v>22</v>
      </c>
      <c r="E3781" s="741">
        <f t="shared" si="118"/>
        <v>23.46</v>
      </c>
      <c r="F3781">
        <f t="shared" si="119"/>
        <v>89399</v>
      </c>
      <c r="H3781" s="1406">
        <v>22.48</v>
      </c>
      <c r="I3781" s="1406">
        <v>23.46</v>
      </c>
    </row>
    <row r="3782" spans="2:9" ht="30">
      <c r="B3782" s="677">
        <v>89400</v>
      </c>
      <c r="C3782" s="733" t="s">
        <v>6016</v>
      </c>
      <c r="D3782" s="677" t="s">
        <v>22</v>
      </c>
      <c r="E3782" s="738">
        <f t="shared" si="118"/>
        <v>19</v>
      </c>
      <c r="F3782">
        <f t="shared" si="119"/>
        <v>89400</v>
      </c>
      <c r="H3782" s="1405">
        <v>17.920000000000002</v>
      </c>
      <c r="I3782" s="1405">
        <v>19</v>
      </c>
    </row>
    <row r="3783" spans="2:9" ht="30">
      <c r="B3783" s="1477">
        <v>89404</v>
      </c>
      <c r="C3783" s="740" t="s">
        <v>6017</v>
      </c>
      <c r="D3783" s="739" t="s">
        <v>22</v>
      </c>
      <c r="E3783" s="741">
        <f t="shared" si="118"/>
        <v>6.94</v>
      </c>
      <c r="F3783">
        <f t="shared" si="119"/>
        <v>89404</v>
      </c>
      <c r="H3783" s="1406">
        <v>6.37</v>
      </c>
      <c r="I3783" s="1406">
        <v>6.94</v>
      </c>
    </row>
    <row r="3784" spans="2:9" ht="30">
      <c r="B3784" s="677">
        <v>89405</v>
      </c>
      <c r="C3784" s="733" t="s">
        <v>6018</v>
      </c>
      <c r="D3784" s="677" t="s">
        <v>22</v>
      </c>
      <c r="E3784" s="738">
        <f t="shared" si="118"/>
        <v>7.46</v>
      </c>
      <c r="F3784">
        <f t="shared" si="119"/>
        <v>89405</v>
      </c>
      <c r="H3784" s="1405">
        <v>6.89</v>
      </c>
      <c r="I3784" s="1405">
        <v>7.46</v>
      </c>
    </row>
    <row r="3785" spans="2:9" ht="30">
      <c r="B3785" s="1477">
        <v>89406</v>
      </c>
      <c r="C3785" s="740" t="s">
        <v>6019</v>
      </c>
      <c r="D3785" s="739" t="s">
        <v>22</v>
      </c>
      <c r="E3785" s="741">
        <f t="shared" si="118"/>
        <v>8.39</v>
      </c>
      <c r="F3785">
        <f t="shared" si="119"/>
        <v>89406</v>
      </c>
      <c r="H3785" s="1406">
        <v>7.82</v>
      </c>
      <c r="I3785" s="1406">
        <v>8.39</v>
      </c>
    </row>
    <row r="3786" spans="2:9" ht="30">
      <c r="B3786" s="677">
        <v>89407</v>
      </c>
      <c r="C3786" s="733" t="s">
        <v>6020</v>
      </c>
      <c r="D3786" s="677" t="s">
        <v>22</v>
      </c>
      <c r="E3786" s="738">
        <f t="shared" si="118"/>
        <v>8.4600000000000009</v>
      </c>
      <c r="F3786">
        <f t="shared" si="119"/>
        <v>89407</v>
      </c>
      <c r="H3786" s="1405">
        <v>7.89</v>
      </c>
      <c r="I3786" s="1405">
        <v>8.4600000000000009</v>
      </c>
    </row>
    <row r="3787" spans="2:9" ht="30">
      <c r="B3787" s="1477">
        <v>89408</v>
      </c>
      <c r="C3787" s="740" t="s">
        <v>6021</v>
      </c>
      <c r="D3787" s="739" t="s">
        <v>22</v>
      </c>
      <c r="E3787" s="741">
        <f t="shared" si="118"/>
        <v>8.3000000000000007</v>
      </c>
      <c r="F3787">
        <f t="shared" si="119"/>
        <v>89408</v>
      </c>
      <c r="H3787" s="1406">
        <v>7.63</v>
      </c>
      <c r="I3787" s="1406">
        <v>8.3000000000000007</v>
      </c>
    </row>
    <row r="3788" spans="2:9" ht="30">
      <c r="B3788" s="677">
        <v>89409</v>
      </c>
      <c r="C3788" s="733" t="s">
        <v>6022</v>
      </c>
      <c r="D3788" s="677" t="s">
        <v>22</v>
      </c>
      <c r="E3788" s="738">
        <f t="shared" si="118"/>
        <v>9.0399999999999991</v>
      </c>
      <c r="F3788">
        <f t="shared" si="119"/>
        <v>89409</v>
      </c>
      <c r="H3788" s="1405">
        <v>8.3699999999999992</v>
      </c>
      <c r="I3788" s="1405">
        <v>9.0399999999999991</v>
      </c>
    </row>
    <row r="3789" spans="2:9" ht="30">
      <c r="B3789" s="1477">
        <v>89410</v>
      </c>
      <c r="C3789" s="740" t="s">
        <v>6023</v>
      </c>
      <c r="D3789" s="739" t="s">
        <v>22</v>
      </c>
      <c r="E3789" s="741">
        <f t="shared" si="118"/>
        <v>10.45</v>
      </c>
      <c r="F3789">
        <f t="shared" si="119"/>
        <v>89410</v>
      </c>
      <c r="H3789" s="1406">
        <v>9.7799999999999994</v>
      </c>
      <c r="I3789" s="1406">
        <v>10.45</v>
      </c>
    </row>
    <row r="3790" spans="2:9" ht="30">
      <c r="B3790" s="677">
        <v>89411</v>
      </c>
      <c r="C3790" s="733" t="s">
        <v>6024</v>
      </c>
      <c r="D3790" s="677" t="s">
        <v>22</v>
      </c>
      <c r="E3790" s="738">
        <f t="shared" si="118"/>
        <v>9.94</v>
      </c>
      <c r="F3790">
        <f t="shared" si="119"/>
        <v>89411</v>
      </c>
      <c r="H3790" s="1405">
        <v>9.27</v>
      </c>
      <c r="I3790" s="1405">
        <v>9.94</v>
      </c>
    </row>
    <row r="3791" spans="2:9" ht="30">
      <c r="B3791" s="1477">
        <v>89412</v>
      </c>
      <c r="C3791" s="740" t="s">
        <v>6025</v>
      </c>
      <c r="D3791" s="739" t="s">
        <v>22</v>
      </c>
      <c r="E3791" s="741">
        <f t="shared" si="118"/>
        <v>9.3000000000000007</v>
      </c>
      <c r="F3791">
        <f t="shared" si="119"/>
        <v>89412</v>
      </c>
      <c r="H3791" s="1406">
        <v>8.68</v>
      </c>
      <c r="I3791" s="1406">
        <v>9.3000000000000007</v>
      </c>
    </row>
    <row r="3792" spans="2:9" ht="30">
      <c r="B3792" s="677">
        <v>89413</v>
      </c>
      <c r="C3792" s="733" t="s">
        <v>6026</v>
      </c>
      <c r="D3792" s="677" t="s">
        <v>22</v>
      </c>
      <c r="E3792" s="738">
        <f t="shared" si="118"/>
        <v>11.59</v>
      </c>
      <c r="F3792">
        <f t="shared" si="119"/>
        <v>89413</v>
      </c>
      <c r="H3792" s="1405">
        <v>10.79</v>
      </c>
      <c r="I3792" s="1405">
        <v>11.59</v>
      </c>
    </row>
    <row r="3793" spans="2:9" ht="30">
      <c r="B3793" s="1477">
        <v>89414</v>
      </c>
      <c r="C3793" s="740" t="s">
        <v>6027</v>
      </c>
      <c r="D3793" s="739" t="s">
        <v>22</v>
      </c>
      <c r="E3793" s="741">
        <f t="shared" si="118"/>
        <v>13.23</v>
      </c>
      <c r="F3793">
        <f t="shared" si="119"/>
        <v>89414</v>
      </c>
      <c r="H3793" s="1406">
        <v>12.43</v>
      </c>
      <c r="I3793" s="1406">
        <v>13.23</v>
      </c>
    </row>
    <row r="3794" spans="2:9" ht="30">
      <c r="B3794" s="677">
        <v>89415</v>
      </c>
      <c r="C3794" s="733" t="s">
        <v>6028</v>
      </c>
      <c r="D3794" s="677" t="s">
        <v>22</v>
      </c>
      <c r="E3794" s="738">
        <f t="shared" si="118"/>
        <v>15.43</v>
      </c>
      <c r="F3794">
        <f t="shared" si="119"/>
        <v>89415</v>
      </c>
      <c r="H3794" s="1405">
        <v>14.63</v>
      </c>
      <c r="I3794" s="1405">
        <v>15.43</v>
      </c>
    </row>
    <row r="3795" spans="2:9" ht="30">
      <c r="B3795" s="1477">
        <v>89416</v>
      </c>
      <c r="C3795" s="740" t="s">
        <v>6029</v>
      </c>
      <c r="D3795" s="739" t="s">
        <v>22</v>
      </c>
      <c r="E3795" s="741">
        <f t="shared" si="118"/>
        <v>13.54</v>
      </c>
      <c r="F3795">
        <f t="shared" si="119"/>
        <v>89416</v>
      </c>
      <c r="H3795" s="1406">
        <v>12.74</v>
      </c>
      <c r="I3795" s="1406">
        <v>13.54</v>
      </c>
    </row>
    <row r="3796" spans="2:9">
      <c r="B3796" s="677">
        <v>89417</v>
      </c>
      <c r="C3796" s="733" t="s">
        <v>6030</v>
      </c>
      <c r="D3796" s="677" t="s">
        <v>22</v>
      </c>
      <c r="E3796" s="738">
        <f t="shared" si="118"/>
        <v>5.29</v>
      </c>
      <c r="F3796">
        <f t="shared" si="119"/>
        <v>89417</v>
      </c>
      <c r="H3796" s="1405">
        <v>4.91</v>
      </c>
      <c r="I3796" s="1405">
        <v>5.29</v>
      </c>
    </row>
    <row r="3797" spans="2:9" ht="30">
      <c r="B3797" s="1477">
        <v>89418</v>
      </c>
      <c r="C3797" s="740" t="s">
        <v>6031</v>
      </c>
      <c r="D3797" s="739" t="s">
        <v>22</v>
      </c>
      <c r="E3797" s="741">
        <f t="shared" si="118"/>
        <v>14.64</v>
      </c>
      <c r="F3797">
        <f t="shared" si="119"/>
        <v>89418</v>
      </c>
      <c r="H3797" s="1406">
        <v>14.26</v>
      </c>
      <c r="I3797" s="1406">
        <v>14.64</v>
      </c>
    </row>
    <row r="3798" spans="2:9" ht="30">
      <c r="B3798" s="677">
        <v>89419</v>
      </c>
      <c r="C3798" s="733" t="s">
        <v>6032</v>
      </c>
      <c r="D3798" s="677" t="s">
        <v>22</v>
      </c>
      <c r="E3798" s="738">
        <f t="shared" si="118"/>
        <v>6.36</v>
      </c>
      <c r="F3798">
        <f t="shared" si="119"/>
        <v>89419</v>
      </c>
      <c r="H3798" s="1405">
        <v>5.95</v>
      </c>
      <c r="I3798" s="1405">
        <v>6.36</v>
      </c>
    </row>
    <row r="3799" spans="2:9">
      <c r="B3799" s="1477">
        <v>89421</v>
      </c>
      <c r="C3799" s="740" t="s">
        <v>6033</v>
      </c>
      <c r="D3799" s="739" t="s">
        <v>22</v>
      </c>
      <c r="E3799" s="741">
        <f t="shared" si="118"/>
        <v>10.86</v>
      </c>
      <c r="F3799">
        <f t="shared" si="119"/>
        <v>89421</v>
      </c>
      <c r="H3799" s="1406">
        <v>10.48</v>
      </c>
      <c r="I3799" s="1406">
        <v>10.86</v>
      </c>
    </row>
    <row r="3800" spans="2:9" ht="30">
      <c r="B3800" s="677">
        <v>89423</v>
      </c>
      <c r="C3800" s="733" t="s">
        <v>6034</v>
      </c>
      <c r="D3800" s="677" t="s">
        <v>22</v>
      </c>
      <c r="E3800" s="738">
        <f t="shared" si="118"/>
        <v>9.24</v>
      </c>
      <c r="F3800">
        <f t="shared" si="119"/>
        <v>89423</v>
      </c>
      <c r="H3800" s="1405">
        <v>8.86</v>
      </c>
      <c r="I3800" s="1405">
        <v>9.24</v>
      </c>
    </row>
    <row r="3801" spans="2:9">
      <c r="B3801" s="1477">
        <v>89424</v>
      </c>
      <c r="C3801" s="740" t="s">
        <v>6035</v>
      </c>
      <c r="D3801" s="739" t="s">
        <v>22</v>
      </c>
      <c r="E3801" s="741">
        <f t="shared" si="118"/>
        <v>6.28</v>
      </c>
      <c r="F3801">
        <f t="shared" si="119"/>
        <v>89424</v>
      </c>
      <c r="H3801" s="1406">
        <v>5.84</v>
      </c>
      <c r="I3801" s="1406">
        <v>6.28</v>
      </c>
    </row>
    <row r="3802" spans="2:9" ht="30">
      <c r="B3802" s="677">
        <v>89425</v>
      </c>
      <c r="C3802" s="733" t="s">
        <v>6036</v>
      </c>
      <c r="D3802" s="677" t="s">
        <v>22</v>
      </c>
      <c r="E3802" s="738">
        <f t="shared" si="118"/>
        <v>17.239999999999998</v>
      </c>
      <c r="F3802">
        <f t="shared" si="119"/>
        <v>89425</v>
      </c>
      <c r="H3802" s="1405">
        <v>16.8</v>
      </c>
      <c r="I3802" s="1405">
        <v>17.239999999999998</v>
      </c>
    </row>
    <row r="3803" spans="2:9" ht="30">
      <c r="B3803" s="1477">
        <v>89426</v>
      </c>
      <c r="C3803" s="740" t="s">
        <v>6037</v>
      </c>
      <c r="D3803" s="739" t="s">
        <v>22</v>
      </c>
      <c r="E3803" s="741">
        <f t="shared" si="118"/>
        <v>9.07</v>
      </c>
      <c r="F3803">
        <f t="shared" si="119"/>
        <v>89426</v>
      </c>
      <c r="H3803" s="1406">
        <v>8.59</v>
      </c>
      <c r="I3803" s="1406">
        <v>9.07</v>
      </c>
    </row>
    <row r="3804" spans="2:9" ht="30">
      <c r="B3804" s="677">
        <v>89427</v>
      </c>
      <c r="C3804" s="733" t="s">
        <v>6038</v>
      </c>
      <c r="D3804" s="677" t="s">
        <v>22</v>
      </c>
      <c r="E3804" s="738">
        <f t="shared" si="118"/>
        <v>11.27</v>
      </c>
      <c r="F3804">
        <f t="shared" si="119"/>
        <v>89427</v>
      </c>
      <c r="H3804" s="1405">
        <v>10.86</v>
      </c>
      <c r="I3804" s="1405">
        <v>11.27</v>
      </c>
    </row>
    <row r="3805" spans="2:9">
      <c r="B3805" s="1477">
        <v>89428</v>
      </c>
      <c r="C3805" s="740" t="s">
        <v>6039</v>
      </c>
      <c r="D3805" s="739" t="s">
        <v>22</v>
      </c>
      <c r="E3805" s="741">
        <f t="shared" si="118"/>
        <v>13.1</v>
      </c>
      <c r="F3805">
        <f t="shared" si="119"/>
        <v>89428</v>
      </c>
      <c r="H3805" s="1406">
        <v>12.66</v>
      </c>
      <c r="I3805" s="1406">
        <v>13.1</v>
      </c>
    </row>
    <row r="3806" spans="2:9" ht="30">
      <c r="B3806" s="677">
        <v>89429</v>
      </c>
      <c r="C3806" s="733" t="s">
        <v>6040</v>
      </c>
      <c r="D3806" s="677" t="s">
        <v>22</v>
      </c>
      <c r="E3806" s="738">
        <f t="shared" si="118"/>
        <v>5.88</v>
      </c>
      <c r="F3806">
        <f t="shared" si="119"/>
        <v>89429</v>
      </c>
      <c r="H3806" s="1405">
        <v>5.47</v>
      </c>
      <c r="I3806" s="1405">
        <v>5.88</v>
      </c>
    </row>
    <row r="3807" spans="2:9" ht="30">
      <c r="B3807" s="1477">
        <v>89430</v>
      </c>
      <c r="C3807" s="740" t="s">
        <v>6041</v>
      </c>
      <c r="D3807" s="739" t="s">
        <v>22</v>
      </c>
      <c r="E3807" s="741">
        <f t="shared" si="118"/>
        <v>11.86</v>
      </c>
      <c r="F3807">
        <f t="shared" si="119"/>
        <v>89430</v>
      </c>
      <c r="H3807" s="1406">
        <v>11.42</v>
      </c>
      <c r="I3807" s="1406">
        <v>11.86</v>
      </c>
    </row>
    <row r="3808" spans="2:9">
      <c r="B3808" s="677">
        <v>89431</v>
      </c>
      <c r="C3808" s="733" t="s">
        <v>6042</v>
      </c>
      <c r="D3808" s="677" t="s">
        <v>22</v>
      </c>
      <c r="E3808" s="738">
        <f t="shared" si="118"/>
        <v>8.68</v>
      </c>
      <c r="F3808">
        <f t="shared" si="119"/>
        <v>89431</v>
      </c>
      <c r="H3808" s="1405">
        <v>8.15</v>
      </c>
      <c r="I3808" s="1405">
        <v>8.68</v>
      </c>
    </row>
    <row r="3809" spans="2:9" ht="30">
      <c r="B3809" s="1477">
        <v>89432</v>
      </c>
      <c r="C3809" s="740" t="s">
        <v>6043</v>
      </c>
      <c r="D3809" s="739" t="s">
        <v>22</v>
      </c>
      <c r="E3809" s="741">
        <f t="shared" si="118"/>
        <v>27.62</v>
      </c>
      <c r="F3809">
        <f t="shared" si="119"/>
        <v>89432</v>
      </c>
      <c r="H3809" s="1406">
        <v>27.09</v>
      </c>
      <c r="I3809" s="1406">
        <v>27.62</v>
      </c>
    </row>
    <row r="3810" spans="2:9" ht="30">
      <c r="B3810" s="677">
        <v>89433</v>
      </c>
      <c r="C3810" s="733" t="s">
        <v>6044</v>
      </c>
      <c r="D3810" s="677" t="s">
        <v>22</v>
      </c>
      <c r="E3810" s="738">
        <f t="shared" si="118"/>
        <v>12.51</v>
      </c>
      <c r="F3810">
        <f t="shared" si="119"/>
        <v>89433</v>
      </c>
      <c r="H3810" s="1405">
        <v>11.93</v>
      </c>
      <c r="I3810" s="1405">
        <v>12.51</v>
      </c>
    </row>
    <row r="3811" spans="2:9" ht="30">
      <c r="B3811" s="1477">
        <v>89434</v>
      </c>
      <c r="C3811" s="740" t="s">
        <v>6045</v>
      </c>
      <c r="D3811" s="739" t="s">
        <v>22</v>
      </c>
      <c r="E3811" s="741">
        <f t="shared" si="118"/>
        <v>10.4</v>
      </c>
      <c r="F3811">
        <f t="shared" si="119"/>
        <v>89434</v>
      </c>
      <c r="H3811" s="1406">
        <v>9.92</v>
      </c>
      <c r="I3811" s="1406">
        <v>10.4</v>
      </c>
    </row>
    <row r="3812" spans="2:9">
      <c r="B3812" s="677">
        <v>89435</v>
      </c>
      <c r="C3812" s="733" t="s">
        <v>6046</v>
      </c>
      <c r="D3812" s="677" t="s">
        <v>22</v>
      </c>
      <c r="E3812" s="738">
        <f t="shared" si="118"/>
        <v>19.579999999999998</v>
      </c>
      <c r="F3812">
        <f t="shared" si="119"/>
        <v>89435</v>
      </c>
      <c r="H3812" s="1405">
        <v>19.05</v>
      </c>
      <c r="I3812" s="1405">
        <v>19.579999999999998</v>
      </c>
    </row>
    <row r="3813" spans="2:9" ht="30">
      <c r="B3813" s="1477">
        <v>89436</v>
      </c>
      <c r="C3813" s="740" t="s">
        <v>6047</v>
      </c>
      <c r="D3813" s="739" t="s">
        <v>22</v>
      </c>
      <c r="E3813" s="741">
        <f t="shared" si="118"/>
        <v>7.82</v>
      </c>
      <c r="F3813">
        <f t="shared" si="119"/>
        <v>89436</v>
      </c>
      <c r="H3813" s="1406">
        <v>7.34</v>
      </c>
      <c r="I3813" s="1406">
        <v>7.82</v>
      </c>
    </row>
    <row r="3814" spans="2:9" ht="30">
      <c r="B3814" s="677">
        <v>89437</v>
      </c>
      <c r="C3814" s="733" t="s">
        <v>6048</v>
      </c>
      <c r="D3814" s="677" t="s">
        <v>22</v>
      </c>
      <c r="E3814" s="738">
        <f t="shared" si="118"/>
        <v>22.47</v>
      </c>
      <c r="F3814">
        <f t="shared" si="119"/>
        <v>89437</v>
      </c>
      <c r="H3814" s="1405">
        <v>21.94</v>
      </c>
      <c r="I3814" s="1405">
        <v>22.47</v>
      </c>
    </row>
    <row r="3815" spans="2:9">
      <c r="B3815" s="1477">
        <v>89438</v>
      </c>
      <c r="C3815" s="740" t="s">
        <v>6049</v>
      </c>
      <c r="D3815" s="739" t="s">
        <v>22</v>
      </c>
      <c r="E3815" s="741">
        <f t="shared" si="118"/>
        <v>9.68</v>
      </c>
      <c r="F3815">
        <f t="shared" si="119"/>
        <v>89438</v>
      </c>
      <c r="H3815" s="1406">
        <v>8.92</v>
      </c>
      <c r="I3815" s="1406">
        <v>9.68</v>
      </c>
    </row>
    <row r="3816" spans="2:9" ht="30">
      <c r="B3816" s="677">
        <v>89439</v>
      </c>
      <c r="C3816" s="733" t="s">
        <v>6050</v>
      </c>
      <c r="D3816" s="677" t="s">
        <v>22</v>
      </c>
      <c r="E3816" s="738">
        <f t="shared" si="118"/>
        <v>11.08</v>
      </c>
      <c r="F3816">
        <f t="shared" si="119"/>
        <v>89439</v>
      </c>
      <c r="H3816" s="1405">
        <v>10.32</v>
      </c>
      <c r="I3816" s="1405">
        <v>11.08</v>
      </c>
    </row>
    <row r="3817" spans="2:9">
      <c r="B3817" s="1477">
        <v>89440</v>
      </c>
      <c r="C3817" s="740" t="s">
        <v>6051</v>
      </c>
      <c r="D3817" s="739" t="s">
        <v>22</v>
      </c>
      <c r="E3817" s="741">
        <f t="shared" si="118"/>
        <v>11.51</v>
      </c>
      <c r="F3817">
        <f t="shared" si="119"/>
        <v>89440</v>
      </c>
      <c r="H3817" s="1406">
        <v>10.63</v>
      </c>
      <c r="I3817" s="1406">
        <v>11.51</v>
      </c>
    </row>
    <row r="3818" spans="2:9" ht="30">
      <c r="B3818" s="677">
        <v>89442</v>
      </c>
      <c r="C3818" s="733" t="s">
        <v>6052</v>
      </c>
      <c r="D3818" s="677" t="s">
        <v>22</v>
      </c>
      <c r="E3818" s="738">
        <f t="shared" si="118"/>
        <v>13.18</v>
      </c>
      <c r="F3818">
        <f t="shared" si="119"/>
        <v>89442</v>
      </c>
      <c r="H3818" s="1405">
        <v>12.35</v>
      </c>
      <c r="I3818" s="1405">
        <v>13.18</v>
      </c>
    </row>
    <row r="3819" spans="2:9">
      <c r="B3819" s="1477">
        <v>89443</v>
      </c>
      <c r="C3819" s="740" t="s">
        <v>6053</v>
      </c>
      <c r="D3819" s="739" t="s">
        <v>22</v>
      </c>
      <c r="E3819" s="741">
        <f t="shared" si="118"/>
        <v>16.28</v>
      </c>
      <c r="F3819">
        <f t="shared" si="119"/>
        <v>89443</v>
      </c>
      <c r="H3819" s="1406">
        <v>15.22</v>
      </c>
      <c r="I3819" s="1406">
        <v>16.28</v>
      </c>
    </row>
    <row r="3820" spans="2:9" ht="30">
      <c r="B3820" s="677">
        <v>89444</v>
      </c>
      <c r="C3820" s="733" t="s">
        <v>6054</v>
      </c>
      <c r="D3820" s="677" t="s">
        <v>22</v>
      </c>
      <c r="E3820" s="738">
        <f t="shared" si="118"/>
        <v>22.86</v>
      </c>
      <c r="F3820">
        <f t="shared" si="119"/>
        <v>89444</v>
      </c>
      <c r="H3820" s="1405">
        <v>21.95</v>
      </c>
      <c r="I3820" s="1405">
        <v>22.86</v>
      </c>
    </row>
    <row r="3821" spans="2:9" ht="30">
      <c r="B3821" s="1477">
        <v>89445</v>
      </c>
      <c r="C3821" s="740" t="s">
        <v>6055</v>
      </c>
      <c r="D3821" s="739" t="s">
        <v>22</v>
      </c>
      <c r="E3821" s="741">
        <f t="shared" si="118"/>
        <v>17.899999999999999</v>
      </c>
      <c r="F3821">
        <f t="shared" si="119"/>
        <v>89445</v>
      </c>
      <c r="H3821" s="1406">
        <v>16.940000000000001</v>
      </c>
      <c r="I3821" s="1406">
        <v>17.899999999999999</v>
      </c>
    </row>
    <row r="3822" spans="2:9">
      <c r="B3822" s="677">
        <v>89481</v>
      </c>
      <c r="C3822" s="733" t="s">
        <v>6056</v>
      </c>
      <c r="D3822" s="677" t="s">
        <v>22</v>
      </c>
      <c r="E3822" s="738">
        <f t="shared" si="118"/>
        <v>5.21</v>
      </c>
      <c r="F3822">
        <f t="shared" si="119"/>
        <v>89481</v>
      </c>
      <c r="H3822" s="1405">
        <v>4.8600000000000003</v>
      </c>
      <c r="I3822" s="1405">
        <v>5.21</v>
      </c>
    </row>
    <row r="3823" spans="2:9">
      <c r="B3823" s="1477">
        <v>89485</v>
      </c>
      <c r="C3823" s="740" t="s">
        <v>6057</v>
      </c>
      <c r="D3823" s="739" t="s">
        <v>22</v>
      </c>
      <c r="E3823" s="741">
        <f t="shared" si="118"/>
        <v>5.95</v>
      </c>
      <c r="F3823">
        <f t="shared" si="119"/>
        <v>89485</v>
      </c>
      <c r="H3823" s="1406">
        <v>5.6</v>
      </c>
      <c r="I3823" s="1406">
        <v>5.95</v>
      </c>
    </row>
    <row r="3824" spans="2:9">
      <c r="B3824" s="677">
        <v>89489</v>
      </c>
      <c r="C3824" s="733" t="s">
        <v>6058</v>
      </c>
      <c r="D3824" s="677" t="s">
        <v>22</v>
      </c>
      <c r="E3824" s="738">
        <f t="shared" si="118"/>
        <v>7.36</v>
      </c>
      <c r="F3824">
        <f t="shared" si="119"/>
        <v>89489</v>
      </c>
      <c r="H3824" s="1405">
        <v>7.01</v>
      </c>
      <c r="I3824" s="1405">
        <v>7.36</v>
      </c>
    </row>
    <row r="3825" spans="2:9">
      <c r="B3825" s="1477">
        <v>89490</v>
      </c>
      <c r="C3825" s="740" t="s">
        <v>6059</v>
      </c>
      <c r="D3825" s="739" t="s">
        <v>22</v>
      </c>
      <c r="E3825" s="741">
        <f t="shared" si="118"/>
        <v>6.85</v>
      </c>
      <c r="F3825">
        <f t="shared" si="119"/>
        <v>89490</v>
      </c>
      <c r="H3825" s="1406">
        <v>6.5</v>
      </c>
      <c r="I3825" s="1406">
        <v>6.85</v>
      </c>
    </row>
    <row r="3826" spans="2:9">
      <c r="B3826" s="677">
        <v>89492</v>
      </c>
      <c r="C3826" s="733" t="s">
        <v>6060</v>
      </c>
      <c r="D3826" s="677" t="s">
        <v>22</v>
      </c>
      <c r="E3826" s="738">
        <f t="shared" si="118"/>
        <v>7.98</v>
      </c>
      <c r="F3826">
        <f t="shared" si="119"/>
        <v>89492</v>
      </c>
      <c r="H3826" s="1405">
        <v>7.56</v>
      </c>
      <c r="I3826" s="1405">
        <v>7.98</v>
      </c>
    </row>
    <row r="3827" spans="2:9">
      <c r="B3827" s="1477">
        <v>89493</v>
      </c>
      <c r="C3827" s="740" t="s">
        <v>6061</v>
      </c>
      <c r="D3827" s="739" t="s">
        <v>22</v>
      </c>
      <c r="E3827" s="741">
        <f t="shared" si="118"/>
        <v>9.6199999999999992</v>
      </c>
      <c r="F3827">
        <f t="shared" si="119"/>
        <v>89493</v>
      </c>
      <c r="H3827" s="1406">
        <v>9.1999999999999993</v>
      </c>
      <c r="I3827" s="1406">
        <v>9.6199999999999992</v>
      </c>
    </row>
    <row r="3828" spans="2:9">
      <c r="B3828" s="677">
        <v>89494</v>
      </c>
      <c r="C3828" s="733" t="s">
        <v>6062</v>
      </c>
      <c r="D3828" s="677" t="s">
        <v>22</v>
      </c>
      <c r="E3828" s="738">
        <f t="shared" si="118"/>
        <v>11.82</v>
      </c>
      <c r="F3828">
        <f t="shared" si="119"/>
        <v>89494</v>
      </c>
      <c r="H3828" s="1405">
        <v>11.4</v>
      </c>
      <c r="I3828" s="1405">
        <v>11.82</v>
      </c>
    </row>
    <row r="3829" spans="2:9">
      <c r="B3829" s="1477">
        <v>89496</v>
      </c>
      <c r="C3829" s="740" t="s">
        <v>6063</v>
      </c>
      <c r="D3829" s="739" t="s">
        <v>22</v>
      </c>
      <c r="E3829" s="741">
        <f t="shared" si="118"/>
        <v>9.93</v>
      </c>
      <c r="F3829">
        <f t="shared" si="119"/>
        <v>89496</v>
      </c>
      <c r="H3829" s="1406">
        <v>9.51</v>
      </c>
      <c r="I3829" s="1406">
        <v>9.93</v>
      </c>
    </row>
    <row r="3830" spans="2:9">
      <c r="B3830" s="677">
        <v>89497</v>
      </c>
      <c r="C3830" s="733" t="s">
        <v>6064</v>
      </c>
      <c r="D3830" s="677" t="s">
        <v>22</v>
      </c>
      <c r="E3830" s="738">
        <f t="shared" si="118"/>
        <v>12.62</v>
      </c>
      <c r="F3830">
        <f t="shared" si="119"/>
        <v>89497</v>
      </c>
      <c r="H3830" s="1405">
        <v>12.1</v>
      </c>
      <c r="I3830" s="1405">
        <v>12.62</v>
      </c>
    </row>
    <row r="3831" spans="2:9">
      <c r="B3831" s="1477">
        <v>89498</v>
      </c>
      <c r="C3831" s="740" t="s">
        <v>6065</v>
      </c>
      <c r="D3831" s="739" t="s">
        <v>22</v>
      </c>
      <c r="E3831" s="741">
        <f t="shared" si="118"/>
        <v>12.68</v>
      </c>
      <c r="F3831">
        <f t="shared" si="119"/>
        <v>89498</v>
      </c>
      <c r="H3831" s="1406">
        <v>12.16</v>
      </c>
      <c r="I3831" s="1406">
        <v>12.68</v>
      </c>
    </row>
    <row r="3832" spans="2:9">
      <c r="B3832" s="677">
        <v>89499</v>
      </c>
      <c r="C3832" s="733" t="s">
        <v>6066</v>
      </c>
      <c r="D3832" s="677" t="s">
        <v>22</v>
      </c>
      <c r="E3832" s="738">
        <f t="shared" si="118"/>
        <v>18.440000000000001</v>
      </c>
      <c r="F3832">
        <f t="shared" si="119"/>
        <v>89499</v>
      </c>
      <c r="H3832" s="1405">
        <v>17.920000000000002</v>
      </c>
      <c r="I3832" s="1405">
        <v>18.440000000000001</v>
      </c>
    </row>
    <row r="3833" spans="2:9">
      <c r="B3833" s="1477">
        <v>89500</v>
      </c>
      <c r="C3833" s="740" t="s">
        <v>6067</v>
      </c>
      <c r="D3833" s="739" t="s">
        <v>22</v>
      </c>
      <c r="E3833" s="741">
        <f t="shared" si="118"/>
        <v>12.16</v>
      </c>
      <c r="F3833">
        <f t="shared" si="119"/>
        <v>89500</v>
      </c>
      <c r="H3833" s="1406">
        <v>11.64</v>
      </c>
      <c r="I3833" s="1406">
        <v>12.16</v>
      </c>
    </row>
    <row r="3834" spans="2:9">
      <c r="B3834" s="677">
        <v>89501</v>
      </c>
      <c r="C3834" s="733" t="s">
        <v>6068</v>
      </c>
      <c r="D3834" s="677" t="s">
        <v>22</v>
      </c>
      <c r="E3834" s="738">
        <f t="shared" si="118"/>
        <v>13.85</v>
      </c>
      <c r="F3834">
        <f t="shared" si="119"/>
        <v>89501</v>
      </c>
      <c r="H3834" s="1405">
        <v>13.23</v>
      </c>
      <c r="I3834" s="1405">
        <v>13.85</v>
      </c>
    </row>
    <row r="3835" spans="2:9">
      <c r="B3835" s="1477">
        <v>89502</v>
      </c>
      <c r="C3835" s="740" t="s">
        <v>6069</v>
      </c>
      <c r="D3835" s="739" t="s">
        <v>22</v>
      </c>
      <c r="E3835" s="741">
        <f t="shared" si="118"/>
        <v>16.22</v>
      </c>
      <c r="F3835">
        <f t="shared" si="119"/>
        <v>89502</v>
      </c>
      <c r="H3835" s="1406">
        <v>15.6</v>
      </c>
      <c r="I3835" s="1406">
        <v>16.22</v>
      </c>
    </row>
    <row r="3836" spans="2:9">
      <c r="B3836" s="677">
        <v>89503</v>
      </c>
      <c r="C3836" s="733" t="s">
        <v>6070</v>
      </c>
      <c r="D3836" s="677" t="s">
        <v>22</v>
      </c>
      <c r="E3836" s="738">
        <f t="shared" si="118"/>
        <v>21.51</v>
      </c>
      <c r="F3836">
        <f t="shared" si="119"/>
        <v>89503</v>
      </c>
      <c r="H3836" s="1405">
        <v>20.89</v>
      </c>
      <c r="I3836" s="1405">
        <v>21.51</v>
      </c>
    </row>
    <row r="3837" spans="2:9">
      <c r="B3837" s="1477">
        <v>89504</v>
      </c>
      <c r="C3837" s="740" t="s">
        <v>6071</v>
      </c>
      <c r="D3837" s="739" t="s">
        <v>22</v>
      </c>
      <c r="E3837" s="741">
        <f t="shared" si="118"/>
        <v>17.920000000000002</v>
      </c>
      <c r="F3837">
        <f t="shared" si="119"/>
        <v>89504</v>
      </c>
      <c r="H3837" s="1406">
        <v>17.3</v>
      </c>
      <c r="I3837" s="1406">
        <v>17.920000000000002</v>
      </c>
    </row>
    <row r="3838" spans="2:9">
      <c r="B3838" s="677">
        <v>89505</v>
      </c>
      <c r="C3838" s="733" t="s">
        <v>6072</v>
      </c>
      <c r="D3838" s="677" t="s">
        <v>22</v>
      </c>
      <c r="E3838" s="738">
        <f t="shared" si="118"/>
        <v>38.799999999999997</v>
      </c>
      <c r="F3838">
        <f t="shared" si="119"/>
        <v>89505</v>
      </c>
      <c r="H3838" s="1405">
        <v>38.06</v>
      </c>
      <c r="I3838" s="1405">
        <v>38.799999999999997</v>
      </c>
    </row>
    <row r="3839" spans="2:9">
      <c r="B3839" s="1477">
        <v>89506</v>
      </c>
      <c r="C3839" s="740" t="s">
        <v>6073</v>
      </c>
      <c r="D3839" s="739" t="s">
        <v>22</v>
      </c>
      <c r="E3839" s="741">
        <f t="shared" si="118"/>
        <v>37.14</v>
      </c>
      <c r="F3839">
        <f t="shared" si="119"/>
        <v>89506</v>
      </c>
      <c r="H3839" s="1406">
        <v>36.4</v>
      </c>
      <c r="I3839" s="1406">
        <v>37.14</v>
      </c>
    </row>
    <row r="3840" spans="2:9">
      <c r="B3840" s="677">
        <v>89507</v>
      </c>
      <c r="C3840" s="733" t="s">
        <v>6074</v>
      </c>
      <c r="D3840" s="677" t="s">
        <v>22</v>
      </c>
      <c r="E3840" s="738">
        <f t="shared" si="118"/>
        <v>43.7</v>
      </c>
      <c r="F3840">
        <f t="shared" si="119"/>
        <v>89507</v>
      </c>
      <c r="H3840" s="1405">
        <v>42.96</v>
      </c>
      <c r="I3840" s="1405">
        <v>43.7</v>
      </c>
    </row>
    <row r="3841" spans="2:9">
      <c r="B3841" s="1477">
        <v>89510</v>
      </c>
      <c r="C3841" s="740" t="s">
        <v>6075</v>
      </c>
      <c r="D3841" s="739" t="s">
        <v>22</v>
      </c>
      <c r="E3841" s="741">
        <f t="shared" si="118"/>
        <v>25.51</v>
      </c>
      <c r="F3841">
        <f t="shared" si="119"/>
        <v>89510</v>
      </c>
      <c r="H3841" s="1406">
        <v>24.77</v>
      </c>
      <c r="I3841" s="1406">
        <v>25.51</v>
      </c>
    </row>
    <row r="3842" spans="2:9">
      <c r="B3842" s="677">
        <v>89513</v>
      </c>
      <c r="C3842" s="733" t="s">
        <v>6076</v>
      </c>
      <c r="D3842" s="677" t="s">
        <v>22</v>
      </c>
      <c r="E3842" s="738">
        <f t="shared" si="118"/>
        <v>96.17</v>
      </c>
      <c r="F3842">
        <f t="shared" si="119"/>
        <v>89513</v>
      </c>
      <c r="H3842" s="1405">
        <v>95.28</v>
      </c>
      <c r="I3842" s="1405">
        <v>96.17</v>
      </c>
    </row>
    <row r="3843" spans="2:9" ht="30">
      <c r="B3843" s="1477">
        <v>89514</v>
      </c>
      <c r="C3843" s="740" t="s">
        <v>6077</v>
      </c>
      <c r="D3843" s="739" t="s">
        <v>22</v>
      </c>
      <c r="E3843" s="741">
        <f t="shared" ref="E3843:E3906" si="120">IF($K$2=$H$1,H3843,I3843)</f>
        <v>8.1199999999999992</v>
      </c>
      <c r="F3843">
        <f t="shared" ref="F3843:F3906" si="121">IF(LEN($B3843)=7,CONCATENATE(MID($B3843,1,6),"00",RIGHT($B3843,1)),IF(LEN($B3843)=8,CONCATENATE(MID($B3843,1,6),"0",RIGHT($B3843,2)),$B3843))</f>
        <v>89514</v>
      </c>
      <c r="H3843" s="1406">
        <v>7.89</v>
      </c>
      <c r="I3843" s="1406">
        <v>8.1199999999999992</v>
      </c>
    </row>
    <row r="3844" spans="2:9">
      <c r="B3844" s="677">
        <v>89515</v>
      </c>
      <c r="C3844" s="733" t="s">
        <v>6078</v>
      </c>
      <c r="D3844" s="677" t="s">
        <v>22</v>
      </c>
      <c r="E3844" s="738">
        <f t="shared" si="120"/>
        <v>77</v>
      </c>
      <c r="F3844">
        <f t="shared" si="121"/>
        <v>89515</v>
      </c>
      <c r="H3844" s="1405">
        <v>76.11</v>
      </c>
      <c r="I3844" s="1405">
        <v>77</v>
      </c>
    </row>
    <row r="3845" spans="2:9" ht="30">
      <c r="B3845" s="1477">
        <v>89516</v>
      </c>
      <c r="C3845" s="740" t="s">
        <v>6079</v>
      </c>
      <c r="D3845" s="739" t="s">
        <v>22</v>
      </c>
      <c r="E3845" s="741">
        <f t="shared" si="120"/>
        <v>8.1999999999999993</v>
      </c>
      <c r="F3845">
        <f t="shared" si="121"/>
        <v>89516</v>
      </c>
      <c r="H3845" s="1406">
        <v>7.97</v>
      </c>
      <c r="I3845" s="1406">
        <v>8.1999999999999993</v>
      </c>
    </row>
    <row r="3846" spans="2:9">
      <c r="B3846" s="677">
        <v>89517</v>
      </c>
      <c r="C3846" s="733" t="s">
        <v>6080</v>
      </c>
      <c r="D3846" s="677" t="s">
        <v>22</v>
      </c>
      <c r="E3846" s="738">
        <f t="shared" si="120"/>
        <v>64.760000000000005</v>
      </c>
      <c r="F3846">
        <f t="shared" si="121"/>
        <v>89517</v>
      </c>
      <c r="H3846" s="1405">
        <v>63.87</v>
      </c>
      <c r="I3846" s="1405">
        <v>64.760000000000005</v>
      </c>
    </row>
    <row r="3847" spans="2:9" ht="30">
      <c r="B3847" s="1477">
        <v>89518</v>
      </c>
      <c r="C3847" s="740" t="s">
        <v>6081</v>
      </c>
      <c r="D3847" s="739" t="s">
        <v>22</v>
      </c>
      <c r="E3847" s="741">
        <f t="shared" si="120"/>
        <v>14.82</v>
      </c>
      <c r="F3847">
        <f t="shared" si="121"/>
        <v>89518</v>
      </c>
      <c r="H3847" s="1406">
        <v>14.53</v>
      </c>
      <c r="I3847" s="1406">
        <v>14.82</v>
      </c>
    </row>
    <row r="3848" spans="2:9">
      <c r="B3848" s="677">
        <v>89519</v>
      </c>
      <c r="C3848" s="733" t="s">
        <v>6082</v>
      </c>
      <c r="D3848" s="677" t="s">
        <v>22</v>
      </c>
      <c r="E3848" s="738">
        <f t="shared" si="120"/>
        <v>44.41</v>
      </c>
      <c r="F3848">
        <f t="shared" si="121"/>
        <v>89519</v>
      </c>
      <c r="H3848" s="1405">
        <v>43.52</v>
      </c>
      <c r="I3848" s="1405">
        <v>44.41</v>
      </c>
    </row>
    <row r="3849" spans="2:9" ht="30">
      <c r="B3849" s="1477">
        <v>89520</v>
      </c>
      <c r="C3849" s="740" t="s">
        <v>6083</v>
      </c>
      <c r="D3849" s="739" t="s">
        <v>22</v>
      </c>
      <c r="E3849" s="741">
        <f t="shared" si="120"/>
        <v>15.52</v>
      </c>
      <c r="F3849">
        <f t="shared" si="121"/>
        <v>89520</v>
      </c>
      <c r="H3849" s="1406">
        <v>15.23</v>
      </c>
      <c r="I3849" s="1406">
        <v>15.52</v>
      </c>
    </row>
    <row r="3850" spans="2:9">
      <c r="B3850" s="677">
        <v>89521</v>
      </c>
      <c r="C3850" s="733" t="s">
        <v>6084</v>
      </c>
      <c r="D3850" s="677" t="s">
        <v>22</v>
      </c>
      <c r="E3850" s="738">
        <f t="shared" si="120"/>
        <v>114.7</v>
      </c>
      <c r="F3850">
        <f t="shared" si="121"/>
        <v>89521</v>
      </c>
      <c r="H3850" s="1405">
        <v>113.69</v>
      </c>
      <c r="I3850" s="1405">
        <v>114.7</v>
      </c>
    </row>
    <row r="3851" spans="2:9" ht="30">
      <c r="B3851" s="1477">
        <v>89522</v>
      </c>
      <c r="C3851" s="740" t="s">
        <v>6085</v>
      </c>
      <c r="D3851" s="739" t="s">
        <v>22</v>
      </c>
      <c r="E3851" s="741">
        <f t="shared" si="120"/>
        <v>28.65</v>
      </c>
      <c r="F3851">
        <f t="shared" si="121"/>
        <v>89522</v>
      </c>
      <c r="H3851" s="1406">
        <v>28.19</v>
      </c>
      <c r="I3851" s="1406">
        <v>28.65</v>
      </c>
    </row>
    <row r="3852" spans="2:9">
      <c r="B3852" s="677">
        <v>89523</v>
      </c>
      <c r="C3852" s="733" t="s">
        <v>6086</v>
      </c>
      <c r="D3852" s="677" t="s">
        <v>22</v>
      </c>
      <c r="E3852" s="738">
        <f t="shared" si="120"/>
        <v>94.17</v>
      </c>
      <c r="F3852">
        <f t="shared" si="121"/>
        <v>89523</v>
      </c>
      <c r="H3852" s="1405">
        <v>93.16</v>
      </c>
      <c r="I3852" s="1405">
        <v>94.17</v>
      </c>
    </row>
    <row r="3853" spans="2:9" ht="30">
      <c r="B3853" s="1477">
        <v>89524</v>
      </c>
      <c r="C3853" s="740" t="s">
        <v>6087</v>
      </c>
      <c r="D3853" s="739" t="s">
        <v>22</v>
      </c>
      <c r="E3853" s="741">
        <f t="shared" si="120"/>
        <v>29.09</v>
      </c>
      <c r="F3853">
        <f t="shared" si="121"/>
        <v>89524</v>
      </c>
      <c r="H3853" s="1406">
        <v>28.63</v>
      </c>
      <c r="I3853" s="1406">
        <v>29.09</v>
      </c>
    </row>
    <row r="3854" spans="2:9">
      <c r="B3854" s="677">
        <v>89525</v>
      </c>
      <c r="C3854" s="733" t="s">
        <v>6088</v>
      </c>
      <c r="D3854" s="677" t="s">
        <v>22</v>
      </c>
      <c r="E3854" s="738">
        <f t="shared" si="120"/>
        <v>81.41</v>
      </c>
      <c r="F3854">
        <f t="shared" si="121"/>
        <v>89525</v>
      </c>
      <c r="H3854" s="1405">
        <v>80.400000000000006</v>
      </c>
      <c r="I3854" s="1405">
        <v>81.41</v>
      </c>
    </row>
    <row r="3855" spans="2:9" ht="30">
      <c r="B3855" s="1477">
        <v>89526</v>
      </c>
      <c r="C3855" s="740" t="s">
        <v>6089</v>
      </c>
      <c r="D3855" s="739" t="s">
        <v>22</v>
      </c>
      <c r="E3855" s="741">
        <f t="shared" si="120"/>
        <v>37.22</v>
      </c>
      <c r="F3855">
        <f t="shared" si="121"/>
        <v>89526</v>
      </c>
      <c r="H3855" s="1406">
        <v>36.76</v>
      </c>
      <c r="I3855" s="1406">
        <v>37.22</v>
      </c>
    </row>
    <row r="3856" spans="2:9">
      <c r="B3856" s="677">
        <v>89527</v>
      </c>
      <c r="C3856" s="733" t="s">
        <v>6090</v>
      </c>
      <c r="D3856" s="677" t="s">
        <v>22</v>
      </c>
      <c r="E3856" s="738">
        <f t="shared" si="120"/>
        <v>53.56</v>
      </c>
      <c r="F3856">
        <f t="shared" si="121"/>
        <v>89527</v>
      </c>
      <c r="H3856" s="1405">
        <v>52.55</v>
      </c>
      <c r="I3856" s="1405">
        <v>53.56</v>
      </c>
    </row>
    <row r="3857" spans="2:9">
      <c r="B3857" s="1477">
        <v>89528</v>
      </c>
      <c r="C3857" s="740" t="s">
        <v>6091</v>
      </c>
      <c r="D3857" s="739" t="s">
        <v>22</v>
      </c>
      <c r="E3857" s="741">
        <f t="shared" si="120"/>
        <v>4.21</v>
      </c>
      <c r="F3857">
        <f t="shared" si="121"/>
        <v>89528</v>
      </c>
      <c r="H3857" s="1406">
        <v>3.98</v>
      </c>
      <c r="I3857" s="1406">
        <v>4.21</v>
      </c>
    </row>
    <row r="3858" spans="2:9" ht="30">
      <c r="B3858" s="677">
        <v>89529</v>
      </c>
      <c r="C3858" s="733" t="s">
        <v>6092</v>
      </c>
      <c r="D3858" s="677" t="s">
        <v>22</v>
      </c>
      <c r="E3858" s="738">
        <f t="shared" si="120"/>
        <v>35.72</v>
      </c>
      <c r="F3858">
        <f t="shared" si="121"/>
        <v>89529</v>
      </c>
      <c r="H3858" s="1405">
        <v>35.090000000000003</v>
      </c>
      <c r="I3858" s="1405">
        <v>35.72</v>
      </c>
    </row>
    <row r="3859" spans="2:9">
      <c r="B3859" s="1477">
        <v>89530</v>
      </c>
      <c r="C3859" s="740" t="s">
        <v>6093</v>
      </c>
      <c r="D3859" s="739" t="s">
        <v>22</v>
      </c>
      <c r="E3859" s="741">
        <f t="shared" si="120"/>
        <v>15.17</v>
      </c>
      <c r="F3859">
        <f t="shared" si="121"/>
        <v>89530</v>
      </c>
      <c r="H3859" s="1406">
        <v>14.94</v>
      </c>
      <c r="I3859" s="1406">
        <v>15.17</v>
      </c>
    </row>
    <row r="3860" spans="2:9" ht="30">
      <c r="B3860" s="677">
        <v>89531</v>
      </c>
      <c r="C3860" s="733" t="s">
        <v>6094</v>
      </c>
      <c r="D3860" s="677" t="s">
        <v>22</v>
      </c>
      <c r="E3860" s="738">
        <f t="shared" si="120"/>
        <v>36.71</v>
      </c>
      <c r="F3860">
        <f t="shared" si="121"/>
        <v>89531</v>
      </c>
      <c r="H3860" s="1405">
        <v>36.08</v>
      </c>
      <c r="I3860" s="1405">
        <v>36.71</v>
      </c>
    </row>
    <row r="3861" spans="2:9" ht="30">
      <c r="B3861" s="1477">
        <v>89532</v>
      </c>
      <c r="C3861" s="740" t="s">
        <v>6095</v>
      </c>
      <c r="D3861" s="739" t="s">
        <v>22</v>
      </c>
      <c r="E3861" s="741">
        <f t="shared" si="120"/>
        <v>6.84</v>
      </c>
      <c r="F3861">
        <f t="shared" si="121"/>
        <v>89532</v>
      </c>
      <c r="H3861" s="1406">
        <v>6.59</v>
      </c>
      <c r="I3861" s="1406">
        <v>6.84</v>
      </c>
    </row>
    <row r="3862" spans="2:9" ht="30">
      <c r="B3862" s="677">
        <v>89535</v>
      </c>
      <c r="C3862" s="733" t="s">
        <v>6096</v>
      </c>
      <c r="D3862" s="677" t="s">
        <v>22</v>
      </c>
      <c r="E3862" s="738">
        <f t="shared" si="120"/>
        <v>40.97</v>
      </c>
      <c r="F3862">
        <f t="shared" si="121"/>
        <v>89535</v>
      </c>
      <c r="H3862" s="1405">
        <v>40.340000000000003</v>
      </c>
      <c r="I3862" s="1405">
        <v>40.97</v>
      </c>
    </row>
    <row r="3863" spans="2:9">
      <c r="B3863" s="1477">
        <v>89536</v>
      </c>
      <c r="C3863" s="740" t="s">
        <v>6097</v>
      </c>
      <c r="D3863" s="739" t="s">
        <v>22</v>
      </c>
      <c r="E3863" s="741">
        <f t="shared" si="120"/>
        <v>11.03</v>
      </c>
      <c r="F3863">
        <f t="shared" si="121"/>
        <v>89536</v>
      </c>
      <c r="H3863" s="1406">
        <v>10.8</v>
      </c>
      <c r="I3863" s="1406">
        <v>11.03</v>
      </c>
    </row>
    <row r="3864" spans="2:9" ht="30">
      <c r="B3864" s="677">
        <v>89540</v>
      </c>
      <c r="C3864" s="733" t="s">
        <v>6098</v>
      </c>
      <c r="D3864" s="677" t="s">
        <v>22</v>
      </c>
      <c r="E3864" s="738">
        <f t="shared" si="120"/>
        <v>9.7899999999999991</v>
      </c>
      <c r="F3864">
        <f t="shared" si="121"/>
        <v>89540</v>
      </c>
      <c r="H3864" s="1405">
        <v>9.56</v>
      </c>
      <c r="I3864" s="1405">
        <v>9.7899999999999991</v>
      </c>
    </row>
    <row r="3865" spans="2:9">
      <c r="B3865" s="1477">
        <v>89541</v>
      </c>
      <c r="C3865" s="740" t="s">
        <v>6099</v>
      </c>
      <c r="D3865" s="739" t="s">
        <v>22</v>
      </c>
      <c r="E3865" s="741">
        <f t="shared" si="120"/>
        <v>6.27</v>
      </c>
      <c r="F3865">
        <f t="shared" si="121"/>
        <v>89541</v>
      </c>
      <c r="H3865" s="1406">
        <v>5.99</v>
      </c>
      <c r="I3865" s="1406">
        <v>6.27</v>
      </c>
    </row>
    <row r="3866" spans="2:9">
      <c r="B3866" s="677">
        <v>89542</v>
      </c>
      <c r="C3866" s="733" t="s">
        <v>6100</v>
      </c>
      <c r="D3866" s="677" t="s">
        <v>22</v>
      </c>
      <c r="E3866" s="738">
        <f t="shared" si="120"/>
        <v>25.21</v>
      </c>
      <c r="F3866">
        <f t="shared" si="121"/>
        <v>89542</v>
      </c>
      <c r="H3866" s="1405">
        <v>24.93</v>
      </c>
      <c r="I3866" s="1405">
        <v>25.21</v>
      </c>
    </row>
    <row r="3867" spans="2:9" ht="30">
      <c r="B3867" s="1477">
        <v>89544</v>
      </c>
      <c r="C3867" s="740" t="s">
        <v>6101</v>
      </c>
      <c r="D3867" s="739" t="s">
        <v>22</v>
      </c>
      <c r="E3867" s="741">
        <f t="shared" si="120"/>
        <v>8.34</v>
      </c>
      <c r="F3867">
        <f t="shared" si="121"/>
        <v>89544</v>
      </c>
      <c r="H3867" s="1406">
        <v>8.19</v>
      </c>
      <c r="I3867" s="1406">
        <v>8.34</v>
      </c>
    </row>
    <row r="3868" spans="2:9" ht="30">
      <c r="B3868" s="677">
        <v>89545</v>
      </c>
      <c r="C3868" s="733" t="s">
        <v>6102</v>
      </c>
      <c r="D3868" s="677" t="s">
        <v>22</v>
      </c>
      <c r="E3868" s="738">
        <f t="shared" si="120"/>
        <v>16.32</v>
      </c>
      <c r="F3868">
        <f t="shared" si="121"/>
        <v>89545</v>
      </c>
      <c r="H3868" s="1405">
        <v>16.13</v>
      </c>
      <c r="I3868" s="1405">
        <v>16.32</v>
      </c>
    </row>
    <row r="3869" spans="2:9" ht="30">
      <c r="B3869" s="1477">
        <v>89546</v>
      </c>
      <c r="C3869" s="740" t="s">
        <v>6103</v>
      </c>
      <c r="D3869" s="739" t="s">
        <v>22</v>
      </c>
      <c r="E3869" s="741">
        <f t="shared" si="120"/>
        <v>10.96</v>
      </c>
      <c r="F3869">
        <f t="shared" si="121"/>
        <v>89546</v>
      </c>
      <c r="H3869" s="1406">
        <v>10.78</v>
      </c>
      <c r="I3869" s="1406">
        <v>10.96</v>
      </c>
    </row>
    <row r="3870" spans="2:9" ht="30">
      <c r="B3870" s="677">
        <v>89547</v>
      </c>
      <c r="C3870" s="733" t="s">
        <v>6104</v>
      </c>
      <c r="D3870" s="677" t="s">
        <v>22</v>
      </c>
      <c r="E3870" s="738">
        <f t="shared" si="120"/>
        <v>21.94</v>
      </c>
      <c r="F3870">
        <f t="shared" si="121"/>
        <v>89547</v>
      </c>
      <c r="H3870" s="1405">
        <v>21.62</v>
      </c>
      <c r="I3870" s="1405">
        <v>21.94</v>
      </c>
    </row>
    <row r="3871" spans="2:9" ht="30">
      <c r="B3871" s="1477">
        <v>89548</v>
      </c>
      <c r="C3871" s="740" t="s">
        <v>6105</v>
      </c>
      <c r="D3871" s="739" t="s">
        <v>22</v>
      </c>
      <c r="E3871" s="741">
        <f t="shared" si="120"/>
        <v>22.3</v>
      </c>
      <c r="F3871">
        <f t="shared" si="121"/>
        <v>89548</v>
      </c>
      <c r="H3871" s="1406">
        <v>21.98</v>
      </c>
      <c r="I3871" s="1406">
        <v>22.3</v>
      </c>
    </row>
    <row r="3872" spans="2:9" ht="30">
      <c r="B3872" s="677">
        <v>89549</v>
      </c>
      <c r="C3872" s="733" t="s">
        <v>6106</v>
      </c>
      <c r="D3872" s="677" t="s">
        <v>22</v>
      </c>
      <c r="E3872" s="738">
        <f t="shared" si="120"/>
        <v>18.510000000000002</v>
      </c>
      <c r="F3872">
        <f t="shared" si="121"/>
        <v>89549</v>
      </c>
      <c r="H3872" s="1405">
        <v>18.260000000000002</v>
      </c>
      <c r="I3872" s="1405">
        <v>18.510000000000002</v>
      </c>
    </row>
    <row r="3873" spans="2:9" ht="30">
      <c r="B3873" s="1477">
        <v>89550</v>
      </c>
      <c r="C3873" s="740" t="s">
        <v>6107</v>
      </c>
      <c r="D3873" s="739" t="s">
        <v>22</v>
      </c>
      <c r="E3873" s="741">
        <f t="shared" si="120"/>
        <v>39.340000000000003</v>
      </c>
      <c r="F3873">
        <f t="shared" si="121"/>
        <v>89550</v>
      </c>
      <c r="H3873" s="1406">
        <v>39.020000000000003</v>
      </c>
      <c r="I3873" s="1406">
        <v>39.340000000000003</v>
      </c>
    </row>
    <row r="3874" spans="2:9" ht="30">
      <c r="B3874" s="677">
        <v>89551</v>
      </c>
      <c r="C3874" s="733" t="s">
        <v>6108</v>
      </c>
      <c r="D3874" s="677" t="s">
        <v>22</v>
      </c>
      <c r="E3874" s="738">
        <f t="shared" si="120"/>
        <v>8.17</v>
      </c>
      <c r="F3874">
        <f t="shared" si="121"/>
        <v>89551</v>
      </c>
      <c r="H3874" s="1405">
        <v>7.92</v>
      </c>
      <c r="I3874" s="1405">
        <v>8.17</v>
      </c>
    </row>
    <row r="3875" spans="2:9">
      <c r="B3875" s="1477">
        <v>89552</v>
      </c>
      <c r="C3875" s="740" t="s">
        <v>6109</v>
      </c>
      <c r="D3875" s="739" t="s">
        <v>22</v>
      </c>
      <c r="E3875" s="741">
        <f t="shared" si="120"/>
        <v>17.170000000000002</v>
      </c>
      <c r="F3875">
        <f t="shared" si="121"/>
        <v>89552</v>
      </c>
      <c r="H3875" s="1406">
        <v>16.89</v>
      </c>
      <c r="I3875" s="1406">
        <v>17.170000000000002</v>
      </c>
    </row>
    <row r="3876" spans="2:9" ht="30">
      <c r="B3876" s="677">
        <v>89553</v>
      </c>
      <c r="C3876" s="733" t="s">
        <v>6110</v>
      </c>
      <c r="D3876" s="677" t="s">
        <v>22</v>
      </c>
      <c r="E3876" s="738">
        <f t="shared" si="120"/>
        <v>5.59</v>
      </c>
      <c r="F3876">
        <f t="shared" si="121"/>
        <v>89553</v>
      </c>
      <c r="H3876" s="1405">
        <v>5.34</v>
      </c>
      <c r="I3876" s="1405">
        <v>5.59</v>
      </c>
    </row>
    <row r="3877" spans="2:9" ht="30">
      <c r="B3877" s="1477">
        <v>89554</v>
      </c>
      <c r="C3877" s="740" t="s">
        <v>6111</v>
      </c>
      <c r="D3877" s="739" t="s">
        <v>22</v>
      </c>
      <c r="E3877" s="741">
        <f t="shared" si="120"/>
        <v>28.04</v>
      </c>
      <c r="F3877">
        <f t="shared" si="121"/>
        <v>89554</v>
      </c>
      <c r="H3877" s="1406">
        <v>27.62</v>
      </c>
      <c r="I3877" s="1406">
        <v>28.04</v>
      </c>
    </row>
    <row r="3878" spans="2:9" ht="30">
      <c r="B3878" s="677">
        <v>89555</v>
      </c>
      <c r="C3878" s="733" t="s">
        <v>6112</v>
      </c>
      <c r="D3878" s="677" t="s">
        <v>22</v>
      </c>
      <c r="E3878" s="738">
        <f t="shared" si="120"/>
        <v>20.059999999999999</v>
      </c>
      <c r="F3878">
        <f t="shared" si="121"/>
        <v>89555</v>
      </c>
      <c r="H3878" s="1405">
        <v>19.78</v>
      </c>
      <c r="I3878" s="1405">
        <v>20.059999999999999</v>
      </c>
    </row>
    <row r="3879" spans="2:9" ht="30">
      <c r="B3879" s="1477">
        <v>89556</v>
      </c>
      <c r="C3879" s="740" t="s">
        <v>6113</v>
      </c>
      <c r="D3879" s="739" t="s">
        <v>22</v>
      </c>
      <c r="E3879" s="741">
        <f t="shared" si="120"/>
        <v>38.65</v>
      </c>
      <c r="F3879">
        <f t="shared" si="121"/>
        <v>89556</v>
      </c>
      <c r="H3879" s="1406">
        <v>38.229999999999997</v>
      </c>
      <c r="I3879" s="1406">
        <v>38.65</v>
      </c>
    </row>
    <row r="3880" spans="2:9" ht="30">
      <c r="B3880" s="677">
        <v>89557</v>
      </c>
      <c r="C3880" s="733" t="s">
        <v>6114</v>
      </c>
      <c r="D3880" s="677" t="s">
        <v>22</v>
      </c>
      <c r="E3880" s="738">
        <f t="shared" si="120"/>
        <v>30.75</v>
      </c>
      <c r="F3880">
        <f t="shared" si="121"/>
        <v>89557</v>
      </c>
      <c r="H3880" s="1405">
        <v>30.39</v>
      </c>
      <c r="I3880" s="1405">
        <v>30.75</v>
      </c>
    </row>
    <row r="3881" spans="2:9">
      <c r="B3881" s="1477">
        <v>89558</v>
      </c>
      <c r="C3881" s="740" t="s">
        <v>6115</v>
      </c>
      <c r="D3881" s="739" t="s">
        <v>22</v>
      </c>
      <c r="E3881" s="741">
        <f t="shared" si="120"/>
        <v>9.42</v>
      </c>
      <c r="F3881">
        <f t="shared" si="121"/>
        <v>89558</v>
      </c>
      <c r="H3881" s="1406">
        <v>9.08</v>
      </c>
      <c r="I3881" s="1406">
        <v>9.42</v>
      </c>
    </row>
    <row r="3882" spans="2:9" ht="30">
      <c r="B3882" s="677">
        <v>89559</v>
      </c>
      <c r="C3882" s="733" t="s">
        <v>6116</v>
      </c>
      <c r="D3882" s="677" t="s">
        <v>22</v>
      </c>
      <c r="E3882" s="738">
        <f t="shared" si="120"/>
        <v>63.84</v>
      </c>
      <c r="F3882">
        <f t="shared" si="121"/>
        <v>89559</v>
      </c>
      <c r="H3882" s="1405">
        <v>63.42</v>
      </c>
      <c r="I3882" s="1405">
        <v>63.84</v>
      </c>
    </row>
    <row r="3883" spans="2:9">
      <c r="B3883" s="1477">
        <v>89560</v>
      </c>
      <c r="C3883" s="740" t="s">
        <v>7092</v>
      </c>
      <c r="D3883" s="739" t="s">
        <v>22</v>
      </c>
      <c r="E3883" s="741">
        <f t="shared" si="120"/>
        <v>32.31</v>
      </c>
      <c r="F3883">
        <f t="shared" si="121"/>
        <v>89560</v>
      </c>
      <c r="H3883" s="1406">
        <v>31.97</v>
      </c>
      <c r="I3883" s="1406">
        <v>32.31</v>
      </c>
    </row>
    <row r="3884" spans="2:9" ht="30">
      <c r="B3884" s="677">
        <v>89561</v>
      </c>
      <c r="C3884" s="733" t="s">
        <v>6117</v>
      </c>
      <c r="D3884" s="677" t="s">
        <v>22</v>
      </c>
      <c r="E3884" s="738">
        <f t="shared" si="120"/>
        <v>14.4</v>
      </c>
      <c r="F3884">
        <f t="shared" si="121"/>
        <v>89561</v>
      </c>
      <c r="H3884" s="1405">
        <v>14.09</v>
      </c>
      <c r="I3884" s="1405">
        <v>14.4</v>
      </c>
    </row>
    <row r="3885" spans="2:9" ht="30">
      <c r="B3885" s="1477">
        <v>89562</v>
      </c>
      <c r="C3885" s="740" t="s">
        <v>6118</v>
      </c>
      <c r="D3885" s="739" t="s">
        <v>22</v>
      </c>
      <c r="E3885" s="741">
        <f t="shared" si="120"/>
        <v>9.9</v>
      </c>
      <c r="F3885">
        <f t="shared" si="121"/>
        <v>89562</v>
      </c>
      <c r="H3885" s="1406">
        <v>9.59</v>
      </c>
      <c r="I3885" s="1406">
        <v>9.9</v>
      </c>
    </row>
    <row r="3886" spans="2:9" ht="30">
      <c r="B3886" s="677">
        <v>89563</v>
      </c>
      <c r="C3886" s="733" t="s">
        <v>6119</v>
      </c>
      <c r="D3886" s="677" t="s">
        <v>22</v>
      </c>
      <c r="E3886" s="738">
        <f t="shared" si="120"/>
        <v>33.380000000000003</v>
      </c>
      <c r="F3886">
        <f t="shared" si="121"/>
        <v>89563</v>
      </c>
      <c r="H3886" s="1405">
        <v>32.99</v>
      </c>
      <c r="I3886" s="1405">
        <v>33.380000000000003</v>
      </c>
    </row>
    <row r="3887" spans="2:9" ht="30">
      <c r="B3887" s="1477">
        <v>89564</v>
      </c>
      <c r="C3887" s="740" t="s">
        <v>6120</v>
      </c>
      <c r="D3887" s="739" t="s">
        <v>22</v>
      </c>
      <c r="E3887" s="741">
        <f t="shared" si="120"/>
        <v>14.68</v>
      </c>
      <c r="F3887">
        <f t="shared" si="121"/>
        <v>89564</v>
      </c>
      <c r="H3887" s="1406">
        <v>14.37</v>
      </c>
      <c r="I3887" s="1406">
        <v>14.68</v>
      </c>
    </row>
    <row r="3888" spans="2:9" ht="30">
      <c r="B3888" s="677">
        <v>89565</v>
      </c>
      <c r="C3888" s="733" t="s">
        <v>6121</v>
      </c>
      <c r="D3888" s="677" t="s">
        <v>22</v>
      </c>
      <c r="E3888" s="738">
        <f t="shared" si="120"/>
        <v>53.56</v>
      </c>
      <c r="F3888">
        <f t="shared" si="121"/>
        <v>89565</v>
      </c>
      <c r="H3888" s="1405">
        <v>52.94</v>
      </c>
      <c r="I3888" s="1405">
        <v>53.56</v>
      </c>
    </row>
    <row r="3889" spans="2:9" ht="30">
      <c r="B3889" s="1477">
        <v>89566</v>
      </c>
      <c r="C3889" s="740" t="s">
        <v>6122</v>
      </c>
      <c r="D3889" s="739" t="s">
        <v>22</v>
      </c>
      <c r="E3889" s="741">
        <f t="shared" si="120"/>
        <v>45.57</v>
      </c>
      <c r="F3889">
        <f t="shared" si="121"/>
        <v>89566</v>
      </c>
      <c r="H3889" s="1406">
        <v>44.95</v>
      </c>
      <c r="I3889" s="1406">
        <v>45.57</v>
      </c>
    </row>
    <row r="3890" spans="2:9" ht="30">
      <c r="B3890" s="677">
        <v>89567</v>
      </c>
      <c r="C3890" s="733" t="s">
        <v>6123</v>
      </c>
      <c r="D3890" s="677" t="s">
        <v>22</v>
      </c>
      <c r="E3890" s="738">
        <f t="shared" si="120"/>
        <v>76.819999999999993</v>
      </c>
      <c r="F3890">
        <f t="shared" si="121"/>
        <v>89567</v>
      </c>
      <c r="H3890" s="1405">
        <v>75.98</v>
      </c>
      <c r="I3890" s="1405">
        <v>76.819999999999993</v>
      </c>
    </row>
    <row r="3891" spans="2:9">
      <c r="B3891" s="1477">
        <v>89568</v>
      </c>
      <c r="C3891" s="740" t="s">
        <v>6124</v>
      </c>
      <c r="D3891" s="739" t="s">
        <v>22</v>
      </c>
      <c r="E3891" s="741">
        <f t="shared" si="120"/>
        <v>29.98</v>
      </c>
      <c r="F3891">
        <f t="shared" si="121"/>
        <v>89568</v>
      </c>
      <c r="H3891" s="1406">
        <v>29.64</v>
      </c>
      <c r="I3891" s="1406">
        <v>29.98</v>
      </c>
    </row>
    <row r="3892" spans="2:9" ht="30">
      <c r="B3892" s="677">
        <v>89569</v>
      </c>
      <c r="C3892" s="733" t="s">
        <v>6125</v>
      </c>
      <c r="D3892" s="677" t="s">
        <v>22</v>
      </c>
      <c r="E3892" s="738">
        <f t="shared" si="120"/>
        <v>89.26</v>
      </c>
      <c r="F3892">
        <f t="shared" si="121"/>
        <v>89569</v>
      </c>
      <c r="H3892" s="1405">
        <v>88.5</v>
      </c>
      <c r="I3892" s="1405">
        <v>89.26</v>
      </c>
    </row>
    <row r="3893" spans="2:9" ht="30">
      <c r="B3893" s="1477">
        <v>89570</v>
      </c>
      <c r="C3893" s="740" t="s">
        <v>6126</v>
      </c>
      <c r="D3893" s="739" t="s">
        <v>22</v>
      </c>
      <c r="E3893" s="741">
        <f t="shared" si="120"/>
        <v>10.9</v>
      </c>
      <c r="F3893">
        <f t="shared" si="121"/>
        <v>89570</v>
      </c>
      <c r="H3893" s="1406">
        <v>10.58</v>
      </c>
      <c r="I3893" s="1406">
        <v>10.9</v>
      </c>
    </row>
    <row r="3894" spans="2:9" ht="30">
      <c r="B3894" s="677">
        <v>89571</v>
      </c>
      <c r="C3894" s="733" t="s">
        <v>6127</v>
      </c>
      <c r="D3894" s="677" t="s">
        <v>22</v>
      </c>
      <c r="E3894" s="738">
        <f t="shared" si="120"/>
        <v>66.760000000000005</v>
      </c>
      <c r="F3894">
        <f t="shared" si="121"/>
        <v>89571</v>
      </c>
      <c r="H3894" s="1405">
        <v>65.92</v>
      </c>
      <c r="I3894" s="1405">
        <v>66.760000000000005</v>
      </c>
    </row>
    <row r="3895" spans="2:9" ht="30">
      <c r="B3895" s="1477">
        <v>89572</v>
      </c>
      <c r="C3895" s="740" t="s">
        <v>6128</v>
      </c>
      <c r="D3895" s="739" t="s">
        <v>22</v>
      </c>
      <c r="E3895" s="741">
        <f t="shared" si="120"/>
        <v>8.3800000000000008</v>
      </c>
      <c r="F3895">
        <f t="shared" si="121"/>
        <v>89572</v>
      </c>
      <c r="H3895" s="1406">
        <v>8.07</v>
      </c>
      <c r="I3895" s="1406">
        <v>8.3800000000000008</v>
      </c>
    </row>
    <row r="3896" spans="2:9" ht="30">
      <c r="B3896" s="677">
        <v>89573</v>
      </c>
      <c r="C3896" s="733" t="s">
        <v>6129</v>
      </c>
      <c r="D3896" s="677" t="s">
        <v>22</v>
      </c>
      <c r="E3896" s="738">
        <f t="shared" si="120"/>
        <v>72.97</v>
      </c>
      <c r="F3896">
        <f t="shared" si="121"/>
        <v>89573</v>
      </c>
      <c r="H3896" s="1405">
        <v>72.209999999999994</v>
      </c>
      <c r="I3896" s="1405">
        <v>72.97</v>
      </c>
    </row>
    <row r="3897" spans="2:9" ht="30">
      <c r="B3897" s="1477">
        <v>89574</v>
      </c>
      <c r="C3897" s="740" t="s">
        <v>6130</v>
      </c>
      <c r="D3897" s="739" t="s">
        <v>22</v>
      </c>
      <c r="E3897" s="741">
        <f t="shared" si="120"/>
        <v>147.28</v>
      </c>
      <c r="F3897">
        <f t="shared" si="121"/>
        <v>89574</v>
      </c>
      <c r="H3897" s="1406">
        <v>146.03</v>
      </c>
      <c r="I3897" s="1406">
        <v>147.28</v>
      </c>
    </row>
    <row r="3898" spans="2:9">
      <c r="B3898" s="677">
        <v>89575</v>
      </c>
      <c r="C3898" s="733" t="s">
        <v>6131</v>
      </c>
      <c r="D3898" s="677" t="s">
        <v>22</v>
      </c>
      <c r="E3898" s="738">
        <f t="shared" si="120"/>
        <v>11.29</v>
      </c>
      <c r="F3898">
        <f t="shared" si="121"/>
        <v>89575</v>
      </c>
      <c r="H3898" s="1405">
        <v>10.88</v>
      </c>
      <c r="I3898" s="1405">
        <v>11.29</v>
      </c>
    </row>
    <row r="3899" spans="2:9">
      <c r="B3899" s="1477">
        <v>89577</v>
      </c>
      <c r="C3899" s="740" t="s">
        <v>6132</v>
      </c>
      <c r="D3899" s="739" t="s">
        <v>22</v>
      </c>
      <c r="E3899" s="741">
        <f t="shared" si="120"/>
        <v>34.299999999999997</v>
      </c>
      <c r="F3899">
        <f t="shared" si="121"/>
        <v>89577</v>
      </c>
      <c r="H3899" s="1406">
        <v>33.89</v>
      </c>
      <c r="I3899" s="1406">
        <v>34.299999999999997</v>
      </c>
    </row>
    <row r="3900" spans="2:9" ht="30">
      <c r="B3900" s="677">
        <v>89579</v>
      </c>
      <c r="C3900" s="733" t="s">
        <v>6133</v>
      </c>
      <c r="D3900" s="677" t="s">
        <v>22</v>
      </c>
      <c r="E3900" s="738">
        <f t="shared" si="120"/>
        <v>11.2</v>
      </c>
      <c r="F3900">
        <f t="shared" si="121"/>
        <v>89579</v>
      </c>
      <c r="H3900" s="1405">
        <v>10.88</v>
      </c>
      <c r="I3900" s="1405">
        <v>11.2</v>
      </c>
    </row>
    <row r="3901" spans="2:9" ht="30">
      <c r="B3901" s="1477">
        <v>89581</v>
      </c>
      <c r="C3901" s="740" t="s">
        <v>6134</v>
      </c>
      <c r="D3901" s="739" t="s">
        <v>22</v>
      </c>
      <c r="E3901" s="741">
        <f t="shared" si="120"/>
        <v>32.35</v>
      </c>
      <c r="F3901">
        <f t="shared" si="121"/>
        <v>89581</v>
      </c>
      <c r="H3901" s="1406">
        <v>31.51</v>
      </c>
      <c r="I3901" s="1406">
        <v>32.35</v>
      </c>
    </row>
    <row r="3902" spans="2:9" ht="30">
      <c r="B3902" s="677">
        <v>89582</v>
      </c>
      <c r="C3902" s="733" t="s">
        <v>6135</v>
      </c>
      <c r="D3902" s="677" t="s">
        <v>22</v>
      </c>
      <c r="E3902" s="738">
        <f t="shared" si="120"/>
        <v>32.79</v>
      </c>
      <c r="F3902">
        <f t="shared" si="121"/>
        <v>89582</v>
      </c>
      <c r="H3902" s="1405">
        <v>31.95</v>
      </c>
      <c r="I3902" s="1405">
        <v>32.79</v>
      </c>
    </row>
    <row r="3903" spans="2:9" ht="30">
      <c r="B3903" s="1477">
        <v>89583</v>
      </c>
      <c r="C3903" s="740" t="s">
        <v>6136</v>
      </c>
      <c r="D3903" s="739" t="s">
        <v>22</v>
      </c>
      <c r="E3903" s="741">
        <f t="shared" si="120"/>
        <v>40.92</v>
      </c>
      <c r="F3903">
        <f t="shared" si="121"/>
        <v>89583</v>
      </c>
      <c r="H3903" s="1406">
        <v>40.08</v>
      </c>
      <c r="I3903" s="1406">
        <v>40.92</v>
      </c>
    </row>
    <row r="3904" spans="2:9" ht="30">
      <c r="B3904" s="677">
        <v>89584</v>
      </c>
      <c r="C3904" s="733" t="s">
        <v>6137</v>
      </c>
      <c r="D3904" s="677" t="s">
        <v>22</v>
      </c>
      <c r="E3904" s="738">
        <f t="shared" si="120"/>
        <v>42.41</v>
      </c>
      <c r="F3904">
        <f t="shared" si="121"/>
        <v>89584</v>
      </c>
      <c r="H3904" s="1405">
        <v>41.08</v>
      </c>
      <c r="I3904" s="1405">
        <v>42.41</v>
      </c>
    </row>
    <row r="3905" spans="2:9" ht="30">
      <c r="B3905" s="1477">
        <v>89585</v>
      </c>
      <c r="C3905" s="740" t="s">
        <v>6138</v>
      </c>
      <c r="D3905" s="739" t="s">
        <v>22</v>
      </c>
      <c r="E3905" s="741">
        <f t="shared" si="120"/>
        <v>43.4</v>
      </c>
      <c r="F3905">
        <f t="shared" si="121"/>
        <v>89585</v>
      </c>
      <c r="H3905" s="1406">
        <v>42.07</v>
      </c>
      <c r="I3905" s="1406">
        <v>43.4</v>
      </c>
    </row>
    <row r="3906" spans="2:9" ht="30">
      <c r="B3906" s="677">
        <v>89587</v>
      </c>
      <c r="C3906" s="733" t="s">
        <v>6139</v>
      </c>
      <c r="D3906" s="677" t="s">
        <v>22</v>
      </c>
      <c r="E3906" s="738">
        <f t="shared" si="120"/>
        <v>47.66</v>
      </c>
      <c r="F3906">
        <f t="shared" si="121"/>
        <v>89587</v>
      </c>
      <c r="H3906" s="1405">
        <v>46.33</v>
      </c>
      <c r="I3906" s="1405">
        <v>47.66</v>
      </c>
    </row>
    <row r="3907" spans="2:9" ht="30">
      <c r="B3907" s="1477">
        <v>89590</v>
      </c>
      <c r="C3907" s="740" t="s">
        <v>6140</v>
      </c>
      <c r="D3907" s="739" t="s">
        <v>22</v>
      </c>
      <c r="E3907" s="741">
        <f t="shared" ref="E3907:E3970" si="122">IF($K$2=$H$1,H3907,I3907)</f>
        <v>127.35</v>
      </c>
      <c r="F3907">
        <f t="shared" ref="F3907:F3970" si="123">IF(LEN($B3907)=7,CONCATENATE(MID($B3907,1,6),"00",RIGHT($B3907,1)),IF(LEN($B3907)=8,CONCATENATE(MID($B3907,1,6),"0",RIGHT($B3907,2)),$B3907))</f>
        <v>89590</v>
      </c>
      <c r="H3907" s="1406">
        <v>125.05</v>
      </c>
      <c r="I3907" s="1406">
        <v>127.35</v>
      </c>
    </row>
    <row r="3908" spans="2:9" ht="30">
      <c r="B3908" s="677">
        <v>89591</v>
      </c>
      <c r="C3908" s="733" t="s">
        <v>6141</v>
      </c>
      <c r="D3908" s="677" t="s">
        <v>22</v>
      </c>
      <c r="E3908" s="738">
        <f t="shared" si="122"/>
        <v>124.31</v>
      </c>
      <c r="F3908">
        <f t="shared" si="123"/>
        <v>89591</v>
      </c>
      <c r="H3908" s="1405">
        <v>122.01</v>
      </c>
      <c r="I3908" s="1405">
        <v>124.31</v>
      </c>
    </row>
    <row r="3909" spans="2:9" ht="30">
      <c r="B3909" s="1477">
        <v>89592</v>
      </c>
      <c r="C3909" s="740" t="s">
        <v>6142</v>
      </c>
      <c r="D3909" s="739" t="s">
        <v>22</v>
      </c>
      <c r="E3909" s="741">
        <f t="shared" si="122"/>
        <v>150.97</v>
      </c>
      <c r="F3909">
        <f t="shared" si="123"/>
        <v>89592</v>
      </c>
      <c r="H3909" s="1406">
        <v>148.66999999999999</v>
      </c>
      <c r="I3909" s="1406">
        <v>150.97</v>
      </c>
    </row>
    <row r="3910" spans="2:9" ht="30">
      <c r="B3910" s="677">
        <v>89593</v>
      </c>
      <c r="C3910" s="733" t="s">
        <v>6143</v>
      </c>
      <c r="D3910" s="677" t="s">
        <v>22</v>
      </c>
      <c r="E3910" s="738">
        <f t="shared" si="122"/>
        <v>23.24</v>
      </c>
      <c r="F3910">
        <f t="shared" si="123"/>
        <v>89593</v>
      </c>
      <c r="H3910" s="1405">
        <v>22.89</v>
      </c>
      <c r="I3910" s="1405">
        <v>23.24</v>
      </c>
    </row>
    <row r="3911" spans="2:9">
      <c r="B3911" s="1477">
        <v>89594</v>
      </c>
      <c r="C3911" s="740" t="s">
        <v>6144</v>
      </c>
      <c r="D3911" s="739" t="s">
        <v>22</v>
      </c>
      <c r="E3911" s="741">
        <f t="shared" si="122"/>
        <v>33.42</v>
      </c>
      <c r="F3911">
        <f t="shared" si="123"/>
        <v>89594</v>
      </c>
      <c r="H3911" s="1406">
        <v>33.01</v>
      </c>
      <c r="I3911" s="1406">
        <v>33.42</v>
      </c>
    </row>
    <row r="3912" spans="2:9" ht="30">
      <c r="B3912" s="677">
        <v>89595</v>
      </c>
      <c r="C3912" s="733" t="s">
        <v>6145</v>
      </c>
      <c r="D3912" s="677" t="s">
        <v>22</v>
      </c>
      <c r="E3912" s="738">
        <f t="shared" si="122"/>
        <v>13.76</v>
      </c>
      <c r="F3912">
        <f t="shared" si="123"/>
        <v>89595</v>
      </c>
      <c r="H3912" s="1405">
        <v>13.42</v>
      </c>
      <c r="I3912" s="1405">
        <v>13.76</v>
      </c>
    </row>
    <row r="3913" spans="2:9" ht="30">
      <c r="B3913" s="1477">
        <v>89596</v>
      </c>
      <c r="C3913" s="740" t="s">
        <v>6146</v>
      </c>
      <c r="D3913" s="739" t="s">
        <v>22</v>
      </c>
      <c r="E3913" s="741">
        <f t="shared" si="122"/>
        <v>10.1</v>
      </c>
      <c r="F3913">
        <f t="shared" si="123"/>
        <v>89596</v>
      </c>
      <c r="H3913" s="1406">
        <v>9.75</v>
      </c>
      <c r="I3913" s="1406">
        <v>10.1</v>
      </c>
    </row>
    <row r="3914" spans="2:9">
      <c r="B3914" s="677">
        <v>89597</v>
      </c>
      <c r="C3914" s="733" t="s">
        <v>6147</v>
      </c>
      <c r="D3914" s="677" t="s">
        <v>22</v>
      </c>
      <c r="E3914" s="738">
        <f t="shared" si="122"/>
        <v>21.62</v>
      </c>
      <c r="F3914">
        <f t="shared" si="123"/>
        <v>89597</v>
      </c>
      <c r="H3914" s="1405">
        <v>21.13</v>
      </c>
      <c r="I3914" s="1405">
        <v>21.62</v>
      </c>
    </row>
    <row r="3915" spans="2:9">
      <c r="B3915" s="1477">
        <v>89598</v>
      </c>
      <c r="C3915" s="740" t="s">
        <v>6148</v>
      </c>
      <c r="D3915" s="739" t="s">
        <v>22</v>
      </c>
      <c r="E3915" s="741">
        <f t="shared" si="122"/>
        <v>46.25</v>
      </c>
      <c r="F3915">
        <f t="shared" si="123"/>
        <v>89598</v>
      </c>
      <c r="H3915" s="1406">
        <v>45.76</v>
      </c>
      <c r="I3915" s="1406">
        <v>46.25</v>
      </c>
    </row>
    <row r="3916" spans="2:9" ht="30">
      <c r="B3916" s="677">
        <v>89599</v>
      </c>
      <c r="C3916" s="733" t="s">
        <v>6149</v>
      </c>
      <c r="D3916" s="677" t="s">
        <v>22</v>
      </c>
      <c r="E3916" s="738">
        <f t="shared" si="122"/>
        <v>24.42</v>
      </c>
      <c r="F3916">
        <f t="shared" si="123"/>
        <v>89599</v>
      </c>
      <c r="H3916" s="1405">
        <v>23.86</v>
      </c>
      <c r="I3916" s="1405">
        <v>24.42</v>
      </c>
    </row>
    <row r="3917" spans="2:9" ht="30">
      <c r="B3917" s="1477">
        <v>89600</v>
      </c>
      <c r="C3917" s="740" t="s">
        <v>6150</v>
      </c>
      <c r="D3917" s="739" t="s">
        <v>22</v>
      </c>
      <c r="E3917" s="741">
        <f t="shared" si="122"/>
        <v>24.76</v>
      </c>
      <c r="F3917">
        <f t="shared" si="123"/>
        <v>89600</v>
      </c>
      <c r="H3917" s="1406">
        <v>24.2</v>
      </c>
      <c r="I3917" s="1406">
        <v>24.76</v>
      </c>
    </row>
    <row r="3918" spans="2:9" ht="30">
      <c r="B3918" s="677">
        <v>89605</v>
      </c>
      <c r="C3918" s="733" t="s">
        <v>6151</v>
      </c>
      <c r="D3918" s="677" t="s">
        <v>22</v>
      </c>
      <c r="E3918" s="738">
        <f t="shared" si="122"/>
        <v>19.670000000000002</v>
      </c>
      <c r="F3918">
        <f t="shared" si="123"/>
        <v>89605</v>
      </c>
      <c r="H3918" s="1405">
        <v>19.21</v>
      </c>
      <c r="I3918" s="1405">
        <v>19.670000000000002</v>
      </c>
    </row>
    <row r="3919" spans="2:9">
      <c r="B3919" s="1477">
        <v>89609</v>
      </c>
      <c r="C3919" s="740" t="s">
        <v>6152</v>
      </c>
      <c r="D3919" s="739" t="s">
        <v>22</v>
      </c>
      <c r="E3919" s="741">
        <f t="shared" si="122"/>
        <v>77.3</v>
      </c>
      <c r="F3919">
        <f t="shared" si="123"/>
        <v>89609</v>
      </c>
      <c r="H3919" s="1406">
        <v>76.81</v>
      </c>
      <c r="I3919" s="1406">
        <v>77.3</v>
      </c>
    </row>
    <row r="3920" spans="2:9" ht="30">
      <c r="B3920" s="677">
        <v>89610</v>
      </c>
      <c r="C3920" s="733" t="s">
        <v>6153</v>
      </c>
      <c r="D3920" s="677" t="s">
        <v>22</v>
      </c>
      <c r="E3920" s="738">
        <f t="shared" si="122"/>
        <v>18.66</v>
      </c>
      <c r="F3920">
        <f t="shared" si="123"/>
        <v>89610</v>
      </c>
      <c r="H3920" s="1405">
        <v>18.2</v>
      </c>
      <c r="I3920" s="1405">
        <v>18.66</v>
      </c>
    </row>
    <row r="3921" spans="2:9">
      <c r="B3921" s="1477">
        <v>89611</v>
      </c>
      <c r="C3921" s="740" t="s">
        <v>6154</v>
      </c>
      <c r="D3921" s="739" t="s">
        <v>22</v>
      </c>
      <c r="E3921" s="741">
        <f t="shared" si="122"/>
        <v>30.66</v>
      </c>
      <c r="F3921">
        <f t="shared" si="123"/>
        <v>89611</v>
      </c>
      <c r="H3921" s="1406">
        <v>30.06</v>
      </c>
      <c r="I3921" s="1406">
        <v>30.66</v>
      </c>
    </row>
    <row r="3922" spans="2:9">
      <c r="B3922" s="677">
        <v>89612</v>
      </c>
      <c r="C3922" s="733" t="s">
        <v>6155</v>
      </c>
      <c r="D3922" s="677" t="s">
        <v>22</v>
      </c>
      <c r="E3922" s="738">
        <f t="shared" si="122"/>
        <v>151.34</v>
      </c>
      <c r="F3922">
        <f t="shared" si="123"/>
        <v>89612</v>
      </c>
      <c r="H3922" s="1405">
        <v>150.74</v>
      </c>
      <c r="I3922" s="1405">
        <v>151.34</v>
      </c>
    </row>
    <row r="3923" spans="2:9" ht="30">
      <c r="B3923" s="1477">
        <v>89613</v>
      </c>
      <c r="C3923" s="740" t="s">
        <v>1372</v>
      </c>
      <c r="D3923" s="739" t="s">
        <v>22</v>
      </c>
      <c r="E3923" s="741">
        <f t="shared" si="122"/>
        <v>28.99</v>
      </c>
      <c r="F3923">
        <f t="shared" si="123"/>
        <v>89613</v>
      </c>
      <c r="H3923" s="1406">
        <v>28.44</v>
      </c>
      <c r="I3923" s="1406">
        <v>28.99</v>
      </c>
    </row>
    <row r="3924" spans="2:9">
      <c r="B3924" s="677">
        <v>89614</v>
      </c>
      <c r="C3924" s="733" t="s">
        <v>6156</v>
      </c>
      <c r="D3924" s="677" t="s">
        <v>22</v>
      </c>
      <c r="E3924" s="738">
        <f t="shared" si="122"/>
        <v>56.1</v>
      </c>
      <c r="F3924">
        <f t="shared" si="123"/>
        <v>89614</v>
      </c>
      <c r="H3924" s="1405">
        <v>55.42</v>
      </c>
      <c r="I3924" s="1405">
        <v>56.1</v>
      </c>
    </row>
    <row r="3925" spans="2:9">
      <c r="B3925" s="1477">
        <v>89615</v>
      </c>
      <c r="C3925" s="740" t="s">
        <v>6157</v>
      </c>
      <c r="D3925" s="739" t="s">
        <v>22</v>
      </c>
      <c r="E3925" s="741">
        <f t="shared" si="122"/>
        <v>178.82</v>
      </c>
      <c r="F3925">
        <f t="shared" si="123"/>
        <v>89615</v>
      </c>
      <c r="H3925" s="1406">
        <v>178.14</v>
      </c>
      <c r="I3925" s="1406">
        <v>178.82</v>
      </c>
    </row>
    <row r="3926" spans="2:9" ht="30">
      <c r="B3926" s="677">
        <v>89616</v>
      </c>
      <c r="C3926" s="733" t="s">
        <v>6158</v>
      </c>
      <c r="D3926" s="677" t="s">
        <v>22</v>
      </c>
      <c r="E3926" s="738">
        <f t="shared" si="122"/>
        <v>38.71</v>
      </c>
      <c r="F3926">
        <f t="shared" si="123"/>
        <v>89616</v>
      </c>
      <c r="H3926" s="1405">
        <v>38.08</v>
      </c>
      <c r="I3926" s="1405">
        <v>38.71</v>
      </c>
    </row>
    <row r="3927" spans="2:9">
      <c r="B3927" s="1477">
        <v>89617</v>
      </c>
      <c r="C3927" s="740" t="s">
        <v>6159</v>
      </c>
      <c r="D3927" s="739" t="s">
        <v>22</v>
      </c>
      <c r="E3927" s="741">
        <f t="shared" si="122"/>
        <v>7.39</v>
      </c>
      <c r="F3927">
        <f t="shared" si="123"/>
        <v>89617</v>
      </c>
      <c r="H3927" s="1406">
        <v>6.93</v>
      </c>
      <c r="I3927" s="1406">
        <v>7.39</v>
      </c>
    </row>
    <row r="3928" spans="2:9">
      <c r="B3928" s="677">
        <v>89620</v>
      </c>
      <c r="C3928" s="733" t="s">
        <v>6160</v>
      </c>
      <c r="D3928" s="677" t="s">
        <v>22</v>
      </c>
      <c r="E3928" s="738">
        <f t="shared" si="122"/>
        <v>11.5</v>
      </c>
      <c r="F3928">
        <f t="shared" si="123"/>
        <v>89620</v>
      </c>
      <c r="H3928" s="1405">
        <v>10.93</v>
      </c>
      <c r="I3928" s="1405">
        <v>11.5</v>
      </c>
    </row>
    <row r="3929" spans="2:9" ht="30">
      <c r="B3929" s="1477">
        <v>89622</v>
      </c>
      <c r="C3929" s="740" t="s">
        <v>6161</v>
      </c>
      <c r="D3929" s="739" t="s">
        <v>22</v>
      </c>
      <c r="E3929" s="741">
        <f t="shared" si="122"/>
        <v>13.45</v>
      </c>
      <c r="F3929">
        <f t="shared" si="123"/>
        <v>89622</v>
      </c>
      <c r="H3929" s="1406">
        <v>12.93</v>
      </c>
      <c r="I3929" s="1406">
        <v>13.45</v>
      </c>
    </row>
    <row r="3930" spans="2:9">
      <c r="B3930" s="677">
        <v>89623</v>
      </c>
      <c r="C3930" s="733" t="s">
        <v>6162</v>
      </c>
      <c r="D3930" s="677" t="s">
        <v>22</v>
      </c>
      <c r="E3930" s="738">
        <f t="shared" si="122"/>
        <v>18.489999999999998</v>
      </c>
      <c r="F3930">
        <f t="shared" si="123"/>
        <v>89623</v>
      </c>
      <c r="H3930" s="1405">
        <v>17.82</v>
      </c>
      <c r="I3930" s="1405">
        <v>18.489999999999998</v>
      </c>
    </row>
    <row r="3931" spans="2:9" ht="30">
      <c r="B3931" s="1477">
        <v>89624</v>
      </c>
      <c r="C3931" s="740" t="s">
        <v>6163</v>
      </c>
      <c r="D3931" s="739" t="s">
        <v>22</v>
      </c>
      <c r="E3931" s="741">
        <f t="shared" si="122"/>
        <v>17.079999999999998</v>
      </c>
      <c r="F3931">
        <f t="shared" si="123"/>
        <v>89624</v>
      </c>
      <c r="H3931" s="1406">
        <v>16.45</v>
      </c>
      <c r="I3931" s="1406">
        <v>17.079999999999998</v>
      </c>
    </row>
    <row r="3932" spans="2:9">
      <c r="B3932" s="677">
        <v>89625</v>
      </c>
      <c r="C3932" s="733" t="s">
        <v>6164</v>
      </c>
      <c r="D3932" s="677" t="s">
        <v>22</v>
      </c>
      <c r="E3932" s="738">
        <f t="shared" si="122"/>
        <v>21.86</v>
      </c>
      <c r="F3932">
        <f t="shared" si="123"/>
        <v>89625</v>
      </c>
      <c r="H3932" s="1405">
        <v>21.04</v>
      </c>
      <c r="I3932" s="1405">
        <v>21.86</v>
      </c>
    </row>
    <row r="3933" spans="2:9" ht="30">
      <c r="B3933" s="1477">
        <v>89626</v>
      </c>
      <c r="C3933" s="740" t="s">
        <v>6165</v>
      </c>
      <c r="D3933" s="739" t="s">
        <v>22</v>
      </c>
      <c r="E3933" s="741">
        <f t="shared" si="122"/>
        <v>28.4</v>
      </c>
      <c r="F3933">
        <f t="shared" si="123"/>
        <v>89626</v>
      </c>
      <c r="H3933" s="1406">
        <v>27.64</v>
      </c>
      <c r="I3933" s="1406">
        <v>28.4</v>
      </c>
    </row>
    <row r="3934" spans="2:9" ht="30">
      <c r="B3934" s="677">
        <v>89627</v>
      </c>
      <c r="C3934" s="733" t="s">
        <v>6166</v>
      </c>
      <c r="D3934" s="677" t="s">
        <v>22</v>
      </c>
      <c r="E3934" s="738">
        <f t="shared" si="122"/>
        <v>19.149999999999999</v>
      </c>
      <c r="F3934">
        <f t="shared" si="123"/>
        <v>89627</v>
      </c>
      <c r="H3934" s="1405">
        <v>18.510000000000002</v>
      </c>
      <c r="I3934" s="1405">
        <v>19.149999999999999</v>
      </c>
    </row>
    <row r="3935" spans="2:9">
      <c r="B3935" s="1477">
        <v>89628</v>
      </c>
      <c r="C3935" s="740" t="s">
        <v>6167</v>
      </c>
      <c r="D3935" s="739" t="s">
        <v>22</v>
      </c>
      <c r="E3935" s="741">
        <f t="shared" si="122"/>
        <v>45.16</v>
      </c>
      <c r="F3935">
        <f t="shared" si="123"/>
        <v>89628</v>
      </c>
      <c r="H3935" s="1406">
        <v>44.18</v>
      </c>
      <c r="I3935" s="1406">
        <v>45.16</v>
      </c>
    </row>
    <row r="3936" spans="2:9">
      <c r="B3936" s="677">
        <v>89629</v>
      </c>
      <c r="C3936" s="733" t="s">
        <v>6168</v>
      </c>
      <c r="D3936" s="677" t="s">
        <v>22</v>
      </c>
      <c r="E3936" s="738">
        <f t="shared" si="122"/>
        <v>75.63</v>
      </c>
      <c r="F3936">
        <f t="shared" si="123"/>
        <v>89629</v>
      </c>
      <c r="H3936" s="1405">
        <v>74.430000000000007</v>
      </c>
      <c r="I3936" s="1405">
        <v>75.63</v>
      </c>
    </row>
    <row r="3937" spans="2:9" ht="30">
      <c r="B3937" s="1477">
        <v>89630</v>
      </c>
      <c r="C3937" s="740" t="s">
        <v>6169</v>
      </c>
      <c r="D3937" s="739" t="s">
        <v>22</v>
      </c>
      <c r="E3937" s="741">
        <f t="shared" si="122"/>
        <v>57.37</v>
      </c>
      <c r="F3937">
        <f t="shared" si="123"/>
        <v>89630</v>
      </c>
      <c r="H3937" s="1406">
        <v>56.36</v>
      </c>
      <c r="I3937" s="1406">
        <v>57.37</v>
      </c>
    </row>
    <row r="3938" spans="2:9">
      <c r="B3938" s="677">
        <v>89631</v>
      </c>
      <c r="C3938" s="733" t="s">
        <v>6170</v>
      </c>
      <c r="D3938" s="677" t="s">
        <v>22</v>
      </c>
      <c r="E3938" s="738">
        <f t="shared" si="122"/>
        <v>99.11</v>
      </c>
      <c r="F3938">
        <f t="shared" si="123"/>
        <v>89631</v>
      </c>
      <c r="H3938" s="1405">
        <v>97.76</v>
      </c>
      <c r="I3938" s="1405">
        <v>99.11</v>
      </c>
    </row>
    <row r="3939" spans="2:9" ht="30">
      <c r="B3939" s="1477">
        <v>89632</v>
      </c>
      <c r="C3939" s="740" t="s">
        <v>6171</v>
      </c>
      <c r="D3939" s="739" t="s">
        <v>22</v>
      </c>
      <c r="E3939" s="741">
        <f t="shared" si="122"/>
        <v>113.89</v>
      </c>
      <c r="F3939">
        <f t="shared" si="123"/>
        <v>89632</v>
      </c>
      <c r="H3939" s="1406">
        <v>112.73</v>
      </c>
      <c r="I3939" s="1406">
        <v>113.89</v>
      </c>
    </row>
    <row r="3940" spans="2:9" ht="30">
      <c r="B3940" s="677">
        <v>89637</v>
      </c>
      <c r="C3940" s="733" t="s">
        <v>6172</v>
      </c>
      <c r="D3940" s="677" t="s">
        <v>22</v>
      </c>
      <c r="E3940" s="738">
        <f t="shared" si="122"/>
        <v>10.56</v>
      </c>
      <c r="F3940">
        <f t="shared" si="123"/>
        <v>89637</v>
      </c>
      <c r="H3940" s="1405">
        <v>10.029999999999999</v>
      </c>
      <c r="I3940" s="1405">
        <v>10.56</v>
      </c>
    </row>
    <row r="3941" spans="2:9" ht="30">
      <c r="B3941" s="1477">
        <v>89638</v>
      </c>
      <c r="C3941" s="740" t="s">
        <v>6173</v>
      </c>
      <c r="D3941" s="739" t="s">
        <v>22</v>
      </c>
      <c r="E3941" s="741">
        <f t="shared" si="122"/>
        <v>11.43</v>
      </c>
      <c r="F3941">
        <f t="shared" si="123"/>
        <v>89638</v>
      </c>
      <c r="H3941" s="1406">
        <v>10.9</v>
      </c>
      <c r="I3941" s="1406">
        <v>11.43</v>
      </c>
    </row>
    <row r="3942" spans="2:9" ht="30">
      <c r="B3942" s="677">
        <v>89639</v>
      </c>
      <c r="C3942" s="733" t="s">
        <v>6174</v>
      </c>
      <c r="D3942" s="677" t="s">
        <v>22</v>
      </c>
      <c r="E3942" s="738">
        <f t="shared" si="122"/>
        <v>12.04</v>
      </c>
      <c r="F3942">
        <f t="shared" si="123"/>
        <v>89639</v>
      </c>
      <c r="H3942" s="1405">
        <v>11.51</v>
      </c>
      <c r="I3942" s="1405">
        <v>12.04</v>
      </c>
    </row>
    <row r="3943" spans="2:9" ht="30">
      <c r="B3943" s="1477">
        <v>89640</v>
      </c>
      <c r="C3943" s="740" t="s">
        <v>6175</v>
      </c>
      <c r="D3943" s="739" t="s">
        <v>22</v>
      </c>
      <c r="E3943" s="741">
        <f t="shared" si="122"/>
        <v>18.64</v>
      </c>
      <c r="F3943">
        <f t="shared" si="123"/>
        <v>89640</v>
      </c>
      <c r="H3943" s="1406">
        <v>18.11</v>
      </c>
      <c r="I3943" s="1406">
        <v>18.64</v>
      </c>
    </row>
    <row r="3944" spans="2:9" ht="30">
      <c r="B3944" s="677">
        <v>89641</v>
      </c>
      <c r="C3944" s="733" t="s">
        <v>6176</v>
      </c>
      <c r="D3944" s="677" t="s">
        <v>22</v>
      </c>
      <c r="E3944" s="738">
        <f t="shared" si="122"/>
        <v>13.74</v>
      </c>
      <c r="F3944">
        <f t="shared" si="123"/>
        <v>89641</v>
      </c>
      <c r="H3944" s="1405">
        <v>13.07</v>
      </c>
      <c r="I3944" s="1405">
        <v>13.74</v>
      </c>
    </row>
    <row r="3945" spans="2:9" ht="30">
      <c r="B3945" s="1477">
        <v>89642</v>
      </c>
      <c r="C3945" s="740" t="s">
        <v>6177</v>
      </c>
      <c r="D3945" s="739" t="s">
        <v>22</v>
      </c>
      <c r="E3945" s="741">
        <f t="shared" si="122"/>
        <v>15.27</v>
      </c>
      <c r="F3945">
        <f t="shared" si="123"/>
        <v>89642</v>
      </c>
      <c r="H3945" s="1406">
        <v>14.6</v>
      </c>
      <c r="I3945" s="1406">
        <v>15.27</v>
      </c>
    </row>
    <row r="3946" spans="2:9" ht="30">
      <c r="B3946" s="677">
        <v>89643</v>
      </c>
      <c r="C3946" s="733" t="s">
        <v>6178</v>
      </c>
      <c r="D3946" s="677" t="s">
        <v>22</v>
      </c>
      <c r="E3946" s="738">
        <f t="shared" si="122"/>
        <v>16.48</v>
      </c>
      <c r="F3946">
        <f t="shared" si="123"/>
        <v>89643</v>
      </c>
      <c r="H3946" s="1405">
        <v>15.81</v>
      </c>
      <c r="I3946" s="1405">
        <v>16.48</v>
      </c>
    </row>
    <row r="3947" spans="2:9" ht="30">
      <c r="B3947" s="1477">
        <v>89644</v>
      </c>
      <c r="C3947" s="740" t="s">
        <v>6179</v>
      </c>
      <c r="D3947" s="739" t="s">
        <v>22</v>
      </c>
      <c r="E3947" s="741">
        <f t="shared" si="122"/>
        <v>22.77</v>
      </c>
      <c r="F3947">
        <f t="shared" si="123"/>
        <v>89644</v>
      </c>
      <c r="H3947" s="1406">
        <v>22.15</v>
      </c>
      <c r="I3947" s="1406">
        <v>22.77</v>
      </c>
    </row>
    <row r="3948" spans="2:9" ht="30">
      <c r="B3948" s="677">
        <v>89645</v>
      </c>
      <c r="C3948" s="733" t="s">
        <v>6180</v>
      </c>
      <c r="D3948" s="677" t="s">
        <v>22</v>
      </c>
      <c r="E3948" s="738">
        <f t="shared" si="122"/>
        <v>31.67</v>
      </c>
      <c r="F3948">
        <f t="shared" si="123"/>
        <v>89645</v>
      </c>
      <c r="H3948" s="1405">
        <v>31.01</v>
      </c>
      <c r="I3948" s="1405">
        <v>31.67</v>
      </c>
    </row>
    <row r="3949" spans="2:9" ht="30">
      <c r="B3949" s="1477">
        <v>89646</v>
      </c>
      <c r="C3949" s="740" t="s">
        <v>6181</v>
      </c>
      <c r="D3949" s="739" t="s">
        <v>22</v>
      </c>
      <c r="E3949" s="741">
        <f t="shared" si="122"/>
        <v>20.63</v>
      </c>
      <c r="F3949">
        <f t="shared" si="123"/>
        <v>89646</v>
      </c>
      <c r="H3949" s="1406">
        <v>19.829999999999998</v>
      </c>
      <c r="I3949" s="1406">
        <v>20.63</v>
      </c>
    </row>
    <row r="3950" spans="2:9" ht="30">
      <c r="B3950" s="677">
        <v>89647</v>
      </c>
      <c r="C3950" s="733" t="s">
        <v>6182</v>
      </c>
      <c r="D3950" s="677" t="s">
        <v>22</v>
      </c>
      <c r="E3950" s="738">
        <f t="shared" si="122"/>
        <v>20</v>
      </c>
      <c r="F3950">
        <f t="shared" si="123"/>
        <v>89647</v>
      </c>
      <c r="H3950" s="1405">
        <v>19.2</v>
      </c>
      <c r="I3950" s="1405">
        <v>20</v>
      </c>
    </row>
    <row r="3951" spans="2:9" ht="30">
      <c r="B3951" s="1477">
        <v>89648</v>
      </c>
      <c r="C3951" s="740" t="s">
        <v>6183</v>
      </c>
      <c r="D3951" s="739" t="s">
        <v>22</v>
      </c>
      <c r="E3951" s="741">
        <f t="shared" si="122"/>
        <v>24.76</v>
      </c>
      <c r="F3951">
        <f t="shared" si="123"/>
        <v>89648</v>
      </c>
      <c r="H3951" s="1406">
        <v>23.96</v>
      </c>
      <c r="I3951" s="1406">
        <v>24.76</v>
      </c>
    </row>
    <row r="3952" spans="2:9" ht="30">
      <c r="B3952" s="677">
        <v>89649</v>
      </c>
      <c r="C3952" s="733" t="s">
        <v>6184</v>
      </c>
      <c r="D3952" s="677" t="s">
        <v>22</v>
      </c>
      <c r="E3952" s="738">
        <f t="shared" si="122"/>
        <v>30.12</v>
      </c>
      <c r="F3952">
        <f t="shared" si="123"/>
        <v>89649</v>
      </c>
      <c r="H3952" s="1405">
        <v>29.17</v>
      </c>
      <c r="I3952" s="1405">
        <v>30.12</v>
      </c>
    </row>
    <row r="3953" spans="2:9" ht="30">
      <c r="B3953" s="1477">
        <v>89650</v>
      </c>
      <c r="C3953" s="740" t="s">
        <v>6185</v>
      </c>
      <c r="D3953" s="739" t="s">
        <v>22</v>
      </c>
      <c r="E3953" s="741">
        <f t="shared" si="122"/>
        <v>28.56</v>
      </c>
      <c r="F3953">
        <f t="shared" si="123"/>
        <v>89650</v>
      </c>
      <c r="H3953" s="1406">
        <v>27.61</v>
      </c>
      <c r="I3953" s="1406">
        <v>28.56</v>
      </c>
    </row>
    <row r="3954" spans="2:9">
      <c r="B3954" s="677">
        <v>89651</v>
      </c>
      <c r="C3954" s="733" t="s">
        <v>6186</v>
      </c>
      <c r="D3954" s="677" t="s">
        <v>22</v>
      </c>
      <c r="E3954" s="738">
        <f t="shared" si="122"/>
        <v>7.26</v>
      </c>
      <c r="F3954">
        <f t="shared" si="123"/>
        <v>89651</v>
      </c>
      <c r="H3954" s="1405">
        <v>6.91</v>
      </c>
      <c r="I3954" s="1405">
        <v>7.26</v>
      </c>
    </row>
    <row r="3955" spans="2:9" ht="30">
      <c r="B3955" s="1477">
        <v>89652</v>
      </c>
      <c r="C3955" s="740" t="s">
        <v>6187</v>
      </c>
      <c r="D3955" s="739" t="s">
        <v>22</v>
      </c>
      <c r="E3955" s="741">
        <f t="shared" si="122"/>
        <v>12.11</v>
      </c>
      <c r="F3955">
        <f t="shared" si="123"/>
        <v>89652</v>
      </c>
      <c r="H3955" s="1406">
        <v>11.76</v>
      </c>
      <c r="I3955" s="1406">
        <v>12.11</v>
      </c>
    </row>
    <row r="3956" spans="2:9" ht="30">
      <c r="B3956" s="677">
        <v>89653</v>
      </c>
      <c r="C3956" s="733" t="s">
        <v>6188</v>
      </c>
      <c r="D3956" s="677" t="s">
        <v>22</v>
      </c>
      <c r="E3956" s="738">
        <f t="shared" si="122"/>
        <v>17.02</v>
      </c>
      <c r="F3956">
        <f t="shared" si="123"/>
        <v>89653</v>
      </c>
      <c r="H3956" s="1405">
        <v>16.670000000000002</v>
      </c>
      <c r="I3956" s="1405">
        <v>17.02</v>
      </c>
    </row>
    <row r="3957" spans="2:9">
      <c r="B3957" s="1477">
        <v>89654</v>
      </c>
      <c r="C3957" s="740" t="s">
        <v>6189</v>
      </c>
      <c r="D3957" s="739" t="s">
        <v>22</v>
      </c>
      <c r="E3957" s="741">
        <f t="shared" si="122"/>
        <v>19.64</v>
      </c>
      <c r="F3957">
        <f t="shared" si="123"/>
        <v>89654</v>
      </c>
      <c r="H3957" s="1406">
        <v>19.29</v>
      </c>
      <c r="I3957" s="1406">
        <v>19.64</v>
      </c>
    </row>
    <row r="3958" spans="2:9" ht="30">
      <c r="B3958" s="677">
        <v>89655</v>
      </c>
      <c r="C3958" s="733" t="s">
        <v>6190</v>
      </c>
      <c r="D3958" s="677" t="s">
        <v>22</v>
      </c>
      <c r="E3958" s="738">
        <f t="shared" si="122"/>
        <v>23.32</v>
      </c>
      <c r="F3958">
        <f t="shared" si="123"/>
        <v>89655</v>
      </c>
      <c r="H3958" s="1405">
        <v>22.97</v>
      </c>
      <c r="I3958" s="1405">
        <v>23.32</v>
      </c>
    </row>
    <row r="3959" spans="2:9" ht="30">
      <c r="B3959" s="1477">
        <v>89656</v>
      </c>
      <c r="C3959" s="740" t="s">
        <v>6191</v>
      </c>
      <c r="D3959" s="739" t="s">
        <v>22</v>
      </c>
      <c r="E3959" s="741">
        <f t="shared" si="122"/>
        <v>21.76</v>
      </c>
      <c r="F3959">
        <f t="shared" si="123"/>
        <v>89656</v>
      </c>
      <c r="H3959" s="1406">
        <v>21.41</v>
      </c>
      <c r="I3959" s="1406">
        <v>21.76</v>
      </c>
    </row>
    <row r="3960" spans="2:9" ht="30">
      <c r="B3960" s="677">
        <v>89657</v>
      </c>
      <c r="C3960" s="733" t="s">
        <v>6192</v>
      </c>
      <c r="D3960" s="677" t="s">
        <v>22</v>
      </c>
      <c r="E3960" s="738">
        <f t="shared" si="122"/>
        <v>13.66</v>
      </c>
      <c r="F3960">
        <f t="shared" si="123"/>
        <v>89657</v>
      </c>
      <c r="H3960" s="1405">
        <v>13.31</v>
      </c>
      <c r="I3960" s="1405">
        <v>13.66</v>
      </c>
    </row>
    <row r="3961" spans="2:9">
      <c r="B3961" s="1477">
        <v>89658</v>
      </c>
      <c r="C3961" s="740" t="s">
        <v>6193</v>
      </c>
      <c r="D3961" s="739" t="s">
        <v>22</v>
      </c>
      <c r="E3961" s="741">
        <f t="shared" si="122"/>
        <v>9.74</v>
      </c>
      <c r="F3961">
        <f t="shared" si="123"/>
        <v>89658</v>
      </c>
      <c r="H3961" s="1406">
        <v>9.2899999999999991</v>
      </c>
      <c r="I3961" s="1406">
        <v>9.74</v>
      </c>
    </row>
    <row r="3962" spans="2:9" ht="30">
      <c r="B3962" s="677">
        <v>89659</v>
      </c>
      <c r="C3962" s="733" t="s">
        <v>6194</v>
      </c>
      <c r="D3962" s="677" t="s">
        <v>22</v>
      </c>
      <c r="E3962" s="738">
        <f t="shared" si="122"/>
        <v>17.05</v>
      </c>
      <c r="F3962">
        <f t="shared" si="123"/>
        <v>89659</v>
      </c>
      <c r="H3962" s="1405">
        <v>16.600000000000001</v>
      </c>
      <c r="I3962" s="1405">
        <v>17.05</v>
      </c>
    </row>
    <row r="3963" spans="2:9" ht="30">
      <c r="B3963" s="1477">
        <v>89660</v>
      </c>
      <c r="C3963" s="740" t="s">
        <v>6195</v>
      </c>
      <c r="D3963" s="739" t="s">
        <v>22</v>
      </c>
      <c r="E3963" s="741">
        <f t="shared" si="122"/>
        <v>9.91</v>
      </c>
      <c r="F3963">
        <f t="shared" si="123"/>
        <v>89660</v>
      </c>
      <c r="H3963" s="1406">
        <v>9.43</v>
      </c>
      <c r="I3963" s="1406">
        <v>9.91</v>
      </c>
    </row>
    <row r="3964" spans="2:9">
      <c r="B3964" s="677">
        <v>89661</v>
      </c>
      <c r="C3964" s="733" t="s">
        <v>6196</v>
      </c>
      <c r="D3964" s="677" t="s">
        <v>22</v>
      </c>
      <c r="E3964" s="738">
        <f t="shared" si="122"/>
        <v>23.06</v>
      </c>
      <c r="F3964">
        <f t="shared" si="123"/>
        <v>89661</v>
      </c>
      <c r="H3964" s="1405">
        <v>22.61</v>
      </c>
      <c r="I3964" s="1405">
        <v>23.06</v>
      </c>
    </row>
    <row r="3965" spans="2:9" ht="30">
      <c r="B3965" s="1477">
        <v>89662</v>
      </c>
      <c r="C3965" s="740" t="s">
        <v>6197</v>
      </c>
      <c r="D3965" s="739" t="s">
        <v>22</v>
      </c>
      <c r="E3965" s="741">
        <f t="shared" si="122"/>
        <v>30.18</v>
      </c>
      <c r="F3965">
        <f t="shared" si="123"/>
        <v>89662</v>
      </c>
      <c r="H3965" s="1406">
        <v>29.77</v>
      </c>
      <c r="I3965" s="1406">
        <v>30.18</v>
      </c>
    </row>
    <row r="3966" spans="2:9" ht="30">
      <c r="B3966" s="677">
        <v>89663</v>
      </c>
      <c r="C3966" s="733" t="s">
        <v>6198</v>
      </c>
      <c r="D3966" s="677" t="s">
        <v>22</v>
      </c>
      <c r="E3966" s="738">
        <f t="shared" si="122"/>
        <v>29.23</v>
      </c>
      <c r="F3966">
        <f t="shared" si="123"/>
        <v>89663</v>
      </c>
      <c r="H3966" s="1405">
        <v>28.78</v>
      </c>
      <c r="I3966" s="1405">
        <v>29.23</v>
      </c>
    </row>
    <row r="3967" spans="2:9" ht="30">
      <c r="B3967" s="1477">
        <v>89664</v>
      </c>
      <c r="C3967" s="740" t="s">
        <v>6199</v>
      </c>
      <c r="D3967" s="739" t="s">
        <v>22</v>
      </c>
      <c r="E3967" s="741">
        <f t="shared" si="122"/>
        <v>16.989999999999998</v>
      </c>
      <c r="F3967">
        <f t="shared" si="123"/>
        <v>89664</v>
      </c>
      <c r="H3967" s="1406">
        <v>16.54</v>
      </c>
      <c r="I3967" s="1406">
        <v>16.989999999999998</v>
      </c>
    </row>
    <row r="3968" spans="2:9" ht="30">
      <c r="B3968" s="677">
        <v>89666</v>
      </c>
      <c r="C3968" s="733" t="s">
        <v>6200</v>
      </c>
      <c r="D3968" s="677" t="s">
        <v>22</v>
      </c>
      <c r="E3968" s="738">
        <f t="shared" si="122"/>
        <v>7.6</v>
      </c>
      <c r="F3968">
        <f t="shared" si="123"/>
        <v>89666</v>
      </c>
      <c r="H3968" s="1405">
        <v>7.19</v>
      </c>
      <c r="I3968" s="1405">
        <v>7.6</v>
      </c>
    </row>
    <row r="3969" spans="2:9" ht="30">
      <c r="B3969" s="1477">
        <v>89667</v>
      </c>
      <c r="C3969" s="740" t="s">
        <v>6201</v>
      </c>
      <c r="D3969" s="739" t="s">
        <v>22</v>
      </c>
      <c r="E3969" s="741">
        <f t="shared" si="122"/>
        <v>41.8</v>
      </c>
      <c r="F3969">
        <f t="shared" si="123"/>
        <v>89667</v>
      </c>
      <c r="H3969" s="1406">
        <v>41.24</v>
      </c>
      <c r="I3969" s="1406">
        <v>41.8</v>
      </c>
    </row>
    <row r="3970" spans="2:9" ht="30">
      <c r="B3970" s="677">
        <v>89668</v>
      </c>
      <c r="C3970" s="733" t="s">
        <v>6202</v>
      </c>
      <c r="D3970" s="677" t="s">
        <v>22</v>
      </c>
      <c r="E3970" s="738">
        <f t="shared" si="122"/>
        <v>28.54</v>
      </c>
      <c r="F3970">
        <f t="shared" si="123"/>
        <v>89668</v>
      </c>
      <c r="H3970" s="1405">
        <v>28.1</v>
      </c>
      <c r="I3970" s="1405">
        <v>28.54</v>
      </c>
    </row>
    <row r="3971" spans="2:9" ht="30">
      <c r="B3971" s="1477">
        <v>89669</v>
      </c>
      <c r="C3971" s="740" t="s">
        <v>6203</v>
      </c>
      <c r="D3971" s="739" t="s">
        <v>22</v>
      </c>
      <c r="E3971" s="741">
        <f t="shared" ref="E3971:E4034" si="124">IF($K$2=$H$1,H3971,I3971)</f>
        <v>32.54</v>
      </c>
      <c r="F3971">
        <f t="shared" ref="F3971:F4034" si="125">IF(LEN($B3971)=7,CONCATENATE(MID($B3971,1,6),"00",RIGHT($B3971,1)),IF(LEN($B3971)=8,CONCATENATE(MID($B3971,1,6),"0",RIGHT($B3971,2)),$B3971))</f>
        <v>89669</v>
      </c>
      <c r="H3971" s="1406">
        <v>31.65</v>
      </c>
      <c r="I3971" s="1406">
        <v>32.54</v>
      </c>
    </row>
    <row r="3972" spans="2:9">
      <c r="B3972" s="677">
        <v>89670</v>
      </c>
      <c r="C3972" s="733" t="s">
        <v>6204</v>
      </c>
      <c r="D3972" s="677" t="s">
        <v>22</v>
      </c>
      <c r="E3972" s="738">
        <f t="shared" si="124"/>
        <v>14.39</v>
      </c>
      <c r="F3972">
        <f t="shared" si="125"/>
        <v>89670</v>
      </c>
      <c r="H3972" s="1405">
        <v>13.86</v>
      </c>
      <c r="I3972" s="1405">
        <v>14.39</v>
      </c>
    </row>
    <row r="3973" spans="2:9" ht="30">
      <c r="B3973" s="1477">
        <v>89671</v>
      </c>
      <c r="C3973" s="740" t="s">
        <v>6205</v>
      </c>
      <c r="D3973" s="739" t="s">
        <v>22</v>
      </c>
      <c r="E3973" s="741">
        <f t="shared" si="124"/>
        <v>43.11</v>
      </c>
      <c r="F3973">
        <f t="shared" si="125"/>
        <v>89671</v>
      </c>
      <c r="H3973" s="1406">
        <v>42.22</v>
      </c>
      <c r="I3973" s="1406">
        <v>43.11</v>
      </c>
    </row>
    <row r="3974" spans="2:9" ht="30">
      <c r="B3974" s="677">
        <v>89672</v>
      </c>
      <c r="C3974" s="733" t="s">
        <v>6206</v>
      </c>
      <c r="D3974" s="677" t="s">
        <v>22</v>
      </c>
      <c r="E3974" s="738">
        <f t="shared" si="124"/>
        <v>23.49</v>
      </c>
      <c r="F3974">
        <f t="shared" si="125"/>
        <v>89672</v>
      </c>
      <c r="H3974" s="1405">
        <v>22.96</v>
      </c>
      <c r="I3974" s="1405">
        <v>23.49</v>
      </c>
    </row>
    <row r="3975" spans="2:9" ht="30">
      <c r="B3975" s="1477">
        <v>89673</v>
      </c>
      <c r="C3975" s="740" t="s">
        <v>6207</v>
      </c>
      <c r="D3975" s="739" t="s">
        <v>22</v>
      </c>
      <c r="E3975" s="741">
        <f t="shared" si="124"/>
        <v>34.22</v>
      </c>
      <c r="F3975">
        <f t="shared" si="125"/>
        <v>89673</v>
      </c>
      <c r="H3975" s="1406">
        <v>33.49</v>
      </c>
      <c r="I3975" s="1406">
        <v>34.22</v>
      </c>
    </row>
    <row r="3976" spans="2:9">
      <c r="B3976" s="677">
        <v>89674</v>
      </c>
      <c r="C3976" s="733" t="s">
        <v>6208</v>
      </c>
      <c r="D3976" s="677" t="s">
        <v>22</v>
      </c>
      <c r="E3976" s="738">
        <f t="shared" si="124"/>
        <v>30.06</v>
      </c>
      <c r="F3976">
        <f t="shared" si="125"/>
        <v>89674</v>
      </c>
      <c r="H3976" s="1405">
        <v>29.53</v>
      </c>
      <c r="I3976" s="1405">
        <v>30.06</v>
      </c>
    </row>
    <row r="3977" spans="2:9" ht="30">
      <c r="B3977" s="1477">
        <v>89675</v>
      </c>
      <c r="C3977" s="740" t="s">
        <v>6209</v>
      </c>
      <c r="D3977" s="739" t="s">
        <v>22</v>
      </c>
      <c r="E3977" s="741">
        <f t="shared" si="124"/>
        <v>68.3</v>
      </c>
      <c r="F3977">
        <f t="shared" si="125"/>
        <v>89675</v>
      </c>
      <c r="H3977" s="1406">
        <v>67.41</v>
      </c>
      <c r="I3977" s="1406">
        <v>68.3</v>
      </c>
    </row>
    <row r="3978" spans="2:9" ht="30">
      <c r="B3978" s="677">
        <v>89676</v>
      </c>
      <c r="C3978" s="733" t="s">
        <v>6210</v>
      </c>
      <c r="D3978" s="677" t="s">
        <v>22</v>
      </c>
      <c r="E3978" s="738">
        <f t="shared" si="124"/>
        <v>35.9</v>
      </c>
      <c r="F3978">
        <f t="shared" si="125"/>
        <v>89676</v>
      </c>
      <c r="H3978" s="1405">
        <v>35.39</v>
      </c>
      <c r="I3978" s="1405">
        <v>35.9</v>
      </c>
    </row>
    <row r="3979" spans="2:9" ht="30">
      <c r="B3979" s="1477">
        <v>89677</v>
      </c>
      <c r="C3979" s="740" t="s">
        <v>6211</v>
      </c>
      <c r="D3979" s="739" t="s">
        <v>22</v>
      </c>
      <c r="E3979" s="741">
        <f t="shared" si="124"/>
        <v>74.81</v>
      </c>
      <c r="F3979">
        <f t="shared" si="125"/>
        <v>89677</v>
      </c>
      <c r="H3979" s="1406">
        <v>73.28</v>
      </c>
      <c r="I3979" s="1406">
        <v>74.81</v>
      </c>
    </row>
    <row r="3980" spans="2:9" ht="30">
      <c r="B3980" s="677">
        <v>89678</v>
      </c>
      <c r="C3980" s="733" t="s">
        <v>6212</v>
      </c>
      <c r="D3980" s="677" t="s">
        <v>22</v>
      </c>
      <c r="E3980" s="738">
        <f t="shared" si="124"/>
        <v>12.27</v>
      </c>
      <c r="F3980">
        <f t="shared" si="125"/>
        <v>89678</v>
      </c>
      <c r="H3980" s="1405">
        <v>11.77</v>
      </c>
      <c r="I3980" s="1405">
        <v>12.27</v>
      </c>
    </row>
    <row r="3981" spans="2:9" ht="30">
      <c r="B3981" s="1477">
        <v>89679</v>
      </c>
      <c r="C3981" s="740" t="s">
        <v>6213</v>
      </c>
      <c r="D3981" s="739" t="s">
        <v>22</v>
      </c>
      <c r="E3981" s="741">
        <f t="shared" si="124"/>
        <v>117.89</v>
      </c>
      <c r="F3981">
        <f t="shared" si="125"/>
        <v>89679</v>
      </c>
      <c r="H3981" s="1406">
        <v>116.36</v>
      </c>
      <c r="I3981" s="1406">
        <v>117.89</v>
      </c>
    </row>
    <row r="3982" spans="2:9">
      <c r="B3982" s="677">
        <v>89680</v>
      </c>
      <c r="C3982" s="733" t="s">
        <v>6214</v>
      </c>
      <c r="D3982" s="677" t="s">
        <v>22</v>
      </c>
      <c r="E3982" s="738">
        <f t="shared" si="124"/>
        <v>22.59</v>
      </c>
      <c r="F3982">
        <f t="shared" si="125"/>
        <v>89680</v>
      </c>
      <c r="H3982" s="1405">
        <v>21.96</v>
      </c>
      <c r="I3982" s="1405">
        <v>22.59</v>
      </c>
    </row>
    <row r="3983" spans="2:9" ht="30">
      <c r="B3983" s="1477">
        <v>89681</v>
      </c>
      <c r="C3983" s="740" t="s">
        <v>6215</v>
      </c>
      <c r="D3983" s="739" t="s">
        <v>22</v>
      </c>
      <c r="E3983" s="741">
        <f t="shared" si="124"/>
        <v>85.9</v>
      </c>
      <c r="F3983">
        <f t="shared" si="125"/>
        <v>89681</v>
      </c>
      <c r="H3983" s="1406">
        <v>84.69</v>
      </c>
      <c r="I3983" s="1406">
        <v>85.9</v>
      </c>
    </row>
    <row r="3984" spans="2:9" ht="30">
      <c r="B3984" s="677">
        <v>89682</v>
      </c>
      <c r="C3984" s="733" t="s">
        <v>6216</v>
      </c>
      <c r="D3984" s="677" t="s">
        <v>22</v>
      </c>
      <c r="E3984" s="738">
        <f t="shared" si="124"/>
        <v>31.17</v>
      </c>
      <c r="F3984">
        <f t="shared" si="125"/>
        <v>89682</v>
      </c>
      <c r="H3984" s="1405">
        <v>30.54</v>
      </c>
      <c r="I3984" s="1405">
        <v>31.17</v>
      </c>
    </row>
    <row r="3985" spans="2:9" ht="30">
      <c r="B3985" s="1477">
        <v>89683</v>
      </c>
      <c r="C3985" s="740" t="s">
        <v>6217</v>
      </c>
      <c r="D3985" s="739" t="s">
        <v>22</v>
      </c>
      <c r="E3985" s="741">
        <f t="shared" si="124"/>
        <v>267.36</v>
      </c>
      <c r="F3985">
        <f t="shared" si="125"/>
        <v>89683</v>
      </c>
      <c r="H3985" s="1406">
        <v>265.83</v>
      </c>
      <c r="I3985" s="1406">
        <v>267.36</v>
      </c>
    </row>
    <row r="3986" spans="2:9">
      <c r="B3986" s="677">
        <v>89684</v>
      </c>
      <c r="C3986" s="733" t="s">
        <v>6218</v>
      </c>
      <c r="D3986" s="677" t="s">
        <v>22</v>
      </c>
      <c r="E3986" s="738">
        <f t="shared" si="124"/>
        <v>43.46</v>
      </c>
      <c r="F3986">
        <f t="shared" si="125"/>
        <v>89684</v>
      </c>
      <c r="H3986" s="1405">
        <v>42.83</v>
      </c>
      <c r="I3986" s="1405">
        <v>43.46</v>
      </c>
    </row>
    <row r="3987" spans="2:9" ht="30">
      <c r="B3987" s="1477">
        <v>89685</v>
      </c>
      <c r="C3987" s="740" t="s">
        <v>6219</v>
      </c>
      <c r="D3987" s="739" t="s">
        <v>22</v>
      </c>
      <c r="E3987" s="741">
        <f t="shared" si="124"/>
        <v>58.49</v>
      </c>
      <c r="F3987">
        <f t="shared" si="125"/>
        <v>89685</v>
      </c>
      <c r="H3987" s="1406">
        <v>57.37</v>
      </c>
      <c r="I3987" s="1406">
        <v>58.49</v>
      </c>
    </row>
    <row r="3988" spans="2:9" ht="30">
      <c r="B3988" s="677">
        <v>89686</v>
      </c>
      <c r="C3988" s="733" t="s">
        <v>6220</v>
      </c>
      <c r="D3988" s="677" t="s">
        <v>22</v>
      </c>
      <c r="E3988" s="738">
        <f t="shared" si="124"/>
        <v>54.79</v>
      </c>
      <c r="F3988">
        <f t="shared" si="125"/>
        <v>89686</v>
      </c>
      <c r="H3988" s="1405">
        <v>54.18</v>
      </c>
      <c r="I3988" s="1405">
        <v>54.79</v>
      </c>
    </row>
    <row r="3989" spans="2:9" ht="30">
      <c r="B3989" s="1477">
        <v>89687</v>
      </c>
      <c r="C3989" s="740" t="s">
        <v>6221</v>
      </c>
      <c r="D3989" s="739" t="s">
        <v>22</v>
      </c>
      <c r="E3989" s="741">
        <f t="shared" si="124"/>
        <v>50.5</v>
      </c>
      <c r="F3989">
        <f t="shared" si="125"/>
        <v>89687</v>
      </c>
      <c r="H3989" s="1406">
        <v>49.38</v>
      </c>
      <c r="I3989" s="1406">
        <v>50.5</v>
      </c>
    </row>
    <row r="3990" spans="2:9" ht="30">
      <c r="B3990" s="677">
        <v>89689</v>
      </c>
      <c r="C3990" s="733" t="s">
        <v>6222</v>
      </c>
      <c r="D3990" s="677" t="s">
        <v>22</v>
      </c>
      <c r="E3990" s="738">
        <f t="shared" si="124"/>
        <v>36.85</v>
      </c>
      <c r="F3990">
        <f t="shared" si="125"/>
        <v>89689</v>
      </c>
      <c r="H3990" s="1405">
        <v>36.270000000000003</v>
      </c>
      <c r="I3990" s="1405">
        <v>36.85</v>
      </c>
    </row>
    <row r="3991" spans="2:9" ht="30">
      <c r="B3991" s="1477">
        <v>89690</v>
      </c>
      <c r="C3991" s="740" t="s">
        <v>6223</v>
      </c>
      <c r="D3991" s="739" t="s">
        <v>22</v>
      </c>
      <c r="E3991" s="741">
        <f t="shared" si="124"/>
        <v>85.75</v>
      </c>
      <c r="F3991">
        <f t="shared" si="125"/>
        <v>89690</v>
      </c>
      <c r="H3991" s="1406">
        <v>83.97</v>
      </c>
      <c r="I3991" s="1406">
        <v>85.75</v>
      </c>
    </row>
    <row r="3992" spans="2:9">
      <c r="B3992" s="677">
        <v>89691</v>
      </c>
      <c r="C3992" s="733" t="s">
        <v>6224</v>
      </c>
      <c r="D3992" s="677" t="s">
        <v>22</v>
      </c>
      <c r="E3992" s="738">
        <f t="shared" si="124"/>
        <v>13.7</v>
      </c>
      <c r="F3992">
        <f t="shared" si="125"/>
        <v>89691</v>
      </c>
      <c r="H3992" s="1405">
        <v>12.99</v>
      </c>
      <c r="I3992" s="1405">
        <v>13.7</v>
      </c>
    </row>
    <row r="3993" spans="2:9" ht="30">
      <c r="B3993" s="1477">
        <v>89692</v>
      </c>
      <c r="C3993" s="740" t="s">
        <v>6225</v>
      </c>
      <c r="D3993" s="739" t="s">
        <v>22</v>
      </c>
      <c r="E3993" s="741">
        <f t="shared" si="124"/>
        <v>96.85</v>
      </c>
      <c r="F3993">
        <f t="shared" si="125"/>
        <v>89692</v>
      </c>
      <c r="H3993" s="1406">
        <v>95.29</v>
      </c>
      <c r="I3993" s="1406">
        <v>96.85</v>
      </c>
    </row>
    <row r="3994" spans="2:9" ht="30">
      <c r="B3994" s="677">
        <v>89693</v>
      </c>
      <c r="C3994" s="733" t="s">
        <v>6226</v>
      </c>
      <c r="D3994" s="677" t="s">
        <v>22</v>
      </c>
      <c r="E3994" s="738">
        <f t="shared" si="124"/>
        <v>75.69</v>
      </c>
      <c r="F3994">
        <f t="shared" si="125"/>
        <v>89693</v>
      </c>
      <c r="H3994" s="1405">
        <v>73.91</v>
      </c>
      <c r="I3994" s="1405">
        <v>75.69</v>
      </c>
    </row>
    <row r="3995" spans="2:9" ht="30">
      <c r="B3995" s="1477">
        <v>89694</v>
      </c>
      <c r="C3995" s="740" t="s">
        <v>6227</v>
      </c>
      <c r="D3995" s="739" t="s">
        <v>22</v>
      </c>
      <c r="E3995" s="741">
        <f t="shared" si="124"/>
        <v>19.920000000000002</v>
      </c>
      <c r="F3995">
        <f t="shared" si="125"/>
        <v>89694</v>
      </c>
      <c r="H3995" s="1406">
        <v>19.21</v>
      </c>
      <c r="I3995" s="1406">
        <v>19.920000000000002</v>
      </c>
    </row>
    <row r="3996" spans="2:9" ht="30">
      <c r="B3996" s="677">
        <v>89695</v>
      </c>
      <c r="C3996" s="733" t="s">
        <v>6228</v>
      </c>
      <c r="D3996" s="677" t="s">
        <v>22</v>
      </c>
      <c r="E3996" s="738">
        <f t="shared" si="124"/>
        <v>17.05</v>
      </c>
      <c r="F3996">
        <f t="shared" si="125"/>
        <v>89695</v>
      </c>
      <c r="H3996" s="1405">
        <v>16.34</v>
      </c>
      <c r="I3996" s="1405">
        <v>17.05</v>
      </c>
    </row>
    <row r="3997" spans="2:9" ht="30">
      <c r="B3997" s="1477">
        <v>89696</v>
      </c>
      <c r="C3997" s="740" t="s">
        <v>6229</v>
      </c>
      <c r="D3997" s="739" t="s">
        <v>22</v>
      </c>
      <c r="E3997" s="741">
        <f t="shared" si="124"/>
        <v>80.56</v>
      </c>
      <c r="F3997">
        <f t="shared" si="125"/>
        <v>89696</v>
      </c>
      <c r="H3997" s="1406">
        <v>79</v>
      </c>
      <c r="I3997" s="1406">
        <v>80.56</v>
      </c>
    </row>
    <row r="3998" spans="2:9">
      <c r="B3998" s="677">
        <v>89697</v>
      </c>
      <c r="C3998" s="733" t="s">
        <v>6230</v>
      </c>
      <c r="D3998" s="677" t="s">
        <v>22</v>
      </c>
      <c r="E3998" s="738">
        <f t="shared" si="124"/>
        <v>18.02</v>
      </c>
      <c r="F3998">
        <f t="shared" si="125"/>
        <v>89697</v>
      </c>
      <c r="H3998" s="1405">
        <v>17.11</v>
      </c>
      <c r="I3998" s="1405">
        <v>18.02</v>
      </c>
    </row>
    <row r="3999" spans="2:9" ht="30">
      <c r="B3999" s="1477">
        <v>89698</v>
      </c>
      <c r="C3999" s="740" t="s">
        <v>6231</v>
      </c>
      <c r="D3999" s="739" t="s">
        <v>22</v>
      </c>
      <c r="E3999" s="741">
        <f t="shared" si="124"/>
        <v>252.31</v>
      </c>
      <c r="F3999">
        <f t="shared" si="125"/>
        <v>89698</v>
      </c>
      <c r="H3999" s="1406">
        <v>249.24</v>
      </c>
      <c r="I3999" s="1406">
        <v>252.31</v>
      </c>
    </row>
    <row r="4000" spans="2:9" ht="30">
      <c r="B4000" s="677">
        <v>89699</v>
      </c>
      <c r="C4000" s="733" t="s">
        <v>6232</v>
      </c>
      <c r="D4000" s="677" t="s">
        <v>22</v>
      </c>
      <c r="E4000" s="738">
        <f t="shared" si="124"/>
        <v>190.8</v>
      </c>
      <c r="F4000">
        <f t="shared" si="125"/>
        <v>89699</v>
      </c>
      <c r="H4000" s="1405">
        <v>188.16</v>
      </c>
      <c r="I4000" s="1405">
        <v>190.8</v>
      </c>
    </row>
    <row r="4001" spans="2:9" ht="30">
      <c r="B4001" s="1477">
        <v>89700</v>
      </c>
      <c r="C4001" s="740" t="s">
        <v>6233</v>
      </c>
      <c r="D4001" s="739" t="s">
        <v>22</v>
      </c>
      <c r="E4001" s="741">
        <f t="shared" si="124"/>
        <v>22.86</v>
      </c>
      <c r="F4001">
        <f t="shared" si="125"/>
        <v>89700</v>
      </c>
      <c r="H4001" s="1406">
        <v>22.04</v>
      </c>
      <c r="I4001" s="1406">
        <v>22.86</v>
      </c>
    </row>
    <row r="4002" spans="2:9" ht="30">
      <c r="B4002" s="677">
        <v>89701</v>
      </c>
      <c r="C4002" s="733" t="s">
        <v>6234</v>
      </c>
      <c r="D4002" s="677" t="s">
        <v>22</v>
      </c>
      <c r="E4002" s="738">
        <f t="shared" si="124"/>
        <v>187.7</v>
      </c>
      <c r="F4002">
        <f t="shared" si="125"/>
        <v>89701</v>
      </c>
      <c r="H4002" s="1405">
        <v>184.63</v>
      </c>
      <c r="I4002" s="1405">
        <v>187.7</v>
      </c>
    </row>
    <row r="4003" spans="2:9" ht="30">
      <c r="B4003" s="1477">
        <v>89702</v>
      </c>
      <c r="C4003" s="740" t="s">
        <v>6235</v>
      </c>
      <c r="D4003" s="739" t="s">
        <v>22</v>
      </c>
      <c r="E4003" s="741">
        <f t="shared" si="124"/>
        <v>22.09</v>
      </c>
      <c r="F4003">
        <f t="shared" si="125"/>
        <v>89702</v>
      </c>
      <c r="H4003" s="1406">
        <v>21.18</v>
      </c>
      <c r="I4003" s="1406">
        <v>22.09</v>
      </c>
    </row>
    <row r="4004" spans="2:9" ht="30">
      <c r="B4004" s="677">
        <v>89703</v>
      </c>
      <c r="C4004" s="733" t="s">
        <v>6236</v>
      </c>
      <c r="D4004" s="677" t="s">
        <v>22</v>
      </c>
      <c r="E4004" s="738">
        <f t="shared" si="124"/>
        <v>46.61</v>
      </c>
      <c r="F4004">
        <f t="shared" si="125"/>
        <v>89703</v>
      </c>
      <c r="H4004" s="1405">
        <v>45.73</v>
      </c>
      <c r="I4004" s="1405">
        <v>46.61</v>
      </c>
    </row>
    <row r="4005" spans="2:9" ht="30">
      <c r="B4005" s="1477">
        <v>89704</v>
      </c>
      <c r="C4005" s="740" t="s">
        <v>6237</v>
      </c>
      <c r="D4005" s="739" t="s">
        <v>22</v>
      </c>
      <c r="E4005" s="741">
        <f t="shared" si="124"/>
        <v>145.25</v>
      </c>
      <c r="F4005">
        <f t="shared" si="125"/>
        <v>89704</v>
      </c>
      <c r="H4005" s="1406">
        <v>142.61000000000001</v>
      </c>
      <c r="I4005" s="1406">
        <v>145.25</v>
      </c>
    </row>
    <row r="4006" spans="2:9">
      <c r="B4006" s="677">
        <v>89705</v>
      </c>
      <c r="C4006" s="733" t="s">
        <v>6238</v>
      </c>
      <c r="D4006" s="677" t="s">
        <v>22</v>
      </c>
      <c r="E4006" s="738">
        <f t="shared" si="124"/>
        <v>25.81</v>
      </c>
      <c r="F4006">
        <f t="shared" si="125"/>
        <v>89705</v>
      </c>
      <c r="H4006" s="1405">
        <v>24.75</v>
      </c>
      <c r="I4006" s="1405">
        <v>25.81</v>
      </c>
    </row>
    <row r="4007" spans="2:9">
      <c r="B4007" s="1477">
        <v>89706</v>
      </c>
      <c r="C4007" s="740" t="s">
        <v>6239</v>
      </c>
      <c r="D4007" s="739" t="s">
        <v>22</v>
      </c>
      <c r="E4007" s="741">
        <f t="shared" si="124"/>
        <v>55.49</v>
      </c>
      <c r="F4007">
        <f t="shared" si="125"/>
        <v>89706</v>
      </c>
      <c r="H4007" s="1406">
        <v>54.23</v>
      </c>
      <c r="I4007" s="1406">
        <v>55.49</v>
      </c>
    </row>
    <row r="4008" spans="2:9">
      <c r="B4008" s="677">
        <v>89718</v>
      </c>
      <c r="C4008" s="733" t="s">
        <v>6240</v>
      </c>
      <c r="D4008" s="677" t="s">
        <v>21</v>
      </c>
      <c r="E4008" s="738">
        <f t="shared" si="124"/>
        <v>51.99</v>
      </c>
      <c r="F4008">
        <f t="shared" si="125"/>
        <v>89718</v>
      </c>
      <c r="H4008" s="1405">
        <v>51</v>
      </c>
      <c r="I4008" s="1405">
        <v>51.99</v>
      </c>
    </row>
    <row r="4009" spans="2:9" ht="30">
      <c r="B4009" s="1477">
        <v>89719</v>
      </c>
      <c r="C4009" s="740" t="s">
        <v>6241</v>
      </c>
      <c r="D4009" s="739" t="s">
        <v>22</v>
      </c>
      <c r="E4009" s="741">
        <f t="shared" si="124"/>
        <v>13.05</v>
      </c>
      <c r="F4009">
        <f t="shared" si="125"/>
        <v>89719</v>
      </c>
      <c r="H4009" s="1406">
        <v>12.45</v>
      </c>
      <c r="I4009" s="1406">
        <v>13.05</v>
      </c>
    </row>
    <row r="4010" spans="2:9" ht="30">
      <c r="B4010" s="677">
        <v>89720</v>
      </c>
      <c r="C4010" s="733" t="s">
        <v>6242</v>
      </c>
      <c r="D4010" s="677" t="s">
        <v>22</v>
      </c>
      <c r="E4010" s="738">
        <f t="shared" si="124"/>
        <v>14.58</v>
      </c>
      <c r="F4010">
        <f t="shared" si="125"/>
        <v>89720</v>
      </c>
      <c r="H4010" s="1405">
        <v>13.98</v>
      </c>
      <c r="I4010" s="1405">
        <v>14.58</v>
      </c>
    </row>
    <row r="4011" spans="2:9" ht="30">
      <c r="B4011" s="1477">
        <v>89721</v>
      </c>
      <c r="C4011" s="740" t="s">
        <v>6243</v>
      </c>
      <c r="D4011" s="739" t="s">
        <v>22</v>
      </c>
      <c r="E4011" s="741">
        <f t="shared" si="124"/>
        <v>15.79</v>
      </c>
      <c r="F4011">
        <f t="shared" si="125"/>
        <v>89721</v>
      </c>
      <c r="H4011" s="1406">
        <v>15.19</v>
      </c>
      <c r="I4011" s="1406">
        <v>15.79</v>
      </c>
    </row>
    <row r="4012" spans="2:9" ht="30">
      <c r="B4012" s="677">
        <v>89723</v>
      </c>
      <c r="C4012" s="733" t="s">
        <v>6244</v>
      </c>
      <c r="D4012" s="677" t="s">
        <v>22</v>
      </c>
      <c r="E4012" s="738">
        <f t="shared" si="124"/>
        <v>19.809999999999999</v>
      </c>
      <c r="F4012">
        <f t="shared" si="125"/>
        <v>89723</v>
      </c>
      <c r="H4012" s="1405">
        <v>19.100000000000001</v>
      </c>
      <c r="I4012" s="1405">
        <v>19.809999999999999</v>
      </c>
    </row>
    <row r="4013" spans="2:9" ht="30">
      <c r="B4013" s="1477">
        <v>89724</v>
      </c>
      <c r="C4013" s="740" t="s">
        <v>6529</v>
      </c>
      <c r="D4013" s="739" t="s">
        <v>22</v>
      </c>
      <c r="E4013" s="741">
        <f t="shared" si="124"/>
        <v>10</v>
      </c>
      <c r="F4013">
        <f t="shared" si="125"/>
        <v>89724</v>
      </c>
      <c r="H4013" s="1406">
        <v>9.3800000000000008</v>
      </c>
      <c r="I4013" s="1406">
        <v>10</v>
      </c>
    </row>
    <row r="4014" spans="2:9" ht="30">
      <c r="B4014" s="677">
        <v>89725</v>
      </c>
      <c r="C4014" s="733" t="s">
        <v>6245</v>
      </c>
      <c r="D4014" s="677" t="s">
        <v>22</v>
      </c>
      <c r="E4014" s="738">
        <f t="shared" si="124"/>
        <v>19.18</v>
      </c>
      <c r="F4014">
        <f t="shared" si="125"/>
        <v>89725</v>
      </c>
      <c r="H4014" s="1405">
        <v>18.47</v>
      </c>
      <c r="I4014" s="1405">
        <v>19.18</v>
      </c>
    </row>
    <row r="4015" spans="2:9" ht="30">
      <c r="B4015" s="1477">
        <v>89726</v>
      </c>
      <c r="C4015" s="740" t="s">
        <v>6530</v>
      </c>
      <c r="D4015" s="739" t="s">
        <v>22</v>
      </c>
      <c r="E4015" s="741">
        <f t="shared" si="124"/>
        <v>10.220000000000001</v>
      </c>
      <c r="F4015">
        <f t="shared" si="125"/>
        <v>89726</v>
      </c>
      <c r="H4015" s="1406">
        <v>9.6</v>
      </c>
      <c r="I4015" s="1406">
        <v>10.220000000000001</v>
      </c>
    </row>
    <row r="4016" spans="2:9" ht="30">
      <c r="B4016" s="677">
        <v>89727</v>
      </c>
      <c r="C4016" s="733" t="s">
        <v>6246</v>
      </c>
      <c r="D4016" s="677" t="s">
        <v>22</v>
      </c>
      <c r="E4016" s="738">
        <f t="shared" si="124"/>
        <v>23.94</v>
      </c>
      <c r="F4016">
        <f t="shared" si="125"/>
        <v>89727</v>
      </c>
      <c r="H4016" s="1405">
        <v>23.23</v>
      </c>
      <c r="I4016" s="1405">
        <v>23.94</v>
      </c>
    </row>
    <row r="4017" spans="2:9" ht="30">
      <c r="B4017" s="1477">
        <v>89728</v>
      </c>
      <c r="C4017" s="740" t="s">
        <v>6531</v>
      </c>
      <c r="D4017" s="739" t="s">
        <v>22</v>
      </c>
      <c r="E4017" s="741">
        <f t="shared" si="124"/>
        <v>12.82</v>
      </c>
      <c r="F4017">
        <f t="shared" si="125"/>
        <v>89728</v>
      </c>
      <c r="H4017" s="1406">
        <v>12.2</v>
      </c>
      <c r="I4017" s="1406">
        <v>12.82</v>
      </c>
    </row>
    <row r="4018" spans="2:9" ht="30">
      <c r="B4018" s="677">
        <v>89729</v>
      </c>
      <c r="C4018" s="733" t="s">
        <v>6247</v>
      </c>
      <c r="D4018" s="677" t="s">
        <v>22</v>
      </c>
      <c r="E4018" s="738">
        <f t="shared" si="124"/>
        <v>29.17</v>
      </c>
      <c r="F4018">
        <f t="shared" si="125"/>
        <v>89729</v>
      </c>
      <c r="H4018" s="1405">
        <v>28.33</v>
      </c>
      <c r="I4018" s="1405">
        <v>29.17</v>
      </c>
    </row>
    <row r="4019" spans="2:9" ht="30">
      <c r="B4019" s="1477">
        <v>89730</v>
      </c>
      <c r="C4019" s="740" t="s">
        <v>6532</v>
      </c>
      <c r="D4019" s="739" t="s">
        <v>22</v>
      </c>
      <c r="E4019" s="741">
        <f t="shared" si="124"/>
        <v>14.65</v>
      </c>
      <c r="F4019">
        <f t="shared" si="125"/>
        <v>89730</v>
      </c>
      <c r="H4019" s="1406">
        <v>14.03</v>
      </c>
      <c r="I4019" s="1406">
        <v>14.65</v>
      </c>
    </row>
    <row r="4020" spans="2:9" ht="30">
      <c r="B4020" s="677">
        <v>89731</v>
      </c>
      <c r="C4020" s="733" t="s">
        <v>6533</v>
      </c>
      <c r="D4020" s="677" t="s">
        <v>22</v>
      </c>
      <c r="E4020" s="738">
        <f t="shared" si="124"/>
        <v>14.48</v>
      </c>
      <c r="F4020">
        <f t="shared" si="125"/>
        <v>89731</v>
      </c>
      <c r="H4020" s="1405">
        <v>13.81</v>
      </c>
      <c r="I4020" s="1405">
        <v>14.48</v>
      </c>
    </row>
    <row r="4021" spans="2:9" ht="30">
      <c r="B4021" s="1477">
        <v>89732</v>
      </c>
      <c r="C4021" s="740" t="s">
        <v>6534</v>
      </c>
      <c r="D4021" s="739" t="s">
        <v>22</v>
      </c>
      <c r="E4021" s="741">
        <f t="shared" si="124"/>
        <v>15.18</v>
      </c>
      <c r="F4021">
        <f t="shared" si="125"/>
        <v>89732</v>
      </c>
      <c r="H4021" s="1406">
        <v>14.51</v>
      </c>
      <c r="I4021" s="1406">
        <v>15.18</v>
      </c>
    </row>
    <row r="4022" spans="2:9" ht="30">
      <c r="B4022" s="677">
        <v>89733</v>
      </c>
      <c r="C4022" s="733" t="s">
        <v>6535</v>
      </c>
      <c r="D4022" s="677" t="s">
        <v>22</v>
      </c>
      <c r="E4022" s="738">
        <f t="shared" si="124"/>
        <v>22.64</v>
      </c>
      <c r="F4022">
        <f t="shared" si="125"/>
        <v>89733</v>
      </c>
      <c r="H4022" s="1405">
        <v>21.97</v>
      </c>
      <c r="I4022" s="1405">
        <v>22.64</v>
      </c>
    </row>
    <row r="4023" spans="2:9" ht="30">
      <c r="B4023" s="1477">
        <v>89734</v>
      </c>
      <c r="C4023" s="740" t="s">
        <v>6248</v>
      </c>
      <c r="D4023" s="739" t="s">
        <v>22</v>
      </c>
      <c r="E4023" s="741">
        <f t="shared" si="124"/>
        <v>27.61</v>
      </c>
      <c r="F4023">
        <f t="shared" si="125"/>
        <v>89734</v>
      </c>
      <c r="H4023" s="1406">
        <v>26.77</v>
      </c>
      <c r="I4023" s="1406">
        <v>27.61</v>
      </c>
    </row>
    <row r="4024" spans="2:9" ht="30">
      <c r="B4024" s="677">
        <v>89735</v>
      </c>
      <c r="C4024" s="733" t="s">
        <v>6536</v>
      </c>
      <c r="D4024" s="677" t="s">
        <v>22</v>
      </c>
      <c r="E4024" s="738">
        <f t="shared" si="124"/>
        <v>24.75</v>
      </c>
      <c r="F4024">
        <f t="shared" si="125"/>
        <v>89735</v>
      </c>
      <c r="H4024" s="1405">
        <v>24.08</v>
      </c>
      <c r="I4024" s="1405">
        <v>24.75</v>
      </c>
    </row>
    <row r="4025" spans="2:9">
      <c r="B4025" s="1477">
        <v>89736</v>
      </c>
      <c r="C4025" s="740" t="s">
        <v>6249</v>
      </c>
      <c r="D4025" s="739" t="s">
        <v>22</v>
      </c>
      <c r="E4025" s="741">
        <f t="shared" si="124"/>
        <v>9.2799999999999994</v>
      </c>
      <c r="F4025">
        <f t="shared" si="125"/>
        <v>89736</v>
      </c>
      <c r="H4025" s="1406">
        <v>8.8800000000000008</v>
      </c>
      <c r="I4025" s="1406">
        <v>9.2799999999999994</v>
      </c>
    </row>
    <row r="4026" spans="2:9" ht="30">
      <c r="B4026" s="677">
        <v>89737</v>
      </c>
      <c r="C4026" s="733" t="s">
        <v>6537</v>
      </c>
      <c r="D4026" s="677" t="s">
        <v>22</v>
      </c>
      <c r="E4026" s="738">
        <f t="shared" si="124"/>
        <v>21.96</v>
      </c>
      <c r="F4026">
        <f t="shared" si="125"/>
        <v>89737</v>
      </c>
      <c r="H4026" s="1405">
        <v>21.15</v>
      </c>
      <c r="I4026" s="1405">
        <v>21.96</v>
      </c>
    </row>
    <row r="4027" spans="2:9" ht="30">
      <c r="B4027" s="1477">
        <v>89738</v>
      </c>
      <c r="C4027" s="740" t="s">
        <v>1373</v>
      </c>
      <c r="D4027" s="739" t="s">
        <v>22</v>
      </c>
      <c r="E4027" s="741">
        <f t="shared" si="124"/>
        <v>16.59</v>
      </c>
      <c r="F4027">
        <f t="shared" si="125"/>
        <v>89738</v>
      </c>
      <c r="H4027" s="1406">
        <v>16.190000000000001</v>
      </c>
      <c r="I4027" s="1406">
        <v>16.59</v>
      </c>
    </row>
    <row r="4028" spans="2:9" ht="30">
      <c r="B4028" s="677">
        <v>89739</v>
      </c>
      <c r="C4028" s="733" t="s">
        <v>6538</v>
      </c>
      <c r="D4028" s="677" t="s">
        <v>22</v>
      </c>
      <c r="E4028" s="738">
        <f t="shared" si="124"/>
        <v>22.9</v>
      </c>
      <c r="F4028">
        <f t="shared" si="125"/>
        <v>89739</v>
      </c>
      <c r="H4028" s="1405">
        <v>22.09</v>
      </c>
      <c r="I4028" s="1405">
        <v>22.9</v>
      </c>
    </row>
    <row r="4029" spans="2:9" ht="30">
      <c r="B4029" s="1477">
        <v>89740</v>
      </c>
      <c r="C4029" s="740" t="s">
        <v>6250</v>
      </c>
      <c r="D4029" s="739" t="s">
        <v>22</v>
      </c>
      <c r="E4029" s="741">
        <f t="shared" si="124"/>
        <v>9.43</v>
      </c>
      <c r="F4029">
        <f t="shared" si="125"/>
        <v>89740</v>
      </c>
      <c r="H4029" s="1406">
        <v>9.01</v>
      </c>
      <c r="I4029" s="1406">
        <v>9.43</v>
      </c>
    </row>
    <row r="4030" spans="2:9">
      <c r="B4030" s="677">
        <v>89741</v>
      </c>
      <c r="C4030" s="733" t="s">
        <v>6251</v>
      </c>
      <c r="D4030" s="677" t="s">
        <v>22</v>
      </c>
      <c r="E4030" s="738">
        <f t="shared" si="124"/>
        <v>22.6</v>
      </c>
      <c r="F4030">
        <f t="shared" si="125"/>
        <v>89741</v>
      </c>
      <c r="H4030" s="1405">
        <v>22.2</v>
      </c>
      <c r="I4030" s="1405">
        <v>22.6</v>
      </c>
    </row>
    <row r="4031" spans="2:9" ht="30">
      <c r="B4031" s="1477">
        <v>89742</v>
      </c>
      <c r="C4031" s="740" t="s">
        <v>6539</v>
      </c>
      <c r="D4031" s="739" t="s">
        <v>22</v>
      </c>
      <c r="E4031" s="741">
        <f t="shared" si="124"/>
        <v>38.44</v>
      </c>
      <c r="F4031">
        <f t="shared" si="125"/>
        <v>89742</v>
      </c>
      <c r="H4031" s="1406">
        <v>37.630000000000003</v>
      </c>
      <c r="I4031" s="1406">
        <v>38.44</v>
      </c>
    </row>
    <row r="4032" spans="2:9" ht="30">
      <c r="B4032" s="677">
        <v>89743</v>
      </c>
      <c r="C4032" s="733" t="s">
        <v>6540</v>
      </c>
      <c r="D4032" s="677" t="s">
        <v>22</v>
      </c>
      <c r="E4032" s="738">
        <f t="shared" si="124"/>
        <v>58.3</v>
      </c>
      <c r="F4032">
        <f t="shared" si="125"/>
        <v>89743</v>
      </c>
      <c r="H4032" s="1405">
        <v>57.49</v>
      </c>
      <c r="I4032" s="1405">
        <v>58.3</v>
      </c>
    </row>
    <row r="4033" spans="2:9" ht="30">
      <c r="B4033" s="1477">
        <v>89744</v>
      </c>
      <c r="C4033" s="740" t="s">
        <v>6541</v>
      </c>
      <c r="D4033" s="739" t="s">
        <v>22</v>
      </c>
      <c r="E4033" s="741">
        <f t="shared" si="124"/>
        <v>26.87</v>
      </c>
      <c r="F4033">
        <f t="shared" si="125"/>
        <v>89744</v>
      </c>
      <c r="H4033" s="1406">
        <v>25.93</v>
      </c>
      <c r="I4033" s="1406">
        <v>26.87</v>
      </c>
    </row>
    <row r="4034" spans="2:9" ht="30">
      <c r="B4034" s="677">
        <v>89746</v>
      </c>
      <c r="C4034" s="733" t="s">
        <v>6542</v>
      </c>
      <c r="D4034" s="677" t="s">
        <v>22</v>
      </c>
      <c r="E4034" s="738">
        <f t="shared" si="124"/>
        <v>27.68</v>
      </c>
      <c r="F4034">
        <f t="shared" si="125"/>
        <v>89746</v>
      </c>
      <c r="H4034" s="1405">
        <v>26.74</v>
      </c>
      <c r="I4034" s="1405">
        <v>27.68</v>
      </c>
    </row>
    <row r="4035" spans="2:9" ht="30">
      <c r="B4035" s="1477">
        <v>89747</v>
      </c>
      <c r="C4035" s="740" t="s">
        <v>6252</v>
      </c>
      <c r="D4035" s="739" t="s">
        <v>22</v>
      </c>
      <c r="E4035" s="741">
        <f t="shared" ref="E4035:E4098" si="126">IF($K$2=$H$1,H4035,I4035)</f>
        <v>28.77</v>
      </c>
      <c r="F4035">
        <f t="shared" ref="F4035:F4098" si="127">IF(LEN($B4035)=7,CONCATENATE(MID($B4035,1,6),"00",RIGHT($B4035,1)),IF(LEN($B4035)=8,CONCATENATE(MID($B4035,1,6),"0",RIGHT($B4035,2)),$B4035))</f>
        <v>89747</v>
      </c>
      <c r="H4035" s="1406">
        <v>28.37</v>
      </c>
      <c r="I4035" s="1406">
        <v>28.77</v>
      </c>
    </row>
    <row r="4036" spans="2:9" ht="30">
      <c r="B4036" s="677">
        <v>89748</v>
      </c>
      <c r="C4036" s="733" t="s">
        <v>6543</v>
      </c>
      <c r="D4036" s="677" t="s">
        <v>22</v>
      </c>
      <c r="E4036" s="738">
        <f t="shared" si="126"/>
        <v>41.39</v>
      </c>
      <c r="F4036">
        <f t="shared" si="127"/>
        <v>89748</v>
      </c>
      <c r="H4036" s="1405">
        <v>40.450000000000003</v>
      </c>
      <c r="I4036" s="1405">
        <v>41.39</v>
      </c>
    </row>
    <row r="4037" spans="2:9" ht="30">
      <c r="B4037" s="1477">
        <v>89749</v>
      </c>
      <c r="C4037" s="740" t="s">
        <v>6253</v>
      </c>
      <c r="D4037" s="739" t="s">
        <v>22</v>
      </c>
      <c r="E4037" s="741">
        <f t="shared" si="126"/>
        <v>16.53</v>
      </c>
      <c r="F4037">
        <f t="shared" si="127"/>
        <v>89749</v>
      </c>
      <c r="H4037" s="1406">
        <v>16.13</v>
      </c>
      <c r="I4037" s="1406">
        <v>16.53</v>
      </c>
    </row>
    <row r="4038" spans="2:9" ht="30">
      <c r="B4038" s="677">
        <v>89750</v>
      </c>
      <c r="C4038" s="733" t="s">
        <v>6544</v>
      </c>
      <c r="D4038" s="677" t="s">
        <v>22</v>
      </c>
      <c r="E4038" s="738">
        <f t="shared" si="126"/>
        <v>75.2</v>
      </c>
      <c r="F4038">
        <f t="shared" si="127"/>
        <v>89750</v>
      </c>
      <c r="H4038" s="1405">
        <v>74.260000000000005</v>
      </c>
      <c r="I4038" s="1405">
        <v>75.2</v>
      </c>
    </row>
    <row r="4039" spans="2:9" ht="30">
      <c r="B4039" s="1477">
        <v>89752</v>
      </c>
      <c r="C4039" s="740" t="s">
        <v>6545</v>
      </c>
      <c r="D4039" s="739" t="s">
        <v>22</v>
      </c>
      <c r="E4039" s="741">
        <f t="shared" si="126"/>
        <v>7.54</v>
      </c>
      <c r="F4039">
        <f t="shared" si="127"/>
        <v>89752</v>
      </c>
      <c r="H4039" s="1406">
        <v>7.12</v>
      </c>
      <c r="I4039" s="1406">
        <v>7.54</v>
      </c>
    </row>
    <row r="4040" spans="2:9" ht="30">
      <c r="B4040" s="677">
        <v>89753</v>
      </c>
      <c r="C4040" s="733" t="s">
        <v>6546</v>
      </c>
      <c r="D4040" s="677" t="s">
        <v>22</v>
      </c>
      <c r="E4040" s="738">
        <f t="shared" si="126"/>
        <v>9.07</v>
      </c>
      <c r="F4040">
        <f t="shared" si="127"/>
        <v>89753</v>
      </c>
      <c r="H4040" s="1405">
        <v>8.6199999999999992</v>
      </c>
      <c r="I4040" s="1405">
        <v>9.07</v>
      </c>
    </row>
    <row r="4041" spans="2:9" ht="30">
      <c r="B4041" s="1477">
        <v>89754</v>
      </c>
      <c r="C4041" s="740" t="s">
        <v>6547</v>
      </c>
      <c r="D4041" s="739" t="s">
        <v>22</v>
      </c>
      <c r="E4041" s="741">
        <f t="shared" si="126"/>
        <v>20.260000000000002</v>
      </c>
      <c r="F4041">
        <f t="shared" si="127"/>
        <v>89754</v>
      </c>
      <c r="H4041" s="1406">
        <v>19.809999999999999</v>
      </c>
      <c r="I4041" s="1406">
        <v>20.260000000000002</v>
      </c>
    </row>
    <row r="4042" spans="2:9">
      <c r="B4042" s="677">
        <v>89755</v>
      </c>
      <c r="C4042" s="733" t="s">
        <v>6254</v>
      </c>
      <c r="D4042" s="677" t="s">
        <v>22</v>
      </c>
      <c r="E4042" s="738">
        <f t="shared" si="126"/>
        <v>13.85</v>
      </c>
      <c r="F4042">
        <f t="shared" si="127"/>
        <v>89755</v>
      </c>
      <c r="H4042" s="1405">
        <v>13.37</v>
      </c>
      <c r="I4042" s="1405">
        <v>13.85</v>
      </c>
    </row>
    <row r="4043" spans="2:9" ht="30">
      <c r="B4043" s="1477">
        <v>89756</v>
      </c>
      <c r="C4043" s="740" t="s">
        <v>6255</v>
      </c>
      <c r="D4043" s="739" t="s">
        <v>22</v>
      </c>
      <c r="E4043" s="741">
        <f t="shared" si="126"/>
        <v>22.95</v>
      </c>
      <c r="F4043">
        <f t="shared" si="127"/>
        <v>89756</v>
      </c>
      <c r="H4043" s="1406">
        <v>22.47</v>
      </c>
      <c r="I4043" s="1406">
        <v>22.95</v>
      </c>
    </row>
    <row r="4044" spans="2:9">
      <c r="B4044" s="677">
        <v>89757</v>
      </c>
      <c r="C4044" s="733" t="s">
        <v>6256</v>
      </c>
      <c r="D4044" s="677" t="s">
        <v>22</v>
      </c>
      <c r="E4044" s="738">
        <f t="shared" si="126"/>
        <v>29.52</v>
      </c>
      <c r="F4044">
        <f t="shared" si="127"/>
        <v>89757</v>
      </c>
      <c r="H4044" s="1405">
        <v>29.04</v>
      </c>
      <c r="I4044" s="1405">
        <v>29.52</v>
      </c>
    </row>
    <row r="4045" spans="2:9" ht="30">
      <c r="B4045" s="1477">
        <v>89758</v>
      </c>
      <c r="C4045" s="740" t="s">
        <v>6257</v>
      </c>
      <c r="D4045" s="739" t="s">
        <v>22</v>
      </c>
      <c r="E4045" s="741">
        <f t="shared" si="126"/>
        <v>35.92</v>
      </c>
      <c r="F4045">
        <f t="shared" si="127"/>
        <v>89758</v>
      </c>
      <c r="H4045" s="1406">
        <v>35.46</v>
      </c>
      <c r="I4045" s="1406">
        <v>35.92</v>
      </c>
    </row>
    <row r="4046" spans="2:9" ht="30">
      <c r="B4046" s="677">
        <v>89759</v>
      </c>
      <c r="C4046" s="733" t="s">
        <v>6258</v>
      </c>
      <c r="D4046" s="677" t="s">
        <v>22</v>
      </c>
      <c r="E4046" s="738">
        <f t="shared" si="126"/>
        <v>11.76</v>
      </c>
      <c r="F4046">
        <f t="shared" si="127"/>
        <v>89759</v>
      </c>
      <c r="H4046" s="1405">
        <v>11.32</v>
      </c>
      <c r="I4046" s="1405">
        <v>11.76</v>
      </c>
    </row>
    <row r="4047" spans="2:9">
      <c r="B4047" s="1477">
        <v>89760</v>
      </c>
      <c r="C4047" s="740" t="s">
        <v>6259</v>
      </c>
      <c r="D4047" s="739" t="s">
        <v>22</v>
      </c>
      <c r="E4047" s="741">
        <f t="shared" si="126"/>
        <v>21.96</v>
      </c>
      <c r="F4047">
        <f t="shared" si="127"/>
        <v>89760</v>
      </c>
      <c r="H4047" s="1406">
        <v>21.4</v>
      </c>
      <c r="I4047" s="1406">
        <v>21.96</v>
      </c>
    </row>
    <row r="4048" spans="2:9" ht="30">
      <c r="B4048" s="677">
        <v>89761</v>
      </c>
      <c r="C4048" s="733" t="s">
        <v>6260</v>
      </c>
      <c r="D4048" s="677" t="s">
        <v>22</v>
      </c>
      <c r="E4048" s="738">
        <f t="shared" si="126"/>
        <v>30.54</v>
      </c>
      <c r="F4048">
        <f t="shared" si="127"/>
        <v>89761</v>
      </c>
      <c r="H4048" s="1405">
        <v>29.98</v>
      </c>
      <c r="I4048" s="1405">
        <v>30.54</v>
      </c>
    </row>
    <row r="4049" spans="2:9">
      <c r="B4049" s="1477">
        <v>89762</v>
      </c>
      <c r="C4049" s="740" t="s">
        <v>6261</v>
      </c>
      <c r="D4049" s="739" t="s">
        <v>22</v>
      </c>
      <c r="E4049" s="741">
        <f t="shared" si="126"/>
        <v>42.83</v>
      </c>
      <c r="F4049">
        <f t="shared" si="127"/>
        <v>89762</v>
      </c>
      <c r="H4049" s="1406">
        <v>42.27</v>
      </c>
      <c r="I4049" s="1406">
        <v>42.83</v>
      </c>
    </row>
    <row r="4050" spans="2:9" ht="30">
      <c r="B4050" s="677">
        <v>89763</v>
      </c>
      <c r="C4050" s="733" t="s">
        <v>6262</v>
      </c>
      <c r="D4050" s="677" t="s">
        <v>22</v>
      </c>
      <c r="E4050" s="738">
        <f t="shared" si="126"/>
        <v>54.17</v>
      </c>
      <c r="F4050">
        <f t="shared" si="127"/>
        <v>89763</v>
      </c>
      <c r="H4050" s="1405">
        <v>53.63</v>
      </c>
      <c r="I4050" s="1405">
        <v>54.17</v>
      </c>
    </row>
    <row r="4051" spans="2:9" ht="30">
      <c r="B4051" s="1477">
        <v>89764</v>
      </c>
      <c r="C4051" s="740" t="s">
        <v>6263</v>
      </c>
      <c r="D4051" s="739" t="s">
        <v>22</v>
      </c>
      <c r="E4051" s="741">
        <f t="shared" si="126"/>
        <v>36.26</v>
      </c>
      <c r="F4051">
        <f t="shared" si="127"/>
        <v>89764</v>
      </c>
      <c r="H4051" s="1406">
        <v>35.74</v>
      </c>
      <c r="I4051" s="1406">
        <v>36.26</v>
      </c>
    </row>
    <row r="4052" spans="2:9">
      <c r="B4052" s="677">
        <v>89765</v>
      </c>
      <c r="C4052" s="733" t="s">
        <v>6264</v>
      </c>
      <c r="D4052" s="677" t="s">
        <v>22</v>
      </c>
      <c r="E4052" s="738">
        <f t="shared" si="126"/>
        <v>17.09</v>
      </c>
      <c r="F4052">
        <f t="shared" si="127"/>
        <v>89765</v>
      </c>
      <c r="H4052" s="1405">
        <v>16.28</v>
      </c>
      <c r="I4052" s="1405">
        <v>17.09</v>
      </c>
    </row>
    <row r="4053" spans="2:9" ht="30">
      <c r="B4053" s="1477">
        <v>89767</v>
      </c>
      <c r="C4053" s="740" t="s">
        <v>6265</v>
      </c>
      <c r="D4053" s="739" t="s">
        <v>22</v>
      </c>
      <c r="E4053" s="741">
        <f t="shared" si="126"/>
        <v>21.16</v>
      </c>
      <c r="F4053">
        <f t="shared" si="127"/>
        <v>89767</v>
      </c>
      <c r="H4053" s="1406">
        <v>20.350000000000001</v>
      </c>
      <c r="I4053" s="1406">
        <v>21.16</v>
      </c>
    </row>
    <row r="4054" spans="2:9">
      <c r="B4054" s="677">
        <v>89768</v>
      </c>
      <c r="C4054" s="733" t="s">
        <v>6266</v>
      </c>
      <c r="D4054" s="677" t="s">
        <v>22</v>
      </c>
      <c r="E4054" s="738">
        <f t="shared" si="126"/>
        <v>24.74</v>
      </c>
      <c r="F4054">
        <f t="shared" si="127"/>
        <v>89768</v>
      </c>
      <c r="H4054" s="1405">
        <v>23.78</v>
      </c>
      <c r="I4054" s="1405">
        <v>24.74</v>
      </c>
    </row>
    <row r="4055" spans="2:9">
      <c r="B4055" s="1477">
        <v>89769</v>
      </c>
      <c r="C4055" s="740" t="s">
        <v>6267</v>
      </c>
      <c r="D4055" s="739" t="s">
        <v>22</v>
      </c>
      <c r="E4055" s="741">
        <f t="shared" si="126"/>
        <v>54.23</v>
      </c>
      <c r="F4055">
        <f t="shared" si="127"/>
        <v>89769</v>
      </c>
      <c r="H4055" s="1406">
        <v>53.1</v>
      </c>
      <c r="I4055" s="1406">
        <v>54.23</v>
      </c>
    </row>
    <row r="4056" spans="2:9">
      <c r="B4056" s="677">
        <v>89772</v>
      </c>
      <c r="C4056" s="733" t="s">
        <v>6268</v>
      </c>
      <c r="D4056" s="677" t="s">
        <v>21</v>
      </c>
      <c r="E4056" s="738">
        <f t="shared" si="126"/>
        <v>85.17</v>
      </c>
      <c r="F4056">
        <f t="shared" si="127"/>
        <v>89772</v>
      </c>
      <c r="H4056" s="1405">
        <v>84.99</v>
      </c>
      <c r="I4056" s="1405">
        <v>85.17</v>
      </c>
    </row>
    <row r="4057" spans="2:9" ht="30">
      <c r="B4057" s="1477">
        <v>89774</v>
      </c>
      <c r="C4057" s="740" t="s">
        <v>6548</v>
      </c>
      <c r="D4057" s="739" t="s">
        <v>22</v>
      </c>
      <c r="E4057" s="741">
        <f t="shared" si="126"/>
        <v>15.25</v>
      </c>
      <c r="F4057">
        <f t="shared" si="127"/>
        <v>89774</v>
      </c>
      <c r="H4057" s="1406">
        <v>14.72</v>
      </c>
      <c r="I4057" s="1406">
        <v>15.25</v>
      </c>
    </row>
    <row r="4058" spans="2:9" ht="30">
      <c r="B4058" s="677">
        <v>89776</v>
      </c>
      <c r="C4058" s="733" t="s">
        <v>6549</v>
      </c>
      <c r="D4058" s="677" t="s">
        <v>22</v>
      </c>
      <c r="E4058" s="738">
        <f t="shared" si="126"/>
        <v>24.76</v>
      </c>
      <c r="F4058">
        <f t="shared" si="127"/>
        <v>89776</v>
      </c>
      <c r="H4058" s="1405">
        <v>24.23</v>
      </c>
      <c r="I4058" s="1405">
        <v>24.76</v>
      </c>
    </row>
    <row r="4059" spans="2:9">
      <c r="B4059" s="1477">
        <v>89777</v>
      </c>
      <c r="C4059" s="740" t="s">
        <v>6269</v>
      </c>
      <c r="D4059" s="739" t="s">
        <v>22</v>
      </c>
      <c r="E4059" s="741">
        <f t="shared" si="126"/>
        <v>25.44</v>
      </c>
      <c r="F4059">
        <f t="shared" si="127"/>
        <v>89777</v>
      </c>
      <c r="H4059" s="1406">
        <v>24.98</v>
      </c>
      <c r="I4059" s="1406">
        <v>25.44</v>
      </c>
    </row>
    <row r="4060" spans="2:9" ht="30">
      <c r="B4060" s="677">
        <v>89778</v>
      </c>
      <c r="C4060" s="733" t="s">
        <v>6550</v>
      </c>
      <c r="D4060" s="677" t="s">
        <v>22</v>
      </c>
      <c r="E4060" s="738">
        <f t="shared" si="126"/>
        <v>17.670000000000002</v>
      </c>
      <c r="F4060">
        <f t="shared" si="127"/>
        <v>89778</v>
      </c>
      <c r="H4060" s="1405">
        <v>17.04</v>
      </c>
      <c r="I4060" s="1405">
        <v>17.670000000000002</v>
      </c>
    </row>
    <row r="4061" spans="2:9" ht="30">
      <c r="B4061" s="1477">
        <v>89779</v>
      </c>
      <c r="C4061" s="740" t="s">
        <v>6551</v>
      </c>
      <c r="D4061" s="739" t="s">
        <v>22</v>
      </c>
      <c r="E4061" s="741">
        <f t="shared" si="126"/>
        <v>33.700000000000003</v>
      </c>
      <c r="F4061">
        <f t="shared" si="127"/>
        <v>89779</v>
      </c>
      <c r="H4061" s="1406">
        <v>33.07</v>
      </c>
      <c r="I4061" s="1406">
        <v>33.700000000000003</v>
      </c>
    </row>
    <row r="4062" spans="2:9">
      <c r="B4062" s="677">
        <v>89780</v>
      </c>
      <c r="C4062" s="733" t="s">
        <v>6270</v>
      </c>
      <c r="D4062" s="677" t="s">
        <v>22</v>
      </c>
      <c r="E4062" s="738">
        <f t="shared" si="126"/>
        <v>23.88</v>
      </c>
      <c r="F4062">
        <f t="shared" si="127"/>
        <v>89780</v>
      </c>
      <c r="H4062" s="1405">
        <v>23.42</v>
      </c>
      <c r="I4062" s="1405">
        <v>23.88</v>
      </c>
    </row>
    <row r="4063" spans="2:9">
      <c r="B4063" s="1477">
        <v>89781</v>
      </c>
      <c r="C4063" s="740" t="s">
        <v>6271</v>
      </c>
      <c r="D4063" s="739" t="s">
        <v>22</v>
      </c>
      <c r="E4063" s="741">
        <f t="shared" si="126"/>
        <v>35.82</v>
      </c>
      <c r="F4063">
        <f t="shared" si="127"/>
        <v>89781</v>
      </c>
      <c r="H4063" s="1406">
        <v>35.29</v>
      </c>
      <c r="I4063" s="1406">
        <v>35.82</v>
      </c>
    </row>
    <row r="4064" spans="2:9" ht="30">
      <c r="B4064" s="677">
        <v>89782</v>
      </c>
      <c r="C4064" s="733" t="s">
        <v>6552</v>
      </c>
      <c r="D4064" s="677" t="s">
        <v>22</v>
      </c>
      <c r="E4064" s="738">
        <f t="shared" si="126"/>
        <v>14.52</v>
      </c>
      <c r="F4064">
        <f t="shared" si="127"/>
        <v>89782</v>
      </c>
      <c r="H4064" s="1405">
        <v>13.7</v>
      </c>
      <c r="I4064" s="1405">
        <v>14.52</v>
      </c>
    </row>
    <row r="4065" spans="2:9" ht="30">
      <c r="B4065" s="1477">
        <v>89783</v>
      </c>
      <c r="C4065" s="740" t="s">
        <v>6553</v>
      </c>
      <c r="D4065" s="739" t="s">
        <v>22</v>
      </c>
      <c r="E4065" s="741">
        <f t="shared" si="126"/>
        <v>14.61</v>
      </c>
      <c r="F4065">
        <f t="shared" si="127"/>
        <v>89783</v>
      </c>
      <c r="H4065" s="1406">
        <v>13.79</v>
      </c>
      <c r="I4065" s="1406">
        <v>14.61</v>
      </c>
    </row>
    <row r="4066" spans="2:9" ht="30">
      <c r="B4066" s="677">
        <v>89784</v>
      </c>
      <c r="C4066" s="733" t="s">
        <v>6554</v>
      </c>
      <c r="D4066" s="677" t="s">
        <v>22</v>
      </c>
      <c r="E4066" s="738">
        <f t="shared" si="126"/>
        <v>23.47</v>
      </c>
      <c r="F4066">
        <f t="shared" si="127"/>
        <v>89784</v>
      </c>
      <c r="H4066" s="1405">
        <v>22.58</v>
      </c>
      <c r="I4066" s="1405">
        <v>23.47</v>
      </c>
    </row>
    <row r="4067" spans="2:9" ht="30">
      <c r="B4067" s="1477">
        <v>89785</v>
      </c>
      <c r="C4067" s="740" t="s">
        <v>6555</v>
      </c>
      <c r="D4067" s="739" t="s">
        <v>22</v>
      </c>
      <c r="E4067" s="741">
        <f t="shared" si="126"/>
        <v>25.74</v>
      </c>
      <c r="F4067">
        <f t="shared" si="127"/>
        <v>89785</v>
      </c>
      <c r="H4067" s="1406">
        <v>24.85</v>
      </c>
      <c r="I4067" s="1406">
        <v>25.74</v>
      </c>
    </row>
    <row r="4068" spans="2:9" ht="30">
      <c r="B4068" s="677">
        <v>89786</v>
      </c>
      <c r="C4068" s="733" t="s">
        <v>6556</v>
      </c>
      <c r="D4068" s="677" t="s">
        <v>22</v>
      </c>
      <c r="E4068" s="738">
        <f t="shared" si="126"/>
        <v>37.630000000000003</v>
      </c>
      <c r="F4068">
        <f t="shared" si="127"/>
        <v>89786</v>
      </c>
      <c r="H4068" s="1405">
        <v>36.56</v>
      </c>
      <c r="I4068" s="1405">
        <v>37.630000000000003</v>
      </c>
    </row>
    <row r="4069" spans="2:9">
      <c r="B4069" s="1477">
        <v>89787</v>
      </c>
      <c r="C4069" s="740" t="s">
        <v>6272</v>
      </c>
      <c r="D4069" s="739" t="s">
        <v>22</v>
      </c>
      <c r="E4069" s="741">
        <f t="shared" si="126"/>
        <v>35.44</v>
      </c>
      <c r="F4069">
        <f t="shared" si="127"/>
        <v>89787</v>
      </c>
      <c r="H4069" s="1406">
        <v>34.909999999999997</v>
      </c>
      <c r="I4069" s="1406">
        <v>35.44</v>
      </c>
    </row>
    <row r="4070" spans="2:9">
      <c r="B4070" s="677">
        <v>89788</v>
      </c>
      <c r="C4070" s="733" t="s">
        <v>6273</v>
      </c>
      <c r="D4070" s="677" t="s">
        <v>22</v>
      </c>
      <c r="E4070" s="738">
        <f t="shared" si="126"/>
        <v>76.709999999999994</v>
      </c>
      <c r="F4070">
        <f t="shared" si="127"/>
        <v>89788</v>
      </c>
      <c r="H4070" s="1405">
        <v>76.05</v>
      </c>
      <c r="I4070" s="1405">
        <v>76.709999999999994</v>
      </c>
    </row>
    <row r="4071" spans="2:9">
      <c r="B4071" s="1477">
        <v>89789</v>
      </c>
      <c r="C4071" s="740" t="s">
        <v>6274</v>
      </c>
      <c r="D4071" s="739" t="s">
        <v>22</v>
      </c>
      <c r="E4071" s="741">
        <f t="shared" si="126"/>
        <v>65.33</v>
      </c>
      <c r="F4071">
        <f t="shared" si="127"/>
        <v>89789</v>
      </c>
      <c r="H4071" s="1406">
        <v>64.67</v>
      </c>
      <c r="I4071" s="1406">
        <v>65.33</v>
      </c>
    </row>
    <row r="4072" spans="2:9">
      <c r="B4072" s="677">
        <v>89790</v>
      </c>
      <c r="C4072" s="733" t="s">
        <v>6275</v>
      </c>
      <c r="D4072" s="677" t="s">
        <v>22</v>
      </c>
      <c r="E4072" s="738">
        <f t="shared" si="126"/>
        <v>152.13999999999999</v>
      </c>
      <c r="F4072">
        <f t="shared" si="127"/>
        <v>89790</v>
      </c>
      <c r="H4072" s="1405">
        <v>151.27000000000001</v>
      </c>
      <c r="I4072" s="1405">
        <v>152.13999999999999</v>
      </c>
    </row>
    <row r="4073" spans="2:9">
      <c r="B4073" s="1477">
        <v>89791</v>
      </c>
      <c r="C4073" s="740" t="s">
        <v>6276</v>
      </c>
      <c r="D4073" s="739" t="s">
        <v>22</v>
      </c>
      <c r="E4073" s="741">
        <f t="shared" si="126"/>
        <v>146.99</v>
      </c>
      <c r="F4073">
        <f t="shared" si="127"/>
        <v>89791</v>
      </c>
      <c r="H4073" s="1406">
        <v>146.12</v>
      </c>
      <c r="I4073" s="1406">
        <v>146.99</v>
      </c>
    </row>
    <row r="4074" spans="2:9">
      <c r="B4074" s="677">
        <v>89792</v>
      </c>
      <c r="C4074" s="733" t="s">
        <v>6277</v>
      </c>
      <c r="D4074" s="677" t="s">
        <v>22</v>
      </c>
      <c r="E4074" s="738">
        <f t="shared" si="126"/>
        <v>180.67</v>
      </c>
      <c r="F4074">
        <f t="shared" si="127"/>
        <v>89792</v>
      </c>
      <c r="H4074" s="1405">
        <v>179.61</v>
      </c>
      <c r="I4074" s="1405">
        <v>180.67</v>
      </c>
    </row>
    <row r="4075" spans="2:9">
      <c r="B4075" s="1477">
        <v>89793</v>
      </c>
      <c r="C4075" s="740" t="s">
        <v>6278</v>
      </c>
      <c r="D4075" s="739" t="s">
        <v>22</v>
      </c>
      <c r="E4075" s="741">
        <f t="shared" si="126"/>
        <v>212.71</v>
      </c>
      <c r="F4075">
        <f t="shared" si="127"/>
        <v>89793</v>
      </c>
      <c r="H4075" s="1406">
        <v>211.65</v>
      </c>
      <c r="I4075" s="1406">
        <v>212.71</v>
      </c>
    </row>
    <row r="4076" spans="2:9">
      <c r="B4076" s="677">
        <v>89794</v>
      </c>
      <c r="C4076" s="733" t="s">
        <v>6279</v>
      </c>
      <c r="D4076" s="677" t="s">
        <v>22</v>
      </c>
      <c r="E4076" s="738">
        <f t="shared" si="126"/>
        <v>19.489999999999998</v>
      </c>
      <c r="F4076">
        <f t="shared" si="127"/>
        <v>89794</v>
      </c>
      <c r="H4076" s="1405">
        <v>19.190000000000001</v>
      </c>
      <c r="I4076" s="1405">
        <v>19.489999999999998</v>
      </c>
    </row>
    <row r="4077" spans="2:9" ht="30">
      <c r="B4077" s="1477">
        <v>89795</v>
      </c>
      <c r="C4077" s="740" t="s">
        <v>6557</v>
      </c>
      <c r="D4077" s="739" t="s">
        <v>22</v>
      </c>
      <c r="E4077" s="741">
        <f t="shared" si="126"/>
        <v>39.64</v>
      </c>
      <c r="F4077">
        <f t="shared" si="127"/>
        <v>89795</v>
      </c>
      <c r="H4077" s="1406">
        <v>38.57</v>
      </c>
      <c r="I4077" s="1406">
        <v>39.64</v>
      </c>
    </row>
    <row r="4078" spans="2:9" ht="30">
      <c r="B4078" s="677">
        <v>89796</v>
      </c>
      <c r="C4078" s="733" t="s">
        <v>6558</v>
      </c>
      <c r="D4078" s="677" t="s">
        <v>22</v>
      </c>
      <c r="E4078" s="738">
        <f t="shared" si="126"/>
        <v>42.24</v>
      </c>
      <c r="F4078">
        <f t="shared" si="127"/>
        <v>89796</v>
      </c>
      <c r="H4078" s="1405">
        <v>40.98</v>
      </c>
      <c r="I4078" s="1405">
        <v>42.24</v>
      </c>
    </row>
    <row r="4079" spans="2:9" ht="30">
      <c r="B4079" s="1477">
        <v>89797</v>
      </c>
      <c r="C4079" s="740" t="s">
        <v>6559</v>
      </c>
      <c r="D4079" s="739" t="s">
        <v>22</v>
      </c>
      <c r="E4079" s="741">
        <f t="shared" si="126"/>
        <v>50</v>
      </c>
      <c r="F4079">
        <f t="shared" si="127"/>
        <v>89797</v>
      </c>
      <c r="H4079" s="1406">
        <v>48.74</v>
      </c>
      <c r="I4079" s="1406">
        <v>50</v>
      </c>
    </row>
    <row r="4080" spans="2:9" ht="30">
      <c r="B4080" s="677">
        <v>89801</v>
      </c>
      <c r="C4080" s="733" t="s">
        <v>6560</v>
      </c>
      <c r="D4080" s="677" t="s">
        <v>22</v>
      </c>
      <c r="E4080" s="738">
        <f t="shared" si="126"/>
        <v>9.66</v>
      </c>
      <c r="F4080">
        <f t="shared" si="127"/>
        <v>89801</v>
      </c>
      <c r="H4080" s="1405">
        <v>9.5</v>
      </c>
      <c r="I4080" s="1405">
        <v>9.66</v>
      </c>
    </row>
    <row r="4081" spans="2:9" ht="30">
      <c r="B4081" s="1477">
        <v>89802</v>
      </c>
      <c r="C4081" s="740" t="s">
        <v>6561</v>
      </c>
      <c r="D4081" s="739" t="s">
        <v>22</v>
      </c>
      <c r="E4081" s="741">
        <f t="shared" si="126"/>
        <v>10.36</v>
      </c>
      <c r="F4081">
        <f t="shared" si="127"/>
        <v>89802</v>
      </c>
      <c r="H4081" s="1406">
        <v>10.199999999999999</v>
      </c>
      <c r="I4081" s="1406">
        <v>10.36</v>
      </c>
    </row>
    <row r="4082" spans="2:9" ht="30">
      <c r="B4082" s="677">
        <v>89803</v>
      </c>
      <c r="C4082" s="733" t="s">
        <v>6562</v>
      </c>
      <c r="D4082" s="677" t="s">
        <v>22</v>
      </c>
      <c r="E4082" s="738">
        <f t="shared" si="126"/>
        <v>17.82</v>
      </c>
      <c r="F4082">
        <f t="shared" si="127"/>
        <v>89803</v>
      </c>
      <c r="H4082" s="1405">
        <v>17.66</v>
      </c>
      <c r="I4082" s="1405">
        <v>17.82</v>
      </c>
    </row>
    <row r="4083" spans="2:9" ht="30">
      <c r="B4083" s="1477">
        <v>89804</v>
      </c>
      <c r="C4083" s="740" t="s">
        <v>6563</v>
      </c>
      <c r="D4083" s="739" t="s">
        <v>22</v>
      </c>
      <c r="E4083" s="741">
        <f t="shared" si="126"/>
        <v>19.93</v>
      </c>
      <c r="F4083">
        <f t="shared" si="127"/>
        <v>89804</v>
      </c>
      <c r="H4083" s="1406">
        <v>19.77</v>
      </c>
      <c r="I4083" s="1406">
        <v>19.93</v>
      </c>
    </row>
    <row r="4084" spans="2:9" ht="30">
      <c r="B4084" s="677">
        <v>89805</v>
      </c>
      <c r="C4084" s="733" t="s">
        <v>6564</v>
      </c>
      <c r="D4084" s="677" t="s">
        <v>22</v>
      </c>
      <c r="E4084" s="738">
        <f t="shared" si="126"/>
        <v>20.12</v>
      </c>
      <c r="F4084">
        <f t="shared" si="127"/>
        <v>89805</v>
      </c>
      <c r="H4084" s="1405">
        <v>19.510000000000002</v>
      </c>
      <c r="I4084" s="1405">
        <v>20.12</v>
      </c>
    </row>
    <row r="4085" spans="2:9" ht="30">
      <c r="B4085" s="1477">
        <v>89806</v>
      </c>
      <c r="C4085" s="740" t="s">
        <v>6565</v>
      </c>
      <c r="D4085" s="739" t="s">
        <v>22</v>
      </c>
      <c r="E4085" s="741">
        <f t="shared" si="126"/>
        <v>21.06</v>
      </c>
      <c r="F4085">
        <f t="shared" si="127"/>
        <v>89806</v>
      </c>
      <c r="H4085" s="1406">
        <v>20.45</v>
      </c>
      <c r="I4085" s="1406">
        <v>21.06</v>
      </c>
    </row>
    <row r="4086" spans="2:9" ht="30">
      <c r="B4086" s="677">
        <v>89807</v>
      </c>
      <c r="C4086" s="733" t="s">
        <v>6566</v>
      </c>
      <c r="D4086" s="677" t="s">
        <v>22</v>
      </c>
      <c r="E4086" s="738">
        <f t="shared" si="126"/>
        <v>36.6</v>
      </c>
      <c r="F4086">
        <f t="shared" si="127"/>
        <v>89807</v>
      </c>
      <c r="H4086" s="1405">
        <v>35.99</v>
      </c>
      <c r="I4086" s="1405">
        <v>36.6</v>
      </c>
    </row>
    <row r="4087" spans="2:9" ht="30">
      <c r="B4087" s="1477">
        <v>89808</v>
      </c>
      <c r="C4087" s="740" t="s">
        <v>6567</v>
      </c>
      <c r="D4087" s="739" t="s">
        <v>22</v>
      </c>
      <c r="E4087" s="741">
        <f t="shared" si="126"/>
        <v>56.46</v>
      </c>
      <c r="F4087">
        <f t="shared" si="127"/>
        <v>89808</v>
      </c>
      <c r="H4087" s="1406">
        <v>55.85</v>
      </c>
      <c r="I4087" s="1406">
        <v>56.46</v>
      </c>
    </row>
    <row r="4088" spans="2:9" ht="30">
      <c r="B4088" s="677">
        <v>89809</v>
      </c>
      <c r="C4088" s="733" t="s">
        <v>6568</v>
      </c>
      <c r="D4088" s="677" t="s">
        <v>22</v>
      </c>
      <c r="E4088" s="738">
        <f t="shared" si="126"/>
        <v>28.01</v>
      </c>
      <c r="F4088">
        <f t="shared" si="127"/>
        <v>89809</v>
      </c>
      <c r="H4088" s="1405">
        <v>26.96</v>
      </c>
      <c r="I4088" s="1405">
        <v>28.01</v>
      </c>
    </row>
    <row r="4089" spans="2:9" ht="30">
      <c r="B4089" s="1477">
        <v>89810</v>
      </c>
      <c r="C4089" s="740" t="s">
        <v>6569</v>
      </c>
      <c r="D4089" s="739" t="s">
        <v>22</v>
      </c>
      <c r="E4089" s="741">
        <f t="shared" si="126"/>
        <v>28.82</v>
      </c>
      <c r="F4089">
        <f t="shared" si="127"/>
        <v>89810</v>
      </c>
      <c r="H4089" s="1406">
        <v>27.77</v>
      </c>
      <c r="I4089" s="1406">
        <v>28.82</v>
      </c>
    </row>
    <row r="4090" spans="2:9" ht="30">
      <c r="B4090" s="677">
        <v>89811</v>
      </c>
      <c r="C4090" s="733" t="s">
        <v>6570</v>
      </c>
      <c r="D4090" s="677" t="s">
        <v>22</v>
      </c>
      <c r="E4090" s="738">
        <f t="shared" si="126"/>
        <v>42.53</v>
      </c>
      <c r="F4090">
        <f t="shared" si="127"/>
        <v>89811</v>
      </c>
      <c r="H4090" s="1405">
        <v>41.48</v>
      </c>
      <c r="I4090" s="1405">
        <v>42.53</v>
      </c>
    </row>
    <row r="4091" spans="2:9" ht="30">
      <c r="B4091" s="1477">
        <v>89812</v>
      </c>
      <c r="C4091" s="740" t="s">
        <v>6571</v>
      </c>
      <c r="D4091" s="739" t="s">
        <v>22</v>
      </c>
      <c r="E4091" s="741">
        <f t="shared" si="126"/>
        <v>76.34</v>
      </c>
      <c r="F4091">
        <f t="shared" si="127"/>
        <v>89812</v>
      </c>
      <c r="H4091" s="1406">
        <v>75.290000000000006</v>
      </c>
      <c r="I4091" s="1406">
        <v>76.34</v>
      </c>
    </row>
    <row r="4092" spans="2:9" ht="30">
      <c r="B4092" s="677">
        <v>89813</v>
      </c>
      <c r="C4092" s="733" t="s">
        <v>6572</v>
      </c>
      <c r="D4092" s="677" t="s">
        <v>22</v>
      </c>
      <c r="E4092" s="738">
        <f t="shared" si="126"/>
        <v>5.78</v>
      </c>
      <c r="F4092">
        <f t="shared" si="127"/>
        <v>89813</v>
      </c>
      <c r="H4092" s="1405">
        <v>5.66</v>
      </c>
      <c r="I4092" s="1405">
        <v>5.78</v>
      </c>
    </row>
    <row r="4093" spans="2:9" ht="30">
      <c r="B4093" s="1477">
        <v>89814</v>
      </c>
      <c r="C4093" s="740" t="s">
        <v>6573</v>
      </c>
      <c r="D4093" s="739" t="s">
        <v>22</v>
      </c>
      <c r="E4093" s="741">
        <f t="shared" si="126"/>
        <v>17.05</v>
      </c>
      <c r="F4093">
        <f t="shared" si="127"/>
        <v>89814</v>
      </c>
      <c r="H4093" s="1406">
        <v>16.93</v>
      </c>
      <c r="I4093" s="1406">
        <v>17.05</v>
      </c>
    </row>
    <row r="4094" spans="2:9">
      <c r="B4094" s="677">
        <v>89815</v>
      </c>
      <c r="C4094" s="733" t="s">
        <v>6280</v>
      </c>
      <c r="D4094" s="677" t="s">
        <v>22</v>
      </c>
      <c r="E4094" s="738">
        <f t="shared" si="126"/>
        <v>28.07</v>
      </c>
      <c r="F4094">
        <f t="shared" si="127"/>
        <v>89815</v>
      </c>
      <c r="H4094" s="1405">
        <v>27.77</v>
      </c>
      <c r="I4094" s="1405">
        <v>28.07</v>
      </c>
    </row>
    <row r="4095" spans="2:9">
      <c r="B4095" s="1477">
        <v>89816</v>
      </c>
      <c r="C4095" s="740" t="s">
        <v>6281</v>
      </c>
      <c r="D4095" s="739" t="s">
        <v>22</v>
      </c>
      <c r="E4095" s="741">
        <f t="shared" si="126"/>
        <v>40.36</v>
      </c>
      <c r="F4095">
        <f t="shared" si="127"/>
        <v>89816</v>
      </c>
      <c r="H4095" s="1406">
        <v>40.06</v>
      </c>
      <c r="I4095" s="1406">
        <v>40.36</v>
      </c>
    </row>
    <row r="4096" spans="2:9" ht="30">
      <c r="B4096" s="677">
        <v>89817</v>
      </c>
      <c r="C4096" s="733" t="s">
        <v>6574</v>
      </c>
      <c r="D4096" s="677" t="s">
        <v>22</v>
      </c>
      <c r="E4096" s="738">
        <f t="shared" si="126"/>
        <v>14</v>
      </c>
      <c r="F4096">
        <f t="shared" si="127"/>
        <v>89817</v>
      </c>
      <c r="H4096" s="1405">
        <v>13.59</v>
      </c>
      <c r="I4096" s="1405">
        <v>14</v>
      </c>
    </row>
    <row r="4097" spans="2:9">
      <c r="B4097" s="1477">
        <v>89818</v>
      </c>
      <c r="C4097" s="740" t="s">
        <v>6282</v>
      </c>
      <c r="D4097" s="739" t="s">
        <v>22</v>
      </c>
      <c r="E4097" s="741">
        <f t="shared" si="126"/>
        <v>51.77</v>
      </c>
      <c r="F4097">
        <f t="shared" si="127"/>
        <v>89818</v>
      </c>
      <c r="H4097" s="1406">
        <v>51.47</v>
      </c>
      <c r="I4097" s="1406">
        <v>51.77</v>
      </c>
    </row>
    <row r="4098" spans="2:9" ht="30">
      <c r="B4098" s="677">
        <v>89819</v>
      </c>
      <c r="C4098" s="733" t="s">
        <v>6575</v>
      </c>
      <c r="D4098" s="677" t="s">
        <v>22</v>
      </c>
      <c r="E4098" s="738">
        <f t="shared" si="126"/>
        <v>23.54</v>
      </c>
      <c r="F4098">
        <f t="shared" si="127"/>
        <v>89819</v>
      </c>
      <c r="H4098" s="1405">
        <v>23.13</v>
      </c>
      <c r="I4098" s="1405">
        <v>23.54</v>
      </c>
    </row>
    <row r="4099" spans="2:9" ht="30">
      <c r="B4099" s="1477">
        <v>89821</v>
      </c>
      <c r="C4099" s="740" t="s">
        <v>6576</v>
      </c>
      <c r="D4099" s="739" t="s">
        <v>22</v>
      </c>
      <c r="E4099" s="741">
        <f t="shared" ref="E4099:E4162" si="128">IF($K$2=$H$1,H4099,I4099)</f>
        <v>18.420000000000002</v>
      </c>
      <c r="F4099">
        <f t="shared" ref="F4099:F4162" si="129">IF(LEN($B4099)=7,CONCATENATE(MID($B4099,1,6),"00",RIGHT($B4099,1)),IF(LEN($B4099)=8,CONCATENATE(MID($B4099,1,6),"0",RIGHT($B4099,2)),$B4099))</f>
        <v>89821</v>
      </c>
      <c r="H4099" s="1406">
        <v>17.73</v>
      </c>
      <c r="I4099" s="1406">
        <v>18.420000000000002</v>
      </c>
    </row>
    <row r="4100" spans="2:9">
      <c r="B4100" s="677">
        <v>89822</v>
      </c>
      <c r="C4100" s="733" t="s">
        <v>6283</v>
      </c>
      <c r="D4100" s="677" t="s">
        <v>22</v>
      </c>
      <c r="E4100" s="738">
        <f t="shared" si="128"/>
        <v>25.39</v>
      </c>
      <c r="F4100">
        <f t="shared" si="129"/>
        <v>89822</v>
      </c>
      <c r="H4100" s="1405">
        <v>25.03</v>
      </c>
      <c r="I4100" s="1405">
        <v>25.39</v>
      </c>
    </row>
    <row r="4101" spans="2:9" ht="30">
      <c r="B4101" s="1477">
        <v>89823</v>
      </c>
      <c r="C4101" s="740" t="s">
        <v>6577</v>
      </c>
      <c r="D4101" s="739" t="s">
        <v>22</v>
      </c>
      <c r="E4101" s="741">
        <f t="shared" si="128"/>
        <v>34.450000000000003</v>
      </c>
      <c r="F4101">
        <f t="shared" si="129"/>
        <v>89823</v>
      </c>
      <c r="H4101" s="1406">
        <v>33.76</v>
      </c>
      <c r="I4101" s="1406">
        <v>34.450000000000003</v>
      </c>
    </row>
    <row r="4102" spans="2:9">
      <c r="B4102" s="677">
        <v>89824</v>
      </c>
      <c r="C4102" s="733" t="s">
        <v>6284</v>
      </c>
      <c r="D4102" s="677" t="s">
        <v>22</v>
      </c>
      <c r="E4102" s="738">
        <f t="shared" si="128"/>
        <v>38.01</v>
      </c>
      <c r="F4102">
        <f t="shared" si="129"/>
        <v>89824</v>
      </c>
      <c r="H4102" s="1405">
        <v>37.65</v>
      </c>
      <c r="I4102" s="1405">
        <v>38.01</v>
      </c>
    </row>
    <row r="4103" spans="2:9" ht="30">
      <c r="B4103" s="1477">
        <v>89825</v>
      </c>
      <c r="C4103" s="740" t="s">
        <v>6578</v>
      </c>
      <c r="D4103" s="739" t="s">
        <v>22</v>
      </c>
      <c r="E4103" s="741">
        <f t="shared" si="128"/>
        <v>17.05</v>
      </c>
      <c r="F4103">
        <f t="shared" si="129"/>
        <v>89825</v>
      </c>
      <c r="H4103" s="1406">
        <v>16.829999999999998</v>
      </c>
      <c r="I4103" s="1406">
        <v>17.05</v>
      </c>
    </row>
    <row r="4104" spans="2:9" ht="30">
      <c r="B4104" s="677">
        <v>89826</v>
      </c>
      <c r="C4104" s="733" t="s">
        <v>6285</v>
      </c>
      <c r="D4104" s="677" t="s">
        <v>22</v>
      </c>
      <c r="E4104" s="738">
        <f t="shared" si="128"/>
        <v>121.62</v>
      </c>
      <c r="F4104">
        <f t="shared" si="129"/>
        <v>89826</v>
      </c>
      <c r="H4104" s="1405">
        <v>121.3</v>
      </c>
      <c r="I4104" s="1405">
        <v>121.62</v>
      </c>
    </row>
    <row r="4105" spans="2:9" ht="30">
      <c r="B4105" s="1477">
        <v>89827</v>
      </c>
      <c r="C4105" s="740" t="s">
        <v>6579</v>
      </c>
      <c r="D4105" s="739" t="s">
        <v>22</v>
      </c>
      <c r="E4105" s="741">
        <f t="shared" si="128"/>
        <v>19.32</v>
      </c>
      <c r="F4105">
        <f t="shared" si="129"/>
        <v>89827</v>
      </c>
      <c r="H4105" s="1406">
        <v>19.100000000000001</v>
      </c>
      <c r="I4105" s="1406">
        <v>19.32</v>
      </c>
    </row>
    <row r="4106" spans="2:9">
      <c r="B4106" s="677">
        <v>89828</v>
      </c>
      <c r="C4106" s="733" t="s">
        <v>6286</v>
      </c>
      <c r="D4106" s="677" t="s">
        <v>22</v>
      </c>
      <c r="E4106" s="738">
        <f t="shared" si="128"/>
        <v>58.58</v>
      </c>
      <c r="F4106">
        <f t="shared" si="129"/>
        <v>89828</v>
      </c>
      <c r="H4106" s="1405">
        <v>58.22</v>
      </c>
      <c r="I4106" s="1405">
        <v>58.58</v>
      </c>
    </row>
    <row r="4107" spans="2:9" ht="30">
      <c r="B4107" s="1477">
        <v>89829</v>
      </c>
      <c r="C4107" s="740" t="s">
        <v>6580</v>
      </c>
      <c r="D4107" s="739" t="s">
        <v>22</v>
      </c>
      <c r="E4107" s="741">
        <f t="shared" si="128"/>
        <v>35.19</v>
      </c>
      <c r="F4107">
        <f t="shared" si="129"/>
        <v>89829</v>
      </c>
      <c r="H4107" s="1406">
        <v>34.369999999999997</v>
      </c>
      <c r="I4107" s="1406">
        <v>35.19</v>
      </c>
    </row>
    <row r="4108" spans="2:9" ht="30">
      <c r="B4108" s="677">
        <v>89830</v>
      </c>
      <c r="C4108" s="733" t="s">
        <v>6581</v>
      </c>
      <c r="D4108" s="677" t="s">
        <v>22</v>
      </c>
      <c r="E4108" s="738">
        <f t="shared" si="128"/>
        <v>37.200000000000003</v>
      </c>
      <c r="F4108">
        <f t="shared" si="129"/>
        <v>89830</v>
      </c>
      <c r="H4108" s="1405">
        <v>36.380000000000003</v>
      </c>
      <c r="I4108" s="1405">
        <v>37.200000000000003</v>
      </c>
    </row>
    <row r="4109" spans="2:9">
      <c r="B4109" s="1477">
        <v>89831</v>
      </c>
      <c r="C4109" s="740" t="s">
        <v>6287</v>
      </c>
      <c r="D4109" s="739" t="s">
        <v>22</v>
      </c>
      <c r="E4109" s="741">
        <f t="shared" si="128"/>
        <v>62.46</v>
      </c>
      <c r="F4109">
        <f t="shared" si="129"/>
        <v>89831</v>
      </c>
      <c r="H4109" s="1406">
        <v>62.14</v>
      </c>
      <c r="I4109" s="1406">
        <v>62.46</v>
      </c>
    </row>
    <row r="4110" spans="2:9" ht="30">
      <c r="B4110" s="677">
        <v>89832</v>
      </c>
      <c r="C4110" s="733" t="s">
        <v>6288</v>
      </c>
      <c r="D4110" s="677" t="s">
        <v>22</v>
      </c>
      <c r="E4110" s="738">
        <f t="shared" si="128"/>
        <v>40.32</v>
      </c>
      <c r="F4110">
        <f t="shared" si="129"/>
        <v>89832</v>
      </c>
      <c r="H4110" s="1405">
        <v>39.79</v>
      </c>
      <c r="I4110" s="1405">
        <v>40.32</v>
      </c>
    </row>
    <row r="4111" spans="2:9" ht="30">
      <c r="B4111" s="1477">
        <v>89833</v>
      </c>
      <c r="C4111" s="740" t="s">
        <v>6582</v>
      </c>
      <c r="D4111" s="739" t="s">
        <v>22</v>
      </c>
      <c r="E4111" s="741">
        <f t="shared" si="128"/>
        <v>43.75</v>
      </c>
      <c r="F4111">
        <f t="shared" si="129"/>
        <v>89833</v>
      </c>
      <c r="H4111" s="1406">
        <v>42.35</v>
      </c>
      <c r="I4111" s="1406">
        <v>43.75</v>
      </c>
    </row>
    <row r="4112" spans="2:9" ht="30">
      <c r="B4112" s="677">
        <v>89834</v>
      </c>
      <c r="C4112" s="733" t="s">
        <v>6583</v>
      </c>
      <c r="D4112" s="677" t="s">
        <v>22</v>
      </c>
      <c r="E4112" s="738">
        <f t="shared" si="128"/>
        <v>51.51</v>
      </c>
      <c r="F4112">
        <f t="shared" si="129"/>
        <v>89834</v>
      </c>
      <c r="H4112" s="1405">
        <v>50.11</v>
      </c>
      <c r="I4112" s="1405">
        <v>51.51</v>
      </c>
    </row>
    <row r="4113" spans="2:9">
      <c r="B4113" s="1477">
        <v>89835</v>
      </c>
      <c r="C4113" s="740" t="s">
        <v>6289</v>
      </c>
      <c r="D4113" s="739" t="s">
        <v>22</v>
      </c>
      <c r="E4113" s="741">
        <f t="shared" si="128"/>
        <v>43.24</v>
      </c>
      <c r="F4113">
        <f t="shared" si="129"/>
        <v>89835</v>
      </c>
      <c r="H4113" s="1406">
        <v>42.8</v>
      </c>
      <c r="I4113" s="1406">
        <v>43.24</v>
      </c>
    </row>
    <row r="4114" spans="2:9" ht="30">
      <c r="B4114" s="677">
        <v>89836</v>
      </c>
      <c r="C4114" s="733" t="s">
        <v>6290</v>
      </c>
      <c r="D4114" s="677" t="s">
        <v>22</v>
      </c>
      <c r="E4114" s="738">
        <f t="shared" si="128"/>
        <v>191.06</v>
      </c>
      <c r="F4114">
        <f t="shared" si="129"/>
        <v>89836</v>
      </c>
      <c r="H4114" s="1405">
        <v>190.62</v>
      </c>
      <c r="I4114" s="1405">
        <v>191.06</v>
      </c>
    </row>
    <row r="4115" spans="2:9">
      <c r="B4115" s="1477">
        <v>89837</v>
      </c>
      <c r="C4115" s="740" t="s">
        <v>6291</v>
      </c>
      <c r="D4115" s="739" t="s">
        <v>22</v>
      </c>
      <c r="E4115" s="741">
        <f t="shared" si="128"/>
        <v>128.54</v>
      </c>
      <c r="F4115">
        <f t="shared" si="129"/>
        <v>89837</v>
      </c>
      <c r="H4115" s="1406">
        <v>128.1</v>
      </c>
      <c r="I4115" s="1406">
        <v>128.54</v>
      </c>
    </row>
    <row r="4116" spans="2:9">
      <c r="B4116" s="677">
        <v>89838</v>
      </c>
      <c r="C4116" s="733" t="s">
        <v>6292</v>
      </c>
      <c r="D4116" s="677" t="s">
        <v>22</v>
      </c>
      <c r="E4116" s="738">
        <f t="shared" si="128"/>
        <v>147.30000000000001</v>
      </c>
      <c r="F4116">
        <f t="shared" si="129"/>
        <v>89838</v>
      </c>
      <c r="H4116" s="1405">
        <v>146.71</v>
      </c>
      <c r="I4116" s="1405">
        <v>147.30000000000001</v>
      </c>
    </row>
    <row r="4117" spans="2:9">
      <c r="B4117" s="1477">
        <v>89839</v>
      </c>
      <c r="C4117" s="740" t="s">
        <v>6293</v>
      </c>
      <c r="D4117" s="739" t="s">
        <v>22</v>
      </c>
      <c r="E4117" s="741">
        <f t="shared" si="128"/>
        <v>166.82</v>
      </c>
      <c r="F4117">
        <f t="shared" si="129"/>
        <v>89839</v>
      </c>
      <c r="H4117" s="1406">
        <v>166.23</v>
      </c>
      <c r="I4117" s="1406">
        <v>166.82</v>
      </c>
    </row>
    <row r="4118" spans="2:9">
      <c r="B4118" s="677">
        <v>89840</v>
      </c>
      <c r="C4118" s="733" t="s">
        <v>6294</v>
      </c>
      <c r="D4118" s="677" t="s">
        <v>22</v>
      </c>
      <c r="E4118" s="738">
        <f t="shared" si="128"/>
        <v>174.41</v>
      </c>
      <c r="F4118">
        <f t="shared" si="129"/>
        <v>89840</v>
      </c>
      <c r="H4118" s="1405">
        <v>173.7</v>
      </c>
      <c r="I4118" s="1405">
        <v>174.41</v>
      </c>
    </row>
    <row r="4119" spans="2:9">
      <c r="B4119" s="1477">
        <v>89841</v>
      </c>
      <c r="C4119" s="740" t="s">
        <v>6295</v>
      </c>
      <c r="D4119" s="739" t="s">
        <v>22</v>
      </c>
      <c r="E4119" s="741">
        <f t="shared" si="128"/>
        <v>253.62</v>
      </c>
      <c r="F4119">
        <f t="shared" si="129"/>
        <v>89841</v>
      </c>
      <c r="H4119" s="1406">
        <v>252.91</v>
      </c>
      <c r="I4119" s="1406">
        <v>253.62</v>
      </c>
    </row>
    <row r="4120" spans="2:9">
      <c r="B4120" s="677">
        <v>89842</v>
      </c>
      <c r="C4120" s="733" t="s">
        <v>6296</v>
      </c>
      <c r="D4120" s="677" t="s">
        <v>22</v>
      </c>
      <c r="E4120" s="738">
        <f t="shared" si="128"/>
        <v>49.28</v>
      </c>
      <c r="F4120">
        <f t="shared" si="129"/>
        <v>89842</v>
      </c>
      <c r="H4120" s="1405">
        <v>48.68</v>
      </c>
      <c r="I4120" s="1405">
        <v>49.28</v>
      </c>
    </row>
    <row r="4121" spans="2:9">
      <c r="B4121" s="1477">
        <v>89844</v>
      </c>
      <c r="C4121" s="740" t="s">
        <v>6297</v>
      </c>
      <c r="D4121" s="739" t="s">
        <v>22</v>
      </c>
      <c r="E4121" s="741">
        <f t="shared" si="128"/>
        <v>61.98</v>
      </c>
      <c r="F4121">
        <f t="shared" si="129"/>
        <v>89844</v>
      </c>
      <c r="H4121" s="1406">
        <v>61.27</v>
      </c>
      <c r="I4121" s="1406">
        <v>61.98</v>
      </c>
    </row>
    <row r="4122" spans="2:9">
      <c r="B4122" s="677">
        <v>89845</v>
      </c>
      <c r="C4122" s="733" t="s">
        <v>6298</v>
      </c>
      <c r="D4122" s="677" t="s">
        <v>22</v>
      </c>
      <c r="E4122" s="738">
        <f t="shared" si="128"/>
        <v>96.72</v>
      </c>
      <c r="F4122">
        <f t="shared" si="129"/>
        <v>89845</v>
      </c>
      <c r="H4122" s="1405">
        <v>95.82</v>
      </c>
      <c r="I4122" s="1405">
        <v>96.72</v>
      </c>
    </row>
    <row r="4123" spans="2:9">
      <c r="B4123" s="1477">
        <v>89846</v>
      </c>
      <c r="C4123" s="740" t="s">
        <v>6299</v>
      </c>
      <c r="D4123" s="739" t="s">
        <v>22</v>
      </c>
      <c r="E4123" s="741">
        <f t="shared" si="128"/>
        <v>205.03</v>
      </c>
      <c r="F4123">
        <f t="shared" si="129"/>
        <v>89846</v>
      </c>
      <c r="H4123" s="1406">
        <v>203.85</v>
      </c>
      <c r="I4123" s="1406">
        <v>205.03</v>
      </c>
    </row>
    <row r="4124" spans="2:9">
      <c r="B4124" s="677">
        <v>89847</v>
      </c>
      <c r="C4124" s="733" t="s">
        <v>6300</v>
      </c>
      <c r="D4124" s="677" t="s">
        <v>22</v>
      </c>
      <c r="E4124" s="738">
        <f t="shared" si="128"/>
        <v>245.99</v>
      </c>
      <c r="F4124">
        <f t="shared" si="129"/>
        <v>89847</v>
      </c>
      <c r="H4124" s="1405">
        <v>244.58</v>
      </c>
      <c r="I4124" s="1405">
        <v>245.99</v>
      </c>
    </row>
    <row r="4125" spans="2:9" ht="30">
      <c r="B4125" s="1477">
        <v>89850</v>
      </c>
      <c r="C4125" s="740" t="s">
        <v>6584</v>
      </c>
      <c r="D4125" s="739" t="s">
        <v>22</v>
      </c>
      <c r="E4125" s="741">
        <f t="shared" si="128"/>
        <v>30.81</v>
      </c>
      <c r="F4125">
        <f t="shared" si="129"/>
        <v>89850</v>
      </c>
      <c r="H4125" s="1406">
        <v>29.46</v>
      </c>
      <c r="I4125" s="1406">
        <v>30.81</v>
      </c>
    </row>
    <row r="4126" spans="2:9" ht="30">
      <c r="B4126" s="677">
        <v>89851</v>
      </c>
      <c r="C4126" s="733" t="s">
        <v>6585</v>
      </c>
      <c r="D4126" s="677" t="s">
        <v>22</v>
      </c>
      <c r="E4126" s="738">
        <f t="shared" si="128"/>
        <v>31.62</v>
      </c>
      <c r="F4126">
        <f t="shared" si="129"/>
        <v>89851</v>
      </c>
      <c r="H4126" s="1405">
        <v>30.27</v>
      </c>
      <c r="I4126" s="1405">
        <v>31.62</v>
      </c>
    </row>
    <row r="4127" spans="2:9" ht="30">
      <c r="B4127" s="1477">
        <v>89852</v>
      </c>
      <c r="C4127" s="740" t="s">
        <v>6586</v>
      </c>
      <c r="D4127" s="739" t="s">
        <v>22</v>
      </c>
      <c r="E4127" s="741">
        <f t="shared" si="128"/>
        <v>45.33</v>
      </c>
      <c r="F4127">
        <f t="shared" si="129"/>
        <v>89852</v>
      </c>
      <c r="H4127" s="1406">
        <v>43.98</v>
      </c>
      <c r="I4127" s="1406">
        <v>45.33</v>
      </c>
    </row>
    <row r="4128" spans="2:9" ht="30">
      <c r="B4128" s="677">
        <v>89853</v>
      </c>
      <c r="C4128" s="733" t="s">
        <v>6587</v>
      </c>
      <c r="D4128" s="677" t="s">
        <v>22</v>
      </c>
      <c r="E4128" s="738">
        <f t="shared" si="128"/>
        <v>79.14</v>
      </c>
      <c r="F4128">
        <f t="shared" si="129"/>
        <v>89853</v>
      </c>
      <c r="H4128" s="1405">
        <v>77.790000000000006</v>
      </c>
      <c r="I4128" s="1405">
        <v>79.14</v>
      </c>
    </row>
    <row r="4129" spans="2:9" ht="30">
      <c r="B4129" s="1477">
        <v>89854</v>
      </c>
      <c r="C4129" s="740" t="s">
        <v>6588</v>
      </c>
      <c r="D4129" s="739" t="s">
        <v>22</v>
      </c>
      <c r="E4129" s="741">
        <f t="shared" si="128"/>
        <v>102.43</v>
      </c>
      <c r="F4129">
        <f t="shared" si="129"/>
        <v>89854</v>
      </c>
      <c r="H4129" s="1406">
        <v>100.66</v>
      </c>
      <c r="I4129" s="1406">
        <v>102.43</v>
      </c>
    </row>
    <row r="4130" spans="2:9" ht="30">
      <c r="B4130" s="677">
        <v>89855</v>
      </c>
      <c r="C4130" s="733" t="s">
        <v>6589</v>
      </c>
      <c r="D4130" s="677" t="s">
        <v>22</v>
      </c>
      <c r="E4130" s="738">
        <f t="shared" si="128"/>
        <v>107.46</v>
      </c>
      <c r="F4130">
        <f t="shared" si="129"/>
        <v>89855</v>
      </c>
      <c r="H4130" s="1405">
        <v>105.69</v>
      </c>
      <c r="I4130" s="1405">
        <v>107.46</v>
      </c>
    </row>
    <row r="4131" spans="2:9" ht="30">
      <c r="B4131" s="1477">
        <v>89856</v>
      </c>
      <c r="C4131" s="740" t="s">
        <v>6590</v>
      </c>
      <c r="D4131" s="739" t="s">
        <v>22</v>
      </c>
      <c r="E4131" s="741">
        <f t="shared" si="128"/>
        <v>20.3</v>
      </c>
      <c r="F4131">
        <f t="shared" si="129"/>
        <v>89856</v>
      </c>
      <c r="H4131" s="1406">
        <v>19.399999999999999</v>
      </c>
      <c r="I4131" s="1406">
        <v>20.3</v>
      </c>
    </row>
    <row r="4132" spans="2:9" ht="30">
      <c r="B4132" s="677">
        <v>89857</v>
      </c>
      <c r="C4132" s="733" t="s">
        <v>6591</v>
      </c>
      <c r="D4132" s="677" t="s">
        <v>22</v>
      </c>
      <c r="E4132" s="738">
        <f t="shared" si="128"/>
        <v>36.32</v>
      </c>
      <c r="F4132">
        <f t="shared" si="129"/>
        <v>89857</v>
      </c>
      <c r="H4132" s="1405">
        <v>35.42</v>
      </c>
      <c r="I4132" s="1405">
        <v>36.32</v>
      </c>
    </row>
    <row r="4133" spans="2:9" ht="30">
      <c r="B4133" s="1477">
        <v>89860</v>
      </c>
      <c r="C4133" s="740" t="s">
        <v>6592</v>
      </c>
      <c r="D4133" s="739" t="s">
        <v>22</v>
      </c>
      <c r="E4133" s="741">
        <f t="shared" si="128"/>
        <v>47.48</v>
      </c>
      <c r="F4133">
        <f t="shared" si="129"/>
        <v>89860</v>
      </c>
      <c r="H4133" s="1406">
        <v>45.68</v>
      </c>
      <c r="I4133" s="1406">
        <v>47.48</v>
      </c>
    </row>
    <row r="4134" spans="2:9" ht="30">
      <c r="B4134" s="677">
        <v>89861</v>
      </c>
      <c r="C4134" s="733" t="s">
        <v>6593</v>
      </c>
      <c r="D4134" s="677" t="s">
        <v>22</v>
      </c>
      <c r="E4134" s="738">
        <f t="shared" si="128"/>
        <v>55.24</v>
      </c>
      <c r="F4134">
        <f t="shared" si="129"/>
        <v>89861</v>
      </c>
      <c r="H4134" s="1405">
        <v>53.44</v>
      </c>
      <c r="I4134" s="1405">
        <v>55.24</v>
      </c>
    </row>
    <row r="4135" spans="2:9" ht="30">
      <c r="B4135" s="1477">
        <v>89866</v>
      </c>
      <c r="C4135" s="740" t="s">
        <v>6594</v>
      </c>
      <c r="D4135" s="739" t="s">
        <v>22</v>
      </c>
      <c r="E4135" s="741">
        <f t="shared" si="128"/>
        <v>7.06</v>
      </c>
      <c r="F4135">
        <f t="shared" si="129"/>
        <v>89866</v>
      </c>
      <c r="H4135" s="1406">
        <v>6.52</v>
      </c>
      <c r="I4135" s="1406">
        <v>7.06</v>
      </c>
    </row>
    <row r="4136" spans="2:9" ht="30">
      <c r="B4136" s="677">
        <v>89867</v>
      </c>
      <c r="C4136" s="733" t="s">
        <v>6595</v>
      </c>
      <c r="D4136" s="677" t="s">
        <v>22</v>
      </c>
      <c r="E4136" s="738">
        <f t="shared" si="128"/>
        <v>7.8</v>
      </c>
      <c r="F4136">
        <f t="shared" si="129"/>
        <v>89867</v>
      </c>
      <c r="H4136" s="1405">
        <v>7.26</v>
      </c>
      <c r="I4136" s="1405">
        <v>7.8</v>
      </c>
    </row>
    <row r="4137" spans="2:9">
      <c r="B4137" s="1477">
        <v>89868</v>
      </c>
      <c r="C4137" s="740" t="s">
        <v>6596</v>
      </c>
      <c r="D4137" s="739" t="s">
        <v>22</v>
      </c>
      <c r="E4137" s="741">
        <f t="shared" si="128"/>
        <v>5.44</v>
      </c>
      <c r="F4137">
        <f t="shared" si="129"/>
        <v>89868</v>
      </c>
      <c r="H4137" s="1406">
        <v>5.08</v>
      </c>
      <c r="I4137" s="1406">
        <v>5.44</v>
      </c>
    </row>
    <row r="4138" spans="2:9">
      <c r="B4138" s="677">
        <v>89869</v>
      </c>
      <c r="C4138" s="733" t="s">
        <v>6597</v>
      </c>
      <c r="D4138" s="677" t="s">
        <v>22</v>
      </c>
      <c r="E4138" s="738">
        <f t="shared" si="128"/>
        <v>9.85</v>
      </c>
      <c r="F4138">
        <f t="shared" si="129"/>
        <v>89869</v>
      </c>
      <c r="H4138" s="1405">
        <v>9.1300000000000008</v>
      </c>
      <c r="I4138" s="1405">
        <v>9.85</v>
      </c>
    </row>
    <row r="4139" spans="2:9" ht="30">
      <c r="B4139" s="1477">
        <v>89979</v>
      </c>
      <c r="C4139" s="740" t="s">
        <v>6301</v>
      </c>
      <c r="D4139" s="739" t="s">
        <v>22</v>
      </c>
      <c r="E4139" s="741">
        <f t="shared" si="128"/>
        <v>23.2</v>
      </c>
      <c r="F4139">
        <f t="shared" si="129"/>
        <v>89979</v>
      </c>
      <c r="H4139" s="1406">
        <v>22.66</v>
      </c>
      <c r="I4139" s="1406">
        <v>23.2</v>
      </c>
    </row>
    <row r="4140" spans="2:9" ht="30">
      <c r="B4140" s="677">
        <v>89981</v>
      </c>
      <c r="C4140" s="733" t="s">
        <v>6302</v>
      </c>
      <c r="D4140" s="677" t="s">
        <v>22</v>
      </c>
      <c r="E4140" s="738">
        <f t="shared" si="128"/>
        <v>20.41</v>
      </c>
      <c r="F4140">
        <f t="shared" si="129"/>
        <v>89981</v>
      </c>
      <c r="H4140" s="1405">
        <v>20.16</v>
      </c>
      <c r="I4140" s="1405">
        <v>20.41</v>
      </c>
    </row>
    <row r="4141" spans="2:9" ht="30">
      <c r="B4141" s="1477">
        <v>90373</v>
      </c>
      <c r="C4141" s="740" t="s">
        <v>6303</v>
      </c>
      <c r="D4141" s="739" t="s">
        <v>22</v>
      </c>
      <c r="E4141" s="741">
        <f t="shared" si="128"/>
        <v>12.31</v>
      </c>
      <c r="F4141">
        <f t="shared" si="129"/>
        <v>90373</v>
      </c>
      <c r="H4141" s="1406">
        <v>11.67</v>
      </c>
      <c r="I4141" s="1406">
        <v>12.31</v>
      </c>
    </row>
    <row r="4142" spans="2:9" ht="30">
      <c r="B4142" s="677">
        <v>90374</v>
      </c>
      <c r="C4142" s="733" t="s">
        <v>6304</v>
      </c>
      <c r="D4142" s="677" t="s">
        <v>22</v>
      </c>
      <c r="E4142" s="738">
        <f t="shared" si="128"/>
        <v>20.93</v>
      </c>
      <c r="F4142">
        <f t="shared" si="129"/>
        <v>90374</v>
      </c>
      <c r="H4142" s="1405">
        <v>20.010000000000002</v>
      </c>
      <c r="I4142" s="1405">
        <v>20.93</v>
      </c>
    </row>
    <row r="4143" spans="2:9" ht="30">
      <c r="B4143" s="1477">
        <v>92287</v>
      </c>
      <c r="C4143" s="740" t="s">
        <v>5618</v>
      </c>
      <c r="D4143" s="739" t="s">
        <v>22</v>
      </c>
      <c r="E4143" s="741">
        <f t="shared" si="128"/>
        <v>16.59</v>
      </c>
      <c r="F4143">
        <f t="shared" si="129"/>
        <v>92287</v>
      </c>
      <c r="H4143" s="1406">
        <v>16.149999999999999</v>
      </c>
      <c r="I4143" s="1406">
        <v>16.59</v>
      </c>
    </row>
    <row r="4144" spans="2:9" ht="30">
      <c r="B4144" s="677">
        <v>92288</v>
      </c>
      <c r="C4144" s="733" t="s">
        <v>5619</v>
      </c>
      <c r="D4144" s="677" t="s">
        <v>22</v>
      </c>
      <c r="E4144" s="738">
        <f t="shared" si="128"/>
        <v>26.16</v>
      </c>
      <c r="F4144">
        <f t="shared" si="129"/>
        <v>92288</v>
      </c>
      <c r="H4144" s="1405">
        <v>25.59</v>
      </c>
      <c r="I4144" s="1405">
        <v>26.16</v>
      </c>
    </row>
    <row r="4145" spans="2:9" ht="30">
      <c r="B4145" s="1477">
        <v>92289</v>
      </c>
      <c r="C4145" s="740" t="s">
        <v>5620</v>
      </c>
      <c r="D4145" s="739" t="s">
        <v>22</v>
      </c>
      <c r="E4145" s="741">
        <f t="shared" si="128"/>
        <v>46.36</v>
      </c>
      <c r="F4145">
        <f t="shared" si="129"/>
        <v>92289</v>
      </c>
      <c r="H4145" s="1406">
        <v>45.67</v>
      </c>
      <c r="I4145" s="1406">
        <v>46.36</v>
      </c>
    </row>
    <row r="4146" spans="2:9" ht="30">
      <c r="B4146" s="677">
        <v>92290</v>
      </c>
      <c r="C4146" s="733" t="s">
        <v>5621</v>
      </c>
      <c r="D4146" s="677" t="s">
        <v>22</v>
      </c>
      <c r="E4146" s="738">
        <f t="shared" si="128"/>
        <v>70.28</v>
      </c>
      <c r="F4146">
        <f t="shared" si="129"/>
        <v>92290</v>
      </c>
      <c r="H4146" s="1405">
        <v>69.430000000000007</v>
      </c>
      <c r="I4146" s="1405">
        <v>70.28</v>
      </c>
    </row>
    <row r="4147" spans="2:9" ht="30">
      <c r="B4147" s="1477">
        <v>92291</v>
      </c>
      <c r="C4147" s="740" t="s">
        <v>5622</v>
      </c>
      <c r="D4147" s="739" t="s">
        <v>22</v>
      </c>
      <c r="E4147" s="741">
        <f t="shared" si="128"/>
        <v>108.91</v>
      </c>
      <c r="F4147">
        <f t="shared" si="129"/>
        <v>92291</v>
      </c>
      <c r="H4147" s="1406">
        <v>107.81</v>
      </c>
      <c r="I4147" s="1406">
        <v>108.91</v>
      </c>
    </row>
    <row r="4148" spans="2:9" ht="30">
      <c r="B4148" s="677">
        <v>92292</v>
      </c>
      <c r="C4148" s="733" t="s">
        <v>5623</v>
      </c>
      <c r="D4148" s="677" t="s">
        <v>22</v>
      </c>
      <c r="E4148" s="738">
        <f t="shared" si="128"/>
        <v>337.61</v>
      </c>
      <c r="F4148">
        <f t="shared" si="129"/>
        <v>92292</v>
      </c>
      <c r="H4148" s="1405">
        <v>336.26</v>
      </c>
      <c r="I4148" s="1405">
        <v>337.61</v>
      </c>
    </row>
    <row r="4149" spans="2:9" ht="30">
      <c r="B4149" s="1477">
        <v>92293</v>
      </c>
      <c r="C4149" s="740" t="s">
        <v>5624</v>
      </c>
      <c r="D4149" s="739" t="s">
        <v>22</v>
      </c>
      <c r="E4149" s="741">
        <f t="shared" si="128"/>
        <v>9.42</v>
      </c>
      <c r="F4149">
        <f t="shared" si="129"/>
        <v>92293</v>
      </c>
      <c r="H4149" s="1406">
        <v>9.1300000000000008</v>
      </c>
      <c r="I4149" s="1406">
        <v>9.42</v>
      </c>
    </row>
    <row r="4150" spans="2:9" ht="30">
      <c r="B4150" s="677">
        <v>92294</v>
      </c>
      <c r="C4150" s="733" t="s">
        <v>5625</v>
      </c>
      <c r="D4150" s="677" t="s">
        <v>22</v>
      </c>
      <c r="E4150" s="738">
        <f t="shared" si="128"/>
        <v>15.95</v>
      </c>
      <c r="F4150">
        <f t="shared" si="129"/>
        <v>92294</v>
      </c>
      <c r="H4150" s="1405">
        <v>15.57</v>
      </c>
      <c r="I4150" s="1405">
        <v>15.95</v>
      </c>
    </row>
    <row r="4151" spans="2:9" ht="30">
      <c r="B4151" s="1477">
        <v>92295</v>
      </c>
      <c r="C4151" s="740" t="s">
        <v>5626</v>
      </c>
      <c r="D4151" s="739" t="s">
        <v>22</v>
      </c>
      <c r="E4151" s="741">
        <f t="shared" si="128"/>
        <v>30.08</v>
      </c>
      <c r="F4151">
        <f t="shared" si="129"/>
        <v>92295</v>
      </c>
      <c r="H4151" s="1406">
        <v>29.61</v>
      </c>
      <c r="I4151" s="1406">
        <v>30.08</v>
      </c>
    </row>
    <row r="4152" spans="2:9" ht="30">
      <c r="B4152" s="677">
        <v>92296</v>
      </c>
      <c r="C4152" s="733" t="s">
        <v>5627</v>
      </c>
      <c r="D4152" s="677" t="s">
        <v>22</v>
      </c>
      <c r="E4152" s="738">
        <f t="shared" si="128"/>
        <v>39.86</v>
      </c>
      <c r="F4152">
        <f t="shared" si="129"/>
        <v>92296</v>
      </c>
      <c r="H4152" s="1405">
        <v>39.299999999999997</v>
      </c>
      <c r="I4152" s="1405">
        <v>39.86</v>
      </c>
    </row>
    <row r="4153" spans="2:9" ht="30">
      <c r="B4153" s="1477">
        <v>92297</v>
      </c>
      <c r="C4153" s="740" t="s">
        <v>5628</v>
      </c>
      <c r="D4153" s="739" t="s">
        <v>22</v>
      </c>
      <c r="E4153" s="741">
        <f t="shared" si="128"/>
        <v>61.86</v>
      </c>
      <c r="F4153">
        <f t="shared" si="129"/>
        <v>92297</v>
      </c>
      <c r="H4153" s="1406">
        <v>61.13</v>
      </c>
      <c r="I4153" s="1406">
        <v>61.86</v>
      </c>
    </row>
    <row r="4154" spans="2:9" ht="30">
      <c r="B4154" s="677">
        <v>92298</v>
      </c>
      <c r="C4154" s="733" t="s">
        <v>5629</v>
      </c>
      <c r="D4154" s="677" t="s">
        <v>22</v>
      </c>
      <c r="E4154" s="738">
        <f t="shared" si="128"/>
        <v>173.92</v>
      </c>
      <c r="F4154">
        <f t="shared" si="129"/>
        <v>92298</v>
      </c>
      <c r="H4154" s="1405">
        <v>173.02</v>
      </c>
      <c r="I4154" s="1405">
        <v>173.92</v>
      </c>
    </row>
    <row r="4155" spans="2:9" ht="30">
      <c r="B4155" s="1477">
        <v>92299</v>
      </c>
      <c r="C4155" s="740" t="s">
        <v>5630</v>
      </c>
      <c r="D4155" s="739" t="s">
        <v>22</v>
      </c>
      <c r="E4155" s="741">
        <f t="shared" si="128"/>
        <v>21.83</v>
      </c>
      <c r="F4155">
        <f t="shared" si="129"/>
        <v>92299</v>
      </c>
      <c r="H4155" s="1406">
        <v>21.24</v>
      </c>
      <c r="I4155" s="1406">
        <v>21.83</v>
      </c>
    </row>
    <row r="4156" spans="2:9" ht="30">
      <c r="B4156" s="677">
        <v>92300</v>
      </c>
      <c r="C4156" s="733" t="s">
        <v>5631</v>
      </c>
      <c r="D4156" s="677" t="s">
        <v>22</v>
      </c>
      <c r="E4156" s="738">
        <f t="shared" si="128"/>
        <v>33.25</v>
      </c>
      <c r="F4156">
        <f t="shared" si="129"/>
        <v>92300</v>
      </c>
      <c r="H4156" s="1405">
        <v>32.5</v>
      </c>
      <c r="I4156" s="1405">
        <v>33.25</v>
      </c>
    </row>
    <row r="4157" spans="2:9" ht="30">
      <c r="B4157" s="1477">
        <v>92301</v>
      </c>
      <c r="C4157" s="740" t="s">
        <v>5632</v>
      </c>
      <c r="D4157" s="739" t="s">
        <v>22</v>
      </c>
      <c r="E4157" s="741">
        <f t="shared" si="128"/>
        <v>65.87</v>
      </c>
      <c r="F4157">
        <f t="shared" si="129"/>
        <v>92301</v>
      </c>
      <c r="H4157" s="1406">
        <v>64.930000000000007</v>
      </c>
      <c r="I4157" s="1406">
        <v>65.87</v>
      </c>
    </row>
    <row r="4158" spans="2:9" ht="30">
      <c r="B4158" s="677">
        <v>92302</v>
      </c>
      <c r="C4158" s="733" t="s">
        <v>5633</v>
      </c>
      <c r="D4158" s="677" t="s">
        <v>22</v>
      </c>
      <c r="E4158" s="738">
        <f t="shared" si="128"/>
        <v>87.04</v>
      </c>
      <c r="F4158">
        <f t="shared" si="129"/>
        <v>92302</v>
      </c>
      <c r="H4158" s="1405">
        <v>85.91</v>
      </c>
      <c r="I4158" s="1405">
        <v>87.04</v>
      </c>
    </row>
    <row r="4159" spans="2:9" ht="30">
      <c r="B4159" s="1477">
        <v>92303</v>
      </c>
      <c r="C4159" s="740" t="s">
        <v>5634</v>
      </c>
      <c r="D4159" s="739" t="s">
        <v>22</v>
      </c>
      <c r="E4159" s="741">
        <f t="shared" si="128"/>
        <v>159.83000000000001</v>
      </c>
      <c r="F4159">
        <f t="shared" si="129"/>
        <v>92303</v>
      </c>
      <c r="H4159" s="1406">
        <v>158.36000000000001</v>
      </c>
      <c r="I4159" s="1406">
        <v>159.83000000000001</v>
      </c>
    </row>
    <row r="4160" spans="2:9" ht="30">
      <c r="B4160" s="677">
        <v>92304</v>
      </c>
      <c r="C4160" s="733" t="s">
        <v>5635</v>
      </c>
      <c r="D4160" s="677" t="s">
        <v>22</v>
      </c>
      <c r="E4160" s="738">
        <f t="shared" si="128"/>
        <v>415.13</v>
      </c>
      <c r="F4160">
        <f t="shared" si="129"/>
        <v>92304</v>
      </c>
      <c r="H4160" s="1405">
        <v>413.32</v>
      </c>
      <c r="I4160" s="1405">
        <v>415.13</v>
      </c>
    </row>
    <row r="4161" spans="2:9" ht="30">
      <c r="B4161" s="1477">
        <v>92311</v>
      </c>
      <c r="C4161" s="740" t="s">
        <v>6305</v>
      </c>
      <c r="D4161" s="739" t="s">
        <v>22</v>
      </c>
      <c r="E4161" s="741">
        <f t="shared" si="128"/>
        <v>12.29</v>
      </c>
      <c r="F4161">
        <f t="shared" si="129"/>
        <v>92311</v>
      </c>
      <c r="H4161" s="1406">
        <v>11.62</v>
      </c>
      <c r="I4161" s="1406">
        <v>12.29</v>
      </c>
    </row>
    <row r="4162" spans="2:9" ht="30">
      <c r="B4162" s="677">
        <v>92312</v>
      </c>
      <c r="C4162" s="733" t="s">
        <v>5636</v>
      </c>
      <c r="D4162" s="677" t="s">
        <v>22</v>
      </c>
      <c r="E4162" s="738">
        <f t="shared" si="128"/>
        <v>20.5</v>
      </c>
      <c r="F4162">
        <f t="shared" si="129"/>
        <v>92312</v>
      </c>
      <c r="H4162" s="1405">
        <v>19.66</v>
      </c>
      <c r="I4162" s="1405">
        <v>20.5</v>
      </c>
    </row>
    <row r="4163" spans="2:9" ht="30">
      <c r="B4163" s="1477">
        <v>92313</v>
      </c>
      <c r="C4163" s="740" t="s">
        <v>5637</v>
      </c>
      <c r="D4163" s="739" t="s">
        <v>22</v>
      </c>
      <c r="E4163" s="741">
        <f t="shared" ref="E4163:E4226" si="130">IF($K$2=$H$1,H4163,I4163)</f>
        <v>29.77</v>
      </c>
      <c r="F4163">
        <f t="shared" ref="F4163:F4226" si="131">IF(LEN($B4163)=7,CONCATENATE(MID($B4163,1,6),"00",RIGHT($B4163,1)),IF(LEN($B4163)=8,CONCATENATE(MID($B4163,1,6),"0",RIGHT($B4163,2)),$B4163))</f>
        <v>92313</v>
      </c>
      <c r="H4163" s="1406">
        <v>28.83</v>
      </c>
      <c r="I4163" s="1406">
        <v>29.77</v>
      </c>
    </row>
    <row r="4164" spans="2:9" ht="30">
      <c r="B4164" s="677">
        <v>92314</v>
      </c>
      <c r="C4164" s="733" t="s">
        <v>5638</v>
      </c>
      <c r="D4164" s="677" t="s">
        <v>22</v>
      </c>
      <c r="E4164" s="738">
        <f t="shared" si="130"/>
        <v>8.23</v>
      </c>
      <c r="F4164">
        <f t="shared" si="131"/>
        <v>92314</v>
      </c>
      <c r="H4164" s="1405">
        <v>7.75</v>
      </c>
      <c r="I4164" s="1405">
        <v>8.23</v>
      </c>
    </row>
    <row r="4165" spans="2:9" ht="30">
      <c r="B4165" s="1477">
        <v>92315</v>
      </c>
      <c r="C4165" s="740" t="s">
        <v>5639</v>
      </c>
      <c r="D4165" s="739" t="s">
        <v>22</v>
      </c>
      <c r="E4165" s="741">
        <f t="shared" si="130"/>
        <v>12.04</v>
      </c>
      <c r="F4165">
        <f t="shared" si="131"/>
        <v>92315</v>
      </c>
      <c r="H4165" s="1406">
        <v>11.47</v>
      </c>
      <c r="I4165" s="1406">
        <v>12.04</v>
      </c>
    </row>
    <row r="4166" spans="2:9" ht="30">
      <c r="B4166" s="677">
        <v>92316</v>
      </c>
      <c r="C4166" s="733" t="s">
        <v>5640</v>
      </c>
      <c r="D4166" s="677" t="s">
        <v>22</v>
      </c>
      <c r="E4166" s="738">
        <f t="shared" si="130"/>
        <v>18.37</v>
      </c>
      <c r="F4166">
        <f t="shared" si="131"/>
        <v>92316</v>
      </c>
      <c r="H4166" s="1405">
        <v>17.75</v>
      </c>
      <c r="I4166" s="1405">
        <v>18.37</v>
      </c>
    </row>
    <row r="4167" spans="2:9" ht="30">
      <c r="B4167" s="1477">
        <v>92317</v>
      </c>
      <c r="C4167" s="740" t="s">
        <v>5641</v>
      </c>
      <c r="D4167" s="739" t="s">
        <v>22</v>
      </c>
      <c r="E4167" s="741">
        <f t="shared" si="130"/>
        <v>17.260000000000002</v>
      </c>
      <c r="F4167">
        <f t="shared" si="131"/>
        <v>92317</v>
      </c>
      <c r="H4167" s="1406">
        <v>16.29</v>
      </c>
      <c r="I4167" s="1406">
        <v>17.260000000000002</v>
      </c>
    </row>
    <row r="4168" spans="2:9" ht="30">
      <c r="B4168" s="677">
        <v>92318</v>
      </c>
      <c r="C4168" s="733" t="s">
        <v>5642</v>
      </c>
      <c r="D4168" s="677" t="s">
        <v>22</v>
      </c>
      <c r="E4168" s="738">
        <f t="shared" si="130"/>
        <v>27.06</v>
      </c>
      <c r="F4168">
        <f t="shared" si="131"/>
        <v>92318</v>
      </c>
      <c r="H4168" s="1405">
        <v>25.94</v>
      </c>
      <c r="I4168" s="1405">
        <v>27.06</v>
      </c>
    </row>
    <row r="4169" spans="2:9" ht="30">
      <c r="B4169" s="1477">
        <v>92319</v>
      </c>
      <c r="C4169" s="740" t="s">
        <v>5643</v>
      </c>
      <c r="D4169" s="739" t="s">
        <v>22</v>
      </c>
      <c r="E4169" s="741">
        <f t="shared" si="130"/>
        <v>38.090000000000003</v>
      </c>
      <c r="F4169">
        <f t="shared" si="131"/>
        <v>92319</v>
      </c>
      <c r="H4169" s="1406">
        <v>36.840000000000003</v>
      </c>
      <c r="I4169" s="1406">
        <v>38.090000000000003</v>
      </c>
    </row>
    <row r="4170" spans="2:9" ht="30">
      <c r="B4170" s="677">
        <v>92326</v>
      </c>
      <c r="C4170" s="733" t="s">
        <v>5644</v>
      </c>
      <c r="D4170" s="677" t="s">
        <v>22</v>
      </c>
      <c r="E4170" s="738">
        <f t="shared" si="130"/>
        <v>12.96</v>
      </c>
      <c r="F4170">
        <f t="shared" si="131"/>
        <v>92326</v>
      </c>
      <c r="H4170" s="1405">
        <v>12.2</v>
      </c>
      <c r="I4170" s="1405">
        <v>12.96</v>
      </c>
    </row>
    <row r="4171" spans="2:9" ht="30">
      <c r="B4171" s="1477">
        <v>92327</v>
      </c>
      <c r="C4171" s="740" t="s">
        <v>5645</v>
      </c>
      <c r="D4171" s="739" t="s">
        <v>22</v>
      </c>
      <c r="E4171" s="741">
        <f t="shared" si="130"/>
        <v>23.42</v>
      </c>
      <c r="F4171">
        <f t="shared" si="131"/>
        <v>92327</v>
      </c>
      <c r="H4171" s="1406">
        <v>22.28</v>
      </c>
      <c r="I4171" s="1406">
        <v>23.42</v>
      </c>
    </row>
    <row r="4172" spans="2:9" ht="30">
      <c r="B4172" s="677">
        <v>92328</v>
      </c>
      <c r="C4172" s="733" t="s">
        <v>5646</v>
      </c>
      <c r="D4172" s="677" t="s">
        <v>22</v>
      </c>
      <c r="E4172" s="738">
        <f t="shared" si="130"/>
        <v>34.979999999999997</v>
      </c>
      <c r="F4172">
        <f t="shared" si="131"/>
        <v>92328</v>
      </c>
      <c r="H4172" s="1405">
        <v>33.51</v>
      </c>
      <c r="I4172" s="1405">
        <v>34.979999999999997</v>
      </c>
    </row>
    <row r="4173" spans="2:9" ht="30">
      <c r="B4173" s="1477">
        <v>92329</v>
      </c>
      <c r="C4173" s="740" t="s">
        <v>5647</v>
      </c>
      <c r="D4173" s="739" t="s">
        <v>22</v>
      </c>
      <c r="E4173" s="741">
        <f t="shared" si="130"/>
        <v>8.4</v>
      </c>
      <c r="F4173">
        <f t="shared" si="131"/>
        <v>92329</v>
      </c>
      <c r="H4173" s="1406">
        <v>7.9</v>
      </c>
      <c r="I4173" s="1406">
        <v>8.4</v>
      </c>
    </row>
    <row r="4174" spans="2:9" ht="30">
      <c r="B4174" s="677">
        <v>92330</v>
      </c>
      <c r="C4174" s="733" t="s">
        <v>5648</v>
      </c>
      <c r="D4174" s="677" t="s">
        <v>22</v>
      </c>
      <c r="E4174" s="738">
        <f t="shared" si="130"/>
        <v>14.01</v>
      </c>
      <c r="F4174">
        <f t="shared" si="131"/>
        <v>92330</v>
      </c>
      <c r="H4174" s="1405">
        <v>13.24</v>
      </c>
      <c r="I4174" s="1405">
        <v>14.01</v>
      </c>
    </row>
    <row r="4175" spans="2:9" ht="30">
      <c r="B4175" s="1477">
        <v>92331</v>
      </c>
      <c r="C4175" s="740" t="s">
        <v>5649</v>
      </c>
      <c r="D4175" s="739" t="s">
        <v>22</v>
      </c>
      <c r="E4175" s="741">
        <f t="shared" si="130"/>
        <v>21.87</v>
      </c>
      <c r="F4175">
        <f t="shared" si="131"/>
        <v>92331</v>
      </c>
      <c r="H4175" s="1406">
        <v>20.89</v>
      </c>
      <c r="I4175" s="1406">
        <v>21.87</v>
      </c>
    </row>
    <row r="4176" spans="2:9" ht="30">
      <c r="B4176" s="677">
        <v>92332</v>
      </c>
      <c r="C4176" s="733" t="s">
        <v>5650</v>
      </c>
      <c r="D4176" s="677" t="s">
        <v>22</v>
      </c>
      <c r="E4176" s="738">
        <f t="shared" si="130"/>
        <v>17.59</v>
      </c>
      <c r="F4176">
        <f t="shared" si="131"/>
        <v>92332</v>
      </c>
      <c r="H4176" s="1405">
        <v>16.59</v>
      </c>
      <c r="I4176" s="1405">
        <v>17.59</v>
      </c>
    </row>
    <row r="4177" spans="2:9" ht="30">
      <c r="B4177" s="1477">
        <v>92333</v>
      </c>
      <c r="C4177" s="740" t="s">
        <v>5651</v>
      </c>
      <c r="D4177" s="739" t="s">
        <v>22</v>
      </c>
      <c r="E4177" s="741">
        <f t="shared" si="130"/>
        <v>30.95</v>
      </c>
      <c r="F4177">
        <f t="shared" si="131"/>
        <v>92333</v>
      </c>
      <c r="H4177" s="1406">
        <v>29.42</v>
      </c>
      <c r="I4177" s="1406">
        <v>30.95</v>
      </c>
    </row>
    <row r="4178" spans="2:9" ht="30">
      <c r="B4178" s="677">
        <v>92334</v>
      </c>
      <c r="C4178" s="733" t="s">
        <v>5652</v>
      </c>
      <c r="D4178" s="677" t="s">
        <v>22</v>
      </c>
      <c r="E4178" s="738">
        <f t="shared" si="130"/>
        <v>45.03</v>
      </c>
      <c r="F4178">
        <f t="shared" si="131"/>
        <v>92334</v>
      </c>
      <c r="H4178" s="1405">
        <v>43.07</v>
      </c>
      <c r="I4178" s="1405">
        <v>45.03</v>
      </c>
    </row>
    <row r="4179" spans="2:9" ht="30">
      <c r="B4179" s="1477">
        <v>92344</v>
      </c>
      <c r="C4179" s="740" t="s">
        <v>4051</v>
      </c>
      <c r="D4179" s="739" t="s">
        <v>22</v>
      </c>
      <c r="E4179" s="741">
        <f t="shared" si="130"/>
        <v>59.03</v>
      </c>
      <c r="F4179">
        <f t="shared" si="131"/>
        <v>92344</v>
      </c>
      <c r="H4179" s="1406">
        <v>55.88</v>
      </c>
      <c r="I4179" s="1406">
        <v>59.03</v>
      </c>
    </row>
    <row r="4180" spans="2:9" ht="30">
      <c r="B4180" s="677">
        <v>92345</v>
      </c>
      <c r="C4180" s="733" t="s">
        <v>4052</v>
      </c>
      <c r="D4180" s="677" t="s">
        <v>22</v>
      </c>
      <c r="E4180" s="738">
        <f t="shared" si="130"/>
        <v>59.01</v>
      </c>
      <c r="F4180">
        <f t="shared" si="131"/>
        <v>92345</v>
      </c>
      <c r="H4180" s="1405">
        <v>55.86</v>
      </c>
      <c r="I4180" s="1405">
        <v>59.01</v>
      </c>
    </row>
    <row r="4181" spans="2:9" ht="30">
      <c r="B4181" s="1477">
        <v>92346</v>
      </c>
      <c r="C4181" s="740" t="s">
        <v>4053</v>
      </c>
      <c r="D4181" s="739" t="s">
        <v>22</v>
      </c>
      <c r="E4181" s="741">
        <f t="shared" si="130"/>
        <v>76.95</v>
      </c>
      <c r="F4181">
        <f t="shared" si="131"/>
        <v>92346</v>
      </c>
      <c r="H4181" s="1406">
        <v>73.53</v>
      </c>
      <c r="I4181" s="1406">
        <v>76.95</v>
      </c>
    </row>
    <row r="4182" spans="2:9" ht="30">
      <c r="B4182" s="677">
        <v>92347</v>
      </c>
      <c r="C4182" s="733" t="s">
        <v>4054</v>
      </c>
      <c r="D4182" s="677" t="s">
        <v>22</v>
      </c>
      <c r="E4182" s="738">
        <f t="shared" si="130"/>
        <v>85.29</v>
      </c>
      <c r="F4182">
        <f t="shared" si="131"/>
        <v>92347</v>
      </c>
      <c r="H4182" s="1405">
        <v>81.87</v>
      </c>
      <c r="I4182" s="1405">
        <v>85.29</v>
      </c>
    </row>
    <row r="4183" spans="2:9" ht="30">
      <c r="B4183" s="1477">
        <v>92348</v>
      </c>
      <c r="C4183" s="740" t="s">
        <v>4055</v>
      </c>
      <c r="D4183" s="739" t="s">
        <v>22</v>
      </c>
      <c r="E4183" s="741">
        <f t="shared" si="130"/>
        <v>107.01</v>
      </c>
      <c r="F4183">
        <f t="shared" si="131"/>
        <v>92348</v>
      </c>
      <c r="H4183" s="1406">
        <v>103.32</v>
      </c>
      <c r="I4183" s="1406">
        <v>107.01</v>
      </c>
    </row>
    <row r="4184" spans="2:9" ht="30">
      <c r="B4184" s="677">
        <v>92349</v>
      </c>
      <c r="C4184" s="733" t="s">
        <v>4056</v>
      </c>
      <c r="D4184" s="677" t="s">
        <v>22</v>
      </c>
      <c r="E4184" s="738">
        <f t="shared" si="130"/>
        <v>114.43</v>
      </c>
      <c r="F4184">
        <f t="shared" si="131"/>
        <v>92349</v>
      </c>
      <c r="H4184" s="1405">
        <v>110.74</v>
      </c>
      <c r="I4184" s="1405">
        <v>114.43</v>
      </c>
    </row>
    <row r="4185" spans="2:9" ht="30">
      <c r="B4185" s="1477">
        <v>92350</v>
      </c>
      <c r="C4185" s="740" t="s">
        <v>4057</v>
      </c>
      <c r="D4185" s="739" t="s">
        <v>22</v>
      </c>
      <c r="E4185" s="741">
        <f t="shared" si="130"/>
        <v>87.82</v>
      </c>
      <c r="F4185">
        <f t="shared" si="131"/>
        <v>92350</v>
      </c>
      <c r="H4185" s="1406">
        <v>83.1</v>
      </c>
      <c r="I4185" s="1406">
        <v>87.82</v>
      </c>
    </row>
    <row r="4186" spans="2:9" ht="30">
      <c r="B4186" s="677">
        <v>92351</v>
      </c>
      <c r="C4186" s="733" t="s">
        <v>4058</v>
      </c>
      <c r="D4186" s="677" t="s">
        <v>22</v>
      </c>
      <c r="E4186" s="738">
        <f t="shared" si="130"/>
        <v>85.96</v>
      </c>
      <c r="F4186">
        <f t="shared" si="131"/>
        <v>92351</v>
      </c>
      <c r="H4186" s="1405">
        <v>81.239999999999995</v>
      </c>
      <c r="I4186" s="1405">
        <v>85.96</v>
      </c>
    </row>
    <row r="4187" spans="2:9" ht="30">
      <c r="B4187" s="1477">
        <v>92352</v>
      </c>
      <c r="C4187" s="740" t="s">
        <v>4059</v>
      </c>
      <c r="D4187" s="739" t="s">
        <v>22</v>
      </c>
      <c r="E4187" s="741">
        <f t="shared" si="130"/>
        <v>131.4</v>
      </c>
      <c r="F4187">
        <f t="shared" si="131"/>
        <v>92352</v>
      </c>
      <c r="H4187" s="1406">
        <v>126.27</v>
      </c>
      <c r="I4187" s="1406">
        <v>131.4</v>
      </c>
    </row>
    <row r="4188" spans="2:9" ht="30">
      <c r="B4188" s="677">
        <v>92353</v>
      </c>
      <c r="C4188" s="733" t="s">
        <v>4060</v>
      </c>
      <c r="D4188" s="677" t="s">
        <v>22</v>
      </c>
      <c r="E4188" s="738">
        <f t="shared" si="130"/>
        <v>123.24</v>
      </c>
      <c r="F4188">
        <f t="shared" si="131"/>
        <v>92353</v>
      </c>
      <c r="H4188" s="1405">
        <v>118.11</v>
      </c>
      <c r="I4188" s="1405">
        <v>123.24</v>
      </c>
    </row>
    <row r="4189" spans="2:9" ht="30">
      <c r="B4189" s="1477">
        <v>92354</v>
      </c>
      <c r="C4189" s="740" t="s">
        <v>4061</v>
      </c>
      <c r="D4189" s="739" t="s">
        <v>22</v>
      </c>
      <c r="E4189" s="741">
        <f t="shared" si="130"/>
        <v>173.28</v>
      </c>
      <c r="F4189">
        <f t="shared" si="131"/>
        <v>92354</v>
      </c>
      <c r="H4189" s="1406">
        <v>167.73</v>
      </c>
      <c r="I4189" s="1406">
        <v>173.28</v>
      </c>
    </row>
    <row r="4190" spans="2:9" ht="30">
      <c r="B4190" s="677">
        <v>92355</v>
      </c>
      <c r="C4190" s="733" t="s">
        <v>4062</v>
      </c>
      <c r="D4190" s="677" t="s">
        <v>22</v>
      </c>
      <c r="E4190" s="738">
        <f t="shared" si="130"/>
        <v>157.55000000000001</v>
      </c>
      <c r="F4190">
        <f t="shared" si="131"/>
        <v>92355</v>
      </c>
      <c r="H4190" s="1405">
        <v>152</v>
      </c>
      <c r="I4190" s="1405">
        <v>157.55000000000001</v>
      </c>
    </row>
    <row r="4191" spans="2:9" ht="30">
      <c r="B4191" s="1477">
        <v>92356</v>
      </c>
      <c r="C4191" s="740" t="s">
        <v>4063</v>
      </c>
      <c r="D4191" s="739" t="s">
        <v>22</v>
      </c>
      <c r="E4191" s="741">
        <f t="shared" si="130"/>
        <v>114.6</v>
      </c>
      <c r="F4191">
        <f t="shared" si="131"/>
        <v>92356</v>
      </c>
      <c r="H4191" s="1406">
        <v>108.31</v>
      </c>
      <c r="I4191" s="1406">
        <v>114.6</v>
      </c>
    </row>
    <row r="4192" spans="2:9" ht="30">
      <c r="B4192" s="677">
        <v>92357</v>
      </c>
      <c r="C4192" s="733" t="s">
        <v>4064</v>
      </c>
      <c r="D4192" s="677" t="s">
        <v>22</v>
      </c>
      <c r="E4192" s="738">
        <f t="shared" si="130"/>
        <v>168.45</v>
      </c>
      <c r="F4192">
        <f t="shared" si="131"/>
        <v>92357</v>
      </c>
      <c r="H4192" s="1405">
        <v>161.6</v>
      </c>
      <c r="I4192" s="1405">
        <v>168.45</v>
      </c>
    </row>
    <row r="4193" spans="2:9" ht="30">
      <c r="B4193" s="1477">
        <v>92358</v>
      </c>
      <c r="C4193" s="740" t="s">
        <v>4065</v>
      </c>
      <c r="D4193" s="739" t="s">
        <v>22</v>
      </c>
      <c r="E4193" s="741">
        <f t="shared" si="130"/>
        <v>208.57</v>
      </c>
      <c r="F4193">
        <f t="shared" si="131"/>
        <v>92358</v>
      </c>
      <c r="H4193" s="1406">
        <v>201.17</v>
      </c>
      <c r="I4193" s="1406">
        <v>208.57</v>
      </c>
    </row>
    <row r="4194" spans="2:9" ht="30">
      <c r="B4194" s="677">
        <v>92369</v>
      </c>
      <c r="C4194" s="733" t="s">
        <v>4066</v>
      </c>
      <c r="D4194" s="677" t="s">
        <v>22</v>
      </c>
      <c r="E4194" s="738">
        <f t="shared" si="130"/>
        <v>32.42</v>
      </c>
      <c r="F4194">
        <f t="shared" si="131"/>
        <v>92369</v>
      </c>
      <c r="H4194" s="1405">
        <v>30.03</v>
      </c>
      <c r="I4194" s="1405">
        <v>32.42</v>
      </c>
    </row>
    <row r="4195" spans="2:9" ht="30">
      <c r="B4195" s="1477">
        <v>92370</v>
      </c>
      <c r="C4195" s="740" t="s">
        <v>4067</v>
      </c>
      <c r="D4195" s="739" t="s">
        <v>22</v>
      </c>
      <c r="E4195" s="741">
        <f t="shared" si="130"/>
        <v>33.92</v>
      </c>
      <c r="F4195">
        <f t="shared" si="131"/>
        <v>92370</v>
      </c>
      <c r="H4195" s="1406">
        <v>31.53</v>
      </c>
      <c r="I4195" s="1406">
        <v>33.92</v>
      </c>
    </row>
    <row r="4196" spans="2:9" ht="30">
      <c r="B4196" s="677">
        <v>92371</v>
      </c>
      <c r="C4196" s="733" t="s">
        <v>4068</v>
      </c>
      <c r="D4196" s="677" t="s">
        <v>22</v>
      </c>
      <c r="E4196" s="738">
        <f t="shared" si="130"/>
        <v>38.950000000000003</v>
      </c>
      <c r="F4196">
        <f t="shared" si="131"/>
        <v>92371</v>
      </c>
      <c r="H4196" s="1405">
        <v>36.35</v>
      </c>
      <c r="I4196" s="1405">
        <v>38.950000000000003</v>
      </c>
    </row>
    <row r="4197" spans="2:9" ht="30">
      <c r="B4197" s="1477">
        <v>92372</v>
      </c>
      <c r="C4197" s="740" t="s">
        <v>4069</v>
      </c>
      <c r="D4197" s="739" t="s">
        <v>22</v>
      </c>
      <c r="E4197" s="741">
        <f t="shared" si="130"/>
        <v>40.340000000000003</v>
      </c>
      <c r="F4197">
        <f t="shared" si="131"/>
        <v>92372</v>
      </c>
      <c r="H4197" s="1406">
        <v>37.74</v>
      </c>
      <c r="I4197" s="1406">
        <v>40.340000000000003</v>
      </c>
    </row>
    <row r="4198" spans="2:9" ht="30">
      <c r="B4198" s="677">
        <v>92373</v>
      </c>
      <c r="C4198" s="733" t="s">
        <v>4070</v>
      </c>
      <c r="D4198" s="677" t="s">
        <v>22</v>
      </c>
      <c r="E4198" s="738">
        <f t="shared" si="130"/>
        <v>45.82</v>
      </c>
      <c r="F4198">
        <f t="shared" si="131"/>
        <v>92373</v>
      </c>
      <c r="H4198" s="1405">
        <v>42.97</v>
      </c>
      <c r="I4198" s="1405">
        <v>45.82</v>
      </c>
    </row>
    <row r="4199" spans="2:9" ht="30">
      <c r="B4199" s="1477">
        <v>92374</v>
      </c>
      <c r="C4199" s="740" t="s">
        <v>4071</v>
      </c>
      <c r="D4199" s="739" t="s">
        <v>22</v>
      </c>
      <c r="E4199" s="741">
        <f t="shared" si="130"/>
        <v>46.09</v>
      </c>
      <c r="F4199">
        <f t="shared" si="131"/>
        <v>92374</v>
      </c>
      <c r="H4199" s="1406">
        <v>43.24</v>
      </c>
      <c r="I4199" s="1406">
        <v>46.09</v>
      </c>
    </row>
    <row r="4200" spans="2:9" ht="30">
      <c r="B4200" s="677">
        <v>92375</v>
      </c>
      <c r="C4200" s="733" t="s">
        <v>4072</v>
      </c>
      <c r="D4200" s="677" t="s">
        <v>22</v>
      </c>
      <c r="E4200" s="738">
        <f t="shared" si="130"/>
        <v>58.99</v>
      </c>
      <c r="F4200">
        <f t="shared" si="131"/>
        <v>92375</v>
      </c>
      <c r="H4200" s="1405">
        <v>55.85</v>
      </c>
      <c r="I4200" s="1405">
        <v>58.99</v>
      </c>
    </row>
    <row r="4201" spans="2:9" ht="30">
      <c r="B4201" s="1477">
        <v>92376</v>
      </c>
      <c r="C4201" s="740" t="s">
        <v>4073</v>
      </c>
      <c r="D4201" s="739" t="s">
        <v>22</v>
      </c>
      <c r="E4201" s="741">
        <f t="shared" si="130"/>
        <v>58.97</v>
      </c>
      <c r="F4201">
        <f t="shared" si="131"/>
        <v>92376</v>
      </c>
      <c r="H4201" s="1406">
        <v>55.83</v>
      </c>
      <c r="I4201" s="1406">
        <v>58.97</v>
      </c>
    </row>
    <row r="4202" spans="2:9" ht="30">
      <c r="B4202" s="677">
        <v>92377</v>
      </c>
      <c r="C4202" s="733" t="s">
        <v>4074</v>
      </c>
      <c r="D4202" s="677" t="s">
        <v>22</v>
      </c>
      <c r="E4202" s="738">
        <f t="shared" si="130"/>
        <v>78.53</v>
      </c>
      <c r="F4202">
        <f t="shared" si="131"/>
        <v>92377</v>
      </c>
      <c r="H4202" s="1405">
        <v>74.94</v>
      </c>
      <c r="I4202" s="1405">
        <v>78.53</v>
      </c>
    </row>
    <row r="4203" spans="2:9" ht="30">
      <c r="B4203" s="1477">
        <v>92378</v>
      </c>
      <c r="C4203" s="740" t="s">
        <v>4075</v>
      </c>
      <c r="D4203" s="739" t="s">
        <v>22</v>
      </c>
      <c r="E4203" s="741">
        <f t="shared" si="130"/>
        <v>86.87</v>
      </c>
      <c r="F4203">
        <f t="shared" si="131"/>
        <v>92378</v>
      </c>
      <c r="H4203" s="1406">
        <v>83.28</v>
      </c>
      <c r="I4203" s="1406">
        <v>86.87</v>
      </c>
    </row>
    <row r="4204" spans="2:9" ht="30">
      <c r="B4204" s="677">
        <v>92379</v>
      </c>
      <c r="C4204" s="733" t="s">
        <v>4076</v>
      </c>
      <c r="D4204" s="677" t="s">
        <v>22</v>
      </c>
      <c r="E4204" s="738">
        <f t="shared" si="130"/>
        <v>110.27</v>
      </c>
      <c r="F4204">
        <f t="shared" si="131"/>
        <v>92379</v>
      </c>
      <c r="H4204" s="1405">
        <v>106.22</v>
      </c>
      <c r="I4204" s="1405">
        <v>110.27</v>
      </c>
    </row>
    <row r="4205" spans="2:9" ht="30">
      <c r="B4205" s="1477">
        <v>92380</v>
      </c>
      <c r="C4205" s="740" t="s">
        <v>4077</v>
      </c>
      <c r="D4205" s="739" t="s">
        <v>22</v>
      </c>
      <c r="E4205" s="741">
        <f t="shared" si="130"/>
        <v>117.69</v>
      </c>
      <c r="F4205">
        <f t="shared" si="131"/>
        <v>92380</v>
      </c>
      <c r="H4205" s="1406">
        <v>113.64</v>
      </c>
      <c r="I4205" s="1406">
        <v>117.69</v>
      </c>
    </row>
    <row r="4206" spans="2:9" ht="30">
      <c r="B4206" s="677">
        <v>92381</v>
      </c>
      <c r="C4206" s="733" t="s">
        <v>4078</v>
      </c>
      <c r="D4206" s="677" t="s">
        <v>22</v>
      </c>
      <c r="E4206" s="738">
        <f t="shared" si="130"/>
        <v>49.05</v>
      </c>
      <c r="F4206">
        <f t="shared" si="131"/>
        <v>92381</v>
      </c>
      <c r="H4206" s="1405">
        <v>45.47</v>
      </c>
      <c r="I4206" s="1405">
        <v>49.05</v>
      </c>
    </row>
    <row r="4207" spans="2:9" ht="30">
      <c r="B4207" s="1477">
        <v>92382</v>
      </c>
      <c r="C4207" s="740" t="s">
        <v>4079</v>
      </c>
      <c r="D4207" s="739" t="s">
        <v>22</v>
      </c>
      <c r="E4207" s="741">
        <f t="shared" si="130"/>
        <v>47.06</v>
      </c>
      <c r="F4207">
        <f t="shared" si="131"/>
        <v>92382</v>
      </c>
      <c r="H4207" s="1406">
        <v>43.48</v>
      </c>
      <c r="I4207" s="1406">
        <v>47.06</v>
      </c>
    </row>
    <row r="4208" spans="2:9" ht="30">
      <c r="B4208" s="677">
        <v>92383</v>
      </c>
      <c r="C4208" s="733" t="s">
        <v>4080</v>
      </c>
      <c r="D4208" s="677" t="s">
        <v>22</v>
      </c>
      <c r="E4208" s="738">
        <f t="shared" si="130"/>
        <v>61.27</v>
      </c>
      <c r="F4208">
        <f t="shared" si="131"/>
        <v>92383</v>
      </c>
      <c r="H4208" s="1405">
        <v>57.37</v>
      </c>
      <c r="I4208" s="1405">
        <v>61.27</v>
      </c>
    </row>
    <row r="4209" spans="2:9" ht="30">
      <c r="B4209" s="1477">
        <v>92384</v>
      </c>
      <c r="C4209" s="740" t="s">
        <v>4081</v>
      </c>
      <c r="D4209" s="739" t="s">
        <v>22</v>
      </c>
      <c r="E4209" s="741">
        <f t="shared" si="130"/>
        <v>57.31</v>
      </c>
      <c r="F4209">
        <f t="shared" si="131"/>
        <v>92384</v>
      </c>
      <c r="H4209" s="1406">
        <v>53.41</v>
      </c>
      <c r="I4209" s="1406">
        <v>57.31</v>
      </c>
    </row>
    <row r="4210" spans="2:9" ht="30">
      <c r="B4210" s="677">
        <v>92385</v>
      </c>
      <c r="C4210" s="733" t="s">
        <v>4082</v>
      </c>
      <c r="D4210" s="677" t="s">
        <v>22</v>
      </c>
      <c r="E4210" s="738">
        <f t="shared" si="130"/>
        <v>70.06</v>
      </c>
      <c r="F4210">
        <f t="shared" si="131"/>
        <v>92385</v>
      </c>
      <c r="H4210" s="1405">
        <v>65.8</v>
      </c>
      <c r="I4210" s="1405">
        <v>70.06</v>
      </c>
    </row>
    <row r="4211" spans="2:9" ht="30">
      <c r="B4211" s="1477">
        <v>92386</v>
      </c>
      <c r="C4211" s="740" t="s">
        <v>4083</v>
      </c>
      <c r="D4211" s="739" t="s">
        <v>22</v>
      </c>
      <c r="E4211" s="741">
        <f t="shared" si="130"/>
        <v>67.33</v>
      </c>
      <c r="F4211">
        <f t="shared" si="131"/>
        <v>92386</v>
      </c>
      <c r="H4211" s="1406">
        <v>63.07</v>
      </c>
      <c r="I4211" s="1406">
        <v>67.33</v>
      </c>
    </row>
    <row r="4212" spans="2:9" ht="30">
      <c r="B4212" s="677">
        <v>92387</v>
      </c>
      <c r="C4212" s="733" t="s">
        <v>4084</v>
      </c>
      <c r="D4212" s="677" t="s">
        <v>22</v>
      </c>
      <c r="E4212" s="738">
        <f t="shared" si="130"/>
        <v>87.73</v>
      </c>
      <c r="F4212">
        <f t="shared" si="131"/>
        <v>92387</v>
      </c>
      <c r="H4212" s="1405">
        <v>83.03</v>
      </c>
      <c r="I4212" s="1405">
        <v>87.73</v>
      </c>
    </row>
    <row r="4213" spans="2:9" ht="30">
      <c r="B4213" s="1477">
        <v>92388</v>
      </c>
      <c r="C4213" s="740" t="s">
        <v>4085</v>
      </c>
      <c r="D4213" s="739" t="s">
        <v>22</v>
      </c>
      <c r="E4213" s="741">
        <f t="shared" si="130"/>
        <v>85.87</v>
      </c>
      <c r="F4213">
        <f t="shared" si="131"/>
        <v>92388</v>
      </c>
      <c r="H4213" s="1406">
        <v>81.17</v>
      </c>
      <c r="I4213" s="1406">
        <v>85.87</v>
      </c>
    </row>
    <row r="4214" spans="2:9" ht="30">
      <c r="B4214" s="677">
        <v>92389</v>
      </c>
      <c r="C4214" s="733" t="s">
        <v>4086</v>
      </c>
      <c r="D4214" s="677" t="s">
        <v>22</v>
      </c>
      <c r="E4214" s="738">
        <f t="shared" si="130"/>
        <v>133.82</v>
      </c>
      <c r="F4214">
        <f t="shared" si="131"/>
        <v>92389</v>
      </c>
      <c r="H4214" s="1405">
        <v>128.44</v>
      </c>
      <c r="I4214" s="1405">
        <v>133.82</v>
      </c>
    </row>
    <row r="4215" spans="2:9" ht="30">
      <c r="B4215" s="1477">
        <v>92390</v>
      </c>
      <c r="C4215" s="740" t="s">
        <v>4087</v>
      </c>
      <c r="D4215" s="739" t="s">
        <v>22</v>
      </c>
      <c r="E4215" s="741">
        <f t="shared" si="130"/>
        <v>125.66</v>
      </c>
      <c r="F4215">
        <f t="shared" si="131"/>
        <v>92390</v>
      </c>
      <c r="H4215" s="1406">
        <v>120.28</v>
      </c>
      <c r="I4215" s="1406">
        <v>125.66</v>
      </c>
    </row>
    <row r="4216" spans="2:9" ht="30">
      <c r="B4216" s="677">
        <v>92635</v>
      </c>
      <c r="C4216" s="733" t="s">
        <v>4088</v>
      </c>
      <c r="D4216" s="677" t="s">
        <v>22</v>
      </c>
      <c r="E4216" s="738">
        <f t="shared" si="130"/>
        <v>178.16</v>
      </c>
      <c r="F4216">
        <f t="shared" si="131"/>
        <v>92635</v>
      </c>
      <c r="H4216" s="1405">
        <v>172.09</v>
      </c>
      <c r="I4216" s="1405">
        <v>178.16</v>
      </c>
    </row>
    <row r="4217" spans="2:9" ht="30">
      <c r="B4217" s="1477">
        <v>92636</v>
      </c>
      <c r="C4217" s="740" t="s">
        <v>4089</v>
      </c>
      <c r="D4217" s="739" t="s">
        <v>22</v>
      </c>
      <c r="E4217" s="741">
        <f t="shared" si="130"/>
        <v>162.43</v>
      </c>
      <c r="F4217">
        <f t="shared" si="131"/>
        <v>92636</v>
      </c>
      <c r="H4217" s="1406">
        <v>156.36000000000001</v>
      </c>
      <c r="I4217" s="1406">
        <v>162.43</v>
      </c>
    </row>
    <row r="4218" spans="2:9" ht="30">
      <c r="B4218" s="677">
        <v>92637</v>
      </c>
      <c r="C4218" s="733" t="s">
        <v>4090</v>
      </c>
      <c r="D4218" s="677" t="s">
        <v>22</v>
      </c>
      <c r="E4218" s="738">
        <f t="shared" si="130"/>
        <v>63.51</v>
      </c>
      <c r="F4218">
        <f t="shared" si="131"/>
        <v>92637</v>
      </c>
      <c r="H4218" s="1405">
        <v>58.73</v>
      </c>
      <c r="I4218" s="1405">
        <v>63.51</v>
      </c>
    </row>
    <row r="4219" spans="2:9" ht="30">
      <c r="B4219" s="1477">
        <v>92638</v>
      </c>
      <c r="C4219" s="740" t="s">
        <v>4091</v>
      </c>
      <c r="D4219" s="739" t="s">
        <v>22</v>
      </c>
      <c r="E4219" s="741">
        <f t="shared" si="130"/>
        <v>76.930000000000007</v>
      </c>
      <c r="F4219">
        <f t="shared" si="131"/>
        <v>92638</v>
      </c>
      <c r="H4219" s="1406">
        <v>71.73</v>
      </c>
      <c r="I4219" s="1406">
        <v>76.930000000000007</v>
      </c>
    </row>
    <row r="4220" spans="2:9" ht="30">
      <c r="B4220" s="677">
        <v>92639</v>
      </c>
      <c r="C4220" s="733" t="s">
        <v>4092</v>
      </c>
      <c r="D4220" s="677" t="s">
        <v>22</v>
      </c>
      <c r="E4220" s="738">
        <f t="shared" si="130"/>
        <v>88.74</v>
      </c>
      <c r="F4220">
        <f t="shared" si="131"/>
        <v>92639</v>
      </c>
      <c r="H4220" s="1405">
        <v>83.05</v>
      </c>
      <c r="I4220" s="1405">
        <v>88.74</v>
      </c>
    </row>
    <row r="4221" spans="2:9" ht="30">
      <c r="B4221" s="1477">
        <v>92640</v>
      </c>
      <c r="C4221" s="740" t="s">
        <v>4093</v>
      </c>
      <c r="D4221" s="739" t="s">
        <v>22</v>
      </c>
      <c r="E4221" s="741">
        <f t="shared" si="130"/>
        <v>114.47</v>
      </c>
      <c r="F4221">
        <f t="shared" si="131"/>
        <v>92640</v>
      </c>
      <c r="H4221" s="1406">
        <v>108.19</v>
      </c>
      <c r="I4221" s="1406">
        <v>114.47</v>
      </c>
    </row>
    <row r="4222" spans="2:9" ht="30">
      <c r="B4222" s="677">
        <v>92642</v>
      </c>
      <c r="C4222" s="733" t="s">
        <v>4094</v>
      </c>
      <c r="D4222" s="677" t="s">
        <v>22</v>
      </c>
      <c r="E4222" s="738">
        <f t="shared" si="130"/>
        <v>171.61</v>
      </c>
      <c r="F4222">
        <f t="shared" si="131"/>
        <v>92642</v>
      </c>
      <c r="H4222" s="1405">
        <v>164.43</v>
      </c>
      <c r="I4222" s="1405">
        <v>171.61</v>
      </c>
    </row>
    <row r="4223" spans="2:9" ht="30">
      <c r="B4223" s="1477">
        <v>92644</v>
      </c>
      <c r="C4223" s="740" t="s">
        <v>4095</v>
      </c>
      <c r="D4223" s="739" t="s">
        <v>22</v>
      </c>
      <c r="E4223" s="741">
        <f t="shared" si="130"/>
        <v>215.08</v>
      </c>
      <c r="F4223">
        <f t="shared" si="131"/>
        <v>92644</v>
      </c>
      <c r="H4223" s="1406">
        <v>206.99</v>
      </c>
      <c r="I4223" s="1406">
        <v>215.08</v>
      </c>
    </row>
    <row r="4224" spans="2:9" ht="30">
      <c r="B4224" s="677">
        <v>92657</v>
      </c>
      <c r="C4224" s="733" t="s">
        <v>4096</v>
      </c>
      <c r="D4224" s="677" t="s">
        <v>22</v>
      </c>
      <c r="E4224" s="738">
        <f t="shared" si="130"/>
        <v>23.64</v>
      </c>
      <c r="F4224">
        <f t="shared" si="131"/>
        <v>92657</v>
      </c>
      <c r="H4224" s="1405">
        <v>22.17</v>
      </c>
      <c r="I4224" s="1405">
        <v>23.64</v>
      </c>
    </row>
    <row r="4225" spans="2:9" ht="30">
      <c r="B4225" s="1477">
        <v>92658</v>
      </c>
      <c r="C4225" s="740" t="s">
        <v>4097</v>
      </c>
      <c r="D4225" s="739" t="s">
        <v>22</v>
      </c>
      <c r="E4225" s="741">
        <f t="shared" si="130"/>
        <v>25.14</v>
      </c>
      <c r="F4225">
        <f t="shared" si="131"/>
        <v>92658</v>
      </c>
      <c r="H4225" s="1406">
        <v>23.67</v>
      </c>
      <c r="I4225" s="1406">
        <v>25.14</v>
      </c>
    </row>
    <row r="4226" spans="2:9" ht="30">
      <c r="B4226" s="677">
        <v>92659</v>
      </c>
      <c r="C4226" s="733" t="s">
        <v>4098</v>
      </c>
      <c r="D4226" s="677" t="s">
        <v>22</v>
      </c>
      <c r="E4226" s="738">
        <f t="shared" si="130"/>
        <v>28.96</v>
      </c>
      <c r="F4226">
        <f t="shared" si="131"/>
        <v>92659</v>
      </c>
      <c r="H4226" s="1405">
        <v>27.41</v>
      </c>
      <c r="I4226" s="1405">
        <v>28.96</v>
      </c>
    </row>
    <row r="4227" spans="2:9" ht="30">
      <c r="B4227" s="1477">
        <v>92660</v>
      </c>
      <c r="C4227" s="740" t="s">
        <v>4099</v>
      </c>
      <c r="D4227" s="739" t="s">
        <v>22</v>
      </c>
      <c r="E4227" s="741">
        <f t="shared" ref="E4227:E4290" si="132">IF($K$2=$H$1,H4227,I4227)</f>
        <v>30.35</v>
      </c>
      <c r="F4227">
        <f t="shared" ref="F4227:F4290" si="133">IF(LEN($B4227)=7,CONCATENATE(MID($B4227,1,6),"00",RIGHT($B4227,1)),IF(LEN($B4227)=8,CONCATENATE(MID($B4227,1,6),"0",RIGHT($B4227,2)),$B4227))</f>
        <v>92660</v>
      </c>
      <c r="H4227" s="1406">
        <v>28.8</v>
      </c>
      <c r="I4227" s="1406">
        <v>30.35</v>
      </c>
    </row>
    <row r="4228" spans="2:9" ht="30">
      <c r="B4228" s="677">
        <v>92661</v>
      </c>
      <c r="C4228" s="733" t="s">
        <v>4100</v>
      </c>
      <c r="D4228" s="677" t="s">
        <v>22</v>
      </c>
      <c r="E4228" s="738">
        <f t="shared" si="132"/>
        <v>34.44</v>
      </c>
      <c r="F4228">
        <f t="shared" si="133"/>
        <v>92661</v>
      </c>
      <c r="H4228" s="1405">
        <v>32.79</v>
      </c>
      <c r="I4228" s="1405">
        <v>34.44</v>
      </c>
    </row>
    <row r="4229" spans="2:9" ht="30">
      <c r="B4229" s="1477">
        <v>92662</v>
      </c>
      <c r="C4229" s="740" t="s">
        <v>4101</v>
      </c>
      <c r="D4229" s="739" t="s">
        <v>22</v>
      </c>
      <c r="E4229" s="741">
        <f t="shared" si="132"/>
        <v>34.71</v>
      </c>
      <c r="F4229">
        <f t="shared" si="133"/>
        <v>92662</v>
      </c>
      <c r="H4229" s="1406">
        <v>33.06</v>
      </c>
      <c r="I4229" s="1406">
        <v>34.71</v>
      </c>
    </row>
    <row r="4230" spans="2:9" ht="30">
      <c r="B4230" s="677">
        <v>92663</v>
      </c>
      <c r="C4230" s="733" t="s">
        <v>4102</v>
      </c>
      <c r="D4230" s="677" t="s">
        <v>22</v>
      </c>
      <c r="E4230" s="738">
        <f t="shared" si="132"/>
        <v>45.88</v>
      </c>
      <c r="F4230">
        <f t="shared" si="133"/>
        <v>92663</v>
      </c>
      <c r="H4230" s="1405">
        <v>44.12</v>
      </c>
      <c r="I4230" s="1405">
        <v>45.88</v>
      </c>
    </row>
    <row r="4231" spans="2:9" ht="30">
      <c r="B4231" s="1477">
        <v>92664</v>
      </c>
      <c r="C4231" s="740" t="s">
        <v>4103</v>
      </c>
      <c r="D4231" s="739" t="s">
        <v>22</v>
      </c>
      <c r="E4231" s="741">
        <f t="shared" si="132"/>
        <v>45.86</v>
      </c>
      <c r="F4231">
        <f t="shared" si="133"/>
        <v>92664</v>
      </c>
      <c r="H4231" s="1406">
        <v>44.1</v>
      </c>
      <c r="I4231" s="1406">
        <v>45.86</v>
      </c>
    </row>
    <row r="4232" spans="2:9" ht="30">
      <c r="B4232" s="677">
        <v>92665</v>
      </c>
      <c r="C4232" s="733" t="s">
        <v>4104</v>
      </c>
      <c r="D4232" s="677" t="s">
        <v>22</v>
      </c>
      <c r="E4232" s="738">
        <f t="shared" si="132"/>
        <v>62.82</v>
      </c>
      <c r="F4232">
        <f t="shared" si="133"/>
        <v>92665</v>
      </c>
      <c r="H4232" s="1405">
        <v>60.88</v>
      </c>
      <c r="I4232" s="1405">
        <v>62.82</v>
      </c>
    </row>
    <row r="4233" spans="2:9" ht="30">
      <c r="B4233" s="1477">
        <v>92666</v>
      </c>
      <c r="C4233" s="740" t="s">
        <v>4105</v>
      </c>
      <c r="D4233" s="739" t="s">
        <v>22</v>
      </c>
      <c r="E4233" s="741">
        <f t="shared" si="132"/>
        <v>71.16</v>
      </c>
      <c r="F4233">
        <f t="shared" si="133"/>
        <v>92666</v>
      </c>
      <c r="H4233" s="1406">
        <v>69.22</v>
      </c>
      <c r="I4233" s="1406">
        <v>71.16</v>
      </c>
    </row>
    <row r="4234" spans="2:9" ht="30">
      <c r="B4234" s="677">
        <v>92667</v>
      </c>
      <c r="C4234" s="733" t="s">
        <v>4106</v>
      </c>
      <c r="D4234" s="677" t="s">
        <v>22</v>
      </c>
      <c r="E4234" s="738">
        <f t="shared" si="132"/>
        <v>92.01</v>
      </c>
      <c r="F4234">
        <f t="shared" si="133"/>
        <v>92667</v>
      </c>
      <c r="H4234" s="1405">
        <v>89.88</v>
      </c>
      <c r="I4234" s="1405">
        <v>92.01</v>
      </c>
    </row>
    <row r="4235" spans="2:9" ht="30">
      <c r="B4235" s="1477">
        <v>92668</v>
      </c>
      <c r="C4235" s="740" t="s">
        <v>4107</v>
      </c>
      <c r="D4235" s="739" t="s">
        <v>22</v>
      </c>
      <c r="E4235" s="741">
        <f t="shared" si="132"/>
        <v>99.43</v>
      </c>
      <c r="F4235">
        <f t="shared" si="133"/>
        <v>92668</v>
      </c>
      <c r="H4235" s="1406">
        <v>97.3</v>
      </c>
      <c r="I4235" s="1406">
        <v>99.43</v>
      </c>
    </row>
    <row r="4236" spans="2:9" ht="30">
      <c r="B4236" s="677">
        <v>92669</v>
      </c>
      <c r="C4236" s="733" t="s">
        <v>4108</v>
      </c>
      <c r="D4236" s="677" t="s">
        <v>22</v>
      </c>
      <c r="E4236" s="738">
        <f t="shared" si="132"/>
        <v>35.86</v>
      </c>
      <c r="F4236">
        <f t="shared" si="133"/>
        <v>92669</v>
      </c>
      <c r="H4236" s="1405">
        <v>33.659999999999997</v>
      </c>
      <c r="I4236" s="1405">
        <v>35.86</v>
      </c>
    </row>
    <row r="4237" spans="2:9" ht="30">
      <c r="B4237" s="1477">
        <v>92670</v>
      </c>
      <c r="C4237" s="740" t="s">
        <v>4109</v>
      </c>
      <c r="D4237" s="739" t="s">
        <v>22</v>
      </c>
      <c r="E4237" s="741">
        <f t="shared" si="132"/>
        <v>33.869999999999997</v>
      </c>
      <c r="F4237">
        <f t="shared" si="133"/>
        <v>92670</v>
      </c>
      <c r="H4237" s="1406">
        <v>31.67</v>
      </c>
      <c r="I4237" s="1406">
        <v>33.869999999999997</v>
      </c>
    </row>
    <row r="4238" spans="2:9" ht="30">
      <c r="B4238" s="677">
        <v>92671</v>
      </c>
      <c r="C4238" s="733" t="s">
        <v>4110</v>
      </c>
      <c r="D4238" s="677" t="s">
        <v>22</v>
      </c>
      <c r="E4238" s="738">
        <f t="shared" si="132"/>
        <v>46.3</v>
      </c>
      <c r="F4238">
        <f t="shared" si="133"/>
        <v>92671</v>
      </c>
      <c r="H4238" s="1405">
        <v>43.98</v>
      </c>
      <c r="I4238" s="1405">
        <v>46.3</v>
      </c>
    </row>
    <row r="4239" spans="2:9" ht="30">
      <c r="B4239" s="1477">
        <v>92672</v>
      </c>
      <c r="C4239" s="740" t="s">
        <v>4111</v>
      </c>
      <c r="D4239" s="739" t="s">
        <v>22</v>
      </c>
      <c r="E4239" s="741">
        <f t="shared" si="132"/>
        <v>42.34</v>
      </c>
      <c r="F4239">
        <f t="shared" si="133"/>
        <v>92672</v>
      </c>
      <c r="H4239" s="1406">
        <v>40.020000000000003</v>
      </c>
      <c r="I4239" s="1406">
        <v>42.34</v>
      </c>
    </row>
    <row r="4240" spans="2:9" ht="30">
      <c r="B4240" s="677">
        <v>92673</v>
      </c>
      <c r="C4240" s="733" t="s">
        <v>4112</v>
      </c>
      <c r="D4240" s="677" t="s">
        <v>22</v>
      </c>
      <c r="E4240" s="738">
        <f t="shared" si="132"/>
        <v>53</v>
      </c>
      <c r="F4240">
        <f t="shared" si="133"/>
        <v>92673</v>
      </c>
      <c r="H4240" s="1405">
        <v>50.53</v>
      </c>
      <c r="I4240" s="1405">
        <v>53</v>
      </c>
    </row>
    <row r="4241" spans="2:9" ht="30">
      <c r="B4241" s="1477">
        <v>92674</v>
      </c>
      <c r="C4241" s="740" t="s">
        <v>4113</v>
      </c>
      <c r="D4241" s="739" t="s">
        <v>22</v>
      </c>
      <c r="E4241" s="741">
        <f t="shared" si="132"/>
        <v>50.27</v>
      </c>
      <c r="F4241">
        <f t="shared" si="133"/>
        <v>92674</v>
      </c>
      <c r="H4241" s="1406">
        <v>47.8</v>
      </c>
      <c r="I4241" s="1406">
        <v>50.27</v>
      </c>
    </row>
    <row r="4242" spans="2:9" ht="30">
      <c r="B4242" s="677">
        <v>92675</v>
      </c>
      <c r="C4242" s="733" t="s">
        <v>4114</v>
      </c>
      <c r="D4242" s="677" t="s">
        <v>22</v>
      </c>
      <c r="E4242" s="738">
        <f t="shared" si="132"/>
        <v>68.12</v>
      </c>
      <c r="F4242">
        <f t="shared" si="133"/>
        <v>92675</v>
      </c>
      <c r="H4242" s="1405">
        <v>65.48</v>
      </c>
      <c r="I4242" s="1405">
        <v>68.12</v>
      </c>
    </row>
    <row r="4243" spans="2:9" ht="30">
      <c r="B4243" s="1477">
        <v>92676</v>
      </c>
      <c r="C4243" s="740" t="s">
        <v>4115</v>
      </c>
      <c r="D4243" s="739" t="s">
        <v>22</v>
      </c>
      <c r="E4243" s="741">
        <f t="shared" si="132"/>
        <v>66.260000000000005</v>
      </c>
      <c r="F4243">
        <f t="shared" si="133"/>
        <v>92676</v>
      </c>
      <c r="H4243" s="1406">
        <v>63.62</v>
      </c>
      <c r="I4243" s="1406">
        <v>66.260000000000005</v>
      </c>
    </row>
    <row r="4244" spans="2:9" ht="30">
      <c r="B4244" s="677">
        <v>92677</v>
      </c>
      <c r="C4244" s="733" t="s">
        <v>4116</v>
      </c>
      <c r="D4244" s="677" t="s">
        <v>22</v>
      </c>
      <c r="E4244" s="738">
        <f t="shared" si="132"/>
        <v>110.31</v>
      </c>
      <c r="F4244">
        <f t="shared" si="133"/>
        <v>92677</v>
      </c>
      <c r="H4244" s="1405">
        <v>107.39</v>
      </c>
      <c r="I4244" s="1405">
        <v>110.31</v>
      </c>
    </row>
    <row r="4245" spans="2:9" ht="30">
      <c r="B4245" s="1477">
        <v>92678</v>
      </c>
      <c r="C4245" s="740" t="s">
        <v>4117</v>
      </c>
      <c r="D4245" s="739" t="s">
        <v>22</v>
      </c>
      <c r="E4245" s="741">
        <f t="shared" si="132"/>
        <v>102.15</v>
      </c>
      <c r="F4245">
        <f t="shared" si="133"/>
        <v>92678</v>
      </c>
      <c r="H4245" s="1406">
        <v>99.23</v>
      </c>
      <c r="I4245" s="1406">
        <v>102.15</v>
      </c>
    </row>
    <row r="4246" spans="2:9" ht="30">
      <c r="B4246" s="677">
        <v>92679</v>
      </c>
      <c r="C4246" s="733" t="s">
        <v>4118</v>
      </c>
      <c r="D4246" s="677" t="s">
        <v>22</v>
      </c>
      <c r="E4246" s="738">
        <f t="shared" si="132"/>
        <v>150.79</v>
      </c>
      <c r="F4246">
        <f t="shared" si="133"/>
        <v>92679</v>
      </c>
      <c r="H4246" s="1405">
        <v>147.59</v>
      </c>
      <c r="I4246" s="1405">
        <v>150.79</v>
      </c>
    </row>
    <row r="4247" spans="2:9" ht="30">
      <c r="B4247" s="1477">
        <v>92680</v>
      </c>
      <c r="C4247" s="740" t="s">
        <v>4119</v>
      </c>
      <c r="D4247" s="739" t="s">
        <v>22</v>
      </c>
      <c r="E4247" s="741">
        <f t="shared" si="132"/>
        <v>135.06</v>
      </c>
      <c r="F4247">
        <f t="shared" si="133"/>
        <v>92680</v>
      </c>
      <c r="H4247" s="1406">
        <v>131.86000000000001</v>
      </c>
      <c r="I4247" s="1406">
        <v>135.06</v>
      </c>
    </row>
    <row r="4248" spans="2:9" ht="30">
      <c r="B4248" s="677">
        <v>92681</v>
      </c>
      <c r="C4248" s="733" t="s">
        <v>4120</v>
      </c>
      <c r="D4248" s="677" t="s">
        <v>22</v>
      </c>
      <c r="E4248" s="738">
        <f t="shared" si="132"/>
        <v>45.9</v>
      </c>
      <c r="F4248">
        <f t="shared" si="133"/>
        <v>92681</v>
      </c>
      <c r="H4248" s="1405">
        <v>42.97</v>
      </c>
      <c r="I4248" s="1405">
        <v>45.9</v>
      </c>
    </row>
    <row r="4249" spans="2:9" ht="30">
      <c r="B4249" s="1477">
        <v>92682</v>
      </c>
      <c r="C4249" s="740" t="s">
        <v>4121</v>
      </c>
      <c r="D4249" s="739" t="s">
        <v>22</v>
      </c>
      <c r="E4249" s="741">
        <f t="shared" si="132"/>
        <v>56.9</v>
      </c>
      <c r="F4249">
        <f t="shared" si="133"/>
        <v>92682</v>
      </c>
      <c r="H4249" s="1406">
        <v>53.8</v>
      </c>
      <c r="I4249" s="1406">
        <v>56.9</v>
      </c>
    </row>
    <row r="4250" spans="2:9" ht="30">
      <c r="B4250" s="677">
        <v>92683</v>
      </c>
      <c r="C4250" s="733" t="s">
        <v>4122</v>
      </c>
      <c r="D4250" s="677" t="s">
        <v>22</v>
      </c>
      <c r="E4250" s="738">
        <f t="shared" si="132"/>
        <v>66.010000000000005</v>
      </c>
      <c r="F4250">
        <f t="shared" si="133"/>
        <v>92683</v>
      </c>
      <c r="H4250" s="1405">
        <v>62.72</v>
      </c>
      <c r="I4250" s="1405">
        <v>66.010000000000005</v>
      </c>
    </row>
    <row r="4251" spans="2:9" ht="30">
      <c r="B4251" s="1477">
        <v>92684</v>
      </c>
      <c r="C4251" s="740" t="s">
        <v>4123</v>
      </c>
      <c r="D4251" s="739" t="s">
        <v>22</v>
      </c>
      <c r="E4251" s="741">
        <f t="shared" si="132"/>
        <v>88.3</v>
      </c>
      <c r="F4251">
        <f t="shared" si="133"/>
        <v>92684</v>
      </c>
      <c r="H4251" s="1406">
        <v>84.77</v>
      </c>
      <c r="I4251" s="1406">
        <v>88.3</v>
      </c>
    </row>
    <row r="4252" spans="2:9" ht="30">
      <c r="B4252" s="677">
        <v>92685</v>
      </c>
      <c r="C4252" s="733" t="s">
        <v>4124</v>
      </c>
      <c r="D4252" s="677" t="s">
        <v>22</v>
      </c>
      <c r="E4252" s="738">
        <f t="shared" si="132"/>
        <v>140.29</v>
      </c>
      <c r="F4252">
        <f t="shared" si="133"/>
        <v>92685</v>
      </c>
      <c r="H4252" s="1405">
        <v>136.4</v>
      </c>
      <c r="I4252" s="1405">
        <v>140.29</v>
      </c>
    </row>
    <row r="4253" spans="2:9" ht="30">
      <c r="B4253" s="1477">
        <v>92686</v>
      </c>
      <c r="C4253" s="740" t="s">
        <v>4125</v>
      </c>
      <c r="D4253" s="739" t="s">
        <v>22</v>
      </c>
      <c r="E4253" s="741">
        <f t="shared" si="132"/>
        <v>178.55</v>
      </c>
      <c r="F4253">
        <f t="shared" si="133"/>
        <v>92686</v>
      </c>
      <c r="H4253" s="1406">
        <v>174.3</v>
      </c>
      <c r="I4253" s="1406">
        <v>178.55</v>
      </c>
    </row>
    <row r="4254" spans="2:9" ht="30">
      <c r="B4254" s="677">
        <v>92692</v>
      </c>
      <c r="C4254" s="733" t="s">
        <v>4126</v>
      </c>
      <c r="D4254" s="677" t="s">
        <v>22</v>
      </c>
      <c r="E4254" s="738">
        <f t="shared" si="132"/>
        <v>12.79</v>
      </c>
      <c r="F4254">
        <f t="shared" si="133"/>
        <v>92692</v>
      </c>
      <c r="H4254" s="1405">
        <v>11.95</v>
      </c>
      <c r="I4254" s="1405">
        <v>12.79</v>
      </c>
    </row>
    <row r="4255" spans="2:9" ht="30">
      <c r="B4255" s="1477">
        <v>92693</v>
      </c>
      <c r="C4255" s="740" t="s">
        <v>4127</v>
      </c>
      <c r="D4255" s="739" t="s">
        <v>22</v>
      </c>
      <c r="E4255" s="741">
        <f t="shared" si="132"/>
        <v>13.12</v>
      </c>
      <c r="F4255">
        <f t="shared" si="133"/>
        <v>92693</v>
      </c>
      <c r="H4255" s="1406">
        <v>12.28</v>
      </c>
      <c r="I4255" s="1406">
        <v>13.12</v>
      </c>
    </row>
    <row r="4256" spans="2:9" ht="30">
      <c r="B4256" s="677">
        <v>92694</v>
      </c>
      <c r="C4256" s="733" t="s">
        <v>4128</v>
      </c>
      <c r="D4256" s="677" t="s">
        <v>22</v>
      </c>
      <c r="E4256" s="738">
        <f t="shared" si="132"/>
        <v>20.39</v>
      </c>
      <c r="F4256">
        <f t="shared" si="133"/>
        <v>92694</v>
      </c>
      <c r="H4256" s="1405">
        <v>18.95</v>
      </c>
      <c r="I4256" s="1405">
        <v>20.39</v>
      </c>
    </row>
    <row r="4257" spans="2:9" ht="30">
      <c r="B4257" s="1477">
        <v>92695</v>
      </c>
      <c r="C4257" s="740" t="s">
        <v>4129</v>
      </c>
      <c r="D4257" s="739" t="s">
        <v>22</v>
      </c>
      <c r="E4257" s="741">
        <f t="shared" si="132"/>
        <v>20.73</v>
      </c>
      <c r="F4257">
        <f t="shared" si="133"/>
        <v>92695</v>
      </c>
      <c r="H4257" s="1406">
        <v>19.29</v>
      </c>
      <c r="I4257" s="1406">
        <v>20.73</v>
      </c>
    </row>
    <row r="4258" spans="2:9" ht="30">
      <c r="B4258" s="677">
        <v>92696</v>
      </c>
      <c r="C4258" s="733" t="s">
        <v>4130</v>
      </c>
      <c r="D4258" s="677" t="s">
        <v>22</v>
      </c>
      <c r="E4258" s="738">
        <f t="shared" si="132"/>
        <v>32.049999999999997</v>
      </c>
      <c r="F4258">
        <f t="shared" si="133"/>
        <v>92696</v>
      </c>
      <c r="H4258" s="1405">
        <v>29.69</v>
      </c>
      <c r="I4258" s="1405">
        <v>32.049999999999997</v>
      </c>
    </row>
    <row r="4259" spans="2:9" ht="30">
      <c r="B4259" s="1477">
        <v>92697</v>
      </c>
      <c r="C4259" s="740" t="s">
        <v>4131</v>
      </c>
      <c r="D4259" s="739" t="s">
        <v>22</v>
      </c>
      <c r="E4259" s="741">
        <f t="shared" si="132"/>
        <v>33.549999999999997</v>
      </c>
      <c r="F4259">
        <f t="shared" si="133"/>
        <v>92697</v>
      </c>
      <c r="H4259" s="1406">
        <v>31.19</v>
      </c>
      <c r="I4259" s="1406">
        <v>33.549999999999997</v>
      </c>
    </row>
    <row r="4260" spans="2:9" ht="30">
      <c r="B4260" s="677">
        <v>92698</v>
      </c>
      <c r="C4260" s="733" t="s">
        <v>4132</v>
      </c>
      <c r="D4260" s="677" t="s">
        <v>22</v>
      </c>
      <c r="E4260" s="738">
        <f t="shared" si="132"/>
        <v>18.91</v>
      </c>
      <c r="F4260">
        <f t="shared" si="133"/>
        <v>92698</v>
      </c>
      <c r="H4260" s="1405">
        <v>17.649999999999999</v>
      </c>
      <c r="I4260" s="1405">
        <v>18.91</v>
      </c>
    </row>
    <row r="4261" spans="2:9" ht="30">
      <c r="B4261" s="1477">
        <v>92699</v>
      </c>
      <c r="C4261" s="740" t="s">
        <v>4133</v>
      </c>
      <c r="D4261" s="739" t="s">
        <v>22</v>
      </c>
      <c r="E4261" s="741">
        <f t="shared" si="132"/>
        <v>17.82</v>
      </c>
      <c r="F4261">
        <f t="shared" si="133"/>
        <v>92699</v>
      </c>
      <c r="H4261" s="1406">
        <v>16.559999999999999</v>
      </c>
      <c r="I4261" s="1406">
        <v>17.82</v>
      </c>
    </row>
    <row r="4262" spans="2:9" ht="30">
      <c r="B4262" s="677">
        <v>92700</v>
      </c>
      <c r="C4262" s="733" t="s">
        <v>4134</v>
      </c>
      <c r="D4262" s="677" t="s">
        <v>22</v>
      </c>
      <c r="E4262" s="738">
        <f t="shared" si="132"/>
        <v>30.94</v>
      </c>
      <c r="F4262">
        <f t="shared" si="133"/>
        <v>92700</v>
      </c>
      <c r="H4262" s="1405">
        <v>28.78</v>
      </c>
      <c r="I4262" s="1405">
        <v>30.94</v>
      </c>
    </row>
    <row r="4263" spans="2:9" ht="30">
      <c r="B4263" s="1477">
        <v>92701</v>
      </c>
      <c r="C4263" s="740" t="s">
        <v>4135</v>
      </c>
      <c r="D4263" s="739" t="s">
        <v>22</v>
      </c>
      <c r="E4263" s="741">
        <f t="shared" si="132"/>
        <v>29.33</v>
      </c>
      <c r="F4263">
        <f t="shared" si="133"/>
        <v>92701</v>
      </c>
      <c r="H4263" s="1406">
        <v>27.17</v>
      </c>
      <c r="I4263" s="1406">
        <v>29.33</v>
      </c>
    </row>
    <row r="4264" spans="2:9" ht="30">
      <c r="B4264" s="677">
        <v>92702</v>
      </c>
      <c r="C4264" s="733" t="s">
        <v>4136</v>
      </c>
      <c r="D4264" s="677" t="s">
        <v>22</v>
      </c>
      <c r="E4264" s="738">
        <f t="shared" si="132"/>
        <v>48.54</v>
      </c>
      <c r="F4264">
        <f t="shared" si="133"/>
        <v>92702</v>
      </c>
      <c r="H4264" s="1405">
        <v>45.01</v>
      </c>
      <c r="I4264" s="1405">
        <v>48.54</v>
      </c>
    </row>
    <row r="4265" spans="2:9" ht="30">
      <c r="B4265" s="1477">
        <v>92703</v>
      </c>
      <c r="C4265" s="740" t="s">
        <v>4137</v>
      </c>
      <c r="D4265" s="739" t="s">
        <v>22</v>
      </c>
      <c r="E4265" s="741">
        <f t="shared" si="132"/>
        <v>46.55</v>
      </c>
      <c r="F4265">
        <f t="shared" si="133"/>
        <v>92703</v>
      </c>
      <c r="H4265" s="1406">
        <v>43.02</v>
      </c>
      <c r="I4265" s="1406">
        <v>46.55</v>
      </c>
    </row>
    <row r="4266" spans="2:9" ht="30">
      <c r="B4266" s="677">
        <v>92704</v>
      </c>
      <c r="C4266" s="733" t="s">
        <v>4138</v>
      </c>
      <c r="D4266" s="677" t="s">
        <v>22</v>
      </c>
      <c r="E4266" s="738">
        <f t="shared" si="132"/>
        <v>24</v>
      </c>
      <c r="F4266">
        <f t="shared" si="133"/>
        <v>92704</v>
      </c>
      <c r="H4266" s="1405">
        <v>22.31</v>
      </c>
      <c r="I4266" s="1405">
        <v>24</v>
      </c>
    </row>
    <row r="4267" spans="2:9" ht="30">
      <c r="B4267" s="1477">
        <v>92705</v>
      </c>
      <c r="C4267" s="740" t="s">
        <v>4139</v>
      </c>
      <c r="D4267" s="739" t="s">
        <v>22</v>
      </c>
      <c r="E4267" s="741">
        <f t="shared" si="132"/>
        <v>38.81</v>
      </c>
      <c r="F4267">
        <f t="shared" si="133"/>
        <v>92705</v>
      </c>
      <c r="H4267" s="1406">
        <v>35.92</v>
      </c>
      <c r="I4267" s="1406">
        <v>38.81</v>
      </c>
    </row>
    <row r="4268" spans="2:9" ht="30">
      <c r="B4268" s="677">
        <v>92706</v>
      </c>
      <c r="C4268" s="733" t="s">
        <v>4140</v>
      </c>
      <c r="D4268" s="677" t="s">
        <v>22</v>
      </c>
      <c r="E4268" s="738">
        <f t="shared" si="132"/>
        <v>62.81</v>
      </c>
      <c r="F4268">
        <f t="shared" si="133"/>
        <v>92706</v>
      </c>
      <c r="H4268" s="1405">
        <v>58.11</v>
      </c>
      <c r="I4268" s="1405">
        <v>62.81</v>
      </c>
    </row>
    <row r="4269" spans="2:9" ht="30">
      <c r="B4269" s="1477">
        <v>92889</v>
      </c>
      <c r="C4269" s="740" t="s">
        <v>4141</v>
      </c>
      <c r="D4269" s="739" t="s">
        <v>22</v>
      </c>
      <c r="E4269" s="741">
        <f t="shared" si="132"/>
        <v>113.16</v>
      </c>
      <c r="F4269">
        <f t="shared" si="133"/>
        <v>92889</v>
      </c>
      <c r="H4269" s="1406">
        <v>110.01</v>
      </c>
      <c r="I4269" s="1406">
        <v>113.16</v>
      </c>
    </row>
    <row r="4270" spans="2:9" ht="30">
      <c r="B4270" s="677">
        <v>92890</v>
      </c>
      <c r="C4270" s="733" t="s">
        <v>4142</v>
      </c>
      <c r="D4270" s="677" t="s">
        <v>22</v>
      </c>
      <c r="E4270" s="738">
        <f t="shared" si="132"/>
        <v>170.04</v>
      </c>
      <c r="F4270">
        <f t="shared" si="133"/>
        <v>92890</v>
      </c>
      <c r="H4270" s="1405">
        <v>166.62</v>
      </c>
      <c r="I4270" s="1405">
        <v>170.04</v>
      </c>
    </row>
    <row r="4271" spans="2:9" ht="30">
      <c r="B4271" s="1477">
        <v>92891</v>
      </c>
      <c r="C4271" s="740" t="s">
        <v>4143</v>
      </c>
      <c r="D4271" s="739" t="s">
        <v>22</v>
      </c>
      <c r="E4271" s="741">
        <f t="shared" si="132"/>
        <v>247.86</v>
      </c>
      <c r="F4271">
        <f t="shared" si="133"/>
        <v>92891</v>
      </c>
      <c r="H4271" s="1406">
        <v>244.17</v>
      </c>
      <c r="I4271" s="1406">
        <v>247.86</v>
      </c>
    </row>
    <row r="4272" spans="2:9" ht="30">
      <c r="B4272" s="677">
        <v>92892</v>
      </c>
      <c r="C4272" s="733" t="s">
        <v>4144</v>
      </c>
      <c r="D4272" s="677" t="s">
        <v>22</v>
      </c>
      <c r="E4272" s="738">
        <f t="shared" si="132"/>
        <v>50.03</v>
      </c>
      <c r="F4272">
        <f t="shared" si="133"/>
        <v>92892</v>
      </c>
      <c r="H4272" s="1405">
        <v>47.64</v>
      </c>
      <c r="I4272" s="1405">
        <v>50.03</v>
      </c>
    </row>
    <row r="4273" spans="2:9" ht="30">
      <c r="B4273" s="1477">
        <v>92893</v>
      </c>
      <c r="C4273" s="740" t="s">
        <v>4145</v>
      </c>
      <c r="D4273" s="739" t="s">
        <v>22</v>
      </c>
      <c r="E4273" s="741">
        <f t="shared" si="132"/>
        <v>70.3</v>
      </c>
      <c r="F4273">
        <f t="shared" si="133"/>
        <v>92893</v>
      </c>
      <c r="H4273" s="1406">
        <v>67.7</v>
      </c>
      <c r="I4273" s="1406">
        <v>70.3</v>
      </c>
    </row>
    <row r="4274" spans="2:9" ht="30">
      <c r="B4274" s="677">
        <v>92894</v>
      </c>
      <c r="C4274" s="733" t="s">
        <v>4146</v>
      </c>
      <c r="D4274" s="677" t="s">
        <v>22</v>
      </c>
      <c r="E4274" s="738">
        <f t="shared" si="132"/>
        <v>83.69</v>
      </c>
      <c r="F4274">
        <f t="shared" si="133"/>
        <v>92894</v>
      </c>
      <c r="H4274" s="1405">
        <v>80.84</v>
      </c>
      <c r="I4274" s="1405">
        <v>83.69</v>
      </c>
    </row>
    <row r="4275" spans="2:9" ht="30">
      <c r="B4275" s="1477">
        <v>92895</v>
      </c>
      <c r="C4275" s="740" t="s">
        <v>4147</v>
      </c>
      <c r="D4275" s="739" t="s">
        <v>22</v>
      </c>
      <c r="E4275" s="741">
        <f t="shared" si="132"/>
        <v>113.12</v>
      </c>
      <c r="F4275">
        <f t="shared" si="133"/>
        <v>92895</v>
      </c>
      <c r="H4275" s="1406">
        <v>109.98</v>
      </c>
      <c r="I4275" s="1406">
        <v>113.12</v>
      </c>
    </row>
    <row r="4276" spans="2:9" ht="30">
      <c r="B4276" s="677">
        <v>92896</v>
      </c>
      <c r="C4276" s="733" t="s">
        <v>4148</v>
      </c>
      <c r="D4276" s="677" t="s">
        <v>22</v>
      </c>
      <c r="E4276" s="738">
        <f t="shared" si="132"/>
        <v>171.62</v>
      </c>
      <c r="F4276">
        <f t="shared" si="133"/>
        <v>92896</v>
      </c>
      <c r="H4276" s="1405">
        <v>168.03</v>
      </c>
      <c r="I4276" s="1405">
        <v>171.62</v>
      </c>
    </row>
    <row r="4277" spans="2:9" ht="30">
      <c r="B4277" s="1477">
        <v>92897</v>
      </c>
      <c r="C4277" s="740" t="s">
        <v>4149</v>
      </c>
      <c r="D4277" s="739" t="s">
        <v>22</v>
      </c>
      <c r="E4277" s="741">
        <f t="shared" si="132"/>
        <v>251.12</v>
      </c>
      <c r="F4277">
        <f t="shared" si="133"/>
        <v>92897</v>
      </c>
      <c r="H4277" s="1406">
        <v>247.07</v>
      </c>
      <c r="I4277" s="1406">
        <v>251.12</v>
      </c>
    </row>
    <row r="4278" spans="2:9" ht="30">
      <c r="B4278" s="677">
        <v>92898</v>
      </c>
      <c r="C4278" s="733" t="s">
        <v>4150</v>
      </c>
      <c r="D4278" s="677" t="s">
        <v>22</v>
      </c>
      <c r="E4278" s="738">
        <f t="shared" si="132"/>
        <v>41.25</v>
      </c>
      <c r="F4278">
        <f t="shared" si="133"/>
        <v>92898</v>
      </c>
      <c r="H4278" s="1405">
        <v>39.78</v>
      </c>
      <c r="I4278" s="1405">
        <v>41.25</v>
      </c>
    </row>
    <row r="4279" spans="2:9" ht="30">
      <c r="B4279" s="1477">
        <v>92899</v>
      </c>
      <c r="C4279" s="740" t="s">
        <v>4151</v>
      </c>
      <c r="D4279" s="739" t="s">
        <v>22</v>
      </c>
      <c r="E4279" s="741">
        <f t="shared" si="132"/>
        <v>60.31</v>
      </c>
      <c r="F4279">
        <f t="shared" si="133"/>
        <v>92899</v>
      </c>
      <c r="H4279" s="1406">
        <v>58.76</v>
      </c>
      <c r="I4279" s="1406">
        <v>60.31</v>
      </c>
    </row>
    <row r="4280" spans="2:9" ht="30">
      <c r="B4280" s="677">
        <v>92900</v>
      </c>
      <c r="C4280" s="733" t="s">
        <v>4152</v>
      </c>
      <c r="D4280" s="677" t="s">
        <v>22</v>
      </c>
      <c r="E4280" s="738">
        <f t="shared" si="132"/>
        <v>72.31</v>
      </c>
      <c r="F4280">
        <f t="shared" si="133"/>
        <v>92900</v>
      </c>
      <c r="H4280" s="1405">
        <v>70.66</v>
      </c>
      <c r="I4280" s="1405">
        <v>72.31</v>
      </c>
    </row>
    <row r="4281" spans="2:9" ht="30">
      <c r="B4281" s="1477">
        <v>92901</v>
      </c>
      <c r="C4281" s="740" t="s">
        <v>4153</v>
      </c>
      <c r="D4281" s="739" t="s">
        <v>22</v>
      </c>
      <c r="E4281" s="741">
        <f t="shared" si="132"/>
        <v>100.01</v>
      </c>
      <c r="F4281">
        <f t="shared" si="133"/>
        <v>92901</v>
      </c>
      <c r="H4281" s="1406">
        <v>98.25</v>
      </c>
      <c r="I4281" s="1406">
        <v>100.01</v>
      </c>
    </row>
    <row r="4282" spans="2:9" ht="30">
      <c r="B4282" s="677">
        <v>92902</v>
      </c>
      <c r="C4282" s="733" t="s">
        <v>4154</v>
      </c>
      <c r="D4282" s="677" t="s">
        <v>22</v>
      </c>
      <c r="E4282" s="738">
        <f t="shared" si="132"/>
        <v>155.91</v>
      </c>
      <c r="F4282">
        <f t="shared" si="133"/>
        <v>92902</v>
      </c>
      <c r="H4282" s="1405">
        <v>153.97</v>
      </c>
      <c r="I4282" s="1405">
        <v>155.91</v>
      </c>
    </row>
    <row r="4283" spans="2:9" ht="30">
      <c r="B4283" s="1477">
        <v>92903</v>
      </c>
      <c r="C4283" s="740" t="s">
        <v>4155</v>
      </c>
      <c r="D4283" s="739" t="s">
        <v>22</v>
      </c>
      <c r="E4283" s="741">
        <f t="shared" si="132"/>
        <v>232.86</v>
      </c>
      <c r="F4283">
        <f t="shared" si="133"/>
        <v>92903</v>
      </c>
      <c r="H4283" s="1406">
        <v>230.73</v>
      </c>
      <c r="I4283" s="1406">
        <v>232.86</v>
      </c>
    </row>
    <row r="4284" spans="2:9" ht="30">
      <c r="B4284" s="677">
        <v>92904</v>
      </c>
      <c r="C4284" s="733" t="s">
        <v>4156</v>
      </c>
      <c r="D4284" s="677" t="s">
        <v>22</v>
      </c>
      <c r="E4284" s="738">
        <f t="shared" si="132"/>
        <v>27.92</v>
      </c>
      <c r="F4284">
        <f t="shared" si="133"/>
        <v>92904</v>
      </c>
      <c r="H4284" s="1405">
        <v>27.08</v>
      </c>
      <c r="I4284" s="1405">
        <v>27.92</v>
      </c>
    </row>
    <row r="4285" spans="2:9" ht="30">
      <c r="B4285" s="1477">
        <v>92905</v>
      </c>
      <c r="C4285" s="740" t="s">
        <v>4157</v>
      </c>
      <c r="D4285" s="739" t="s">
        <v>22</v>
      </c>
      <c r="E4285" s="741">
        <f t="shared" si="132"/>
        <v>40.14</v>
      </c>
      <c r="F4285">
        <f t="shared" si="133"/>
        <v>92905</v>
      </c>
      <c r="H4285" s="1406">
        <v>38.700000000000003</v>
      </c>
      <c r="I4285" s="1406">
        <v>40.14</v>
      </c>
    </row>
    <row r="4286" spans="2:9" ht="30">
      <c r="B4286" s="677">
        <v>92906</v>
      </c>
      <c r="C4286" s="733" t="s">
        <v>4158</v>
      </c>
      <c r="D4286" s="677" t="s">
        <v>22</v>
      </c>
      <c r="E4286" s="738">
        <f t="shared" si="132"/>
        <v>49.66</v>
      </c>
      <c r="F4286">
        <f t="shared" si="133"/>
        <v>92906</v>
      </c>
      <c r="H4286" s="1405">
        <v>47.3</v>
      </c>
      <c r="I4286" s="1405">
        <v>49.66</v>
      </c>
    </row>
    <row r="4287" spans="2:9" ht="30">
      <c r="B4287" s="1477">
        <v>92907</v>
      </c>
      <c r="C4287" s="740" t="s">
        <v>4159</v>
      </c>
      <c r="D4287" s="739" t="s">
        <v>22</v>
      </c>
      <c r="E4287" s="741">
        <f t="shared" si="132"/>
        <v>62.16</v>
      </c>
      <c r="F4287">
        <f t="shared" si="133"/>
        <v>92907</v>
      </c>
      <c r="H4287" s="1406">
        <v>59.01</v>
      </c>
      <c r="I4287" s="1406">
        <v>62.16</v>
      </c>
    </row>
    <row r="4288" spans="2:9" ht="30">
      <c r="B4288" s="677">
        <v>92908</v>
      </c>
      <c r="C4288" s="733" t="s">
        <v>4160</v>
      </c>
      <c r="D4288" s="677" t="s">
        <v>22</v>
      </c>
      <c r="E4288" s="738">
        <f t="shared" si="132"/>
        <v>62.16</v>
      </c>
      <c r="F4288">
        <f t="shared" si="133"/>
        <v>92908</v>
      </c>
      <c r="H4288" s="1405">
        <v>59.01</v>
      </c>
      <c r="I4288" s="1405">
        <v>62.16</v>
      </c>
    </row>
    <row r="4289" spans="2:9" ht="30">
      <c r="B4289" s="1477">
        <v>92909</v>
      </c>
      <c r="C4289" s="740" t="s">
        <v>4161</v>
      </c>
      <c r="D4289" s="739" t="s">
        <v>22</v>
      </c>
      <c r="E4289" s="741">
        <f t="shared" si="132"/>
        <v>62.16</v>
      </c>
      <c r="F4289">
        <f t="shared" si="133"/>
        <v>92909</v>
      </c>
      <c r="H4289" s="1406">
        <v>59.01</v>
      </c>
      <c r="I4289" s="1406">
        <v>62.16</v>
      </c>
    </row>
    <row r="4290" spans="2:9" ht="30">
      <c r="B4290" s="677">
        <v>92910</v>
      </c>
      <c r="C4290" s="733" t="s">
        <v>4162</v>
      </c>
      <c r="D4290" s="677" t="s">
        <v>22</v>
      </c>
      <c r="E4290" s="738">
        <f t="shared" si="132"/>
        <v>88.81</v>
      </c>
      <c r="F4290">
        <f t="shared" si="133"/>
        <v>92910</v>
      </c>
      <c r="H4290" s="1405">
        <v>85.39</v>
      </c>
      <c r="I4290" s="1405">
        <v>88.81</v>
      </c>
    </row>
    <row r="4291" spans="2:9" ht="30">
      <c r="B4291" s="1477">
        <v>92911</v>
      </c>
      <c r="C4291" s="740" t="s">
        <v>4163</v>
      </c>
      <c r="D4291" s="739" t="s">
        <v>22</v>
      </c>
      <c r="E4291" s="741">
        <f t="shared" ref="E4291:E4354" si="134">IF($K$2=$H$1,H4291,I4291)</f>
        <v>88.81</v>
      </c>
      <c r="F4291">
        <f t="shared" ref="F4291:F4354" si="135">IF(LEN($B4291)=7,CONCATENATE(MID($B4291,1,6),"00",RIGHT($B4291,1)),IF(LEN($B4291)=8,CONCATENATE(MID($B4291,1,6),"0",RIGHT($B4291,2)),$B4291))</f>
        <v>92911</v>
      </c>
      <c r="H4291" s="1406">
        <v>85.39</v>
      </c>
      <c r="I4291" s="1406">
        <v>88.81</v>
      </c>
    </row>
    <row r="4292" spans="2:9" ht="30">
      <c r="B4292" s="677">
        <v>92912</v>
      </c>
      <c r="C4292" s="733" t="s">
        <v>4164</v>
      </c>
      <c r="D4292" s="677" t="s">
        <v>22</v>
      </c>
      <c r="E4292" s="738">
        <f t="shared" si="134"/>
        <v>117.88</v>
      </c>
      <c r="F4292">
        <f t="shared" si="135"/>
        <v>92912</v>
      </c>
      <c r="H4292" s="1405">
        <v>114.46</v>
      </c>
      <c r="I4292" s="1405">
        <v>117.88</v>
      </c>
    </row>
    <row r="4293" spans="2:9" ht="30">
      <c r="B4293" s="1477">
        <v>92913</v>
      </c>
      <c r="C4293" s="740" t="s">
        <v>4165</v>
      </c>
      <c r="D4293" s="739" t="s">
        <v>22</v>
      </c>
      <c r="E4293" s="741">
        <f t="shared" si="134"/>
        <v>120.58</v>
      </c>
      <c r="F4293">
        <f t="shared" si="135"/>
        <v>92913</v>
      </c>
      <c r="H4293" s="1406">
        <v>116.89</v>
      </c>
      <c r="I4293" s="1406">
        <v>120.58</v>
      </c>
    </row>
    <row r="4294" spans="2:9" ht="30">
      <c r="B4294" s="677">
        <v>92914</v>
      </c>
      <c r="C4294" s="733" t="s">
        <v>4166</v>
      </c>
      <c r="D4294" s="677" t="s">
        <v>22</v>
      </c>
      <c r="E4294" s="738">
        <f t="shared" si="134"/>
        <v>120.58</v>
      </c>
      <c r="F4294">
        <f t="shared" si="135"/>
        <v>92914</v>
      </c>
      <c r="H4294" s="1405">
        <v>116.89</v>
      </c>
      <c r="I4294" s="1405">
        <v>120.58</v>
      </c>
    </row>
    <row r="4295" spans="2:9" ht="30">
      <c r="B4295" s="1477">
        <v>92918</v>
      </c>
      <c r="C4295" s="740" t="s">
        <v>4167</v>
      </c>
      <c r="D4295" s="739" t="s">
        <v>22</v>
      </c>
      <c r="E4295" s="741">
        <f t="shared" si="134"/>
        <v>33.79</v>
      </c>
      <c r="F4295">
        <f t="shared" si="135"/>
        <v>92918</v>
      </c>
      <c r="H4295" s="1406">
        <v>31.4</v>
      </c>
      <c r="I4295" s="1406">
        <v>33.79</v>
      </c>
    </row>
    <row r="4296" spans="2:9" ht="30">
      <c r="B4296" s="677">
        <v>92920</v>
      </c>
      <c r="C4296" s="733" t="s">
        <v>4168</v>
      </c>
      <c r="D4296" s="677" t="s">
        <v>22</v>
      </c>
      <c r="E4296" s="738">
        <f t="shared" si="134"/>
        <v>34</v>
      </c>
      <c r="F4296">
        <f t="shared" si="135"/>
        <v>92920</v>
      </c>
      <c r="H4296" s="1405">
        <v>31.61</v>
      </c>
      <c r="I4296" s="1405">
        <v>34</v>
      </c>
    </row>
    <row r="4297" spans="2:9" ht="30">
      <c r="B4297" s="1477">
        <v>92925</v>
      </c>
      <c r="C4297" s="740" t="s">
        <v>4169</v>
      </c>
      <c r="D4297" s="739" t="s">
        <v>22</v>
      </c>
      <c r="E4297" s="741">
        <f t="shared" si="134"/>
        <v>41.46</v>
      </c>
      <c r="F4297">
        <f t="shared" si="135"/>
        <v>92925</v>
      </c>
      <c r="H4297" s="1406">
        <v>38.86</v>
      </c>
      <c r="I4297" s="1406">
        <v>41.46</v>
      </c>
    </row>
    <row r="4298" spans="2:9" ht="30">
      <c r="B4298" s="677">
        <v>92926</v>
      </c>
      <c r="C4298" s="733" t="s">
        <v>4170</v>
      </c>
      <c r="D4298" s="677" t="s">
        <v>22</v>
      </c>
      <c r="E4298" s="738">
        <f t="shared" si="134"/>
        <v>41.45</v>
      </c>
      <c r="F4298">
        <f t="shared" si="135"/>
        <v>92926</v>
      </c>
      <c r="H4298" s="1405">
        <v>38.85</v>
      </c>
      <c r="I4298" s="1405">
        <v>41.45</v>
      </c>
    </row>
    <row r="4299" spans="2:9" ht="30">
      <c r="B4299" s="1477">
        <v>92927</v>
      </c>
      <c r="C4299" s="740" t="s">
        <v>4171</v>
      </c>
      <c r="D4299" s="739" t="s">
        <v>22</v>
      </c>
      <c r="E4299" s="741">
        <f t="shared" si="134"/>
        <v>41.45</v>
      </c>
      <c r="F4299">
        <f t="shared" si="135"/>
        <v>92927</v>
      </c>
      <c r="H4299" s="1406">
        <v>38.85</v>
      </c>
      <c r="I4299" s="1406">
        <v>41.45</v>
      </c>
    </row>
    <row r="4300" spans="2:9" ht="30">
      <c r="B4300" s="677">
        <v>92928</v>
      </c>
      <c r="C4300" s="733" t="s">
        <v>4172</v>
      </c>
      <c r="D4300" s="677" t="s">
        <v>22</v>
      </c>
      <c r="E4300" s="738">
        <f t="shared" si="134"/>
        <v>47.25</v>
      </c>
      <c r="F4300">
        <f t="shared" si="135"/>
        <v>92928</v>
      </c>
      <c r="H4300" s="1405">
        <v>44.4</v>
      </c>
      <c r="I4300" s="1405">
        <v>47.25</v>
      </c>
    </row>
    <row r="4301" spans="2:9" ht="30">
      <c r="B4301" s="1477">
        <v>92929</v>
      </c>
      <c r="C4301" s="740" t="s">
        <v>4173</v>
      </c>
      <c r="D4301" s="739" t="s">
        <v>22</v>
      </c>
      <c r="E4301" s="741">
        <f t="shared" si="134"/>
        <v>47.25</v>
      </c>
      <c r="F4301">
        <f t="shared" si="135"/>
        <v>92929</v>
      </c>
      <c r="H4301" s="1406">
        <v>44.4</v>
      </c>
      <c r="I4301" s="1406">
        <v>47.25</v>
      </c>
    </row>
    <row r="4302" spans="2:9" ht="30">
      <c r="B4302" s="677">
        <v>92930</v>
      </c>
      <c r="C4302" s="733" t="s">
        <v>4174</v>
      </c>
      <c r="D4302" s="677" t="s">
        <v>22</v>
      </c>
      <c r="E4302" s="738">
        <f t="shared" si="134"/>
        <v>47.25</v>
      </c>
      <c r="F4302">
        <f t="shared" si="135"/>
        <v>92930</v>
      </c>
      <c r="H4302" s="1405">
        <v>44.4</v>
      </c>
      <c r="I4302" s="1405">
        <v>47.25</v>
      </c>
    </row>
    <row r="4303" spans="2:9" ht="30">
      <c r="B4303" s="1477">
        <v>92931</v>
      </c>
      <c r="C4303" s="740" t="s">
        <v>4175</v>
      </c>
      <c r="D4303" s="739" t="s">
        <v>22</v>
      </c>
      <c r="E4303" s="741">
        <f t="shared" si="134"/>
        <v>62.12</v>
      </c>
      <c r="F4303">
        <f t="shared" si="135"/>
        <v>92931</v>
      </c>
      <c r="H4303" s="1406">
        <v>58.98</v>
      </c>
      <c r="I4303" s="1406">
        <v>62.12</v>
      </c>
    </row>
    <row r="4304" spans="2:9" ht="30">
      <c r="B4304" s="677">
        <v>92932</v>
      </c>
      <c r="C4304" s="733" t="s">
        <v>4176</v>
      </c>
      <c r="D4304" s="677" t="s">
        <v>22</v>
      </c>
      <c r="E4304" s="738">
        <f t="shared" si="134"/>
        <v>62.12</v>
      </c>
      <c r="F4304">
        <f t="shared" si="135"/>
        <v>92932</v>
      </c>
      <c r="H4304" s="1405">
        <v>58.98</v>
      </c>
      <c r="I4304" s="1405">
        <v>62.12</v>
      </c>
    </row>
    <row r="4305" spans="2:9" ht="30">
      <c r="B4305" s="1477">
        <v>92933</v>
      </c>
      <c r="C4305" s="740" t="s">
        <v>4177</v>
      </c>
      <c r="D4305" s="739" t="s">
        <v>22</v>
      </c>
      <c r="E4305" s="741">
        <f t="shared" si="134"/>
        <v>62.12</v>
      </c>
      <c r="F4305">
        <f t="shared" si="135"/>
        <v>92933</v>
      </c>
      <c r="H4305" s="1406">
        <v>58.98</v>
      </c>
      <c r="I4305" s="1406">
        <v>62.12</v>
      </c>
    </row>
    <row r="4306" spans="2:9" ht="30">
      <c r="B4306" s="677">
        <v>92934</v>
      </c>
      <c r="C4306" s="733" t="s">
        <v>4178</v>
      </c>
      <c r="D4306" s="677" t="s">
        <v>22</v>
      </c>
      <c r="E4306" s="738">
        <f t="shared" si="134"/>
        <v>90.39</v>
      </c>
      <c r="F4306">
        <f t="shared" si="135"/>
        <v>92934</v>
      </c>
      <c r="H4306" s="1405">
        <v>86.8</v>
      </c>
      <c r="I4306" s="1405">
        <v>90.39</v>
      </c>
    </row>
    <row r="4307" spans="2:9" ht="30">
      <c r="B4307" s="1477">
        <v>92935</v>
      </c>
      <c r="C4307" s="740" t="s">
        <v>4179</v>
      </c>
      <c r="D4307" s="739" t="s">
        <v>22</v>
      </c>
      <c r="E4307" s="741">
        <f t="shared" si="134"/>
        <v>90.39</v>
      </c>
      <c r="F4307">
        <f t="shared" si="135"/>
        <v>92935</v>
      </c>
      <c r="H4307" s="1406">
        <v>86.8</v>
      </c>
      <c r="I4307" s="1406">
        <v>90.39</v>
      </c>
    </row>
    <row r="4308" spans="2:9" ht="30">
      <c r="B4308" s="677">
        <v>92936</v>
      </c>
      <c r="C4308" s="733" t="s">
        <v>4180</v>
      </c>
      <c r="D4308" s="677" t="s">
        <v>22</v>
      </c>
      <c r="E4308" s="738">
        <f t="shared" si="134"/>
        <v>123.84</v>
      </c>
      <c r="F4308">
        <f t="shared" si="135"/>
        <v>92936</v>
      </c>
      <c r="H4308" s="1405">
        <v>119.79</v>
      </c>
      <c r="I4308" s="1405">
        <v>123.84</v>
      </c>
    </row>
    <row r="4309" spans="2:9" ht="30">
      <c r="B4309" s="1477">
        <v>92937</v>
      </c>
      <c r="C4309" s="740" t="s">
        <v>4181</v>
      </c>
      <c r="D4309" s="739" t="s">
        <v>22</v>
      </c>
      <c r="E4309" s="741">
        <f t="shared" si="134"/>
        <v>123.84</v>
      </c>
      <c r="F4309">
        <f t="shared" si="135"/>
        <v>92937</v>
      </c>
      <c r="H4309" s="1406">
        <v>119.79</v>
      </c>
      <c r="I4309" s="1406">
        <v>123.84</v>
      </c>
    </row>
    <row r="4310" spans="2:9" ht="30">
      <c r="B4310" s="677">
        <v>92938</v>
      </c>
      <c r="C4310" s="733" t="s">
        <v>4182</v>
      </c>
      <c r="D4310" s="677" t="s">
        <v>22</v>
      </c>
      <c r="E4310" s="738">
        <f t="shared" si="134"/>
        <v>25.01</v>
      </c>
      <c r="F4310">
        <f t="shared" si="135"/>
        <v>92938</v>
      </c>
      <c r="H4310" s="1405">
        <v>23.54</v>
      </c>
      <c r="I4310" s="1405">
        <v>25.01</v>
      </c>
    </row>
    <row r="4311" spans="2:9" ht="30">
      <c r="B4311" s="1477">
        <v>92939</v>
      </c>
      <c r="C4311" s="740" t="s">
        <v>4183</v>
      </c>
      <c r="D4311" s="739" t="s">
        <v>22</v>
      </c>
      <c r="E4311" s="741">
        <f t="shared" si="134"/>
        <v>25.22</v>
      </c>
      <c r="F4311">
        <f t="shared" si="135"/>
        <v>92939</v>
      </c>
      <c r="H4311" s="1406">
        <v>23.75</v>
      </c>
      <c r="I4311" s="1406">
        <v>25.22</v>
      </c>
    </row>
    <row r="4312" spans="2:9" ht="30">
      <c r="B4312" s="677">
        <v>92940</v>
      </c>
      <c r="C4312" s="733" t="s">
        <v>4184</v>
      </c>
      <c r="D4312" s="677" t="s">
        <v>22</v>
      </c>
      <c r="E4312" s="738">
        <f t="shared" si="134"/>
        <v>31.47</v>
      </c>
      <c r="F4312">
        <f t="shared" si="135"/>
        <v>92940</v>
      </c>
      <c r="H4312" s="1405">
        <v>29.92</v>
      </c>
      <c r="I4312" s="1405">
        <v>31.47</v>
      </c>
    </row>
    <row r="4313" spans="2:9" ht="30">
      <c r="B4313" s="1477">
        <v>92941</v>
      </c>
      <c r="C4313" s="740" t="s">
        <v>4185</v>
      </c>
      <c r="D4313" s="739" t="s">
        <v>22</v>
      </c>
      <c r="E4313" s="741">
        <f t="shared" si="134"/>
        <v>31.46</v>
      </c>
      <c r="F4313">
        <f t="shared" si="135"/>
        <v>92941</v>
      </c>
      <c r="H4313" s="1406">
        <v>29.91</v>
      </c>
      <c r="I4313" s="1406">
        <v>31.46</v>
      </c>
    </row>
    <row r="4314" spans="2:9" ht="30">
      <c r="B4314" s="677">
        <v>92942</v>
      </c>
      <c r="C4314" s="733" t="s">
        <v>4186</v>
      </c>
      <c r="D4314" s="677" t="s">
        <v>22</v>
      </c>
      <c r="E4314" s="738">
        <f t="shared" si="134"/>
        <v>31.46</v>
      </c>
      <c r="F4314">
        <f t="shared" si="135"/>
        <v>92942</v>
      </c>
      <c r="H4314" s="1405">
        <v>29.91</v>
      </c>
      <c r="I4314" s="1405">
        <v>31.46</v>
      </c>
    </row>
    <row r="4315" spans="2:9" ht="30">
      <c r="B4315" s="1477">
        <v>92943</v>
      </c>
      <c r="C4315" s="740" t="s">
        <v>4187</v>
      </c>
      <c r="D4315" s="739" t="s">
        <v>22</v>
      </c>
      <c r="E4315" s="741">
        <f t="shared" si="134"/>
        <v>35.869999999999997</v>
      </c>
      <c r="F4315">
        <f t="shared" si="135"/>
        <v>92943</v>
      </c>
      <c r="H4315" s="1406">
        <v>34.22</v>
      </c>
      <c r="I4315" s="1406">
        <v>35.869999999999997</v>
      </c>
    </row>
    <row r="4316" spans="2:9" ht="30">
      <c r="B4316" s="677">
        <v>92944</v>
      </c>
      <c r="C4316" s="733" t="s">
        <v>4188</v>
      </c>
      <c r="D4316" s="677" t="s">
        <v>22</v>
      </c>
      <c r="E4316" s="738">
        <f t="shared" si="134"/>
        <v>35.869999999999997</v>
      </c>
      <c r="F4316">
        <f t="shared" si="135"/>
        <v>92944</v>
      </c>
      <c r="H4316" s="1405">
        <v>34.22</v>
      </c>
      <c r="I4316" s="1405">
        <v>35.869999999999997</v>
      </c>
    </row>
    <row r="4317" spans="2:9" ht="30">
      <c r="B4317" s="1477">
        <v>92945</v>
      </c>
      <c r="C4317" s="740" t="s">
        <v>4189</v>
      </c>
      <c r="D4317" s="739" t="s">
        <v>22</v>
      </c>
      <c r="E4317" s="741">
        <f t="shared" si="134"/>
        <v>35.869999999999997</v>
      </c>
      <c r="F4317">
        <f t="shared" si="135"/>
        <v>92945</v>
      </c>
      <c r="H4317" s="1406">
        <v>34.22</v>
      </c>
      <c r="I4317" s="1406">
        <v>35.869999999999997</v>
      </c>
    </row>
    <row r="4318" spans="2:9" ht="30">
      <c r="B4318" s="677">
        <v>92946</v>
      </c>
      <c r="C4318" s="733" t="s">
        <v>4190</v>
      </c>
      <c r="D4318" s="677" t="s">
        <v>22</v>
      </c>
      <c r="E4318" s="738">
        <f t="shared" si="134"/>
        <v>49.01</v>
      </c>
      <c r="F4318">
        <f t="shared" si="135"/>
        <v>92946</v>
      </c>
      <c r="H4318" s="1405">
        <v>47.25</v>
      </c>
      <c r="I4318" s="1405">
        <v>49.01</v>
      </c>
    </row>
    <row r="4319" spans="2:9" ht="30">
      <c r="B4319" s="1477">
        <v>92947</v>
      </c>
      <c r="C4319" s="740" t="s">
        <v>4191</v>
      </c>
      <c r="D4319" s="739" t="s">
        <v>22</v>
      </c>
      <c r="E4319" s="741">
        <f t="shared" si="134"/>
        <v>49.01</v>
      </c>
      <c r="F4319">
        <f t="shared" si="135"/>
        <v>92947</v>
      </c>
      <c r="H4319" s="1406">
        <v>47.25</v>
      </c>
      <c r="I4319" s="1406">
        <v>49.01</v>
      </c>
    </row>
    <row r="4320" spans="2:9" ht="30">
      <c r="B4320" s="677">
        <v>92948</v>
      </c>
      <c r="C4320" s="733" t="s">
        <v>4192</v>
      </c>
      <c r="D4320" s="677" t="s">
        <v>22</v>
      </c>
      <c r="E4320" s="738">
        <f t="shared" si="134"/>
        <v>49.01</v>
      </c>
      <c r="F4320">
        <f t="shared" si="135"/>
        <v>92948</v>
      </c>
      <c r="H4320" s="1405">
        <v>47.25</v>
      </c>
      <c r="I4320" s="1405">
        <v>49.01</v>
      </c>
    </row>
    <row r="4321" spans="2:9" ht="30">
      <c r="B4321" s="1477">
        <v>92949</v>
      </c>
      <c r="C4321" s="740" t="s">
        <v>4193</v>
      </c>
      <c r="D4321" s="739" t="s">
        <v>22</v>
      </c>
      <c r="E4321" s="741">
        <f t="shared" si="134"/>
        <v>74.680000000000007</v>
      </c>
      <c r="F4321">
        <f t="shared" si="135"/>
        <v>92949</v>
      </c>
      <c r="H4321" s="1406">
        <v>72.739999999999995</v>
      </c>
      <c r="I4321" s="1406">
        <v>74.680000000000007</v>
      </c>
    </row>
    <row r="4322" spans="2:9" ht="30">
      <c r="B4322" s="677">
        <v>92950</v>
      </c>
      <c r="C4322" s="733" t="s">
        <v>4194</v>
      </c>
      <c r="D4322" s="677" t="s">
        <v>22</v>
      </c>
      <c r="E4322" s="738">
        <f t="shared" si="134"/>
        <v>74.680000000000007</v>
      </c>
      <c r="F4322">
        <f t="shared" si="135"/>
        <v>92950</v>
      </c>
      <c r="H4322" s="1405">
        <v>72.739999999999995</v>
      </c>
      <c r="I4322" s="1405">
        <v>74.680000000000007</v>
      </c>
    </row>
    <row r="4323" spans="2:9" ht="30">
      <c r="B4323" s="1477">
        <v>92951</v>
      </c>
      <c r="C4323" s="740" t="s">
        <v>4195</v>
      </c>
      <c r="D4323" s="739" t="s">
        <v>22</v>
      </c>
      <c r="E4323" s="741">
        <f t="shared" si="134"/>
        <v>105.58</v>
      </c>
      <c r="F4323">
        <f t="shared" si="135"/>
        <v>92951</v>
      </c>
      <c r="H4323" s="1406">
        <v>103.45</v>
      </c>
      <c r="I4323" s="1406">
        <v>105.58</v>
      </c>
    </row>
    <row r="4324" spans="2:9" ht="30">
      <c r="B4324" s="677">
        <v>92952</v>
      </c>
      <c r="C4324" s="733" t="s">
        <v>4196</v>
      </c>
      <c r="D4324" s="677" t="s">
        <v>22</v>
      </c>
      <c r="E4324" s="738">
        <f t="shared" si="134"/>
        <v>105.58</v>
      </c>
      <c r="F4324">
        <f t="shared" si="135"/>
        <v>92952</v>
      </c>
      <c r="H4324" s="1405">
        <v>103.45</v>
      </c>
      <c r="I4324" s="1405">
        <v>105.58</v>
      </c>
    </row>
    <row r="4325" spans="2:9" ht="30">
      <c r="B4325" s="1477">
        <v>92953</v>
      </c>
      <c r="C4325" s="740" t="s">
        <v>4197</v>
      </c>
      <c r="D4325" s="739" t="s">
        <v>22</v>
      </c>
      <c r="E4325" s="741">
        <f t="shared" si="134"/>
        <v>21.81</v>
      </c>
      <c r="F4325">
        <f t="shared" si="135"/>
        <v>92953</v>
      </c>
      <c r="H4325" s="1406">
        <v>20.37</v>
      </c>
      <c r="I4325" s="1406">
        <v>21.81</v>
      </c>
    </row>
    <row r="4326" spans="2:9" ht="30">
      <c r="B4326" s="677">
        <v>93050</v>
      </c>
      <c r="C4326" s="733" t="s">
        <v>5653</v>
      </c>
      <c r="D4326" s="677" t="s">
        <v>22</v>
      </c>
      <c r="E4326" s="738">
        <f t="shared" si="134"/>
        <v>10.67</v>
      </c>
      <c r="F4326">
        <f t="shared" si="135"/>
        <v>93050</v>
      </c>
      <c r="H4326" s="1405">
        <v>10.38</v>
      </c>
      <c r="I4326" s="1405">
        <v>10.67</v>
      </c>
    </row>
    <row r="4327" spans="2:9" ht="30">
      <c r="B4327" s="1477">
        <v>93052</v>
      </c>
      <c r="C4327" s="740" t="s">
        <v>5654</v>
      </c>
      <c r="D4327" s="739" t="s">
        <v>22</v>
      </c>
      <c r="E4327" s="741">
        <f t="shared" si="134"/>
        <v>491.07</v>
      </c>
      <c r="F4327">
        <f t="shared" si="135"/>
        <v>93052</v>
      </c>
      <c r="H4327" s="1406">
        <v>490.78</v>
      </c>
      <c r="I4327" s="1406">
        <v>491.07</v>
      </c>
    </row>
    <row r="4328" spans="2:9" ht="30">
      <c r="B4328" s="677">
        <v>93054</v>
      </c>
      <c r="C4328" s="733" t="s">
        <v>5655</v>
      </c>
      <c r="D4328" s="677" t="s">
        <v>22</v>
      </c>
      <c r="E4328" s="738">
        <f t="shared" si="134"/>
        <v>21.2</v>
      </c>
      <c r="F4328">
        <f t="shared" si="135"/>
        <v>93054</v>
      </c>
      <c r="H4328" s="1405">
        <v>20.79</v>
      </c>
      <c r="I4328" s="1405">
        <v>21.2</v>
      </c>
    </row>
    <row r="4329" spans="2:9" ht="30">
      <c r="B4329" s="1477">
        <v>93055</v>
      </c>
      <c r="C4329" s="740" t="s">
        <v>5656</v>
      </c>
      <c r="D4329" s="739" t="s">
        <v>22</v>
      </c>
      <c r="E4329" s="741">
        <f t="shared" si="134"/>
        <v>42.48</v>
      </c>
      <c r="F4329">
        <f t="shared" si="135"/>
        <v>93055</v>
      </c>
      <c r="H4329" s="1406">
        <v>42.19</v>
      </c>
      <c r="I4329" s="1406">
        <v>42.48</v>
      </c>
    </row>
    <row r="4330" spans="2:9" ht="30">
      <c r="B4330" s="677">
        <v>93056</v>
      </c>
      <c r="C4330" s="733" t="s">
        <v>5657</v>
      </c>
      <c r="D4330" s="677" t="s">
        <v>22</v>
      </c>
      <c r="E4330" s="738">
        <f t="shared" si="134"/>
        <v>15.95</v>
      </c>
      <c r="F4330">
        <f t="shared" si="135"/>
        <v>93056</v>
      </c>
      <c r="H4330" s="1405">
        <v>15.57</v>
      </c>
      <c r="I4330" s="1405">
        <v>15.95</v>
      </c>
    </row>
    <row r="4331" spans="2:9" ht="30">
      <c r="B4331" s="1477">
        <v>93057</v>
      </c>
      <c r="C4331" s="740" t="s">
        <v>5658</v>
      </c>
      <c r="D4331" s="739" t="s">
        <v>22</v>
      </c>
      <c r="E4331" s="741">
        <f t="shared" si="134"/>
        <v>13.26</v>
      </c>
      <c r="F4331">
        <f t="shared" si="135"/>
        <v>93057</v>
      </c>
      <c r="H4331" s="1406">
        <v>12.92</v>
      </c>
      <c r="I4331" s="1406">
        <v>13.26</v>
      </c>
    </row>
    <row r="4332" spans="2:9" ht="30">
      <c r="B4332" s="677">
        <v>93058</v>
      </c>
      <c r="C4332" s="733" t="s">
        <v>5659</v>
      </c>
      <c r="D4332" s="677" t="s">
        <v>22</v>
      </c>
      <c r="E4332" s="738">
        <f t="shared" si="134"/>
        <v>540.25</v>
      </c>
      <c r="F4332">
        <f t="shared" si="135"/>
        <v>93058</v>
      </c>
      <c r="H4332" s="1405">
        <v>539.87</v>
      </c>
      <c r="I4332" s="1405">
        <v>540.25</v>
      </c>
    </row>
    <row r="4333" spans="2:9" ht="30">
      <c r="B4333" s="1477">
        <v>93059</v>
      </c>
      <c r="C4333" s="740" t="s">
        <v>5660</v>
      </c>
      <c r="D4333" s="739" t="s">
        <v>22</v>
      </c>
      <c r="E4333" s="741">
        <f t="shared" si="134"/>
        <v>27.68</v>
      </c>
      <c r="F4333">
        <f t="shared" si="135"/>
        <v>93059</v>
      </c>
      <c r="H4333" s="1406">
        <v>27.32</v>
      </c>
      <c r="I4333" s="1406">
        <v>27.68</v>
      </c>
    </row>
    <row r="4334" spans="2:9" ht="30">
      <c r="B4334" s="677">
        <v>93060</v>
      </c>
      <c r="C4334" s="733" t="s">
        <v>5661</v>
      </c>
      <c r="D4334" s="677" t="s">
        <v>22</v>
      </c>
      <c r="E4334" s="738">
        <f t="shared" si="134"/>
        <v>74.45</v>
      </c>
      <c r="F4334">
        <f t="shared" si="135"/>
        <v>93060</v>
      </c>
      <c r="H4334" s="1405">
        <v>74.069999999999993</v>
      </c>
      <c r="I4334" s="1405">
        <v>74.45</v>
      </c>
    </row>
    <row r="4335" spans="2:9" ht="30">
      <c r="B4335" s="1477">
        <v>93061</v>
      </c>
      <c r="C4335" s="740" t="s">
        <v>5662</v>
      </c>
      <c r="D4335" s="739" t="s">
        <v>22</v>
      </c>
      <c r="E4335" s="741">
        <f t="shared" si="134"/>
        <v>30.2</v>
      </c>
      <c r="F4335">
        <f t="shared" si="135"/>
        <v>93061</v>
      </c>
      <c r="H4335" s="1406">
        <v>29.73</v>
      </c>
      <c r="I4335" s="1406">
        <v>30.2</v>
      </c>
    </row>
    <row r="4336" spans="2:9" ht="30">
      <c r="B4336" s="677">
        <v>93062</v>
      </c>
      <c r="C4336" s="733" t="s">
        <v>5663</v>
      </c>
      <c r="D4336" s="677" t="s">
        <v>22</v>
      </c>
      <c r="E4336" s="738">
        <f t="shared" si="134"/>
        <v>25.49</v>
      </c>
      <c r="F4336">
        <f t="shared" si="135"/>
        <v>93062</v>
      </c>
      <c r="H4336" s="1405">
        <v>25.06</v>
      </c>
      <c r="I4336" s="1405">
        <v>25.49</v>
      </c>
    </row>
    <row r="4337" spans="2:9" ht="30">
      <c r="B4337" s="1477">
        <v>93063</v>
      </c>
      <c r="C4337" s="740" t="s">
        <v>5664</v>
      </c>
      <c r="D4337" s="739" t="s">
        <v>22</v>
      </c>
      <c r="E4337" s="741">
        <f t="shared" si="134"/>
        <v>619.07000000000005</v>
      </c>
      <c r="F4337">
        <f t="shared" si="135"/>
        <v>93063</v>
      </c>
      <c r="H4337" s="1406">
        <v>618.6</v>
      </c>
      <c r="I4337" s="1406">
        <v>619.07000000000005</v>
      </c>
    </row>
    <row r="4338" spans="2:9" ht="30">
      <c r="B4338" s="677">
        <v>93064</v>
      </c>
      <c r="C4338" s="733" t="s">
        <v>5665</v>
      </c>
      <c r="D4338" s="677" t="s">
        <v>22</v>
      </c>
      <c r="E4338" s="738">
        <f t="shared" si="134"/>
        <v>46.35</v>
      </c>
      <c r="F4338">
        <f t="shared" si="135"/>
        <v>93064</v>
      </c>
      <c r="H4338" s="1405">
        <v>45.79</v>
      </c>
      <c r="I4338" s="1405">
        <v>46.35</v>
      </c>
    </row>
    <row r="4339" spans="2:9" ht="30">
      <c r="B4339" s="1477">
        <v>93065</v>
      </c>
      <c r="C4339" s="740" t="s">
        <v>5666</v>
      </c>
      <c r="D4339" s="739" t="s">
        <v>22</v>
      </c>
      <c r="E4339" s="741">
        <f t="shared" si="134"/>
        <v>41.63</v>
      </c>
      <c r="F4339">
        <f t="shared" si="135"/>
        <v>93065</v>
      </c>
      <c r="H4339" s="1406">
        <v>41.11</v>
      </c>
      <c r="I4339" s="1406">
        <v>41.63</v>
      </c>
    </row>
    <row r="4340" spans="2:9" ht="30">
      <c r="B4340" s="677">
        <v>93066</v>
      </c>
      <c r="C4340" s="733" t="s">
        <v>5667</v>
      </c>
      <c r="D4340" s="677" t="s">
        <v>22</v>
      </c>
      <c r="E4340" s="738">
        <f t="shared" si="134"/>
        <v>776.9</v>
      </c>
      <c r="F4340">
        <f t="shared" si="135"/>
        <v>93066</v>
      </c>
      <c r="H4340" s="1405">
        <v>776.34</v>
      </c>
      <c r="I4340" s="1405">
        <v>776.9</v>
      </c>
    </row>
    <row r="4341" spans="2:9" ht="30">
      <c r="B4341" s="1477">
        <v>93067</v>
      </c>
      <c r="C4341" s="740" t="s">
        <v>5668</v>
      </c>
      <c r="D4341" s="739" t="s">
        <v>22</v>
      </c>
      <c r="E4341" s="741">
        <f t="shared" si="134"/>
        <v>68.92</v>
      </c>
      <c r="F4341">
        <f t="shared" si="135"/>
        <v>93067</v>
      </c>
      <c r="H4341" s="1406">
        <v>68.19</v>
      </c>
      <c r="I4341" s="1406">
        <v>68.92</v>
      </c>
    </row>
    <row r="4342" spans="2:9" ht="30">
      <c r="B4342" s="677">
        <v>93068</v>
      </c>
      <c r="C4342" s="733" t="s">
        <v>5669</v>
      </c>
      <c r="D4342" s="677" t="s">
        <v>22</v>
      </c>
      <c r="E4342" s="738">
        <f t="shared" si="134"/>
        <v>58.6</v>
      </c>
      <c r="F4342">
        <f t="shared" si="135"/>
        <v>93068</v>
      </c>
      <c r="H4342" s="1405">
        <v>57.96</v>
      </c>
      <c r="I4342" s="1405">
        <v>58.6</v>
      </c>
    </row>
    <row r="4343" spans="2:9" ht="30">
      <c r="B4343" s="1477">
        <v>93069</v>
      </c>
      <c r="C4343" s="740" t="s">
        <v>5670</v>
      </c>
      <c r="D4343" s="739" t="s">
        <v>22</v>
      </c>
      <c r="E4343" s="741">
        <f t="shared" si="134"/>
        <v>1076.9100000000001</v>
      </c>
      <c r="F4343">
        <f t="shared" si="135"/>
        <v>93069</v>
      </c>
      <c r="H4343" s="1406">
        <v>1076.18</v>
      </c>
      <c r="I4343" s="1406">
        <v>1076.9100000000001</v>
      </c>
    </row>
    <row r="4344" spans="2:9" ht="30">
      <c r="B4344" s="677">
        <v>93070</v>
      </c>
      <c r="C4344" s="733" t="s">
        <v>5671</v>
      </c>
      <c r="D4344" s="677" t="s">
        <v>22</v>
      </c>
      <c r="E4344" s="738">
        <f t="shared" si="134"/>
        <v>173.92</v>
      </c>
      <c r="F4344">
        <f t="shared" si="135"/>
        <v>93070</v>
      </c>
      <c r="H4344" s="1405">
        <v>173.02</v>
      </c>
      <c r="I4344" s="1405">
        <v>173.92</v>
      </c>
    </row>
    <row r="4345" spans="2:9" ht="30">
      <c r="B4345" s="1477">
        <v>93071</v>
      </c>
      <c r="C4345" s="740" t="s">
        <v>5672</v>
      </c>
      <c r="D4345" s="739" t="s">
        <v>22</v>
      </c>
      <c r="E4345" s="741">
        <f t="shared" si="134"/>
        <v>159.88999999999999</v>
      </c>
      <c r="F4345">
        <f t="shared" si="135"/>
        <v>93071</v>
      </c>
      <c r="H4345" s="1406">
        <v>159.08000000000001</v>
      </c>
      <c r="I4345" s="1406">
        <v>159.88999999999999</v>
      </c>
    </row>
    <row r="4346" spans="2:9" ht="30">
      <c r="B4346" s="677">
        <v>93072</v>
      </c>
      <c r="C4346" s="733" t="s">
        <v>5673</v>
      </c>
      <c r="D4346" s="677" t="s">
        <v>22</v>
      </c>
      <c r="E4346" s="738">
        <f t="shared" si="134"/>
        <v>1421.22</v>
      </c>
      <c r="F4346">
        <f t="shared" si="135"/>
        <v>93072</v>
      </c>
      <c r="H4346" s="1405">
        <v>1420.32</v>
      </c>
      <c r="I4346" s="1405">
        <v>1421.22</v>
      </c>
    </row>
    <row r="4347" spans="2:9" ht="30">
      <c r="B4347" s="1477">
        <v>93074</v>
      </c>
      <c r="C4347" s="740" t="s">
        <v>5674</v>
      </c>
      <c r="D4347" s="739" t="s">
        <v>22</v>
      </c>
      <c r="E4347" s="741">
        <f t="shared" si="134"/>
        <v>12.68</v>
      </c>
      <c r="F4347">
        <f t="shared" si="135"/>
        <v>93074</v>
      </c>
      <c r="H4347" s="1406">
        <v>11.95</v>
      </c>
      <c r="I4347" s="1406">
        <v>12.68</v>
      </c>
    </row>
    <row r="4348" spans="2:9" ht="30">
      <c r="B4348" s="677">
        <v>93075</v>
      </c>
      <c r="C4348" s="733" t="s">
        <v>5675</v>
      </c>
      <c r="D4348" s="677" t="s">
        <v>22</v>
      </c>
      <c r="E4348" s="738">
        <f t="shared" si="134"/>
        <v>18.63</v>
      </c>
      <c r="F4348">
        <f t="shared" si="135"/>
        <v>93075</v>
      </c>
      <c r="H4348" s="1405">
        <v>18.100000000000001</v>
      </c>
      <c r="I4348" s="1405">
        <v>18.63</v>
      </c>
    </row>
    <row r="4349" spans="2:9" ht="30">
      <c r="B4349" s="1477">
        <v>93076</v>
      </c>
      <c r="C4349" s="740" t="s">
        <v>5676</v>
      </c>
      <c r="D4349" s="739" t="s">
        <v>22</v>
      </c>
      <c r="E4349" s="741">
        <f t="shared" si="134"/>
        <v>20.22</v>
      </c>
      <c r="F4349">
        <f t="shared" si="135"/>
        <v>93076</v>
      </c>
      <c r="H4349" s="1406">
        <v>19.38</v>
      </c>
      <c r="I4349" s="1406">
        <v>20.22</v>
      </c>
    </row>
    <row r="4350" spans="2:9" ht="30">
      <c r="B4350" s="677">
        <v>93077</v>
      </c>
      <c r="C4350" s="733" t="s">
        <v>5677</v>
      </c>
      <c r="D4350" s="677" t="s">
        <v>22</v>
      </c>
      <c r="E4350" s="738">
        <f t="shared" si="134"/>
        <v>26.36</v>
      </c>
      <c r="F4350">
        <f t="shared" si="135"/>
        <v>93077</v>
      </c>
      <c r="H4350" s="1405">
        <v>25.76</v>
      </c>
      <c r="I4350" s="1405">
        <v>26.36</v>
      </c>
    </row>
    <row r="4351" spans="2:9" ht="30">
      <c r="B4351" s="1477">
        <v>93078</v>
      </c>
      <c r="C4351" s="740" t="s">
        <v>5678</v>
      </c>
      <c r="D4351" s="739" t="s">
        <v>22</v>
      </c>
      <c r="E4351" s="741">
        <f t="shared" si="134"/>
        <v>29.66</v>
      </c>
      <c r="F4351">
        <f t="shared" si="135"/>
        <v>93078</v>
      </c>
      <c r="H4351" s="1406">
        <v>28.97</v>
      </c>
      <c r="I4351" s="1406">
        <v>29.66</v>
      </c>
    </row>
    <row r="4352" spans="2:9" ht="30">
      <c r="B4352" s="677">
        <v>93079</v>
      </c>
      <c r="C4352" s="733" t="s">
        <v>5679</v>
      </c>
      <c r="D4352" s="677" t="s">
        <v>22</v>
      </c>
      <c r="E4352" s="738">
        <f t="shared" si="134"/>
        <v>28.1</v>
      </c>
      <c r="F4352">
        <f t="shared" si="135"/>
        <v>93079</v>
      </c>
      <c r="H4352" s="1405">
        <v>27.16</v>
      </c>
      <c r="I4352" s="1405">
        <v>28.1</v>
      </c>
    </row>
    <row r="4353" spans="2:9" ht="30">
      <c r="B4353" s="1477">
        <v>93080</v>
      </c>
      <c r="C4353" s="740" t="s">
        <v>5680</v>
      </c>
      <c r="D4353" s="739" t="s">
        <v>22</v>
      </c>
      <c r="E4353" s="741">
        <f t="shared" si="134"/>
        <v>8.26</v>
      </c>
      <c r="F4353">
        <f t="shared" si="135"/>
        <v>93080</v>
      </c>
      <c r="H4353" s="1406">
        <v>7.78</v>
      </c>
      <c r="I4353" s="1406">
        <v>8.26</v>
      </c>
    </row>
    <row r="4354" spans="2:9" ht="30">
      <c r="B4354" s="677">
        <v>93081</v>
      </c>
      <c r="C4354" s="733" t="s">
        <v>5681</v>
      </c>
      <c r="D4354" s="677" t="s">
        <v>22</v>
      </c>
      <c r="E4354" s="738">
        <f t="shared" si="134"/>
        <v>17.579999999999998</v>
      </c>
      <c r="F4354">
        <f t="shared" si="135"/>
        <v>93081</v>
      </c>
      <c r="H4354" s="1405">
        <v>17.16</v>
      </c>
      <c r="I4354" s="1405">
        <v>17.579999999999998</v>
      </c>
    </row>
    <row r="4355" spans="2:9" ht="30">
      <c r="B4355" s="1477">
        <v>93082</v>
      </c>
      <c r="C4355" s="740" t="s">
        <v>5682</v>
      </c>
      <c r="D4355" s="739" t="s">
        <v>22</v>
      </c>
      <c r="E4355" s="741">
        <f t="shared" ref="E4355:E4418" si="136">IF($K$2=$H$1,H4355,I4355)</f>
        <v>22.74</v>
      </c>
      <c r="F4355">
        <f t="shared" ref="F4355:F4418" si="137">IF(LEN($B4355)=7,CONCATENATE(MID($B4355,1,6),"00",RIGHT($B4355,1)),IF(LEN($B4355)=8,CONCATENATE(MID($B4355,1,6),"0",RIGHT($B4355,2)),$B4355))</f>
        <v>93082</v>
      </c>
      <c r="H4355" s="1406">
        <v>22.26</v>
      </c>
      <c r="I4355" s="1406">
        <v>22.74</v>
      </c>
    </row>
    <row r="4356" spans="2:9" ht="30">
      <c r="B4356" s="677">
        <v>93083</v>
      </c>
      <c r="C4356" s="733" t="s">
        <v>5683</v>
      </c>
      <c r="D4356" s="677" t="s">
        <v>22</v>
      </c>
      <c r="E4356" s="738">
        <f t="shared" si="136"/>
        <v>425.25</v>
      </c>
      <c r="F4356">
        <f t="shared" si="137"/>
        <v>93083</v>
      </c>
      <c r="H4356" s="1405">
        <v>424.77</v>
      </c>
      <c r="I4356" s="1405">
        <v>425.25</v>
      </c>
    </row>
    <row r="4357" spans="2:9" ht="30">
      <c r="B4357" s="1477">
        <v>93084</v>
      </c>
      <c r="C4357" s="740" t="s">
        <v>5684</v>
      </c>
      <c r="D4357" s="739" t="s">
        <v>22</v>
      </c>
      <c r="E4357" s="741">
        <f t="shared" si="136"/>
        <v>13.29</v>
      </c>
      <c r="F4357">
        <f t="shared" si="137"/>
        <v>93084</v>
      </c>
      <c r="H4357" s="1406">
        <v>12.72</v>
      </c>
      <c r="I4357" s="1406">
        <v>13.29</v>
      </c>
    </row>
    <row r="4358" spans="2:9" ht="30">
      <c r="B4358" s="677">
        <v>93085</v>
      </c>
      <c r="C4358" s="733" t="s">
        <v>5685</v>
      </c>
      <c r="D4358" s="677" t="s">
        <v>22</v>
      </c>
      <c r="E4358" s="738">
        <f t="shared" si="136"/>
        <v>14.28</v>
      </c>
      <c r="F4358">
        <f t="shared" si="137"/>
        <v>93085</v>
      </c>
      <c r="H4358" s="1405">
        <v>13.5</v>
      </c>
      <c r="I4358" s="1405">
        <v>14.28</v>
      </c>
    </row>
    <row r="4359" spans="2:9" ht="30">
      <c r="B4359" s="1477">
        <v>93086</v>
      </c>
      <c r="C4359" s="740" t="s">
        <v>5686</v>
      </c>
      <c r="D4359" s="739" t="s">
        <v>22</v>
      </c>
      <c r="E4359" s="741">
        <f t="shared" si="136"/>
        <v>493.69</v>
      </c>
      <c r="F4359">
        <f t="shared" si="137"/>
        <v>93086</v>
      </c>
      <c r="H4359" s="1406">
        <v>493.12</v>
      </c>
      <c r="I4359" s="1406">
        <v>493.69</v>
      </c>
    </row>
    <row r="4360" spans="2:9" ht="30">
      <c r="B4360" s="677">
        <v>93087</v>
      </c>
      <c r="C4360" s="733" t="s">
        <v>5687</v>
      </c>
      <c r="D4360" s="677" t="s">
        <v>22</v>
      </c>
      <c r="E4360" s="738">
        <f t="shared" si="136"/>
        <v>18.41</v>
      </c>
      <c r="F4360">
        <f t="shared" si="137"/>
        <v>93087</v>
      </c>
      <c r="H4360" s="1405">
        <v>17.95</v>
      </c>
      <c r="I4360" s="1405">
        <v>18.41</v>
      </c>
    </row>
    <row r="4361" spans="2:9" ht="30">
      <c r="B4361" s="1477">
        <v>93088</v>
      </c>
      <c r="C4361" s="740" t="s">
        <v>5688</v>
      </c>
      <c r="D4361" s="739" t="s">
        <v>22</v>
      </c>
      <c r="E4361" s="741">
        <f t="shared" si="136"/>
        <v>22.8</v>
      </c>
      <c r="F4361">
        <f t="shared" si="137"/>
        <v>93088</v>
      </c>
      <c r="H4361" s="1406">
        <v>22.25</v>
      </c>
      <c r="I4361" s="1406">
        <v>22.8</v>
      </c>
    </row>
    <row r="4362" spans="2:9" ht="30">
      <c r="B4362" s="677">
        <v>93089</v>
      </c>
      <c r="C4362" s="733" t="s">
        <v>5689</v>
      </c>
      <c r="D4362" s="677" t="s">
        <v>22</v>
      </c>
      <c r="E4362" s="738">
        <f t="shared" si="136"/>
        <v>45.1</v>
      </c>
      <c r="F4362">
        <f t="shared" si="137"/>
        <v>93089</v>
      </c>
      <c r="H4362" s="1405">
        <v>44.53</v>
      </c>
      <c r="I4362" s="1405">
        <v>45.1</v>
      </c>
    </row>
    <row r="4363" spans="2:9" ht="30">
      <c r="B4363" s="1477">
        <v>93090</v>
      </c>
      <c r="C4363" s="740" t="s">
        <v>5690</v>
      </c>
      <c r="D4363" s="739" t="s">
        <v>22</v>
      </c>
      <c r="E4363" s="741">
        <f t="shared" si="136"/>
        <v>18.37</v>
      </c>
      <c r="F4363">
        <f t="shared" si="137"/>
        <v>93090</v>
      </c>
      <c r="H4363" s="1406">
        <v>17.75</v>
      </c>
      <c r="I4363" s="1406">
        <v>18.37</v>
      </c>
    </row>
    <row r="4364" spans="2:9" ht="30">
      <c r="B4364" s="677">
        <v>93091</v>
      </c>
      <c r="C4364" s="733" t="s">
        <v>5691</v>
      </c>
      <c r="D4364" s="677" t="s">
        <v>22</v>
      </c>
      <c r="E4364" s="738">
        <f t="shared" si="136"/>
        <v>15.79</v>
      </c>
      <c r="F4364">
        <f t="shared" si="137"/>
        <v>93091</v>
      </c>
      <c r="H4364" s="1405">
        <v>15.2</v>
      </c>
      <c r="I4364" s="1405">
        <v>15.79</v>
      </c>
    </row>
    <row r="4365" spans="2:9" ht="30">
      <c r="B4365" s="1477">
        <v>93092</v>
      </c>
      <c r="C4365" s="740" t="s">
        <v>5692</v>
      </c>
      <c r="D4365" s="739" t="s">
        <v>22</v>
      </c>
      <c r="E4365" s="741">
        <f t="shared" si="136"/>
        <v>542.66999999999996</v>
      </c>
      <c r="F4365">
        <f t="shared" si="137"/>
        <v>93092</v>
      </c>
      <c r="H4365" s="1406">
        <v>542.04999999999995</v>
      </c>
      <c r="I4365" s="1406">
        <v>542.66999999999996</v>
      </c>
    </row>
    <row r="4366" spans="2:9" ht="30">
      <c r="B4366" s="677">
        <v>93093</v>
      </c>
      <c r="C4366" s="733" t="s">
        <v>5693</v>
      </c>
      <c r="D4366" s="677" t="s">
        <v>22</v>
      </c>
      <c r="E4366" s="738">
        <f t="shared" si="136"/>
        <v>28.9</v>
      </c>
      <c r="F4366">
        <f t="shared" si="137"/>
        <v>93093</v>
      </c>
      <c r="H4366" s="1405">
        <v>28.41</v>
      </c>
      <c r="I4366" s="1405">
        <v>28.9</v>
      </c>
    </row>
    <row r="4367" spans="2:9" ht="30">
      <c r="B4367" s="1477">
        <v>93094</v>
      </c>
      <c r="C4367" s="740" t="s">
        <v>5694</v>
      </c>
      <c r="D4367" s="739" t="s">
        <v>22</v>
      </c>
      <c r="E4367" s="741">
        <f t="shared" si="136"/>
        <v>76.87</v>
      </c>
      <c r="F4367">
        <f t="shared" si="137"/>
        <v>93094</v>
      </c>
      <c r="H4367" s="1406">
        <v>76.25</v>
      </c>
      <c r="I4367" s="1406">
        <v>76.87</v>
      </c>
    </row>
    <row r="4368" spans="2:9" ht="30">
      <c r="B4368" s="677">
        <v>93097</v>
      </c>
      <c r="C4368" s="733" t="s">
        <v>5695</v>
      </c>
      <c r="D4368" s="677" t="s">
        <v>22</v>
      </c>
      <c r="E4368" s="738">
        <f t="shared" si="136"/>
        <v>12.94</v>
      </c>
      <c r="F4368">
        <f t="shared" si="137"/>
        <v>93097</v>
      </c>
      <c r="H4368" s="1405">
        <v>12.18</v>
      </c>
      <c r="I4368" s="1405">
        <v>12.94</v>
      </c>
    </row>
    <row r="4369" spans="2:9" ht="30">
      <c r="B4369" s="1477">
        <v>93098</v>
      </c>
      <c r="C4369" s="740" t="s">
        <v>5696</v>
      </c>
      <c r="D4369" s="739" t="s">
        <v>22</v>
      </c>
      <c r="E4369" s="741">
        <f t="shared" si="136"/>
        <v>18.760000000000002</v>
      </c>
      <c r="F4369">
        <f t="shared" si="137"/>
        <v>93098</v>
      </c>
      <c r="H4369" s="1406">
        <v>18.2</v>
      </c>
      <c r="I4369" s="1406">
        <v>18.760000000000002</v>
      </c>
    </row>
    <row r="4370" spans="2:9" ht="30">
      <c r="B4370" s="677">
        <v>93099</v>
      </c>
      <c r="C4370" s="733" t="s">
        <v>5697</v>
      </c>
      <c r="D4370" s="677" t="s">
        <v>22</v>
      </c>
      <c r="E4370" s="738">
        <f t="shared" si="136"/>
        <v>23.14</v>
      </c>
      <c r="F4370">
        <f t="shared" si="137"/>
        <v>93099</v>
      </c>
      <c r="H4370" s="1405">
        <v>22</v>
      </c>
      <c r="I4370" s="1405">
        <v>23.14</v>
      </c>
    </row>
    <row r="4371" spans="2:9" ht="30">
      <c r="B4371" s="1477">
        <v>93100</v>
      </c>
      <c r="C4371" s="740" t="s">
        <v>5698</v>
      </c>
      <c r="D4371" s="739" t="s">
        <v>22</v>
      </c>
      <c r="E4371" s="741">
        <f t="shared" si="136"/>
        <v>27.81</v>
      </c>
      <c r="F4371">
        <f t="shared" si="137"/>
        <v>93100</v>
      </c>
      <c r="H4371" s="1406">
        <v>27.07</v>
      </c>
      <c r="I4371" s="1406">
        <v>27.81</v>
      </c>
    </row>
    <row r="4372" spans="2:9" ht="30">
      <c r="B4372" s="677">
        <v>93101</v>
      </c>
      <c r="C4372" s="733" t="s">
        <v>5699</v>
      </c>
      <c r="D4372" s="677" t="s">
        <v>22</v>
      </c>
      <c r="E4372" s="738">
        <f t="shared" si="136"/>
        <v>31.12</v>
      </c>
      <c r="F4372">
        <f t="shared" si="137"/>
        <v>93101</v>
      </c>
      <c r="H4372" s="1405">
        <v>30.28</v>
      </c>
      <c r="I4372" s="1405">
        <v>31.12</v>
      </c>
    </row>
    <row r="4373" spans="2:9" ht="30">
      <c r="B4373" s="1477">
        <v>93102</v>
      </c>
      <c r="C4373" s="740" t="s">
        <v>5700</v>
      </c>
      <c r="D4373" s="739" t="s">
        <v>22</v>
      </c>
      <c r="E4373" s="741">
        <f t="shared" si="136"/>
        <v>33.31</v>
      </c>
      <c r="F4373">
        <f t="shared" si="137"/>
        <v>93102</v>
      </c>
      <c r="H4373" s="1406">
        <v>31.84</v>
      </c>
      <c r="I4373" s="1406">
        <v>33.31</v>
      </c>
    </row>
    <row r="4374" spans="2:9" ht="30">
      <c r="B4374" s="677">
        <v>93103</v>
      </c>
      <c r="C4374" s="733" t="s">
        <v>5701</v>
      </c>
      <c r="D4374" s="677" t="s">
        <v>22</v>
      </c>
      <c r="E4374" s="738">
        <f t="shared" si="136"/>
        <v>8.43</v>
      </c>
      <c r="F4374">
        <f t="shared" si="137"/>
        <v>93103</v>
      </c>
      <c r="H4374" s="1405">
        <v>7.93</v>
      </c>
      <c r="I4374" s="1405">
        <v>8.43</v>
      </c>
    </row>
    <row r="4375" spans="2:9" ht="30">
      <c r="B4375" s="1477">
        <v>93104</v>
      </c>
      <c r="C4375" s="740" t="s">
        <v>5702</v>
      </c>
      <c r="D4375" s="739" t="s">
        <v>22</v>
      </c>
      <c r="E4375" s="741">
        <f t="shared" si="136"/>
        <v>17.66</v>
      </c>
      <c r="F4375">
        <f t="shared" si="137"/>
        <v>93104</v>
      </c>
      <c r="H4375" s="1406">
        <v>17.23</v>
      </c>
      <c r="I4375" s="1406">
        <v>17.66</v>
      </c>
    </row>
    <row r="4376" spans="2:9" ht="30">
      <c r="B4376" s="677">
        <v>93105</v>
      </c>
      <c r="C4376" s="733" t="s">
        <v>5703</v>
      </c>
      <c r="D4376" s="677" t="s">
        <v>22</v>
      </c>
      <c r="E4376" s="738">
        <f t="shared" si="136"/>
        <v>22.91</v>
      </c>
      <c r="F4376">
        <f t="shared" si="137"/>
        <v>93105</v>
      </c>
      <c r="H4376" s="1405">
        <v>22.41</v>
      </c>
      <c r="I4376" s="1405">
        <v>22.91</v>
      </c>
    </row>
    <row r="4377" spans="2:9" ht="30">
      <c r="B4377" s="1477">
        <v>93106</v>
      </c>
      <c r="C4377" s="740" t="s">
        <v>5704</v>
      </c>
      <c r="D4377" s="739" t="s">
        <v>22</v>
      </c>
      <c r="E4377" s="741">
        <f t="shared" si="136"/>
        <v>425.42</v>
      </c>
      <c r="F4377">
        <f t="shared" si="137"/>
        <v>93106</v>
      </c>
      <c r="H4377" s="1406">
        <v>424.92</v>
      </c>
      <c r="I4377" s="1406">
        <v>425.42</v>
      </c>
    </row>
    <row r="4378" spans="2:9" ht="30">
      <c r="B4378" s="677">
        <v>93107</v>
      </c>
      <c r="C4378" s="733" t="s">
        <v>5705</v>
      </c>
      <c r="D4378" s="677" t="s">
        <v>22</v>
      </c>
      <c r="E4378" s="738">
        <f t="shared" si="136"/>
        <v>15.26</v>
      </c>
      <c r="F4378">
        <f t="shared" si="137"/>
        <v>93107</v>
      </c>
      <c r="H4378" s="1405">
        <v>14.49</v>
      </c>
      <c r="I4378" s="1405">
        <v>15.26</v>
      </c>
    </row>
    <row r="4379" spans="2:9" ht="30">
      <c r="B4379" s="1477">
        <v>93108</v>
      </c>
      <c r="C4379" s="740" t="s">
        <v>5706</v>
      </c>
      <c r="D4379" s="739" t="s">
        <v>22</v>
      </c>
      <c r="E4379" s="741">
        <f t="shared" si="136"/>
        <v>12.84</v>
      </c>
      <c r="F4379">
        <f t="shared" si="137"/>
        <v>93108</v>
      </c>
      <c r="H4379" s="1406">
        <v>12.22</v>
      </c>
      <c r="I4379" s="1406">
        <v>12.84</v>
      </c>
    </row>
    <row r="4380" spans="2:9" ht="30">
      <c r="B4380" s="677">
        <v>93109</v>
      </c>
      <c r="C4380" s="733" t="s">
        <v>5707</v>
      </c>
      <c r="D4380" s="677" t="s">
        <v>22</v>
      </c>
      <c r="E4380" s="738">
        <f t="shared" si="136"/>
        <v>495.66</v>
      </c>
      <c r="F4380">
        <f t="shared" si="137"/>
        <v>93109</v>
      </c>
      <c r="H4380" s="1405">
        <v>494.89</v>
      </c>
      <c r="I4380" s="1405">
        <v>495.66</v>
      </c>
    </row>
    <row r="4381" spans="2:9" ht="30">
      <c r="B4381" s="1477">
        <v>93110</v>
      </c>
      <c r="C4381" s="740" t="s">
        <v>5708</v>
      </c>
      <c r="D4381" s="739" t="s">
        <v>22</v>
      </c>
      <c r="E4381" s="741">
        <f t="shared" si="136"/>
        <v>19.399999999999999</v>
      </c>
      <c r="F4381">
        <f t="shared" si="137"/>
        <v>93110</v>
      </c>
      <c r="H4381" s="1406">
        <v>18.84</v>
      </c>
      <c r="I4381" s="1406">
        <v>19.399999999999999</v>
      </c>
    </row>
    <row r="4382" spans="2:9" ht="30">
      <c r="B4382" s="677">
        <v>93111</v>
      </c>
      <c r="C4382" s="733" t="s">
        <v>5709</v>
      </c>
      <c r="D4382" s="677" t="s">
        <v>22</v>
      </c>
      <c r="E4382" s="738">
        <f t="shared" si="136"/>
        <v>23.5</v>
      </c>
      <c r="F4382">
        <f t="shared" si="137"/>
        <v>93111</v>
      </c>
      <c r="H4382" s="1405">
        <v>22.85</v>
      </c>
      <c r="I4382" s="1405">
        <v>23.5</v>
      </c>
    </row>
    <row r="4383" spans="2:9" ht="30">
      <c r="B4383" s="1477">
        <v>93112</v>
      </c>
      <c r="C4383" s="740" t="s">
        <v>5710</v>
      </c>
      <c r="D4383" s="739" t="s">
        <v>22</v>
      </c>
      <c r="E4383" s="741">
        <f t="shared" si="136"/>
        <v>47.07</v>
      </c>
      <c r="F4383">
        <f t="shared" si="137"/>
        <v>93112</v>
      </c>
      <c r="H4383" s="1406">
        <v>46.3</v>
      </c>
      <c r="I4383" s="1406">
        <v>47.07</v>
      </c>
    </row>
    <row r="4384" spans="2:9" ht="30">
      <c r="B4384" s="677">
        <v>93113</v>
      </c>
      <c r="C4384" s="733" t="s">
        <v>5711</v>
      </c>
      <c r="D4384" s="677" t="s">
        <v>22</v>
      </c>
      <c r="E4384" s="738">
        <f t="shared" si="136"/>
        <v>21.87</v>
      </c>
      <c r="F4384">
        <f t="shared" si="137"/>
        <v>93113</v>
      </c>
      <c r="H4384" s="1405">
        <v>20.89</v>
      </c>
      <c r="I4384" s="1405">
        <v>21.87</v>
      </c>
    </row>
    <row r="4385" spans="2:9" ht="30">
      <c r="B4385" s="1477">
        <v>93114</v>
      </c>
      <c r="C4385" s="740" t="s">
        <v>5712</v>
      </c>
      <c r="D4385" s="739" t="s">
        <v>22</v>
      </c>
      <c r="E4385" s="741">
        <f t="shared" si="136"/>
        <v>30.65</v>
      </c>
      <c r="F4385">
        <f t="shared" si="137"/>
        <v>93114</v>
      </c>
      <c r="H4385" s="1406">
        <v>29.98</v>
      </c>
      <c r="I4385" s="1406">
        <v>30.65</v>
      </c>
    </row>
    <row r="4386" spans="2:9" ht="30">
      <c r="B4386" s="677">
        <v>93115</v>
      </c>
      <c r="C4386" s="733" t="s">
        <v>5713</v>
      </c>
      <c r="D4386" s="677" t="s">
        <v>22</v>
      </c>
      <c r="E4386" s="738">
        <f t="shared" si="136"/>
        <v>80.37</v>
      </c>
      <c r="F4386">
        <f t="shared" si="137"/>
        <v>93115</v>
      </c>
      <c r="H4386" s="1405">
        <v>79.39</v>
      </c>
      <c r="I4386" s="1405">
        <v>80.37</v>
      </c>
    </row>
    <row r="4387" spans="2:9" ht="30">
      <c r="B4387" s="1477">
        <v>93116</v>
      </c>
      <c r="C4387" s="740" t="s">
        <v>5714</v>
      </c>
      <c r="D4387" s="739" t="s">
        <v>22</v>
      </c>
      <c r="E4387" s="741">
        <f t="shared" si="136"/>
        <v>546.16999999999996</v>
      </c>
      <c r="F4387">
        <f t="shared" si="137"/>
        <v>93116</v>
      </c>
      <c r="H4387" s="1406">
        <v>545.19000000000005</v>
      </c>
      <c r="I4387" s="1406">
        <v>546.16999999999996</v>
      </c>
    </row>
    <row r="4388" spans="2:9" ht="30">
      <c r="B4388" s="677">
        <v>93117</v>
      </c>
      <c r="C4388" s="733" t="s">
        <v>5715</v>
      </c>
      <c r="D4388" s="677" t="s">
        <v>22</v>
      </c>
      <c r="E4388" s="738">
        <f t="shared" si="136"/>
        <v>54.89</v>
      </c>
      <c r="F4388">
        <f t="shared" si="137"/>
        <v>93117</v>
      </c>
      <c r="H4388" s="1405">
        <v>54.2</v>
      </c>
      <c r="I4388" s="1405">
        <v>54.89</v>
      </c>
    </row>
    <row r="4389" spans="2:9" ht="30">
      <c r="B4389" s="1477">
        <v>93118</v>
      </c>
      <c r="C4389" s="740" t="s">
        <v>5716</v>
      </c>
      <c r="D4389" s="739" t="s">
        <v>22</v>
      </c>
      <c r="E4389" s="741">
        <f t="shared" si="136"/>
        <v>80.92</v>
      </c>
      <c r="F4389">
        <f t="shared" si="137"/>
        <v>93118</v>
      </c>
      <c r="H4389" s="1406">
        <v>79.88</v>
      </c>
      <c r="I4389" s="1406">
        <v>80.92</v>
      </c>
    </row>
    <row r="4390" spans="2:9" ht="30">
      <c r="B4390" s="677">
        <v>93119</v>
      </c>
      <c r="C4390" s="733" t="s">
        <v>5717</v>
      </c>
      <c r="D4390" s="677" t="s">
        <v>22</v>
      </c>
      <c r="E4390" s="738">
        <f t="shared" si="136"/>
        <v>16.309999999999999</v>
      </c>
      <c r="F4390">
        <f t="shared" si="137"/>
        <v>93119</v>
      </c>
      <c r="H4390" s="1405">
        <v>15.87</v>
      </c>
      <c r="I4390" s="1405">
        <v>16.309999999999999</v>
      </c>
    </row>
    <row r="4391" spans="2:9" ht="30">
      <c r="B4391" s="1477">
        <v>93120</v>
      </c>
      <c r="C4391" s="740" t="s">
        <v>5718</v>
      </c>
      <c r="D4391" s="739" t="s">
        <v>22</v>
      </c>
      <c r="E4391" s="741">
        <f t="shared" si="136"/>
        <v>24.4</v>
      </c>
      <c r="F4391">
        <f t="shared" si="137"/>
        <v>93120</v>
      </c>
      <c r="H4391" s="1406">
        <v>24.01</v>
      </c>
      <c r="I4391" s="1406">
        <v>24.4</v>
      </c>
    </row>
    <row r="4392" spans="2:9" ht="30">
      <c r="B4392" s="677">
        <v>93121</v>
      </c>
      <c r="C4392" s="733" t="s">
        <v>5719</v>
      </c>
      <c r="D4392" s="677" t="s">
        <v>22</v>
      </c>
      <c r="E4392" s="738">
        <f t="shared" si="136"/>
        <v>27.7</v>
      </c>
      <c r="F4392">
        <f t="shared" si="137"/>
        <v>93121</v>
      </c>
      <c r="H4392" s="1405">
        <v>27.22</v>
      </c>
      <c r="I4392" s="1405">
        <v>27.7</v>
      </c>
    </row>
    <row r="4393" spans="2:9" ht="30">
      <c r="B4393" s="1477">
        <v>93122</v>
      </c>
      <c r="C4393" s="740" t="s">
        <v>5720</v>
      </c>
      <c r="D4393" s="739" t="s">
        <v>22</v>
      </c>
      <c r="E4393" s="741">
        <f t="shared" si="136"/>
        <v>24.49</v>
      </c>
      <c r="F4393">
        <f t="shared" si="137"/>
        <v>93122</v>
      </c>
      <c r="H4393" s="1406">
        <v>23.92</v>
      </c>
      <c r="I4393" s="1406">
        <v>24.49</v>
      </c>
    </row>
    <row r="4394" spans="2:9" ht="30">
      <c r="B4394" s="677">
        <v>93123</v>
      </c>
      <c r="C4394" s="733" t="s">
        <v>5721</v>
      </c>
      <c r="D4394" s="677" t="s">
        <v>22</v>
      </c>
      <c r="E4394" s="738">
        <f t="shared" si="136"/>
        <v>54.57</v>
      </c>
      <c r="F4394">
        <f t="shared" si="137"/>
        <v>93123</v>
      </c>
      <c r="H4394" s="1405">
        <v>53.88</v>
      </c>
      <c r="I4394" s="1405">
        <v>54.57</v>
      </c>
    </row>
    <row r="4395" spans="2:9" ht="30">
      <c r="B4395" s="1477">
        <v>93124</v>
      </c>
      <c r="C4395" s="740" t="s">
        <v>5722</v>
      </c>
      <c r="D4395" s="739" t="s">
        <v>22</v>
      </c>
      <c r="E4395" s="741">
        <f t="shared" si="136"/>
        <v>85.68</v>
      </c>
      <c r="F4395">
        <f t="shared" si="137"/>
        <v>93124</v>
      </c>
      <c r="H4395" s="1406">
        <v>84.83</v>
      </c>
      <c r="I4395" s="1406">
        <v>85.68</v>
      </c>
    </row>
    <row r="4396" spans="2:9" ht="30">
      <c r="B4396" s="677">
        <v>93125</v>
      </c>
      <c r="C4396" s="733" t="s">
        <v>5723</v>
      </c>
      <c r="D4396" s="677" t="s">
        <v>22</v>
      </c>
      <c r="E4396" s="738">
        <f t="shared" si="136"/>
        <v>125.97</v>
      </c>
      <c r="F4396">
        <f t="shared" si="137"/>
        <v>93125</v>
      </c>
      <c r="H4396" s="1405">
        <v>124.87</v>
      </c>
      <c r="I4396" s="1405">
        <v>125.97</v>
      </c>
    </row>
    <row r="4397" spans="2:9" ht="30">
      <c r="B4397" s="1477">
        <v>93126</v>
      </c>
      <c r="C4397" s="740" t="s">
        <v>5724</v>
      </c>
      <c r="D4397" s="739" t="s">
        <v>22</v>
      </c>
      <c r="E4397" s="741">
        <f t="shared" si="136"/>
        <v>278.27</v>
      </c>
      <c r="F4397">
        <f t="shared" si="137"/>
        <v>93126</v>
      </c>
      <c r="H4397" s="1406">
        <v>276.92</v>
      </c>
      <c r="I4397" s="1406">
        <v>278.27</v>
      </c>
    </row>
    <row r="4398" spans="2:9" ht="30">
      <c r="B4398" s="677">
        <v>93133</v>
      </c>
      <c r="C4398" s="733" t="s">
        <v>5725</v>
      </c>
      <c r="D4398" s="677" t="s">
        <v>22</v>
      </c>
      <c r="E4398" s="738">
        <f t="shared" si="136"/>
        <v>18.52</v>
      </c>
      <c r="F4398">
        <f t="shared" si="137"/>
        <v>93133</v>
      </c>
      <c r="H4398" s="1405">
        <v>17.649999999999999</v>
      </c>
      <c r="I4398" s="1405">
        <v>18.52</v>
      </c>
    </row>
    <row r="4399" spans="2:9" ht="30">
      <c r="B4399" s="1477">
        <v>94465</v>
      </c>
      <c r="C4399" s="740" t="s">
        <v>1375</v>
      </c>
      <c r="D4399" s="739" t="s">
        <v>22</v>
      </c>
      <c r="E4399" s="741">
        <f t="shared" si="136"/>
        <v>45.16</v>
      </c>
      <c r="F4399">
        <f t="shared" si="137"/>
        <v>94465</v>
      </c>
      <c r="H4399" s="1406">
        <v>43.45</v>
      </c>
      <c r="I4399" s="1406">
        <v>45.16</v>
      </c>
    </row>
    <row r="4400" spans="2:9" ht="30">
      <c r="B4400" s="677">
        <v>94466</v>
      </c>
      <c r="C4400" s="733" t="s">
        <v>1376</v>
      </c>
      <c r="D4400" s="677" t="s">
        <v>22</v>
      </c>
      <c r="E4400" s="738">
        <f t="shared" si="136"/>
        <v>45.18</v>
      </c>
      <c r="F4400">
        <f t="shared" si="137"/>
        <v>94466</v>
      </c>
      <c r="H4400" s="1405">
        <v>43.47</v>
      </c>
      <c r="I4400" s="1405">
        <v>45.18</v>
      </c>
    </row>
    <row r="4401" spans="2:9" ht="30">
      <c r="B4401" s="1477">
        <v>94467</v>
      </c>
      <c r="C4401" s="740" t="s">
        <v>1377</v>
      </c>
      <c r="D4401" s="739" t="s">
        <v>22</v>
      </c>
      <c r="E4401" s="741">
        <f t="shared" si="136"/>
        <v>68.66</v>
      </c>
      <c r="F4401">
        <f t="shared" si="137"/>
        <v>94467</v>
      </c>
      <c r="H4401" s="1406">
        <v>66.95</v>
      </c>
      <c r="I4401" s="1406">
        <v>68.66</v>
      </c>
    </row>
    <row r="4402" spans="2:9" ht="30">
      <c r="B4402" s="677">
        <v>94468</v>
      </c>
      <c r="C4402" s="733" t="s">
        <v>1378</v>
      </c>
      <c r="D4402" s="677" t="s">
        <v>22</v>
      </c>
      <c r="E4402" s="738">
        <f t="shared" si="136"/>
        <v>60.32</v>
      </c>
      <c r="F4402">
        <f t="shared" si="137"/>
        <v>94468</v>
      </c>
      <c r="H4402" s="1405">
        <v>58.61</v>
      </c>
      <c r="I4402" s="1405">
        <v>60.32</v>
      </c>
    </row>
    <row r="4403" spans="2:9" ht="30">
      <c r="B4403" s="1477">
        <v>94469</v>
      </c>
      <c r="C4403" s="740" t="s">
        <v>1379</v>
      </c>
      <c r="D4403" s="739" t="s">
        <v>22</v>
      </c>
      <c r="E4403" s="741">
        <f t="shared" si="136"/>
        <v>99.29</v>
      </c>
      <c r="F4403">
        <f t="shared" si="137"/>
        <v>94469</v>
      </c>
      <c r="H4403" s="1406">
        <v>97.16</v>
      </c>
      <c r="I4403" s="1406">
        <v>99.29</v>
      </c>
    </row>
    <row r="4404" spans="2:9" ht="30">
      <c r="B4404" s="677">
        <v>94470</v>
      </c>
      <c r="C4404" s="733" t="s">
        <v>1380</v>
      </c>
      <c r="D4404" s="677" t="s">
        <v>22</v>
      </c>
      <c r="E4404" s="738">
        <f t="shared" si="136"/>
        <v>91.87</v>
      </c>
      <c r="F4404">
        <f t="shared" si="137"/>
        <v>94470</v>
      </c>
      <c r="H4404" s="1405">
        <v>89.74</v>
      </c>
      <c r="I4404" s="1405">
        <v>91.87</v>
      </c>
    </row>
    <row r="4405" spans="2:9" ht="30">
      <c r="B4405" s="1477">
        <v>94471</v>
      </c>
      <c r="C4405" s="740" t="s">
        <v>1381</v>
      </c>
      <c r="D4405" s="739" t="s">
        <v>22</v>
      </c>
      <c r="E4405" s="741">
        <f t="shared" si="136"/>
        <v>65.23</v>
      </c>
      <c r="F4405">
        <f t="shared" si="137"/>
        <v>94471</v>
      </c>
      <c r="H4405" s="1406">
        <v>62.68</v>
      </c>
      <c r="I4405" s="1406">
        <v>65.23</v>
      </c>
    </row>
    <row r="4406" spans="2:9" ht="30">
      <c r="B4406" s="677">
        <v>94472</v>
      </c>
      <c r="C4406" s="733" t="s">
        <v>1382</v>
      </c>
      <c r="D4406" s="677" t="s">
        <v>22</v>
      </c>
      <c r="E4406" s="738">
        <f t="shared" si="136"/>
        <v>67.09</v>
      </c>
      <c r="F4406">
        <f t="shared" si="137"/>
        <v>94472</v>
      </c>
      <c r="H4406" s="1405">
        <v>64.540000000000006</v>
      </c>
      <c r="I4406" s="1405">
        <v>67.09</v>
      </c>
    </row>
    <row r="4407" spans="2:9" ht="30">
      <c r="B4407" s="1477">
        <v>94473</v>
      </c>
      <c r="C4407" s="740" t="s">
        <v>1383</v>
      </c>
      <c r="D4407" s="739" t="s">
        <v>22</v>
      </c>
      <c r="E4407" s="741">
        <f t="shared" si="136"/>
        <v>98.43</v>
      </c>
      <c r="F4407">
        <f t="shared" si="137"/>
        <v>94473</v>
      </c>
      <c r="H4407" s="1406">
        <v>95.88</v>
      </c>
      <c r="I4407" s="1406">
        <v>98.43</v>
      </c>
    </row>
    <row r="4408" spans="2:9" ht="30">
      <c r="B4408" s="677">
        <v>94474</v>
      </c>
      <c r="C4408" s="733" t="s">
        <v>1384</v>
      </c>
      <c r="D4408" s="677" t="s">
        <v>22</v>
      </c>
      <c r="E4408" s="738">
        <f t="shared" si="136"/>
        <v>106.59</v>
      </c>
      <c r="F4408">
        <f t="shared" si="137"/>
        <v>94474</v>
      </c>
      <c r="H4408" s="1405">
        <v>104.04</v>
      </c>
      <c r="I4408" s="1405">
        <v>106.59</v>
      </c>
    </row>
    <row r="4409" spans="2:9" ht="30">
      <c r="B4409" s="1477">
        <v>94475</v>
      </c>
      <c r="C4409" s="740" t="s">
        <v>1385</v>
      </c>
      <c r="D4409" s="739" t="s">
        <v>22</v>
      </c>
      <c r="E4409" s="741">
        <f t="shared" si="136"/>
        <v>134.86000000000001</v>
      </c>
      <c r="F4409">
        <f t="shared" si="137"/>
        <v>94475</v>
      </c>
      <c r="H4409" s="1406">
        <v>131.69</v>
      </c>
      <c r="I4409" s="1406">
        <v>134.86000000000001</v>
      </c>
    </row>
    <row r="4410" spans="2:9" ht="30">
      <c r="B4410" s="677">
        <v>94476</v>
      </c>
      <c r="C4410" s="733" t="s">
        <v>1386</v>
      </c>
      <c r="D4410" s="677" t="s">
        <v>22</v>
      </c>
      <c r="E4410" s="738">
        <f t="shared" si="136"/>
        <v>150.59</v>
      </c>
      <c r="F4410">
        <f t="shared" si="137"/>
        <v>94476</v>
      </c>
      <c r="H4410" s="1405">
        <v>147.41999999999999</v>
      </c>
      <c r="I4410" s="1405">
        <v>150.59</v>
      </c>
    </row>
    <row r="4411" spans="2:9" ht="30">
      <c r="B4411" s="1477">
        <v>94477</v>
      </c>
      <c r="C4411" s="740" t="s">
        <v>1387</v>
      </c>
      <c r="D4411" s="739" t="s">
        <v>22</v>
      </c>
      <c r="E4411" s="741">
        <f t="shared" si="136"/>
        <v>86.8</v>
      </c>
      <c r="F4411">
        <f t="shared" si="137"/>
        <v>94477</v>
      </c>
      <c r="H4411" s="1406">
        <v>83.41</v>
      </c>
      <c r="I4411" s="1406">
        <v>86.8</v>
      </c>
    </row>
    <row r="4412" spans="2:9" ht="30">
      <c r="B4412" s="677">
        <v>94478</v>
      </c>
      <c r="C4412" s="733" t="s">
        <v>1388</v>
      </c>
      <c r="D4412" s="677" t="s">
        <v>22</v>
      </c>
      <c r="E4412" s="738">
        <f t="shared" si="136"/>
        <v>135.19</v>
      </c>
      <c r="F4412">
        <f t="shared" si="137"/>
        <v>94478</v>
      </c>
      <c r="H4412" s="1405">
        <v>131.80000000000001</v>
      </c>
      <c r="I4412" s="1405">
        <v>135.19</v>
      </c>
    </row>
    <row r="4413" spans="2:9" ht="30">
      <c r="B4413" s="1477">
        <v>94479</v>
      </c>
      <c r="C4413" s="740" t="s">
        <v>1389</v>
      </c>
      <c r="D4413" s="739" t="s">
        <v>22</v>
      </c>
      <c r="E4413" s="741">
        <f t="shared" si="136"/>
        <v>178.18</v>
      </c>
      <c r="F4413">
        <f t="shared" si="137"/>
        <v>94479</v>
      </c>
      <c r="H4413" s="1406">
        <v>173.94</v>
      </c>
      <c r="I4413" s="1406">
        <v>178.18</v>
      </c>
    </row>
    <row r="4414" spans="2:9" ht="30">
      <c r="B4414" s="677">
        <v>94606</v>
      </c>
      <c r="C4414" s="733" t="s">
        <v>2123</v>
      </c>
      <c r="D4414" s="677" t="s">
        <v>22</v>
      </c>
      <c r="E4414" s="738">
        <f t="shared" si="136"/>
        <v>75.86</v>
      </c>
      <c r="F4414">
        <f t="shared" si="137"/>
        <v>94606</v>
      </c>
      <c r="H4414" s="1405">
        <v>73.87</v>
      </c>
      <c r="I4414" s="1405">
        <v>75.86</v>
      </c>
    </row>
    <row r="4415" spans="2:9" ht="30">
      <c r="B4415" s="1477">
        <v>94608</v>
      </c>
      <c r="C4415" s="740" t="s">
        <v>2124</v>
      </c>
      <c r="D4415" s="739" t="s">
        <v>22</v>
      </c>
      <c r="E4415" s="741">
        <f t="shared" si="136"/>
        <v>184.58</v>
      </c>
      <c r="F4415">
        <f t="shared" si="137"/>
        <v>94608</v>
      </c>
      <c r="H4415" s="1406">
        <v>182.59</v>
      </c>
      <c r="I4415" s="1406">
        <v>184.58</v>
      </c>
    </row>
    <row r="4416" spans="2:9" ht="30">
      <c r="B4416" s="677">
        <v>94610</v>
      </c>
      <c r="C4416" s="733" t="s">
        <v>2125</v>
      </c>
      <c r="D4416" s="677" t="s">
        <v>22</v>
      </c>
      <c r="E4416" s="738">
        <f t="shared" si="136"/>
        <v>273.69</v>
      </c>
      <c r="F4416">
        <f t="shared" si="137"/>
        <v>94610</v>
      </c>
      <c r="H4416" s="1405">
        <v>271.51</v>
      </c>
      <c r="I4416" s="1405">
        <v>273.69</v>
      </c>
    </row>
    <row r="4417" spans="2:9" ht="30">
      <c r="B4417" s="1477">
        <v>94612</v>
      </c>
      <c r="C4417" s="740" t="s">
        <v>2126</v>
      </c>
      <c r="D4417" s="739" t="s">
        <v>22</v>
      </c>
      <c r="E4417" s="741">
        <f t="shared" si="136"/>
        <v>383.44</v>
      </c>
      <c r="F4417">
        <f t="shared" si="137"/>
        <v>94612</v>
      </c>
      <c r="H4417" s="1406">
        <v>381.26</v>
      </c>
      <c r="I4417" s="1406">
        <v>383.44</v>
      </c>
    </row>
    <row r="4418" spans="2:9" ht="30">
      <c r="B4418" s="677">
        <v>94614</v>
      </c>
      <c r="C4418" s="733" t="s">
        <v>2127</v>
      </c>
      <c r="D4418" s="677" t="s">
        <v>22</v>
      </c>
      <c r="E4418" s="738">
        <f t="shared" si="136"/>
        <v>128.08000000000001</v>
      </c>
      <c r="F4418">
        <f t="shared" si="137"/>
        <v>94614</v>
      </c>
      <c r="H4418" s="1405">
        <v>125.08</v>
      </c>
      <c r="I4418" s="1405">
        <v>128.08000000000001</v>
      </c>
    </row>
    <row r="4419" spans="2:9" ht="30">
      <c r="B4419" s="1477">
        <v>94615</v>
      </c>
      <c r="C4419" s="740" t="s">
        <v>2128</v>
      </c>
      <c r="D4419" s="739" t="s">
        <v>22</v>
      </c>
      <c r="E4419" s="741">
        <f t="shared" ref="E4419:E4482" si="138">IF($K$2=$H$1,H4419,I4419)</f>
        <v>145.13999999999999</v>
      </c>
      <c r="F4419">
        <f t="shared" ref="F4419:F4482" si="139">IF(LEN($B4419)=7,CONCATENATE(MID($B4419,1,6),"00",RIGHT($B4419,1)),IF(LEN($B4419)=8,CONCATENATE(MID($B4419,1,6),"0",RIGHT($B4419,2)),$B4419))</f>
        <v>94615</v>
      </c>
      <c r="H4419" s="1406">
        <v>142.13999999999999</v>
      </c>
      <c r="I4419" s="1406">
        <v>145.13999999999999</v>
      </c>
    </row>
    <row r="4420" spans="2:9" ht="30">
      <c r="B4420" s="677">
        <v>94616</v>
      </c>
      <c r="C4420" s="733" t="s">
        <v>2129</v>
      </c>
      <c r="D4420" s="677" t="s">
        <v>22</v>
      </c>
      <c r="E4420" s="738">
        <f t="shared" si="138"/>
        <v>352.38</v>
      </c>
      <c r="F4420">
        <f t="shared" si="139"/>
        <v>94616</v>
      </c>
      <c r="H4420" s="1405">
        <v>349.38</v>
      </c>
      <c r="I4420" s="1405">
        <v>352.38</v>
      </c>
    </row>
    <row r="4421" spans="2:9" ht="30">
      <c r="B4421" s="1477">
        <v>94617</v>
      </c>
      <c r="C4421" s="740" t="s">
        <v>2130</v>
      </c>
      <c r="D4421" s="739" t="s">
        <v>22</v>
      </c>
      <c r="E4421" s="741">
        <f t="shared" si="138"/>
        <v>293.04000000000002</v>
      </c>
      <c r="F4421">
        <f t="shared" si="139"/>
        <v>94617</v>
      </c>
      <c r="H4421" s="1406">
        <v>290.04000000000002</v>
      </c>
      <c r="I4421" s="1406">
        <v>293.04000000000002</v>
      </c>
    </row>
    <row r="4422" spans="2:9" ht="30">
      <c r="B4422" s="677">
        <v>94618</v>
      </c>
      <c r="C4422" s="733" t="s">
        <v>2131</v>
      </c>
      <c r="D4422" s="677" t="s">
        <v>22</v>
      </c>
      <c r="E4422" s="738">
        <f t="shared" si="138"/>
        <v>346.27</v>
      </c>
      <c r="F4422">
        <f t="shared" si="139"/>
        <v>94618</v>
      </c>
      <c r="H4422" s="1405">
        <v>343.02</v>
      </c>
      <c r="I4422" s="1405">
        <v>346.27</v>
      </c>
    </row>
    <row r="4423" spans="2:9" ht="30">
      <c r="B4423" s="1477">
        <v>94620</v>
      </c>
      <c r="C4423" s="740" t="s">
        <v>2132</v>
      </c>
      <c r="D4423" s="739" t="s">
        <v>22</v>
      </c>
      <c r="E4423" s="741">
        <f t="shared" si="138"/>
        <v>790.14</v>
      </c>
      <c r="F4423">
        <f t="shared" si="139"/>
        <v>94620</v>
      </c>
      <c r="H4423" s="1406">
        <v>786.89</v>
      </c>
      <c r="I4423" s="1406">
        <v>790.14</v>
      </c>
    </row>
    <row r="4424" spans="2:9" ht="30">
      <c r="B4424" s="677">
        <v>94622</v>
      </c>
      <c r="C4424" s="733" t="s">
        <v>2133</v>
      </c>
      <c r="D4424" s="677" t="s">
        <v>22</v>
      </c>
      <c r="E4424" s="738">
        <f t="shared" si="138"/>
        <v>187.16</v>
      </c>
      <c r="F4424">
        <f t="shared" si="139"/>
        <v>94622</v>
      </c>
      <c r="H4424" s="1405">
        <v>183.18</v>
      </c>
      <c r="I4424" s="1405">
        <v>187.16</v>
      </c>
    </row>
    <row r="4425" spans="2:9" ht="30">
      <c r="B4425" s="1477">
        <v>94623</v>
      </c>
      <c r="C4425" s="740" t="s">
        <v>2134</v>
      </c>
      <c r="D4425" s="739" t="s">
        <v>22</v>
      </c>
      <c r="E4425" s="741">
        <f t="shared" si="138"/>
        <v>436.65</v>
      </c>
      <c r="F4425">
        <f t="shared" si="139"/>
        <v>94623</v>
      </c>
      <c r="H4425" s="1406">
        <v>432.67</v>
      </c>
      <c r="I4425" s="1406">
        <v>436.65</v>
      </c>
    </row>
    <row r="4426" spans="2:9" ht="30">
      <c r="B4426" s="677">
        <v>94624</v>
      </c>
      <c r="C4426" s="733" t="s">
        <v>2135</v>
      </c>
      <c r="D4426" s="677" t="s">
        <v>22</v>
      </c>
      <c r="E4426" s="738">
        <f t="shared" si="138"/>
        <v>663.33</v>
      </c>
      <c r="F4426">
        <f t="shared" si="139"/>
        <v>94624</v>
      </c>
      <c r="H4426" s="1405">
        <v>658.99</v>
      </c>
      <c r="I4426" s="1405">
        <v>663.33</v>
      </c>
    </row>
    <row r="4427" spans="2:9" ht="30">
      <c r="B4427" s="1477">
        <v>94625</v>
      </c>
      <c r="C4427" s="740" t="s">
        <v>2136</v>
      </c>
      <c r="D4427" s="739" t="s">
        <v>22</v>
      </c>
      <c r="E4427" s="741">
        <f t="shared" si="138"/>
        <v>1377.25</v>
      </c>
      <c r="F4427">
        <f t="shared" si="139"/>
        <v>94625</v>
      </c>
      <c r="H4427" s="1406">
        <v>1372.91</v>
      </c>
      <c r="I4427" s="1406">
        <v>1377.25</v>
      </c>
    </row>
    <row r="4428" spans="2:9" ht="30">
      <c r="B4428" s="677">
        <v>94656</v>
      </c>
      <c r="C4428" s="733" t="s">
        <v>1390</v>
      </c>
      <c r="D4428" s="677" t="s">
        <v>22</v>
      </c>
      <c r="E4428" s="738">
        <f t="shared" si="138"/>
        <v>6.45</v>
      </c>
      <c r="F4428">
        <f t="shared" si="139"/>
        <v>94656</v>
      </c>
      <c r="H4428" s="1405">
        <v>6.06</v>
      </c>
      <c r="I4428" s="1405">
        <v>6.45</v>
      </c>
    </row>
    <row r="4429" spans="2:9" ht="30">
      <c r="B4429" s="1477">
        <v>94657</v>
      </c>
      <c r="C4429" s="740" t="s">
        <v>1391</v>
      </c>
      <c r="D4429" s="739" t="s">
        <v>22</v>
      </c>
      <c r="E4429" s="741">
        <f t="shared" si="138"/>
        <v>6.38</v>
      </c>
      <c r="F4429">
        <f t="shared" si="139"/>
        <v>94657</v>
      </c>
      <c r="H4429" s="1406">
        <v>5.99</v>
      </c>
      <c r="I4429" s="1406">
        <v>6.38</v>
      </c>
    </row>
    <row r="4430" spans="2:9" ht="30">
      <c r="B4430" s="677">
        <v>94658</v>
      </c>
      <c r="C4430" s="733" t="s">
        <v>1392</v>
      </c>
      <c r="D4430" s="677" t="s">
        <v>22</v>
      </c>
      <c r="E4430" s="738">
        <f t="shared" si="138"/>
        <v>7.3</v>
      </c>
      <c r="F4430">
        <f t="shared" si="139"/>
        <v>94658</v>
      </c>
      <c r="H4430" s="1405">
        <v>6.91</v>
      </c>
      <c r="I4430" s="1405">
        <v>7.3</v>
      </c>
    </row>
    <row r="4431" spans="2:9" ht="30">
      <c r="B4431" s="1477">
        <v>94659</v>
      </c>
      <c r="C4431" s="740" t="s">
        <v>1393</v>
      </c>
      <c r="D4431" s="739" t="s">
        <v>22</v>
      </c>
      <c r="E4431" s="741">
        <f t="shared" si="138"/>
        <v>7.5</v>
      </c>
      <c r="F4431">
        <f t="shared" si="139"/>
        <v>94659</v>
      </c>
      <c r="H4431" s="1406">
        <v>7.11</v>
      </c>
      <c r="I4431" s="1406">
        <v>7.5</v>
      </c>
    </row>
    <row r="4432" spans="2:9" ht="30">
      <c r="B4432" s="677">
        <v>94660</v>
      </c>
      <c r="C4432" s="733" t="s">
        <v>1394</v>
      </c>
      <c r="D4432" s="677" t="s">
        <v>22</v>
      </c>
      <c r="E4432" s="738">
        <f t="shared" si="138"/>
        <v>12.16</v>
      </c>
      <c r="F4432">
        <f t="shared" si="139"/>
        <v>94660</v>
      </c>
      <c r="H4432" s="1405">
        <v>11.6</v>
      </c>
      <c r="I4432" s="1405">
        <v>12.16</v>
      </c>
    </row>
    <row r="4433" spans="2:9" ht="30">
      <c r="B4433" s="1477">
        <v>94661</v>
      </c>
      <c r="C4433" s="740" t="s">
        <v>1395</v>
      </c>
      <c r="D4433" s="739" t="s">
        <v>22</v>
      </c>
      <c r="E4433" s="741">
        <f t="shared" si="138"/>
        <v>12.69</v>
      </c>
      <c r="F4433">
        <f t="shared" si="139"/>
        <v>94661</v>
      </c>
      <c r="H4433" s="1406">
        <v>12.13</v>
      </c>
      <c r="I4433" s="1406">
        <v>12.69</v>
      </c>
    </row>
    <row r="4434" spans="2:9" ht="30">
      <c r="B4434" s="677">
        <v>94662</v>
      </c>
      <c r="C4434" s="733" t="s">
        <v>1396</v>
      </c>
      <c r="D4434" s="677" t="s">
        <v>22</v>
      </c>
      <c r="E4434" s="738">
        <f t="shared" si="138"/>
        <v>12.88</v>
      </c>
      <c r="F4434">
        <f t="shared" si="139"/>
        <v>94662</v>
      </c>
      <c r="H4434" s="1405">
        <v>12.32</v>
      </c>
      <c r="I4434" s="1405">
        <v>12.88</v>
      </c>
    </row>
    <row r="4435" spans="2:9" ht="30">
      <c r="B4435" s="1477">
        <v>94663</v>
      </c>
      <c r="C4435" s="740" t="s">
        <v>1397</v>
      </c>
      <c r="D4435" s="739" t="s">
        <v>22</v>
      </c>
      <c r="E4435" s="741">
        <f t="shared" si="138"/>
        <v>12.79</v>
      </c>
      <c r="F4435">
        <f t="shared" si="139"/>
        <v>94663</v>
      </c>
      <c r="H4435" s="1406">
        <v>12.23</v>
      </c>
      <c r="I4435" s="1406">
        <v>12.79</v>
      </c>
    </row>
    <row r="4436" spans="2:9" ht="30">
      <c r="B4436" s="677">
        <v>94664</v>
      </c>
      <c r="C4436" s="733" t="s">
        <v>1398</v>
      </c>
      <c r="D4436" s="677" t="s">
        <v>22</v>
      </c>
      <c r="E4436" s="738">
        <f t="shared" si="138"/>
        <v>26.61</v>
      </c>
      <c r="F4436">
        <f t="shared" si="139"/>
        <v>94664</v>
      </c>
      <c r="H4436" s="1405">
        <v>25.71</v>
      </c>
      <c r="I4436" s="1405">
        <v>26.61</v>
      </c>
    </row>
    <row r="4437" spans="2:9" ht="30">
      <c r="B4437" s="1477">
        <v>94665</v>
      </c>
      <c r="C4437" s="740" t="s">
        <v>1399</v>
      </c>
      <c r="D4437" s="739" t="s">
        <v>22</v>
      </c>
      <c r="E4437" s="741">
        <f t="shared" si="138"/>
        <v>28.69</v>
      </c>
      <c r="F4437">
        <f t="shared" si="139"/>
        <v>94665</v>
      </c>
      <c r="H4437" s="1406">
        <v>27.79</v>
      </c>
      <c r="I4437" s="1406">
        <v>28.69</v>
      </c>
    </row>
    <row r="4438" spans="2:9" ht="30">
      <c r="B4438" s="677">
        <v>94666</v>
      </c>
      <c r="C4438" s="733" t="s">
        <v>1400</v>
      </c>
      <c r="D4438" s="677" t="s">
        <v>22</v>
      </c>
      <c r="E4438" s="738">
        <f t="shared" si="138"/>
        <v>34.479999999999997</v>
      </c>
      <c r="F4438">
        <f t="shared" si="139"/>
        <v>94666</v>
      </c>
      <c r="H4438" s="1405">
        <v>33.58</v>
      </c>
      <c r="I4438" s="1405">
        <v>34.479999999999997</v>
      </c>
    </row>
    <row r="4439" spans="2:9" ht="30">
      <c r="B4439" s="1477">
        <v>94667</v>
      </c>
      <c r="C4439" s="740" t="s">
        <v>1401</v>
      </c>
      <c r="D4439" s="739" t="s">
        <v>22</v>
      </c>
      <c r="E4439" s="741">
        <f t="shared" si="138"/>
        <v>34.57</v>
      </c>
      <c r="F4439">
        <f t="shared" si="139"/>
        <v>94667</v>
      </c>
      <c r="H4439" s="1406">
        <v>33.67</v>
      </c>
      <c r="I4439" s="1406">
        <v>34.57</v>
      </c>
    </row>
    <row r="4440" spans="2:9" ht="30">
      <c r="B4440" s="677">
        <v>94668</v>
      </c>
      <c r="C4440" s="733" t="s">
        <v>1402</v>
      </c>
      <c r="D4440" s="677" t="s">
        <v>22</v>
      </c>
      <c r="E4440" s="738">
        <f t="shared" si="138"/>
        <v>54.42</v>
      </c>
      <c r="F4440">
        <f t="shared" si="139"/>
        <v>94668</v>
      </c>
      <c r="H4440" s="1405">
        <v>52.84</v>
      </c>
      <c r="I4440" s="1405">
        <v>54.42</v>
      </c>
    </row>
    <row r="4441" spans="2:9" ht="30">
      <c r="B4441" s="1477">
        <v>94669</v>
      </c>
      <c r="C4441" s="740" t="s">
        <v>1403</v>
      </c>
      <c r="D4441" s="739" t="s">
        <v>22</v>
      </c>
      <c r="E4441" s="741">
        <f t="shared" si="138"/>
        <v>70.64</v>
      </c>
      <c r="F4441">
        <f t="shared" si="139"/>
        <v>94669</v>
      </c>
      <c r="H4441" s="1406">
        <v>69.06</v>
      </c>
      <c r="I4441" s="1406">
        <v>70.64</v>
      </c>
    </row>
    <row r="4442" spans="2:9" ht="30">
      <c r="B4442" s="677">
        <v>94670</v>
      </c>
      <c r="C4442" s="733" t="s">
        <v>1404</v>
      </c>
      <c r="D4442" s="677" t="s">
        <v>22</v>
      </c>
      <c r="E4442" s="738">
        <f t="shared" si="138"/>
        <v>70.069999999999993</v>
      </c>
      <c r="F4442">
        <f t="shared" si="139"/>
        <v>94670</v>
      </c>
      <c r="H4442" s="1405">
        <v>68.489999999999995</v>
      </c>
      <c r="I4442" s="1405">
        <v>70.069999999999993</v>
      </c>
    </row>
    <row r="4443" spans="2:9" ht="30">
      <c r="B4443" s="1477">
        <v>94671</v>
      </c>
      <c r="C4443" s="740" t="s">
        <v>1405</v>
      </c>
      <c r="D4443" s="739" t="s">
        <v>22</v>
      </c>
      <c r="E4443" s="741">
        <f t="shared" si="138"/>
        <v>99.75</v>
      </c>
      <c r="F4443">
        <f t="shared" si="139"/>
        <v>94671</v>
      </c>
      <c r="H4443" s="1406">
        <v>98.17</v>
      </c>
      <c r="I4443" s="1406">
        <v>99.75</v>
      </c>
    </row>
    <row r="4444" spans="2:9" ht="30">
      <c r="B4444" s="677">
        <v>94672</v>
      </c>
      <c r="C4444" s="733" t="s">
        <v>1406</v>
      </c>
      <c r="D4444" s="677" t="s">
        <v>22</v>
      </c>
      <c r="E4444" s="738">
        <f t="shared" si="138"/>
        <v>9.7799999999999994</v>
      </c>
      <c r="F4444">
        <f t="shared" si="139"/>
        <v>94672</v>
      </c>
      <c r="H4444" s="1405">
        <v>9.19</v>
      </c>
      <c r="I4444" s="1405">
        <v>9.7799999999999994</v>
      </c>
    </row>
    <row r="4445" spans="2:9" ht="30">
      <c r="B4445" s="1477">
        <v>94673</v>
      </c>
      <c r="C4445" s="740" t="s">
        <v>1407</v>
      </c>
      <c r="D4445" s="739" t="s">
        <v>22</v>
      </c>
      <c r="E4445" s="741">
        <f t="shared" si="138"/>
        <v>10.31</v>
      </c>
      <c r="F4445">
        <f t="shared" si="139"/>
        <v>94673</v>
      </c>
      <c r="H4445" s="1406">
        <v>9.7200000000000006</v>
      </c>
      <c r="I4445" s="1406">
        <v>10.31</v>
      </c>
    </row>
    <row r="4446" spans="2:9" ht="30">
      <c r="B4446" s="677">
        <v>94674</v>
      </c>
      <c r="C4446" s="733" t="s">
        <v>1408</v>
      </c>
      <c r="D4446" s="677" t="s">
        <v>22</v>
      </c>
      <c r="E4446" s="738">
        <f t="shared" si="138"/>
        <v>9.77</v>
      </c>
      <c r="F4446">
        <f t="shared" si="139"/>
        <v>94674</v>
      </c>
      <c r="H4446" s="1405">
        <v>9.18</v>
      </c>
      <c r="I4446" s="1405">
        <v>9.77</v>
      </c>
    </row>
    <row r="4447" spans="2:9" ht="30">
      <c r="B4447" s="1477">
        <v>94675</v>
      </c>
      <c r="C4447" s="740" t="s">
        <v>1409</v>
      </c>
      <c r="D4447" s="739" t="s">
        <v>22</v>
      </c>
      <c r="E4447" s="741">
        <f t="shared" si="138"/>
        <v>13.61</v>
      </c>
      <c r="F4447">
        <f t="shared" si="139"/>
        <v>94675</v>
      </c>
      <c r="H4447" s="1406">
        <v>13.02</v>
      </c>
      <c r="I4447" s="1406">
        <v>13.61</v>
      </c>
    </row>
    <row r="4448" spans="2:9" ht="30">
      <c r="B4448" s="677">
        <v>94676</v>
      </c>
      <c r="C4448" s="733" t="s">
        <v>1410</v>
      </c>
      <c r="D4448" s="677" t="s">
        <v>22</v>
      </c>
      <c r="E4448" s="738">
        <f t="shared" si="138"/>
        <v>16.91</v>
      </c>
      <c r="F4448">
        <f t="shared" si="139"/>
        <v>94676</v>
      </c>
      <c r="H4448" s="1405">
        <v>16.079999999999998</v>
      </c>
      <c r="I4448" s="1405">
        <v>16.91</v>
      </c>
    </row>
    <row r="4449" spans="2:9" ht="30">
      <c r="B4449" s="1477">
        <v>94677</v>
      </c>
      <c r="C4449" s="740" t="s">
        <v>1411</v>
      </c>
      <c r="D4449" s="739" t="s">
        <v>22</v>
      </c>
      <c r="E4449" s="741">
        <f t="shared" si="138"/>
        <v>22.73</v>
      </c>
      <c r="F4449">
        <f t="shared" si="139"/>
        <v>94677</v>
      </c>
      <c r="H4449" s="1406">
        <v>21.9</v>
      </c>
      <c r="I4449" s="1406">
        <v>22.73</v>
      </c>
    </row>
    <row r="4450" spans="2:9" ht="30">
      <c r="B4450" s="677">
        <v>94678</v>
      </c>
      <c r="C4450" s="733" t="s">
        <v>1412</v>
      </c>
      <c r="D4450" s="677" t="s">
        <v>22</v>
      </c>
      <c r="E4450" s="738">
        <f t="shared" si="138"/>
        <v>16.05</v>
      </c>
      <c r="F4450">
        <f t="shared" si="139"/>
        <v>94678</v>
      </c>
      <c r="H4450" s="1405">
        <v>15.22</v>
      </c>
      <c r="I4450" s="1405">
        <v>16.05</v>
      </c>
    </row>
    <row r="4451" spans="2:9" ht="30">
      <c r="B4451" s="1477">
        <v>94679</v>
      </c>
      <c r="C4451" s="740" t="s">
        <v>1413</v>
      </c>
      <c r="D4451" s="739" t="s">
        <v>22</v>
      </c>
      <c r="E4451" s="741">
        <f t="shared" si="138"/>
        <v>23.71</v>
      </c>
      <c r="F4451">
        <f t="shared" si="139"/>
        <v>94679</v>
      </c>
      <c r="H4451" s="1406">
        <v>22.88</v>
      </c>
      <c r="I4451" s="1406">
        <v>23.71</v>
      </c>
    </row>
    <row r="4452" spans="2:9" ht="30">
      <c r="B4452" s="677">
        <v>94680</v>
      </c>
      <c r="C4452" s="733" t="s">
        <v>1414</v>
      </c>
      <c r="D4452" s="677" t="s">
        <v>22</v>
      </c>
      <c r="E4452" s="738">
        <f t="shared" si="138"/>
        <v>47.83</v>
      </c>
      <c r="F4452">
        <f t="shared" si="139"/>
        <v>94680</v>
      </c>
      <c r="H4452" s="1405">
        <v>46.48</v>
      </c>
      <c r="I4452" s="1405">
        <v>47.83</v>
      </c>
    </row>
    <row r="4453" spans="2:9" ht="30">
      <c r="B4453" s="1477">
        <v>94681</v>
      </c>
      <c r="C4453" s="740" t="s">
        <v>1415</v>
      </c>
      <c r="D4453" s="739" t="s">
        <v>22</v>
      </c>
      <c r="E4453" s="741">
        <f t="shared" si="138"/>
        <v>52.73</v>
      </c>
      <c r="F4453">
        <f t="shared" si="139"/>
        <v>94681</v>
      </c>
      <c r="H4453" s="1406">
        <v>51.38</v>
      </c>
      <c r="I4453" s="1406">
        <v>52.73</v>
      </c>
    </row>
    <row r="4454" spans="2:9" ht="30">
      <c r="B4454" s="677">
        <v>94682</v>
      </c>
      <c r="C4454" s="733" t="s">
        <v>1416</v>
      </c>
      <c r="D4454" s="677" t="s">
        <v>22</v>
      </c>
      <c r="E4454" s="738">
        <f t="shared" si="138"/>
        <v>101.5</v>
      </c>
      <c r="F4454">
        <f t="shared" si="139"/>
        <v>94682</v>
      </c>
      <c r="H4454" s="1405">
        <v>100.15</v>
      </c>
      <c r="I4454" s="1405">
        <v>101.5</v>
      </c>
    </row>
    <row r="4455" spans="2:9" ht="30">
      <c r="B4455" s="1477">
        <v>94683</v>
      </c>
      <c r="C4455" s="740" t="s">
        <v>1417</v>
      </c>
      <c r="D4455" s="739" t="s">
        <v>22</v>
      </c>
      <c r="E4455" s="741">
        <f t="shared" si="138"/>
        <v>70.09</v>
      </c>
      <c r="F4455">
        <f t="shared" si="139"/>
        <v>94683</v>
      </c>
      <c r="H4455" s="1406">
        <v>68.739999999999995</v>
      </c>
      <c r="I4455" s="1406">
        <v>70.09</v>
      </c>
    </row>
    <row r="4456" spans="2:9" ht="30">
      <c r="B4456" s="677">
        <v>94684</v>
      </c>
      <c r="C4456" s="733" t="s">
        <v>1418</v>
      </c>
      <c r="D4456" s="677" t="s">
        <v>22</v>
      </c>
      <c r="E4456" s="738">
        <f t="shared" si="138"/>
        <v>133.58000000000001</v>
      </c>
      <c r="F4456">
        <f t="shared" si="139"/>
        <v>94684</v>
      </c>
      <c r="H4456" s="1405">
        <v>131.21</v>
      </c>
      <c r="I4456" s="1405">
        <v>133.58000000000001</v>
      </c>
    </row>
    <row r="4457" spans="2:9" ht="30">
      <c r="B4457" s="1477">
        <v>94685</v>
      </c>
      <c r="C4457" s="740" t="s">
        <v>1419</v>
      </c>
      <c r="D4457" s="739" t="s">
        <v>22</v>
      </c>
      <c r="E4457" s="741">
        <f t="shared" si="138"/>
        <v>100.29</v>
      </c>
      <c r="F4457">
        <f t="shared" si="139"/>
        <v>94685</v>
      </c>
      <c r="H4457" s="1406">
        <v>97.92</v>
      </c>
      <c r="I4457" s="1406">
        <v>100.29</v>
      </c>
    </row>
    <row r="4458" spans="2:9" ht="30">
      <c r="B4458" s="677">
        <v>94686</v>
      </c>
      <c r="C4458" s="733" t="s">
        <v>1420</v>
      </c>
      <c r="D4458" s="677" t="s">
        <v>22</v>
      </c>
      <c r="E4458" s="738">
        <f t="shared" si="138"/>
        <v>233.21</v>
      </c>
      <c r="F4458">
        <f t="shared" si="139"/>
        <v>94686</v>
      </c>
      <c r="H4458" s="1405">
        <v>230.84</v>
      </c>
      <c r="I4458" s="1405">
        <v>233.21</v>
      </c>
    </row>
    <row r="4459" spans="2:9" ht="30">
      <c r="B4459" s="1477">
        <v>94687</v>
      </c>
      <c r="C4459" s="740" t="s">
        <v>1421</v>
      </c>
      <c r="D4459" s="739" t="s">
        <v>22</v>
      </c>
      <c r="E4459" s="741">
        <f t="shared" si="138"/>
        <v>211.11</v>
      </c>
      <c r="F4459">
        <f t="shared" si="139"/>
        <v>94687</v>
      </c>
      <c r="H4459" s="1406">
        <v>208.74</v>
      </c>
      <c r="I4459" s="1406">
        <v>211.11</v>
      </c>
    </row>
    <row r="4460" spans="2:9" ht="30">
      <c r="B4460" s="677">
        <v>94688</v>
      </c>
      <c r="C4460" s="733" t="s">
        <v>1422</v>
      </c>
      <c r="D4460" s="677" t="s">
        <v>22</v>
      </c>
      <c r="E4460" s="738">
        <f t="shared" si="138"/>
        <v>11.29</v>
      </c>
      <c r="F4460">
        <f t="shared" si="139"/>
        <v>94688</v>
      </c>
      <c r="H4460" s="1405">
        <v>10.51</v>
      </c>
      <c r="I4460" s="1405">
        <v>11.29</v>
      </c>
    </row>
    <row r="4461" spans="2:9" ht="30">
      <c r="B4461" s="1477">
        <v>94689</v>
      </c>
      <c r="C4461" s="740" t="s">
        <v>1423</v>
      </c>
      <c r="D4461" s="739" t="s">
        <v>22</v>
      </c>
      <c r="E4461" s="741">
        <f t="shared" si="138"/>
        <v>14.17</v>
      </c>
      <c r="F4461">
        <f t="shared" si="139"/>
        <v>94689</v>
      </c>
      <c r="H4461" s="1406">
        <v>13.39</v>
      </c>
      <c r="I4461" s="1406">
        <v>14.17</v>
      </c>
    </row>
    <row r="4462" spans="2:9" ht="30">
      <c r="B4462" s="677">
        <v>94690</v>
      </c>
      <c r="C4462" s="733" t="s">
        <v>1424</v>
      </c>
      <c r="D4462" s="677" t="s">
        <v>22</v>
      </c>
      <c r="E4462" s="738">
        <f t="shared" si="138"/>
        <v>13.74</v>
      </c>
      <c r="F4462">
        <f t="shared" si="139"/>
        <v>94690</v>
      </c>
      <c r="H4462" s="1405">
        <v>12.96</v>
      </c>
      <c r="I4462" s="1405">
        <v>13.74</v>
      </c>
    </row>
    <row r="4463" spans="2:9" ht="30">
      <c r="B4463" s="1477">
        <v>94691</v>
      </c>
      <c r="C4463" s="740" t="s">
        <v>1425</v>
      </c>
      <c r="D4463" s="739" t="s">
        <v>22</v>
      </c>
      <c r="E4463" s="741">
        <f t="shared" si="138"/>
        <v>16.510000000000002</v>
      </c>
      <c r="F4463">
        <f t="shared" si="139"/>
        <v>94691</v>
      </c>
      <c r="H4463" s="1406">
        <v>15.73</v>
      </c>
      <c r="I4463" s="1406">
        <v>16.510000000000002</v>
      </c>
    </row>
    <row r="4464" spans="2:9" ht="30">
      <c r="B4464" s="677">
        <v>94692</v>
      </c>
      <c r="C4464" s="733" t="s">
        <v>1426</v>
      </c>
      <c r="D4464" s="677" t="s">
        <v>22</v>
      </c>
      <c r="E4464" s="738">
        <f t="shared" si="138"/>
        <v>24.4</v>
      </c>
      <c r="F4464">
        <f t="shared" si="139"/>
        <v>94692</v>
      </c>
      <c r="H4464" s="1405">
        <v>23.3</v>
      </c>
      <c r="I4464" s="1405">
        <v>24.4</v>
      </c>
    </row>
    <row r="4465" spans="2:9" ht="30">
      <c r="B4465" s="1477">
        <v>94693</v>
      </c>
      <c r="C4465" s="740" t="s">
        <v>1427</v>
      </c>
      <c r="D4465" s="739" t="s">
        <v>22</v>
      </c>
      <c r="E4465" s="741">
        <f t="shared" si="138"/>
        <v>23.88</v>
      </c>
      <c r="F4465">
        <f t="shared" si="139"/>
        <v>94693</v>
      </c>
      <c r="H4465" s="1406">
        <v>22.78</v>
      </c>
      <c r="I4465" s="1406">
        <v>23.88</v>
      </c>
    </row>
    <row r="4466" spans="2:9" ht="30">
      <c r="B4466" s="677">
        <v>94694</v>
      </c>
      <c r="C4466" s="733" t="s">
        <v>1428</v>
      </c>
      <c r="D4466" s="677" t="s">
        <v>22</v>
      </c>
      <c r="E4466" s="738">
        <f t="shared" si="138"/>
        <v>24.8</v>
      </c>
      <c r="F4466">
        <f t="shared" si="139"/>
        <v>94694</v>
      </c>
      <c r="H4466" s="1405">
        <v>23.7</v>
      </c>
      <c r="I4466" s="1405">
        <v>24.8</v>
      </c>
    </row>
    <row r="4467" spans="2:9" ht="30">
      <c r="B4467" s="1477">
        <v>94695</v>
      </c>
      <c r="C4467" s="740" t="s">
        <v>1429</v>
      </c>
      <c r="D4467" s="739" t="s">
        <v>22</v>
      </c>
      <c r="E4467" s="741">
        <f t="shared" si="138"/>
        <v>32.83</v>
      </c>
      <c r="F4467">
        <f t="shared" si="139"/>
        <v>94695</v>
      </c>
      <c r="H4467" s="1406">
        <v>31.73</v>
      </c>
      <c r="I4467" s="1406">
        <v>32.83</v>
      </c>
    </row>
    <row r="4468" spans="2:9" ht="30">
      <c r="B4468" s="677">
        <v>94696</v>
      </c>
      <c r="C4468" s="733" t="s">
        <v>1430</v>
      </c>
      <c r="D4468" s="677" t="s">
        <v>22</v>
      </c>
      <c r="E4468" s="738">
        <f t="shared" si="138"/>
        <v>57.84</v>
      </c>
      <c r="F4468">
        <f t="shared" si="139"/>
        <v>94696</v>
      </c>
      <c r="H4468" s="1405">
        <v>56.05</v>
      </c>
      <c r="I4468" s="1405">
        <v>57.84</v>
      </c>
    </row>
    <row r="4469" spans="2:9" ht="30">
      <c r="B4469" s="1477">
        <v>94697</v>
      </c>
      <c r="C4469" s="740" t="s">
        <v>1431</v>
      </c>
      <c r="D4469" s="739" t="s">
        <v>22</v>
      </c>
      <c r="E4469" s="741">
        <f t="shared" si="138"/>
        <v>83.02</v>
      </c>
      <c r="F4469">
        <f t="shared" si="139"/>
        <v>94697</v>
      </c>
      <c r="H4469" s="1406">
        <v>81.23</v>
      </c>
      <c r="I4469" s="1406">
        <v>83.02</v>
      </c>
    </row>
    <row r="4470" spans="2:9" ht="30">
      <c r="B4470" s="677">
        <v>94698</v>
      </c>
      <c r="C4470" s="733" t="s">
        <v>1432</v>
      </c>
      <c r="D4470" s="677" t="s">
        <v>22</v>
      </c>
      <c r="E4470" s="738">
        <f t="shared" si="138"/>
        <v>68.91</v>
      </c>
      <c r="F4470">
        <f t="shared" si="139"/>
        <v>94698</v>
      </c>
      <c r="H4470" s="1405">
        <v>67.12</v>
      </c>
      <c r="I4470" s="1405">
        <v>68.91</v>
      </c>
    </row>
    <row r="4471" spans="2:9" ht="30">
      <c r="B4471" s="1477">
        <v>94699</v>
      </c>
      <c r="C4471" s="740" t="s">
        <v>1433</v>
      </c>
      <c r="D4471" s="739" t="s">
        <v>22</v>
      </c>
      <c r="E4471" s="741">
        <f t="shared" si="138"/>
        <v>125.29</v>
      </c>
      <c r="F4471">
        <f t="shared" si="139"/>
        <v>94699</v>
      </c>
      <c r="H4471" s="1406">
        <v>122.13</v>
      </c>
      <c r="I4471" s="1406">
        <v>125.29</v>
      </c>
    </row>
    <row r="4472" spans="2:9" ht="30">
      <c r="B4472" s="677">
        <v>94700</v>
      </c>
      <c r="C4472" s="733" t="s">
        <v>1434</v>
      </c>
      <c r="D4472" s="677" t="s">
        <v>22</v>
      </c>
      <c r="E4472" s="738">
        <f t="shared" si="138"/>
        <v>144.63</v>
      </c>
      <c r="F4472">
        <f t="shared" si="139"/>
        <v>94700</v>
      </c>
      <c r="H4472" s="1405">
        <v>141.47</v>
      </c>
      <c r="I4472" s="1405">
        <v>144.63</v>
      </c>
    </row>
    <row r="4473" spans="2:9" ht="30">
      <c r="B4473" s="1477">
        <v>94701</v>
      </c>
      <c r="C4473" s="740" t="s">
        <v>1435</v>
      </c>
      <c r="D4473" s="739" t="s">
        <v>22</v>
      </c>
      <c r="E4473" s="741">
        <f t="shared" si="138"/>
        <v>210.49</v>
      </c>
      <c r="F4473">
        <f t="shared" si="139"/>
        <v>94701</v>
      </c>
      <c r="H4473" s="1406">
        <v>207.33</v>
      </c>
      <c r="I4473" s="1406">
        <v>210.49</v>
      </c>
    </row>
    <row r="4474" spans="2:9" ht="30">
      <c r="B4474" s="677">
        <v>94702</v>
      </c>
      <c r="C4474" s="733" t="s">
        <v>1436</v>
      </c>
      <c r="D4474" s="677" t="s">
        <v>22</v>
      </c>
      <c r="E4474" s="738">
        <f t="shared" si="138"/>
        <v>186.45</v>
      </c>
      <c r="F4474">
        <f t="shared" si="139"/>
        <v>94702</v>
      </c>
      <c r="H4474" s="1405">
        <v>183.29</v>
      </c>
      <c r="I4474" s="1405">
        <v>186.45</v>
      </c>
    </row>
    <row r="4475" spans="2:9" ht="30">
      <c r="B4475" s="1477">
        <v>94703</v>
      </c>
      <c r="C4475" s="740" t="s">
        <v>1437</v>
      </c>
      <c r="D4475" s="739" t="s">
        <v>22</v>
      </c>
      <c r="E4475" s="741">
        <f t="shared" si="138"/>
        <v>20.16</v>
      </c>
      <c r="F4475">
        <f t="shared" si="139"/>
        <v>94703</v>
      </c>
      <c r="H4475" s="1406">
        <v>19.5</v>
      </c>
      <c r="I4475" s="1406">
        <v>20.16</v>
      </c>
    </row>
    <row r="4476" spans="2:9" ht="30">
      <c r="B4476" s="677">
        <v>94704</v>
      </c>
      <c r="C4476" s="733" t="s">
        <v>508</v>
      </c>
      <c r="D4476" s="677" t="s">
        <v>22</v>
      </c>
      <c r="E4476" s="738">
        <f t="shared" si="138"/>
        <v>26.07</v>
      </c>
      <c r="F4476">
        <f t="shared" si="139"/>
        <v>94704</v>
      </c>
      <c r="H4476" s="1405">
        <v>25.41</v>
      </c>
      <c r="I4476" s="1405">
        <v>26.07</v>
      </c>
    </row>
    <row r="4477" spans="2:9" ht="30">
      <c r="B4477" s="1477">
        <v>94705</v>
      </c>
      <c r="C4477" s="740" t="s">
        <v>1438</v>
      </c>
      <c r="D4477" s="739" t="s">
        <v>22</v>
      </c>
      <c r="E4477" s="741">
        <f t="shared" si="138"/>
        <v>34.83</v>
      </c>
      <c r="F4477">
        <f t="shared" si="139"/>
        <v>94705</v>
      </c>
      <c r="H4477" s="1406">
        <v>34.17</v>
      </c>
      <c r="I4477" s="1406">
        <v>34.83</v>
      </c>
    </row>
    <row r="4478" spans="2:9" ht="30">
      <c r="B4478" s="677">
        <v>94706</v>
      </c>
      <c r="C4478" s="733" t="s">
        <v>1439</v>
      </c>
      <c r="D4478" s="677" t="s">
        <v>22</v>
      </c>
      <c r="E4478" s="738">
        <f t="shared" si="138"/>
        <v>42.76</v>
      </c>
      <c r="F4478">
        <f t="shared" si="139"/>
        <v>94706</v>
      </c>
      <c r="H4478" s="1405">
        <v>41.88</v>
      </c>
      <c r="I4478" s="1405">
        <v>42.76</v>
      </c>
    </row>
    <row r="4479" spans="2:9" ht="30">
      <c r="B4479" s="1477">
        <v>94707</v>
      </c>
      <c r="C4479" s="740" t="s">
        <v>509</v>
      </c>
      <c r="D4479" s="739" t="s">
        <v>22</v>
      </c>
      <c r="E4479" s="741">
        <f t="shared" si="138"/>
        <v>61.4</v>
      </c>
      <c r="F4479">
        <f t="shared" si="139"/>
        <v>94707</v>
      </c>
      <c r="H4479" s="1406">
        <v>60.52</v>
      </c>
      <c r="I4479" s="1406">
        <v>61.4</v>
      </c>
    </row>
    <row r="4480" spans="2:9" ht="30">
      <c r="B4480" s="677">
        <v>94713</v>
      </c>
      <c r="C4480" s="733" t="s">
        <v>1440</v>
      </c>
      <c r="D4480" s="677" t="s">
        <v>22</v>
      </c>
      <c r="E4480" s="738">
        <f t="shared" si="138"/>
        <v>226.88</v>
      </c>
      <c r="F4480">
        <f t="shared" si="139"/>
        <v>94713</v>
      </c>
      <c r="H4480" s="1405">
        <v>225.38</v>
      </c>
      <c r="I4480" s="1405">
        <v>226.88</v>
      </c>
    </row>
    <row r="4481" spans="2:9" ht="30">
      <c r="B4481" s="1477">
        <v>94714</v>
      </c>
      <c r="C4481" s="740" t="s">
        <v>1441</v>
      </c>
      <c r="D4481" s="739" t="s">
        <v>22</v>
      </c>
      <c r="E4481" s="741">
        <f t="shared" si="138"/>
        <v>314.16000000000003</v>
      </c>
      <c r="F4481">
        <f t="shared" si="139"/>
        <v>94714</v>
      </c>
      <c r="H4481" s="1406">
        <v>312.66000000000003</v>
      </c>
      <c r="I4481" s="1406">
        <v>314.16000000000003</v>
      </c>
    </row>
    <row r="4482" spans="2:9" ht="30">
      <c r="B4482" s="677">
        <v>94715</v>
      </c>
      <c r="C4482" s="733" t="s">
        <v>1442</v>
      </c>
      <c r="D4482" s="677" t="s">
        <v>22</v>
      </c>
      <c r="E4482" s="738">
        <f t="shared" si="138"/>
        <v>277.82</v>
      </c>
      <c r="F4482">
        <f t="shared" si="139"/>
        <v>94715</v>
      </c>
      <c r="H4482" s="1405">
        <v>276.32</v>
      </c>
      <c r="I4482" s="1405">
        <v>277.82</v>
      </c>
    </row>
    <row r="4483" spans="2:9" ht="30">
      <c r="B4483" s="1477">
        <v>94724</v>
      </c>
      <c r="C4483" s="740" t="s">
        <v>1443</v>
      </c>
      <c r="D4483" s="739" t="s">
        <v>22</v>
      </c>
      <c r="E4483" s="741">
        <f t="shared" ref="E4483:E4546" si="140">IF($K$2=$H$1,H4483,I4483)</f>
        <v>25.3</v>
      </c>
      <c r="F4483">
        <f t="shared" ref="F4483:F4546" si="141">IF(LEN($B4483)=7,CONCATENATE(MID($B4483,1,6),"00",RIGHT($B4483,1)),IF(LEN($B4483)=8,CONCATENATE(MID($B4483,1,6),"0",RIGHT($B4483,2)),$B4483))</f>
        <v>94724</v>
      </c>
      <c r="H4483" s="1406">
        <v>24.94</v>
      </c>
      <c r="I4483" s="1406">
        <v>25.3</v>
      </c>
    </row>
    <row r="4484" spans="2:9" ht="30">
      <c r="B4484" s="677">
        <v>94725</v>
      </c>
      <c r="C4484" s="733" t="s">
        <v>1444</v>
      </c>
      <c r="D4484" s="677" t="s">
        <v>22</v>
      </c>
      <c r="E4484" s="738">
        <f t="shared" si="140"/>
        <v>6.37</v>
      </c>
      <c r="F4484">
        <f t="shared" si="141"/>
        <v>94725</v>
      </c>
      <c r="H4484" s="1405">
        <v>6.01</v>
      </c>
      <c r="I4484" s="1405">
        <v>6.37</v>
      </c>
    </row>
    <row r="4485" spans="2:9" ht="30">
      <c r="B4485" s="1477">
        <v>94726</v>
      </c>
      <c r="C4485" s="740" t="s">
        <v>1445</v>
      </c>
      <c r="D4485" s="739" t="s">
        <v>22</v>
      </c>
      <c r="E4485" s="741">
        <f t="shared" si="140"/>
        <v>31.42</v>
      </c>
      <c r="F4485">
        <f t="shared" si="141"/>
        <v>94726</v>
      </c>
      <c r="H4485" s="1406">
        <v>31.06</v>
      </c>
      <c r="I4485" s="1406">
        <v>31.42</v>
      </c>
    </row>
    <row r="4486" spans="2:9" ht="30">
      <c r="B4486" s="677">
        <v>94727</v>
      </c>
      <c r="C4486" s="733" t="s">
        <v>1446</v>
      </c>
      <c r="D4486" s="677" t="s">
        <v>22</v>
      </c>
      <c r="E4486" s="738">
        <f t="shared" si="140"/>
        <v>9.18</v>
      </c>
      <c r="F4486">
        <f t="shared" si="141"/>
        <v>94727</v>
      </c>
      <c r="H4486" s="1405">
        <v>8.82</v>
      </c>
      <c r="I4486" s="1405">
        <v>9.18</v>
      </c>
    </row>
    <row r="4487" spans="2:9" ht="30">
      <c r="B4487" s="1477">
        <v>94728</v>
      </c>
      <c r="C4487" s="740" t="s">
        <v>1447</v>
      </c>
      <c r="D4487" s="739" t="s">
        <v>22</v>
      </c>
      <c r="E4487" s="741">
        <f t="shared" si="140"/>
        <v>49.33</v>
      </c>
      <c r="F4487">
        <f t="shared" si="141"/>
        <v>94728</v>
      </c>
      <c r="H4487" s="1406">
        <v>48.85</v>
      </c>
      <c r="I4487" s="1406">
        <v>49.33</v>
      </c>
    </row>
    <row r="4488" spans="2:9" ht="30">
      <c r="B4488" s="677">
        <v>94729</v>
      </c>
      <c r="C4488" s="733" t="s">
        <v>1448</v>
      </c>
      <c r="D4488" s="677" t="s">
        <v>22</v>
      </c>
      <c r="E4488" s="738">
        <f t="shared" si="140"/>
        <v>16.940000000000001</v>
      </c>
      <c r="F4488">
        <f t="shared" si="141"/>
        <v>94729</v>
      </c>
      <c r="H4488" s="1405">
        <v>16.46</v>
      </c>
      <c r="I4488" s="1405">
        <v>16.940000000000001</v>
      </c>
    </row>
    <row r="4489" spans="2:9" ht="30">
      <c r="B4489" s="1477">
        <v>94730</v>
      </c>
      <c r="C4489" s="740" t="s">
        <v>1449</v>
      </c>
      <c r="D4489" s="739" t="s">
        <v>22</v>
      </c>
      <c r="E4489" s="741">
        <f t="shared" si="140"/>
        <v>59.14</v>
      </c>
      <c r="F4489">
        <f t="shared" si="141"/>
        <v>94730</v>
      </c>
      <c r="H4489" s="1406">
        <v>58.66</v>
      </c>
      <c r="I4489" s="1406">
        <v>59.14</v>
      </c>
    </row>
    <row r="4490" spans="2:9" ht="30">
      <c r="B4490" s="677">
        <v>94731</v>
      </c>
      <c r="C4490" s="733" t="s">
        <v>1450</v>
      </c>
      <c r="D4490" s="677" t="s">
        <v>22</v>
      </c>
      <c r="E4490" s="738">
        <f t="shared" si="140"/>
        <v>21.3</v>
      </c>
      <c r="F4490">
        <f t="shared" si="141"/>
        <v>94731</v>
      </c>
      <c r="H4490" s="1405">
        <v>20.82</v>
      </c>
      <c r="I4490" s="1405">
        <v>21.3</v>
      </c>
    </row>
    <row r="4491" spans="2:9" ht="30">
      <c r="B4491" s="1477">
        <v>94732</v>
      </c>
      <c r="C4491" s="740" t="s">
        <v>7093</v>
      </c>
      <c r="D4491" s="739" t="s">
        <v>22</v>
      </c>
      <c r="E4491" s="741">
        <f t="shared" si="140"/>
        <v>96.68</v>
      </c>
      <c r="F4491">
        <f t="shared" si="141"/>
        <v>94732</v>
      </c>
      <c r="H4491" s="1406">
        <v>95.85</v>
      </c>
      <c r="I4491" s="1406">
        <v>96.68</v>
      </c>
    </row>
    <row r="4492" spans="2:9" ht="30">
      <c r="B4492" s="677">
        <v>94733</v>
      </c>
      <c r="C4492" s="733" t="s">
        <v>1451</v>
      </c>
      <c r="D4492" s="677" t="s">
        <v>22</v>
      </c>
      <c r="E4492" s="738">
        <f t="shared" si="140"/>
        <v>40.549999999999997</v>
      </c>
      <c r="F4492">
        <f t="shared" si="141"/>
        <v>94733</v>
      </c>
      <c r="H4492" s="1405">
        <v>39.72</v>
      </c>
      <c r="I4492" s="1405">
        <v>40.549999999999997</v>
      </c>
    </row>
    <row r="4493" spans="2:9" ht="30">
      <c r="B4493" s="1477">
        <v>94734</v>
      </c>
      <c r="C4493" s="740" t="s">
        <v>7094</v>
      </c>
      <c r="D4493" s="739" t="s">
        <v>22</v>
      </c>
      <c r="E4493" s="741">
        <f t="shared" si="140"/>
        <v>346.22</v>
      </c>
      <c r="F4493">
        <f t="shared" si="141"/>
        <v>94734</v>
      </c>
      <c r="H4493" s="1406">
        <v>345.39</v>
      </c>
      <c r="I4493" s="1406">
        <v>346.22</v>
      </c>
    </row>
    <row r="4494" spans="2:9" ht="30">
      <c r="B4494" s="677">
        <v>94736</v>
      </c>
      <c r="C4494" s="733" t="s">
        <v>7095</v>
      </c>
      <c r="D4494" s="677" t="s">
        <v>22</v>
      </c>
      <c r="E4494" s="738">
        <f t="shared" si="140"/>
        <v>507.17</v>
      </c>
      <c r="F4494">
        <f t="shared" si="141"/>
        <v>94736</v>
      </c>
      <c r="H4494" s="1405">
        <v>505.49</v>
      </c>
      <c r="I4494" s="1405">
        <v>507.17</v>
      </c>
    </row>
    <row r="4495" spans="2:9" ht="30">
      <c r="B4495" s="1477">
        <v>94737</v>
      </c>
      <c r="C4495" s="740" t="s">
        <v>1452</v>
      </c>
      <c r="D4495" s="739" t="s">
        <v>22</v>
      </c>
      <c r="E4495" s="741">
        <f t="shared" si="140"/>
        <v>169.97</v>
      </c>
      <c r="F4495">
        <f t="shared" si="141"/>
        <v>94737</v>
      </c>
      <c r="H4495" s="1406">
        <v>168.29</v>
      </c>
      <c r="I4495" s="1406">
        <v>169.97</v>
      </c>
    </row>
    <row r="4496" spans="2:9" ht="30">
      <c r="B4496" s="677">
        <v>94738</v>
      </c>
      <c r="C4496" s="733" t="s">
        <v>7096</v>
      </c>
      <c r="D4496" s="677" t="s">
        <v>22</v>
      </c>
      <c r="E4496" s="738">
        <f t="shared" si="140"/>
        <v>1517.81</v>
      </c>
      <c r="F4496">
        <f t="shared" si="141"/>
        <v>94738</v>
      </c>
      <c r="H4496" s="1405">
        <v>1516.13</v>
      </c>
      <c r="I4496" s="1405">
        <v>1517.81</v>
      </c>
    </row>
    <row r="4497" spans="2:9" ht="30">
      <c r="B4497" s="1477">
        <v>94739</v>
      </c>
      <c r="C4497" s="740" t="s">
        <v>7097</v>
      </c>
      <c r="D4497" s="739" t="s">
        <v>22</v>
      </c>
      <c r="E4497" s="741">
        <f t="shared" si="140"/>
        <v>194.71</v>
      </c>
      <c r="F4497">
        <f t="shared" si="141"/>
        <v>94739</v>
      </c>
      <c r="H4497" s="1406">
        <v>193.03</v>
      </c>
      <c r="I4497" s="1406">
        <v>194.71</v>
      </c>
    </row>
    <row r="4498" spans="2:9" ht="30">
      <c r="B4498" s="677">
        <v>94740</v>
      </c>
      <c r="C4498" s="733" t="s">
        <v>1453</v>
      </c>
      <c r="D4498" s="677" t="s">
        <v>22</v>
      </c>
      <c r="E4498" s="738">
        <f t="shared" si="140"/>
        <v>9.94</v>
      </c>
      <c r="F4498">
        <f t="shared" si="141"/>
        <v>94740</v>
      </c>
      <c r="H4498" s="1405">
        <v>9.39</v>
      </c>
      <c r="I4498" s="1405">
        <v>9.94</v>
      </c>
    </row>
    <row r="4499" spans="2:9" ht="30">
      <c r="B4499" s="1477">
        <v>94741</v>
      </c>
      <c r="C4499" s="740" t="s">
        <v>1454</v>
      </c>
      <c r="D4499" s="739" t="s">
        <v>22</v>
      </c>
      <c r="E4499" s="741">
        <f t="shared" si="140"/>
        <v>12.68</v>
      </c>
      <c r="F4499">
        <f t="shared" si="141"/>
        <v>94741</v>
      </c>
      <c r="H4499" s="1406">
        <v>12.13</v>
      </c>
      <c r="I4499" s="1406">
        <v>12.68</v>
      </c>
    </row>
    <row r="4500" spans="2:9" ht="30">
      <c r="B4500" s="677">
        <v>94742</v>
      </c>
      <c r="C4500" s="733" t="s">
        <v>1455</v>
      </c>
      <c r="D4500" s="677" t="s">
        <v>22</v>
      </c>
      <c r="E4500" s="738">
        <f t="shared" si="140"/>
        <v>14.6</v>
      </c>
      <c r="F4500">
        <f t="shared" si="141"/>
        <v>94742</v>
      </c>
      <c r="H4500" s="1405">
        <v>14.05</v>
      </c>
      <c r="I4500" s="1405">
        <v>14.6</v>
      </c>
    </row>
    <row r="4501" spans="2:9" ht="30">
      <c r="B4501" s="1477">
        <v>94743</v>
      </c>
      <c r="C4501" s="740" t="s">
        <v>1456</v>
      </c>
      <c r="D4501" s="739" t="s">
        <v>22</v>
      </c>
      <c r="E4501" s="741">
        <f t="shared" si="140"/>
        <v>18.73</v>
      </c>
      <c r="F4501">
        <f t="shared" si="141"/>
        <v>94743</v>
      </c>
      <c r="H4501" s="1406">
        <v>18.18</v>
      </c>
      <c r="I4501" s="1406">
        <v>18.73</v>
      </c>
    </row>
    <row r="4502" spans="2:9" ht="30">
      <c r="B4502" s="677">
        <v>94744</v>
      </c>
      <c r="C4502" s="733" t="s">
        <v>1457</v>
      </c>
      <c r="D4502" s="677" t="s">
        <v>22</v>
      </c>
      <c r="E4502" s="738">
        <f t="shared" si="140"/>
        <v>23.7</v>
      </c>
      <c r="F4502">
        <f t="shared" si="141"/>
        <v>94744</v>
      </c>
      <c r="H4502" s="1405">
        <v>22.99</v>
      </c>
      <c r="I4502" s="1405">
        <v>23.7</v>
      </c>
    </row>
    <row r="4503" spans="2:9" ht="30">
      <c r="B4503" s="1477">
        <v>94746</v>
      </c>
      <c r="C4503" s="740" t="s">
        <v>1458</v>
      </c>
      <c r="D4503" s="739" t="s">
        <v>22</v>
      </c>
      <c r="E4503" s="741">
        <f t="shared" si="140"/>
        <v>32.270000000000003</v>
      </c>
      <c r="F4503">
        <f t="shared" si="141"/>
        <v>94746</v>
      </c>
      <c r="H4503" s="1406">
        <v>31.56</v>
      </c>
      <c r="I4503" s="1406">
        <v>32.270000000000003</v>
      </c>
    </row>
    <row r="4504" spans="2:9" ht="30">
      <c r="B4504" s="677">
        <v>94748</v>
      </c>
      <c r="C4504" s="733" t="s">
        <v>1459</v>
      </c>
      <c r="D4504" s="677" t="s">
        <v>22</v>
      </c>
      <c r="E4504" s="738">
        <f t="shared" si="140"/>
        <v>75.849999999999994</v>
      </c>
      <c r="F4504">
        <f t="shared" si="141"/>
        <v>94748</v>
      </c>
      <c r="H4504" s="1405">
        <v>74.599999999999994</v>
      </c>
      <c r="I4504" s="1405">
        <v>75.849999999999994</v>
      </c>
    </row>
    <row r="4505" spans="2:9" ht="30">
      <c r="B4505" s="1477">
        <v>94750</v>
      </c>
      <c r="C4505" s="740" t="s">
        <v>1460</v>
      </c>
      <c r="D4505" s="739" t="s">
        <v>22</v>
      </c>
      <c r="E4505" s="741">
        <f t="shared" si="140"/>
        <v>147.69</v>
      </c>
      <c r="F4505">
        <f t="shared" si="141"/>
        <v>94750</v>
      </c>
      <c r="H4505" s="1406">
        <v>146.44</v>
      </c>
      <c r="I4505" s="1406">
        <v>147.69</v>
      </c>
    </row>
    <row r="4506" spans="2:9" ht="30">
      <c r="B4506" s="677">
        <v>94752</v>
      </c>
      <c r="C4506" s="733" t="s">
        <v>1461</v>
      </c>
      <c r="D4506" s="677" t="s">
        <v>22</v>
      </c>
      <c r="E4506" s="738">
        <f t="shared" si="140"/>
        <v>180.93</v>
      </c>
      <c r="F4506">
        <f t="shared" si="141"/>
        <v>94752</v>
      </c>
      <c r="H4506" s="1405">
        <v>178.41</v>
      </c>
      <c r="I4506" s="1405">
        <v>180.93</v>
      </c>
    </row>
    <row r="4507" spans="2:9" ht="30">
      <c r="B4507" s="1477">
        <v>94754</v>
      </c>
      <c r="C4507" s="740" t="s">
        <v>7098</v>
      </c>
      <c r="D4507" s="739" t="s">
        <v>22</v>
      </c>
      <c r="E4507" s="741">
        <f t="shared" si="140"/>
        <v>241.95</v>
      </c>
      <c r="F4507">
        <f t="shared" si="141"/>
        <v>94754</v>
      </c>
      <c r="H4507" s="1406">
        <v>239.43</v>
      </c>
      <c r="I4507" s="1406">
        <v>241.95</v>
      </c>
    </row>
    <row r="4508" spans="2:9" ht="30">
      <c r="B4508" s="677">
        <v>94756</v>
      </c>
      <c r="C4508" s="733" t="s">
        <v>1462</v>
      </c>
      <c r="D4508" s="677" t="s">
        <v>22</v>
      </c>
      <c r="E4508" s="738">
        <f t="shared" si="140"/>
        <v>12.49</v>
      </c>
      <c r="F4508">
        <f t="shared" si="141"/>
        <v>94756</v>
      </c>
      <c r="H4508" s="1405">
        <v>11.76</v>
      </c>
      <c r="I4508" s="1405">
        <v>12.49</v>
      </c>
    </row>
    <row r="4509" spans="2:9" ht="30">
      <c r="B4509" s="1477">
        <v>94757</v>
      </c>
      <c r="C4509" s="740" t="s">
        <v>1463</v>
      </c>
      <c r="D4509" s="739" t="s">
        <v>22</v>
      </c>
      <c r="E4509" s="741">
        <f t="shared" si="140"/>
        <v>17.170000000000002</v>
      </c>
      <c r="F4509">
        <f t="shared" si="141"/>
        <v>94757</v>
      </c>
      <c r="H4509" s="1406">
        <v>16.440000000000001</v>
      </c>
      <c r="I4509" s="1406">
        <v>17.170000000000002</v>
      </c>
    </row>
    <row r="4510" spans="2:9" ht="30">
      <c r="B4510" s="677">
        <v>94758</v>
      </c>
      <c r="C4510" s="733" t="s">
        <v>1464</v>
      </c>
      <c r="D4510" s="677" t="s">
        <v>22</v>
      </c>
      <c r="E4510" s="738">
        <f t="shared" si="140"/>
        <v>46.18</v>
      </c>
      <c r="F4510">
        <f t="shared" si="141"/>
        <v>94758</v>
      </c>
      <c r="H4510" s="1405">
        <v>45.22</v>
      </c>
      <c r="I4510" s="1405">
        <v>46.18</v>
      </c>
    </row>
    <row r="4511" spans="2:9" ht="30">
      <c r="B4511" s="1477">
        <v>94759</v>
      </c>
      <c r="C4511" s="740" t="s">
        <v>1465</v>
      </c>
      <c r="D4511" s="739" t="s">
        <v>22</v>
      </c>
      <c r="E4511" s="741">
        <f t="shared" si="140"/>
        <v>56.32</v>
      </c>
      <c r="F4511">
        <f t="shared" si="141"/>
        <v>94759</v>
      </c>
      <c r="H4511" s="1406">
        <v>55.36</v>
      </c>
      <c r="I4511" s="1406">
        <v>56.32</v>
      </c>
    </row>
    <row r="4512" spans="2:9" ht="30">
      <c r="B4512" s="677">
        <v>94760</v>
      </c>
      <c r="C4512" s="733" t="s">
        <v>1466</v>
      </c>
      <c r="D4512" s="677" t="s">
        <v>22</v>
      </c>
      <c r="E4512" s="738">
        <f t="shared" si="140"/>
        <v>94.5</v>
      </c>
      <c r="F4512">
        <f t="shared" si="141"/>
        <v>94760</v>
      </c>
      <c r="H4512" s="1405">
        <v>92.83</v>
      </c>
      <c r="I4512" s="1405">
        <v>94.5</v>
      </c>
    </row>
    <row r="4513" spans="2:9" ht="30">
      <c r="B4513" s="1477">
        <v>94761</v>
      </c>
      <c r="C4513" s="740" t="s">
        <v>1467</v>
      </c>
      <c r="D4513" s="739" t="s">
        <v>22</v>
      </c>
      <c r="E4513" s="741">
        <f t="shared" si="140"/>
        <v>197.77</v>
      </c>
      <c r="F4513">
        <f t="shared" si="141"/>
        <v>94761</v>
      </c>
      <c r="H4513" s="1406">
        <v>196.1</v>
      </c>
      <c r="I4513" s="1406">
        <v>197.77</v>
      </c>
    </row>
    <row r="4514" spans="2:9" ht="30">
      <c r="B4514" s="677">
        <v>94762</v>
      </c>
      <c r="C4514" s="733" t="s">
        <v>1468</v>
      </c>
      <c r="D4514" s="677" t="s">
        <v>22</v>
      </c>
      <c r="E4514" s="738">
        <f t="shared" si="140"/>
        <v>244.1</v>
      </c>
      <c r="F4514">
        <f t="shared" si="141"/>
        <v>94762</v>
      </c>
      <c r="H4514" s="1405">
        <v>240.74</v>
      </c>
      <c r="I4514" s="1405">
        <v>244.1</v>
      </c>
    </row>
    <row r="4515" spans="2:9" ht="30">
      <c r="B4515" s="1477">
        <v>94763</v>
      </c>
      <c r="C4515" s="740" t="s">
        <v>7099</v>
      </c>
      <c r="D4515" s="739" t="s">
        <v>22</v>
      </c>
      <c r="E4515" s="741">
        <f t="shared" si="140"/>
        <v>296.14</v>
      </c>
      <c r="F4515">
        <f t="shared" si="141"/>
        <v>94763</v>
      </c>
      <c r="H4515" s="1406">
        <v>292.77999999999997</v>
      </c>
      <c r="I4515" s="1406">
        <v>296.14</v>
      </c>
    </row>
    <row r="4516" spans="2:9" ht="30">
      <c r="B4516" s="677">
        <v>94764</v>
      </c>
      <c r="C4516" s="733" t="s">
        <v>7100</v>
      </c>
      <c r="D4516" s="677" t="s">
        <v>22</v>
      </c>
      <c r="E4516" s="738">
        <f t="shared" si="140"/>
        <v>34.76</v>
      </c>
      <c r="F4516">
        <f t="shared" si="141"/>
        <v>94764</v>
      </c>
      <c r="H4516" s="1405">
        <v>34.01</v>
      </c>
      <c r="I4516" s="1405">
        <v>34.76</v>
      </c>
    </row>
    <row r="4517" spans="2:9" ht="30">
      <c r="B4517" s="1477">
        <v>94765</v>
      </c>
      <c r="C4517" s="740" t="s">
        <v>7101</v>
      </c>
      <c r="D4517" s="739" t="s">
        <v>22</v>
      </c>
      <c r="E4517" s="741">
        <f t="shared" si="140"/>
        <v>37.72</v>
      </c>
      <c r="F4517">
        <f t="shared" si="141"/>
        <v>94765</v>
      </c>
      <c r="H4517" s="1406">
        <v>36.97</v>
      </c>
      <c r="I4517" s="1406">
        <v>37.72</v>
      </c>
    </row>
    <row r="4518" spans="2:9" ht="30">
      <c r="B4518" s="677">
        <v>94766</v>
      </c>
      <c r="C4518" s="733" t="s">
        <v>7102</v>
      </c>
      <c r="D4518" s="677" t="s">
        <v>22</v>
      </c>
      <c r="E4518" s="738">
        <f t="shared" si="140"/>
        <v>41.64</v>
      </c>
      <c r="F4518">
        <f t="shared" si="141"/>
        <v>94766</v>
      </c>
      <c r="H4518" s="1405">
        <v>40.89</v>
      </c>
      <c r="I4518" s="1405">
        <v>41.64</v>
      </c>
    </row>
    <row r="4519" spans="2:9" ht="30">
      <c r="B4519" s="1477">
        <v>94767</v>
      </c>
      <c r="C4519" s="740" t="s">
        <v>7103</v>
      </c>
      <c r="D4519" s="739" t="s">
        <v>22</v>
      </c>
      <c r="E4519" s="741">
        <f t="shared" si="140"/>
        <v>61.53</v>
      </c>
      <c r="F4519">
        <f t="shared" si="141"/>
        <v>94767</v>
      </c>
      <c r="H4519" s="1406">
        <v>60.78</v>
      </c>
      <c r="I4519" s="1406">
        <v>61.53</v>
      </c>
    </row>
    <row r="4520" spans="2:9" ht="30">
      <c r="B4520" s="677">
        <v>94768</v>
      </c>
      <c r="C4520" s="733" t="s">
        <v>7104</v>
      </c>
      <c r="D4520" s="677" t="s">
        <v>22</v>
      </c>
      <c r="E4520" s="738">
        <f t="shared" si="140"/>
        <v>69.260000000000005</v>
      </c>
      <c r="F4520">
        <f t="shared" si="141"/>
        <v>94768</v>
      </c>
      <c r="H4520" s="1405">
        <v>68.510000000000005</v>
      </c>
      <c r="I4520" s="1405">
        <v>69.260000000000005</v>
      </c>
    </row>
    <row r="4521" spans="2:9" ht="30">
      <c r="B4521" s="1477">
        <v>94769</v>
      </c>
      <c r="C4521" s="740" t="s">
        <v>7105</v>
      </c>
      <c r="D4521" s="739" t="s">
        <v>22</v>
      </c>
      <c r="E4521" s="741">
        <f t="shared" si="140"/>
        <v>95.13</v>
      </c>
      <c r="F4521">
        <f t="shared" si="141"/>
        <v>94769</v>
      </c>
      <c r="H4521" s="1406">
        <v>94.14</v>
      </c>
      <c r="I4521" s="1406">
        <v>95.13</v>
      </c>
    </row>
    <row r="4522" spans="2:9" ht="30">
      <c r="B4522" s="677">
        <v>94770</v>
      </c>
      <c r="C4522" s="733" t="s">
        <v>7106</v>
      </c>
      <c r="D4522" s="677" t="s">
        <v>22</v>
      </c>
      <c r="E4522" s="738">
        <f t="shared" si="140"/>
        <v>39.729999999999997</v>
      </c>
      <c r="F4522">
        <f t="shared" si="141"/>
        <v>94770</v>
      </c>
      <c r="H4522" s="1405">
        <v>38.46</v>
      </c>
      <c r="I4522" s="1405">
        <v>39.729999999999997</v>
      </c>
    </row>
    <row r="4523" spans="2:9" ht="30">
      <c r="B4523" s="1477">
        <v>94771</v>
      </c>
      <c r="C4523" s="740" t="s">
        <v>7107</v>
      </c>
      <c r="D4523" s="739" t="s">
        <v>22</v>
      </c>
      <c r="E4523" s="741">
        <f t="shared" si="140"/>
        <v>42.69</v>
      </c>
      <c r="F4523">
        <f t="shared" si="141"/>
        <v>94771</v>
      </c>
      <c r="H4523" s="1406">
        <v>41.42</v>
      </c>
      <c r="I4523" s="1406">
        <v>42.69</v>
      </c>
    </row>
    <row r="4524" spans="2:9" ht="30">
      <c r="B4524" s="677">
        <v>94772</v>
      </c>
      <c r="C4524" s="733" t="s">
        <v>7108</v>
      </c>
      <c r="D4524" s="677" t="s">
        <v>22</v>
      </c>
      <c r="E4524" s="738">
        <f t="shared" si="140"/>
        <v>46.61</v>
      </c>
      <c r="F4524">
        <f t="shared" si="141"/>
        <v>94772</v>
      </c>
      <c r="H4524" s="1405">
        <v>45.34</v>
      </c>
      <c r="I4524" s="1405">
        <v>46.61</v>
      </c>
    </row>
    <row r="4525" spans="2:9" ht="30">
      <c r="B4525" s="1477">
        <v>94773</v>
      </c>
      <c r="C4525" s="740" t="s">
        <v>7109</v>
      </c>
      <c r="D4525" s="739" t="s">
        <v>22</v>
      </c>
      <c r="E4525" s="741">
        <f t="shared" si="140"/>
        <v>66.5</v>
      </c>
      <c r="F4525">
        <f t="shared" si="141"/>
        <v>94773</v>
      </c>
      <c r="H4525" s="1406">
        <v>65.23</v>
      </c>
      <c r="I4525" s="1406">
        <v>66.5</v>
      </c>
    </row>
    <row r="4526" spans="2:9" ht="30">
      <c r="B4526" s="677">
        <v>94774</v>
      </c>
      <c r="C4526" s="733" t="s">
        <v>7110</v>
      </c>
      <c r="D4526" s="677" t="s">
        <v>22</v>
      </c>
      <c r="E4526" s="738">
        <f t="shared" si="140"/>
        <v>74.23</v>
      </c>
      <c r="F4526">
        <f t="shared" si="141"/>
        <v>94774</v>
      </c>
      <c r="H4526" s="1405">
        <v>72.959999999999994</v>
      </c>
      <c r="I4526" s="1405">
        <v>74.23</v>
      </c>
    </row>
    <row r="4527" spans="2:9" ht="30">
      <c r="B4527" s="1477">
        <v>94775</v>
      </c>
      <c r="C4527" s="740" t="s">
        <v>7111</v>
      </c>
      <c r="D4527" s="739" t="s">
        <v>22</v>
      </c>
      <c r="E4527" s="741">
        <f t="shared" si="140"/>
        <v>101.73</v>
      </c>
      <c r="F4527">
        <f t="shared" si="141"/>
        <v>94775</v>
      </c>
      <c r="H4527" s="1406">
        <v>100.04</v>
      </c>
      <c r="I4527" s="1406">
        <v>101.73</v>
      </c>
    </row>
    <row r="4528" spans="2:9" ht="30">
      <c r="B4528" s="677">
        <v>94783</v>
      </c>
      <c r="C4528" s="733" t="s">
        <v>1469</v>
      </c>
      <c r="D4528" s="677" t="s">
        <v>22</v>
      </c>
      <c r="E4528" s="738">
        <f t="shared" si="140"/>
        <v>19.21</v>
      </c>
      <c r="F4528">
        <f t="shared" si="141"/>
        <v>94783</v>
      </c>
      <c r="H4528" s="1405">
        <v>18.55</v>
      </c>
      <c r="I4528" s="1405">
        <v>19.21</v>
      </c>
    </row>
    <row r="4529" spans="2:9" ht="30">
      <c r="B4529" s="1477">
        <v>94785</v>
      </c>
      <c r="C4529" s="740" t="s">
        <v>1470</v>
      </c>
      <c r="D4529" s="739" t="s">
        <v>22</v>
      </c>
      <c r="E4529" s="741">
        <f t="shared" si="140"/>
        <v>23.2</v>
      </c>
      <c r="F4529">
        <f t="shared" si="141"/>
        <v>94785</v>
      </c>
      <c r="H4529" s="1406">
        <v>22.07</v>
      </c>
      <c r="I4529" s="1406">
        <v>23.2</v>
      </c>
    </row>
    <row r="4530" spans="2:9" ht="30">
      <c r="B4530" s="677">
        <v>94789</v>
      </c>
      <c r="C4530" s="733" t="s">
        <v>510</v>
      </c>
      <c r="D4530" s="677" t="s">
        <v>22</v>
      </c>
      <c r="E4530" s="738">
        <f t="shared" si="140"/>
        <v>217.01</v>
      </c>
      <c r="F4530">
        <f t="shared" si="141"/>
        <v>94789</v>
      </c>
      <c r="H4530" s="1405">
        <v>215.51</v>
      </c>
      <c r="I4530" s="1405">
        <v>217.01</v>
      </c>
    </row>
    <row r="4531" spans="2:9" ht="30">
      <c r="B4531" s="1477">
        <v>94790</v>
      </c>
      <c r="C4531" s="740" t="s">
        <v>1471</v>
      </c>
      <c r="D4531" s="739" t="s">
        <v>22</v>
      </c>
      <c r="E4531" s="741">
        <f t="shared" si="140"/>
        <v>297.58999999999997</v>
      </c>
      <c r="F4531">
        <f t="shared" si="141"/>
        <v>94790</v>
      </c>
      <c r="H4531" s="1406">
        <v>296.08999999999997</v>
      </c>
      <c r="I4531" s="1406">
        <v>297.58999999999997</v>
      </c>
    </row>
    <row r="4532" spans="2:9" ht="30">
      <c r="B4532" s="677">
        <v>94791</v>
      </c>
      <c r="C4532" s="733" t="s">
        <v>1472</v>
      </c>
      <c r="D4532" s="677" t="s">
        <v>22</v>
      </c>
      <c r="E4532" s="738">
        <f t="shared" si="140"/>
        <v>390.98</v>
      </c>
      <c r="F4532">
        <f t="shared" si="141"/>
        <v>94791</v>
      </c>
      <c r="H4532" s="1405">
        <v>389.48</v>
      </c>
      <c r="I4532" s="1405">
        <v>390.98</v>
      </c>
    </row>
    <row r="4533" spans="2:9" ht="30">
      <c r="B4533" s="1477">
        <v>94863</v>
      </c>
      <c r="C4533" s="740" t="s">
        <v>1473</v>
      </c>
      <c r="D4533" s="739" t="s">
        <v>22</v>
      </c>
      <c r="E4533" s="741">
        <f t="shared" si="140"/>
        <v>141.66999999999999</v>
      </c>
      <c r="F4533">
        <f t="shared" si="141"/>
        <v>94863</v>
      </c>
      <c r="H4533" s="1406">
        <v>140.84</v>
      </c>
      <c r="I4533" s="1406">
        <v>141.66999999999999</v>
      </c>
    </row>
    <row r="4534" spans="2:9" ht="30">
      <c r="B4534" s="677">
        <v>95237</v>
      </c>
      <c r="C4534" s="733" t="s">
        <v>6306</v>
      </c>
      <c r="D4534" s="677" t="s">
        <v>22</v>
      </c>
      <c r="E4534" s="738">
        <f t="shared" si="140"/>
        <v>22.64</v>
      </c>
      <c r="F4534">
        <f t="shared" si="141"/>
        <v>95237</v>
      </c>
      <c r="H4534" s="1405">
        <v>22.16</v>
      </c>
      <c r="I4534" s="1405">
        <v>22.64</v>
      </c>
    </row>
    <row r="4535" spans="2:9" ht="30">
      <c r="B4535" s="1477">
        <v>95693</v>
      </c>
      <c r="C4535" s="740" t="s">
        <v>6598</v>
      </c>
      <c r="D4535" s="739" t="s">
        <v>22</v>
      </c>
      <c r="E4535" s="741">
        <f t="shared" si="140"/>
        <v>49.57</v>
      </c>
      <c r="F4535">
        <f t="shared" si="141"/>
        <v>95693</v>
      </c>
      <c r="H4535" s="1406">
        <v>48.4</v>
      </c>
      <c r="I4535" s="1406">
        <v>49.57</v>
      </c>
    </row>
    <row r="4536" spans="2:9" ht="30">
      <c r="B4536" s="677">
        <v>95694</v>
      </c>
      <c r="C4536" s="733" t="s">
        <v>6307</v>
      </c>
      <c r="D4536" s="677" t="s">
        <v>22</v>
      </c>
      <c r="E4536" s="738">
        <f t="shared" si="140"/>
        <v>51.25</v>
      </c>
      <c r="F4536">
        <f t="shared" si="141"/>
        <v>95694</v>
      </c>
      <c r="H4536" s="1405">
        <v>50.62</v>
      </c>
      <c r="I4536" s="1405">
        <v>51.25</v>
      </c>
    </row>
    <row r="4537" spans="2:9" ht="30">
      <c r="B4537" s="1477">
        <v>95695</v>
      </c>
      <c r="C4537" s="740" t="s">
        <v>6308</v>
      </c>
      <c r="D4537" s="739" t="s">
        <v>22</v>
      </c>
      <c r="E4537" s="741">
        <f t="shared" si="140"/>
        <v>57.94</v>
      </c>
      <c r="F4537">
        <f t="shared" si="141"/>
        <v>95695</v>
      </c>
      <c r="H4537" s="1406">
        <v>56.61</v>
      </c>
      <c r="I4537" s="1406">
        <v>57.94</v>
      </c>
    </row>
    <row r="4538" spans="2:9">
      <c r="B4538" s="677">
        <v>95696</v>
      </c>
      <c r="C4538" s="733" t="s">
        <v>4198</v>
      </c>
      <c r="D4538" s="677" t="s">
        <v>22</v>
      </c>
      <c r="E4538" s="738">
        <f t="shared" si="140"/>
        <v>30.46</v>
      </c>
      <c r="F4538">
        <f t="shared" si="141"/>
        <v>95696</v>
      </c>
      <c r="H4538" s="1405">
        <v>30.12</v>
      </c>
      <c r="I4538" s="1405">
        <v>30.46</v>
      </c>
    </row>
    <row r="4539" spans="2:9" ht="30">
      <c r="B4539" s="1477">
        <v>96637</v>
      </c>
      <c r="C4539" s="740" t="s">
        <v>6599</v>
      </c>
      <c r="D4539" s="739" t="s">
        <v>22</v>
      </c>
      <c r="E4539" s="741">
        <f t="shared" si="140"/>
        <v>14.58</v>
      </c>
      <c r="F4539">
        <f t="shared" si="141"/>
        <v>96637</v>
      </c>
      <c r="H4539" s="1406">
        <v>13.31</v>
      </c>
      <c r="I4539" s="1406">
        <v>14.58</v>
      </c>
    </row>
    <row r="4540" spans="2:9" ht="30">
      <c r="B4540" s="677">
        <v>96638</v>
      </c>
      <c r="C4540" s="733" t="s">
        <v>6600</v>
      </c>
      <c r="D4540" s="677" t="s">
        <v>22</v>
      </c>
      <c r="E4540" s="738">
        <f t="shared" si="140"/>
        <v>14.94</v>
      </c>
      <c r="F4540">
        <f t="shared" si="141"/>
        <v>96638</v>
      </c>
      <c r="H4540" s="1405">
        <v>13.67</v>
      </c>
      <c r="I4540" s="1405">
        <v>14.94</v>
      </c>
    </row>
    <row r="4541" spans="2:9">
      <c r="B4541" s="1477">
        <v>96639</v>
      </c>
      <c r="C4541" s="740" t="s">
        <v>6601</v>
      </c>
      <c r="D4541" s="739" t="s">
        <v>22</v>
      </c>
      <c r="E4541" s="741">
        <f t="shared" si="140"/>
        <v>10.15</v>
      </c>
      <c r="F4541">
        <f t="shared" si="141"/>
        <v>96639</v>
      </c>
      <c r="H4541" s="1406">
        <v>9.31</v>
      </c>
      <c r="I4541" s="1406">
        <v>10.15</v>
      </c>
    </row>
    <row r="4542" spans="2:9" ht="30">
      <c r="B4542" s="677">
        <v>96640</v>
      </c>
      <c r="C4542" s="733" t="s">
        <v>6602</v>
      </c>
      <c r="D4542" s="677" t="s">
        <v>22</v>
      </c>
      <c r="E4542" s="738">
        <f t="shared" si="140"/>
        <v>23.59</v>
      </c>
      <c r="F4542">
        <f t="shared" si="141"/>
        <v>96640</v>
      </c>
      <c r="H4542" s="1405">
        <v>22.99</v>
      </c>
      <c r="I4542" s="1405">
        <v>23.59</v>
      </c>
    </row>
    <row r="4543" spans="2:9" ht="30">
      <c r="B4543" s="1477">
        <v>96641</v>
      </c>
      <c r="C4543" s="740" t="s">
        <v>6603</v>
      </c>
      <c r="D4543" s="739" t="s">
        <v>22</v>
      </c>
      <c r="E4543" s="741">
        <f t="shared" si="140"/>
        <v>15.75</v>
      </c>
      <c r="F4543">
        <f t="shared" si="141"/>
        <v>96641</v>
      </c>
      <c r="H4543" s="1406">
        <v>15.15</v>
      </c>
      <c r="I4543" s="1406">
        <v>15.75</v>
      </c>
    </row>
    <row r="4544" spans="2:9" ht="30">
      <c r="B4544" s="677">
        <v>96642</v>
      </c>
      <c r="C4544" s="733" t="s">
        <v>6604</v>
      </c>
      <c r="D4544" s="677" t="s">
        <v>22</v>
      </c>
      <c r="E4544" s="738">
        <f t="shared" si="140"/>
        <v>19.190000000000001</v>
      </c>
      <c r="F4544">
        <f t="shared" si="141"/>
        <v>96642</v>
      </c>
      <c r="H4544" s="1405">
        <v>17.5</v>
      </c>
      <c r="I4544" s="1405">
        <v>19.190000000000001</v>
      </c>
    </row>
    <row r="4545" spans="2:9" ht="30">
      <c r="B4545" s="1477">
        <v>96643</v>
      </c>
      <c r="C4545" s="740" t="s">
        <v>6605</v>
      </c>
      <c r="D4545" s="739" t="s">
        <v>22</v>
      </c>
      <c r="E4545" s="741">
        <f t="shared" si="140"/>
        <v>41.38</v>
      </c>
      <c r="F4545">
        <f t="shared" si="141"/>
        <v>96643</v>
      </c>
      <c r="H4545" s="1406">
        <v>40.19</v>
      </c>
      <c r="I4545" s="1406">
        <v>41.38</v>
      </c>
    </row>
    <row r="4546" spans="2:9" ht="30">
      <c r="B4546" s="677">
        <v>96650</v>
      </c>
      <c r="C4546" s="733" t="s">
        <v>6606</v>
      </c>
      <c r="D4546" s="677" t="s">
        <v>22</v>
      </c>
      <c r="E4546" s="738">
        <f t="shared" si="140"/>
        <v>8.17</v>
      </c>
      <c r="F4546">
        <f t="shared" si="141"/>
        <v>96650</v>
      </c>
      <c r="H4546" s="1405">
        <v>7.56</v>
      </c>
      <c r="I4546" s="1405">
        <v>8.17</v>
      </c>
    </row>
    <row r="4547" spans="2:9" ht="30">
      <c r="B4547" s="1477">
        <v>96651</v>
      </c>
      <c r="C4547" s="740" t="s">
        <v>6607</v>
      </c>
      <c r="D4547" s="739" t="s">
        <v>22</v>
      </c>
      <c r="E4547" s="741">
        <f t="shared" ref="E4547:E4610" si="142">IF($K$2=$H$1,H4547,I4547)</f>
        <v>8.5299999999999994</v>
      </c>
      <c r="F4547">
        <f t="shared" ref="F4547:F4610" si="143">IF(LEN($B4547)=7,CONCATENATE(MID($B4547,1,6),"00",RIGHT($B4547,1)),IF(LEN($B4547)=8,CONCATENATE(MID($B4547,1,6),"0",RIGHT($B4547,2)),$B4547))</f>
        <v>96651</v>
      </c>
      <c r="H4547" s="1406">
        <v>7.92</v>
      </c>
      <c r="I4547" s="1406">
        <v>8.5299999999999994</v>
      </c>
    </row>
    <row r="4548" spans="2:9" ht="30">
      <c r="B4548" s="677">
        <v>96652</v>
      </c>
      <c r="C4548" s="733" t="s">
        <v>6608</v>
      </c>
      <c r="D4548" s="677" t="s">
        <v>22</v>
      </c>
      <c r="E4548" s="738">
        <f t="shared" si="142"/>
        <v>9.69</v>
      </c>
      <c r="F4548">
        <f t="shared" si="143"/>
        <v>96652</v>
      </c>
      <c r="H4548" s="1405">
        <v>9.0500000000000007</v>
      </c>
      <c r="I4548" s="1405">
        <v>9.69</v>
      </c>
    </row>
    <row r="4549" spans="2:9" ht="30">
      <c r="B4549" s="1477">
        <v>96653</v>
      </c>
      <c r="C4549" s="740" t="s">
        <v>6609</v>
      </c>
      <c r="D4549" s="739" t="s">
        <v>22</v>
      </c>
      <c r="E4549" s="741">
        <f t="shared" si="142"/>
        <v>12.74</v>
      </c>
      <c r="F4549">
        <f t="shared" si="143"/>
        <v>96653</v>
      </c>
      <c r="H4549" s="1406">
        <v>12.1</v>
      </c>
      <c r="I4549" s="1406">
        <v>12.74</v>
      </c>
    </row>
    <row r="4550" spans="2:9" ht="30">
      <c r="B4550" s="677">
        <v>96654</v>
      </c>
      <c r="C4550" s="733" t="s">
        <v>6610</v>
      </c>
      <c r="D4550" s="677" t="s">
        <v>22</v>
      </c>
      <c r="E4550" s="738">
        <f t="shared" si="142"/>
        <v>14.5</v>
      </c>
      <c r="F4550">
        <f t="shared" si="143"/>
        <v>96654</v>
      </c>
      <c r="H4550" s="1405">
        <v>13.83</v>
      </c>
      <c r="I4550" s="1405">
        <v>14.5</v>
      </c>
    </row>
    <row r="4551" spans="2:9" ht="30">
      <c r="B4551" s="1477">
        <v>96655</v>
      </c>
      <c r="C4551" s="740" t="s">
        <v>6611</v>
      </c>
      <c r="D4551" s="739" t="s">
        <v>22</v>
      </c>
      <c r="E4551" s="741">
        <f t="shared" si="142"/>
        <v>19.46</v>
      </c>
      <c r="F4551">
        <f t="shared" si="143"/>
        <v>96655</v>
      </c>
      <c r="H4551" s="1406">
        <v>18.79</v>
      </c>
      <c r="I4551" s="1406">
        <v>19.46</v>
      </c>
    </row>
    <row r="4552" spans="2:9" ht="30">
      <c r="B4552" s="677">
        <v>96656</v>
      </c>
      <c r="C4552" s="733" t="s">
        <v>6612</v>
      </c>
      <c r="D4552" s="677" t="s">
        <v>22</v>
      </c>
      <c r="E4552" s="738">
        <f t="shared" si="142"/>
        <v>5.89</v>
      </c>
      <c r="F4552">
        <f t="shared" si="143"/>
        <v>96656</v>
      </c>
      <c r="H4552" s="1405">
        <v>5.48</v>
      </c>
      <c r="I4552" s="1405">
        <v>5.89</v>
      </c>
    </row>
    <row r="4553" spans="2:9" ht="30">
      <c r="B4553" s="1477">
        <v>96657</v>
      </c>
      <c r="C4553" s="740" t="s">
        <v>6613</v>
      </c>
      <c r="D4553" s="739" t="s">
        <v>22</v>
      </c>
      <c r="E4553" s="741">
        <f t="shared" si="142"/>
        <v>21.7</v>
      </c>
      <c r="F4553">
        <f t="shared" si="143"/>
        <v>96657</v>
      </c>
      <c r="H4553" s="1406">
        <v>21.29</v>
      </c>
      <c r="I4553" s="1406">
        <v>21.7</v>
      </c>
    </row>
    <row r="4554" spans="2:9" ht="30">
      <c r="B4554" s="677">
        <v>96658</v>
      </c>
      <c r="C4554" s="733" t="s">
        <v>6614</v>
      </c>
      <c r="D4554" s="677" t="s">
        <v>22</v>
      </c>
      <c r="E4554" s="738">
        <f t="shared" si="142"/>
        <v>13.86</v>
      </c>
      <c r="F4554">
        <f t="shared" si="143"/>
        <v>96658</v>
      </c>
      <c r="H4554" s="1405">
        <v>13.45</v>
      </c>
      <c r="I4554" s="1405">
        <v>13.86</v>
      </c>
    </row>
    <row r="4555" spans="2:9" ht="30">
      <c r="B4555" s="1477">
        <v>96659</v>
      </c>
      <c r="C4555" s="740" t="s">
        <v>6615</v>
      </c>
      <c r="D4555" s="739" t="s">
        <v>22</v>
      </c>
      <c r="E4555" s="741">
        <f t="shared" si="142"/>
        <v>7.68</v>
      </c>
      <c r="F4555">
        <f t="shared" si="143"/>
        <v>96659</v>
      </c>
      <c r="H4555" s="1406">
        <v>7.25</v>
      </c>
      <c r="I4555" s="1406">
        <v>7.68</v>
      </c>
    </row>
    <row r="4556" spans="2:9" ht="30">
      <c r="B4556" s="677">
        <v>96660</v>
      </c>
      <c r="C4556" s="733" t="s">
        <v>6616</v>
      </c>
      <c r="D4556" s="677" t="s">
        <v>22</v>
      </c>
      <c r="E4556" s="738">
        <f t="shared" si="142"/>
        <v>29.46</v>
      </c>
      <c r="F4556">
        <f t="shared" si="143"/>
        <v>96660</v>
      </c>
      <c r="H4556" s="1405">
        <v>29.05</v>
      </c>
      <c r="I4556" s="1405">
        <v>29.46</v>
      </c>
    </row>
    <row r="4557" spans="2:9" ht="30">
      <c r="B4557" s="1477">
        <v>96661</v>
      </c>
      <c r="C4557" s="740" t="s">
        <v>6617</v>
      </c>
      <c r="D4557" s="739" t="s">
        <v>22</v>
      </c>
      <c r="E4557" s="741">
        <f t="shared" si="142"/>
        <v>29.18</v>
      </c>
      <c r="F4557">
        <f t="shared" si="143"/>
        <v>96661</v>
      </c>
      <c r="H4557" s="1406">
        <v>28.77</v>
      </c>
      <c r="I4557" s="1406">
        <v>29.18</v>
      </c>
    </row>
    <row r="4558" spans="2:9" ht="30">
      <c r="B4558" s="677">
        <v>96662</v>
      </c>
      <c r="C4558" s="733" t="s">
        <v>6618</v>
      </c>
      <c r="D4558" s="677" t="s">
        <v>22</v>
      </c>
      <c r="E4558" s="738">
        <f t="shared" si="142"/>
        <v>8.5399999999999991</v>
      </c>
      <c r="F4558">
        <f t="shared" si="143"/>
        <v>96662</v>
      </c>
      <c r="H4558" s="1405">
        <v>8.1300000000000008</v>
      </c>
      <c r="I4558" s="1405">
        <v>8.5399999999999991</v>
      </c>
    </row>
    <row r="4559" spans="2:9" ht="30">
      <c r="B4559" s="1477">
        <v>96663</v>
      </c>
      <c r="C4559" s="740" t="s">
        <v>6619</v>
      </c>
      <c r="D4559" s="739" t="s">
        <v>22</v>
      </c>
      <c r="E4559" s="741">
        <f t="shared" si="142"/>
        <v>14.51</v>
      </c>
      <c r="F4559">
        <f t="shared" si="143"/>
        <v>96663</v>
      </c>
      <c r="H4559" s="1406">
        <v>14.06</v>
      </c>
      <c r="I4559" s="1406">
        <v>14.51</v>
      </c>
    </row>
    <row r="4560" spans="2:9" ht="30">
      <c r="B4560" s="677">
        <v>96664</v>
      </c>
      <c r="C4560" s="733" t="s">
        <v>6620</v>
      </c>
      <c r="D4560" s="677" t="s">
        <v>22</v>
      </c>
      <c r="E4560" s="738">
        <f t="shared" si="142"/>
        <v>15.95</v>
      </c>
      <c r="F4560">
        <f t="shared" si="143"/>
        <v>96664</v>
      </c>
      <c r="H4560" s="1405">
        <v>15.53</v>
      </c>
      <c r="I4560" s="1405">
        <v>15.95</v>
      </c>
    </row>
    <row r="4561" spans="2:9" ht="30">
      <c r="B4561" s="1477">
        <v>96665</v>
      </c>
      <c r="C4561" s="740" t="s">
        <v>6621</v>
      </c>
      <c r="D4561" s="739" t="s">
        <v>22</v>
      </c>
      <c r="E4561" s="741">
        <f t="shared" si="142"/>
        <v>10.64</v>
      </c>
      <c r="F4561">
        <f t="shared" si="143"/>
        <v>96665</v>
      </c>
      <c r="H4561" s="1406">
        <v>9.83</v>
      </c>
      <c r="I4561" s="1406">
        <v>10.64</v>
      </c>
    </row>
    <row r="4562" spans="2:9" ht="30">
      <c r="B4562" s="677">
        <v>96666</v>
      </c>
      <c r="C4562" s="733" t="s">
        <v>6622</v>
      </c>
      <c r="D4562" s="677" t="s">
        <v>22</v>
      </c>
      <c r="E4562" s="738">
        <f t="shared" si="142"/>
        <v>15.31</v>
      </c>
      <c r="F4562">
        <f t="shared" si="143"/>
        <v>96666</v>
      </c>
      <c r="H4562" s="1405">
        <v>14.45</v>
      </c>
      <c r="I4562" s="1405">
        <v>15.31</v>
      </c>
    </row>
    <row r="4563" spans="2:9" ht="30">
      <c r="B4563" s="1477">
        <v>96667</v>
      </c>
      <c r="C4563" s="740" t="s">
        <v>6623</v>
      </c>
      <c r="D4563" s="739" t="s">
        <v>22</v>
      </c>
      <c r="E4563" s="741">
        <f t="shared" si="142"/>
        <v>21.63</v>
      </c>
      <c r="F4563">
        <f t="shared" si="143"/>
        <v>96667</v>
      </c>
      <c r="H4563" s="1406">
        <v>20.74</v>
      </c>
      <c r="I4563" s="1406">
        <v>21.63</v>
      </c>
    </row>
    <row r="4564" spans="2:9">
      <c r="B4564" s="677">
        <v>96684</v>
      </c>
      <c r="C4564" s="733" t="s">
        <v>6624</v>
      </c>
      <c r="D4564" s="677" t="s">
        <v>22</v>
      </c>
      <c r="E4564" s="738">
        <f t="shared" si="142"/>
        <v>10.48</v>
      </c>
      <c r="F4564">
        <f t="shared" si="143"/>
        <v>96684</v>
      </c>
      <c r="H4564" s="1405">
        <v>9.6300000000000008</v>
      </c>
      <c r="I4564" s="1405">
        <v>10.48</v>
      </c>
    </row>
    <row r="4565" spans="2:9">
      <c r="B4565" s="1477">
        <v>96685</v>
      </c>
      <c r="C4565" s="740" t="s">
        <v>6625</v>
      </c>
      <c r="D4565" s="739" t="s">
        <v>22</v>
      </c>
      <c r="E4565" s="741">
        <f t="shared" si="142"/>
        <v>10.84</v>
      </c>
      <c r="F4565">
        <f t="shared" si="143"/>
        <v>96685</v>
      </c>
      <c r="H4565" s="1406">
        <v>9.99</v>
      </c>
      <c r="I4565" s="1406">
        <v>10.84</v>
      </c>
    </row>
    <row r="4566" spans="2:9">
      <c r="B4566" s="677">
        <v>96686</v>
      </c>
      <c r="C4566" s="733" t="s">
        <v>6626</v>
      </c>
      <c r="D4566" s="677" t="s">
        <v>22</v>
      </c>
      <c r="E4566" s="738">
        <f t="shared" si="142"/>
        <v>13.48</v>
      </c>
      <c r="F4566">
        <f t="shared" si="143"/>
        <v>96686</v>
      </c>
      <c r="H4566" s="1405">
        <v>12.45</v>
      </c>
      <c r="I4566" s="1405">
        <v>13.48</v>
      </c>
    </row>
    <row r="4567" spans="2:9">
      <c r="B4567" s="1477">
        <v>96687</v>
      </c>
      <c r="C4567" s="740" t="s">
        <v>6627</v>
      </c>
      <c r="D4567" s="739" t="s">
        <v>22</v>
      </c>
      <c r="E4567" s="741">
        <f t="shared" si="142"/>
        <v>16.53</v>
      </c>
      <c r="F4567">
        <f t="shared" si="143"/>
        <v>96687</v>
      </c>
      <c r="H4567" s="1406">
        <v>15.5</v>
      </c>
      <c r="I4567" s="1406">
        <v>16.53</v>
      </c>
    </row>
    <row r="4568" spans="2:9">
      <c r="B4568" s="677">
        <v>96688</v>
      </c>
      <c r="C4568" s="733" t="s">
        <v>6628</v>
      </c>
      <c r="D4568" s="677" t="s">
        <v>22</v>
      </c>
      <c r="E4568" s="738">
        <f t="shared" si="142"/>
        <v>19.989999999999998</v>
      </c>
      <c r="F4568">
        <f t="shared" si="143"/>
        <v>96688</v>
      </c>
      <c r="H4568" s="1405">
        <v>18.75</v>
      </c>
      <c r="I4568" s="1405">
        <v>19.989999999999998</v>
      </c>
    </row>
    <row r="4569" spans="2:9">
      <c r="B4569" s="1477">
        <v>96689</v>
      </c>
      <c r="C4569" s="740" t="s">
        <v>6629</v>
      </c>
      <c r="D4569" s="739" t="s">
        <v>22</v>
      </c>
      <c r="E4569" s="741">
        <f t="shared" si="142"/>
        <v>24.95</v>
      </c>
      <c r="F4569">
        <f t="shared" si="143"/>
        <v>96689</v>
      </c>
      <c r="H4569" s="1406">
        <v>23.71</v>
      </c>
      <c r="I4569" s="1406">
        <v>24.95</v>
      </c>
    </row>
    <row r="4570" spans="2:9">
      <c r="B4570" s="677">
        <v>96690</v>
      </c>
      <c r="C4570" s="733" t="s">
        <v>6630</v>
      </c>
      <c r="D4570" s="677" t="s">
        <v>22</v>
      </c>
      <c r="E4570" s="738">
        <f t="shared" si="142"/>
        <v>27.83</v>
      </c>
      <c r="F4570">
        <f t="shared" si="143"/>
        <v>96690</v>
      </c>
      <c r="H4570" s="1405">
        <v>26.32</v>
      </c>
      <c r="I4570" s="1405">
        <v>27.83</v>
      </c>
    </row>
    <row r="4571" spans="2:9">
      <c r="B4571" s="1477">
        <v>96691</v>
      </c>
      <c r="C4571" s="740" t="s">
        <v>6631</v>
      </c>
      <c r="D4571" s="739" t="s">
        <v>22</v>
      </c>
      <c r="E4571" s="741">
        <f t="shared" si="142"/>
        <v>35.68</v>
      </c>
      <c r="F4571">
        <f t="shared" si="143"/>
        <v>96691</v>
      </c>
      <c r="H4571" s="1406">
        <v>34.17</v>
      </c>
      <c r="I4571" s="1406">
        <v>35.68</v>
      </c>
    </row>
    <row r="4572" spans="2:9">
      <c r="B4572" s="677">
        <v>96692</v>
      </c>
      <c r="C4572" s="733" t="s">
        <v>6632</v>
      </c>
      <c r="D4572" s="677" t="s">
        <v>22</v>
      </c>
      <c r="E4572" s="738">
        <f t="shared" si="142"/>
        <v>39.42</v>
      </c>
      <c r="F4572">
        <f t="shared" si="143"/>
        <v>96692</v>
      </c>
      <c r="H4572" s="1405">
        <v>37.57</v>
      </c>
      <c r="I4572" s="1405">
        <v>39.42</v>
      </c>
    </row>
    <row r="4573" spans="2:9">
      <c r="B4573" s="1477">
        <v>96693</v>
      </c>
      <c r="C4573" s="740" t="s">
        <v>6633</v>
      </c>
      <c r="D4573" s="739" t="s">
        <v>22</v>
      </c>
      <c r="E4573" s="741">
        <f t="shared" si="142"/>
        <v>53.44</v>
      </c>
      <c r="F4573">
        <f t="shared" si="143"/>
        <v>96693</v>
      </c>
      <c r="H4573" s="1406">
        <v>51.59</v>
      </c>
      <c r="I4573" s="1406">
        <v>53.44</v>
      </c>
    </row>
    <row r="4574" spans="2:9">
      <c r="B4574" s="677">
        <v>96694</v>
      </c>
      <c r="C4574" s="733" t="s">
        <v>6634</v>
      </c>
      <c r="D4574" s="677" t="s">
        <v>22</v>
      </c>
      <c r="E4574" s="738">
        <f t="shared" si="142"/>
        <v>83.59</v>
      </c>
      <c r="F4574">
        <f t="shared" si="143"/>
        <v>96694</v>
      </c>
      <c r="H4574" s="1405">
        <v>81.430000000000007</v>
      </c>
      <c r="I4574" s="1405">
        <v>83.59</v>
      </c>
    </row>
    <row r="4575" spans="2:9">
      <c r="B4575" s="1477">
        <v>96695</v>
      </c>
      <c r="C4575" s="740" t="s">
        <v>6635</v>
      </c>
      <c r="D4575" s="739" t="s">
        <v>22</v>
      </c>
      <c r="E4575" s="741">
        <f t="shared" si="142"/>
        <v>92.14</v>
      </c>
      <c r="F4575">
        <f t="shared" si="143"/>
        <v>96695</v>
      </c>
      <c r="H4575" s="1406">
        <v>89.98</v>
      </c>
      <c r="I4575" s="1406">
        <v>92.14</v>
      </c>
    </row>
    <row r="4576" spans="2:9">
      <c r="B4576" s="677">
        <v>96696</v>
      </c>
      <c r="C4576" s="733" t="s">
        <v>6636</v>
      </c>
      <c r="D4576" s="677" t="s">
        <v>22</v>
      </c>
      <c r="E4576" s="738">
        <f t="shared" si="142"/>
        <v>104.38</v>
      </c>
      <c r="F4576">
        <f t="shared" si="143"/>
        <v>96696</v>
      </c>
      <c r="H4576" s="1405">
        <v>101.82</v>
      </c>
      <c r="I4576" s="1405">
        <v>104.38</v>
      </c>
    </row>
    <row r="4577" spans="2:9" ht="30">
      <c r="B4577" s="1477">
        <v>96697</v>
      </c>
      <c r="C4577" s="740" t="s">
        <v>6637</v>
      </c>
      <c r="D4577" s="739" t="s">
        <v>22</v>
      </c>
      <c r="E4577" s="741">
        <f t="shared" si="142"/>
        <v>308.93</v>
      </c>
      <c r="F4577">
        <f t="shared" si="143"/>
        <v>96697</v>
      </c>
      <c r="H4577" s="1406">
        <v>305.83</v>
      </c>
      <c r="I4577" s="1406">
        <v>308.93</v>
      </c>
    </row>
    <row r="4578" spans="2:9">
      <c r="B4578" s="677">
        <v>96698</v>
      </c>
      <c r="C4578" s="733" t="s">
        <v>6638</v>
      </c>
      <c r="D4578" s="677" t="s">
        <v>22</v>
      </c>
      <c r="E4578" s="738">
        <f t="shared" si="142"/>
        <v>7.43</v>
      </c>
      <c r="F4578">
        <f t="shared" si="143"/>
        <v>96698</v>
      </c>
      <c r="H4578" s="1405">
        <v>6.87</v>
      </c>
      <c r="I4578" s="1405">
        <v>7.43</v>
      </c>
    </row>
    <row r="4579" spans="2:9">
      <c r="B4579" s="1477">
        <v>96699</v>
      </c>
      <c r="C4579" s="740" t="s">
        <v>6639</v>
      </c>
      <c r="D4579" s="739" t="s">
        <v>22</v>
      </c>
      <c r="E4579" s="741">
        <f t="shared" si="142"/>
        <v>23.24</v>
      </c>
      <c r="F4579">
        <f t="shared" si="143"/>
        <v>96699</v>
      </c>
      <c r="H4579" s="1406">
        <v>22.68</v>
      </c>
      <c r="I4579" s="1406">
        <v>23.24</v>
      </c>
    </row>
    <row r="4580" spans="2:9">
      <c r="B4580" s="677">
        <v>96700</v>
      </c>
      <c r="C4580" s="733" t="s">
        <v>6640</v>
      </c>
      <c r="D4580" s="677" t="s">
        <v>22</v>
      </c>
      <c r="E4580" s="738">
        <f t="shared" si="142"/>
        <v>15.4</v>
      </c>
      <c r="F4580">
        <f t="shared" si="143"/>
        <v>96700</v>
      </c>
      <c r="H4580" s="1405">
        <v>14.84</v>
      </c>
      <c r="I4580" s="1405">
        <v>15.4</v>
      </c>
    </row>
    <row r="4581" spans="2:9">
      <c r="B4581" s="1477">
        <v>96701</v>
      </c>
      <c r="C4581" s="740" t="s">
        <v>6641</v>
      </c>
      <c r="D4581" s="739" t="s">
        <v>22</v>
      </c>
      <c r="E4581" s="741">
        <f t="shared" si="142"/>
        <v>10.199999999999999</v>
      </c>
      <c r="F4581">
        <f t="shared" si="143"/>
        <v>96701</v>
      </c>
      <c r="H4581" s="1406">
        <v>9.52</v>
      </c>
      <c r="I4581" s="1406">
        <v>10.199999999999999</v>
      </c>
    </row>
    <row r="4582" spans="2:9">
      <c r="B4582" s="677">
        <v>96702</v>
      </c>
      <c r="C4582" s="733" t="s">
        <v>6642</v>
      </c>
      <c r="D4582" s="677" t="s">
        <v>22</v>
      </c>
      <c r="E4582" s="738">
        <f t="shared" si="142"/>
        <v>10.58</v>
      </c>
      <c r="F4582">
        <f t="shared" si="143"/>
        <v>96702</v>
      </c>
      <c r="H4582" s="1405">
        <v>9.9499999999999993</v>
      </c>
      <c r="I4582" s="1405">
        <v>10.58</v>
      </c>
    </row>
    <row r="4583" spans="2:9">
      <c r="B4583" s="1477">
        <v>96703</v>
      </c>
      <c r="C4583" s="740" t="s">
        <v>6643</v>
      </c>
      <c r="D4583" s="739" t="s">
        <v>22</v>
      </c>
      <c r="E4583" s="741">
        <f t="shared" si="142"/>
        <v>18.18</v>
      </c>
      <c r="F4583">
        <f t="shared" si="143"/>
        <v>96703</v>
      </c>
      <c r="H4583" s="1406">
        <v>17.34</v>
      </c>
      <c r="I4583" s="1406">
        <v>18.18</v>
      </c>
    </row>
    <row r="4584" spans="2:9">
      <c r="B4584" s="677">
        <v>96704</v>
      </c>
      <c r="C4584" s="733" t="s">
        <v>6644</v>
      </c>
      <c r="D4584" s="677" t="s">
        <v>22</v>
      </c>
      <c r="E4584" s="738">
        <f t="shared" si="142"/>
        <v>18.55</v>
      </c>
      <c r="F4584">
        <f t="shared" si="143"/>
        <v>96704</v>
      </c>
      <c r="H4584" s="1405">
        <v>17.850000000000001</v>
      </c>
      <c r="I4584" s="1405">
        <v>18.55</v>
      </c>
    </row>
    <row r="4585" spans="2:9">
      <c r="B4585" s="1477">
        <v>96705</v>
      </c>
      <c r="C4585" s="740" t="s">
        <v>6645</v>
      </c>
      <c r="D4585" s="739" t="s">
        <v>22</v>
      </c>
      <c r="E4585" s="741">
        <f t="shared" si="142"/>
        <v>22.06</v>
      </c>
      <c r="F4585">
        <f t="shared" si="143"/>
        <v>96705</v>
      </c>
      <c r="H4585" s="1406">
        <v>21.05</v>
      </c>
      <c r="I4585" s="1406">
        <v>22.06</v>
      </c>
    </row>
    <row r="4586" spans="2:9">
      <c r="B4586" s="677">
        <v>96706</v>
      </c>
      <c r="C4586" s="733" t="s">
        <v>6646</v>
      </c>
      <c r="D4586" s="677" t="s">
        <v>22</v>
      </c>
      <c r="E4586" s="738">
        <f t="shared" si="142"/>
        <v>32.69</v>
      </c>
      <c r="F4586">
        <f t="shared" si="143"/>
        <v>96706</v>
      </c>
      <c r="H4586" s="1405">
        <v>31.45</v>
      </c>
      <c r="I4586" s="1405">
        <v>32.69</v>
      </c>
    </row>
    <row r="4587" spans="2:9">
      <c r="B4587" s="1477">
        <v>96707</v>
      </c>
      <c r="C4587" s="740" t="s">
        <v>6647</v>
      </c>
      <c r="D4587" s="739" t="s">
        <v>22</v>
      </c>
      <c r="E4587" s="741">
        <f t="shared" si="142"/>
        <v>52.56</v>
      </c>
      <c r="F4587">
        <f t="shared" si="143"/>
        <v>96707</v>
      </c>
      <c r="H4587" s="1406">
        <v>51.11</v>
      </c>
      <c r="I4587" s="1406">
        <v>52.56</v>
      </c>
    </row>
    <row r="4588" spans="2:9">
      <c r="B4588" s="677">
        <v>96708</v>
      </c>
      <c r="C4588" s="733" t="s">
        <v>6648</v>
      </c>
      <c r="D4588" s="677" t="s">
        <v>22</v>
      </c>
      <c r="E4588" s="738">
        <f t="shared" si="142"/>
        <v>79.66</v>
      </c>
      <c r="F4588">
        <f t="shared" si="143"/>
        <v>96708</v>
      </c>
      <c r="H4588" s="1405">
        <v>77.95</v>
      </c>
      <c r="I4588" s="1405">
        <v>79.66</v>
      </c>
    </row>
    <row r="4589" spans="2:9">
      <c r="B4589" s="1477">
        <v>96709</v>
      </c>
      <c r="C4589" s="740" t="s">
        <v>6649</v>
      </c>
      <c r="D4589" s="739" t="s">
        <v>22</v>
      </c>
      <c r="E4589" s="741">
        <f t="shared" si="142"/>
        <v>101.65</v>
      </c>
      <c r="F4589">
        <f t="shared" si="143"/>
        <v>96709</v>
      </c>
      <c r="H4589" s="1406">
        <v>99.59</v>
      </c>
      <c r="I4589" s="1406">
        <v>101.65</v>
      </c>
    </row>
    <row r="4590" spans="2:9">
      <c r="B4590" s="677">
        <v>96710</v>
      </c>
      <c r="C4590" s="733" t="s">
        <v>6650</v>
      </c>
      <c r="D4590" s="677" t="s">
        <v>22</v>
      </c>
      <c r="E4590" s="738">
        <f t="shared" si="142"/>
        <v>13.72</v>
      </c>
      <c r="F4590">
        <f t="shared" si="143"/>
        <v>96710</v>
      </c>
      <c r="H4590" s="1405">
        <v>12.59</v>
      </c>
      <c r="I4590" s="1405">
        <v>13.72</v>
      </c>
    </row>
    <row r="4591" spans="2:9">
      <c r="B4591" s="1477">
        <v>96711</v>
      </c>
      <c r="C4591" s="740" t="s">
        <v>6651</v>
      </c>
      <c r="D4591" s="739" t="s">
        <v>22</v>
      </c>
      <c r="E4591" s="741">
        <f t="shared" si="142"/>
        <v>20.38</v>
      </c>
      <c r="F4591">
        <f t="shared" si="143"/>
        <v>96711</v>
      </c>
      <c r="H4591" s="1406">
        <v>19.010000000000002</v>
      </c>
      <c r="I4591" s="1406">
        <v>20.38</v>
      </c>
    </row>
    <row r="4592" spans="2:9">
      <c r="B4592" s="677">
        <v>96712</v>
      </c>
      <c r="C4592" s="733" t="s">
        <v>6652</v>
      </c>
      <c r="D4592" s="677" t="s">
        <v>22</v>
      </c>
      <c r="E4592" s="738">
        <f t="shared" si="142"/>
        <v>28.96</v>
      </c>
      <c r="F4592">
        <f t="shared" si="143"/>
        <v>96712</v>
      </c>
      <c r="H4592" s="1405">
        <v>27.29</v>
      </c>
      <c r="I4592" s="1405">
        <v>28.96</v>
      </c>
    </row>
    <row r="4593" spans="2:9">
      <c r="B4593" s="1477">
        <v>96713</v>
      </c>
      <c r="C4593" s="740" t="s">
        <v>6653</v>
      </c>
      <c r="D4593" s="739" t="s">
        <v>22</v>
      </c>
      <c r="E4593" s="741">
        <f t="shared" si="142"/>
        <v>44.41</v>
      </c>
      <c r="F4593">
        <f t="shared" si="143"/>
        <v>96713</v>
      </c>
      <c r="H4593" s="1406">
        <v>42.39</v>
      </c>
      <c r="I4593" s="1406">
        <v>44.41</v>
      </c>
    </row>
    <row r="4594" spans="2:9">
      <c r="B4594" s="677">
        <v>96714</v>
      </c>
      <c r="C4594" s="733" t="s">
        <v>6654</v>
      </c>
      <c r="D4594" s="677" t="s">
        <v>22</v>
      </c>
      <c r="E4594" s="738">
        <f t="shared" si="142"/>
        <v>63.15</v>
      </c>
      <c r="F4594">
        <f t="shared" si="143"/>
        <v>96714</v>
      </c>
      <c r="H4594" s="1405">
        <v>60.68</v>
      </c>
      <c r="I4594" s="1405">
        <v>63.15</v>
      </c>
    </row>
    <row r="4595" spans="2:9">
      <c r="B4595" s="1477">
        <v>96715</v>
      </c>
      <c r="C4595" s="740" t="s">
        <v>6655</v>
      </c>
      <c r="D4595" s="739" t="s">
        <v>22</v>
      </c>
      <c r="E4595" s="741">
        <f t="shared" si="142"/>
        <v>112.44</v>
      </c>
      <c r="F4595">
        <f t="shared" si="143"/>
        <v>96715</v>
      </c>
      <c r="H4595" s="1406">
        <v>109.55</v>
      </c>
      <c r="I4595" s="1406">
        <v>112.44</v>
      </c>
    </row>
    <row r="4596" spans="2:9">
      <c r="B4596" s="677">
        <v>96716</v>
      </c>
      <c r="C4596" s="733" t="s">
        <v>6656</v>
      </c>
      <c r="D4596" s="677" t="s">
        <v>22</v>
      </c>
      <c r="E4596" s="738">
        <f t="shared" si="142"/>
        <v>146.43</v>
      </c>
      <c r="F4596">
        <f t="shared" si="143"/>
        <v>96716</v>
      </c>
      <c r="H4596" s="1405">
        <v>143.01</v>
      </c>
      <c r="I4596" s="1405">
        <v>146.43</v>
      </c>
    </row>
    <row r="4597" spans="2:9">
      <c r="B4597" s="1477">
        <v>96717</v>
      </c>
      <c r="C4597" s="740" t="s">
        <v>6657</v>
      </c>
      <c r="D4597" s="739" t="s">
        <v>22</v>
      </c>
      <c r="E4597" s="741">
        <f t="shared" si="142"/>
        <v>281.12</v>
      </c>
      <c r="F4597">
        <f t="shared" si="143"/>
        <v>96717</v>
      </c>
      <c r="H4597" s="1406">
        <v>276.99</v>
      </c>
      <c r="I4597" s="1406">
        <v>281.12</v>
      </c>
    </row>
    <row r="4598" spans="2:9" ht="30">
      <c r="B4598" s="677">
        <v>96736</v>
      </c>
      <c r="C4598" s="733" t="s">
        <v>1776</v>
      </c>
      <c r="D4598" s="677" t="s">
        <v>22</v>
      </c>
      <c r="E4598" s="738">
        <f t="shared" si="142"/>
        <v>6.17</v>
      </c>
      <c r="F4598">
        <f t="shared" si="143"/>
        <v>96736</v>
      </c>
      <c r="H4598" s="1405">
        <v>5.76</v>
      </c>
      <c r="I4598" s="1405">
        <v>6.17</v>
      </c>
    </row>
    <row r="4599" spans="2:9" ht="30">
      <c r="B4599" s="1477">
        <v>96737</v>
      </c>
      <c r="C4599" s="740" t="s">
        <v>1777</v>
      </c>
      <c r="D4599" s="739" t="s">
        <v>22</v>
      </c>
      <c r="E4599" s="741">
        <f t="shared" si="142"/>
        <v>5.98</v>
      </c>
      <c r="F4599">
        <f t="shared" si="143"/>
        <v>96737</v>
      </c>
      <c r="H4599" s="1406">
        <v>5.57</v>
      </c>
      <c r="I4599" s="1406">
        <v>5.98</v>
      </c>
    </row>
    <row r="4600" spans="2:9" ht="30">
      <c r="B4600" s="677">
        <v>96738</v>
      </c>
      <c r="C4600" s="733" t="s">
        <v>1778</v>
      </c>
      <c r="D4600" s="677" t="s">
        <v>22</v>
      </c>
      <c r="E4600" s="738">
        <f t="shared" si="142"/>
        <v>21.79</v>
      </c>
      <c r="F4600">
        <f t="shared" si="143"/>
        <v>96738</v>
      </c>
      <c r="H4600" s="1405">
        <v>21.38</v>
      </c>
      <c r="I4600" s="1405">
        <v>21.79</v>
      </c>
    </row>
    <row r="4601" spans="2:9" ht="30">
      <c r="B4601" s="1477">
        <v>96739</v>
      </c>
      <c r="C4601" s="740" t="s">
        <v>1779</v>
      </c>
      <c r="D4601" s="739" t="s">
        <v>22</v>
      </c>
      <c r="E4601" s="741">
        <f t="shared" si="142"/>
        <v>8.6999999999999993</v>
      </c>
      <c r="F4601">
        <f t="shared" si="143"/>
        <v>96739</v>
      </c>
      <c r="H4601" s="1406">
        <v>8.15</v>
      </c>
      <c r="I4601" s="1406">
        <v>8.6999999999999993</v>
      </c>
    </row>
    <row r="4602" spans="2:9" ht="30">
      <c r="B4602" s="677">
        <v>96740</v>
      </c>
      <c r="C4602" s="733" t="s">
        <v>1780</v>
      </c>
      <c r="D4602" s="677" t="s">
        <v>22</v>
      </c>
      <c r="E4602" s="738">
        <f t="shared" si="142"/>
        <v>30.59</v>
      </c>
      <c r="F4602">
        <f t="shared" si="143"/>
        <v>96740</v>
      </c>
      <c r="H4602" s="1405">
        <v>30.04</v>
      </c>
      <c r="I4602" s="1405">
        <v>30.59</v>
      </c>
    </row>
    <row r="4603" spans="2:9" ht="30">
      <c r="B4603" s="1477">
        <v>96741</v>
      </c>
      <c r="C4603" s="740" t="s">
        <v>1781</v>
      </c>
      <c r="D4603" s="739" t="s">
        <v>22</v>
      </c>
      <c r="E4603" s="741">
        <f t="shared" si="142"/>
        <v>15.31</v>
      </c>
      <c r="F4603">
        <f t="shared" si="143"/>
        <v>96741</v>
      </c>
      <c r="H4603" s="1406">
        <v>14.76</v>
      </c>
      <c r="I4603" s="1406">
        <v>15.31</v>
      </c>
    </row>
    <row r="4604" spans="2:9" ht="30">
      <c r="B4604" s="677">
        <v>96742</v>
      </c>
      <c r="C4604" s="733" t="s">
        <v>1782</v>
      </c>
      <c r="D4604" s="677" t="s">
        <v>22</v>
      </c>
      <c r="E4604" s="738">
        <f t="shared" si="142"/>
        <v>20.18</v>
      </c>
      <c r="F4604">
        <f t="shared" si="143"/>
        <v>96742</v>
      </c>
      <c r="H4604" s="1405">
        <v>19.36</v>
      </c>
      <c r="I4604" s="1405">
        <v>20.18</v>
      </c>
    </row>
    <row r="4605" spans="2:9" ht="30">
      <c r="B4605" s="1477">
        <v>96743</v>
      </c>
      <c r="C4605" s="740" t="s">
        <v>1783</v>
      </c>
      <c r="D4605" s="739" t="s">
        <v>22</v>
      </c>
      <c r="E4605" s="741">
        <f t="shared" si="142"/>
        <v>28.59</v>
      </c>
      <c r="F4605">
        <f t="shared" si="143"/>
        <v>96743</v>
      </c>
      <c r="H4605" s="1406">
        <v>27.77</v>
      </c>
      <c r="I4605" s="1406">
        <v>28.59</v>
      </c>
    </row>
    <row r="4606" spans="2:9" ht="30">
      <c r="B4606" s="677">
        <v>96744</v>
      </c>
      <c r="C4606" s="733" t="s">
        <v>1784</v>
      </c>
      <c r="D4606" s="677" t="s">
        <v>22</v>
      </c>
      <c r="E4606" s="738">
        <f t="shared" si="142"/>
        <v>51.4</v>
      </c>
      <c r="F4606">
        <f t="shared" si="143"/>
        <v>96744</v>
      </c>
      <c r="H4606" s="1405">
        <v>50.05</v>
      </c>
      <c r="I4606" s="1405">
        <v>51.4</v>
      </c>
    </row>
    <row r="4607" spans="2:9" ht="30">
      <c r="B4607" s="1477">
        <v>96745</v>
      </c>
      <c r="C4607" s="740" t="s">
        <v>1785</v>
      </c>
      <c r="D4607" s="739" t="s">
        <v>22</v>
      </c>
      <c r="E4607" s="741">
        <f t="shared" si="142"/>
        <v>75.94</v>
      </c>
      <c r="F4607">
        <f t="shared" si="143"/>
        <v>96745</v>
      </c>
      <c r="H4607" s="1406">
        <v>74.59</v>
      </c>
      <c r="I4607" s="1406">
        <v>75.94</v>
      </c>
    </row>
    <row r="4608" spans="2:9" ht="30">
      <c r="B4608" s="677">
        <v>96746</v>
      </c>
      <c r="C4608" s="733" t="s">
        <v>1786</v>
      </c>
      <c r="D4608" s="677" t="s">
        <v>22</v>
      </c>
      <c r="E4608" s="738">
        <f t="shared" si="142"/>
        <v>101.8</v>
      </c>
      <c r="F4608">
        <f t="shared" si="143"/>
        <v>96746</v>
      </c>
      <c r="H4608" s="1405">
        <v>99.69</v>
      </c>
      <c r="I4608" s="1405">
        <v>101.8</v>
      </c>
    </row>
    <row r="4609" spans="2:9" ht="30">
      <c r="B4609" s="1477">
        <v>96747</v>
      </c>
      <c r="C4609" s="740" t="s">
        <v>1787</v>
      </c>
      <c r="D4609" s="739" t="s">
        <v>22</v>
      </c>
      <c r="E4609" s="741">
        <f t="shared" si="142"/>
        <v>7.72</v>
      </c>
      <c r="F4609">
        <f t="shared" si="143"/>
        <v>96747</v>
      </c>
      <c r="H4609" s="1406">
        <v>7.1</v>
      </c>
      <c r="I4609" s="1406">
        <v>7.72</v>
      </c>
    </row>
    <row r="4610" spans="2:9" ht="30">
      <c r="B4610" s="677">
        <v>96748</v>
      </c>
      <c r="C4610" s="733" t="s">
        <v>1788</v>
      </c>
      <c r="D4610" s="677" t="s">
        <v>22</v>
      </c>
      <c r="E4610" s="738">
        <f t="shared" si="142"/>
        <v>8.32</v>
      </c>
      <c r="F4610">
        <f t="shared" si="143"/>
        <v>96748</v>
      </c>
      <c r="H4610" s="1405">
        <v>7.7</v>
      </c>
      <c r="I4610" s="1405">
        <v>8.32</v>
      </c>
    </row>
    <row r="4611" spans="2:9" ht="30">
      <c r="B4611" s="1477">
        <v>96749</v>
      </c>
      <c r="C4611" s="740" t="s">
        <v>1789</v>
      </c>
      <c r="D4611" s="739" t="s">
        <v>22</v>
      </c>
      <c r="E4611" s="741">
        <f t="shared" ref="E4611:E4674" si="144">IF($K$2=$H$1,H4611,I4611)</f>
        <v>11.22</v>
      </c>
      <c r="F4611">
        <f t="shared" ref="F4611:F4674" si="145">IF(LEN($B4611)=7,CONCATENATE(MID($B4611,1,6),"00",RIGHT($B4611,1)),IF(LEN($B4611)=8,CONCATENATE(MID($B4611,1,6),"0",RIGHT($B4611,2)),$B4611))</f>
        <v>96749</v>
      </c>
      <c r="H4611" s="1406">
        <v>10.42</v>
      </c>
      <c r="I4611" s="1406">
        <v>11.22</v>
      </c>
    </row>
    <row r="4612" spans="2:9" ht="30">
      <c r="B4612" s="677">
        <v>96750</v>
      </c>
      <c r="C4612" s="733" t="s">
        <v>1790</v>
      </c>
      <c r="D4612" s="677" t="s">
        <v>22</v>
      </c>
      <c r="E4612" s="738">
        <f t="shared" si="144"/>
        <v>15.68</v>
      </c>
      <c r="F4612">
        <f t="shared" si="145"/>
        <v>96750</v>
      </c>
      <c r="H4612" s="1405">
        <v>14.88</v>
      </c>
      <c r="I4612" s="1405">
        <v>15.68</v>
      </c>
    </row>
    <row r="4613" spans="2:9" ht="30">
      <c r="B4613" s="1477">
        <v>96751</v>
      </c>
      <c r="C4613" s="740" t="s">
        <v>1791</v>
      </c>
      <c r="D4613" s="739" t="s">
        <v>22</v>
      </c>
      <c r="E4613" s="741">
        <f t="shared" si="144"/>
        <v>24.96</v>
      </c>
      <c r="F4613">
        <f t="shared" si="145"/>
        <v>96751</v>
      </c>
      <c r="H4613" s="1406">
        <v>23.73</v>
      </c>
      <c r="I4613" s="1406">
        <v>24.96</v>
      </c>
    </row>
    <row r="4614" spans="2:9" ht="30">
      <c r="B4614" s="677">
        <v>96752</v>
      </c>
      <c r="C4614" s="733" t="s">
        <v>1792</v>
      </c>
      <c r="D4614" s="677" t="s">
        <v>22</v>
      </c>
      <c r="E4614" s="738">
        <f t="shared" si="144"/>
        <v>33.229999999999997</v>
      </c>
      <c r="F4614">
        <f t="shared" si="145"/>
        <v>96752</v>
      </c>
      <c r="H4614" s="1405">
        <v>32</v>
      </c>
      <c r="I4614" s="1405">
        <v>33.229999999999997</v>
      </c>
    </row>
    <row r="4615" spans="2:9" ht="30">
      <c r="B4615" s="1477">
        <v>96753</v>
      </c>
      <c r="C4615" s="740" t="s">
        <v>1793</v>
      </c>
      <c r="D4615" s="739" t="s">
        <v>22</v>
      </c>
      <c r="E4615" s="741">
        <f t="shared" si="144"/>
        <v>81.849999999999994</v>
      </c>
      <c r="F4615">
        <f t="shared" si="145"/>
        <v>96753</v>
      </c>
      <c r="H4615" s="1406">
        <v>79.819999999999993</v>
      </c>
      <c r="I4615" s="1406">
        <v>81.849999999999994</v>
      </c>
    </row>
    <row r="4616" spans="2:9" ht="30">
      <c r="B4616" s="677">
        <v>96754</v>
      </c>
      <c r="C4616" s="733" t="s">
        <v>1794</v>
      </c>
      <c r="D4616" s="677" t="s">
        <v>22</v>
      </c>
      <c r="E4616" s="738">
        <f t="shared" si="144"/>
        <v>98.78</v>
      </c>
      <c r="F4616">
        <f t="shared" si="145"/>
        <v>96754</v>
      </c>
      <c r="H4616" s="1405">
        <v>96.75</v>
      </c>
      <c r="I4616" s="1405">
        <v>98.78</v>
      </c>
    </row>
    <row r="4617" spans="2:9" ht="30">
      <c r="B4617" s="1477">
        <v>96755</v>
      </c>
      <c r="C4617" s="740" t="s">
        <v>1795</v>
      </c>
      <c r="D4617" s="739" t="s">
        <v>22</v>
      </c>
      <c r="E4617" s="741">
        <f t="shared" si="144"/>
        <v>309.14</v>
      </c>
      <c r="F4617">
        <f t="shared" si="145"/>
        <v>96755</v>
      </c>
      <c r="H4617" s="1406">
        <v>305.97000000000003</v>
      </c>
      <c r="I4617" s="1406">
        <v>309.14</v>
      </c>
    </row>
    <row r="4618" spans="2:9" ht="30">
      <c r="B4618" s="677">
        <v>96756</v>
      </c>
      <c r="C4618" s="733" t="s">
        <v>1796</v>
      </c>
      <c r="D4618" s="677" t="s">
        <v>22</v>
      </c>
      <c r="E4618" s="738">
        <f t="shared" si="144"/>
        <v>19.149999999999999</v>
      </c>
      <c r="F4618">
        <f t="shared" si="145"/>
        <v>96756</v>
      </c>
      <c r="H4618" s="1405">
        <v>18.32</v>
      </c>
      <c r="I4618" s="1405">
        <v>19.149999999999999</v>
      </c>
    </row>
    <row r="4619" spans="2:9" ht="30">
      <c r="B4619" s="1477">
        <v>96757</v>
      </c>
      <c r="C4619" s="740" t="s">
        <v>1797</v>
      </c>
      <c r="D4619" s="739" t="s">
        <v>22</v>
      </c>
      <c r="E4619" s="741">
        <f t="shared" si="144"/>
        <v>22.93</v>
      </c>
      <c r="F4619">
        <f t="shared" si="145"/>
        <v>96757</v>
      </c>
      <c r="H4619" s="1406">
        <v>22.1</v>
      </c>
      <c r="I4619" s="1406">
        <v>22.93</v>
      </c>
    </row>
    <row r="4620" spans="2:9" ht="30">
      <c r="B4620" s="677">
        <v>96758</v>
      </c>
      <c r="C4620" s="733" t="s">
        <v>1798</v>
      </c>
      <c r="D4620" s="677" t="s">
        <v>22</v>
      </c>
      <c r="E4620" s="738">
        <f t="shared" si="144"/>
        <v>17.350000000000001</v>
      </c>
      <c r="F4620">
        <f t="shared" si="145"/>
        <v>96758</v>
      </c>
      <c r="H4620" s="1405">
        <v>16.27</v>
      </c>
      <c r="I4620" s="1405">
        <v>17.350000000000001</v>
      </c>
    </row>
    <row r="4621" spans="2:9" ht="30">
      <c r="B4621" s="1477">
        <v>96759</v>
      </c>
      <c r="C4621" s="740" t="s">
        <v>1799</v>
      </c>
      <c r="D4621" s="739" t="s">
        <v>22</v>
      </c>
      <c r="E4621" s="741">
        <f t="shared" si="144"/>
        <v>23.21</v>
      </c>
      <c r="F4621">
        <f t="shared" si="145"/>
        <v>96759</v>
      </c>
      <c r="H4621" s="1406">
        <v>22.13</v>
      </c>
      <c r="I4621" s="1406">
        <v>23.21</v>
      </c>
    </row>
    <row r="4622" spans="2:9" ht="30">
      <c r="B4622" s="677">
        <v>96760</v>
      </c>
      <c r="C4622" s="733" t="s">
        <v>1800</v>
      </c>
      <c r="D4622" s="677" t="s">
        <v>22</v>
      </c>
      <c r="E4622" s="738">
        <f t="shared" si="144"/>
        <v>40.57</v>
      </c>
      <c r="F4622">
        <f t="shared" si="145"/>
        <v>96760</v>
      </c>
      <c r="H4622" s="1405">
        <v>38.94</v>
      </c>
      <c r="I4622" s="1405">
        <v>40.57</v>
      </c>
    </row>
    <row r="4623" spans="2:9" ht="30">
      <c r="B4623" s="1477">
        <v>96761</v>
      </c>
      <c r="C4623" s="740" t="s">
        <v>1801</v>
      </c>
      <c r="D4623" s="739" t="s">
        <v>22</v>
      </c>
      <c r="E4623" s="741">
        <f t="shared" si="144"/>
        <v>54.89</v>
      </c>
      <c r="F4623">
        <f t="shared" si="145"/>
        <v>96761</v>
      </c>
      <c r="H4623" s="1406">
        <v>53.26</v>
      </c>
      <c r="I4623" s="1406">
        <v>54.89</v>
      </c>
    </row>
    <row r="4624" spans="2:9" ht="30">
      <c r="B4624" s="677">
        <v>96762</v>
      </c>
      <c r="C4624" s="733" t="s">
        <v>1802</v>
      </c>
      <c r="D4624" s="677" t="s">
        <v>22</v>
      </c>
      <c r="E4624" s="738">
        <f t="shared" si="144"/>
        <v>110.07</v>
      </c>
      <c r="F4624">
        <f t="shared" si="145"/>
        <v>96762</v>
      </c>
      <c r="H4624" s="1405">
        <v>107.38</v>
      </c>
      <c r="I4624" s="1405">
        <v>110.07</v>
      </c>
    </row>
    <row r="4625" spans="2:9" ht="30">
      <c r="B4625" s="1477">
        <v>96763</v>
      </c>
      <c r="C4625" s="740" t="s">
        <v>1803</v>
      </c>
      <c r="D4625" s="739" t="s">
        <v>22</v>
      </c>
      <c r="E4625" s="741">
        <f t="shared" si="144"/>
        <v>138.93</v>
      </c>
      <c r="F4625">
        <f t="shared" si="145"/>
        <v>96763</v>
      </c>
      <c r="H4625" s="1406">
        <v>136.24</v>
      </c>
      <c r="I4625" s="1406">
        <v>138.93</v>
      </c>
    </row>
    <row r="4626" spans="2:9" ht="30">
      <c r="B4626" s="677">
        <v>96764</v>
      </c>
      <c r="C4626" s="733" t="s">
        <v>1804</v>
      </c>
      <c r="D4626" s="677" t="s">
        <v>22</v>
      </c>
      <c r="E4626" s="738">
        <f t="shared" si="144"/>
        <v>281.39999999999998</v>
      </c>
      <c r="F4626">
        <f t="shared" si="145"/>
        <v>96764</v>
      </c>
      <c r="H4626" s="1405">
        <v>277.17</v>
      </c>
      <c r="I4626" s="1405">
        <v>281.39999999999998</v>
      </c>
    </row>
    <row r="4627" spans="2:9" ht="30">
      <c r="B4627" s="1477">
        <v>96802</v>
      </c>
      <c r="C4627" s="740" t="s">
        <v>7390</v>
      </c>
      <c r="D4627" s="739" t="s">
        <v>22</v>
      </c>
      <c r="E4627" s="741">
        <f t="shared" si="144"/>
        <v>369.73</v>
      </c>
      <c r="F4627">
        <f t="shared" si="145"/>
        <v>96802</v>
      </c>
      <c r="H4627" s="1406">
        <v>367.82</v>
      </c>
      <c r="I4627" s="1406">
        <v>369.73</v>
      </c>
    </row>
    <row r="4628" spans="2:9" ht="30">
      <c r="B4628" s="677">
        <v>96803</v>
      </c>
      <c r="C4628" s="733" t="s">
        <v>7391</v>
      </c>
      <c r="D4628" s="677" t="s">
        <v>22</v>
      </c>
      <c r="E4628" s="738">
        <f t="shared" si="144"/>
        <v>67.19</v>
      </c>
      <c r="F4628">
        <f t="shared" si="145"/>
        <v>96803</v>
      </c>
      <c r="H4628" s="1405">
        <v>65.61</v>
      </c>
      <c r="I4628" s="1405">
        <v>67.19</v>
      </c>
    </row>
    <row r="4629" spans="2:9" ht="30">
      <c r="B4629" s="1477">
        <v>96804</v>
      </c>
      <c r="C4629" s="740" t="s">
        <v>7392</v>
      </c>
      <c r="D4629" s="739" t="s">
        <v>22</v>
      </c>
      <c r="E4629" s="741">
        <f t="shared" si="144"/>
        <v>108.05</v>
      </c>
      <c r="F4629">
        <f t="shared" si="145"/>
        <v>96804</v>
      </c>
      <c r="H4629" s="1406">
        <v>104.3</v>
      </c>
      <c r="I4629" s="1406">
        <v>108.05</v>
      </c>
    </row>
    <row r="4630" spans="2:9" ht="30">
      <c r="B4630" s="677">
        <v>96805</v>
      </c>
      <c r="C4630" s="733" t="s">
        <v>7393</v>
      </c>
      <c r="D4630" s="677" t="s">
        <v>22</v>
      </c>
      <c r="E4630" s="738">
        <f t="shared" si="144"/>
        <v>190.91</v>
      </c>
      <c r="F4630">
        <f t="shared" si="145"/>
        <v>96805</v>
      </c>
      <c r="H4630" s="1405">
        <v>188.35</v>
      </c>
      <c r="I4630" s="1405">
        <v>190.91</v>
      </c>
    </row>
    <row r="4631" spans="2:9" ht="30">
      <c r="B4631" s="1477">
        <v>96806</v>
      </c>
      <c r="C4631" s="740" t="s">
        <v>7394</v>
      </c>
      <c r="D4631" s="739" t="s">
        <v>22</v>
      </c>
      <c r="E4631" s="741">
        <f t="shared" si="144"/>
        <v>73.34</v>
      </c>
      <c r="F4631">
        <f t="shared" si="145"/>
        <v>96806</v>
      </c>
      <c r="H4631" s="1406">
        <v>71.11</v>
      </c>
      <c r="I4631" s="1406">
        <v>73.34</v>
      </c>
    </row>
    <row r="4632" spans="2:9" ht="30">
      <c r="B4632" s="677">
        <v>96807</v>
      </c>
      <c r="C4632" s="733" t="s">
        <v>7395</v>
      </c>
      <c r="D4632" s="677" t="s">
        <v>22</v>
      </c>
      <c r="E4632" s="738">
        <f t="shared" si="144"/>
        <v>117.65</v>
      </c>
      <c r="F4632">
        <f t="shared" si="145"/>
        <v>96807</v>
      </c>
      <c r="H4632" s="1405">
        <v>113.27</v>
      </c>
      <c r="I4632" s="1405">
        <v>117.65</v>
      </c>
    </row>
    <row r="4633" spans="2:9" ht="30">
      <c r="B4633" s="1477">
        <v>96808</v>
      </c>
      <c r="C4633" s="740" t="s">
        <v>7396</v>
      </c>
      <c r="D4633" s="739" t="s">
        <v>22</v>
      </c>
      <c r="E4633" s="741">
        <f t="shared" si="144"/>
        <v>14.98</v>
      </c>
      <c r="F4633">
        <f t="shared" si="145"/>
        <v>96808</v>
      </c>
      <c r="H4633" s="1406">
        <v>14.13</v>
      </c>
      <c r="I4633" s="1406">
        <v>14.98</v>
      </c>
    </row>
    <row r="4634" spans="2:9" ht="30">
      <c r="B4634" s="677">
        <v>96809</v>
      </c>
      <c r="C4634" s="733" t="s">
        <v>7397</v>
      </c>
      <c r="D4634" s="677" t="s">
        <v>22</v>
      </c>
      <c r="E4634" s="738">
        <f t="shared" si="144"/>
        <v>16.54</v>
      </c>
      <c r="F4634">
        <f t="shared" si="145"/>
        <v>96809</v>
      </c>
      <c r="H4634" s="1405">
        <v>15.69</v>
      </c>
      <c r="I4634" s="1405">
        <v>16.54</v>
      </c>
    </row>
    <row r="4635" spans="2:9" ht="30">
      <c r="B4635" s="1477">
        <v>96810</v>
      </c>
      <c r="C4635" s="740" t="s">
        <v>7398</v>
      </c>
      <c r="D4635" s="739" t="s">
        <v>22</v>
      </c>
      <c r="E4635" s="741">
        <f t="shared" si="144"/>
        <v>17.96</v>
      </c>
      <c r="F4635">
        <f t="shared" si="145"/>
        <v>96810</v>
      </c>
      <c r="H4635" s="1406">
        <v>17</v>
      </c>
      <c r="I4635" s="1406">
        <v>17.96</v>
      </c>
    </row>
    <row r="4636" spans="2:9" ht="30">
      <c r="B4636" s="677">
        <v>96811</v>
      </c>
      <c r="C4636" s="733" t="s">
        <v>7399</v>
      </c>
      <c r="D4636" s="677" t="s">
        <v>22</v>
      </c>
      <c r="E4636" s="738">
        <f t="shared" si="144"/>
        <v>18.93</v>
      </c>
      <c r="F4636">
        <f t="shared" si="145"/>
        <v>96811</v>
      </c>
      <c r="H4636" s="1405">
        <v>17.920000000000002</v>
      </c>
      <c r="I4636" s="1405">
        <v>18.93</v>
      </c>
    </row>
    <row r="4637" spans="2:9" ht="30">
      <c r="B4637" s="1477">
        <v>96812</v>
      </c>
      <c r="C4637" s="740" t="s">
        <v>7400</v>
      </c>
      <c r="D4637" s="739" t="s">
        <v>22</v>
      </c>
      <c r="E4637" s="741">
        <f t="shared" si="144"/>
        <v>17.239999999999998</v>
      </c>
      <c r="F4637">
        <f t="shared" si="145"/>
        <v>96812</v>
      </c>
      <c r="H4637" s="1406">
        <v>16.34</v>
      </c>
      <c r="I4637" s="1406">
        <v>17.239999999999998</v>
      </c>
    </row>
    <row r="4638" spans="2:9" ht="30">
      <c r="B4638" s="677">
        <v>96813</v>
      </c>
      <c r="C4638" s="733" t="s">
        <v>7401</v>
      </c>
      <c r="D4638" s="677" t="s">
        <v>22</v>
      </c>
      <c r="E4638" s="738">
        <f t="shared" si="144"/>
        <v>19.649999999999999</v>
      </c>
      <c r="F4638">
        <f t="shared" si="145"/>
        <v>96813</v>
      </c>
      <c r="H4638" s="1405">
        <v>18.64</v>
      </c>
      <c r="I4638" s="1405">
        <v>19.649999999999999</v>
      </c>
    </row>
    <row r="4639" spans="2:9" ht="30">
      <c r="B4639" s="1477">
        <v>96814</v>
      </c>
      <c r="C4639" s="740" t="s">
        <v>7402</v>
      </c>
      <c r="D4639" s="739" t="s">
        <v>22</v>
      </c>
      <c r="E4639" s="741">
        <f t="shared" si="144"/>
        <v>14.14</v>
      </c>
      <c r="F4639">
        <f t="shared" si="145"/>
        <v>96814</v>
      </c>
      <c r="H4639" s="1406">
        <v>13.45</v>
      </c>
      <c r="I4639" s="1406">
        <v>14.14</v>
      </c>
    </row>
    <row r="4640" spans="2:9" ht="30">
      <c r="B4640" s="677">
        <v>96815</v>
      </c>
      <c r="C4640" s="733" t="s">
        <v>7403</v>
      </c>
      <c r="D4640" s="677" t="s">
        <v>22</v>
      </c>
      <c r="E4640" s="738">
        <f t="shared" si="144"/>
        <v>29.42</v>
      </c>
      <c r="F4640">
        <f t="shared" si="145"/>
        <v>96815</v>
      </c>
      <c r="H4640" s="1405">
        <v>28.22</v>
      </c>
      <c r="I4640" s="1405">
        <v>29.42</v>
      </c>
    </row>
    <row r="4641" spans="2:9" ht="30">
      <c r="B4641" s="1477">
        <v>96816</v>
      </c>
      <c r="C4641" s="740" t="s">
        <v>7404</v>
      </c>
      <c r="D4641" s="739" t="s">
        <v>22</v>
      </c>
      <c r="E4641" s="741">
        <f t="shared" si="144"/>
        <v>22.21</v>
      </c>
      <c r="F4641">
        <f t="shared" si="145"/>
        <v>96816</v>
      </c>
      <c r="H4641" s="1406">
        <v>21.12</v>
      </c>
      <c r="I4641" s="1406">
        <v>22.21</v>
      </c>
    </row>
    <row r="4642" spans="2:9" ht="30">
      <c r="B4642" s="677">
        <v>96817</v>
      </c>
      <c r="C4642" s="733" t="s">
        <v>7405</v>
      </c>
      <c r="D4642" s="677" t="s">
        <v>22</v>
      </c>
      <c r="E4642" s="738">
        <f t="shared" si="144"/>
        <v>29.66</v>
      </c>
      <c r="F4642">
        <f t="shared" si="145"/>
        <v>96817</v>
      </c>
      <c r="H4642" s="1405">
        <v>28.46</v>
      </c>
      <c r="I4642" s="1405">
        <v>29.66</v>
      </c>
    </row>
    <row r="4643" spans="2:9" ht="30">
      <c r="B4643" s="1477">
        <v>96818</v>
      </c>
      <c r="C4643" s="740" t="s">
        <v>7406</v>
      </c>
      <c r="D4643" s="739" t="s">
        <v>22</v>
      </c>
      <c r="E4643" s="741">
        <f t="shared" si="144"/>
        <v>19.03</v>
      </c>
      <c r="F4643">
        <f t="shared" si="145"/>
        <v>96818</v>
      </c>
      <c r="H4643" s="1406">
        <v>18.27</v>
      </c>
      <c r="I4643" s="1406">
        <v>19.03</v>
      </c>
    </row>
    <row r="4644" spans="2:9" ht="30">
      <c r="B4644" s="677">
        <v>96819</v>
      </c>
      <c r="C4644" s="733" t="s">
        <v>7407</v>
      </c>
      <c r="D4644" s="677" t="s">
        <v>22</v>
      </c>
      <c r="E4644" s="738">
        <f t="shared" si="144"/>
        <v>20.399999999999999</v>
      </c>
      <c r="F4644">
        <f t="shared" si="145"/>
        <v>96819</v>
      </c>
      <c r="H4644" s="1405">
        <v>19.579999999999998</v>
      </c>
      <c r="I4644" s="1405">
        <v>20.399999999999999</v>
      </c>
    </row>
    <row r="4645" spans="2:9" ht="30">
      <c r="B4645" s="1477">
        <v>96820</v>
      </c>
      <c r="C4645" s="740" t="s">
        <v>7408</v>
      </c>
      <c r="D4645" s="739" t="s">
        <v>22</v>
      </c>
      <c r="E4645" s="741">
        <f t="shared" si="144"/>
        <v>35.380000000000003</v>
      </c>
      <c r="F4645">
        <f t="shared" si="145"/>
        <v>96820</v>
      </c>
      <c r="H4645" s="1406">
        <v>33.9</v>
      </c>
      <c r="I4645" s="1406">
        <v>35.380000000000003</v>
      </c>
    </row>
    <row r="4646" spans="2:9" ht="30">
      <c r="B4646" s="677">
        <v>96821</v>
      </c>
      <c r="C4646" s="733" t="s">
        <v>7409</v>
      </c>
      <c r="D4646" s="677" t="s">
        <v>22</v>
      </c>
      <c r="E4646" s="738">
        <f t="shared" si="144"/>
        <v>33.020000000000003</v>
      </c>
      <c r="F4646">
        <f t="shared" si="145"/>
        <v>96821</v>
      </c>
      <c r="H4646" s="1405">
        <v>31.71</v>
      </c>
      <c r="I4646" s="1405">
        <v>33.020000000000003</v>
      </c>
    </row>
    <row r="4647" spans="2:9" ht="30">
      <c r="B4647" s="1477">
        <v>96822</v>
      </c>
      <c r="C4647" s="740" t="s">
        <v>7410</v>
      </c>
      <c r="D4647" s="739" t="s">
        <v>22</v>
      </c>
      <c r="E4647" s="741">
        <f t="shared" si="144"/>
        <v>26.8</v>
      </c>
      <c r="F4647">
        <f t="shared" si="145"/>
        <v>96822</v>
      </c>
      <c r="H4647" s="1406">
        <v>25.8</v>
      </c>
      <c r="I4647" s="1406">
        <v>26.8</v>
      </c>
    </row>
    <row r="4648" spans="2:9">
      <c r="B4648" s="677">
        <v>96823</v>
      </c>
      <c r="C4648" s="733" t="s">
        <v>7411</v>
      </c>
      <c r="D4648" s="677" t="s">
        <v>22</v>
      </c>
      <c r="E4648" s="738">
        <f t="shared" si="144"/>
        <v>9.9499999999999993</v>
      </c>
      <c r="F4648">
        <f t="shared" si="145"/>
        <v>96823</v>
      </c>
      <c r="H4648" s="1405">
        <v>9.51</v>
      </c>
      <c r="I4648" s="1405">
        <v>9.9499999999999993</v>
      </c>
    </row>
    <row r="4649" spans="2:9" ht="30">
      <c r="B4649" s="1477">
        <v>96824</v>
      </c>
      <c r="C4649" s="740" t="s">
        <v>7412</v>
      </c>
      <c r="D4649" s="739" t="s">
        <v>22</v>
      </c>
      <c r="E4649" s="741">
        <f t="shared" si="144"/>
        <v>15.51</v>
      </c>
      <c r="F4649">
        <f t="shared" si="145"/>
        <v>96824</v>
      </c>
      <c r="H4649" s="1406">
        <v>14.76</v>
      </c>
      <c r="I4649" s="1406">
        <v>15.51</v>
      </c>
    </row>
    <row r="4650" spans="2:9">
      <c r="B4650" s="677">
        <v>96826</v>
      </c>
      <c r="C4650" s="733" t="s">
        <v>7413</v>
      </c>
      <c r="D4650" s="677" t="s">
        <v>22</v>
      </c>
      <c r="E4650" s="738">
        <f t="shared" si="144"/>
        <v>11.53</v>
      </c>
      <c r="F4650">
        <f t="shared" si="145"/>
        <v>96826</v>
      </c>
      <c r="H4650" s="1405">
        <v>11.01</v>
      </c>
      <c r="I4650" s="1405">
        <v>11.53</v>
      </c>
    </row>
    <row r="4651" spans="2:9" ht="30">
      <c r="B4651" s="1477">
        <v>96827</v>
      </c>
      <c r="C4651" s="740" t="s">
        <v>7414</v>
      </c>
      <c r="D4651" s="739" t="s">
        <v>22</v>
      </c>
      <c r="E4651" s="741">
        <f t="shared" si="144"/>
        <v>16.899999999999999</v>
      </c>
      <c r="F4651">
        <f t="shared" si="145"/>
        <v>96827</v>
      </c>
      <c r="H4651" s="1406">
        <v>16.11</v>
      </c>
      <c r="I4651" s="1406">
        <v>16.899999999999999</v>
      </c>
    </row>
    <row r="4652" spans="2:9" ht="30">
      <c r="B4652" s="677">
        <v>96828</v>
      </c>
      <c r="C4652" s="733" t="s">
        <v>7415</v>
      </c>
      <c r="D4652" s="677" t="s">
        <v>22</v>
      </c>
      <c r="E4652" s="738">
        <f t="shared" si="144"/>
        <v>20.85</v>
      </c>
      <c r="F4652">
        <f t="shared" si="145"/>
        <v>96828</v>
      </c>
      <c r="H4652" s="1405">
        <v>19.96</v>
      </c>
      <c r="I4652" s="1405">
        <v>20.85</v>
      </c>
    </row>
    <row r="4653" spans="2:9" ht="30">
      <c r="B4653" s="1477">
        <v>96829</v>
      </c>
      <c r="C4653" s="740" t="s">
        <v>7416</v>
      </c>
      <c r="D4653" s="739" t="s">
        <v>22</v>
      </c>
      <c r="E4653" s="741">
        <f t="shared" si="144"/>
        <v>16.190000000000001</v>
      </c>
      <c r="F4653">
        <f t="shared" si="145"/>
        <v>96829</v>
      </c>
      <c r="H4653" s="1406">
        <v>15.71</v>
      </c>
      <c r="I4653" s="1406">
        <v>16.190000000000001</v>
      </c>
    </row>
    <row r="4654" spans="2:9">
      <c r="B4654" s="677">
        <v>96830</v>
      </c>
      <c r="C4654" s="733" t="s">
        <v>7417</v>
      </c>
      <c r="D4654" s="677" t="s">
        <v>22</v>
      </c>
      <c r="E4654" s="738">
        <f t="shared" si="144"/>
        <v>18.2</v>
      </c>
      <c r="F4654">
        <f t="shared" si="145"/>
        <v>96830</v>
      </c>
      <c r="H4654" s="1405">
        <v>17.579999999999998</v>
      </c>
      <c r="I4654" s="1405">
        <v>18.2</v>
      </c>
    </row>
    <row r="4655" spans="2:9" ht="30">
      <c r="B4655" s="1477">
        <v>96832</v>
      </c>
      <c r="C4655" s="740" t="s">
        <v>7418</v>
      </c>
      <c r="D4655" s="739" t="s">
        <v>22</v>
      </c>
      <c r="E4655" s="741">
        <f t="shared" si="144"/>
        <v>26.23</v>
      </c>
      <c r="F4655">
        <f t="shared" si="145"/>
        <v>96832</v>
      </c>
      <c r="H4655" s="1406">
        <v>25.28</v>
      </c>
      <c r="I4655" s="1406">
        <v>26.23</v>
      </c>
    </row>
    <row r="4656" spans="2:9" ht="30">
      <c r="B4656" s="677">
        <v>96833</v>
      </c>
      <c r="C4656" s="733" t="s">
        <v>7419</v>
      </c>
      <c r="D4656" s="677" t="s">
        <v>22</v>
      </c>
      <c r="E4656" s="738">
        <f t="shared" si="144"/>
        <v>20.68</v>
      </c>
      <c r="F4656">
        <f t="shared" si="145"/>
        <v>96833</v>
      </c>
      <c r="H4656" s="1405">
        <v>20.13</v>
      </c>
      <c r="I4656" s="1405">
        <v>20.68</v>
      </c>
    </row>
    <row r="4657" spans="2:9">
      <c r="B4657" s="1477">
        <v>96834</v>
      </c>
      <c r="C4657" s="740" t="s">
        <v>7420</v>
      </c>
      <c r="D4657" s="739" t="s">
        <v>22</v>
      </c>
      <c r="E4657" s="741">
        <f t="shared" si="144"/>
        <v>24.66</v>
      </c>
      <c r="F4657">
        <f t="shared" si="145"/>
        <v>96834</v>
      </c>
      <c r="H4657" s="1406">
        <v>23.89</v>
      </c>
      <c r="I4657" s="1406">
        <v>24.66</v>
      </c>
    </row>
    <row r="4658" spans="2:9" ht="30">
      <c r="B4658" s="677">
        <v>96836</v>
      </c>
      <c r="C4658" s="733" t="s">
        <v>7421</v>
      </c>
      <c r="D4658" s="677" t="s">
        <v>22</v>
      </c>
      <c r="E4658" s="738">
        <f t="shared" si="144"/>
        <v>29.59</v>
      </c>
      <c r="F4658">
        <f t="shared" si="145"/>
        <v>96836</v>
      </c>
      <c r="H4658" s="1405">
        <v>28.89</v>
      </c>
      <c r="I4658" s="1405">
        <v>29.59</v>
      </c>
    </row>
    <row r="4659" spans="2:9" ht="30">
      <c r="B4659" s="1477">
        <v>96837</v>
      </c>
      <c r="C4659" s="740" t="s">
        <v>7422</v>
      </c>
      <c r="D4659" s="739" t="s">
        <v>22</v>
      </c>
      <c r="E4659" s="741">
        <f t="shared" si="144"/>
        <v>18.43</v>
      </c>
      <c r="F4659">
        <f t="shared" si="145"/>
        <v>96837</v>
      </c>
      <c r="H4659" s="1406">
        <v>17.47</v>
      </c>
      <c r="I4659" s="1406">
        <v>18.43</v>
      </c>
    </row>
    <row r="4660" spans="2:9" ht="30">
      <c r="B4660" s="677">
        <v>96838</v>
      </c>
      <c r="C4660" s="733" t="s">
        <v>7423</v>
      </c>
      <c r="D4660" s="677" t="s">
        <v>22</v>
      </c>
      <c r="E4660" s="738">
        <f t="shared" si="144"/>
        <v>22.18</v>
      </c>
      <c r="F4660">
        <f t="shared" si="145"/>
        <v>96838</v>
      </c>
      <c r="H4660" s="1405">
        <v>20.89</v>
      </c>
      <c r="I4660" s="1405">
        <v>22.18</v>
      </c>
    </row>
    <row r="4661" spans="2:9" ht="30">
      <c r="B4661" s="1477">
        <v>96839</v>
      </c>
      <c r="C4661" s="740" t="s">
        <v>7424</v>
      </c>
      <c r="D4661" s="739" t="s">
        <v>22</v>
      </c>
      <c r="E4661" s="741">
        <f t="shared" si="144"/>
        <v>22.94</v>
      </c>
      <c r="F4661">
        <f t="shared" si="145"/>
        <v>96839</v>
      </c>
      <c r="H4661" s="1406">
        <v>21.65</v>
      </c>
      <c r="I4661" s="1406">
        <v>22.94</v>
      </c>
    </row>
    <row r="4662" spans="2:9" ht="30">
      <c r="B4662" s="677">
        <v>96840</v>
      </c>
      <c r="C4662" s="733" t="s">
        <v>7425</v>
      </c>
      <c r="D4662" s="677" t="s">
        <v>22</v>
      </c>
      <c r="E4662" s="738">
        <f t="shared" si="144"/>
        <v>22.25</v>
      </c>
      <c r="F4662">
        <f t="shared" si="145"/>
        <v>96840</v>
      </c>
      <c r="H4662" s="1405">
        <v>21.11</v>
      </c>
      <c r="I4662" s="1405">
        <v>22.25</v>
      </c>
    </row>
    <row r="4663" spans="2:9" ht="30">
      <c r="B4663" s="1477">
        <v>96841</v>
      </c>
      <c r="C4663" s="740" t="s">
        <v>7426</v>
      </c>
      <c r="D4663" s="739" t="s">
        <v>22</v>
      </c>
      <c r="E4663" s="741">
        <f t="shared" si="144"/>
        <v>24.62</v>
      </c>
      <c r="F4663">
        <f t="shared" si="145"/>
        <v>96841</v>
      </c>
      <c r="H4663" s="1406">
        <v>23.27</v>
      </c>
      <c r="I4663" s="1406">
        <v>24.62</v>
      </c>
    </row>
    <row r="4664" spans="2:9" ht="30">
      <c r="B4664" s="677">
        <v>96842</v>
      </c>
      <c r="C4664" s="733" t="s">
        <v>7427</v>
      </c>
      <c r="D4664" s="677" t="s">
        <v>22</v>
      </c>
      <c r="E4664" s="738">
        <f t="shared" si="144"/>
        <v>28.2</v>
      </c>
      <c r="F4664">
        <f t="shared" si="145"/>
        <v>96842</v>
      </c>
      <c r="H4664" s="1405">
        <v>26.69</v>
      </c>
      <c r="I4664" s="1405">
        <v>28.2</v>
      </c>
    </row>
    <row r="4665" spans="2:9" ht="30">
      <c r="B4665" s="1477">
        <v>96843</v>
      </c>
      <c r="C4665" s="740" t="s">
        <v>7428</v>
      </c>
      <c r="D4665" s="739" t="s">
        <v>22</v>
      </c>
      <c r="E4665" s="741">
        <f t="shared" si="144"/>
        <v>25.64</v>
      </c>
      <c r="F4665">
        <f t="shared" si="145"/>
        <v>96843</v>
      </c>
      <c r="H4665" s="1406">
        <v>24.29</v>
      </c>
      <c r="I4665" s="1406">
        <v>25.64</v>
      </c>
    </row>
    <row r="4666" spans="2:9" ht="30">
      <c r="B4666" s="677">
        <v>96844</v>
      </c>
      <c r="C4666" s="733" t="s">
        <v>7429</v>
      </c>
      <c r="D4666" s="677" t="s">
        <v>22</v>
      </c>
      <c r="E4666" s="738">
        <f t="shared" si="144"/>
        <v>29.53</v>
      </c>
      <c r="F4666">
        <f t="shared" si="145"/>
        <v>96844</v>
      </c>
      <c r="H4666" s="1405">
        <v>28.02</v>
      </c>
      <c r="I4666" s="1405">
        <v>29.53</v>
      </c>
    </row>
    <row r="4667" spans="2:9" ht="30">
      <c r="B4667" s="1477">
        <v>96845</v>
      </c>
      <c r="C4667" s="740" t="s">
        <v>7430</v>
      </c>
      <c r="D4667" s="739" t="s">
        <v>22</v>
      </c>
      <c r="E4667" s="741">
        <f t="shared" si="144"/>
        <v>35.06</v>
      </c>
      <c r="F4667">
        <f t="shared" si="145"/>
        <v>96845</v>
      </c>
      <c r="H4667" s="1406">
        <v>33.71</v>
      </c>
      <c r="I4667" s="1406">
        <v>35.06</v>
      </c>
    </row>
    <row r="4668" spans="2:9" ht="30">
      <c r="B4668" s="677">
        <v>96846</v>
      </c>
      <c r="C4668" s="733" t="s">
        <v>7431</v>
      </c>
      <c r="D4668" s="677" t="s">
        <v>22</v>
      </c>
      <c r="E4668" s="738">
        <f t="shared" si="144"/>
        <v>32.9</v>
      </c>
      <c r="F4668">
        <f t="shared" si="145"/>
        <v>96846</v>
      </c>
      <c r="H4668" s="1405">
        <v>31.27</v>
      </c>
      <c r="I4668" s="1405">
        <v>32.9</v>
      </c>
    </row>
    <row r="4669" spans="2:9" ht="30">
      <c r="B4669" s="1477">
        <v>96847</v>
      </c>
      <c r="C4669" s="740" t="s">
        <v>7432</v>
      </c>
      <c r="D4669" s="739" t="s">
        <v>22</v>
      </c>
      <c r="E4669" s="741">
        <f t="shared" si="144"/>
        <v>32.450000000000003</v>
      </c>
      <c r="F4669">
        <f t="shared" si="145"/>
        <v>96847</v>
      </c>
      <c r="H4669" s="1406">
        <v>30.82</v>
      </c>
      <c r="I4669" s="1406">
        <v>32.450000000000003</v>
      </c>
    </row>
    <row r="4670" spans="2:9" ht="30">
      <c r="B4670" s="677">
        <v>96848</v>
      </c>
      <c r="C4670" s="733" t="s">
        <v>7433</v>
      </c>
      <c r="D4670" s="677" t="s">
        <v>22</v>
      </c>
      <c r="E4670" s="738">
        <f t="shared" si="144"/>
        <v>46.54</v>
      </c>
      <c r="F4670">
        <f t="shared" si="145"/>
        <v>96848</v>
      </c>
      <c r="H4670" s="1405">
        <v>44.88</v>
      </c>
      <c r="I4670" s="1405">
        <v>46.54</v>
      </c>
    </row>
    <row r="4671" spans="2:9" ht="30">
      <c r="B4671" s="1477">
        <v>96849</v>
      </c>
      <c r="C4671" s="740" t="s">
        <v>7434</v>
      </c>
      <c r="D4671" s="739" t="s">
        <v>22</v>
      </c>
      <c r="E4671" s="741">
        <f t="shared" si="144"/>
        <v>14.7</v>
      </c>
      <c r="F4671">
        <f t="shared" si="145"/>
        <v>96849</v>
      </c>
      <c r="H4671" s="1406">
        <v>14.03</v>
      </c>
      <c r="I4671" s="1406">
        <v>14.7</v>
      </c>
    </row>
    <row r="4672" spans="2:9" ht="30">
      <c r="B4672" s="677">
        <v>96850</v>
      </c>
      <c r="C4672" s="733" t="s">
        <v>7435</v>
      </c>
      <c r="D4672" s="677" t="s">
        <v>22</v>
      </c>
      <c r="E4672" s="738">
        <f t="shared" si="144"/>
        <v>20.68</v>
      </c>
      <c r="F4672">
        <f t="shared" si="145"/>
        <v>96850</v>
      </c>
      <c r="H4672" s="1405">
        <v>19.55</v>
      </c>
      <c r="I4672" s="1405">
        <v>20.68</v>
      </c>
    </row>
    <row r="4673" spans="2:9" ht="30">
      <c r="B4673" s="1477">
        <v>96852</v>
      </c>
      <c r="C4673" s="740" t="s">
        <v>7436</v>
      </c>
      <c r="D4673" s="739" t="s">
        <v>22</v>
      </c>
      <c r="E4673" s="741">
        <f t="shared" si="144"/>
        <v>18.71</v>
      </c>
      <c r="F4673">
        <f t="shared" si="145"/>
        <v>96852</v>
      </c>
      <c r="H4673" s="1406">
        <v>17.920000000000002</v>
      </c>
      <c r="I4673" s="1406">
        <v>18.71</v>
      </c>
    </row>
    <row r="4674" spans="2:9" ht="30">
      <c r="B4674" s="677">
        <v>96853</v>
      </c>
      <c r="C4674" s="733" t="s">
        <v>7437</v>
      </c>
      <c r="D4674" s="677" t="s">
        <v>22</v>
      </c>
      <c r="E4674" s="738">
        <f t="shared" si="144"/>
        <v>22.22</v>
      </c>
      <c r="F4674">
        <f t="shared" si="145"/>
        <v>96853</v>
      </c>
      <c r="H4674" s="1405">
        <v>21.04</v>
      </c>
      <c r="I4674" s="1405">
        <v>22.22</v>
      </c>
    </row>
    <row r="4675" spans="2:9" ht="30">
      <c r="B4675" s="1477">
        <v>96854</v>
      </c>
      <c r="C4675" s="740" t="s">
        <v>7438</v>
      </c>
      <c r="D4675" s="739" t="s">
        <v>22</v>
      </c>
      <c r="E4675" s="741">
        <f t="shared" ref="E4675:E4738" si="146">IF($K$2=$H$1,H4675,I4675)</f>
        <v>27.39</v>
      </c>
      <c r="F4675">
        <f t="shared" ref="F4675:F4738" si="147">IF(LEN($B4675)=7,CONCATENATE(MID($B4675,1,6),"00",RIGHT($B4675,1)),IF(LEN($B4675)=8,CONCATENATE(MID($B4675,1,6),"0",RIGHT($B4675,2)),$B4675))</f>
        <v>96854</v>
      </c>
      <c r="H4675" s="1406">
        <v>26.04</v>
      </c>
      <c r="I4675" s="1406">
        <v>27.39</v>
      </c>
    </row>
    <row r="4676" spans="2:9" ht="30">
      <c r="B4676" s="677">
        <v>96855</v>
      </c>
      <c r="C4676" s="733" t="s">
        <v>7439</v>
      </c>
      <c r="D4676" s="677" t="s">
        <v>22</v>
      </c>
      <c r="E4676" s="738">
        <f t="shared" si="146"/>
        <v>29.37</v>
      </c>
      <c r="F4676">
        <f t="shared" si="147"/>
        <v>96855</v>
      </c>
      <c r="H4676" s="1405">
        <v>28.43</v>
      </c>
      <c r="I4676" s="1405">
        <v>29.37</v>
      </c>
    </row>
    <row r="4677" spans="2:9" ht="30">
      <c r="B4677" s="1477">
        <v>96856</v>
      </c>
      <c r="C4677" s="740" t="s">
        <v>7440</v>
      </c>
      <c r="D4677" s="739" t="s">
        <v>22</v>
      </c>
      <c r="E4677" s="741">
        <f t="shared" si="146"/>
        <v>31.43</v>
      </c>
      <c r="F4677">
        <f t="shared" si="147"/>
        <v>96856</v>
      </c>
      <c r="H4677" s="1406">
        <v>30.17</v>
      </c>
      <c r="I4677" s="1406">
        <v>31.43</v>
      </c>
    </row>
    <row r="4678" spans="2:9" ht="30">
      <c r="B4678" s="677">
        <v>96860</v>
      </c>
      <c r="C4678" s="733" t="s">
        <v>7441</v>
      </c>
      <c r="D4678" s="677" t="s">
        <v>22</v>
      </c>
      <c r="E4678" s="738">
        <f t="shared" si="146"/>
        <v>26.36</v>
      </c>
      <c r="F4678">
        <f t="shared" si="147"/>
        <v>96860</v>
      </c>
      <c r="H4678" s="1405">
        <v>25.1</v>
      </c>
      <c r="I4678" s="1405">
        <v>26.36</v>
      </c>
    </row>
    <row r="4679" spans="2:9" ht="30">
      <c r="B4679" s="1477">
        <v>96861</v>
      </c>
      <c r="C4679" s="740" t="s">
        <v>7442</v>
      </c>
      <c r="D4679" s="739" t="s">
        <v>22</v>
      </c>
      <c r="E4679" s="741">
        <f t="shared" si="146"/>
        <v>33.33</v>
      </c>
      <c r="F4679">
        <f t="shared" si="147"/>
        <v>96861</v>
      </c>
      <c r="H4679" s="1406">
        <v>31.77</v>
      </c>
      <c r="I4679" s="1406">
        <v>33.33</v>
      </c>
    </row>
    <row r="4680" spans="2:9" ht="30">
      <c r="B4680" s="677">
        <v>96862</v>
      </c>
      <c r="C4680" s="733" t="s">
        <v>7443</v>
      </c>
      <c r="D4680" s="677" t="s">
        <v>22</v>
      </c>
      <c r="E4680" s="738">
        <f t="shared" si="146"/>
        <v>32.409999999999997</v>
      </c>
      <c r="F4680">
        <f t="shared" si="147"/>
        <v>96862</v>
      </c>
      <c r="H4680" s="1405">
        <v>30.9</v>
      </c>
      <c r="I4680" s="1405">
        <v>32.409999999999997</v>
      </c>
    </row>
    <row r="4681" spans="2:9" ht="30">
      <c r="B4681" s="1477">
        <v>96863</v>
      </c>
      <c r="C4681" s="740" t="s">
        <v>7444</v>
      </c>
      <c r="D4681" s="739" t="s">
        <v>22</v>
      </c>
      <c r="E4681" s="741">
        <f t="shared" si="146"/>
        <v>34.14</v>
      </c>
      <c r="F4681">
        <f t="shared" si="147"/>
        <v>96863</v>
      </c>
      <c r="H4681" s="1406">
        <v>32.43</v>
      </c>
      <c r="I4681" s="1406">
        <v>34.14</v>
      </c>
    </row>
    <row r="4682" spans="2:9" ht="30">
      <c r="B4682" s="677">
        <v>96864</v>
      </c>
      <c r="C4682" s="733" t="s">
        <v>7445</v>
      </c>
      <c r="D4682" s="677" t="s">
        <v>22</v>
      </c>
      <c r="E4682" s="738">
        <f t="shared" si="146"/>
        <v>45.82</v>
      </c>
      <c r="F4682">
        <f t="shared" si="147"/>
        <v>96864</v>
      </c>
      <c r="H4682" s="1405">
        <v>44.03</v>
      </c>
      <c r="I4682" s="1405">
        <v>45.82</v>
      </c>
    </row>
    <row r="4683" spans="2:9" ht="30">
      <c r="B4683" s="1477">
        <v>96865</v>
      </c>
      <c r="C4683" s="740" t="s">
        <v>7446</v>
      </c>
      <c r="D4683" s="739" t="s">
        <v>22</v>
      </c>
      <c r="E4683" s="741">
        <f t="shared" si="146"/>
        <v>40.28</v>
      </c>
      <c r="F4683">
        <f t="shared" si="147"/>
        <v>96865</v>
      </c>
      <c r="H4683" s="1406">
        <v>38.24</v>
      </c>
      <c r="I4683" s="1406">
        <v>40.28</v>
      </c>
    </row>
    <row r="4684" spans="2:9" ht="30">
      <c r="B4684" s="677">
        <v>96866</v>
      </c>
      <c r="C4684" s="733" t="s">
        <v>7447</v>
      </c>
      <c r="D4684" s="677" t="s">
        <v>22</v>
      </c>
      <c r="E4684" s="738">
        <f t="shared" si="146"/>
        <v>59.63</v>
      </c>
      <c r="F4684">
        <f t="shared" si="147"/>
        <v>96866</v>
      </c>
      <c r="H4684" s="1405">
        <v>57.41</v>
      </c>
      <c r="I4684" s="1405">
        <v>59.63</v>
      </c>
    </row>
    <row r="4685" spans="2:9">
      <c r="B4685" s="1477">
        <v>96868</v>
      </c>
      <c r="C4685" s="740" t="s">
        <v>7448</v>
      </c>
      <c r="D4685" s="739" t="s">
        <v>22</v>
      </c>
      <c r="E4685" s="741">
        <f t="shared" si="146"/>
        <v>17.21</v>
      </c>
      <c r="F4685">
        <f t="shared" si="147"/>
        <v>96868</v>
      </c>
      <c r="H4685" s="1406">
        <v>16.329999999999998</v>
      </c>
      <c r="I4685" s="1406">
        <v>17.21</v>
      </c>
    </row>
    <row r="4686" spans="2:9">
      <c r="B4686" s="677">
        <v>96869</v>
      </c>
      <c r="C4686" s="733" t="s">
        <v>7449</v>
      </c>
      <c r="D4686" s="677" t="s">
        <v>22</v>
      </c>
      <c r="E4686" s="738">
        <f t="shared" si="146"/>
        <v>26.4</v>
      </c>
      <c r="F4686">
        <f t="shared" si="147"/>
        <v>96869</v>
      </c>
      <c r="H4686" s="1405">
        <v>25.35</v>
      </c>
      <c r="I4686" s="1405">
        <v>26.4</v>
      </c>
    </row>
    <row r="4687" spans="2:9">
      <c r="B4687" s="1477">
        <v>96870</v>
      </c>
      <c r="C4687" s="740" t="s">
        <v>7450</v>
      </c>
      <c r="D4687" s="739" t="s">
        <v>22</v>
      </c>
      <c r="E4687" s="741">
        <f t="shared" si="146"/>
        <v>39.68</v>
      </c>
      <c r="F4687">
        <f t="shared" si="147"/>
        <v>96870</v>
      </c>
      <c r="H4687" s="1406">
        <v>38.43</v>
      </c>
      <c r="I4687" s="1406">
        <v>39.68</v>
      </c>
    </row>
    <row r="4688" spans="2:9">
      <c r="B4688" s="677">
        <v>96871</v>
      </c>
      <c r="C4688" s="733" t="s">
        <v>7451</v>
      </c>
      <c r="D4688" s="677" t="s">
        <v>22</v>
      </c>
      <c r="E4688" s="738">
        <f t="shared" si="146"/>
        <v>45.35</v>
      </c>
      <c r="F4688">
        <f t="shared" si="147"/>
        <v>96871</v>
      </c>
      <c r="H4688" s="1405">
        <v>43.8</v>
      </c>
      <c r="I4688" s="1405">
        <v>45.35</v>
      </c>
    </row>
    <row r="4689" spans="2:9" ht="30">
      <c r="B4689" s="1477">
        <v>96872</v>
      </c>
      <c r="C4689" s="740" t="s">
        <v>7452</v>
      </c>
      <c r="D4689" s="739" t="s">
        <v>22</v>
      </c>
      <c r="E4689" s="741">
        <f t="shared" si="146"/>
        <v>42</v>
      </c>
      <c r="F4689">
        <f t="shared" si="147"/>
        <v>96872</v>
      </c>
      <c r="H4689" s="1406">
        <v>40.229999999999997</v>
      </c>
      <c r="I4689" s="1406">
        <v>42</v>
      </c>
    </row>
    <row r="4690" spans="2:9" ht="30">
      <c r="B4690" s="677">
        <v>96873</v>
      </c>
      <c r="C4690" s="733" t="s">
        <v>7453</v>
      </c>
      <c r="D4690" s="677" t="s">
        <v>22</v>
      </c>
      <c r="E4690" s="738">
        <f t="shared" si="146"/>
        <v>55.99</v>
      </c>
      <c r="F4690">
        <f t="shared" si="147"/>
        <v>96873</v>
      </c>
      <c r="H4690" s="1405">
        <v>54</v>
      </c>
      <c r="I4690" s="1405">
        <v>55.99</v>
      </c>
    </row>
    <row r="4691" spans="2:9" ht="30">
      <c r="B4691" s="1477">
        <v>96874</v>
      </c>
      <c r="C4691" s="740" t="s">
        <v>7454</v>
      </c>
      <c r="D4691" s="739" t="s">
        <v>22</v>
      </c>
      <c r="E4691" s="741">
        <f t="shared" si="146"/>
        <v>51.08</v>
      </c>
      <c r="F4691">
        <f t="shared" si="147"/>
        <v>96874</v>
      </c>
      <c r="H4691" s="1406">
        <v>49</v>
      </c>
      <c r="I4691" s="1406">
        <v>51.08</v>
      </c>
    </row>
    <row r="4692" spans="2:9" ht="30">
      <c r="B4692" s="677">
        <v>96875</v>
      </c>
      <c r="C4692" s="733" t="s">
        <v>7455</v>
      </c>
      <c r="D4692" s="677" t="s">
        <v>22</v>
      </c>
      <c r="E4692" s="738">
        <f t="shared" si="146"/>
        <v>67.069999999999993</v>
      </c>
      <c r="F4692">
        <f t="shared" si="147"/>
        <v>96875</v>
      </c>
      <c r="H4692" s="1405">
        <v>64.77</v>
      </c>
      <c r="I4692" s="1405">
        <v>67.069999999999993</v>
      </c>
    </row>
    <row r="4693" spans="2:9" ht="30">
      <c r="B4693" s="1477">
        <v>96876</v>
      </c>
      <c r="C4693" s="740" t="s">
        <v>7456</v>
      </c>
      <c r="D4693" s="739" t="s">
        <v>22</v>
      </c>
      <c r="E4693" s="741">
        <f t="shared" si="146"/>
        <v>154.47</v>
      </c>
      <c r="F4693">
        <f t="shared" si="147"/>
        <v>96876</v>
      </c>
      <c r="H4693" s="1406">
        <v>152.37</v>
      </c>
      <c r="I4693" s="1406">
        <v>154.47</v>
      </c>
    </row>
    <row r="4694" spans="2:9" ht="30">
      <c r="B4694" s="677">
        <v>96878</v>
      </c>
      <c r="C4694" s="733" t="s">
        <v>7457</v>
      </c>
      <c r="D4694" s="677" t="s">
        <v>22</v>
      </c>
      <c r="E4694" s="738">
        <f t="shared" si="146"/>
        <v>173.62</v>
      </c>
      <c r="F4694">
        <f t="shared" si="147"/>
        <v>96878</v>
      </c>
      <c r="H4694" s="1405">
        <v>171.33</v>
      </c>
      <c r="I4694" s="1405">
        <v>173.62</v>
      </c>
    </row>
    <row r="4695" spans="2:9" ht="30">
      <c r="B4695" s="1477">
        <v>96879</v>
      </c>
      <c r="C4695" s="740" t="s">
        <v>7458</v>
      </c>
      <c r="D4695" s="739" t="s">
        <v>22</v>
      </c>
      <c r="E4695" s="741">
        <f t="shared" si="146"/>
        <v>168.19</v>
      </c>
      <c r="F4695">
        <f t="shared" si="147"/>
        <v>96879</v>
      </c>
      <c r="H4695" s="1406">
        <v>165.86</v>
      </c>
      <c r="I4695" s="1406">
        <v>168.19</v>
      </c>
    </row>
    <row r="4696" spans="2:9" ht="30">
      <c r="B4696" s="677">
        <v>96881</v>
      </c>
      <c r="C4696" s="733" t="s">
        <v>7459</v>
      </c>
      <c r="D4696" s="677" t="s">
        <v>22</v>
      </c>
      <c r="E4696" s="738">
        <f t="shared" si="146"/>
        <v>199.78</v>
      </c>
      <c r="F4696">
        <f t="shared" si="147"/>
        <v>96881</v>
      </c>
      <c r="H4696" s="1405">
        <v>197.18</v>
      </c>
      <c r="I4696" s="1405">
        <v>199.78</v>
      </c>
    </row>
    <row r="4697" spans="2:9" ht="30">
      <c r="B4697" s="1477">
        <v>97425</v>
      </c>
      <c r="C4697" s="740" t="s">
        <v>2029</v>
      </c>
      <c r="D4697" s="739" t="s">
        <v>22</v>
      </c>
      <c r="E4697" s="741">
        <f t="shared" si="146"/>
        <v>27.34</v>
      </c>
      <c r="F4697">
        <f t="shared" si="147"/>
        <v>97425</v>
      </c>
      <c r="H4697" s="1406">
        <v>26.06</v>
      </c>
      <c r="I4697" s="1406">
        <v>27.34</v>
      </c>
    </row>
    <row r="4698" spans="2:9" ht="30">
      <c r="B4698" s="677">
        <v>97426</v>
      </c>
      <c r="C4698" s="733" t="s">
        <v>2030</v>
      </c>
      <c r="D4698" s="677" t="s">
        <v>22</v>
      </c>
      <c r="E4698" s="738">
        <f t="shared" si="146"/>
        <v>32.799999999999997</v>
      </c>
      <c r="F4698">
        <f t="shared" si="147"/>
        <v>97426</v>
      </c>
      <c r="H4698" s="1405">
        <v>31.52</v>
      </c>
      <c r="I4698" s="1405">
        <v>32.799999999999997</v>
      </c>
    </row>
    <row r="4699" spans="2:9" ht="30">
      <c r="B4699" s="1477">
        <v>97427</v>
      </c>
      <c r="C4699" s="740" t="s">
        <v>2031</v>
      </c>
      <c r="D4699" s="739" t="s">
        <v>22</v>
      </c>
      <c r="E4699" s="741">
        <f t="shared" si="146"/>
        <v>36.93</v>
      </c>
      <c r="F4699">
        <f t="shared" si="147"/>
        <v>97427</v>
      </c>
      <c r="H4699" s="1406">
        <v>35.65</v>
      </c>
      <c r="I4699" s="1406">
        <v>36.93</v>
      </c>
    </row>
    <row r="4700" spans="2:9" ht="30">
      <c r="B4700" s="677">
        <v>97428</v>
      </c>
      <c r="C4700" s="733" t="s">
        <v>2032</v>
      </c>
      <c r="D4700" s="677" t="s">
        <v>22</v>
      </c>
      <c r="E4700" s="738">
        <f t="shared" si="146"/>
        <v>46.51</v>
      </c>
      <c r="F4700">
        <f t="shared" si="147"/>
        <v>97428</v>
      </c>
      <c r="H4700" s="1405">
        <v>45.23</v>
      </c>
      <c r="I4700" s="1405">
        <v>46.51</v>
      </c>
    </row>
    <row r="4701" spans="2:9" ht="30">
      <c r="B4701" s="1477">
        <v>97429</v>
      </c>
      <c r="C4701" s="740" t="s">
        <v>2033</v>
      </c>
      <c r="D4701" s="739" t="s">
        <v>22</v>
      </c>
      <c r="E4701" s="741">
        <f t="shared" si="146"/>
        <v>55.33</v>
      </c>
      <c r="F4701">
        <f t="shared" si="147"/>
        <v>97429</v>
      </c>
      <c r="H4701" s="1406">
        <v>54.05</v>
      </c>
      <c r="I4701" s="1406">
        <v>55.33</v>
      </c>
    </row>
    <row r="4702" spans="2:9" ht="30">
      <c r="B4702" s="677">
        <v>97430</v>
      </c>
      <c r="C4702" s="733" t="s">
        <v>4199</v>
      </c>
      <c r="D4702" s="677" t="s">
        <v>22</v>
      </c>
      <c r="E4702" s="738">
        <f t="shared" si="146"/>
        <v>40.54</v>
      </c>
      <c r="F4702">
        <f t="shared" si="147"/>
        <v>97430</v>
      </c>
      <c r="H4702" s="1405">
        <v>38.799999999999997</v>
      </c>
      <c r="I4702" s="1405">
        <v>40.54</v>
      </c>
    </row>
    <row r="4703" spans="2:9" ht="30">
      <c r="B4703" s="1477">
        <v>97431</v>
      </c>
      <c r="C4703" s="740" t="s">
        <v>4200</v>
      </c>
      <c r="D4703" s="739" t="s">
        <v>22</v>
      </c>
      <c r="E4703" s="741">
        <f t="shared" si="146"/>
        <v>45.19</v>
      </c>
      <c r="F4703">
        <f t="shared" si="147"/>
        <v>97431</v>
      </c>
      <c r="H4703" s="1406">
        <v>43.18</v>
      </c>
      <c r="I4703" s="1406">
        <v>45.19</v>
      </c>
    </row>
    <row r="4704" spans="2:9" ht="30">
      <c r="B4704" s="677">
        <v>97432</v>
      </c>
      <c r="C4704" s="733" t="s">
        <v>4201</v>
      </c>
      <c r="D4704" s="677" t="s">
        <v>22</v>
      </c>
      <c r="E4704" s="738">
        <f t="shared" si="146"/>
        <v>50.99</v>
      </c>
      <c r="F4704">
        <f t="shared" si="147"/>
        <v>97432</v>
      </c>
      <c r="H4704" s="1405">
        <v>48.71</v>
      </c>
      <c r="I4704" s="1405">
        <v>50.99</v>
      </c>
    </row>
    <row r="4705" spans="2:9" ht="30">
      <c r="B4705" s="1477">
        <v>97433</v>
      </c>
      <c r="C4705" s="740" t="s">
        <v>4202</v>
      </c>
      <c r="D4705" s="739" t="s">
        <v>22</v>
      </c>
      <c r="E4705" s="741">
        <f t="shared" si="146"/>
        <v>93.55</v>
      </c>
      <c r="F4705">
        <f t="shared" si="147"/>
        <v>97433</v>
      </c>
      <c r="H4705" s="1406">
        <v>90.93</v>
      </c>
      <c r="I4705" s="1406">
        <v>93.55</v>
      </c>
    </row>
    <row r="4706" spans="2:9" ht="30">
      <c r="B4706" s="677">
        <v>97434</v>
      </c>
      <c r="C4706" s="733" t="s">
        <v>4203</v>
      </c>
      <c r="D4706" s="677" t="s">
        <v>22</v>
      </c>
      <c r="E4706" s="738">
        <f t="shared" si="146"/>
        <v>95.34</v>
      </c>
      <c r="F4706">
        <f t="shared" si="147"/>
        <v>97434</v>
      </c>
      <c r="H4706" s="1405">
        <v>92.72</v>
      </c>
      <c r="I4706" s="1405">
        <v>95.34</v>
      </c>
    </row>
    <row r="4707" spans="2:9" ht="30">
      <c r="B4707" s="1477">
        <v>97435</v>
      </c>
      <c r="C4707" s="740" t="s">
        <v>4204</v>
      </c>
      <c r="D4707" s="739" t="s">
        <v>22</v>
      </c>
      <c r="E4707" s="741">
        <f t="shared" si="146"/>
        <v>109.47</v>
      </c>
      <c r="F4707">
        <f t="shared" si="147"/>
        <v>97435</v>
      </c>
      <c r="H4707" s="1406">
        <v>106.46</v>
      </c>
      <c r="I4707" s="1406">
        <v>109.47</v>
      </c>
    </row>
    <row r="4708" spans="2:9" ht="30">
      <c r="B4708" s="677">
        <v>97436</v>
      </c>
      <c r="C4708" s="733" t="s">
        <v>4205</v>
      </c>
      <c r="D4708" s="677" t="s">
        <v>22</v>
      </c>
      <c r="E4708" s="738">
        <f t="shared" si="146"/>
        <v>112.91</v>
      </c>
      <c r="F4708">
        <f t="shared" si="147"/>
        <v>97436</v>
      </c>
      <c r="H4708" s="1405">
        <v>109.9</v>
      </c>
      <c r="I4708" s="1405">
        <v>112.91</v>
      </c>
    </row>
    <row r="4709" spans="2:9" ht="30">
      <c r="B4709" s="1477">
        <v>97437</v>
      </c>
      <c r="C4709" s="740" t="s">
        <v>4206</v>
      </c>
      <c r="D4709" s="739" t="s">
        <v>22</v>
      </c>
      <c r="E4709" s="741">
        <f t="shared" si="146"/>
        <v>125.33</v>
      </c>
      <c r="F4709">
        <f t="shared" si="147"/>
        <v>97437</v>
      </c>
      <c r="H4709" s="1406">
        <v>121.91</v>
      </c>
      <c r="I4709" s="1406">
        <v>125.33</v>
      </c>
    </row>
    <row r="4710" spans="2:9" ht="30">
      <c r="B4710" s="677">
        <v>97438</v>
      </c>
      <c r="C4710" s="733" t="s">
        <v>4207</v>
      </c>
      <c r="D4710" s="677" t="s">
        <v>22</v>
      </c>
      <c r="E4710" s="738">
        <f t="shared" si="146"/>
        <v>129.01</v>
      </c>
      <c r="F4710">
        <f t="shared" si="147"/>
        <v>97438</v>
      </c>
      <c r="H4710" s="1405">
        <v>125.59</v>
      </c>
      <c r="I4710" s="1405">
        <v>129.01</v>
      </c>
    </row>
    <row r="4711" spans="2:9">
      <c r="B4711" s="1477">
        <v>97439</v>
      </c>
      <c r="C4711" s="740" t="s">
        <v>4208</v>
      </c>
      <c r="D4711" s="739" t="s">
        <v>22</v>
      </c>
      <c r="E4711" s="741">
        <f t="shared" si="146"/>
        <v>141.88999999999999</v>
      </c>
      <c r="F4711">
        <f t="shared" si="147"/>
        <v>97439</v>
      </c>
      <c r="H4711" s="1406">
        <v>138.4</v>
      </c>
      <c r="I4711" s="1406">
        <v>141.88999999999999</v>
      </c>
    </row>
    <row r="4712" spans="2:9">
      <c r="B4712" s="677">
        <v>97440</v>
      </c>
      <c r="C4712" s="733" t="s">
        <v>4209</v>
      </c>
      <c r="D4712" s="677" t="s">
        <v>22</v>
      </c>
      <c r="E4712" s="738">
        <f t="shared" si="146"/>
        <v>170.24</v>
      </c>
      <c r="F4712">
        <f t="shared" si="147"/>
        <v>97440</v>
      </c>
      <c r="H4712" s="1405">
        <v>166.23</v>
      </c>
      <c r="I4712" s="1405">
        <v>170.24</v>
      </c>
    </row>
    <row r="4713" spans="2:9">
      <c r="B4713" s="1477">
        <v>97442</v>
      </c>
      <c r="C4713" s="740" t="s">
        <v>4210</v>
      </c>
      <c r="D4713" s="739" t="s">
        <v>22</v>
      </c>
      <c r="E4713" s="741">
        <f t="shared" si="146"/>
        <v>187.92</v>
      </c>
      <c r="F4713">
        <f t="shared" si="147"/>
        <v>97442</v>
      </c>
      <c r="H4713" s="1406">
        <v>183.36</v>
      </c>
      <c r="I4713" s="1406">
        <v>187.92</v>
      </c>
    </row>
    <row r="4714" spans="2:9">
      <c r="B4714" s="677">
        <v>97443</v>
      </c>
      <c r="C4714" s="733" t="s">
        <v>4211</v>
      </c>
      <c r="D4714" s="677" t="s">
        <v>22</v>
      </c>
      <c r="E4714" s="738">
        <f t="shared" si="146"/>
        <v>120.4</v>
      </c>
      <c r="F4714">
        <f t="shared" si="147"/>
        <v>97443</v>
      </c>
      <c r="H4714" s="1405">
        <v>116.57</v>
      </c>
      <c r="I4714" s="1405">
        <v>120.4</v>
      </c>
    </row>
    <row r="4715" spans="2:9" ht="30">
      <c r="B4715" s="1477">
        <v>97444</v>
      </c>
      <c r="C4715" s="740" t="s">
        <v>4212</v>
      </c>
      <c r="D4715" s="739" t="s">
        <v>22</v>
      </c>
      <c r="E4715" s="741">
        <f t="shared" si="146"/>
        <v>143.57</v>
      </c>
      <c r="F4715">
        <f t="shared" si="147"/>
        <v>97444</v>
      </c>
      <c r="H4715" s="1406">
        <v>139.74</v>
      </c>
      <c r="I4715" s="1406">
        <v>143.57</v>
      </c>
    </row>
    <row r="4716" spans="2:9">
      <c r="B4716" s="677">
        <v>97446</v>
      </c>
      <c r="C4716" s="733" t="s">
        <v>4213</v>
      </c>
      <c r="D4716" s="677" t="s">
        <v>22</v>
      </c>
      <c r="E4716" s="738">
        <f t="shared" si="146"/>
        <v>254.77</v>
      </c>
      <c r="F4716">
        <f t="shared" si="147"/>
        <v>97446</v>
      </c>
      <c r="H4716" s="1405">
        <v>250.53</v>
      </c>
      <c r="I4716" s="1405">
        <v>254.77</v>
      </c>
    </row>
    <row r="4717" spans="2:9" ht="30">
      <c r="B4717" s="1477">
        <v>97447</v>
      </c>
      <c r="C4717" s="740" t="s">
        <v>4214</v>
      </c>
      <c r="D4717" s="739" t="s">
        <v>22</v>
      </c>
      <c r="E4717" s="741">
        <f t="shared" si="146"/>
        <v>254.77</v>
      </c>
      <c r="F4717">
        <f t="shared" si="147"/>
        <v>97447</v>
      </c>
      <c r="H4717" s="1406">
        <v>250.53</v>
      </c>
      <c r="I4717" s="1406">
        <v>254.77</v>
      </c>
    </row>
    <row r="4718" spans="2:9">
      <c r="B4718" s="677">
        <v>97449</v>
      </c>
      <c r="C4718" s="733" t="s">
        <v>4215</v>
      </c>
      <c r="D4718" s="677" t="s">
        <v>22</v>
      </c>
      <c r="E4718" s="738">
        <f t="shared" si="146"/>
        <v>270.89999999999998</v>
      </c>
      <c r="F4718">
        <f t="shared" si="147"/>
        <v>97449</v>
      </c>
      <c r="H4718" s="1405">
        <v>266.22000000000003</v>
      </c>
      <c r="I4718" s="1405">
        <v>270.89999999999998</v>
      </c>
    </row>
    <row r="4719" spans="2:9" ht="30">
      <c r="B4719" s="1477">
        <v>97450</v>
      </c>
      <c r="C4719" s="740" t="s">
        <v>4216</v>
      </c>
      <c r="D4719" s="739" t="s">
        <v>22</v>
      </c>
      <c r="E4719" s="741">
        <f t="shared" si="146"/>
        <v>334.01</v>
      </c>
      <c r="F4719">
        <f t="shared" si="147"/>
        <v>97450</v>
      </c>
      <c r="H4719" s="1406">
        <v>329.33</v>
      </c>
      <c r="I4719" s="1406">
        <v>334.01</v>
      </c>
    </row>
    <row r="4720" spans="2:9" ht="30">
      <c r="B4720" s="677">
        <v>97452</v>
      </c>
      <c r="C4720" s="733" t="s">
        <v>4217</v>
      </c>
      <c r="D4720" s="677" t="s">
        <v>22</v>
      </c>
      <c r="E4720" s="738">
        <f t="shared" si="146"/>
        <v>199.71</v>
      </c>
      <c r="F4720">
        <f t="shared" si="147"/>
        <v>97452</v>
      </c>
      <c r="H4720" s="1405">
        <v>193.94</v>
      </c>
      <c r="I4720" s="1405">
        <v>199.71</v>
      </c>
    </row>
    <row r="4721" spans="2:9" ht="30">
      <c r="B4721" s="1477">
        <v>97453</v>
      </c>
      <c r="C4721" s="740" t="s">
        <v>4218</v>
      </c>
      <c r="D4721" s="739" t="s">
        <v>22</v>
      </c>
      <c r="E4721" s="741">
        <f t="shared" si="146"/>
        <v>212.94</v>
      </c>
      <c r="F4721">
        <f t="shared" si="147"/>
        <v>97453</v>
      </c>
      <c r="H4721" s="1406">
        <v>207.17</v>
      </c>
      <c r="I4721" s="1406">
        <v>212.94</v>
      </c>
    </row>
    <row r="4722" spans="2:9" ht="30">
      <c r="B4722" s="677">
        <v>97454</v>
      </c>
      <c r="C4722" s="733" t="s">
        <v>4219</v>
      </c>
      <c r="D4722" s="677" t="s">
        <v>22</v>
      </c>
      <c r="E4722" s="738">
        <f t="shared" si="146"/>
        <v>348.94</v>
      </c>
      <c r="F4722">
        <f t="shared" si="147"/>
        <v>97454</v>
      </c>
      <c r="H4722" s="1405">
        <v>342.56</v>
      </c>
      <c r="I4722" s="1405">
        <v>348.94</v>
      </c>
    </row>
    <row r="4723" spans="2:9" ht="30">
      <c r="B4723" s="1477">
        <v>97455</v>
      </c>
      <c r="C4723" s="740" t="s">
        <v>4220</v>
      </c>
      <c r="D4723" s="739" t="s">
        <v>22</v>
      </c>
      <c r="E4723" s="741">
        <f t="shared" si="146"/>
        <v>370.09</v>
      </c>
      <c r="F4723">
        <f t="shared" si="147"/>
        <v>97455</v>
      </c>
      <c r="H4723" s="1406">
        <v>363.71</v>
      </c>
      <c r="I4723" s="1406">
        <v>370.09</v>
      </c>
    </row>
    <row r="4724" spans="2:9" ht="30">
      <c r="B4724" s="677">
        <v>97456</v>
      </c>
      <c r="C4724" s="733" t="s">
        <v>4221</v>
      </c>
      <c r="D4724" s="677" t="s">
        <v>22</v>
      </c>
      <c r="E4724" s="738">
        <f t="shared" si="146"/>
        <v>810.34</v>
      </c>
      <c r="F4724">
        <f t="shared" si="147"/>
        <v>97456</v>
      </c>
      <c r="H4724" s="1405">
        <v>803.34</v>
      </c>
      <c r="I4724" s="1405">
        <v>810.34</v>
      </c>
    </row>
    <row r="4725" spans="2:9" ht="30">
      <c r="B4725" s="1477">
        <v>97457</v>
      </c>
      <c r="C4725" s="740" t="s">
        <v>4222</v>
      </c>
      <c r="D4725" s="739" t="s">
        <v>22</v>
      </c>
      <c r="E4725" s="741">
        <f t="shared" si="146"/>
        <v>715.42</v>
      </c>
      <c r="F4725">
        <f t="shared" si="147"/>
        <v>97457</v>
      </c>
      <c r="H4725" s="1406">
        <v>708.42</v>
      </c>
      <c r="I4725" s="1406">
        <v>715.42</v>
      </c>
    </row>
    <row r="4726" spans="2:9">
      <c r="B4726" s="677">
        <v>97458</v>
      </c>
      <c r="C4726" s="733" t="s">
        <v>4223</v>
      </c>
      <c r="D4726" s="677" t="s">
        <v>22</v>
      </c>
      <c r="E4726" s="738">
        <f t="shared" si="146"/>
        <v>319.37</v>
      </c>
      <c r="F4726">
        <f t="shared" si="147"/>
        <v>97458</v>
      </c>
      <c r="H4726" s="1405">
        <v>311.69</v>
      </c>
      <c r="I4726" s="1405">
        <v>319.37</v>
      </c>
    </row>
    <row r="4727" spans="2:9">
      <c r="B4727" s="1477">
        <v>97459</v>
      </c>
      <c r="C4727" s="740" t="s">
        <v>4224</v>
      </c>
      <c r="D4727" s="739" t="s">
        <v>22</v>
      </c>
      <c r="E4727" s="741">
        <f t="shared" si="146"/>
        <v>560.21</v>
      </c>
      <c r="F4727">
        <f t="shared" si="147"/>
        <v>97459</v>
      </c>
      <c r="H4727" s="1406">
        <v>551.70000000000005</v>
      </c>
      <c r="I4727" s="1406">
        <v>560.21</v>
      </c>
    </row>
    <row r="4728" spans="2:9">
      <c r="B4728" s="677">
        <v>97460</v>
      </c>
      <c r="C4728" s="733" t="s">
        <v>4225</v>
      </c>
      <c r="D4728" s="677" t="s">
        <v>22</v>
      </c>
      <c r="E4728" s="738">
        <f t="shared" si="146"/>
        <v>870.99</v>
      </c>
      <c r="F4728">
        <f t="shared" si="147"/>
        <v>97460</v>
      </c>
      <c r="H4728" s="1405">
        <v>861.66</v>
      </c>
      <c r="I4728" s="1405">
        <v>870.99</v>
      </c>
    </row>
    <row r="4729" spans="2:9" ht="30">
      <c r="B4729" s="1477">
        <v>97461</v>
      </c>
      <c r="C4729" s="740" t="s">
        <v>4226</v>
      </c>
      <c r="D4729" s="739" t="s">
        <v>22</v>
      </c>
      <c r="E4729" s="741">
        <f t="shared" si="146"/>
        <v>38.15</v>
      </c>
      <c r="F4729">
        <f t="shared" si="147"/>
        <v>97461</v>
      </c>
      <c r="H4729" s="1406">
        <v>37.020000000000003</v>
      </c>
      <c r="I4729" s="1406">
        <v>38.15</v>
      </c>
    </row>
    <row r="4730" spans="2:9" ht="30">
      <c r="B4730" s="677">
        <v>97462</v>
      </c>
      <c r="C4730" s="733" t="s">
        <v>4227</v>
      </c>
      <c r="D4730" s="677" t="s">
        <v>22</v>
      </c>
      <c r="E4730" s="738">
        <f t="shared" si="146"/>
        <v>31.36</v>
      </c>
      <c r="F4730">
        <f t="shared" si="147"/>
        <v>97462</v>
      </c>
      <c r="H4730" s="1405">
        <v>30.23</v>
      </c>
      <c r="I4730" s="1405">
        <v>31.36</v>
      </c>
    </row>
    <row r="4731" spans="2:9" ht="30">
      <c r="B4731" s="1477">
        <v>97464</v>
      </c>
      <c r="C4731" s="740" t="s">
        <v>4228</v>
      </c>
      <c r="D4731" s="739" t="s">
        <v>22</v>
      </c>
      <c r="E4731" s="741">
        <f t="shared" si="146"/>
        <v>55.42</v>
      </c>
      <c r="F4731">
        <f t="shared" si="147"/>
        <v>97464</v>
      </c>
      <c r="H4731" s="1406">
        <v>53.97</v>
      </c>
      <c r="I4731" s="1406">
        <v>55.42</v>
      </c>
    </row>
    <row r="4732" spans="2:9" ht="30">
      <c r="B4732" s="677">
        <v>97465</v>
      </c>
      <c r="C4732" s="733" t="s">
        <v>4229</v>
      </c>
      <c r="D4732" s="677" t="s">
        <v>22</v>
      </c>
      <c r="E4732" s="738">
        <f t="shared" si="146"/>
        <v>66.87</v>
      </c>
      <c r="F4732">
        <f t="shared" si="147"/>
        <v>97465</v>
      </c>
      <c r="H4732" s="1405">
        <v>65.42</v>
      </c>
      <c r="I4732" s="1405">
        <v>66.87</v>
      </c>
    </row>
    <row r="4733" spans="2:9" ht="30">
      <c r="B4733" s="1477">
        <v>97467</v>
      </c>
      <c r="C4733" s="740" t="s">
        <v>4230</v>
      </c>
      <c r="D4733" s="739" t="s">
        <v>22</v>
      </c>
      <c r="E4733" s="741">
        <f t="shared" si="146"/>
        <v>70.400000000000006</v>
      </c>
      <c r="F4733">
        <f t="shared" si="147"/>
        <v>97467</v>
      </c>
      <c r="H4733" s="1406">
        <v>68.59</v>
      </c>
      <c r="I4733" s="1406">
        <v>70.400000000000006</v>
      </c>
    </row>
    <row r="4734" spans="2:9" ht="30">
      <c r="B4734" s="677">
        <v>97468</v>
      </c>
      <c r="C4734" s="733" t="s">
        <v>4231</v>
      </c>
      <c r="D4734" s="677" t="s">
        <v>22</v>
      </c>
      <c r="E4734" s="738">
        <f t="shared" si="146"/>
        <v>85.06</v>
      </c>
      <c r="F4734">
        <f t="shared" si="147"/>
        <v>97468</v>
      </c>
      <c r="H4734" s="1405">
        <v>83.25</v>
      </c>
      <c r="I4734" s="1405">
        <v>85.06</v>
      </c>
    </row>
    <row r="4735" spans="2:9" ht="30">
      <c r="B4735" s="1477">
        <v>97470</v>
      </c>
      <c r="C4735" s="740" t="s">
        <v>4232</v>
      </c>
      <c r="D4735" s="739" t="s">
        <v>22</v>
      </c>
      <c r="E4735" s="741">
        <f t="shared" si="146"/>
        <v>105.03</v>
      </c>
      <c r="F4735">
        <f t="shared" si="147"/>
        <v>97470</v>
      </c>
      <c r="H4735" s="1406">
        <v>102.78</v>
      </c>
      <c r="I4735" s="1406">
        <v>105.03</v>
      </c>
    </row>
    <row r="4736" spans="2:9" ht="30">
      <c r="B4736" s="677">
        <v>97471</v>
      </c>
      <c r="C4736" s="733" t="s">
        <v>4233</v>
      </c>
      <c r="D4736" s="677" t="s">
        <v>22</v>
      </c>
      <c r="E4736" s="738">
        <f t="shared" si="146"/>
        <v>128.19999999999999</v>
      </c>
      <c r="F4736">
        <f t="shared" si="147"/>
        <v>97471</v>
      </c>
      <c r="H4736" s="1405">
        <v>125.95</v>
      </c>
      <c r="I4736" s="1405">
        <v>128.19999999999999</v>
      </c>
    </row>
    <row r="4737" spans="2:9" ht="30">
      <c r="B4737" s="1477">
        <v>97474</v>
      </c>
      <c r="C4737" s="740" t="s">
        <v>4234</v>
      </c>
      <c r="D4737" s="739" t="s">
        <v>22</v>
      </c>
      <c r="E4737" s="741">
        <f t="shared" si="146"/>
        <v>195.18</v>
      </c>
      <c r="F4737">
        <f t="shared" si="147"/>
        <v>97474</v>
      </c>
      <c r="H4737" s="1406">
        <v>192.25</v>
      </c>
      <c r="I4737" s="1406">
        <v>195.18</v>
      </c>
    </row>
    <row r="4738" spans="2:9" ht="30">
      <c r="B4738" s="677">
        <v>97475</v>
      </c>
      <c r="C4738" s="733" t="s">
        <v>4235</v>
      </c>
      <c r="D4738" s="677" t="s">
        <v>22</v>
      </c>
      <c r="E4738" s="738">
        <f t="shared" si="146"/>
        <v>242.03</v>
      </c>
      <c r="F4738">
        <f t="shared" si="147"/>
        <v>97475</v>
      </c>
      <c r="H4738" s="1405">
        <v>239.1</v>
      </c>
      <c r="I4738" s="1405">
        <v>242.03</v>
      </c>
    </row>
    <row r="4739" spans="2:9" ht="30">
      <c r="B4739" s="1477">
        <v>97477</v>
      </c>
      <c r="C4739" s="740" t="s">
        <v>4236</v>
      </c>
      <c r="D4739" s="739" t="s">
        <v>22</v>
      </c>
      <c r="E4739" s="741">
        <f t="shared" ref="E4739:E4802" si="148">IF($K$2=$H$1,H4739,I4739)</f>
        <v>260.76</v>
      </c>
      <c r="F4739">
        <f t="shared" ref="F4739:F4802" si="149">IF(LEN($B4739)=7,CONCATENATE(MID($B4739,1,6),"00",RIGHT($B4739,1)),IF(LEN($B4739)=8,CONCATENATE(MID($B4739,1,6),"0",RIGHT($B4739,2)),$B4739))</f>
        <v>97477</v>
      </c>
      <c r="H4739" s="1406">
        <v>257.14</v>
      </c>
      <c r="I4739" s="1406">
        <v>260.76</v>
      </c>
    </row>
    <row r="4740" spans="2:9" ht="30">
      <c r="B4740" s="677">
        <v>97478</v>
      </c>
      <c r="C4740" s="733" t="s">
        <v>4237</v>
      </c>
      <c r="D4740" s="677" t="s">
        <v>22</v>
      </c>
      <c r="E4740" s="738">
        <f t="shared" si="148"/>
        <v>323.87</v>
      </c>
      <c r="F4740">
        <f t="shared" si="149"/>
        <v>97478</v>
      </c>
      <c r="H4740" s="1405">
        <v>320.25</v>
      </c>
      <c r="I4740" s="1405">
        <v>323.87</v>
      </c>
    </row>
    <row r="4741" spans="2:9" ht="30">
      <c r="B4741" s="1477">
        <v>97479</v>
      </c>
      <c r="C4741" s="740" t="s">
        <v>4238</v>
      </c>
      <c r="D4741" s="739" t="s">
        <v>22</v>
      </c>
      <c r="E4741" s="741">
        <f t="shared" si="148"/>
        <v>61.9</v>
      </c>
      <c r="F4741">
        <f t="shared" si="149"/>
        <v>97479</v>
      </c>
      <c r="H4741" s="1406">
        <v>60.21</v>
      </c>
      <c r="I4741" s="1406">
        <v>61.9</v>
      </c>
    </row>
    <row r="4742" spans="2:9" ht="30">
      <c r="B4742" s="677">
        <v>97480</v>
      </c>
      <c r="C4742" s="733" t="s">
        <v>4239</v>
      </c>
      <c r="D4742" s="677" t="s">
        <v>22</v>
      </c>
      <c r="E4742" s="738">
        <f t="shared" si="148"/>
        <v>61.9</v>
      </c>
      <c r="F4742">
        <f t="shared" si="149"/>
        <v>97480</v>
      </c>
      <c r="H4742" s="1405">
        <v>60.21</v>
      </c>
      <c r="I4742" s="1405">
        <v>61.9</v>
      </c>
    </row>
    <row r="4743" spans="2:9" ht="30">
      <c r="B4743" s="1477">
        <v>97481</v>
      </c>
      <c r="C4743" s="740" t="s">
        <v>4240</v>
      </c>
      <c r="D4743" s="739" t="s">
        <v>22</v>
      </c>
      <c r="E4743" s="741">
        <f t="shared" si="148"/>
        <v>90.44</v>
      </c>
      <c r="F4743">
        <f t="shared" si="149"/>
        <v>97481</v>
      </c>
      <c r="H4743" s="1406">
        <v>88.28</v>
      </c>
      <c r="I4743" s="1406">
        <v>90.44</v>
      </c>
    </row>
    <row r="4744" spans="2:9" ht="30">
      <c r="B4744" s="677">
        <v>97482</v>
      </c>
      <c r="C4744" s="733" t="s">
        <v>4241</v>
      </c>
      <c r="D4744" s="677" t="s">
        <v>22</v>
      </c>
      <c r="E4744" s="738">
        <f t="shared" si="148"/>
        <v>90.44</v>
      </c>
      <c r="F4744">
        <f t="shared" si="149"/>
        <v>97482</v>
      </c>
      <c r="H4744" s="1405">
        <v>88.28</v>
      </c>
      <c r="I4744" s="1405">
        <v>90.44</v>
      </c>
    </row>
    <row r="4745" spans="2:9" ht="30">
      <c r="B4745" s="1477">
        <v>97483</v>
      </c>
      <c r="C4745" s="740" t="s">
        <v>4242</v>
      </c>
      <c r="D4745" s="739" t="s">
        <v>22</v>
      </c>
      <c r="E4745" s="741">
        <f t="shared" si="148"/>
        <v>127.48</v>
      </c>
      <c r="F4745">
        <f t="shared" si="149"/>
        <v>97483</v>
      </c>
      <c r="H4745" s="1406">
        <v>124.77</v>
      </c>
      <c r="I4745" s="1406">
        <v>127.48</v>
      </c>
    </row>
    <row r="4746" spans="2:9" ht="30">
      <c r="B4746" s="677">
        <v>97484</v>
      </c>
      <c r="C4746" s="733" t="s">
        <v>4243</v>
      </c>
      <c r="D4746" s="677" t="s">
        <v>22</v>
      </c>
      <c r="E4746" s="738">
        <f t="shared" si="148"/>
        <v>127.48</v>
      </c>
      <c r="F4746">
        <f t="shared" si="149"/>
        <v>97484</v>
      </c>
      <c r="H4746" s="1405">
        <v>124.77</v>
      </c>
      <c r="I4746" s="1405">
        <v>127.48</v>
      </c>
    </row>
    <row r="4747" spans="2:9" ht="30">
      <c r="B4747" s="1477">
        <v>97485</v>
      </c>
      <c r="C4747" s="740" t="s">
        <v>4244</v>
      </c>
      <c r="D4747" s="739" t="s">
        <v>22</v>
      </c>
      <c r="E4747" s="741">
        <f t="shared" si="148"/>
        <v>176.69</v>
      </c>
      <c r="F4747">
        <f t="shared" si="149"/>
        <v>97485</v>
      </c>
      <c r="H4747" s="1406">
        <v>173.31</v>
      </c>
      <c r="I4747" s="1406">
        <v>176.69</v>
      </c>
    </row>
    <row r="4748" spans="2:9" ht="30">
      <c r="B4748" s="677">
        <v>97486</v>
      </c>
      <c r="C4748" s="733" t="s">
        <v>4245</v>
      </c>
      <c r="D4748" s="677" t="s">
        <v>22</v>
      </c>
      <c r="E4748" s="738">
        <f t="shared" si="148"/>
        <v>189.92</v>
      </c>
      <c r="F4748">
        <f t="shared" si="149"/>
        <v>97486</v>
      </c>
      <c r="H4748" s="1405">
        <v>186.54</v>
      </c>
      <c r="I4748" s="1405">
        <v>189.92</v>
      </c>
    </row>
    <row r="4749" spans="2:9" ht="30">
      <c r="B4749" s="1477">
        <v>97487</v>
      </c>
      <c r="C4749" s="740" t="s">
        <v>4246</v>
      </c>
      <c r="D4749" s="739" t="s">
        <v>22</v>
      </c>
      <c r="E4749" s="741">
        <f t="shared" si="148"/>
        <v>329.85</v>
      </c>
      <c r="F4749">
        <f t="shared" si="149"/>
        <v>97487</v>
      </c>
      <c r="H4749" s="1406">
        <v>325.45</v>
      </c>
      <c r="I4749" s="1406">
        <v>329.85</v>
      </c>
    </row>
    <row r="4750" spans="2:9" ht="30">
      <c r="B4750" s="677">
        <v>97488</v>
      </c>
      <c r="C4750" s="733" t="s">
        <v>4247</v>
      </c>
      <c r="D4750" s="677" t="s">
        <v>22</v>
      </c>
      <c r="E4750" s="738">
        <f t="shared" si="148"/>
        <v>351</v>
      </c>
      <c r="F4750">
        <f t="shared" si="149"/>
        <v>97488</v>
      </c>
      <c r="H4750" s="1405">
        <v>346.6</v>
      </c>
      <c r="I4750" s="1405">
        <v>351</v>
      </c>
    </row>
    <row r="4751" spans="2:9" ht="30">
      <c r="B4751" s="1477">
        <v>97489</v>
      </c>
      <c r="C4751" s="740" t="s">
        <v>4248</v>
      </c>
      <c r="D4751" s="739" t="s">
        <v>22</v>
      </c>
      <c r="E4751" s="741">
        <f t="shared" si="148"/>
        <v>795.12</v>
      </c>
      <c r="F4751">
        <f t="shared" si="149"/>
        <v>97489</v>
      </c>
      <c r="H4751" s="1406">
        <v>789.69</v>
      </c>
      <c r="I4751" s="1406">
        <v>795.12</v>
      </c>
    </row>
    <row r="4752" spans="2:9" ht="30">
      <c r="B4752" s="677">
        <v>97490</v>
      </c>
      <c r="C4752" s="733" t="s">
        <v>4249</v>
      </c>
      <c r="D4752" s="677" t="s">
        <v>22</v>
      </c>
      <c r="E4752" s="738">
        <f t="shared" si="148"/>
        <v>700.2</v>
      </c>
      <c r="F4752">
        <f t="shared" si="149"/>
        <v>97490</v>
      </c>
      <c r="H4752" s="1405">
        <v>694.77</v>
      </c>
      <c r="I4752" s="1405">
        <v>700.2</v>
      </c>
    </row>
    <row r="4753" spans="2:9" ht="30">
      <c r="B4753" s="1477">
        <v>97491</v>
      </c>
      <c r="C4753" s="740" t="s">
        <v>4250</v>
      </c>
      <c r="D4753" s="739" t="s">
        <v>22</v>
      </c>
      <c r="E4753" s="741">
        <f t="shared" si="148"/>
        <v>96.54</v>
      </c>
      <c r="F4753">
        <f t="shared" si="149"/>
        <v>97491</v>
      </c>
      <c r="H4753" s="1406">
        <v>94.29</v>
      </c>
      <c r="I4753" s="1406">
        <v>96.54</v>
      </c>
    </row>
    <row r="4754" spans="2:9" ht="30">
      <c r="B4754" s="677">
        <v>97492</v>
      </c>
      <c r="C4754" s="733" t="s">
        <v>4251</v>
      </c>
      <c r="D4754" s="677" t="s">
        <v>22</v>
      </c>
      <c r="E4754" s="738">
        <f t="shared" si="148"/>
        <v>142.68</v>
      </c>
      <c r="F4754">
        <f t="shared" si="149"/>
        <v>97492</v>
      </c>
      <c r="H4754" s="1405">
        <v>139.78</v>
      </c>
      <c r="I4754" s="1405">
        <v>142.68</v>
      </c>
    </row>
    <row r="4755" spans="2:9" ht="30">
      <c r="B4755" s="1477">
        <v>97493</v>
      </c>
      <c r="C4755" s="740" t="s">
        <v>4252</v>
      </c>
      <c r="D4755" s="739" t="s">
        <v>22</v>
      </c>
      <c r="E4755" s="741">
        <f t="shared" si="148"/>
        <v>184.3</v>
      </c>
      <c r="F4755">
        <f t="shared" si="149"/>
        <v>97493</v>
      </c>
      <c r="H4755" s="1406">
        <v>180.68</v>
      </c>
      <c r="I4755" s="1406">
        <v>184.3</v>
      </c>
    </row>
    <row r="4756" spans="2:9" ht="30">
      <c r="B4756" s="677">
        <v>97494</v>
      </c>
      <c r="C4756" s="733" t="s">
        <v>4253</v>
      </c>
      <c r="D4756" s="677" t="s">
        <v>22</v>
      </c>
      <c r="E4756" s="738">
        <f t="shared" si="148"/>
        <v>288.64</v>
      </c>
      <c r="F4756">
        <f t="shared" si="149"/>
        <v>97494</v>
      </c>
      <c r="H4756" s="1405">
        <v>284.13</v>
      </c>
      <c r="I4756" s="1405">
        <v>288.64</v>
      </c>
    </row>
    <row r="4757" spans="2:9" ht="30">
      <c r="B4757" s="1477">
        <v>97495</v>
      </c>
      <c r="C4757" s="740" t="s">
        <v>4254</v>
      </c>
      <c r="D4757" s="739" t="s">
        <v>22</v>
      </c>
      <c r="E4757" s="741">
        <f t="shared" si="148"/>
        <v>534.71</v>
      </c>
      <c r="F4757">
        <f t="shared" si="149"/>
        <v>97495</v>
      </c>
      <c r="H4757" s="1406">
        <v>528.84</v>
      </c>
      <c r="I4757" s="1406">
        <v>534.71</v>
      </c>
    </row>
    <row r="4758" spans="2:9" ht="30">
      <c r="B4758" s="677">
        <v>97496</v>
      </c>
      <c r="C4758" s="733" t="s">
        <v>4255</v>
      </c>
      <c r="D4758" s="677" t="s">
        <v>22</v>
      </c>
      <c r="E4758" s="738">
        <f t="shared" si="148"/>
        <v>850.73</v>
      </c>
      <c r="F4758">
        <f t="shared" si="149"/>
        <v>97496</v>
      </c>
      <c r="H4758" s="1405">
        <v>843.5</v>
      </c>
      <c r="I4758" s="1405">
        <v>850.73</v>
      </c>
    </row>
    <row r="4759" spans="2:9" ht="30">
      <c r="B4759" s="1477">
        <v>97499</v>
      </c>
      <c r="C4759" s="740" t="s">
        <v>4256</v>
      </c>
      <c r="D4759" s="739" t="s">
        <v>22</v>
      </c>
      <c r="E4759" s="741">
        <f t="shared" si="148"/>
        <v>35.67</v>
      </c>
      <c r="F4759">
        <f t="shared" si="149"/>
        <v>97499</v>
      </c>
      <c r="H4759" s="1406">
        <v>34.799999999999997</v>
      </c>
      <c r="I4759" s="1406">
        <v>35.67</v>
      </c>
    </row>
    <row r="4760" spans="2:9" ht="30">
      <c r="B4760" s="677">
        <v>97500</v>
      </c>
      <c r="C4760" s="733" t="s">
        <v>4257</v>
      </c>
      <c r="D4760" s="677" t="s">
        <v>22</v>
      </c>
      <c r="E4760" s="738">
        <f t="shared" si="148"/>
        <v>28.88</v>
      </c>
      <c r="F4760">
        <f t="shared" si="149"/>
        <v>97500</v>
      </c>
      <c r="H4760" s="1405">
        <v>28.01</v>
      </c>
      <c r="I4760" s="1405">
        <v>28.88</v>
      </c>
    </row>
    <row r="4761" spans="2:9" ht="30">
      <c r="B4761" s="1477">
        <v>97502</v>
      </c>
      <c r="C4761" s="740" t="s">
        <v>4258</v>
      </c>
      <c r="D4761" s="739" t="s">
        <v>22</v>
      </c>
      <c r="E4761" s="741">
        <f t="shared" si="148"/>
        <v>50.82</v>
      </c>
      <c r="F4761">
        <f t="shared" si="149"/>
        <v>97502</v>
      </c>
      <c r="H4761" s="1406">
        <v>49.86</v>
      </c>
      <c r="I4761" s="1406">
        <v>50.82</v>
      </c>
    </row>
    <row r="4762" spans="2:9" ht="30">
      <c r="B4762" s="677">
        <v>97503</v>
      </c>
      <c r="C4762" s="733" t="s">
        <v>4259</v>
      </c>
      <c r="D4762" s="677" t="s">
        <v>22</v>
      </c>
      <c r="E4762" s="738">
        <f t="shared" si="148"/>
        <v>62.5</v>
      </c>
      <c r="F4762">
        <f t="shared" si="149"/>
        <v>97503</v>
      </c>
      <c r="H4762" s="1405">
        <v>61.51</v>
      </c>
      <c r="I4762" s="1405">
        <v>62.5</v>
      </c>
    </row>
    <row r="4763" spans="2:9" ht="30">
      <c r="B4763" s="1477">
        <v>97505</v>
      </c>
      <c r="C4763" s="740" t="s">
        <v>4260</v>
      </c>
      <c r="D4763" s="739" t="s">
        <v>22</v>
      </c>
      <c r="E4763" s="741">
        <f t="shared" si="148"/>
        <v>63.91</v>
      </c>
      <c r="F4763">
        <f t="shared" si="149"/>
        <v>97505</v>
      </c>
      <c r="H4763" s="1406">
        <v>62.78</v>
      </c>
      <c r="I4763" s="1406">
        <v>63.91</v>
      </c>
    </row>
    <row r="4764" spans="2:9" ht="30">
      <c r="B4764" s="677">
        <v>97506</v>
      </c>
      <c r="C4764" s="733" t="s">
        <v>4261</v>
      </c>
      <c r="D4764" s="677" t="s">
        <v>22</v>
      </c>
      <c r="E4764" s="738">
        <f t="shared" si="148"/>
        <v>78.569999999999993</v>
      </c>
      <c r="F4764">
        <f t="shared" si="149"/>
        <v>97506</v>
      </c>
      <c r="H4764" s="1405">
        <v>77.44</v>
      </c>
      <c r="I4764" s="1405">
        <v>78.569999999999993</v>
      </c>
    </row>
    <row r="4765" spans="2:9" ht="30">
      <c r="B4765" s="1477">
        <v>97508</v>
      </c>
      <c r="C4765" s="740" t="s">
        <v>4262</v>
      </c>
      <c r="D4765" s="739" t="s">
        <v>22</v>
      </c>
      <c r="E4765" s="741">
        <f t="shared" si="148"/>
        <v>95.86</v>
      </c>
      <c r="F4765">
        <f t="shared" si="149"/>
        <v>97508</v>
      </c>
      <c r="H4765" s="1406">
        <v>94.54</v>
      </c>
      <c r="I4765" s="1406">
        <v>95.86</v>
      </c>
    </row>
    <row r="4766" spans="2:9" ht="30">
      <c r="B4766" s="677">
        <v>97509</v>
      </c>
      <c r="C4766" s="733" t="s">
        <v>4263</v>
      </c>
      <c r="D4766" s="677" t="s">
        <v>22</v>
      </c>
      <c r="E4766" s="738">
        <f t="shared" si="148"/>
        <v>119.03</v>
      </c>
      <c r="F4766">
        <f t="shared" si="149"/>
        <v>97509</v>
      </c>
      <c r="H4766" s="1405">
        <v>117.71</v>
      </c>
      <c r="I4766" s="1405">
        <v>119.03</v>
      </c>
    </row>
    <row r="4767" spans="2:9" ht="30">
      <c r="B4767" s="1477">
        <v>97511</v>
      </c>
      <c r="C4767" s="740" t="s">
        <v>4264</v>
      </c>
      <c r="D4767" s="739" t="s">
        <v>22</v>
      </c>
      <c r="E4767" s="741">
        <f t="shared" si="148"/>
        <v>181.99</v>
      </c>
      <c r="F4767">
        <f t="shared" si="149"/>
        <v>97511</v>
      </c>
      <c r="H4767" s="1406">
        <v>180.42</v>
      </c>
      <c r="I4767" s="1406">
        <v>181.99</v>
      </c>
    </row>
    <row r="4768" spans="2:9" ht="30">
      <c r="B4768" s="677">
        <v>97512</v>
      </c>
      <c r="C4768" s="733" t="s">
        <v>4265</v>
      </c>
      <c r="D4768" s="677" t="s">
        <v>22</v>
      </c>
      <c r="E4768" s="738">
        <f t="shared" si="148"/>
        <v>228.84</v>
      </c>
      <c r="F4768">
        <f t="shared" si="149"/>
        <v>97512</v>
      </c>
      <c r="H4768" s="1405">
        <v>227.27</v>
      </c>
      <c r="I4768" s="1405">
        <v>228.84</v>
      </c>
    </row>
    <row r="4769" spans="2:9" ht="30">
      <c r="B4769" s="1477">
        <v>97514</v>
      </c>
      <c r="C4769" s="740" t="s">
        <v>4266</v>
      </c>
      <c r="D4769" s="739" t="s">
        <v>22</v>
      </c>
      <c r="E4769" s="741">
        <f t="shared" si="148"/>
        <v>243.43</v>
      </c>
      <c r="F4769">
        <f t="shared" si="149"/>
        <v>97514</v>
      </c>
      <c r="H4769" s="1406">
        <v>241.61</v>
      </c>
      <c r="I4769" s="1406">
        <v>243.43</v>
      </c>
    </row>
    <row r="4770" spans="2:9" ht="30">
      <c r="B4770" s="677">
        <v>97515</v>
      </c>
      <c r="C4770" s="733" t="s">
        <v>4267</v>
      </c>
      <c r="D4770" s="677" t="s">
        <v>22</v>
      </c>
      <c r="E4770" s="738">
        <f t="shared" si="148"/>
        <v>306.54000000000002</v>
      </c>
      <c r="F4770">
        <f t="shared" si="149"/>
        <v>97515</v>
      </c>
      <c r="H4770" s="1405">
        <v>304.72000000000003</v>
      </c>
      <c r="I4770" s="1405">
        <v>306.54000000000002</v>
      </c>
    </row>
    <row r="4771" spans="2:9" ht="30">
      <c r="B4771" s="1477">
        <v>97517</v>
      </c>
      <c r="C4771" s="740" t="s">
        <v>4268</v>
      </c>
      <c r="D4771" s="739" t="s">
        <v>22</v>
      </c>
      <c r="E4771" s="741">
        <f t="shared" si="148"/>
        <v>58.19</v>
      </c>
      <c r="F4771">
        <f t="shared" si="149"/>
        <v>97517</v>
      </c>
      <c r="H4771" s="1406">
        <v>56.87</v>
      </c>
      <c r="I4771" s="1406">
        <v>58.19</v>
      </c>
    </row>
    <row r="4772" spans="2:9" ht="30">
      <c r="B4772" s="677">
        <v>97518</v>
      </c>
      <c r="C4772" s="733" t="s">
        <v>4269</v>
      </c>
      <c r="D4772" s="677" t="s">
        <v>22</v>
      </c>
      <c r="E4772" s="738">
        <f t="shared" si="148"/>
        <v>58.19</v>
      </c>
      <c r="F4772">
        <f t="shared" si="149"/>
        <v>97518</v>
      </c>
      <c r="H4772" s="1405">
        <v>56.87</v>
      </c>
      <c r="I4772" s="1405">
        <v>58.19</v>
      </c>
    </row>
    <row r="4773" spans="2:9" ht="30">
      <c r="B4773" s="1477">
        <v>97519</v>
      </c>
      <c r="C4773" s="740" t="s">
        <v>4270</v>
      </c>
      <c r="D4773" s="739" t="s">
        <v>22</v>
      </c>
      <c r="E4773" s="741">
        <f t="shared" si="148"/>
        <v>83.88</v>
      </c>
      <c r="F4773">
        <f t="shared" si="149"/>
        <v>97519</v>
      </c>
      <c r="H4773" s="1406">
        <v>82.4</v>
      </c>
      <c r="I4773" s="1406">
        <v>83.88</v>
      </c>
    </row>
    <row r="4774" spans="2:9" ht="30">
      <c r="B4774" s="677">
        <v>97520</v>
      </c>
      <c r="C4774" s="733" t="s">
        <v>4271</v>
      </c>
      <c r="D4774" s="677" t="s">
        <v>22</v>
      </c>
      <c r="E4774" s="738">
        <f t="shared" si="148"/>
        <v>83.88</v>
      </c>
      <c r="F4774">
        <f t="shared" si="149"/>
        <v>97520</v>
      </c>
      <c r="H4774" s="1405">
        <v>82.4</v>
      </c>
      <c r="I4774" s="1405">
        <v>83.88</v>
      </c>
    </row>
    <row r="4775" spans="2:9" ht="30">
      <c r="B4775" s="1477">
        <v>97521</v>
      </c>
      <c r="C4775" s="740" t="s">
        <v>4272</v>
      </c>
      <c r="D4775" s="739" t="s">
        <v>22</v>
      </c>
      <c r="E4775" s="741">
        <f t="shared" si="148"/>
        <v>117.72</v>
      </c>
      <c r="F4775">
        <f t="shared" si="149"/>
        <v>97521</v>
      </c>
      <c r="H4775" s="1406">
        <v>116.03</v>
      </c>
      <c r="I4775" s="1406">
        <v>117.72</v>
      </c>
    </row>
    <row r="4776" spans="2:9" ht="30">
      <c r="B4776" s="677">
        <v>97522</v>
      </c>
      <c r="C4776" s="733" t="s">
        <v>4273</v>
      </c>
      <c r="D4776" s="677" t="s">
        <v>22</v>
      </c>
      <c r="E4776" s="738">
        <f t="shared" si="148"/>
        <v>117.72</v>
      </c>
      <c r="F4776">
        <f t="shared" si="149"/>
        <v>97522</v>
      </c>
      <c r="H4776" s="1405">
        <v>116.03</v>
      </c>
      <c r="I4776" s="1405">
        <v>117.72</v>
      </c>
    </row>
    <row r="4777" spans="2:9" ht="30">
      <c r="B4777" s="1477">
        <v>97523</v>
      </c>
      <c r="C4777" s="740" t="s">
        <v>4274</v>
      </c>
      <c r="D4777" s="739" t="s">
        <v>22</v>
      </c>
      <c r="E4777" s="741">
        <f t="shared" si="148"/>
        <v>162.91999999999999</v>
      </c>
      <c r="F4777">
        <f t="shared" si="149"/>
        <v>97523</v>
      </c>
      <c r="H4777" s="1406">
        <v>160.97</v>
      </c>
      <c r="I4777" s="1406">
        <v>162.91999999999999</v>
      </c>
    </row>
    <row r="4778" spans="2:9" ht="30">
      <c r="B4778" s="677">
        <v>97524</v>
      </c>
      <c r="C4778" s="733" t="s">
        <v>4275</v>
      </c>
      <c r="D4778" s="677" t="s">
        <v>22</v>
      </c>
      <c r="E4778" s="738">
        <f t="shared" si="148"/>
        <v>176.15</v>
      </c>
      <c r="F4778">
        <f t="shared" si="149"/>
        <v>97524</v>
      </c>
      <c r="H4778" s="1405">
        <v>174.2</v>
      </c>
      <c r="I4778" s="1405">
        <v>176.15</v>
      </c>
    </row>
    <row r="4779" spans="2:9" ht="30">
      <c r="B4779" s="1477">
        <v>97525</v>
      </c>
      <c r="C4779" s="740" t="s">
        <v>4276</v>
      </c>
      <c r="D4779" s="739" t="s">
        <v>22</v>
      </c>
      <c r="E4779" s="741">
        <f t="shared" si="148"/>
        <v>309.97000000000003</v>
      </c>
      <c r="F4779">
        <f t="shared" si="149"/>
        <v>97525</v>
      </c>
      <c r="H4779" s="1406">
        <v>307.62</v>
      </c>
      <c r="I4779" s="1406">
        <v>309.97000000000003</v>
      </c>
    </row>
    <row r="4780" spans="2:9" ht="30">
      <c r="B4780" s="677">
        <v>97526</v>
      </c>
      <c r="C4780" s="733" t="s">
        <v>4277</v>
      </c>
      <c r="D4780" s="677" t="s">
        <v>22</v>
      </c>
      <c r="E4780" s="738">
        <f t="shared" si="148"/>
        <v>331.12</v>
      </c>
      <c r="F4780">
        <f t="shared" si="149"/>
        <v>97526</v>
      </c>
      <c r="H4780" s="1405">
        <v>328.77</v>
      </c>
      <c r="I4780" s="1405">
        <v>331.12</v>
      </c>
    </row>
    <row r="4781" spans="2:9" ht="30">
      <c r="B4781" s="1477">
        <v>97527</v>
      </c>
      <c r="C4781" s="740" t="s">
        <v>4278</v>
      </c>
      <c r="D4781" s="739" t="s">
        <v>22</v>
      </c>
      <c r="E4781" s="741">
        <f t="shared" si="148"/>
        <v>769.19</v>
      </c>
      <c r="F4781">
        <f t="shared" si="149"/>
        <v>97527</v>
      </c>
      <c r="H4781" s="1406">
        <v>766.44</v>
      </c>
      <c r="I4781" s="1406">
        <v>769.19</v>
      </c>
    </row>
    <row r="4782" spans="2:9" ht="30">
      <c r="B4782" s="677">
        <v>97528</v>
      </c>
      <c r="C4782" s="733" t="s">
        <v>4279</v>
      </c>
      <c r="D4782" s="677" t="s">
        <v>22</v>
      </c>
      <c r="E4782" s="738">
        <f t="shared" si="148"/>
        <v>674.27</v>
      </c>
      <c r="F4782">
        <f t="shared" si="149"/>
        <v>97528</v>
      </c>
      <c r="H4782" s="1405">
        <v>671.52</v>
      </c>
      <c r="I4782" s="1405">
        <v>674.27</v>
      </c>
    </row>
    <row r="4783" spans="2:9" ht="30">
      <c r="B4783" s="1477">
        <v>97529</v>
      </c>
      <c r="C4783" s="740" t="s">
        <v>4280</v>
      </c>
      <c r="D4783" s="739" t="s">
        <v>22</v>
      </c>
      <c r="E4783" s="741">
        <f t="shared" si="148"/>
        <v>91.66</v>
      </c>
      <c r="F4783">
        <f t="shared" si="149"/>
        <v>97529</v>
      </c>
      <c r="H4783" s="1406">
        <v>89.91</v>
      </c>
      <c r="I4783" s="1406">
        <v>91.66</v>
      </c>
    </row>
    <row r="4784" spans="2:9" ht="30">
      <c r="B4784" s="677">
        <v>97530</v>
      </c>
      <c r="C4784" s="733" t="s">
        <v>4281</v>
      </c>
      <c r="D4784" s="677" t="s">
        <v>22</v>
      </c>
      <c r="E4784" s="738">
        <f t="shared" si="148"/>
        <v>133.93</v>
      </c>
      <c r="F4784">
        <f t="shared" si="149"/>
        <v>97530</v>
      </c>
      <c r="H4784" s="1405">
        <v>131.94999999999999</v>
      </c>
      <c r="I4784" s="1405">
        <v>133.93</v>
      </c>
    </row>
    <row r="4785" spans="2:9" ht="30">
      <c r="B4785" s="1477">
        <v>97531</v>
      </c>
      <c r="C4785" s="740" t="s">
        <v>4282</v>
      </c>
      <c r="D4785" s="739" t="s">
        <v>22</v>
      </c>
      <c r="E4785" s="741">
        <f t="shared" si="148"/>
        <v>171.26</v>
      </c>
      <c r="F4785">
        <f t="shared" si="149"/>
        <v>97531</v>
      </c>
      <c r="H4785" s="1406">
        <v>168.99</v>
      </c>
      <c r="I4785" s="1406">
        <v>171.26</v>
      </c>
    </row>
    <row r="4786" spans="2:9" ht="30">
      <c r="B4786" s="677">
        <v>97532</v>
      </c>
      <c r="C4786" s="733" t="s">
        <v>4283</v>
      </c>
      <c r="D4786" s="677" t="s">
        <v>22</v>
      </c>
      <c r="E4786" s="738">
        <f t="shared" si="148"/>
        <v>270.29000000000002</v>
      </c>
      <c r="F4786">
        <f t="shared" si="149"/>
        <v>97532</v>
      </c>
      <c r="H4786" s="1405">
        <v>267.66000000000003</v>
      </c>
      <c r="I4786" s="1405">
        <v>270.29000000000002</v>
      </c>
    </row>
    <row r="4787" spans="2:9" ht="30">
      <c r="B4787" s="1477">
        <v>97533</v>
      </c>
      <c r="C4787" s="740" t="s">
        <v>4284</v>
      </c>
      <c r="D4787" s="739" t="s">
        <v>22</v>
      </c>
      <c r="E4787" s="741">
        <f t="shared" si="148"/>
        <v>512.14</v>
      </c>
      <c r="F4787">
        <f t="shared" si="149"/>
        <v>97533</v>
      </c>
      <c r="H4787" s="1406">
        <v>508.6</v>
      </c>
      <c r="I4787" s="1406">
        <v>512.14</v>
      </c>
    </row>
    <row r="4788" spans="2:9" ht="30">
      <c r="B4788" s="677">
        <v>97534</v>
      </c>
      <c r="C4788" s="733" t="s">
        <v>4285</v>
      </c>
      <c r="D4788" s="677" t="s">
        <v>22</v>
      </c>
      <c r="E4788" s="738">
        <f t="shared" si="148"/>
        <v>816.14</v>
      </c>
      <c r="F4788">
        <f t="shared" si="149"/>
        <v>97534</v>
      </c>
      <c r="H4788" s="1405">
        <v>812.49</v>
      </c>
      <c r="I4788" s="1405">
        <v>816.14</v>
      </c>
    </row>
    <row r="4789" spans="2:9" ht="30">
      <c r="B4789" s="1477">
        <v>97537</v>
      </c>
      <c r="C4789" s="740" t="s">
        <v>4286</v>
      </c>
      <c r="D4789" s="739" t="s">
        <v>22</v>
      </c>
      <c r="E4789" s="741">
        <f t="shared" si="148"/>
        <v>26.28</v>
      </c>
      <c r="F4789">
        <f t="shared" si="149"/>
        <v>97537</v>
      </c>
      <c r="H4789" s="1406">
        <v>25.42</v>
      </c>
      <c r="I4789" s="1406">
        <v>26.28</v>
      </c>
    </row>
    <row r="4790" spans="2:9" ht="30">
      <c r="B4790" s="677">
        <v>97540</v>
      </c>
      <c r="C4790" s="733" t="s">
        <v>4287</v>
      </c>
      <c r="D4790" s="677" t="s">
        <v>22</v>
      </c>
      <c r="E4790" s="738">
        <f t="shared" si="148"/>
        <v>34.51</v>
      </c>
      <c r="F4790">
        <f t="shared" si="149"/>
        <v>97540</v>
      </c>
      <c r="H4790" s="1405">
        <v>33.03</v>
      </c>
      <c r="I4790" s="1405">
        <v>34.51</v>
      </c>
    </row>
    <row r="4791" spans="2:9" ht="30">
      <c r="B4791" s="1477">
        <v>97541</v>
      </c>
      <c r="C4791" s="740" t="s">
        <v>4288</v>
      </c>
      <c r="D4791" s="739" t="s">
        <v>22</v>
      </c>
      <c r="E4791" s="741">
        <f t="shared" si="148"/>
        <v>28.88</v>
      </c>
      <c r="F4791">
        <f t="shared" si="149"/>
        <v>97541</v>
      </c>
      <c r="H4791" s="1406">
        <v>27.4</v>
      </c>
      <c r="I4791" s="1406">
        <v>28.88</v>
      </c>
    </row>
    <row r="4792" spans="2:9" ht="30">
      <c r="B4792" s="677">
        <v>97543</v>
      </c>
      <c r="C4792" s="733" t="s">
        <v>4289</v>
      </c>
      <c r="D4792" s="677" t="s">
        <v>22</v>
      </c>
      <c r="E4792" s="738">
        <f t="shared" si="148"/>
        <v>54.98</v>
      </c>
      <c r="F4792">
        <f t="shared" si="149"/>
        <v>97543</v>
      </c>
      <c r="H4792" s="1405">
        <v>52.1</v>
      </c>
      <c r="I4792" s="1405">
        <v>54.98</v>
      </c>
    </row>
    <row r="4793" spans="2:9" ht="30">
      <c r="B4793" s="1477">
        <v>97544</v>
      </c>
      <c r="C4793" s="740" t="s">
        <v>4290</v>
      </c>
      <c r="D4793" s="739" t="s">
        <v>22</v>
      </c>
      <c r="E4793" s="741">
        <f t="shared" si="148"/>
        <v>48.19</v>
      </c>
      <c r="F4793">
        <f t="shared" si="149"/>
        <v>97544</v>
      </c>
      <c r="H4793" s="1406">
        <v>45.31</v>
      </c>
      <c r="I4793" s="1406">
        <v>48.19</v>
      </c>
    </row>
    <row r="4794" spans="2:9" ht="30">
      <c r="B4794" s="677">
        <v>97546</v>
      </c>
      <c r="C4794" s="733" t="s">
        <v>4291</v>
      </c>
      <c r="D4794" s="677" t="s">
        <v>22</v>
      </c>
      <c r="E4794" s="738">
        <f t="shared" si="148"/>
        <v>36.549999999999997</v>
      </c>
      <c r="F4794">
        <f t="shared" si="149"/>
        <v>97546</v>
      </c>
      <c r="H4794" s="1405">
        <v>35.26</v>
      </c>
      <c r="I4794" s="1405">
        <v>36.549999999999997</v>
      </c>
    </row>
    <row r="4795" spans="2:9" ht="30">
      <c r="B4795" s="1477">
        <v>97547</v>
      </c>
      <c r="C4795" s="740" t="s">
        <v>4292</v>
      </c>
      <c r="D4795" s="739" t="s">
        <v>22</v>
      </c>
      <c r="E4795" s="741">
        <f t="shared" si="148"/>
        <v>36.549999999999997</v>
      </c>
      <c r="F4795">
        <f t="shared" si="149"/>
        <v>97547</v>
      </c>
      <c r="H4795" s="1406">
        <v>35.26</v>
      </c>
      <c r="I4795" s="1406">
        <v>36.549999999999997</v>
      </c>
    </row>
    <row r="4796" spans="2:9" ht="30">
      <c r="B4796" s="677">
        <v>97548</v>
      </c>
      <c r="C4796" s="733" t="s">
        <v>4293</v>
      </c>
      <c r="D4796" s="677" t="s">
        <v>22</v>
      </c>
      <c r="E4796" s="738">
        <f t="shared" si="148"/>
        <v>53.45</v>
      </c>
      <c r="F4796">
        <f t="shared" si="149"/>
        <v>97548</v>
      </c>
      <c r="H4796" s="1405">
        <v>51.24</v>
      </c>
      <c r="I4796" s="1405">
        <v>53.45</v>
      </c>
    </row>
    <row r="4797" spans="2:9" ht="30">
      <c r="B4797" s="1477">
        <v>97549</v>
      </c>
      <c r="C4797" s="740" t="s">
        <v>4294</v>
      </c>
      <c r="D4797" s="739" t="s">
        <v>22</v>
      </c>
      <c r="E4797" s="741">
        <f t="shared" si="148"/>
        <v>53.45</v>
      </c>
      <c r="F4797">
        <f t="shared" si="149"/>
        <v>97549</v>
      </c>
      <c r="H4797" s="1406">
        <v>51.24</v>
      </c>
      <c r="I4797" s="1406">
        <v>53.45</v>
      </c>
    </row>
    <row r="4798" spans="2:9" ht="30">
      <c r="B4798" s="677">
        <v>97550</v>
      </c>
      <c r="C4798" s="733" t="s">
        <v>4295</v>
      </c>
      <c r="D4798" s="677" t="s">
        <v>22</v>
      </c>
      <c r="E4798" s="738">
        <f t="shared" si="148"/>
        <v>87.17</v>
      </c>
      <c r="F4798">
        <f t="shared" si="149"/>
        <v>97550</v>
      </c>
      <c r="H4798" s="1405">
        <v>82.87</v>
      </c>
      <c r="I4798" s="1405">
        <v>87.17</v>
      </c>
    </row>
    <row r="4799" spans="2:9" ht="30">
      <c r="B4799" s="1477">
        <v>97551</v>
      </c>
      <c r="C4799" s="740" t="s">
        <v>4296</v>
      </c>
      <c r="D4799" s="739" t="s">
        <v>22</v>
      </c>
      <c r="E4799" s="741">
        <f t="shared" si="148"/>
        <v>87.17</v>
      </c>
      <c r="F4799">
        <f t="shared" si="149"/>
        <v>97551</v>
      </c>
      <c r="H4799" s="1406">
        <v>82.87</v>
      </c>
      <c r="I4799" s="1406">
        <v>87.17</v>
      </c>
    </row>
    <row r="4800" spans="2:9" ht="30">
      <c r="B4800" s="677">
        <v>97552</v>
      </c>
      <c r="C4800" s="733" t="s">
        <v>4297</v>
      </c>
      <c r="D4800" s="677" t="s">
        <v>22</v>
      </c>
      <c r="E4800" s="738">
        <f t="shared" si="148"/>
        <v>53.65</v>
      </c>
      <c r="F4800">
        <f t="shared" si="149"/>
        <v>97552</v>
      </c>
      <c r="H4800" s="1405">
        <v>51.93</v>
      </c>
      <c r="I4800" s="1405">
        <v>53.65</v>
      </c>
    </row>
    <row r="4801" spans="2:9" ht="30">
      <c r="B4801" s="1477">
        <v>97553</v>
      </c>
      <c r="C4801" s="740" t="s">
        <v>4298</v>
      </c>
      <c r="D4801" s="739" t="s">
        <v>22</v>
      </c>
      <c r="E4801" s="741">
        <f t="shared" si="148"/>
        <v>76.17</v>
      </c>
      <c r="F4801">
        <f t="shared" si="149"/>
        <v>97553</v>
      </c>
      <c r="H4801" s="1406">
        <v>73.209999999999994</v>
      </c>
      <c r="I4801" s="1406">
        <v>76.17</v>
      </c>
    </row>
    <row r="4802" spans="2:9" ht="30">
      <c r="B4802" s="677">
        <v>97554</v>
      </c>
      <c r="C4802" s="733" t="s">
        <v>4299</v>
      </c>
      <c r="D4802" s="677" t="s">
        <v>22</v>
      </c>
      <c r="E4802" s="738">
        <f t="shared" si="148"/>
        <v>130.34</v>
      </c>
      <c r="F4802">
        <f t="shared" si="149"/>
        <v>97554</v>
      </c>
      <c r="H4802" s="1405">
        <v>124.59</v>
      </c>
      <c r="I4802" s="1405">
        <v>130.34</v>
      </c>
    </row>
    <row r="4803" spans="2:9" ht="30">
      <c r="B4803" s="1477">
        <v>98602</v>
      </c>
      <c r="C4803" s="740" t="s">
        <v>5726</v>
      </c>
      <c r="D4803" s="739" t="s">
        <v>22</v>
      </c>
      <c r="E4803" s="741">
        <f t="shared" ref="E4803:E4866" si="150">IF($K$2=$H$1,H4803,I4803)</f>
        <v>17.100000000000001</v>
      </c>
      <c r="F4803">
        <f t="shared" ref="F4803:F4866" si="151">IF(LEN($B4803)=7,CONCATENATE(MID($B4803,1,6),"00",RIGHT($B4803,1)),IF(LEN($B4803)=8,CONCATENATE(MID($B4803,1,6),"0",RIGHT($B4803,2)),$B4803))</f>
        <v>98602</v>
      </c>
      <c r="H4803" s="1406">
        <v>16.78</v>
      </c>
      <c r="I4803" s="1406">
        <v>17.100000000000001</v>
      </c>
    </row>
    <row r="4804" spans="2:9" ht="30">
      <c r="B4804" s="677">
        <v>103805</v>
      </c>
      <c r="C4804" s="733" t="s">
        <v>5727</v>
      </c>
      <c r="D4804" s="677" t="s">
        <v>22</v>
      </c>
      <c r="E4804" s="738">
        <f t="shared" si="150"/>
        <v>17.14</v>
      </c>
      <c r="F4804">
        <f t="shared" si="151"/>
        <v>103805</v>
      </c>
      <c r="H4804" s="1405">
        <v>15.96</v>
      </c>
      <c r="I4804" s="1405">
        <v>17.14</v>
      </c>
    </row>
    <row r="4805" spans="2:9" ht="30">
      <c r="B4805" s="1477">
        <v>103806</v>
      </c>
      <c r="C4805" s="740" t="s">
        <v>5728</v>
      </c>
      <c r="D4805" s="739" t="s">
        <v>22</v>
      </c>
      <c r="E4805" s="741">
        <f t="shared" si="150"/>
        <v>17.11</v>
      </c>
      <c r="F4805">
        <f t="shared" si="151"/>
        <v>103806</v>
      </c>
      <c r="H4805" s="1406">
        <v>15.93</v>
      </c>
      <c r="I4805" s="1406">
        <v>17.11</v>
      </c>
    </row>
    <row r="4806" spans="2:9" ht="30">
      <c r="B4806" s="677">
        <v>103807</v>
      </c>
      <c r="C4806" s="733" t="s">
        <v>5729</v>
      </c>
      <c r="D4806" s="677" t="s">
        <v>22</v>
      </c>
      <c r="E4806" s="738">
        <f t="shared" si="150"/>
        <v>20.85</v>
      </c>
      <c r="F4806">
        <f t="shared" si="151"/>
        <v>103807</v>
      </c>
      <c r="H4806" s="1405">
        <v>20.07</v>
      </c>
      <c r="I4806" s="1405">
        <v>20.85</v>
      </c>
    </row>
    <row r="4807" spans="2:9" ht="30">
      <c r="B4807" s="1477">
        <v>103808</v>
      </c>
      <c r="C4807" s="740" t="s">
        <v>5730</v>
      </c>
      <c r="D4807" s="739" t="s">
        <v>22</v>
      </c>
      <c r="E4807" s="741">
        <f t="shared" si="150"/>
        <v>32.049999999999997</v>
      </c>
      <c r="F4807">
        <f t="shared" si="151"/>
        <v>103808</v>
      </c>
      <c r="H4807" s="1406">
        <v>30.03</v>
      </c>
      <c r="I4807" s="1406">
        <v>32.049999999999997</v>
      </c>
    </row>
    <row r="4808" spans="2:9" ht="30">
      <c r="B4808" s="677">
        <v>103809</v>
      </c>
      <c r="C4808" s="733" t="s">
        <v>5731</v>
      </c>
      <c r="D4808" s="677" t="s">
        <v>22</v>
      </c>
      <c r="E4808" s="738">
        <f t="shared" si="150"/>
        <v>31.77</v>
      </c>
      <c r="F4808">
        <f t="shared" si="151"/>
        <v>103809</v>
      </c>
      <c r="H4808" s="1405">
        <v>29.75</v>
      </c>
      <c r="I4808" s="1405">
        <v>31.77</v>
      </c>
    </row>
    <row r="4809" spans="2:9" ht="30">
      <c r="B4809" s="1477">
        <v>103810</v>
      </c>
      <c r="C4809" s="740" t="s">
        <v>5732</v>
      </c>
      <c r="D4809" s="739" t="s">
        <v>22</v>
      </c>
      <c r="E4809" s="741">
        <f t="shared" si="150"/>
        <v>32.130000000000003</v>
      </c>
      <c r="F4809">
        <f t="shared" si="151"/>
        <v>103810</v>
      </c>
      <c r="H4809" s="1406">
        <v>30.94</v>
      </c>
      <c r="I4809" s="1406">
        <v>32.130000000000003</v>
      </c>
    </row>
    <row r="4810" spans="2:9" ht="30">
      <c r="B4810" s="677">
        <v>103811</v>
      </c>
      <c r="C4810" s="733" t="s">
        <v>5733</v>
      </c>
      <c r="D4810" s="677" t="s">
        <v>22</v>
      </c>
      <c r="E4810" s="738">
        <f t="shared" si="150"/>
        <v>35.43</v>
      </c>
      <c r="F4810">
        <f t="shared" si="151"/>
        <v>103811</v>
      </c>
      <c r="H4810" s="1405">
        <v>34.15</v>
      </c>
      <c r="I4810" s="1405">
        <v>35.43</v>
      </c>
    </row>
    <row r="4811" spans="2:9" ht="30">
      <c r="B4811" s="1477">
        <v>103812</v>
      </c>
      <c r="C4811" s="740" t="s">
        <v>5734</v>
      </c>
      <c r="D4811" s="739" t="s">
        <v>22</v>
      </c>
      <c r="E4811" s="741">
        <f t="shared" si="150"/>
        <v>47.42</v>
      </c>
      <c r="F4811">
        <f t="shared" si="151"/>
        <v>103812</v>
      </c>
      <c r="H4811" s="1406">
        <v>44.66</v>
      </c>
      <c r="I4811" s="1406">
        <v>47.42</v>
      </c>
    </row>
    <row r="4812" spans="2:9" ht="30">
      <c r="B4812" s="677">
        <v>103813</v>
      </c>
      <c r="C4812" s="733" t="s">
        <v>5735</v>
      </c>
      <c r="D4812" s="677" t="s">
        <v>22</v>
      </c>
      <c r="E4812" s="738">
        <f t="shared" si="150"/>
        <v>45.75</v>
      </c>
      <c r="F4812">
        <f t="shared" si="151"/>
        <v>103813</v>
      </c>
      <c r="H4812" s="1405">
        <v>42.99</v>
      </c>
      <c r="I4812" s="1405">
        <v>45.75</v>
      </c>
    </row>
    <row r="4813" spans="2:9" ht="30">
      <c r="B4813" s="1477">
        <v>103814</v>
      </c>
      <c r="C4813" s="740" t="s">
        <v>5736</v>
      </c>
      <c r="D4813" s="739" t="s">
        <v>22</v>
      </c>
      <c r="E4813" s="741">
        <f t="shared" si="150"/>
        <v>11.21</v>
      </c>
      <c r="F4813">
        <f t="shared" si="151"/>
        <v>103814</v>
      </c>
      <c r="H4813" s="1406">
        <v>10.43</v>
      </c>
      <c r="I4813" s="1406">
        <v>11.21</v>
      </c>
    </row>
    <row r="4814" spans="2:9" ht="30">
      <c r="B4814" s="677">
        <v>103815</v>
      </c>
      <c r="C4814" s="733" t="s">
        <v>5737</v>
      </c>
      <c r="D4814" s="677" t="s">
        <v>22</v>
      </c>
      <c r="E4814" s="738">
        <f t="shared" si="150"/>
        <v>11.24</v>
      </c>
      <c r="F4814">
        <f t="shared" si="151"/>
        <v>103815</v>
      </c>
      <c r="H4814" s="1405">
        <v>10.46</v>
      </c>
      <c r="I4814" s="1405">
        <v>11.24</v>
      </c>
    </row>
    <row r="4815" spans="2:9" ht="30">
      <c r="B4815" s="1477">
        <v>103816</v>
      </c>
      <c r="C4815" s="740" t="s">
        <v>5738</v>
      </c>
      <c r="D4815" s="739" t="s">
        <v>22</v>
      </c>
      <c r="E4815" s="741">
        <f t="shared" si="150"/>
        <v>25.72</v>
      </c>
      <c r="F4815">
        <f t="shared" si="151"/>
        <v>103816</v>
      </c>
      <c r="H4815" s="1406">
        <v>24.94</v>
      </c>
      <c r="I4815" s="1406">
        <v>25.72</v>
      </c>
    </row>
    <row r="4816" spans="2:9" ht="30">
      <c r="B4816" s="677">
        <v>103817</v>
      </c>
      <c r="C4816" s="733" t="s">
        <v>5739</v>
      </c>
      <c r="D4816" s="677" t="s">
        <v>22</v>
      </c>
      <c r="E4816" s="738">
        <f t="shared" si="150"/>
        <v>428.23</v>
      </c>
      <c r="F4816">
        <f t="shared" si="151"/>
        <v>103817</v>
      </c>
      <c r="H4816" s="1405">
        <v>427.45</v>
      </c>
      <c r="I4816" s="1405">
        <v>428.23</v>
      </c>
    </row>
    <row r="4817" spans="2:9" ht="30">
      <c r="B4817" s="1477">
        <v>103818</v>
      </c>
      <c r="C4817" s="740" t="s">
        <v>5740</v>
      </c>
      <c r="D4817" s="739" t="s">
        <v>22</v>
      </c>
      <c r="E4817" s="741">
        <f t="shared" si="150"/>
        <v>19.059999999999999</v>
      </c>
      <c r="F4817">
        <f t="shared" si="151"/>
        <v>103818</v>
      </c>
      <c r="H4817" s="1406">
        <v>18.489999999999998</v>
      </c>
      <c r="I4817" s="1406">
        <v>19.059999999999999</v>
      </c>
    </row>
    <row r="4818" spans="2:9" ht="30">
      <c r="B4818" s="677">
        <v>103819</v>
      </c>
      <c r="C4818" s="733" t="s">
        <v>5741</v>
      </c>
      <c r="D4818" s="677" t="s">
        <v>22</v>
      </c>
      <c r="E4818" s="738">
        <f t="shared" si="150"/>
        <v>19.82</v>
      </c>
      <c r="F4818">
        <f t="shared" si="151"/>
        <v>103819</v>
      </c>
      <c r="H4818" s="1405">
        <v>18.46</v>
      </c>
      <c r="I4818" s="1405">
        <v>19.82</v>
      </c>
    </row>
    <row r="4819" spans="2:9" ht="30">
      <c r="B4819" s="1477">
        <v>103820</v>
      </c>
      <c r="C4819" s="740" t="s">
        <v>5742</v>
      </c>
      <c r="D4819" s="739" t="s">
        <v>22</v>
      </c>
      <c r="E4819" s="741">
        <f t="shared" si="150"/>
        <v>21.07</v>
      </c>
      <c r="F4819">
        <f t="shared" si="151"/>
        <v>103820</v>
      </c>
      <c r="H4819" s="1406">
        <v>19.71</v>
      </c>
      <c r="I4819" s="1406">
        <v>21.07</v>
      </c>
    </row>
    <row r="4820" spans="2:9" ht="30">
      <c r="B4820" s="677">
        <v>103821</v>
      </c>
      <c r="C4820" s="733" t="s">
        <v>5743</v>
      </c>
      <c r="D4820" s="677" t="s">
        <v>22</v>
      </c>
      <c r="E4820" s="738">
        <f t="shared" si="150"/>
        <v>501.47</v>
      </c>
      <c r="F4820">
        <f t="shared" si="151"/>
        <v>103821</v>
      </c>
      <c r="H4820" s="1405">
        <v>500.11</v>
      </c>
      <c r="I4820" s="1405">
        <v>501.47</v>
      </c>
    </row>
    <row r="4821" spans="2:9" ht="30">
      <c r="B4821" s="1477">
        <v>103822</v>
      </c>
      <c r="C4821" s="740" t="s">
        <v>5744</v>
      </c>
      <c r="D4821" s="739" t="s">
        <v>22</v>
      </c>
      <c r="E4821" s="741">
        <f t="shared" si="150"/>
        <v>52.88</v>
      </c>
      <c r="F4821">
        <f t="shared" si="151"/>
        <v>103822</v>
      </c>
      <c r="H4821" s="1406">
        <v>51.52</v>
      </c>
      <c r="I4821" s="1406">
        <v>52.88</v>
      </c>
    </row>
    <row r="4822" spans="2:9" ht="30">
      <c r="B4822" s="677">
        <v>103823</v>
      </c>
      <c r="C4822" s="733" t="s">
        <v>5745</v>
      </c>
      <c r="D4822" s="677" t="s">
        <v>22</v>
      </c>
      <c r="E4822" s="738">
        <f t="shared" si="150"/>
        <v>17.16</v>
      </c>
      <c r="F4822">
        <f t="shared" si="151"/>
        <v>103823</v>
      </c>
      <c r="H4822" s="1405">
        <v>16.079999999999998</v>
      </c>
      <c r="I4822" s="1405">
        <v>17.16</v>
      </c>
    </row>
    <row r="4823" spans="2:9" ht="30">
      <c r="B4823" s="1477">
        <v>103824</v>
      </c>
      <c r="C4823" s="740" t="s">
        <v>5746</v>
      </c>
      <c r="D4823" s="739" t="s">
        <v>22</v>
      </c>
      <c r="E4823" s="741">
        <f t="shared" si="150"/>
        <v>22.3</v>
      </c>
      <c r="F4823">
        <f t="shared" si="151"/>
        <v>103824</v>
      </c>
      <c r="H4823" s="1406">
        <v>21.45</v>
      </c>
      <c r="I4823" s="1406">
        <v>22.3</v>
      </c>
    </row>
    <row r="4824" spans="2:9" ht="30">
      <c r="B4824" s="677">
        <v>103825</v>
      </c>
      <c r="C4824" s="733" t="s">
        <v>5747</v>
      </c>
      <c r="D4824" s="677" t="s">
        <v>22</v>
      </c>
      <c r="E4824" s="738">
        <f t="shared" si="150"/>
        <v>26.4</v>
      </c>
      <c r="F4824">
        <f t="shared" si="151"/>
        <v>103825</v>
      </c>
      <c r="H4824" s="1405">
        <v>25.46</v>
      </c>
      <c r="I4824" s="1405">
        <v>26.4</v>
      </c>
    </row>
    <row r="4825" spans="2:9" ht="30">
      <c r="B4825" s="1477">
        <v>103826</v>
      </c>
      <c r="C4825" s="740" t="s">
        <v>5748</v>
      </c>
      <c r="D4825" s="739" t="s">
        <v>22</v>
      </c>
      <c r="E4825" s="741">
        <f t="shared" si="150"/>
        <v>29.78</v>
      </c>
      <c r="F4825">
        <f t="shared" si="151"/>
        <v>103826</v>
      </c>
      <c r="H4825" s="1406">
        <v>27.94</v>
      </c>
      <c r="I4825" s="1406">
        <v>29.78</v>
      </c>
    </row>
    <row r="4826" spans="2:9" ht="30">
      <c r="B4826" s="677">
        <v>103827</v>
      </c>
      <c r="C4826" s="733" t="s">
        <v>5749</v>
      </c>
      <c r="D4826" s="677" t="s">
        <v>22</v>
      </c>
      <c r="E4826" s="738">
        <f t="shared" si="150"/>
        <v>29.78</v>
      </c>
      <c r="F4826">
        <f t="shared" si="151"/>
        <v>103827</v>
      </c>
      <c r="H4826" s="1405">
        <v>27.94</v>
      </c>
      <c r="I4826" s="1405">
        <v>29.78</v>
      </c>
    </row>
    <row r="4827" spans="2:9" ht="30">
      <c r="B4827" s="1477">
        <v>103828</v>
      </c>
      <c r="C4827" s="740" t="s">
        <v>5750</v>
      </c>
      <c r="D4827" s="739" t="s">
        <v>22</v>
      </c>
      <c r="E4827" s="741">
        <f t="shared" si="150"/>
        <v>88.28</v>
      </c>
      <c r="F4827">
        <f t="shared" si="151"/>
        <v>103828</v>
      </c>
      <c r="H4827" s="1406">
        <v>86.44</v>
      </c>
      <c r="I4827" s="1406">
        <v>88.28</v>
      </c>
    </row>
    <row r="4828" spans="2:9" ht="30">
      <c r="B4828" s="677">
        <v>103829</v>
      </c>
      <c r="C4828" s="733" t="s">
        <v>5751</v>
      </c>
      <c r="D4828" s="677" t="s">
        <v>22</v>
      </c>
      <c r="E4828" s="738">
        <f t="shared" si="150"/>
        <v>554.08000000000004</v>
      </c>
      <c r="F4828">
        <f t="shared" si="151"/>
        <v>103829</v>
      </c>
      <c r="H4828" s="1405">
        <v>552.24</v>
      </c>
      <c r="I4828" s="1405">
        <v>554.08000000000004</v>
      </c>
    </row>
    <row r="4829" spans="2:9" ht="30">
      <c r="B4829" s="1477">
        <v>103830</v>
      </c>
      <c r="C4829" s="740" t="s">
        <v>5752</v>
      </c>
      <c r="D4829" s="739" t="s">
        <v>22</v>
      </c>
      <c r="E4829" s="741">
        <f t="shared" si="150"/>
        <v>34.61</v>
      </c>
      <c r="F4829">
        <f t="shared" si="151"/>
        <v>103830</v>
      </c>
      <c r="H4829" s="1406">
        <v>33.51</v>
      </c>
      <c r="I4829" s="1406">
        <v>34.61</v>
      </c>
    </row>
    <row r="4830" spans="2:9" ht="30">
      <c r="B4830" s="677">
        <v>103831</v>
      </c>
      <c r="C4830" s="733" t="s">
        <v>5753</v>
      </c>
      <c r="D4830" s="677" t="s">
        <v>22</v>
      </c>
      <c r="E4830" s="738">
        <f t="shared" si="150"/>
        <v>25.61</v>
      </c>
      <c r="F4830">
        <f t="shared" si="151"/>
        <v>103831</v>
      </c>
      <c r="H4830" s="1405">
        <v>24.01</v>
      </c>
      <c r="I4830" s="1405">
        <v>25.61</v>
      </c>
    </row>
    <row r="4831" spans="2:9" ht="30">
      <c r="B4831" s="1477">
        <v>103832</v>
      </c>
      <c r="C4831" s="740" t="s">
        <v>5754</v>
      </c>
      <c r="D4831" s="739" t="s">
        <v>22</v>
      </c>
      <c r="E4831" s="741">
        <f t="shared" si="150"/>
        <v>23.17</v>
      </c>
      <c r="F4831">
        <f t="shared" si="151"/>
        <v>103832</v>
      </c>
      <c r="H4831" s="1406">
        <v>21.59</v>
      </c>
      <c r="I4831" s="1406">
        <v>23.17</v>
      </c>
    </row>
    <row r="4832" spans="2:9" ht="30">
      <c r="B4832" s="677">
        <v>103833</v>
      </c>
      <c r="C4832" s="733" t="s">
        <v>5755</v>
      </c>
      <c r="D4832" s="677" t="s">
        <v>22</v>
      </c>
      <c r="E4832" s="738">
        <f t="shared" si="150"/>
        <v>42.5</v>
      </c>
      <c r="F4832">
        <f t="shared" si="151"/>
        <v>103833</v>
      </c>
      <c r="H4832" s="1405">
        <v>39.78</v>
      </c>
      <c r="I4832" s="1405">
        <v>42.5</v>
      </c>
    </row>
    <row r="4833" spans="2:9" ht="30">
      <c r="B4833" s="1477">
        <v>103834</v>
      </c>
      <c r="C4833" s="740" t="s">
        <v>5756</v>
      </c>
      <c r="D4833" s="739" t="s">
        <v>22</v>
      </c>
      <c r="E4833" s="741">
        <f t="shared" si="150"/>
        <v>61.68</v>
      </c>
      <c r="F4833">
        <f t="shared" si="151"/>
        <v>103834</v>
      </c>
      <c r="H4833" s="1406">
        <v>58.01</v>
      </c>
      <c r="I4833" s="1406">
        <v>61.68</v>
      </c>
    </row>
    <row r="4834" spans="2:9" ht="30">
      <c r="B4834" s="677">
        <v>103838</v>
      </c>
      <c r="C4834" s="733" t="s">
        <v>5757</v>
      </c>
      <c r="D4834" s="677" t="s">
        <v>22</v>
      </c>
      <c r="E4834" s="738">
        <f t="shared" si="150"/>
        <v>16.47</v>
      </c>
      <c r="F4834">
        <f t="shared" si="151"/>
        <v>103838</v>
      </c>
      <c r="H4834" s="1405">
        <v>15.35</v>
      </c>
      <c r="I4834" s="1405">
        <v>16.47</v>
      </c>
    </row>
    <row r="4835" spans="2:9" ht="30">
      <c r="B4835" s="1477">
        <v>103839</v>
      </c>
      <c r="C4835" s="740" t="s">
        <v>5758</v>
      </c>
      <c r="D4835" s="739" t="s">
        <v>22</v>
      </c>
      <c r="E4835" s="741">
        <f t="shared" si="150"/>
        <v>16.440000000000001</v>
      </c>
      <c r="F4835">
        <f t="shared" si="151"/>
        <v>103839</v>
      </c>
      <c r="H4835" s="1406">
        <v>15.32</v>
      </c>
      <c r="I4835" s="1406">
        <v>16.440000000000001</v>
      </c>
    </row>
    <row r="4836" spans="2:9" ht="30">
      <c r="B4836" s="677">
        <v>103840</v>
      </c>
      <c r="C4836" s="733" t="s">
        <v>5759</v>
      </c>
      <c r="D4836" s="677" t="s">
        <v>22</v>
      </c>
      <c r="E4836" s="738">
        <f t="shared" si="150"/>
        <v>20.51</v>
      </c>
      <c r="F4836">
        <f t="shared" si="151"/>
        <v>103840</v>
      </c>
      <c r="H4836" s="1405">
        <v>19.77</v>
      </c>
      <c r="I4836" s="1405">
        <v>20.51</v>
      </c>
    </row>
    <row r="4837" spans="2:9" ht="30">
      <c r="B4837" s="1477">
        <v>103841</v>
      </c>
      <c r="C4837" s="740" t="s">
        <v>5760</v>
      </c>
      <c r="D4837" s="739" t="s">
        <v>22</v>
      </c>
      <c r="E4837" s="741">
        <f t="shared" si="150"/>
        <v>26.77</v>
      </c>
      <c r="F4837">
        <f t="shared" si="151"/>
        <v>103841</v>
      </c>
      <c r="H4837" s="1406">
        <v>25.28</v>
      </c>
      <c r="I4837" s="1406">
        <v>26.77</v>
      </c>
    </row>
    <row r="4838" spans="2:9" ht="30">
      <c r="B4838" s="677">
        <v>103842</v>
      </c>
      <c r="C4838" s="733" t="s">
        <v>5761</v>
      </c>
      <c r="D4838" s="677" t="s">
        <v>22</v>
      </c>
      <c r="E4838" s="738">
        <f t="shared" si="150"/>
        <v>26.49</v>
      </c>
      <c r="F4838">
        <f t="shared" si="151"/>
        <v>103842</v>
      </c>
      <c r="H4838" s="1405">
        <v>25</v>
      </c>
      <c r="I4838" s="1405">
        <v>26.49</v>
      </c>
    </row>
    <row r="4839" spans="2:9" ht="30">
      <c r="B4839" s="1477">
        <v>103843</v>
      </c>
      <c r="C4839" s="740" t="s">
        <v>5762</v>
      </c>
      <c r="D4839" s="739" t="s">
        <v>22</v>
      </c>
      <c r="E4839" s="741">
        <f t="shared" si="150"/>
        <v>29.49</v>
      </c>
      <c r="F4839">
        <f t="shared" si="151"/>
        <v>103843</v>
      </c>
      <c r="H4839" s="1406">
        <v>28.57</v>
      </c>
      <c r="I4839" s="1406">
        <v>29.49</v>
      </c>
    </row>
    <row r="4840" spans="2:9" ht="30">
      <c r="B4840" s="677">
        <v>103844</v>
      </c>
      <c r="C4840" s="733" t="s">
        <v>5763</v>
      </c>
      <c r="D4840" s="677" t="s">
        <v>22</v>
      </c>
      <c r="E4840" s="738">
        <f t="shared" si="150"/>
        <v>32.78</v>
      </c>
      <c r="F4840">
        <f t="shared" si="151"/>
        <v>103844</v>
      </c>
      <c r="H4840" s="1405">
        <v>31.77</v>
      </c>
      <c r="I4840" s="1405">
        <v>32.78</v>
      </c>
    </row>
    <row r="4841" spans="2:9" ht="30">
      <c r="B4841" s="1477">
        <v>103845</v>
      </c>
      <c r="C4841" s="740" t="s">
        <v>5764</v>
      </c>
      <c r="D4841" s="739" t="s">
        <v>22</v>
      </c>
      <c r="E4841" s="741">
        <f t="shared" si="150"/>
        <v>38.19</v>
      </c>
      <c r="F4841">
        <f t="shared" si="151"/>
        <v>103845</v>
      </c>
      <c r="H4841" s="1406">
        <v>36.380000000000003</v>
      </c>
      <c r="I4841" s="1406">
        <v>38.19</v>
      </c>
    </row>
    <row r="4842" spans="2:9" ht="30">
      <c r="B4842" s="677">
        <v>103846</v>
      </c>
      <c r="C4842" s="733" t="s">
        <v>5765</v>
      </c>
      <c r="D4842" s="677" t="s">
        <v>22</v>
      </c>
      <c r="E4842" s="738">
        <f t="shared" si="150"/>
        <v>36.520000000000003</v>
      </c>
      <c r="F4842">
        <f t="shared" si="151"/>
        <v>103846</v>
      </c>
      <c r="H4842" s="1405">
        <v>34.71</v>
      </c>
      <c r="I4842" s="1405">
        <v>36.520000000000003</v>
      </c>
    </row>
    <row r="4843" spans="2:9" ht="30">
      <c r="B4843" s="1477">
        <v>103847</v>
      </c>
      <c r="C4843" s="740" t="s">
        <v>5766</v>
      </c>
      <c r="D4843" s="739" t="s">
        <v>22</v>
      </c>
      <c r="E4843" s="741">
        <f t="shared" si="150"/>
        <v>10.75</v>
      </c>
      <c r="F4843">
        <f t="shared" si="151"/>
        <v>103847</v>
      </c>
      <c r="H4843" s="1406">
        <v>10.01</v>
      </c>
      <c r="I4843" s="1406">
        <v>10.75</v>
      </c>
    </row>
    <row r="4844" spans="2:9" ht="30">
      <c r="B4844" s="677">
        <v>103848</v>
      </c>
      <c r="C4844" s="733" t="s">
        <v>5767</v>
      </c>
      <c r="D4844" s="677" t="s">
        <v>22</v>
      </c>
      <c r="E4844" s="738">
        <f t="shared" si="150"/>
        <v>10.78</v>
      </c>
      <c r="F4844">
        <f t="shared" si="151"/>
        <v>103848</v>
      </c>
      <c r="H4844" s="1405">
        <v>10.039999999999999</v>
      </c>
      <c r="I4844" s="1405">
        <v>10.78</v>
      </c>
    </row>
    <row r="4845" spans="2:9" ht="30">
      <c r="B4845" s="1477">
        <v>103849</v>
      </c>
      <c r="C4845" s="740" t="s">
        <v>5768</v>
      </c>
      <c r="D4845" s="739" t="s">
        <v>22</v>
      </c>
      <c r="E4845" s="741">
        <f t="shared" si="150"/>
        <v>25.26</v>
      </c>
      <c r="F4845">
        <f t="shared" si="151"/>
        <v>103849</v>
      </c>
      <c r="H4845" s="1406">
        <v>24.52</v>
      </c>
      <c r="I4845" s="1406">
        <v>25.26</v>
      </c>
    </row>
    <row r="4846" spans="2:9" ht="30">
      <c r="B4846" s="677">
        <v>103850</v>
      </c>
      <c r="C4846" s="733" t="s">
        <v>5769</v>
      </c>
      <c r="D4846" s="677" t="s">
        <v>22</v>
      </c>
      <c r="E4846" s="738">
        <f t="shared" si="150"/>
        <v>427.77</v>
      </c>
      <c r="F4846">
        <f t="shared" si="151"/>
        <v>103850</v>
      </c>
      <c r="H4846" s="1405">
        <v>427.03</v>
      </c>
      <c r="I4846" s="1405">
        <v>427.77</v>
      </c>
    </row>
    <row r="4847" spans="2:9" ht="30">
      <c r="B4847" s="1477">
        <v>103851</v>
      </c>
      <c r="C4847" s="740" t="s">
        <v>5770</v>
      </c>
      <c r="D4847" s="739" t="s">
        <v>22</v>
      </c>
      <c r="E4847" s="741">
        <f t="shared" si="150"/>
        <v>18.829999999999998</v>
      </c>
      <c r="F4847">
        <f t="shared" si="151"/>
        <v>103851</v>
      </c>
      <c r="H4847" s="1406">
        <v>18.28</v>
      </c>
      <c r="I4847" s="1406">
        <v>18.829999999999998</v>
      </c>
    </row>
    <row r="4848" spans="2:9" ht="30">
      <c r="B4848" s="677">
        <v>103852</v>
      </c>
      <c r="C4848" s="733" t="s">
        <v>5771</v>
      </c>
      <c r="D4848" s="677" t="s">
        <v>22</v>
      </c>
      <c r="E4848" s="738">
        <f t="shared" si="150"/>
        <v>16.25</v>
      </c>
      <c r="F4848">
        <f t="shared" si="151"/>
        <v>103852</v>
      </c>
      <c r="H4848" s="1405">
        <v>15.27</v>
      </c>
      <c r="I4848" s="1405">
        <v>16.25</v>
      </c>
    </row>
    <row r="4849" spans="2:9" ht="30">
      <c r="B4849" s="1477">
        <v>103853</v>
      </c>
      <c r="C4849" s="740" t="s">
        <v>5772</v>
      </c>
      <c r="D4849" s="739" t="s">
        <v>22</v>
      </c>
      <c r="E4849" s="741">
        <f t="shared" si="150"/>
        <v>17.5</v>
      </c>
      <c r="F4849">
        <f t="shared" si="151"/>
        <v>103853</v>
      </c>
      <c r="H4849" s="1406">
        <v>16.52</v>
      </c>
      <c r="I4849" s="1406">
        <v>17.5</v>
      </c>
    </row>
    <row r="4850" spans="2:9" ht="30">
      <c r="B4850" s="677">
        <v>103854</v>
      </c>
      <c r="C4850" s="733" t="s">
        <v>5773</v>
      </c>
      <c r="D4850" s="677" t="s">
        <v>22</v>
      </c>
      <c r="E4850" s="738">
        <f t="shared" si="150"/>
        <v>497.9</v>
      </c>
      <c r="F4850">
        <f t="shared" si="151"/>
        <v>103854</v>
      </c>
      <c r="H4850" s="1405">
        <v>496.92</v>
      </c>
      <c r="I4850" s="1405">
        <v>497.9</v>
      </c>
    </row>
    <row r="4851" spans="2:9" ht="30">
      <c r="B4851" s="1477">
        <v>103855</v>
      </c>
      <c r="C4851" s="740" t="s">
        <v>5774</v>
      </c>
      <c r="D4851" s="739" t="s">
        <v>22</v>
      </c>
      <c r="E4851" s="741">
        <f t="shared" si="150"/>
        <v>49.31</v>
      </c>
      <c r="F4851">
        <f t="shared" si="151"/>
        <v>103855</v>
      </c>
      <c r="H4851" s="1406">
        <v>48.33</v>
      </c>
      <c r="I4851" s="1406">
        <v>49.31</v>
      </c>
    </row>
    <row r="4852" spans="2:9" ht="30">
      <c r="B4852" s="677">
        <v>103856</v>
      </c>
      <c r="C4852" s="733" t="s">
        <v>5775</v>
      </c>
      <c r="D4852" s="677" t="s">
        <v>22</v>
      </c>
      <c r="E4852" s="738">
        <f t="shared" si="150"/>
        <v>15.27</v>
      </c>
      <c r="F4852">
        <f t="shared" si="151"/>
        <v>103856</v>
      </c>
      <c r="H4852" s="1405">
        <v>14.4</v>
      </c>
      <c r="I4852" s="1405">
        <v>15.27</v>
      </c>
    </row>
    <row r="4853" spans="2:9" ht="30">
      <c r="B4853" s="1477">
        <v>103857</v>
      </c>
      <c r="C4853" s="740" t="s">
        <v>5776</v>
      </c>
      <c r="D4853" s="739" t="s">
        <v>22</v>
      </c>
      <c r="E4853" s="741">
        <f t="shared" si="150"/>
        <v>20.52</v>
      </c>
      <c r="F4853">
        <f t="shared" si="151"/>
        <v>103857</v>
      </c>
      <c r="H4853" s="1406">
        <v>19.850000000000001</v>
      </c>
      <c r="I4853" s="1406">
        <v>20.52</v>
      </c>
    </row>
    <row r="4854" spans="2:9" ht="30">
      <c r="B4854" s="677">
        <v>103858</v>
      </c>
      <c r="C4854" s="733" t="s">
        <v>5777</v>
      </c>
      <c r="D4854" s="677" t="s">
        <v>22</v>
      </c>
      <c r="E4854" s="738">
        <f t="shared" si="150"/>
        <v>24.62</v>
      </c>
      <c r="F4854">
        <f t="shared" si="151"/>
        <v>103858</v>
      </c>
      <c r="H4854" s="1405">
        <v>23.86</v>
      </c>
      <c r="I4854" s="1405">
        <v>24.62</v>
      </c>
    </row>
    <row r="4855" spans="2:9" ht="30">
      <c r="B4855" s="1477">
        <v>103859</v>
      </c>
      <c r="C4855" s="740" t="s">
        <v>5778</v>
      </c>
      <c r="D4855" s="739" t="s">
        <v>22</v>
      </c>
      <c r="E4855" s="741">
        <f t="shared" si="150"/>
        <v>24.03</v>
      </c>
      <c r="F4855">
        <f t="shared" si="151"/>
        <v>103859</v>
      </c>
      <c r="H4855" s="1406">
        <v>22.84</v>
      </c>
      <c r="I4855" s="1406">
        <v>24.03</v>
      </c>
    </row>
    <row r="4856" spans="2:9" ht="30">
      <c r="B4856" s="677">
        <v>103860</v>
      </c>
      <c r="C4856" s="733" t="s">
        <v>5779</v>
      </c>
      <c r="D4856" s="677" t="s">
        <v>22</v>
      </c>
      <c r="E4856" s="738">
        <f t="shared" si="150"/>
        <v>24.03</v>
      </c>
      <c r="F4856">
        <f t="shared" si="151"/>
        <v>103860</v>
      </c>
      <c r="H4856" s="1405">
        <v>22.84</v>
      </c>
      <c r="I4856" s="1405">
        <v>24.03</v>
      </c>
    </row>
    <row r="4857" spans="2:9" ht="30">
      <c r="B4857" s="1477">
        <v>103861</v>
      </c>
      <c r="C4857" s="740" t="s">
        <v>5780</v>
      </c>
      <c r="D4857" s="739" t="s">
        <v>22</v>
      </c>
      <c r="E4857" s="741">
        <f t="shared" si="150"/>
        <v>82.53</v>
      </c>
      <c r="F4857">
        <f t="shared" si="151"/>
        <v>103861</v>
      </c>
      <c r="H4857" s="1406">
        <v>81.34</v>
      </c>
      <c r="I4857" s="1406">
        <v>82.53</v>
      </c>
    </row>
    <row r="4858" spans="2:9" ht="30">
      <c r="B4858" s="677">
        <v>103862</v>
      </c>
      <c r="C4858" s="733" t="s">
        <v>5781</v>
      </c>
      <c r="D4858" s="677" t="s">
        <v>22</v>
      </c>
      <c r="E4858" s="738">
        <f t="shared" si="150"/>
        <v>548.33000000000004</v>
      </c>
      <c r="F4858">
        <f t="shared" si="151"/>
        <v>103862</v>
      </c>
      <c r="H4858" s="1405">
        <v>547.14</v>
      </c>
      <c r="I4858" s="1405">
        <v>548.33000000000004</v>
      </c>
    </row>
    <row r="4859" spans="2:9" ht="30">
      <c r="B4859" s="1477">
        <v>103863</v>
      </c>
      <c r="C4859" s="740" t="s">
        <v>5782</v>
      </c>
      <c r="D4859" s="739" t="s">
        <v>22</v>
      </c>
      <c r="E4859" s="741">
        <f t="shared" si="150"/>
        <v>31.73</v>
      </c>
      <c r="F4859">
        <f t="shared" si="151"/>
        <v>103863</v>
      </c>
      <c r="H4859" s="1406">
        <v>30.95</v>
      </c>
      <c r="I4859" s="1406">
        <v>31.73</v>
      </c>
    </row>
    <row r="4860" spans="2:9" ht="30">
      <c r="B4860" s="677">
        <v>103864</v>
      </c>
      <c r="C4860" s="733" t="s">
        <v>5783</v>
      </c>
      <c r="D4860" s="677" t="s">
        <v>22</v>
      </c>
      <c r="E4860" s="738">
        <f t="shared" si="150"/>
        <v>20.87</v>
      </c>
      <c r="F4860">
        <f t="shared" si="151"/>
        <v>103864</v>
      </c>
      <c r="H4860" s="1405">
        <v>19.77</v>
      </c>
      <c r="I4860" s="1405">
        <v>20.87</v>
      </c>
    </row>
    <row r="4861" spans="2:9" ht="30">
      <c r="B4861" s="1477">
        <v>103865</v>
      </c>
      <c r="C4861" s="740" t="s">
        <v>5784</v>
      </c>
      <c r="D4861" s="739" t="s">
        <v>22</v>
      </c>
      <c r="E4861" s="741">
        <f t="shared" si="150"/>
        <v>22.26</v>
      </c>
      <c r="F4861">
        <f t="shared" si="151"/>
        <v>103865</v>
      </c>
      <c r="H4861" s="1406">
        <v>20.77</v>
      </c>
      <c r="I4861" s="1406">
        <v>22.26</v>
      </c>
    </row>
    <row r="4862" spans="2:9" ht="30">
      <c r="B4862" s="677">
        <v>103866</v>
      </c>
      <c r="C4862" s="733" t="s">
        <v>5785</v>
      </c>
      <c r="D4862" s="677" t="s">
        <v>22</v>
      </c>
      <c r="E4862" s="738">
        <f t="shared" si="150"/>
        <v>35.42</v>
      </c>
      <c r="F4862">
        <f t="shared" si="151"/>
        <v>103866</v>
      </c>
      <c r="H4862" s="1405">
        <v>33.44</v>
      </c>
      <c r="I4862" s="1405">
        <v>35.42</v>
      </c>
    </row>
    <row r="4863" spans="2:9" ht="30">
      <c r="B4863" s="1477">
        <v>103867</v>
      </c>
      <c r="C4863" s="740" t="s">
        <v>5786</v>
      </c>
      <c r="D4863" s="739" t="s">
        <v>22</v>
      </c>
      <c r="E4863" s="741">
        <f t="shared" si="150"/>
        <v>49.34</v>
      </c>
      <c r="F4863">
        <f t="shared" si="151"/>
        <v>103867</v>
      </c>
      <c r="H4863" s="1406">
        <v>46.94</v>
      </c>
      <c r="I4863" s="1406">
        <v>49.34</v>
      </c>
    </row>
    <row r="4864" spans="2:9" ht="30">
      <c r="B4864" s="677">
        <v>103874</v>
      </c>
      <c r="C4864" s="733" t="s">
        <v>5787</v>
      </c>
      <c r="D4864" s="677" t="s">
        <v>22</v>
      </c>
      <c r="E4864" s="738">
        <f t="shared" si="150"/>
        <v>17.18</v>
      </c>
      <c r="F4864">
        <f t="shared" si="151"/>
        <v>103874</v>
      </c>
      <c r="H4864" s="1405">
        <v>15.99</v>
      </c>
      <c r="I4864" s="1405">
        <v>17.18</v>
      </c>
    </row>
    <row r="4865" spans="2:9" ht="30">
      <c r="B4865" s="1477">
        <v>103875</v>
      </c>
      <c r="C4865" s="740" t="s">
        <v>5788</v>
      </c>
      <c r="D4865" s="739" t="s">
        <v>22</v>
      </c>
      <c r="E4865" s="741">
        <f t="shared" si="150"/>
        <v>17.149999999999999</v>
      </c>
      <c r="F4865">
        <f t="shared" si="151"/>
        <v>103875</v>
      </c>
      <c r="H4865" s="1406">
        <v>15.96</v>
      </c>
      <c r="I4865" s="1406">
        <v>17.149999999999999</v>
      </c>
    </row>
    <row r="4866" spans="2:9" ht="30">
      <c r="B4866" s="677">
        <v>103876</v>
      </c>
      <c r="C4866" s="733" t="s">
        <v>5789</v>
      </c>
      <c r="D4866" s="677" t="s">
        <v>22</v>
      </c>
      <c r="E4866" s="738">
        <f t="shared" si="150"/>
        <v>20.87</v>
      </c>
      <c r="F4866">
        <f t="shared" si="151"/>
        <v>103876</v>
      </c>
      <c r="H4866" s="1405">
        <v>20.100000000000001</v>
      </c>
      <c r="I4866" s="1405">
        <v>20.87</v>
      </c>
    </row>
    <row r="4867" spans="2:9" ht="30">
      <c r="B4867" s="1477">
        <v>103877</v>
      </c>
      <c r="C4867" s="740" t="s">
        <v>5790</v>
      </c>
      <c r="D4867" s="739" t="s">
        <v>22</v>
      </c>
      <c r="E4867" s="741">
        <f t="shared" ref="E4867:E4930" si="152">IF($K$2=$H$1,H4867,I4867)</f>
        <v>25.96</v>
      </c>
      <c r="F4867">
        <f t="shared" ref="F4867:F4930" si="153">IF(LEN($B4867)=7,CONCATENATE(MID($B4867,1,6),"00",RIGHT($B4867,1)),IF(LEN($B4867)=8,CONCATENATE(MID($B4867,1,6),"0",RIGHT($B4867,2)),$B4867))</f>
        <v>103877</v>
      </c>
      <c r="H4867" s="1406">
        <v>24.56</v>
      </c>
      <c r="I4867" s="1406">
        <v>25.96</v>
      </c>
    </row>
    <row r="4868" spans="2:9" ht="30">
      <c r="B4868" s="677">
        <v>103878</v>
      </c>
      <c r="C4868" s="733" t="s">
        <v>5791</v>
      </c>
      <c r="D4868" s="677" t="s">
        <v>22</v>
      </c>
      <c r="E4868" s="738">
        <f t="shared" si="152"/>
        <v>25.68</v>
      </c>
      <c r="F4868">
        <f t="shared" si="153"/>
        <v>103878</v>
      </c>
      <c r="H4868" s="1405">
        <v>24.28</v>
      </c>
      <c r="I4868" s="1405">
        <v>25.68</v>
      </c>
    </row>
    <row r="4869" spans="2:9" ht="30">
      <c r="B4869" s="1477">
        <v>103879</v>
      </c>
      <c r="C4869" s="740" t="s">
        <v>5792</v>
      </c>
      <c r="D4869" s="739" t="s">
        <v>22</v>
      </c>
      <c r="E4869" s="741">
        <f t="shared" si="152"/>
        <v>29.09</v>
      </c>
      <c r="F4869">
        <f t="shared" si="153"/>
        <v>103879</v>
      </c>
      <c r="H4869" s="1406">
        <v>28.21</v>
      </c>
      <c r="I4869" s="1406">
        <v>29.09</v>
      </c>
    </row>
    <row r="4870" spans="2:9" ht="30">
      <c r="B4870" s="677">
        <v>103880</v>
      </c>
      <c r="C4870" s="733" t="s">
        <v>5793</v>
      </c>
      <c r="D4870" s="677" t="s">
        <v>22</v>
      </c>
      <c r="E4870" s="738">
        <f t="shared" si="152"/>
        <v>32.39</v>
      </c>
      <c r="F4870">
        <f t="shared" si="153"/>
        <v>103880</v>
      </c>
      <c r="H4870" s="1405">
        <v>31.41</v>
      </c>
      <c r="I4870" s="1405">
        <v>32.39</v>
      </c>
    </row>
    <row r="4871" spans="2:9" ht="30">
      <c r="B4871" s="1477">
        <v>103881</v>
      </c>
      <c r="C4871" s="740" t="s">
        <v>5794</v>
      </c>
      <c r="D4871" s="739" t="s">
        <v>22</v>
      </c>
      <c r="E4871" s="741">
        <f t="shared" si="152"/>
        <v>36.1</v>
      </c>
      <c r="F4871">
        <f t="shared" si="153"/>
        <v>103881</v>
      </c>
      <c r="H4871" s="1406">
        <v>34.5</v>
      </c>
      <c r="I4871" s="1406">
        <v>36.1</v>
      </c>
    </row>
    <row r="4872" spans="2:9" ht="30">
      <c r="B4872" s="677">
        <v>103882</v>
      </c>
      <c r="C4872" s="733" t="s">
        <v>5795</v>
      </c>
      <c r="D4872" s="677" t="s">
        <v>22</v>
      </c>
      <c r="E4872" s="738">
        <f t="shared" si="152"/>
        <v>34.43</v>
      </c>
      <c r="F4872">
        <f t="shared" si="153"/>
        <v>103882</v>
      </c>
      <c r="H4872" s="1405">
        <v>32.83</v>
      </c>
      <c r="I4872" s="1405">
        <v>34.43</v>
      </c>
    </row>
    <row r="4873" spans="2:9" ht="30">
      <c r="B4873" s="1477">
        <v>103883</v>
      </c>
      <c r="C4873" s="740" t="s">
        <v>5796</v>
      </c>
      <c r="D4873" s="739" t="s">
        <v>22</v>
      </c>
      <c r="E4873" s="741">
        <f t="shared" si="152"/>
        <v>11.22</v>
      </c>
      <c r="F4873">
        <f t="shared" si="153"/>
        <v>103883</v>
      </c>
      <c r="H4873" s="1406">
        <v>10.42</v>
      </c>
      <c r="I4873" s="1406">
        <v>11.22</v>
      </c>
    </row>
    <row r="4874" spans="2:9" ht="30">
      <c r="B4874" s="677">
        <v>103884</v>
      </c>
      <c r="C4874" s="733" t="s">
        <v>5797</v>
      </c>
      <c r="D4874" s="677" t="s">
        <v>22</v>
      </c>
      <c r="E4874" s="738">
        <f t="shared" si="152"/>
        <v>11.25</v>
      </c>
      <c r="F4874">
        <f t="shared" si="153"/>
        <v>103884</v>
      </c>
      <c r="H4874" s="1405">
        <v>10.45</v>
      </c>
      <c r="I4874" s="1405">
        <v>11.25</v>
      </c>
    </row>
    <row r="4875" spans="2:9" ht="30">
      <c r="B4875" s="1477">
        <v>103885</v>
      </c>
      <c r="C4875" s="740" t="s">
        <v>5798</v>
      </c>
      <c r="D4875" s="739" t="s">
        <v>22</v>
      </c>
      <c r="E4875" s="741">
        <f t="shared" si="152"/>
        <v>25.73</v>
      </c>
      <c r="F4875">
        <f t="shared" si="153"/>
        <v>103885</v>
      </c>
      <c r="H4875" s="1406">
        <v>24.93</v>
      </c>
      <c r="I4875" s="1406">
        <v>25.73</v>
      </c>
    </row>
    <row r="4876" spans="2:9" ht="30">
      <c r="B4876" s="677">
        <v>103886</v>
      </c>
      <c r="C4876" s="733" t="s">
        <v>5799</v>
      </c>
      <c r="D4876" s="677" t="s">
        <v>22</v>
      </c>
      <c r="E4876" s="738">
        <f t="shared" si="152"/>
        <v>428.24</v>
      </c>
      <c r="F4876">
        <f t="shared" si="153"/>
        <v>103886</v>
      </c>
      <c r="H4876" s="1405">
        <v>427.44</v>
      </c>
      <c r="I4876" s="1405">
        <v>428.24</v>
      </c>
    </row>
    <row r="4877" spans="2:9" ht="30">
      <c r="B4877" s="1477">
        <v>103887</v>
      </c>
      <c r="C4877" s="740" t="s">
        <v>5800</v>
      </c>
      <c r="D4877" s="739" t="s">
        <v>22</v>
      </c>
      <c r="E4877" s="741">
        <f t="shared" si="152"/>
        <v>19.07</v>
      </c>
      <c r="F4877">
        <f t="shared" si="153"/>
        <v>103887</v>
      </c>
      <c r="H4877" s="1406">
        <v>18.5</v>
      </c>
      <c r="I4877" s="1406">
        <v>19.07</v>
      </c>
    </row>
    <row r="4878" spans="2:9" ht="30">
      <c r="B4878" s="677">
        <v>103888</v>
      </c>
      <c r="C4878" s="733" t="s">
        <v>5801</v>
      </c>
      <c r="D4878" s="677" t="s">
        <v>22</v>
      </c>
      <c r="E4878" s="738">
        <f t="shared" si="152"/>
        <v>15.69</v>
      </c>
      <c r="F4878">
        <f t="shared" si="153"/>
        <v>103888</v>
      </c>
      <c r="H4878" s="1405">
        <v>14.75</v>
      </c>
      <c r="I4878" s="1405">
        <v>15.69</v>
      </c>
    </row>
    <row r="4879" spans="2:9" ht="30">
      <c r="B4879" s="1477">
        <v>103889</v>
      </c>
      <c r="C4879" s="740" t="s">
        <v>5802</v>
      </c>
      <c r="D4879" s="739" t="s">
        <v>22</v>
      </c>
      <c r="E4879" s="741">
        <f t="shared" si="152"/>
        <v>16.940000000000001</v>
      </c>
      <c r="F4879">
        <f t="shared" si="153"/>
        <v>103889</v>
      </c>
      <c r="H4879" s="1406">
        <v>16</v>
      </c>
      <c r="I4879" s="1406">
        <v>16.940000000000001</v>
      </c>
    </row>
    <row r="4880" spans="2:9" ht="30">
      <c r="B4880" s="677">
        <v>103890</v>
      </c>
      <c r="C4880" s="733" t="s">
        <v>5803</v>
      </c>
      <c r="D4880" s="677" t="s">
        <v>22</v>
      </c>
      <c r="E4880" s="738">
        <f t="shared" si="152"/>
        <v>497.34</v>
      </c>
      <c r="F4880">
        <f t="shared" si="153"/>
        <v>103890</v>
      </c>
      <c r="H4880" s="1405">
        <v>496.4</v>
      </c>
      <c r="I4880" s="1405">
        <v>497.34</v>
      </c>
    </row>
    <row r="4881" spans="2:9" ht="30">
      <c r="B4881" s="1477">
        <v>103891</v>
      </c>
      <c r="C4881" s="740" t="s">
        <v>5804</v>
      </c>
      <c r="D4881" s="739" t="s">
        <v>22</v>
      </c>
      <c r="E4881" s="741">
        <f t="shared" si="152"/>
        <v>48.75</v>
      </c>
      <c r="F4881">
        <f t="shared" si="153"/>
        <v>103891</v>
      </c>
      <c r="H4881" s="1406">
        <v>47.81</v>
      </c>
      <c r="I4881" s="1406">
        <v>48.75</v>
      </c>
    </row>
    <row r="4882" spans="2:9" ht="30">
      <c r="B4882" s="677">
        <v>103892</v>
      </c>
      <c r="C4882" s="733" t="s">
        <v>5805</v>
      </c>
      <c r="D4882" s="677" t="s">
        <v>22</v>
      </c>
      <c r="E4882" s="738">
        <f t="shared" si="152"/>
        <v>15.26</v>
      </c>
      <c r="F4882">
        <f t="shared" si="153"/>
        <v>103892</v>
      </c>
      <c r="H4882" s="1405">
        <v>14.39</v>
      </c>
      <c r="I4882" s="1405">
        <v>15.26</v>
      </c>
    </row>
    <row r="4883" spans="2:9" ht="30">
      <c r="B4883" s="1477">
        <v>103893</v>
      </c>
      <c r="C4883" s="740" t="s">
        <v>5806</v>
      </c>
      <c r="D4883" s="739" t="s">
        <v>22</v>
      </c>
      <c r="E4883" s="741">
        <f t="shared" si="152"/>
        <v>20.239999999999998</v>
      </c>
      <c r="F4883">
        <f t="shared" si="153"/>
        <v>103893</v>
      </c>
      <c r="H4883" s="1406">
        <v>19.59</v>
      </c>
      <c r="I4883" s="1406">
        <v>20.239999999999998</v>
      </c>
    </row>
    <row r="4884" spans="2:9" ht="30">
      <c r="B4884" s="677">
        <v>103894</v>
      </c>
      <c r="C4884" s="733" t="s">
        <v>5807</v>
      </c>
      <c r="D4884" s="677" t="s">
        <v>22</v>
      </c>
      <c r="E4884" s="738">
        <f t="shared" si="152"/>
        <v>24.34</v>
      </c>
      <c r="F4884">
        <f t="shared" si="153"/>
        <v>103894</v>
      </c>
      <c r="H4884" s="1405">
        <v>23.6</v>
      </c>
      <c r="I4884" s="1405">
        <v>24.34</v>
      </c>
    </row>
    <row r="4885" spans="2:9" ht="30">
      <c r="B4885" s="1477">
        <v>103895</v>
      </c>
      <c r="C4885" s="740" t="s">
        <v>5808</v>
      </c>
      <c r="D4885" s="739" t="s">
        <v>22</v>
      </c>
      <c r="E4885" s="741">
        <f t="shared" si="152"/>
        <v>22.59</v>
      </c>
      <c r="F4885">
        <f t="shared" si="153"/>
        <v>103895</v>
      </c>
      <c r="H4885" s="1406">
        <v>21.52</v>
      </c>
      <c r="I4885" s="1406">
        <v>22.59</v>
      </c>
    </row>
    <row r="4886" spans="2:9" ht="30">
      <c r="B4886" s="677">
        <v>103896</v>
      </c>
      <c r="C4886" s="733" t="s">
        <v>5809</v>
      </c>
      <c r="D4886" s="677" t="s">
        <v>22</v>
      </c>
      <c r="E4886" s="738">
        <f t="shared" si="152"/>
        <v>22.59</v>
      </c>
      <c r="F4886">
        <f t="shared" si="153"/>
        <v>103896</v>
      </c>
      <c r="H4886" s="1405">
        <v>21.52</v>
      </c>
      <c r="I4886" s="1405">
        <v>22.59</v>
      </c>
    </row>
    <row r="4887" spans="2:9" ht="30">
      <c r="B4887" s="1477">
        <v>103897</v>
      </c>
      <c r="C4887" s="740" t="s">
        <v>5810</v>
      </c>
      <c r="D4887" s="739" t="s">
        <v>22</v>
      </c>
      <c r="E4887" s="741">
        <f t="shared" si="152"/>
        <v>81.09</v>
      </c>
      <c r="F4887">
        <f t="shared" si="153"/>
        <v>103897</v>
      </c>
      <c r="H4887" s="1406">
        <v>80.02</v>
      </c>
      <c r="I4887" s="1406">
        <v>81.09</v>
      </c>
    </row>
    <row r="4888" spans="2:9" ht="30">
      <c r="B4888" s="677">
        <v>103898</v>
      </c>
      <c r="C4888" s="733" t="s">
        <v>5811</v>
      </c>
      <c r="D4888" s="677" t="s">
        <v>22</v>
      </c>
      <c r="E4888" s="738">
        <f t="shared" si="152"/>
        <v>546.89</v>
      </c>
      <c r="F4888">
        <f t="shared" si="153"/>
        <v>103898</v>
      </c>
      <c r="H4888" s="1405">
        <v>545.82000000000005</v>
      </c>
      <c r="I4888" s="1405">
        <v>546.89</v>
      </c>
    </row>
    <row r="4889" spans="2:9" ht="30">
      <c r="B4889" s="1477">
        <v>103899</v>
      </c>
      <c r="C4889" s="740" t="s">
        <v>5812</v>
      </c>
      <c r="D4889" s="739" t="s">
        <v>22</v>
      </c>
      <c r="E4889" s="741">
        <f t="shared" si="152"/>
        <v>31</v>
      </c>
      <c r="F4889">
        <f t="shared" si="153"/>
        <v>103899</v>
      </c>
      <c r="H4889" s="1406">
        <v>30.3</v>
      </c>
      <c r="I4889" s="1406">
        <v>31</v>
      </c>
    </row>
    <row r="4890" spans="2:9" ht="30">
      <c r="B4890" s="677">
        <v>103900</v>
      </c>
      <c r="C4890" s="733" t="s">
        <v>5813</v>
      </c>
      <c r="D4890" s="677" t="s">
        <v>22</v>
      </c>
      <c r="E4890" s="738">
        <f t="shared" si="152"/>
        <v>19.72</v>
      </c>
      <c r="F4890">
        <f t="shared" si="153"/>
        <v>103900</v>
      </c>
      <c r="H4890" s="1405">
        <v>18.72</v>
      </c>
      <c r="I4890" s="1405">
        <v>19.72</v>
      </c>
    </row>
    <row r="4891" spans="2:9" ht="30">
      <c r="B4891" s="1477">
        <v>103901</v>
      </c>
      <c r="C4891" s="740" t="s">
        <v>5814</v>
      </c>
      <c r="D4891" s="739" t="s">
        <v>22</v>
      </c>
      <c r="E4891" s="741">
        <f t="shared" si="152"/>
        <v>23.21</v>
      </c>
      <c r="F4891">
        <f t="shared" si="153"/>
        <v>103901</v>
      </c>
      <c r="H4891" s="1406">
        <v>21.62</v>
      </c>
      <c r="I4891" s="1406">
        <v>23.21</v>
      </c>
    </row>
    <row r="4892" spans="2:9" ht="30">
      <c r="B4892" s="677">
        <v>103902</v>
      </c>
      <c r="C4892" s="733" t="s">
        <v>5815</v>
      </c>
      <c r="D4892" s="677" t="s">
        <v>22</v>
      </c>
      <c r="E4892" s="738">
        <f t="shared" si="152"/>
        <v>34.35</v>
      </c>
      <c r="F4892">
        <f t="shared" si="153"/>
        <v>103902</v>
      </c>
      <c r="H4892" s="1405">
        <v>32.47</v>
      </c>
      <c r="I4892" s="1405">
        <v>34.35</v>
      </c>
    </row>
    <row r="4893" spans="2:9" ht="30">
      <c r="B4893" s="1477">
        <v>103903</v>
      </c>
      <c r="C4893" s="740" t="s">
        <v>5816</v>
      </c>
      <c r="D4893" s="739" t="s">
        <v>22</v>
      </c>
      <c r="E4893" s="741">
        <f t="shared" si="152"/>
        <v>46.53</v>
      </c>
      <c r="F4893">
        <f t="shared" si="153"/>
        <v>103903</v>
      </c>
      <c r="H4893" s="1406">
        <v>44.4</v>
      </c>
      <c r="I4893" s="1406">
        <v>46.53</v>
      </c>
    </row>
    <row r="4894" spans="2:9" ht="30">
      <c r="B4894" s="677">
        <v>103947</v>
      </c>
      <c r="C4894" s="733" t="s">
        <v>6309</v>
      </c>
      <c r="D4894" s="677" t="s">
        <v>22</v>
      </c>
      <c r="E4894" s="738">
        <f t="shared" si="152"/>
        <v>6.07</v>
      </c>
      <c r="F4894">
        <f t="shared" si="153"/>
        <v>103947</v>
      </c>
      <c r="H4894" s="1405">
        <v>5.61</v>
      </c>
      <c r="I4894" s="1405">
        <v>6.07</v>
      </c>
    </row>
    <row r="4895" spans="2:9" ht="30">
      <c r="B4895" s="1477">
        <v>103948</v>
      </c>
      <c r="C4895" s="740" t="s">
        <v>6310</v>
      </c>
      <c r="D4895" s="739" t="s">
        <v>22</v>
      </c>
      <c r="E4895" s="741">
        <f t="shared" si="152"/>
        <v>7.59</v>
      </c>
      <c r="F4895">
        <f t="shared" si="153"/>
        <v>103948</v>
      </c>
      <c r="H4895" s="1406">
        <v>7.05</v>
      </c>
      <c r="I4895" s="1406">
        <v>7.59</v>
      </c>
    </row>
    <row r="4896" spans="2:9" ht="30">
      <c r="B4896" s="677">
        <v>103949</v>
      </c>
      <c r="C4896" s="733" t="s">
        <v>6311</v>
      </c>
      <c r="D4896" s="677" t="s">
        <v>22</v>
      </c>
      <c r="E4896" s="738">
        <f t="shared" si="152"/>
        <v>8.86</v>
      </c>
      <c r="F4896">
        <f t="shared" si="153"/>
        <v>103949</v>
      </c>
      <c r="H4896" s="1405">
        <v>8.36</v>
      </c>
      <c r="I4896" s="1405">
        <v>8.86</v>
      </c>
    </row>
    <row r="4897" spans="2:9" ht="30">
      <c r="B4897" s="1477">
        <v>103950</v>
      </c>
      <c r="C4897" s="740" t="s">
        <v>6312</v>
      </c>
      <c r="D4897" s="739" t="s">
        <v>22</v>
      </c>
      <c r="E4897" s="741">
        <f t="shared" si="152"/>
        <v>10.3</v>
      </c>
      <c r="F4897">
        <f t="shared" si="153"/>
        <v>103950</v>
      </c>
      <c r="H4897" s="1406">
        <v>9.61</v>
      </c>
      <c r="I4897" s="1406">
        <v>10.3</v>
      </c>
    </row>
    <row r="4898" spans="2:9" ht="30">
      <c r="B4898" s="677">
        <v>103951</v>
      </c>
      <c r="C4898" s="733" t="s">
        <v>6313</v>
      </c>
      <c r="D4898" s="677" t="s">
        <v>22</v>
      </c>
      <c r="E4898" s="738">
        <f t="shared" si="152"/>
        <v>14.18</v>
      </c>
      <c r="F4898">
        <f t="shared" si="153"/>
        <v>103951</v>
      </c>
      <c r="H4898" s="1405">
        <v>13.37</v>
      </c>
      <c r="I4898" s="1405">
        <v>14.18</v>
      </c>
    </row>
    <row r="4899" spans="2:9" ht="30">
      <c r="B4899" s="1477">
        <v>103952</v>
      </c>
      <c r="C4899" s="740" t="s">
        <v>6314</v>
      </c>
      <c r="D4899" s="739" t="s">
        <v>22</v>
      </c>
      <c r="E4899" s="741">
        <f t="shared" si="152"/>
        <v>5.59</v>
      </c>
      <c r="F4899">
        <f t="shared" si="153"/>
        <v>103952</v>
      </c>
      <c r="H4899" s="1406">
        <v>5.18</v>
      </c>
      <c r="I4899" s="1406">
        <v>5.59</v>
      </c>
    </row>
    <row r="4900" spans="2:9" ht="30">
      <c r="B4900" s="677">
        <v>103953</v>
      </c>
      <c r="C4900" s="733" t="s">
        <v>6315</v>
      </c>
      <c r="D4900" s="677" t="s">
        <v>22</v>
      </c>
      <c r="E4900" s="738">
        <f t="shared" si="152"/>
        <v>7.03</v>
      </c>
      <c r="F4900">
        <f t="shared" si="153"/>
        <v>103953</v>
      </c>
      <c r="H4900" s="1405">
        <v>6.55</v>
      </c>
      <c r="I4900" s="1405">
        <v>7.03</v>
      </c>
    </row>
    <row r="4901" spans="2:9" ht="30">
      <c r="B4901" s="1477">
        <v>103954</v>
      </c>
      <c r="C4901" s="740" t="s">
        <v>6316</v>
      </c>
      <c r="D4901" s="739" t="s">
        <v>22</v>
      </c>
      <c r="E4901" s="741">
        <f t="shared" si="152"/>
        <v>8.33</v>
      </c>
      <c r="F4901">
        <f t="shared" si="153"/>
        <v>103954</v>
      </c>
      <c r="H4901" s="1406">
        <v>7.88</v>
      </c>
      <c r="I4901" s="1406">
        <v>8.33</v>
      </c>
    </row>
    <row r="4902" spans="2:9" ht="30">
      <c r="B4902" s="677">
        <v>103955</v>
      </c>
      <c r="C4902" s="733" t="s">
        <v>6317</v>
      </c>
      <c r="D4902" s="677" t="s">
        <v>22</v>
      </c>
      <c r="E4902" s="738">
        <f t="shared" si="152"/>
        <v>9.59</v>
      </c>
      <c r="F4902">
        <f t="shared" si="153"/>
        <v>103955</v>
      </c>
      <c r="H4902" s="1405">
        <v>8.9700000000000006</v>
      </c>
      <c r="I4902" s="1405">
        <v>9.59</v>
      </c>
    </row>
    <row r="4903" spans="2:9" ht="30">
      <c r="B4903" s="1477">
        <v>103956</v>
      </c>
      <c r="C4903" s="740" t="s">
        <v>6318</v>
      </c>
      <c r="D4903" s="739" t="s">
        <v>22</v>
      </c>
      <c r="E4903" s="741">
        <f t="shared" si="152"/>
        <v>13.35</v>
      </c>
      <c r="F4903">
        <f t="shared" si="153"/>
        <v>103956</v>
      </c>
      <c r="H4903" s="1406">
        <v>12.62</v>
      </c>
      <c r="I4903" s="1406">
        <v>13.35</v>
      </c>
    </row>
    <row r="4904" spans="2:9" ht="30">
      <c r="B4904" s="677">
        <v>103957</v>
      </c>
      <c r="C4904" s="733" t="s">
        <v>6319</v>
      </c>
      <c r="D4904" s="677" t="s">
        <v>22</v>
      </c>
      <c r="E4904" s="738">
        <f t="shared" si="152"/>
        <v>4.8</v>
      </c>
      <c r="F4904">
        <f t="shared" si="153"/>
        <v>103957</v>
      </c>
      <c r="H4904" s="1405">
        <v>4.55</v>
      </c>
      <c r="I4904" s="1405">
        <v>4.8</v>
      </c>
    </row>
    <row r="4905" spans="2:9" ht="30">
      <c r="B4905" s="1477">
        <v>103958</v>
      </c>
      <c r="C4905" s="740" t="s">
        <v>6320</v>
      </c>
      <c r="D4905" s="739" t="s">
        <v>22</v>
      </c>
      <c r="E4905" s="741">
        <f t="shared" si="152"/>
        <v>9.7200000000000006</v>
      </c>
      <c r="F4905">
        <f t="shared" si="153"/>
        <v>103958</v>
      </c>
      <c r="H4905" s="1406">
        <v>9.34</v>
      </c>
      <c r="I4905" s="1406">
        <v>9.7200000000000006</v>
      </c>
    </row>
    <row r="4906" spans="2:9" ht="30">
      <c r="B4906" s="677">
        <v>103959</v>
      </c>
      <c r="C4906" s="733" t="s">
        <v>6321</v>
      </c>
      <c r="D4906" s="677" t="s">
        <v>22</v>
      </c>
      <c r="E4906" s="738">
        <f t="shared" si="152"/>
        <v>14.52</v>
      </c>
      <c r="F4906">
        <f t="shared" si="153"/>
        <v>103959</v>
      </c>
      <c r="H4906" s="1405">
        <v>14.06</v>
      </c>
      <c r="I4906" s="1405">
        <v>14.52</v>
      </c>
    </row>
    <row r="4907" spans="2:9" ht="30">
      <c r="B4907" s="1477">
        <v>103962</v>
      </c>
      <c r="C4907" s="740" t="s">
        <v>6322</v>
      </c>
      <c r="D4907" s="739" t="s">
        <v>22</v>
      </c>
      <c r="E4907" s="741">
        <f t="shared" si="152"/>
        <v>6.18</v>
      </c>
      <c r="F4907">
        <f t="shared" si="153"/>
        <v>103962</v>
      </c>
      <c r="H4907" s="1406">
        <v>5.95</v>
      </c>
      <c r="I4907" s="1406">
        <v>6.18</v>
      </c>
    </row>
    <row r="4908" spans="2:9" ht="30">
      <c r="B4908" s="677">
        <v>103964</v>
      </c>
      <c r="C4908" s="733" t="s">
        <v>6323</v>
      </c>
      <c r="D4908" s="677" t="s">
        <v>22</v>
      </c>
      <c r="E4908" s="738">
        <f t="shared" si="152"/>
        <v>7.86</v>
      </c>
      <c r="F4908">
        <f t="shared" si="153"/>
        <v>103964</v>
      </c>
      <c r="H4908" s="1405">
        <v>7.58</v>
      </c>
      <c r="I4908" s="1405">
        <v>7.86</v>
      </c>
    </row>
    <row r="4909" spans="2:9" ht="30">
      <c r="B4909" s="1477">
        <v>103966</v>
      </c>
      <c r="C4909" s="740" t="s">
        <v>6324</v>
      </c>
      <c r="D4909" s="739" t="s">
        <v>22</v>
      </c>
      <c r="E4909" s="741">
        <f t="shared" si="152"/>
        <v>9.31</v>
      </c>
      <c r="F4909">
        <f t="shared" si="153"/>
        <v>103966</v>
      </c>
      <c r="H4909" s="1406">
        <v>8.99</v>
      </c>
      <c r="I4909" s="1406">
        <v>9.31</v>
      </c>
    </row>
    <row r="4910" spans="2:9" ht="30">
      <c r="B4910" s="677">
        <v>103967</v>
      </c>
      <c r="C4910" s="733" t="s">
        <v>6325</v>
      </c>
      <c r="D4910" s="677" t="s">
        <v>22</v>
      </c>
      <c r="E4910" s="738">
        <f t="shared" si="152"/>
        <v>11.18</v>
      </c>
      <c r="F4910">
        <f t="shared" si="153"/>
        <v>103967</v>
      </c>
      <c r="H4910" s="1405">
        <v>10.84</v>
      </c>
      <c r="I4910" s="1405">
        <v>11.18</v>
      </c>
    </row>
    <row r="4911" spans="2:9" ht="30">
      <c r="B4911" s="1477">
        <v>103968</v>
      </c>
      <c r="C4911" s="740" t="s">
        <v>6326</v>
      </c>
      <c r="D4911" s="739" t="s">
        <v>22</v>
      </c>
      <c r="E4911" s="741">
        <f t="shared" si="152"/>
        <v>15.85</v>
      </c>
      <c r="F4911">
        <f t="shared" si="153"/>
        <v>103968</v>
      </c>
      <c r="H4911" s="1406">
        <v>15.5</v>
      </c>
      <c r="I4911" s="1406">
        <v>15.85</v>
      </c>
    </row>
    <row r="4912" spans="2:9" ht="30">
      <c r="B4912" s="677">
        <v>103969</v>
      </c>
      <c r="C4912" s="733" t="s">
        <v>6327</v>
      </c>
      <c r="D4912" s="677" t="s">
        <v>22</v>
      </c>
      <c r="E4912" s="738">
        <f t="shared" si="152"/>
        <v>18.66</v>
      </c>
      <c r="F4912">
        <f t="shared" si="153"/>
        <v>103969</v>
      </c>
      <c r="H4912" s="1405">
        <v>18.28</v>
      </c>
      <c r="I4912" s="1405">
        <v>18.66</v>
      </c>
    </row>
    <row r="4913" spans="2:9" ht="30">
      <c r="B4913" s="1477">
        <v>103971</v>
      </c>
      <c r="C4913" s="740" t="s">
        <v>6328</v>
      </c>
      <c r="D4913" s="739" t="s">
        <v>22</v>
      </c>
      <c r="E4913" s="741">
        <f t="shared" si="152"/>
        <v>23.73</v>
      </c>
      <c r="F4913">
        <f t="shared" si="153"/>
        <v>103971</v>
      </c>
      <c r="H4913" s="1406">
        <v>23.27</v>
      </c>
      <c r="I4913" s="1406">
        <v>23.73</v>
      </c>
    </row>
    <row r="4914" spans="2:9" ht="30">
      <c r="B4914" s="677">
        <v>103972</v>
      </c>
      <c r="C4914" s="733" t="s">
        <v>6329</v>
      </c>
      <c r="D4914" s="677" t="s">
        <v>22</v>
      </c>
      <c r="E4914" s="738">
        <f t="shared" si="152"/>
        <v>27.56</v>
      </c>
      <c r="F4914">
        <f t="shared" si="153"/>
        <v>103972</v>
      </c>
      <c r="H4914" s="1405">
        <v>27.05</v>
      </c>
      <c r="I4914" s="1405">
        <v>27.56</v>
      </c>
    </row>
    <row r="4915" spans="2:9" ht="30">
      <c r="B4915" s="1477">
        <v>103974</v>
      </c>
      <c r="C4915" s="740" t="s">
        <v>6330</v>
      </c>
      <c r="D4915" s="739" t="s">
        <v>22</v>
      </c>
      <c r="E4915" s="741">
        <f t="shared" si="152"/>
        <v>10.01</v>
      </c>
      <c r="F4915">
        <f t="shared" si="153"/>
        <v>103974</v>
      </c>
      <c r="H4915" s="1406">
        <v>9.6300000000000008</v>
      </c>
      <c r="I4915" s="1406">
        <v>10.01</v>
      </c>
    </row>
    <row r="4916" spans="2:9" ht="30">
      <c r="B4916" s="677">
        <v>103975</v>
      </c>
      <c r="C4916" s="733" t="s">
        <v>6331</v>
      </c>
      <c r="D4916" s="677" t="s">
        <v>22</v>
      </c>
      <c r="E4916" s="738">
        <f t="shared" si="152"/>
        <v>16.989999999999998</v>
      </c>
      <c r="F4916">
        <f t="shared" si="153"/>
        <v>103975</v>
      </c>
      <c r="H4916" s="1405">
        <v>16.399999999999999</v>
      </c>
      <c r="I4916" s="1405">
        <v>16.989999999999998</v>
      </c>
    </row>
    <row r="4917" spans="2:9" ht="30">
      <c r="B4917" s="1477">
        <v>103976</v>
      </c>
      <c r="C4917" s="740" t="s">
        <v>6332</v>
      </c>
      <c r="D4917" s="739" t="s">
        <v>22</v>
      </c>
      <c r="E4917" s="741">
        <f t="shared" si="152"/>
        <v>24.36</v>
      </c>
      <c r="F4917">
        <f t="shared" si="153"/>
        <v>103976</v>
      </c>
      <c r="H4917" s="1406">
        <v>23.67</v>
      </c>
      <c r="I4917" s="1406">
        <v>24.36</v>
      </c>
    </row>
    <row r="4918" spans="2:9" ht="30">
      <c r="B4918" s="677">
        <v>103977</v>
      </c>
      <c r="C4918" s="733" t="s">
        <v>6333</v>
      </c>
      <c r="D4918" s="677" t="s">
        <v>22</v>
      </c>
      <c r="E4918" s="738">
        <f t="shared" si="152"/>
        <v>6.86</v>
      </c>
      <c r="F4918">
        <f t="shared" si="153"/>
        <v>103977</v>
      </c>
      <c r="H4918" s="1405">
        <v>6.55</v>
      </c>
      <c r="I4918" s="1405">
        <v>6.86</v>
      </c>
    </row>
    <row r="4919" spans="2:9" ht="30">
      <c r="B4919" s="1477">
        <v>103980</v>
      </c>
      <c r="C4919" s="740" t="s">
        <v>6334</v>
      </c>
      <c r="D4919" s="739" t="s">
        <v>22</v>
      </c>
      <c r="E4919" s="741">
        <f t="shared" si="152"/>
        <v>16.739999999999998</v>
      </c>
      <c r="F4919">
        <f t="shared" si="153"/>
        <v>103980</v>
      </c>
      <c r="H4919" s="1406">
        <v>15.8</v>
      </c>
      <c r="I4919" s="1406">
        <v>16.739999999999998</v>
      </c>
    </row>
    <row r="4920" spans="2:9" ht="30">
      <c r="B4920" s="677">
        <v>103981</v>
      </c>
      <c r="C4920" s="733" t="s">
        <v>6335</v>
      </c>
      <c r="D4920" s="677" t="s">
        <v>22</v>
      </c>
      <c r="E4920" s="738">
        <f t="shared" si="152"/>
        <v>16.8</v>
      </c>
      <c r="F4920">
        <f t="shared" si="153"/>
        <v>103981</v>
      </c>
      <c r="H4920" s="1405">
        <v>15.86</v>
      </c>
      <c r="I4920" s="1405">
        <v>16.8</v>
      </c>
    </row>
    <row r="4921" spans="2:9" ht="30">
      <c r="B4921" s="1477">
        <v>103982</v>
      </c>
      <c r="C4921" s="740" t="s">
        <v>6336</v>
      </c>
      <c r="D4921" s="739" t="s">
        <v>22</v>
      </c>
      <c r="E4921" s="741">
        <f t="shared" si="152"/>
        <v>22.56</v>
      </c>
      <c r="F4921">
        <f t="shared" si="153"/>
        <v>103982</v>
      </c>
      <c r="H4921" s="1406">
        <v>21.62</v>
      </c>
      <c r="I4921" s="1406">
        <v>22.56</v>
      </c>
    </row>
    <row r="4922" spans="2:9" ht="30">
      <c r="B4922" s="677">
        <v>103983</v>
      </c>
      <c r="C4922" s="733" t="s">
        <v>6337</v>
      </c>
      <c r="D4922" s="677" t="s">
        <v>22</v>
      </c>
      <c r="E4922" s="738">
        <f t="shared" si="152"/>
        <v>16.28</v>
      </c>
      <c r="F4922">
        <f t="shared" si="153"/>
        <v>103983</v>
      </c>
      <c r="H4922" s="1405">
        <v>15.34</v>
      </c>
      <c r="I4922" s="1405">
        <v>16.28</v>
      </c>
    </row>
    <row r="4923" spans="2:9" ht="30">
      <c r="B4923" s="1477">
        <v>103984</v>
      </c>
      <c r="C4923" s="740" t="s">
        <v>6338</v>
      </c>
      <c r="D4923" s="739" t="s">
        <v>22</v>
      </c>
      <c r="E4923" s="741">
        <f t="shared" si="152"/>
        <v>18.7</v>
      </c>
      <c r="F4923">
        <f t="shared" si="153"/>
        <v>103984</v>
      </c>
      <c r="H4923" s="1406">
        <v>17.59</v>
      </c>
      <c r="I4923" s="1406">
        <v>18.7</v>
      </c>
    </row>
    <row r="4924" spans="2:9" ht="30">
      <c r="B4924" s="677">
        <v>103985</v>
      </c>
      <c r="C4924" s="733" t="s">
        <v>6339</v>
      </c>
      <c r="D4924" s="677" t="s">
        <v>22</v>
      </c>
      <c r="E4924" s="738">
        <f t="shared" si="152"/>
        <v>21.07</v>
      </c>
      <c r="F4924">
        <f t="shared" si="153"/>
        <v>103985</v>
      </c>
      <c r="H4924" s="1405">
        <v>19.96</v>
      </c>
      <c r="I4924" s="1405">
        <v>21.07</v>
      </c>
    </row>
    <row r="4925" spans="2:9" ht="30">
      <c r="B4925" s="1477">
        <v>103986</v>
      </c>
      <c r="C4925" s="740" t="s">
        <v>6340</v>
      </c>
      <c r="D4925" s="739" t="s">
        <v>22</v>
      </c>
      <c r="E4925" s="741">
        <f t="shared" si="152"/>
        <v>26.36</v>
      </c>
      <c r="F4925">
        <f t="shared" si="153"/>
        <v>103986</v>
      </c>
      <c r="H4925" s="1406">
        <v>25.25</v>
      </c>
      <c r="I4925" s="1406">
        <v>26.36</v>
      </c>
    </row>
    <row r="4926" spans="2:9" ht="30">
      <c r="B4926" s="677">
        <v>103987</v>
      </c>
      <c r="C4926" s="733" t="s">
        <v>6341</v>
      </c>
      <c r="D4926" s="677" t="s">
        <v>22</v>
      </c>
      <c r="E4926" s="738">
        <f t="shared" si="152"/>
        <v>22.77</v>
      </c>
      <c r="F4926">
        <f t="shared" si="153"/>
        <v>103987</v>
      </c>
      <c r="H4926" s="1405">
        <v>21.66</v>
      </c>
      <c r="I4926" s="1405">
        <v>22.77</v>
      </c>
    </row>
    <row r="4927" spans="2:9">
      <c r="B4927" s="1477">
        <v>103988</v>
      </c>
      <c r="C4927" s="740" t="s">
        <v>6342</v>
      </c>
      <c r="D4927" s="739" t="s">
        <v>22</v>
      </c>
      <c r="E4927" s="741">
        <f t="shared" si="152"/>
        <v>12.21</v>
      </c>
      <c r="F4927">
        <f t="shared" si="153"/>
        <v>103988</v>
      </c>
      <c r="H4927" s="1406">
        <v>11.58</v>
      </c>
      <c r="I4927" s="1406">
        <v>12.21</v>
      </c>
    </row>
    <row r="4928" spans="2:9">
      <c r="B4928" s="677">
        <v>103990</v>
      </c>
      <c r="C4928" s="733" t="s">
        <v>6343</v>
      </c>
      <c r="D4928" s="677" t="s">
        <v>22</v>
      </c>
      <c r="E4928" s="738">
        <f t="shared" si="152"/>
        <v>32.770000000000003</v>
      </c>
      <c r="F4928">
        <f t="shared" si="153"/>
        <v>103990</v>
      </c>
      <c r="H4928" s="1405">
        <v>32.14</v>
      </c>
      <c r="I4928" s="1405">
        <v>32.770000000000003</v>
      </c>
    </row>
    <row r="4929" spans="2:9" ht="30">
      <c r="B4929" s="1477">
        <v>103991</v>
      </c>
      <c r="C4929" s="740" t="s">
        <v>6344</v>
      </c>
      <c r="D4929" s="739" t="s">
        <v>22</v>
      </c>
      <c r="E4929" s="741">
        <f t="shared" si="152"/>
        <v>17.29</v>
      </c>
      <c r="F4929">
        <f t="shared" si="153"/>
        <v>103991</v>
      </c>
      <c r="H4929" s="1406">
        <v>16.71</v>
      </c>
      <c r="I4929" s="1406">
        <v>17.29</v>
      </c>
    </row>
    <row r="4930" spans="2:9" ht="30">
      <c r="B4930" s="677">
        <v>103992</v>
      </c>
      <c r="C4930" s="733" t="s">
        <v>6345</v>
      </c>
      <c r="D4930" s="677" t="s">
        <v>22</v>
      </c>
      <c r="E4930" s="738">
        <f t="shared" si="152"/>
        <v>10.99</v>
      </c>
      <c r="F4930">
        <f t="shared" si="153"/>
        <v>103992</v>
      </c>
      <c r="H4930" s="1405">
        <v>10.41</v>
      </c>
      <c r="I4930" s="1405">
        <v>10.99</v>
      </c>
    </row>
    <row r="4931" spans="2:9" ht="30">
      <c r="B4931" s="1477">
        <v>103993</v>
      </c>
      <c r="C4931" s="740" t="s">
        <v>6346</v>
      </c>
      <c r="D4931" s="739" t="s">
        <v>22</v>
      </c>
      <c r="E4931" s="741">
        <f t="shared" ref="E4931:E4994" si="154">IF($K$2=$H$1,H4931,I4931)</f>
        <v>9.4700000000000006</v>
      </c>
      <c r="F4931">
        <f t="shared" ref="F4931:F4994" si="155">IF(LEN($B4931)=7,CONCATENATE(MID($B4931,1,6),"00",RIGHT($B4931,1)),IF(LEN($B4931)=8,CONCATENATE(MID($B4931,1,6),"0",RIGHT($B4931,2)),$B4931))</f>
        <v>103993</v>
      </c>
      <c r="H4931" s="1406">
        <v>8.89</v>
      </c>
      <c r="I4931" s="1406">
        <v>9.4700000000000006</v>
      </c>
    </row>
    <row r="4932" spans="2:9" ht="30">
      <c r="B4932" s="677">
        <v>103994</v>
      </c>
      <c r="C4932" s="733" t="s">
        <v>6347</v>
      </c>
      <c r="D4932" s="677" t="s">
        <v>22</v>
      </c>
      <c r="E4932" s="738">
        <f t="shared" si="154"/>
        <v>13.5</v>
      </c>
      <c r="F4932">
        <f t="shared" si="155"/>
        <v>103994</v>
      </c>
      <c r="H4932" s="1405">
        <v>12.94</v>
      </c>
      <c r="I4932" s="1405">
        <v>13.5</v>
      </c>
    </row>
    <row r="4933" spans="2:9">
      <c r="B4933" s="1477">
        <v>103995</v>
      </c>
      <c r="C4933" s="740" t="s">
        <v>6348</v>
      </c>
      <c r="D4933" s="739" t="s">
        <v>22</v>
      </c>
      <c r="E4933" s="741">
        <f t="shared" si="154"/>
        <v>14.55</v>
      </c>
      <c r="F4933">
        <f t="shared" si="155"/>
        <v>103995</v>
      </c>
      <c r="H4933" s="1406">
        <v>13.8</v>
      </c>
      <c r="I4933" s="1406">
        <v>14.55</v>
      </c>
    </row>
    <row r="4934" spans="2:9" ht="30">
      <c r="B4934" s="677">
        <v>103996</v>
      </c>
      <c r="C4934" s="733" t="s">
        <v>6349</v>
      </c>
      <c r="D4934" s="677" t="s">
        <v>22</v>
      </c>
      <c r="E4934" s="738">
        <f t="shared" si="154"/>
        <v>37.56</v>
      </c>
      <c r="F4934">
        <f t="shared" si="155"/>
        <v>103996</v>
      </c>
      <c r="H4934" s="1405">
        <v>36.81</v>
      </c>
      <c r="I4934" s="1405">
        <v>37.56</v>
      </c>
    </row>
    <row r="4935" spans="2:9">
      <c r="B4935" s="1477">
        <v>103997</v>
      </c>
      <c r="C4935" s="740" t="s">
        <v>6350</v>
      </c>
      <c r="D4935" s="739" t="s">
        <v>22</v>
      </c>
      <c r="E4935" s="741">
        <f t="shared" si="154"/>
        <v>36.68</v>
      </c>
      <c r="F4935">
        <f t="shared" si="155"/>
        <v>103997</v>
      </c>
      <c r="H4935" s="1406">
        <v>35.93</v>
      </c>
      <c r="I4935" s="1406">
        <v>36.68</v>
      </c>
    </row>
    <row r="4936" spans="2:9" ht="30">
      <c r="B4936" s="677">
        <v>103998</v>
      </c>
      <c r="C4936" s="733" t="s">
        <v>6351</v>
      </c>
      <c r="D4936" s="677" t="s">
        <v>22</v>
      </c>
      <c r="E4936" s="738">
        <f t="shared" si="154"/>
        <v>13.87</v>
      </c>
      <c r="F4936">
        <f t="shared" si="155"/>
        <v>103998</v>
      </c>
      <c r="H4936" s="1405">
        <v>13.27</v>
      </c>
      <c r="I4936" s="1405">
        <v>13.87</v>
      </c>
    </row>
    <row r="4937" spans="2:9" ht="30">
      <c r="B4937" s="1477">
        <v>103999</v>
      </c>
      <c r="C4937" s="740" t="s">
        <v>6352</v>
      </c>
      <c r="D4937" s="739" t="s">
        <v>22</v>
      </c>
      <c r="E4937" s="741">
        <f t="shared" si="154"/>
        <v>11.98</v>
      </c>
      <c r="F4937">
        <f t="shared" si="155"/>
        <v>103999</v>
      </c>
      <c r="H4937" s="1406">
        <v>11.38</v>
      </c>
      <c r="I4937" s="1406">
        <v>11.98</v>
      </c>
    </row>
    <row r="4938" spans="2:9" ht="30">
      <c r="B4938" s="677">
        <v>104000</v>
      </c>
      <c r="C4938" s="733" t="s">
        <v>6353</v>
      </c>
      <c r="D4938" s="677" t="s">
        <v>22</v>
      </c>
      <c r="E4938" s="738">
        <f t="shared" si="154"/>
        <v>26.37</v>
      </c>
      <c r="F4938">
        <f t="shared" si="155"/>
        <v>104000</v>
      </c>
      <c r="H4938" s="1405">
        <v>25.72</v>
      </c>
      <c r="I4938" s="1405">
        <v>26.37</v>
      </c>
    </row>
    <row r="4939" spans="2:9" ht="30">
      <c r="B4939" s="1477">
        <v>104001</v>
      </c>
      <c r="C4939" s="740" t="s">
        <v>6354</v>
      </c>
      <c r="D4939" s="739" t="s">
        <v>22</v>
      </c>
      <c r="E4939" s="741">
        <f t="shared" si="154"/>
        <v>13.23</v>
      </c>
      <c r="F4939">
        <f t="shared" si="155"/>
        <v>104001</v>
      </c>
      <c r="H4939" s="1406">
        <v>12.58</v>
      </c>
      <c r="I4939" s="1406">
        <v>13.23</v>
      </c>
    </row>
    <row r="4940" spans="2:9" ht="30">
      <c r="B4940" s="677">
        <v>104002</v>
      </c>
      <c r="C4940" s="733" t="s">
        <v>6355</v>
      </c>
      <c r="D4940" s="677" t="s">
        <v>22</v>
      </c>
      <c r="E4940" s="738">
        <f t="shared" si="154"/>
        <v>16.600000000000001</v>
      </c>
      <c r="F4940">
        <f t="shared" si="155"/>
        <v>104002</v>
      </c>
      <c r="H4940" s="1405">
        <v>15.96</v>
      </c>
      <c r="I4940" s="1405">
        <v>16.600000000000001</v>
      </c>
    </row>
    <row r="4941" spans="2:9" ht="30">
      <c r="B4941" s="1477">
        <v>104003</v>
      </c>
      <c r="C4941" s="740" t="s">
        <v>6356</v>
      </c>
      <c r="D4941" s="739" t="s">
        <v>22</v>
      </c>
      <c r="E4941" s="741">
        <f t="shared" si="154"/>
        <v>14.02</v>
      </c>
      <c r="F4941">
        <f t="shared" si="155"/>
        <v>104003</v>
      </c>
      <c r="H4941" s="1406">
        <v>13.38</v>
      </c>
      <c r="I4941" s="1406">
        <v>14.02</v>
      </c>
    </row>
    <row r="4942" spans="2:9">
      <c r="B4942" s="677">
        <v>104004</v>
      </c>
      <c r="C4942" s="733" t="s">
        <v>6357</v>
      </c>
      <c r="D4942" s="677" t="s">
        <v>22</v>
      </c>
      <c r="E4942" s="738">
        <f t="shared" si="154"/>
        <v>28.32</v>
      </c>
      <c r="F4942">
        <f t="shared" si="155"/>
        <v>104004</v>
      </c>
      <c r="H4942" s="1405">
        <v>26.83</v>
      </c>
      <c r="I4942" s="1405">
        <v>28.32</v>
      </c>
    </row>
    <row r="4943" spans="2:9" ht="30">
      <c r="B4943" s="1477">
        <v>104005</v>
      </c>
      <c r="C4943" s="740" t="s">
        <v>6358</v>
      </c>
      <c r="D4943" s="739" t="s">
        <v>22</v>
      </c>
      <c r="E4943" s="741">
        <f t="shared" si="154"/>
        <v>34.380000000000003</v>
      </c>
      <c r="F4943">
        <f t="shared" si="155"/>
        <v>104005</v>
      </c>
      <c r="H4943" s="1406">
        <v>33.01</v>
      </c>
      <c r="I4943" s="1406">
        <v>34.380000000000003</v>
      </c>
    </row>
    <row r="4944" spans="2:9" ht="30">
      <c r="B4944" s="677">
        <v>104006</v>
      </c>
      <c r="C4944" s="733" t="s">
        <v>6359</v>
      </c>
      <c r="D4944" s="677" t="s">
        <v>22</v>
      </c>
      <c r="E4944" s="738">
        <f t="shared" si="154"/>
        <v>23.88</v>
      </c>
      <c r="F4944">
        <f t="shared" si="155"/>
        <v>104006</v>
      </c>
      <c r="H4944" s="1405">
        <v>22.75</v>
      </c>
      <c r="I4944" s="1405">
        <v>23.88</v>
      </c>
    </row>
    <row r="4945" spans="2:9" ht="30">
      <c r="B4945" s="1477">
        <v>104007</v>
      </c>
      <c r="C4945" s="740" t="s">
        <v>6360</v>
      </c>
      <c r="D4945" s="739" t="s">
        <v>22</v>
      </c>
      <c r="E4945" s="741">
        <f t="shared" si="154"/>
        <v>20.93</v>
      </c>
      <c r="F4945">
        <f t="shared" si="155"/>
        <v>104007</v>
      </c>
      <c r="H4945" s="1406">
        <v>19.93</v>
      </c>
      <c r="I4945" s="1406">
        <v>20.93</v>
      </c>
    </row>
    <row r="4946" spans="2:9" ht="30">
      <c r="B4946" s="677">
        <v>104008</v>
      </c>
      <c r="C4946" s="733" t="s">
        <v>6361</v>
      </c>
      <c r="D4946" s="677" t="s">
        <v>22</v>
      </c>
      <c r="E4946" s="738">
        <f t="shared" si="154"/>
        <v>29.99</v>
      </c>
      <c r="F4946">
        <f t="shared" si="155"/>
        <v>104008</v>
      </c>
      <c r="H4946" s="1405">
        <v>28.72</v>
      </c>
      <c r="I4946" s="1405">
        <v>29.99</v>
      </c>
    </row>
    <row r="4947" spans="2:9" ht="30">
      <c r="B4947" s="1477">
        <v>104009</v>
      </c>
      <c r="C4947" s="740" t="s">
        <v>6362</v>
      </c>
      <c r="D4947" s="739" t="s">
        <v>22</v>
      </c>
      <c r="E4947" s="741">
        <f t="shared" si="154"/>
        <v>12.74</v>
      </c>
      <c r="F4947">
        <f t="shared" si="155"/>
        <v>104009</v>
      </c>
      <c r="H4947" s="1406">
        <v>12.06</v>
      </c>
      <c r="I4947" s="1406">
        <v>12.74</v>
      </c>
    </row>
    <row r="4948" spans="2:9">
      <c r="B4948" s="677">
        <v>104011</v>
      </c>
      <c r="C4948" s="733" t="s">
        <v>6363</v>
      </c>
      <c r="D4948" s="677" t="s">
        <v>22</v>
      </c>
      <c r="E4948" s="738">
        <f t="shared" si="154"/>
        <v>23.99</v>
      </c>
      <c r="F4948">
        <f t="shared" si="155"/>
        <v>104011</v>
      </c>
      <c r="H4948" s="1405">
        <v>22.74</v>
      </c>
      <c r="I4948" s="1405">
        <v>23.99</v>
      </c>
    </row>
    <row r="4949" spans="2:9" ht="30">
      <c r="B4949" s="1477">
        <v>104012</v>
      </c>
      <c r="C4949" s="740" t="s">
        <v>6364</v>
      </c>
      <c r="D4949" s="739" t="s">
        <v>22</v>
      </c>
      <c r="E4949" s="741">
        <f t="shared" si="154"/>
        <v>22.21</v>
      </c>
      <c r="F4949">
        <f t="shared" si="155"/>
        <v>104012</v>
      </c>
      <c r="H4949" s="1406">
        <v>21.06</v>
      </c>
      <c r="I4949" s="1406">
        <v>22.21</v>
      </c>
    </row>
    <row r="4950" spans="2:9" ht="30">
      <c r="B4950" s="677">
        <v>104014</v>
      </c>
      <c r="C4950" s="733" t="s">
        <v>6365</v>
      </c>
      <c r="D4950" s="677" t="s">
        <v>22</v>
      </c>
      <c r="E4950" s="738">
        <f t="shared" si="154"/>
        <v>10.3</v>
      </c>
      <c r="F4950">
        <f t="shared" si="155"/>
        <v>104014</v>
      </c>
      <c r="H4950" s="1405">
        <v>9.77</v>
      </c>
      <c r="I4950" s="1405">
        <v>10.3</v>
      </c>
    </row>
    <row r="4951" spans="2:9" ht="30">
      <c r="B4951" s="1477">
        <v>104015</v>
      </c>
      <c r="C4951" s="740" t="s">
        <v>6366</v>
      </c>
      <c r="D4951" s="739" t="s">
        <v>22</v>
      </c>
      <c r="E4951" s="741">
        <f t="shared" si="154"/>
        <v>16.53</v>
      </c>
      <c r="F4951">
        <f t="shared" si="155"/>
        <v>104015</v>
      </c>
      <c r="H4951" s="1406">
        <v>15.71</v>
      </c>
      <c r="I4951" s="1406">
        <v>16.53</v>
      </c>
    </row>
    <row r="4952" spans="2:9" ht="30">
      <c r="B4952" s="677">
        <v>104016</v>
      </c>
      <c r="C4952" s="733" t="s">
        <v>6367</v>
      </c>
      <c r="D4952" s="677" t="s">
        <v>22</v>
      </c>
      <c r="E4952" s="738">
        <f t="shared" si="154"/>
        <v>22.26</v>
      </c>
      <c r="F4952">
        <f t="shared" si="155"/>
        <v>104016</v>
      </c>
      <c r="H4952" s="1405">
        <v>21.27</v>
      </c>
      <c r="I4952" s="1405">
        <v>22.26</v>
      </c>
    </row>
    <row r="4953" spans="2:9" ht="30">
      <c r="B4953" s="1477">
        <v>104017</v>
      </c>
      <c r="C4953" s="740" t="s">
        <v>6368</v>
      </c>
      <c r="D4953" s="739" t="s">
        <v>22</v>
      </c>
      <c r="E4953" s="741">
        <f t="shared" si="154"/>
        <v>44.52</v>
      </c>
      <c r="F4953">
        <f t="shared" si="155"/>
        <v>104017</v>
      </c>
      <c r="H4953" s="1406">
        <v>43.35</v>
      </c>
      <c r="I4953" s="1406">
        <v>44.52</v>
      </c>
    </row>
    <row r="4954" spans="2:9" ht="30">
      <c r="B4954" s="677">
        <v>104018</v>
      </c>
      <c r="C4954" s="733" t="s">
        <v>8391</v>
      </c>
      <c r="D4954" s="677" t="s">
        <v>22</v>
      </c>
      <c r="E4954" s="738">
        <f t="shared" si="154"/>
        <v>21.26</v>
      </c>
      <c r="F4954">
        <f t="shared" si="155"/>
        <v>104018</v>
      </c>
      <c r="H4954" s="1405">
        <v>20.38</v>
      </c>
      <c r="I4954" s="1405">
        <v>21.26</v>
      </c>
    </row>
    <row r="4955" spans="2:9" ht="30">
      <c r="B4955" s="1477">
        <v>104019</v>
      </c>
      <c r="C4955" s="740" t="s">
        <v>6369</v>
      </c>
      <c r="D4955" s="739" t="s">
        <v>22</v>
      </c>
      <c r="E4955" s="741">
        <f t="shared" si="154"/>
        <v>43.36</v>
      </c>
      <c r="F4955">
        <f t="shared" si="155"/>
        <v>104019</v>
      </c>
      <c r="H4955" s="1406">
        <v>42.31</v>
      </c>
      <c r="I4955" s="1406">
        <v>43.36</v>
      </c>
    </row>
    <row r="4956" spans="2:9">
      <c r="B4956" s="677">
        <v>104020</v>
      </c>
      <c r="C4956" s="733" t="s">
        <v>6370</v>
      </c>
      <c r="D4956" s="677" t="s">
        <v>22</v>
      </c>
      <c r="E4956" s="738">
        <f t="shared" si="154"/>
        <v>54.69</v>
      </c>
      <c r="F4956">
        <f t="shared" si="155"/>
        <v>104020</v>
      </c>
      <c r="H4956" s="1405">
        <v>54.03</v>
      </c>
      <c r="I4956" s="1405">
        <v>54.69</v>
      </c>
    </row>
    <row r="4957" spans="2:9">
      <c r="B4957" s="1477">
        <v>104022</v>
      </c>
      <c r="C4957" s="740" t="s">
        <v>6371</v>
      </c>
      <c r="D4957" s="739" t="s">
        <v>22</v>
      </c>
      <c r="E4957" s="741">
        <f t="shared" si="154"/>
        <v>67.56</v>
      </c>
      <c r="F4957">
        <f t="shared" si="155"/>
        <v>104022</v>
      </c>
      <c r="H4957" s="1406">
        <v>66.260000000000005</v>
      </c>
      <c r="I4957" s="1406">
        <v>67.56</v>
      </c>
    </row>
    <row r="4958" spans="2:9" ht="30">
      <c r="B4958" s="677">
        <v>104023</v>
      </c>
      <c r="C4958" s="733" t="s">
        <v>6372</v>
      </c>
      <c r="D4958" s="677" t="s">
        <v>22</v>
      </c>
      <c r="E4958" s="738">
        <f t="shared" si="154"/>
        <v>40.01</v>
      </c>
      <c r="F4958">
        <f t="shared" si="155"/>
        <v>104023</v>
      </c>
      <c r="H4958" s="1405">
        <v>39.03</v>
      </c>
      <c r="I4958" s="1405">
        <v>40.01</v>
      </c>
    </row>
    <row r="4959" spans="2:9" ht="30">
      <c r="B4959" s="1477">
        <v>104024</v>
      </c>
      <c r="C4959" s="740" t="s">
        <v>6373</v>
      </c>
      <c r="D4959" s="739" t="s">
        <v>22</v>
      </c>
      <c r="E4959" s="741">
        <f t="shared" si="154"/>
        <v>39.630000000000003</v>
      </c>
      <c r="F4959">
        <f t="shared" si="155"/>
        <v>104024</v>
      </c>
      <c r="H4959" s="1406">
        <v>38.65</v>
      </c>
      <c r="I4959" s="1406">
        <v>39.630000000000003</v>
      </c>
    </row>
    <row r="4960" spans="2:9">
      <c r="B4960" s="677">
        <v>104025</v>
      </c>
      <c r="C4960" s="733" t="s">
        <v>6374</v>
      </c>
      <c r="D4960" s="677" t="s">
        <v>22</v>
      </c>
      <c r="E4960" s="738">
        <f t="shared" si="154"/>
        <v>28.18</v>
      </c>
      <c r="F4960">
        <f t="shared" si="155"/>
        <v>104025</v>
      </c>
      <c r="H4960" s="1405">
        <v>27.53</v>
      </c>
      <c r="I4960" s="1405">
        <v>28.18</v>
      </c>
    </row>
    <row r="4961" spans="2:9" ht="30">
      <c r="B4961" s="1477">
        <v>104026</v>
      </c>
      <c r="C4961" s="740" t="s">
        <v>6375</v>
      </c>
      <c r="D4961" s="739" t="s">
        <v>22</v>
      </c>
      <c r="E4961" s="741">
        <f t="shared" si="154"/>
        <v>40.799999999999997</v>
      </c>
      <c r="F4961">
        <f t="shared" si="155"/>
        <v>104026</v>
      </c>
      <c r="H4961" s="1406">
        <v>40.15</v>
      </c>
      <c r="I4961" s="1406">
        <v>40.799999999999997</v>
      </c>
    </row>
    <row r="4962" spans="2:9">
      <c r="B4962" s="677">
        <v>104027</v>
      </c>
      <c r="C4962" s="733" t="s">
        <v>6376</v>
      </c>
      <c r="D4962" s="677" t="s">
        <v>22</v>
      </c>
      <c r="E4962" s="738">
        <f t="shared" si="154"/>
        <v>61.37</v>
      </c>
      <c r="F4962">
        <f t="shared" si="155"/>
        <v>104027</v>
      </c>
      <c r="H4962" s="1405">
        <v>60.72</v>
      </c>
      <c r="I4962" s="1405">
        <v>61.37</v>
      </c>
    </row>
    <row r="4963" spans="2:9" ht="30">
      <c r="B4963" s="1477">
        <v>104028</v>
      </c>
      <c r="C4963" s="740" t="s">
        <v>6377</v>
      </c>
      <c r="D4963" s="739" t="s">
        <v>22</v>
      </c>
      <c r="E4963" s="741">
        <f t="shared" si="154"/>
        <v>124.26</v>
      </c>
      <c r="F4963">
        <f t="shared" si="155"/>
        <v>104028</v>
      </c>
      <c r="H4963" s="1406">
        <v>123.65</v>
      </c>
      <c r="I4963" s="1406">
        <v>124.26</v>
      </c>
    </row>
    <row r="4964" spans="2:9" ht="30">
      <c r="B4964" s="677">
        <v>104029</v>
      </c>
      <c r="C4964" s="733" t="s">
        <v>6378</v>
      </c>
      <c r="D4964" s="677" t="s">
        <v>22</v>
      </c>
      <c r="E4964" s="738">
        <f t="shared" si="154"/>
        <v>65.099999999999994</v>
      </c>
      <c r="F4964">
        <f t="shared" si="155"/>
        <v>104029</v>
      </c>
      <c r="H4964" s="1405">
        <v>64.489999999999995</v>
      </c>
      <c r="I4964" s="1405">
        <v>65.099999999999994</v>
      </c>
    </row>
    <row r="4965" spans="2:9" ht="30">
      <c r="B4965" s="1477">
        <v>104030</v>
      </c>
      <c r="C4965" s="740" t="s">
        <v>6379</v>
      </c>
      <c r="D4965" s="739" t="s">
        <v>22</v>
      </c>
      <c r="E4965" s="741">
        <f t="shared" si="154"/>
        <v>59.96</v>
      </c>
      <c r="F4965">
        <f t="shared" si="155"/>
        <v>104030</v>
      </c>
      <c r="H4965" s="1406">
        <v>58.74</v>
      </c>
      <c r="I4965" s="1406">
        <v>59.96</v>
      </c>
    </row>
    <row r="4966" spans="2:9" ht="30">
      <c r="B4966" s="677">
        <v>104159</v>
      </c>
      <c r="C4966" s="733" t="s">
        <v>7112</v>
      </c>
      <c r="D4966" s="677" t="s">
        <v>22</v>
      </c>
      <c r="E4966" s="738">
        <f t="shared" si="154"/>
        <v>35.1</v>
      </c>
      <c r="F4966">
        <f t="shared" si="155"/>
        <v>104159</v>
      </c>
      <c r="H4966" s="1405">
        <v>34.47</v>
      </c>
      <c r="I4966" s="1405">
        <v>35.1</v>
      </c>
    </row>
    <row r="4967" spans="2:9" ht="30">
      <c r="B4967" s="1477">
        <v>104167</v>
      </c>
      <c r="C4967" s="740" t="s">
        <v>6380</v>
      </c>
      <c r="D4967" s="739" t="s">
        <v>22</v>
      </c>
      <c r="E4967" s="741">
        <f t="shared" si="154"/>
        <v>117.54</v>
      </c>
      <c r="F4967">
        <f t="shared" si="155"/>
        <v>104167</v>
      </c>
      <c r="H4967" s="1406">
        <v>116.27</v>
      </c>
      <c r="I4967" s="1406">
        <v>117.54</v>
      </c>
    </row>
    <row r="4968" spans="2:9" ht="30">
      <c r="B4968" s="677">
        <v>104168</v>
      </c>
      <c r="C4968" s="733" t="s">
        <v>6381</v>
      </c>
      <c r="D4968" s="677" t="s">
        <v>22</v>
      </c>
      <c r="E4968" s="738">
        <f t="shared" si="154"/>
        <v>114.5</v>
      </c>
      <c r="F4968">
        <f t="shared" si="155"/>
        <v>104168</v>
      </c>
      <c r="H4968" s="1405">
        <v>113.23</v>
      </c>
      <c r="I4968" s="1405">
        <v>114.5</v>
      </c>
    </row>
    <row r="4969" spans="2:9" ht="30">
      <c r="B4969" s="1477">
        <v>104169</v>
      </c>
      <c r="C4969" s="740" t="s">
        <v>6382</v>
      </c>
      <c r="D4969" s="739" t="s">
        <v>22</v>
      </c>
      <c r="E4969" s="741">
        <f t="shared" si="154"/>
        <v>141.16</v>
      </c>
      <c r="F4969">
        <f t="shared" si="155"/>
        <v>104169</v>
      </c>
      <c r="H4969" s="1406">
        <v>139.88999999999999</v>
      </c>
      <c r="I4969" s="1406">
        <v>141.16</v>
      </c>
    </row>
    <row r="4970" spans="2:9" ht="30">
      <c r="B4970" s="677">
        <v>104170</v>
      </c>
      <c r="C4970" s="733" t="s">
        <v>6383</v>
      </c>
      <c r="D4970" s="677" t="s">
        <v>22</v>
      </c>
      <c r="E4970" s="738">
        <f t="shared" si="154"/>
        <v>68.05</v>
      </c>
      <c r="F4970">
        <f t="shared" si="155"/>
        <v>104170</v>
      </c>
      <c r="H4970" s="1405">
        <v>67.2</v>
      </c>
      <c r="I4970" s="1405">
        <v>68.05</v>
      </c>
    </row>
    <row r="4971" spans="2:9" ht="30">
      <c r="B4971" s="1477">
        <v>104171</v>
      </c>
      <c r="C4971" s="740" t="s">
        <v>6384</v>
      </c>
      <c r="D4971" s="739" t="s">
        <v>22</v>
      </c>
      <c r="E4971" s="741">
        <f t="shared" si="154"/>
        <v>91.39</v>
      </c>
      <c r="F4971">
        <f t="shared" si="155"/>
        <v>104171</v>
      </c>
      <c r="H4971" s="1406">
        <v>90.54</v>
      </c>
      <c r="I4971" s="1406">
        <v>91.39</v>
      </c>
    </row>
    <row r="4972" spans="2:9" ht="30">
      <c r="B4972" s="677">
        <v>104172</v>
      </c>
      <c r="C4972" s="733" t="s">
        <v>6385</v>
      </c>
      <c r="D4972" s="677" t="s">
        <v>22</v>
      </c>
      <c r="E4972" s="738">
        <f t="shared" si="154"/>
        <v>260.82</v>
      </c>
      <c r="F4972">
        <f t="shared" si="155"/>
        <v>104172</v>
      </c>
      <c r="H4972" s="1405">
        <v>259.97000000000003</v>
      </c>
      <c r="I4972" s="1405">
        <v>260.82</v>
      </c>
    </row>
    <row r="4973" spans="2:9" ht="30">
      <c r="B4973" s="1477">
        <v>104173</v>
      </c>
      <c r="C4973" s="740" t="s">
        <v>6386</v>
      </c>
      <c r="D4973" s="739" t="s">
        <v>22</v>
      </c>
      <c r="E4973" s="741">
        <f t="shared" si="154"/>
        <v>81.42</v>
      </c>
      <c r="F4973">
        <f t="shared" si="155"/>
        <v>104173</v>
      </c>
      <c r="H4973" s="1406">
        <v>80.69</v>
      </c>
      <c r="I4973" s="1406">
        <v>81.42</v>
      </c>
    </row>
    <row r="4974" spans="2:9" ht="30">
      <c r="B4974" s="677">
        <v>104174</v>
      </c>
      <c r="C4974" s="733" t="s">
        <v>6387</v>
      </c>
      <c r="D4974" s="677" t="s">
        <v>22</v>
      </c>
      <c r="E4974" s="738">
        <f t="shared" si="154"/>
        <v>180.47</v>
      </c>
      <c r="F4974">
        <f t="shared" si="155"/>
        <v>104174</v>
      </c>
      <c r="H4974" s="1405">
        <v>178.91</v>
      </c>
      <c r="I4974" s="1405">
        <v>180.47</v>
      </c>
    </row>
    <row r="4975" spans="2:9" ht="30">
      <c r="B4975" s="1477">
        <v>104175</v>
      </c>
      <c r="C4975" s="740" t="s">
        <v>6388</v>
      </c>
      <c r="D4975" s="739" t="s">
        <v>22</v>
      </c>
      <c r="E4975" s="741">
        <f t="shared" si="154"/>
        <v>134.91999999999999</v>
      </c>
      <c r="F4975">
        <f t="shared" si="155"/>
        <v>104175</v>
      </c>
      <c r="H4975" s="1406">
        <v>133.36000000000001</v>
      </c>
      <c r="I4975" s="1406">
        <v>134.91999999999999</v>
      </c>
    </row>
    <row r="4976" spans="2:9" ht="30">
      <c r="B4976" s="677">
        <v>104176</v>
      </c>
      <c r="C4976" s="733" t="s">
        <v>6389</v>
      </c>
      <c r="D4976" s="677" t="s">
        <v>22</v>
      </c>
      <c r="E4976" s="738">
        <f t="shared" si="154"/>
        <v>239.23</v>
      </c>
      <c r="F4976">
        <f t="shared" si="155"/>
        <v>104176</v>
      </c>
      <c r="H4976" s="1405">
        <v>237.53</v>
      </c>
      <c r="I4976" s="1405">
        <v>239.23</v>
      </c>
    </row>
    <row r="4977" spans="2:9" ht="30">
      <c r="B4977" s="1477">
        <v>104177</v>
      </c>
      <c r="C4977" s="740" t="s">
        <v>6390</v>
      </c>
      <c r="D4977" s="739" t="s">
        <v>22</v>
      </c>
      <c r="E4977" s="741">
        <f t="shared" si="154"/>
        <v>174.62</v>
      </c>
      <c r="F4977">
        <f t="shared" si="155"/>
        <v>104177</v>
      </c>
      <c r="H4977" s="1406">
        <v>172.92</v>
      </c>
      <c r="I4977" s="1406">
        <v>174.62</v>
      </c>
    </row>
    <row r="4978" spans="2:9" ht="30">
      <c r="B4978" s="677">
        <v>104178</v>
      </c>
      <c r="C4978" s="733" t="s">
        <v>6391</v>
      </c>
      <c r="D4978" s="677" t="s">
        <v>22</v>
      </c>
      <c r="E4978" s="738">
        <f t="shared" si="154"/>
        <v>20.92</v>
      </c>
      <c r="F4978">
        <f t="shared" si="155"/>
        <v>104178</v>
      </c>
      <c r="H4978" s="1405">
        <v>20.61</v>
      </c>
      <c r="I4978" s="1405">
        <v>20.92</v>
      </c>
    </row>
    <row r="4979" spans="2:9" ht="30">
      <c r="B4979" s="1477">
        <v>104179</v>
      </c>
      <c r="C4979" s="740" t="s">
        <v>6392</v>
      </c>
      <c r="D4979" s="739" t="s">
        <v>22</v>
      </c>
      <c r="E4979" s="741">
        <f t="shared" si="154"/>
        <v>79.430000000000007</v>
      </c>
      <c r="F4979">
        <f t="shared" si="155"/>
        <v>104179</v>
      </c>
      <c r="H4979" s="1406">
        <v>79</v>
      </c>
      <c r="I4979" s="1406">
        <v>79.430000000000007</v>
      </c>
    </row>
    <row r="4980" spans="2:9" ht="30">
      <c r="B4980" s="677">
        <v>104191</v>
      </c>
      <c r="C4980" s="733" t="s">
        <v>6658</v>
      </c>
      <c r="D4980" s="677" t="s">
        <v>22</v>
      </c>
      <c r="E4980" s="738">
        <f t="shared" si="154"/>
        <v>9.5299999999999994</v>
      </c>
      <c r="F4980">
        <f t="shared" si="155"/>
        <v>104191</v>
      </c>
      <c r="H4980" s="1405">
        <v>8.93</v>
      </c>
      <c r="I4980" s="1405">
        <v>9.5299999999999994</v>
      </c>
    </row>
    <row r="4981" spans="2:9" ht="30">
      <c r="B4981" s="1477">
        <v>104192</v>
      </c>
      <c r="C4981" s="740" t="s">
        <v>6659</v>
      </c>
      <c r="D4981" s="739" t="s">
        <v>22</v>
      </c>
      <c r="E4981" s="741">
        <f t="shared" si="154"/>
        <v>26.54</v>
      </c>
      <c r="F4981">
        <f t="shared" si="155"/>
        <v>104192</v>
      </c>
      <c r="H4981" s="1406">
        <v>25.35</v>
      </c>
      <c r="I4981" s="1406">
        <v>26.54</v>
      </c>
    </row>
    <row r="4982" spans="2:9">
      <c r="B4982" s="677">
        <v>104193</v>
      </c>
      <c r="C4982" s="733" t="s">
        <v>6660</v>
      </c>
      <c r="D4982" s="677" t="s">
        <v>22</v>
      </c>
      <c r="E4982" s="738">
        <f t="shared" si="154"/>
        <v>152.85</v>
      </c>
      <c r="F4982">
        <f t="shared" si="155"/>
        <v>104193</v>
      </c>
      <c r="H4982" s="1405">
        <v>150.29</v>
      </c>
      <c r="I4982" s="1405">
        <v>152.85</v>
      </c>
    </row>
    <row r="4983" spans="2:9">
      <c r="B4983" s="1477">
        <v>104196</v>
      </c>
      <c r="C4983" s="740" t="s">
        <v>6661</v>
      </c>
      <c r="D4983" s="739" t="s">
        <v>22</v>
      </c>
      <c r="E4983" s="741">
        <f t="shared" si="154"/>
        <v>14.59</v>
      </c>
      <c r="F4983">
        <f t="shared" si="155"/>
        <v>104196</v>
      </c>
      <c r="H4983" s="1406">
        <v>14.06</v>
      </c>
      <c r="I4983" s="1406">
        <v>14.59</v>
      </c>
    </row>
    <row r="4984" spans="2:9">
      <c r="B4984" s="677">
        <v>104197</v>
      </c>
      <c r="C4984" s="733" t="s">
        <v>6662</v>
      </c>
      <c r="D4984" s="677" t="s">
        <v>22</v>
      </c>
      <c r="E4984" s="738">
        <f t="shared" si="154"/>
        <v>27.46</v>
      </c>
      <c r="F4984">
        <f t="shared" si="155"/>
        <v>104197</v>
      </c>
      <c r="H4984" s="1405">
        <v>26.19</v>
      </c>
      <c r="I4984" s="1405">
        <v>27.46</v>
      </c>
    </row>
    <row r="4985" spans="2:9">
      <c r="B4985" s="1477">
        <v>104198</v>
      </c>
      <c r="C4985" s="740" t="s">
        <v>6663</v>
      </c>
      <c r="D4985" s="739" t="s">
        <v>22</v>
      </c>
      <c r="E4985" s="741">
        <f t="shared" si="154"/>
        <v>7.09</v>
      </c>
      <c r="F4985">
        <f t="shared" si="155"/>
        <v>104198</v>
      </c>
      <c r="H4985" s="1406">
        <v>6.56</v>
      </c>
      <c r="I4985" s="1406">
        <v>7.09</v>
      </c>
    </row>
    <row r="4986" spans="2:9">
      <c r="B4986" s="677">
        <v>104199</v>
      </c>
      <c r="C4986" s="733" t="s">
        <v>6664</v>
      </c>
      <c r="D4986" s="677" t="s">
        <v>22</v>
      </c>
      <c r="E4986" s="738">
        <f t="shared" si="154"/>
        <v>6.87</v>
      </c>
      <c r="F4986">
        <f t="shared" si="155"/>
        <v>104199</v>
      </c>
      <c r="H4986" s="1405">
        <v>6.34</v>
      </c>
      <c r="I4986" s="1405">
        <v>6.87</v>
      </c>
    </row>
    <row r="4987" spans="2:9">
      <c r="B4987" s="1477">
        <v>104200</v>
      </c>
      <c r="C4987" s="740" t="s">
        <v>6665</v>
      </c>
      <c r="D4987" s="739" t="s">
        <v>22</v>
      </c>
      <c r="E4987" s="741">
        <f t="shared" si="154"/>
        <v>5.61</v>
      </c>
      <c r="F4987">
        <f t="shared" si="155"/>
        <v>104200</v>
      </c>
      <c r="H4987" s="1406">
        <v>5.25</v>
      </c>
      <c r="I4987" s="1406">
        <v>5.61</v>
      </c>
    </row>
    <row r="4988" spans="2:9" ht="30">
      <c r="B4988" s="677">
        <v>104201</v>
      </c>
      <c r="C4988" s="733" t="s">
        <v>6666</v>
      </c>
      <c r="D4988" s="677" t="s">
        <v>22</v>
      </c>
      <c r="E4988" s="738">
        <f t="shared" si="154"/>
        <v>18.02</v>
      </c>
      <c r="F4988">
        <f t="shared" si="155"/>
        <v>104201</v>
      </c>
      <c r="H4988" s="1405">
        <v>17.3</v>
      </c>
      <c r="I4988" s="1405">
        <v>18.02</v>
      </c>
    </row>
    <row r="4989" spans="2:9" ht="30">
      <c r="B4989" s="1477">
        <v>104202</v>
      </c>
      <c r="C4989" s="740" t="s">
        <v>6667</v>
      </c>
      <c r="D4989" s="739" t="s">
        <v>22</v>
      </c>
      <c r="E4989" s="741">
        <f t="shared" si="154"/>
        <v>10.18</v>
      </c>
      <c r="F4989">
        <f t="shared" si="155"/>
        <v>104202</v>
      </c>
      <c r="H4989" s="1406">
        <v>9.4600000000000009</v>
      </c>
      <c r="I4989" s="1406">
        <v>10.18</v>
      </c>
    </row>
    <row r="4990" spans="2:9" ht="30">
      <c r="B4990" s="677">
        <v>104317</v>
      </c>
      <c r="C4990" s="733" t="s">
        <v>6668</v>
      </c>
      <c r="D4990" s="677" t="s">
        <v>22</v>
      </c>
      <c r="E4990" s="738">
        <f t="shared" si="154"/>
        <v>6.41</v>
      </c>
      <c r="F4990">
        <f t="shared" si="155"/>
        <v>104317</v>
      </c>
      <c r="H4990" s="1405">
        <v>5.9</v>
      </c>
      <c r="I4990" s="1405">
        <v>6.41</v>
      </c>
    </row>
    <row r="4991" spans="2:9" ht="30">
      <c r="B4991" s="1477">
        <v>104318</v>
      </c>
      <c r="C4991" s="740" t="s">
        <v>6669</v>
      </c>
      <c r="D4991" s="739" t="s">
        <v>22</v>
      </c>
      <c r="E4991" s="741">
        <f t="shared" si="154"/>
        <v>6.93</v>
      </c>
      <c r="F4991">
        <f t="shared" si="155"/>
        <v>104318</v>
      </c>
      <c r="H4991" s="1406">
        <v>6.42</v>
      </c>
      <c r="I4991" s="1406">
        <v>6.93</v>
      </c>
    </row>
    <row r="4992" spans="2:9" ht="30">
      <c r="B4992" s="677">
        <v>104319</v>
      </c>
      <c r="C4992" s="733" t="s">
        <v>6670</v>
      </c>
      <c r="D4992" s="677" t="s">
        <v>22</v>
      </c>
      <c r="E4992" s="738">
        <f t="shared" si="154"/>
        <v>9.4700000000000006</v>
      </c>
      <c r="F4992">
        <f t="shared" si="155"/>
        <v>104319</v>
      </c>
      <c r="H4992" s="1405">
        <v>8.89</v>
      </c>
      <c r="I4992" s="1405">
        <v>9.4700000000000006</v>
      </c>
    </row>
    <row r="4993" spans="2:9" ht="30">
      <c r="B4993" s="1477">
        <v>104320</v>
      </c>
      <c r="C4993" s="740" t="s">
        <v>6671</v>
      </c>
      <c r="D4993" s="739" t="s">
        <v>22</v>
      </c>
      <c r="E4993" s="741">
        <f t="shared" si="154"/>
        <v>11.11</v>
      </c>
      <c r="F4993">
        <f t="shared" si="155"/>
        <v>104320</v>
      </c>
      <c r="H4993" s="1406">
        <v>10.53</v>
      </c>
      <c r="I4993" s="1406">
        <v>11.11</v>
      </c>
    </row>
    <row r="4994" spans="2:9">
      <c r="B4994" s="677">
        <v>104321</v>
      </c>
      <c r="C4994" s="733" t="s">
        <v>6672</v>
      </c>
      <c r="D4994" s="677" t="s">
        <v>22</v>
      </c>
      <c r="E4994" s="738">
        <f t="shared" si="154"/>
        <v>4.96</v>
      </c>
      <c r="F4994">
        <f t="shared" si="155"/>
        <v>104321</v>
      </c>
      <c r="H4994" s="1405">
        <v>4.6100000000000003</v>
      </c>
      <c r="I4994" s="1405">
        <v>4.96</v>
      </c>
    </row>
    <row r="4995" spans="2:9">
      <c r="B4995" s="1477">
        <v>104322</v>
      </c>
      <c r="C4995" s="740" t="s">
        <v>6673</v>
      </c>
      <c r="D4995" s="739" t="s">
        <v>22</v>
      </c>
      <c r="E4995" s="741">
        <f t="shared" ref="E4995:E5058" si="156">IF($K$2=$H$1,H4995,I4995)</f>
        <v>7.23</v>
      </c>
      <c r="F4995">
        <f t="shared" ref="F4995:F5058" si="157">IF(LEN($B4995)=7,CONCATENATE(MID($B4995,1,6),"00",RIGHT($B4995,1)),IF(LEN($B4995)=8,CONCATENATE(MID($B4995,1,6),"0",RIGHT($B4995,2)),$B4995))</f>
        <v>104322</v>
      </c>
      <c r="H4995" s="1406">
        <v>6.85</v>
      </c>
      <c r="I4995" s="1406">
        <v>7.23</v>
      </c>
    </row>
    <row r="4996" spans="2:9">
      <c r="B4996" s="677">
        <v>104323</v>
      </c>
      <c r="C4996" s="733" t="s">
        <v>6674</v>
      </c>
      <c r="D4996" s="677" t="s">
        <v>22</v>
      </c>
      <c r="E4996" s="738">
        <f t="shared" si="156"/>
        <v>8.98</v>
      </c>
      <c r="F4996">
        <f t="shared" si="157"/>
        <v>104323</v>
      </c>
      <c r="H4996" s="1405">
        <v>8.3000000000000007</v>
      </c>
      <c r="I4996" s="1405">
        <v>8.98</v>
      </c>
    </row>
    <row r="4997" spans="2:9">
      <c r="B4997" s="1477">
        <v>104324</v>
      </c>
      <c r="C4997" s="740" t="s">
        <v>6675</v>
      </c>
      <c r="D4997" s="739" t="s">
        <v>22</v>
      </c>
      <c r="E4997" s="741">
        <f t="shared" si="156"/>
        <v>13.43</v>
      </c>
      <c r="F4997">
        <f t="shared" si="157"/>
        <v>104324</v>
      </c>
      <c r="H4997" s="1406">
        <v>12.67</v>
      </c>
      <c r="I4997" s="1406">
        <v>13.43</v>
      </c>
    </row>
    <row r="4998" spans="2:9" ht="30">
      <c r="B4998" s="677">
        <v>104341</v>
      </c>
      <c r="C4998" s="733" t="s">
        <v>6676</v>
      </c>
      <c r="D4998" s="677" t="s">
        <v>22</v>
      </c>
      <c r="E4998" s="738">
        <f t="shared" si="156"/>
        <v>10.66</v>
      </c>
      <c r="F4998">
        <f t="shared" si="157"/>
        <v>104341</v>
      </c>
      <c r="H4998" s="1405">
        <v>10.23</v>
      </c>
      <c r="I4998" s="1405">
        <v>10.66</v>
      </c>
    </row>
    <row r="4999" spans="2:9" ht="30">
      <c r="B4999" s="1477">
        <v>104343</v>
      </c>
      <c r="C4999" s="740" t="s">
        <v>6677</v>
      </c>
      <c r="D4999" s="739" t="s">
        <v>22</v>
      </c>
      <c r="E4999" s="741">
        <f t="shared" si="156"/>
        <v>32.97</v>
      </c>
      <c r="F4999">
        <f t="shared" si="157"/>
        <v>104343</v>
      </c>
      <c r="H4999" s="1406">
        <v>31.96</v>
      </c>
      <c r="I4999" s="1406">
        <v>32.97</v>
      </c>
    </row>
    <row r="5000" spans="2:9" ht="30">
      <c r="B5000" s="677">
        <v>104344</v>
      </c>
      <c r="C5000" s="733" t="s">
        <v>6678</v>
      </c>
      <c r="D5000" s="677" t="s">
        <v>22</v>
      </c>
      <c r="E5000" s="738">
        <f t="shared" si="156"/>
        <v>39.700000000000003</v>
      </c>
      <c r="F5000">
        <f t="shared" si="157"/>
        <v>104344</v>
      </c>
      <c r="H5000" s="1405">
        <v>38.56</v>
      </c>
      <c r="I5000" s="1405">
        <v>39.700000000000003</v>
      </c>
    </row>
    <row r="5001" spans="2:9" ht="30">
      <c r="B5001" s="1477">
        <v>104345</v>
      </c>
      <c r="C5001" s="740" t="s">
        <v>6679</v>
      </c>
      <c r="D5001" s="739" t="s">
        <v>22</v>
      </c>
      <c r="E5001" s="741">
        <f t="shared" si="156"/>
        <v>41.7</v>
      </c>
      <c r="F5001">
        <f t="shared" si="157"/>
        <v>104345</v>
      </c>
      <c r="H5001" s="1406">
        <v>40.56</v>
      </c>
      <c r="I5001" s="1406">
        <v>41.7</v>
      </c>
    </row>
    <row r="5002" spans="2:9" ht="30">
      <c r="B5002" s="677">
        <v>104346</v>
      </c>
      <c r="C5002" s="733" t="s">
        <v>6680</v>
      </c>
      <c r="D5002" s="677" t="s">
        <v>22</v>
      </c>
      <c r="E5002" s="738">
        <f t="shared" si="156"/>
        <v>43.92</v>
      </c>
      <c r="F5002">
        <f t="shared" si="157"/>
        <v>104346</v>
      </c>
      <c r="H5002" s="1405">
        <v>42.73</v>
      </c>
      <c r="I5002" s="1405">
        <v>43.92</v>
      </c>
    </row>
    <row r="5003" spans="2:9" ht="30">
      <c r="B5003" s="1477">
        <v>104347</v>
      </c>
      <c r="C5003" s="740" t="s">
        <v>6681</v>
      </c>
      <c r="D5003" s="739" t="s">
        <v>22</v>
      </c>
      <c r="E5003" s="741">
        <f t="shared" si="156"/>
        <v>46.5</v>
      </c>
      <c r="F5003">
        <f t="shared" si="157"/>
        <v>104347</v>
      </c>
      <c r="H5003" s="1406">
        <v>45.31</v>
      </c>
      <c r="I5003" s="1406">
        <v>46.5</v>
      </c>
    </row>
    <row r="5004" spans="2:9" ht="30">
      <c r="B5004" s="677">
        <v>104348</v>
      </c>
      <c r="C5004" s="733" t="s">
        <v>6682</v>
      </c>
      <c r="D5004" s="677" t="s">
        <v>22</v>
      </c>
      <c r="E5004" s="738">
        <f t="shared" si="156"/>
        <v>10.87</v>
      </c>
      <c r="F5004">
        <f t="shared" si="157"/>
        <v>104348</v>
      </c>
      <c r="H5004" s="1405">
        <v>10.81</v>
      </c>
      <c r="I5004" s="1405">
        <v>10.87</v>
      </c>
    </row>
    <row r="5005" spans="2:9" ht="30">
      <c r="B5005" s="1477">
        <v>104350</v>
      </c>
      <c r="C5005" s="740" t="s">
        <v>6683</v>
      </c>
      <c r="D5005" s="739" t="s">
        <v>22</v>
      </c>
      <c r="E5005" s="741">
        <f t="shared" si="156"/>
        <v>29.2</v>
      </c>
      <c r="F5005">
        <f t="shared" si="157"/>
        <v>104350</v>
      </c>
      <c r="H5005" s="1406">
        <v>28.58</v>
      </c>
      <c r="I5005" s="1406">
        <v>29.2</v>
      </c>
    </row>
    <row r="5006" spans="2:9" ht="30">
      <c r="B5006" s="677">
        <v>104351</v>
      </c>
      <c r="C5006" s="733" t="s">
        <v>6684</v>
      </c>
      <c r="D5006" s="677" t="s">
        <v>22</v>
      </c>
      <c r="E5006" s="738">
        <f t="shared" si="156"/>
        <v>22.52</v>
      </c>
      <c r="F5006">
        <f t="shared" si="157"/>
        <v>104351</v>
      </c>
      <c r="H5006" s="1405">
        <v>22.31</v>
      </c>
      <c r="I5006" s="1405">
        <v>22.52</v>
      </c>
    </row>
    <row r="5007" spans="2:9" ht="30">
      <c r="B5007" s="1477">
        <v>104352</v>
      </c>
      <c r="C5007" s="740" t="s">
        <v>6685</v>
      </c>
      <c r="D5007" s="739" t="s">
        <v>22</v>
      </c>
      <c r="E5007" s="741">
        <f t="shared" si="156"/>
        <v>38.57</v>
      </c>
      <c r="F5007">
        <f t="shared" si="157"/>
        <v>104352</v>
      </c>
      <c r="H5007" s="1406">
        <v>37.549999999999997</v>
      </c>
      <c r="I5007" s="1406">
        <v>38.57</v>
      </c>
    </row>
    <row r="5008" spans="2:9" ht="30">
      <c r="B5008" s="677">
        <v>104353</v>
      </c>
      <c r="C5008" s="733" t="s">
        <v>6686</v>
      </c>
      <c r="D5008" s="677" t="s">
        <v>22</v>
      </c>
      <c r="E5008" s="738">
        <f t="shared" si="156"/>
        <v>40.57</v>
      </c>
      <c r="F5008">
        <f t="shared" si="157"/>
        <v>104353</v>
      </c>
      <c r="H5008" s="1405">
        <v>39.549999999999997</v>
      </c>
      <c r="I5008" s="1405">
        <v>40.57</v>
      </c>
    </row>
    <row r="5009" spans="2:9" ht="30">
      <c r="B5009" s="1477">
        <v>104354</v>
      </c>
      <c r="C5009" s="740" t="s">
        <v>6687</v>
      </c>
      <c r="D5009" s="739" t="s">
        <v>22</v>
      </c>
      <c r="E5009" s="741">
        <f t="shared" si="156"/>
        <v>44.12</v>
      </c>
      <c r="F5009">
        <f t="shared" si="157"/>
        <v>104354</v>
      </c>
      <c r="H5009" s="1406">
        <v>42.91</v>
      </c>
      <c r="I5009" s="1406">
        <v>44.12</v>
      </c>
    </row>
    <row r="5010" spans="2:9" ht="30">
      <c r="B5010" s="677">
        <v>104355</v>
      </c>
      <c r="C5010" s="733" t="s">
        <v>6688</v>
      </c>
      <c r="D5010" s="677" t="s">
        <v>22</v>
      </c>
      <c r="E5010" s="738">
        <f t="shared" si="156"/>
        <v>46.7</v>
      </c>
      <c r="F5010">
        <f t="shared" si="157"/>
        <v>104355</v>
      </c>
      <c r="H5010" s="1405">
        <v>45.49</v>
      </c>
      <c r="I5010" s="1405">
        <v>46.7</v>
      </c>
    </row>
    <row r="5011" spans="2:9" ht="30">
      <c r="B5011" s="1477">
        <v>104356</v>
      </c>
      <c r="C5011" s="740" t="s">
        <v>6689</v>
      </c>
      <c r="D5011" s="739" t="s">
        <v>22</v>
      </c>
      <c r="E5011" s="741">
        <f t="shared" si="156"/>
        <v>29.92</v>
      </c>
      <c r="F5011">
        <f t="shared" si="157"/>
        <v>104356</v>
      </c>
      <c r="H5011" s="1406">
        <v>29.58</v>
      </c>
      <c r="I5011" s="1406">
        <v>29.92</v>
      </c>
    </row>
    <row r="5012" spans="2:9" ht="30">
      <c r="B5012" s="677">
        <v>104357</v>
      </c>
      <c r="C5012" s="733" t="s">
        <v>6690</v>
      </c>
      <c r="D5012" s="677" t="s">
        <v>22</v>
      </c>
      <c r="E5012" s="738">
        <f t="shared" si="156"/>
        <v>18.57</v>
      </c>
      <c r="F5012">
        <f t="shared" si="157"/>
        <v>104357</v>
      </c>
      <c r="H5012" s="1405">
        <v>18.11</v>
      </c>
      <c r="I5012" s="1405">
        <v>18.57</v>
      </c>
    </row>
    <row r="5013" spans="2:9" ht="30">
      <c r="B5013" s="1477">
        <v>104576</v>
      </c>
      <c r="C5013" s="740" t="s">
        <v>8096</v>
      </c>
      <c r="D5013" s="739" t="s">
        <v>22</v>
      </c>
      <c r="E5013" s="741">
        <f t="shared" si="156"/>
        <v>14.14</v>
      </c>
      <c r="F5013">
        <f t="shared" si="157"/>
        <v>104576</v>
      </c>
      <c r="H5013" s="1406">
        <v>13.45</v>
      </c>
      <c r="I5013" s="1406">
        <v>14.14</v>
      </c>
    </row>
    <row r="5014" spans="2:9" ht="30">
      <c r="B5014" s="677">
        <v>104577</v>
      </c>
      <c r="C5014" s="733" t="s">
        <v>8097</v>
      </c>
      <c r="D5014" s="677" t="s">
        <v>22</v>
      </c>
      <c r="E5014" s="738">
        <f t="shared" si="156"/>
        <v>19.03</v>
      </c>
      <c r="F5014">
        <f t="shared" si="157"/>
        <v>104577</v>
      </c>
      <c r="H5014" s="1405">
        <v>18.27</v>
      </c>
      <c r="I5014" s="1405">
        <v>19.03</v>
      </c>
    </row>
    <row r="5015" spans="2:9" ht="30">
      <c r="B5015" s="1477">
        <v>104578</v>
      </c>
      <c r="C5015" s="740" t="s">
        <v>8098</v>
      </c>
      <c r="D5015" s="739" t="s">
        <v>22</v>
      </c>
      <c r="E5015" s="741">
        <f t="shared" si="156"/>
        <v>20.399999999999999</v>
      </c>
      <c r="F5015">
        <f t="shared" si="157"/>
        <v>104578</v>
      </c>
      <c r="H5015" s="1406">
        <v>19.579999999999998</v>
      </c>
      <c r="I5015" s="1406">
        <v>20.399999999999999</v>
      </c>
    </row>
    <row r="5016" spans="2:9" ht="30">
      <c r="B5016" s="677">
        <v>104579</v>
      </c>
      <c r="C5016" s="733" t="s">
        <v>8099</v>
      </c>
      <c r="D5016" s="677" t="s">
        <v>22</v>
      </c>
      <c r="E5016" s="738">
        <f t="shared" si="156"/>
        <v>26.8</v>
      </c>
      <c r="F5016">
        <f t="shared" si="157"/>
        <v>104579</v>
      </c>
      <c r="H5016" s="1405">
        <v>25.8</v>
      </c>
      <c r="I5016" s="1405">
        <v>26.8</v>
      </c>
    </row>
    <row r="5017" spans="2:9">
      <c r="B5017" s="1477">
        <v>104581</v>
      </c>
      <c r="C5017" s="740" t="s">
        <v>8100</v>
      </c>
      <c r="D5017" s="739" t="s">
        <v>22</v>
      </c>
      <c r="E5017" s="741">
        <f t="shared" si="156"/>
        <v>12.91</v>
      </c>
      <c r="F5017">
        <f t="shared" si="157"/>
        <v>104581</v>
      </c>
      <c r="H5017" s="1406">
        <v>12.28</v>
      </c>
      <c r="I5017" s="1406">
        <v>12.91</v>
      </c>
    </row>
    <row r="5018" spans="2:9">
      <c r="B5018" s="677">
        <v>104582</v>
      </c>
      <c r="C5018" s="733" t="s">
        <v>8101</v>
      </c>
      <c r="D5018" s="677" t="s">
        <v>22</v>
      </c>
      <c r="E5018" s="738">
        <f t="shared" si="156"/>
        <v>16.48</v>
      </c>
      <c r="F5018">
        <f t="shared" si="157"/>
        <v>104582</v>
      </c>
      <c r="H5018" s="1405">
        <v>15.74</v>
      </c>
      <c r="I5018" s="1405">
        <v>16.48</v>
      </c>
    </row>
    <row r="5019" spans="2:9">
      <c r="B5019" s="1477">
        <v>104583</v>
      </c>
      <c r="C5019" s="740" t="s">
        <v>8102</v>
      </c>
      <c r="D5019" s="739" t="s">
        <v>22</v>
      </c>
      <c r="E5019" s="741">
        <f t="shared" si="156"/>
        <v>26.49</v>
      </c>
      <c r="F5019">
        <f t="shared" si="157"/>
        <v>104583</v>
      </c>
      <c r="H5019" s="1406">
        <v>25.6</v>
      </c>
      <c r="I5019" s="1406">
        <v>26.49</v>
      </c>
    </row>
    <row r="5020" spans="2:9">
      <c r="B5020" s="677">
        <v>104584</v>
      </c>
      <c r="C5020" s="733" t="s">
        <v>8103</v>
      </c>
      <c r="D5020" s="677" t="s">
        <v>22</v>
      </c>
      <c r="E5020" s="738">
        <f t="shared" si="156"/>
        <v>31.78</v>
      </c>
      <c r="F5020">
        <f t="shared" si="157"/>
        <v>104584</v>
      </c>
      <c r="H5020" s="1405">
        <v>30.68</v>
      </c>
      <c r="I5020" s="1405">
        <v>31.78</v>
      </c>
    </row>
    <row r="5021" spans="2:9">
      <c r="B5021" s="1477">
        <v>97895</v>
      </c>
      <c r="C5021" s="740" t="s">
        <v>4426</v>
      </c>
      <c r="D5021" s="739" t="s">
        <v>22</v>
      </c>
      <c r="E5021" s="741">
        <f t="shared" si="156"/>
        <v>196.12</v>
      </c>
      <c r="F5021">
        <f t="shared" si="157"/>
        <v>97895</v>
      </c>
      <c r="H5021" s="1406">
        <v>195.8</v>
      </c>
      <c r="I5021" s="1406">
        <v>196.12</v>
      </c>
    </row>
    <row r="5022" spans="2:9">
      <c r="B5022" s="677">
        <v>97896</v>
      </c>
      <c r="C5022" s="733" t="s">
        <v>4427</v>
      </c>
      <c r="D5022" s="677" t="s">
        <v>22</v>
      </c>
      <c r="E5022" s="738">
        <f t="shared" si="156"/>
        <v>362.61</v>
      </c>
      <c r="F5022">
        <f t="shared" si="157"/>
        <v>97896</v>
      </c>
      <c r="H5022" s="1405">
        <v>361.97</v>
      </c>
      <c r="I5022" s="1405">
        <v>362.61</v>
      </c>
    </row>
    <row r="5023" spans="2:9">
      <c r="B5023" s="1477">
        <v>97897</v>
      </c>
      <c r="C5023" s="740" t="s">
        <v>4428</v>
      </c>
      <c r="D5023" s="739" t="s">
        <v>22</v>
      </c>
      <c r="E5023" s="741">
        <f t="shared" si="156"/>
        <v>469.32</v>
      </c>
      <c r="F5023">
        <f t="shared" si="157"/>
        <v>97897</v>
      </c>
      <c r="H5023" s="1406">
        <v>468.14</v>
      </c>
      <c r="I5023" s="1406">
        <v>469.32</v>
      </c>
    </row>
    <row r="5024" spans="2:9">
      <c r="B5024" s="677">
        <v>97898</v>
      </c>
      <c r="C5024" s="733" t="s">
        <v>4429</v>
      </c>
      <c r="D5024" s="677" t="s">
        <v>22</v>
      </c>
      <c r="E5024" s="738">
        <f t="shared" si="156"/>
        <v>897.53</v>
      </c>
      <c r="F5024">
        <f t="shared" si="157"/>
        <v>97898</v>
      </c>
      <c r="H5024" s="1405">
        <v>887.5</v>
      </c>
      <c r="I5024" s="1405">
        <v>897.53</v>
      </c>
    </row>
    <row r="5025" spans="2:9" ht="30">
      <c r="B5025" s="1477">
        <v>97900</v>
      </c>
      <c r="C5025" s="740" t="s">
        <v>4430</v>
      </c>
      <c r="D5025" s="739" t="s">
        <v>22</v>
      </c>
      <c r="E5025" s="741">
        <f t="shared" si="156"/>
        <v>189.64</v>
      </c>
      <c r="F5025">
        <f t="shared" si="157"/>
        <v>97900</v>
      </c>
      <c r="H5025" s="1406">
        <v>179.6</v>
      </c>
      <c r="I5025" s="1406">
        <v>189.64</v>
      </c>
    </row>
    <row r="5026" spans="2:9" ht="30">
      <c r="B5026" s="677">
        <v>97901</v>
      </c>
      <c r="C5026" s="733" t="s">
        <v>4431</v>
      </c>
      <c r="D5026" s="677" t="s">
        <v>22</v>
      </c>
      <c r="E5026" s="738">
        <f t="shared" si="156"/>
        <v>298.19</v>
      </c>
      <c r="F5026">
        <f t="shared" si="157"/>
        <v>97901</v>
      </c>
      <c r="H5026" s="1405">
        <v>282.35000000000002</v>
      </c>
      <c r="I5026" s="1405">
        <v>298.19</v>
      </c>
    </row>
    <row r="5027" spans="2:9" ht="30">
      <c r="B5027" s="1477">
        <v>97902</v>
      </c>
      <c r="C5027" s="740" t="s">
        <v>4432</v>
      </c>
      <c r="D5027" s="739" t="s">
        <v>22</v>
      </c>
      <c r="E5027" s="741">
        <f t="shared" si="156"/>
        <v>582.37</v>
      </c>
      <c r="F5027">
        <f t="shared" si="157"/>
        <v>97902</v>
      </c>
      <c r="H5027" s="1406">
        <v>552.38</v>
      </c>
      <c r="I5027" s="1406">
        <v>582.37</v>
      </c>
    </row>
    <row r="5028" spans="2:9" ht="30">
      <c r="B5028" s="677">
        <v>97903</v>
      </c>
      <c r="C5028" s="733" t="s">
        <v>4433</v>
      </c>
      <c r="D5028" s="677" t="s">
        <v>22</v>
      </c>
      <c r="E5028" s="738">
        <f t="shared" si="156"/>
        <v>809.51</v>
      </c>
      <c r="F5028">
        <f t="shared" si="157"/>
        <v>97903</v>
      </c>
      <c r="H5028" s="1405">
        <v>767.71</v>
      </c>
      <c r="I5028" s="1405">
        <v>809.51</v>
      </c>
    </row>
    <row r="5029" spans="2:9" ht="30">
      <c r="B5029" s="1477">
        <v>97904</v>
      </c>
      <c r="C5029" s="740" t="s">
        <v>4434</v>
      </c>
      <c r="D5029" s="739" t="s">
        <v>22</v>
      </c>
      <c r="E5029" s="741">
        <f t="shared" si="156"/>
        <v>966</v>
      </c>
      <c r="F5029">
        <f t="shared" si="157"/>
        <v>97904</v>
      </c>
      <c r="H5029" s="1406">
        <v>920.67</v>
      </c>
      <c r="I5029" s="1406">
        <v>966</v>
      </c>
    </row>
    <row r="5030" spans="2:9" ht="30">
      <c r="B5030" s="677">
        <v>97905</v>
      </c>
      <c r="C5030" s="733" t="s">
        <v>4435</v>
      </c>
      <c r="D5030" s="677" t="s">
        <v>22</v>
      </c>
      <c r="E5030" s="738">
        <f t="shared" si="156"/>
        <v>239.5</v>
      </c>
      <c r="F5030">
        <f t="shared" si="157"/>
        <v>97905</v>
      </c>
      <c r="H5030" s="1405">
        <v>226.59</v>
      </c>
      <c r="I5030" s="1405">
        <v>239.5</v>
      </c>
    </row>
    <row r="5031" spans="2:9" ht="30">
      <c r="B5031" s="1477">
        <v>97906</v>
      </c>
      <c r="C5031" s="740" t="s">
        <v>4436</v>
      </c>
      <c r="D5031" s="739" t="s">
        <v>22</v>
      </c>
      <c r="E5031" s="741">
        <f t="shared" si="156"/>
        <v>446.97</v>
      </c>
      <c r="F5031">
        <f t="shared" si="157"/>
        <v>97906</v>
      </c>
      <c r="H5031" s="1406">
        <v>423.75</v>
      </c>
      <c r="I5031" s="1406">
        <v>446.97</v>
      </c>
    </row>
    <row r="5032" spans="2:9" ht="30">
      <c r="B5032" s="677">
        <v>97907</v>
      </c>
      <c r="C5032" s="733" t="s">
        <v>4437</v>
      </c>
      <c r="D5032" s="677" t="s">
        <v>22</v>
      </c>
      <c r="E5032" s="738">
        <f t="shared" si="156"/>
        <v>636.73</v>
      </c>
      <c r="F5032">
        <f t="shared" si="157"/>
        <v>97907</v>
      </c>
      <c r="H5032" s="1405">
        <v>603.58000000000004</v>
      </c>
      <c r="I5032" s="1405">
        <v>636.73</v>
      </c>
    </row>
    <row r="5033" spans="2:9" ht="30">
      <c r="B5033" s="1477">
        <v>97908</v>
      </c>
      <c r="C5033" s="740" t="s">
        <v>4438</v>
      </c>
      <c r="D5033" s="739" t="s">
        <v>22</v>
      </c>
      <c r="E5033" s="741">
        <f t="shared" si="156"/>
        <v>761.57</v>
      </c>
      <c r="F5033">
        <f t="shared" si="157"/>
        <v>97908</v>
      </c>
      <c r="H5033" s="1406">
        <v>726.47</v>
      </c>
      <c r="I5033" s="1406">
        <v>761.57</v>
      </c>
    </row>
    <row r="5034" spans="2:9" ht="30">
      <c r="B5034" s="677">
        <v>98102</v>
      </c>
      <c r="C5034" s="733" t="s">
        <v>4439</v>
      </c>
      <c r="D5034" s="677" t="s">
        <v>22</v>
      </c>
      <c r="E5034" s="738">
        <f t="shared" si="156"/>
        <v>185.47</v>
      </c>
      <c r="F5034">
        <f t="shared" si="157"/>
        <v>98102</v>
      </c>
      <c r="H5034" s="1405">
        <v>184.94</v>
      </c>
      <c r="I5034" s="1405">
        <v>185.47</v>
      </c>
    </row>
    <row r="5035" spans="2:9" ht="30">
      <c r="B5035" s="1477">
        <v>98104</v>
      </c>
      <c r="C5035" s="740" t="s">
        <v>4440</v>
      </c>
      <c r="D5035" s="739" t="s">
        <v>22</v>
      </c>
      <c r="E5035" s="741">
        <f t="shared" si="156"/>
        <v>376.56</v>
      </c>
      <c r="F5035">
        <f t="shared" si="157"/>
        <v>98104</v>
      </c>
      <c r="H5035" s="1406">
        <v>356.53</v>
      </c>
      <c r="I5035" s="1406">
        <v>376.56</v>
      </c>
    </row>
    <row r="5036" spans="2:9" ht="30">
      <c r="B5036" s="677">
        <v>98105</v>
      </c>
      <c r="C5036" s="733" t="s">
        <v>4441</v>
      </c>
      <c r="D5036" s="677" t="s">
        <v>22</v>
      </c>
      <c r="E5036" s="738">
        <f t="shared" si="156"/>
        <v>654.72</v>
      </c>
      <c r="F5036">
        <f t="shared" si="157"/>
        <v>98105</v>
      </c>
      <c r="H5036" s="1405">
        <v>619.41999999999996</v>
      </c>
      <c r="I5036" s="1405">
        <v>654.72</v>
      </c>
    </row>
    <row r="5037" spans="2:9" ht="30">
      <c r="B5037" s="1477">
        <v>98106</v>
      </c>
      <c r="C5037" s="740" t="s">
        <v>4442</v>
      </c>
      <c r="D5037" s="739" t="s">
        <v>22</v>
      </c>
      <c r="E5037" s="741">
        <f t="shared" si="156"/>
        <v>1082.05</v>
      </c>
      <c r="F5037">
        <f t="shared" si="157"/>
        <v>98106</v>
      </c>
      <c r="H5037" s="1406">
        <v>1024.1400000000001</v>
      </c>
      <c r="I5037" s="1406">
        <v>1082.05</v>
      </c>
    </row>
    <row r="5038" spans="2:9" ht="30">
      <c r="B5038" s="677">
        <v>98107</v>
      </c>
      <c r="C5038" s="733" t="s">
        <v>4443</v>
      </c>
      <c r="D5038" s="677" t="s">
        <v>22</v>
      </c>
      <c r="E5038" s="738">
        <f t="shared" si="156"/>
        <v>271.81</v>
      </c>
      <c r="F5038">
        <f t="shared" si="157"/>
        <v>98107</v>
      </c>
      <c r="H5038" s="1405">
        <v>257.04000000000002</v>
      </c>
      <c r="I5038" s="1405">
        <v>271.81</v>
      </c>
    </row>
    <row r="5039" spans="2:9" ht="30">
      <c r="B5039" s="1477">
        <v>98108</v>
      </c>
      <c r="C5039" s="740" t="s">
        <v>4444</v>
      </c>
      <c r="D5039" s="739" t="s">
        <v>22</v>
      </c>
      <c r="E5039" s="741">
        <f t="shared" si="156"/>
        <v>485.57</v>
      </c>
      <c r="F5039">
        <f t="shared" si="157"/>
        <v>98108</v>
      </c>
      <c r="H5039" s="1406">
        <v>458.74</v>
      </c>
      <c r="I5039" s="1406">
        <v>485.57</v>
      </c>
    </row>
    <row r="5040" spans="2:9" ht="30">
      <c r="B5040" s="677">
        <v>99250</v>
      </c>
      <c r="C5040" s="733" t="s">
        <v>4445</v>
      </c>
      <c r="D5040" s="677" t="s">
        <v>22</v>
      </c>
      <c r="E5040" s="738">
        <f t="shared" si="156"/>
        <v>185.1</v>
      </c>
      <c r="F5040">
        <f t="shared" si="157"/>
        <v>99250</v>
      </c>
      <c r="H5040" s="1405">
        <v>175.08</v>
      </c>
      <c r="I5040" s="1405">
        <v>185.1</v>
      </c>
    </row>
    <row r="5041" spans="2:9" ht="30">
      <c r="B5041" s="1477">
        <v>99251</v>
      </c>
      <c r="C5041" s="740" t="s">
        <v>4446</v>
      </c>
      <c r="D5041" s="739" t="s">
        <v>22</v>
      </c>
      <c r="E5041" s="741">
        <f t="shared" si="156"/>
        <v>290.39999999999998</v>
      </c>
      <c r="F5041">
        <f t="shared" si="157"/>
        <v>99251</v>
      </c>
      <c r="H5041" s="1406">
        <v>274.58999999999997</v>
      </c>
      <c r="I5041" s="1406">
        <v>290.39999999999998</v>
      </c>
    </row>
    <row r="5042" spans="2:9" ht="30">
      <c r="B5042" s="677">
        <v>99253</v>
      </c>
      <c r="C5042" s="733" t="s">
        <v>4447</v>
      </c>
      <c r="D5042" s="677" t="s">
        <v>22</v>
      </c>
      <c r="E5042" s="738">
        <f t="shared" si="156"/>
        <v>564.87</v>
      </c>
      <c r="F5042">
        <f t="shared" si="157"/>
        <v>99253</v>
      </c>
      <c r="H5042" s="1405">
        <v>534.95000000000005</v>
      </c>
      <c r="I5042" s="1405">
        <v>564.87</v>
      </c>
    </row>
    <row r="5043" spans="2:9" ht="30">
      <c r="B5043" s="1477">
        <v>99255</v>
      </c>
      <c r="C5043" s="740" t="s">
        <v>4448</v>
      </c>
      <c r="D5043" s="739" t="s">
        <v>22</v>
      </c>
      <c r="E5043" s="741">
        <f t="shared" si="156"/>
        <v>785.52</v>
      </c>
      <c r="F5043">
        <f t="shared" si="157"/>
        <v>99255</v>
      </c>
      <c r="H5043" s="1406">
        <v>743.82</v>
      </c>
      <c r="I5043" s="1406">
        <v>785.52</v>
      </c>
    </row>
    <row r="5044" spans="2:9" ht="30">
      <c r="B5044" s="677">
        <v>99257</v>
      </c>
      <c r="C5044" s="733" t="s">
        <v>4449</v>
      </c>
      <c r="D5044" s="677" t="s">
        <v>22</v>
      </c>
      <c r="E5044" s="738">
        <f t="shared" si="156"/>
        <v>934.96</v>
      </c>
      <c r="F5044">
        <f t="shared" si="157"/>
        <v>99257</v>
      </c>
      <c r="H5044" s="1405">
        <v>889.77</v>
      </c>
      <c r="I5044" s="1405">
        <v>934.96</v>
      </c>
    </row>
    <row r="5045" spans="2:9" ht="30">
      <c r="B5045" s="1477">
        <v>99258</v>
      </c>
      <c r="C5045" s="740" t="s">
        <v>4450</v>
      </c>
      <c r="D5045" s="739" t="s">
        <v>22</v>
      </c>
      <c r="E5045" s="741">
        <f t="shared" si="156"/>
        <v>234.55</v>
      </c>
      <c r="F5045">
        <f t="shared" si="157"/>
        <v>99258</v>
      </c>
      <c r="H5045" s="1406">
        <v>221.66</v>
      </c>
      <c r="I5045" s="1406">
        <v>234.55</v>
      </c>
    </row>
    <row r="5046" spans="2:9" ht="30">
      <c r="B5046" s="677">
        <v>99260</v>
      </c>
      <c r="C5046" s="733" t="s">
        <v>4451</v>
      </c>
      <c r="D5046" s="677" t="s">
        <v>22</v>
      </c>
      <c r="E5046" s="738">
        <f t="shared" si="156"/>
        <v>435.95</v>
      </c>
      <c r="F5046">
        <f t="shared" si="157"/>
        <v>99260</v>
      </c>
      <c r="H5046" s="1405">
        <v>412.77</v>
      </c>
      <c r="I5046" s="1405">
        <v>435.95</v>
      </c>
    </row>
    <row r="5047" spans="2:9" ht="30">
      <c r="B5047" s="1477">
        <v>99262</v>
      </c>
      <c r="C5047" s="740" t="s">
        <v>4452</v>
      </c>
      <c r="D5047" s="739" t="s">
        <v>22</v>
      </c>
      <c r="E5047" s="741">
        <f t="shared" si="156"/>
        <v>621</v>
      </c>
      <c r="F5047">
        <f t="shared" si="157"/>
        <v>99262</v>
      </c>
      <c r="H5047" s="1406">
        <v>587.91999999999996</v>
      </c>
      <c r="I5047" s="1406">
        <v>621</v>
      </c>
    </row>
    <row r="5048" spans="2:9" ht="30">
      <c r="B5048" s="677">
        <v>99264</v>
      </c>
      <c r="C5048" s="733" t="s">
        <v>4453</v>
      </c>
      <c r="D5048" s="677" t="s">
        <v>22</v>
      </c>
      <c r="E5048" s="738">
        <f t="shared" si="156"/>
        <v>740.31</v>
      </c>
      <c r="F5048">
        <f t="shared" si="157"/>
        <v>99264</v>
      </c>
      <c r="H5048" s="1405">
        <v>705.3</v>
      </c>
      <c r="I5048" s="1405">
        <v>740.31</v>
      </c>
    </row>
    <row r="5049" spans="2:9">
      <c r="B5049" s="1477">
        <v>102587</v>
      </c>
      <c r="C5049" s="740" t="s">
        <v>4741</v>
      </c>
      <c r="D5049" s="739" t="s">
        <v>22</v>
      </c>
      <c r="E5049" s="741">
        <f t="shared" si="156"/>
        <v>3.24</v>
      </c>
      <c r="F5049">
        <f t="shared" si="157"/>
        <v>102587</v>
      </c>
      <c r="H5049" s="1406">
        <v>2.9</v>
      </c>
      <c r="I5049" s="1406">
        <v>3.24</v>
      </c>
    </row>
    <row r="5050" spans="2:9">
      <c r="B5050" s="677">
        <v>102588</v>
      </c>
      <c r="C5050" s="733" t="s">
        <v>4742</v>
      </c>
      <c r="D5050" s="677" t="s">
        <v>22</v>
      </c>
      <c r="E5050" s="738">
        <f t="shared" si="156"/>
        <v>4.6900000000000004</v>
      </c>
      <c r="F5050">
        <f t="shared" si="157"/>
        <v>102588</v>
      </c>
      <c r="H5050" s="1405">
        <v>4.2</v>
      </c>
      <c r="I5050" s="1405">
        <v>4.6900000000000004</v>
      </c>
    </row>
    <row r="5051" spans="2:9">
      <c r="B5051" s="1477">
        <v>102589</v>
      </c>
      <c r="C5051" s="740" t="s">
        <v>4743</v>
      </c>
      <c r="D5051" s="739" t="s">
        <v>22</v>
      </c>
      <c r="E5051" s="741">
        <f t="shared" si="156"/>
        <v>3.6</v>
      </c>
      <c r="F5051">
        <f t="shared" si="157"/>
        <v>102589</v>
      </c>
      <c r="H5051" s="1406">
        <v>3.23</v>
      </c>
      <c r="I5051" s="1406">
        <v>3.6</v>
      </c>
    </row>
    <row r="5052" spans="2:9">
      <c r="B5052" s="677">
        <v>102590</v>
      </c>
      <c r="C5052" s="733" t="s">
        <v>4744</v>
      </c>
      <c r="D5052" s="677" t="s">
        <v>22</v>
      </c>
      <c r="E5052" s="738">
        <f t="shared" si="156"/>
        <v>5.0599999999999996</v>
      </c>
      <c r="F5052">
        <f t="shared" si="157"/>
        <v>102590</v>
      </c>
      <c r="H5052" s="1405">
        <v>4.5199999999999996</v>
      </c>
      <c r="I5052" s="1405">
        <v>5.0599999999999996</v>
      </c>
    </row>
    <row r="5053" spans="2:9">
      <c r="B5053" s="1477">
        <v>102591</v>
      </c>
      <c r="C5053" s="740" t="s">
        <v>4745</v>
      </c>
      <c r="D5053" s="739" t="s">
        <v>22</v>
      </c>
      <c r="E5053" s="741">
        <f t="shared" si="156"/>
        <v>3.97</v>
      </c>
      <c r="F5053">
        <f t="shared" si="157"/>
        <v>102591</v>
      </c>
      <c r="H5053" s="1406">
        <v>3.56</v>
      </c>
      <c r="I5053" s="1406">
        <v>3.97</v>
      </c>
    </row>
    <row r="5054" spans="2:9">
      <c r="B5054" s="677">
        <v>102592</v>
      </c>
      <c r="C5054" s="733" t="s">
        <v>4746</v>
      </c>
      <c r="D5054" s="677" t="s">
        <v>22</v>
      </c>
      <c r="E5054" s="738">
        <f t="shared" si="156"/>
        <v>5.42</v>
      </c>
      <c r="F5054">
        <f t="shared" si="157"/>
        <v>102592</v>
      </c>
      <c r="H5054" s="1405">
        <v>4.8499999999999996</v>
      </c>
      <c r="I5054" s="1405">
        <v>5.42</v>
      </c>
    </row>
    <row r="5055" spans="2:9">
      <c r="B5055" s="1477">
        <v>102593</v>
      </c>
      <c r="C5055" s="740" t="s">
        <v>4747</v>
      </c>
      <c r="D5055" s="739" t="s">
        <v>22</v>
      </c>
      <c r="E5055" s="741">
        <f t="shared" si="156"/>
        <v>4.49</v>
      </c>
      <c r="F5055">
        <f t="shared" si="157"/>
        <v>102593</v>
      </c>
      <c r="H5055" s="1406">
        <v>4.01</v>
      </c>
      <c r="I5055" s="1406">
        <v>4.49</v>
      </c>
    </row>
    <row r="5056" spans="2:9">
      <c r="B5056" s="677">
        <v>102594</v>
      </c>
      <c r="C5056" s="733" t="s">
        <v>4748</v>
      </c>
      <c r="D5056" s="677" t="s">
        <v>22</v>
      </c>
      <c r="E5056" s="738">
        <f t="shared" si="156"/>
        <v>5.94</v>
      </c>
      <c r="F5056">
        <f t="shared" si="157"/>
        <v>102594</v>
      </c>
      <c r="H5056" s="1405">
        <v>5.31</v>
      </c>
      <c r="I5056" s="1405">
        <v>5.94</v>
      </c>
    </row>
    <row r="5057" spans="2:9">
      <c r="B5057" s="1477">
        <v>102595</v>
      </c>
      <c r="C5057" s="740" t="s">
        <v>4749</v>
      </c>
      <c r="D5057" s="739" t="s">
        <v>22</v>
      </c>
      <c r="E5057" s="741">
        <f t="shared" si="156"/>
        <v>5.07</v>
      </c>
      <c r="F5057">
        <f t="shared" si="157"/>
        <v>102595</v>
      </c>
      <c r="H5057" s="1406">
        <v>4.54</v>
      </c>
      <c r="I5057" s="1406">
        <v>5.07</v>
      </c>
    </row>
    <row r="5058" spans="2:9">
      <c r="B5058" s="677">
        <v>102596</v>
      </c>
      <c r="C5058" s="733" t="s">
        <v>4750</v>
      </c>
      <c r="D5058" s="677" t="s">
        <v>22</v>
      </c>
      <c r="E5058" s="738">
        <f t="shared" si="156"/>
        <v>6.53</v>
      </c>
      <c r="F5058">
        <f t="shared" si="157"/>
        <v>102596</v>
      </c>
      <c r="H5058" s="1405">
        <v>5.84</v>
      </c>
      <c r="I5058" s="1405">
        <v>6.53</v>
      </c>
    </row>
    <row r="5059" spans="2:9">
      <c r="B5059" s="1477">
        <v>102597</v>
      </c>
      <c r="C5059" s="740" t="s">
        <v>4751</v>
      </c>
      <c r="D5059" s="739" t="s">
        <v>22</v>
      </c>
      <c r="E5059" s="741">
        <f t="shared" ref="E5059:E5122" si="158">IF($K$2=$H$1,H5059,I5059)</f>
        <v>5.8</v>
      </c>
      <c r="F5059">
        <f t="shared" ref="F5059:F5122" si="159">IF(LEN($B5059)=7,CONCATENATE(MID($B5059,1,6),"00",RIGHT($B5059,1)),IF(LEN($B5059)=8,CONCATENATE(MID($B5059,1,6),"0",RIGHT($B5059,2)),$B5059))</f>
        <v>102597</v>
      </c>
      <c r="H5059" s="1406">
        <v>5.2</v>
      </c>
      <c r="I5059" s="1406">
        <v>5.8</v>
      </c>
    </row>
    <row r="5060" spans="2:9">
      <c r="B5060" s="677">
        <v>102598</v>
      </c>
      <c r="C5060" s="733" t="s">
        <v>4752</v>
      </c>
      <c r="D5060" s="677" t="s">
        <v>22</v>
      </c>
      <c r="E5060" s="738">
        <f t="shared" si="158"/>
        <v>7.25</v>
      </c>
      <c r="F5060">
        <f t="shared" si="159"/>
        <v>102598</v>
      </c>
      <c r="H5060" s="1405">
        <v>6.49</v>
      </c>
      <c r="I5060" s="1405">
        <v>7.25</v>
      </c>
    </row>
    <row r="5061" spans="2:9">
      <c r="B5061" s="1477">
        <v>102599</v>
      </c>
      <c r="C5061" s="740" t="s">
        <v>4753</v>
      </c>
      <c r="D5061" s="739" t="s">
        <v>22</v>
      </c>
      <c r="E5061" s="741">
        <f t="shared" si="158"/>
        <v>6.53</v>
      </c>
      <c r="F5061">
        <f t="shared" si="159"/>
        <v>102599</v>
      </c>
      <c r="H5061" s="1406">
        <v>5.85</v>
      </c>
      <c r="I5061" s="1406">
        <v>6.53</v>
      </c>
    </row>
    <row r="5062" spans="2:9">
      <c r="B5062" s="677">
        <v>102600</v>
      </c>
      <c r="C5062" s="733" t="s">
        <v>4754</v>
      </c>
      <c r="D5062" s="677" t="s">
        <v>22</v>
      </c>
      <c r="E5062" s="738">
        <f t="shared" si="158"/>
        <v>7.99</v>
      </c>
      <c r="F5062">
        <f t="shared" si="159"/>
        <v>102600</v>
      </c>
      <c r="H5062" s="1405">
        <v>7.15</v>
      </c>
      <c r="I5062" s="1405">
        <v>7.99</v>
      </c>
    </row>
    <row r="5063" spans="2:9">
      <c r="B5063" s="1477">
        <v>102601</v>
      </c>
      <c r="C5063" s="740" t="s">
        <v>4755</v>
      </c>
      <c r="D5063" s="739" t="s">
        <v>22</v>
      </c>
      <c r="E5063" s="741">
        <f t="shared" si="158"/>
        <v>7.64</v>
      </c>
      <c r="F5063">
        <f t="shared" si="159"/>
        <v>102601</v>
      </c>
      <c r="H5063" s="1406">
        <v>6.84</v>
      </c>
      <c r="I5063" s="1406">
        <v>7.64</v>
      </c>
    </row>
    <row r="5064" spans="2:9">
      <c r="B5064" s="677">
        <v>102602</v>
      </c>
      <c r="C5064" s="733" t="s">
        <v>4756</v>
      </c>
      <c r="D5064" s="677" t="s">
        <v>22</v>
      </c>
      <c r="E5064" s="738">
        <f t="shared" si="158"/>
        <v>9.09</v>
      </c>
      <c r="F5064">
        <f t="shared" si="159"/>
        <v>102602</v>
      </c>
      <c r="H5064" s="1405">
        <v>8.1300000000000008</v>
      </c>
      <c r="I5064" s="1405">
        <v>9.09</v>
      </c>
    </row>
    <row r="5065" spans="2:9">
      <c r="B5065" s="1477">
        <v>102603</v>
      </c>
      <c r="C5065" s="740" t="s">
        <v>4757</v>
      </c>
      <c r="D5065" s="739" t="s">
        <v>22</v>
      </c>
      <c r="E5065" s="741">
        <f t="shared" si="158"/>
        <v>9.4600000000000009</v>
      </c>
      <c r="F5065">
        <f t="shared" si="159"/>
        <v>102603</v>
      </c>
      <c r="H5065" s="1406">
        <v>8.4700000000000006</v>
      </c>
      <c r="I5065" s="1406">
        <v>9.4600000000000009</v>
      </c>
    </row>
    <row r="5066" spans="2:9">
      <c r="B5066" s="677">
        <v>102604</v>
      </c>
      <c r="C5066" s="733" t="s">
        <v>4758</v>
      </c>
      <c r="D5066" s="677" t="s">
        <v>22</v>
      </c>
      <c r="E5066" s="738">
        <f t="shared" si="158"/>
        <v>10.91</v>
      </c>
      <c r="F5066">
        <f t="shared" si="159"/>
        <v>102604</v>
      </c>
      <c r="H5066" s="1405">
        <v>9.77</v>
      </c>
      <c r="I5066" s="1405">
        <v>10.91</v>
      </c>
    </row>
    <row r="5067" spans="2:9">
      <c r="B5067" s="1477">
        <v>102605</v>
      </c>
      <c r="C5067" s="740" t="s">
        <v>4759</v>
      </c>
      <c r="D5067" s="739" t="s">
        <v>22</v>
      </c>
      <c r="E5067" s="741">
        <f t="shared" si="158"/>
        <v>248.26</v>
      </c>
      <c r="F5067">
        <f t="shared" si="159"/>
        <v>102605</v>
      </c>
      <c r="H5067" s="1406">
        <v>247.74</v>
      </c>
      <c r="I5067" s="1406">
        <v>248.26</v>
      </c>
    </row>
    <row r="5068" spans="2:9">
      <c r="B5068" s="677">
        <v>102606</v>
      </c>
      <c r="C5068" s="733" t="s">
        <v>4760</v>
      </c>
      <c r="D5068" s="677" t="s">
        <v>22</v>
      </c>
      <c r="E5068" s="738">
        <f t="shared" si="158"/>
        <v>382.48</v>
      </c>
      <c r="F5068">
        <f t="shared" si="159"/>
        <v>102606</v>
      </c>
      <c r="H5068" s="1405">
        <v>381.84</v>
      </c>
      <c r="I5068" s="1405">
        <v>382.48</v>
      </c>
    </row>
    <row r="5069" spans="2:9">
      <c r="B5069" s="1477">
        <v>102607</v>
      </c>
      <c r="C5069" s="740" t="s">
        <v>4761</v>
      </c>
      <c r="D5069" s="739" t="s">
        <v>22</v>
      </c>
      <c r="E5069" s="741">
        <f t="shared" si="158"/>
        <v>409.45</v>
      </c>
      <c r="F5069">
        <f t="shared" si="159"/>
        <v>102607</v>
      </c>
      <c r="H5069" s="1406">
        <v>408.72</v>
      </c>
      <c r="I5069" s="1406">
        <v>409.45</v>
      </c>
    </row>
    <row r="5070" spans="2:9">
      <c r="B5070" s="677">
        <v>102608</v>
      </c>
      <c r="C5070" s="733" t="s">
        <v>4762</v>
      </c>
      <c r="D5070" s="677" t="s">
        <v>22</v>
      </c>
      <c r="E5070" s="738">
        <f t="shared" si="158"/>
        <v>938.25</v>
      </c>
      <c r="F5070">
        <f t="shared" si="159"/>
        <v>102608</v>
      </c>
      <c r="H5070" s="1405">
        <v>937.26</v>
      </c>
      <c r="I5070" s="1405">
        <v>938.25</v>
      </c>
    </row>
    <row r="5071" spans="2:9">
      <c r="B5071" s="1477">
        <v>102609</v>
      </c>
      <c r="C5071" s="740" t="s">
        <v>4763</v>
      </c>
      <c r="D5071" s="739" t="s">
        <v>22</v>
      </c>
      <c r="E5071" s="741">
        <f t="shared" si="158"/>
        <v>1066.19</v>
      </c>
      <c r="F5071">
        <f t="shared" si="159"/>
        <v>102609</v>
      </c>
      <c r="H5071" s="1406">
        <v>1064.8800000000001</v>
      </c>
      <c r="I5071" s="1406">
        <v>1066.19</v>
      </c>
    </row>
    <row r="5072" spans="2:9">
      <c r="B5072" s="677">
        <v>102610</v>
      </c>
      <c r="C5072" s="733" t="s">
        <v>7724</v>
      </c>
      <c r="D5072" s="677" t="s">
        <v>22</v>
      </c>
      <c r="E5072" s="738">
        <f t="shared" si="158"/>
        <v>1832.21</v>
      </c>
      <c r="F5072">
        <f t="shared" si="159"/>
        <v>102610</v>
      </c>
      <c r="H5072" s="1405">
        <v>1830.56</v>
      </c>
      <c r="I5072" s="1405">
        <v>1832.21</v>
      </c>
    </row>
    <row r="5073" spans="2:9">
      <c r="B5073" s="1477">
        <v>102611</v>
      </c>
      <c r="C5073" s="740" t="s">
        <v>4764</v>
      </c>
      <c r="D5073" s="739" t="s">
        <v>22</v>
      </c>
      <c r="E5073" s="741">
        <f t="shared" si="158"/>
        <v>412.35</v>
      </c>
      <c r="F5073">
        <f t="shared" si="159"/>
        <v>102611</v>
      </c>
      <c r="H5073" s="1406">
        <v>411.79</v>
      </c>
      <c r="I5073" s="1406">
        <v>412.35</v>
      </c>
    </row>
    <row r="5074" spans="2:9">
      <c r="B5074" s="677">
        <v>102612</v>
      </c>
      <c r="C5074" s="733" t="s">
        <v>7725</v>
      </c>
      <c r="D5074" s="677" t="s">
        <v>22</v>
      </c>
      <c r="E5074" s="738">
        <f t="shared" si="158"/>
        <v>591.92999999999995</v>
      </c>
      <c r="F5074">
        <f t="shared" si="159"/>
        <v>102612</v>
      </c>
      <c r="H5074" s="1405">
        <v>591.30999999999995</v>
      </c>
      <c r="I5074" s="1405">
        <v>591.92999999999995</v>
      </c>
    </row>
    <row r="5075" spans="2:9">
      <c r="B5075" s="1477">
        <v>102613</v>
      </c>
      <c r="C5075" s="740" t="s">
        <v>4765</v>
      </c>
      <c r="D5075" s="739" t="s">
        <v>22</v>
      </c>
      <c r="E5075" s="741">
        <f t="shared" si="158"/>
        <v>573.85</v>
      </c>
      <c r="F5075">
        <f t="shared" si="159"/>
        <v>102613</v>
      </c>
      <c r="H5075" s="1406">
        <v>573.1</v>
      </c>
      <c r="I5075" s="1406">
        <v>573.85</v>
      </c>
    </row>
    <row r="5076" spans="2:9">
      <c r="B5076" s="677">
        <v>102614</v>
      </c>
      <c r="C5076" s="733" t="s">
        <v>4766</v>
      </c>
      <c r="D5076" s="677" t="s">
        <v>22</v>
      </c>
      <c r="E5076" s="738">
        <f t="shared" si="158"/>
        <v>882.3</v>
      </c>
      <c r="F5076">
        <f t="shared" si="159"/>
        <v>102614</v>
      </c>
      <c r="H5076" s="1405">
        <v>881.34</v>
      </c>
      <c r="I5076" s="1405">
        <v>882.3</v>
      </c>
    </row>
    <row r="5077" spans="2:9">
      <c r="B5077" s="1477">
        <v>102615</v>
      </c>
      <c r="C5077" s="740" t="s">
        <v>4767</v>
      </c>
      <c r="D5077" s="739" t="s">
        <v>22</v>
      </c>
      <c r="E5077" s="741">
        <f t="shared" si="158"/>
        <v>1107.28</v>
      </c>
      <c r="F5077">
        <f t="shared" si="159"/>
        <v>102615</v>
      </c>
      <c r="H5077" s="1406">
        <v>1106.07</v>
      </c>
      <c r="I5077" s="1406">
        <v>1107.28</v>
      </c>
    </row>
    <row r="5078" spans="2:9">
      <c r="B5078" s="677">
        <v>102616</v>
      </c>
      <c r="C5078" s="733" t="s">
        <v>7726</v>
      </c>
      <c r="D5078" s="677" t="s">
        <v>22</v>
      </c>
      <c r="E5078" s="738">
        <f t="shared" si="158"/>
        <v>1639.05</v>
      </c>
      <c r="F5078">
        <f t="shared" si="159"/>
        <v>102616</v>
      </c>
      <c r="H5078" s="1405">
        <v>1637.47</v>
      </c>
      <c r="I5078" s="1405">
        <v>1639.05</v>
      </c>
    </row>
    <row r="5079" spans="2:9">
      <c r="B5079" s="1477">
        <v>102617</v>
      </c>
      <c r="C5079" s="740" t="s">
        <v>4768</v>
      </c>
      <c r="D5079" s="739" t="s">
        <v>22</v>
      </c>
      <c r="E5079" s="741">
        <f t="shared" si="158"/>
        <v>3063.33</v>
      </c>
      <c r="F5079">
        <f t="shared" si="159"/>
        <v>102617</v>
      </c>
      <c r="H5079" s="1406">
        <v>3048.88</v>
      </c>
      <c r="I5079" s="1406">
        <v>3063.33</v>
      </c>
    </row>
    <row r="5080" spans="2:9">
      <c r="B5080" s="677">
        <v>102618</v>
      </c>
      <c r="C5080" s="733" t="s">
        <v>7727</v>
      </c>
      <c r="D5080" s="677" t="s">
        <v>22</v>
      </c>
      <c r="E5080" s="738">
        <f t="shared" si="158"/>
        <v>3677.88</v>
      </c>
      <c r="F5080">
        <f t="shared" si="159"/>
        <v>102618</v>
      </c>
      <c r="H5080" s="1405">
        <v>3663.43</v>
      </c>
      <c r="I5080" s="1405">
        <v>3677.88</v>
      </c>
    </row>
    <row r="5081" spans="2:9">
      <c r="B5081" s="1477">
        <v>102619</v>
      </c>
      <c r="C5081" s="740" t="s">
        <v>4769</v>
      </c>
      <c r="D5081" s="739" t="s">
        <v>22</v>
      </c>
      <c r="E5081" s="741">
        <f t="shared" si="158"/>
        <v>4924.68</v>
      </c>
      <c r="F5081">
        <f t="shared" si="159"/>
        <v>102619</v>
      </c>
      <c r="H5081" s="1406">
        <v>4910.2299999999996</v>
      </c>
      <c r="I5081" s="1406">
        <v>4924.68</v>
      </c>
    </row>
    <row r="5082" spans="2:9">
      <c r="B5082" s="677">
        <v>102620</v>
      </c>
      <c r="C5082" s="733" t="s">
        <v>7728</v>
      </c>
      <c r="D5082" s="677" t="s">
        <v>22</v>
      </c>
      <c r="E5082" s="738">
        <f t="shared" si="158"/>
        <v>7138.04</v>
      </c>
      <c r="F5082">
        <f t="shared" si="159"/>
        <v>102620</v>
      </c>
      <c r="H5082" s="1405">
        <v>7123.59</v>
      </c>
      <c r="I5082" s="1405">
        <v>7138.04</v>
      </c>
    </row>
    <row r="5083" spans="2:9">
      <c r="B5083" s="1477">
        <v>102621</v>
      </c>
      <c r="C5083" s="740" t="s">
        <v>7729</v>
      </c>
      <c r="D5083" s="739" t="s">
        <v>22</v>
      </c>
      <c r="E5083" s="741">
        <f t="shared" si="158"/>
        <v>10952.23</v>
      </c>
      <c r="F5083">
        <f t="shared" si="159"/>
        <v>102621</v>
      </c>
      <c r="H5083" s="1406">
        <v>10937.78</v>
      </c>
      <c r="I5083" s="1406">
        <v>10952.23</v>
      </c>
    </row>
    <row r="5084" spans="2:9" ht="30">
      <c r="B5084" s="677">
        <v>102622</v>
      </c>
      <c r="C5084" s="733" t="s">
        <v>4770</v>
      </c>
      <c r="D5084" s="677" t="s">
        <v>22</v>
      </c>
      <c r="E5084" s="738">
        <f t="shared" si="158"/>
        <v>558.35</v>
      </c>
      <c r="F5084">
        <f t="shared" si="159"/>
        <v>102622</v>
      </c>
      <c r="H5084" s="1405">
        <v>546.59</v>
      </c>
      <c r="I5084" s="1405">
        <v>558.35</v>
      </c>
    </row>
    <row r="5085" spans="2:9" ht="30">
      <c r="B5085" s="1477">
        <v>102623</v>
      </c>
      <c r="C5085" s="740" t="s">
        <v>4771</v>
      </c>
      <c r="D5085" s="739" t="s">
        <v>22</v>
      </c>
      <c r="E5085" s="741">
        <f t="shared" si="158"/>
        <v>772.76</v>
      </c>
      <c r="F5085">
        <f t="shared" si="159"/>
        <v>102623</v>
      </c>
      <c r="H5085" s="1406">
        <v>759.42</v>
      </c>
      <c r="I5085" s="1406">
        <v>772.76</v>
      </c>
    </row>
    <row r="5086" spans="2:9" ht="30">
      <c r="B5086" s="677">
        <v>89482</v>
      </c>
      <c r="C5086" s="733" t="s">
        <v>6393</v>
      </c>
      <c r="D5086" s="677" t="s">
        <v>22</v>
      </c>
      <c r="E5086" s="738">
        <f t="shared" si="158"/>
        <v>39.61</v>
      </c>
      <c r="F5086">
        <f t="shared" si="159"/>
        <v>89482</v>
      </c>
      <c r="H5086" s="1405">
        <v>38.54</v>
      </c>
      <c r="I5086" s="1405">
        <v>39.61</v>
      </c>
    </row>
    <row r="5087" spans="2:9" ht="30">
      <c r="B5087" s="1477">
        <v>89491</v>
      </c>
      <c r="C5087" s="740" t="s">
        <v>6394</v>
      </c>
      <c r="D5087" s="739" t="s">
        <v>22</v>
      </c>
      <c r="E5087" s="741">
        <f t="shared" si="158"/>
        <v>100.79</v>
      </c>
      <c r="F5087">
        <f t="shared" si="159"/>
        <v>89491</v>
      </c>
      <c r="H5087" s="1406">
        <v>99.14</v>
      </c>
      <c r="I5087" s="1406">
        <v>100.79</v>
      </c>
    </row>
    <row r="5088" spans="2:9" ht="30">
      <c r="B5088" s="677">
        <v>89495</v>
      </c>
      <c r="C5088" s="733" t="s">
        <v>6395</v>
      </c>
      <c r="D5088" s="677" t="s">
        <v>22</v>
      </c>
      <c r="E5088" s="738">
        <f t="shared" si="158"/>
        <v>18</v>
      </c>
      <c r="F5088">
        <f t="shared" si="159"/>
        <v>89495</v>
      </c>
      <c r="H5088" s="1405">
        <v>17.46</v>
      </c>
      <c r="I5088" s="1405">
        <v>18</v>
      </c>
    </row>
    <row r="5089" spans="2:9" ht="30">
      <c r="B5089" s="1477">
        <v>89707</v>
      </c>
      <c r="C5089" s="740" t="s">
        <v>6691</v>
      </c>
      <c r="D5089" s="739" t="s">
        <v>22</v>
      </c>
      <c r="E5089" s="741">
        <f t="shared" si="158"/>
        <v>48.06</v>
      </c>
      <c r="F5089">
        <f t="shared" si="159"/>
        <v>89707</v>
      </c>
      <c r="H5089" s="1406">
        <v>46.12</v>
      </c>
      <c r="I5089" s="1406">
        <v>48.06</v>
      </c>
    </row>
    <row r="5090" spans="2:9" ht="30">
      <c r="B5090" s="677">
        <v>89708</v>
      </c>
      <c r="C5090" s="733" t="s">
        <v>6692</v>
      </c>
      <c r="D5090" s="677" t="s">
        <v>22</v>
      </c>
      <c r="E5090" s="738">
        <f t="shared" si="158"/>
        <v>103.57</v>
      </c>
      <c r="F5090">
        <f t="shared" si="159"/>
        <v>89708</v>
      </c>
      <c r="H5090" s="1405">
        <v>101.24</v>
      </c>
      <c r="I5090" s="1405">
        <v>103.57</v>
      </c>
    </row>
    <row r="5091" spans="2:9" ht="30">
      <c r="B5091" s="1477">
        <v>89709</v>
      </c>
      <c r="C5091" s="740" t="s">
        <v>6693</v>
      </c>
      <c r="D5091" s="739" t="s">
        <v>22</v>
      </c>
      <c r="E5091" s="741">
        <f t="shared" si="158"/>
        <v>20.54</v>
      </c>
      <c r="F5091">
        <f t="shared" si="159"/>
        <v>89709</v>
      </c>
      <c r="H5091" s="1406">
        <v>19.73</v>
      </c>
      <c r="I5091" s="1406">
        <v>20.54</v>
      </c>
    </row>
    <row r="5092" spans="2:9" ht="30">
      <c r="B5092" s="677">
        <v>89710</v>
      </c>
      <c r="C5092" s="733" t="s">
        <v>6694</v>
      </c>
      <c r="D5092" s="677" t="s">
        <v>22</v>
      </c>
      <c r="E5092" s="738">
        <f t="shared" si="158"/>
        <v>18.02</v>
      </c>
      <c r="F5092">
        <f t="shared" si="159"/>
        <v>89710</v>
      </c>
      <c r="H5092" s="1405">
        <v>17.21</v>
      </c>
      <c r="I5092" s="1405">
        <v>18.02</v>
      </c>
    </row>
    <row r="5093" spans="2:9" ht="30">
      <c r="B5093" s="1477">
        <v>104326</v>
      </c>
      <c r="C5093" s="740" t="s">
        <v>6695</v>
      </c>
      <c r="D5093" s="739" t="s">
        <v>22</v>
      </c>
      <c r="E5093" s="741">
        <f t="shared" si="158"/>
        <v>19.579999999999998</v>
      </c>
      <c r="F5093">
        <f t="shared" si="159"/>
        <v>104326</v>
      </c>
      <c r="H5093" s="1406">
        <v>18.77</v>
      </c>
      <c r="I5093" s="1406">
        <v>19.579999999999998</v>
      </c>
    </row>
    <row r="5094" spans="2:9" ht="30">
      <c r="B5094" s="677">
        <v>104327</v>
      </c>
      <c r="C5094" s="733" t="s">
        <v>6696</v>
      </c>
      <c r="D5094" s="677" t="s">
        <v>22</v>
      </c>
      <c r="E5094" s="738">
        <f t="shared" si="158"/>
        <v>18.649999999999999</v>
      </c>
      <c r="F5094">
        <f t="shared" si="159"/>
        <v>104327</v>
      </c>
      <c r="H5094" s="1405">
        <v>17.84</v>
      </c>
      <c r="I5094" s="1405">
        <v>18.649999999999999</v>
      </c>
    </row>
    <row r="5095" spans="2:9" ht="30">
      <c r="B5095" s="1477">
        <v>104328</v>
      </c>
      <c r="C5095" s="740" t="s">
        <v>6697</v>
      </c>
      <c r="D5095" s="739" t="s">
        <v>22</v>
      </c>
      <c r="E5095" s="741">
        <f t="shared" si="158"/>
        <v>69.63</v>
      </c>
      <c r="F5095">
        <f t="shared" si="159"/>
        <v>104328</v>
      </c>
      <c r="H5095" s="1406">
        <v>67.56</v>
      </c>
      <c r="I5095" s="1406">
        <v>69.63</v>
      </c>
    </row>
    <row r="5096" spans="2:9" ht="30">
      <c r="B5096" s="677">
        <v>104329</v>
      </c>
      <c r="C5096" s="733" t="s">
        <v>6698</v>
      </c>
      <c r="D5096" s="677" t="s">
        <v>22</v>
      </c>
      <c r="E5096" s="738">
        <f t="shared" si="158"/>
        <v>78.64</v>
      </c>
      <c r="F5096">
        <f t="shared" si="159"/>
        <v>104329</v>
      </c>
      <c r="H5096" s="1405">
        <v>76.569999999999993</v>
      </c>
      <c r="I5096" s="1405">
        <v>78.64</v>
      </c>
    </row>
    <row r="5097" spans="2:9">
      <c r="B5097" s="1477">
        <v>86872</v>
      </c>
      <c r="C5097" s="740" t="s">
        <v>3055</v>
      </c>
      <c r="D5097" s="739" t="s">
        <v>22</v>
      </c>
      <c r="E5097" s="741">
        <f t="shared" si="158"/>
        <v>683.87</v>
      </c>
      <c r="F5097">
        <f t="shared" si="159"/>
        <v>86872</v>
      </c>
      <c r="H5097" s="1406">
        <v>677.61</v>
      </c>
      <c r="I5097" s="1406">
        <v>683.87</v>
      </c>
    </row>
    <row r="5098" spans="2:9">
      <c r="B5098" s="677">
        <v>86874</v>
      </c>
      <c r="C5098" s="733" t="s">
        <v>3056</v>
      </c>
      <c r="D5098" s="677" t="s">
        <v>22</v>
      </c>
      <c r="E5098" s="738">
        <f t="shared" si="158"/>
        <v>477.88</v>
      </c>
      <c r="F5098">
        <f t="shared" si="159"/>
        <v>86874</v>
      </c>
      <c r="H5098" s="1405">
        <v>474.93</v>
      </c>
      <c r="I5098" s="1405">
        <v>477.88</v>
      </c>
    </row>
    <row r="5099" spans="2:9">
      <c r="B5099" s="1477">
        <v>86875</v>
      </c>
      <c r="C5099" s="740" t="s">
        <v>3057</v>
      </c>
      <c r="D5099" s="739" t="s">
        <v>22</v>
      </c>
      <c r="E5099" s="741">
        <f t="shared" si="158"/>
        <v>558.79</v>
      </c>
      <c r="F5099">
        <f t="shared" si="159"/>
        <v>86875</v>
      </c>
      <c r="H5099" s="1406">
        <v>555.22</v>
      </c>
      <c r="I5099" s="1406">
        <v>558.79</v>
      </c>
    </row>
    <row r="5100" spans="2:9">
      <c r="B5100" s="677">
        <v>86876</v>
      </c>
      <c r="C5100" s="733" t="s">
        <v>3058</v>
      </c>
      <c r="D5100" s="677" t="s">
        <v>22</v>
      </c>
      <c r="E5100" s="738">
        <f t="shared" si="158"/>
        <v>317.8</v>
      </c>
      <c r="F5100">
        <f t="shared" si="159"/>
        <v>86876</v>
      </c>
      <c r="H5100" s="1405">
        <v>315.20999999999998</v>
      </c>
      <c r="I5100" s="1405">
        <v>317.8</v>
      </c>
    </row>
    <row r="5101" spans="2:9" ht="30">
      <c r="B5101" s="1477">
        <v>86877</v>
      </c>
      <c r="C5101" s="740" t="s">
        <v>3059</v>
      </c>
      <c r="D5101" s="739" t="s">
        <v>22</v>
      </c>
      <c r="E5101" s="741">
        <f t="shared" si="158"/>
        <v>66.12</v>
      </c>
      <c r="F5101">
        <f t="shared" si="159"/>
        <v>86877</v>
      </c>
      <c r="H5101" s="1406">
        <v>65.53</v>
      </c>
      <c r="I5101" s="1406">
        <v>66.12</v>
      </c>
    </row>
    <row r="5102" spans="2:9">
      <c r="B5102" s="677">
        <v>86878</v>
      </c>
      <c r="C5102" s="733" t="s">
        <v>3060</v>
      </c>
      <c r="D5102" s="677" t="s">
        <v>22</v>
      </c>
      <c r="E5102" s="738">
        <f t="shared" si="158"/>
        <v>71.290000000000006</v>
      </c>
      <c r="F5102">
        <f t="shared" si="159"/>
        <v>86878</v>
      </c>
      <c r="H5102" s="1405">
        <v>70.7</v>
      </c>
      <c r="I5102" s="1405">
        <v>71.290000000000006</v>
      </c>
    </row>
    <row r="5103" spans="2:9">
      <c r="B5103" s="1477">
        <v>86879</v>
      </c>
      <c r="C5103" s="740" t="s">
        <v>3061</v>
      </c>
      <c r="D5103" s="739" t="s">
        <v>22</v>
      </c>
      <c r="E5103" s="741">
        <f t="shared" si="158"/>
        <v>11.69</v>
      </c>
      <c r="F5103">
        <f t="shared" si="159"/>
        <v>86879</v>
      </c>
      <c r="H5103" s="1406">
        <v>11.28</v>
      </c>
      <c r="I5103" s="1406">
        <v>11.69</v>
      </c>
    </row>
    <row r="5104" spans="2:9" ht="30">
      <c r="B5104" s="677">
        <v>86880</v>
      </c>
      <c r="C5104" s="733" t="s">
        <v>3062</v>
      </c>
      <c r="D5104" s="677" t="s">
        <v>22</v>
      </c>
      <c r="E5104" s="738">
        <f t="shared" si="158"/>
        <v>35.35</v>
      </c>
      <c r="F5104">
        <f t="shared" si="159"/>
        <v>86880</v>
      </c>
      <c r="H5104" s="1405">
        <v>34.94</v>
      </c>
      <c r="I5104" s="1405">
        <v>35.35</v>
      </c>
    </row>
    <row r="5105" spans="2:9">
      <c r="B5105" s="1477">
        <v>86881</v>
      </c>
      <c r="C5105" s="740" t="s">
        <v>3063</v>
      </c>
      <c r="D5105" s="739" t="s">
        <v>22</v>
      </c>
      <c r="E5105" s="741">
        <f t="shared" si="158"/>
        <v>200.84</v>
      </c>
      <c r="F5105">
        <f t="shared" si="159"/>
        <v>86881</v>
      </c>
      <c r="H5105" s="1406">
        <v>199.92</v>
      </c>
      <c r="I5105" s="1406">
        <v>200.84</v>
      </c>
    </row>
    <row r="5106" spans="2:9">
      <c r="B5106" s="677">
        <v>86882</v>
      </c>
      <c r="C5106" s="733" t="s">
        <v>3064</v>
      </c>
      <c r="D5106" s="677" t="s">
        <v>22</v>
      </c>
      <c r="E5106" s="738">
        <f t="shared" si="158"/>
        <v>29.45</v>
      </c>
      <c r="F5106">
        <f t="shared" si="159"/>
        <v>86882</v>
      </c>
      <c r="H5106" s="1405">
        <v>29</v>
      </c>
      <c r="I5106" s="1405">
        <v>29.45</v>
      </c>
    </row>
    <row r="5107" spans="2:9">
      <c r="B5107" s="1477">
        <v>86883</v>
      </c>
      <c r="C5107" s="740" t="s">
        <v>3065</v>
      </c>
      <c r="D5107" s="739" t="s">
        <v>22</v>
      </c>
      <c r="E5107" s="741">
        <f t="shared" si="158"/>
        <v>15.81</v>
      </c>
      <c r="F5107">
        <f t="shared" si="159"/>
        <v>86883</v>
      </c>
      <c r="H5107" s="1406">
        <v>15.52</v>
      </c>
      <c r="I5107" s="1406">
        <v>15.81</v>
      </c>
    </row>
    <row r="5108" spans="2:9">
      <c r="B5108" s="677">
        <v>86884</v>
      </c>
      <c r="C5108" s="733" t="s">
        <v>3066</v>
      </c>
      <c r="D5108" s="677" t="s">
        <v>22</v>
      </c>
      <c r="E5108" s="738">
        <f t="shared" si="158"/>
        <v>12.8</v>
      </c>
      <c r="F5108">
        <f t="shared" si="159"/>
        <v>86884</v>
      </c>
      <c r="H5108" s="1405">
        <v>12.29</v>
      </c>
      <c r="I5108" s="1405">
        <v>12.8</v>
      </c>
    </row>
    <row r="5109" spans="2:9">
      <c r="B5109" s="1477">
        <v>86885</v>
      </c>
      <c r="C5109" s="740" t="s">
        <v>3067</v>
      </c>
      <c r="D5109" s="739" t="s">
        <v>22</v>
      </c>
      <c r="E5109" s="741">
        <f t="shared" si="158"/>
        <v>14.85</v>
      </c>
      <c r="F5109">
        <f t="shared" si="159"/>
        <v>86885</v>
      </c>
      <c r="H5109" s="1406">
        <v>14.34</v>
      </c>
      <c r="I5109" s="1406">
        <v>14.85</v>
      </c>
    </row>
    <row r="5110" spans="2:9">
      <c r="B5110" s="677">
        <v>86886</v>
      </c>
      <c r="C5110" s="733" t="s">
        <v>3068</v>
      </c>
      <c r="D5110" s="677" t="s">
        <v>22</v>
      </c>
      <c r="E5110" s="738">
        <f t="shared" si="158"/>
        <v>48.96</v>
      </c>
      <c r="F5110">
        <f t="shared" si="159"/>
        <v>86886</v>
      </c>
      <c r="H5110" s="1405">
        <v>48.45</v>
      </c>
      <c r="I5110" s="1405">
        <v>48.96</v>
      </c>
    </row>
    <row r="5111" spans="2:9">
      <c r="B5111" s="1477">
        <v>86887</v>
      </c>
      <c r="C5111" s="740" t="s">
        <v>3069</v>
      </c>
      <c r="D5111" s="739" t="s">
        <v>22</v>
      </c>
      <c r="E5111" s="741">
        <f t="shared" si="158"/>
        <v>53.13</v>
      </c>
      <c r="F5111">
        <f t="shared" si="159"/>
        <v>86887</v>
      </c>
      <c r="H5111" s="1406">
        <v>52.62</v>
      </c>
      <c r="I5111" s="1406">
        <v>53.13</v>
      </c>
    </row>
    <row r="5112" spans="2:9">
      <c r="B5112" s="677">
        <v>86888</v>
      </c>
      <c r="C5112" s="733" t="s">
        <v>3070</v>
      </c>
      <c r="D5112" s="677" t="s">
        <v>22</v>
      </c>
      <c r="E5112" s="738">
        <f t="shared" si="158"/>
        <v>466.14</v>
      </c>
      <c r="F5112">
        <f t="shared" si="159"/>
        <v>86888</v>
      </c>
      <c r="H5112" s="1405">
        <v>463.14</v>
      </c>
      <c r="I5112" s="1405">
        <v>466.14</v>
      </c>
    </row>
    <row r="5113" spans="2:9">
      <c r="B5113" s="1477">
        <v>86889</v>
      </c>
      <c r="C5113" s="740" t="s">
        <v>3214</v>
      </c>
      <c r="D5113" s="739" t="s">
        <v>22</v>
      </c>
      <c r="E5113" s="741">
        <f t="shared" si="158"/>
        <v>766.27</v>
      </c>
      <c r="F5113">
        <f t="shared" si="159"/>
        <v>86889</v>
      </c>
      <c r="H5113" s="1406">
        <v>760.37</v>
      </c>
      <c r="I5113" s="1406">
        <v>766.27</v>
      </c>
    </row>
    <row r="5114" spans="2:9">
      <c r="B5114" s="677">
        <v>86893</v>
      </c>
      <c r="C5114" s="733" t="s">
        <v>3215</v>
      </c>
      <c r="D5114" s="677" t="s">
        <v>22</v>
      </c>
      <c r="E5114" s="738">
        <f t="shared" si="158"/>
        <v>615.71</v>
      </c>
      <c r="F5114">
        <f t="shared" si="159"/>
        <v>86893</v>
      </c>
      <c r="H5114" s="1405">
        <v>609.80999999999995</v>
      </c>
      <c r="I5114" s="1405">
        <v>615.71</v>
      </c>
    </row>
    <row r="5115" spans="2:9">
      <c r="B5115" s="1477">
        <v>86894</v>
      </c>
      <c r="C5115" s="740" t="s">
        <v>3216</v>
      </c>
      <c r="D5115" s="739" t="s">
        <v>22</v>
      </c>
      <c r="E5115" s="741">
        <f t="shared" si="158"/>
        <v>318.58</v>
      </c>
      <c r="F5115">
        <f t="shared" si="159"/>
        <v>86894</v>
      </c>
      <c r="H5115" s="1406">
        <v>315.05</v>
      </c>
      <c r="I5115" s="1406">
        <v>318.58</v>
      </c>
    </row>
    <row r="5116" spans="2:9">
      <c r="B5116" s="677">
        <v>86895</v>
      </c>
      <c r="C5116" s="733" t="s">
        <v>3217</v>
      </c>
      <c r="D5116" s="677" t="s">
        <v>22</v>
      </c>
      <c r="E5116" s="738">
        <f t="shared" si="158"/>
        <v>366.09</v>
      </c>
      <c r="F5116">
        <f t="shared" si="159"/>
        <v>86895</v>
      </c>
      <c r="H5116" s="1405">
        <v>359.08</v>
      </c>
      <c r="I5116" s="1405">
        <v>366.09</v>
      </c>
    </row>
    <row r="5117" spans="2:9">
      <c r="B5117" s="1477">
        <v>86899</v>
      </c>
      <c r="C5117" s="740" t="s">
        <v>3218</v>
      </c>
      <c r="D5117" s="739" t="s">
        <v>22</v>
      </c>
      <c r="E5117" s="741">
        <f t="shared" si="158"/>
        <v>309.61</v>
      </c>
      <c r="F5117">
        <f t="shared" si="159"/>
        <v>86899</v>
      </c>
      <c r="H5117" s="1406">
        <v>302.60000000000002</v>
      </c>
      <c r="I5117" s="1406">
        <v>309.61</v>
      </c>
    </row>
    <row r="5118" spans="2:9">
      <c r="B5118" s="677">
        <v>86900</v>
      </c>
      <c r="C5118" s="733" t="s">
        <v>3071</v>
      </c>
      <c r="D5118" s="677" t="s">
        <v>22</v>
      </c>
      <c r="E5118" s="738">
        <f t="shared" si="158"/>
        <v>211.87</v>
      </c>
      <c r="F5118">
        <f t="shared" si="159"/>
        <v>86900</v>
      </c>
      <c r="H5118" s="1405">
        <v>210.31</v>
      </c>
      <c r="I5118" s="1405">
        <v>211.87</v>
      </c>
    </row>
    <row r="5119" spans="2:9">
      <c r="B5119" s="1477">
        <v>86901</v>
      </c>
      <c r="C5119" s="740" t="s">
        <v>3072</v>
      </c>
      <c r="D5119" s="739" t="s">
        <v>22</v>
      </c>
      <c r="E5119" s="741">
        <f t="shared" si="158"/>
        <v>147.06</v>
      </c>
      <c r="F5119">
        <f t="shared" si="159"/>
        <v>86901</v>
      </c>
      <c r="H5119" s="1406">
        <v>144.29</v>
      </c>
      <c r="I5119" s="1406">
        <v>147.06</v>
      </c>
    </row>
    <row r="5120" spans="2:9">
      <c r="B5120" s="677">
        <v>86902</v>
      </c>
      <c r="C5120" s="733" t="s">
        <v>3073</v>
      </c>
      <c r="D5120" s="677" t="s">
        <v>22</v>
      </c>
      <c r="E5120" s="738">
        <f t="shared" si="158"/>
        <v>298.88</v>
      </c>
      <c r="F5120">
        <f t="shared" si="159"/>
        <v>86902</v>
      </c>
      <c r="H5120" s="1405">
        <v>295.58</v>
      </c>
      <c r="I5120" s="1405">
        <v>298.88</v>
      </c>
    </row>
    <row r="5121" spans="2:9" ht="30">
      <c r="B5121" s="1477">
        <v>86903</v>
      </c>
      <c r="C5121" s="740" t="s">
        <v>3074</v>
      </c>
      <c r="D5121" s="739" t="s">
        <v>22</v>
      </c>
      <c r="E5121" s="741">
        <f t="shared" si="158"/>
        <v>338.38</v>
      </c>
      <c r="F5121">
        <f t="shared" si="159"/>
        <v>86903</v>
      </c>
      <c r="H5121" s="1406">
        <v>333.06</v>
      </c>
      <c r="I5121" s="1406">
        <v>338.38</v>
      </c>
    </row>
    <row r="5122" spans="2:9" ht="30">
      <c r="B5122" s="677">
        <v>86904</v>
      </c>
      <c r="C5122" s="733" t="s">
        <v>3075</v>
      </c>
      <c r="D5122" s="677" t="s">
        <v>22</v>
      </c>
      <c r="E5122" s="738">
        <f t="shared" si="158"/>
        <v>140.46</v>
      </c>
      <c r="F5122">
        <f t="shared" si="159"/>
        <v>86904</v>
      </c>
      <c r="H5122" s="1405">
        <v>139.02000000000001</v>
      </c>
      <c r="I5122" s="1405">
        <v>140.46</v>
      </c>
    </row>
    <row r="5123" spans="2:9">
      <c r="B5123" s="1477">
        <v>86905</v>
      </c>
      <c r="C5123" s="740" t="s">
        <v>3076</v>
      </c>
      <c r="D5123" s="739" t="s">
        <v>22</v>
      </c>
      <c r="E5123" s="741">
        <f t="shared" ref="E5123:E5186" si="160">IF($K$2=$H$1,H5123,I5123)</f>
        <v>433.02</v>
      </c>
      <c r="F5123">
        <f t="shared" ref="F5123:F5186" si="161">IF(LEN($B5123)=7,CONCATENATE(MID($B5123,1,6),"00",RIGHT($B5123,1)),IF(LEN($B5123)=8,CONCATENATE(MID($B5123,1,6),"0",RIGHT($B5123,2)),$B5123))</f>
        <v>86905</v>
      </c>
      <c r="H5123" s="1406">
        <v>431.46</v>
      </c>
      <c r="I5123" s="1406">
        <v>433.02</v>
      </c>
    </row>
    <row r="5124" spans="2:9">
      <c r="B5124" s="677">
        <v>86906</v>
      </c>
      <c r="C5124" s="733" t="s">
        <v>3077</v>
      </c>
      <c r="D5124" s="677" t="s">
        <v>22</v>
      </c>
      <c r="E5124" s="738">
        <f t="shared" si="160"/>
        <v>80.08</v>
      </c>
      <c r="F5124">
        <f t="shared" si="161"/>
        <v>86906</v>
      </c>
      <c r="H5124" s="1405">
        <v>79.75</v>
      </c>
      <c r="I5124" s="1405">
        <v>80.08</v>
      </c>
    </row>
    <row r="5125" spans="2:9">
      <c r="B5125" s="1477">
        <v>86908</v>
      </c>
      <c r="C5125" s="740" t="s">
        <v>3078</v>
      </c>
      <c r="D5125" s="739" t="s">
        <v>22</v>
      </c>
      <c r="E5125" s="741">
        <f t="shared" si="160"/>
        <v>519.47</v>
      </c>
      <c r="F5125">
        <f t="shared" si="161"/>
        <v>86908</v>
      </c>
      <c r="H5125" s="1406">
        <v>518.70000000000005</v>
      </c>
      <c r="I5125" s="1406">
        <v>519.47</v>
      </c>
    </row>
    <row r="5126" spans="2:9" ht="30">
      <c r="B5126" s="677">
        <v>86909</v>
      </c>
      <c r="C5126" s="733" t="s">
        <v>3079</v>
      </c>
      <c r="D5126" s="677" t="s">
        <v>22</v>
      </c>
      <c r="E5126" s="738">
        <f t="shared" si="160"/>
        <v>139.06</v>
      </c>
      <c r="F5126">
        <f t="shared" si="161"/>
        <v>86909</v>
      </c>
      <c r="H5126" s="1405">
        <v>138.51</v>
      </c>
      <c r="I5126" s="1405">
        <v>139.06</v>
      </c>
    </row>
    <row r="5127" spans="2:9" ht="30">
      <c r="B5127" s="1477">
        <v>86910</v>
      </c>
      <c r="C5127" s="740" t="s">
        <v>3080</v>
      </c>
      <c r="D5127" s="739" t="s">
        <v>22</v>
      </c>
      <c r="E5127" s="741">
        <f t="shared" si="160"/>
        <v>137.04</v>
      </c>
      <c r="F5127">
        <f t="shared" si="161"/>
        <v>86910</v>
      </c>
      <c r="H5127" s="1406">
        <v>136.65</v>
      </c>
      <c r="I5127" s="1406">
        <v>137.04</v>
      </c>
    </row>
    <row r="5128" spans="2:9" ht="30">
      <c r="B5128" s="677">
        <v>86911</v>
      </c>
      <c r="C5128" s="733" t="s">
        <v>3081</v>
      </c>
      <c r="D5128" s="677" t="s">
        <v>22</v>
      </c>
      <c r="E5128" s="738">
        <f t="shared" si="160"/>
        <v>93.7</v>
      </c>
      <c r="F5128">
        <f t="shared" si="161"/>
        <v>86911</v>
      </c>
      <c r="H5128" s="1405">
        <v>93.31</v>
      </c>
      <c r="I5128" s="1405">
        <v>93.7</v>
      </c>
    </row>
    <row r="5129" spans="2:9">
      <c r="B5129" s="1477">
        <v>86913</v>
      </c>
      <c r="C5129" s="740" t="s">
        <v>3082</v>
      </c>
      <c r="D5129" s="739" t="s">
        <v>22</v>
      </c>
      <c r="E5129" s="741">
        <f t="shared" si="160"/>
        <v>58.45</v>
      </c>
      <c r="F5129">
        <f t="shared" si="161"/>
        <v>86913</v>
      </c>
      <c r="H5129" s="1406">
        <v>57.94</v>
      </c>
      <c r="I5129" s="1406">
        <v>58.45</v>
      </c>
    </row>
    <row r="5130" spans="2:9">
      <c r="B5130" s="677">
        <v>86914</v>
      </c>
      <c r="C5130" s="733" t="s">
        <v>3083</v>
      </c>
      <c r="D5130" s="677" t="s">
        <v>22</v>
      </c>
      <c r="E5130" s="738">
        <f t="shared" si="160"/>
        <v>105.15</v>
      </c>
      <c r="F5130">
        <f t="shared" si="161"/>
        <v>86914</v>
      </c>
      <c r="H5130" s="1405">
        <v>104.64</v>
      </c>
      <c r="I5130" s="1405">
        <v>105.15</v>
      </c>
    </row>
    <row r="5131" spans="2:9">
      <c r="B5131" s="1477">
        <v>86915</v>
      </c>
      <c r="C5131" s="740" t="s">
        <v>3084</v>
      </c>
      <c r="D5131" s="739" t="s">
        <v>22</v>
      </c>
      <c r="E5131" s="741">
        <f t="shared" si="160"/>
        <v>153.54</v>
      </c>
      <c r="F5131">
        <f t="shared" si="161"/>
        <v>86915</v>
      </c>
      <c r="H5131" s="1406">
        <v>153.21</v>
      </c>
      <c r="I5131" s="1406">
        <v>153.54</v>
      </c>
    </row>
    <row r="5132" spans="2:9">
      <c r="B5132" s="677">
        <v>86916</v>
      </c>
      <c r="C5132" s="733" t="s">
        <v>3085</v>
      </c>
      <c r="D5132" s="677" t="s">
        <v>22</v>
      </c>
      <c r="E5132" s="738">
        <f t="shared" si="160"/>
        <v>29.85</v>
      </c>
      <c r="F5132">
        <f t="shared" si="161"/>
        <v>86916</v>
      </c>
      <c r="H5132" s="1405">
        <v>29.34</v>
      </c>
      <c r="I5132" s="1405">
        <v>29.85</v>
      </c>
    </row>
    <row r="5133" spans="2:9" ht="30">
      <c r="B5133" s="1477">
        <v>86919</v>
      </c>
      <c r="C5133" s="740" t="s">
        <v>3086</v>
      </c>
      <c r="D5133" s="739" t="s">
        <v>22</v>
      </c>
      <c r="E5133" s="741">
        <f t="shared" si="160"/>
        <v>870.95</v>
      </c>
      <c r="F5133">
        <f t="shared" si="161"/>
        <v>86919</v>
      </c>
      <c r="H5133" s="1406">
        <v>863.3</v>
      </c>
      <c r="I5133" s="1406">
        <v>870.95</v>
      </c>
    </row>
    <row r="5134" spans="2:9" ht="30">
      <c r="B5134" s="677">
        <v>86920</v>
      </c>
      <c r="C5134" s="733" t="s">
        <v>3087</v>
      </c>
      <c r="D5134" s="677" t="s">
        <v>22</v>
      </c>
      <c r="E5134" s="738">
        <f t="shared" si="160"/>
        <v>769.82</v>
      </c>
      <c r="F5134">
        <f t="shared" si="161"/>
        <v>86920</v>
      </c>
      <c r="H5134" s="1405">
        <v>762.35</v>
      </c>
      <c r="I5134" s="1405">
        <v>769.82</v>
      </c>
    </row>
    <row r="5135" spans="2:9" ht="30">
      <c r="B5135" s="1477">
        <v>86921</v>
      </c>
      <c r="C5135" s="740" t="s">
        <v>3088</v>
      </c>
      <c r="D5135" s="739" t="s">
        <v>22</v>
      </c>
      <c r="E5135" s="741">
        <f t="shared" si="160"/>
        <v>741.22</v>
      </c>
      <c r="F5135">
        <f t="shared" si="161"/>
        <v>86921</v>
      </c>
      <c r="H5135" s="1406">
        <v>733.75</v>
      </c>
      <c r="I5135" s="1406">
        <v>741.22</v>
      </c>
    </row>
    <row r="5136" spans="2:9" ht="30">
      <c r="B5136" s="677">
        <v>86922</v>
      </c>
      <c r="C5136" s="733" t="s">
        <v>3089</v>
      </c>
      <c r="D5136" s="677" t="s">
        <v>22</v>
      </c>
      <c r="E5136" s="738">
        <f t="shared" si="160"/>
        <v>849.99</v>
      </c>
      <c r="F5136">
        <f t="shared" si="161"/>
        <v>86922</v>
      </c>
      <c r="H5136" s="1405">
        <v>845.02</v>
      </c>
      <c r="I5136" s="1405">
        <v>849.99</v>
      </c>
    </row>
    <row r="5137" spans="2:9" ht="30">
      <c r="B5137" s="1477">
        <v>86923</v>
      </c>
      <c r="C5137" s="740" t="s">
        <v>3090</v>
      </c>
      <c r="D5137" s="739" t="s">
        <v>22</v>
      </c>
      <c r="E5137" s="741">
        <f t="shared" si="160"/>
        <v>577.47</v>
      </c>
      <c r="F5137">
        <f t="shared" si="161"/>
        <v>86923</v>
      </c>
      <c r="H5137" s="1406">
        <v>573.15</v>
      </c>
      <c r="I5137" s="1406">
        <v>577.47</v>
      </c>
    </row>
    <row r="5138" spans="2:9" ht="30">
      <c r="B5138" s="677">
        <v>86924</v>
      </c>
      <c r="C5138" s="733" t="s">
        <v>3091</v>
      </c>
      <c r="D5138" s="677" t="s">
        <v>22</v>
      </c>
      <c r="E5138" s="738">
        <f t="shared" si="160"/>
        <v>548.87</v>
      </c>
      <c r="F5138">
        <f t="shared" si="161"/>
        <v>86924</v>
      </c>
      <c r="H5138" s="1405">
        <v>544.54999999999995</v>
      </c>
      <c r="I5138" s="1405">
        <v>548.87</v>
      </c>
    </row>
    <row r="5139" spans="2:9" ht="30">
      <c r="B5139" s="1477">
        <v>86925</v>
      </c>
      <c r="C5139" s="740" t="s">
        <v>3092</v>
      </c>
      <c r="D5139" s="739" t="s">
        <v>22</v>
      </c>
      <c r="E5139" s="741">
        <f t="shared" si="160"/>
        <v>644.74</v>
      </c>
      <c r="F5139">
        <f t="shared" si="161"/>
        <v>86925</v>
      </c>
      <c r="H5139" s="1406">
        <v>639.96</v>
      </c>
      <c r="I5139" s="1406">
        <v>644.74</v>
      </c>
    </row>
    <row r="5140" spans="2:9" ht="30">
      <c r="B5140" s="677">
        <v>86926</v>
      </c>
      <c r="C5140" s="733" t="s">
        <v>3093</v>
      </c>
      <c r="D5140" s="677" t="s">
        <v>22</v>
      </c>
      <c r="E5140" s="738">
        <f t="shared" si="160"/>
        <v>616.14</v>
      </c>
      <c r="F5140">
        <f t="shared" si="161"/>
        <v>86926</v>
      </c>
      <c r="H5140" s="1405">
        <v>611.36</v>
      </c>
      <c r="I5140" s="1405">
        <v>616.14</v>
      </c>
    </row>
    <row r="5141" spans="2:9" ht="30">
      <c r="B5141" s="1477">
        <v>86927</v>
      </c>
      <c r="C5141" s="740" t="s">
        <v>3094</v>
      </c>
      <c r="D5141" s="739" t="s">
        <v>22</v>
      </c>
      <c r="E5141" s="741">
        <f t="shared" si="160"/>
        <v>417.39</v>
      </c>
      <c r="F5141">
        <f t="shared" si="161"/>
        <v>86927</v>
      </c>
      <c r="H5141" s="1406">
        <v>413.43</v>
      </c>
      <c r="I5141" s="1406">
        <v>417.39</v>
      </c>
    </row>
    <row r="5142" spans="2:9" ht="30">
      <c r="B5142" s="677">
        <v>86928</v>
      </c>
      <c r="C5142" s="733" t="s">
        <v>3095</v>
      </c>
      <c r="D5142" s="677" t="s">
        <v>22</v>
      </c>
      <c r="E5142" s="738">
        <f t="shared" si="160"/>
        <v>388.79</v>
      </c>
      <c r="F5142">
        <f t="shared" si="161"/>
        <v>86928</v>
      </c>
      <c r="H5142" s="1405">
        <v>384.83</v>
      </c>
      <c r="I5142" s="1405">
        <v>388.79</v>
      </c>
    </row>
    <row r="5143" spans="2:9" ht="30">
      <c r="B5143" s="1477">
        <v>86929</v>
      </c>
      <c r="C5143" s="740" t="s">
        <v>3096</v>
      </c>
      <c r="D5143" s="739" t="s">
        <v>22</v>
      </c>
      <c r="E5143" s="741">
        <f t="shared" si="160"/>
        <v>403.75</v>
      </c>
      <c r="F5143">
        <f t="shared" si="161"/>
        <v>86929</v>
      </c>
      <c r="H5143" s="1406">
        <v>399.95</v>
      </c>
      <c r="I5143" s="1406">
        <v>403.75</v>
      </c>
    </row>
    <row r="5144" spans="2:9" ht="30">
      <c r="B5144" s="677">
        <v>86930</v>
      </c>
      <c r="C5144" s="733" t="s">
        <v>3097</v>
      </c>
      <c r="D5144" s="677" t="s">
        <v>22</v>
      </c>
      <c r="E5144" s="738">
        <f t="shared" si="160"/>
        <v>375.15</v>
      </c>
      <c r="F5144">
        <f t="shared" si="161"/>
        <v>86930</v>
      </c>
      <c r="H5144" s="1405">
        <v>371.35</v>
      </c>
      <c r="I5144" s="1405">
        <v>375.15</v>
      </c>
    </row>
    <row r="5145" spans="2:9" ht="30">
      <c r="B5145" s="1477">
        <v>86931</v>
      </c>
      <c r="C5145" s="740" t="s">
        <v>3098</v>
      </c>
      <c r="D5145" s="739" t="s">
        <v>22</v>
      </c>
      <c r="E5145" s="741">
        <f t="shared" si="160"/>
        <v>480.99</v>
      </c>
      <c r="F5145">
        <f t="shared" si="161"/>
        <v>86931</v>
      </c>
      <c r="H5145" s="1406">
        <v>477.48</v>
      </c>
      <c r="I5145" s="1406">
        <v>480.99</v>
      </c>
    </row>
    <row r="5146" spans="2:9" ht="30">
      <c r="B5146" s="677">
        <v>86932</v>
      </c>
      <c r="C5146" s="733" t="s">
        <v>3099</v>
      </c>
      <c r="D5146" s="677" t="s">
        <v>22</v>
      </c>
      <c r="E5146" s="738">
        <f t="shared" si="160"/>
        <v>519.27</v>
      </c>
      <c r="F5146">
        <f t="shared" si="161"/>
        <v>86932</v>
      </c>
      <c r="H5146" s="1405">
        <v>515.76</v>
      </c>
      <c r="I5146" s="1405">
        <v>519.27</v>
      </c>
    </row>
    <row r="5147" spans="2:9" ht="45">
      <c r="B5147" s="1477">
        <v>86933</v>
      </c>
      <c r="C5147" s="740" t="s">
        <v>3100</v>
      </c>
      <c r="D5147" s="739" t="s">
        <v>22</v>
      </c>
      <c r="E5147" s="741">
        <f t="shared" si="160"/>
        <v>477.08</v>
      </c>
      <c r="F5147">
        <f t="shared" si="161"/>
        <v>86933</v>
      </c>
      <c r="H5147" s="1406">
        <v>472.3</v>
      </c>
      <c r="I5147" s="1406">
        <v>477.08</v>
      </c>
    </row>
    <row r="5148" spans="2:9" ht="45">
      <c r="B5148" s="677">
        <v>86934</v>
      </c>
      <c r="C5148" s="733" t="s">
        <v>3101</v>
      </c>
      <c r="D5148" s="677" t="s">
        <v>22</v>
      </c>
      <c r="E5148" s="738">
        <f t="shared" si="160"/>
        <v>463.44</v>
      </c>
      <c r="F5148">
        <f t="shared" si="161"/>
        <v>86934</v>
      </c>
      <c r="H5148" s="1405">
        <v>458.82</v>
      </c>
      <c r="I5148" s="1405">
        <v>463.44</v>
      </c>
    </row>
    <row r="5149" spans="2:9" ht="30">
      <c r="B5149" s="1477">
        <v>86935</v>
      </c>
      <c r="C5149" s="740" t="s">
        <v>3102</v>
      </c>
      <c r="D5149" s="739" t="s">
        <v>22</v>
      </c>
      <c r="E5149" s="741">
        <f t="shared" si="160"/>
        <v>298.97000000000003</v>
      </c>
      <c r="F5149">
        <f t="shared" si="161"/>
        <v>86935</v>
      </c>
      <c r="H5149" s="1406">
        <v>296.52999999999997</v>
      </c>
      <c r="I5149" s="1406">
        <v>298.97000000000003</v>
      </c>
    </row>
    <row r="5150" spans="2:9" ht="30">
      <c r="B5150" s="677">
        <v>86936</v>
      </c>
      <c r="C5150" s="733" t="s">
        <v>3103</v>
      </c>
      <c r="D5150" s="677" t="s">
        <v>22</v>
      </c>
      <c r="E5150" s="738">
        <f t="shared" si="160"/>
        <v>484</v>
      </c>
      <c r="F5150">
        <f t="shared" si="161"/>
        <v>86936</v>
      </c>
      <c r="H5150" s="1405">
        <v>480.93</v>
      </c>
      <c r="I5150" s="1405">
        <v>484</v>
      </c>
    </row>
    <row r="5151" spans="2:9" ht="30">
      <c r="B5151" s="1477">
        <v>86937</v>
      </c>
      <c r="C5151" s="740" t="s">
        <v>3104</v>
      </c>
      <c r="D5151" s="739" t="s">
        <v>22</v>
      </c>
      <c r="E5151" s="741">
        <f t="shared" si="160"/>
        <v>228.99</v>
      </c>
      <c r="F5151">
        <f t="shared" si="161"/>
        <v>86937</v>
      </c>
      <c r="H5151" s="1406">
        <v>225.34</v>
      </c>
      <c r="I5151" s="1406">
        <v>228.99</v>
      </c>
    </row>
    <row r="5152" spans="2:9" ht="30">
      <c r="B5152" s="677">
        <v>86938</v>
      </c>
      <c r="C5152" s="733" t="s">
        <v>3105</v>
      </c>
      <c r="D5152" s="677" t="s">
        <v>22</v>
      </c>
      <c r="E5152" s="738">
        <f t="shared" si="160"/>
        <v>414.02</v>
      </c>
      <c r="F5152">
        <f t="shared" si="161"/>
        <v>86938</v>
      </c>
      <c r="H5152" s="1405">
        <v>409.74</v>
      </c>
      <c r="I5152" s="1405">
        <v>414.02</v>
      </c>
    </row>
    <row r="5153" spans="2:9" ht="30">
      <c r="B5153" s="1477">
        <v>86939</v>
      </c>
      <c r="C5153" s="740" t="s">
        <v>3106</v>
      </c>
      <c r="D5153" s="739" t="s">
        <v>22</v>
      </c>
      <c r="E5153" s="741">
        <f t="shared" si="160"/>
        <v>419.26</v>
      </c>
      <c r="F5153">
        <f t="shared" si="161"/>
        <v>86939</v>
      </c>
      <c r="H5153" s="1406">
        <v>414.42</v>
      </c>
      <c r="I5153" s="1406">
        <v>419.26</v>
      </c>
    </row>
    <row r="5154" spans="2:9" ht="45">
      <c r="B5154" s="677">
        <v>86940</v>
      </c>
      <c r="C5154" s="733" t="s">
        <v>3107</v>
      </c>
      <c r="D5154" s="677" t="s">
        <v>22</v>
      </c>
      <c r="E5154" s="738">
        <f t="shared" si="160"/>
        <v>1144.6199999999999</v>
      </c>
      <c r="F5154">
        <f t="shared" si="161"/>
        <v>86940</v>
      </c>
      <c r="H5154" s="1405">
        <v>1135.21</v>
      </c>
      <c r="I5154" s="1405">
        <v>1144.6199999999999</v>
      </c>
    </row>
    <row r="5155" spans="2:9" ht="45">
      <c r="B5155" s="1477">
        <v>86941</v>
      </c>
      <c r="C5155" s="740" t="s">
        <v>3108</v>
      </c>
      <c r="D5155" s="739" t="s">
        <v>22</v>
      </c>
      <c r="E5155" s="741">
        <f t="shared" si="160"/>
        <v>812.01</v>
      </c>
      <c r="F5155">
        <f t="shared" si="161"/>
        <v>86941</v>
      </c>
      <c r="H5155" s="1406">
        <v>804.34</v>
      </c>
      <c r="I5155" s="1406">
        <v>812.01</v>
      </c>
    </row>
    <row r="5156" spans="2:9" ht="45">
      <c r="B5156" s="677">
        <v>86942</v>
      </c>
      <c r="C5156" s="733" t="s">
        <v>3109</v>
      </c>
      <c r="D5156" s="677" t="s">
        <v>22</v>
      </c>
      <c r="E5156" s="738">
        <f t="shared" si="160"/>
        <v>274.48</v>
      </c>
      <c r="F5156">
        <f t="shared" si="161"/>
        <v>86942</v>
      </c>
      <c r="H5156" s="1405">
        <v>271.33999999999997</v>
      </c>
      <c r="I5156" s="1405">
        <v>274.48</v>
      </c>
    </row>
    <row r="5157" spans="2:9" ht="45">
      <c r="B5157" s="1477">
        <v>86943</v>
      </c>
      <c r="C5157" s="740" t="s">
        <v>3110</v>
      </c>
      <c r="D5157" s="739" t="s">
        <v>22</v>
      </c>
      <c r="E5157" s="741">
        <f t="shared" si="160"/>
        <v>260.83999999999997</v>
      </c>
      <c r="F5157">
        <f t="shared" si="161"/>
        <v>86943</v>
      </c>
      <c r="H5157" s="1406">
        <v>257.86</v>
      </c>
      <c r="I5157" s="1406">
        <v>260.83999999999997</v>
      </c>
    </row>
    <row r="5158" spans="2:9" ht="45">
      <c r="B5158" s="677">
        <v>86947</v>
      </c>
      <c r="C5158" s="733" t="s">
        <v>3111</v>
      </c>
      <c r="D5158" s="677" t="s">
        <v>22</v>
      </c>
      <c r="E5158" s="738">
        <f t="shared" si="160"/>
        <v>1262.9100000000001</v>
      </c>
      <c r="F5158">
        <f t="shared" si="161"/>
        <v>86947</v>
      </c>
      <c r="H5158" s="1405">
        <v>1249.04</v>
      </c>
      <c r="I5158" s="1405">
        <v>1262.9100000000001</v>
      </c>
    </row>
    <row r="5159" spans="2:9" ht="45">
      <c r="B5159" s="1477">
        <v>93396</v>
      </c>
      <c r="C5159" s="740" t="s">
        <v>3112</v>
      </c>
      <c r="D5159" s="739" t="s">
        <v>22</v>
      </c>
      <c r="E5159" s="741">
        <f t="shared" si="160"/>
        <v>687.96</v>
      </c>
      <c r="F5159">
        <f t="shared" si="161"/>
        <v>93396</v>
      </c>
      <c r="H5159" s="1406">
        <v>676.46</v>
      </c>
      <c r="I5159" s="1406">
        <v>687.96</v>
      </c>
    </row>
    <row r="5160" spans="2:9" ht="45">
      <c r="B5160" s="677">
        <v>93441</v>
      </c>
      <c r="C5160" s="733" t="s">
        <v>3113</v>
      </c>
      <c r="D5160" s="677" t="s">
        <v>22</v>
      </c>
      <c r="E5160" s="738">
        <f t="shared" si="160"/>
        <v>1171.74</v>
      </c>
      <c r="F5160">
        <f t="shared" si="161"/>
        <v>93441</v>
      </c>
      <c r="H5160" s="1405">
        <v>1162.5</v>
      </c>
      <c r="I5160" s="1405">
        <v>1171.74</v>
      </c>
    </row>
    <row r="5161" spans="2:9" ht="45">
      <c r="B5161" s="1477">
        <v>93442</v>
      </c>
      <c r="C5161" s="740" t="s">
        <v>3114</v>
      </c>
      <c r="D5161" s="739" t="s">
        <v>22</v>
      </c>
      <c r="E5161" s="741">
        <f t="shared" si="160"/>
        <v>1251.57</v>
      </c>
      <c r="F5161">
        <f t="shared" si="161"/>
        <v>93442</v>
      </c>
      <c r="H5161" s="1406">
        <v>1241.54</v>
      </c>
      <c r="I5161" s="1406">
        <v>1251.57</v>
      </c>
    </row>
    <row r="5162" spans="2:9">
      <c r="B5162" s="677">
        <v>95469</v>
      </c>
      <c r="C5162" s="733" t="s">
        <v>3115</v>
      </c>
      <c r="D5162" s="677" t="s">
        <v>22</v>
      </c>
      <c r="E5162" s="738">
        <f t="shared" si="160"/>
        <v>285.51</v>
      </c>
      <c r="F5162">
        <f t="shared" si="161"/>
        <v>95469</v>
      </c>
      <c r="H5162" s="1405">
        <v>283.44</v>
      </c>
      <c r="I5162" s="1405">
        <v>285.51</v>
      </c>
    </row>
    <row r="5163" spans="2:9" ht="30">
      <c r="B5163" s="1477">
        <v>95470</v>
      </c>
      <c r="C5163" s="740" t="s">
        <v>1474</v>
      </c>
      <c r="D5163" s="739" t="s">
        <v>22</v>
      </c>
      <c r="E5163" s="741">
        <f t="shared" si="160"/>
        <v>294.01</v>
      </c>
      <c r="F5163">
        <f t="shared" si="161"/>
        <v>95470</v>
      </c>
      <c r="H5163" s="1406">
        <v>291.94</v>
      </c>
      <c r="I5163" s="1406">
        <v>294.01</v>
      </c>
    </row>
    <row r="5164" spans="2:9" ht="30">
      <c r="B5164" s="677">
        <v>95471</v>
      </c>
      <c r="C5164" s="733" t="s">
        <v>3116</v>
      </c>
      <c r="D5164" s="677" t="s">
        <v>22</v>
      </c>
      <c r="E5164" s="738">
        <f t="shared" si="160"/>
        <v>730.23</v>
      </c>
      <c r="F5164">
        <f t="shared" si="161"/>
        <v>95471</v>
      </c>
      <c r="H5164" s="1405">
        <v>725.96</v>
      </c>
      <c r="I5164" s="1405">
        <v>730.23</v>
      </c>
    </row>
    <row r="5165" spans="2:9" ht="30">
      <c r="B5165" s="1477">
        <v>95472</v>
      </c>
      <c r="C5165" s="740" t="s">
        <v>3117</v>
      </c>
      <c r="D5165" s="739" t="s">
        <v>22</v>
      </c>
      <c r="E5165" s="741">
        <f t="shared" si="160"/>
        <v>738.73</v>
      </c>
      <c r="F5165">
        <f t="shared" si="161"/>
        <v>95472</v>
      </c>
      <c r="H5165" s="1406">
        <v>734.46</v>
      </c>
      <c r="I5165" s="1406">
        <v>738.73</v>
      </c>
    </row>
    <row r="5166" spans="2:9">
      <c r="B5166" s="677">
        <v>95542</v>
      </c>
      <c r="C5166" s="733" t="s">
        <v>3118</v>
      </c>
      <c r="D5166" s="677" t="s">
        <v>22</v>
      </c>
      <c r="E5166" s="738">
        <f t="shared" si="160"/>
        <v>33.590000000000003</v>
      </c>
      <c r="F5166">
        <f t="shared" si="161"/>
        <v>95542</v>
      </c>
      <c r="H5166" s="1405">
        <v>32.520000000000003</v>
      </c>
      <c r="I5166" s="1405">
        <v>33.590000000000003</v>
      </c>
    </row>
    <row r="5167" spans="2:9">
      <c r="B5167" s="1477">
        <v>95543</v>
      </c>
      <c r="C5167" s="740" t="s">
        <v>3119</v>
      </c>
      <c r="D5167" s="739" t="s">
        <v>22</v>
      </c>
      <c r="E5167" s="741">
        <f t="shared" si="160"/>
        <v>56.79</v>
      </c>
      <c r="F5167">
        <f t="shared" si="161"/>
        <v>95543</v>
      </c>
      <c r="H5167" s="1406">
        <v>54.66</v>
      </c>
      <c r="I5167" s="1406">
        <v>56.79</v>
      </c>
    </row>
    <row r="5168" spans="2:9">
      <c r="B5168" s="677">
        <v>95544</v>
      </c>
      <c r="C5168" s="733" t="s">
        <v>3120</v>
      </c>
      <c r="D5168" s="677" t="s">
        <v>22</v>
      </c>
      <c r="E5168" s="738">
        <f t="shared" si="160"/>
        <v>40.85</v>
      </c>
      <c r="F5168">
        <f t="shared" si="161"/>
        <v>95544</v>
      </c>
      <c r="H5168" s="1405">
        <v>39.78</v>
      </c>
      <c r="I5168" s="1405">
        <v>40.85</v>
      </c>
    </row>
    <row r="5169" spans="2:9">
      <c r="B5169" s="1477">
        <v>95545</v>
      </c>
      <c r="C5169" s="740" t="s">
        <v>3121</v>
      </c>
      <c r="D5169" s="739" t="s">
        <v>22</v>
      </c>
      <c r="E5169" s="741">
        <f t="shared" si="160"/>
        <v>40.08</v>
      </c>
      <c r="F5169">
        <f t="shared" si="161"/>
        <v>95545</v>
      </c>
      <c r="H5169" s="1406">
        <v>39.01</v>
      </c>
      <c r="I5169" s="1406">
        <v>40.08</v>
      </c>
    </row>
    <row r="5170" spans="2:9">
      <c r="B5170" s="677">
        <v>95546</v>
      </c>
      <c r="C5170" s="733" t="s">
        <v>3122</v>
      </c>
      <c r="D5170" s="677" t="s">
        <v>22</v>
      </c>
      <c r="E5170" s="738">
        <f t="shared" si="160"/>
        <v>139.66</v>
      </c>
      <c r="F5170">
        <f t="shared" si="161"/>
        <v>95546</v>
      </c>
      <c r="H5170" s="1405">
        <v>133.27000000000001</v>
      </c>
      <c r="I5170" s="1405">
        <v>139.66</v>
      </c>
    </row>
    <row r="5171" spans="2:9" ht="30">
      <c r="B5171" s="1477">
        <v>95547</v>
      </c>
      <c r="C5171" s="740" t="s">
        <v>3123</v>
      </c>
      <c r="D5171" s="739" t="s">
        <v>22</v>
      </c>
      <c r="E5171" s="741">
        <f t="shared" si="160"/>
        <v>72.040000000000006</v>
      </c>
      <c r="F5171">
        <f t="shared" si="161"/>
        <v>95547</v>
      </c>
      <c r="H5171" s="1406">
        <v>70.97</v>
      </c>
      <c r="I5171" s="1406">
        <v>72.040000000000006</v>
      </c>
    </row>
    <row r="5172" spans="2:9">
      <c r="B5172" s="677">
        <v>100848</v>
      </c>
      <c r="C5172" s="733" t="s">
        <v>3124</v>
      </c>
      <c r="D5172" s="677" t="s">
        <v>22</v>
      </c>
      <c r="E5172" s="738">
        <f t="shared" si="160"/>
        <v>525.55999999999995</v>
      </c>
      <c r="F5172">
        <f t="shared" si="161"/>
        <v>100848</v>
      </c>
      <c r="H5172" s="1405">
        <v>523.49</v>
      </c>
      <c r="I5172" s="1405">
        <v>525.55999999999995</v>
      </c>
    </row>
    <row r="5173" spans="2:9">
      <c r="B5173" s="1477">
        <v>100849</v>
      </c>
      <c r="C5173" s="740" t="s">
        <v>3125</v>
      </c>
      <c r="D5173" s="739" t="s">
        <v>22</v>
      </c>
      <c r="E5173" s="741">
        <f t="shared" si="160"/>
        <v>44.98</v>
      </c>
      <c r="F5173">
        <f t="shared" si="161"/>
        <v>100849</v>
      </c>
      <c r="H5173" s="1406">
        <v>44.46</v>
      </c>
      <c r="I5173" s="1406">
        <v>44.98</v>
      </c>
    </row>
    <row r="5174" spans="2:9">
      <c r="B5174" s="677">
        <v>100851</v>
      </c>
      <c r="C5174" s="733" t="s">
        <v>3126</v>
      </c>
      <c r="D5174" s="677" t="s">
        <v>22</v>
      </c>
      <c r="E5174" s="738">
        <f t="shared" si="160"/>
        <v>90.19</v>
      </c>
      <c r="F5174">
        <f t="shared" si="161"/>
        <v>100851</v>
      </c>
      <c r="H5174" s="1405">
        <v>89.67</v>
      </c>
      <c r="I5174" s="1405">
        <v>90.19</v>
      </c>
    </row>
    <row r="5175" spans="2:9">
      <c r="B5175" s="1477">
        <v>100852</v>
      </c>
      <c r="C5175" s="740" t="s">
        <v>3127</v>
      </c>
      <c r="D5175" s="739" t="s">
        <v>22</v>
      </c>
      <c r="E5175" s="741">
        <f t="shared" si="160"/>
        <v>232.41</v>
      </c>
      <c r="F5175">
        <f t="shared" si="161"/>
        <v>100852</v>
      </c>
      <c r="H5175" s="1406">
        <v>230.85</v>
      </c>
      <c r="I5175" s="1406">
        <v>232.41</v>
      </c>
    </row>
    <row r="5176" spans="2:9">
      <c r="B5176" s="677">
        <v>100853</v>
      </c>
      <c r="C5176" s="733" t="s">
        <v>5171</v>
      </c>
      <c r="D5176" s="677" t="s">
        <v>22</v>
      </c>
      <c r="E5176" s="738">
        <f t="shared" si="160"/>
        <v>367.81</v>
      </c>
      <c r="F5176">
        <f t="shared" si="161"/>
        <v>100853</v>
      </c>
      <c r="H5176" s="1405">
        <v>366.25</v>
      </c>
      <c r="I5176" s="1405">
        <v>367.81</v>
      </c>
    </row>
    <row r="5177" spans="2:9">
      <c r="B5177" s="1477">
        <v>100854</v>
      </c>
      <c r="C5177" s="740" t="s">
        <v>3128</v>
      </c>
      <c r="D5177" s="739" t="s">
        <v>22</v>
      </c>
      <c r="E5177" s="741">
        <f t="shared" si="160"/>
        <v>1922.25</v>
      </c>
      <c r="F5177">
        <f t="shared" si="161"/>
        <v>100854</v>
      </c>
      <c r="H5177" s="1406">
        <v>1920.07</v>
      </c>
      <c r="I5177" s="1406">
        <v>1922.25</v>
      </c>
    </row>
    <row r="5178" spans="2:9">
      <c r="B5178" s="677">
        <v>100856</v>
      </c>
      <c r="C5178" s="733" t="s">
        <v>3129</v>
      </c>
      <c r="D5178" s="677" t="s">
        <v>22</v>
      </c>
      <c r="E5178" s="738">
        <f t="shared" si="160"/>
        <v>40.5</v>
      </c>
      <c r="F5178">
        <f t="shared" si="161"/>
        <v>100856</v>
      </c>
      <c r="H5178" s="1405">
        <v>40.17</v>
      </c>
      <c r="I5178" s="1405">
        <v>40.5</v>
      </c>
    </row>
    <row r="5179" spans="2:9">
      <c r="B5179" s="1477">
        <v>100857</v>
      </c>
      <c r="C5179" s="740" t="s">
        <v>3130</v>
      </c>
      <c r="D5179" s="739" t="s">
        <v>22</v>
      </c>
      <c r="E5179" s="741">
        <f t="shared" si="160"/>
        <v>562.91</v>
      </c>
      <c r="F5179">
        <f t="shared" si="161"/>
        <v>100857</v>
      </c>
      <c r="H5179" s="1406">
        <v>561.75</v>
      </c>
      <c r="I5179" s="1406">
        <v>562.91</v>
      </c>
    </row>
    <row r="5180" spans="2:9">
      <c r="B5180" s="677">
        <v>100858</v>
      </c>
      <c r="C5180" s="733" t="s">
        <v>3131</v>
      </c>
      <c r="D5180" s="677" t="s">
        <v>22</v>
      </c>
      <c r="E5180" s="738">
        <f t="shared" si="160"/>
        <v>542.51</v>
      </c>
      <c r="F5180">
        <f t="shared" si="161"/>
        <v>100858</v>
      </c>
      <c r="H5180" s="1405">
        <v>539.12</v>
      </c>
      <c r="I5180" s="1405">
        <v>542.51</v>
      </c>
    </row>
    <row r="5181" spans="2:9" ht="30">
      <c r="B5181" s="1477">
        <v>100859</v>
      </c>
      <c r="C5181" s="740" t="s">
        <v>4882</v>
      </c>
      <c r="D5181" s="739" t="s">
        <v>22</v>
      </c>
      <c r="E5181" s="741">
        <f t="shared" si="160"/>
        <v>957.33</v>
      </c>
      <c r="F5181">
        <f t="shared" si="161"/>
        <v>100859</v>
      </c>
      <c r="H5181" s="1406">
        <v>950.19</v>
      </c>
      <c r="I5181" s="1406">
        <v>957.33</v>
      </c>
    </row>
    <row r="5182" spans="2:9">
      <c r="B5182" s="677">
        <v>100860</v>
      </c>
      <c r="C5182" s="733" t="s">
        <v>3132</v>
      </c>
      <c r="D5182" s="677" t="s">
        <v>22</v>
      </c>
      <c r="E5182" s="738">
        <f t="shared" si="160"/>
        <v>104.24</v>
      </c>
      <c r="F5182">
        <f t="shared" si="161"/>
        <v>100860</v>
      </c>
      <c r="H5182" s="1405">
        <v>102.74</v>
      </c>
      <c r="I5182" s="1405">
        <v>104.24</v>
      </c>
    </row>
    <row r="5183" spans="2:9" ht="30">
      <c r="B5183" s="1477">
        <v>100861</v>
      </c>
      <c r="C5183" s="740" t="s">
        <v>3133</v>
      </c>
      <c r="D5183" s="739" t="s">
        <v>22</v>
      </c>
      <c r="E5183" s="741">
        <f t="shared" si="160"/>
        <v>33.83</v>
      </c>
      <c r="F5183">
        <f t="shared" si="161"/>
        <v>100861</v>
      </c>
      <c r="H5183" s="1406">
        <v>32.229999999999997</v>
      </c>
      <c r="I5183" s="1406">
        <v>33.83</v>
      </c>
    </row>
    <row r="5184" spans="2:9" ht="30">
      <c r="B5184" s="677">
        <v>100862</v>
      </c>
      <c r="C5184" s="733" t="s">
        <v>3134</v>
      </c>
      <c r="D5184" s="677" t="s">
        <v>22</v>
      </c>
      <c r="E5184" s="738">
        <f t="shared" si="160"/>
        <v>37.24</v>
      </c>
      <c r="F5184">
        <f t="shared" si="161"/>
        <v>100862</v>
      </c>
      <c r="H5184" s="1405">
        <v>35.64</v>
      </c>
      <c r="I5184" s="1405">
        <v>37.24</v>
      </c>
    </row>
    <row r="5185" spans="2:9">
      <c r="B5185" s="1477">
        <v>100863</v>
      </c>
      <c r="C5185" s="740" t="s">
        <v>3135</v>
      </c>
      <c r="D5185" s="739" t="s">
        <v>22</v>
      </c>
      <c r="E5185" s="741">
        <f t="shared" si="160"/>
        <v>592.04999999999995</v>
      </c>
      <c r="F5185">
        <f t="shared" si="161"/>
        <v>100863</v>
      </c>
      <c r="H5185" s="1406">
        <v>587.25</v>
      </c>
      <c r="I5185" s="1406">
        <v>592.04999999999995</v>
      </c>
    </row>
    <row r="5186" spans="2:9">
      <c r="B5186" s="677">
        <v>100864</v>
      </c>
      <c r="C5186" s="733" t="s">
        <v>3136</v>
      </c>
      <c r="D5186" s="677" t="s">
        <v>22</v>
      </c>
      <c r="E5186" s="738">
        <f t="shared" si="160"/>
        <v>650.75</v>
      </c>
      <c r="F5186">
        <f t="shared" si="161"/>
        <v>100864</v>
      </c>
      <c r="H5186" s="1405">
        <v>645.95000000000005</v>
      </c>
      <c r="I5186" s="1405">
        <v>650.75</v>
      </c>
    </row>
    <row r="5187" spans="2:9" ht="30">
      <c r="B5187" s="1477">
        <v>100865</v>
      </c>
      <c r="C5187" s="740" t="s">
        <v>3137</v>
      </c>
      <c r="D5187" s="739" t="s">
        <v>22</v>
      </c>
      <c r="E5187" s="741">
        <f t="shared" ref="E5187:E5250" si="162">IF($K$2=$H$1,H5187,I5187)</f>
        <v>580.09</v>
      </c>
      <c r="F5187">
        <f t="shared" ref="F5187:F5250" si="163">IF(LEN($B5187)=7,CONCATENATE(MID($B5187,1,6),"00",RIGHT($B5187,1)),IF(LEN($B5187)=8,CONCATENATE(MID($B5187,1,6),"0",RIGHT($B5187,2)),$B5187))</f>
        <v>100865</v>
      </c>
      <c r="H5187" s="1406">
        <v>577.96</v>
      </c>
      <c r="I5187" s="1406">
        <v>580.09</v>
      </c>
    </row>
    <row r="5188" spans="2:9" ht="30">
      <c r="B5188" s="677">
        <v>100866</v>
      </c>
      <c r="C5188" s="733" t="s">
        <v>3138</v>
      </c>
      <c r="D5188" s="677" t="s">
        <v>22</v>
      </c>
      <c r="E5188" s="738">
        <f t="shared" si="162"/>
        <v>304.69</v>
      </c>
      <c r="F5188">
        <f t="shared" si="163"/>
        <v>100866</v>
      </c>
      <c r="H5188" s="1405">
        <v>301.48</v>
      </c>
      <c r="I5188" s="1405">
        <v>304.69</v>
      </c>
    </row>
    <row r="5189" spans="2:9" ht="30">
      <c r="B5189" s="1477">
        <v>100867</v>
      </c>
      <c r="C5189" s="740" t="s">
        <v>3139</v>
      </c>
      <c r="D5189" s="739" t="s">
        <v>22</v>
      </c>
      <c r="E5189" s="741">
        <f t="shared" si="162"/>
        <v>324.05</v>
      </c>
      <c r="F5189">
        <f t="shared" si="163"/>
        <v>100867</v>
      </c>
      <c r="H5189" s="1406">
        <v>320.83999999999997</v>
      </c>
      <c r="I5189" s="1406">
        <v>324.05</v>
      </c>
    </row>
    <row r="5190" spans="2:9" ht="30">
      <c r="B5190" s="677">
        <v>100868</v>
      </c>
      <c r="C5190" s="733" t="s">
        <v>3140</v>
      </c>
      <c r="D5190" s="677" t="s">
        <v>22</v>
      </c>
      <c r="E5190" s="738">
        <f t="shared" si="162"/>
        <v>336.93</v>
      </c>
      <c r="F5190">
        <f t="shared" si="163"/>
        <v>100868</v>
      </c>
      <c r="H5190" s="1405">
        <v>333.72</v>
      </c>
      <c r="I5190" s="1405">
        <v>336.93</v>
      </c>
    </row>
    <row r="5191" spans="2:9" ht="30">
      <c r="B5191" s="1477">
        <v>100869</v>
      </c>
      <c r="C5191" s="740" t="s">
        <v>3141</v>
      </c>
      <c r="D5191" s="739" t="s">
        <v>22</v>
      </c>
      <c r="E5191" s="741">
        <f t="shared" si="162"/>
        <v>346.81</v>
      </c>
      <c r="F5191">
        <f t="shared" si="163"/>
        <v>100869</v>
      </c>
      <c r="H5191" s="1406">
        <v>343.6</v>
      </c>
      <c r="I5191" s="1406">
        <v>346.81</v>
      </c>
    </row>
    <row r="5192" spans="2:9">
      <c r="B5192" s="677">
        <v>100870</v>
      </c>
      <c r="C5192" s="733" t="s">
        <v>3142</v>
      </c>
      <c r="D5192" s="677" t="s">
        <v>22</v>
      </c>
      <c r="E5192" s="738">
        <f t="shared" si="162"/>
        <v>285.66000000000003</v>
      </c>
      <c r="F5192">
        <f t="shared" si="163"/>
        <v>100870</v>
      </c>
      <c r="H5192" s="1405">
        <v>282.45</v>
      </c>
      <c r="I5192" s="1405">
        <v>285.66000000000003</v>
      </c>
    </row>
    <row r="5193" spans="2:9">
      <c r="B5193" s="1477">
        <v>100871</v>
      </c>
      <c r="C5193" s="740" t="s">
        <v>3143</v>
      </c>
      <c r="D5193" s="739" t="s">
        <v>22</v>
      </c>
      <c r="E5193" s="741">
        <f t="shared" si="162"/>
        <v>308.54000000000002</v>
      </c>
      <c r="F5193">
        <f t="shared" si="163"/>
        <v>100871</v>
      </c>
      <c r="H5193" s="1406">
        <v>305.33</v>
      </c>
      <c r="I5193" s="1406">
        <v>308.54000000000002</v>
      </c>
    </row>
    <row r="5194" spans="2:9">
      <c r="B5194" s="677">
        <v>100872</v>
      </c>
      <c r="C5194" s="733" t="s">
        <v>3144</v>
      </c>
      <c r="D5194" s="677" t="s">
        <v>22</v>
      </c>
      <c r="E5194" s="738">
        <f t="shared" si="162"/>
        <v>323.14999999999998</v>
      </c>
      <c r="F5194">
        <f t="shared" si="163"/>
        <v>100872</v>
      </c>
      <c r="H5194" s="1405">
        <v>319.94</v>
      </c>
      <c r="I5194" s="1405">
        <v>323.14999999999998</v>
      </c>
    </row>
    <row r="5195" spans="2:9">
      <c r="B5195" s="1477">
        <v>100873</v>
      </c>
      <c r="C5195" s="740" t="s">
        <v>3145</v>
      </c>
      <c r="D5195" s="739" t="s">
        <v>22</v>
      </c>
      <c r="E5195" s="741">
        <f t="shared" si="162"/>
        <v>332.27</v>
      </c>
      <c r="F5195">
        <f t="shared" si="163"/>
        <v>100873</v>
      </c>
      <c r="H5195" s="1406">
        <v>329.06</v>
      </c>
      <c r="I5195" s="1406">
        <v>332.27</v>
      </c>
    </row>
    <row r="5196" spans="2:9">
      <c r="B5196" s="677">
        <v>100874</v>
      </c>
      <c r="C5196" s="733" t="s">
        <v>3146</v>
      </c>
      <c r="D5196" s="677" t="s">
        <v>22</v>
      </c>
      <c r="E5196" s="738">
        <f t="shared" si="162"/>
        <v>304.69</v>
      </c>
      <c r="F5196">
        <f t="shared" si="163"/>
        <v>100874</v>
      </c>
      <c r="H5196" s="1405">
        <v>301.48</v>
      </c>
      <c r="I5196" s="1405">
        <v>304.69</v>
      </c>
    </row>
    <row r="5197" spans="2:9">
      <c r="B5197" s="1477">
        <v>100875</v>
      </c>
      <c r="C5197" s="740" t="s">
        <v>3147</v>
      </c>
      <c r="D5197" s="739" t="s">
        <v>22</v>
      </c>
      <c r="E5197" s="741">
        <f t="shared" si="162"/>
        <v>1070.45</v>
      </c>
      <c r="F5197">
        <f t="shared" si="163"/>
        <v>100875</v>
      </c>
      <c r="H5197" s="1406">
        <v>1066.18</v>
      </c>
      <c r="I5197" s="1406">
        <v>1070.45</v>
      </c>
    </row>
    <row r="5198" spans="2:9">
      <c r="B5198" s="677">
        <v>100878</v>
      </c>
      <c r="C5198" s="733" t="s">
        <v>4883</v>
      </c>
      <c r="D5198" s="677" t="s">
        <v>22</v>
      </c>
      <c r="E5198" s="738">
        <f t="shared" si="162"/>
        <v>625</v>
      </c>
      <c r="F5198">
        <f t="shared" si="163"/>
        <v>100878</v>
      </c>
      <c r="H5198" s="1405">
        <v>620.17999999999995</v>
      </c>
      <c r="I5198" s="1405">
        <v>625</v>
      </c>
    </row>
    <row r="5199" spans="2:9" ht="30">
      <c r="B5199" s="1477">
        <v>98052</v>
      </c>
      <c r="C5199" s="740" t="s">
        <v>7113</v>
      </c>
      <c r="D5199" s="739" t="s">
        <v>22</v>
      </c>
      <c r="E5199" s="741">
        <f t="shared" si="162"/>
        <v>2138.5700000000002</v>
      </c>
      <c r="F5199">
        <f t="shared" si="163"/>
        <v>98052</v>
      </c>
      <c r="H5199" s="1406">
        <v>2112.1999999999998</v>
      </c>
      <c r="I5199" s="1406">
        <v>2138.5700000000002</v>
      </c>
    </row>
    <row r="5200" spans="2:9" ht="30">
      <c r="B5200" s="677">
        <v>98053</v>
      </c>
      <c r="C5200" s="733" t="s">
        <v>7114</v>
      </c>
      <c r="D5200" s="677" t="s">
        <v>22</v>
      </c>
      <c r="E5200" s="738">
        <f t="shared" si="162"/>
        <v>2944.14</v>
      </c>
      <c r="F5200">
        <f t="shared" si="163"/>
        <v>98053</v>
      </c>
      <c r="H5200" s="1405">
        <v>2908.44</v>
      </c>
      <c r="I5200" s="1405">
        <v>2944.14</v>
      </c>
    </row>
    <row r="5201" spans="2:9" ht="30">
      <c r="B5201" s="1477">
        <v>98054</v>
      </c>
      <c r="C5201" s="740" t="s">
        <v>7115</v>
      </c>
      <c r="D5201" s="739" t="s">
        <v>22</v>
      </c>
      <c r="E5201" s="741">
        <f t="shared" si="162"/>
        <v>4818.66</v>
      </c>
      <c r="F5201">
        <f t="shared" si="163"/>
        <v>98054</v>
      </c>
      <c r="H5201" s="1406">
        <v>4781.1400000000003</v>
      </c>
      <c r="I5201" s="1406">
        <v>4818.66</v>
      </c>
    </row>
    <row r="5202" spans="2:9" ht="30">
      <c r="B5202" s="677">
        <v>98055</v>
      </c>
      <c r="C5202" s="733" t="s">
        <v>7116</v>
      </c>
      <c r="D5202" s="677" t="s">
        <v>22</v>
      </c>
      <c r="E5202" s="738">
        <f t="shared" si="162"/>
        <v>6556.03</v>
      </c>
      <c r="F5202">
        <f t="shared" si="163"/>
        <v>98055</v>
      </c>
      <c r="H5202" s="1405">
        <v>6504.21</v>
      </c>
      <c r="I5202" s="1405">
        <v>6556.03</v>
      </c>
    </row>
    <row r="5203" spans="2:9" ht="30">
      <c r="B5203" s="1477">
        <v>98056</v>
      </c>
      <c r="C5203" s="740" t="s">
        <v>7117</v>
      </c>
      <c r="D5203" s="739" t="s">
        <v>22</v>
      </c>
      <c r="E5203" s="741">
        <f t="shared" si="162"/>
        <v>7649.46</v>
      </c>
      <c r="F5203">
        <f t="shared" si="163"/>
        <v>98056</v>
      </c>
      <c r="H5203" s="1406">
        <v>7594.17</v>
      </c>
      <c r="I5203" s="1406">
        <v>7649.46</v>
      </c>
    </row>
    <row r="5204" spans="2:9" ht="30">
      <c r="B5204" s="677">
        <v>98057</v>
      </c>
      <c r="C5204" s="733" t="s">
        <v>7118</v>
      </c>
      <c r="D5204" s="677" t="s">
        <v>22</v>
      </c>
      <c r="E5204" s="738">
        <f t="shared" si="162"/>
        <v>9118.7000000000007</v>
      </c>
      <c r="F5204">
        <f t="shared" si="163"/>
        <v>98057</v>
      </c>
      <c r="H5204" s="1405">
        <v>9050</v>
      </c>
      <c r="I5204" s="1405">
        <v>9118.7000000000007</v>
      </c>
    </row>
    <row r="5205" spans="2:9" ht="30">
      <c r="B5205" s="1477">
        <v>98058</v>
      </c>
      <c r="C5205" s="740" t="s">
        <v>7119</v>
      </c>
      <c r="D5205" s="739" t="s">
        <v>22</v>
      </c>
      <c r="E5205" s="741">
        <f t="shared" si="162"/>
        <v>1856.77</v>
      </c>
      <c r="F5205">
        <f t="shared" si="163"/>
        <v>98058</v>
      </c>
      <c r="H5205" s="1406">
        <v>1825.87</v>
      </c>
      <c r="I5205" s="1406">
        <v>1856.77</v>
      </c>
    </row>
    <row r="5206" spans="2:9" ht="30">
      <c r="B5206" s="677">
        <v>98059</v>
      </c>
      <c r="C5206" s="733" t="s">
        <v>7120</v>
      </c>
      <c r="D5206" s="677" t="s">
        <v>22</v>
      </c>
      <c r="E5206" s="738">
        <f t="shared" si="162"/>
        <v>4057.41</v>
      </c>
      <c r="F5206">
        <f t="shared" si="163"/>
        <v>98059</v>
      </c>
      <c r="H5206" s="1405">
        <v>4011.88</v>
      </c>
      <c r="I5206" s="1405">
        <v>4057.41</v>
      </c>
    </row>
    <row r="5207" spans="2:9" ht="30">
      <c r="B5207" s="1477">
        <v>98060</v>
      </c>
      <c r="C5207" s="740" t="s">
        <v>7121</v>
      </c>
      <c r="D5207" s="739" t="s">
        <v>22</v>
      </c>
      <c r="E5207" s="741">
        <f t="shared" si="162"/>
        <v>5684.15</v>
      </c>
      <c r="F5207">
        <f t="shared" si="163"/>
        <v>98060</v>
      </c>
      <c r="H5207" s="1406">
        <v>5617.85</v>
      </c>
      <c r="I5207" s="1406">
        <v>5684.15</v>
      </c>
    </row>
    <row r="5208" spans="2:9" ht="30">
      <c r="B5208" s="677">
        <v>98061</v>
      </c>
      <c r="C5208" s="733" t="s">
        <v>7122</v>
      </c>
      <c r="D5208" s="677" t="s">
        <v>22</v>
      </c>
      <c r="E5208" s="738">
        <f t="shared" si="162"/>
        <v>7940.5</v>
      </c>
      <c r="F5208">
        <f t="shared" si="163"/>
        <v>98061</v>
      </c>
      <c r="H5208" s="1405">
        <v>7849.13</v>
      </c>
      <c r="I5208" s="1405">
        <v>7940.5</v>
      </c>
    </row>
    <row r="5209" spans="2:9" ht="30">
      <c r="B5209" s="1477">
        <v>98062</v>
      </c>
      <c r="C5209" s="740" t="s">
        <v>7123</v>
      </c>
      <c r="D5209" s="739" t="s">
        <v>22</v>
      </c>
      <c r="E5209" s="741">
        <f t="shared" si="162"/>
        <v>3202.63</v>
      </c>
      <c r="F5209">
        <f t="shared" si="163"/>
        <v>98062</v>
      </c>
      <c r="H5209" s="1406">
        <v>3172.6</v>
      </c>
      <c r="I5209" s="1406">
        <v>3202.63</v>
      </c>
    </row>
    <row r="5210" spans="2:9" ht="30">
      <c r="B5210" s="677">
        <v>98063</v>
      </c>
      <c r="C5210" s="733" t="s">
        <v>7124</v>
      </c>
      <c r="D5210" s="677" t="s">
        <v>22</v>
      </c>
      <c r="E5210" s="738">
        <f t="shared" si="162"/>
        <v>4887.3100000000004</v>
      </c>
      <c r="F5210">
        <f t="shared" si="163"/>
        <v>98063</v>
      </c>
      <c r="H5210" s="1405">
        <v>4842.8599999999997</v>
      </c>
      <c r="I5210" s="1405">
        <v>4887.3100000000004</v>
      </c>
    </row>
    <row r="5211" spans="2:9" ht="30">
      <c r="B5211" s="1477">
        <v>98064</v>
      </c>
      <c r="C5211" s="740" t="s">
        <v>7125</v>
      </c>
      <c r="D5211" s="739" t="s">
        <v>22</v>
      </c>
      <c r="E5211" s="741">
        <f t="shared" si="162"/>
        <v>5648.07</v>
      </c>
      <c r="F5211">
        <f t="shared" si="163"/>
        <v>98064</v>
      </c>
      <c r="H5211" s="1406">
        <v>5601.57</v>
      </c>
      <c r="I5211" s="1406">
        <v>5648.07</v>
      </c>
    </row>
    <row r="5212" spans="2:9" ht="30">
      <c r="B5212" s="677">
        <v>98065</v>
      </c>
      <c r="C5212" s="733" t="s">
        <v>7126</v>
      </c>
      <c r="D5212" s="677" t="s">
        <v>22</v>
      </c>
      <c r="E5212" s="738">
        <f t="shared" si="162"/>
        <v>7856.79</v>
      </c>
      <c r="F5212">
        <f t="shared" si="163"/>
        <v>98065</v>
      </c>
      <c r="H5212" s="1405">
        <v>7794.82</v>
      </c>
      <c r="I5212" s="1405">
        <v>7856.79</v>
      </c>
    </row>
    <row r="5213" spans="2:9" ht="30">
      <c r="B5213" s="1477">
        <v>98066</v>
      </c>
      <c r="C5213" s="740" t="s">
        <v>6440</v>
      </c>
      <c r="D5213" s="739" t="s">
        <v>22</v>
      </c>
      <c r="E5213" s="741">
        <f t="shared" si="162"/>
        <v>4898.04</v>
      </c>
      <c r="F5213">
        <f t="shared" si="163"/>
        <v>98066</v>
      </c>
      <c r="H5213" s="1406">
        <v>4696.6899999999996</v>
      </c>
      <c r="I5213" s="1406">
        <v>4898.04</v>
      </c>
    </row>
    <row r="5214" spans="2:9" ht="30">
      <c r="B5214" s="677">
        <v>98067</v>
      </c>
      <c r="C5214" s="733" t="s">
        <v>6441</v>
      </c>
      <c r="D5214" s="677" t="s">
        <v>22</v>
      </c>
      <c r="E5214" s="738">
        <f t="shared" si="162"/>
        <v>6528.84</v>
      </c>
      <c r="F5214">
        <f t="shared" si="163"/>
        <v>98067</v>
      </c>
      <c r="H5214" s="1405">
        <v>6259.47</v>
      </c>
      <c r="I5214" s="1405">
        <v>6528.84</v>
      </c>
    </row>
    <row r="5215" spans="2:9" ht="30">
      <c r="B5215" s="1477">
        <v>98068</v>
      </c>
      <c r="C5215" s="740" t="s">
        <v>6442</v>
      </c>
      <c r="D5215" s="739" t="s">
        <v>22</v>
      </c>
      <c r="E5215" s="741">
        <f t="shared" si="162"/>
        <v>9220.73</v>
      </c>
      <c r="F5215">
        <f t="shared" si="163"/>
        <v>98068</v>
      </c>
      <c r="H5215" s="1406">
        <v>8838.5</v>
      </c>
      <c r="I5215" s="1406">
        <v>9220.73</v>
      </c>
    </row>
    <row r="5216" spans="2:9" ht="30">
      <c r="B5216" s="677">
        <v>98069</v>
      </c>
      <c r="C5216" s="733" t="s">
        <v>6443</v>
      </c>
      <c r="D5216" s="677" t="s">
        <v>22</v>
      </c>
      <c r="E5216" s="738">
        <f t="shared" si="162"/>
        <v>12390.04</v>
      </c>
      <c r="F5216">
        <f t="shared" si="163"/>
        <v>98069</v>
      </c>
      <c r="H5216" s="1405">
        <v>11872.81</v>
      </c>
      <c r="I5216" s="1405">
        <v>12390.04</v>
      </c>
    </row>
    <row r="5217" spans="2:9" ht="30">
      <c r="B5217" s="1477">
        <v>98070</v>
      </c>
      <c r="C5217" s="740" t="s">
        <v>6444</v>
      </c>
      <c r="D5217" s="739" t="s">
        <v>22</v>
      </c>
      <c r="E5217" s="741">
        <f t="shared" si="162"/>
        <v>14160.97</v>
      </c>
      <c r="F5217">
        <f t="shared" si="163"/>
        <v>98070</v>
      </c>
      <c r="H5217" s="1406">
        <v>13570.65</v>
      </c>
      <c r="I5217" s="1406">
        <v>14160.97</v>
      </c>
    </row>
    <row r="5218" spans="2:9" ht="30">
      <c r="B5218" s="677">
        <v>98071</v>
      </c>
      <c r="C5218" s="733" t="s">
        <v>6445</v>
      </c>
      <c r="D5218" s="677" t="s">
        <v>22</v>
      </c>
      <c r="E5218" s="738">
        <f t="shared" si="162"/>
        <v>15461.94</v>
      </c>
      <c r="F5218">
        <f t="shared" si="163"/>
        <v>98071</v>
      </c>
      <c r="H5218" s="1405">
        <v>14820.42</v>
      </c>
      <c r="I5218" s="1405">
        <v>15461.94</v>
      </c>
    </row>
    <row r="5219" spans="2:9" ht="30">
      <c r="B5219" s="1477">
        <v>98072</v>
      </c>
      <c r="C5219" s="740" t="s">
        <v>6446</v>
      </c>
      <c r="D5219" s="739" t="s">
        <v>22</v>
      </c>
      <c r="E5219" s="741">
        <f t="shared" si="162"/>
        <v>4119.03</v>
      </c>
      <c r="F5219">
        <f t="shared" si="163"/>
        <v>98072</v>
      </c>
      <c r="H5219" s="1406">
        <v>3948.64</v>
      </c>
      <c r="I5219" s="1406">
        <v>4119.03</v>
      </c>
    </row>
    <row r="5220" spans="2:9" ht="30">
      <c r="B5220" s="677">
        <v>98073</v>
      </c>
      <c r="C5220" s="733" t="s">
        <v>6447</v>
      </c>
      <c r="D5220" s="677" t="s">
        <v>22</v>
      </c>
      <c r="E5220" s="738">
        <f t="shared" si="162"/>
        <v>6473.05</v>
      </c>
      <c r="F5220">
        <f t="shared" si="163"/>
        <v>98073</v>
      </c>
      <c r="H5220" s="1405">
        <v>6204.51</v>
      </c>
      <c r="I5220" s="1405">
        <v>6473.05</v>
      </c>
    </row>
    <row r="5221" spans="2:9" ht="30">
      <c r="B5221" s="1477">
        <v>98074</v>
      </c>
      <c r="C5221" s="740" t="s">
        <v>6448</v>
      </c>
      <c r="D5221" s="739" t="s">
        <v>22</v>
      </c>
      <c r="E5221" s="741">
        <f t="shared" si="162"/>
        <v>10093.14</v>
      </c>
      <c r="F5221">
        <f t="shared" si="163"/>
        <v>98074</v>
      </c>
      <c r="H5221" s="1406">
        <v>9674.7800000000007</v>
      </c>
      <c r="I5221" s="1406">
        <v>10093.14</v>
      </c>
    </row>
    <row r="5222" spans="2:9" ht="30">
      <c r="B5222" s="677">
        <v>98075</v>
      </c>
      <c r="C5222" s="733" t="s">
        <v>6449</v>
      </c>
      <c r="D5222" s="677" t="s">
        <v>22</v>
      </c>
      <c r="E5222" s="738">
        <f t="shared" si="162"/>
        <v>13148.57</v>
      </c>
      <c r="F5222">
        <f t="shared" si="163"/>
        <v>98075</v>
      </c>
      <c r="H5222" s="1405">
        <v>12604.09</v>
      </c>
      <c r="I5222" s="1405">
        <v>13148.57</v>
      </c>
    </row>
    <row r="5223" spans="2:9" ht="30">
      <c r="B5223" s="1477">
        <v>98076</v>
      </c>
      <c r="C5223" s="740" t="s">
        <v>6450</v>
      </c>
      <c r="D5223" s="739" t="s">
        <v>22</v>
      </c>
      <c r="E5223" s="741">
        <f t="shared" si="162"/>
        <v>15177.29</v>
      </c>
      <c r="F5223">
        <f t="shared" si="163"/>
        <v>98076</v>
      </c>
      <c r="H5223" s="1406">
        <v>14548.91</v>
      </c>
      <c r="I5223" s="1406">
        <v>15177.29</v>
      </c>
    </row>
    <row r="5224" spans="2:9" ht="30">
      <c r="B5224" s="677">
        <v>98077</v>
      </c>
      <c r="C5224" s="733" t="s">
        <v>6451</v>
      </c>
      <c r="D5224" s="677" t="s">
        <v>22</v>
      </c>
      <c r="E5224" s="738">
        <f t="shared" si="162"/>
        <v>17884.849999999999</v>
      </c>
      <c r="F5224">
        <f t="shared" si="163"/>
        <v>98077</v>
      </c>
      <c r="H5224" s="1405">
        <v>17144.810000000001</v>
      </c>
      <c r="I5224" s="1405">
        <v>17884.849999999999</v>
      </c>
    </row>
    <row r="5225" spans="2:9" ht="30">
      <c r="B5225" s="1477">
        <v>98078</v>
      </c>
      <c r="C5225" s="740" t="s">
        <v>6452</v>
      </c>
      <c r="D5225" s="739" t="s">
        <v>22</v>
      </c>
      <c r="E5225" s="741">
        <f t="shared" si="162"/>
        <v>4601.99</v>
      </c>
      <c r="F5225">
        <f t="shared" si="163"/>
        <v>98078</v>
      </c>
      <c r="H5225" s="1406">
        <v>4429.22</v>
      </c>
      <c r="I5225" s="1406">
        <v>4601.99</v>
      </c>
    </row>
    <row r="5226" spans="2:9" ht="30">
      <c r="B5226" s="677">
        <v>98079</v>
      </c>
      <c r="C5226" s="733" t="s">
        <v>6453</v>
      </c>
      <c r="D5226" s="677" t="s">
        <v>22</v>
      </c>
      <c r="E5226" s="738">
        <f t="shared" si="162"/>
        <v>8067.92</v>
      </c>
      <c r="F5226">
        <f t="shared" si="163"/>
        <v>98079</v>
      </c>
      <c r="H5226" s="1405">
        <v>7765.02</v>
      </c>
      <c r="I5226" s="1405">
        <v>8067.92</v>
      </c>
    </row>
    <row r="5227" spans="2:9" ht="30">
      <c r="B5227" s="1477">
        <v>98080</v>
      </c>
      <c r="C5227" s="740" t="s">
        <v>6454</v>
      </c>
      <c r="D5227" s="739" t="s">
        <v>22</v>
      </c>
      <c r="E5227" s="741">
        <f t="shared" si="162"/>
        <v>10376.75</v>
      </c>
      <c r="F5227">
        <f t="shared" si="163"/>
        <v>98080</v>
      </c>
      <c r="H5227" s="1406">
        <v>9985.15</v>
      </c>
      <c r="I5227" s="1406">
        <v>10376.75</v>
      </c>
    </row>
    <row r="5228" spans="2:9" ht="30">
      <c r="B5228" s="677">
        <v>98081</v>
      </c>
      <c r="C5228" s="733" t="s">
        <v>6455</v>
      </c>
      <c r="D5228" s="677" t="s">
        <v>22</v>
      </c>
      <c r="E5228" s="738">
        <f t="shared" si="162"/>
        <v>15374.54</v>
      </c>
      <c r="F5228">
        <f t="shared" si="163"/>
        <v>98081</v>
      </c>
      <c r="H5228" s="1405">
        <v>14792.8</v>
      </c>
      <c r="I5228" s="1405">
        <v>15374.54</v>
      </c>
    </row>
    <row r="5229" spans="2:9" ht="30">
      <c r="B5229" s="1477">
        <v>98082</v>
      </c>
      <c r="C5229" s="740" t="s">
        <v>6456</v>
      </c>
      <c r="D5229" s="739" t="s">
        <v>22</v>
      </c>
      <c r="E5229" s="741">
        <f t="shared" si="162"/>
        <v>3760.95</v>
      </c>
      <c r="F5229">
        <f t="shared" si="163"/>
        <v>98082</v>
      </c>
      <c r="H5229" s="1406">
        <v>3601.53</v>
      </c>
      <c r="I5229" s="1406">
        <v>3760.95</v>
      </c>
    </row>
    <row r="5230" spans="2:9" ht="30">
      <c r="B5230" s="677">
        <v>98083</v>
      </c>
      <c r="C5230" s="733" t="s">
        <v>6457</v>
      </c>
      <c r="D5230" s="677" t="s">
        <v>22</v>
      </c>
      <c r="E5230" s="738">
        <f t="shared" si="162"/>
        <v>4953.8599999999997</v>
      </c>
      <c r="F5230">
        <f t="shared" si="163"/>
        <v>98083</v>
      </c>
      <c r="H5230" s="1405">
        <v>4741.8999999999996</v>
      </c>
      <c r="I5230" s="1405">
        <v>4953.8599999999997</v>
      </c>
    </row>
    <row r="5231" spans="2:9" ht="30">
      <c r="B5231" s="1477">
        <v>98084</v>
      </c>
      <c r="C5231" s="740" t="s">
        <v>6458</v>
      </c>
      <c r="D5231" s="739" t="s">
        <v>22</v>
      </c>
      <c r="E5231" s="741">
        <f t="shared" si="162"/>
        <v>6939.39</v>
      </c>
      <c r="F5231">
        <f t="shared" si="163"/>
        <v>98084</v>
      </c>
      <c r="H5231" s="1406">
        <v>6639.61</v>
      </c>
      <c r="I5231" s="1406">
        <v>6939.39</v>
      </c>
    </row>
    <row r="5232" spans="2:9" ht="30">
      <c r="B5232" s="677">
        <v>98085</v>
      </c>
      <c r="C5232" s="733" t="s">
        <v>6459</v>
      </c>
      <c r="D5232" s="677" t="s">
        <v>22</v>
      </c>
      <c r="E5232" s="738">
        <f t="shared" si="162"/>
        <v>9413.52</v>
      </c>
      <c r="F5232">
        <f t="shared" si="163"/>
        <v>98085</v>
      </c>
      <c r="H5232" s="1405">
        <v>9003.7999999999993</v>
      </c>
      <c r="I5232" s="1405">
        <v>9413.52</v>
      </c>
    </row>
    <row r="5233" spans="2:9" ht="30">
      <c r="B5233" s="1477">
        <v>98086</v>
      </c>
      <c r="C5233" s="740" t="s">
        <v>6460</v>
      </c>
      <c r="D5233" s="739" t="s">
        <v>22</v>
      </c>
      <c r="E5233" s="741">
        <f t="shared" si="162"/>
        <v>10614.02</v>
      </c>
      <c r="F5233">
        <f t="shared" si="163"/>
        <v>98086</v>
      </c>
      <c r="H5233" s="1406">
        <v>10151.08</v>
      </c>
      <c r="I5233" s="1406">
        <v>10614.02</v>
      </c>
    </row>
    <row r="5234" spans="2:9" ht="30">
      <c r="B5234" s="677">
        <v>98087</v>
      </c>
      <c r="C5234" s="733" t="s">
        <v>6461</v>
      </c>
      <c r="D5234" s="677" t="s">
        <v>22</v>
      </c>
      <c r="E5234" s="738">
        <f t="shared" si="162"/>
        <v>11305.39</v>
      </c>
      <c r="F5234">
        <f t="shared" si="163"/>
        <v>98087</v>
      </c>
      <c r="H5234" s="1405">
        <v>10811.82</v>
      </c>
      <c r="I5234" s="1405">
        <v>11305.39</v>
      </c>
    </row>
    <row r="5235" spans="2:9" ht="30">
      <c r="B5235" s="1477">
        <v>98088</v>
      </c>
      <c r="C5235" s="740" t="s">
        <v>6462</v>
      </c>
      <c r="D5235" s="739" t="s">
        <v>22</v>
      </c>
      <c r="E5235" s="741">
        <f t="shared" si="162"/>
        <v>3270.79</v>
      </c>
      <c r="F5235">
        <f t="shared" si="163"/>
        <v>98088</v>
      </c>
      <c r="H5235" s="1406">
        <v>3134.3</v>
      </c>
      <c r="I5235" s="1406">
        <v>3270.79</v>
      </c>
    </row>
    <row r="5236" spans="2:9" ht="30">
      <c r="B5236" s="677">
        <v>98089</v>
      </c>
      <c r="C5236" s="733" t="s">
        <v>6463</v>
      </c>
      <c r="D5236" s="677" t="s">
        <v>22</v>
      </c>
      <c r="E5236" s="738">
        <f t="shared" si="162"/>
        <v>5193.8500000000004</v>
      </c>
      <c r="F5236">
        <f t="shared" si="163"/>
        <v>98089</v>
      </c>
      <c r="H5236" s="1405">
        <v>4976.12</v>
      </c>
      <c r="I5236" s="1405">
        <v>5193.8500000000004</v>
      </c>
    </row>
    <row r="5237" spans="2:9" ht="30">
      <c r="B5237" s="1477">
        <v>98090</v>
      </c>
      <c r="C5237" s="740" t="s">
        <v>6464</v>
      </c>
      <c r="D5237" s="739" t="s">
        <v>22</v>
      </c>
      <c r="E5237" s="741">
        <f t="shared" si="162"/>
        <v>8195.8700000000008</v>
      </c>
      <c r="F5237">
        <f t="shared" si="163"/>
        <v>98090</v>
      </c>
      <c r="H5237" s="1406">
        <v>7852.63</v>
      </c>
      <c r="I5237" s="1406">
        <v>8195.8700000000008</v>
      </c>
    </row>
    <row r="5238" spans="2:9" ht="30">
      <c r="B5238" s="677">
        <v>98091</v>
      </c>
      <c r="C5238" s="733" t="s">
        <v>6465</v>
      </c>
      <c r="D5238" s="677" t="s">
        <v>22</v>
      </c>
      <c r="E5238" s="738">
        <f t="shared" si="162"/>
        <v>10726.61</v>
      </c>
      <c r="F5238">
        <f t="shared" si="163"/>
        <v>98091</v>
      </c>
      <c r="H5238" s="1405">
        <v>10277.89</v>
      </c>
      <c r="I5238" s="1405">
        <v>10726.61</v>
      </c>
    </row>
    <row r="5239" spans="2:9" ht="30">
      <c r="B5239" s="1477">
        <v>98092</v>
      </c>
      <c r="C5239" s="740" t="s">
        <v>6466</v>
      </c>
      <c r="D5239" s="739" t="s">
        <v>22</v>
      </c>
      <c r="E5239" s="741">
        <f t="shared" si="162"/>
        <v>12481.36</v>
      </c>
      <c r="F5239">
        <f t="shared" si="163"/>
        <v>98092</v>
      </c>
      <c r="H5239" s="1406">
        <v>11959.59</v>
      </c>
      <c r="I5239" s="1406">
        <v>12481.36</v>
      </c>
    </row>
    <row r="5240" spans="2:9" ht="30">
      <c r="B5240" s="677">
        <v>98093</v>
      </c>
      <c r="C5240" s="733" t="s">
        <v>6467</v>
      </c>
      <c r="D5240" s="677" t="s">
        <v>22</v>
      </c>
      <c r="E5240" s="738">
        <f t="shared" si="162"/>
        <v>14747.75</v>
      </c>
      <c r="F5240">
        <f t="shared" si="163"/>
        <v>98093</v>
      </c>
      <c r="H5240" s="1405">
        <v>14131.71</v>
      </c>
      <c r="I5240" s="1405">
        <v>14747.75</v>
      </c>
    </row>
    <row r="5241" spans="2:9" ht="30">
      <c r="B5241" s="1477">
        <v>98094</v>
      </c>
      <c r="C5241" s="740" t="s">
        <v>6468</v>
      </c>
      <c r="D5241" s="739" t="s">
        <v>22</v>
      </c>
      <c r="E5241" s="741">
        <f t="shared" si="162"/>
        <v>2707.85</v>
      </c>
      <c r="F5241">
        <f t="shared" si="163"/>
        <v>98094</v>
      </c>
      <c r="H5241" s="1406">
        <v>2598.64</v>
      </c>
      <c r="I5241" s="1406">
        <v>2707.85</v>
      </c>
    </row>
    <row r="5242" spans="2:9" ht="30">
      <c r="B5242" s="677">
        <v>98099</v>
      </c>
      <c r="C5242" s="733" t="s">
        <v>6469</v>
      </c>
      <c r="D5242" s="677" t="s">
        <v>22</v>
      </c>
      <c r="E5242" s="738">
        <f t="shared" si="162"/>
        <v>4631.88</v>
      </c>
      <c r="F5242">
        <f t="shared" si="163"/>
        <v>98099</v>
      </c>
      <c r="H5242" s="1405">
        <v>4444.55</v>
      </c>
      <c r="I5242" s="1405">
        <v>4631.88</v>
      </c>
    </row>
    <row r="5243" spans="2:9" ht="30">
      <c r="B5243" s="1477">
        <v>98100</v>
      </c>
      <c r="C5243" s="740" t="s">
        <v>6470</v>
      </c>
      <c r="D5243" s="739" t="s">
        <v>22</v>
      </c>
      <c r="E5243" s="741">
        <f t="shared" si="162"/>
        <v>6084</v>
      </c>
      <c r="F5243">
        <f t="shared" si="163"/>
        <v>98100</v>
      </c>
      <c r="H5243" s="1406">
        <v>5836.91</v>
      </c>
      <c r="I5243" s="1406">
        <v>6084</v>
      </c>
    </row>
    <row r="5244" spans="2:9" ht="30">
      <c r="B5244" s="677">
        <v>98101</v>
      </c>
      <c r="C5244" s="733" t="s">
        <v>6471</v>
      </c>
      <c r="D5244" s="677" t="s">
        <v>22</v>
      </c>
      <c r="E5244" s="738">
        <f t="shared" si="162"/>
        <v>9000.82</v>
      </c>
      <c r="F5244">
        <f t="shared" si="163"/>
        <v>98101</v>
      </c>
      <c r="H5244" s="1405">
        <v>8633.5400000000009</v>
      </c>
      <c r="I5244" s="1405">
        <v>9000.82</v>
      </c>
    </row>
    <row r="5245" spans="2:9" ht="30">
      <c r="B5245" s="1477">
        <v>98109</v>
      </c>
      <c r="C5245" s="740" t="s">
        <v>4455</v>
      </c>
      <c r="D5245" s="739" t="s">
        <v>22</v>
      </c>
      <c r="E5245" s="741">
        <f t="shared" si="162"/>
        <v>788.89</v>
      </c>
      <c r="F5245">
        <f t="shared" si="163"/>
        <v>98109</v>
      </c>
      <c r="H5245" s="1406">
        <v>745.65</v>
      </c>
      <c r="I5245" s="1406">
        <v>788.89</v>
      </c>
    </row>
    <row r="5246" spans="2:9">
      <c r="B5246" s="677">
        <v>98110</v>
      </c>
      <c r="C5246" s="733" t="s">
        <v>4456</v>
      </c>
      <c r="D5246" s="677" t="s">
        <v>22</v>
      </c>
      <c r="E5246" s="738">
        <f t="shared" si="162"/>
        <v>385.98</v>
      </c>
      <c r="F5246">
        <f t="shared" si="163"/>
        <v>98110</v>
      </c>
      <c r="H5246" s="1405">
        <v>384.61</v>
      </c>
      <c r="I5246" s="1405">
        <v>385.98</v>
      </c>
    </row>
    <row r="5247" spans="2:9">
      <c r="B5247" s="1477">
        <v>98111</v>
      </c>
      <c r="C5247" s="740" t="s">
        <v>4457</v>
      </c>
      <c r="D5247" s="739" t="s">
        <v>22</v>
      </c>
      <c r="E5247" s="741">
        <f t="shared" si="162"/>
        <v>52.22</v>
      </c>
      <c r="F5247">
        <f t="shared" si="163"/>
        <v>98111</v>
      </c>
      <c r="H5247" s="1406">
        <v>51.46</v>
      </c>
      <c r="I5247" s="1406">
        <v>52.22</v>
      </c>
    </row>
    <row r="5248" spans="2:9">
      <c r="B5248" s="677">
        <v>98112</v>
      </c>
      <c r="C5248" s="733" t="s">
        <v>4458</v>
      </c>
      <c r="D5248" s="677" t="s">
        <v>22</v>
      </c>
      <c r="E5248" s="738">
        <f t="shared" si="162"/>
        <v>92.03</v>
      </c>
      <c r="F5248">
        <f t="shared" si="163"/>
        <v>98112</v>
      </c>
      <c r="H5248" s="1405">
        <v>89.95</v>
      </c>
      <c r="I5248" s="1405">
        <v>92.03</v>
      </c>
    </row>
    <row r="5249" spans="2:9">
      <c r="B5249" s="1477">
        <v>98114</v>
      </c>
      <c r="C5249" s="740" t="s">
        <v>4459</v>
      </c>
      <c r="D5249" s="739" t="s">
        <v>22</v>
      </c>
      <c r="E5249" s="741">
        <f t="shared" si="162"/>
        <v>701.25</v>
      </c>
      <c r="F5249">
        <f t="shared" si="163"/>
        <v>98114</v>
      </c>
      <c r="H5249" s="1406">
        <v>696.2</v>
      </c>
      <c r="I5249" s="1406">
        <v>701.25</v>
      </c>
    </row>
    <row r="5250" spans="2:9" ht="30">
      <c r="B5250" s="677">
        <v>98115</v>
      </c>
      <c r="C5250" s="733" t="s">
        <v>5867</v>
      </c>
      <c r="D5250" s="677" t="s">
        <v>22</v>
      </c>
      <c r="E5250" s="738">
        <f t="shared" si="162"/>
        <v>98.89</v>
      </c>
      <c r="F5250">
        <f t="shared" si="163"/>
        <v>98115</v>
      </c>
      <c r="H5250" s="1405">
        <v>92.94</v>
      </c>
      <c r="I5250" s="1405">
        <v>98.89</v>
      </c>
    </row>
    <row r="5251" spans="2:9" ht="30">
      <c r="B5251" s="1477">
        <v>89957</v>
      </c>
      <c r="C5251" s="740" t="s">
        <v>1475</v>
      </c>
      <c r="D5251" s="739" t="s">
        <v>22</v>
      </c>
      <c r="E5251" s="741">
        <f t="shared" ref="E5251:E5314" si="164">IF($K$2=$H$1,H5251,I5251)</f>
        <v>131.65</v>
      </c>
      <c r="F5251">
        <f t="shared" ref="F5251:F5314" si="165">IF(LEN($B5251)=7,CONCATENATE(MID($B5251,1,6),"00",RIGHT($B5251,1)),IF(LEN($B5251)=8,CONCATENATE(MID($B5251,1,6),"0",RIGHT($B5251,2)),$B5251))</f>
        <v>89957</v>
      </c>
      <c r="H5251" s="1406">
        <v>120.89</v>
      </c>
      <c r="I5251" s="1406">
        <v>131.65</v>
      </c>
    </row>
    <row r="5252" spans="2:9" ht="30">
      <c r="B5252" s="677">
        <v>89959</v>
      </c>
      <c r="C5252" s="733" t="s">
        <v>1476</v>
      </c>
      <c r="D5252" s="677" t="s">
        <v>22</v>
      </c>
      <c r="E5252" s="738">
        <f t="shared" si="164"/>
        <v>225.35</v>
      </c>
      <c r="F5252">
        <f t="shared" si="165"/>
        <v>89959</v>
      </c>
      <c r="H5252" s="1405">
        <v>212.37</v>
      </c>
      <c r="I5252" s="1405">
        <v>225.35</v>
      </c>
    </row>
    <row r="5253" spans="2:9">
      <c r="B5253" s="1477">
        <v>89349</v>
      </c>
      <c r="C5253" s="740" t="s">
        <v>4960</v>
      </c>
      <c r="D5253" s="739" t="s">
        <v>22</v>
      </c>
      <c r="E5253" s="741">
        <f t="shared" si="164"/>
        <v>20.37</v>
      </c>
      <c r="F5253">
        <f t="shared" si="165"/>
        <v>89349</v>
      </c>
      <c r="H5253" s="1406">
        <v>20.02</v>
      </c>
      <c r="I5253" s="1406">
        <v>20.37</v>
      </c>
    </row>
    <row r="5254" spans="2:9">
      <c r="B5254" s="677">
        <v>89351</v>
      </c>
      <c r="C5254" s="733" t="s">
        <v>4961</v>
      </c>
      <c r="D5254" s="677" t="s">
        <v>22</v>
      </c>
      <c r="E5254" s="738">
        <f t="shared" si="164"/>
        <v>25.46</v>
      </c>
      <c r="F5254">
        <f t="shared" si="165"/>
        <v>89351</v>
      </c>
      <c r="H5254" s="1405">
        <v>24.93</v>
      </c>
      <c r="I5254" s="1405">
        <v>25.46</v>
      </c>
    </row>
    <row r="5255" spans="2:9">
      <c r="B5255" s="1477">
        <v>89352</v>
      </c>
      <c r="C5255" s="740" t="s">
        <v>4962</v>
      </c>
      <c r="D5255" s="739" t="s">
        <v>22</v>
      </c>
      <c r="E5255" s="741">
        <f t="shared" si="164"/>
        <v>27.33</v>
      </c>
      <c r="F5255">
        <f t="shared" si="165"/>
        <v>89352</v>
      </c>
      <c r="H5255" s="1406">
        <v>26.98</v>
      </c>
      <c r="I5255" s="1406">
        <v>27.33</v>
      </c>
    </row>
    <row r="5256" spans="2:9">
      <c r="B5256" s="677">
        <v>89353</v>
      </c>
      <c r="C5256" s="733" t="s">
        <v>4963</v>
      </c>
      <c r="D5256" s="677" t="s">
        <v>22</v>
      </c>
      <c r="E5256" s="738">
        <f t="shared" si="164"/>
        <v>30.45</v>
      </c>
      <c r="F5256">
        <f t="shared" si="165"/>
        <v>89353</v>
      </c>
      <c r="H5256" s="1405">
        <v>29.92</v>
      </c>
      <c r="I5256" s="1405">
        <v>30.45</v>
      </c>
    </row>
    <row r="5257" spans="2:9" ht="30">
      <c r="B5257" s="1477">
        <v>89354</v>
      </c>
      <c r="C5257" s="740" t="s">
        <v>4964</v>
      </c>
      <c r="D5257" s="739" t="s">
        <v>22</v>
      </c>
      <c r="E5257" s="741">
        <f t="shared" si="164"/>
        <v>580.95000000000005</v>
      </c>
      <c r="F5257">
        <f t="shared" si="165"/>
        <v>89354</v>
      </c>
      <c r="H5257" s="1406">
        <v>577.92999999999995</v>
      </c>
      <c r="I5257" s="1406">
        <v>580.95000000000005</v>
      </c>
    </row>
    <row r="5258" spans="2:9" ht="30">
      <c r="B5258" s="677">
        <v>89969</v>
      </c>
      <c r="C5258" s="733" t="s">
        <v>1477</v>
      </c>
      <c r="D5258" s="677" t="s">
        <v>22</v>
      </c>
      <c r="E5258" s="738">
        <f t="shared" si="164"/>
        <v>35.409999999999997</v>
      </c>
      <c r="F5258">
        <f t="shared" si="165"/>
        <v>89969</v>
      </c>
      <c r="H5258" s="1405">
        <v>34.28</v>
      </c>
      <c r="I5258" s="1405">
        <v>35.409999999999997</v>
      </c>
    </row>
    <row r="5259" spans="2:9" ht="30">
      <c r="B5259" s="1477">
        <v>89970</v>
      </c>
      <c r="C5259" s="740" t="s">
        <v>1478</v>
      </c>
      <c r="D5259" s="739" t="s">
        <v>22</v>
      </c>
      <c r="E5259" s="741">
        <f t="shared" si="164"/>
        <v>38.770000000000003</v>
      </c>
      <c r="F5259">
        <f t="shared" si="165"/>
        <v>89970</v>
      </c>
      <c r="H5259" s="1406">
        <v>37.32</v>
      </c>
      <c r="I5259" s="1406">
        <v>38.770000000000003</v>
      </c>
    </row>
    <row r="5260" spans="2:9" ht="30">
      <c r="B5260" s="677">
        <v>89971</v>
      </c>
      <c r="C5260" s="733" t="s">
        <v>1479</v>
      </c>
      <c r="D5260" s="677" t="s">
        <v>22</v>
      </c>
      <c r="E5260" s="738">
        <f t="shared" si="164"/>
        <v>38.229999999999997</v>
      </c>
      <c r="F5260">
        <f t="shared" si="165"/>
        <v>89971</v>
      </c>
      <c r="H5260" s="1405">
        <v>37.1</v>
      </c>
      <c r="I5260" s="1405">
        <v>38.229999999999997</v>
      </c>
    </row>
    <row r="5261" spans="2:9" ht="30">
      <c r="B5261" s="1477">
        <v>89972</v>
      </c>
      <c r="C5261" s="740" t="s">
        <v>1480</v>
      </c>
      <c r="D5261" s="739" t="s">
        <v>22</v>
      </c>
      <c r="E5261" s="741">
        <f t="shared" si="164"/>
        <v>43.17</v>
      </c>
      <c r="F5261">
        <f t="shared" si="165"/>
        <v>89972</v>
      </c>
      <c r="H5261" s="1406">
        <v>41.72</v>
      </c>
      <c r="I5261" s="1406">
        <v>43.17</v>
      </c>
    </row>
    <row r="5262" spans="2:9" ht="30">
      <c r="B5262" s="677">
        <v>89973</v>
      </c>
      <c r="C5262" s="733" t="s">
        <v>1481</v>
      </c>
      <c r="D5262" s="677" t="s">
        <v>22</v>
      </c>
      <c r="E5262" s="738">
        <f t="shared" si="164"/>
        <v>792.13</v>
      </c>
      <c r="F5262">
        <f t="shared" si="165"/>
        <v>89973</v>
      </c>
      <c r="H5262" s="1405">
        <v>782.6</v>
      </c>
      <c r="I5262" s="1405">
        <v>792.13</v>
      </c>
    </row>
    <row r="5263" spans="2:9" ht="30">
      <c r="B5263" s="1477">
        <v>89974</v>
      </c>
      <c r="C5263" s="740" t="s">
        <v>1482</v>
      </c>
      <c r="D5263" s="739" t="s">
        <v>22</v>
      </c>
      <c r="E5263" s="741">
        <f t="shared" si="164"/>
        <v>280.17</v>
      </c>
      <c r="F5263">
        <f t="shared" si="165"/>
        <v>89974</v>
      </c>
      <c r="H5263" s="1406">
        <v>272.16000000000003</v>
      </c>
      <c r="I5263" s="1406">
        <v>280.17</v>
      </c>
    </row>
    <row r="5264" spans="2:9" ht="30">
      <c r="B5264" s="677">
        <v>89984</v>
      </c>
      <c r="C5264" s="733" t="s">
        <v>4965</v>
      </c>
      <c r="D5264" s="677" t="s">
        <v>22</v>
      </c>
      <c r="E5264" s="738">
        <f t="shared" si="164"/>
        <v>64.680000000000007</v>
      </c>
      <c r="F5264">
        <f t="shared" si="165"/>
        <v>89984</v>
      </c>
      <c r="H5264" s="1405">
        <v>63.79</v>
      </c>
      <c r="I5264" s="1405">
        <v>64.680000000000007</v>
      </c>
    </row>
    <row r="5265" spans="2:9" ht="30">
      <c r="B5265" s="1477">
        <v>89985</v>
      </c>
      <c r="C5265" s="740" t="s">
        <v>4966</v>
      </c>
      <c r="D5265" s="739" t="s">
        <v>22</v>
      </c>
      <c r="E5265" s="741">
        <f t="shared" si="164"/>
        <v>68.37</v>
      </c>
      <c r="F5265">
        <f t="shared" si="165"/>
        <v>89985</v>
      </c>
      <c r="H5265" s="1406">
        <v>67.290000000000006</v>
      </c>
      <c r="I5265" s="1406">
        <v>68.37</v>
      </c>
    </row>
    <row r="5266" spans="2:9" ht="30">
      <c r="B5266" s="677">
        <v>89986</v>
      </c>
      <c r="C5266" s="733" t="s">
        <v>4967</v>
      </c>
      <c r="D5266" s="677" t="s">
        <v>22</v>
      </c>
      <c r="E5266" s="738">
        <f t="shared" si="164"/>
        <v>63.08</v>
      </c>
      <c r="F5266">
        <f t="shared" si="165"/>
        <v>89986</v>
      </c>
      <c r="H5266" s="1405">
        <v>62.19</v>
      </c>
      <c r="I5266" s="1405">
        <v>63.08</v>
      </c>
    </row>
    <row r="5267" spans="2:9" ht="30">
      <c r="B5267" s="1477">
        <v>89987</v>
      </c>
      <c r="C5267" s="740" t="s">
        <v>4968</v>
      </c>
      <c r="D5267" s="739" t="s">
        <v>22</v>
      </c>
      <c r="E5267" s="741">
        <f t="shared" si="164"/>
        <v>71.87</v>
      </c>
      <c r="F5267">
        <f t="shared" si="165"/>
        <v>89987</v>
      </c>
      <c r="H5267" s="1406">
        <v>70.790000000000006</v>
      </c>
      <c r="I5267" s="1406">
        <v>71.87</v>
      </c>
    </row>
    <row r="5268" spans="2:9">
      <c r="B5268" s="677">
        <v>90371</v>
      </c>
      <c r="C5268" s="733" t="s">
        <v>4969</v>
      </c>
      <c r="D5268" s="677" t="s">
        <v>22</v>
      </c>
      <c r="E5268" s="738">
        <f t="shared" si="164"/>
        <v>24.15</v>
      </c>
      <c r="F5268">
        <f t="shared" si="165"/>
        <v>90371</v>
      </c>
      <c r="H5268" s="1405">
        <v>23.62</v>
      </c>
      <c r="I5268" s="1405">
        <v>24.15</v>
      </c>
    </row>
    <row r="5269" spans="2:9">
      <c r="B5269" s="1477">
        <v>94489</v>
      </c>
      <c r="C5269" s="740" t="s">
        <v>4970</v>
      </c>
      <c r="D5269" s="739" t="s">
        <v>22</v>
      </c>
      <c r="E5269" s="741">
        <f t="shared" si="164"/>
        <v>24.69</v>
      </c>
      <c r="F5269">
        <f t="shared" si="165"/>
        <v>94489</v>
      </c>
      <c r="H5269" s="1406">
        <v>24.3</v>
      </c>
      <c r="I5269" s="1406">
        <v>24.69</v>
      </c>
    </row>
    <row r="5270" spans="2:9">
      <c r="B5270" s="677">
        <v>94490</v>
      </c>
      <c r="C5270" s="733" t="s">
        <v>4971</v>
      </c>
      <c r="D5270" s="677" t="s">
        <v>22</v>
      </c>
      <c r="E5270" s="738">
        <f t="shared" si="164"/>
        <v>35.950000000000003</v>
      </c>
      <c r="F5270">
        <f t="shared" si="165"/>
        <v>94490</v>
      </c>
      <c r="H5270" s="1405">
        <v>35.56</v>
      </c>
      <c r="I5270" s="1405">
        <v>35.950000000000003</v>
      </c>
    </row>
    <row r="5271" spans="2:9">
      <c r="B5271" s="1477">
        <v>94491</v>
      </c>
      <c r="C5271" s="740" t="s">
        <v>4972</v>
      </c>
      <c r="D5271" s="739" t="s">
        <v>22</v>
      </c>
      <c r="E5271" s="741">
        <f t="shared" si="164"/>
        <v>49.31</v>
      </c>
      <c r="F5271">
        <f t="shared" si="165"/>
        <v>94491</v>
      </c>
      <c r="H5271" s="1406">
        <v>48.75</v>
      </c>
      <c r="I5271" s="1406">
        <v>49.31</v>
      </c>
    </row>
    <row r="5272" spans="2:9">
      <c r="B5272" s="677">
        <v>94492</v>
      </c>
      <c r="C5272" s="733" t="s">
        <v>4973</v>
      </c>
      <c r="D5272" s="677" t="s">
        <v>22</v>
      </c>
      <c r="E5272" s="738">
        <f t="shared" si="164"/>
        <v>50.64</v>
      </c>
      <c r="F5272">
        <f t="shared" si="165"/>
        <v>94492</v>
      </c>
      <c r="H5272" s="1405">
        <v>50.08</v>
      </c>
      <c r="I5272" s="1405">
        <v>50.64</v>
      </c>
    </row>
    <row r="5273" spans="2:9">
      <c r="B5273" s="1477">
        <v>94493</v>
      </c>
      <c r="C5273" s="740" t="s">
        <v>4974</v>
      </c>
      <c r="D5273" s="739" t="s">
        <v>22</v>
      </c>
      <c r="E5273" s="741">
        <f t="shared" si="164"/>
        <v>92.95</v>
      </c>
      <c r="F5273">
        <f t="shared" si="165"/>
        <v>94493</v>
      </c>
      <c r="H5273" s="1406">
        <v>92.06</v>
      </c>
      <c r="I5273" s="1406">
        <v>92.95</v>
      </c>
    </row>
    <row r="5274" spans="2:9">
      <c r="B5274" s="677">
        <v>94495</v>
      </c>
      <c r="C5274" s="733" t="s">
        <v>4975</v>
      </c>
      <c r="D5274" s="677" t="s">
        <v>22</v>
      </c>
      <c r="E5274" s="738">
        <f t="shared" si="164"/>
        <v>46.84</v>
      </c>
      <c r="F5274">
        <f t="shared" si="165"/>
        <v>94495</v>
      </c>
      <c r="H5274" s="1405">
        <v>46.12</v>
      </c>
      <c r="I5274" s="1405">
        <v>46.84</v>
      </c>
    </row>
    <row r="5275" spans="2:9">
      <c r="B5275" s="1477">
        <v>94496</v>
      </c>
      <c r="C5275" s="740" t="s">
        <v>4976</v>
      </c>
      <c r="D5275" s="739" t="s">
        <v>22</v>
      </c>
      <c r="E5275" s="741">
        <f t="shared" si="164"/>
        <v>63.8</v>
      </c>
      <c r="F5275">
        <f t="shared" si="165"/>
        <v>94496</v>
      </c>
      <c r="H5275" s="1406">
        <v>62.81</v>
      </c>
      <c r="I5275" s="1406">
        <v>63.8</v>
      </c>
    </row>
    <row r="5276" spans="2:9">
      <c r="B5276" s="677">
        <v>94497</v>
      </c>
      <c r="C5276" s="733" t="s">
        <v>4977</v>
      </c>
      <c r="D5276" s="677" t="s">
        <v>22</v>
      </c>
      <c r="E5276" s="738">
        <f t="shared" si="164"/>
        <v>80.900000000000006</v>
      </c>
      <c r="F5276">
        <f t="shared" si="165"/>
        <v>94497</v>
      </c>
      <c r="H5276" s="1405">
        <v>79.62</v>
      </c>
      <c r="I5276" s="1405">
        <v>80.900000000000006</v>
      </c>
    </row>
    <row r="5277" spans="2:9">
      <c r="B5277" s="1477">
        <v>94498</v>
      </c>
      <c r="C5277" s="740" t="s">
        <v>4978</v>
      </c>
      <c r="D5277" s="739" t="s">
        <v>22</v>
      </c>
      <c r="E5277" s="741">
        <f t="shared" si="164"/>
        <v>111.4</v>
      </c>
      <c r="F5277">
        <f t="shared" si="165"/>
        <v>94498</v>
      </c>
      <c r="H5277" s="1406">
        <v>109.74</v>
      </c>
      <c r="I5277" s="1406">
        <v>111.4</v>
      </c>
    </row>
    <row r="5278" spans="2:9">
      <c r="B5278" s="677">
        <v>94499</v>
      </c>
      <c r="C5278" s="733" t="s">
        <v>4979</v>
      </c>
      <c r="D5278" s="677" t="s">
        <v>22</v>
      </c>
      <c r="E5278" s="738">
        <f t="shared" si="164"/>
        <v>219.16</v>
      </c>
      <c r="F5278">
        <f t="shared" si="165"/>
        <v>94499</v>
      </c>
      <c r="H5278" s="1405">
        <v>216.94</v>
      </c>
      <c r="I5278" s="1405">
        <v>219.16</v>
      </c>
    </row>
    <row r="5279" spans="2:9">
      <c r="B5279" s="1477">
        <v>94500</v>
      </c>
      <c r="C5279" s="740" t="s">
        <v>4980</v>
      </c>
      <c r="D5279" s="739" t="s">
        <v>22</v>
      </c>
      <c r="E5279" s="741">
        <f t="shared" si="164"/>
        <v>266.20999999999998</v>
      </c>
      <c r="F5279">
        <f t="shared" si="165"/>
        <v>94500</v>
      </c>
      <c r="H5279" s="1406">
        <v>263.43</v>
      </c>
      <c r="I5279" s="1406">
        <v>266.20999999999998</v>
      </c>
    </row>
    <row r="5280" spans="2:9">
      <c r="B5280" s="677">
        <v>94501</v>
      </c>
      <c r="C5280" s="733" t="s">
        <v>4981</v>
      </c>
      <c r="D5280" s="677" t="s">
        <v>22</v>
      </c>
      <c r="E5280" s="738">
        <f t="shared" si="164"/>
        <v>532.71</v>
      </c>
      <c r="F5280">
        <f t="shared" si="165"/>
        <v>94501</v>
      </c>
      <c r="H5280" s="1405">
        <v>529.19000000000005</v>
      </c>
      <c r="I5280" s="1405">
        <v>532.71</v>
      </c>
    </row>
    <row r="5281" spans="2:9" ht="30">
      <c r="B5281" s="1477">
        <v>94792</v>
      </c>
      <c r="C5281" s="740" t="s">
        <v>4982</v>
      </c>
      <c r="D5281" s="739" t="s">
        <v>22</v>
      </c>
      <c r="E5281" s="741">
        <f t="shared" si="164"/>
        <v>87.46</v>
      </c>
      <c r="F5281">
        <f t="shared" si="165"/>
        <v>94792</v>
      </c>
      <c r="H5281" s="1406">
        <v>86.19</v>
      </c>
      <c r="I5281" s="1406">
        <v>87.46</v>
      </c>
    </row>
    <row r="5282" spans="2:9" ht="30">
      <c r="B5282" s="677">
        <v>94793</v>
      </c>
      <c r="C5282" s="733" t="s">
        <v>4983</v>
      </c>
      <c r="D5282" s="677" t="s">
        <v>22</v>
      </c>
      <c r="E5282" s="738">
        <f t="shared" si="164"/>
        <v>119.36</v>
      </c>
      <c r="F5282">
        <f t="shared" si="165"/>
        <v>94793</v>
      </c>
      <c r="H5282" s="1405">
        <v>117.83</v>
      </c>
      <c r="I5282" s="1405">
        <v>119.36</v>
      </c>
    </row>
    <row r="5283" spans="2:9" ht="30">
      <c r="B5283" s="1477">
        <v>94794</v>
      </c>
      <c r="C5283" s="740" t="s">
        <v>4984</v>
      </c>
      <c r="D5283" s="739" t="s">
        <v>22</v>
      </c>
      <c r="E5283" s="741">
        <f t="shared" si="164"/>
        <v>127.05</v>
      </c>
      <c r="F5283">
        <f t="shared" si="165"/>
        <v>94794</v>
      </c>
      <c r="H5283" s="1406">
        <v>125.22</v>
      </c>
      <c r="I5283" s="1406">
        <v>127.05</v>
      </c>
    </row>
    <row r="5284" spans="2:9">
      <c r="B5284" s="677">
        <v>94795</v>
      </c>
      <c r="C5284" s="733" t="s">
        <v>4985</v>
      </c>
      <c r="D5284" s="677" t="s">
        <v>22</v>
      </c>
      <c r="E5284" s="738">
        <f t="shared" si="164"/>
        <v>34.86</v>
      </c>
      <c r="F5284">
        <f t="shared" si="165"/>
        <v>94795</v>
      </c>
      <c r="H5284" s="1405">
        <v>34.26</v>
      </c>
      <c r="I5284" s="1405">
        <v>34.86</v>
      </c>
    </row>
    <row r="5285" spans="2:9">
      <c r="B5285" s="1477">
        <v>94796</v>
      </c>
      <c r="C5285" s="740" t="s">
        <v>4986</v>
      </c>
      <c r="D5285" s="739" t="s">
        <v>22</v>
      </c>
      <c r="E5285" s="741">
        <f t="shared" si="164"/>
        <v>40.270000000000003</v>
      </c>
      <c r="F5285">
        <f t="shared" si="165"/>
        <v>94796</v>
      </c>
      <c r="H5285" s="1406">
        <v>39.340000000000003</v>
      </c>
      <c r="I5285" s="1406">
        <v>40.270000000000003</v>
      </c>
    </row>
    <row r="5286" spans="2:9">
      <c r="B5286" s="677">
        <v>94797</v>
      </c>
      <c r="C5286" s="733" t="s">
        <v>4987</v>
      </c>
      <c r="D5286" s="677" t="s">
        <v>22</v>
      </c>
      <c r="E5286" s="738">
        <f t="shared" si="164"/>
        <v>82.55</v>
      </c>
      <c r="F5286">
        <f t="shared" si="165"/>
        <v>94797</v>
      </c>
      <c r="H5286" s="1405">
        <v>81.290000000000006</v>
      </c>
      <c r="I5286" s="1405">
        <v>82.55</v>
      </c>
    </row>
    <row r="5287" spans="2:9">
      <c r="B5287" s="1477">
        <v>94798</v>
      </c>
      <c r="C5287" s="740" t="s">
        <v>4988</v>
      </c>
      <c r="D5287" s="739" t="s">
        <v>22</v>
      </c>
      <c r="E5287" s="741">
        <f t="shared" si="164"/>
        <v>136.5</v>
      </c>
      <c r="F5287">
        <f t="shared" si="165"/>
        <v>94798</v>
      </c>
      <c r="H5287" s="1406">
        <v>134.79</v>
      </c>
      <c r="I5287" s="1406">
        <v>136.5</v>
      </c>
    </row>
    <row r="5288" spans="2:9">
      <c r="B5288" s="677">
        <v>94799</v>
      </c>
      <c r="C5288" s="733" t="s">
        <v>4989</v>
      </c>
      <c r="D5288" s="677" t="s">
        <v>22</v>
      </c>
      <c r="E5288" s="738">
        <f t="shared" si="164"/>
        <v>167.72</v>
      </c>
      <c r="F5288">
        <f t="shared" si="165"/>
        <v>94799</v>
      </c>
      <c r="H5288" s="1405">
        <v>165.49</v>
      </c>
      <c r="I5288" s="1405">
        <v>167.72</v>
      </c>
    </row>
    <row r="5289" spans="2:9">
      <c r="B5289" s="1477">
        <v>94800</v>
      </c>
      <c r="C5289" s="740" t="s">
        <v>4990</v>
      </c>
      <c r="D5289" s="739" t="s">
        <v>22</v>
      </c>
      <c r="E5289" s="741">
        <f t="shared" si="164"/>
        <v>215.36</v>
      </c>
      <c r="F5289">
        <f t="shared" si="165"/>
        <v>94800</v>
      </c>
      <c r="H5289" s="1406">
        <v>212.49</v>
      </c>
      <c r="I5289" s="1406">
        <v>215.36</v>
      </c>
    </row>
    <row r="5290" spans="2:9">
      <c r="B5290" s="677">
        <v>95248</v>
      </c>
      <c r="C5290" s="733" t="s">
        <v>4991</v>
      </c>
      <c r="D5290" s="677" t="s">
        <v>22</v>
      </c>
      <c r="E5290" s="738">
        <f t="shared" si="164"/>
        <v>39.24</v>
      </c>
      <c r="F5290">
        <f t="shared" si="165"/>
        <v>95248</v>
      </c>
      <c r="H5290" s="1405">
        <v>38.89</v>
      </c>
      <c r="I5290" s="1405">
        <v>39.24</v>
      </c>
    </row>
    <row r="5291" spans="2:9">
      <c r="B5291" s="1477">
        <v>95249</v>
      </c>
      <c r="C5291" s="740" t="s">
        <v>4992</v>
      </c>
      <c r="D5291" s="739" t="s">
        <v>22</v>
      </c>
      <c r="E5291" s="741">
        <f t="shared" si="164"/>
        <v>46.58</v>
      </c>
      <c r="F5291">
        <f t="shared" si="165"/>
        <v>95249</v>
      </c>
      <c r="H5291" s="1406">
        <v>46.05</v>
      </c>
      <c r="I5291" s="1406">
        <v>46.58</v>
      </c>
    </row>
    <row r="5292" spans="2:9">
      <c r="B5292" s="677">
        <v>95250</v>
      </c>
      <c r="C5292" s="733" t="s">
        <v>4993</v>
      </c>
      <c r="D5292" s="677" t="s">
        <v>22</v>
      </c>
      <c r="E5292" s="738">
        <f t="shared" si="164"/>
        <v>62.86</v>
      </c>
      <c r="F5292">
        <f t="shared" si="165"/>
        <v>95250</v>
      </c>
      <c r="H5292" s="1405">
        <v>62.14</v>
      </c>
      <c r="I5292" s="1405">
        <v>62.86</v>
      </c>
    </row>
    <row r="5293" spans="2:9">
      <c r="B5293" s="1477">
        <v>95251</v>
      </c>
      <c r="C5293" s="740" t="s">
        <v>4994</v>
      </c>
      <c r="D5293" s="739" t="s">
        <v>22</v>
      </c>
      <c r="E5293" s="741">
        <f t="shared" si="164"/>
        <v>92.76</v>
      </c>
      <c r="F5293">
        <f t="shared" si="165"/>
        <v>95251</v>
      </c>
      <c r="H5293" s="1406">
        <v>91.77</v>
      </c>
      <c r="I5293" s="1406">
        <v>92.76</v>
      </c>
    </row>
    <row r="5294" spans="2:9">
      <c r="B5294" s="677">
        <v>95252</v>
      </c>
      <c r="C5294" s="733" t="s">
        <v>4995</v>
      </c>
      <c r="D5294" s="677" t="s">
        <v>22</v>
      </c>
      <c r="E5294" s="738">
        <f t="shared" si="164"/>
        <v>112.67</v>
      </c>
      <c r="F5294">
        <f t="shared" si="165"/>
        <v>95252</v>
      </c>
      <c r="H5294" s="1405">
        <v>111.39</v>
      </c>
      <c r="I5294" s="1405">
        <v>112.67</v>
      </c>
    </row>
    <row r="5295" spans="2:9">
      <c r="B5295" s="1477">
        <v>95253</v>
      </c>
      <c r="C5295" s="740" t="s">
        <v>4996</v>
      </c>
      <c r="D5295" s="739" t="s">
        <v>22</v>
      </c>
      <c r="E5295" s="741">
        <f t="shared" si="164"/>
        <v>170.61</v>
      </c>
      <c r="F5295">
        <f t="shared" si="165"/>
        <v>95253</v>
      </c>
      <c r="H5295" s="1406">
        <v>168.95</v>
      </c>
      <c r="I5295" s="1406">
        <v>170.61</v>
      </c>
    </row>
    <row r="5296" spans="2:9">
      <c r="B5296" s="677">
        <v>99619</v>
      </c>
      <c r="C5296" s="733" t="s">
        <v>4997</v>
      </c>
      <c r="D5296" s="677" t="s">
        <v>22</v>
      </c>
      <c r="E5296" s="738">
        <f t="shared" si="164"/>
        <v>118.18</v>
      </c>
      <c r="F5296">
        <f t="shared" si="165"/>
        <v>99619</v>
      </c>
      <c r="H5296" s="1405">
        <v>117.65</v>
      </c>
      <c r="I5296" s="1405">
        <v>118.18</v>
      </c>
    </row>
    <row r="5297" spans="2:9">
      <c r="B5297" s="1477">
        <v>99620</v>
      </c>
      <c r="C5297" s="740" t="s">
        <v>4998</v>
      </c>
      <c r="D5297" s="739" t="s">
        <v>22</v>
      </c>
      <c r="E5297" s="741">
        <f t="shared" si="164"/>
        <v>160.56</v>
      </c>
      <c r="F5297">
        <f t="shared" si="165"/>
        <v>99620</v>
      </c>
      <c r="H5297" s="1406">
        <v>159.84</v>
      </c>
      <c r="I5297" s="1406">
        <v>160.56</v>
      </c>
    </row>
    <row r="5298" spans="2:9">
      <c r="B5298" s="677">
        <v>99621</v>
      </c>
      <c r="C5298" s="733" t="s">
        <v>4999</v>
      </c>
      <c r="D5298" s="677" t="s">
        <v>22</v>
      </c>
      <c r="E5298" s="738">
        <f t="shared" si="164"/>
        <v>239.38</v>
      </c>
      <c r="F5298">
        <f t="shared" si="165"/>
        <v>99621</v>
      </c>
      <c r="H5298" s="1405">
        <v>238.39</v>
      </c>
      <c r="I5298" s="1405">
        <v>239.38</v>
      </c>
    </row>
    <row r="5299" spans="2:9">
      <c r="B5299" s="1477">
        <v>99622</v>
      </c>
      <c r="C5299" s="740" t="s">
        <v>5000</v>
      </c>
      <c r="D5299" s="739" t="s">
        <v>22</v>
      </c>
      <c r="E5299" s="741">
        <f t="shared" si="164"/>
        <v>269.26</v>
      </c>
      <c r="F5299">
        <f t="shared" si="165"/>
        <v>99622</v>
      </c>
      <c r="H5299" s="1406">
        <v>267.98</v>
      </c>
      <c r="I5299" s="1406">
        <v>269.26</v>
      </c>
    </row>
    <row r="5300" spans="2:9">
      <c r="B5300" s="677">
        <v>99623</v>
      </c>
      <c r="C5300" s="733" t="s">
        <v>5001</v>
      </c>
      <c r="D5300" s="677" t="s">
        <v>22</v>
      </c>
      <c r="E5300" s="738">
        <f t="shared" si="164"/>
        <v>375.86</v>
      </c>
      <c r="F5300">
        <f t="shared" si="165"/>
        <v>99623</v>
      </c>
      <c r="H5300" s="1405">
        <v>374.2</v>
      </c>
      <c r="I5300" s="1405">
        <v>375.86</v>
      </c>
    </row>
    <row r="5301" spans="2:9">
      <c r="B5301" s="1477">
        <v>99624</v>
      </c>
      <c r="C5301" s="740" t="s">
        <v>5002</v>
      </c>
      <c r="D5301" s="739" t="s">
        <v>22</v>
      </c>
      <c r="E5301" s="741">
        <f t="shared" si="164"/>
        <v>535.99</v>
      </c>
      <c r="F5301">
        <f t="shared" si="165"/>
        <v>99624</v>
      </c>
      <c r="H5301" s="1406">
        <v>533.77</v>
      </c>
      <c r="I5301" s="1406">
        <v>535.99</v>
      </c>
    </row>
    <row r="5302" spans="2:9">
      <c r="B5302" s="677">
        <v>99625</v>
      </c>
      <c r="C5302" s="733" t="s">
        <v>5003</v>
      </c>
      <c r="D5302" s="677" t="s">
        <v>22</v>
      </c>
      <c r="E5302" s="738">
        <f t="shared" si="164"/>
        <v>737.52</v>
      </c>
      <c r="F5302">
        <f t="shared" si="165"/>
        <v>99625</v>
      </c>
      <c r="H5302" s="1405">
        <v>734.74</v>
      </c>
      <c r="I5302" s="1405">
        <v>737.52</v>
      </c>
    </row>
    <row r="5303" spans="2:9">
      <c r="B5303" s="1477">
        <v>99626</v>
      </c>
      <c r="C5303" s="740" t="s">
        <v>5004</v>
      </c>
      <c r="D5303" s="739" t="s">
        <v>22</v>
      </c>
      <c r="E5303" s="741">
        <f t="shared" si="164"/>
        <v>1136.28</v>
      </c>
      <c r="F5303">
        <f t="shared" si="165"/>
        <v>99626</v>
      </c>
      <c r="H5303" s="1406">
        <v>1132.76</v>
      </c>
      <c r="I5303" s="1406">
        <v>1136.28</v>
      </c>
    </row>
    <row r="5304" spans="2:9">
      <c r="B5304" s="677">
        <v>99627</v>
      </c>
      <c r="C5304" s="733" t="s">
        <v>5005</v>
      </c>
      <c r="D5304" s="677" t="s">
        <v>22</v>
      </c>
      <c r="E5304" s="738">
        <f t="shared" si="164"/>
        <v>71.28</v>
      </c>
      <c r="F5304">
        <f t="shared" si="165"/>
        <v>99627</v>
      </c>
      <c r="H5304" s="1405">
        <v>70.930000000000007</v>
      </c>
      <c r="I5304" s="1405">
        <v>71.28</v>
      </c>
    </row>
    <row r="5305" spans="2:9">
      <c r="B5305" s="1477">
        <v>99628</v>
      </c>
      <c r="C5305" s="740" t="s">
        <v>5006</v>
      </c>
      <c r="D5305" s="739" t="s">
        <v>22</v>
      </c>
      <c r="E5305" s="741">
        <f t="shared" si="164"/>
        <v>77.650000000000006</v>
      </c>
      <c r="F5305">
        <f t="shared" si="165"/>
        <v>99628</v>
      </c>
      <c r="H5305" s="1406">
        <v>77.12</v>
      </c>
      <c r="I5305" s="1406">
        <v>77.650000000000006</v>
      </c>
    </row>
    <row r="5306" spans="2:9">
      <c r="B5306" s="677">
        <v>99629</v>
      </c>
      <c r="C5306" s="733" t="s">
        <v>5007</v>
      </c>
      <c r="D5306" s="677" t="s">
        <v>22</v>
      </c>
      <c r="E5306" s="738">
        <f t="shared" si="164"/>
        <v>86.17</v>
      </c>
      <c r="F5306">
        <f t="shared" si="165"/>
        <v>99629</v>
      </c>
      <c r="H5306" s="1405">
        <v>85.45</v>
      </c>
      <c r="I5306" s="1405">
        <v>86.17</v>
      </c>
    </row>
    <row r="5307" spans="2:9">
      <c r="B5307" s="1477">
        <v>99630</v>
      </c>
      <c r="C5307" s="740" t="s">
        <v>5008</v>
      </c>
      <c r="D5307" s="739" t="s">
        <v>22</v>
      </c>
      <c r="E5307" s="741">
        <f t="shared" si="164"/>
        <v>128.27000000000001</v>
      </c>
      <c r="F5307">
        <f t="shared" si="165"/>
        <v>99630</v>
      </c>
      <c r="H5307" s="1406">
        <v>127.28</v>
      </c>
      <c r="I5307" s="1406">
        <v>128.27000000000001</v>
      </c>
    </row>
    <row r="5308" spans="2:9">
      <c r="B5308" s="677">
        <v>99631</v>
      </c>
      <c r="C5308" s="733" t="s">
        <v>5009</v>
      </c>
      <c r="D5308" s="677" t="s">
        <v>22</v>
      </c>
      <c r="E5308" s="738">
        <f t="shared" si="164"/>
        <v>149.19</v>
      </c>
      <c r="F5308">
        <f t="shared" si="165"/>
        <v>99631</v>
      </c>
      <c r="H5308" s="1405">
        <v>147.91</v>
      </c>
      <c r="I5308" s="1405">
        <v>149.19</v>
      </c>
    </row>
    <row r="5309" spans="2:9">
      <c r="B5309" s="1477">
        <v>99632</v>
      </c>
      <c r="C5309" s="740" t="s">
        <v>5010</v>
      </c>
      <c r="D5309" s="739" t="s">
        <v>22</v>
      </c>
      <c r="E5309" s="741">
        <f t="shared" si="164"/>
        <v>215.29</v>
      </c>
      <c r="F5309">
        <f t="shared" si="165"/>
        <v>99632</v>
      </c>
      <c r="H5309" s="1406">
        <v>213.63</v>
      </c>
      <c r="I5309" s="1406">
        <v>215.29</v>
      </c>
    </row>
    <row r="5310" spans="2:9">
      <c r="B5310" s="677">
        <v>99633</v>
      </c>
      <c r="C5310" s="733" t="s">
        <v>5011</v>
      </c>
      <c r="D5310" s="677" t="s">
        <v>22</v>
      </c>
      <c r="E5310" s="738">
        <f t="shared" si="164"/>
        <v>462.81</v>
      </c>
      <c r="F5310">
        <f t="shared" si="165"/>
        <v>99633</v>
      </c>
      <c r="H5310" s="1405">
        <v>460.03</v>
      </c>
      <c r="I5310" s="1405">
        <v>462.81</v>
      </c>
    </row>
    <row r="5311" spans="2:9">
      <c r="B5311" s="1477">
        <v>99634</v>
      </c>
      <c r="C5311" s="740" t="s">
        <v>5012</v>
      </c>
      <c r="D5311" s="739" t="s">
        <v>22</v>
      </c>
      <c r="E5311" s="741">
        <f t="shared" si="164"/>
        <v>790.63</v>
      </c>
      <c r="F5311">
        <f t="shared" si="165"/>
        <v>99634</v>
      </c>
      <c r="H5311" s="1406">
        <v>787.11</v>
      </c>
      <c r="I5311" s="1406">
        <v>790.63</v>
      </c>
    </row>
    <row r="5312" spans="2:9">
      <c r="B5312" s="677">
        <v>99635</v>
      </c>
      <c r="C5312" s="733" t="s">
        <v>5013</v>
      </c>
      <c r="D5312" s="677" t="s">
        <v>22</v>
      </c>
      <c r="E5312" s="738">
        <f t="shared" si="164"/>
        <v>188.18</v>
      </c>
      <c r="F5312">
        <f t="shared" si="165"/>
        <v>99635</v>
      </c>
      <c r="H5312" s="1405">
        <v>183.66</v>
      </c>
      <c r="I5312" s="1405">
        <v>188.18</v>
      </c>
    </row>
    <row r="5313" spans="2:9">
      <c r="B5313" s="1477">
        <v>103008</v>
      </c>
      <c r="C5313" s="740" t="s">
        <v>5014</v>
      </c>
      <c r="D5313" s="739" t="s">
        <v>22</v>
      </c>
      <c r="E5313" s="741">
        <f t="shared" si="164"/>
        <v>96.63</v>
      </c>
      <c r="F5313">
        <f t="shared" si="165"/>
        <v>103008</v>
      </c>
      <c r="H5313" s="1406">
        <v>96.28</v>
      </c>
      <c r="I5313" s="1406">
        <v>96.63</v>
      </c>
    </row>
    <row r="5314" spans="2:9">
      <c r="B5314" s="677">
        <v>103009</v>
      </c>
      <c r="C5314" s="733" t="s">
        <v>5015</v>
      </c>
      <c r="D5314" s="677" t="s">
        <v>22</v>
      </c>
      <c r="E5314" s="738">
        <f t="shared" si="164"/>
        <v>340.71</v>
      </c>
      <c r="F5314">
        <f t="shared" si="165"/>
        <v>103009</v>
      </c>
      <c r="H5314" s="1405">
        <v>338.49</v>
      </c>
      <c r="I5314" s="1405">
        <v>340.71</v>
      </c>
    </row>
    <row r="5315" spans="2:9">
      <c r="B5315" s="1477">
        <v>103010</v>
      </c>
      <c r="C5315" s="740" t="s">
        <v>5016</v>
      </c>
      <c r="D5315" s="739" t="s">
        <v>22</v>
      </c>
      <c r="E5315" s="741">
        <f t="shared" ref="E5315:E5378" si="166">IF($K$2=$H$1,H5315,I5315)</f>
        <v>73.27</v>
      </c>
      <c r="F5315">
        <f t="shared" ref="F5315:F5378" si="167">IF(LEN($B5315)=7,CONCATENATE(MID($B5315,1,6),"00",RIGHT($B5315,1)),IF(LEN($B5315)=8,CONCATENATE(MID($B5315,1,6),"0",RIGHT($B5315,2)),$B5315))</f>
        <v>103010</v>
      </c>
      <c r="H5315" s="1406">
        <v>73</v>
      </c>
      <c r="I5315" s="1406">
        <v>73.27</v>
      </c>
    </row>
    <row r="5316" spans="2:9">
      <c r="B5316" s="677">
        <v>103011</v>
      </c>
      <c r="C5316" s="733" t="s">
        <v>5017</v>
      </c>
      <c r="D5316" s="677" t="s">
        <v>22</v>
      </c>
      <c r="E5316" s="738">
        <f t="shared" si="166"/>
        <v>81.650000000000006</v>
      </c>
      <c r="F5316">
        <f t="shared" si="167"/>
        <v>103011</v>
      </c>
      <c r="H5316" s="1405">
        <v>81.290000000000006</v>
      </c>
      <c r="I5316" s="1405">
        <v>81.650000000000006</v>
      </c>
    </row>
    <row r="5317" spans="2:9">
      <c r="B5317" s="1477">
        <v>103012</v>
      </c>
      <c r="C5317" s="740" t="s">
        <v>5018</v>
      </c>
      <c r="D5317" s="739" t="s">
        <v>22</v>
      </c>
      <c r="E5317" s="741">
        <f t="shared" si="166"/>
        <v>128.82</v>
      </c>
      <c r="F5317">
        <f t="shared" si="167"/>
        <v>103012</v>
      </c>
      <c r="H5317" s="1406">
        <v>128.32</v>
      </c>
      <c r="I5317" s="1406">
        <v>128.82</v>
      </c>
    </row>
    <row r="5318" spans="2:9">
      <c r="B5318" s="677">
        <v>103013</v>
      </c>
      <c r="C5318" s="733" t="s">
        <v>5019</v>
      </c>
      <c r="D5318" s="677" t="s">
        <v>22</v>
      </c>
      <c r="E5318" s="738">
        <f t="shared" si="166"/>
        <v>138.58000000000001</v>
      </c>
      <c r="F5318">
        <f t="shared" si="167"/>
        <v>103013</v>
      </c>
      <c r="H5318" s="1405">
        <v>137.94</v>
      </c>
      <c r="I5318" s="1405">
        <v>138.58000000000001</v>
      </c>
    </row>
    <row r="5319" spans="2:9">
      <c r="B5319" s="1477">
        <v>103014</v>
      </c>
      <c r="C5319" s="740" t="s">
        <v>5020</v>
      </c>
      <c r="D5319" s="739" t="s">
        <v>22</v>
      </c>
      <c r="E5319" s="741">
        <f t="shared" si="166"/>
        <v>208.52</v>
      </c>
      <c r="F5319">
        <f t="shared" si="167"/>
        <v>103014</v>
      </c>
      <c r="H5319" s="1406">
        <v>207.69</v>
      </c>
      <c r="I5319" s="1406">
        <v>208.52</v>
      </c>
    </row>
    <row r="5320" spans="2:9">
      <c r="B5320" s="677">
        <v>103015</v>
      </c>
      <c r="C5320" s="733" t="s">
        <v>5021</v>
      </c>
      <c r="D5320" s="677" t="s">
        <v>22</v>
      </c>
      <c r="E5320" s="738">
        <f t="shared" si="166"/>
        <v>369</v>
      </c>
      <c r="F5320">
        <f t="shared" si="167"/>
        <v>103015</v>
      </c>
      <c r="H5320" s="1405">
        <v>367.9</v>
      </c>
      <c r="I5320" s="1405">
        <v>369</v>
      </c>
    </row>
    <row r="5321" spans="2:9">
      <c r="B5321" s="1477">
        <v>103016</v>
      </c>
      <c r="C5321" s="740" t="s">
        <v>5022</v>
      </c>
      <c r="D5321" s="739" t="s">
        <v>22</v>
      </c>
      <c r="E5321" s="741">
        <f t="shared" si="166"/>
        <v>504.57</v>
      </c>
      <c r="F5321">
        <f t="shared" si="167"/>
        <v>103016</v>
      </c>
      <c r="H5321" s="1406">
        <v>503.18</v>
      </c>
      <c r="I5321" s="1406">
        <v>504.57</v>
      </c>
    </row>
    <row r="5322" spans="2:9">
      <c r="B5322" s="677">
        <v>103017</v>
      </c>
      <c r="C5322" s="733" t="s">
        <v>5023</v>
      </c>
      <c r="D5322" s="677" t="s">
        <v>22</v>
      </c>
      <c r="E5322" s="738">
        <f t="shared" si="166"/>
        <v>881.39</v>
      </c>
      <c r="F5322">
        <f t="shared" si="167"/>
        <v>103017</v>
      </c>
      <c r="H5322" s="1405">
        <v>879.62</v>
      </c>
      <c r="I5322" s="1405">
        <v>881.39</v>
      </c>
    </row>
    <row r="5323" spans="2:9">
      <c r="B5323" s="1477">
        <v>103018</v>
      </c>
      <c r="C5323" s="740" t="s">
        <v>5024</v>
      </c>
      <c r="D5323" s="739" t="s">
        <v>22</v>
      </c>
      <c r="E5323" s="741">
        <f t="shared" si="166"/>
        <v>154.94</v>
      </c>
      <c r="F5323">
        <f t="shared" si="167"/>
        <v>103018</v>
      </c>
      <c r="H5323" s="1406">
        <v>151.02000000000001</v>
      </c>
      <c r="I5323" s="1406">
        <v>154.94</v>
      </c>
    </row>
    <row r="5324" spans="2:9" ht="30">
      <c r="B5324" s="677">
        <v>103019</v>
      </c>
      <c r="C5324" s="733" t="s">
        <v>5025</v>
      </c>
      <c r="D5324" s="677" t="s">
        <v>22</v>
      </c>
      <c r="E5324" s="738">
        <f t="shared" si="166"/>
        <v>206.55</v>
      </c>
      <c r="F5324">
        <f t="shared" si="167"/>
        <v>103019</v>
      </c>
      <c r="H5324" s="1405">
        <v>204.33</v>
      </c>
      <c r="I5324" s="1405">
        <v>206.55</v>
      </c>
    </row>
    <row r="5325" spans="2:9">
      <c r="B5325" s="1477">
        <v>103029</v>
      </c>
      <c r="C5325" s="740" t="s">
        <v>5026</v>
      </c>
      <c r="D5325" s="739" t="s">
        <v>22</v>
      </c>
      <c r="E5325" s="741">
        <f t="shared" si="166"/>
        <v>34.61</v>
      </c>
      <c r="F5325">
        <f t="shared" si="167"/>
        <v>103029</v>
      </c>
      <c r="H5325" s="1406">
        <v>34.08</v>
      </c>
      <c r="I5325" s="1406">
        <v>34.61</v>
      </c>
    </row>
    <row r="5326" spans="2:9">
      <c r="B5326" s="677">
        <v>103036</v>
      </c>
      <c r="C5326" s="733" t="s">
        <v>5027</v>
      </c>
      <c r="D5326" s="677" t="s">
        <v>22</v>
      </c>
      <c r="E5326" s="738">
        <f t="shared" si="166"/>
        <v>19.22</v>
      </c>
      <c r="F5326">
        <f t="shared" si="167"/>
        <v>103036</v>
      </c>
      <c r="H5326" s="1405">
        <v>18.87</v>
      </c>
      <c r="I5326" s="1405">
        <v>19.22</v>
      </c>
    </row>
    <row r="5327" spans="2:9">
      <c r="B5327" s="1477">
        <v>103037</v>
      </c>
      <c r="C5327" s="740" t="s">
        <v>5028</v>
      </c>
      <c r="D5327" s="739" t="s">
        <v>22</v>
      </c>
      <c r="E5327" s="741">
        <f t="shared" si="166"/>
        <v>37.909999999999997</v>
      </c>
      <c r="F5327">
        <f t="shared" si="167"/>
        <v>103037</v>
      </c>
      <c r="H5327" s="1406">
        <v>37.19</v>
      </c>
      <c r="I5327" s="1406">
        <v>37.909999999999997</v>
      </c>
    </row>
    <row r="5328" spans="2:9">
      <c r="B5328" s="677">
        <v>103038</v>
      </c>
      <c r="C5328" s="733" t="s">
        <v>5029</v>
      </c>
      <c r="D5328" s="677" t="s">
        <v>22</v>
      </c>
      <c r="E5328" s="738">
        <f t="shared" si="166"/>
        <v>50.79</v>
      </c>
      <c r="F5328">
        <f t="shared" si="167"/>
        <v>103038</v>
      </c>
      <c r="H5328" s="1405">
        <v>49.8</v>
      </c>
      <c r="I5328" s="1405">
        <v>50.79</v>
      </c>
    </row>
    <row r="5329" spans="2:9">
      <c r="B5329" s="1477">
        <v>103039</v>
      </c>
      <c r="C5329" s="740" t="s">
        <v>5030</v>
      </c>
      <c r="D5329" s="739" t="s">
        <v>22</v>
      </c>
      <c r="E5329" s="741">
        <f t="shared" si="166"/>
        <v>55.72</v>
      </c>
      <c r="F5329">
        <f t="shared" si="167"/>
        <v>103039</v>
      </c>
      <c r="H5329" s="1406">
        <v>54.44</v>
      </c>
      <c r="I5329" s="1406">
        <v>55.72</v>
      </c>
    </row>
    <row r="5330" spans="2:9">
      <c r="B5330" s="677">
        <v>103040</v>
      </c>
      <c r="C5330" s="733" t="s">
        <v>5031</v>
      </c>
      <c r="D5330" s="677" t="s">
        <v>22</v>
      </c>
      <c r="E5330" s="738">
        <f t="shared" si="166"/>
        <v>82.28</v>
      </c>
      <c r="F5330">
        <f t="shared" si="167"/>
        <v>103040</v>
      </c>
      <c r="H5330" s="1405">
        <v>80.62</v>
      </c>
      <c r="I5330" s="1405">
        <v>82.28</v>
      </c>
    </row>
    <row r="5331" spans="2:9">
      <c r="B5331" s="1477">
        <v>103041</v>
      </c>
      <c r="C5331" s="740" t="s">
        <v>5032</v>
      </c>
      <c r="D5331" s="739" t="s">
        <v>22</v>
      </c>
      <c r="E5331" s="741">
        <f t="shared" si="166"/>
        <v>16.14</v>
      </c>
      <c r="F5331">
        <f t="shared" si="167"/>
        <v>103041</v>
      </c>
      <c r="H5331" s="1406">
        <v>15.79</v>
      </c>
      <c r="I5331" s="1406">
        <v>16.14</v>
      </c>
    </row>
    <row r="5332" spans="2:9">
      <c r="B5332" s="677">
        <v>103042</v>
      </c>
      <c r="C5332" s="733" t="s">
        <v>5033</v>
      </c>
      <c r="D5332" s="677" t="s">
        <v>22</v>
      </c>
      <c r="E5332" s="738">
        <f t="shared" si="166"/>
        <v>20.18</v>
      </c>
      <c r="F5332">
        <f t="shared" si="167"/>
        <v>103042</v>
      </c>
      <c r="H5332" s="1405">
        <v>19.649999999999999</v>
      </c>
      <c r="I5332" s="1405">
        <v>20.18</v>
      </c>
    </row>
    <row r="5333" spans="2:9">
      <c r="B5333" s="1477">
        <v>103043</v>
      </c>
      <c r="C5333" s="740" t="s">
        <v>5034</v>
      </c>
      <c r="D5333" s="739" t="s">
        <v>22</v>
      </c>
      <c r="E5333" s="741">
        <f t="shared" si="166"/>
        <v>18.52</v>
      </c>
      <c r="F5333">
        <f t="shared" si="167"/>
        <v>103043</v>
      </c>
      <c r="H5333" s="1406">
        <v>18.170000000000002</v>
      </c>
      <c r="I5333" s="1406">
        <v>18.52</v>
      </c>
    </row>
    <row r="5334" spans="2:9">
      <c r="B5334" s="677">
        <v>103044</v>
      </c>
      <c r="C5334" s="733" t="s">
        <v>5035</v>
      </c>
      <c r="D5334" s="677" t="s">
        <v>22</v>
      </c>
      <c r="E5334" s="738">
        <f t="shared" si="166"/>
        <v>25.13</v>
      </c>
      <c r="F5334">
        <f t="shared" si="167"/>
        <v>103044</v>
      </c>
      <c r="H5334" s="1405">
        <v>24.6</v>
      </c>
      <c r="I5334" s="1405">
        <v>25.13</v>
      </c>
    </row>
    <row r="5335" spans="2:9">
      <c r="B5335" s="1477">
        <v>103045</v>
      </c>
      <c r="C5335" s="740" t="s">
        <v>5036</v>
      </c>
      <c r="D5335" s="739" t="s">
        <v>22</v>
      </c>
      <c r="E5335" s="741">
        <f t="shared" si="166"/>
        <v>8.33</v>
      </c>
      <c r="F5335">
        <f t="shared" si="167"/>
        <v>103045</v>
      </c>
      <c r="H5335" s="1406">
        <v>7.98</v>
      </c>
      <c r="I5335" s="1406">
        <v>8.33</v>
      </c>
    </row>
    <row r="5336" spans="2:9">
      <c r="B5336" s="677">
        <v>103046</v>
      </c>
      <c r="C5336" s="733" t="s">
        <v>5037</v>
      </c>
      <c r="D5336" s="677" t="s">
        <v>22</v>
      </c>
      <c r="E5336" s="738">
        <f t="shared" si="166"/>
        <v>19.18</v>
      </c>
      <c r="F5336">
        <f t="shared" si="167"/>
        <v>103046</v>
      </c>
      <c r="H5336" s="1405">
        <v>18.649999999999999</v>
      </c>
      <c r="I5336" s="1405">
        <v>19.18</v>
      </c>
    </row>
    <row r="5337" spans="2:9">
      <c r="B5337" s="1477">
        <v>103047</v>
      </c>
      <c r="C5337" s="740" t="s">
        <v>5038</v>
      </c>
      <c r="D5337" s="739" t="s">
        <v>22</v>
      </c>
      <c r="E5337" s="741">
        <f t="shared" si="166"/>
        <v>20.2</v>
      </c>
      <c r="F5337">
        <f t="shared" si="167"/>
        <v>103047</v>
      </c>
      <c r="H5337" s="1406">
        <v>19.79</v>
      </c>
      <c r="I5337" s="1406">
        <v>20.2</v>
      </c>
    </row>
    <row r="5338" spans="2:9">
      <c r="B5338" s="677">
        <v>103048</v>
      </c>
      <c r="C5338" s="733" t="s">
        <v>5039</v>
      </c>
      <c r="D5338" s="677" t="s">
        <v>22</v>
      </c>
      <c r="E5338" s="738">
        <f t="shared" si="166"/>
        <v>15.47</v>
      </c>
      <c r="F5338">
        <f t="shared" si="167"/>
        <v>103048</v>
      </c>
      <c r="H5338" s="1405">
        <v>15.06</v>
      </c>
      <c r="I5338" s="1405">
        <v>15.47</v>
      </c>
    </row>
    <row r="5339" spans="2:9">
      <c r="B5339" s="1477">
        <v>103049</v>
      </c>
      <c r="C5339" s="740" t="s">
        <v>5040</v>
      </c>
      <c r="D5339" s="739" t="s">
        <v>22</v>
      </c>
      <c r="E5339" s="741">
        <f t="shared" si="166"/>
        <v>16.82</v>
      </c>
      <c r="F5339">
        <f t="shared" si="167"/>
        <v>103049</v>
      </c>
      <c r="H5339" s="1406">
        <v>16.43</v>
      </c>
      <c r="I5339" s="1406">
        <v>16.82</v>
      </c>
    </row>
    <row r="5340" spans="2:9">
      <c r="B5340" s="677">
        <v>103050</v>
      </c>
      <c r="C5340" s="733" t="s">
        <v>5041</v>
      </c>
      <c r="D5340" s="677" t="s">
        <v>22</v>
      </c>
      <c r="E5340" s="738">
        <f t="shared" si="166"/>
        <v>23.79</v>
      </c>
      <c r="F5340">
        <f t="shared" si="167"/>
        <v>103050</v>
      </c>
      <c r="H5340" s="1405">
        <v>21.9</v>
      </c>
      <c r="I5340" s="1405">
        <v>23.79</v>
      </c>
    </row>
    <row r="5341" spans="2:9">
      <c r="B5341" s="1477">
        <v>103051</v>
      </c>
      <c r="C5341" s="740" t="s">
        <v>5042</v>
      </c>
      <c r="D5341" s="739" t="s">
        <v>22</v>
      </c>
      <c r="E5341" s="741">
        <f t="shared" si="166"/>
        <v>28.78</v>
      </c>
      <c r="F5341">
        <f t="shared" si="167"/>
        <v>103051</v>
      </c>
      <c r="H5341" s="1406">
        <v>26.46</v>
      </c>
      <c r="I5341" s="1406">
        <v>28.78</v>
      </c>
    </row>
    <row r="5342" spans="2:9">
      <c r="B5342" s="677">
        <v>103052</v>
      </c>
      <c r="C5342" s="733" t="s">
        <v>5043</v>
      </c>
      <c r="D5342" s="677" t="s">
        <v>22</v>
      </c>
      <c r="E5342" s="738">
        <f t="shared" si="166"/>
        <v>38.67</v>
      </c>
      <c r="F5342">
        <f t="shared" si="167"/>
        <v>103052</v>
      </c>
      <c r="H5342" s="1405">
        <v>35.79</v>
      </c>
      <c r="I5342" s="1405">
        <v>38.67</v>
      </c>
    </row>
    <row r="5343" spans="2:9" ht="30">
      <c r="B5343" s="1477">
        <v>95634</v>
      </c>
      <c r="C5343" s="740" t="s">
        <v>2168</v>
      </c>
      <c r="D5343" s="739" t="s">
        <v>22</v>
      </c>
      <c r="E5343" s="741">
        <f t="shared" si="166"/>
        <v>212.36</v>
      </c>
      <c r="F5343">
        <f t="shared" si="167"/>
        <v>95634</v>
      </c>
      <c r="H5343" s="1406">
        <v>205.17</v>
      </c>
      <c r="I5343" s="1406">
        <v>212.36</v>
      </c>
    </row>
    <row r="5344" spans="2:9" ht="30">
      <c r="B5344" s="677">
        <v>95635</v>
      </c>
      <c r="C5344" s="733" t="s">
        <v>2169</v>
      </c>
      <c r="D5344" s="677" t="s">
        <v>22</v>
      </c>
      <c r="E5344" s="738">
        <f t="shared" si="166"/>
        <v>225.93</v>
      </c>
      <c r="F5344">
        <f t="shared" si="167"/>
        <v>95635</v>
      </c>
      <c r="H5344" s="1405">
        <v>217.62</v>
      </c>
      <c r="I5344" s="1405">
        <v>225.93</v>
      </c>
    </row>
    <row r="5345" spans="2:9" ht="30">
      <c r="B5345" s="1477">
        <v>95636</v>
      </c>
      <c r="C5345" s="740" t="s">
        <v>4629</v>
      </c>
      <c r="D5345" s="739" t="s">
        <v>22</v>
      </c>
      <c r="E5345" s="741">
        <f t="shared" si="166"/>
        <v>321.20999999999998</v>
      </c>
      <c r="F5345">
        <f t="shared" si="167"/>
        <v>95636</v>
      </c>
      <c r="H5345" s="1406">
        <v>305.2</v>
      </c>
      <c r="I5345" s="1406">
        <v>321.20999999999998</v>
      </c>
    </row>
    <row r="5346" spans="2:9" ht="30">
      <c r="B5346" s="677">
        <v>95637</v>
      </c>
      <c r="C5346" s="733" t="s">
        <v>1483</v>
      </c>
      <c r="D5346" s="677" t="s">
        <v>22</v>
      </c>
      <c r="E5346" s="738">
        <f t="shared" si="166"/>
        <v>502.04</v>
      </c>
      <c r="F5346">
        <f t="shared" si="167"/>
        <v>95637</v>
      </c>
      <c r="H5346" s="1405">
        <v>474.63</v>
      </c>
      <c r="I5346" s="1405">
        <v>502.04</v>
      </c>
    </row>
    <row r="5347" spans="2:9" ht="30">
      <c r="B5347" s="1477">
        <v>95638</v>
      </c>
      <c r="C5347" s="740" t="s">
        <v>1484</v>
      </c>
      <c r="D5347" s="739" t="s">
        <v>22</v>
      </c>
      <c r="E5347" s="741">
        <f t="shared" si="166"/>
        <v>607.29</v>
      </c>
      <c r="F5347">
        <f t="shared" si="167"/>
        <v>95638</v>
      </c>
      <c r="H5347" s="1406">
        <v>575.67999999999995</v>
      </c>
      <c r="I5347" s="1406">
        <v>607.29</v>
      </c>
    </row>
    <row r="5348" spans="2:9" ht="30">
      <c r="B5348" s="677">
        <v>95639</v>
      </c>
      <c r="C5348" s="733" t="s">
        <v>1485</v>
      </c>
      <c r="D5348" s="677" t="s">
        <v>22</v>
      </c>
      <c r="E5348" s="738">
        <f t="shared" si="166"/>
        <v>766.14</v>
      </c>
      <c r="F5348">
        <f t="shared" si="167"/>
        <v>95639</v>
      </c>
      <c r="H5348" s="1405">
        <v>733.6</v>
      </c>
      <c r="I5348" s="1405">
        <v>766.14</v>
      </c>
    </row>
    <row r="5349" spans="2:9" ht="30">
      <c r="B5349" s="1477">
        <v>95641</v>
      </c>
      <c r="C5349" s="740" t="s">
        <v>1486</v>
      </c>
      <c r="D5349" s="739" t="s">
        <v>22</v>
      </c>
      <c r="E5349" s="741">
        <f t="shared" si="166"/>
        <v>280.5</v>
      </c>
      <c r="F5349">
        <f t="shared" si="167"/>
        <v>95641</v>
      </c>
      <c r="H5349" s="1406">
        <v>268.07</v>
      </c>
      <c r="I5349" s="1406">
        <v>280.5</v>
      </c>
    </row>
    <row r="5350" spans="2:9" ht="30">
      <c r="B5350" s="677">
        <v>95642</v>
      </c>
      <c r="C5350" s="733" t="s">
        <v>1487</v>
      </c>
      <c r="D5350" s="677" t="s">
        <v>22</v>
      </c>
      <c r="E5350" s="738">
        <f t="shared" si="166"/>
        <v>414.67</v>
      </c>
      <c r="F5350">
        <f t="shared" si="167"/>
        <v>95642</v>
      </c>
      <c r="H5350" s="1405">
        <v>396.31</v>
      </c>
      <c r="I5350" s="1405">
        <v>414.67</v>
      </c>
    </row>
    <row r="5351" spans="2:9" ht="30">
      <c r="B5351" s="1477">
        <v>95643</v>
      </c>
      <c r="C5351" s="740" t="s">
        <v>1488</v>
      </c>
      <c r="D5351" s="739" t="s">
        <v>22</v>
      </c>
      <c r="E5351" s="741">
        <f t="shared" si="166"/>
        <v>542.54</v>
      </c>
      <c r="F5351">
        <f t="shared" si="167"/>
        <v>95643</v>
      </c>
      <c r="H5351" s="1406">
        <v>518.65</v>
      </c>
      <c r="I5351" s="1406">
        <v>542.54</v>
      </c>
    </row>
    <row r="5352" spans="2:9" ht="30">
      <c r="B5352" s="677">
        <v>95644</v>
      </c>
      <c r="C5352" s="733" t="s">
        <v>1489</v>
      </c>
      <c r="D5352" s="677" t="s">
        <v>22</v>
      </c>
      <c r="E5352" s="738">
        <f t="shared" si="166"/>
        <v>202.46</v>
      </c>
      <c r="F5352">
        <f t="shared" si="167"/>
        <v>95644</v>
      </c>
      <c r="H5352" s="1405">
        <v>194.58</v>
      </c>
      <c r="I5352" s="1405">
        <v>202.46</v>
      </c>
    </row>
    <row r="5353" spans="2:9" ht="30">
      <c r="B5353" s="1477">
        <v>95645</v>
      </c>
      <c r="C5353" s="740" t="s">
        <v>1490</v>
      </c>
      <c r="D5353" s="739" t="s">
        <v>22</v>
      </c>
      <c r="E5353" s="741">
        <f t="shared" si="166"/>
        <v>370.37</v>
      </c>
      <c r="F5353">
        <f t="shared" si="167"/>
        <v>95645</v>
      </c>
      <c r="H5353" s="1406">
        <v>356.4</v>
      </c>
      <c r="I5353" s="1406">
        <v>370.37</v>
      </c>
    </row>
    <row r="5354" spans="2:9" ht="30">
      <c r="B5354" s="677">
        <v>95646</v>
      </c>
      <c r="C5354" s="733" t="s">
        <v>1491</v>
      </c>
      <c r="D5354" s="677" t="s">
        <v>22</v>
      </c>
      <c r="E5354" s="738">
        <f t="shared" si="166"/>
        <v>551.83000000000004</v>
      </c>
      <c r="F5354">
        <f t="shared" si="167"/>
        <v>95646</v>
      </c>
      <c r="H5354" s="1405">
        <v>531.09</v>
      </c>
      <c r="I5354" s="1405">
        <v>551.83000000000004</v>
      </c>
    </row>
    <row r="5355" spans="2:9" ht="30">
      <c r="B5355" s="1477">
        <v>95647</v>
      </c>
      <c r="C5355" s="740" t="s">
        <v>1492</v>
      </c>
      <c r="D5355" s="739" t="s">
        <v>22</v>
      </c>
      <c r="E5355" s="741">
        <f t="shared" si="166"/>
        <v>723.54</v>
      </c>
      <c r="F5355">
        <f t="shared" si="167"/>
        <v>95647</v>
      </c>
      <c r="H5355" s="1406">
        <v>696.53</v>
      </c>
      <c r="I5355" s="1406">
        <v>723.54</v>
      </c>
    </row>
    <row r="5356" spans="2:9" ht="30">
      <c r="B5356" s="677">
        <v>95648</v>
      </c>
      <c r="C5356" s="733" t="s">
        <v>7127</v>
      </c>
      <c r="D5356" s="677" t="s">
        <v>22</v>
      </c>
      <c r="E5356" s="738">
        <f t="shared" si="166"/>
        <v>517.41999999999996</v>
      </c>
      <c r="F5356">
        <f t="shared" si="167"/>
        <v>95648</v>
      </c>
      <c r="H5356" s="1405">
        <v>509.82</v>
      </c>
      <c r="I5356" s="1405">
        <v>517.41999999999996</v>
      </c>
    </row>
    <row r="5357" spans="2:9" ht="30">
      <c r="B5357" s="1477">
        <v>95649</v>
      </c>
      <c r="C5357" s="740" t="s">
        <v>7128</v>
      </c>
      <c r="D5357" s="739" t="s">
        <v>22</v>
      </c>
      <c r="E5357" s="741">
        <f t="shared" si="166"/>
        <v>886.92</v>
      </c>
      <c r="F5357">
        <f t="shared" si="167"/>
        <v>95649</v>
      </c>
      <c r="H5357" s="1406">
        <v>873.61</v>
      </c>
      <c r="I5357" s="1406">
        <v>886.92</v>
      </c>
    </row>
    <row r="5358" spans="2:9" ht="30">
      <c r="B5358" s="677">
        <v>95650</v>
      </c>
      <c r="C5358" s="733" t="s">
        <v>7129</v>
      </c>
      <c r="D5358" s="677" t="s">
        <v>22</v>
      </c>
      <c r="E5358" s="738">
        <f t="shared" si="166"/>
        <v>1294.31</v>
      </c>
      <c r="F5358">
        <f t="shared" si="167"/>
        <v>95650</v>
      </c>
      <c r="H5358" s="1405">
        <v>1274.6199999999999</v>
      </c>
      <c r="I5358" s="1405">
        <v>1294.31</v>
      </c>
    </row>
    <row r="5359" spans="2:9" ht="30">
      <c r="B5359" s="1477">
        <v>95651</v>
      </c>
      <c r="C5359" s="740" t="s">
        <v>7130</v>
      </c>
      <c r="D5359" s="739" t="s">
        <v>22</v>
      </c>
      <c r="E5359" s="741">
        <f t="shared" si="166"/>
        <v>1679.27</v>
      </c>
      <c r="F5359">
        <f t="shared" si="167"/>
        <v>95651</v>
      </c>
      <c r="H5359" s="1406">
        <v>1653.64</v>
      </c>
      <c r="I5359" s="1406">
        <v>1679.27</v>
      </c>
    </row>
    <row r="5360" spans="2:9" ht="30">
      <c r="B5360" s="677">
        <v>95652</v>
      </c>
      <c r="C5360" s="733" t="s">
        <v>7131</v>
      </c>
      <c r="D5360" s="677" t="s">
        <v>22</v>
      </c>
      <c r="E5360" s="738">
        <f t="shared" si="166"/>
        <v>641.61</v>
      </c>
      <c r="F5360">
        <f t="shared" si="167"/>
        <v>95652</v>
      </c>
      <c r="H5360" s="1405">
        <v>633.16999999999996</v>
      </c>
      <c r="I5360" s="1405">
        <v>641.61</v>
      </c>
    </row>
    <row r="5361" spans="2:9" ht="30">
      <c r="B5361" s="1477">
        <v>95653</v>
      </c>
      <c r="C5361" s="740" t="s">
        <v>7132</v>
      </c>
      <c r="D5361" s="739" t="s">
        <v>22</v>
      </c>
      <c r="E5361" s="741">
        <f t="shared" si="166"/>
        <v>1133.56</v>
      </c>
      <c r="F5361">
        <f t="shared" si="167"/>
        <v>95653</v>
      </c>
      <c r="H5361" s="1406">
        <v>1118.58</v>
      </c>
      <c r="I5361" s="1406">
        <v>1133.56</v>
      </c>
    </row>
    <row r="5362" spans="2:9" ht="30">
      <c r="B5362" s="677">
        <v>95654</v>
      </c>
      <c r="C5362" s="733" t="s">
        <v>7133</v>
      </c>
      <c r="D5362" s="677" t="s">
        <v>22</v>
      </c>
      <c r="E5362" s="738">
        <f t="shared" si="166"/>
        <v>1668.62</v>
      </c>
      <c r="F5362">
        <f t="shared" si="167"/>
        <v>95654</v>
      </c>
      <c r="H5362" s="1405">
        <v>1646.38</v>
      </c>
      <c r="I5362" s="1405">
        <v>1668.62</v>
      </c>
    </row>
    <row r="5363" spans="2:9" ht="30">
      <c r="B5363" s="1477">
        <v>95655</v>
      </c>
      <c r="C5363" s="740" t="s">
        <v>7134</v>
      </c>
      <c r="D5363" s="739" t="s">
        <v>22</v>
      </c>
      <c r="E5363" s="741">
        <f t="shared" si="166"/>
        <v>2174.88</v>
      </c>
      <c r="F5363">
        <f t="shared" si="167"/>
        <v>95655</v>
      </c>
      <c r="H5363" s="1406">
        <v>2145.9</v>
      </c>
      <c r="I5363" s="1406">
        <v>2174.88</v>
      </c>
    </row>
    <row r="5364" spans="2:9" ht="30">
      <c r="B5364" s="677">
        <v>95657</v>
      </c>
      <c r="C5364" s="733" t="s">
        <v>7135</v>
      </c>
      <c r="D5364" s="677" t="s">
        <v>22</v>
      </c>
      <c r="E5364" s="738">
        <f t="shared" si="166"/>
        <v>234.9</v>
      </c>
      <c r="F5364">
        <f t="shared" si="167"/>
        <v>95657</v>
      </c>
      <c r="H5364" s="1405">
        <v>228.07</v>
      </c>
      <c r="I5364" s="1405">
        <v>234.9</v>
      </c>
    </row>
    <row r="5365" spans="2:9" ht="30">
      <c r="B5365" s="1477">
        <v>95658</v>
      </c>
      <c r="C5365" s="740" t="s">
        <v>7136</v>
      </c>
      <c r="D5365" s="739" t="s">
        <v>22</v>
      </c>
      <c r="E5365" s="741">
        <f t="shared" si="166"/>
        <v>440.7</v>
      </c>
      <c r="F5365">
        <f t="shared" si="167"/>
        <v>95658</v>
      </c>
      <c r="H5365" s="1406">
        <v>427.47</v>
      </c>
      <c r="I5365" s="1406">
        <v>440.7</v>
      </c>
    </row>
    <row r="5366" spans="2:9" ht="30">
      <c r="B5366" s="677">
        <v>95659</v>
      </c>
      <c r="C5366" s="733" t="s">
        <v>7137</v>
      </c>
      <c r="D5366" s="677" t="s">
        <v>22</v>
      </c>
      <c r="E5366" s="738">
        <f t="shared" si="166"/>
        <v>617.49</v>
      </c>
      <c r="F5366">
        <f t="shared" si="167"/>
        <v>95659</v>
      </c>
      <c r="H5366" s="1405">
        <v>596.79999999999995</v>
      </c>
      <c r="I5366" s="1405">
        <v>617.49</v>
      </c>
    </row>
    <row r="5367" spans="2:9" ht="30">
      <c r="B5367" s="1477">
        <v>95660</v>
      </c>
      <c r="C5367" s="740" t="s">
        <v>7138</v>
      </c>
      <c r="D5367" s="739" t="s">
        <v>22</v>
      </c>
      <c r="E5367" s="741">
        <f t="shared" si="166"/>
        <v>878.21</v>
      </c>
      <c r="F5367">
        <f t="shared" si="167"/>
        <v>95660</v>
      </c>
      <c r="H5367" s="1406">
        <v>850.98</v>
      </c>
      <c r="I5367" s="1406">
        <v>878.21</v>
      </c>
    </row>
    <row r="5368" spans="2:9" ht="30">
      <c r="B5368" s="677">
        <v>95661</v>
      </c>
      <c r="C5368" s="733" t="s">
        <v>7139</v>
      </c>
      <c r="D5368" s="677" t="s">
        <v>22</v>
      </c>
      <c r="E5368" s="738">
        <f t="shared" si="166"/>
        <v>299.87</v>
      </c>
      <c r="F5368">
        <f t="shared" si="167"/>
        <v>95661</v>
      </c>
      <c r="H5368" s="1405">
        <v>291.72000000000003</v>
      </c>
      <c r="I5368" s="1405">
        <v>299.87</v>
      </c>
    </row>
    <row r="5369" spans="2:9" ht="30">
      <c r="B5369" s="1477">
        <v>95662</v>
      </c>
      <c r="C5369" s="740" t="s">
        <v>7140</v>
      </c>
      <c r="D5369" s="739" t="s">
        <v>22</v>
      </c>
      <c r="E5369" s="741">
        <f t="shared" si="166"/>
        <v>571.92999999999995</v>
      </c>
      <c r="F5369">
        <f t="shared" si="167"/>
        <v>95662</v>
      </c>
      <c r="H5369" s="1406">
        <v>555.84</v>
      </c>
      <c r="I5369" s="1406">
        <v>571.92999999999995</v>
      </c>
    </row>
    <row r="5370" spans="2:9" ht="30">
      <c r="B5370" s="677">
        <v>95663</v>
      </c>
      <c r="C5370" s="733" t="s">
        <v>7141</v>
      </c>
      <c r="D5370" s="677" t="s">
        <v>22</v>
      </c>
      <c r="E5370" s="738">
        <f t="shared" si="166"/>
        <v>863.74</v>
      </c>
      <c r="F5370">
        <f t="shared" si="167"/>
        <v>95663</v>
      </c>
      <c r="H5370" s="1405">
        <v>839.05</v>
      </c>
      <c r="I5370" s="1405">
        <v>863.74</v>
      </c>
    </row>
    <row r="5371" spans="2:9" ht="30">
      <c r="B5371" s="1477">
        <v>95664</v>
      </c>
      <c r="C5371" s="740" t="s">
        <v>7142</v>
      </c>
      <c r="D5371" s="739" t="s">
        <v>22</v>
      </c>
      <c r="E5371" s="741">
        <f t="shared" si="166"/>
        <v>1137.19</v>
      </c>
      <c r="F5371">
        <f t="shared" si="167"/>
        <v>95664</v>
      </c>
      <c r="H5371" s="1406">
        <v>1104.72</v>
      </c>
      <c r="I5371" s="1406">
        <v>1137.19</v>
      </c>
    </row>
    <row r="5372" spans="2:9" ht="30">
      <c r="B5372" s="677">
        <v>95665</v>
      </c>
      <c r="C5372" s="733" t="s">
        <v>7143</v>
      </c>
      <c r="D5372" s="677" t="s">
        <v>22</v>
      </c>
      <c r="E5372" s="738">
        <f t="shared" si="166"/>
        <v>246.27</v>
      </c>
      <c r="F5372">
        <f t="shared" si="167"/>
        <v>95665</v>
      </c>
      <c r="H5372" s="1405">
        <v>239.12</v>
      </c>
      <c r="I5372" s="1405">
        <v>246.27</v>
      </c>
    </row>
    <row r="5373" spans="2:9" ht="30">
      <c r="B5373" s="1477">
        <v>95666</v>
      </c>
      <c r="C5373" s="740" t="s">
        <v>7144</v>
      </c>
      <c r="D5373" s="739" t="s">
        <v>22</v>
      </c>
      <c r="E5373" s="741">
        <f t="shared" si="166"/>
        <v>467.64</v>
      </c>
      <c r="F5373">
        <f t="shared" si="167"/>
        <v>95666</v>
      </c>
      <c r="H5373" s="1406">
        <v>453.53</v>
      </c>
      <c r="I5373" s="1406">
        <v>467.64</v>
      </c>
    </row>
    <row r="5374" spans="2:9" ht="30">
      <c r="B5374" s="677">
        <v>95667</v>
      </c>
      <c r="C5374" s="733" t="s">
        <v>7145</v>
      </c>
      <c r="D5374" s="677" t="s">
        <v>22</v>
      </c>
      <c r="E5374" s="738">
        <f t="shared" si="166"/>
        <v>699.27</v>
      </c>
      <c r="F5374">
        <f t="shared" si="167"/>
        <v>95667</v>
      </c>
      <c r="H5374" s="1405">
        <v>677.61</v>
      </c>
      <c r="I5374" s="1405">
        <v>699.27</v>
      </c>
    </row>
    <row r="5375" spans="2:9" ht="30">
      <c r="B5375" s="1477">
        <v>95668</v>
      </c>
      <c r="C5375" s="740" t="s">
        <v>7146</v>
      </c>
      <c r="D5375" s="739" t="s">
        <v>22</v>
      </c>
      <c r="E5375" s="741">
        <f t="shared" si="166"/>
        <v>916.77</v>
      </c>
      <c r="F5375">
        <f t="shared" si="167"/>
        <v>95668</v>
      </c>
      <c r="H5375" s="1406">
        <v>888.3</v>
      </c>
      <c r="I5375" s="1406">
        <v>916.77</v>
      </c>
    </row>
    <row r="5376" spans="2:9" ht="30">
      <c r="B5376" s="677">
        <v>95669</v>
      </c>
      <c r="C5376" s="733" t="s">
        <v>7147</v>
      </c>
      <c r="D5376" s="677" t="s">
        <v>22</v>
      </c>
      <c r="E5376" s="738">
        <f t="shared" si="166"/>
        <v>321.93</v>
      </c>
      <c r="F5376">
        <f t="shared" si="167"/>
        <v>95669</v>
      </c>
      <c r="H5376" s="1405">
        <v>313.41000000000003</v>
      </c>
      <c r="I5376" s="1405">
        <v>321.93</v>
      </c>
    </row>
    <row r="5377" spans="2:9" ht="30">
      <c r="B5377" s="1477">
        <v>95670</v>
      </c>
      <c r="C5377" s="740" t="s">
        <v>7148</v>
      </c>
      <c r="D5377" s="739" t="s">
        <v>22</v>
      </c>
      <c r="E5377" s="741">
        <f t="shared" si="166"/>
        <v>597.37</v>
      </c>
      <c r="F5377">
        <f t="shared" si="167"/>
        <v>95670</v>
      </c>
      <c r="H5377" s="1406">
        <v>580.54999999999995</v>
      </c>
      <c r="I5377" s="1406">
        <v>597.37</v>
      </c>
    </row>
    <row r="5378" spans="2:9" ht="30">
      <c r="B5378" s="677">
        <v>95671</v>
      </c>
      <c r="C5378" s="733" t="s">
        <v>7149</v>
      </c>
      <c r="D5378" s="677" t="s">
        <v>22</v>
      </c>
      <c r="E5378" s="738">
        <f t="shared" si="166"/>
        <v>897.23</v>
      </c>
      <c r="F5378">
        <f t="shared" si="167"/>
        <v>95671</v>
      </c>
      <c r="H5378" s="1405">
        <v>871.4</v>
      </c>
      <c r="I5378" s="1405">
        <v>897.23</v>
      </c>
    </row>
    <row r="5379" spans="2:9" ht="30">
      <c r="B5379" s="1477">
        <v>95672</v>
      </c>
      <c r="C5379" s="740" t="s">
        <v>7150</v>
      </c>
      <c r="D5379" s="739" t="s">
        <v>22</v>
      </c>
      <c r="E5379" s="741">
        <f t="shared" ref="E5379:E5442" si="168">IF($K$2=$H$1,H5379,I5379)</f>
        <v>1198.94</v>
      </c>
      <c r="F5379">
        <f t="shared" ref="F5379:F5442" si="169">IF(LEN($B5379)=7,CONCATENATE(MID($B5379,1,6),"00",RIGHT($B5379,1)),IF(LEN($B5379)=8,CONCATENATE(MID($B5379,1,6),"0",RIGHT($B5379,2)),$B5379))</f>
        <v>95672</v>
      </c>
      <c r="H5379" s="1406">
        <v>1165</v>
      </c>
      <c r="I5379" s="1406">
        <v>1198.94</v>
      </c>
    </row>
    <row r="5380" spans="2:9">
      <c r="B5380" s="677">
        <v>95673</v>
      </c>
      <c r="C5380" s="733" t="s">
        <v>1493</v>
      </c>
      <c r="D5380" s="677" t="s">
        <v>22</v>
      </c>
      <c r="E5380" s="738">
        <f t="shared" si="168"/>
        <v>115.34</v>
      </c>
      <c r="F5380">
        <f t="shared" si="169"/>
        <v>95673</v>
      </c>
      <c r="H5380" s="1405">
        <v>113.12</v>
      </c>
      <c r="I5380" s="1405">
        <v>115.34</v>
      </c>
    </row>
    <row r="5381" spans="2:9">
      <c r="B5381" s="1477">
        <v>95674</v>
      </c>
      <c r="C5381" s="740" t="s">
        <v>1494</v>
      </c>
      <c r="D5381" s="739" t="s">
        <v>22</v>
      </c>
      <c r="E5381" s="741">
        <f t="shared" si="168"/>
        <v>122.25</v>
      </c>
      <c r="F5381">
        <f t="shared" si="169"/>
        <v>95674</v>
      </c>
      <c r="H5381" s="1406">
        <v>120.03</v>
      </c>
      <c r="I5381" s="1406">
        <v>122.25</v>
      </c>
    </row>
    <row r="5382" spans="2:9">
      <c r="B5382" s="677">
        <v>95675</v>
      </c>
      <c r="C5382" s="733" t="s">
        <v>521</v>
      </c>
      <c r="D5382" s="677" t="s">
        <v>22</v>
      </c>
      <c r="E5382" s="738">
        <f t="shared" si="168"/>
        <v>149.12</v>
      </c>
      <c r="F5382">
        <f t="shared" si="169"/>
        <v>95675</v>
      </c>
      <c r="H5382" s="1405">
        <v>146.56</v>
      </c>
      <c r="I5382" s="1405">
        <v>149.12</v>
      </c>
    </row>
    <row r="5383" spans="2:9">
      <c r="B5383" s="1477">
        <v>95676</v>
      </c>
      <c r="C5383" s="740" t="s">
        <v>1495</v>
      </c>
      <c r="D5383" s="739" t="s">
        <v>22</v>
      </c>
      <c r="E5383" s="741">
        <f t="shared" si="168"/>
        <v>135.47999999999999</v>
      </c>
      <c r="F5383">
        <f t="shared" si="169"/>
        <v>95676</v>
      </c>
      <c r="H5383" s="1406">
        <v>134.41999999999999</v>
      </c>
      <c r="I5383" s="1406">
        <v>135.47999999999999</v>
      </c>
    </row>
    <row r="5384" spans="2:9" ht="30">
      <c r="B5384" s="677">
        <v>97741</v>
      </c>
      <c r="C5384" s="733" t="s">
        <v>1990</v>
      </c>
      <c r="D5384" s="677" t="s">
        <v>22</v>
      </c>
      <c r="E5384" s="738">
        <f t="shared" si="168"/>
        <v>157.04</v>
      </c>
      <c r="F5384">
        <f t="shared" si="169"/>
        <v>97741</v>
      </c>
      <c r="H5384" s="1405">
        <v>149.96</v>
      </c>
      <c r="I5384" s="1405">
        <v>157.04</v>
      </c>
    </row>
    <row r="5385" spans="2:9">
      <c r="B5385" s="1477">
        <v>90436</v>
      </c>
      <c r="C5385" s="740" t="s">
        <v>8260</v>
      </c>
      <c r="D5385" s="739" t="s">
        <v>22</v>
      </c>
      <c r="E5385" s="741">
        <f t="shared" si="168"/>
        <v>13.73</v>
      </c>
      <c r="F5385">
        <f t="shared" si="169"/>
        <v>90436</v>
      </c>
      <c r="H5385" s="1406">
        <v>12.26</v>
      </c>
      <c r="I5385" s="1406">
        <v>13.73</v>
      </c>
    </row>
    <row r="5386" spans="2:9" ht="30">
      <c r="B5386" s="677">
        <v>90437</v>
      </c>
      <c r="C5386" s="733" t="s">
        <v>8261</v>
      </c>
      <c r="D5386" s="677" t="s">
        <v>22</v>
      </c>
      <c r="E5386" s="738">
        <f t="shared" si="168"/>
        <v>36.6</v>
      </c>
      <c r="F5386">
        <f t="shared" si="169"/>
        <v>90437</v>
      </c>
      <c r="H5386" s="1405">
        <v>32.700000000000003</v>
      </c>
      <c r="I5386" s="1405">
        <v>36.6</v>
      </c>
    </row>
    <row r="5387" spans="2:9" ht="30">
      <c r="B5387" s="1477">
        <v>90438</v>
      </c>
      <c r="C5387" s="740" t="s">
        <v>8262</v>
      </c>
      <c r="D5387" s="739" t="s">
        <v>22</v>
      </c>
      <c r="E5387" s="741">
        <f t="shared" si="168"/>
        <v>53.45</v>
      </c>
      <c r="F5387">
        <f t="shared" si="169"/>
        <v>90438</v>
      </c>
      <c r="H5387" s="1406">
        <v>47.75</v>
      </c>
      <c r="I5387" s="1406">
        <v>53.45</v>
      </c>
    </row>
    <row r="5388" spans="2:9" ht="30">
      <c r="B5388" s="677">
        <v>90439</v>
      </c>
      <c r="C5388" s="733" t="s">
        <v>8263</v>
      </c>
      <c r="D5388" s="677" t="s">
        <v>22</v>
      </c>
      <c r="E5388" s="738">
        <f t="shared" si="168"/>
        <v>7.81</v>
      </c>
      <c r="F5388">
        <f t="shared" si="169"/>
        <v>90439</v>
      </c>
      <c r="H5388" s="1405">
        <v>7.06</v>
      </c>
      <c r="I5388" s="1405">
        <v>7.81</v>
      </c>
    </row>
    <row r="5389" spans="2:9" ht="30">
      <c r="B5389" s="1477">
        <v>90440</v>
      </c>
      <c r="C5389" s="740" t="s">
        <v>8264</v>
      </c>
      <c r="D5389" s="739" t="s">
        <v>22</v>
      </c>
      <c r="E5389" s="741">
        <f t="shared" si="168"/>
        <v>20.83</v>
      </c>
      <c r="F5389">
        <f t="shared" si="169"/>
        <v>90440</v>
      </c>
      <c r="H5389" s="1406">
        <v>18.829999999999998</v>
      </c>
      <c r="I5389" s="1406">
        <v>20.83</v>
      </c>
    </row>
    <row r="5390" spans="2:9" ht="30">
      <c r="B5390" s="677">
        <v>90441</v>
      </c>
      <c r="C5390" s="733" t="s">
        <v>8265</v>
      </c>
      <c r="D5390" s="677" t="s">
        <v>22</v>
      </c>
      <c r="E5390" s="738">
        <f t="shared" si="168"/>
        <v>30.43</v>
      </c>
      <c r="F5390">
        <f t="shared" si="169"/>
        <v>90441</v>
      </c>
      <c r="H5390" s="1405">
        <v>27.5</v>
      </c>
      <c r="I5390" s="1405">
        <v>30.43</v>
      </c>
    </row>
    <row r="5391" spans="2:9" ht="30">
      <c r="B5391" s="1477">
        <v>90443</v>
      </c>
      <c r="C5391" s="740" t="s">
        <v>8266</v>
      </c>
      <c r="D5391" s="739" t="s">
        <v>21</v>
      </c>
      <c r="E5391" s="741">
        <f t="shared" si="168"/>
        <v>7.37</v>
      </c>
      <c r="F5391">
        <f t="shared" si="169"/>
        <v>90443</v>
      </c>
      <c r="H5391" s="1406">
        <v>6.59</v>
      </c>
      <c r="I5391" s="1406">
        <v>7.37</v>
      </c>
    </row>
    <row r="5392" spans="2:9" ht="30">
      <c r="B5392" s="677">
        <v>90444</v>
      </c>
      <c r="C5392" s="733" t="s">
        <v>8267</v>
      </c>
      <c r="D5392" s="677" t="s">
        <v>21</v>
      </c>
      <c r="E5392" s="738">
        <f t="shared" si="168"/>
        <v>10.49</v>
      </c>
      <c r="F5392">
        <f t="shared" si="169"/>
        <v>90444</v>
      </c>
      <c r="H5392" s="1405">
        <v>9.4499999999999993</v>
      </c>
      <c r="I5392" s="1405">
        <v>10.49</v>
      </c>
    </row>
    <row r="5393" spans="2:9" ht="30">
      <c r="B5393" s="1477">
        <v>90445</v>
      </c>
      <c r="C5393" s="740" t="s">
        <v>8268</v>
      </c>
      <c r="D5393" s="739" t="s">
        <v>21</v>
      </c>
      <c r="E5393" s="741">
        <f t="shared" si="168"/>
        <v>13.92</v>
      </c>
      <c r="F5393">
        <f t="shared" si="169"/>
        <v>90445</v>
      </c>
      <c r="H5393" s="1406">
        <v>12.55</v>
      </c>
      <c r="I5393" s="1406">
        <v>13.92</v>
      </c>
    </row>
    <row r="5394" spans="2:9" ht="30">
      <c r="B5394" s="677">
        <v>90446</v>
      </c>
      <c r="C5394" s="733" t="s">
        <v>8269</v>
      </c>
      <c r="D5394" s="677" t="s">
        <v>21</v>
      </c>
      <c r="E5394" s="738">
        <f t="shared" si="168"/>
        <v>18.489999999999998</v>
      </c>
      <c r="F5394">
        <f t="shared" si="169"/>
        <v>90446</v>
      </c>
      <c r="H5394" s="1405">
        <v>16.649999999999999</v>
      </c>
      <c r="I5394" s="1405">
        <v>18.489999999999998</v>
      </c>
    </row>
    <row r="5395" spans="2:9">
      <c r="B5395" s="1477">
        <v>90447</v>
      </c>
      <c r="C5395" s="740" t="s">
        <v>8270</v>
      </c>
      <c r="D5395" s="739" t="s">
        <v>21</v>
      </c>
      <c r="E5395" s="741">
        <f t="shared" si="168"/>
        <v>7.7</v>
      </c>
      <c r="F5395">
        <f t="shared" si="169"/>
        <v>90447</v>
      </c>
      <c r="H5395" s="1406">
        <v>6.9</v>
      </c>
      <c r="I5395" s="1406">
        <v>7.7</v>
      </c>
    </row>
    <row r="5396" spans="2:9" ht="30">
      <c r="B5396" s="677">
        <v>90451</v>
      </c>
      <c r="C5396" s="733" t="s">
        <v>8271</v>
      </c>
      <c r="D5396" s="677" t="s">
        <v>22</v>
      </c>
      <c r="E5396" s="738">
        <f t="shared" si="168"/>
        <v>6.6</v>
      </c>
      <c r="F5396">
        <f t="shared" si="169"/>
        <v>90451</v>
      </c>
      <c r="H5396" s="1405">
        <v>6.18</v>
      </c>
      <c r="I5396" s="1405">
        <v>6.6</v>
      </c>
    </row>
    <row r="5397" spans="2:9" ht="30">
      <c r="B5397" s="1477">
        <v>90452</v>
      </c>
      <c r="C5397" s="740" t="s">
        <v>8272</v>
      </c>
      <c r="D5397" s="739" t="s">
        <v>22</v>
      </c>
      <c r="E5397" s="741">
        <f t="shared" si="168"/>
        <v>27.81</v>
      </c>
      <c r="F5397">
        <f t="shared" si="169"/>
        <v>90452</v>
      </c>
      <c r="H5397" s="1406">
        <v>27.09</v>
      </c>
      <c r="I5397" s="1406">
        <v>27.81</v>
      </c>
    </row>
    <row r="5398" spans="2:9" ht="30">
      <c r="B5398" s="677">
        <v>90453</v>
      </c>
      <c r="C5398" s="733" t="s">
        <v>8273</v>
      </c>
      <c r="D5398" s="677" t="s">
        <v>22</v>
      </c>
      <c r="E5398" s="738">
        <f t="shared" si="168"/>
        <v>3.81</v>
      </c>
      <c r="F5398">
        <f t="shared" si="169"/>
        <v>90453</v>
      </c>
      <c r="H5398" s="1405">
        <v>3.59</v>
      </c>
      <c r="I5398" s="1405">
        <v>3.81</v>
      </c>
    </row>
    <row r="5399" spans="2:9" ht="30">
      <c r="B5399" s="1477">
        <v>90454</v>
      </c>
      <c r="C5399" s="740" t="s">
        <v>8274</v>
      </c>
      <c r="D5399" s="739" t="s">
        <v>22</v>
      </c>
      <c r="E5399" s="741">
        <f t="shared" si="168"/>
        <v>6.05</v>
      </c>
      <c r="F5399">
        <f t="shared" si="169"/>
        <v>90454</v>
      </c>
      <c r="H5399" s="1406">
        <v>5.71</v>
      </c>
      <c r="I5399" s="1406">
        <v>6.05</v>
      </c>
    </row>
    <row r="5400" spans="2:9" ht="30">
      <c r="B5400" s="677">
        <v>90455</v>
      </c>
      <c r="C5400" s="733" t="s">
        <v>8275</v>
      </c>
      <c r="D5400" s="677" t="s">
        <v>22</v>
      </c>
      <c r="E5400" s="738">
        <f t="shared" si="168"/>
        <v>7.69</v>
      </c>
      <c r="F5400">
        <f t="shared" si="169"/>
        <v>90455</v>
      </c>
      <c r="H5400" s="1405">
        <v>7.18</v>
      </c>
      <c r="I5400" s="1405">
        <v>7.69</v>
      </c>
    </row>
    <row r="5401" spans="2:9">
      <c r="B5401" s="1477">
        <v>90456</v>
      </c>
      <c r="C5401" s="740" t="s">
        <v>8276</v>
      </c>
      <c r="D5401" s="739" t="s">
        <v>22</v>
      </c>
      <c r="E5401" s="741">
        <f t="shared" si="168"/>
        <v>5.1100000000000003</v>
      </c>
      <c r="F5401">
        <f t="shared" si="169"/>
        <v>90456</v>
      </c>
      <c r="H5401" s="1406">
        <v>4.57</v>
      </c>
      <c r="I5401" s="1406">
        <v>5.1100000000000003</v>
      </c>
    </row>
    <row r="5402" spans="2:9">
      <c r="B5402" s="677">
        <v>90457</v>
      </c>
      <c r="C5402" s="733" t="s">
        <v>8277</v>
      </c>
      <c r="D5402" s="677" t="s">
        <v>22</v>
      </c>
      <c r="E5402" s="738">
        <f t="shared" si="168"/>
        <v>11.66</v>
      </c>
      <c r="F5402">
        <f t="shared" si="169"/>
        <v>90457</v>
      </c>
      <c r="H5402" s="1405">
        <v>10.44</v>
      </c>
      <c r="I5402" s="1405">
        <v>11.66</v>
      </c>
    </row>
    <row r="5403" spans="2:9">
      <c r="B5403" s="1477">
        <v>90458</v>
      </c>
      <c r="C5403" s="740" t="s">
        <v>8278</v>
      </c>
      <c r="D5403" s="739" t="s">
        <v>22</v>
      </c>
      <c r="E5403" s="741">
        <f t="shared" si="168"/>
        <v>33.25</v>
      </c>
      <c r="F5403">
        <f t="shared" si="169"/>
        <v>90458</v>
      </c>
      <c r="H5403" s="1406">
        <v>29.79</v>
      </c>
      <c r="I5403" s="1406">
        <v>33.25</v>
      </c>
    </row>
    <row r="5404" spans="2:9">
      <c r="B5404" s="677">
        <v>90459</v>
      </c>
      <c r="C5404" s="733" t="s">
        <v>8279</v>
      </c>
      <c r="D5404" s="677" t="s">
        <v>22</v>
      </c>
      <c r="E5404" s="738">
        <f t="shared" si="168"/>
        <v>45.02</v>
      </c>
      <c r="F5404">
        <f t="shared" si="169"/>
        <v>90459</v>
      </c>
      <c r="H5404" s="1405">
        <v>40.229999999999997</v>
      </c>
      <c r="I5404" s="1405">
        <v>45.02</v>
      </c>
    </row>
    <row r="5405" spans="2:9" ht="30">
      <c r="B5405" s="1477">
        <v>90460</v>
      </c>
      <c r="C5405" s="740" t="s">
        <v>8280</v>
      </c>
      <c r="D5405" s="739" t="s">
        <v>21</v>
      </c>
      <c r="E5405" s="741">
        <f t="shared" si="168"/>
        <v>24.65</v>
      </c>
      <c r="F5405">
        <f t="shared" si="169"/>
        <v>90460</v>
      </c>
      <c r="H5405" s="1406">
        <v>23.8</v>
      </c>
      <c r="I5405" s="1406">
        <v>24.65</v>
      </c>
    </row>
    <row r="5406" spans="2:9" ht="30">
      <c r="B5406" s="677">
        <v>90461</v>
      </c>
      <c r="C5406" s="733" t="s">
        <v>8281</v>
      </c>
      <c r="D5406" s="677" t="s">
        <v>21</v>
      </c>
      <c r="E5406" s="738">
        <f t="shared" si="168"/>
        <v>18.07</v>
      </c>
      <c r="F5406">
        <f t="shared" si="169"/>
        <v>90461</v>
      </c>
      <c r="H5406" s="1405">
        <v>17.100000000000001</v>
      </c>
      <c r="I5406" s="1405">
        <v>18.07</v>
      </c>
    </row>
    <row r="5407" spans="2:9" ht="30">
      <c r="B5407" s="1477">
        <v>90462</v>
      </c>
      <c r="C5407" s="740" t="s">
        <v>8282</v>
      </c>
      <c r="D5407" s="739" t="s">
        <v>21</v>
      </c>
      <c r="E5407" s="741">
        <f t="shared" si="168"/>
        <v>4.4000000000000004</v>
      </c>
      <c r="F5407">
        <f t="shared" si="169"/>
        <v>90462</v>
      </c>
      <c r="H5407" s="1406">
        <v>4.25</v>
      </c>
      <c r="I5407" s="1406">
        <v>4.4000000000000004</v>
      </c>
    </row>
    <row r="5408" spans="2:9" ht="30">
      <c r="B5408" s="677">
        <v>90463</v>
      </c>
      <c r="C5408" s="733" t="s">
        <v>8283</v>
      </c>
      <c r="D5408" s="677" t="s">
        <v>21</v>
      </c>
      <c r="E5408" s="738">
        <f t="shared" si="168"/>
        <v>3.67</v>
      </c>
      <c r="F5408">
        <f t="shared" si="169"/>
        <v>90463</v>
      </c>
      <c r="H5408" s="1405">
        <v>3.5</v>
      </c>
      <c r="I5408" s="1405">
        <v>3.67</v>
      </c>
    </row>
    <row r="5409" spans="2:9" ht="30">
      <c r="B5409" s="1477">
        <v>90466</v>
      </c>
      <c r="C5409" s="740" t="s">
        <v>8284</v>
      </c>
      <c r="D5409" s="739" t="s">
        <v>21</v>
      </c>
      <c r="E5409" s="741">
        <f t="shared" si="168"/>
        <v>14.77</v>
      </c>
      <c r="F5409">
        <f t="shared" si="169"/>
        <v>90466</v>
      </c>
      <c r="H5409" s="1406">
        <v>13.5</v>
      </c>
      <c r="I5409" s="1406">
        <v>14.77</v>
      </c>
    </row>
    <row r="5410" spans="2:9" ht="30">
      <c r="B5410" s="677">
        <v>90467</v>
      </c>
      <c r="C5410" s="733" t="s">
        <v>8285</v>
      </c>
      <c r="D5410" s="677" t="s">
        <v>21</v>
      </c>
      <c r="E5410" s="738">
        <f t="shared" si="168"/>
        <v>22.23</v>
      </c>
      <c r="F5410">
        <f t="shared" si="169"/>
        <v>90467</v>
      </c>
      <c r="H5410" s="1405">
        <v>20.34</v>
      </c>
      <c r="I5410" s="1405">
        <v>22.23</v>
      </c>
    </row>
    <row r="5411" spans="2:9" ht="30">
      <c r="B5411" s="1477">
        <v>90468</v>
      </c>
      <c r="C5411" s="740" t="s">
        <v>8286</v>
      </c>
      <c r="D5411" s="739" t="s">
        <v>21</v>
      </c>
      <c r="E5411" s="741">
        <f t="shared" si="168"/>
        <v>7.58</v>
      </c>
      <c r="F5411">
        <f t="shared" si="169"/>
        <v>90468</v>
      </c>
      <c r="H5411" s="1406">
        <v>7.08</v>
      </c>
      <c r="I5411" s="1406">
        <v>7.58</v>
      </c>
    </row>
    <row r="5412" spans="2:9" ht="30">
      <c r="B5412" s="677">
        <v>90469</v>
      </c>
      <c r="C5412" s="733" t="s">
        <v>8287</v>
      </c>
      <c r="D5412" s="677" t="s">
        <v>21</v>
      </c>
      <c r="E5412" s="738">
        <f t="shared" si="168"/>
        <v>11.52</v>
      </c>
      <c r="F5412">
        <f t="shared" si="169"/>
        <v>90469</v>
      </c>
      <c r="H5412" s="1405">
        <v>10.77</v>
      </c>
      <c r="I5412" s="1405">
        <v>11.52</v>
      </c>
    </row>
    <row r="5413" spans="2:9" ht="30">
      <c r="B5413" s="1477">
        <v>90470</v>
      </c>
      <c r="C5413" s="740" t="s">
        <v>8288</v>
      </c>
      <c r="D5413" s="739" t="s">
        <v>21</v>
      </c>
      <c r="E5413" s="741">
        <f t="shared" si="168"/>
        <v>15.4</v>
      </c>
      <c r="F5413">
        <f t="shared" si="169"/>
        <v>90470</v>
      </c>
      <c r="H5413" s="1406">
        <v>14.45</v>
      </c>
      <c r="I5413" s="1406">
        <v>15.4</v>
      </c>
    </row>
    <row r="5414" spans="2:9" ht="30">
      <c r="B5414" s="677">
        <v>91166</v>
      </c>
      <c r="C5414" s="733" t="s">
        <v>8289</v>
      </c>
      <c r="D5414" s="677" t="s">
        <v>21</v>
      </c>
      <c r="E5414" s="738">
        <f t="shared" si="168"/>
        <v>4.3</v>
      </c>
      <c r="F5414">
        <f t="shared" si="169"/>
        <v>91166</v>
      </c>
      <c r="H5414" s="1405">
        <v>4.12</v>
      </c>
      <c r="I5414" s="1405">
        <v>4.3</v>
      </c>
    </row>
    <row r="5415" spans="2:9" ht="30">
      <c r="B5415" s="1477">
        <v>91167</v>
      </c>
      <c r="C5415" s="740" t="s">
        <v>8290</v>
      </c>
      <c r="D5415" s="739" t="s">
        <v>21</v>
      </c>
      <c r="E5415" s="741">
        <f t="shared" si="168"/>
        <v>9.93</v>
      </c>
      <c r="F5415">
        <f t="shared" si="169"/>
        <v>91167</v>
      </c>
      <c r="H5415" s="1406">
        <v>9.24</v>
      </c>
      <c r="I5415" s="1406">
        <v>9.93</v>
      </c>
    </row>
    <row r="5416" spans="2:9" ht="45">
      <c r="B5416" s="677">
        <v>91170</v>
      </c>
      <c r="C5416" s="733" t="s">
        <v>8291</v>
      </c>
      <c r="D5416" s="677" t="s">
        <v>21</v>
      </c>
      <c r="E5416" s="738">
        <f t="shared" si="168"/>
        <v>9.93</v>
      </c>
      <c r="F5416">
        <f t="shared" si="169"/>
        <v>91170</v>
      </c>
      <c r="H5416" s="1405">
        <v>9.24</v>
      </c>
      <c r="I5416" s="1405">
        <v>9.93</v>
      </c>
    </row>
    <row r="5417" spans="2:9" ht="45">
      <c r="B5417" s="1477">
        <v>91171</v>
      </c>
      <c r="C5417" s="740" t="s">
        <v>8292</v>
      </c>
      <c r="D5417" s="739" t="s">
        <v>21</v>
      </c>
      <c r="E5417" s="741">
        <f t="shared" si="168"/>
        <v>16.27</v>
      </c>
      <c r="F5417">
        <f t="shared" si="169"/>
        <v>91171</v>
      </c>
      <c r="H5417" s="1406">
        <v>15.26</v>
      </c>
      <c r="I5417" s="1406">
        <v>16.27</v>
      </c>
    </row>
    <row r="5418" spans="2:9" ht="45">
      <c r="B5418" s="677">
        <v>91172</v>
      </c>
      <c r="C5418" s="733" t="s">
        <v>8293</v>
      </c>
      <c r="D5418" s="677" t="s">
        <v>21</v>
      </c>
      <c r="E5418" s="738">
        <f t="shared" si="168"/>
        <v>18.77</v>
      </c>
      <c r="F5418">
        <f t="shared" si="169"/>
        <v>91172</v>
      </c>
      <c r="H5418" s="1405">
        <v>17.62</v>
      </c>
      <c r="I5418" s="1405">
        <v>18.77</v>
      </c>
    </row>
    <row r="5419" spans="2:9" ht="30">
      <c r="B5419" s="1477">
        <v>91173</v>
      </c>
      <c r="C5419" s="740" t="s">
        <v>8294</v>
      </c>
      <c r="D5419" s="739" t="s">
        <v>21</v>
      </c>
      <c r="E5419" s="741">
        <f t="shared" si="168"/>
        <v>3.7</v>
      </c>
      <c r="F5419">
        <f t="shared" si="169"/>
        <v>91173</v>
      </c>
      <c r="H5419" s="1406">
        <v>3.44</v>
      </c>
      <c r="I5419" s="1406">
        <v>3.7</v>
      </c>
    </row>
    <row r="5420" spans="2:9" ht="45">
      <c r="B5420" s="677">
        <v>91174</v>
      </c>
      <c r="C5420" s="733" t="s">
        <v>8295</v>
      </c>
      <c r="D5420" s="677" t="s">
        <v>21</v>
      </c>
      <c r="E5420" s="738">
        <f t="shared" si="168"/>
        <v>6.49</v>
      </c>
      <c r="F5420">
        <f t="shared" si="169"/>
        <v>91174</v>
      </c>
      <c r="H5420" s="1405">
        <v>6.09</v>
      </c>
      <c r="I5420" s="1405">
        <v>6.49</v>
      </c>
    </row>
    <row r="5421" spans="2:9" ht="45">
      <c r="B5421" s="1477">
        <v>91175</v>
      </c>
      <c r="C5421" s="740" t="s">
        <v>8296</v>
      </c>
      <c r="D5421" s="739" t="s">
        <v>21</v>
      </c>
      <c r="E5421" s="741">
        <f t="shared" si="168"/>
        <v>10.130000000000001</v>
      </c>
      <c r="F5421">
        <f t="shared" si="169"/>
        <v>91175</v>
      </c>
      <c r="H5421" s="1406">
        <v>9.51</v>
      </c>
      <c r="I5421" s="1406">
        <v>10.130000000000001</v>
      </c>
    </row>
    <row r="5422" spans="2:9" ht="30">
      <c r="B5422" s="677">
        <v>91176</v>
      </c>
      <c r="C5422" s="733" t="s">
        <v>8297</v>
      </c>
      <c r="D5422" s="677" t="s">
        <v>21</v>
      </c>
      <c r="E5422" s="738">
        <f t="shared" si="168"/>
        <v>16.579999999999998</v>
      </c>
      <c r="F5422">
        <f t="shared" si="169"/>
        <v>91176</v>
      </c>
      <c r="H5422" s="1405">
        <v>15.67</v>
      </c>
      <c r="I5422" s="1405">
        <v>16.579999999999998</v>
      </c>
    </row>
    <row r="5423" spans="2:9" ht="45">
      <c r="B5423" s="1477">
        <v>91179</v>
      </c>
      <c r="C5423" s="740" t="s">
        <v>8298</v>
      </c>
      <c r="D5423" s="739" t="s">
        <v>21</v>
      </c>
      <c r="E5423" s="741">
        <f t="shared" si="168"/>
        <v>16.579999999999998</v>
      </c>
      <c r="F5423">
        <f t="shared" si="169"/>
        <v>91179</v>
      </c>
      <c r="H5423" s="1406">
        <v>15.67</v>
      </c>
      <c r="I5423" s="1406">
        <v>16.579999999999998</v>
      </c>
    </row>
    <row r="5424" spans="2:9" ht="45">
      <c r="B5424" s="677">
        <v>91180</v>
      </c>
      <c r="C5424" s="733" t="s">
        <v>8299</v>
      </c>
      <c r="D5424" s="677" t="s">
        <v>21</v>
      </c>
      <c r="E5424" s="738">
        <f t="shared" si="168"/>
        <v>22.19</v>
      </c>
      <c r="F5424">
        <f t="shared" si="169"/>
        <v>91180</v>
      </c>
      <c r="H5424" s="1405">
        <v>20.97</v>
      </c>
      <c r="I5424" s="1405">
        <v>22.19</v>
      </c>
    </row>
    <row r="5425" spans="2:9" ht="45">
      <c r="B5425" s="1477">
        <v>91181</v>
      </c>
      <c r="C5425" s="740" t="s">
        <v>8300</v>
      </c>
      <c r="D5425" s="739" t="s">
        <v>21</v>
      </c>
      <c r="E5425" s="741">
        <f t="shared" si="168"/>
        <v>23.32</v>
      </c>
      <c r="F5425">
        <f t="shared" si="169"/>
        <v>91181</v>
      </c>
      <c r="H5425" s="1406">
        <v>22.01</v>
      </c>
      <c r="I5425" s="1406">
        <v>23.32</v>
      </c>
    </row>
    <row r="5426" spans="2:9" ht="30">
      <c r="B5426" s="677">
        <v>91182</v>
      </c>
      <c r="C5426" s="733" t="s">
        <v>8301</v>
      </c>
      <c r="D5426" s="677" t="s">
        <v>21</v>
      </c>
      <c r="E5426" s="738">
        <f t="shared" si="168"/>
        <v>22.98</v>
      </c>
      <c r="F5426">
        <f t="shared" si="169"/>
        <v>91182</v>
      </c>
      <c r="H5426" s="1405">
        <v>20.87</v>
      </c>
      <c r="I5426" s="1405">
        <v>22.98</v>
      </c>
    </row>
    <row r="5427" spans="2:9" ht="30">
      <c r="B5427" s="1477">
        <v>91185</v>
      </c>
      <c r="C5427" s="740" t="s">
        <v>8302</v>
      </c>
      <c r="D5427" s="739" t="s">
        <v>21</v>
      </c>
      <c r="E5427" s="741">
        <f t="shared" si="168"/>
        <v>22.98</v>
      </c>
      <c r="F5427">
        <f t="shared" si="169"/>
        <v>91185</v>
      </c>
      <c r="H5427" s="1406">
        <v>20.87</v>
      </c>
      <c r="I5427" s="1406">
        <v>22.98</v>
      </c>
    </row>
    <row r="5428" spans="2:9" ht="45">
      <c r="B5428" s="677">
        <v>91186</v>
      </c>
      <c r="C5428" s="733" t="s">
        <v>8303</v>
      </c>
      <c r="D5428" s="677" t="s">
        <v>21</v>
      </c>
      <c r="E5428" s="738">
        <f t="shared" si="168"/>
        <v>25.29</v>
      </c>
      <c r="F5428">
        <f t="shared" si="169"/>
        <v>91186</v>
      </c>
      <c r="H5428" s="1405">
        <v>22.94</v>
      </c>
      <c r="I5428" s="1405">
        <v>25.29</v>
      </c>
    </row>
    <row r="5429" spans="2:9" ht="45">
      <c r="B5429" s="1477">
        <v>91187</v>
      </c>
      <c r="C5429" s="740" t="s">
        <v>8304</v>
      </c>
      <c r="D5429" s="739" t="s">
        <v>21</v>
      </c>
      <c r="E5429" s="741">
        <f t="shared" si="168"/>
        <v>22.7</v>
      </c>
      <c r="F5429">
        <f t="shared" si="169"/>
        <v>91187</v>
      </c>
      <c r="H5429" s="1406">
        <v>20.56</v>
      </c>
      <c r="I5429" s="1406">
        <v>22.7</v>
      </c>
    </row>
    <row r="5430" spans="2:9">
      <c r="B5430" s="677">
        <v>91188</v>
      </c>
      <c r="C5430" s="733" t="s">
        <v>8305</v>
      </c>
      <c r="D5430" s="677" t="s">
        <v>22</v>
      </c>
      <c r="E5430" s="738">
        <f t="shared" si="168"/>
        <v>12.85</v>
      </c>
      <c r="F5430">
        <f t="shared" si="169"/>
        <v>91188</v>
      </c>
      <c r="H5430" s="1405">
        <v>11.89</v>
      </c>
      <c r="I5430" s="1405">
        <v>12.85</v>
      </c>
    </row>
    <row r="5431" spans="2:9">
      <c r="B5431" s="1477">
        <v>91189</v>
      </c>
      <c r="C5431" s="740" t="s">
        <v>8306</v>
      </c>
      <c r="D5431" s="739" t="s">
        <v>22</v>
      </c>
      <c r="E5431" s="741">
        <f t="shared" si="168"/>
        <v>73.89</v>
      </c>
      <c r="F5431">
        <f t="shared" si="169"/>
        <v>91189</v>
      </c>
      <c r="H5431" s="1406">
        <v>69.849999999999994</v>
      </c>
      <c r="I5431" s="1406">
        <v>73.89</v>
      </c>
    </row>
    <row r="5432" spans="2:9">
      <c r="B5432" s="677">
        <v>91190</v>
      </c>
      <c r="C5432" s="733" t="s">
        <v>8307</v>
      </c>
      <c r="D5432" s="677" t="s">
        <v>22</v>
      </c>
      <c r="E5432" s="738">
        <f t="shared" si="168"/>
        <v>10.43</v>
      </c>
      <c r="F5432">
        <f t="shared" si="169"/>
        <v>91190</v>
      </c>
      <c r="H5432" s="1405">
        <v>9.68</v>
      </c>
      <c r="I5432" s="1405">
        <v>10.43</v>
      </c>
    </row>
    <row r="5433" spans="2:9">
      <c r="B5433" s="1477">
        <v>91191</v>
      </c>
      <c r="C5433" s="740" t="s">
        <v>8308</v>
      </c>
      <c r="D5433" s="739" t="s">
        <v>22</v>
      </c>
      <c r="E5433" s="741">
        <f t="shared" si="168"/>
        <v>14.8</v>
      </c>
      <c r="F5433">
        <f t="shared" si="169"/>
        <v>91191</v>
      </c>
      <c r="H5433" s="1406">
        <v>13.92</v>
      </c>
      <c r="I5433" s="1406">
        <v>14.8</v>
      </c>
    </row>
    <row r="5434" spans="2:9" ht="30">
      <c r="B5434" s="677">
        <v>91192</v>
      </c>
      <c r="C5434" s="733" t="s">
        <v>8309</v>
      </c>
      <c r="D5434" s="677" t="s">
        <v>22</v>
      </c>
      <c r="E5434" s="738">
        <f t="shared" si="168"/>
        <v>22.62</v>
      </c>
      <c r="F5434">
        <f t="shared" si="169"/>
        <v>91192</v>
      </c>
      <c r="H5434" s="1405">
        <v>21.49</v>
      </c>
      <c r="I5434" s="1405">
        <v>22.62</v>
      </c>
    </row>
    <row r="5435" spans="2:9" ht="30">
      <c r="B5435" s="1477">
        <v>91222</v>
      </c>
      <c r="C5435" s="740" t="s">
        <v>8310</v>
      </c>
      <c r="D5435" s="739" t="s">
        <v>21</v>
      </c>
      <c r="E5435" s="741">
        <f t="shared" si="168"/>
        <v>8.19</v>
      </c>
      <c r="F5435">
        <f t="shared" si="169"/>
        <v>91222</v>
      </c>
      <c r="H5435" s="1406">
        <v>7.31</v>
      </c>
      <c r="I5435" s="1406">
        <v>8.19</v>
      </c>
    </row>
    <row r="5436" spans="2:9" ht="30">
      <c r="B5436" s="677">
        <v>94480</v>
      </c>
      <c r="C5436" s="733" t="s">
        <v>1496</v>
      </c>
      <c r="D5436" s="677" t="s">
        <v>22</v>
      </c>
      <c r="E5436" s="738">
        <f t="shared" si="168"/>
        <v>2492.9899999999998</v>
      </c>
      <c r="F5436">
        <f t="shared" si="169"/>
        <v>94480</v>
      </c>
      <c r="H5436" s="1405">
        <v>2406.59</v>
      </c>
      <c r="I5436" s="1405">
        <v>2492.9899999999998</v>
      </c>
    </row>
    <row r="5437" spans="2:9" ht="30">
      <c r="B5437" s="1477">
        <v>94481</v>
      </c>
      <c r="C5437" s="740" t="s">
        <v>1497</v>
      </c>
      <c r="D5437" s="739" t="s">
        <v>22</v>
      </c>
      <c r="E5437" s="741">
        <f t="shared" si="168"/>
        <v>1765.56</v>
      </c>
      <c r="F5437">
        <f t="shared" si="169"/>
        <v>94481</v>
      </c>
      <c r="H5437" s="1406">
        <v>1688.73</v>
      </c>
      <c r="I5437" s="1406">
        <v>1765.56</v>
      </c>
    </row>
    <row r="5438" spans="2:9" ht="30">
      <c r="B5438" s="677">
        <v>94482</v>
      </c>
      <c r="C5438" s="733" t="s">
        <v>1498</v>
      </c>
      <c r="D5438" s="677" t="s">
        <v>22</v>
      </c>
      <c r="E5438" s="738">
        <f t="shared" si="168"/>
        <v>1405.57</v>
      </c>
      <c r="F5438">
        <f t="shared" si="169"/>
        <v>94482</v>
      </c>
      <c r="H5438" s="1405">
        <v>1335.62</v>
      </c>
      <c r="I5438" s="1405">
        <v>1405.57</v>
      </c>
    </row>
    <row r="5439" spans="2:9" ht="30">
      <c r="B5439" s="1477">
        <v>94483</v>
      </c>
      <c r="C5439" s="740" t="s">
        <v>1499</v>
      </c>
      <c r="D5439" s="739" t="s">
        <v>22</v>
      </c>
      <c r="E5439" s="741">
        <f t="shared" si="168"/>
        <v>1189.94</v>
      </c>
      <c r="F5439">
        <f t="shared" si="169"/>
        <v>94483</v>
      </c>
      <c r="H5439" s="1406">
        <v>1125.6400000000001</v>
      </c>
      <c r="I5439" s="1406">
        <v>1189.94</v>
      </c>
    </row>
    <row r="5440" spans="2:9" ht="30">
      <c r="B5440" s="677">
        <v>95541</v>
      </c>
      <c r="C5440" s="733" t="s">
        <v>8311</v>
      </c>
      <c r="D5440" s="677" t="s">
        <v>22</v>
      </c>
      <c r="E5440" s="738">
        <f t="shared" si="168"/>
        <v>22.52</v>
      </c>
      <c r="F5440">
        <f t="shared" si="169"/>
        <v>95541</v>
      </c>
      <c r="H5440" s="1405">
        <v>20.149999999999999</v>
      </c>
      <c r="I5440" s="1405">
        <v>22.52</v>
      </c>
    </row>
    <row r="5441" spans="2:9" ht="30">
      <c r="B5441" s="1477">
        <v>96559</v>
      </c>
      <c r="C5441" s="740" t="s">
        <v>8312</v>
      </c>
      <c r="D5441" s="739" t="s">
        <v>0</v>
      </c>
      <c r="E5441" s="741">
        <f t="shared" si="168"/>
        <v>34.35</v>
      </c>
      <c r="F5441">
        <f t="shared" si="169"/>
        <v>96559</v>
      </c>
      <c r="H5441" s="1406">
        <v>33.229999999999997</v>
      </c>
      <c r="I5441" s="1406">
        <v>34.35</v>
      </c>
    </row>
    <row r="5442" spans="2:9" ht="30">
      <c r="B5442" s="677">
        <v>96560</v>
      </c>
      <c r="C5442" s="733" t="s">
        <v>8313</v>
      </c>
      <c r="D5442" s="677" t="s">
        <v>0</v>
      </c>
      <c r="E5442" s="738">
        <f t="shared" si="168"/>
        <v>31.94</v>
      </c>
      <c r="F5442">
        <f t="shared" si="169"/>
        <v>96560</v>
      </c>
      <c r="H5442" s="1405">
        <v>30.33</v>
      </c>
      <c r="I5442" s="1405">
        <v>31.94</v>
      </c>
    </row>
    <row r="5443" spans="2:9" ht="30">
      <c r="B5443" s="1477">
        <v>96562</v>
      </c>
      <c r="C5443" s="740" t="s">
        <v>8314</v>
      </c>
      <c r="D5443" s="739" t="s">
        <v>21</v>
      </c>
      <c r="E5443" s="741">
        <f t="shared" ref="E5443:E5506" si="170">IF($K$2=$H$1,H5443,I5443)</f>
        <v>48.98</v>
      </c>
      <c r="F5443">
        <f t="shared" ref="F5443:F5506" si="171">IF(LEN($B5443)=7,CONCATENATE(MID($B5443,1,6),"00",RIGHT($B5443,1)),IF(LEN($B5443)=8,CONCATENATE(MID($B5443,1,6),"0",RIGHT($B5443,2)),$B5443))</f>
        <v>96562</v>
      </c>
      <c r="H5443" s="1406">
        <v>46.5</v>
      </c>
      <c r="I5443" s="1406">
        <v>48.98</v>
      </c>
    </row>
    <row r="5444" spans="2:9" ht="30">
      <c r="B5444" s="677">
        <v>96563</v>
      </c>
      <c r="C5444" s="733" t="s">
        <v>8315</v>
      </c>
      <c r="D5444" s="677" t="s">
        <v>21</v>
      </c>
      <c r="E5444" s="738">
        <f t="shared" si="170"/>
        <v>54.62</v>
      </c>
      <c r="F5444">
        <f t="shared" si="171"/>
        <v>96563</v>
      </c>
      <c r="H5444" s="1405">
        <v>52.14</v>
      </c>
      <c r="I5444" s="1405">
        <v>54.62</v>
      </c>
    </row>
    <row r="5445" spans="2:9">
      <c r="B5445" s="1477">
        <v>100128</v>
      </c>
      <c r="C5445" s="740" t="s">
        <v>7151</v>
      </c>
      <c r="D5445" s="739" t="s">
        <v>22</v>
      </c>
      <c r="E5445" s="741">
        <f t="shared" si="170"/>
        <v>1514.38</v>
      </c>
      <c r="F5445">
        <f t="shared" si="171"/>
        <v>100128</v>
      </c>
      <c r="H5445" s="1406">
        <v>1511.4</v>
      </c>
      <c r="I5445" s="1406">
        <v>1514.38</v>
      </c>
    </row>
    <row r="5446" spans="2:9" ht="30">
      <c r="B5446" s="677">
        <v>101802</v>
      </c>
      <c r="C5446" s="733" t="s">
        <v>4460</v>
      </c>
      <c r="D5446" s="677" t="s">
        <v>22</v>
      </c>
      <c r="E5446" s="738">
        <f t="shared" si="170"/>
        <v>1756.04</v>
      </c>
      <c r="F5446">
        <f t="shared" si="171"/>
        <v>101802</v>
      </c>
      <c r="H5446" s="1405">
        <v>1684.12</v>
      </c>
      <c r="I5446" s="1405">
        <v>1756.04</v>
      </c>
    </row>
    <row r="5447" spans="2:9" ht="30">
      <c r="B5447" s="1477">
        <v>101803</v>
      </c>
      <c r="C5447" s="740" t="s">
        <v>4461</v>
      </c>
      <c r="D5447" s="739" t="s">
        <v>22</v>
      </c>
      <c r="E5447" s="741">
        <f t="shared" si="170"/>
        <v>1103.29</v>
      </c>
      <c r="F5447">
        <f t="shared" si="171"/>
        <v>101803</v>
      </c>
      <c r="H5447" s="1406">
        <v>1053.19</v>
      </c>
      <c r="I5447" s="1406">
        <v>1103.29</v>
      </c>
    </row>
    <row r="5448" spans="2:9" ht="30">
      <c r="B5448" s="677">
        <v>101804</v>
      </c>
      <c r="C5448" s="733" t="s">
        <v>4462</v>
      </c>
      <c r="D5448" s="677" t="s">
        <v>22</v>
      </c>
      <c r="E5448" s="738">
        <f t="shared" si="170"/>
        <v>1399.46</v>
      </c>
      <c r="F5448">
        <f t="shared" si="171"/>
        <v>101804</v>
      </c>
      <c r="H5448" s="1405">
        <v>1340.44</v>
      </c>
      <c r="I5448" s="1405">
        <v>1399.46</v>
      </c>
    </row>
    <row r="5449" spans="2:9" ht="30">
      <c r="B5449" s="1477">
        <v>101805</v>
      </c>
      <c r="C5449" s="740" t="s">
        <v>4463</v>
      </c>
      <c r="D5449" s="739" t="s">
        <v>22</v>
      </c>
      <c r="E5449" s="741">
        <f t="shared" si="170"/>
        <v>1783.43</v>
      </c>
      <c r="F5449">
        <f t="shared" si="171"/>
        <v>101805</v>
      </c>
      <c r="H5449" s="1406">
        <v>1708.15</v>
      </c>
      <c r="I5449" s="1406">
        <v>1783.43</v>
      </c>
    </row>
    <row r="5450" spans="2:9">
      <c r="B5450" s="677">
        <v>102111</v>
      </c>
      <c r="C5450" s="733" t="s">
        <v>4464</v>
      </c>
      <c r="D5450" s="677" t="s">
        <v>22</v>
      </c>
      <c r="E5450" s="738">
        <f t="shared" si="170"/>
        <v>867.68</v>
      </c>
      <c r="F5450">
        <f t="shared" si="171"/>
        <v>102111</v>
      </c>
      <c r="H5450" s="1405">
        <v>854.56</v>
      </c>
      <c r="I5450" s="1405">
        <v>867.68</v>
      </c>
    </row>
    <row r="5451" spans="2:9" ht="30">
      <c r="B5451" s="1477">
        <v>102112</v>
      </c>
      <c r="C5451" s="740" t="s">
        <v>4465</v>
      </c>
      <c r="D5451" s="739" t="s">
        <v>22</v>
      </c>
      <c r="E5451" s="741">
        <f t="shared" si="170"/>
        <v>133.68</v>
      </c>
      <c r="F5451">
        <f t="shared" si="171"/>
        <v>102112</v>
      </c>
      <c r="H5451" s="1406">
        <v>120.56</v>
      </c>
      <c r="I5451" s="1406">
        <v>133.68</v>
      </c>
    </row>
    <row r="5452" spans="2:9">
      <c r="B5452" s="677">
        <v>102113</v>
      </c>
      <c r="C5452" s="733" t="s">
        <v>4466</v>
      </c>
      <c r="D5452" s="677" t="s">
        <v>22</v>
      </c>
      <c r="E5452" s="738">
        <f t="shared" si="170"/>
        <v>1374.31</v>
      </c>
      <c r="F5452">
        <f t="shared" si="171"/>
        <v>102113</v>
      </c>
      <c r="H5452" s="1405">
        <v>1360.85</v>
      </c>
      <c r="I5452" s="1405">
        <v>1374.31</v>
      </c>
    </row>
    <row r="5453" spans="2:9" ht="30">
      <c r="B5453" s="1477">
        <v>102114</v>
      </c>
      <c r="C5453" s="740" t="s">
        <v>4467</v>
      </c>
      <c r="D5453" s="739" t="s">
        <v>22</v>
      </c>
      <c r="E5453" s="741">
        <f t="shared" si="170"/>
        <v>137.03</v>
      </c>
      <c r="F5453">
        <f t="shared" si="171"/>
        <v>102114</v>
      </c>
      <c r="H5453" s="1406">
        <v>123.57</v>
      </c>
      <c r="I5453" s="1406">
        <v>137.03</v>
      </c>
    </row>
    <row r="5454" spans="2:9">
      <c r="B5454" s="677">
        <v>102115</v>
      </c>
      <c r="C5454" s="733" t="s">
        <v>4468</v>
      </c>
      <c r="D5454" s="677" t="s">
        <v>22</v>
      </c>
      <c r="E5454" s="738">
        <f t="shared" si="170"/>
        <v>2392.67</v>
      </c>
      <c r="F5454">
        <f t="shared" si="171"/>
        <v>102115</v>
      </c>
      <c r="H5454" s="1405">
        <v>2373.4699999999998</v>
      </c>
      <c r="I5454" s="1405">
        <v>2392.67</v>
      </c>
    </row>
    <row r="5455" spans="2:9">
      <c r="B5455" s="1477">
        <v>102116</v>
      </c>
      <c r="C5455" s="740" t="s">
        <v>4469</v>
      </c>
      <c r="D5455" s="739" t="s">
        <v>22</v>
      </c>
      <c r="E5455" s="741">
        <f t="shared" si="170"/>
        <v>1467.47</v>
      </c>
      <c r="F5455">
        <f t="shared" si="171"/>
        <v>102116</v>
      </c>
      <c r="H5455" s="1406">
        <v>1453.57</v>
      </c>
      <c r="I5455" s="1406">
        <v>1467.47</v>
      </c>
    </row>
    <row r="5456" spans="2:9">
      <c r="B5456" s="677">
        <v>102117</v>
      </c>
      <c r="C5456" s="733" t="s">
        <v>4470</v>
      </c>
      <c r="D5456" s="677" t="s">
        <v>22</v>
      </c>
      <c r="E5456" s="738">
        <f t="shared" si="170"/>
        <v>141.1</v>
      </c>
      <c r="F5456">
        <f t="shared" si="171"/>
        <v>102117</v>
      </c>
      <c r="H5456" s="1405">
        <v>127.2</v>
      </c>
      <c r="I5456" s="1405">
        <v>141.1</v>
      </c>
    </row>
    <row r="5457" spans="2:9">
      <c r="B5457" s="1477">
        <v>102118</v>
      </c>
      <c r="C5457" s="740" t="s">
        <v>4471</v>
      </c>
      <c r="D5457" s="739" t="s">
        <v>22</v>
      </c>
      <c r="E5457" s="741">
        <f t="shared" si="170"/>
        <v>1995.3</v>
      </c>
      <c r="F5457">
        <f t="shared" si="171"/>
        <v>102118</v>
      </c>
      <c r="H5457" s="1406">
        <v>1981.04</v>
      </c>
      <c r="I5457" s="1406">
        <v>1995.3</v>
      </c>
    </row>
    <row r="5458" spans="2:9" ht="30">
      <c r="B5458" s="677">
        <v>102119</v>
      </c>
      <c r="C5458" s="733" t="s">
        <v>4472</v>
      </c>
      <c r="D5458" s="677" t="s">
        <v>22</v>
      </c>
      <c r="E5458" s="738">
        <f t="shared" si="170"/>
        <v>144.6</v>
      </c>
      <c r="F5458">
        <f t="shared" si="171"/>
        <v>102119</v>
      </c>
      <c r="H5458" s="1405">
        <v>130.34</v>
      </c>
      <c r="I5458" s="1405">
        <v>144.6</v>
      </c>
    </row>
    <row r="5459" spans="2:9">
      <c r="B5459" s="1477">
        <v>102121</v>
      </c>
      <c r="C5459" s="740" t="s">
        <v>4473</v>
      </c>
      <c r="D5459" s="739" t="s">
        <v>22</v>
      </c>
      <c r="E5459" s="741">
        <f t="shared" si="170"/>
        <v>181.19</v>
      </c>
      <c r="F5459">
        <f t="shared" si="171"/>
        <v>102121</v>
      </c>
      <c r="H5459" s="1406">
        <v>163.08000000000001</v>
      </c>
      <c r="I5459" s="1406">
        <v>181.19</v>
      </c>
    </row>
    <row r="5460" spans="2:9">
      <c r="B5460" s="677">
        <v>102122</v>
      </c>
      <c r="C5460" s="733" t="s">
        <v>4474</v>
      </c>
      <c r="D5460" s="677" t="s">
        <v>22</v>
      </c>
      <c r="E5460" s="738">
        <f t="shared" si="170"/>
        <v>6718.75</v>
      </c>
      <c r="F5460">
        <f t="shared" si="171"/>
        <v>102122</v>
      </c>
      <c r="H5460" s="1405">
        <v>6699.55</v>
      </c>
      <c r="I5460" s="1405">
        <v>6718.75</v>
      </c>
    </row>
    <row r="5461" spans="2:9" ht="30">
      <c r="B5461" s="1477">
        <v>102123</v>
      </c>
      <c r="C5461" s="740" t="s">
        <v>4475</v>
      </c>
      <c r="D5461" s="739" t="s">
        <v>22</v>
      </c>
      <c r="E5461" s="741">
        <f t="shared" si="170"/>
        <v>191.61</v>
      </c>
      <c r="F5461">
        <f t="shared" si="171"/>
        <v>102123</v>
      </c>
      <c r="H5461" s="1406">
        <v>172.41</v>
      </c>
      <c r="I5461" s="1406">
        <v>191.61</v>
      </c>
    </row>
    <row r="5462" spans="2:9">
      <c r="B5462" s="677">
        <v>102136</v>
      </c>
      <c r="C5462" s="733" t="s">
        <v>4476</v>
      </c>
      <c r="D5462" s="677" t="s">
        <v>22</v>
      </c>
      <c r="E5462" s="738">
        <f t="shared" si="170"/>
        <v>69.069999999999993</v>
      </c>
      <c r="F5462">
        <f t="shared" si="171"/>
        <v>102136</v>
      </c>
      <c r="H5462" s="1405">
        <v>62.08</v>
      </c>
      <c r="I5462" s="1405">
        <v>69.069999999999993</v>
      </c>
    </row>
    <row r="5463" spans="2:9">
      <c r="B5463" s="1477">
        <v>102137</v>
      </c>
      <c r="C5463" s="740" t="s">
        <v>4477</v>
      </c>
      <c r="D5463" s="739" t="s">
        <v>22</v>
      </c>
      <c r="E5463" s="741">
        <f t="shared" si="170"/>
        <v>86.58</v>
      </c>
      <c r="F5463">
        <f t="shared" si="171"/>
        <v>102137</v>
      </c>
      <c r="H5463" s="1406">
        <v>83.43</v>
      </c>
      <c r="I5463" s="1406">
        <v>86.58</v>
      </c>
    </row>
    <row r="5464" spans="2:9">
      <c r="B5464" s="677">
        <v>102138</v>
      </c>
      <c r="C5464" s="733" t="s">
        <v>4478</v>
      </c>
      <c r="D5464" s="677" t="s">
        <v>22</v>
      </c>
      <c r="E5464" s="738">
        <f t="shared" si="170"/>
        <v>208.58</v>
      </c>
      <c r="F5464">
        <f t="shared" si="171"/>
        <v>102138</v>
      </c>
      <c r="H5464" s="1405">
        <v>187.6</v>
      </c>
      <c r="I5464" s="1405">
        <v>208.58</v>
      </c>
    </row>
    <row r="5465" spans="2:9" ht="30">
      <c r="B5465" s="1477">
        <v>103517</v>
      </c>
      <c r="C5465" s="740" t="s">
        <v>5479</v>
      </c>
      <c r="D5465" s="739" t="s">
        <v>22</v>
      </c>
      <c r="E5465" s="741">
        <f t="shared" si="170"/>
        <v>3584.91</v>
      </c>
      <c r="F5465">
        <f t="shared" si="171"/>
        <v>103517</v>
      </c>
      <c r="H5465" s="1406">
        <v>3573.89</v>
      </c>
      <c r="I5465" s="1406">
        <v>3584.91</v>
      </c>
    </row>
    <row r="5466" spans="2:9" ht="30">
      <c r="B5466" s="677">
        <v>103519</v>
      </c>
      <c r="C5466" s="733" t="s">
        <v>5480</v>
      </c>
      <c r="D5466" s="677" t="s">
        <v>22</v>
      </c>
      <c r="E5466" s="738">
        <f t="shared" si="170"/>
        <v>11.67</v>
      </c>
      <c r="F5466">
        <f t="shared" si="171"/>
        <v>103519</v>
      </c>
      <c r="H5466" s="1405">
        <v>11.2</v>
      </c>
      <c r="I5466" s="1405">
        <v>11.67</v>
      </c>
    </row>
    <row r="5467" spans="2:9" ht="30">
      <c r="B5467" s="1477">
        <v>103520</v>
      </c>
      <c r="C5467" s="740" t="s">
        <v>5481</v>
      </c>
      <c r="D5467" s="739" t="s">
        <v>22</v>
      </c>
      <c r="E5467" s="741">
        <f t="shared" si="170"/>
        <v>5927.91</v>
      </c>
      <c r="F5467">
        <f t="shared" si="171"/>
        <v>103520</v>
      </c>
      <c r="H5467" s="1406">
        <v>5924.88</v>
      </c>
      <c r="I5467" s="1406">
        <v>5927.91</v>
      </c>
    </row>
    <row r="5468" spans="2:9" ht="30">
      <c r="B5468" s="677">
        <v>103521</v>
      </c>
      <c r="C5468" s="733" t="s">
        <v>5482</v>
      </c>
      <c r="D5468" s="677" t="s">
        <v>22</v>
      </c>
      <c r="E5468" s="738">
        <f t="shared" si="170"/>
        <v>7870.67</v>
      </c>
      <c r="F5468">
        <f t="shared" si="171"/>
        <v>103521</v>
      </c>
      <c r="H5468" s="1405">
        <v>7866.32</v>
      </c>
      <c r="I5468" s="1405">
        <v>7870.67</v>
      </c>
    </row>
    <row r="5469" spans="2:9" ht="30">
      <c r="B5469" s="1477">
        <v>103522</v>
      </c>
      <c r="C5469" s="740" t="s">
        <v>5483</v>
      </c>
      <c r="D5469" s="739" t="s">
        <v>22</v>
      </c>
      <c r="E5469" s="741">
        <f t="shared" si="170"/>
        <v>7916.72</v>
      </c>
      <c r="F5469">
        <f t="shared" si="171"/>
        <v>103522</v>
      </c>
      <c r="H5469" s="1406">
        <v>7897.47</v>
      </c>
      <c r="I5469" s="1406">
        <v>7916.72</v>
      </c>
    </row>
    <row r="5470" spans="2:9" ht="30">
      <c r="B5470" s="677">
        <v>103523</v>
      </c>
      <c r="C5470" s="733" t="s">
        <v>5484</v>
      </c>
      <c r="D5470" s="677" t="s">
        <v>22</v>
      </c>
      <c r="E5470" s="738">
        <f t="shared" si="170"/>
        <v>11923.51</v>
      </c>
      <c r="F5470">
        <f t="shared" si="171"/>
        <v>103523</v>
      </c>
      <c r="H5470" s="1405">
        <v>11903.41</v>
      </c>
      <c r="I5470" s="1405">
        <v>11923.51</v>
      </c>
    </row>
    <row r="5471" spans="2:9" ht="30">
      <c r="B5471" s="1477">
        <v>104660</v>
      </c>
      <c r="C5471" s="740" t="s">
        <v>8063</v>
      </c>
      <c r="D5471" s="739" t="s">
        <v>22</v>
      </c>
      <c r="E5471" s="741">
        <f t="shared" si="170"/>
        <v>1239.76</v>
      </c>
      <c r="F5471">
        <f t="shared" si="171"/>
        <v>104660</v>
      </c>
      <c r="H5471" s="1406">
        <v>1158.42</v>
      </c>
      <c r="I5471" s="1406">
        <v>1239.76</v>
      </c>
    </row>
    <row r="5472" spans="2:9" ht="30">
      <c r="B5472" s="677">
        <v>104661</v>
      </c>
      <c r="C5472" s="733" t="s">
        <v>8064</v>
      </c>
      <c r="D5472" s="677" t="s">
        <v>22</v>
      </c>
      <c r="E5472" s="738">
        <f t="shared" si="170"/>
        <v>555.37</v>
      </c>
      <c r="F5472">
        <f t="shared" si="171"/>
        <v>104661</v>
      </c>
      <c r="H5472" s="1405">
        <v>514.72</v>
      </c>
      <c r="I5472" s="1405">
        <v>555.37</v>
      </c>
    </row>
    <row r="5473" spans="2:9" ht="30">
      <c r="B5473" s="1477">
        <v>104662</v>
      </c>
      <c r="C5473" s="740" t="s">
        <v>8065</v>
      </c>
      <c r="D5473" s="739" t="s">
        <v>22</v>
      </c>
      <c r="E5473" s="741">
        <f t="shared" si="170"/>
        <v>384.18</v>
      </c>
      <c r="F5473">
        <f t="shared" si="171"/>
        <v>104662</v>
      </c>
      <c r="H5473" s="1406">
        <v>358.61</v>
      </c>
      <c r="I5473" s="1406">
        <v>384.18</v>
      </c>
    </row>
    <row r="5474" spans="2:9" ht="45">
      <c r="B5474" s="677">
        <v>104663</v>
      </c>
      <c r="C5474" s="733" t="s">
        <v>8066</v>
      </c>
      <c r="D5474" s="677" t="s">
        <v>22</v>
      </c>
      <c r="E5474" s="738">
        <f t="shared" si="170"/>
        <v>474.65</v>
      </c>
      <c r="F5474">
        <f t="shared" si="171"/>
        <v>104663</v>
      </c>
      <c r="H5474" s="1405">
        <v>443.11</v>
      </c>
      <c r="I5474" s="1405">
        <v>474.65</v>
      </c>
    </row>
    <row r="5475" spans="2:9" ht="45">
      <c r="B5475" s="1477">
        <v>104664</v>
      </c>
      <c r="C5475" s="740" t="s">
        <v>8067</v>
      </c>
      <c r="D5475" s="739" t="s">
        <v>22</v>
      </c>
      <c r="E5475" s="741">
        <f t="shared" si="170"/>
        <v>146.30000000000001</v>
      </c>
      <c r="F5475">
        <f t="shared" si="171"/>
        <v>104664</v>
      </c>
      <c r="H5475" s="1406">
        <v>136.9</v>
      </c>
      <c r="I5475" s="1406">
        <v>146.30000000000001</v>
      </c>
    </row>
    <row r="5476" spans="2:9" ht="45">
      <c r="B5476" s="677">
        <v>104665</v>
      </c>
      <c r="C5476" s="733" t="s">
        <v>8068</v>
      </c>
      <c r="D5476" s="677" t="s">
        <v>22</v>
      </c>
      <c r="E5476" s="738">
        <f t="shared" si="170"/>
        <v>612.08000000000004</v>
      </c>
      <c r="F5476">
        <f t="shared" si="171"/>
        <v>104665</v>
      </c>
      <c r="H5476" s="1405">
        <v>571.77</v>
      </c>
      <c r="I5476" s="1405">
        <v>612.08000000000004</v>
      </c>
    </row>
    <row r="5477" spans="2:9" ht="30">
      <c r="B5477" s="1477">
        <v>104666</v>
      </c>
      <c r="C5477" s="740" t="s">
        <v>8069</v>
      </c>
      <c r="D5477" s="739" t="s">
        <v>22</v>
      </c>
      <c r="E5477" s="741">
        <f t="shared" si="170"/>
        <v>291.52999999999997</v>
      </c>
      <c r="F5477">
        <f t="shared" si="171"/>
        <v>104666</v>
      </c>
      <c r="H5477" s="1406">
        <v>272.77999999999997</v>
      </c>
      <c r="I5477" s="1406">
        <v>291.52999999999997</v>
      </c>
    </row>
    <row r="5478" spans="2:9" ht="30">
      <c r="B5478" s="677">
        <v>104667</v>
      </c>
      <c r="C5478" s="733" t="s">
        <v>8070</v>
      </c>
      <c r="D5478" s="677" t="s">
        <v>22</v>
      </c>
      <c r="E5478" s="738">
        <f t="shared" si="170"/>
        <v>113.41</v>
      </c>
      <c r="F5478">
        <f t="shared" si="171"/>
        <v>104667</v>
      </c>
      <c r="H5478" s="1405">
        <v>110</v>
      </c>
      <c r="I5478" s="1405">
        <v>113.41</v>
      </c>
    </row>
    <row r="5479" spans="2:9" ht="45">
      <c r="B5479" s="1477">
        <v>104668</v>
      </c>
      <c r="C5479" s="740" t="s">
        <v>8104</v>
      </c>
      <c r="D5479" s="739" t="s">
        <v>8144</v>
      </c>
      <c r="E5479" s="741">
        <f t="shared" si="170"/>
        <v>131.43</v>
      </c>
      <c r="F5479">
        <f t="shared" si="171"/>
        <v>104668</v>
      </c>
      <c r="H5479" s="1406">
        <v>127.21</v>
      </c>
      <c r="I5479" s="1406">
        <v>131.43</v>
      </c>
    </row>
    <row r="5480" spans="2:9" ht="45">
      <c r="B5480" s="677">
        <v>104669</v>
      </c>
      <c r="C5480" s="733" t="s">
        <v>8105</v>
      </c>
      <c r="D5480" s="677" t="s">
        <v>8144</v>
      </c>
      <c r="E5480" s="738">
        <f t="shared" si="170"/>
        <v>153.02000000000001</v>
      </c>
      <c r="F5480">
        <f t="shared" si="171"/>
        <v>104669</v>
      </c>
      <c r="H5480" s="1405">
        <v>148.34</v>
      </c>
      <c r="I5480" s="1405">
        <v>153.02000000000001</v>
      </c>
    </row>
    <row r="5481" spans="2:9" ht="45">
      <c r="B5481" s="1477">
        <v>104670</v>
      </c>
      <c r="C5481" s="740" t="s">
        <v>8106</v>
      </c>
      <c r="D5481" s="739" t="s">
        <v>8144</v>
      </c>
      <c r="E5481" s="741">
        <f t="shared" si="170"/>
        <v>221.88</v>
      </c>
      <c r="F5481">
        <f t="shared" si="171"/>
        <v>104670</v>
      </c>
      <c r="H5481" s="1406">
        <v>216.22</v>
      </c>
      <c r="I5481" s="1406">
        <v>221.88</v>
      </c>
    </row>
    <row r="5482" spans="2:9" ht="30">
      <c r="B5482" s="677">
        <v>104671</v>
      </c>
      <c r="C5482" s="733" t="s">
        <v>8071</v>
      </c>
      <c r="D5482" s="677" t="s">
        <v>22</v>
      </c>
      <c r="E5482" s="738">
        <f t="shared" si="170"/>
        <v>1151.82</v>
      </c>
      <c r="F5482">
        <f t="shared" si="171"/>
        <v>104671</v>
      </c>
      <c r="H5482" s="1405">
        <v>1098.8499999999999</v>
      </c>
      <c r="I5482" s="1405">
        <v>1151.82</v>
      </c>
    </row>
    <row r="5483" spans="2:9" ht="30">
      <c r="B5483" s="1477">
        <v>104672</v>
      </c>
      <c r="C5483" s="740" t="s">
        <v>8072</v>
      </c>
      <c r="D5483" s="739" t="s">
        <v>22</v>
      </c>
      <c r="E5483" s="741">
        <f t="shared" si="170"/>
        <v>430.81</v>
      </c>
      <c r="F5483">
        <f t="shared" si="171"/>
        <v>104672</v>
      </c>
      <c r="H5483" s="1406">
        <v>407.59</v>
      </c>
      <c r="I5483" s="1406">
        <v>430.81</v>
      </c>
    </row>
    <row r="5484" spans="2:9" ht="45">
      <c r="B5484" s="677">
        <v>104673</v>
      </c>
      <c r="C5484" s="733" t="s">
        <v>8073</v>
      </c>
      <c r="D5484" s="677" t="s">
        <v>22</v>
      </c>
      <c r="E5484" s="738">
        <f t="shared" si="170"/>
        <v>690.2</v>
      </c>
      <c r="F5484">
        <f t="shared" si="171"/>
        <v>104673</v>
      </c>
      <c r="H5484" s="1405">
        <v>659.12</v>
      </c>
      <c r="I5484" s="1405">
        <v>690.2</v>
      </c>
    </row>
    <row r="5485" spans="2:9" ht="30">
      <c r="B5485" s="1477">
        <v>104674</v>
      </c>
      <c r="C5485" s="740" t="s">
        <v>8074</v>
      </c>
      <c r="D5485" s="739" t="s">
        <v>22</v>
      </c>
      <c r="E5485" s="741">
        <f t="shared" si="170"/>
        <v>220.46</v>
      </c>
      <c r="F5485">
        <f t="shared" si="171"/>
        <v>104674</v>
      </c>
      <c r="H5485" s="1406">
        <v>215.01</v>
      </c>
      <c r="I5485" s="1406">
        <v>220.46</v>
      </c>
    </row>
    <row r="5486" spans="2:9" ht="45">
      <c r="B5486" s="677">
        <v>104675</v>
      </c>
      <c r="C5486" s="733" t="s">
        <v>8107</v>
      </c>
      <c r="D5486" s="677" t="s">
        <v>8145</v>
      </c>
      <c r="E5486" s="738">
        <f t="shared" si="170"/>
        <v>1.75</v>
      </c>
      <c r="F5486">
        <f t="shared" si="171"/>
        <v>104675</v>
      </c>
      <c r="H5486" s="1405">
        <v>1.7</v>
      </c>
      <c r="I5486" s="1405">
        <v>1.75</v>
      </c>
    </row>
    <row r="5487" spans="2:9" ht="45">
      <c r="B5487" s="1477">
        <v>104676</v>
      </c>
      <c r="C5487" s="740" t="s">
        <v>8075</v>
      </c>
      <c r="D5487" s="739" t="s">
        <v>22</v>
      </c>
      <c r="E5487" s="741">
        <f t="shared" si="170"/>
        <v>386.31</v>
      </c>
      <c r="F5487">
        <f t="shared" si="171"/>
        <v>104676</v>
      </c>
      <c r="H5487" s="1406">
        <v>364.21</v>
      </c>
      <c r="I5487" s="1406">
        <v>386.31</v>
      </c>
    </row>
    <row r="5488" spans="2:9" ht="45">
      <c r="B5488" s="677">
        <v>104677</v>
      </c>
      <c r="C5488" s="733" t="s">
        <v>8076</v>
      </c>
      <c r="D5488" s="677" t="s">
        <v>22</v>
      </c>
      <c r="E5488" s="738">
        <f t="shared" si="170"/>
        <v>633.82000000000005</v>
      </c>
      <c r="F5488">
        <f t="shared" si="171"/>
        <v>104677</v>
      </c>
      <c r="H5488" s="1405">
        <v>598.16</v>
      </c>
      <c r="I5488" s="1405">
        <v>633.82000000000005</v>
      </c>
    </row>
    <row r="5489" spans="2:9" ht="30">
      <c r="B5489" s="1477">
        <v>104678</v>
      </c>
      <c r="C5489" s="740" t="s">
        <v>8077</v>
      </c>
      <c r="D5489" s="739" t="s">
        <v>22</v>
      </c>
      <c r="E5489" s="741">
        <f t="shared" si="170"/>
        <v>146.53</v>
      </c>
      <c r="F5489">
        <f t="shared" si="171"/>
        <v>104678</v>
      </c>
      <c r="H5489" s="1406">
        <v>136.59</v>
      </c>
      <c r="I5489" s="1406">
        <v>146.53</v>
      </c>
    </row>
    <row r="5490" spans="2:9" ht="30">
      <c r="B5490" s="677">
        <v>104679</v>
      </c>
      <c r="C5490" s="733" t="s">
        <v>8078</v>
      </c>
      <c r="D5490" s="677" t="s">
        <v>22</v>
      </c>
      <c r="E5490" s="738">
        <f t="shared" si="170"/>
        <v>157.04</v>
      </c>
      <c r="F5490">
        <f t="shared" si="171"/>
        <v>104679</v>
      </c>
      <c r="H5490" s="1405">
        <v>147.75</v>
      </c>
      <c r="I5490" s="1405">
        <v>157.04</v>
      </c>
    </row>
    <row r="5491" spans="2:9" ht="30">
      <c r="B5491" s="1477">
        <v>104680</v>
      </c>
      <c r="C5491" s="740" t="s">
        <v>8079</v>
      </c>
      <c r="D5491" s="739" t="s">
        <v>22</v>
      </c>
      <c r="E5491" s="741">
        <f t="shared" si="170"/>
        <v>150.28</v>
      </c>
      <c r="F5491">
        <f t="shared" si="171"/>
        <v>104680</v>
      </c>
      <c r="H5491" s="1406">
        <v>143.78</v>
      </c>
      <c r="I5491" s="1406">
        <v>150.28</v>
      </c>
    </row>
    <row r="5492" spans="2:9" ht="30">
      <c r="B5492" s="677">
        <v>104681</v>
      </c>
      <c r="C5492" s="733" t="s">
        <v>8080</v>
      </c>
      <c r="D5492" s="677" t="s">
        <v>22</v>
      </c>
      <c r="E5492" s="738">
        <f t="shared" si="170"/>
        <v>107.48</v>
      </c>
      <c r="F5492">
        <f t="shared" si="171"/>
        <v>104681</v>
      </c>
      <c r="H5492" s="1405">
        <v>103.67</v>
      </c>
      <c r="I5492" s="1405">
        <v>107.48</v>
      </c>
    </row>
    <row r="5493" spans="2:9" ht="45">
      <c r="B5493" s="1477">
        <v>104682</v>
      </c>
      <c r="C5493" s="740" t="s">
        <v>8081</v>
      </c>
      <c r="D5493" s="739" t="s">
        <v>22</v>
      </c>
      <c r="E5493" s="741">
        <f t="shared" si="170"/>
        <v>576</v>
      </c>
      <c r="F5493">
        <f t="shared" si="171"/>
        <v>104682</v>
      </c>
      <c r="H5493" s="1406">
        <v>554.97</v>
      </c>
      <c r="I5493" s="1406">
        <v>576</v>
      </c>
    </row>
    <row r="5494" spans="2:9" ht="45">
      <c r="B5494" s="677">
        <v>104683</v>
      </c>
      <c r="C5494" s="733" t="s">
        <v>8082</v>
      </c>
      <c r="D5494" s="677" t="s">
        <v>22</v>
      </c>
      <c r="E5494" s="738">
        <f t="shared" si="170"/>
        <v>90.35</v>
      </c>
      <c r="F5494">
        <f t="shared" si="171"/>
        <v>104683</v>
      </c>
      <c r="H5494" s="1405">
        <v>87.61</v>
      </c>
      <c r="I5494" s="1405">
        <v>90.35</v>
      </c>
    </row>
    <row r="5495" spans="2:9">
      <c r="B5495" s="1477">
        <v>104767</v>
      </c>
      <c r="C5495" s="740" t="s">
        <v>8316</v>
      </c>
      <c r="D5495" s="739" t="s">
        <v>22</v>
      </c>
      <c r="E5495" s="741">
        <f t="shared" si="170"/>
        <v>0.56999999999999995</v>
      </c>
      <c r="F5495">
        <f t="shared" si="171"/>
        <v>104767</v>
      </c>
      <c r="H5495" s="1406">
        <v>0.51</v>
      </c>
      <c r="I5495" s="1406">
        <v>0.56999999999999995</v>
      </c>
    </row>
    <row r="5496" spans="2:9" ht="30">
      <c r="B5496" s="677">
        <v>104769</v>
      </c>
      <c r="C5496" s="733" t="s">
        <v>8317</v>
      </c>
      <c r="D5496" s="677" t="s">
        <v>22</v>
      </c>
      <c r="E5496" s="738">
        <f t="shared" si="170"/>
        <v>1.55</v>
      </c>
      <c r="F5496">
        <f t="shared" si="171"/>
        <v>104769</v>
      </c>
      <c r="H5496" s="1405">
        <v>1.38</v>
      </c>
      <c r="I5496" s="1405">
        <v>1.55</v>
      </c>
    </row>
    <row r="5497" spans="2:9" ht="30">
      <c r="B5497" s="1477">
        <v>104771</v>
      </c>
      <c r="C5497" s="740" t="s">
        <v>8318</v>
      </c>
      <c r="D5497" s="739" t="s">
        <v>22</v>
      </c>
      <c r="E5497" s="741">
        <f t="shared" si="170"/>
        <v>2.2599999999999998</v>
      </c>
      <c r="F5497">
        <f t="shared" si="171"/>
        <v>104771</v>
      </c>
      <c r="H5497" s="1406">
        <v>2.02</v>
      </c>
      <c r="I5497" s="1406">
        <v>2.2599999999999998</v>
      </c>
    </row>
    <row r="5498" spans="2:9" ht="30">
      <c r="B5498" s="677">
        <v>104773</v>
      </c>
      <c r="C5498" s="733" t="s">
        <v>8319</v>
      </c>
      <c r="D5498" s="677" t="s">
        <v>22</v>
      </c>
      <c r="E5498" s="738">
        <f t="shared" si="170"/>
        <v>2.0299999999999998</v>
      </c>
      <c r="F5498">
        <f t="shared" si="171"/>
        <v>104773</v>
      </c>
      <c r="H5498" s="1405">
        <v>1.85</v>
      </c>
      <c r="I5498" s="1405">
        <v>2.0299999999999998</v>
      </c>
    </row>
    <row r="5499" spans="2:9" ht="30">
      <c r="B5499" s="1477">
        <v>104775</v>
      </c>
      <c r="C5499" s="740" t="s">
        <v>8320</v>
      </c>
      <c r="D5499" s="739" t="s">
        <v>22</v>
      </c>
      <c r="E5499" s="741">
        <f t="shared" si="170"/>
        <v>5.47</v>
      </c>
      <c r="F5499">
        <f t="shared" si="171"/>
        <v>104775</v>
      </c>
      <c r="H5499" s="1406">
        <v>4.95</v>
      </c>
      <c r="I5499" s="1406">
        <v>5.47</v>
      </c>
    </row>
    <row r="5500" spans="2:9" ht="30">
      <c r="B5500" s="677">
        <v>104777</v>
      </c>
      <c r="C5500" s="733" t="s">
        <v>8321</v>
      </c>
      <c r="D5500" s="677" t="s">
        <v>22</v>
      </c>
      <c r="E5500" s="738">
        <f t="shared" si="170"/>
        <v>8</v>
      </c>
      <c r="F5500">
        <f t="shared" si="171"/>
        <v>104777</v>
      </c>
      <c r="H5500" s="1405">
        <v>7.26</v>
      </c>
      <c r="I5500" s="1405">
        <v>8</v>
      </c>
    </row>
    <row r="5501" spans="2:9" ht="30">
      <c r="B5501" s="1477">
        <v>104779</v>
      </c>
      <c r="C5501" s="740" t="s">
        <v>8322</v>
      </c>
      <c r="D5501" s="739" t="s">
        <v>21</v>
      </c>
      <c r="E5501" s="741">
        <f t="shared" si="170"/>
        <v>4.74</v>
      </c>
      <c r="F5501">
        <f t="shared" si="171"/>
        <v>104779</v>
      </c>
      <c r="H5501" s="1406">
        <v>4.26</v>
      </c>
      <c r="I5501" s="1406">
        <v>4.74</v>
      </c>
    </row>
    <row r="5502" spans="2:9" ht="30">
      <c r="B5502" s="677">
        <v>104781</v>
      </c>
      <c r="C5502" s="733" t="s">
        <v>8323</v>
      </c>
      <c r="D5502" s="677" t="s">
        <v>21</v>
      </c>
      <c r="E5502" s="738">
        <f t="shared" si="170"/>
        <v>5.48</v>
      </c>
      <c r="F5502">
        <f t="shared" si="171"/>
        <v>104781</v>
      </c>
      <c r="H5502" s="1405">
        <v>4.92</v>
      </c>
      <c r="I5502" s="1405">
        <v>5.48</v>
      </c>
    </row>
    <row r="5503" spans="2:9" ht="30">
      <c r="B5503" s="1477">
        <v>104782</v>
      </c>
      <c r="C5503" s="740" t="s">
        <v>8324</v>
      </c>
      <c r="D5503" s="739" t="s">
        <v>22</v>
      </c>
      <c r="E5503" s="741">
        <f t="shared" si="170"/>
        <v>73.239999999999995</v>
      </c>
      <c r="F5503">
        <f t="shared" si="171"/>
        <v>104782</v>
      </c>
      <c r="H5503" s="1406">
        <v>72.55</v>
      </c>
      <c r="I5503" s="1406">
        <v>73.239999999999995</v>
      </c>
    </row>
    <row r="5504" spans="2:9" ht="30">
      <c r="B5504" s="677">
        <v>104783</v>
      </c>
      <c r="C5504" s="733" t="s">
        <v>8325</v>
      </c>
      <c r="D5504" s="677" t="s">
        <v>22</v>
      </c>
      <c r="E5504" s="738">
        <f t="shared" si="170"/>
        <v>4.8099999999999996</v>
      </c>
      <c r="F5504">
        <f t="shared" si="171"/>
        <v>104783</v>
      </c>
      <c r="H5504" s="1405">
        <v>4.53</v>
      </c>
      <c r="I5504" s="1405">
        <v>4.8099999999999996</v>
      </c>
    </row>
    <row r="5505" spans="2:9" ht="30">
      <c r="B5505" s="1477">
        <v>104784</v>
      </c>
      <c r="C5505" s="740" t="s">
        <v>8326</v>
      </c>
      <c r="D5505" s="739" t="s">
        <v>22</v>
      </c>
      <c r="E5505" s="741">
        <f t="shared" si="170"/>
        <v>13.09</v>
      </c>
      <c r="F5505">
        <f t="shared" si="171"/>
        <v>104784</v>
      </c>
      <c r="H5505" s="1406">
        <v>12.37</v>
      </c>
      <c r="I5505" s="1406">
        <v>13.09</v>
      </c>
    </row>
    <row r="5506" spans="2:9" ht="30">
      <c r="B5506" s="677">
        <v>104786</v>
      </c>
      <c r="C5506" s="733" t="s">
        <v>8327</v>
      </c>
      <c r="D5506" s="677" t="s">
        <v>21</v>
      </c>
      <c r="E5506" s="738">
        <f t="shared" si="170"/>
        <v>5.19</v>
      </c>
      <c r="F5506">
        <f t="shared" si="171"/>
        <v>104786</v>
      </c>
      <c r="H5506" s="1405">
        <v>4.6900000000000004</v>
      </c>
      <c r="I5506" s="1405">
        <v>5.19</v>
      </c>
    </row>
    <row r="5507" spans="2:9" ht="30">
      <c r="B5507" s="1477">
        <v>104787</v>
      </c>
      <c r="C5507" s="740" t="s">
        <v>8328</v>
      </c>
      <c r="D5507" s="739" t="s">
        <v>21</v>
      </c>
      <c r="E5507" s="741">
        <f t="shared" ref="E5507:E5570" si="172">IF($K$2=$H$1,H5507,I5507)</f>
        <v>6.89</v>
      </c>
      <c r="F5507">
        <f t="shared" ref="F5507:F5570" si="173">IF(LEN($B5507)=7,CONCATENATE(MID($B5507,1,6),"00",RIGHT($B5507,1)),IF(LEN($B5507)=8,CONCATENATE(MID($B5507,1,6),"0",RIGHT($B5507,2)),$B5507))</f>
        <v>104787</v>
      </c>
      <c r="H5507" s="1406">
        <v>6.22</v>
      </c>
      <c r="I5507" s="1406">
        <v>6.89</v>
      </c>
    </row>
    <row r="5508" spans="2:9" ht="30">
      <c r="B5508" s="677">
        <v>104788</v>
      </c>
      <c r="C5508" s="733" t="s">
        <v>8329</v>
      </c>
      <c r="D5508" s="677" t="s">
        <v>21</v>
      </c>
      <c r="E5508" s="738">
        <f t="shared" si="172"/>
        <v>9.15</v>
      </c>
      <c r="F5508">
        <f t="shared" si="173"/>
        <v>104788</v>
      </c>
      <c r="H5508" s="1405">
        <v>8.27</v>
      </c>
      <c r="I5508" s="1405">
        <v>9.15</v>
      </c>
    </row>
    <row r="5509" spans="2:9">
      <c r="B5509" s="1477">
        <v>104031</v>
      </c>
      <c r="C5509" s="740" t="s">
        <v>6396</v>
      </c>
      <c r="D5509" s="739" t="s">
        <v>22</v>
      </c>
      <c r="E5509" s="741">
        <f t="shared" si="172"/>
        <v>14.55</v>
      </c>
      <c r="F5509">
        <f t="shared" si="173"/>
        <v>104031</v>
      </c>
      <c r="H5509" s="1406">
        <v>13.96</v>
      </c>
      <c r="I5509" s="1406">
        <v>14.55</v>
      </c>
    </row>
    <row r="5510" spans="2:9">
      <c r="B5510" s="677">
        <v>104032</v>
      </c>
      <c r="C5510" s="733" t="s">
        <v>6397</v>
      </c>
      <c r="D5510" s="677" t="s">
        <v>22</v>
      </c>
      <c r="E5510" s="738">
        <f t="shared" si="172"/>
        <v>18.63</v>
      </c>
      <c r="F5510">
        <f t="shared" si="173"/>
        <v>104032</v>
      </c>
      <c r="H5510" s="1405">
        <v>18.02</v>
      </c>
      <c r="I5510" s="1405">
        <v>18.63</v>
      </c>
    </row>
    <row r="5511" spans="2:9">
      <c r="B5511" s="1477">
        <v>104033</v>
      </c>
      <c r="C5511" s="740" t="s">
        <v>6398</v>
      </c>
      <c r="D5511" s="739" t="s">
        <v>22</v>
      </c>
      <c r="E5511" s="741">
        <f t="shared" si="172"/>
        <v>16.86</v>
      </c>
      <c r="F5511">
        <f t="shared" si="173"/>
        <v>104033</v>
      </c>
      <c r="H5511" s="1406">
        <v>16.23</v>
      </c>
      <c r="I5511" s="1406">
        <v>16.86</v>
      </c>
    </row>
    <row r="5512" spans="2:9">
      <c r="B5512" s="677">
        <v>104034</v>
      </c>
      <c r="C5512" s="733" t="s">
        <v>6399</v>
      </c>
      <c r="D5512" s="677" t="s">
        <v>22</v>
      </c>
      <c r="E5512" s="738">
        <f t="shared" si="172"/>
        <v>22.37</v>
      </c>
      <c r="F5512">
        <f t="shared" si="173"/>
        <v>104034</v>
      </c>
      <c r="H5512" s="1405">
        <v>21.74</v>
      </c>
      <c r="I5512" s="1405">
        <v>22.37</v>
      </c>
    </row>
    <row r="5513" spans="2:9">
      <c r="B5513" s="1477">
        <v>104035</v>
      </c>
      <c r="C5513" s="740" t="s">
        <v>6400</v>
      </c>
      <c r="D5513" s="739" t="s">
        <v>22</v>
      </c>
      <c r="E5513" s="741">
        <f t="shared" si="172"/>
        <v>30.74</v>
      </c>
      <c r="F5513">
        <f t="shared" si="173"/>
        <v>104035</v>
      </c>
      <c r="H5513" s="1406">
        <v>29.41</v>
      </c>
      <c r="I5513" s="1406">
        <v>30.74</v>
      </c>
    </row>
    <row r="5514" spans="2:9">
      <c r="B5514" s="677">
        <v>104036</v>
      </c>
      <c r="C5514" s="733" t="s">
        <v>6401</v>
      </c>
      <c r="D5514" s="677" t="s">
        <v>22</v>
      </c>
      <c r="E5514" s="738">
        <f t="shared" si="172"/>
        <v>31.7</v>
      </c>
      <c r="F5514">
        <f t="shared" si="173"/>
        <v>104036</v>
      </c>
      <c r="H5514" s="1405">
        <v>30.32</v>
      </c>
      <c r="I5514" s="1405">
        <v>31.7</v>
      </c>
    </row>
    <row r="5515" spans="2:9">
      <c r="B5515" s="1477">
        <v>104039</v>
      </c>
      <c r="C5515" s="740" t="s">
        <v>6402</v>
      </c>
      <c r="D5515" s="739" t="s">
        <v>22</v>
      </c>
      <c r="E5515" s="741">
        <f t="shared" si="172"/>
        <v>65.48</v>
      </c>
      <c r="F5515">
        <f t="shared" si="173"/>
        <v>104039</v>
      </c>
      <c r="H5515" s="1406">
        <v>64.150000000000006</v>
      </c>
      <c r="I5515" s="1406">
        <v>65.48</v>
      </c>
    </row>
    <row r="5516" spans="2:9">
      <c r="B5516" s="677">
        <v>104043</v>
      </c>
      <c r="C5516" s="733" t="s">
        <v>6403</v>
      </c>
      <c r="D5516" s="677" t="s">
        <v>22</v>
      </c>
      <c r="E5516" s="738">
        <f t="shared" si="172"/>
        <v>7</v>
      </c>
      <c r="F5516">
        <f t="shared" si="173"/>
        <v>104043</v>
      </c>
      <c r="H5516" s="1405">
        <v>6.74</v>
      </c>
      <c r="I5516" s="1405">
        <v>7</v>
      </c>
    </row>
    <row r="5517" spans="2:9">
      <c r="B5517" s="1477">
        <v>104044</v>
      </c>
      <c r="C5517" s="740" t="s">
        <v>6404</v>
      </c>
      <c r="D5517" s="739" t="s">
        <v>22</v>
      </c>
      <c r="E5517" s="741">
        <f t="shared" si="172"/>
        <v>7.28</v>
      </c>
      <c r="F5517">
        <f t="shared" si="173"/>
        <v>104044</v>
      </c>
      <c r="H5517" s="1406">
        <v>6.97</v>
      </c>
      <c r="I5517" s="1406">
        <v>7.28</v>
      </c>
    </row>
    <row r="5518" spans="2:9">
      <c r="B5518" s="677">
        <v>104045</v>
      </c>
      <c r="C5518" s="733" t="s">
        <v>6405</v>
      </c>
      <c r="D5518" s="677" t="s">
        <v>22</v>
      </c>
      <c r="E5518" s="738">
        <f t="shared" si="172"/>
        <v>12.07</v>
      </c>
      <c r="F5518">
        <f t="shared" si="173"/>
        <v>104045</v>
      </c>
      <c r="H5518" s="1405">
        <v>11.7</v>
      </c>
      <c r="I5518" s="1405">
        <v>12.07</v>
      </c>
    </row>
    <row r="5519" spans="2:9" ht="30">
      <c r="B5519" s="1477">
        <v>104046</v>
      </c>
      <c r="C5519" s="740" t="s">
        <v>6406</v>
      </c>
      <c r="D5519" s="739" t="s">
        <v>22</v>
      </c>
      <c r="E5519" s="741">
        <f t="shared" si="172"/>
        <v>6.63</v>
      </c>
      <c r="F5519">
        <f t="shared" si="173"/>
        <v>104046</v>
      </c>
      <c r="H5519" s="1406">
        <v>6.37</v>
      </c>
      <c r="I5519" s="1406">
        <v>6.63</v>
      </c>
    </row>
    <row r="5520" spans="2:9" ht="30">
      <c r="B5520" s="677">
        <v>104047</v>
      </c>
      <c r="C5520" s="733" t="s">
        <v>6407</v>
      </c>
      <c r="D5520" s="677" t="s">
        <v>22</v>
      </c>
      <c r="E5520" s="738">
        <f t="shared" si="172"/>
        <v>7.65</v>
      </c>
      <c r="F5520">
        <f t="shared" si="173"/>
        <v>104047</v>
      </c>
      <c r="H5520" s="1405">
        <v>7.34</v>
      </c>
      <c r="I5520" s="1405">
        <v>7.65</v>
      </c>
    </row>
    <row r="5521" spans="2:9" ht="30">
      <c r="B5521" s="1477">
        <v>104048</v>
      </c>
      <c r="C5521" s="740" t="s">
        <v>6408</v>
      </c>
      <c r="D5521" s="739" t="s">
        <v>22</v>
      </c>
      <c r="E5521" s="741">
        <f t="shared" si="172"/>
        <v>11.74</v>
      </c>
      <c r="F5521">
        <f t="shared" si="173"/>
        <v>104048</v>
      </c>
      <c r="H5521" s="1406">
        <v>11.37</v>
      </c>
      <c r="I5521" s="1406">
        <v>11.74</v>
      </c>
    </row>
    <row r="5522" spans="2:9">
      <c r="B5522" s="677">
        <v>104049</v>
      </c>
      <c r="C5522" s="733" t="s">
        <v>6409</v>
      </c>
      <c r="D5522" s="677" t="s">
        <v>22</v>
      </c>
      <c r="E5522" s="738">
        <f t="shared" si="172"/>
        <v>4.22</v>
      </c>
      <c r="F5522">
        <f t="shared" si="173"/>
        <v>104049</v>
      </c>
      <c r="H5522" s="1405">
        <v>3.92</v>
      </c>
      <c r="I5522" s="1405">
        <v>4.22</v>
      </c>
    </row>
    <row r="5523" spans="2:9">
      <c r="B5523" s="1477">
        <v>104050</v>
      </c>
      <c r="C5523" s="740" t="s">
        <v>6410</v>
      </c>
      <c r="D5523" s="739" t="s">
        <v>22</v>
      </c>
      <c r="E5523" s="741">
        <f t="shared" si="172"/>
        <v>6.51</v>
      </c>
      <c r="F5523">
        <f t="shared" si="173"/>
        <v>104050</v>
      </c>
      <c r="H5523" s="1406">
        <v>6.1</v>
      </c>
      <c r="I5523" s="1406">
        <v>6.51</v>
      </c>
    </row>
    <row r="5524" spans="2:9">
      <c r="B5524" s="677">
        <v>104051</v>
      </c>
      <c r="C5524" s="733" t="s">
        <v>6411</v>
      </c>
      <c r="D5524" s="677" t="s">
        <v>22</v>
      </c>
      <c r="E5524" s="738">
        <f t="shared" si="172"/>
        <v>6.18</v>
      </c>
      <c r="F5524">
        <f t="shared" si="173"/>
        <v>104051</v>
      </c>
      <c r="H5524" s="1405">
        <v>5.93</v>
      </c>
      <c r="I5524" s="1405">
        <v>6.18</v>
      </c>
    </row>
    <row r="5525" spans="2:9">
      <c r="B5525" s="1477">
        <v>104052</v>
      </c>
      <c r="C5525" s="740" t="s">
        <v>6412</v>
      </c>
      <c r="D5525" s="739" t="s">
        <v>22</v>
      </c>
      <c r="E5525" s="741">
        <f t="shared" si="172"/>
        <v>8.6999999999999993</v>
      </c>
      <c r="F5525">
        <f t="shared" si="173"/>
        <v>104052</v>
      </c>
      <c r="H5525" s="1406">
        <v>8.36</v>
      </c>
      <c r="I5525" s="1406">
        <v>8.6999999999999993</v>
      </c>
    </row>
    <row r="5526" spans="2:9">
      <c r="B5526" s="677">
        <v>104053</v>
      </c>
      <c r="C5526" s="733" t="s">
        <v>6413</v>
      </c>
      <c r="D5526" s="677" t="s">
        <v>22</v>
      </c>
      <c r="E5526" s="738">
        <f t="shared" si="172"/>
        <v>7.39</v>
      </c>
      <c r="F5526">
        <f t="shared" si="173"/>
        <v>104053</v>
      </c>
      <c r="H5526" s="1405">
        <v>7.14</v>
      </c>
      <c r="I5526" s="1405">
        <v>7.39</v>
      </c>
    </row>
    <row r="5527" spans="2:9">
      <c r="B5527" s="1477">
        <v>104054</v>
      </c>
      <c r="C5527" s="740" t="s">
        <v>6414</v>
      </c>
      <c r="D5527" s="739" t="s">
        <v>22</v>
      </c>
      <c r="E5527" s="741">
        <f t="shared" si="172"/>
        <v>15.39</v>
      </c>
      <c r="F5527">
        <f t="shared" si="173"/>
        <v>104054</v>
      </c>
      <c r="H5527" s="1406">
        <v>15.05</v>
      </c>
      <c r="I5527" s="1406">
        <v>15.39</v>
      </c>
    </row>
    <row r="5528" spans="2:9">
      <c r="B5528" s="677">
        <v>104055</v>
      </c>
      <c r="C5528" s="733" t="s">
        <v>6415</v>
      </c>
      <c r="D5528" s="677" t="s">
        <v>22</v>
      </c>
      <c r="E5528" s="738">
        <f t="shared" si="172"/>
        <v>11.92</v>
      </c>
      <c r="F5528">
        <f t="shared" si="173"/>
        <v>104055</v>
      </c>
      <c r="H5528" s="1405">
        <v>11.67</v>
      </c>
      <c r="I5528" s="1405">
        <v>11.92</v>
      </c>
    </row>
    <row r="5529" spans="2:9">
      <c r="B5529" s="1477">
        <v>104056</v>
      </c>
      <c r="C5529" s="740" t="s">
        <v>6416</v>
      </c>
      <c r="D5529" s="739" t="s">
        <v>22</v>
      </c>
      <c r="E5529" s="741">
        <f t="shared" si="172"/>
        <v>18.079999999999998</v>
      </c>
      <c r="F5529">
        <f t="shared" si="173"/>
        <v>104056</v>
      </c>
      <c r="H5529" s="1406">
        <v>17.8</v>
      </c>
      <c r="I5529" s="1406">
        <v>18.079999999999998</v>
      </c>
    </row>
    <row r="5530" spans="2:9">
      <c r="B5530" s="677">
        <v>104058</v>
      </c>
      <c r="C5530" s="733" t="s">
        <v>6417</v>
      </c>
      <c r="D5530" s="677" t="s">
        <v>22</v>
      </c>
      <c r="E5530" s="738">
        <f t="shared" si="172"/>
        <v>6.07</v>
      </c>
      <c r="F5530">
        <f t="shared" si="173"/>
        <v>104058</v>
      </c>
      <c r="H5530" s="1405">
        <v>5.59</v>
      </c>
      <c r="I5530" s="1405">
        <v>6.07</v>
      </c>
    </row>
    <row r="5531" spans="2:9">
      <c r="B5531" s="1477">
        <v>104059</v>
      </c>
      <c r="C5531" s="740" t="s">
        <v>6418</v>
      </c>
      <c r="D5531" s="739" t="s">
        <v>22</v>
      </c>
      <c r="E5531" s="741">
        <f t="shared" si="172"/>
        <v>8.4700000000000006</v>
      </c>
      <c r="F5531">
        <f t="shared" si="173"/>
        <v>104059</v>
      </c>
      <c r="H5531" s="1406">
        <v>8.1</v>
      </c>
      <c r="I5531" s="1406">
        <v>8.4700000000000006</v>
      </c>
    </row>
    <row r="5532" spans="2:9">
      <c r="B5532" s="677">
        <v>104060</v>
      </c>
      <c r="C5532" s="733" t="s">
        <v>6419</v>
      </c>
      <c r="D5532" s="677" t="s">
        <v>21</v>
      </c>
      <c r="E5532" s="738">
        <f t="shared" si="172"/>
        <v>7.65</v>
      </c>
      <c r="F5532">
        <f t="shared" si="173"/>
        <v>104060</v>
      </c>
      <c r="H5532" s="1405">
        <v>7.43</v>
      </c>
      <c r="I5532" s="1405">
        <v>7.65</v>
      </c>
    </row>
    <row r="5533" spans="2:9">
      <c r="B5533" s="1477">
        <v>104061</v>
      </c>
      <c r="C5533" s="740" t="s">
        <v>6420</v>
      </c>
      <c r="D5533" s="739" t="s">
        <v>21</v>
      </c>
      <c r="E5533" s="741">
        <f t="shared" si="172"/>
        <v>14.04</v>
      </c>
      <c r="F5533">
        <f t="shared" si="173"/>
        <v>104061</v>
      </c>
      <c r="H5533" s="1406">
        <v>13.7</v>
      </c>
      <c r="I5533" s="1406">
        <v>14.04</v>
      </c>
    </row>
    <row r="5534" spans="2:9" ht="45">
      <c r="B5534" s="677">
        <v>104112</v>
      </c>
      <c r="C5534" s="733" t="s">
        <v>8108</v>
      </c>
      <c r="D5534" s="677" t="s">
        <v>22</v>
      </c>
      <c r="E5534" s="738">
        <f t="shared" si="172"/>
        <v>129.78</v>
      </c>
      <c r="F5534">
        <f t="shared" si="173"/>
        <v>104112</v>
      </c>
      <c r="H5534" s="1405">
        <v>123.65</v>
      </c>
      <c r="I5534" s="1405">
        <v>129.78</v>
      </c>
    </row>
    <row r="5535" spans="2:9" ht="45">
      <c r="B5535" s="1477">
        <v>104114</v>
      </c>
      <c r="C5535" s="740" t="s">
        <v>8109</v>
      </c>
      <c r="D5535" s="739" t="s">
        <v>22</v>
      </c>
      <c r="E5535" s="741">
        <f t="shared" si="172"/>
        <v>197.17</v>
      </c>
      <c r="F5535">
        <f t="shared" si="173"/>
        <v>104114</v>
      </c>
      <c r="H5535" s="1406">
        <v>187.71</v>
      </c>
      <c r="I5535" s="1406">
        <v>197.17</v>
      </c>
    </row>
    <row r="5536" spans="2:9" ht="45">
      <c r="B5536" s="677">
        <v>104116</v>
      </c>
      <c r="C5536" s="733" t="s">
        <v>8110</v>
      </c>
      <c r="D5536" s="677" t="s">
        <v>22</v>
      </c>
      <c r="E5536" s="738">
        <f t="shared" si="172"/>
        <v>264.56</v>
      </c>
      <c r="F5536">
        <f t="shared" si="173"/>
        <v>104116</v>
      </c>
      <c r="H5536" s="1405">
        <v>251.77</v>
      </c>
      <c r="I5536" s="1405">
        <v>264.56</v>
      </c>
    </row>
    <row r="5537" spans="2:9" ht="45">
      <c r="B5537" s="1477">
        <v>104118</v>
      </c>
      <c r="C5537" s="740" t="s">
        <v>8111</v>
      </c>
      <c r="D5537" s="739" t="s">
        <v>22</v>
      </c>
      <c r="E5537" s="741">
        <f t="shared" si="172"/>
        <v>227.47</v>
      </c>
      <c r="F5537">
        <f t="shared" si="173"/>
        <v>104118</v>
      </c>
      <c r="H5537" s="1406">
        <v>210.48</v>
      </c>
      <c r="I5537" s="1406">
        <v>227.47</v>
      </c>
    </row>
    <row r="5538" spans="2:9" ht="45">
      <c r="B5538" s="677">
        <v>104120</v>
      </c>
      <c r="C5538" s="733" t="s">
        <v>8112</v>
      </c>
      <c r="D5538" s="677" t="s">
        <v>22</v>
      </c>
      <c r="E5538" s="738">
        <f t="shared" si="172"/>
        <v>362.81</v>
      </c>
      <c r="F5538">
        <f t="shared" si="173"/>
        <v>104120</v>
      </c>
      <c r="H5538" s="1405">
        <v>334.89</v>
      </c>
      <c r="I5538" s="1405">
        <v>362.81</v>
      </c>
    </row>
    <row r="5539" spans="2:9" ht="45">
      <c r="B5539" s="1477">
        <v>104122</v>
      </c>
      <c r="C5539" s="740" t="s">
        <v>8113</v>
      </c>
      <c r="D5539" s="739" t="s">
        <v>22</v>
      </c>
      <c r="E5539" s="741">
        <f t="shared" si="172"/>
        <v>498.15</v>
      </c>
      <c r="F5539">
        <f t="shared" si="173"/>
        <v>104122</v>
      </c>
      <c r="H5539" s="1406">
        <v>459.29</v>
      </c>
      <c r="I5539" s="1406">
        <v>498.15</v>
      </c>
    </row>
    <row r="5540" spans="2:9">
      <c r="B5540" s="677">
        <v>104062</v>
      </c>
      <c r="C5540" s="733" t="s">
        <v>6421</v>
      </c>
      <c r="D5540" s="677" t="s">
        <v>22</v>
      </c>
      <c r="E5540" s="738">
        <f t="shared" si="172"/>
        <v>67.23</v>
      </c>
      <c r="F5540">
        <f t="shared" si="173"/>
        <v>104062</v>
      </c>
      <c r="H5540" s="1405">
        <v>66.73</v>
      </c>
      <c r="I5540" s="1405">
        <v>67.23</v>
      </c>
    </row>
    <row r="5541" spans="2:9">
      <c r="B5541" s="1477">
        <v>104063</v>
      </c>
      <c r="C5541" s="740" t="s">
        <v>6422</v>
      </c>
      <c r="D5541" s="739" t="s">
        <v>22</v>
      </c>
      <c r="E5541" s="741">
        <f t="shared" si="172"/>
        <v>63.82</v>
      </c>
      <c r="F5541">
        <f t="shared" si="173"/>
        <v>104063</v>
      </c>
      <c r="H5541" s="1406">
        <v>63.32</v>
      </c>
      <c r="I5541" s="1406">
        <v>63.82</v>
      </c>
    </row>
    <row r="5542" spans="2:9">
      <c r="B5542" s="677">
        <v>104064</v>
      </c>
      <c r="C5542" s="733" t="s">
        <v>6423</v>
      </c>
      <c r="D5542" s="677" t="s">
        <v>22</v>
      </c>
      <c r="E5542" s="738">
        <f t="shared" si="172"/>
        <v>166.46</v>
      </c>
      <c r="F5542">
        <f t="shared" si="173"/>
        <v>104064</v>
      </c>
      <c r="H5542" s="1405">
        <v>165.94</v>
      </c>
      <c r="I5542" s="1405">
        <v>166.46</v>
      </c>
    </row>
    <row r="5543" spans="2:9">
      <c r="B5543" s="1477">
        <v>104065</v>
      </c>
      <c r="C5543" s="740" t="s">
        <v>6424</v>
      </c>
      <c r="D5543" s="739" t="s">
        <v>22</v>
      </c>
      <c r="E5543" s="741">
        <f t="shared" si="172"/>
        <v>140.83000000000001</v>
      </c>
      <c r="F5543">
        <f t="shared" si="173"/>
        <v>104065</v>
      </c>
      <c r="H5543" s="1406">
        <v>140.31</v>
      </c>
      <c r="I5543" s="1406">
        <v>140.83000000000001</v>
      </c>
    </row>
    <row r="5544" spans="2:9">
      <c r="B5544" s="677">
        <v>104072</v>
      </c>
      <c r="C5544" s="733" t="s">
        <v>6425</v>
      </c>
      <c r="D5544" s="677" t="s">
        <v>22</v>
      </c>
      <c r="E5544" s="738">
        <f t="shared" si="172"/>
        <v>261.8</v>
      </c>
      <c r="F5544">
        <f t="shared" si="173"/>
        <v>104072</v>
      </c>
      <c r="H5544" s="1405">
        <v>260.99</v>
      </c>
      <c r="I5544" s="1405">
        <v>261.8</v>
      </c>
    </row>
    <row r="5545" spans="2:9">
      <c r="B5545" s="1477">
        <v>104076</v>
      </c>
      <c r="C5545" s="740" t="s">
        <v>6426</v>
      </c>
      <c r="D5545" s="739" t="s">
        <v>22</v>
      </c>
      <c r="E5545" s="741">
        <f t="shared" si="172"/>
        <v>40.4</v>
      </c>
      <c r="F5545">
        <f t="shared" si="173"/>
        <v>104076</v>
      </c>
      <c r="H5545" s="1406">
        <v>39.619999999999997</v>
      </c>
      <c r="I5545" s="1406">
        <v>40.4</v>
      </c>
    </row>
    <row r="5546" spans="2:9">
      <c r="B5546" s="677">
        <v>104082</v>
      </c>
      <c r="C5546" s="733" t="s">
        <v>6427</v>
      </c>
      <c r="D5546" s="677" t="s">
        <v>22</v>
      </c>
      <c r="E5546" s="738">
        <f t="shared" si="172"/>
        <v>27.67</v>
      </c>
      <c r="F5546">
        <f t="shared" si="173"/>
        <v>104082</v>
      </c>
      <c r="H5546" s="1405">
        <v>27.42</v>
      </c>
      <c r="I5546" s="1405">
        <v>27.67</v>
      </c>
    </row>
    <row r="5547" spans="2:9">
      <c r="B5547" s="1477">
        <v>104083</v>
      </c>
      <c r="C5547" s="740" t="s">
        <v>6428</v>
      </c>
      <c r="D5547" s="739" t="s">
        <v>22</v>
      </c>
      <c r="E5547" s="741">
        <f t="shared" si="172"/>
        <v>68.459999999999994</v>
      </c>
      <c r="F5547">
        <f t="shared" si="173"/>
        <v>104083</v>
      </c>
      <c r="H5547" s="1406">
        <v>68.2</v>
      </c>
      <c r="I5547" s="1406">
        <v>68.459999999999994</v>
      </c>
    </row>
    <row r="5548" spans="2:9">
      <c r="B5548" s="677">
        <v>104084</v>
      </c>
      <c r="C5548" s="733" t="s">
        <v>6429</v>
      </c>
      <c r="D5548" s="677" t="s">
        <v>22</v>
      </c>
      <c r="E5548" s="738">
        <f t="shared" si="172"/>
        <v>78.12</v>
      </c>
      <c r="F5548">
        <f t="shared" si="173"/>
        <v>104084</v>
      </c>
      <c r="H5548" s="1405">
        <v>77.86</v>
      </c>
      <c r="I5548" s="1405">
        <v>78.12</v>
      </c>
    </row>
    <row r="5549" spans="2:9">
      <c r="B5549" s="1477">
        <v>104085</v>
      </c>
      <c r="C5549" s="740" t="s">
        <v>6430</v>
      </c>
      <c r="D5549" s="739" t="s">
        <v>21</v>
      </c>
      <c r="E5549" s="741">
        <f t="shared" si="172"/>
        <v>48.78</v>
      </c>
      <c r="F5549">
        <f t="shared" si="173"/>
        <v>104085</v>
      </c>
      <c r="H5549" s="1406">
        <v>48.11</v>
      </c>
      <c r="I5549" s="1406">
        <v>48.78</v>
      </c>
    </row>
    <row r="5550" spans="2:9">
      <c r="B5550" s="677">
        <v>104086</v>
      </c>
      <c r="C5550" s="733" t="s">
        <v>6431</v>
      </c>
      <c r="D5550" s="677" t="s">
        <v>21</v>
      </c>
      <c r="E5550" s="738">
        <f t="shared" si="172"/>
        <v>89.15</v>
      </c>
      <c r="F5550">
        <f t="shared" si="173"/>
        <v>104086</v>
      </c>
      <c r="H5550" s="1405">
        <v>88.4</v>
      </c>
      <c r="I5550" s="1405">
        <v>89.15</v>
      </c>
    </row>
    <row r="5551" spans="2:9" ht="45">
      <c r="B5551" s="1477">
        <v>104124</v>
      </c>
      <c r="C5551" s="740" t="s">
        <v>8114</v>
      </c>
      <c r="D5551" s="739" t="s">
        <v>22</v>
      </c>
      <c r="E5551" s="741">
        <f t="shared" si="172"/>
        <v>309.64</v>
      </c>
      <c r="F5551">
        <f t="shared" si="173"/>
        <v>104124</v>
      </c>
      <c r="H5551" s="1406">
        <v>301.05</v>
      </c>
      <c r="I5551" s="1406">
        <v>309.64</v>
      </c>
    </row>
    <row r="5552" spans="2:9" ht="45">
      <c r="B5552" s="677">
        <v>104130</v>
      </c>
      <c r="C5552" s="733" t="s">
        <v>8115</v>
      </c>
      <c r="D5552" s="677" t="s">
        <v>22</v>
      </c>
      <c r="E5552" s="738">
        <f t="shared" si="172"/>
        <v>474.51</v>
      </c>
      <c r="F5552">
        <f t="shared" si="173"/>
        <v>104130</v>
      </c>
      <c r="H5552" s="1405">
        <v>460.65</v>
      </c>
      <c r="I5552" s="1405">
        <v>474.51</v>
      </c>
    </row>
    <row r="5553" spans="2:9" ht="45">
      <c r="B5553" s="1477">
        <v>104136</v>
      </c>
      <c r="C5553" s="740" t="s">
        <v>8116</v>
      </c>
      <c r="D5553" s="739" t="s">
        <v>22</v>
      </c>
      <c r="E5553" s="741">
        <f t="shared" si="172"/>
        <v>640.38</v>
      </c>
      <c r="F5553">
        <f t="shared" si="173"/>
        <v>104136</v>
      </c>
      <c r="H5553" s="1406">
        <v>621.16999999999996</v>
      </c>
      <c r="I5553" s="1406">
        <v>640.38</v>
      </c>
    </row>
    <row r="5554" spans="2:9" ht="45">
      <c r="B5554" s="677">
        <v>104142</v>
      </c>
      <c r="C5554" s="733" t="s">
        <v>8117</v>
      </c>
      <c r="D5554" s="677" t="s">
        <v>22</v>
      </c>
      <c r="E5554" s="738">
        <f t="shared" si="172"/>
        <v>452.44</v>
      </c>
      <c r="F5554">
        <f t="shared" si="173"/>
        <v>104142</v>
      </c>
      <c r="H5554" s="1405">
        <v>428.04</v>
      </c>
      <c r="I5554" s="1405">
        <v>452.44</v>
      </c>
    </row>
    <row r="5555" spans="2:9" ht="45">
      <c r="B5555" s="1477">
        <v>104148</v>
      </c>
      <c r="C5555" s="740" t="s">
        <v>8118</v>
      </c>
      <c r="D5555" s="739" t="s">
        <v>22</v>
      </c>
      <c r="E5555" s="741">
        <f t="shared" si="172"/>
        <v>712.42</v>
      </c>
      <c r="F5555">
        <f t="shared" si="173"/>
        <v>104148</v>
      </c>
      <c r="H5555" s="1406">
        <v>672.16</v>
      </c>
      <c r="I5555" s="1406">
        <v>712.42</v>
      </c>
    </row>
    <row r="5556" spans="2:9" ht="45">
      <c r="B5556" s="677">
        <v>104154</v>
      </c>
      <c r="C5556" s="733" t="s">
        <v>8119</v>
      </c>
      <c r="D5556" s="677" t="s">
        <v>22</v>
      </c>
      <c r="E5556" s="738">
        <f t="shared" si="172"/>
        <v>975.09</v>
      </c>
      <c r="F5556">
        <f t="shared" si="173"/>
        <v>104154</v>
      </c>
      <c r="H5556" s="1405">
        <v>918.71</v>
      </c>
      <c r="I5556" s="1405">
        <v>975.09</v>
      </c>
    </row>
    <row r="5557" spans="2:9" ht="30">
      <c r="B5557" s="1477">
        <v>96520</v>
      </c>
      <c r="C5557" s="740" t="s">
        <v>14611</v>
      </c>
      <c r="D5557" s="739" t="s">
        <v>19</v>
      </c>
      <c r="E5557" s="741">
        <f t="shared" si="172"/>
        <v>83.19</v>
      </c>
      <c r="F5557">
        <f t="shared" si="173"/>
        <v>96520</v>
      </c>
      <c r="H5557" s="1406">
        <v>77.930000000000007</v>
      </c>
      <c r="I5557" s="1406">
        <v>83.19</v>
      </c>
    </row>
    <row r="5558" spans="2:9" ht="30">
      <c r="B5558" s="677">
        <v>96521</v>
      </c>
      <c r="C5558" s="733" t="s">
        <v>14612</v>
      </c>
      <c r="D5558" s="677" t="s">
        <v>19</v>
      </c>
      <c r="E5558" s="738">
        <f t="shared" si="172"/>
        <v>37.130000000000003</v>
      </c>
      <c r="F5558">
        <f t="shared" si="173"/>
        <v>96521</v>
      </c>
      <c r="H5558" s="1405">
        <v>35.75</v>
      </c>
      <c r="I5558" s="1405">
        <v>37.130000000000003</v>
      </c>
    </row>
    <row r="5559" spans="2:9">
      <c r="B5559" s="1477">
        <v>96522</v>
      </c>
      <c r="C5559" s="740" t="s">
        <v>14613</v>
      </c>
      <c r="D5559" s="739" t="s">
        <v>19</v>
      </c>
      <c r="E5559" s="741">
        <f t="shared" si="172"/>
        <v>133.35</v>
      </c>
      <c r="F5559">
        <f t="shared" si="173"/>
        <v>96522</v>
      </c>
      <c r="H5559" s="1406">
        <v>120.06</v>
      </c>
      <c r="I5559" s="1406">
        <v>133.35</v>
      </c>
    </row>
    <row r="5560" spans="2:9" ht="30">
      <c r="B5560" s="677">
        <v>96523</v>
      </c>
      <c r="C5560" s="733" t="s">
        <v>14614</v>
      </c>
      <c r="D5560" s="677" t="s">
        <v>19</v>
      </c>
      <c r="E5560" s="738">
        <f t="shared" si="172"/>
        <v>88.26</v>
      </c>
      <c r="F5560">
        <f t="shared" si="173"/>
        <v>96523</v>
      </c>
      <c r="H5560" s="1405">
        <v>79.489999999999995</v>
      </c>
      <c r="I5560" s="1405">
        <v>88.26</v>
      </c>
    </row>
    <row r="5561" spans="2:9" ht="30">
      <c r="B5561" s="1477">
        <v>96524</v>
      </c>
      <c r="C5561" s="740" t="s">
        <v>14615</v>
      </c>
      <c r="D5561" s="739" t="s">
        <v>19</v>
      </c>
      <c r="E5561" s="741">
        <f t="shared" si="172"/>
        <v>140.59</v>
      </c>
      <c r="F5561">
        <f t="shared" si="173"/>
        <v>96524</v>
      </c>
      <c r="H5561" s="1406">
        <v>130.81</v>
      </c>
      <c r="I5561" s="1406">
        <v>140.59</v>
      </c>
    </row>
    <row r="5562" spans="2:9" ht="30">
      <c r="B5562" s="677">
        <v>96525</v>
      </c>
      <c r="C5562" s="733" t="s">
        <v>14616</v>
      </c>
      <c r="D5562" s="677" t="s">
        <v>19</v>
      </c>
      <c r="E5562" s="738">
        <f t="shared" si="172"/>
        <v>50.54</v>
      </c>
      <c r="F5562">
        <f t="shared" si="173"/>
        <v>96525</v>
      </c>
      <c r="H5562" s="1405">
        <v>48.75</v>
      </c>
      <c r="I5562" s="1405">
        <v>50.54</v>
      </c>
    </row>
    <row r="5563" spans="2:9">
      <c r="B5563" s="1477">
        <v>96526</v>
      </c>
      <c r="C5563" s="740" t="s">
        <v>14617</v>
      </c>
      <c r="D5563" s="739" t="s">
        <v>19</v>
      </c>
      <c r="E5563" s="741">
        <f t="shared" si="172"/>
        <v>190.65</v>
      </c>
      <c r="F5563">
        <f t="shared" si="173"/>
        <v>96526</v>
      </c>
      <c r="H5563" s="1406">
        <v>171.6</v>
      </c>
      <c r="I5563" s="1406">
        <v>190.65</v>
      </c>
    </row>
    <row r="5564" spans="2:9" ht="30">
      <c r="B5564" s="677">
        <v>96527</v>
      </c>
      <c r="C5564" s="733" t="s">
        <v>14618</v>
      </c>
      <c r="D5564" s="677" t="s">
        <v>19</v>
      </c>
      <c r="E5564" s="738">
        <f t="shared" si="172"/>
        <v>97.14</v>
      </c>
      <c r="F5564">
        <f t="shared" si="173"/>
        <v>96527</v>
      </c>
      <c r="H5564" s="1405">
        <v>87.5</v>
      </c>
      <c r="I5564" s="1405">
        <v>97.14</v>
      </c>
    </row>
    <row r="5565" spans="2:9" ht="30">
      <c r="B5565" s="1477">
        <v>96528</v>
      </c>
      <c r="C5565" s="740" t="s">
        <v>14619</v>
      </c>
      <c r="D5565" s="739" t="s">
        <v>0</v>
      </c>
      <c r="E5565" s="741">
        <f t="shared" si="172"/>
        <v>181.57</v>
      </c>
      <c r="F5565">
        <f t="shared" si="173"/>
        <v>96528</v>
      </c>
      <c r="H5565" s="1406">
        <v>175.49</v>
      </c>
      <c r="I5565" s="1406">
        <v>181.57</v>
      </c>
    </row>
    <row r="5566" spans="2:9">
      <c r="B5566" s="677">
        <v>101114</v>
      </c>
      <c r="C5566" s="733" t="s">
        <v>3582</v>
      </c>
      <c r="D5566" s="677" t="s">
        <v>19</v>
      </c>
      <c r="E5566" s="738">
        <f t="shared" si="172"/>
        <v>3.93</v>
      </c>
      <c r="F5566">
        <f t="shared" si="173"/>
        <v>101114</v>
      </c>
      <c r="H5566" s="1405">
        <v>3.8</v>
      </c>
      <c r="I5566" s="1405">
        <v>3.93</v>
      </c>
    </row>
    <row r="5567" spans="2:9">
      <c r="B5567" s="1477">
        <v>101115</v>
      </c>
      <c r="C5567" s="740" t="s">
        <v>3583</v>
      </c>
      <c r="D5567" s="739" t="s">
        <v>19</v>
      </c>
      <c r="E5567" s="741">
        <f t="shared" si="172"/>
        <v>3.34</v>
      </c>
      <c r="F5567">
        <f t="shared" si="173"/>
        <v>101115</v>
      </c>
      <c r="H5567" s="1406">
        <v>3.25</v>
      </c>
      <c r="I5567" s="1406">
        <v>3.34</v>
      </c>
    </row>
    <row r="5568" spans="2:9">
      <c r="B5568" s="677">
        <v>101116</v>
      </c>
      <c r="C5568" s="733" t="s">
        <v>3584</v>
      </c>
      <c r="D5568" s="677" t="s">
        <v>19</v>
      </c>
      <c r="E5568" s="738">
        <f t="shared" si="172"/>
        <v>2.09</v>
      </c>
      <c r="F5568">
        <f t="shared" si="173"/>
        <v>101116</v>
      </c>
      <c r="H5568" s="1405">
        <v>2.0299999999999998</v>
      </c>
      <c r="I5568" s="1405">
        <v>2.09</v>
      </c>
    </row>
    <row r="5569" spans="2:9">
      <c r="B5569" s="1477">
        <v>101117</v>
      </c>
      <c r="C5569" s="740" t="s">
        <v>3585</v>
      </c>
      <c r="D5569" s="739" t="s">
        <v>19</v>
      </c>
      <c r="E5569" s="741">
        <f t="shared" si="172"/>
        <v>3</v>
      </c>
      <c r="F5569">
        <f t="shared" si="173"/>
        <v>101117</v>
      </c>
      <c r="H5569" s="1406">
        <v>2.97</v>
      </c>
      <c r="I5569" s="1406">
        <v>3</v>
      </c>
    </row>
    <row r="5570" spans="2:9">
      <c r="B5570" s="677">
        <v>101118</v>
      </c>
      <c r="C5570" s="733" t="s">
        <v>3586</v>
      </c>
      <c r="D5570" s="677" t="s">
        <v>19</v>
      </c>
      <c r="E5570" s="738">
        <f t="shared" si="172"/>
        <v>3.41</v>
      </c>
      <c r="F5570">
        <f t="shared" si="173"/>
        <v>101118</v>
      </c>
      <c r="H5570" s="1405">
        <v>3.3</v>
      </c>
      <c r="I5570" s="1405">
        <v>3.41</v>
      </c>
    </row>
    <row r="5571" spans="2:9" ht="30">
      <c r="B5571" s="1477">
        <v>101119</v>
      </c>
      <c r="C5571" s="740" t="s">
        <v>3587</v>
      </c>
      <c r="D5571" s="739" t="s">
        <v>19</v>
      </c>
      <c r="E5571" s="741">
        <f t="shared" ref="E5571:E5634" si="174">IF($K$2=$H$1,H5571,I5571)</f>
        <v>7.52</v>
      </c>
      <c r="F5571">
        <f t="shared" ref="F5571:F5634" si="175">IF(LEN($B5571)=7,CONCATENATE(MID($B5571,1,6),"00",RIGHT($B5571,1)),IF(LEN($B5571)=8,CONCATENATE(MID($B5571,1,6),"0",RIGHT($B5571,2)),$B5571))</f>
        <v>101119</v>
      </c>
      <c r="H5571" s="1406">
        <v>7.26</v>
      </c>
      <c r="I5571" s="1406">
        <v>7.52</v>
      </c>
    </row>
    <row r="5572" spans="2:9" ht="30">
      <c r="B5572" s="677">
        <v>101120</v>
      </c>
      <c r="C5572" s="733" t="s">
        <v>3588</v>
      </c>
      <c r="D5572" s="677" t="s">
        <v>19</v>
      </c>
      <c r="E5572" s="738">
        <f t="shared" si="174"/>
        <v>6.39</v>
      </c>
      <c r="F5572">
        <f t="shared" si="175"/>
        <v>101120</v>
      </c>
      <c r="H5572" s="1405">
        <v>6.21</v>
      </c>
      <c r="I5572" s="1405">
        <v>6.39</v>
      </c>
    </row>
    <row r="5573" spans="2:9" ht="30">
      <c r="B5573" s="1477">
        <v>101121</v>
      </c>
      <c r="C5573" s="740" t="s">
        <v>3589</v>
      </c>
      <c r="D5573" s="739" t="s">
        <v>19</v>
      </c>
      <c r="E5573" s="741">
        <f t="shared" si="174"/>
        <v>4</v>
      </c>
      <c r="F5573">
        <f t="shared" si="175"/>
        <v>101121</v>
      </c>
      <c r="H5573" s="1406">
        <v>3.89</v>
      </c>
      <c r="I5573" s="1406">
        <v>4</v>
      </c>
    </row>
    <row r="5574" spans="2:9" ht="30">
      <c r="B5574" s="677">
        <v>101122</v>
      </c>
      <c r="C5574" s="733" t="s">
        <v>3590</v>
      </c>
      <c r="D5574" s="677" t="s">
        <v>19</v>
      </c>
      <c r="E5574" s="738">
        <f t="shared" si="174"/>
        <v>5.74</v>
      </c>
      <c r="F5574">
        <f t="shared" si="175"/>
        <v>101122</v>
      </c>
      <c r="H5574" s="1405">
        <v>5.68</v>
      </c>
      <c r="I5574" s="1405">
        <v>5.74</v>
      </c>
    </row>
    <row r="5575" spans="2:9" ht="30">
      <c r="B5575" s="1477">
        <v>101123</v>
      </c>
      <c r="C5575" s="740" t="s">
        <v>3591</v>
      </c>
      <c r="D5575" s="739" t="s">
        <v>19</v>
      </c>
      <c r="E5575" s="741">
        <f t="shared" si="174"/>
        <v>6.5</v>
      </c>
      <c r="F5575">
        <f t="shared" si="175"/>
        <v>101123</v>
      </c>
      <c r="H5575" s="1406">
        <v>6.29</v>
      </c>
      <c r="I5575" s="1406">
        <v>6.5</v>
      </c>
    </row>
    <row r="5576" spans="2:9" ht="30">
      <c r="B5576" s="677">
        <v>101124</v>
      </c>
      <c r="C5576" s="733" t="s">
        <v>3592</v>
      </c>
      <c r="D5576" s="677" t="s">
        <v>19</v>
      </c>
      <c r="E5576" s="738">
        <f t="shared" si="174"/>
        <v>14.55</v>
      </c>
      <c r="F5576">
        <f t="shared" si="175"/>
        <v>101124</v>
      </c>
      <c r="H5576" s="1405">
        <v>14.21</v>
      </c>
      <c r="I5576" s="1405">
        <v>14.55</v>
      </c>
    </row>
    <row r="5577" spans="2:9" ht="30">
      <c r="B5577" s="1477">
        <v>101125</v>
      </c>
      <c r="C5577" s="740" t="s">
        <v>3593</v>
      </c>
      <c r="D5577" s="739" t="s">
        <v>19</v>
      </c>
      <c r="E5577" s="741">
        <f t="shared" si="174"/>
        <v>13.96</v>
      </c>
      <c r="F5577">
        <f t="shared" si="175"/>
        <v>101125</v>
      </c>
      <c r="H5577" s="1406">
        <v>13.66</v>
      </c>
      <c r="I5577" s="1406">
        <v>13.96</v>
      </c>
    </row>
    <row r="5578" spans="2:9" ht="30">
      <c r="B5578" s="677">
        <v>101126</v>
      </c>
      <c r="C5578" s="733" t="s">
        <v>3594</v>
      </c>
      <c r="D5578" s="677" t="s">
        <v>19</v>
      </c>
      <c r="E5578" s="738">
        <f t="shared" si="174"/>
        <v>12.71</v>
      </c>
      <c r="F5578">
        <f t="shared" si="175"/>
        <v>101126</v>
      </c>
      <c r="H5578" s="1405">
        <v>12.43</v>
      </c>
      <c r="I5578" s="1405">
        <v>12.71</v>
      </c>
    </row>
    <row r="5579" spans="2:9" ht="30">
      <c r="B5579" s="1477">
        <v>101127</v>
      </c>
      <c r="C5579" s="740" t="s">
        <v>3595</v>
      </c>
      <c r="D5579" s="739" t="s">
        <v>19</v>
      </c>
      <c r="E5579" s="741">
        <f t="shared" si="174"/>
        <v>13.62</v>
      </c>
      <c r="F5579">
        <f t="shared" si="175"/>
        <v>101127</v>
      </c>
      <c r="H5579" s="1406">
        <v>13.38</v>
      </c>
      <c r="I5579" s="1406">
        <v>13.62</v>
      </c>
    </row>
    <row r="5580" spans="2:9" ht="30">
      <c r="B5580" s="677">
        <v>101128</v>
      </c>
      <c r="C5580" s="733" t="s">
        <v>3596</v>
      </c>
      <c r="D5580" s="677" t="s">
        <v>19</v>
      </c>
      <c r="E5580" s="738">
        <f t="shared" si="174"/>
        <v>14.03</v>
      </c>
      <c r="F5580">
        <f t="shared" si="175"/>
        <v>101128</v>
      </c>
      <c r="H5580" s="1405">
        <v>13.71</v>
      </c>
      <c r="I5580" s="1405">
        <v>14.03</v>
      </c>
    </row>
    <row r="5581" spans="2:9" ht="30">
      <c r="B5581" s="1477">
        <v>101129</v>
      </c>
      <c r="C5581" s="740" t="s">
        <v>3597</v>
      </c>
      <c r="D5581" s="739" t="s">
        <v>19</v>
      </c>
      <c r="E5581" s="741">
        <f t="shared" si="174"/>
        <v>18.57</v>
      </c>
      <c r="F5581">
        <f t="shared" si="175"/>
        <v>101129</v>
      </c>
      <c r="H5581" s="1406">
        <v>18.079999999999998</v>
      </c>
      <c r="I5581" s="1406">
        <v>18.57</v>
      </c>
    </row>
    <row r="5582" spans="2:9" ht="30">
      <c r="B5582" s="677">
        <v>101130</v>
      </c>
      <c r="C5582" s="733" t="s">
        <v>3598</v>
      </c>
      <c r="D5582" s="677" t="s">
        <v>19</v>
      </c>
      <c r="E5582" s="738">
        <f t="shared" si="174"/>
        <v>17.440000000000001</v>
      </c>
      <c r="F5582">
        <f t="shared" si="175"/>
        <v>101130</v>
      </c>
      <c r="H5582" s="1405">
        <v>17.03</v>
      </c>
      <c r="I5582" s="1405">
        <v>17.440000000000001</v>
      </c>
    </row>
    <row r="5583" spans="2:9" ht="30">
      <c r="B5583" s="1477">
        <v>101131</v>
      </c>
      <c r="C5583" s="740" t="s">
        <v>3599</v>
      </c>
      <c r="D5583" s="739" t="s">
        <v>19</v>
      </c>
      <c r="E5583" s="741">
        <f t="shared" si="174"/>
        <v>15.05</v>
      </c>
      <c r="F5583">
        <f t="shared" si="175"/>
        <v>101131</v>
      </c>
      <c r="H5583" s="1406">
        <v>14.71</v>
      </c>
      <c r="I5583" s="1406">
        <v>15.05</v>
      </c>
    </row>
    <row r="5584" spans="2:9" ht="30">
      <c r="B5584" s="677">
        <v>101132</v>
      </c>
      <c r="C5584" s="733" t="s">
        <v>3600</v>
      </c>
      <c r="D5584" s="677" t="s">
        <v>19</v>
      </c>
      <c r="E5584" s="738">
        <f t="shared" si="174"/>
        <v>16.79</v>
      </c>
      <c r="F5584">
        <f t="shared" si="175"/>
        <v>101132</v>
      </c>
      <c r="H5584" s="1405">
        <v>16.5</v>
      </c>
      <c r="I5584" s="1405">
        <v>16.79</v>
      </c>
    </row>
    <row r="5585" spans="2:9" ht="30">
      <c r="B5585" s="1477">
        <v>101133</v>
      </c>
      <c r="C5585" s="740" t="s">
        <v>3601</v>
      </c>
      <c r="D5585" s="739" t="s">
        <v>19</v>
      </c>
      <c r="E5585" s="741">
        <f t="shared" si="174"/>
        <v>17.55</v>
      </c>
      <c r="F5585">
        <f t="shared" si="175"/>
        <v>101133</v>
      </c>
      <c r="H5585" s="1406">
        <v>17.11</v>
      </c>
      <c r="I5585" s="1406">
        <v>17.55</v>
      </c>
    </row>
    <row r="5586" spans="2:9" ht="30">
      <c r="B5586" s="677">
        <v>101134</v>
      </c>
      <c r="C5586" s="733" t="s">
        <v>3602</v>
      </c>
      <c r="D5586" s="677" t="s">
        <v>19</v>
      </c>
      <c r="E5586" s="738">
        <f t="shared" si="174"/>
        <v>15.22</v>
      </c>
      <c r="F5586">
        <f t="shared" si="175"/>
        <v>101134</v>
      </c>
      <c r="H5586" s="1405">
        <v>14.87</v>
      </c>
      <c r="I5586" s="1405">
        <v>15.22</v>
      </c>
    </row>
    <row r="5587" spans="2:9" ht="30">
      <c r="B5587" s="1477">
        <v>101135</v>
      </c>
      <c r="C5587" s="740" t="s">
        <v>3603</v>
      </c>
      <c r="D5587" s="739" t="s">
        <v>19</v>
      </c>
      <c r="E5587" s="741">
        <f t="shared" si="174"/>
        <v>14.63</v>
      </c>
      <c r="F5587">
        <f t="shared" si="175"/>
        <v>101135</v>
      </c>
      <c r="H5587" s="1406">
        <v>14.32</v>
      </c>
      <c r="I5587" s="1406">
        <v>14.63</v>
      </c>
    </row>
    <row r="5588" spans="2:9" ht="30">
      <c r="B5588" s="677">
        <v>101136</v>
      </c>
      <c r="C5588" s="733" t="s">
        <v>3604</v>
      </c>
      <c r="D5588" s="677" t="s">
        <v>19</v>
      </c>
      <c r="E5588" s="738">
        <f t="shared" si="174"/>
        <v>13.38</v>
      </c>
      <c r="F5588">
        <f t="shared" si="175"/>
        <v>101136</v>
      </c>
      <c r="H5588" s="1405">
        <v>13.1</v>
      </c>
      <c r="I5588" s="1405">
        <v>13.38</v>
      </c>
    </row>
    <row r="5589" spans="2:9" ht="30">
      <c r="B5589" s="1477">
        <v>101137</v>
      </c>
      <c r="C5589" s="740" t="s">
        <v>3605</v>
      </c>
      <c r="D5589" s="739" t="s">
        <v>19</v>
      </c>
      <c r="E5589" s="741">
        <f t="shared" si="174"/>
        <v>14.29</v>
      </c>
      <c r="F5589">
        <f t="shared" si="175"/>
        <v>101137</v>
      </c>
      <c r="H5589" s="1406">
        <v>14.04</v>
      </c>
      <c r="I5589" s="1406">
        <v>14.29</v>
      </c>
    </row>
    <row r="5590" spans="2:9" ht="30">
      <c r="B5590" s="677">
        <v>101138</v>
      </c>
      <c r="C5590" s="733" t="s">
        <v>3606</v>
      </c>
      <c r="D5590" s="677" t="s">
        <v>19</v>
      </c>
      <c r="E5590" s="738">
        <f t="shared" si="174"/>
        <v>14.7</v>
      </c>
      <c r="F5590">
        <f t="shared" si="175"/>
        <v>101138</v>
      </c>
      <c r="H5590" s="1405">
        <v>14.37</v>
      </c>
      <c r="I5590" s="1405">
        <v>14.7</v>
      </c>
    </row>
    <row r="5591" spans="2:9" ht="30">
      <c r="B5591" s="1477">
        <v>101139</v>
      </c>
      <c r="C5591" s="740" t="s">
        <v>3607</v>
      </c>
      <c r="D5591" s="739" t="s">
        <v>19</v>
      </c>
      <c r="E5591" s="741">
        <f t="shared" si="174"/>
        <v>19.27</v>
      </c>
      <c r="F5591">
        <f t="shared" si="175"/>
        <v>101139</v>
      </c>
      <c r="H5591" s="1406">
        <v>18.77</v>
      </c>
      <c r="I5591" s="1406">
        <v>19.27</v>
      </c>
    </row>
    <row r="5592" spans="2:9" ht="30">
      <c r="B5592" s="677">
        <v>101140</v>
      </c>
      <c r="C5592" s="733" t="s">
        <v>3608</v>
      </c>
      <c r="D5592" s="677" t="s">
        <v>19</v>
      </c>
      <c r="E5592" s="738">
        <f t="shared" si="174"/>
        <v>18.14</v>
      </c>
      <c r="F5592">
        <f t="shared" si="175"/>
        <v>101140</v>
      </c>
      <c r="H5592" s="1405">
        <v>17.72</v>
      </c>
      <c r="I5592" s="1405">
        <v>18.14</v>
      </c>
    </row>
    <row r="5593" spans="2:9" ht="30">
      <c r="B5593" s="1477">
        <v>101141</v>
      </c>
      <c r="C5593" s="740" t="s">
        <v>3609</v>
      </c>
      <c r="D5593" s="739" t="s">
        <v>19</v>
      </c>
      <c r="E5593" s="741">
        <f t="shared" si="174"/>
        <v>15.75</v>
      </c>
      <c r="F5593">
        <f t="shared" si="175"/>
        <v>101141</v>
      </c>
      <c r="H5593" s="1406">
        <v>15.4</v>
      </c>
      <c r="I5593" s="1406">
        <v>15.75</v>
      </c>
    </row>
    <row r="5594" spans="2:9" ht="30">
      <c r="B5594" s="677">
        <v>101142</v>
      </c>
      <c r="C5594" s="733" t="s">
        <v>3610</v>
      </c>
      <c r="D5594" s="677" t="s">
        <v>19</v>
      </c>
      <c r="E5594" s="738">
        <f t="shared" si="174"/>
        <v>17.489999999999998</v>
      </c>
      <c r="F5594">
        <f t="shared" si="175"/>
        <v>101142</v>
      </c>
      <c r="H5594" s="1405">
        <v>17.190000000000001</v>
      </c>
      <c r="I5594" s="1405">
        <v>17.489999999999998</v>
      </c>
    </row>
    <row r="5595" spans="2:9" ht="30">
      <c r="B5595" s="1477">
        <v>101143</v>
      </c>
      <c r="C5595" s="740" t="s">
        <v>3611</v>
      </c>
      <c r="D5595" s="739" t="s">
        <v>19</v>
      </c>
      <c r="E5595" s="741">
        <f t="shared" si="174"/>
        <v>18.25</v>
      </c>
      <c r="F5595">
        <f t="shared" si="175"/>
        <v>101143</v>
      </c>
      <c r="H5595" s="1406">
        <v>17.8</v>
      </c>
      <c r="I5595" s="1406">
        <v>18.25</v>
      </c>
    </row>
    <row r="5596" spans="2:9" ht="30">
      <c r="B5596" s="677">
        <v>101144</v>
      </c>
      <c r="C5596" s="733" t="s">
        <v>3612</v>
      </c>
      <c r="D5596" s="677" t="s">
        <v>19</v>
      </c>
      <c r="E5596" s="738">
        <f t="shared" si="174"/>
        <v>15.13</v>
      </c>
      <c r="F5596">
        <f t="shared" si="175"/>
        <v>101144</v>
      </c>
      <c r="H5596" s="1405">
        <v>14.81</v>
      </c>
      <c r="I5596" s="1405">
        <v>15.13</v>
      </c>
    </row>
    <row r="5597" spans="2:9" ht="30">
      <c r="B5597" s="1477">
        <v>101145</v>
      </c>
      <c r="C5597" s="740" t="s">
        <v>3613</v>
      </c>
      <c r="D5597" s="739" t="s">
        <v>19</v>
      </c>
      <c r="E5597" s="741">
        <f t="shared" si="174"/>
        <v>14.54</v>
      </c>
      <c r="F5597">
        <f t="shared" si="175"/>
        <v>101145</v>
      </c>
      <c r="H5597" s="1406">
        <v>14.26</v>
      </c>
      <c r="I5597" s="1406">
        <v>14.54</v>
      </c>
    </row>
    <row r="5598" spans="2:9" ht="30">
      <c r="B5598" s="677">
        <v>101146</v>
      </c>
      <c r="C5598" s="733" t="s">
        <v>3614</v>
      </c>
      <c r="D5598" s="677" t="s">
        <v>19</v>
      </c>
      <c r="E5598" s="738">
        <f t="shared" si="174"/>
        <v>13.29</v>
      </c>
      <c r="F5598">
        <f t="shared" si="175"/>
        <v>101146</v>
      </c>
      <c r="H5598" s="1405">
        <v>13.04</v>
      </c>
      <c r="I5598" s="1405">
        <v>13.29</v>
      </c>
    </row>
    <row r="5599" spans="2:9" ht="30">
      <c r="B5599" s="1477">
        <v>101147</v>
      </c>
      <c r="C5599" s="740" t="s">
        <v>3615</v>
      </c>
      <c r="D5599" s="739" t="s">
        <v>19</v>
      </c>
      <c r="E5599" s="741">
        <f t="shared" si="174"/>
        <v>14.2</v>
      </c>
      <c r="F5599">
        <f t="shared" si="175"/>
        <v>101147</v>
      </c>
      <c r="H5599" s="1406">
        <v>13.98</v>
      </c>
      <c r="I5599" s="1406">
        <v>14.2</v>
      </c>
    </row>
    <row r="5600" spans="2:9" ht="30">
      <c r="B5600" s="677">
        <v>101148</v>
      </c>
      <c r="C5600" s="733" t="s">
        <v>3616</v>
      </c>
      <c r="D5600" s="677" t="s">
        <v>19</v>
      </c>
      <c r="E5600" s="738">
        <f t="shared" si="174"/>
        <v>14.61</v>
      </c>
      <c r="F5600">
        <f t="shared" si="175"/>
        <v>101148</v>
      </c>
      <c r="H5600" s="1405">
        <v>14.31</v>
      </c>
      <c r="I5600" s="1405">
        <v>14.61</v>
      </c>
    </row>
    <row r="5601" spans="2:9" ht="30">
      <c r="B5601" s="1477">
        <v>101149</v>
      </c>
      <c r="C5601" s="740" t="s">
        <v>3617</v>
      </c>
      <c r="D5601" s="739" t="s">
        <v>19</v>
      </c>
      <c r="E5601" s="741">
        <f t="shared" si="174"/>
        <v>19.16</v>
      </c>
      <c r="F5601">
        <f t="shared" si="175"/>
        <v>101149</v>
      </c>
      <c r="H5601" s="1406">
        <v>18.71</v>
      </c>
      <c r="I5601" s="1406">
        <v>19.16</v>
      </c>
    </row>
    <row r="5602" spans="2:9" ht="30">
      <c r="B5602" s="677">
        <v>101150</v>
      </c>
      <c r="C5602" s="733" t="s">
        <v>3618</v>
      </c>
      <c r="D5602" s="677" t="s">
        <v>19</v>
      </c>
      <c r="E5602" s="738">
        <f t="shared" si="174"/>
        <v>18.03</v>
      </c>
      <c r="F5602">
        <f t="shared" si="175"/>
        <v>101150</v>
      </c>
      <c r="H5602" s="1405">
        <v>17.66</v>
      </c>
      <c r="I5602" s="1405">
        <v>18.03</v>
      </c>
    </row>
    <row r="5603" spans="2:9" ht="30">
      <c r="B5603" s="1477">
        <v>101151</v>
      </c>
      <c r="C5603" s="740" t="s">
        <v>3619</v>
      </c>
      <c r="D5603" s="739" t="s">
        <v>19</v>
      </c>
      <c r="E5603" s="741">
        <f t="shared" si="174"/>
        <v>15.64</v>
      </c>
      <c r="F5603">
        <f t="shared" si="175"/>
        <v>101151</v>
      </c>
      <c r="H5603" s="1406">
        <v>15.34</v>
      </c>
      <c r="I5603" s="1406">
        <v>15.64</v>
      </c>
    </row>
    <row r="5604" spans="2:9" ht="30">
      <c r="B5604" s="677">
        <v>101152</v>
      </c>
      <c r="C5604" s="733" t="s">
        <v>3620</v>
      </c>
      <c r="D5604" s="677" t="s">
        <v>19</v>
      </c>
      <c r="E5604" s="738">
        <f t="shared" si="174"/>
        <v>17.38</v>
      </c>
      <c r="F5604">
        <f t="shared" si="175"/>
        <v>101152</v>
      </c>
      <c r="H5604" s="1405">
        <v>17.13</v>
      </c>
      <c r="I5604" s="1405">
        <v>17.38</v>
      </c>
    </row>
    <row r="5605" spans="2:9" ht="30">
      <c r="B5605" s="1477">
        <v>101153</v>
      </c>
      <c r="C5605" s="740" t="s">
        <v>3621</v>
      </c>
      <c r="D5605" s="739" t="s">
        <v>19</v>
      </c>
      <c r="E5605" s="741">
        <f t="shared" si="174"/>
        <v>18.14</v>
      </c>
      <c r="F5605">
        <f t="shared" si="175"/>
        <v>101153</v>
      </c>
      <c r="H5605" s="1406">
        <v>17.739999999999998</v>
      </c>
      <c r="I5605" s="1406">
        <v>18.14</v>
      </c>
    </row>
    <row r="5606" spans="2:9" ht="45">
      <c r="B5606" s="677">
        <v>101206</v>
      </c>
      <c r="C5606" s="733" t="s">
        <v>7788</v>
      </c>
      <c r="D5606" s="677" t="s">
        <v>19</v>
      </c>
      <c r="E5606" s="738">
        <f t="shared" si="174"/>
        <v>12.47</v>
      </c>
      <c r="F5606">
        <f t="shared" si="175"/>
        <v>101206</v>
      </c>
      <c r="H5606" s="1405">
        <v>12.25</v>
      </c>
      <c r="I5606" s="1405">
        <v>12.47</v>
      </c>
    </row>
    <row r="5607" spans="2:9" ht="45">
      <c r="B5607" s="1477">
        <v>101207</v>
      </c>
      <c r="C5607" s="740" t="s">
        <v>7789</v>
      </c>
      <c r="D5607" s="739" t="s">
        <v>19</v>
      </c>
      <c r="E5607" s="741">
        <f t="shared" si="174"/>
        <v>10.73</v>
      </c>
      <c r="F5607">
        <f t="shared" si="175"/>
        <v>101207</v>
      </c>
      <c r="H5607" s="1406">
        <v>10.57</v>
      </c>
      <c r="I5607" s="1406">
        <v>10.73</v>
      </c>
    </row>
    <row r="5608" spans="2:9" ht="45">
      <c r="B5608" s="677">
        <v>101208</v>
      </c>
      <c r="C5608" s="733" t="s">
        <v>7790</v>
      </c>
      <c r="D5608" s="677" t="s">
        <v>19</v>
      </c>
      <c r="E5608" s="738">
        <f t="shared" si="174"/>
        <v>10.51</v>
      </c>
      <c r="F5608">
        <f t="shared" si="175"/>
        <v>101208</v>
      </c>
      <c r="H5608" s="1405">
        <v>10.35</v>
      </c>
      <c r="I5608" s="1405">
        <v>10.51</v>
      </c>
    </row>
    <row r="5609" spans="2:9" ht="45">
      <c r="B5609" s="1477">
        <v>101209</v>
      </c>
      <c r="C5609" s="740" t="s">
        <v>7791</v>
      </c>
      <c r="D5609" s="739" t="s">
        <v>19</v>
      </c>
      <c r="E5609" s="741">
        <f t="shared" si="174"/>
        <v>9.75</v>
      </c>
      <c r="F5609">
        <f t="shared" si="175"/>
        <v>101209</v>
      </c>
      <c r="H5609" s="1406">
        <v>9.6</v>
      </c>
      <c r="I5609" s="1406">
        <v>9.75</v>
      </c>
    </row>
    <row r="5610" spans="2:9" ht="45">
      <c r="B5610" s="677">
        <v>101210</v>
      </c>
      <c r="C5610" s="733" t="s">
        <v>7792</v>
      </c>
      <c r="D5610" s="677" t="s">
        <v>19</v>
      </c>
      <c r="E5610" s="738">
        <f t="shared" si="174"/>
        <v>17.440000000000001</v>
      </c>
      <c r="F5610">
        <f t="shared" si="175"/>
        <v>101210</v>
      </c>
      <c r="H5610" s="1405">
        <v>17.190000000000001</v>
      </c>
      <c r="I5610" s="1405">
        <v>17.440000000000001</v>
      </c>
    </row>
    <row r="5611" spans="2:9" ht="45">
      <c r="B5611" s="1477">
        <v>101211</v>
      </c>
      <c r="C5611" s="740" t="s">
        <v>7793</v>
      </c>
      <c r="D5611" s="739" t="s">
        <v>19</v>
      </c>
      <c r="E5611" s="741">
        <f t="shared" si="174"/>
        <v>18.73</v>
      </c>
      <c r="F5611">
        <f t="shared" si="175"/>
        <v>101211</v>
      </c>
      <c r="H5611" s="1406">
        <v>18.46</v>
      </c>
      <c r="I5611" s="1406">
        <v>18.73</v>
      </c>
    </row>
    <row r="5612" spans="2:9" ht="45">
      <c r="B5612" s="677">
        <v>101212</v>
      </c>
      <c r="C5612" s="733" t="s">
        <v>7794</v>
      </c>
      <c r="D5612" s="677" t="s">
        <v>19</v>
      </c>
      <c r="E5612" s="738">
        <f t="shared" si="174"/>
        <v>21.88</v>
      </c>
      <c r="F5612">
        <f t="shared" si="175"/>
        <v>101212</v>
      </c>
      <c r="H5612" s="1405">
        <v>21.57</v>
      </c>
      <c r="I5612" s="1405">
        <v>21.88</v>
      </c>
    </row>
    <row r="5613" spans="2:9" ht="45">
      <c r="B5613" s="1477">
        <v>101213</v>
      </c>
      <c r="C5613" s="740" t="s">
        <v>7795</v>
      </c>
      <c r="D5613" s="739" t="s">
        <v>19</v>
      </c>
      <c r="E5613" s="741">
        <f t="shared" si="174"/>
        <v>24.51</v>
      </c>
      <c r="F5613">
        <f t="shared" si="175"/>
        <v>101213</v>
      </c>
      <c r="H5613" s="1406">
        <v>24.14</v>
      </c>
      <c r="I5613" s="1406">
        <v>24.51</v>
      </c>
    </row>
    <row r="5614" spans="2:9" ht="45">
      <c r="B5614" s="677">
        <v>101214</v>
      </c>
      <c r="C5614" s="733" t="s">
        <v>7796</v>
      </c>
      <c r="D5614" s="677" t="s">
        <v>19</v>
      </c>
      <c r="E5614" s="738">
        <f t="shared" si="174"/>
        <v>29.62</v>
      </c>
      <c r="F5614">
        <f t="shared" si="175"/>
        <v>101214</v>
      </c>
      <c r="H5614" s="1405">
        <v>29.22</v>
      </c>
      <c r="I5614" s="1405">
        <v>29.62</v>
      </c>
    </row>
    <row r="5615" spans="2:9" ht="45">
      <c r="B5615" s="1477">
        <v>101215</v>
      </c>
      <c r="C5615" s="740" t="s">
        <v>7797</v>
      </c>
      <c r="D5615" s="739" t="s">
        <v>19</v>
      </c>
      <c r="E5615" s="741">
        <f t="shared" si="174"/>
        <v>16.760000000000002</v>
      </c>
      <c r="F5615">
        <f t="shared" si="175"/>
        <v>101215</v>
      </c>
      <c r="H5615" s="1406">
        <v>16.5</v>
      </c>
      <c r="I5615" s="1406">
        <v>16.760000000000002</v>
      </c>
    </row>
    <row r="5616" spans="2:9" ht="45">
      <c r="B5616" s="677">
        <v>101216</v>
      </c>
      <c r="C5616" s="733" t="s">
        <v>7798</v>
      </c>
      <c r="D5616" s="677" t="s">
        <v>19</v>
      </c>
      <c r="E5616" s="738">
        <f t="shared" si="174"/>
        <v>17.579999999999998</v>
      </c>
      <c r="F5616">
        <f t="shared" si="175"/>
        <v>101216</v>
      </c>
      <c r="H5616" s="1405">
        <v>17.309999999999999</v>
      </c>
      <c r="I5616" s="1405">
        <v>17.579999999999998</v>
      </c>
    </row>
    <row r="5617" spans="2:9" ht="45">
      <c r="B5617" s="1477">
        <v>101217</v>
      </c>
      <c r="C5617" s="740" t="s">
        <v>7799</v>
      </c>
      <c r="D5617" s="739" t="s">
        <v>19</v>
      </c>
      <c r="E5617" s="741">
        <f t="shared" si="174"/>
        <v>20.5</v>
      </c>
      <c r="F5617">
        <f t="shared" si="175"/>
        <v>101217</v>
      </c>
      <c r="H5617" s="1406">
        <v>20.190000000000001</v>
      </c>
      <c r="I5617" s="1406">
        <v>20.5</v>
      </c>
    </row>
    <row r="5618" spans="2:9" ht="45">
      <c r="B5618" s="677">
        <v>101218</v>
      </c>
      <c r="C5618" s="733" t="s">
        <v>7800</v>
      </c>
      <c r="D5618" s="677" t="s">
        <v>19</v>
      </c>
      <c r="E5618" s="738">
        <f t="shared" si="174"/>
        <v>21.68</v>
      </c>
      <c r="F5618">
        <f t="shared" si="175"/>
        <v>101218</v>
      </c>
      <c r="H5618" s="1405">
        <v>21.38</v>
      </c>
      <c r="I5618" s="1405">
        <v>21.68</v>
      </c>
    </row>
    <row r="5619" spans="2:9" ht="45">
      <c r="B5619" s="1477">
        <v>101219</v>
      </c>
      <c r="C5619" s="740" t="s">
        <v>7801</v>
      </c>
      <c r="D5619" s="739" t="s">
        <v>19</v>
      </c>
      <c r="E5619" s="741">
        <f t="shared" si="174"/>
        <v>26.31</v>
      </c>
      <c r="F5619">
        <f t="shared" si="175"/>
        <v>101219</v>
      </c>
      <c r="H5619" s="1406">
        <v>25.95</v>
      </c>
      <c r="I5619" s="1406">
        <v>26.31</v>
      </c>
    </row>
    <row r="5620" spans="2:9" ht="45">
      <c r="B5620" s="677">
        <v>101220</v>
      </c>
      <c r="C5620" s="733" t="s">
        <v>7802</v>
      </c>
      <c r="D5620" s="677" t="s">
        <v>19</v>
      </c>
      <c r="E5620" s="738">
        <f t="shared" si="174"/>
        <v>16.46</v>
      </c>
      <c r="F5620">
        <f t="shared" si="175"/>
        <v>101220</v>
      </c>
      <c r="H5620" s="1405">
        <v>16.23</v>
      </c>
      <c r="I5620" s="1405">
        <v>16.46</v>
      </c>
    </row>
    <row r="5621" spans="2:9" ht="45">
      <c r="B5621" s="1477">
        <v>101221</v>
      </c>
      <c r="C5621" s="740" t="s">
        <v>7803</v>
      </c>
      <c r="D5621" s="739" t="s">
        <v>19</v>
      </c>
      <c r="E5621" s="741">
        <f t="shared" si="174"/>
        <v>17.399999999999999</v>
      </c>
      <c r="F5621">
        <f t="shared" si="175"/>
        <v>101221</v>
      </c>
      <c r="H5621" s="1406">
        <v>17.16</v>
      </c>
      <c r="I5621" s="1406">
        <v>17.399999999999999</v>
      </c>
    </row>
    <row r="5622" spans="2:9" ht="45">
      <c r="B5622" s="677">
        <v>101222</v>
      </c>
      <c r="C5622" s="733" t="s">
        <v>7804</v>
      </c>
      <c r="D5622" s="677" t="s">
        <v>19</v>
      </c>
      <c r="E5622" s="738">
        <f t="shared" si="174"/>
        <v>20.260000000000002</v>
      </c>
      <c r="F5622">
        <f t="shared" si="175"/>
        <v>101222</v>
      </c>
      <c r="H5622" s="1405">
        <v>19.98</v>
      </c>
      <c r="I5622" s="1405">
        <v>20.260000000000002</v>
      </c>
    </row>
    <row r="5623" spans="2:9" ht="45">
      <c r="B5623" s="1477">
        <v>101223</v>
      </c>
      <c r="C5623" s="740" t="s">
        <v>7805</v>
      </c>
      <c r="D5623" s="739" t="s">
        <v>19</v>
      </c>
      <c r="E5623" s="741">
        <f t="shared" si="174"/>
        <v>22.57</v>
      </c>
      <c r="F5623">
        <f t="shared" si="175"/>
        <v>101223</v>
      </c>
      <c r="H5623" s="1406">
        <v>22.25</v>
      </c>
      <c r="I5623" s="1406">
        <v>22.57</v>
      </c>
    </row>
    <row r="5624" spans="2:9" ht="45">
      <c r="B5624" s="677">
        <v>101224</v>
      </c>
      <c r="C5624" s="733" t="s">
        <v>7806</v>
      </c>
      <c r="D5624" s="677" t="s">
        <v>19</v>
      </c>
      <c r="E5624" s="738">
        <f t="shared" si="174"/>
        <v>28.33</v>
      </c>
      <c r="F5624">
        <f t="shared" si="175"/>
        <v>101224</v>
      </c>
      <c r="H5624" s="1405">
        <v>27.94</v>
      </c>
      <c r="I5624" s="1405">
        <v>28.33</v>
      </c>
    </row>
    <row r="5625" spans="2:9" ht="45">
      <c r="B5625" s="1477">
        <v>101225</v>
      </c>
      <c r="C5625" s="740" t="s">
        <v>7807</v>
      </c>
      <c r="D5625" s="739" t="s">
        <v>19</v>
      </c>
      <c r="E5625" s="741">
        <f t="shared" si="174"/>
        <v>15.12</v>
      </c>
      <c r="F5625">
        <f t="shared" si="175"/>
        <v>101225</v>
      </c>
      <c r="H5625" s="1406">
        <v>14.9</v>
      </c>
      <c r="I5625" s="1406">
        <v>15.12</v>
      </c>
    </row>
    <row r="5626" spans="2:9" ht="45">
      <c r="B5626" s="677">
        <v>101226</v>
      </c>
      <c r="C5626" s="733" t="s">
        <v>7808</v>
      </c>
      <c r="D5626" s="677" t="s">
        <v>19</v>
      </c>
      <c r="E5626" s="738">
        <f t="shared" si="174"/>
        <v>15.92</v>
      </c>
      <c r="F5626">
        <f t="shared" si="175"/>
        <v>101226</v>
      </c>
      <c r="H5626" s="1405">
        <v>15.7</v>
      </c>
      <c r="I5626" s="1405">
        <v>15.92</v>
      </c>
    </row>
    <row r="5627" spans="2:9" ht="45">
      <c r="B5627" s="1477">
        <v>101227</v>
      </c>
      <c r="C5627" s="740" t="s">
        <v>7809</v>
      </c>
      <c r="D5627" s="739" t="s">
        <v>19</v>
      </c>
      <c r="E5627" s="741">
        <f t="shared" si="174"/>
        <v>18.48</v>
      </c>
      <c r="F5627">
        <f t="shared" si="175"/>
        <v>101227</v>
      </c>
      <c r="H5627" s="1406">
        <v>18.22</v>
      </c>
      <c r="I5627" s="1406">
        <v>18.48</v>
      </c>
    </row>
    <row r="5628" spans="2:9" ht="45">
      <c r="B5628" s="677">
        <v>101228</v>
      </c>
      <c r="C5628" s="733" t="s">
        <v>7810</v>
      </c>
      <c r="D5628" s="677" t="s">
        <v>19</v>
      </c>
      <c r="E5628" s="738">
        <f t="shared" si="174"/>
        <v>19.7</v>
      </c>
      <c r="F5628">
        <f t="shared" si="175"/>
        <v>101228</v>
      </c>
      <c r="H5628" s="1405">
        <v>19.440000000000001</v>
      </c>
      <c r="I5628" s="1405">
        <v>19.7</v>
      </c>
    </row>
    <row r="5629" spans="2:9" ht="45">
      <c r="B5629" s="1477">
        <v>101229</v>
      </c>
      <c r="C5629" s="740" t="s">
        <v>7811</v>
      </c>
      <c r="D5629" s="739" t="s">
        <v>19</v>
      </c>
      <c r="E5629" s="741">
        <f t="shared" si="174"/>
        <v>24.88</v>
      </c>
      <c r="F5629">
        <f t="shared" si="175"/>
        <v>101229</v>
      </c>
      <c r="H5629" s="1406">
        <v>24.56</v>
      </c>
      <c r="I5629" s="1406">
        <v>24.88</v>
      </c>
    </row>
    <row r="5630" spans="2:9" ht="45">
      <c r="B5630" s="677">
        <v>101230</v>
      </c>
      <c r="C5630" s="733" t="s">
        <v>7812</v>
      </c>
      <c r="D5630" s="677" t="s">
        <v>19</v>
      </c>
      <c r="E5630" s="738">
        <f t="shared" si="174"/>
        <v>10.98</v>
      </c>
      <c r="F5630">
        <f t="shared" si="175"/>
        <v>101230</v>
      </c>
      <c r="H5630" s="1405">
        <v>10.81</v>
      </c>
      <c r="I5630" s="1405">
        <v>10.98</v>
      </c>
    </row>
    <row r="5631" spans="2:9" ht="45">
      <c r="B5631" s="1477">
        <v>101231</v>
      </c>
      <c r="C5631" s="740" t="s">
        <v>7813</v>
      </c>
      <c r="D5631" s="739" t="s">
        <v>19</v>
      </c>
      <c r="E5631" s="741">
        <f t="shared" si="174"/>
        <v>10.44</v>
      </c>
      <c r="F5631">
        <f t="shared" si="175"/>
        <v>101231</v>
      </c>
      <c r="H5631" s="1406">
        <v>10.27</v>
      </c>
      <c r="I5631" s="1406">
        <v>10.44</v>
      </c>
    </row>
    <row r="5632" spans="2:9" ht="45">
      <c r="B5632" s="677">
        <v>101232</v>
      </c>
      <c r="C5632" s="733" t="s">
        <v>7814</v>
      </c>
      <c r="D5632" s="677" t="s">
        <v>19</v>
      </c>
      <c r="E5632" s="738">
        <f t="shared" si="174"/>
        <v>9.3800000000000008</v>
      </c>
      <c r="F5632">
        <f t="shared" si="175"/>
        <v>101232</v>
      </c>
      <c r="H5632" s="1405">
        <v>9.26</v>
      </c>
      <c r="I5632" s="1405">
        <v>9.3800000000000008</v>
      </c>
    </row>
    <row r="5633" spans="2:9" ht="45">
      <c r="B5633" s="1477">
        <v>101233</v>
      </c>
      <c r="C5633" s="740" t="s">
        <v>7815</v>
      </c>
      <c r="D5633" s="739" t="s">
        <v>19</v>
      </c>
      <c r="E5633" s="741">
        <f t="shared" si="174"/>
        <v>8.66</v>
      </c>
      <c r="F5633">
        <f t="shared" si="175"/>
        <v>101233</v>
      </c>
      <c r="H5633" s="1406">
        <v>8.5299999999999994</v>
      </c>
      <c r="I5633" s="1406">
        <v>8.66</v>
      </c>
    </row>
    <row r="5634" spans="2:9" ht="45">
      <c r="B5634" s="677">
        <v>101234</v>
      </c>
      <c r="C5634" s="733" t="s">
        <v>7816</v>
      </c>
      <c r="D5634" s="677" t="s">
        <v>19</v>
      </c>
      <c r="E5634" s="738">
        <f t="shared" si="174"/>
        <v>17.14</v>
      </c>
      <c r="F5634">
        <f t="shared" si="175"/>
        <v>101234</v>
      </c>
      <c r="H5634" s="1405">
        <v>16.89</v>
      </c>
      <c r="I5634" s="1405">
        <v>17.14</v>
      </c>
    </row>
    <row r="5635" spans="2:9" ht="45">
      <c r="B5635" s="1477">
        <v>101235</v>
      </c>
      <c r="C5635" s="740" t="s">
        <v>7817</v>
      </c>
      <c r="D5635" s="739" t="s">
        <v>19</v>
      </c>
      <c r="E5635" s="741">
        <f t="shared" ref="E5635:E5698" si="176">IF($K$2=$H$1,H5635,I5635)</f>
        <v>18.05</v>
      </c>
      <c r="F5635">
        <f t="shared" ref="F5635:F5698" si="177">IF(LEN($B5635)=7,CONCATENATE(MID($B5635,1,6),"00",RIGHT($B5635,1)),IF(LEN($B5635)=8,CONCATENATE(MID($B5635,1,6),"0",RIGHT($B5635,2)),$B5635))</f>
        <v>101235</v>
      </c>
      <c r="H5635" s="1406">
        <v>17.79</v>
      </c>
      <c r="I5635" s="1406">
        <v>18.05</v>
      </c>
    </row>
    <row r="5636" spans="2:9" ht="45">
      <c r="B5636" s="677">
        <v>101236</v>
      </c>
      <c r="C5636" s="733" t="s">
        <v>7818</v>
      </c>
      <c r="D5636" s="677" t="s">
        <v>19</v>
      </c>
      <c r="E5636" s="738">
        <f t="shared" si="176"/>
        <v>21.04</v>
      </c>
      <c r="F5636">
        <f t="shared" si="177"/>
        <v>101236</v>
      </c>
      <c r="H5636" s="1405">
        <v>20.75</v>
      </c>
      <c r="I5636" s="1405">
        <v>21.04</v>
      </c>
    </row>
    <row r="5637" spans="2:9" ht="45">
      <c r="B5637" s="1477">
        <v>101237</v>
      </c>
      <c r="C5637" s="740" t="s">
        <v>7819</v>
      </c>
      <c r="D5637" s="739" t="s">
        <v>19</v>
      </c>
      <c r="E5637" s="741">
        <f t="shared" si="176"/>
        <v>22.41</v>
      </c>
      <c r="F5637">
        <f t="shared" si="177"/>
        <v>101237</v>
      </c>
      <c r="H5637" s="1406">
        <v>22.12</v>
      </c>
      <c r="I5637" s="1406">
        <v>22.41</v>
      </c>
    </row>
    <row r="5638" spans="2:9" ht="45">
      <c r="B5638" s="677">
        <v>101238</v>
      </c>
      <c r="C5638" s="733" t="s">
        <v>7820</v>
      </c>
      <c r="D5638" s="677" t="s">
        <v>19</v>
      </c>
      <c r="E5638" s="738">
        <f t="shared" si="176"/>
        <v>28.4</v>
      </c>
      <c r="F5638">
        <f t="shared" si="177"/>
        <v>101238</v>
      </c>
      <c r="H5638" s="1405">
        <v>28.02</v>
      </c>
      <c r="I5638" s="1405">
        <v>28.4</v>
      </c>
    </row>
    <row r="5639" spans="2:9" ht="45">
      <c r="B5639" s="1477">
        <v>101239</v>
      </c>
      <c r="C5639" s="740" t="s">
        <v>7821</v>
      </c>
      <c r="D5639" s="739" t="s">
        <v>19</v>
      </c>
      <c r="E5639" s="741">
        <f t="shared" si="176"/>
        <v>15.01</v>
      </c>
      <c r="F5639">
        <f t="shared" si="177"/>
        <v>101239</v>
      </c>
      <c r="H5639" s="1406">
        <v>14.81</v>
      </c>
      <c r="I5639" s="1406">
        <v>15.01</v>
      </c>
    </row>
    <row r="5640" spans="2:9" ht="45">
      <c r="B5640" s="677">
        <v>101240</v>
      </c>
      <c r="C5640" s="733" t="s">
        <v>7822</v>
      </c>
      <c r="D5640" s="677" t="s">
        <v>19</v>
      </c>
      <c r="E5640" s="738">
        <f t="shared" si="176"/>
        <v>15.84</v>
      </c>
      <c r="F5640">
        <f t="shared" si="177"/>
        <v>101240</v>
      </c>
      <c r="H5640" s="1405">
        <v>15.64</v>
      </c>
      <c r="I5640" s="1405">
        <v>15.84</v>
      </c>
    </row>
    <row r="5641" spans="2:9" ht="45">
      <c r="B5641" s="1477">
        <v>101241</v>
      </c>
      <c r="C5641" s="740" t="s">
        <v>7823</v>
      </c>
      <c r="D5641" s="739" t="s">
        <v>19</v>
      </c>
      <c r="E5641" s="741">
        <f t="shared" si="176"/>
        <v>18.54</v>
      </c>
      <c r="F5641">
        <f t="shared" si="177"/>
        <v>101241</v>
      </c>
      <c r="H5641" s="1406">
        <v>18.29</v>
      </c>
      <c r="I5641" s="1406">
        <v>18.54</v>
      </c>
    </row>
    <row r="5642" spans="2:9" ht="45">
      <c r="B5642" s="677">
        <v>101242</v>
      </c>
      <c r="C5642" s="733" t="s">
        <v>7824</v>
      </c>
      <c r="D5642" s="677" t="s">
        <v>19</v>
      </c>
      <c r="E5642" s="738">
        <f t="shared" si="176"/>
        <v>20.76</v>
      </c>
      <c r="F5642">
        <f t="shared" si="177"/>
        <v>101242</v>
      </c>
      <c r="H5642" s="1405">
        <v>20.47</v>
      </c>
      <c r="I5642" s="1405">
        <v>20.76</v>
      </c>
    </row>
    <row r="5643" spans="2:9" ht="45">
      <c r="B5643" s="1477">
        <v>101243</v>
      </c>
      <c r="C5643" s="740" t="s">
        <v>7825</v>
      </c>
      <c r="D5643" s="739" t="s">
        <v>19</v>
      </c>
      <c r="E5643" s="741">
        <f t="shared" si="176"/>
        <v>25.17</v>
      </c>
      <c r="F5643">
        <f t="shared" si="177"/>
        <v>101243</v>
      </c>
      <c r="H5643" s="1406">
        <v>24.84</v>
      </c>
      <c r="I5643" s="1406">
        <v>25.17</v>
      </c>
    </row>
    <row r="5644" spans="2:9" ht="45">
      <c r="B5644" s="677">
        <v>101244</v>
      </c>
      <c r="C5644" s="733" t="s">
        <v>7826</v>
      </c>
      <c r="D5644" s="677" t="s">
        <v>19</v>
      </c>
      <c r="E5644" s="738">
        <f t="shared" si="176"/>
        <v>15.85</v>
      </c>
      <c r="F5644">
        <f t="shared" si="177"/>
        <v>101244</v>
      </c>
      <c r="H5644" s="1405">
        <v>15.63</v>
      </c>
      <c r="I5644" s="1405">
        <v>15.85</v>
      </c>
    </row>
    <row r="5645" spans="2:9" ht="45">
      <c r="B5645" s="1477">
        <v>101245</v>
      </c>
      <c r="C5645" s="740" t="s">
        <v>7827</v>
      </c>
      <c r="D5645" s="739" t="s">
        <v>19</v>
      </c>
      <c r="E5645" s="741">
        <f t="shared" si="176"/>
        <v>16.760000000000002</v>
      </c>
      <c r="F5645">
        <f t="shared" si="177"/>
        <v>101245</v>
      </c>
      <c r="H5645" s="1406">
        <v>16.54</v>
      </c>
      <c r="I5645" s="1406">
        <v>16.760000000000002</v>
      </c>
    </row>
    <row r="5646" spans="2:9" ht="45">
      <c r="B5646" s="677">
        <v>101246</v>
      </c>
      <c r="C5646" s="733" t="s">
        <v>7828</v>
      </c>
      <c r="D5646" s="677" t="s">
        <v>19</v>
      </c>
      <c r="E5646" s="738">
        <f t="shared" si="176"/>
        <v>19.489999999999998</v>
      </c>
      <c r="F5646">
        <f t="shared" si="177"/>
        <v>101246</v>
      </c>
      <c r="H5646" s="1405">
        <v>19.239999999999998</v>
      </c>
      <c r="I5646" s="1405">
        <v>19.489999999999998</v>
      </c>
    </row>
    <row r="5647" spans="2:9" ht="45">
      <c r="B5647" s="1477">
        <v>101247</v>
      </c>
      <c r="C5647" s="740" t="s">
        <v>7829</v>
      </c>
      <c r="D5647" s="739" t="s">
        <v>19</v>
      </c>
      <c r="E5647" s="741">
        <f t="shared" si="176"/>
        <v>21.65</v>
      </c>
      <c r="F5647">
        <f t="shared" si="177"/>
        <v>101247</v>
      </c>
      <c r="H5647" s="1406">
        <v>21.37</v>
      </c>
      <c r="I5647" s="1406">
        <v>21.65</v>
      </c>
    </row>
    <row r="5648" spans="2:9" ht="45">
      <c r="B5648" s="677">
        <v>101248</v>
      </c>
      <c r="C5648" s="733" t="s">
        <v>7830</v>
      </c>
      <c r="D5648" s="677" t="s">
        <v>19</v>
      </c>
      <c r="E5648" s="738">
        <f t="shared" si="176"/>
        <v>27.13</v>
      </c>
      <c r="F5648">
        <f t="shared" si="177"/>
        <v>101248</v>
      </c>
      <c r="H5648" s="1405">
        <v>26.78</v>
      </c>
      <c r="I5648" s="1405">
        <v>27.13</v>
      </c>
    </row>
    <row r="5649" spans="2:9" ht="45">
      <c r="B5649" s="1477">
        <v>101249</v>
      </c>
      <c r="C5649" s="740" t="s">
        <v>7831</v>
      </c>
      <c r="D5649" s="739" t="s">
        <v>19</v>
      </c>
      <c r="E5649" s="741">
        <f t="shared" si="176"/>
        <v>13.75</v>
      </c>
      <c r="F5649">
        <f t="shared" si="177"/>
        <v>101249</v>
      </c>
      <c r="H5649" s="1406">
        <v>13.57</v>
      </c>
      <c r="I5649" s="1406">
        <v>13.75</v>
      </c>
    </row>
    <row r="5650" spans="2:9" ht="45">
      <c r="B5650" s="677">
        <v>101250</v>
      </c>
      <c r="C5650" s="733" t="s">
        <v>7832</v>
      </c>
      <c r="D5650" s="677" t="s">
        <v>19</v>
      </c>
      <c r="E5650" s="738">
        <f t="shared" si="176"/>
        <v>15.3</v>
      </c>
      <c r="F5650">
        <f t="shared" si="177"/>
        <v>101250</v>
      </c>
      <c r="H5650" s="1405">
        <v>15.08</v>
      </c>
      <c r="I5650" s="1405">
        <v>15.3</v>
      </c>
    </row>
    <row r="5651" spans="2:9" ht="45">
      <c r="B5651" s="1477">
        <v>101251</v>
      </c>
      <c r="C5651" s="740" t="s">
        <v>7833</v>
      </c>
      <c r="D5651" s="739" t="s">
        <v>19</v>
      </c>
      <c r="E5651" s="741">
        <f t="shared" si="176"/>
        <v>17.36</v>
      </c>
      <c r="F5651">
        <f t="shared" si="177"/>
        <v>101251</v>
      </c>
      <c r="H5651" s="1406">
        <v>17.149999999999999</v>
      </c>
      <c r="I5651" s="1406">
        <v>17.36</v>
      </c>
    </row>
    <row r="5652" spans="2:9" ht="45">
      <c r="B5652" s="677">
        <v>101252</v>
      </c>
      <c r="C5652" s="733" t="s">
        <v>7834</v>
      </c>
      <c r="D5652" s="677" t="s">
        <v>19</v>
      </c>
      <c r="E5652" s="738">
        <f t="shared" si="176"/>
        <v>18.91</v>
      </c>
      <c r="F5652">
        <f t="shared" si="177"/>
        <v>101252</v>
      </c>
      <c r="H5652" s="1405">
        <v>18.670000000000002</v>
      </c>
      <c r="I5652" s="1405">
        <v>18.91</v>
      </c>
    </row>
    <row r="5653" spans="2:9" ht="45">
      <c r="B5653" s="1477">
        <v>101253</v>
      </c>
      <c r="C5653" s="740" t="s">
        <v>7835</v>
      </c>
      <c r="D5653" s="739" t="s">
        <v>19</v>
      </c>
      <c r="E5653" s="741">
        <f t="shared" si="176"/>
        <v>23.85</v>
      </c>
      <c r="F5653">
        <f t="shared" si="177"/>
        <v>101253</v>
      </c>
      <c r="H5653" s="1406">
        <v>23.54</v>
      </c>
      <c r="I5653" s="1406">
        <v>23.85</v>
      </c>
    </row>
    <row r="5654" spans="2:9" ht="45">
      <c r="B5654" s="677">
        <v>101254</v>
      </c>
      <c r="C5654" s="733" t="s">
        <v>7836</v>
      </c>
      <c r="D5654" s="677" t="s">
        <v>19</v>
      </c>
      <c r="E5654" s="738">
        <f t="shared" si="176"/>
        <v>12.74</v>
      </c>
      <c r="F5654">
        <f t="shared" si="177"/>
        <v>101254</v>
      </c>
      <c r="H5654" s="1405">
        <v>12.5</v>
      </c>
      <c r="I5654" s="1405">
        <v>12.74</v>
      </c>
    </row>
    <row r="5655" spans="2:9" ht="45">
      <c r="B5655" s="1477">
        <v>101255</v>
      </c>
      <c r="C5655" s="740" t="s">
        <v>7837</v>
      </c>
      <c r="D5655" s="739" t="s">
        <v>19</v>
      </c>
      <c r="E5655" s="741">
        <f t="shared" si="176"/>
        <v>11.24</v>
      </c>
      <c r="F5655">
        <f t="shared" si="177"/>
        <v>101255</v>
      </c>
      <c r="H5655" s="1406">
        <v>11.05</v>
      </c>
      <c r="I5655" s="1406">
        <v>11.24</v>
      </c>
    </row>
    <row r="5656" spans="2:9" ht="45">
      <c r="B5656" s="677">
        <v>101256</v>
      </c>
      <c r="C5656" s="733" t="s">
        <v>7838</v>
      </c>
      <c r="D5656" s="677" t="s">
        <v>19</v>
      </c>
      <c r="E5656" s="738">
        <f t="shared" si="176"/>
        <v>19.75</v>
      </c>
      <c r="F5656">
        <f t="shared" si="177"/>
        <v>101256</v>
      </c>
      <c r="H5656" s="1405">
        <v>19.399999999999999</v>
      </c>
      <c r="I5656" s="1405">
        <v>19.75</v>
      </c>
    </row>
    <row r="5657" spans="2:9" ht="45">
      <c r="B5657" s="1477">
        <v>101257</v>
      </c>
      <c r="C5657" s="740" t="s">
        <v>7839</v>
      </c>
      <c r="D5657" s="739" t="s">
        <v>19</v>
      </c>
      <c r="E5657" s="741">
        <f t="shared" si="176"/>
        <v>20.81</v>
      </c>
      <c r="F5657">
        <f t="shared" si="177"/>
        <v>101257</v>
      </c>
      <c r="H5657" s="1406">
        <v>20.45</v>
      </c>
      <c r="I5657" s="1406">
        <v>20.81</v>
      </c>
    </row>
    <row r="5658" spans="2:9" ht="45">
      <c r="B5658" s="677">
        <v>101258</v>
      </c>
      <c r="C5658" s="733" t="s">
        <v>7840</v>
      </c>
      <c r="D5658" s="677" t="s">
        <v>19</v>
      </c>
      <c r="E5658" s="738">
        <f t="shared" si="176"/>
        <v>24.17</v>
      </c>
      <c r="F5658">
        <f t="shared" si="177"/>
        <v>101258</v>
      </c>
      <c r="H5658" s="1405">
        <v>23.76</v>
      </c>
      <c r="I5658" s="1405">
        <v>24.17</v>
      </c>
    </row>
    <row r="5659" spans="2:9" ht="45">
      <c r="B5659" s="1477">
        <v>101259</v>
      </c>
      <c r="C5659" s="740" t="s">
        <v>7841</v>
      </c>
      <c r="D5659" s="739" t="s">
        <v>19</v>
      </c>
      <c r="E5659" s="741">
        <f t="shared" si="176"/>
        <v>26.89</v>
      </c>
      <c r="F5659">
        <f t="shared" si="177"/>
        <v>101259</v>
      </c>
      <c r="H5659" s="1406">
        <v>26.43</v>
      </c>
      <c r="I5659" s="1406">
        <v>26.89</v>
      </c>
    </row>
    <row r="5660" spans="2:9" ht="45">
      <c r="B5660" s="677">
        <v>101260</v>
      </c>
      <c r="C5660" s="733" t="s">
        <v>7842</v>
      </c>
      <c r="D5660" s="677" t="s">
        <v>19</v>
      </c>
      <c r="E5660" s="738">
        <f t="shared" si="176"/>
        <v>33.659999999999997</v>
      </c>
      <c r="F5660">
        <f t="shared" si="177"/>
        <v>101260</v>
      </c>
      <c r="H5660" s="1405">
        <v>33.090000000000003</v>
      </c>
      <c r="I5660" s="1405">
        <v>33.659999999999997</v>
      </c>
    </row>
    <row r="5661" spans="2:9" ht="45">
      <c r="B5661" s="1477">
        <v>101261</v>
      </c>
      <c r="C5661" s="740" t="s">
        <v>7843</v>
      </c>
      <c r="D5661" s="739" t="s">
        <v>19</v>
      </c>
      <c r="E5661" s="741">
        <f t="shared" si="176"/>
        <v>18.71</v>
      </c>
      <c r="F5661">
        <f t="shared" si="177"/>
        <v>101261</v>
      </c>
      <c r="H5661" s="1406">
        <v>18.38</v>
      </c>
      <c r="I5661" s="1406">
        <v>18.71</v>
      </c>
    </row>
    <row r="5662" spans="2:9" ht="45">
      <c r="B5662" s="677">
        <v>101262</v>
      </c>
      <c r="C5662" s="733" t="s">
        <v>7844</v>
      </c>
      <c r="D5662" s="677" t="s">
        <v>19</v>
      </c>
      <c r="E5662" s="738">
        <f t="shared" si="176"/>
        <v>19.739999999999998</v>
      </c>
      <c r="F5662">
        <f t="shared" si="177"/>
        <v>101262</v>
      </c>
      <c r="H5662" s="1405">
        <v>19.420000000000002</v>
      </c>
      <c r="I5662" s="1405">
        <v>19.739999999999998</v>
      </c>
    </row>
    <row r="5663" spans="2:9" ht="45">
      <c r="B5663" s="1477">
        <v>101263</v>
      </c>
      <c r="C5663" s="740" t="s">
        <v>7845</v>
      </c>
      <c r="D5663" s="739" t="s">
        <v>19</v>
      </c>
      <c r="E5663" s="741">
        <f t="shared" si="176"/>
        <v>22.85</v>
      </c>
      <c r="F5663">
        <f t="shared" si="177"/>
        <v>101263</v>
      </c>
      <c r="H5663" s="1406">
        <v>22.48</v>
      </c>
      <c r="I5663" s="1406">
        <v>22.85</v>
      </c>
    </row>
    <row r="5664" spans="2:9" ht="45">
      <c r="B5664" s="677">
        <v>101264</v>
      </c>
      <c r="C5664" s="733" t="s">
        <v>7846</v>
      </c>
      <c r="D5664" s="677" t="s">
        <v>19</v>
      </c>
      <c r="E5664" s="738">
        <f t="shared" si="176"/>
        <v>25.35</v>
      </c>
      <c r="F5664">
        <f t="shared" si="177"/>
        <v>101264</v>
      </c>
      <c r="H5664" s="1405">
        <v>24.94</v>
      </c>
      <c r="I5664" s="1405">
        <v>25.35</v>
      </c>
    </row>
    <row r="5665" spans="2:9" ht="45">
      <c r="B5665" s="1477">
        <v>101265</v>
      </c>
      <c r="C5665" s="740" t="s">
        <v>7847</v>
      </c>
      <c r="D5665" s="739" t="s">
        <v>19</v>
      </c>
      <c r="E5665" s="741">
        <f t="shared" si="176"/>
        <v>31.62</v>
      </c>
      <c r="F5665">
        <f t="shared" si="177"/>
        <v>101265</v>
      </c>
      <c r="H5665" s="1406">
        <v>31.12</v>
      </c>
      <c r="I5665" s="1406">
        <v>31.62</v>
      </c>
    </row>
    <row r="5666" spans="2:9" ht="45">
      <c r="B5666" s="677">
        <v>101266</v>
      </c>
      <c r="C5666" s="733" t="s">
        <v>7848</v>
      </c>
      <c r="D5666" s="677" t="s">
        <v>19</v>
      </c>
      <c r="E5666" s="738">
        <f t="shared" si="176"/>
        <v>11.33</v>
      </c>
      <c r="F5666">
        <f t="shared" si="177"/>
        <v>101266</v>
      </c>
      <c r="H5666" s="1405">
        <v>11.12</v>
      </c>
      <c r="I5666" s="1405">
        <v>11.33</v>
      </c>
    </row>
    <row r="5667" spans="2:9" ht="45">
      <c r="B5667" s="1477">
        <v>101267</v>
      </c>
      <c r="C5667" s="740" t="s">
        <v>7849</v>
      </c>
      <c r="D5667" s="739" t="s">
        <v>19</v>
      </c>
      <c r="E5667" s="741">
        <f t="shared" si="176"/>
        <v>10.91</v>
      </c>
      <c r="F5667">
        <f t="shared" si="177"/>
        <v>101267</v>
      </c>
      <c r="H5667" s="1406">
        <v>10.71</v>
      </c>
      <c r="I5667" s="1406">
        <v>10.91</v>
      </c>
    </row>
    <row r="5668" spans="2:9" ht="45">
      <c r="B5668" s="677">
        <v>101268</v>
      </c>
      <c r="C5668" s="733" t="s">
        <v>7850</v>
      </c>
      <c r="D5668" s="677" t="s">
        <v>19</v>
      </c>
      <c r="E5668" s="738">
        <f t="shared" si="176"/>
        <v>17.940000000000001</v>
      </c>
      <c r="F5668">
        <f t="shared" si="177"/>
        <v>101268</v>
      </c>
      <c r="H5668" s="1405">
        <v>17.64</v>
      </c>
      <c r="I5668" s="1405">
        <v>17.940000000000001</v>
      </c>
    </row>
    <row r="5669" spans="2:9" ht="45">
      <c r="B5669" s="1477">
        <v>101269</v>
      </c>
      <c r="C5669" s="740" t="s">
        <v>7851</v>
      </c>
      <c r="D5669" s="739" t="s">
        <v>19</v>
      </c>
      <c r="E5669" s="741">
        <f t="shared" si="176"/>
        <v>20.010000000000002</v>
      </c>
      <c r="F5669">
        <f t="shared" si="177"/>
        <v>101269</v>
      </c>
      <c r="H5669" s="1406">
        <v>19.649999999999999</v>
      </c>
      <c r="I5669" s="1406">
        <v>20.010000000000002</v>
      </c>
    </row>
    <row r="5670" spans="2:9" ht="45">
      <c r="B5670" s="677">
        <v>101270</v>
      </c>
      <c r="C5670" s="733" t="s">
        <v>7852</v>
      </c>
      <c r="D5670" s="677" t="s">
        <v>19</v>
      </c>
      <c r="E5670" s="738">
        <f t="shared" si="176"/>
        <v>23.19</v>
      </c>
      <c r="F5670">
        <f t="shared" si="177"/>
        <v>101270</v>
      </c>
      <c r="H5670" s="1405">
        <v>22.79</v>
      </c>
      <c r="I5670" s="1405">
        <v>23.19</v>
      </c>
    </row>
    <row r="5671" spans="2:9" ht="45">
      <c r="B5671" s="1477">
        <v>101271</v>
      </c>
      <c r="C5671" s="740" t="s">
        <v>7853</v>
      </c>
      <c r="D5671" s="739" t="s">
        <v>19</v>
      </c>
      <c r="E5671" s="741">
        <f t="shared" si="176"/>
        <v>25.75</v>
      </c>
      <c r="F5671">
        <f t="shared" si="177"/>
        <v>101271</v>
      </c>
      <c r="H5671" s="1406">
        <v>25.3</v>
      </c>
      <c r="I5671" s="1406">
        <v>25.75</v>
      </c>
    </row>
    <row r="5672" spans="2:9" ht="45">
      <c r="B5672" s="677">
        <v>101272</v>
      </c>
      <c r="C5672" s="733" t="s">
        <v>7854</v>
      </c>
      <c r="D5672" s="677" t="s">
        <v>19</v>
      </c>
      <c r="E5672" s="738">
        <f t="shared" si="176"/>
        <v>32.159999999999997</v>
      </c>
      <c r="F5672">
        <f t="shared" si="177"/>
        <v>101272</v>
      </c>
      <c r="H5672" s="1405">
        <v>31.62</v>
      </c>
      <c r="I5672" s="1405">
        <v>32.159999999999997</v>
      </c>
    </row>
    <row r="5673" spans="2:9" ht="45">
      <c r="B5673" s="1477">
        <v>101273</v>
      </c>
      <c r="C5673" s="740" t="s">
        <v>7855</v>
      </c>
      <c r="D5673" s="739" t="s">
        <v>19</v>
      </c>
      <c r="E5673" s="741">
        <f t="shared" si="176"/>
        <v>17.149999999999999</v>
      </c>
      <c r="F5673">
        <f t="shared" si="177"/>
        <v>101273</v>
      </c>
      <c r="H5673" s="1406">
        <v>16.87</v>
      </c>
      <c r="I5673" s="1406">
        <v>17.149999999999999</v>
      </c>
    </row>
    <row r="5674" spans="2:9" ht="45">
      <c r="B5674" s="677">
        <v>101274</v>
      </c>
      <c r="C5674" s="733" t="s">
        <v>7856</v>
      </c>
      <c r="D5674" s="677" t="s">
        <v>19</v>
      </c>
      <c r="E5674" s="738">
        <f t="shared" si="176"/>
        <v>18.98</v>
      </c>
      <c r="F5674">
        <f t="shared" si="177"/>
        <v>101274</v>
      </c>
      <c r="H5674" s="1405">
        <v>18.670000000000002</v>
      </c>
      <c r="I5674" s="1405">
        <v>18.98</v>
      </c>
    </row>
    <row r="5675" spans="2:9" ht="45">
      <c r="B5675" s="1477">
        <v>101275</v>
      </c>
      <c r="C5675" s="740" t="s">
        <v>7857</v>
      </c>
      <c r="D5675" s="739" t="s">
        <v>19</v>
      </c>
      <c r="E5675" s="741">
        <f t="shared" si="176"/>
        <v>21.99</v>
      </c>
      <c r="F5675">
        <f t="shared" si="177"/>
        <v>101275</v>
      </c>
      <c r="H5675" s="1406">
        <v>21.64</v>
      </c>
      <c r="I5675" s="1406">
        <v>21.99</v>
      </c>
    </row>
    <row r="5676" spans="2:9" ht="45">
      <c r="B5676" s="677">
        <v>101276</v>
      </c>
      <c r="C5676" s="733" t="s">
        <v>7858</v>
      </c>
      <c r="D5676" s="677" t="s">
        <v>19</v>
      </c>
      <c r="E5676" s="738">
        <f t="shared" si="176"/>
        <v>24.32</v>
      </c>
      <c r="F5676">
        <f t="shared" si="177"/>
        <v>101276</v>
      </c>
      <c r="H5676" s="1405">
        <v>23.94</v>
      </c>
      <c r="I5676" s="1405">
        <v>24.32</v>
      </c>
    </row>
    <row r="5677" spans="2:9" ht="45">
      <c r="B5677" s="1477">
        <v>101277</v>
      </c>
      <c r="C5677" s="740" t="s">
        <v>7859</v>
      </c>
      <c r="D5677" s="739" t="s">
        <v>19</v>
      </c>
      <c r="E5677" s="741">
        <f t="shared" si="176"/>
        <v>31.14</v>
      </c>
      <c r="F5677">
        <f t="shared" si="177"/>
        <v>101277</v>
      </c>
      <c r="H5677" s="1406">
        <v>30.64</v>
      </c>
      <c r="I5677" s="1406">
        <v>31.14</v>
      </c>
    </row>
    <row r="5678" spans="2:9" ht="30">
      <c r="B5678" s="677">
        <v>102354</v>
      </c>
      <c r="C5678" s="733" t="s">
        <v>4592</v>
      </c>
      <c r="D5678" s="677" t="s">
        <v>19</v>
      </c>
      <c r="E5678" s="738">
        <f t="shared" si="176"/>
        <v>143.12</v>
      </c>
      <c r="F5678">
        <f t="shared" si="177"/>
        <v>102354</v>
      </c>
      <c r="H5678" s="1405">
        <v>138.19</v>
      </c>
      <c r="I5678" s="1405">
        <v>143.12</v>
      </c>
    </row>
    <row r="5679" spans="2:9" ht="30">
      <c r="B5679" s="1477">
        <v>102355</v>
      </c>
      <c r="C5679" s="740" t="s">
        <v>4593</v>
      </c>
      <c r="D5679" s="739" t="s">
        <v>19</v>
      </c>
      <c r="E5679" s="741">
        <f t="shared" si="176"/>
        <v>166.36</v>
      </c>
      <c r="F5679">
        <f t="shared" si="177"/>
        <v>102355</v>
      </c>
      <c r="H5679" s="1406">
        <v>159.79</v>
      </c>
      <c r="I5679" s="1406">
        <v>166.36</v>
      </c>
    </row>
    <row r="5680" spans="2:9" ht="30">
      <c r="B5680" s="677">
        <v>102360</v>
      </c>
      <c r="C5680" s="733" t="s">
        <v>4594</v>
      </c>
      <c r="D5680" s="677" t="s">
        <v>19</v>
      </c>
      <c r="E5680" s="738">
        <f t="shared" si="176"/>
        <v>22.69</v>
      </c>
      <c r="F5680">
        <f t="shared" si="177"/>
        <v>102360</v>
      </c>
      <c r="H5680" s="1405">
        <v>22.05</v>
      </c>
      <c r="I5680" s="1405">
        <v>22.69</v>
      </c>
    </row>
    <row r="5681" spans="2:9" ht="30">
      <c r="B5681" s="1477">
        <v>102361</v>
      </c>
      <c r="C5681" s="740" t="s">
        <v>4595</v>
      </c>
      <c r="D5681" s="739" t="s">
        <v>19</v>
      </c>
      <c r="E5681" s="741">
        <f t="shared" si="176"/>
        <v>32.03</v>
      </c>
      <c r="F5681">
        <f t="shared" si="177"/>
        <v>102361</v>
      </c>
      <c r="H5681" s="1406">
        <v>30.68</v>
      </c>
      <c r="I5681" s="1406">
        <v>32.03</v>
      </c>
    </row>
    <row r="5682" spans="2:9" ht="45">
      <c r="B5682" s="677">
        <v>90082</v>
      </c>
      <c r="C5682" s="733" t="s">
        <v>5231</v>
      </c>
      <c r="D5682" s="677" t="s">
        <v>19</v>
      </c>
      <c r="E5682" s="738">
        <f t="shared" si="176"/>
        <v>10.76</v>
      </c>
      <c r="F5682">
        <f t="shared" si="177"/>
        <v>90082</v>
      </c>
      <c r="H5682" s="1405">
        <v>10.46</v>
      </c>
      <c r="I5682" s="1405">
        <v>10.76</v>
      </c>
    </row>
    <row r="5683" spans="2:9" ht="45">
      <c r="B5683" s="1477">
        <v>90084</v>
      </c>
      <c r="C5683" s="740" t="s">
        <v>5232</v>
      </c>
      <c r="D5683" s="739" t="s">
        <v>19</v>
      </c>
      <c r="E5683" s="741">
        <f t="shared" si="176"/>
        <v>10.43</v>
      </c>
      <c r="F5683">
        <f t="shared" si="177"/>
        <v>90084</v>
      </c>
      <c r="H5683" s="1406">
        <v>10.130000000000001</v>
      </c>
      <c r="I5683" s="1406">
        <v>10.43</v>
      </c>
    </row>
    <row r="5684" spans="2:9" ht="45">
      <c r="B5684" s="677">
        <v>90086</v>
      </c>
      <c r="C5684" s="733" t="s">
        <v>5233</v>
      </c>
      <c r="D5684" s="677" t="s">
        <v>19</v>
      </c>
      <c r="E5684" s="738">
        <f t="shared" si="176"/>
        <v>9.85</v>
      </c>
      <c r="F5684">
        <f t="shared" si="177"/>
        <v>90086</v>
      </c>
      <c r="H5684" s="1405">
        <v>9.56</v>
      </c>
      <c r="I5684" s="1405">
        <v>9.85</v>
      </c>
    </row>
    <row r="5685" spans="2:9" ht="45">
      <c r="B5685" s="1477">
        <v>90087</v>
      </c>
      <c r="C5685" s="740" t="s">
        <v>5234</v>
      </c>
      <c r="D5685" s="739" t="s">
        <v>19</v>
      </c>
      <c r="E5685" s="741">
        <f t="shared" si="176"/>
        <v>9.02</v>
      </c>
      <c r="F5685">
        <f t="shared" si="177"/>
        <v>90087</v>
      </c>
      <c r="H5685" s="1406">
        <v>8.8000000000000007</v>
      </c>
      <c r="I5685" s="1406">
        <v>9.02</v>
      </c>
    </row>
    <row r="5686" spans="2:9" ht="45">
      <c r="B5686" s="677">
        <v>90090</v>
      </c>
      <c r="C5686" s="733" t="s">
        <v>5235</v>
      </c>
      <c r="D5686" s="677" t="s">
        <v>19</v>
      </c>
      <c r="E5686" s="738">
        <f t="shared" si="176"/>
        <v>8.83</v>
      </c>
      <c r="F5686">
        <f t="shared" si="177"/>
        <v>90090</v>
      </c>
      <c r="H5686" s="1405">
        <v>8.61</v>
      </c>
      <c r="I5686" s="1405">
        <v>8.83</v>
      </c>
    </row>
    <row r="5687" spans="2:9" ht="45">
      <c r="B5687" s="1477">
        <v>90091</v>
      </c>
      <c r="C5687" s="740" t="s">
        <v>5236</v>
      </c>
      <c r="D5687" s="739" t="s">
        <v>19</v>
      </c>
      <c r="E5687" s="741">
        <f t="shared" si="176"/>
        <v>5.82</v>
      </c>
      <c r="F5687">
        <f t="shared" si="177"/>
        <v>90091</v>
      </c>
      <c r="H5687" s="1406">
        <v>5.65</v>
      </c>
      <c r="I5687" s="1406">
        <v>5.82</v>
      </c>
    </row>
    <row r="5688" spans="2:9" ht="45">
      <c r="B5688" s="677">
        <v>90092</v>
      </c>
      <c r="C5688" s="733" t="s">
        <v>5237</v>
      </c>
      <c r="D5688" s="677" t="s">
        <v>19</v>
      </c>
      <c r="E5688" s="738">
        <f t="shared" si="176"/>
        <v>5.74</v>
      </c>
      <c r="F5688">
        <f t="shared" si="177"/>
        <v>90092</v>
      </c>
      <c r="H5688" s="1405">
        <v>5.57</v>
      </c>
      <c r="I5688" s="1405">
        <v>5.74</v>
      </c>
    </row>
    <row r="5689" spans="2:9" ht="45">
      <c r="B5689" s="1477">
        <v>90094</v>
      </c>
      <c r="C5689" s="740" t="s">
        <v>5238</v>
      </c>
      <c r="D5689" s="739" t="s">
        <v>19</v>
      </c>
      <c r="E5689" s="741">
        <f t="shared" si="176"/>
        <v>5.44</v>
      </c>
      <c r="F5689">
        <f t="shared" si="177"/>
        <v>90094</v>
      </c>
      <c r="H5689" s="1406">
        <v>5.28</v>
      </c>
      <c r="I5689" s="1406">
        <v>5.44</v>
      </c>
    </row>
    <row r="5690" spans="2:9" ht="45">
      <c r="B5690" s="677">
        <v>90095</v>
      </c>
      <c r="C5690" s="733" t="s">
        <v>5239</v>
      </c>
      <c r="D5690" s="677" t="s">
        <v>19</v>
      </c>
      <c r="E5690" s="738">
        <f t="shared" si="176"/>
        <v>4.96</v>
      </c>
      <c r="F5690">
        <f t="shared" si="177"/>
        <v>90095</v>
      </c>
      <c r="H5690" s="1405">
        <v>4.8499999999999996</v>
      </c>
      <c r="I5690" s="1405">
        <v>4.96</v>
      </c>
    </row>
    <row r="5691" spans="2:9" ht="45">
      <c r="B5691" s="1477">
        <v>90098</v>
      </c>
      <c r="C5691" s="740" t="s">
        <v>5240</v>
      </c>
      <c r="D5691" s="739" t="s">
        <v>19</v>
      </c>
      <c r="E5691" s="741">
        <f t="shared" si="176"/>
        <v>4.88</v>
      </c>
      <c r="F5691">
        <f t="shared" si="177"/>
        <v>90098</v>
      </c>
      <c r="H5691" s="1406">
        <v>4.76</v>
      </c>
      <c r="I5691" s="1406">
        <v>4.88</v>
      </c>
    </row>
    <row r="5692" spans="2:9" ht="45">
      <c r="B5692" s="677">
        <v>90099</v>
      </c>
      <c r="C5692" s="733" t="s">
        <v>5241</v>
      </c>
      <c r="D5692" s="677" t="s">
        <v>19</v>
      </c>
      <c r="E5692" s="738">
        <f t="shared" si="176"/>
        <v>14.4</v>
      </c>
      <c r="F5692">
        <f t="shared" si="177"/>
        <v>90099</v>
      </c>
      <c r="H5692" s="1405">
        <v>13.81</v>
      </c>
      <c r="I5692" s="1405">
        <v>14.4</v>
      </c>
    </row>
    <row r="5693" spans="2:9" ht="45">
      <c r="B5693" s="1477">
        <v>90100</v>
      </c>
      <c r="C5693" s="740" t="s">
        <v>5242</v>
      </c>
      <c r="D5693" s="739" t="s">
        <v>19</v>
      </c>
      <c r="E5693" s="741">
        <f t="shared" si="176"/>
        <v>12.23</v>
      </c>
      <c r="F5693">
        <f t="shared" si="177"/>
        <v>90100</v>
      </c>
      <c r="H5693" s="1406">
        <v>11.72</v>
      </c>
      <c r="I5693" s="1406">
        <v>12.23</v>
      </c>
    </row>
    <row r="5694" spans="2:9" ht="45">
      <c r="B5694" s="677">
        <v>90101</v>
      </c>
      <c r="C5694" s="733" t="s">
        <v>5243</v>
      </c>
      <c r="D5694" s="677" t="s">
        <v>19</v>
      </c>
      <c r="E5694" s="738">
        <f t="shared" si="176"/>
        <v>12.08</v>
      </c>
      <c r="F5694">
        <f t="shared" si="177"/>
        <v>90101</v>
      </c>
      <c r="H5694" s="1405">
        <v>11.57</v>
      </c>
      <c r="I5694" s="1405">
        <v>12.08</v>
      </c>
    </row>
    <row r="5695" spans="2:9" ht="45">
      <c r="B5695" s="1477">
        <v>90102</v>
      </c>
      <c r="C5695" s="740" t="s">
        <v>5244</v>
      </c>
      <c r="D5695" s="739" t="s">
        <v>19</v>
      </c>
      <c r="E5695" s="741">
        <f t="shared" si="176"/>
        <v>11</v>
      </c>
      <c r="F5695">
        <f t="shared" si="177"/>
        <v>90102</v>
      </c>
      <c r="H5695" s="1406">
        <v>10.53</v>
      </c>
      <c r="I5695" s="1406">
        <v>11</v>
      </c>
    </row>
    <row r="5696" spans="2:9" ht="45">
      <c r="B5696" s="677">
        <v>90105</v>
      </c>
      <c r="C5696" s="733" t="s">
        <v>5245</v>
      </c>
      <c r="D5696" s="677" t="s">
        <v>19</v>
      </c>
      <c r="E5696" s="738">
        <f t="shared" si="176"/>
        <v>7.94</v>
      </c>
      <c r="F5696">
        <f t="shared" si="177"/>
        <v>90105</v>
      </c>
      <c r="H5696" s="1405">
        <v>7.61</v>
      </c>
      <c r="I5696" s="1405">
        <v>7.94</v>
      </c>
    </row>
    <row r="5697" spans="2:9" ht="45">
      <c r="B5697" s="1477">
        <v>90106</v>
      </c>
      <c r="C5697" s="740" t="s">
        <v>5246</v>
      </c>
      <c r="D5697" s="739" t="s">
        <v>19</v>
      </c>
      <c r="E5697" s="741">
        <f t="shared" si="176"/>
        <v>6.75</v>
      </c>
      <c r="F5697">
        <f t="shared" si="177"/>
        <v>90106</v>
      </c>
      <c r="H5697" s="1406">
        <v>6.47</v>
      </c>
      <c r="I5697" s="1406">
        <v>6.75</v>
      </c>
    </row>
    <row r="5698" spans="2:9" ht="45">
      <c r="B5698" s="677">
        <v>90107</v>
      </c>
      <c r="C5698" s="733" t="s">
        <v>5247</v>
      </c>
      <c r="D5698" s="677" t="s">
        <v>19</v>
      </c>
      <c r="E5698" s="738">
        <f t="shared" si="176"/>
        <v>6.67</v>
      </c>
      <c r="F5698">
        <f t="shared" si="177"/>
        <v>90107</v>
      </c>
      <c r="H5698" s="1405">
        <v>6.39</v>
      </c>
      <c r="I5698" s="1405">
        <v>6.67</v>
      </c>
    </row>
    <row r="5699" spans="2:9" ht="45">
      <c r="B5699" s="1477">
        <v>90108</v>
      </c>
      <c r="C5699" s="740" t="s">
        <v>5248</v>
      </c>
      <c r="D5699" s="739" t="s">
        <v>19</v>
      </c>
      <c r="E5699" s="741">
        <f t="shared" ref="E5699:E5762" si="178">IF($K$2=$H$1,H5699,I5699)</f>
        <v>6.06</v>
      </c>
      <c r="F5699">
        <f t="shared" ref="F5699:F5762" si="179">IF(LEN($B5699)=7,CONCATENATE(MID($B5699,1,6),"00",RIGHT($B5699,1)),IF(LEN($B5699)=8,CONCATENATE(MID($B5699,1,6),"0",RIGHT($B5699,2)),$B5699))</f>
        <v>90108</v>
      </c>
      <c r="H5699" s="1406">
        <v>5.81</v>
      </c>
      <c r="I5699" s="1406">
        <v>6.06</v>
      </c>
    </row>
    <row r="5700" spans="2:9">
      <c r="B5700" s="677">
        <v>93358</v>
      </c>
      <c r="C5700" s="733" t="s">
        <v>4591</v>
      </c>
      <c r="D5700" s="677" t="s">
        <v>19</v>
      </c>
      <c r="E5700" s="738">
        <f t="shared" si="178"/>
        <v>80.38</v>
      </c>
      <c r="F5700">
        <f t="shared" si="179"/>
        <v>93358</v>
      </c>
      <c r="H5700" s="1405">
        <v>72.55</v>
      </c>
      <c r="I5700" s="1405">
        <v>80.38</v>
      </c>
    </row>
    <row r="5701" spans="2:9" ht="45">
      <c r="B5701" s="1477">
        <v>102276</v>
      </c>
      <c r="C5701" s="740" t="s">
        <v>5249</v>
      </c>
      <c r="D5701" s="739" t="s">
        <v>19</v>
      </c>
      <c r="E5701" s="741">
        <f t="shared" si="178"/>
        <v>12.1</v>
      </c>
      <c r="F5701">
        <f t="shared" si="179"/>
        <v>102276</v>
      </c>
      <c r="H5701" s="1406">
        <v>11.76</v>
      </c>
      <c r="I5701" s="1406">
        <v>12.1</v>
      </c>
    </row>
    <row r="5702" spans="2:9" ht="45">
      <c r="B5702" s="677">
        <v>102277</v>
      </c>
      <c r="C5702" s="733" t="s">
        <v>5250</v>
      </c>
      <c r="D5702" s="677" t="s">
        <v>19</v>
      </c>
      <c r="E5702" s="738">
        <f t="shared" si="178"/>
        <v>9.56</v>
      </c>
      <c r="F5702">
        <f t="shared" si="179"/>
        <v>102277</v>
      </c>
      <c r="H5702" s="1405">
        <v>9.2799999999999994</v>
      </c>
      <c r="I5702" s="1405">
        <v>9.56</v>
      </c>
    </row>
    <row r="5703" spans="2:9" ht="45">
      <c r="B5703" s="1477">
        <v>102278</v>
      </c>
      <c r="C5703" s="740" t="s">
        <v>5251</v>
      </c>
      <c r="D5703" s="739" t="s">
        <v>19</v>
      </c>
      <c r="E5703" s="741">
        <f t="shared" si="178"/>
        <v>9.41</v>
      </c>
      <c r="F5703">
        <f t="shared" si="179"/>
        <v>102278</v>
      </c>
      <c r="H5703" s="1406">
        <v>9.18</v>
      </c>
      <c r="I5703" s="1406">
        <v>9.41</v>
      </c>
    </row>
    <row r="5704" spans="2:9" ht="45">
      <c r="B5704" s="677">
        <v>102279</v>
      </c>
      <c r="C5704" s="733" t="s">
        <v>5252</v>
      </c>
      <c r="D5704" s="677" t="s">
        <v>19</v>
      </c>
      <c r="E5704" s="738">
        <f t="shared" si="178"/>
        <v>6.67</v>
      </c>
      <c r="F5704">
        <f t="shared" si="179"/>
        <v>102279</v>
      </c>
      <c r="H5704" s="1405">
        <v>6.48</v>
      </c>
      <c r="I5704" s="1405">
        <v>6.67</v>
      </c>
    </row>
    <row r="5705" spans="2:9" ht="45">
      <c r="B5705" s="1477">
        <v>102280</v>
      </c>
      <c r="C5705" s="740" t="s">
        <v>5253</v>
      </c>
      <c r="D5705" s="739" t="s">
        <v>19</v>
      </c>
      <c r="E5705" s="741">
        <f t="shared" si="178"/>
        <v>5.28</v>
      </c>
      <c r="F5705">
        <f t="shared" si="179"/>
        <v>102280</v>
      </c>
      <c r="H5705" s="1406">
        <v>5.12</v>
      </c>
      <c r="I5705" s="1406">
        <v>5.28</v>
      </c>
    </row>
    <row r="5706" spans="2:9" ht="45">
      <c r="B5706" s="677">
        <v>102281</v>
      </c>
      <c r="C5706" s="733" t="s">
        <v>5254</v>
      </c>
      <c r="D5706" s="677" t="s">
        <v>19</v>
      </c>
      <c r="E5706" s="738">
        <f t="shared" si="178"/>
        <v>5.2</v>
      </c>
      <c r="F5706">
        <f t="shared" si="179"/>
        <v>102281</v>
      </c>
      <c r="H5706" s="1405">
        <v>5.0599999999999996</v>
      </c>
      <c r="I5706" s="1405">
        <v>5.2</v>
      </c>
    </row>
    <row r="5707" spans="2:9" ht="30">
      <c r="B5707" s="1477">
        <v>102282</v>
      </c>
      <c r="C5707" s="740" t="s">
        <v>5255</v>
      </c>
      <c r="D5707" s="739" t="s">
        <v>19</v>
      </c>
      <c r="E5707" s="741">
        <f t="shared" si="178"/>
        <v>13.44</v>
      </c>
      <c r="F5707">
        <f t="shared" si="179"/>
        <v>102282</v>
      </c>
      <c r="H5707" s="1406">
        <v>13.06</v>
      </c>
      <c r="I5707" s="1406">
        <v>13.44</v>
      </c>
    </row>
    <row r="5708" spans="2:9" ht="30">
      <c r="B5708" s="677">
        <v>102283</v>
      </c>
      <c r="C5708" s="733" t="s">
        <v>5256</v>
      </c>
      <c r="D5708" s="677" t="s">
        <v>19</v>
      </c>
      <c r="E5708" s="738">
        <f t="shared" si="178"/>
        <v>11.94</v>
      </c>
      <c r="F5708">
        <f t="shared" si="179"/>
        <v>102283</v>
      </c>
      <c r="H5708" s="1405">
        <v>11.6</v>
      </c>
      <c r="I5708" s="1405">
        <v>11.94</v>
      </c>
    </row>
    <row r="5709" spans="2:9" ht="30">
      <c r="B5709" s="1477">
        <v>102284</v>
      </c>
      <c r="C5709" s="740" t="s">
        <v>5257</v>
      </c>
      <c r="D5709" s="739" t="s">
        <v>19</v>
      </c>
      <c r="E5709" s="741">
        <f t="shared" si="178"/>
        <v>11.57</v>
      </c>
      <c r="F5709">
        <f t="shared" si="179"/>
        <v>102284</v>
      </c>
      <c r="H5709" s="1406">
        <v>11.24</v>
      </c>
      <c r="I5709" s="1406">
        <v>11.57</v>
      </c>
    </row>
    <row r="5710" spans="2:9" ht="45">
      <c r="B5710" s="677">
        <v>102285</v>
      </c>
      <c r="C5710" s="733" t="s">
        <v>5258</v>
      </c>
      <c r="D5710" s="677" t="s">
        <v>19</v>
      </c>
      <c r="E5710" s="738">
        <f t="shared" si="178"/>
        <v>10.93</v>
      </c>
      <c r="F5710">
        <f t="shared" si="179"/>
        <v>102285</v>
      </c>
      <c r="H5710" s="1405">
        <v>10.63</v>
      </c>
      <c r="I5710" s="1405">
        <v>10.93</v>
      </c>
    </row>
    <row r="5711" spans="2:9" ht="45">
      <c r="B5711" s="1477">
        <v>102286</v>
      </c>
      <c r="C5711" s="740" t="s">
        <v>5259</v>
      </c>
      <c r="D5711" s="739" t="s">
        <v>19</v>
      </c>
      <c r="E5711" s="741">
        <f t="shared" si="178"/>
        <v>10.63</v>
      </c>
      <c r="F5711">
        <f t="shared" si="179"/>
        <v>102286</v>
      </c>
      <c r="H5711" s="1406">
        <v>10.33</v>
      </c>
      <c r="I5711" s="1406">
        <v>10.63</v>
      </c>
    </row>
    <row r="5712" spans="2:9" ht="45">
      <c r="B5712" s="677">
        <v>102287</v>
      </c>
      <c r="C5712" s="733" t="s">
        <v>5260</v>
      </c>
      <c r="D5712" s="677" t="s">
        <v>19</v>
      </c>
      <c r="E5712" s="738">
        <f t="shared" si="178"/>
        <v>10.48</v>
      </c>
      <c r="F5712">
        <f t="shared" si="179"/>
        <v>102287</v>
      </c>
      <c r="H5712" s="1405">
        <v>10.199999999999999</v>
      </c>
      <c r="I5712" s="1405">
        <v>10.48</v>
      </c>
    </row>
    <row r="5713" spans="2:9" ht="45">
      <c r="B5713" s="1477">
        <v>102288</v>
      </c>
      <c r="C5713" s="740" t="s">
        <v>5261</v>
      </c>
      <c r="D5713" s="739" t="s">
        <v>19</v>
      </c>
      <c r="E5713" s="741">
        <f t="shared" si="178"/>
        <v>10.050000000000001</v>
      </c>
      <c r="F5713">
        <f t="shared" si="179"/>
        <v>102288</v>
      </c>
      <c r="H5713" s="1406">
        <v>9.7899999999999991</v>
      </c>
      <c r="I5713" s="1406">
        <v>10.050000000000001</v>
      </c>
    </row>
    <row r="5714" spans="2:9" ht="45">
      <c r="B5714" s="677">
        <v>102289</v>
      </c>
      <c r="C5714" s="733" t="s">
        <v>5262</v>
      </c>
      <c r="D5714" s="677" t="s">
        <v>19</v>
      </c>
      <c r="E5714" s="738">
        <f t="shared" si="178"/>
        <v>9.82</v>
      </c>
      <c r="F5714">
        <f t="shared" si="179"/>
        <v>102289</v>
      </c>
      <c r="H5714" s="1405">
        <v>9.57</v>
      </c>
      <c r="I5714" s="1405">
        <v>9.82</v>
      </c>
    </row>
    <row r="5715" spans="2:9" ht="30">
      <c r="B5715" s="1477">
        <v>102290</v>
      </c>
      <c r="C5715" s="740" t="s">
        <v>5263</v>
      </c>
      <c r="D5715" s="739" t="s">
        <v>19</v>
      </c>
      <c r="E5715" s="741">
        <f t="shared" si="178"/>
        <v>7.42</v>
      </c>
      <c r="F5715">
        <f t="shared" si="179"/>
        <v>102290</v>
      </c>
      <c r="H5715" s="1406">
        <v>7.2</v>
      </c>
      <c r="I5715" s="1406">
        <v>7.42</v>
      </c>
    </row>
    <row r="5716" spans="2:9" ht="30">
      <c r="B5716" s="677">
        <v>102291</v>
      </c>
      <c r="C5716" s="733" t="s">
        <v>5264</v>
      </c>
      <c r="D5716" s="677" t="s">
        <v>19</v>
      </c>
      <c r="E5716" s="738">
        <f t="shared" si="178"/>
        <v>6.58</v>
      </c>
      <c r="F5716">
        <f t="shared" si="179"/>
        <v>102291</v>
      </c>
      <c r="H5716" s="1405">
        <v>6.4</v>
      </c>
      <c r="I5716" s="1405">
        <v>6.58</v>
      </c>
    </row>
    <row r="5717" spans="2:9" ht="45">
      <c r="B5717" s="1477">
        <v>102292</v>
      </c>
      <c r="C5717" s="740" t="s">
        <v>5265</v>
      </c>
      <c r="D5717" s="739" t="s">
        <v>19</v>
      </c>
      <c r="E5717" s="741">
        <f t="shared" si="178"/>
        <v>6.38</v>
      </c>
      <c r="F5717">
        <f t="shared" si="179"/>
        <v>102292</v>
      </c>
      <c r="H5717" s="1406">
        <v>6.2</v>
      </c>
      <c r="I5717" s="1406">
        <v>6.38</v>
      </c>
    </row>
    <row r="5718" spans="2:9" ht="45">
      <c r="B5718" s="677">
        <v>102293</v>
      </c>
      <c r="C5718" s="733" t="s">
        <v>5266</v>
      </c>
      <c r="D5718" s="677" t="s">
        <v>19</v>
      </c>
      <c r="E5718" s="738">
        <f t="shared" si="178"/>
        <v>6.04</v>
      </c>
      <c r="F5718">
        <f t="shared" si="179"/>
        <v>102293</v>
      </c>
      <c r="H5718" s="1405">
        <v>5.87</v>
      </c>
      <c r="I5718" s="1405">
        <v>6.04</v>
      </c>
    </row>
    <row r="5719" spans="2:9" ht="45">
      <c r="B5719" s="1477">
        <v>102294</v>
      </c>
      <c r="C5719" s="740" t="s">
        <v>5267</v>
      </c>
      <c r="D5719" s="739" t="s">
        <v>19</v>
      </c>
      <c r="E5719" s="741">
        <f t="shared" si="178"/>
        <v>5.88</v>
      </c>
      <c r="F5719">
        <f t="shared" si="179"/>
        <v>102294</v>
      </c>
      <c r="H5719" s="1406">
        <v>5.7</v>
      </c>
      <c r="I5719" s="1406">
        <v>5.88</v>
      </c>
    </row>
    <row r="5720" spans="2:9" ht="45">
      <c r="B5720" s="677">
        <v>102295</v>
      </c>
      <c r="C5720" s="733" t="s">
        <v>5268</v>
      </c>
      <c r="D5720" s="677" t="s">
        <v>19</v>
      </c>
      <c r="E5720" s="738">
        <f t="shared" si="178"/>
        <v>5.77</v>
      </c>
      <c r="F5720">
        <f t="shared" si="179"/>
        <v>102295</v>
      </c>
      <c r="H5720" s="1405">
        <v>5.62</v>
      </c>
      <c r="I5720" s="1405">
        <v>5.77</v>
      </c>
    </row>
    <row r="5721" spans="2:9" ht="30">
      <c r="B5721" s="1477">
        <v>102296</v>
      </c>
      <c r="C5721" s="740" t="s">
        <v>5269</v>
      </c>
      <c r="D5721" s="739" t="s">
        <v>19</v>
      </c>
      <c r="E5721" s="741">
        <f t="shared" si="178"/>
        <v>5.53</v>
      </c>
      <c r="F5721">
        <f t="shared" si="179"/>
        <v>102296</v>
      </c>
      <c r="H5721" s="1406">
        <v>5.39</v>
      </c>
      <c r="I5721" s="1406">
        <v>5.53</v>
      </c>
    </row>
    <row r="5722" spans="2:9" ht="30">
      <c r="B5722" s="677">
        <v>102297</v>
      </c>
      <c r="C5722" s="733" t="s">
        <v>5270</v>
      </c>
      <c r="D5722" s="677" t="s">
        <v>19</v>
      </c>
      <c r="E5722" s="738">
        <f t="shared" si="178"/>
        <v>5.41</v>
      </c>
      <c r="F5722">
        <f t="shared" si="179"/>
        <v>102297</v>
      </c>
      <c r="H5722" s="1405">
        <v>5.27</v>
      </c>
      <c r="I5722" s="1405">
        <v>5.41</v>
      </c>
    </row>
    <row r="5723" spans="2:9" ht="30">
      <c r="B5723" s="1477">
        <v>102298</v>
      </c>
      <c r="C5723" s="740" t="s">
        <v>5271</v>
      </c>
      <c r="D5723" s="739" t="s">
        <v>19</v>
      </c>
      <c r="E5723" s="741">
        <f t="shared" si="178"/>
        <v>16.010000000000002</v>
      </c>
      <c r="F5723">
        <f t="shared" si="179"/>
        <v>102298</v>
      </c>
      <c r="H5723" s="1406">
        <v>15.33</v>
      </c>
      <c r="I5723" s="1406">
        <v>16.010000000000002</v>
      </c>
    </row>
    <row r="5724" spans="2:9" ht="30">
      <c r="B5724" s="677">
        <v>102299</v>
      </c>
      <c r="C5724" s="733" t="s">
        <v>5272</v>
      </c>
      <c r="D5724" s="677" t="s">
        <v>19</v>
      </c>
      <c r="E5724" s="738">
        <f t="shared" si="178"/>
        <v>13.59</v>
      </c>
      <c r="F5724">
        <f t="shared" si="179"/>
        <v>102299</v>
      </c>
      <c r="H5724" s="1405">
        <v>13.03</v>
      </c>
      <c r="I5724" s="1405">
        <v>13.59</v>
      </c>
    </row>
    <row r="5725" spans="2:9" ht="45">
      <c r="B5725" s="1477">
        <v>102300</v>
      </c>
      <c r="C5725" s="740" t="s">
        <v>5273</v>
      </c>
      <c r="D5725" s="739" t="s">
        <v>19</v>
      </c>
      <c r="E5725" s="741">
        <f t="shared" si="178"/>
        <v>13.42</v>
      </c>
      <c r="F5725">
        <f t="shared" si="179"/>
        <v>102300</v>
      </c>
      <c r="H5725" s="1406">
        <v>12.87</v>
      </c>
      <c r="I5725" s="1406">
        <v>13.42</v>
      </c>
    </row>
    <row r="5726" spans="2:9" ht="45">
      <c r="B5726" s="677">
        <v>102301</v>
      </c>
      <c r="C5726" s="733" t="s">
        <v>5274</v>
      </c>
      <c r="D5726" s="677" t="s">
        <v>19</v>
      </c>
      <c r="E5726" s="738">
        <f t="shared" si="178"/>
        <v>12.2</v>
      </c>
      <c r="F5726">
        <f t="shared" si="179"/>
        <v>102301</v>
      </c>
      <c r="H5726" s="1405">
        <v>11.7</v>
      </c>
      <c r="I5726" s="1405">
        <v>12.2</v>
      </c>
    </row>
    <row r="5727" spans="2:9" ht="30">
      <c r="B5727" s="1477">
        <v>102302</v>
      </c>
      <c r="C5727" s="740" t="s">
        <v>5275</v>
      </c>
      <c r="D5727" s="739" t="s">
        <v>19</v>
      </c>
      <c r="E5727" s="741">
        <f t="shared" si="178"/>
        <v>8.82</v>
      </c>
      <c r="F5727">
        <f t="shared" si="179"/>
        <v>102302</v>
      </c>
      <c r="H5727" s="1406">
        <v>8.4499999999999993</v>
      </c>
      <c r="I5727" s="1406">
        <v>8.82</v>
      </c>
    </row>
    <row r="5728" spans="2:9" ht="30">
      <c r="B5728" s="677">
        <v>102303</v>
      </c>
      <c r="C5728" s="733" t="s">
        <v>5276</v>
      </c>
      <c r="D5728" s="677" t="s">
        <v>19</v>
      </c>
      <c r="E5728" s="738">
        <f t="shared" si="178"/>
        <v>7.49</v>
      </c>
      <c r="F5728">
        <f t="shared" si="179"/>
        <v>102303</v>
      </c>
      <c r="H5728" s="1405">
        <v>7.17</v>
      </c>
      <c r="I5728" s="1405">
        <v>7.49</v>
      </c>
    </row>
    <row r="5729" spans="2:9" ht="45">
      <c r="B5729" s="1477">
        <v>102304</v>
      </c>
      <c r="C5729" s="740" t="s">
        <v>5277</v>
      </c>
      <c r="D5729" s="739" t="s">
        <v>19</v>
      </c>
      <c r="E5729" s="741">
        <f t="shared" si="178"/>
        <v>7.39</v>
      </c>
      <c r="F5729">
        <f t="shared" si="179"/>
        <v>102304</v>
      </c>
      <c r="H5729" s="1406">
        <v>7.09</v>
      </c>
      <c r="I5729" s="1406">
        <v>7.39</v>
      </c>
    </row>
    <row r="5730" spans="2:9" ht="30">
      <c r="B5730" s="677">
        <v>102305</v>
      </c>
      <c r="C5730" s="733" t="s">
        <v>5278</v>
      </c>
      <c r="D5730" s="677" t="s">
        <v>19</v>
      </c>
      <c r="E5730" s="738">
        <f t="shared" si="178"/>
        <v>6.74</v>
      </c>
      <c r="F5730">
        <f t="shared" si="179"/>
        <v>102305</v>
      </c>
      <c r="H5730" s="1405">
        <v>6.46</v>
      </c>
      <c r="I5730" s="1405">
        <v>6.74</v>
      </c>
    </row>
    <row r="5731" spans="2:9" ht="30">
      <c r="B5731" s="1477">
        <v>102306</v>
      </c>
      <c r="C5731" s="740" t="s">
        <v>5279</v>
      </c>
      <c r="D5731" s="739" t="s">
        <v>19</v>
      </c>
      <c r="E5731" s="741">
        <f t="shared" si="178"/>
        <v>15.15</v>
      </c>
      <c r="F5731">
        <f t="shared" si="179"/>
        <v>102306</v>
      </c>
      <c r="H5731" s="1406">
        <v>14.71</v>
      </c>
      <c r="I5731" s="1406">
        <v>15.15</v>
      </c>
    </row>
    <row r="5732" spans="2:9" ht="45">
      <c r="B5732" s="677">
        <v>102307</v>
      </c>
      <c r="C5732" s="733" t="s">
        <v>5280</v>
      </c>
      <c r="D5732" s="677" t="s">
        <v>19</v>
      </c>
      <c r="E5732" s="738">
        <f t="shared" si="178"/>
        <v>13.44</v>
      </c>
      <c r="F5732">
        <f t="shared" si="179"/>
        <v>102307</v>
      </c>
      <c r="H5732" s="1405">
        <v>13.05</v>
      </c>
      <c r="I5732" s="1405">
        <v>13.44</v>
      </c>
    </row>
    <row r="5733" spans="2:9" ht="45">
      <c r="B5733" s="1477">
        <v>102308</v>
      </c>
      <c r="C5733" s="740" t="s">
        <v>5281</v>
      </c>
      <c r="D5733" s="739" t="s">
        <v>19</v>
      </c>
      <c r="E5733" s="741">
        <f t="shared" si="178"/>
        <v>13.03</v>
      </c>
      <c r="F5733">
        <f t="shared" si="179"/>
        <v>102308</v>
      </c>
      <c r="H5733" s="1406">
        <v>12.66</v>
      </c>
      <c r="I5733" s="1406">
        <v>13.03</v>
      </c>
    </row>
    <row r="5734" spans="2:9" ht="45">
      <c r="B5734" s="677">
        <v>102309</v>
      </c>
      <c r="C5734" s="733" t="s">
        <v>5282</v>
      </c>
      <c r="D5734" s="677" t="s">
        <v>19</v>
      </c>
      <c r="E5734" s="738">
        <f t="shared" si="178"/>
        <v>12.33</v>
      </c>
      <c r="F5734">
        <f t="shared" si="179"/>
        <v>102309</v>
      </c>
      <c r="H5734" s="1405">
        <v>11.99</v>
      </c>
      <c r="I5734" s="1405">
        <v>12.33</v>
      </c>
    </row>
    <row r="5735" spans="2:9" ht="45">
      <c r="B5735" s="1477">
        <v>102310</v>
      </c>
      <c r="C5735" s="740" t="s">
        <v>5283</v>
      </c>
      <c r="D5735" s="739" t="s">
        <v>19</v>
      </c>
      <c r="E5735" s="741">
        <f t="shared" si="178"/>
        <v>11.96</v>
      </c>
      <c r="F5735">
        <f t="shared" si="179"/>
        <v>102310</v>
      </c>
      <c r="H5735" s="1406">
        <v>11.62</v>
      </c>
      <c r="I5735" s="1406">
        <v>11.96</v>
      </c>
    </row>
    <row r="5736" spans="2:9" ht="45">
      <c r="B5736" s="677">
        <v>102311</v>
      </c>
      <c r="C5736" s="733" t="s">
        <v>5284</v>
      </c>
      <c r="D5736" s="677" t="s">
        <v>19</v>
      </c>
      <c r="E5736" s="738">
        <f t="shared" si="178"/>
        <v>11.76</v>
      </c>
      <c r="F5736">
        <f t="shared" si="179"/>
        <v>102311</v>
      </c>
      <c r="H5736" s="1405">
        <v>11.47</v>
      </c>
      <c r="I5736" s="1405">
        <v>11.76</v>
      </c>
    </row>
    <row r="5737" spans="2:9" ht="45">
      <c r="B5737" s="1477">
        <v>102312</v>
      </c>
      <c r="C5737" s="740" t="s">
        <v>5285</v>
      </c>
      <c r="D5737" s="739" t="s">
        <v>19</v>
      </c>
      <c r="E5737" s="741">
        <f t="shared" si="178"/>
        <v>11.31</v>
      </c>
      <c r="F5737">
        <f t="shared" si="179"/>
        <v>102312</v>
      </c>
      <c r="H5737" s="1406">
        <v>11.01</v>
      </c>
      <c r="I5737" s="1406">
        <v>11.31</v>
      </c>
    </row>
    <row r="5738" spans="2:9" ht="45">
      <c r="B5738" s="677">
        <v>102313</v>
      </c>
      <c r="C5738" s="733" t="s">
        <v>5286</v>
      </c>
      <c r="D5738" s="677" t="s">
        <v>19</v>
      </c>
      <c r="E5738" s="738">
        <f t="shared" si="178"/>
        <v>11.05</v>
      </c>
      <c r="F5738">
        <f t="shared" si="179"/>
        <v>102313</v>
      </c>
      <c r="H5738" s="1405">
        <v>10.76</v>
      </c>
      <c r="I5738" s="1405">
        <v>11.05</v>
      </c>
    </row>
    <row r="5739" spans="2:9" ht="45">
      <c r="B5739" s="1477">
        <v>102314</v>
      </c>
      <c r="C5739" s="740" t="s">
        <v>5287</v>
      </c>
      <c r="D5739" s="739" t="s">
        <v>19</v>
      </c>
      <c r="E5739" s="741">
        <f t="shared" si="178"/>
        <v>8.36</v>
      </c>
      <c r="F5739">
        <f t="shared" si="179"/>
        <v>102314</v>
      </c>
      <c r="H5739" s="1406">
        <v>8.11</v>
      </c>
      <c r="I5739" s="1406">
        <v>8.36</v>
      </c>
    </row>
    <row r="5740" spans="2:9" ht="45">
      <c r="B5740" s="677">
        <v>102315</v>
      </c>
      <c r="C5740" s="733" t="s">
        <v>5288</v>
      </c>
      <c r="D5740" s="677" t="s">
        <v>19</v>
      </c>
      <c r="E5740" s="738">
        <f t="shared" si="178"/>
        <v>7.42</v>
      </c>
      <c r="F5740">
        <f t="shared" si="179"/>
        <v>102315</v>
      </c>
      <c r="H5740" s="1405">
        <v>7.19</v>
      </c>
      <c r="I5740" s="1405">
        <v>7.42</v>
      </c>
    </row>
    <row r="5741" spans="2:9" ht="45">
      <c r="B5741" s="1477">
        <v>102316</v>
      </c>
      <c r="C5741" s="740" t="s">
        <v>5289</v>
      </c>
      <c r="D5741" s="739" t="s">
        <v>19</v>
      </c>
      <c r="E5741" s="741">
        <f t="shared" si="178"/>
        <v>7.19</v>
      </c>
      <c r="F5741">
        <f t="shared" si="179"/>
        <v>102316</v>
      </c>
      <c r="H5741" s="1406">
        <v>6.98</v>
      </c>
      <c r="I5741" s="1406">
        <v>7.19</v>
      </c>
    </row>
    <row r="5742" spans="2:9" ht="45">
      <c r="B5742" s="677">
        <v>102317</v>
      </c>
      <c r="C5742" s="733" t="s">
        <v>5290</v>
      </c>
      <c r="D5742" s="677" t="s">
        <v>19</v>
      </c>
      <c r="E5742" s="738">
        <f t="shared" si="178"/>
        <v>6.79</v>
      </c>
      <c r="F5742">
        <f t="shared" si="179"/>
        <v>102317</v>
      </c>
      <c r="H5742" s="1405">
        <v>6.58</v>
      </c>
      <c r="I5742" s="1405">
        <v>6.79</v>
      </c>
    </row>
    <row r="5743" spans="2:9" ht="45">
      <c r="B5743" s="1477">
        <v>102318</v>
      </c>
      <c r="C5743" s="740" t="s">
        <v>5291</v>
      </c>
      <c r="D5743" s="739" t="s">
        <v>19</v>
      </c>
      <c r="E5743" s="741">
        <f t="shared" si="178"/>
        <v>6.6</v>
      </c>
      <c r="F5743">
        <f t="shared" si="179"/>
        <v>102318</v>
      </c>
      <c r="H5743" s="1406">
        <v>6.42</v>
      </c>
      <c r="I5743" s="1406">
        <v>6.6</v>
      </c>
    </row>
    <row r="5744" spans="2:9" ht="45">
      <c r="B5744" s="677">
        <v>102319</v>
      </c>
      <c r="C5744" s="733" t="s">
        <v>5292</v>
      </c>
      <c r="D5744" s="677" t="s">
        <v>19</v>
      </c>
      <c r="E5744" s="738">
        <f t="shared" si="178"/>
        <v>6.49</v>
      </c>
      <c r="F5744">
        <f t="shared" si="179"/>
        <v>102319</v>
      </c>
      <c r="H5744" s="1405">
        <v>6.32</v>
      </c>
      <c r="I5744" s="1405">
        <v>6.49</v>
      </c>
    </row>
    <row r="5745" spans="2:9" ht="45">
      <c r="B5745" s="1477">
        <v>102320</v>
      </c>
      <c r="C5745" s="740" t="s">
        <v>5293</v>
      </c>
      <c r="D5745" s="739" t="s">
        <v>19</v>
      </c>
      <c r="E5745" s="741">
        <f t="shared" si="178"/>
        <v>6.22</v>
      </c>
      <c r="F5745">
        <f t="shared" si="179"/>
        <v>102320</v>
      </c>
      <c r="H5745" s="1406">
        <v>6.06</v>
      </c>
      <c r="I5745" s="1406">
        <v>6.22</v>
      </c>
    </row>
    <row r="5746" spans="2:9" ht="45">
      <c r="B5746" s="677">
        <v>102321</v>
      </c>
      <c r="C5746" s="733" t="s">
        <v>5294</v>
      </c>
      <c r="D5746" s="677" t="s">
        <v>19</v>
      </c>
      <c r="E5746" s="738">
        <f t="shared" si="178"/>
        <v>6.11</v>
      </c>
      <c r="F5746">
        <f t="shared" si="179"/>
        <v>102321</v>
      </c>
      <c r="H5746" s="1405">
        <v>5.94</v>
      </c>
      <c r="I5746" s="1405">
        <v>6.11</v>
      </c>
    </row>
    <row r="5747" spans="2:9" ht="45">
      <c r="B5747" s="1477">
        <v>102322</v>
      </c>
      <c r="C5747" s="740" t="s">
        <v>5295</v>
      </c>
      <c r="D5747" s="739" t="s">
        <v>19</v>
      </c>
      <c r="E5747" s="741">
        <f t="shared" si="178"/>
        <v>18.010000000000002</v>
      </c>
      <c r="F5747">
        <f t="shared" si="179"/>
        <v>102322</v>
      </c>
      <c r="H5747" s="1406">
        <v>17.27</v>
      </c>
      <c r="I5747" s="1406">
        <v>18.010000000000002</v>
      </c>
    </row>
    <row r="5748" spans="2:9" ht="45">
      <c r="B5748" s="677">
        <v>102323</v>
      </c>
      <c r="C5748" s="733" t="s">
        <v>5296</v>
      </c>
      <c r="D5748" s="677" t="s">
        <v>19</v>
      </c>
      <c r="E5748" s="738">
        <f t="shared" si="178"/>
        <v>15.3</v>
      </c>
      <c r="F5748">
        <f t="shared" si="179"/>
        <v>102323</v>
      </c>
      <c r="H5748" s="1405">
        <v>14.65</v>
      </c>
      <c r="I5748" s="1405">
        <v>15.3</v>
      </c>
    </row>
    <row r="5749" spans="2:9" ht="45">
      <c r="B5749" s="1477">
        <v>102324</v>
      </c>
      <c r="C5749" s="740" t="s">
        <v>5297</v>
      </c>
      <c r="D5749" s="739" t="s">
        <v>19</v>
      </c>
      <c r="E5749" s="741">
        <f t="shared" si="178"/>
        <v>15.1</v>
      </c>
      <c r="F5749">
        <f t="shared" si="179"/>
        <v>102324</v>
      </c>
      <c r="H5749" s="1406">
        <v>14.48</v>
      </c>
      <c r="I5749" s="1406">
        <v>15.1</v>
      </c>
    </row>
    <row r="5750" spans="2:9" ht="45">
      <c r="B5750" s="677">
        <v>102325</v>
      </c>
      <c r="C5750" s="733" t="s">
        <v>5298</v>
      </c>
      <c r="D5750" s="677" t="s">
        <v>19</v>
      </c>
      <c r="E5750" s="738">
        <f t="shared" si="178"/>
        <v>13.75</v>
      </c>
      <c r="F5750">
        <f t="shared" si="179"/>
        <v>102325</v>
      </c>
      <c r="H5750" s="1405">
        <v>13.18</v>
      </c>
      <c r="I5750" s="1405">
        <v>13.75</v>
      </c>
    </row>
    <row r="5751" spans="2:9" ht="45">
      <c r="B5751" s="1477">
        <v>102326</v>
      </c>
      <c r="C5751" s="740" t="s">
        <v>5299</v>
      </c>
      <c r="D5751" s="739" t="s">
        <v>19</v>
      </c>
      <c r="E5751" s="741">
        <f t="shared" si="178"/>
        <v>9.94</v>
      </c>
      <c r="F5751">
        <f t="shared" si="179"/>
        <v>102326</v>
      </c>
      <c r="H5751" s="1406">
        <v>9.52</v>
      </c>
      <c r="I5751" s="1406">
        <v>9.94</v>
      </c>
    </row>
    <row r="5752" spans="2:9" ht="45">
      <c r="B5752" s="677">
        <v>102327</v>
      </c>
      <c r="C5752" s="733" t="s">
        <v>5300</v>
      </c>
      <c r="D5752" s="677" t="s">
        <v>19</v>
      </c>
      <c r="E5752" s="738">
        <f t="shared" si="178"/>
        <v>8.44</v>
      </c>
      <c r="F5752">
        <f t="shared" si="179"/>
        <v>102327</v>
      </c>
      <c r="H5752" s="1405">
        <v>8.09</v>
      </c>
      <c r="I5752" s="1405">
        <v>8.44</v>
      </c>
    </row>
    <row r="5753" spans="2:9" ht="45">
      <c r="B5753" s="1477">
        <v>102328</v>
      </c>
      <c r="C5753" s="740" t="s">
        <v>5301</v>
      </c>
      <c r="D5753" s="739" t="s">
        <v>19</v>
      </c>
      <c r="E5753" s="741">
        <f t="shared" si="178"/>
        <v>8.32</v>
      </c>
      <c r="F5753">
        <f t="shared" si="179"/>
        <v>102328</v>
      </c>
      <c r="H5753" s="1406">
        <v>7.98</v>
      </c>
      <c r="I5753" s="1406">
        <v>8.32</v>
      </c>
    </row>
    <row r="5754" spans="2:9" ht="45">
      <c r="B5754" s="677">
        <v>102329</v>
      </c>
      <c r="C5754" s="733" t="s">
        <v>5302</v>
      </c>
      <c r="D5754" s="677" t="s">
        <v>19</v>
      </c>
      <c r="E5754" s="738">
        <f t="shared" si="178"/>
        <v>7.58</v>
      </c>
      <c r="F5754">
        <f t="shared" si="179"/>
        <v>102329</v>
      </c>
      <c r="H5754" s="1405">
        <v>7.27</v>
      </c>
      <c r="I5754" s="1405">
        <v>7.58</v>
      </c>
    </row>
    <row r="5755" spans="2:9" ht="30">
      <c r="B5755" s="1477">
        <v>94304</v>
      </c>
      <c r="C5755" s="740" t="s">
        <v>8169</v>
      </c>
      <c r="D5755" s="739" t="s">
        <v>19</v>
      </c>
      <c r="E5755" s="741">
        <f t="shared" si="178"/>
        <v>71.86</v>
      </c>
      <c r="F5755">
        <f t="shared" si="179"/>
        <v>94304</v>
      </c>
      <c r="H5755" s="1406">
        <v>71.12</v>
      </c>
      <c r="I5755" s="1406">
        <v>71.86</v>
      </c>
    </row>
    <row r="5756" spans="2:9" ht="30">
      <c r="B5756" s="677">
        <v>94306</v>
      </c>
      <c r="C5756" s="733" t="s">
        <v>8170</v>
      </c>
      <c r="D5756" s="677" t="s">
        <v>19</v>
      </c>
      <c r="E5756" s="738">
        <f t="shared" si="178"/>
        <v>65.83</v>
      </c>
      <c r="F5756">
        <f t="shared" si="179"/>
        <v>94306</v>
      </c>
      <c r="H5756" s="1405">
        <v>65.25</v>
      </c>
      <c r="I5756" s="1405">
        <v>65.83</v>
      </c>
    </row>
    <row r="5757" spans="2:9" ht="30">
      <c r="B5757" s="1477">
        <v>94310</v>
      </c>
      <c r="C5757" s="740" t="s">
        <v>8171</v>
      </c>
      <c r="D5757" s="739" t="s">
        <v>19</v>
      </c>
      <c r="E5757" s="741">
        <f t="shared" si="178"/>
        <v>63.06</v>
      </c>
      <c r="F5757">
        <f t="shared" si="179"/>
        <v>94310</v>
      </c>
      <c r="H5757" s="1406">
        <v>62.57</v>
      </c>
      <c r="I5757" s="1406">
        <v>63.06</v>
      </c>
    </row>
    <row r="5758" spans="2:9" ht="30">
      <c r="B5758" s="677">
        <v>94316</v>
      </c>
      <c r="C5758" s="733" t="s">
        <v>8172</v>
      </c>
      <c r="D5758" s="677" t="s">
        <v>19</v>
      </c>
      <c r="E5758" s="738">
        <f t="shared" si="178"/>
        <v>66.430000000000007</v>
      </c>
      <c r="F5758">
        <f t="shared" si="179"/>
        <v>94316</v>
      </c>
      <c r="H5758" s="1405">
        <v>65.680000000000007</v>
      </c>
      <c r="I5758" s="1405">
        <v>66.430000000000007</v>
      </c>
    </row>
    <row r="5759" spans="2:9" ht="30">
      <c r="B5759" s="1477">
        <v>94318</v>
      </c>
      <c r="C5759" s="740" t="s">
        <v>8173</v>
      </c>
      <c r="D5759" s="739" t="s">
        <v>19</v>
      </c>
      <c r="E5759" s="741">
        <f t="shared" si="178"/>
        <v>61.55</v>
      </c>
      <c r="F5759">
        <f t="shared" si="179"/>
        <v>94318</v>
      </c>
      <c r="H5759" s="1406">
        <v>61.04</v>
      </c>
      <c r="I5759" s="1406">
        <v>61.55</v>
      </c>
    </row>
    <row r="5760" spans="2:9">
      <c r="B5760" s="677">
        <v>94319</v>
      </c>
      <c r="C5760" s="733" t="s">
        <v>8174</v>
      </c>
      <c r="D5760" s="677" t="s">
        <v>19</v>
      </c>
      <c r="E5760" s="738">
        <f t="shared" si="178"/>
        <v>74.180000000000007</v>
      </c>
      <c r="F5760">
        <f t="shared" si="179"/>
        <v>94319</v>
      </c>
      <c r="H5760" s="1405">
        <v>72.150000000000006</v>
      </c>
      <c r="I5760" s="1405">
        <v>74.180000000000007</v>
      </c>
    </row>
    <row r="5761" spans="2:9" ht="30">
      <c r="B5761" s="1477">
        <v>94327</v>
      </c>
      <c r="C5761" s="740" t="s">
        <v>8175</v>
      </c>
      <c r="D5761" s="739" t="s">
        <v>19</v>
      </c>
      <c r="E5761" s="741">
        <f t="shared" si="178"/>
        <v>118.38</v>
      </c>
      <c r="F5761">
        <f t="shared" si="179"/>
        <v>94327</v>
      </c>
      <c r="H5761" s="1406">
        <v>117.64</v>
      </c>
      <c r="I5761" s="1406">
        <v>118.38</v>
      </c>
    </row>
    <row r="5762" spans="2:9" ht="30">
      <c r="B5762" s="677">
        <v>94329</v>
      </c>
      <c r="C5762" s="733" t="s">
        <v>8176</v>
      </c>
      <c r="D5762" s="677" t="s">
        <v>19</v>
      </c>
      <c r="E5762" s="738">
        <f t="shared" si="178"/>
        <v>112.35</v>
      </c>
      <c r="F5762">
        <f t="shared" si="179"/>
        <v>94329</v>
      </c>
      <c r="H5762" s="1405">
        <v>111.77</v>
      </c>
      <c r="I5762" s="1405">
        <v>112.35</v>
      </c>
    </row>
    <row r="5763" spans="2:9" ht="30">
      <c r="B5763" s="1477">
        <v>94333</v>
      </c>
      <c r="C5763" s="740" t="s">
        <v>8177</v>
      </c>
      <c r="D5763" s="739" t="s">
        <v>19</v>
      </c>
      <c r="E5763" s="741">
        <f t="shared" ref="E5763:E5826" si="180">IF($K$2=$H$1,H5763,I5763)</f>
        <v>109.58</v>
      </c>
      <c r="F5763">
        <f t="shared" ref="F5763:F5826" si="181">IF(LEN($B5763)=7,CONCATENATE(MID($B5763,1,6),"00",RIGHT($B5763,1)),IF(LEN($B5763)=8,CONCATENATE(MID($B5763,1,6),"0",RIGHT($B5763,2)),$B5763))</f>
        <v>94333</v>
      </c>
      <c r="H5763" s="1406">
        <v>109.09</v>
      </c>
      <c r="I5763" s="1406">
        <v>109.58</v>
      </c>
    </row>
    <row r="5764" spans="2:9" ht="30">
      <c r="B5764" s="677">
        <v>94339</v>
      </c>
      <c r="C5764" s="733" t="s">
        <v>8178</v>
      </c>
      <c r="D5764" s="677" t="s">
        <v>19</v>
      </c>
      <c r="E5764" s="738">
        <f t="shared" si="180"/>
        <v>112.95</v>
      </c>
      <c r="F5764">
        <f t="shared" si="181"/>
        <v>94339</v>
      </c>
      <c r="H5764" s="1405">
        <v>112.2</v>
      </c>
      <c r="I5764" s="1405">
        <v>112.95</v>
      </c>
    </row>
    <row r="5765" spans="2:9" ht="30">
      <c r="B5765" s="1477">
        <v>94341</v>
      </c>
      <c r="C5765" s="740" t="s">
        <v>8179</v>
      </c>
      <c r="D5765" s="739" t="s">
        <v>19</v>
      </c>
      <c r="E5765" s="741">
        <f t="shared" si="180"/>
        <v>108.07</v>
      </c>
      <c r="F5765">
        <f t="shared" si="181"/>
        <v>94341</v>
      </c>
      <c r="H5765" s="1406">
        <v>107.56</v>
      </c>
      <c r="I5765" s="1406">
        <v>108.07</v>
      </c>
    </row>
    <row r="5766" spans="2:9">
      <c r="B5766" s="677">
        <v>94342</v>
      </c>
      <c r="C5766" s="733" t="s">
        <v>8180</v>
      </c>
      <c r="D5766" s="677" t="s">
        <v>19</v>
      </c>
      <c r="E5766" s="738">
        <f t="shared" si="180"/>
        <v>120.7</v>
      </c>
      <c r="F5766">
        <f t="shared" si="181"/>
        <v>94342</v>
      </c>
      <c r="H5766" s="1405">
        <v>118.67</v>
      </c>
      <c r="I5766" s="1405">
        <v>120.7</v>
      </c>
    </row>
    <row r="5767" spans="2:9" ht="30">
      <c r="B5767" s="1477">
        <v>96385</v>
      </c>
      <c r="C5767" s="740" t="s">
        <v>2812</v>
      </c>
      <c r="D5767" s="739" t="s">
        <v>19</v>
      </c>
      <c r="E5767" s="741">
        <f t="shared" si="180"/>
        <v>11.1</v>
      </c>
      <c r="F5767">
        <f t="shared" si="181"/>
        <v>96385</v>
      </c>
      <c r="H5767" s="1406">
        <v>10.73</v>
      </c>
      <c r="I5767" s="1406">
        <v>11.1</v>
      </c>
    </row>
    <row r="5768" spans="2:9" ht="30">
      <c r="B5768" s="677">
        <v>96386</v>
      </c>
      <c r="C5768" s="733" t="s">
        <v>2813</v>
      </c>
      <c r="D5768" s="677" t="s">
        <v>19</v>
      </c>
      <c r="E5768" s="738">
        <f t="shared" si="180"/>
        <v>8.34</v>
      </c>
      <c r="F5768">
        <f t="shared" si="181"/>
        <v>96386</v>
      </c>
      <c r="H5768" s="1405">
        <v>8.11</v>
      </c>
      <c r="I5768" s="1405">
        <v>8.34</v>
      </c>
    </row>
    <row r="5769" spans="2:9" ht="45">
      <c r="B5769" s="1477">
        <v>93367</v>
      </c>
      <c r="C5769" s="740" t="s">
        <v>8181</v>
      </c>
      <c r="D5769" s="739" t="s">
        <v>19</v>
      </c>
      <c r="E5769" s="741">
        <f t="shared" si="180"/>
        <v>21.16</v>
      </c>
      <c r="F5769">
        <f t="shared" si="181"/>
        <v>93367</v>
      </c>
      <c r="H5769" s="1406">
        <v>20.420000000000002</v>
      </c>
      <c r="I5769" s="1406">
        <v>21.16</v>
      </c>
    </row>
    <row r="5770" spans="2:9" ht="45">
      <c r="B5770" s="677">
        <v>93368</v>
      </c>
      <c r="C5770" s="733" t="s">
        <v>8182</v>
      </c>
      <c r="D5770" s="677" t="s">
        <v>19</v>
      </c>
      <c r="E5770" s="738">
        <f t="shared" si="180"/>
        <v>18.510000000000002</v>
      </c>
      <c r="F5770">
        <f t="shared" si="181"/>
        <v>93368</v>
      </c>
      <c r="H5770" s="1405">
        <v>17.84</v>
      </c>
      <c r="I5770" s="1405">
        <v>18.510000000000002</v>
      </c>
    </row>
    <row r="5771" spans="2:9" ht="45">
      <c r="B5771" s="1477">
        <v>93369</v>
      </c>
      <c r="C5771" s="740" t="s">
        <v>14620</v>
      </c>
      <c r="D5771" s="739" t="s">
        <v>19</v>
      </c>
      <c r="E5771" s="741">
        <f t="shared" si="180"/>
        <v>15.13</v>
      </c>
      <c r="F5771">
        <f t="shared" si="181"/>
        <v>93369</v>
      </c>
      <c r="H5771" s="1406">
        <v>14.55</v>
      </c>
      <c r="I5771" s="1406">
        <v>15.13</v>
      </c>
    </row>
    <row r="5772" spans="2:9" ht="45">
      <c r="B5772" s="677">
        <v>93372</v>
      </c>
      <c r="C5772" s="733" t="s">
        <v>8183</v>
      </c>
      <c r="D5772" s="677" t="s">
        <v>19</v>
      </c>
      <c r="E5772" s="738">
        <f t="shared" si="180"/>
        <v>14.51</v>
      </c>
      <c r="F5772">
        <f t="shared" si="181"/>
        <v>93372</v>
      </c>
      <c r="H5772" s="1405">
        <v>13.96</v>
      </c>
      <c r="I5772" s="1405">
        <v>14.51</v>
      </c>
    </row>
    <row r="5773" spans="2:9" ht="45">
      <c r="B5773" s="1477">
        <v>93373</v>
      </c>
      <c r="C5773" s="740" t="s">
        <v>14621</v>
      </c>
      <c r="D5773" s="739" t="s">
        <v>19</v>
      </c>
      <c r="E5773" s="741">
        <f t="shared" si="180"/>
        <v>12.36</v>
      </c>
      <c r="F5773">
        <f t="shared" si="181"/>
        <v>93373</v>
      </c>
      <c r="H5773" s="1406">
        <v>11.87</v>
      </c>
      <c r="I5773" s="1406">
        <v>12.36</v>
      </c>
    </row>
    <row r="5774" spans="2:9" ht="45">
      <c r="B5774" s="677">
        <v>93378</v>
      </c>
      <c r="C5774" s="733" t="s">
        <v>14622</v>
      </c>
      <c r="D5774" s="677" t="s">
        <v>19</v>
      </c>
      <c r="E5774" s="738">
        <f t="shared" si="180"/>
        <v>20.46</v>
      </c>
      <c r="F5774">
        <f t="shared" si="181"/>
        <v>93378</v>
      </c>
      <c r="H5774" s="1405">
        <v>19.489999999999998</v>
      </c>
      <c r="I5774" s="1405">
        <v>20.46</v>
      </c>
    </row>
    <row r="5775" spans="2:9" ht="45">
      <c r="B5775" s="1477">
        <v>93379</v>
      </c>
      <c r="C5775" s="740" t="s">
        <v>14623</v>
      </c>
      <c r="D5775" s="739" t="s">
        <v>19</v>
      </c>
      <c r="E5775" s="741">
        <f t="shared" si="180"/>
        <v>15.73</v>
      </c>
      <c r="F5775">
        <f t="shared" si="181"/>
        <v>93379</v>
      </c>
      <c r="H5775" s="1406">
        <v>14.98</v>
      </c>
      <c r="I5775" s="1406">
        <v>15.73</v>
      </c>
    </row>
    <row r="5776" spans="2:9" ht="45">
      <c r="B5776" s="677">
        <v>93380</v>
      </c>
      <c r="C5776" s="733" t="s">
        <v>14624</v>
      </c>
      <c r="D5776" s="677" t="s">
        <v>19</v>
      </c>
      <c r="E5776" s="738">
        <f t="shared" si="180"/>
        <v>13.41</v>
      </c>
      <c r="F5776">
        <f t="shared" si="181"/>
        <v>93380</v>
      </c>
      <c r="H5776" s="1405">
        <v>12.77</v>
      </c>
      <c r="I5776" s="1405">
        <v>13.41</v>
      </c>
    </row>
    <row r="5777" spans="2:9" ht="45">
      <c r="B5777" s="1477">
        <v>93381</v>
      </c>
      <c r="C5777" s="740" t="s">
        <v>14625</v>
      </c>
      <c r="D5777" s="739" t="s">
        <v>19</v>
      </c>
      <c r="E5777" s="741">
        <f t="shared" si="180"/>
        <v>10.85</v>
      </c>
      <c r="F5777">
        <f t="shared" si="181"/>
        <v>93381</v>
      </c>
      <c r="H5777" s="1406">
        <v>10.34</v>
      </c>
      <c r="I5777" s="1406">
        <v>10.85</v>
      </c>
    </row>
    <row r="5778" spans="2:9">
      <c r="B5778" s="677">
        <v>93382</v>
      </c>
      <c r="C5778" s="733" t="s">
        <v>8184</v>
      </c>
      <c r="D5778" s="677" t="s">
        <v>19</v>
      </c>
      <c r="E5778" s="738">
        <f t="shared" si="180"/>
        <v>23.48</v>
      </c>
      <c r="F5778">
        <f t="shared" si="181"/>
        <v>93382</v>
      </c>
      <c r="H5778" s="1405">
        <v>21.45</v>
      </c>
      <c r="I5778" s="1405">
        <v>23.48</v>
      </c>
    </row>
    <row r="5779" spans="2:9" ht="45">
      <c r="B5779" s="1477">
        <v>104728</v>
      </c>
      <c r="C5779" s="740" t="s">
        <v>8185</v>
      </c>
      <c r="D5779" s="739" t="s">
        <v>19</v>
      </c>
      <c r="E5779" s="741">
        <f t="shared" si="180"/>
        <v>18.18</v>
      </c>
      <c r="F5779">
        <f t="shared" si="181"/>
        <v>104728</v>
      </c>
      <c r="H5779" s="1406">
        <v>17.690000000000001</v>
      </c>
      <c r="I5779" s="1406">
        <v>18.18</v>
      </c>
    </row>
    <row r="5780" spans="2:9" ht="45">
      <c r="B5780" s="677">
        <v>104729</v>
      </c>
      <c r="C5780" s="733" t="s">
        <v>8186</v>
      </c>
      <c r="D5780" s="677" t="s">
        <v>19</v>
      </c>
      <c r="E5780" s="738">
        <f t="shared" si="180"/>
        <v>15.51</v>
      </c>
      <c r="F5780">
        <f t="shared" si="181"/>
        <v>104729</v>
      </c>
      <c r="H5780" s="1405">
        <v>15.1</v>
      </c>
      <c r="I5780" s="1405">
        <v>15.51</v>
      </c>
    </row>
    <row r="5781" spans="2:9" ht="45">
      <c r="B5781" s="1477">
        <v>104730</v>
      </c>
      <c r="C5781" s="740" t="s">
        <v>8187</v>
      </c>
      <c r="D5781" s="739" t="s">
        <v>19</v>
      </c>
      <c r="E5781" s="741">
        <f t="shared" si="180"/>
        <v>12.14</v>
      </c>
      <c r="F5781">
        <f t="shared" si="181"/>
        <v>104730</v>
      </c>
      <c r="H5781" s="1406">
        <v>11.81</v>
      </c>
      <c r="I5781" s="1406">
        <v>12.14</v>
      </c>
    </row>
    <row r="5782" spans="2:9" ht="45">
      <c r="B5782" s="677">
        <v>104731</v>
      </c>
      <c r="C5782" s="733" t="s">
        <v>8188</v>
      </c>
      <c r="D5782" s="677" t="s">
        <v>19</v>
      </c>
      <c r="E5782" s="738">
        <f t="shared" si="180"/>
        <v>11.52</v>
      </c>
      <c r="F5782">
        <f t="shared" si="181"/>
        <v>104731</v>
      </c>
      <c r="H5782" s="1405">
        <v>11.22</v>
      </c>
      <c r="I5782" s="1405">
        <v>11.52</v>
      </c>
    </row>
    <row r="5783" spans="2:9" ht="45">
      <c r="B5783" s="1477">
        <v>104732</v>
      </c>
      <c r="C5783" s="740" t="s">
        <v>8189</v>
      </c>
      <c r="D5783" s="739" t="s">
        <v>19</v>
      </c>
      <c r="E5783" s="741">
        <f t="shared" si="180"/>
        <v>9.3699999999999992</v>
      </c>
      <c r="F5783">
        <f t="shared" si="181"/>
        <v>104732</v>
      </c>
      <c r="H5783" s="1406">
        <v>9.1199999999999992</v>
      </c>
      <c r="I5783" s="1406">
        <v>9.3699999999999992</v>
      </c>
    </row>
    <row r="5784" spans="2:9" ht="45">
      <c r="B5784" s="677">
        <v>104733</v>
      </c>
      <c r="C5784" s="733" t="s">
        <v>8190</v>
      </c>
      <c r="D5784" s="677" t="s">
        <v>19</v>
      </c>
      <c r="E5784" s="738">
        <f t="shared" si="180"/>
        <v>17.489999999999998</v>
      </c>
      <c r="F5784">
        <f t="shared" si="181"/>
        <v>104733</v>
      </c>
      <c r="H5784" s="1405">
        <v>16.79</v>
      </c>
      <c r="I5784" s="1405">
        <v>17.489999999999998</v>
      </c>
    </row>
    <row r="5785" spans="2:9" ht="45">
      <c r="B5785" s="1477">
        <v>104734</v>
      </c>
      <c r="C5785" s="740" t="s">
        <v>8191</v>
      </c>
      <c r="D5785" s="739" t="s">
        <v>19</v>
      </c>
      <c r="E5785" s="741">
        <f t="shared" si="180"/>
        <v>12.76</v>
      </c>
      <c r="F5785">
        <f t="shared" si="181"/>
        <v>104734</v>
      </c>
      <c r="H5785" s="1406">
        <v>12.27</v>
      </c>
      <c r="I5785" s="1406">
        <v>12.76</v>
      </c>
    </row>
    <row r="5786" spans="2:9" ht="45">
      <c r="B5786" s="677">
        <v>104735</v>
      </c>
      <c r="C5786" s="733" t="s">
        <v>8192</v>
      </c>
      <c r="D5786" s="677" t="s">
        <v>19</v>
      </c>
      <c r="E5786" s="738">
        <f t="shared" si="180"/>
        <v>10.43</v>
      </c>
      <c r="F5786">
        <f t="shared" si="181"/>
        <v>104735</v>
      </c>
      <c r="H5786" s="1405">
        <v>10.029999999999999</v>
      </c>
      <c r="I5786" s="1405">
        <v>10.43</v>
      </c>
    </row>
    <row r="5787" spans="2:9" ht="45">
      <c r="B5787" s="1477">
        <v>104736</v>
      </c>
      <c r="C5787" s="740" t="s">
        <v>8193</v>
      </c>
      <c r="D5787" s="739" t="s">
        <v>19</v>
      </c>
      <c r="E5787" s="741">
        <f t="shared" si="180"/>
        <v>7.86</v>
      </c>
      <c r="F5787">
        <f t="shared" si="181"/>
        <v>104736</v>
      </c>
      <c r="H5787" s="1406">
        <v>7.6</v>
      </c>
      <c r="I5787" s="1406">
        <v>7.86</v>
      </c>
    </row>
    <row r="5788" spans="2:9">
      <c r="B5788" s="677">
        <v>104737</v>
      </c>
      <c r="C5788" s="733" t="s">
        <v>8194</v>
      </c>
      <c r="D5788" s="677" t="s">
        <v>19</v>
      </c>
      <c r="E5788" s="738">
        <f t="shared" si="180"/>
        <v>20.51</v>
      </c>
      <c r="F5788">
        <f t="shared" si="181"/>
        <v>104737</v>
      </c>
      <c r="H5788" s="1405">
        <v>18.75</v>
      </c>
      <c r="I5788" s="1405">
        <v>20.51</v>
      </c>
    </row>
    <row r="5789" spans="2:9">
      <c r="B5789" s="1477">
        <v>104738</v>
      </c>
      <c r="C5789" s="740" t="s">
        <v>8195</v>
      </c>
      <c r="D5789" s="739" t="s">
        <v>19</v>
      </c>
      <c r="E5789" s="741">
        <f t="shared" si="180"/>
        <v>74.959999999999994</v>
      </c>
      <c r="F5789">
        <f t="shared" si="181"/>
        <v>104738</v>
      </c>
      <c r="H5789" s="1406">
        <v>73.88</v>
      </c>
      <c r="I5789" s="1406">
        <v>74.959999999999994</v>
      </c>
    </row>
    <row r="5790" spans="2:9">
      <c r="B5790" s="677">
        <v>104739</v>
      </c>
      <c r="C5790" s="733" t="s">
        <v>8196</v>
      </c>
      <c r="D5790" s="677" t="s">
        <v>19</v>
      </c>
      <c r="E5790" s="738">
        <f t="shared" si="180"/>
        <v>121.48</v>
      </c>
      <c r="F5790">
        <f t="shared" si="181"/>
        <v>104739</v>
      </c>
      <c r="H5790" s="1405">
        <v>120.4</v>
      </c>
      <c r="I5790" s="1405">
        <v>121.48</v>
      </c>
    </row>
    <row r="5791" spans="2:9">
      <c r="B5791" s="1477">
        <v>104740</v>
      </c>
      <c r="C5791" s="740" t="s">
        <v>8197</v>
      </c>
      <c r="D5791" s="739" t="s">
        <v>19</v>
      </c>
      <c r="E5791" s="741">
        <f t="shared" si="180"/>
        <v>24.26</v>
      </c>
      <c r="F5791">
        <f t="shared" si="181"/>
        <v>104740</v>
      </c>
      <c r="H5791" s="1406">
        <v>23.18</v>
      </c>
      <c r="I5791" s="1406">
        <v>24.26</v>
      </c>
    </row>
    <row r="5792" spans="2:9">
      <c r="B5792" s="677">
        <v>104741</v>
      </c>
      <c r="C5792" s="733" t="s">
        <v>8198</v>
      </c>
      <c r="D5792" s="677" t="s">
        <v>19</v>
      </c>
      <c r="E5792" s="738">
        <f t="shared" si="180"/>
        <v>21.3</v>
      </c>
      <c r="F5792">
        <f t="shared" si="181"/>
        <v>104741</v>
      </c>
      <c r="H5792" s="1405">
        <v>20.48</v>
      </c>
      <c r="I5792" s="1405">
        <v>21.3</v>
      </c>
    </row>
    <row r="5793" spans="2:9">
      <c r="B5793" s="1477">
        <v>104742</v>
      </c>
      <c r="C5793" s="740" t="s">
        <v>8199</v>
      </c>
      <c r="D5793" s="739" t="s">
        <v>0</v>
      </c>
      <c r="E5793" s="741">
        <f t="shared" si="180"/>
        <v>8.01</v>
      </c>
      <c r="F5793">
        <f t="shared" si="181"/>
        <v>104742</v>
      </c>
      <c r="H5793" s="1406">
        <v>7.88</v>
      </c>
      <c r="I5793" s="1406">
        <v>8.01</v>
      </c>
    </row>
    <row r="5794" spans="2:9">
      <c r="B5794" s="677">
        <v>97916</v>
      </c>
      <c r="C5794" s="733" t="s">
        <v>3443</v>
      </c>
      <c r="D5794" s="677" t="s">
        <v>58</v>
      </c>
      <c r="E5794" s="738">
        <f t="shared" si="180"/>
        <v>2.5299999999999998</v>
      </c>
      <c r="F5794">
        <f t="shared" si="181"/>
        <v>97916</v>
      </c>
      <c r="H5794" s="1405">
        <v>2.4700000000000002</v>
      </c>
      <c r="I5794" s="1405">
        <v>2.5299999999999998</v>
      </c>
    </row>
    <row r="5795" spans="2:9">
      <c r="B5795" s="1477">
        <v>97917</v>
      </c>
      <c r="C5795" s="740" t="s">
        <v>3444</v>
      </c>
      <c r="D5795" s="739" t="s">
        <v>58</v>
      </c>
      <c r="E5795" s="741">
        <f t="shared" si="180"/>
        <v>2.1800000000000002</v>
      </c>
      <c r="F5795">
        <f t="shared" si="181"/>
        <v>97917</v>
      </c>
      <c r="H5795" s="1406">
        <v>2.13</v>
      </c>
      <c r="I5795" s="1406">
        <v>2.1800000000000002</v>
      </c>
    </row>
    <row r="5796" spans="2:9" ht="30">
      <c r="B5796" s="677">
        <v>97918</v>
      </c>
      <c r="C5796" s="733" t="s">
        <v>3445</v>
      </c>
      <c r="D5796" s="677" t="s">
        <v>58</v>
      </c>
      <c r="E5796" s="738">
        <f t="shared" si="180"/>
        <v>2</v>
      </c>
      <c r="F5796">
        <f t="shared" si="181"/>
        <v>97918</v>
      </c>
      <c r="H5796" s="1405">
        <v>1.96</v>
      </c>
      <c r="I5796" s="1405">
        <v>2</v>
      </c>
    </row>
    <row r="5797" spans="2:9" ht="30">
      <c r="B5797" s="1477">
        <v>97919</v>
      </c>
      <c r="C5797" s="740" t="s">
        <v>3446</v>
      </c>
      <c r="D5797" s="739" t="s">
        <v>58</v>
      </c>
      <c r="E5797" s="741">
        <f t="shared" si="180"/>
        <v>0.79</v>
      </c>
      <c r="F5797">
        <f t="shared" si="181"/>
        <v>97919</v>
      </c>
      <c r="H5797" s="1406">
        <v>0.78</v>
      </c>
      <c r="I5797" s="1406">
        <v>0.79</v>
      </c>
    </row>
    <row r="5798" spans="2:9">
      <c r="B5798" s="677">
        <v>101616</v>
      </c>
      <c r="C5798" s="733" t="s">
        <v>3787</v>
      </c>
      <c r="D5798" s="677" t="s">
        <v>0</v>
      </c>
      <c r="E5798" s="738">
        <f t="shared" si="180"/>
        <v>5.9</v>
      </c>
      <c r="F5798">
        <f t="shared" si="181"/>
        <v>101616</v>
      </c>
      <c r="H5798" s="1405">
        <v>5.3</v>
      </c>
      <c r="I5798" s="1405">
        <v>5.9</v>
      </c>
    </row>
    <row r="5799" spans="2:9" ht="30">
      <c r="B5799" s="1477">
        <v>101617</v>
      </c>
      <c r="C5799" s="740" t="s">
        <v>3788</v>
      </c>
      <c r="D5799" s="739" t="s">
        <v>0</v>
      </c>
      <c r="E5799" s="741">
        <f t="shared" si="180"/>
        <v>2.9</v>
      </c>
      <c r="F5799">
        <f t="shared" si="181"/>
        <v>101617</v>
      </c>
      <c r="H5799" s="1406">
        <v>2.62</v>
      </c>
      <c r="I5799" s="1406">
        <v>2.9</v>
      </c>
    </row>
    <row r="5800" spans="2:9">
      <c r="B5800" s="677">
        <v>101618</v>
      </c>
      <c r="C5800" s="733" t="s">
        <v>3789</v>
      </c>
      <c r="D5800" s="677" t="s">
        <v>19</v>
      </c>
      <c r="E5800" s="738">
        <f t="shared" si="180"/>
        <v>271.02</v>
      </c>
      <c r="F5800">
        <f t="shared" si="181"/>
        <v>101618</v>
      </c>
      <c r="H5800" s="1405">
        <v>259.31</v>
      </c>
      <c r="I5800" s="1405">
        <v>271.02</v>
      </c>
    </row>
    <row r="5801" spans="2:9">
      <c r="B5801" s="1477">
        <v>101619</v>
      </c>
      <c r="C5801" s="740" t="s">
        <v>3790</v>
      </c>
      <c r="D5801" s="739" t="s">
        <v>19</v>
      </c>
      <c r="E5801" s="741">
        <f t="shared" si="180"/>
        <v>326.68</v>
      </c>
      <c r="F5801">
        <f t="shared" si="181"/>
        <v>101619</v>
      </c>
      <c r="H5801" s="1406">
        <v>312.3</v>
      </c>
      <c r="I5801" s="1406">
        <v>326.68</v>
      </c>
    </row>
    <row r="5802" spans="2:9" ht="30">
      <c r="B5802" s="677">
        <v>101620</v>
      </c>
      <c r="C5802" s="733" t="s">
        <v>3791</v>
      </c>
      <c r="D5802" s="677" t="s">
        <v>19</v>
      </c>
      <c r="E5802" s="738">
        <f t="shared" si="180"/>
        <v>247.47</v>
      </c>
      <c r="F5802">
        <f t="shared" si="181"/>
        <v>101620</v>
      </c>
      <c r="H5802" s="1405">
        <v>238.09</v>
      </c>
      <c r="I5802" s="1405">
        <v>247.47</v>
      </c>
    </row>
    <row r="5803" spans="2:9" ht="30">
      <c r="B5803" s="1477">
        <v>101621</v>
      </c>
      <c r="C5803" s="740" t="s">
        <v>3792</v>
      </c>
      <c r="D5803" s="739" t="s">
        <v>19</v>
      </c>
      <c r="E5803" s="741">
        <f t="shared" si="180"/>
        <v>303.12</v>
      </c>
      <c r="F5803">
        <f t="shared" si="181"/>
        <v>101621</v>
      </c>
      <c r="H5803" s="1406">
        <v>291.08</v>
      </c>
      <c r="I5803" s="1406">
        <v>303.12</v>
      </c>
    </row>
    <row r="5804" spans="2:9">
      <c r="B5804" s="677">
        <v>101622</v>
      </c>
      <c r="C5804" s="733" t="s">
        <v>3793</v>
      </c>
      <c r="D5804" s="677" t="s">
        <v>19</v>
      </c>
      <c r="E5804" s="738">
        <f t="shared" si="180"/>
        <v>241.7</v>
      </c>
      <c r="F5804">
        <f t="shared" si="181"/>
        <v>101622</v>
      </c>
      <c r="H5804" s="1405">
        <v>235.53</v>
      </c>
      <c r="I5804" s="1405">
        <v>241.7</v>
      </c>
    </row>
    <row r="5805" spans="2:9">
      <c r="B5805" s="1477">
        <v>101623</v>
      </c>
      <c r="C5805" s="740" t="s">
        <v>3794</v>
      </c>
      <c r="D5805" s="739" t="s">
        <v>19</v>
      </c>
      <c r="E5805" s="741">
        <f t="shared" si="180"/>
        <v>290.52999999999997</v>
      </c>
      <c r="F5805">
        <f t="shared" si="181"/>
        <v>101623</v>
      </c>
      <c r="H5805" s="1406">
        <v>283</v>
      </c>
      <c r="I5805" s="1406">
        <v>290.52999999999997</v>
      </c>
    </row>
    <row r="5806" spans="2:9" ht="30">
      <c r="B5806" s="677">
        <v>101624</v>
      </c>
      <c r="C5806" s="733" t="s">
        <v>3795</v>
      </c>
      <c r="D5806" s="677" t="s">
        <v>19</v>
      </c>
      <c r="E5806" s="738">
        <f t="shared" si="180"/>
        <v>249.21</v>
      </c>
      <c r="F5806">
        <f t="shared" si="181"/>
        <v>101624</v>
      </c>
      <c r="H5806" s="1405">
        <v>244.57</v>
      </c>
      <c r="I5806" s="1405">
        <v>249.21</v>
      </c>
    </row>
    <row r="5807" spans="2:9" ht="30">
      <c r="B5807" s="1477">
        <v>101625</v>
      </c>
      <c r="C5807" s="740" t="s">
        <v>3796</v>
      </c>
      <c r="D5807" s="739" t="s">
        <v>19</v>
      </c>
      <c r="E5807" s="741">
        <f t="shared" si="180"/>
        <v>205.62</v>
      </c>
      <c r="F5807">
        <f t="shared" si="181"/>
        <v>101625</v>
      </c>
      <c r="H5807" s="1406">
        <v>201.98</v>
      </c>
      <c r="I5807" s="1406">
        <v>205.62</v>
      </c>
    </row>
    <row r="5808" spans="2:9" ht="30">
      <c r="B5808" s="677">
        <v>101159</v>
      </c>
      <c r="C5808" s="733" t="s">
        <v>3233</v>
      </c>
      <c r="D5808" s="677" t="s">
        <v>0</v>
      </c>
      <c r="E5808" s="738">
        <f t="shared" si="180"/>
        <v>145.49</v>
      </c>
      <c r="F5808">
        <f t="shared" si="181"/>
        <v>101159</v>
      </c>
      <c r="H5808" s="1405">
        <v>138.13999999999999</v>
      </c>
      <c r="I5808" s="1405">
        <v>145.49</v>
      </c>
    </row>
    <row r="5809" spans="2:9" ht="30">
      <c r="B5809" s="1477">
        <v>103322</v>
      </c>
      <c r="C5809" s="740" t="s">
        <v>5485</v>
      </c>
      <c r="D5809" s="739" t="s">
        <v>0</v>
      </c>
      <c r="E5809" s="741">
        <f t="shared" si="180"/>
        <v>62.11</v>
      </c>
      <c r="F5809">
        <f t="shared" si="181"/>
        <v>103322</v>
      </c>
      <c r="H5809" s="1406">
        <v>59.87</v>
      </c>
      <c r="I5809" s="1406">
        <v>62.11</v>
      </c>
    </row>
    <row r="5810" spans="2:9" ht="30">
      <c r="B5810" s="677">
        <v>103323</v>
      </c>
      <c r="C5810" s="733" t="s">
        <v>5486</v>
      </c>
      <c r="D5810" s="677" t="s">
        <v>0</v>
      </c>
      <c r="E5810" s="738">
        <f t="shared" si="180"/>
        <v>63.41</v>
      </c>
      <c r="F5810">
        <f t="shared" si="181"/>
        <v>103323</v>
      </c>
      <c r="H5810" s="1405">
        <v>61.03</v>
      </c>
      <c r="I5810" s="1405">
        <v>63.41</v>
      </c>
    </row>
    <row r="5811" spans="2:9" ht="30">
      <c r="B5811" s="1477">
        <v>103324</v>
      </c>
      <c r="C5811" s="740" t="s">
        <v>5487</v>
      </c>
      <c r="D5811" s="739" t="s">
        <v>0</v>
      </c>
      <c r="E5811" s="741">
        <f t="shared" si="180"/>
        <v>82.47</v>
      </c>
      <c r="F5811">
        <f t="shared" si="181"/>
        <v>103324</v>
      </c>
      <c r="H5811" s="1406">
        <v>79.209999999999994</v>
      </c>
      <c r="I5811" s="1406">
        <v>82.47</v>
      </c>
    </row>
    <row r="5812" spans="2:9" ht="30">
      <c r="B5812" s="677">
        <v>103325</v>
      </c>
      <c r="C5812" s="733" t="s">
        <v>5488</v>
      </c>
      <c r="D5812" s="677" t="s">
        <v>0</v>
      </c>
      <c r="E5812" s="738">
        <f t="shared" si="180"/>
        <v>83.95</v>
      </c>
      <c r="F5812">
        <f t="shared" si="181"/>
        <v>103325</v>
      </c>
      <c r="H5812" s="1405">
        <v>80.540000000000006</v>
      </c>
      <c r="I5812" s="1405">
        <v>83.95</v>
      </c>
    </row>
    <row r="5813" spans="2:9" ht="30">
      <c r="B5813" s="1477">
        <v>103326</v>
      </c>
      <c r="C5813" s="740" t="s">
        <v>5489</v>
      </c>
      <c r="D5813" s="739" t="s">
        <v>0</v>
      </c>
      <c r="E5813" s="741">
        <f t="shared" si="180"/>
        <v>99.86</v>
      </c>
      <c r="F5813">
        <f t="shared" si="181"/>
        <v>103326</v>
      </c>
      <c r="H5813" s="1406">
        <v>96.11</v>
      </c>
      <c r="I5813" s="1406">
        <v>99.86</v>
      </c>
    </row>
    <row r="5814" spans="2:9" ht="30">
      <c r="B5814" s="677">
        <v>103327</v>
      </c>
      <c r="C5814" s="733" t="s">
        <v>5490</v>
      </c>
      <c r="D5814" s="677" t="s">
        <v>0</v>
      </c>
      <c r="E5814" s="738">
        <f t="shared" si="180"/>
        <v>101.58</v>
      </c>
      <c r="F5814">
        <f t="shared" si="181"/>
        <v>103327</v>
      </c>
      <c r="H5814" s="1405">
        <v>97.66</v>
      </c>
      <c r="I5814" s="1405">
        <v>101.58</v>
      </c>
    </row>
    <row r="5815" spans="2:9" ht="30">
      <c r="B5815" s="1477">
        <v>103328</v>
      </c>
      <c r="C5815" s="740" t="s">
        <v>5491</v>
      </c>
      <c r="D5815" s="739" t="s">
        <v>0</v>
      </c>
      <c r="E5815" s="741">
        <f t="shared" si="180"/>
        <v>91.27</v>
      </c>
      <c r="F5815">
        <f t="shared" si="181"/>
        <v>103328</v>
      </c>
      <c r="H5815" s="1406">
        <v>85.3</v>
      </c>
      <c r="I5815" s="1406">
        <v>91.27</v>
      </c>
    </row>
    <row r="5816" spans="2:9" ht="30">
      <c r="B5816" s="677">
        <v>103329</v>
      </c>
      <c r="C5816" s="733" t="s">
        <v>5492</v>
      </c>
      <c r="D5816" s="677" t="s">
        <v>0</v>
      </c>
      <c r="E5816" s="738">
        <f t="shared" si="180"/>
        <v>92.41</v>
      </c>
      <c r="F5816">
        <f t="shared" si="181"/>
        <v>103329</v>
      </c>
      <c r="H5816" s="1405">
        <v>86.32</v>
      </c>
      <c r="I5816" s="1405">
        <v>92.41</v>
      </c>
    </row>
    <row r="5817" spans="2:9" ht="30">
      <c r="B5817" s="1477">
        <v>103330</v>
      </c>
      <c r="C5817" s="740" t="s">
        <v>5493</v>
      </c>
      <c r="D5817" s="739" t="s">
        <v>0</v>
      </c>
      <c r="E5817" s="741">
        <f t="shared" si="180"/>
        <v>86.62</v>
      </c>
      <c r="F5817">
        <f t="shared" si="181"/>
        <v>103330</v>
      </c>
      <c r="H5817" s="1406">
        <v>82.15</v>
      </c>
      <c r="I5817" s="1406">
        <v>86.62</v>
      </c>
    </row>
    <row r="5818" spans="2:9" ht="30">
      <c r="B5818" s="677">
        <v>103331</v>
      </c>
      <c r="C5818" s="733" t="s">
        <v>5494</v>
      </c>
      <c r="D5818" s="677" t="s">
        <v>0</v>
      </c>
      <c r="E5818" s="738">
        <f t="shared" si="180"/>
        <v>87.85</v>
      </c>
      <c r="F5818">
        <f t="shared" si="181"/>
        <v>103331</v>
      </c>
      <c r="H5818" s="1405">
        <v>83.25</v>
      </c>
      <c r="I5818" s="1405">
        <v>87.85</v>
      </c>
    </row>
    <row r="5819" spans="2:9" ht="30">
      <c r="B5819" s="1477">
        <v>103332</v>
      </c>
      <c r="C5819" s="740" t="s">
        <v>5495</v>
      </c>
      <c r="D5819" s="739" t="s">
        <v>0</v>
      </c>
      <c r="E5819" s="741">
        <f t="shared" si="180"/>
        <v>119.3</v>
      </c>
      <c r="F5819">
        <f t="shared" si="181"/>
        <v>103332</v>
      </c>
      <c r="H5819" s="1406">
        <v>111.15</v>
      </c>
      <c r="I5819" s="1406">
        <v>119.3</v>
      </c>
    </row>
    <row r="5820" spans="2:9" ht="30">
      <c r="B5820" s="677">
        <v>103333</v>
      </c>
      <c r="C5820" s="733" t="s">
        <v>5496</v>
      </c>
      <c r="D5820" s="677" t="s">
        <v>0</v>
      </c>
      <c r="E5820" s="738">
        <f t="shared" si="180"/>
        <v>120.61</v>
      </c>
      <c r="F5820">
        <f t="shared" si="181"/>
        <v>103333</v>
      </c>
      <c r="H5820" s="1405">
        <v>112.33</v>
      </c>
      <c r="I5820" s="1405">
        <v>120.61</v>
      </c>
    </row>
    <row r="5821" spans="2:9" ht="30">
      <c r="B5821" s="1477">
        <v>103334</v>
      </c>
      <c r="C5821" s="740" t="s">
        <v>5497</v>
      </c>
      <c r="D5821" s="739" t="s">
        <v>0</v>
      </c>
      <c r="E5821" s="741">
        <f t="shared" si="180"/>
        <v>146.93</v>
      </c>
      <c r="F5821">
        <f t="shared" si="181"/>
        <v>103334</v>
      </c>
      <c r="H5821" s="1406">
        <v>138.28</v>
      </c>
      <c r="I5821" s="1406">
        <v>146.93</v>
      </c>
    </row>
    <row r="5822" spans="2:9" ht="30">
      <c r="B5822" s="677">
        <v>103335</v>
      </c>
      <c r="C5822" s="733" t="s">
        <v>5498</v>
      </c>
      <c r="D5822" s="677" t="s">
        <v>0</v>
      </c>
      <c r="E5822" s="738">
        <f t="shared" si="180"/>
        <v>149.22</v>
      </c>
      <c r="F5822">
        <f t="shared" si="181"/>
        <v>103335</v>
      </c>
      <c r="H5822" s="1405">
        <v>140.33000000000001</v>
      </c>
      <c r="I5822" s="1405">
        <v>149.22</v>
      </c>
    </row>
    <row r="5823" spans="2:9" ht="30">
      <c r="B5823" s="1477">
        <v>103350</v>
      </c>
      <c r="C5823" s="740" t="s">
        <v>5499</v>
      </c>
      <c r="D5823" s="739" t="s">
        <v>0</v>
      </c>
      <c r="E5823" s="741">
        <f t="shared" si="180"/>
        <v>181.31</v>
      </c>
      <c r="F5823">
        <f t="shared" si="181"/>
        <v>103350</v>
      </c>
      <c r="H5823" s="1406">
        <v>170.1</v>
      </c>
      <c r="I5823" s="1406">
        <v>181.31</v>
      </c>
    </row>
    <row r="5824" spans="2:9" ht="30">
      <c r="B5824" s="677">
        <v>103351</v>
      </c>
      <c r="C5824" s="733" t="s">
        <v>5500</v>
      </c>
      <c r="D5824" s="677" t="s">
        <v>0</v>
      </c>
      <c r="E5824" s="738">
        <f t="shared" si="180"/>
        <v>182.99</v>
      </c>
      <c r="F5824">
        <f t="shared" si="181"/>
        <v>103351</v>
      </c>
      <c r="H5824" s="1405">
        <v>171.6</v>
      </c>
      <c r="I5824" s="1405">
        <v>182.99</v>
      </c>
    </row>
    <row r="5825" spans="2:9" ht="30">
      <c r="B5825" s="1477">
        <v>103356</v>
      </c>
      <c r="C5825" s="740" t="s">
        <v>5501</v>
      </c>
      <c r="D5825" s="739" t="s">
        <v>0</v>
      </c>
      <c r="E5825" s="741">
        <f t="shared" si="180"/>
        <v>58.4</v>
      </c>
      <c r="F5825">
        <f t="shared" si="181"/>
        <v>103356</v>
      </c>
      <c r="H5825" s="1406">
        <v>55.52</v>
      </c>
      <c r="I5825" s="1406">
        <v>58.4</v>
      </c>
    </row>
    <row r="5826" spans="2:9" ht="30">
      <c r="B5826" s="677">
        <v>103357</v>
      </c>
      <c r="C5826" s="733" t="s">
        <v>5502</v>
      </c>
      <c r="D5826" s="677" t="s">
        <v>0</v>
      </c>
      <c r="E5826" s="738">
        <f t="shared" si="180"/>
        <v>59.36</v>
      </c>
      <c r="F5826">
        <f t="shared" si="181"/>
        <v>103357</v>
      </c>
      <c r="H5826" s="1405">
        <v>56.38</v>
      </c>
      <c r="I5826" s="1405">
        <v>59.36</v>
      </c>
    </row>
    <row r="5827" spans="2:9" ht="30">
      <c r="B5827" s="1477">
        <v>89282</v>
      </c>
      <c r="C5827" s="740" t="s">
        <v>7730</v>
      </c>
      <c r="D5827" s="739" t="s">
        <v>0</v>
      </c>
      <c r="E5827" s="741">
        <f t="shared" ref="E5827:E5890" si="182">IF($K$2=$H$1,H5827,I5827)</f>
        <v>77.69</v>
      </c>
      <c r="F5827">
        <f t="shared" ref="F5827:F5890" si="183">IF(LEN($B5827)=7,CONCATENATE(MID($B5827,1,6),"00",RIGHT($B5827,1)),IF(LEN($B5827)=8,CONCATENATE(MID($B5827,1,6),"0",RIGHT($B5827,2)),$B5827))</f>
        <v>89282</v>
      </c>
      <c r="H5827" s="1406">
        <v>75.16</v>
      </c>
      <c r="I5827" s="1406">
        <v>77.69</v>
      </c>
    </row>
    <row r="5828" spans="2:9" ht="30">
      <c r="B5828" s="677">
        <v>89283</v>
      </c>
      <c r="C5828" s="733" t="s">
        <v>7731</v>
      </c>
      <c r="D5828" s="677" t="s">
        <v>0</v>
      </c>
      <c r="E5828" s="738">
        <f t="shared" si="182"/>
        <v>79.22</v>
      </c>
      <c r="F5828">
        <f t="shared" si="183"/>
        <v>89283</v>
      </c>
      <c r="H5828" s="1405">
        <v>76.55</v>
      </c>
      <c r="I5828" s="1405">
        <v>79.22</v>
      </c>
    </row>
    <row r="5829" spans="2:9" ht="30">
      <c r="B5829" s="1477">
        <v>89290</v>
      </c>
      <c r="C5829" s="740" t="s">
        <v>7732</v>
      </c>
      <c r="D5829" s="739" t="s">
        <v>0</v>
      </c>
      <c r="E5829" s="741">
        <f t="shared" si="182"/>
        <v>86.76</v>
      </c>
      <c r="F5829">
        <f t="shared" si="183"/>
        <v>89290</v>
      </c>
      <c r="H5829" s="1406">
        <v>83.46</v>
      </c>
      <c r="I5829" s="1406">
        <v>86.76</v>
      </c>
    </row>
    <row r="5830" spans="2:9" ht="30">
      <c r="B5830" s="677">
        <v>89291</v>
      </c>
      <c r="C5830" s="733" t="s">
        <v>7733</v>
      </c>
      <c r="D5830" s="677" t="s">
        <v>0</v>
      </c>
      <c r="E5830" s="738">
        <f t="shared" si="182"/>
        <v>88.46</v>
      </c>
      <c r="F5830">
        <f t="shared" si="183"/>
        <v>89291</v>
      </c>
      <c r="H5830" s="1405">
        <v>84.99</v>
      </c>
      <c r="I5830" s="1405">
        <v>88.46</v>
      </c>
    </row>
    <row r="5831" spans="2:9" ht="30">
      <c r="B5831" s="1477">
        <v>89298</v>
      </c>
      <c r="C5831" s="740" t="s">
        <v>7734</v>
      </c>
      <c r="D5831" s="739" t="s">
        <v>0</v>
      </c>
      <c r="E5831" s="741">
        <f t="shared" si="182"/>
        <v>88.43</v>
      </c>
      <c r="F5831">
        <f t="shared" si="183"/>
        <v>89298</v>
      </c>
      <c r="H5831" s="1406">
        <v>85.02</v>
      </c>
      <c r="I5831" s="1406">
        <v>88.43</v>
      </c>
    </row>
    <row r="5832" spans="2:9" ht="30">
      <c r="B5832" s="677">
        <v>89299</v>
      </c>
      <c r="C5832" s="733" t="s">
        <v>7735</v>
      </c>
      <c r="D5832" s="677" t="s">
        <v>0</v>
      </c>
      <c r="E5832" s="738">
        <f t="shared" si="182"/>
        <v>90.48</v>
      </c>
      <c r="F5832">
        <f t="shared" si="183"/>
        <v>89299</v>
      </c>
      <c r="H5832" s="1405">
        <v>86.87</v>
      </c>
      <c r="I5832" s="1405">
        <v>90.48</v>
      </c>
    </row>
    <row r="5833" spans="2:9" ht="30">
      <c r="B5833" s="1477">
        <v>89306</v>
      </c>
      <c r="C5833" s="740" t="s">
        <v>7736</v>
      </c>
      <c r="D5833" s="739" t="s">
        <v>0</v>
      </c>
      <c r="E5833" s="741">
        <f t="shared" si="182"/>
        <v>101.91</v>
      </c>
      <c r="F5833">
        <f t="shared" si="183"/>
        <v>89306</v>
      </c>
      <c r="H5833" s="1406">
        <v>97.31</v>
      </c>
      <c r="I5833" s="1406">
        <v>101.91</v>
      </c>
    </row>
    <row r="5834" spans="2:9" ht="30">
      <c r="B5834" s="677">
        <v>89307</v>
      </c>
      <c r="C5834" s="733" t="s">
        <v>7737</v>
      </c>
      <c r="D5834" s="677" t="s">
        <v>0</v>
      </c>
      <c r="E5834" s="738">
        <f t="shared" si="182"/>
        <v>104.19</v>
      </c>
      <c r="F5834">
        <f t="shared" si="183"/>
        <v>89307</v>
      </c>
      <c r="H5834" s="1405">
        <v>99.38</v>
      </c>
      <c r="I5834" s="1405">
        <v>104.19</v>
      </c>
    </row>
    <row r="5835" spans="2:9">
      <c r="B5835" s="1477">
        <v>101157</v>
      </c>
      <c r="C5835" s="740" t="s">
        <v>5303</v>
      </c>
      <c r="D5835" s="739" t="s">
        <v>0</v>
      </c>
      <c r="E5835" s="741">
        <f t="shared" si="182"/>
        <v>70.010000000000005</v>
      </c>
      <c r="F5835">
        <f t="shared" si="183"/>
        <v>101157</v>
      </c>
      <c r="H5835" s="1406">
        <v>68.23</v>
      </c>
      <c r="I5835" s="1406">
        <v>70.010000000000005</v>
      </c>
    </row>
    <row r="5836" spans="2:9">
      <c r="B5836" s="677">
        <v>101158</v>
      </c>
      <c r="C5836" s="733" t="s">
        <v>5304</v>
      </c>
      <c r="D5836" s="677" t="s">
        <v>0</v>
      </c>
      <c r="E5836" s="738">
        <f t="shared" si="182"/>
        <v>92.14</v>
      </c>
      <c r="F5836">
        <f t="shared" si="183"/>
        <v>101158</v>
      </c>
      <c r="H5836" s="1405">
        <v>90.06</v>
      </c>
      <c r="I5836" s="1405">
        <v>92.14</v>
      </c>
    </row>
    <row r="5837" spans="2:9" ht="30">
      <c r="B5837" s="1477">
        <v>101162</v>
      </c>
      <c r="C5837" s="740" t="s">
        <v>3234</v>
      </c>
      <c r="D5837" s="739" t="s">
        <v>0</v>
      </c>
      <c r="E5837" s="741">
        <f t="shared" si="182"/>
        <v>163.44</v>
      </c>
      <c r="F5837">
        <f t="shared" si="183"/>
        <v>101162</v>
      </c>
      <c r="H5837" s="1406">
        <v>155.16</v>
      </c>
      <c r="I5837" s="1406">
        <v>163.44</v>
      </c>
    </row>
    <row r="5838" spans="2:9" ht="30">
      <c r="B5838" s="677">
        <v>103316</v>
      </c>
      <c r="C5838" s="733" t="s">
        <v>5503</v>
      </c>
      <c r="D5838" s="677" t="s">
        <v>0</v>
      </c>
      <c r="E5838" s="738">
        <f t="shared" si="182"/>
        <v>77.260000000000005</v>
      </c>
      <c r="F5838">
        <f t="shared" si="183"/>
        <v>103316</v>
      </c>
      <c r="H5838" s="1405">
        <v>74.510000000000005</v>
      </c>
      <c r="I5838" s="1405">
        <v>77.260000000000005</v>
      </c>
    </row>
    <row r="5839" spans="2:9" ht="30">
      <c r="B5839" s="1477">
        <v>103317</v>
      </c>
      <c r="C5839" s="740" t="s">
        <v>5504</v>
      </c>
      <c r="D5839" s="739" t="s">
        <v>0</v>
      </c>
      <c r="E5839" s="741">
        <f t="shared" si="182"/>
        <v>78.349999999999994</v>
      </c>
      <c r="F5839">
        <f t="shared" si="183"/>
        <v>103317</v>
      </c>
      <c r="H5839" s="1406">
        <v>75.489999999999995</v>
      </c>
      <c r="I5839" s="1406">
        <v>78.349999999999994</v>
      </c>
    </row>
    <row r="5840" spans="2:9" ht="30">
      <c r="B5840" s="677">
        <v>103318</v>
      </c>
      <c r="C5840" s="733" t="s">
        <v>5505</v>
      </c>
      <c r="D5840" s="677" t="s">
        <v>0</v>
      </c>
      <c r="E5840" s="738">
        <f t="shared" si="182"/>
        <v>99.87</v>
      </c>
      <c r="F5840">
        <f t="shared" si="183"/>
        <v>103318</v>
      </c>
      <c r="H5840" s="1405">
        <v>96.12</v>
      </c>
      <c r="I5840" s="1405">
        <v>99.87</v>
      </c>
    </row>
    <row r="5841" spans="2:9" ht="30">
      <c r="B5841" s="1477">
        <v>103319</v>
      </c>
      <c r="C5841" s="740" t="s">
        <v>5506</v>
      </c>
      <c r="D5841" s="739" t="s">
        <v>0</v>
      </c>
      <c r="E5841" s="741">
        <f t="shared" si="182"/>
        <v>101.15</v>
      </c>
      <c r="F5841">
        <f t="shared" si="183"/>
        <v>103319</v>
      </c>
      <c r="H5841" s="1406">
        <v>97.26</v>
      </c>
      <c r="I5841" s="1406">
        <v>101.15</v>
      </c>
    </row>
    <row r="5842" spans="2:9" ht="30">
      <c r="B5842" s="677">
        <v>103320</v>
      </c>
      <c r="C5842" s="733" t="s">
        <v>5507</v>
      </c>
      <c r="D5842" s="677" t="s">
        <v>0</v>
      </c>
      <c r="E5842" s="738">
        <f t="shared" si="182"/>
        <v>120.6</v>
      </c>
      <c r="F5842">
        <f t="shared" si="183"/>
        <v>103320</v>
      </c>
      <c r="H5842" s="1405">
        <v>116.35</v>
      </c>
      <c r="I5842" s="1405">
        <v>120.6</v>
      </c>
    </row>
    <row r="5843" spans="2:9" ht="30">
      <c r="B5843" s="1477">
        <v>103321</v>
      </c>
      <c r="C5843" s="740" t="s">
        <v>5508</v>
      </c>
      <c r="D5843" s="739" t="s">
        <v>0</v>
      </c>
      <c r="E5843" s="741">
        <f t="shared" si="182"/>
        <v>122.21</v>
      </c>
      <c r="F5843">
        <f t="shared" si="183"/>
        <v>103321</v>
      </c>
      <c r="H5843" s="1406">
        <v>117.78</v>
      </c>
      <c r="I5843" s="1406">
        <v>122.21</v>
      </c>
    </row>
    <row r="5844" spans="2:9" ht="30">
      <c r="B5844" s="677">
        <v>103336</v>
      </c>
      <c r="C5844" s="733" t="s">
        <v>5509</v>
      </c>
      <c r="D5844" s="677" t="s">
        <v>0</v>
      </c>
      <c r="E5844" s="738">
        <f t="shared" si="182"/>
        <v>85.95</v>
      </c>
      <c r="F5844">
        <f t="shared" si="183"/>
        <v>103336</v>
      </c>
      <c r="H5844" s="1405">
        <v>82.4</v>
      </c>
      <c r="I5844" s="1405">
        <v>85.95</v>
      </c>
    </row>
    <row r="5845" spans="2:9" ht="30">
      <c r="B5845" s="1477">
        <v>103337</v>
      </c>
      <c r="C5845" s="740" t="s">
        <v>5510</v>
      </c>
      <c r="D5845" s="739" t="s">
        <v>0</v>
      </c>
      <c r="E5845" s="741">
        <f t="shared" si="182"/>
        <v>87.04</v>
      </c>
      <c r="F5845">
        <f t="shared" si="183"/>
        <v>103337</v>
      </c>
      <c r="H5845" s="1406">
        <v>83.38</v>
      </c>
      <c r="I5845" s="1406">
        <v>87.04</v>
      </c>
    </row>
    <row r="5846" spans="2:9" ht="30">
      <c r="B5846" s="677">
        <v>103338</v>
      </c>
      <c r="C5846" s="733" t="s">
        <v>5511</v>
      </c>
      <c r="D5846" s="677" t="s">
        <v>0</v>
      </c>
      <c r="E5846" s="738">
        <f t="shared" si="182"/>
        <v>112.76</v>
      </c>
      <c r="F5846">
        <f t="shared" si="183"/>
        <v>103338</v>
      </c>
      <c r="H5846" s="1405">
        <v>107.92</v>
      </c>
      <c r="I5846" s="1405">
        <v>112.76</v>
      </c>
    </row>
    <row r="5847" spans="2:9" ht="30">
      <c r="B5847" s="1477">
        <v>103339</v>
      </c>
      <c r="C5847" s="740" t="s">
        <v>5512</v>
      </c>
      <c r="D5847" s="739" t="s">
        <v>0</v>
      </c>
      <c r="E5847" s="741">
        <f t="shared" si="182"/>
        <v>114.04</v>
      </c>
      <c r="F5847">
        <f t="shared" si="183"/>
        <v>103339</v>
      </c>
      <c r="H5847" s="1406">
        <v>109.06</v>
      </c>
      <c r="I5847" s="1406">
        <v>114.04</v>
      </c>
    </row>
    <row r="5848" spans="2:9" ht="30">
      <c r="B5848" s="677">
        <v>103340</v>
      </c>
      <c r="C5848" s="733" t="s">
        <v>5513</v>
      </c>
      <c r="D5848" s="677" t="s">
        <v>0</v>
      </c>
      <c r="E5848" s="738">
        <f t="shared" si="182"/>
        <v>137.25</v>
      </c>
      <c r="F5848">
        <f t="shared" si="183"/>
        <v>103340</v>
      </c>
      <c r="H5848" s="1405">
        <v>131.75</v>
      </c>
      <c r="I5848" s="1405">
        <v>137.25</v>
      </c>
    </row>
    <row r="5849" spans="2:9" ht="30">
      <c r="B5849" s="1477">
        <v>103341</v>
      </c>
      <c r="C5849" s="740" t="s">
        <v>5514</v>
      </c>
      <c r="D5849" s="739" t="s">
        <v>0</v>
      </c>
      <c r="E5849" s="741">
        <f t="shared" si="182"/>
        <v>138.86000000000001</v>
      </c>
      <c r="F5849">
        <f t="shared" si="183"/>
        <v>103341</v>
      </c>
      <c r="H5849" s="1406">
        <v>133.18</v>
      </c>
      <c r="I5849" s="1406">
        <v>138.86000000000001</v>
      </c>
    </row>
    <row r="5850" spans="2:9" ht="30">
      <c r="B5850" s="677">
        <v>103342</v>
      </c>
      <c r="C5850" s="733" t="s">
        <v>5515</v>
      </c>
      <c r="D5850" s="677" t="s">
        <v>0</v>
      </c>
      <c r="E5850" s="738">
        <f t="shared" si="182"/>
        <v>116.89</v>
      </c>
      <c r="F5850">
        <f t="shared" si="183"/>
        <v>103342</v>
      </c>
      <c r="H5850" s="1405">
        <v>112.65</v>
      </c>
      <c r="I5850" s="1405">
        <v>116.89</v>
      </c>
    </row>
    <row r="5851" spans="2:9" ht="30">
      <c r="B5851" s="1477">
        <v>103343</v>
      </c>
      <c r="C5851" s="740" t="s">
        <v>5516</v>
      </c>
      <c r="D5851" s="739" t="s">
        <v>0</v>
      </c>
      <c r="E5851" s="741">
        <f t="shared" si="182"/>
        <v>118.31</v>
      </c>
      <c r="F5851">
        <f t="shared" si="183"/>
        <v>103343</v>
      </c>
      <c r="H5851" s="1406">
        <v>113.92</v>
      </c>
      <c r="I5851" s="1406">
        <v>118.31</v>
      </c>
    </row>
    <row r="5852" spans="2:9" ht="30">
      <c r="B5852" s="677">
        <v>89453</v>
      </c>
      <c r="C5852" s="733" t="s">
        <v>7152</v>
      </c>
      <c r="D5852" s="677" t="s">
        <v>0</v>
      </c>
      <c r="E5852" s="738">
        <f t="shared" si="182"/>
        <v>90</v>
      </c>
      <c r="F5852">
        <f t="shared" si="183"/>
        <v>89453</v>
      </c>
      <c r="H5852" s="1405">
        <v>87.82</v>
      </c>
      <c r="I5852" s="1405">
        <v>90</v>
      </c>
    </row>
    <row r="5853" spans="2:9" ht="30">
      <c r="B5853" s="1477">
        <v>89455</v>
      </c>
      <c r="C5853" s="740" t="s">
        <v>7153</v>
      </c>
      <c r="D5853" s="739" t="s">
        <v>0</v>
      </c>
      <c r="E5853" s="741">
        <f t="shared" si="182"/>
        <v>110.23</v>
      </c>
      <c r="F5853">
        <f t="shared" si="183"/>
        <v>89455</v>
      </c>
      <c r="H5853" s="1406">
        <v>107.91</v>
      </c>
      <c r="I5853" s="1406">
        <v>110.23</v>
      </c>
    </row>
    <row r="5854" spans="2:9" ht="30">
      <c r="B5854" s="677">
        <v>89462</v>
      </c>
      <c r="C5854" s="733" t="s">
        <v>7154</v>
      </c>
      <c r="D5854" s="677" t="s">
        <v>0</v>
      </c>
      <c r="E5854" s="738">
        <f t="shared" si="182"/>
        <v>117.31</v>
      </c>
      <c r="F5854">
        <f t="shared" si="183"/>
        <v>89462</v>
      </c>
      <c r="H5854" s="1405">
        <v>113.77</v>
      </c>
      <c r="I5854" s="1405">
        <v>117.31</v>
      </c>
    </row>
    <row r="5855" spans="2:9" ht="30">
      <c r="B5855" s="1477">
        <v>89464</v>
      </c>
      <c r="C5855" s="740" t="s">
        <v>8083</v>
      </c>
      <c r="D5855" s="739" t="s">
        <v>0</v>
      </c>
      <c r="E5855" s="741">
        <f t="shared" si="182"/>
        <v>139.38</v>
      </c>
      <c r="F5855">
        <f t="shared" si="183"/>
        <v>89464</v>
      </c>
      <c r="H5855" s="1406">
        <v>135.57</v>
      </c>
      <c r="I5855" s="1406">
        <v>139.38</v>
      </c>
    </row>
    <row r="5856" spans="2:9" ht="30">
      <c r="B5856" s="677">
        <v>89470</v>
      </c>
      <c r="C5856" s="733" t="s">
        <v>7155</v>
      </c>
      <c r="D5856" s="677" t="s">
        <v>0</v>
      </c>
      <c r="E5856" s="738">
        <f t="shared" si="182"/>
        <v>100.91</v>
      </c>
      <c r="F5856">
        <f t="shared" si="183"/>
        <v>89470</v>
      </c>
      <c r="H5856" s="1405">
        <v>97.88</v>
      </c>
      <c r="I5856" s="1405">
        <v>100.91</v>
      </c>
    </row>
    <row r="5857" spans="2:9" ht="30">
      <c r="B5857" s="1477">
        <v>89472</v>
      </c>
      <c r="C5857" s="740" t="s">
        <v>7156</v>
      </c>
      <c r="D5857" s="739" t="s">
        <v>0</v>
      </c>
      <c r="E5857" s="741">
        <f t="shared" si="182"/>
        <v>122.25</v>
      </c>
      <c r="F5857">
        <f t="shared" si="183"/>
        <v>89472</v>
      </c>
      <c r="H5857" s="1406">
        <v>119</v>
      </c>
      <c r="I5857" s="1406">
        <v>122.25</v>
      </c>
    </row>
    <row r="5858" spans="2:9" ht="30">
      <c r="B5858" s="677">
        <v>89478</v>
      </c>
      <c r="C5858" s="733" t="s">
        <v>7157</v>
      </c>
      <c r="D5858" s="677" t="s">
        <v>0</v>
      </c>
      <c r="E5858" s="738">
        <f t="shared" si="182"/>
        <v>135.05000000000001</v>
      </c>
      <c r="F5858">
        <f t="shared" si="183"/>
        <v>89478</v>
      </c>
      <c r="H5858" s="1405">
        <v>130</v>
      </c>
      <c r="I5858" s="1405">
        <v>135.05000000000001</v>
      </c>
    </row>
    <row r="5859" spans="2:9" ht="30">
      <c r="B5859" s="1477">
        <v>89480</v>
      </c>
      <c r="C5859" s="740" t="s">
        <v>7158</v>
      </c>
      <c r="D5859" s="739" t="s">
        <v>0</v>
      </c>
      <c r="E5859" s="741">
        <f t="shared" si="182"/>
        <v>158.26</v>
      </c>
      <c r="F5859">
        <f t="shared" si="183"/>
        <v>89480</v>
      </c>
      <c r="H5859" s="1406">
        <v>152.85</v>
      </c>
      <c r="I5859" s="1406">
        <v>158.26</v>
      </c>
    </row>
    <row r="5860" spans="2:9" ht="30">
      <c r="B5860" s="677">
        <v>101161</v>
      </c>
      <c r="C5860" s="733" t="s">
        <v>3235</v>
      </c>
      <c r="D5860" s="677" t="s">
        <v>0</v>
      </c>
      <c r="E5860" s="738">
        <f t="shared" si="182"/>
        <v>231.76</v>
      </c>
      <c r="F5860">
        <f t="shared" si="183"/>
        <v>101161</v>
      </c>
      <c r="H5860" s="1405">
        <v>224.19</v>
      </c>
      <c r="I5860" s="1405">
        <v>231.76</v>
      </c>
    </row>
    <row r="5861" spans="2:9" ht="30">
      <c r="B5861" s="1477">
        <v>101163</v>
      </c>
      <c r="C5861" s="740" t="s">
        <v>3236</v>
      </c>
      <c r="D5861" s="739" t="s">
        <v>0</v>
      </c>
      <c r="E5861" s="741">
        <f t="shared" si="182"/>
        <v>952.66</v>
      </c>
      <c r="F5861">
        <f t="shared" si="183"/>
        <v>101163</v>
      </c>
      <c r="H5861" s="1406">
        <v>937.2</v>
      </c>
      <c r="I5861" s="1406">
        <v>952.66</v>
      </c>
    </row>
    <row r="5862" spans="2:9" ht="30">
      <c r="B5862" s="677">
        <v>101164</v>
      </c>
      <c r="C5862" s="733" t="s">
        <v>3237</v>
      </c>
      <c r="D5862" s="677" t="s">
        <v>0</v>
      </c>
      <c r="E5862" s="738">
        <f t="shared" si="182"/>
        <v>966.31</v>
      </c>
      <c r="F5862">
        <f t="shared" si="183"/>
        <v>101164</v>
      </c>
      <c r="H5862" s="1405">
        <v>950.79</v>
      </c>
      <c r="I5862" s="1405">
        <v>966.31</v>
      </c>
    </row>
    <row r="5863" spans="2:9" ht="30">
      <c r="B5863" s="1477">
        <v>96358</v>
      </c>
      <c r="C5863" s="740" t="s">
        <v>8120</v>
      </c>
      <c r="D5863" s="739" t="s">
        <v>0</v>
      </c>
      <c r="E5863" s="741">
        <f t="shared" si="182"/>
        <v>96.52</v>
      </c>
      <c r="F5863">
        <f t="shared" si="183"/>
        <v>96358</v>
      </c>
      <c r="H5863" s="1406">
        <v>94.93</v>
      </c>
      <c r="I5863" s="1406">
        <v>96.52</v>
      </c>
    </row>
    <row r="5864" spans="2:9" ht="30">
      <c r="B5864" s="677">
        <v>96359</v>
      </c>
      <c r="C5864" s="733" t="s">
        <v>8121</v>
      </c>
      <c r="D5864" s="677" t="s">
        <v>0</v>
      </c>
      <c r="E5864" s="738">
        <f t="shared" si="182"/>
        <v>106.26</v>
      </c>
      <c r="F5864">
        <f t="shared" si="183"/>
        <v>96359</v>
      </c>
      <c r="H5864" s="1405">
        <v>104.44</v>
      </c>
      <c r="I5864" s="1405">
        <v>106.26</v>
      </c>
    </row>
    <row r="5865" spans="2:9" ht="30">
      <c r="B5865" s="1477">
        <v>96360</v>
      </c>
      <c r="C5865" s="740" t="s">
        <v>8122</v>
      </c>
      <c r="D5865" s="739" t="s">
        <v>0</v>
      </c>
      <c r="E5865" s="741">
        <f t="shared" si="182"/>
        <v>121.3</v>
      </c>
      <c r="F5865">
        <f t="shared" si="183"/>
        <v>96360</v>
      </c>
      <c r="H5865" s="1406">
        <v>119.42</v>
      </c>
      <c r="I5865" s="1406">
        <v>121.3</v>
      </c>
    </row>
    <row r="5866" spans="2:9" ht="30">
      <c r="B5866" s="677">
        <v>96361</v>
      </c>
      <c r="C5866" s="733" t="s">
        <v>8123</v>
      </c>
      <c r="D5866" s="677" t="s">
        <v>0</v>
      </c>
      <c r="E5866" s="738">
        <f t="shared" si="182"/>
        <v>139.74</v>
      </c>
      <c r="F5866">
        <f t="shared" si="183"/>
        <v>96361</v>
      </c>
      <c r="H5866" s="1405">
        <v>137.52000000000001</v>
      </c>
      <c r="I5866" s="1405">
        <v>139.74</v>
      </c>
    </row>
    <row r="5867" spans="2:9" ht="30">
      <c r="B5867" s="1477">
        <v>96362</v>
      </c>
      <c r="C5867" s="740" t="s">
        <v>8124</v>
      </c>
      <c r="D5867" s="739" t="s">
        <v>0</v>
      </c>
      <c r="E5867" s="741">
        <f t="shared" si="182"/>
        <v>127.22</v>
      </c>
      <c r="F5867">
        <f t="shared" si="183"/>
        <v>96362</v>
      </c>
      <c r="H5867" s="1406">
        <v>125.34</v>
      </c>
      <c r="I5867" s="1406">
        <v>127.22</v>
      </c>
    </row>
    <row r="5868" spans="2:9" ht="30">
      <c r="B5868" s="677">
        <v>96363</v>
      </c>
      <c r="C5868" s="733" t="s">
        <v>8125</v>
      </c>
      <c r="D5868" s="677" t="s">
        <v>0</v>
      </c>
      <c r="E5868" s="738">
        <f t="shared" si="182"/>
        <v>137.47999999999999</v>
      </c>
      <c r="F5868">
        <f t="shared" si="183"/>
        <v>96363</v>
      </c>
      <c r="H5868" s="1405">
        <v>135.32</v>
      </c>
      <c r="I5868" s="1405">
        <v>137.47999999999999</v>
      </c>
    </row>
    <row r="5869" spans="2:9" ht="30">
      <c r="B5869" s="1477">
        <v>96364</v>
      </c>
      <c r="C5869" s="740" t="s">
        <v>8126</v>
      </c>
      <c r="D5869" s="739" t="s">
        <v>0</v>
      </c>
      <c r="E5869" s="741">
        <f t="shared" si="182"/>
        <v>151.99</v>
      </c>
      <c r="F5869">
        <f t="shared" si="183"/>
        <v>96364</v>
      </c>
      <c r="H5869" s="1406">
        <v>149.83000000000001</v>
      </c>
      <c r="I5869" s="1406">
        <v>151.99</v>
      </c>
    </row>
    <row r="5870" spans="2:9" ht="30">
      <c r="B5870" s="677">
        <v>96365</v>
      </c>
      <c r="C5870" s="733" t="s">
        <v>8127</v>
      </c>
      <c r="D5870" s="677" t="s">
        <v>0</v>
      </c>
      <c r="E5870" s="738">
        <f t="shared" si="182"/>
        <v>170.98</v>
      </c>
      <c r="F5870">
        <f t="shared" si="183"/>
        <v>96365</v>
      </c>
      <c r="H5870" s="1405">
        <v>168.43</v>
      </c>
      <c r="I5870" s="1405">
        <v>170.98</v>
      </c>
    </row>
    <row r="5871" spans="2:9" ht="30">
      <c r="B5871" s="1477">
        <v>96366</v>
      </c>
      <c r="C5871" s="740" t="s">
        <v>8128</v>
      </c>
      <c r="D5871" s="739" t="s">
        <v>0</v>
      </c>
      <c r="E5871" s="741">
        <f t="shared" si="182"/>
        <v>157.9</v>
      </c>
      <c r="F5871">
        <f t="shared" si="183"/>
        <v>96366</v>
      </c>
      <c r="H5871" s="1406">
        <v>155.74</v>
      </c>
      <c r="I5871" s="1406">
        <v>157.9</v>
      </c>
    </row>
    <row r="5872" spans="2:9" ht="30">
      <c r="B5872" s="677">
        <v>96367</v>
      </c>
      <c r="C5872" s="733" t="s">
        <v>8129</v>
      </c>
      <c r="D5872" s="677" t="s">
        <v>0</v>
      </c>
      <c r="E5872" s="738">
        <f t="shared" si="182"/>
        <v>168.69</v>
      </c>
      <c r="F5872">
        <f t="shared" si="183"/>
        <v>96367</v>
      </c>
      <c r="H5872" s="1405">
        <v>166.2</v>
      </c>
      <c r="I5872" s="1405">
        <v>168.69</v>
      </c>
    </row>
    <row r="5873" spans="2:9" ht="30">
      <c r="B5873" s="1477">
        <v>96368</v>
      </c>
      <c r="C5873" s="740" t="s">
        <v>8130</v>
      </c>
      <c r="D5873" s="739" t="s">
        <v>0</v>
      </c>
      <c r="E5873" s="741">
        <f t="shared" si="182"/>
        <v>182.7</v>
      </c>
      <c r="F5873">
        <f t="shared" si="183"/>
        <v>96368</v>
      </c>
      <c r="H5873" s="1406">
        <v>180.26</v>
      </c>
      <c r="I5873" s="1406">
        <v>182.7</v>
      </c>
    </row>
    <row r="5874" spans="2:9" ht="30">
      <c r="B5874" s="677">
        <v>96369</v>
      </c>
      <c r="C5874" s="733" t="s">
        <v>8131</v>
      </c>
      <c r="D5874" s="677" t="s">
        <v>0</v>
      </c>
      <c r="E5874" s="738">
        <f t="shared" si="182"/>
        <v>202.19</v>
      </c>
      <c r="F5874">
        <f t="shared" si="183"/>
        <v>96369</v>
      </c>
      <c r="H5874" s="1405">
        <v>199.3</v>
      </c>
      <c r="I5874" s="1405">
        <v>202.19</v>
      </c>
    </row>
    <row r="5875" spans="2:9" ht="30">
      <c r="B5875" s="1477">
        <v>96370</v>
      </c>
      <c r="C5875" s="740" t="s">
        <v>8132</v>
      </c>
      <c r="D5875" s="739" t="s">
        <v>0</v>
      </c>
      <c r="E5875" s="741">
        <f t="shared" si="182"/>
        <v>61.72</v>
      </c>
      <c r="F5875">
        <f t="shared" si="183"/>
        <v>96370</v>
      </c>
      <c r="H5875" s="1406">
        <v>60.68</v>
      </c>
      <c r="I5875" s="1406">
        <v>61.72</v>
      </c>
    </row>
    <row r="5876" spans="2:9" ht="30">
      <c r="B5876" s="677">
        <v>96371</v>
      </c>
      <c r="C5876" s="733" t="s">
        <v>8133</v>
      </c>
      <c r="D5876" s="677" t="s">
        <v>0</v>
      </c>
      <c r="E5876" s="738">
        <f t="shared" si="182"/>
        <v>70.92</v>
      </c>
      <c r="F5876">
        <f t="shared" si="183"/>
        <v>96371</v>
      </c>
      <c r="H5876" s="1405">
        <v>69.7</v>
      </c>
      <c r="I5876" s="1405">
        <v>70.92</v>
      </c>
    </row>
    <row r="5877" spans="2:9">
      <c r="B5877" s="1477">
        <v>96373</v>
      </c>
      <c r="C5877" s="740" t="s">
        <v>8134</v>
      </c>
      <c r="D5877" s="739" t="s">
        <v>21</v>
      </c>
      <c r="E5877" s="741">
        <f t="shared" si="182"/>
        <v>9.99</v>
      </c>
      <c r="F5877">
        <f t="shared" si="183"/>
        <v>96373</v>
      </c>
      <c r="H5877" s="1406">
        <v>9.7899999999999991</v>
      </c>
      <c r="I5877" s="1406">
        <v>9.99</v>
      </c>
    </row>
    <row r="5878" spans="2:9">
      <c r="B5878" s="677">
        <v>96374</v>
      </c>
      <c r="C5878" s="733" t="s">
        <v>8135</v>
      </c>
      <c r="D5878" s="677" t="s">
        <v>21</v>
      </c>
      <c r="E5878" s="738">
        <f t="shared" si="182"/>
        <v>25.49</v>
      </c>
      <c r="F5878">
        <f t="shared" si="183"/>
        <v>96374</v>
      </c>
      <c r="H5878" s="1405">
        <v>25.24</v>
      </c>
      <c r="I5878" s="1405">
        <v>25.49</v>
      </c>
    </row>
    <row r="5879" spans="2:9">
      <c r="B5879" s="1477">
        <v>102235</v>
      </c>
      <c r="C5879" s="740" t="s">
        <v>7860</v>
      </c>
      <c r="D5879" s="739" t="s">
        <v>0</v>
      </c>
      <c r="E5879" s="741">
        <f t="shared" si="182"/>
        <v>514.25</v>
      </c>
      <c r="F5879">
        <f t="shared" si="183"/>
        <v>102235</v>
      </c>
      <c r="H5879" s="1406">
        <v>508.17</v>
      </c>
      <c r="I5879" s="1406">
        <v>514.25</v>
      </c>
    </row>
    <row r="5880" spans="2:9" ht="30">
      <c r="B5880" s="677">
        <v>102253</v>
      </c>
      <c r="C5880" s="733" t="s">
        <v>4554</v>
      </c>
      <c r="D5880" s="677" t="s">
        <v>0</v>
      </c>
      <c r="E5880" s="738">
        <f t="shared" si="182"/>
        <v>843.39</v>
      </c>
      <c r="F5880">
        <f t="shared" si="183"/>
        <v>102253</v>
      </c>
      <c r="H5880" s="1405">
        <v>835.04</v>
      </c>
      <c r="I5880" s="1405">
        <v>843.39</v>
      </c>
    </row>
    <row r="5881" spans="2:9" ht="30">
      <c r="B5881" s="1477">
        <v>102254</v>
      </c>
      <c r="C5881" s="740" t="s">
        <v>4555</v>
      </c>
      <c r="D5881" s="739" t="s">
        <v>0</v>
      </c>
      <c r="E5881" s="741">
        <f t="shared" si="182"/>
        <v>749.34</v>
      </c>
      <c r="F5881">
        <f t="shared" si="183"/>
        <v>102254</v>
      </c>
      <c r="H5881" s="1406">
        <v>740.99</v>
      </c>
      <c r="I5881" s="1406">
        <v>749.34</v>
      </c>
    </row>
    <row r="5882" spans="2:9">
      <c r="B5882" s="677">
        <v>102255</v>
      </c>
      <c r="C5882" s="733" t="s">
        <v>4556</v>
      </c>
      <c r="D5882" s="677" t="s">
        <v>0</v>
      </c>
      <c r="E5882" s="738">
        <f t="shared" si="182"/>
        <v>859.35</v>
      </c>
      <c r="F5882">
        <f t="shared" si="183"/>
        <v>102255</v>
      </c>
      <c r="H5882" s="1405">
        <v>843.21</v>
      </c>
      <c r="I5882" s="1405">
        <v>859.35</v>
      </c>
    </row>
    <row r="5883" spans="2:9">
      <c r="B5883" s="1477">
        <v>102256</v>
      </c>
      <c r="C5883" s="740" t="s">
        <v>4557</v>
      </c>
      <c r="D5883" s="739" t="s">
        <v>0</v>
      </c>
      <c r="E5883" s="741">
        <f t="shared" si="182"/>
        <v>769.78</v>
      </c>
      <c r="F5883">
        <f t="shared" si="183"/>
        <v>102256</v>
      </c>
      <c r="H5883" s="1406">
        <v>753.64</v>
      </c>
      <c r="I5883" s="1406">
        <v>769.78</v>
      </c>
    </row>
    <row r="5884" spans="2:9" ht="30">
      <c r="B5884" s="677">
        <v>102257</v>
      </c>
      <c r="C5884" s="733" t="s">
        <v>4558</v>
      </c>
      <c r="D5884" s="677" t="s">
        <v>0</v>
      </c>
      <c r="E5884" s="738">
        <f t="shared" si="182"/>
        <v>342.08</v>
      </c>
      <c r="F5884">
        <f t="shared" si="183"/>
        <v>102257</v>
      </c>
      <c r="H5884" s="1405">
        <v>334.54</v>
      </c>
      <c r="I5884" s="1405">
        <v>342.08</v>
      </c>
    </row>
    <row r="5885" spans="2:9">
      <c r="B5885" s="1477">
        <v>102258</v>
      </c>
      <c r="C5885" s="740" t="s">
        <v>4559</v>
      </c>
      <c r="D5885" s="739" t="s">
        <v>0</v>
      </c>
      <c r="E5885" s="741">
        <f t="shared" si="182"/>
        <v>375.21</v>
      </c>
      <c r="F5885">
        <f t="shared" si="183"/>
        <v>102258</v>
      </c>
      <c r="H5885" s="1406">
        <v>360.55</v>
      </c>
      <c r="I5885" s="1406">
        <v>375.21</v>
      </c>
    </row>
    <row r="5886" spans="2:9" ht="30">
      <c r="B5886" s="677">
        <v>104718</v>
      </c>
      <c r="C5886" s="733" t="s">
        <v>8136</v>
      </c>
      <c r="D5886" s="677" t="s">
        <v>0</v>
      </c>
      <c r="E5886" s="738">
        <f t="shared" si="182"/>
        <v>123.72</v>
      </c>
      <c r="F5886">
        <f t="shared" si="183"/>
        <v>104718</v>
      </c>
      <c r="H5886" s="1405">
        <v>121.43</v>
      </c>
      <c r="I5886" s="1405">
        <v>123.72</v>
      </c>
    </row>
    <row r="5887" spans="2:9" ht="30">
      <c r="B5887" s="1477">
        <v>104719</v>
      </c>
      <c r="C5887" s="740" t="s">
        <v>8137</v>
      </c>
      <c r="D5887" s="739" t="s">
        <v>0</v>
      </c>
      <c r="E5887" s="741">
        <f t="shared" si="182"/>
        <v>172.02</v>
      </c>
      <c r="F5887">
        <f t="shared" si="183"/>
        <v>104719</v>
      </c>
      <c r="H5887" s="1406">
        <v>169.1</v>
      </c>
      <c r="I5887" s="1406">
        <v>172.02</v>
      </c>
    </row>
    <row r="5888" spans="2:9" ht="30">
      <c r="B5888" s="677">
        <v>104720</v>
      </c>
      <c r="C5888" s="733" t="s">
        <v>8138</v>
      </c>
      <c r="D5888" s="677" t="s">
        <v>0</v>
      </c>
      <c r="E5888" s="738">
        <f t="shared" si="182"/>
        <v>156</v>
      </c>
      <c r="F5888">
        <f t="shared" si="183"/>
        <v>104720</v>
      </c>
      <c r="H5888" s="1405">
        <v>153.26</v>
      </c>
      <c r="I5888" s="1405">
        <v>156</v>
      </c>
    </row>
    <row r="5889" spans="2:9" ht="30">
      <c r="B5889" s="1477">
        <v>104721</v>
      </c>
      <c r="C5889" s="740" t="s">
        <v>8139</v>
      </c>
      <c r="D5889" s="739" t="s">
        <v>0</v>
      </c>
      <c r="E5889" s="741">
        <f t="shared" si="182"/>
        <v>204.29</v>
      </c>
      <c r="F5889">
        <f t="shared" si="183"/>
        <v>104721</v>
      </c>
      <c r="H5889" s="1406">
        <v>200.93</v>
      </c>
      <c r="I5889" s="1406">
        <v>204.29</v>
      </c>
    </row>
    <row r="5890" spans="2:9" ht="30">
      <c r="B5890" s="677">
        <v>104722</v>
      </c>
      <c r="C5890" s="733" t="s">
        <v>8140</v>
      </c>
      <c r="D5890" s="677" t="s">
        <v>0</v>
      </c>
      <c r="E5890" s="738">
        <f t="shared" si="182"/>
        <v>188.26</v>
      </c>
      <c r="F5890">
        <f t="shared" si="183"/>
        <v>104722</v>
      </c>
      <c r="H5890" s="1405">
        <v>185.08</v>
      </c>
      <c r="I5890" s="1405">
        <v>188.26</v>
      </c>
    </row>
    <row r="5891" spans="2:9" ht="30">
      <c r="B5891" s="1477">
        <v>104723</v>
      </c>
      <c r="C5891" s="740" t="s">
        <v>8141</v>
      </c>
      <c r="D5891" s="739" t="s">
        <v>0</v>
      </c>
      <c r="E5891" s="741">
        <f t="shared" ref="E5891:E5954" si="184">IF($K$2=$H$1,H5891,I5891)</f>
        <v>236.56</v>
      </c>
      <c r="F5891">
        <f t="shared" ref="F5891:F5954" si="185">IF(LEN($B5891)=7,CONCATENATE(MID($B5891,1,6),"00",RIGHT($B5891,1)),IF(LEN($B5891)=8,CONCATENATE(MID($B5891,1,6),"0",RIGHT($B5891,2)),$B5891))</f>
        <v>104723</v>
      </c>
      <c r="H5891" s="1406">
        <v>232.75</v>
      </c>
      <c r="I5891" s="1406">
        <v>236.56</v>
      </c>
    </row>
    <row r="5892" spans="2:9" ht="30">
      <c r="B5892" s="677">
        <v>104724</v>
      </c>
      <c r="C5892" s="733" t="s">
        <v>8142</v>
      </c>
      <c r="D5892" s="677" t="s">
        <v>0</v>
      </c>
      <c r="E5892" s="738">
        <f t="shared" si="184"/>
        <v>87.34</v>
      </c>
      <c r="F5892">
        <f t="shared" si="185"/>
        <v>104724</v>
      </c>
      <c r="H5892" s="1405">
        <v>85.75</v>
      </c>
      <c r="I5892" s="1405">
        <v>87.34</v>
      </c>
    </row>
    <row r="5893" spans="2:9" ht="30">
      <c r="B5893" s="1477">
        <v>101154</v>
      </c>
      <c r="C5893" s="740" t="s">
        <v>3238</v>
      </c>
      <c r="D5893" s="739" t="s">
        <v>0</v>
      </c>
      <c r="E5893" s="741">
        <f t="shared" si="184"/>
        <v>126.81</v>
      </c>
      <c r="F5893">
        <f t="shared" si="185"/>
        <v>101154</v>
      </c>
      <c r="H5893" s="1406">
        <v>123.72</v>
      </c>
      <c r="I5893" s="1406">
        <v>126.81</v>
      </c>
    </row>
    <row r="5894" spans="2:9" ht="30">
      <c r="B5894" s="677">
        <v>101155</v>
      </c>
      <c r="C5894" s="733" t="s">
        <v>3239</v>
      </c>
      <c r="D5894" s="677" t="s">
        <v>0</v>
      </c>
      <c r="E5894" s="738">
        <f t="shared" si="184"/>
        <v>178.24</v>
      </c>
      <c r="F5894">
        <f t="shared" si="185"/>
        <v>101155</v>
      </c>
      <c r="H5894" s="1405">
        <v>174.15</v>
      </c>
      <c r="I5894" s="1405">
        <v>178.24</v>
      </c>
    </row>
    <row r="5895" spans="2:9" ht="30">
      <c r="B5895" s="1477">
        <v>101156</v>
      </c>
      <c r="C5895" s="740" t="s">
        <v>3240</v>
      </c>
      <c r="D5895" s="739" t="s">
        <v>0</v>
      </c>
      <c r="E5895" s="741">
        <f t="shared" si="184"/>
        <v>261.89999999999998</v>
      </c>
      <c r="F5895">
        <f t="shared" si="185"/>
        <v>101156</v>
      </c>
      <c r="H5895" s="1406">
        <v>256.33</v>
      </c>
      <c r="I5895" s="1406">
        <v>261.89999999999998</v>
      </c>
    </row>
    <row r="5896" spans="2:9" ht="30">
      <c r="B5896" s="677">
        <v>101814</v>
      </c>
      <c r="C5896" s="733" t="s">
        <v>4670</v>
      </c>
      <c r="D5896" s="677" t="s">
        <v>0</v>
      </c>
      <c r="E5896" s="738">
        <f t="shared" si="184"/>
        <v>50.8</v>
      </c>
      <c r="F5896">
        <f t="shared" si="185"/>
        <v>101814</v>
      </c>
      <c r="H5896" s="1405">
        <v>48.04</v>
      </c>
      <c r="I5896" s="1405">
        <v>50.8</v>
      </c>
    </row>
    <row r="5897" spans="2:9" ht="30">
      <c r="B5897" s="1477">
        <v>101816</v>
      </c>
      <c r="C5897" s="740" t="s">
        <v>4671</v>
      </c>
      <c r="D5897" s="739" t="s">
        <v>0</v>
      </c>
      <c r="E5897" s="741">
        <f t="shared" si="184"/>
        <v>76.510000000000005</v>
      </c>
      <c r="F5897">
        <f t="shared" si="185"/>
        <v>101816</v>
      </c>
      <c r="H5897" s="1406">
        <v>73.040000000000006</v>
      </c>
      <c r="I5897" s="1406">
        <v>76.510000000000005</v>
      </c>
    </row>
    <row r="5898" spans="2:9" ht="30">
      <c r="B5898" s="677">
        <v>101817</v>
      </c>
      <c r="C5898" s="733" t="s">
        <v>4672</v>
      </c>
      <c r="D5898" s="677" t="s">
        <v>0</v>
      </c>
      <c r="E5898" s="738">
        <f t="shared" si="184"/>
        <v>53.78</v>
      </c>
      <c r="F5898">
        <f t="shared" si="185"/>
        <v>101817</v>
      </c>
      <c r="H5898" s="1405">
        <v>50.42</v>
      </c>
      <c r="I5898" s="1405">
        <v>53.78</v>
      </c>
    </row>
    <row r="5899" spans="2:9" ht="30">
      <c r="B5899" s="1477">
        <v>101819</v>
      </c>
      <c r="C5899" s="740" t="s">
        <v>4673</v>
      </c>
      <c r="D5899" s="739" t="s">
        <v>0</v>
      </c>
      <c r="E5899" s="741">
        <f t="shared" si="184"/>
        <v>67.94</v>
      </c>
      <c r="F5899">
        <f t="shared" si="185"/>
        <v>101819</v>
      </c>
      <c r="H5899" s="1406">
        <v>64.03</v>
      </c>
      <c r="I5899" s="1406">
        <v>67.94</v>
      </c>
    </row>
    <row r="5900" spans="2:9" ht="30">
      <c r="B5900" s="677">
        <v>101820</v>
      </c>
      <c r="C5900" s="733" t="s">
        <v>4674</v>
      </c>
      <c r="D5900" s="677" t="s">
        <v>0</v>
      </c>
      <c r="E5900" s="738">
        <f t="shared" si="184"/>
        <v>43.02</v>
      </c>
      <c r="F5900">
        <f t="shared" si="185"/>
        <v>101820</v>
      </c>
      <c r="H5900" s="1405">
        <v>39.65</v>
      </c>
      <c r="I5900" s="1405">
        <v>43.02</v>
      </c>
    </row>
    <row r="5901" spans="2:9" ht="30">
      <c r="B5901" s="1477">
        <v>101822</v>
      </c>
      <c r="C5901" s="740" t="s">
        <v>4675</v>
      </c>
      <c r="D5901" s="739" t="s">
        <v>19</v>
      </c>
      <c r="E5901" s="741">
        <f t="shared" si="184"/>
        <v>110.5</v>
      </c>
      <c r="F5901">
        <f t="shared" si="185"/>
        <v>101822</v>
      </c>
      <c r="H5901" s="1406">
        <v>99.74</v>
      </c>
      <c r="I5901" s="1406">
        <v>110.5</v>
      </c>
    </row>
    <row r="5902" spans="2:9" ht="30">
      <c r="B5902" s="677">
        <v>101823</v>
      </c>
      <c r="C5902" s="733" t="s">
        <v>4676</v>
      </c>
      <c r="D5902" s="677" t="s">
        <v>19</v>
      </c>
      <c r="E5902" s="738">
        <f t="shared" si="184"/>
        <v>150.96</v>
      </c>
      <c r="F5902">
        <f t="shared" si="185"/>
        <v>101823</v>
      </c>
      <c r="H5902" s="1405">
        <v>140.19999999999999</v>
      </c>
      <c r="I5902" s="1405">
        <v>150.96</v>
      </c>
    </row>
    <row r="5903" spans="2:9" ht="30">
      <c r="B5903" s="1477">
        <v>101824</v>
      </c>
      <c r="C5903" s="740" t="s">
        <v>4677</v>
      </c>
      <c r="D5903" s="739" t="s">
        <v>19</v>
      </c>
      <c r="E5903" s="741">
        <f t="shared" si="184"/>
        <v>188.63</v>
      </c>
      <c r="F5903">
        <f t="shared" si="185"/>
        <v>101824</v>
      </c>
      <c r="H5903" s="1406">
        <v>177.87</v>
      </c>
      <c r="I5903" s="1406">
        <v>188.63</v>
      </c>
    </row>
    <row r="5904" spans="2:9" ht="30">
      <c r="B5904" s="677">
        <v>101825</v>
      </c>
      <c r="C5904" s="733" t="s">
        <v>4678</v>
      </c>
      <c r="D5904" s="677" t="s">
        <v>19</v>
      </c>
      <c r="E5904" s="738">
        <f t="shared" si="184"/>
        <v>225.29</v>
      </c>
      <c r="F5904">
        <f t="shared" si="185"/>
        <v>101825</v>
      </c>
      <c r="H5904" s="1405">
        <v>214.53</v>
      </c>
      <c r="I5904" s="1405">
        <v>225.29</v>
      </c>
    </row>
    <row r="5905" spans="2:9" ht="30">
      <c r="B5905" s="1477">
        <v>101826</v>
      </c>
      <c r="C5905" s="740" t="s">
        <v>4679</v>
      </c>
      <c r="D5905" s="739" t="s">
        <v>19</v>
      </c>
      <c r="E5905" s="741">
        <f t="shared" si="184"/>
        <v>261.47000000000003</v>
      </c>
      <c r="F5905">
        <f t="shared" si="185"/>
        <v>101826</v>
      </c>
      <c r="H5905" s="1406">
        <v>250.71</v>
      </c>
      <c r="I5905" s="1406">
        <v>261.47000000000003</v>
      </c>
    </row>
    <row r="5906" spans="2:9" ht="30">
      <c r="B5906" s="677">
        <v>101827</v>
      </c>
      <c r="C5906" s="733" t="s">
        <v>4680</v>
      </c>
      <c r="D5906" s="677" t="s">
        <v>19</v>
      </c>
      <c r="E5906" s="738">
        <f t="shared" si="184"/>
        <v>229.52</v>
      </c>
      <c r="F5906">
        <f t="shared" si="185"/>
        <v>101827</v>
      </c>
      <c r="H5906" s="1405">
        <v>218.76</v>
      </c>
      <c r="I5906" s="1405">
        <v>229.52</v>
      </c>
    </row>
    <row r="5907" spans="2:9" ht="30">
      <c r="B5907" s="1477">
        <v>101828</v>
      </c>
      <c r="C5907" s="740" t="s">
        <v>4681</v>
      </c>
      <c r="D5907" s="739" t="s">
        <v>19</v>
      </c>
      <c r="E5907" s="741">
        <f t="shared" si="184"/>
        <v>209.69</v>
      </c>
      <c r="F5907">
        <f t="shared" si="185"/>
        <v>101828</v>
      </c>
      <c r="H5907" s="1406">
        <v>198.93</v>
      </c>
      <c r="I5907" s="1406">
        <v>209.69</v>
      </c>
    </row>
    <row r="5908" spans="2:9" ht="30">
      <c r="B5908" s="677">
        <v>101829</v>
      </c>
      <c r="C5908" s="733" t="s">
        <v>5360</v>
      </c>
      <c r="D5908" s="677" t="s">
        <v>19</v>
      </c>
      <c r="E5908" s="738">
        <f t="shared" si="184"/>
        <v>302.89</v>
      </c>
      <c r="F5908">
        <f t="shared" si="185"/>
        <v>101829</v>
      </c>
      <c r="H5908" s="1405">
        <v>292.13</v>
      </c>
      <c r="I5908" s="1405">
        <v>302.89</v>
      </c>
    </row>
    <row r="5909" spans="2:9" ht="30">
      <c r="B5909" s="1477">
        <v>101830</v>
      </c>
      <c r="C5909" s="740" t="s">
        <v>5361</v>
      </c>
      <c r="D5909" s="739" t="s">
        <v>19</v>
      </c>
      <c r="E5909" s="741">
        <f t="shared" si="184"/>
        <v>337.17</v>
      </c>
      <c r="F5909">
        <f t="shared" si="185"/>
        <v>101830</v>
      </c>
      <c r="H5909" s="1406">
        <v>326.41000000000003</v>
      </c>
      <c r="I5909" s="1406">
        <v>337.17</v>
      </c>
    </row>
    <row r="5910" spans="2:9" ht="30">
      <c r="B5910" s="677">
        <v>101831</v>
      </c>
      <c r="C5910" s="733" t="s">
        <v>5362</v>
      </c>
      <c r="D5910" s="677" t="s">
        <v>19</v>
      </c>
      <c r="E5910" s="738">
        <f t="shared" si="184"/>
        <v>370.97</v>
      </c>
      <c r="F5910">
        <f t="shared" si="185"/>
        <v>101831</v>
      </c>
      <c r="H5910" s="1405">
        <v>360.21</v>
      </c>
      <c r="I5910" s="1405">
        <v>370.97</v>
      </c>
    </row>
    <row r="5911" spans="2:9" ht="30">
      <c r="B5911" s="1477">
        <v>101832</v>
      </c>
      <c r="C5911" s="740" t="s">
        <v>4682</v>
      </c>
      <c r="D5911" s="739" t="s">
        <v>19</v>
      </c>
      <c r="E5911" s="741">
        <f t="shared" si="184"/>
        <v>283.85000000000002</v>
      </c>
      <c r="F5911">
        <f t="shared" si="185"/>
        <v>101832</v>
      </c>
      <c r="H5911" s="1406">
        <v>273.08999999999997</v>
      </c>
      <c r="I5911" s="1406">
        <v>283.85000000000002</v>
      </c>
    </row>
    <row r="5912" spans="2:9" ht="30">
      <c r="B5912" s="677">
        <v>101833</v>
      </c>
      <c r="C5912" s="733" t="s">
        <v>4683</v>
      </c>
      <c r="D5912" s="677" t="s">
        <v>19</v>
      </c>
      <c r="E5912" s="738">
        <f t="shared" si="184"/>
        <v>318.52</v>
      </c>
      <c r="F5912">
        <f t="shared" si="185"/>
        <v>101833</v>
      </c>
      <c r="H5912" s="1405">
        <v>307.76</v>
      </c>
      <c r="I5912" s="1405">
        <v>318.52</v>
      </c>
    </row>
    <row r="5913" spans="2:9" ht="30">
      <c r="B5913" s="1477">
        <v>101834</v>
      </c>
      <c r="C5913" s="740" t="s">
        <v>4684</v>
      </c>
      <c r="D5913" s="739" t="s">
        <v>19</v>
      </c>
      <c r="E5913" s="741">
        <f t="shared" si="184"/>
        <v>352.73</v>
      </c>
      <c r="F5913">
        <f t="shared" si="185"/>
        <v>101834</v>
      </c>
      <c r="H5913" s="1406">
        <v>341.97</v>
      </c>
      <c r="I5913" s="1406">
        <v>352.73</v>
      </c>
    </row>
    <row r="5914" spans="2:9" ht="30">
      <c r="B5914" s="677">
        <v>101835</v>
      </c>
      <c r="C5914" s="733" t="s">
        <v>4685</v>
      </c>
      <c r="D5914" s="677" t="s">
        <v>19</v>
      </c>
      <c r="E5914" s="738">
        <f t="shared" si="184"/>
        <v>336.4</v>
      </c>
      <c r="F5914">
        <f t="shared" si="185"/>
        <v>101835</v>
      </c>
      <c r="H5914" s="1405">
        <v>325.45999999999998</v>
      </c>
      <c r="I5914" s="1405">
        <v>336.4</v>
      </c>
    </row>
    <row r="5915" spans="2:9" ht="30">
      <c r="B5915" s="1477">
        <v>101836</v>
      </c>
      <c r="C5915" s="740" t="s">
        <v>4686</v>
      </c>
      <c r="D5915" s="739" t="s">
        <v>19</v>
      </c>
      <c r="E5915" s="741">
        <f t="shared" si="184"/>
        <v>24.65</v>
      </c>
      <c r="F5915">
        <f t="shared" si="185"/>
        <v>101836</v>
      </c>
      <c r="H5915" s="1406">
        <v>23.74</v>
      </c>
      <c r="I5915" s="1406">
        <v>24.65</v>
      </c>
    </row>
    <row r="5916" spans="2:9" ht="30">
      <c r="B5916" s="677">
        <v>101837</v>
      </c>
      <c r="C5916" s="733" t="s">
        <v>4687</v>
      </c>
      <c r="D5916" s="677" t="s">
        <v>19</v>
      </c>
      <c r="E5916" s="738">
        <f t="shared" si="184"/>
        <v>65.11</v>
      </c>
      <c r="F5916">
        <f t="shared" si="185"/>
        <v>101837</v>
      </c>
      <c r="H5916" s="1405">
        <v>64.2</v>
      </c>
      <c r="I5916" s="1405">
        <v>65.11</v>
      </c>
    </row>
    <row r="5917" spans="2:9" ht="30">
      <c r="B5917" s="1477">
        <v>101838</v>
      </c>
      <c r="C5917" s="740" t="s">
        <v>4688</v>
      </c>
      <c r="D5917" s="739" t="s">
        <v>19</v>
      </c>
      <c r="E5917" s="741">
        <f t="shared" si="184"/>
        <v>102.78</v>
      </c>
      <c r="F5917">
        <f t="shared" si="185"/>
        <v>101838</v>
      </c>
      <c r="H5917" s="1406">
        <v>101.87</v>
      </c>
      <c r="I5917" s="1406">
        <v>102.78</v>
      </c>
    </row>
    <row r="5918" spans="2:9" ht="30">
      <c r="B5918" s="677">
        <v>101839</v>
      </c>
      <c r="C5918" s="733" t="s">
        <v>4689</v>
      </c>
      <c r="D5918" s="677" t="s">
        <v>19</v>
      </c>
      <c r="E5918" s="738">
        <f t="shared" si="184"/>
        <v>139.44</v>
      </c>
      <c r="F5918">
        <f t="shared" si="185"/>
        <v>101839</v>
      </c>
      <c r="H5918" s="1405">
        <v>138.52000000000001</v>
      </c>
      <c r="I5918" s="1405">
        <v>139.44</v>
      </c>
    </row>
    <row r="5919" spans="2:9" ht="30">
      <c r="B5919" s="1477">
        <v>101840</v>
      </c>
      <c r="C5919" s="740" t="s">
        <v>4690</v>
      </c>
      <c r="D5919" s="739" t="s">
        <v>19</v>
      </c>
      <c r="E5919" s="741">
        <f t="shared" si="184"/>
        <v>217.44</v>
      </c>
      <c r="F5919">
        <f t="shared" si="185"/>
        <v>101840</v>
      </c>
      <c r="H5919" s="1406">
        <v>214.5</v>
      </c>
      <c r="I5919" s="1406">
        <v>217.44</v>
      </c>
    </row>
    <row r="5920" spans="2:9" ht="30">
      <c r="B5920" s="677">
        <v>101841</v>
      </c>
      <c r="C5920" s="733" t="s">
        <v>4691</v>
      </c>
      <c r="D5920" s="677" t="s">
        <v>19</v>
      </c>
      <c r="E5920" s="738">
        <f t="shared" si="184"/>
        <v>143.66999999999999</v>
      </c>
      <c r="F5920">
        <f t="shared" si="185"/>
        <v>101841</v>
      </c>
      <c r="H5920" s="1405">
        <v>142.76</v>
      </c>
      <c r="I5920" s="1405">
        <v>143.66999999999999</v>
      </c>
    </row>
    <row r="5921" spans="2:9" ht="30">
      <c r="B5921" s="1477">
        <v>101842</v>
      </c>
      <c r="C5921" s="740" t="s">
        <v>4692</v>
      </c>
      <c r="D5921" s="739" t="s">
        <v>19</v>
      </c>
      <c r="E5921" s="741">
        <f t="shared" si="184"/>
        <v>123.84</v>
      </c>
      <c r="F5921">
        <f t="shared" si="185"/>
        <v>101842</v>
      </c>
      <c r="H5921" s="1406">
        <v>122.93</v>
      </c>
      <c r="I5921" s="1406">
        <v>123.84</v>
      </c>
    </row>
    <row r="5922" spans="2:9" ht="30">
      <c r="B5922" s="677">
        <v>101843</v>
      </c>
      <c r="C5922" s="733" t="s">
        <v>5363</v>
      </c>
      <c r="D5922" s="677" t="s">
        <v>19</v>
      </c>
      <c r="E5922" s="738">
        <f t="shared" si="184"/>
        <v>217.04</v>
      </c>
      <c r="F5922">
        <f t="shared" si="185"/>
        <v>101843</v>
      </c>
      <c r="H5922" s="1405">
        <v>216.13</v>
      </c>
      <c r="I5922" s="1405">
        <v>217.04</v>
      </c>
    </row>
    <row r="5923" spans="2:9" ht="30">
      <c r="B5923" s="1477">
        <v>101844</v>
      </c>
      <c r="C5923" s="740" t="s">
        <v>5364</v>
      </c>
      <c r="D5923" s="739" t="s">
        <v>19</v>
      </c>
      <c r="E5923" s="741">
        <f t="shared" si="184"/>
        <v>251.32</v>
      </c>
      <c r="F5923">
        <f t="shared" si="185"/>
        <v>101844</v>
      </c>
      <c r="H5923" s="1406">
        <v>250.41</v>
      </c>
      <c r="I5923" s="1406">
        <v>251.32</v>
      </c>
    </row>
    <row r="5924" spans="2:9" ht="30">
      <c r="B5924" s="677">
        <v>101845</v>
      </c>
      <c r="C5924" s="733" t="s">
        <v>5365</v>
      </c>
      <c r="D5924" s="677" t="s">
        <v>19</v>
      </c>
      <c r="E5924" s="738">
        <f t="shared" si="184"/>
        <v>285.12</v>
      </c>
      <c r="F5924">
        <f t="shared" si="185"/>
        <v>101845</v>
      </c>
      <c r="H5924" s="1405">
        <v>284.20999999999998</v>
      </c>
      <c r="I5924" s="1405">
        <v>285.12</v>
      </c>
    </row>
    <row r="5925" spans="2:9" ht="30">
      <c r="B5925" s="1477">
        <v>101846</v>
      </c>
      <c r="C5925" s="740" t="s">
        <v>4693</v>
      </c>
      <c r="D5925" s="739" t="s">
        <v>19</v>
      </c>
      <c r="E5925" s="741">
        <f t="shared" si="184"/>
        <v>198</v>
      </c>
      <c r="F5925">
        <f t="shared" si="185"/>
        <v>101846</v>
      </c>
      <c r="H5925" s="1406">
        <v>197.09</v>
      </c>
      <c r="I5925" s="1406">
        <v>198</v>
      </c>
    </row>
    <row r="5926" spans="2:9" ht="30">
      <c r="B5926" s="677">
        <v>101847</v>
      </c>
      <c r="C5926" s="733" t="s">
        <v>4694</v>
      </c>
      <c r="D5926" s="677" t="s">
        <v>19</v>
      </c>
      <c r="E5926" s="738">
        <f t="shared" si="184"/>
        <v>232.67</v>
      </c>
      <c r="F5926">
        <f t="shared" si="185"/>
        <v>101847</v>
      </c>
      <c r="H5926" s="1405">
        <v>231.76</v>
      </c>
      <c r="I5926" s="1405">
        <v>232.67</v>
      </c>
    </row>
    <row r="5927" spans="2:9" ht="30">
      <c r="B5927" s="1477">
        <v>101848</v>
      </c>
      <c r="C5927" s="740" t="s">
        <v>4695</v>
      </c>
      <c r="D5927" s="739" t="s">
        <v>19</v>
      </c>
      <c r="E5927" s="741">
        <f t="shared" si="184"/>
        <v>266.88</v>
      </c>
      <c r="F5927">
        <f t="shared" si="185"/>
        <v>101848</v>
      </c>
      <c r="H5927" s="1406">
        <v>265.97000000000003</v>
      </c>
      <c r="I5927" s="1406">
        <v>266.88</v>
      </c>
    </row>
    <row r="5928" spans="2:9" ht="30">
      <c r="B5928" s="677">
        <v>101849</v>
      </c>
      <c r="C5928" s="733" t="s">
        <v>4696</v>
      </c>
      <c r="D5928" s="677" t="s">
        <v>19</v>
      </c>
      <c r="E5928" s="738">
        <f t="shared" si="184"/>
        <v>250.55</v>
      </c>
      <c r="F5928">
        <f t="shared" si="185"/>
        <v>101849</v>
      </c>
      <c r="H5928" s="1405">
        <v>249.46</v>
      </c>
      <c r="I5928" s="1405">
        <v>250.55</v>
      </c>
    </row>
    <row r="5929" spans="2:9" ht="30">
      <c r="B5929" s="1477">
        <v>101850</v>
      </c>
      <c r="C5929" s="740" t="s">
        <v>4697</v>
      </c>
      <c r="D5929" s="739" t="s">
        <v>0</v>
      </c>
      <c r="E5929" s="741">
        <f t="shared" si="184"/>
        <v>62.63</v>
      </c>
      <c r="F5929">
        <f t="shared" si="185"/>
        <v>101850</v>
      </c>
      <c r="H5929" s="1406">
        <v>59.19</v>
      </c>
      <c r="I5929" s="1406">
        <v>62.63</v>
      </c>
    </row>
    <row r="5930" spans="2:9" ht="30">
      <c r="B5930" s="677">
        <v>101852</v>
      </c>
      <c r="C5930" s="733" t="s">
        <v>4698</v>
      </c>
      <c r="D5930" s="677" t="s">
        <v>0</v>
      </c>
      <c r="E5930" s="738">
        <f t="shared" si="184"/>
        <v>77.19</v>
      </c>
      <c r="F5930">
        <f t="shared" si="185"/>
        <v>101852</v>
      </c>
      <c r="H5930" s="1405">
        <v>73.23</v>
      </c>
      <c r="I5930" s="1405">
        <v>77.19</v>
      </c>
    </row>
    <row r="5931" spans="2:9" ht="30">
      <c r="B5931" s="1477">
        <v>101853</v>
      </c>
      <c r="C5931" s="740" t="s">
        <v>4699</v>
      </c>
      <c r="D5931" s="739" t="s">
        <v>0</v>
      </c>
      <c r="E5931" s="741">
        <f t="shared" si="184"/>
        <v>57.84</v>
      </c>
      <c r="F5931">
        <f t="shared" si="185"/>
        <v>101853</v>
      </c>
      <c r="H5931" s="1406">
        <v>55.01</v>
      </c>
      <c r="I5931" s="1406">
        <v>57.84</v>
      </c>
    </row>
    <row r="5932" spans="2:9" ht="30">
      <c r="B5932" s="677">
        <v>101855</v>
      </c>
      <c r="C5932" s="733" t="s">
        <v>4700</v>
      </c>
      <c r="D5932" s="677" t="s">
        <v>0</v>
      </c>
      <c r="E5932" s="738">
        <f t="shared" si="184"/>
        <v>83.85</v>
      </c>
      <c r="F5932">
        <f t="shared" si="185"/>
        <v>101855</v>
      </c>
      <c r="H5932" s="1405">
        <v>80.349999999999994</v>
      </c>
      <c r="I5932" s="1405">
        <v>83.85</v>
      </c>
    </row>
    <row r="5933" spans="2:9" ht="30">
      <c r="B5933" s="1477">
        <v>101856</v>
      </c>
      <c r="C5933" s="740" t="s">
        <v>4701</v>
      </c>
      <c r="D5933" s="739" t="s">
        <v>0</v>
      </c>
      <c r="E5933" s="741">
        <f t="shared" si="184"/>
        <v>28.42</v>
      </c>
      <c r="F5933">
        <f t="shared" si="185"/>
        <v>101856</v>
      </c>
      <c r="H5933" s="1406">
        <v>26.44</v>
      </c>
      <c r="I5933" s="1406">
        <v>28.42</v>
      </c>
    </row>
    <row r="5934" spans="2:9" ht="30">
      <c r="B5934" s="677">
        <v>101857</v>
      </c>
      <c r="C5934" s="733" t="s">
        <v>4702</v>
      </c>
      <c r="D5934" s="677" t="s">
        <v>0</v>
      </c>
      <c r="E5934" s="738">
        <f t="shared" si="184"/>
        <v>34.56</v>
      </c>
      <c r="F5934">
        <f t="shared" si="185"/>
        <v>101857</v>
      </c>
      <c r="H5934" s="1405">
        <v>31.98</v>
      </c>
      <c r="I5934" s="1405">
        <v>34.56</v>
      </c>
    </row>
    <row r="5935" spans="2:9" ht="30">
      <c r="B5935" s="1477">
        <v>101858</v>
      </c>
      <c r="C5935" s="740" t="s">
        <v>4703</v>
      </c>
      <c r="D5935" s="739" t="s">
        <v>0</v>
      </c>
      <c r="E5935" s="741">
        <f t="shared" si="184"/>
        <v>28.95</v>
      </c>
      <c r="F5935">
        <f t="shared" si="185"/>
        <v>101858</v>
      </c>
      <c r="H5935" s="1406">
        <v>26.92</v>
      </c>
      <c r="I5935" s="1406">
        <v>28.95</v>
      </c>
    </row>
    <row r="5936" spans="2:9" ht="30">
      <c r="B5936" s="677">
        <v>101859</v>
      </c>
      <c r="C5936" s="733" t="s">
        <v>4704</v>
      </c>
      <c r="D5936" s="677" t="s">
        <v>0</v>
      </c>
      <c r="E5936" s="738">
        <f t="shared" si="184"/>
        <v>31.58</v>
      </c>
      <c r="F5936">
        <f t="shared" si="185"/>
        <v>101859</v>
      </c>
      <c r="H5936" s="1405">
        <v>29.29</v>
      </c>
      <c r="I5936" s="1405">
        <v>31.58</v>
      </c>
    </row>
    <row r="5937" spans="2:9" ht="30">
      <c r="B5937" s="1477">
        <v>101860</v>
      </c>
      <c r="C5937" s="740" t="s">
        <v>4705</v>
      </c>
      <c r="D5937" s="739" t="s">
        <v>0</v>
      </c>
      <c r="E5937" s="741">
        <f t="shared" si="184"/>
        <v>35.72</v>
      </c>
      <c r="F5937">
        <f t="shared" si="185"/>
        <v>101860</v>
      </c>
      <c r="H5937" s="1406">
        <v>33.03</v>
      </c>
      <c r="I5937" s="1406">
        <v>35.72</v>
      </c>
    </row>
    <row r="5938" spans="2:9" ht="30">
      <c r="B5938" s="677">
        <v>101861</v>
      </c>
      <c r="C5938" s="733" t="s">
        <v>4706</v>
      </c>
      <c r="D5938" s="677" t="s">
        <v>0</v>
      </c>
      <c r="E5938" s="738">
        <f t="shared" si="184"/>
        <v>33.659999999999997</v>
      </c>
      <c r="F5938">
        <f t="shared" si="185"/>
        <v>101861</v>
      </c>
      <c r="H5938" s="1405">
        <v>31.17</v>
      </c>
      <c r="I5938" s="1405">
        <v>33.659999999999997</v>
      </c>
    </row>
    <row r="5939" spans="2:9" ht="30">
      <c r="B5939" s="1477">
        <v>101862</v>
      </c>
      <c r="C5939" s="740" t="s">
        <v>4707</v>
      </c>
      <c r="D5939" s="739" t="s">
        <v>0</v>
      </c>
      <c r="E5939" s="741">
        <f t="shared" si="184"/>
        <v>36.340000000000003</v>
      </c>
      <c r="F5939">
        <f t="shared" si="185"/>
        <v>101862</v>
      </c>
      <c r="H5939" s="1406">
        <v>33.58</v>
      </c>
      <c r="I5939" s="1406">
        <v>36.340000000000003</v>
      </c>
    </row>
    <row r="5940" spans="2:9" ht="30">
      <c r="B5940" s="677">
        <v>101863</v>
      </c>
      <c r="C5940" s="733" t="s">
        <v>4708</v>
      </c>
      <c r="D5940" s="677" t="s">
        <v>0</v>
      </c>
      <c r="E5940" s="738">
        <f t="shared" si="184"/>
        <v>29.31</v>
      </c>
      <c r="F5940">
        <f t="shared" si="185"/>
        <v>101863</v>
      </c>
      <c r="H5940" s="1405">
        <v>27.25</v>
      </c>
      <c r="I5940" s="1405">
        <v>29.31</v>
      </c>
    </row>
    <row r="5941" spans="2:9" ht="30">
      <c r="B5941" s="1477">
        <v>101864</v>
      </c>
      <c r="C5941" s="740" t="s">
        <v>4709</v>
      </c>
      <c r="D5941" s="739" t="s">
        <v>0</v>
      </c>
      <c r="E5941" s="741">
        <f t="shared" si="184"/>
        <v>33.46</v>
      </c>
      <c r="F5941">
        <f t="shared" si="185"/>
        <v>101864</v>
      </c>
      <c r="H5941" s="1406">
        <v>30.99</v>
      </c>
      <c r="I5941" s="1406">
        <v>33.46</v>
      </c>
    </row>
    <row r="5942" spans="2:9" ht="30">
      <c r="B5942" s="677">
        <v>101865</v>
      </c>
      <c r="C5942" s="733" t="s">
        <v>4710</v>
      </c>
      <c r="D5942" s="677" t="s">
        <v>0</v>
      </c>
      <c r="E5942" s="738">
        <f t="shared" si="184"/>
        <v>37.6</v>
      </c>
      <c r="F5942">
        <f t="shared" si="185"/>
        <v>101865</v>
      </c>
      <c r="H5942" s="1405">
        <v>34.71</v>
      </c>
      <c r="I5942" s="1405">
        <v>37.6</v>
      </c>
    </row>
    <row r="5943" spans="2:9" ht="30">
      <c r="B5943" s="1477">
        <v>101866</v>
      </c>
      <c r="C5943" s="740" t="s">
        <v>4711</v>
      </c>
      <c r="D5943" s="739" t="s">
        <v>0</v>
      </c>
      <c r="E5943" s="741">
        <f t="shared" si="184"/>
        <v>33.86</v>
      </c>
      <c r="F5943">
        <f t="shared" si="185"/>
        <v>101866</v>
      </c>
      <c r="H5943" s="1406">
        <v>31.35</v>
      </c>
      <c r="I5943" s="1406">
        <v>33.86</v>
      </c>
    </row>
    <row r="5944" spans="2:9" ht="30">
      <c r="B5944" s="677">
        <v>101867</v>
      </c>
      <c r="C5944" s="733" t="s">
        <v>4712</v>
      </c>
      <c r="D5944" s="677" t="s">
        <v>0</v>
      </c>
      <c r="E5944" s="738">
        <f t="shared" si="184"/>
        <v>38.01</v>
      </c>
      <c r="F5944">
        <f t="shared" si="185"/>
        <v>101867</v>
      </c>
      <c r="H5944" s="1405">
        <v>35.090000000000003</v>
      </c>
      <c r="I5944" s="1405">
        <v>38.01</v>
      </c>
    </row>
    <row r="5945" spans="2:9" ht="30">
      <c r="B5945" s="1477">
        <v>101868</v>
      </c>
      <c r="C5945" s="740" t="s">
        <v>4713</v>
      </c>
      <c r="D5945" s="739" t="s">
        <v>0</v>
      </c>
      <c r="E5945" s="741">
        <f t="shared" si="184"/>
        <v>30.98</v>
      </c>
      <c r="F5945">
        <f t="shared" si="185"/>
        <v>101868</v>
      </c>
      <c r="H5945" s="1406">
        <v>28.74</v>
      </c>
      <c r="I5945" s="1406">
        <v>30.98</v>
      </c>
    </row>
    <row r="5946" spans="2:9" ht="30">
      <c r="B5946" s="677">
        <v>101869</v>
      </c>
      <c r="C5946" s="733" t="s">
        <v>4714</v>
      </c>
      <c r="D5946" s="677" t="s">
        <v>0</v>
      </c>
      <c r="E5946" s="738">
        <f t="shared" si="184"/>
        <v>35.119999999999997</v>
      </c>
      <c r="F5946">
        <f t="shared" si="185"/>
        <v>101869</v>
      </c>
      <c r="H5946" s="1405">
        <v>32.49</v>
      </c>
      <c r="I5946" s="1405">
        <v>35.119999999999997</v>
      </c>
    </row>
    <row r="5947" spans="2:9" ht="30">
      <c r="B5947" s="1477">
        <v>101870</v>
      </c>
      <c r="C5947" s="740" t="s">
        <v>4715</v>
      </c>
      <c r="D5947" s="739" t="s">
        <v>0</v>
      </c>
      <c r="E5947" s="741">
        <f t="shared" si="184"/>
        <v>39.26</v>
      </c>
      <c r="F5947">
        <f t="shared" si="185"/>
        <v>101870</v>
      </c>
      <c r="H5947" s="1406">
        <v>36.21</v>
      </c>
      <c r="I5947" s="1406">
        <v>39.26</v>
      </c>
    </row>
    <row r="5948" spans="2:9" ht="30">
      <c r="B5948" s="677">
        <v>102098</v>
      </c>
      <c r="C5948" s="733" t="s">
        <v>4716</v>
      </c>
      <c r="D5948" s="677" t="s">
        <v>19</v>
      </c>
      <c r="E5948" s="738">
        <f t="shared" si="184"/>
        <v>1859.99</v>
      </c>
      <c r="F5948">
        <f t="shared" si="185"/>
        <v>102098</v>
      </c>
      <c r="H5948" s="1405">
        <v>1832.57</v>
      </c>
      <c r="I5948" s="1405">
        <v>1859.99</v>
      </c>
    </row>
    <row r="5949" spans="2:9" ht="30">
      <c r="B5949" s="1477">
        <v>102988</v>
      </c>
      <c r="C5949" s="740" t="s">
        <v>5045</v>
      </c>
      <c r="D5949" s="739" t="s">
        <v>0</v>
      </c>
      <c r="E5949" s="741">
        <f t="shared" si="184"/>
        <v>56.11</v>
      </c>
      <c r="F5949">
        <f t="shared" si="185"/>
        <v>102988</v>
      </c>
      <c r="H5949" s="1406">
        <v>51.48</v>
      </c>
      <c r="I5949" s="1406">
        <v>56.11</v>
      </c>
    </row>
    <row r="5950" spans="2:9">
      <c r="B5950" s="677">
        <v>100576</v>
      </c>
      <c r="C5950" s="733" t="s">
        <v>2814</v>
      </c>
      <c r="D5950" s="677" t="s">
        <v>0</v>
      </c>
      <c r="E5950" s="738">
        <f t="shared" si="184"/>
        <v>2.42</v>
      </c>
      <c r="F5950">
        <f t="shared" si="185"/>
        <v>100576</v>
      </c>
      <c r="H5950" s="1405">
        <v>2.3199999999999998</v>
      </c>
      <c r="I5950" s="1405">
        <v>2.42</v>
      </c>
    </row>
    <row r="5951" spans="2:9">
      <c r="B5951" s="1477">
        <v>100577</v>
      </c>
      <c r="C5951" s="740" t="s">
        <v>2815</v>
      </c>
      <c r="D5951" s="739" t="s">
        <v>0</v>
      </c>
      <c r="E5951" s="741">
        <f t="shared" si="184"/>
        <v>1.18</v>
      </c>
      <c r="F5951">
        <f t="shared" si="185"/>
        <v>100577</v>
      </c>
      <c r="H5951" s="1406">
        <v>1.1499999999999999</v>
      </c>
      <c r="I5951" s="1406">
        <v>1.18</v>
      </c>
    </row>
    <row r="5952" spans="2:9" ht="30">
      <c r="B5952" s="677">
        <v>96388</v>
      </c>
      <c r="C5952" s="733" t="s">
        <v>2816</v>
      </c>
      <c r="D5952" s="677" t="s">
        <v>19</v>
      </c>
      <c r="E5952" s="738">
        <f t="shared" si="184"/>
        <v>11.76</v>
      </c>
      <c r="F5952">
        <f t="shared" si="185"/>
        <v>96388</v>
      </c>
      <c r="H5952" s="1405">
        <v>11.42</v>
      </c>
      <c r="I5952" s="1405">
        <v>11.76</v>
      </c>
    </row>
    <row r="5953" spans="2:9" ht="30">
      <c r="B5953" s="1477">
        <v>96389</v>
      </c>
      <c r="C5953" s="740" t="s">
        <v>3219</v>
      </c>
      <c r="D5953" s="739" t="s">
        <v>19</v>
      </c>
      <c r="E5953" s="741">
        <f t="shared" si="184"/>
        <v>56.82</v>
      </c>
      <c r="F5953">
        <f t="shared" si="185"/>
        <v>96389</v>
      </c>
      <c r="H5953" s="1406">
        <v>56.28</v>
      </c>
      <c r="I5953" s="1406">
        <v>56.82</v>
      </c>
    </row>
    <row r="5954" spans="2:9" ht="30">
      <c r="B5954" s="677">
        <v>96390</v>
      </c>
      <c r="C5954" s="733" t="s">
        <v>3220</v>
      </c>
      <c r="D5954" s="677" t="s">
        <v>19</v>
      </c>
      <c r="E5954" s="738">
        <f t="shared" si="184"/>
        <v>92.79</v>
      </c>
      <c r="F5954">
        <f t="shared" si="185"/>
        <v>96390</v>
      </c>
      <c r="H5954" s="1405">
        <v>92.27</v>
      </c>
      <c r="I5954" s="1405">
        <v>92.79</v>
      </c>
    </row>
    <row r="5955" spans="2:9" ht="30">
      <c r="B5955" s="1477">
        <v>96391</v>
      </c>
      <c r="C5955" s="740" t="s">
        <v>2817</v>
      </c>
      <c r="D5955" s="739" t="s">
        <v>19</v>
      </c>
      <c r="E5955" s="741">
        <f t="shared" ref="E5955:E6018" si="186">IF($K$2=$H$1,H5955,I5955)</f>
        <v>130.16</v>
      </c>
      <c r="F5955">
        <f t="shared" ref="F5955:F6018" si="187">IF(LEN($B5955)=7,CONCATENATE(MID($B5955,1,6),"00",RIGHT($B5955,1)),IF(LEN($B5955)=8,CONCATENATE(MID($B5955,1,6),"0",RIGHT($B5955,2)),$B5955))</f>
        <v>96391</v>
      </c>
      <c r="H5955" s="1406">
        <v>129.59</v>
      </c>
      <c r="I5955" s="1406">
        <v>130.16</v>
      </c>
    </row>
    <row r="5956" spans="2:9" ht="30">
      <c r="B5956" s="677">
        <v>96392</v>
      </c>
      <c r="C5956" s="733" t="s">
        <v>2818</v>
      </c>
      <c r="D5956" s="677" t="s">
        <v>19</v>
      </c>
      <c r="E5956" s="738">
        <f t="shared" si="186"/>
        <v>166.34</v>
      </c>
      <c r="F5956">
        <f t="shared" si="187"/>
        <v>96392</v>
      </c>
      <c r="H5956" s="1405">
        <v>165.77</v>
      </c>
      <c r="I5956" s="1405">
        <v>166.34</v>
      </c>
    </row>
    <row r="5957" spans="2:9" ht="30">
      <c r="B5957" s="1477">
        <v>96396</v>
      </c>
      <c r="C5957" s="740" t="s">
        <v>2819</v>
      </c>
      <c r="D5957" s="739" t="s">
        <v>19</v>
      </c>
      <c r="E5957" s="741">
        <f t="shared" si="186"/>
        <v>239</v>
      </c>
      <c r="F5957">
        <f t="shared" si="187"/>
        <v>96396</v>
      </c>
      <c r="H5957" s="1406">
        <v>238.44</v>
      </c>
      <c r="I5957" s="1406">
        <v>239</v>
      </c>
    </row>
    <row r="5958" spans="2:9" ht="30">
      <c r="B5958" s="677">
        <v>96397</v>
      </c>
      <c r="C5958" s="733" t="s">
        <v>2820</v>
      </c>
      <c r="D5958" s="677" t="s">
        <v>19</v>
      </c>
      <c r="E5958" s="738">
        <f t="shared" si="186"/>
        <v>310.02999999999997</v>
      </c>
      <c r="F5958">
        <f t="shared" si="187"/>
        <v>96397</v>
      </c>
      <c r="H5958" s="1405">
        <v>309.38</v>
      </c>
      <c r="I5958" s="1405">
        <v>310.02999999999997</v>
      </c>
    </row>
    <row r="5959" spans="2:9" ht="30">
      <c r="B5959" s="1477">
        <v>96398</v>
      </c>
      <c r="C5959" s="740" t="s">
        <v>2821</v>
      </c>
      <c r="D5959" s="739" t="s">
        <v>19</v>
      </c>
      <c r="E5959" s="741">
        <f t="shared" si="186"/>
        <v>404.84</v>
      </c>
      <c r="F5959">
        <f t="shared" si="187"/>
        <v>96398</v>
      </c>
      <c r="H5959" s="1406">
        <v>404.15</v>
      </c>
      <c r="I5959" s="1406">
        <v>404.84</v>
      </c>
    </row>
    <row r="5960" spans="2:9" ht="30">
      <c r="B5960" s="677">
        <v>96399</v>
      </c>
      <c r="C5960" s="733" t="s">
        <v>3221</v>
      </c>
      <c r="D5960" s="677" t="s">
        <v>19</v>
      </c>
      <c r="E5960" s="738">
        <f t="shared" si="186"/>
        <v>163.19999999999999</v>
      </c>
      <c r="F5960">
        <f t="shared" si="187"/>
        <v>96399</v>
      </c>
      <c r="H5960" s="1405">
        <v>162.75</v>
      </c>
      <c r="I5960" s="1405">
        <v>163.19999999999999</v>
      </c>
    </row>
    <row r="5961" spans="2:9" ht="30">
      <c r="B5961" s="1477">
        <v>96400</v>
      </c>
      <c r="C5961" s="740" t="s">
        <v>2822</v>
      </c>
      <c r="D5961" s="739" t="s">
        <v>19</v>
      </c>
      <c r="E5961" s="741">
        <f t="shared" si="186"/>
        <v>211.02</v>
      </c>
      <c r="F5961">
        <f t="shared" si="187"/>
        <v>96400</v>
      </c>
      <c r="H5961" s="1406">
        <v>210.38</v>
      </c>
      <c r="I5961" s="1406">
        <v>211.02</v>
      </c>
    </row>
    <row r="5962" spans="2:9" ht="30">
      <c r="B5962" s="677">
        <v>100564</v>
      </c>
      <c r="C5962" s="733" t="s">
        <v>2823</v>
      </c>
      <c r="D5962" s="677" t="s">
        <v>19</v>
      </c>
      <c r="E5962" s="738">
        <f t="shared" si="186"/>
        <v>141.13999999999999</v>
      </c>
      <c r="F5962">
        <f t="shared" si="187"/>
        <v>100564</v>
      </c>
      <c r="H5962" s="1405">
        <v>140.27000000000001</v>
      </c>
      <c r="I5962" s="1405">
        <v>141.13999999999999</v>
      </c>
    </row>
    <row r="5963" spans="2:9" ht="30">
      <c r="B5963" s="1477">
        <v>100565</v>
      </c>
      <c r="C5963" s="740" t="s">
        <v>2824</v>
      </c>
      <c r="D5963" s="739" t="s">
        <v>19</v>
      </c>
      <c r="E5963" s="741">
        <f t="shared" si="186"/>
        <v>121.38</v>
      </c>
      <c r="F5963">
        <f t="shared" si="187"/>
        <v>100565</v>
      </c>
      <c r="H5963" s="1406">
        <v>120.51</v>
      </c>
      <c r="I5963" s="1406">
        <v>121.38</v>
      </c>
    </row>
    <row r="5964" spans="2:9" ht="30">
      <c r="B5964" s="677">
        <v>100566</v>
      </c>
      <c r="C5964" s="733" t="s">
        <v>2825</v>
      </c>
      <c r="D5964" s="677" t="s">
        <v>19</v>
      </c>
      <c r="E5964" s="738">
        <f t="shared" si="186"/>
        <v>214.51</v>
      </c>
      <c r="F5964">
        <f t="shared" si="187"/>
        <v>100566</v>
      </c>
      <c r="H5964" s="1405">
        <v>213.64</v>
      </c>
      <c r="I5964" s="1405">
        <v>214.51</v>
      </c>
    </row>
    <row r="5965" spans="2:9" ht="30">
      <c r="B5965" s="1477">
        <v>100567</v>
      </c>
      <c r="C5965" s="740" t="s">
        <v>2826</v>
      </c>
      <c r="D5965" s="739" t="s">
        <v>19</v>
      </c>
      <c r="E5965" s="741">
        <f t="shared" si="186"/>
        <v>248.87</v>
      </c>
      <c r="F5965">
        <f t="shared" si="187"/>
        <v>100567</v>
      </c>
      <c r="H5965" s="1406">
        <v>248</v>
      </c>
      <c r="I5965" s="1406">
        <v>248.87</v>
      </c>
    </row>
    <row r="5966" spans="2:9" ht="30">
      <c r="B5966" s="677">
        <v>100568</v>
      </c>
      <c r="C5966" s="733" t="s">
        <v>2827</v>
      </c>
      <c r="D5966" s="677" t="s">
        <v>19</v>
      </c>
      <c r="E5966" s="738">
        <f t="shared" si="186"/>
        <v>282.58999999999997</v>
      </c>
      <c r="F5966">
        <f t="shared" si="187"/>
        <v>100568</v>
      </c>
      <c r="H5966" s="1405">
        <v>281.72000000000003</v>
      </c>
      <c r="I5966" s="1405">
        <v>282.58999999999997</v>
      </c>
    </row>
    <row r="5967" spans="2:9" ht="30">
      <c r="B5967" s="1477">
        <v>100569</v>
      </c>
      <c r="C5967" s="740" t="s">
        <v>2828</v>
      </c>
      <c r="D5967" s="739" t="s">
        <v>19</v>
      </c>
      <c r="E5967" s="741">
        <f t="shared" si="186"/>
        <v>195.47</v>
      </c>
      <c r="F5967">
        <f t="shared" si="187"/>
        <v>100569</v>
      </c>
      <c r="H5967" s="1406">
        <v>194.6</v>
      </c>
      <c r="I5967" s="1406">
        <v>195.47</v>
      </c>
    </row>
    <row r="5968" spans="2:9" ht="30">
      <c r="B5968" s="677">
        <v>100570</v>
      </c>
      <c r="C5968" s="733" t="s">
        <v>2829</v>
      </c>
      <c r="D5968" s="677" t="s">
        <v>19</v>
      </c>
      <c r="E5968" s="738">
        <f t="shared" si="186"/>
        <v>232.34</v>
      </c>
      <c r="F5968">
        <f t="shared" si="187"/>
        <v>100570</v>
      </c>
      <c r="H5968" s="1405">
        <v>231.44</v>
      </c>
      <c r="I5968" s="1405">
        <v>232.34</v>
      </c>
    </row>
    <row r="5969" spans="2:9" ht="30">
      <c r="B5969" s="1477">
        <v>100571</v>
      </c>
      <c r="C5969" s="740" t="s">
        <v>2830</v>
      </c>
      <c r="D5969" s="739" t="s">
        <v>19</v>
      </c>
      <c r="E5969" s="741">
        <f t="shared" si="186"/>
        <v>264.42</v>
      </c>
      <c r="F5969">
        <f t="shared" si="187"/>
        <v>100571</v>
      </c>
      <c r="H5969" s="1406">
        <v>263.55</v>
      </c>
      <c r="I5969" s="1406">
        <v>264.42</v>
      </c>
    </row>
    <row r="5970" spans="2:9" ht="30">
      <c r="B5970" s="677">
        <v>100572</v>
      </c>
      <c r="C5970" s="733" t="s">
        <v>2831</v>
      </c>
      <c r="D5970" s="677" t="s">
        <v>19</v>
      </c>
      <c r="E5970" s="738">
        <f t="shared" si="186"/>
        <v>145.79</v>
      </c>
      <c r="F5970">
        <f t="shared" si="187"/>
        <v>100572</v>
      </c>
      <c r="H5970" s="1405">
        <v>144.71</v>
      </c>
      <c r="I5970" s="1405">
        <v>145.79</v>
      </c>
    </row>
    <row r="5971" spans="2:9" ht="30">
      <c r="B5971" s="1477">
        <v>100573</v>
      </c>
      <c r="C5971" s="740" t="s">
        <v>2832</v>
      </c>
      <c r="D5971" s="739" t="s">
        <v>19</v>
      </c>
      <c r="E5971" s="741">
        <f t="shared" si="186"/>
        <v>126.03</v>
      </c>
      <c r="F5971">
        <f t="shared" si="187"/>
        <v>100573</v>
      </c>
      <c r="H5971" s="1406">
        <v>124.95</v>
      </c>
      <c r="I5971" s="1406">
        <v>126.03</v>
      </c>
    </row>
    <row r="5972" spans="2:9">
      <c r="B5972" s="677">
        <v>100574</v>
      </c>
      <c r="C5972" s="733" t="s">
        <v>2833</v>
      </c>
      <c r="D5972" s="677" t="s">
        <v>19</v>
      </c>
      <c r="E5972" s="738">
        <f t="shared" si="186"/>
        <v>1.35</v>
      </c>
      <c r="F5972">
        <f t="shared" si="187"/>
        <v>100574</v>
      </c>
      <c r="H5972" s="1405">
        <v>1.3</v>
      </c>
      <c r="I5972" s="1405">
        <v>1.35</v>
      </c>
    </row>
    <row r="5973" spans="2:9">
      <c r="B5973" s="1477">
        <v>100575</v>
      </c>
      <c r="C5973" s="740" t="s">
        <v>2834</v>
      </c>
      <c r="D5973" s="739" t="s">
        <v>0</v>
      </c>
      <c r="E5973" s="741">
        <f t="shared" si="186"/>
        <v>0.12</v>
      </c>
      <c r="F5973">
        <f t="shared" si="187"/>
        <v>100575</v>
      </c>
      <c r="H5973" s="1406">
        <v>0.11</v>
      </c>
      <c r="I5973" s="1406">
        <v>0.12</v>
      </c>
    </row>
    <row r="5974" spans="2:9" ht="30">
      <c r="B5974" s="677">
        <v>101767</v>
      </c>
      <c r="C5974" s="733" t="s">
        <v>3797</v>
      </c>
      <c r="D5974" s="677" t="s">
        <v>19</v>
      </c>
      <c r="E5974" s="738">
        <f t="shared" si="186"/>
        <v>26.74</v>
      </c>
      <c r="F5974">
        <f t="shared" si="187"/>
        <v>101767</v>
      </c>
      <c r="H5974" s="1405">
        <v>25.69</v>
      </c>
      <c r="I5974" s="1405">
        <v>26.74</v>
      </c>
    </row>
    <row r="5975" spans="2:9" ht="30">
      <c r="B5975" s="1477">
        <v>101768</v>
      </c>
      <c r="C5975" s="740" t="s">
        <v>13333</v>
      </c>
      <c r="D5975" s="739" t="s">
        <v>19</v>
      </c>
      <c r="E5975" s="741">
        <f t="shared" si="186"/>
        <v>23.08</v>
      </c>
      <c r="F5975">
        <f t="shared" si="187"/>
        <v>101768</v>
      </c>
      <c r="H5975" s="1406">
        <v>22.33</v>
      </c>
      <c r="I5975" s="1406">
        <v>23.08</v>
      </c>
    </row>
    <row r="5976" spans="2:9">
      <c r="B5976" s="677">
        <v>92391</v>
      </c>
      <c r="C5976" s="733" t="s">
        <v>7159</v>
      </c>
      <c r="D5976" s="677" t="s">
        <v>0</v>
      </c>
      <c r="E5976" s="738">
        <f t="shared" si="186"/>
        <v>84.06</v>
      </c>
      <c r="F5976">
        <f t="shared" si="187"/>
        <v>92391</v>
      </c>
      <c r="H5976" s="1405">
        <v>83.64</v>
      </c>
      <c r="I5976" s="1405">
        <v>84.06</v>
      </c>
    </row>
    <row r="5977" spans="2:9">
      <c r="B5977" s="1477">
        <v>92392</v>
      </c>
      <c r="C5977" s="740" t="s">
        <v>7160</v>
      </c>
      <c r="D5977" s="739" t="s">
        <v>0</v>
      </c>
      <c r="E5977" s="741">
        <f t="shared" si="186"/>
        <v>174.14</v>
      </c>
      <c r="F5977">
        <f t="shared" si="187"/>
        <v>92392</v>
      </c>
      <c r="H5977" s="1406">
        <v>173.68</v>
      </c>
      <c r="I5977" s="1406">
        <v>174.14</v>
      </c>
    </row>
    <row r="5978" spans="2:9">
      <c r="B5978" s="677">
        <v>92393</v>
      </c>
      <c r="C5978" s="733" t="s">
        <v>7161</v>
      </c>
      <c r="D5978" s="677" t="s">
        <v>0</v>
      </c>
      <c r="E5978" s="738">
        <f t="shared" si="186"/>
        <v>82.47</v>
      </c>
      <c r="F5978">
        <f t="shared" si="187"/>
        <v>92393</v>
      </c>
      <c r="H5978" s="1405">
        <v>81.93</v>
      </c>
      <c r="I5978" s="1405">
        <v>82.47</v>
      </c>
    </row>
    <row r="5979" spans="2:9">
      <c r="B5979" s="1477">
        <v>92394</v>
      </c>
      <c r="C5979" s="740" t="s">
        <v>7162</v>
      </c>
      <c r="D5979" s="739" t="s">
        <v>0</v>
      </c>
      <c r="E5979" s="741">
        <f t="shared" si="186"/>
        <v>102.15</v>
      </c>
      <c r="F5979">
        <f t="shared" si="187"/>
        <v>92394</v>
      </c>
      <c r="H5979" s="1406">
        <v>101.42</v>
      </c>
      <c r="I5979" s="1406">
        <v>102.15</v>
      </c>
    </row>
    <row r="5980" spans="2:9">
      <c r="B5980" s="677">
        <v>92395</v>
      </c>
      <c r="C5980" s="733" t="s">
        <v>7163</v>
      </c>
      <c r="D5980" s="677" t="s">
        <v>0</v>
      </c>
      <c r="E5980" s="738">
        <f t="shared" si="186"/>
        <v>122.07</v>
      </c>
      <c r="F5980">
        <f t="shared" si="187"/>
        <v>92395</v>
      </c>
      <c r="H5980" s="1405">
        <v>121.06</v>
      </c>
      <c r="I5980" s="1405">
        <v>122.07</v>
      </c>
    </row>
    <row r="5981" spans="2:9" ht="30">
      <c r="B5981" s="1477">
        <v>92396</v>
      </c>
      <c r="C5981" s="740" t="s">
        <v>7164</v>
      </c>
      <c r="D5981" s="739" t="s">
        <v>0</v>
      </c>
      <c r="E5981" s="741">
        <f t="shared" si="186"/>
        <v>95.73</v>
      </c>
      <c r="F5981">
        <f t="shared" si="187"/>
        <v>92396</v>
      </c>
      <c r="H5981" s="1406">
        <v>94.1</v>
      </c>
      <c r="I5981" s="1406">
        <v>95.73</v>
      </c>
    </row>
    <row r="5982" spans="2:9" ht="30">
      <c r="B5982" s="677">
        <v>92397</v>
      </c>
      <c r="C5982" s="733" t="s">
        <v>7165</v>
      </c>
      <c r="D5982" s="677" t="s">
        <v>0</v>
      </c>
      <c r="E5982" s="738">
        <f t="shared" si="186"/>
        <v>85.93</v>
      </c>
      <c r="F5982">
        <f t="shared" si="187"/>
        <v>92397</v>
      </c>
      <c r="H5982" s="1405">
        <v>85.05</v>
      </c>
      <c r="I5982" s="1405">
        <v>85.93</v>
      </c>
    </row>
    <row r="5983" spans="2:9" ht="30">
      <c r="B5983" s="1477">
        <v>92398</v>
      </c>
      <c r="C5983" s="740" t="s">
        <v>7166</v>
      </c>
      <c r="D5983" s="739" t="s">
        <v>0</v>
      </c>
      <c r="E5983" s="741">
        <f t="shared" si="186"/>
        <v>106.49</v>
      </c>
      <c r="F5983">
        <f t="shared" si="187"/>
        <v>92398</v>
      </c>
      <c r="H5983" s="1406">
        <v>105.34</v>
      </c>
      <c r="I5983" s="1406">
        <v>106.49</v>
      </c>
    </row>
    <row r="5984" spans="2:9">
      <c r="B5984" s="677">
        <v>92400</v>
      </c>
      <c r="C5984" s="733" t="s">
        <v>7167</v>
      </c>
      <c r="D5984" s="677" t="s">
        <v>0</v>
      </c>
      <c r="E5984" s="738">
        <f t="shared" si="186"/>
        <v>124.56</v>
      </c>
      <c r="F5984">
        <f t="shared" si="187"/>
        <v>92400</v>
      </c>
      <c r="H5984" s="1405">
        <v>123.13</v>
      </c>
      <c r="I5984" s="1405">
        <v>124.56</v>
      </c>
    </row>
    <row r="5985" spans="2:9">
      <c r="B5985" s="1477">
        <v>92402</v>
      </c>
      <c r="C5985" s="740" t="s">
        <v>7168</v>
      </c>
      <c r="D5985" s="739" t="s">
        <v>0</v>
      </c>
      <c r="E5985" s="741">
        <f t="shared" si="186"/>
        <v>93.88</v>
      </c>
      <c r="F5985">
        <f t="shared" si="187"/>
        <v>92402</v>
      </c>
      <c r="H5985" s="1406">
        <v>92.47</v>
      </c>
      <c r="I5985" s="1406">
        <v>93.88</v>
      </c>
    </row>
    <row r="5986" spans="2:9">
      <c r="B5986" s="677">
        <v>92403</v>
      </c>
      <c r="C5986" s="733" t="s">
        <v>7169</v>
      </c>
      <c r="D5986" s="677" t="s">
        <v>0</v>
      </c>
      <c r="E5986" s="738">
        <f t="shared" si="186"/>
        <v>83.67</v>
      </c>
      <c r="F5986">
        <f t="shared" si="187"/>
        <v>92403</v>
      </c>
      <c r="H5986" s="1405">
        <v>83.01</v>
      </c>
      <c r="I5986" s="1405">
        <v>83.67</v>
      </c>
    </row>
    <row r="5987" spans="2:9">
      <c r="B5987" s="1477">
        <v>92404</v>
      </c>
      <c r="C5987" s="740" t="s">
        <v>7170</v>
      </c>
      <c r="D5987" s="739" t="s">
        <v>0</v>
      </c>
      <c r="E5987" s="741">
        <f t="shared" si="186"/>
        <v>104.24</v>
      </c>
      <c r="F5987">
        <f t="shared" si="187"/>
        <v>92404</v>
      </c>
      <c r="H5987" s="1406">
        <v>103.31</v>
      </c>
      <c r="I5987" s="1406">
        <v>104.24</v>
      </c>
    </row>
    <row r="5988" spans="2:9">
      <c r="B5988" s="677">
        <v>92406</v>
      </c>
      <c r="C5988" s="733" t="s">
        <v>7171</v>
      </c>
      <c r="D5988" s="677" t="s">
        <v>0</v>
      </c>
      <c r="E5988" s="738">
        <f t="shared" si="186"/>
        <v>124.54</v>
      </c>
      <c r="F5988">
        <f t="shared" si="187"/>
        <v>92406</v>
      </c>
      <c r="H5988" s="1405">
        <v>123.34</v>
      </c>
      <c r="I5988" s="1405">
        <v>124.54</v>
      </c>
    </row>
    <row r="5989" spans="2:9">
      <c r="B5989" s="1477">
        <v>93679</v>
      </c>
      <c r="C5989" s="740" t="s">
        <v>7172</v>
      </c>
      <c r="D5989" s="739" t="s">
        <v>0</v>
      </c>
      <c r="E5989" s="741">
        <f t="shared" si="186"/>
        <v>106.71</v>
      </c>
      <c r="F5989">
        <f t="shared" si="187"/>
        <v>93679</v>
      </c>
      <c r="H5989" s="1406">
        <v>105.08</v>
      </c>
      <c r="I5989" s="1406">
        <v>106.71</v>
      </c>
    </row>
    <row r="5990" spans="2:9" ht="30">
      <c r="B5990" s="677">
        <v>93680</v>
      </c>
      <c r="C5990" s="733" t="s">
        <v>7173</v>
      </c>
      <c r="D5990" s="677" t="s">
        <v>0</v>
      </c>
      <c r="E5990" s="738">
        <f t="shared" si="186"/>
        <v>96.63</v>
      </c>
      <c r="F5990">
        <f t="shared" si="187"/>
        <v>93680</v>
      </c>
      <c r="H5990" s="1405">
        <v>95.75</v>
      </c>
      <c r="I5990" s="1405">
        <v>96.63</v>
      </c>
    </row>
    <row r="5991" spans="2:9" ht="30">
      <c r="B5991" s="1477">
        <v>93681</v>
      </c>
      <c r="C5991" s="740" t="s">
        <v>7174</v>
      </c>
      <c r="D5991" s="739" t="s">
        <v>0</v>
      </c>
      <c r="E5991" s="741">
        <f t="shared" si="186"/>
        <v>115.07</v>
      </c>
      <c r="F5991">
        <f t="shared" si="187"/>
        <v>93681</v>
      </c>
      <c r="H5991" s="1406">
        <v>113.92</v>
      </c>
      <c r="I5991" s="1406">
        <v>115.07</v>
      </c>
    </row>
    <row r="5992" spans="2:9">
      <c r="B5992" s="677">
        <v>97104</v>
      </c>
      <c r="C5992" s="733" t="s">
        <v>5817</v>
      </c>
      <c r="D5992" s="677" t="s">
        <v>0</v>
      </c>
      <c r="E5992" s="738">
        <f t="shared" si="186"/>
        <v>164.94</v>
      </c>
      <c r="F5992">
        <f t="shared" si="187"/>
        <v>97104</v>
      </c>
      <c r="H5992" s="1405">
        <v>163.38999999999999</v>
      </c>
      <c r="I5992" s="1405">
        <v>164.94</v>
      </c>
    </row>
    <row r="5993" spans="2:9">
      <c r="B5993" s="1477">
        <v>97105</v>
      </c>
      <c r="C5993" s="740" t="s">
        <v>5818</v>
      </c>
      <c r="D5993" s="739" t="s">
        <v>0</v>
      </c>
      <c r="E5993" s="741">
        <f t="shared" si="186"/>
        <v>187.57</v>
      </c>
      <c r="F5993">
        <f t="shared" si="187"/>
        <v>97105</v>
      </c>
      <c r="H5993" s="1406">
        <v>185.9</v>
      </c>
      <c r="I5993" s="1406">
        <v>187.57</v>
      </c>
    </row>
    <row r="5994" spans="2:9">
      <c r="B5994" s="677">
        <v>97106</v>
      </c>
      <c r="C5994" s="733" t="s">
        <v>5819</v>
      </c>
      <c r="D5994" s="677" t="s">
        <v>0</v>
      </c>
      <c r="E5994" s="738">
        <f t="shared" si="186"/>
        <v>209.5</v>
      </c>
      <c r="F5994">
        <f t="shared" si="187"/>
        <v>97106</v>
      </c>
      <c r="H5994" s="1405">
        <v>207.73</v>
      </c>
      <c r="I5994" s="1405">
        <v>209.5</v>
      </c>
    </row>
    <row r="5995" spans="2:9">
      <c r="B5995" s="1477">
        <v>97107</v>
      </c>
      <c r="C5995" s="740" t="s">
        <v>5820</v>
      </c>
      <c r="D5995" s="739" t="s">
        <v>0</v>
      </c>
      <c r="E5995" s="741">
        <f t="shared" si="186"/>
        <v>238.38</v>
      </c>
      <c r="F5995">
        <f t="shared" si="187"/>
        <v>97107</v>
      </c>
      <c r="H5995" s="1406">
        <v>236.5</v>
      </c>
      <c r="I5995" s="1406">
        <v>238.38</v>
      </c>
    </row>
    <row r="5996" spans="2:9">
      <c r="B5996" s="677">
        <v>97108</v>
      </c>
      <c r="C5996" s="733" t="s">
        <v>5821</v>
      </c>
      <c r="D5996" s="677" t="s">
        <v>0</v>
      </c>
      <c r="E5996" s="738">
        <f t="shared" si="186"/>
        <v>271.63</v>
      </c>
      <c r="F5996">
        <f t="shared" si="187"/>
        <v>97108</v>
      </c>
      <c r="H5996" s="1405">
        <v>269.64999999999998</v>
      </c>
      <c r="I5996" s="1405">
        <v>271.63</v>
      </c>
    </row>
    <row r="5997" spans="2:9">
      <c r="B5997" s="1477">
        <v>97109</v>
      </c>
      <c r="C5997" s="740" t="s">
        <v>5822</v>
      </c>
      <c r="D5997" s="739" t="s">
        <v>0</v>
      </c>
      <c r="E5997" s="741">
        <f t="shared" si="186"/>
        <v>300.33</v>
      </c>
      <c r="F5997">
        <f t="shared" si="187"/>
        <v>97109</v>
      </c>
      <c r="H5997" s="1406">
        <v>298.16000000000003</v>
      </c>
      <c r="I5997" s="1406">
        <v>300.33</v>
      </c>
    </row>
    <row r="5998" spans="2:9">
      <c r="B5998" s="677">
        <v>97111</v>
      </c>
      <c r="C5998" s="733" t="s">
        <v>5823</v>
      </c>
      <c r="D5998" s="677" t="s">
        <v>0</v>
      </c>
      <c r="E5998" s="738">
        <f t="shared" si="186"/>
        <v>300.42</v>
      </c>
      <c r="F5998">
        <f t="shared" si="187"/>
        <v>97111</v>
      </c>
      <c r="H5998" s="1405">
        <v>298.3</v>
      </c>
      <c r="I5998" s="1405">
        <v>300.42</v>
      </c>
    </row>
    <row r="5999" spans="2:9">
      <c r="B5999" s="1477">
        <v>97112</v>
      </c>
      <c r="C5999" s="740" t="s">
        <v>5824</v>
      </c>
      <c r="D5999" s="739" t="s">
        <v>0</v>
      </c>
      <c r="E5999" s="741">
        <f t="shared" si="186"/>
        <v>268.49</v>
      </c>
      <c r="F5999">
        <f t="shared" si="187"/>
        <v>97112</v>
      </c>
      <c r="H5999" s="1406">
        <v>266.54000000000002</v>
      </c>
      <c r="I5999" s="1406">
        <v>268.49</v>
      </c>
    </row>
    <row r="6000" spans="2:9">
      <c r="B6000" s="677">
        <v>97113</v>
      </c>
      <c r="C6000" s="733" t="s">
        <v>5825</v>
      </c>
      <c r="D6000" s="677" t="s">
        <v>0</v>
      </c>
      <c r="E6000" s="738">
        <f t="shared" si="186"/>
        <v>2.2599999999999998</v>
      </c>
      <c r="F6000">
        <f t="shared" si="187"/>
        <v>97113</v>
      </c>
      <c r="H6000" s="1405">
        <v>2.2400000000000002</v>
      </c>
      <c r="I6000" s="1405">
        <v>2.2599999999999998</v>
      </c>
    </row>
    <row r="6001" spans="2:9">
      <c r="B6001" s="1477">
        <v>97114</v>
      </c>
      <c r="C6001" s="740" t="s">
        <v>5826</v>
      </c>
      <c r="D6001" s="739" t="s">
        <v>21</v>
      </c>
      <c r="E6001" s="741">
        <f t="shared" si="186"/>
        <v>0.35</v>
      </c>
      <c r="F6001">
        <f t="shared" si="187"/>
        <v>97114</v>
      </c>
      <c r="H6001" s="1406">
        <v>0.32</v>
      </c>
      <c r="I6001" s="1406">
        <v>0.35</v>
      </c>
    </row>
    <row r="6002" spans="2:9">
      <c r="B6002" s="677">
        <v>97115</v>
      </c>
      <c r="C6002" s="733" t="s">
        <v>5827</v>
      </c>
      <c r="D6002" s="677" t="s">
        <v>20</v>
      </c>
      <c r="E6002" s="738">
        <f t="shared" si="186"/>
        <v>56.99</v>
      </c>
      <c r="F6002">
        <f t="shared" si="187"/>
        <v>97115</v>
      </c>
      <c r="H6002" s="1405">
        <v>55.71</v>
      </c>
      <c r="I6002" s="1405">
        <v>56.99</v>
      </c>
    </row>
    <row r="6003" spans="2:9" ht="30">
      <c r="B6003" s="1477">
        <v>97116</v>
      </c>
      <c r="C6003" s="740" t="s">
        <v>5828</v>
      </c>
      <c r="D6003" s="739" t="s">
        <v>20</v>
      </c>
      <c r="E6003" s="741">
        <f t="shared" si="186"/>
        <v>24.04</v>
      </c>
      <c r="F6003">
        <f t="shared" si="187"/>
        <v>97116</v>
      </c>
      <c r="H6003" s="1406">
        <v>23.12</v>
      </c>
      <c r="I6003" s="1406">
        <v>24.04</v>
      </c>
    </row>
    <row r="6004" spans="2:9" ht="30">
      <c r="B6004" s="677">
        <v>97117</v>
      </c>
      <c r="C6004" s="733" t="s">
        <v>5829</v>
      </c>
      <c r="D6004" s="677" t="s">
        <v>20</v>
      </c>
      <c r="E6004" s="738">
        <f t="shared" si="186"/>
        <v>21.53</v>
      </c>
      <c r="F6004">
        <f t="shared" si="187"/>
        <v>97117</v>
      </c>
      <c r="H6004" s="1405">
        <v>20.94</v>
      </c>
      <c r="I6004" s="1405">
        <v>21.53</v>
      </c>
    </row>
    <row r="6005" spans="2:9" ht="30">
      <c r="B6005" s="1477">
        <v>97118</v>
      </c>
      <c r="C6005" s="740" t="s">
        <v>5830</v>
      </c>
      <c r="D6005" s="739" t="s">
        <v>20</v>
      </c>
      <c r="E6005" s="741">
        <f t="shared" si="186"/>
        <v>18.12</v>
      </c>
      <c r="F6005">
        <f t="shared" si="187"/>
        <v>97118</v>
      </c>
      <c r="H6005" s="1406">
        <v>17.739999999999998</v>
      </c>
      <c r="I6005" s="1406">
        <v>18.12</v>
      </c>
    </row>
    <row r="6006" spans="2:9" ht="30">
      <c r="B6006" s="677">
        <v>97119</v>
      </c>
      <c r="C6006" s="733" t="s">
        <v>5831</v>
      </c>
      <c r="D6006" s="677" t="s">
        <v>20</v>
      </c>
      <c r="E6006" s="738">
        <f t="shared" si="186"/>
        <v>16.59</v>
      </c>
      <c r="F6006">
        <f t="shared" si="187"/>
        <v>97119</v>
      </c>
      <c r="H6006" s="1405">
        <v>16.36</v>
      </c>
      <c r="I6006" s="1405">
        <v>16.59</v>
      </c>
    </row>
    <row r="6007" spans="2:9" ht="30">
      <c r="B6007" s="1477">
        <v>97120</v>
      </c>
      <c r="C6007" s="740" t="s">
        <v>5832</v>
      </c>
      <c r="D6007" s="739" t="s">
        <v>20</v>
      </c>
      <c r="E6007" s="741">
        <f t="shared" si="186"/>
        <v>10.79</v>
      </c>
      <c r="F6007">
        <f t="shared" si="187"/>
        <v>97120</v>
      </c>
      <c r="H6007" s="1406">
        <v>10.64</v>
      </c>
      <c r="I6007" s="1406">
        <v>10.79</v>
      </c>
    </row>
    <row r="6008" spans="2:9">
      <c r="B6008" s="677">
        <v>101167</v>
      </c>
      <c r="C6008" s="733" t="s">
        <v>3241</v>
      </c>
      <c r="D6008" s="677" t="s">
        <v>0</v>
      </c>
      <c r="E6008" s="738">
        <f t="shared" si="186"/>
        <v>273.76</v>
      </c>
      <c r="F6008">
        <f t="shared" si="187"/>
        <v>101167</v>
      </c>
      <c r="H6008" s="1405">
        <v>272.07</v>
      </c>
      <c r="I6008" s="1405">
        <v>273.76</v>
      </c>
    </row>
    <row r="6009" spans="2:9">
      <c r="B6009" s="1477">
        <v>101169</v>
      </c>
      <c r="C6009" s="740" t="s">
        <v>3242</v>
      </c>
      <c r="D6009" s="739" t="s">
        <v>0</v>
      </c>
      <c r="E6009" s="741">
        <f t="shared" si="186"/>
        <v>288.37</v>
      </c>
      <c r="F6009">
        <f t="shared" si="187"/>
        <v>101169</v>
      </c>
      <c r="H6009" s="1406">
        <v>286.17</v>
      </c>
      <c r="I6009" s="1406">
        <v>288.37</v>
      </c>
    </row>
    <row r="6010" spans="2:9">
      <c r="B6010" s="677">
        <v>101170</v>
      </c>
      <c r="C6010" s="733" t="s">
        <v>3243</v>
      </c>
      <c r="D6010" s="677" t="s">
        <v>0</v>
      </c>
      <c r="E6010" s="738">
        <f t="shared" si="186"/>
        <v>57.86</v>
      </c>
      <c r="F6010">
        <f t="shared" si="187"/>
        <v>101170</v>
      </c>
      <c r="H6010" s="1405">
        <v>56.52</v>
      </c>
      <c r="I6010" s="1405">
        <v>57.86</v>
      </c>
    </row>
    <row r="6011" spans="2:9">
      <c r="B6011" s="1477">
        <v>101172</v>
      </c>
      <c r="C6011" s="740" t="s">
        <v>3244</v>
      </c>
      <c r="D6011" s="739" t="s">
        <v>0</v>
      </c>
      <c r="E6011" s="741">
        <f t="shared" si="186"/>
        <v>84.01</v>
      </c>
      <c r="F6011">
        <f t="shared" si="187"/>
        <v>101172</v>
      </c>
      <c r="H6011" s="1406">
        <v>82</v>
      </c>
      <c r="I6011" s="1406">
        <v>84.01</v>
      </c>
    </row>
    <row r="6012" spans="2:9">
      <c r="B6012" s="677">
        <v>103904</v>
      </c>
      <c r="C6012" s="733" t="s">
        <v>5833</v>
      </c>
      <c r="D6012" s="677" t="s">
        <v>0</v>
      </c>
      <c r="E6012" s="738">
        <f t="shared" si="186"/>
        <v>159.87</v>
      </c>
      <c r="F6012">
        <f t="shared" si="187"/>
        <v>103904</v>
      </c>
      <c r="H6012" s="1405">
        <v>158.32</v>
      </c>
      <c r="I6012" s="1405">
        <v>159.87</v>
      </c>
    </row>
    <row r="6013" spans="2:9">
      <c r="B6013" s="1477">
        <v>103905</v>
      </c>
      <c r="C6013" s="740" t="s">
        <v>5834</v>
      </c>
      <c r="D6013" s="739" t="s">
        <v>0</v>
      </c>
      <c r="E6013" s="741">
        <f t="shared" si="186"/>
        <v>168.98</v>
      </c>
      <c r="F6013">
        <f t="shared" si="187"/>
        <v>103905</v>
      </c>
      <c r="H6013" s="1406">
        <v>167.37</v>
      </c>
      <c r="I6013" s="1406">
        <v>168.98</v>
      </c>
    </row>
    <row r="6014" spans="2:9">
      <c r="B6014" s="677">
        <v>103906</v>
      </c>
      <c r="C6014" s="733" t="s">
        <v>5835</v>
      </c>
      <c r="D6014" s="677" t="s">
        <v>0</v>
      </c>
      <c r="E6014" s="738">
        <f t="shared" si="186"/>
        <v>198.8</v>
      </c>
      <c r="F6014">
        <f t="shared" si="187"/>
        <v>103906</v>
      </c>
      <c r="H6014" s="1405">
        <v>196.64</v>
      </c>
      <c r="I6014" s="1405">
        <v>198.8</v>
      </c>
    </row>
    <row r="6015" spans="2:9">
      <c r="B6015" s="1477">
        <v>103907</v>
      </c>
      <c r="C6015" s="740" t="s">
        <v>5836</v>
      </c>
      <c r="D6015" s="739" t="s">
        <v>0</v>
      </c>
      <c r="E6015" s="741">
        <f t="shared" si="186"/>
        <v>179.51</v>
      </c>
      <c r="F6015">
        <f t="shared" si="187"/>
        <v>103907</v>
      </c>
      <c r="H6015" s="1406">
        <v>177.86</v>
      </c>
      <c r="I6015" s="1406">
        <v>179.51</v>
      </c>
    </row>
    <row r="6016" spans="2:9">
      <c r="B6016" s="677">
        <v>103908</v>
      </c>
      <c r="C6016" s="733" t="s">
        <v>5837</v>
      </c>
      <c r="D6016" s="677" t="s">
        <v>0</v>
      </c>
      <c r="E6016" s="738">
        <f t="shared" si="186"/>
        <v>202.75</v>
      </c>
      <c r="F6016">
        <f t="shared" si="187"/>
        <v>103908</v>
      </c>
      <c r="H6016" s="1405">
        <v>200.98</v>
      </c>
      <c r="I6016" s="1405">
        <v>202.75</v>
      </c>
    </row>
    <row r="6017" spans="2:9">
      <c r="B6017" s="1477">
        <v>103909</v>
      </c>
      <c r="C6017" s="740" t="s">
        <v>5838</v>
      </c>
      <c r="D6017" s="739" t="s">
        <v>0</v>
      </c>
      <c r="E6017" s="741">
        <f t="shared" si="186"/>
        <v>230.78</v>
      </c>
      <c r="F6017">
        <f t="shared" si="187"/>
        <v>103909</v>
      </c>
      <c r="H6017" s="1406">
        <v>228.9</v>
      </c>
      <c r="I6017" s="1406">
        <v>230.78</v>
      </c>
    </row>
    <row r="6018" spans="2:9">
      <c r="B6018" s="677">
        <v>103911</v>
      </c>
      <c r="C6018" s="733" t="s">
        <v>5839</v>
      </c>
      <c r="D6018" s="677" t="s">
        <v>0</v>
      </c>
      <c r="E6018" s="738">
        <f t="shared" si="186"/>
        <v>263.19</v>
      </c>
      <c r="F6018">
        <f t="shared" si="187"/>
        <v>103911</v>
      </c>
      <c r="H6018" s="1405">
        <v>261.20999999999998</v>
      </c>
      <c r="I6018" s="1405">
        <v>263.19</v>
      </c>
    </row>
    <row r="6019" spans="2:9">
      <c r="B6019" s="1477">
        <v>103912</v>
      </c>
      <c r="C6019" s="740" t="s">
        <v>5840</v>
      </c>
      <c r="D6019" s="739" t="s">
        <v>0</v>
      </c>
      <c r="E6019" s="741">
        <f t="shared" ref="E6019:E6082" si="188">IF($K$2=$H$1,H6019,I6019)</f>
        <v>291.05</v>
      </c>
      <c r="F6019">
        <f t="shared" ref="F6019:F6082" si="189">IF(LEN($B6019)=7,CONCATENATE(MID($B6019,1,6),"00",RIGHT($B6019,1)),IF(LEN($B6019)=8,CONCATENATE(MID($B6019,1,6),"0",RIGHT($B6019,2)),$B6019))</f>
        <v>103912</v>
      </c>
      <c r="H6019" s="1406">
        <v>288.88</v>
      </c>
      <c r="I6019" s="1406">
        <v>291.05</v>
      </c>
    </row>
    <row r="6020" spans="2:9">
      <c r="B6020" s="677">
        <v>103913</v>
      </c>
      <c r="C6020" s="733" t="s">
        <v>5841</v>
      </c>
      <c r="D6020" s="677" t="s">
        <v>0</v>
      </c>
      <c r="E6020" s="738">
        <f t="shared" si="188"/>
        <v>149.66</v>
      </c>
      <c r="F6020">
        <f t="shared" si="189"/>
        <v>103913</v>
      </c>
      <c r="H6020" s="1405">
        <v>148.46</v>
      </c>
      <c r="I6020" s="1405">
        <v>149.66</v>
      </c>
    </row>
    <row r="6021" spans="2:9">
      <c r="B6021" s="1477">
        <v>103914</v>
      </c>
      <c r="C6021" s="740" t="s">
        <v>5842</v>
      </c>
      <c r="D6021" s="739" t="s">
        <v>0</v>
      </c>
      <c r="E6021" s="741">
        <f t="shared" si="188"/>
        <v>174.8</v>
      </c>
      <c r="F6021">
        <f t="shared" si="189"/>
        <v>103914</v>
      </c>
      <c r="H6021" s="1406">
        <v>173.43</v>
      </c>
      <c r="I6021" s="1406">
        <v>174.8</v>
      </c>
    </row>
    <row r="6022" spans="2:9">
      <c r="B6022" s="677">
        <v>103915</v>
      </c>
      <c r="C6022" s="733" t="s">
        <v>5843</v>
      </c>
      <c r="D6022" s="677" t="s">
        <v>0</v>
      </c>
      <c r="E6022" s="738">
        <f t="shared" si="188"/>
        <v>190.61</v>
      </c>
      <c r="F6022">
        <f t="shared" si="189"/>
        <v>103915</v>
      </c>
      <c r="H6022" s="1405">
        <v>189.19</v>
      </c>
      <c r="I6022" s="1405">
        <v>190.61</v>
      </c>
    </row>
    <row r="6023" spans="2:9">
      <c r="B6023" s="1477">
        <v>103916</v>
      </c>
      <c r="C6023" s="740" t="s">
        <v>5844</v>
      </c>
      <c r="D6023" s="739" t="s">
        <v>0</v>
      </c>
      <c r="E6023" s="741">
        <f t="shared" si="188"/>
        <v>219.74</v>
      </c>
      <c r="F6023">
        <f t="shared" si="189"/>
        <v>103916</v>
      </c>
      <c r="H6023" s="1406">
        <v>218.14</v>
      </c>
      <c r="I6023" s="1406">
        <v>219.74</v>
      </c>
    </row>
    <row r="6024" spans="2:9">
      <c r="B6024" s="677">
        <v>103917</v>
      </c>
      <c r="C6024" s="733" t="s">
        <v>5845</v>
      </c>
      <c r="D6024" s="677" t="s">
        <v>0</v>
      </c>
      <c r="E6024" s="738">
        <f t="shared" si="188"/>
        <v>252.53</v>
      </c>
      <c r="F6024">
        <f t="shared" si="189"/>
        <v>103917</v>
      </c>
      <c r="H6024" s="1405">
        <v>250.79</v>
      </c>
      <c r="I6024" s="1405">
        <v>252.53</v>
      </c>
    </row>
    <row r="6025" spans="2:9">
      <c r="B6025" s="1477">
        <v>103918</v>
      </c>
      <c r="C6025" s="740" t="s">
        <v>5846</v>
      </c>
      <c r="D6025" s="739" t="s">
        <v>0</v>
      </c>
      <c r="E6025" s="741">
        <f t="shared" si="188"/>
        <v>268.08</v>
      </c>
      <c r="F6025">
        <f t="shared" si="189"/>
        <v>103918</v>
      </c>
      <c r="H6025" s="1406">
        <v>266.25</v>
      </c>
      <c r="I6025" s="1406">
        <v>268.08</v>
      </c>
    </row>
    <row r="6026" spans="2:9">
      <c r="B6026" s="677">
        <v>104432</v>
      </c>
      <c r="C6026" s="733" t="s">
        <v>7175</v>
      </c>
      <c r="D6026" s="677" t="s">
        <v>0</v>
      </c>
      <c r="E6026" s="738">
        <f t="shared" si="188"/>
        <v>100.18</v>
      </c>
      <c r="F6026">
        <f t="shared" si="189"/>
        <v>104432</v>
      </c>
      <c r="H6026" s="1405">
        <v>98.27</v>
      </c>
      <c r="I6026" s="1405">
        <v>100.18</v>
      </c>
    </row>
    <row r="6027" spans="2:9">
      <c r="B6027" s="1477">
        <v>104433</v>
      </c>
      <c r="C6027" s="740" t="s">
        <v>7176</v>
      </c>
      <c r="D6027" s="739" t="s">
        <v>0</v>
      </c>
      <c r="E6027" s="741">
        <f t="shared" si="188"/>
        <v>89.19</v>
      </c>
      <c r="F6027">
        <f t="shared" si="189"/>
        <v>104433</v>
      </c>
      <c r="H6027" s="1406">
        <v>88.12</v>
      </c>
      <c r="I6027" s="1406">
        <v>89.19</v>
      </c>
    </row>
    <row r="6028" spans="2:9">
      <c r="B6028" s="677">
        <v>103689</v>
      </c>
      <c r="C6028" s="733" t="s">
        <v>7861</v>
      </c>
      <c r="D6028" s="677" t="s">
        <v>0</v>
      </c>
      <c r="E6028" s="738">
        <f t="shared" si="188"/>
        <v>312.57</v>
      </c>
      <c r="F6028">
        <f t="shared" si="189"/>
        <v>103689</v>
      </c>
      <c r="H6028" s="1405">
        <v>308.77999999999997</v>
      </c>
      <c r="I6028" s="1405">
        <v>312.57</v>
      </c>
    </row>
    <row r="6029" spans="2:9" ht="30">
      <c r="B6029" s="1477">
        <v>103694</v>
      </c>
      <c r="C6029" s="740" t="s">
        <v>5545</v>
      </c>
      <c r="D6029" s="739" t="s">
        <v>22</v>
      </c>
      <c r="E6029" s="741">
        <f t="shared" si="188"/>
        <v>116.04</v>
      </c>
      <c r="F6029">
        <f t="shared" si="189"/>
        <v>103694</v>
      </c>
      <c r="H6029" s="1406">
        <v>112.2</v>
      </c>
      <c r="I6029" s="1406">
        <v>116.04</v>
      </c>
    </row>
    <row r="6030" spans="2:9" ht="30">
      <c r="B6030" s="677">
        <v>103695</v>
      </c>
      <c r="C6030" s="733" t="s">
        <v>5847</v>
      </c>
      <c r="D6030" s="677" t="s">
        <v>22</v>
      </c>
      <c r="E6030" s="738">
        <f t="shared" si="188"/>
        <v>103.83</v>
      </c>
      <c r="F6030">
        <f t="shared" si="189"/>
        <v>103695</v>
      </c>
      <c r="H6030" s="1405">
        <v>100.25</v>
      </c>
      <c r="I6030" s="1405">
        <v>103.83</v>
      </c>
    </row>
    <row r="6031" spans="2:9" ht="30">
      <c r="B6031" s="1477">
        <v>103696</v>
      </c>
      <c r="C6031" s="740" t="s">
        <v>5546</v>
      </c>
      <c r="D6031" s="739" t="s">
        <v>22</v>
      </c>
      <c r="E6031" s="741">
        <f t="shared" si="188"/>
        <v>142.02000000000001</v>
      </c>
      <c r="F6031">
        <f t="shared" si="189"/>
        <v>103696</v>
      </c>
      <c r="H6031" s="1406">
        <v>135.6</v>
      </c>
      <c r="I6031" s="1406">
        <v>142.02000000000001</v>
      </c>
    </row>
    <row r="6032" spans="2:9" ht="30">
      <c r="B6032" s="677">
        <v>103697</v>
      </c>
      <c r="C6032" s="733" t="s">
        <v>5848</v>
      </c>
      <c r="D6032" s="677" t="s">
        <v>22</v>
      </c>
      <c r="E6032" s="738">
        <f t="shared" si="188"/>
        <v>129.81</v>
      </c>
      <c r="F6032">
        <f t="shared" si="189"/>
        <v>103697</v>
      </c>
      <c r="H6032" s="1405">
        <v>123.65</v>
      </c>
      <c r="I6032" s="1405">
        <v>129.81</v>
      </c>
    </row>
    <row r="6033" spans="2:9" ht="30">
      <c r="B6033" s="1477">
        <v>95995</v>
      </c>
      <c r="C6033" s="740" t="s">
        <v>2835</v>
      </c>
      <c r="D6033" s="739" t="s">
        <v>19</v>
      </c>
      <c r="E6033" s="741">
        <f t="shared" si="188"/>
        <v>1428.53</v>
      </c>
      <c r="F6033">
        <f t="shared" si="189"/>
        <v>95995</v>
      </c>
      <c r="H6033" s="1406">
        <v>1424.43</v>
      </c>
      <c r="I6033" s="1406">
        <v>1428.53</v>
      </c>
    </row>
    <row r="6034" spans="2:9" ht="30">
      <c r="B6034" s="677">
        <v>95996</v>
      </c>
      <c r="C6034" s="733" t="s">
        <v>2836</v>
      </c>
      <c r="D6034" s="677" t="s">
        <v>19</v>
      </c>
      <c r="E6034" s="738">
        <f t="shared" si="188"/>
        <v>1234.6400000000001</v>
      </c>
      <c r="F6034">
        <f t="shared" si="189"/>
        <v>95996</v>
      </c>
      <c r="H6034" s="1405">
        <v>1231.72</v>
      </c>
      <c r="I6034" s="1405">
        <v>1234.6400000000001</v>
      </c>
    </row>
    <row r="6035" spans="2:9">
      <c r="B6035" s="1477">
        <v>96001</v>
      </c>
      <c r="C6035" s="740" t="s">
        <v>2837</v>
      </c>
      <c r="D6035" s="739" t="s">
        <v>0</v>
      </c>
      <c r="E6035" s="741">
        <f t="shared" si="188"/>
        <v>6.76</v>
      </c>
      <c r="F6035">
        <f t="shared" si="189"/>
        <v>96001</v>
      </c>
      <c r="H6035" s="1406">
        <v>6.65</v>
      </c>
      <c r="I6035" s="1406">
        <v>6.76</v>
      </c>
    </row>
    <row r="6036" spans="2:9">
      <c r="B6036" s="677">
        <v>96393</v>
      </c>
      <c r="C6036" s="733" t="s">
        <v>3222</v>
      </c>
      <c r="D6036" s="677" t="s">
        <v>19</v>
      </c>
      <c r="E6036" s="738">
        <f t="shared" si="188"/>
        <v>225.9</v>
      </c>
      <c r="F6036">
        <f t="shared" si="189"/>
        <v>96393</v>
      </c>
      <c r="H6036" s="1405">
        <v>225.72</v>
      </c>
      <c r="I6036" s="1405">
        <v>225.9</v>
      </c>
    </row>
    <row r="6037" spans="2:9">
      <c r="B6037" s="1477">
        <v>96394</v>
      </c>
      <c r="C6037" s="740" t="s">
        <v>3223</v>
      </c>
      <c r="D6037" s="739" t="s">
        <v>19</v>
      </c>
      <c r="E6037" s="741">
        <f t="shared" si="188"/>
        <v>295.14999999999998</v>
      </c>
      <c r="F6037">
        <f t="shared" si="189"/>
        <v>96394</v>
      </c>
      <c r="H6037" s="1406">
        <v>294.95999999999998</v>
      </c>
      <c r="I6037" s="1406">
        <v>295.14999999999998</v>
      </c>
    </row>
    <row r="6038" spans="2:9">
      <c r="B6038" s="677">
        <v>96395</v>
      </c>
      <c r="C6038" s="733" t="s">
        <v>3224</v>
      </c>
      <c r="D6038" s="677" t="s">
        <v>19</v>
      </c>
      <c r="E6038" s="738">
        <f t="shared" si="188"/>
        <v>391.74</v>
      </c>
      <c r="F6038">
        <f t="shared" si="189"/>
        <v>96395</v>
      </c>
      <c r="H6038" s="1405">
        <v>391.43</v>
      </c>
      <c r="I6038" s="1405">
        <v>391.74</v>
      </c>
    </row>
    <row r="6039" spans="2:9" ht="30">
      <c r="B6039" s="1477">
        <v>88411</v>
      </c>
      <c r="C6039" s="740" t="s">
        <v>1500</v>
      </c>
      <c r="D6039" s="739" t="s">
        <v>0</v>
      </c>
      <c r="E6039" s="741">
        <f t="shared" si="188"/>
        <v>2.44</v>
      </c>
      <c r="F6039">
        <f t="shared" si="189"/>
        <v>88411</v>
      </c>
      <c r="H6039" s="1406">
        <v>2.2999999999999998</v>
      </c>
      <c r="I6039" s="1406">
        <v>2.44</v>
      </c>
    </row>
    <row r="6040" spans="2:9" ht="30">
      <c r="B6040" s="677">
        <v>88412</v>
      </c>
      <c r="C6040" s="733" t="s">
        <v>1501</v>
      </c>
      <c r="D6040" s="677" t="s">
        <v>0</v>
      </c>
      <c r="E6040" s="738">
        <f t="shared" si="188"/>
        <v>1.72</v>
      </c>
      <c r="F6040">
        <f t="shared" si="189"/>
        <v>88412</v>
      </c>
      <c r="H6040" s="1405">
        <v>1.65</v>
      </c>
      <c r="I6040" s="1405">
        <v>1.72</v>
      </c>
    </row>
    <row r="6041" spans="2:9" ht="30">
      <c r="B6041" s="1477">
        <v>88413</v>
      </c>
      <c r="C6041" s="740" t="s">
        <v>307</v>
      </c>
      <c r="D6041" s="739" t="s">
        <v>0</v>
      </c>
      <c r="E6041" s="741">
        <f t="shared" si="188"/>
        <v>3.88</v>
      </c>
      <c r="F6041">
        <f t="shared" si="189"/>
        <v>88413</v>
      </c>
      <c r="H6041" s="1406">
        <v>3.6</v>
      </c>
      <c r="I6041" s="1406">
        <v>3.88</v>
      </c>
    </row>
    <row r="6042" spans="2:9" ht="30">
      <c r="B6042" s="677">
        <v>88414</v>
      </c>
      <c r="C6042" s="733" t="s">
        <v>308</v>
      </c>
      <c r="D6042" s="677" t="s">
        <v>0</v>
      </c>
      <c r="E6042" s="738">
        <f t="shared" si="188"/>
        <v>4.34</v>
      </c>
      <c r="F6042">
        <f t="shared" si="189"/>
        <v>88414</v>
      </c>
      <c r="H6042" s="1405">
        <v>4.01</v>
      </c>
      <c r="I6042" s="1405">
        <v>4.34</v>
      </c>
    </row>
    <row r="6043" spans="2:9">
      <c r="B6043" s="1477">
        <v>88415</v>
      </c>
      <c r="C6043" s="740" t="s">
        <v>1502</v>
      </c>
      <c r="D6043" s="739" t="s">
        <v>0</v>
      </c>
      <c r="E6043" s="741">
        <f t="shared" si="188"/>
        <v>2.67</v>
      </c>
      <c r="F6043">
        <f t="shared" si="189"/>
        <v>88415</v>
      </c>
      <c r="H6043" s="1406">
        <v>2.5</v>
      </c>
      <c r="I6043" s="1406">
        <v>2.67</v>
      </c>
    </row>
    <row r="6044" spans="2:9" ht="30">
      <c r="B6044" s="677">
        <v>88416</v>
      </c>
      <c r="C6044" s="733" t="s">
        <v>1503</v>
      </c>
      <c r="D6044" s="677" t="s">
        <v>0</v>
      </c>
      <c r="E6044" s="738">
        <f t="shared" si="188"/>
        <v>17.28</v>
      </c>
      <c r="F6044">
        <f t="shared" si="189"/>
        <v>88416</v>
      </c>
      <c r="H6044" s="1405">
        <v>16.8</v>
      </c>
      <c r="I6044" s="1405">
        <v>17.28</v>
      </c>
    </row>
    <row r="6045" spans="2:9" ht="30">
      <c r="B6045" s="1477">
        <v>88417</v>
      </c>
      <c r="C6045" s="740" t="s">
        <v>1504</v>
      </c>
      <c r="D6045" s="739" t="s">
        <v>0</v>
      </c>
      <c r="E6045" s="741">
        <f t="shared" si="188"/>
        <v>14.73</v>
      </c>
      <c r="F6045">
        <f t="shared" si="189"/>
        <v>88417</v>
      </c>
      <c r="H6045" s="1406">
        <v>14.51</v>
      </c>
      <c r="I6045" s="1406">
        <v>14.73</v>
      </c>
    </row>
    <row r="6046" spans="2:9" ht="30">
      <c r="B6046" s="677">
        <v>88420</v>
      </c>
      <c r="C6046" s="733" t="s">
        <v>1505</v>
      </c>
      <c r="D6046" s="677" t="s">
        <v>0</v>
      </c>
      <c r="E6046" s="738">
        <f t="shared" si="188"/>
        <v>22.43</v>
      </c>
      <c r="F6046">
        <f t="shared" si="189"/>
        <v>88420</v>
      </c>
      <c r="H6046" s="1405">
        <v>21.46</v>
      </c>
      <c r="I6046" s="1405">
        <v>22.43</v>
      </c>
    </row>
    <row r="6047" spans="2:9" ht="30">
      <c r="B6047" s="1477">
        <v>88421</v>
      </c>
      <c r="C6047" s="740" t="s">
        <v>1506</v>
      </c>
      <c r="D6047" s="739" t="s">
        <v>0</v>
      </c>
      <c r="E6047" s="741">
        <f t="shared" si="188"/>
        <v>24.05</v>
      </c>
      <c r="F6047">
        <f t="shared" si="189"/>
        <v>88421</v>
      </c>
      <c r="H6047" s="1406">
        <v>22.92</v>
      </c>
      <c r="I6047" s="1406">
        <v>24.05</v>
      </c>
    </row>
    <row r="6048" spans="2:9">
      <c r="B6048" s="677">
        <v>88423</v>
      </c>
      <c r="C6048" s="733" t="s">
        <v>309</v>
      </c>
      <c r="D6048" s="677" t="s">
        <v>0</v>
      </c>
      <c r="E6048" s="738">
        <f t="shared" si="188"/>
        <v>18.079999999999998</v>
      </c>
      <c r="F6048">
        <f t="shared" si="189"/>
        <v>88423</v>
      </c>
      <c r="H6048" s="1405">
        <v>17.52</v>
      </c>
      <c r="I6048" s="1405">
        <v>18.079999999999998</v>
      </c>
    </row>
    <row r="6049" spans="2:9" ht="30">
      <c r="B6049" s="1477">
        <v>88424</v>
      </c>
      <c r="C6049" s="740" t="s">
        <v>1507</v>
      </c>
      <c r="D6049" s="739" t="s">
        <v>0</v>
      </c>
      <c r="E6049" s="741">
        <f t="shared" si="188"/>
        <v>20.78</v>
      </c>
      <c r="F6049">
        <f t="shared" si="189"/>
        <v>88424</v>
      </c>
      <c r="H6049" s="1406">
        <v>19.97</v>
      </c>
      <c r="I6049" s="1406">
        <v>20.78</v>
      </c>
    </row>
    <row r="6050" spans="2:9" ht="30">
      <c r="B6050" s="677">
        <v>88426</v>
      </c>
      <c r="C6050" s="733" t="s">
        <v>1508</v>
      </c>
      <c r="D6050" s="677" t="s">
        <v>0</v>
      </c>
      <c r="E6050" s="738">
        <f t="shared" si="188"/>
        <v>16.37</v>
      </c>
      <c r="F6050">
        <f t="shared" si="189"/>
        <v>88426</v>
      </c>
      <c r="H6050" s="1405">
        <v>15.98</v>
      </c>
      <c r="I6050" s="1405">
        <v>16.37</v>
      </c>
    </row>
    <row r="6051" spans="2:9" ht="30">
      <c r="B6051" s="1477">
        <v>88428</v>
      </c>
      <c r="C6051" s="740" t="s">
        <v>1509</v>
      </c>
      <c r="D6051" s="739" t="s">
        <v>0</v>
      </c>
      <c r="E6051" s="741">
        <f t="shared" si="188"/>
        <v>29.64</v>
      </c>
      <c r="F6051">
        <f t="shared" si="189"/>
        <v>88428</v>
      </c>
      <c r="H6051" s="1406">
        <v>27.96</v>
      </c>
      <c r="I6051" s="1406">
        <v>29.64</v>
      </c>
    </row>
    <row r="6052" spans="2:9" ht="30">
      <c r="B6052" s="677">
        <v>88429</v>
      </c>
      <c r="C6052" s="733" t="s">
        <v>1510</v>
      </c>
      <c r="D6052" s="677" t="s">
        <v>0</v>
      </c>
      <c r="E6052" s="738">
        <f t="shared" si="188"/>
        <v>32.46</v>
      </c>
      <c r="F6052">
        <f t="shared" si="189"/>
        <v>88429</v>
      </c>
      <c r="H6052" s="1405">
        <v>30.52</v>
      </c>
      <c r="I6052" s="1405">
        <v>32.46</v>
      </c>
    </row>
    <row r="6053" spans="2:9">
      <c r="B6053" s="1477">
        <v>88431</v>
      </c>
      <c r="C6053" s="740" t="s">
        <v>310</v>
      </c>
      <c r="D6053" s="739" t="s">
        <v>0</v>
      </c>
      <c r="E6053" s="741">
        <f t="shared" si="188"/>
        <v>22.17</v>
      </c>
      <c r="F6053">
        <f t="shared" si="189"/>
        <v>88431</v>
      </c>
      <c r="H6053" s="1406">
        <v>21.22</v>
      </c>
      <c r="I6053" s="1406">
        <v>22.17</v>
      </c>
    </row>
    <row r="6054" spans="2:9" ht="30">
      <c r="B6054" s="677">
        <v>88432</v>
      </c>
      <c r="C6054" s="733" t="s">
        <v>311</v>
      </c>
      <c r="D6054" s="677" t="s">
        <v>0</v>
      </c>
      <c r="E6054" s="738">
        <f t="shared" si="188"/>
        <v>17.02</v>
      </c>
      <c r="F6054">
        <f t="shared" si="189"/>
        <v>88432</v>
      </c>
      <c r="H6054" s="1405">
        <v>15.86</v>
      </c>
      <c r="I6054" s="1405">
        <v>17.02</v>
      </c>
    </row>
    <row r="6055" spans="2:9">
      <c r="B6055" s="1477">
        <v>88484</v>
      </c>
      <c r="C6055" s="740" t="s">
        <v>7862</v>
      </c>
      <c r="D6055" s="739" t="s">
        <v>0</v>
      </c>
      <c r="E6055" s="741">
        <f t="shared" si="188"/>
        <v>4.0999999999999996</v>
      </c>
      <c r="F6055">
        <f t="shared" si="189"/>
        <v>88484</v>
      </c>
      <c r="H6055" s="1406">
        <v>3.79</v>
      </c>
      <c r="I6055" s="1406">
        <v>4.0999999999999996</v>
      </c>
    </row>
    <row r="6056" spans="2:9">
      <c r="B6056" s="677">
        <v>88485</v>
      </c>
      <c r="C6056" s="733" t="s">
        <v>7863</v>
      </c>
      <c r="D6056" s="677" t="s">
        <v>0</v>
      </c>
      <c r="E6056" s="738">
        <f t="shared" si="188"/>
        <v>3.22</v>
      </c>
      <c r="F6056">
        <f t="shared" si="189"/>
        <v>88485</v>
      </c>
      <c r="H6056" s="1405">
        <v>2.99</v>
      </c>
      <c r="I6056" s="1405">
        <v>3.22</v>
      </c>
    </row>
    <row r="6057" spans="2:9">
      <c r="B6057" s="1477">
        <v>88488</v>
      </c>
      <c r="C6057" s="740" t="s">
        <v>7864</v>
      </c>
      <c r="D6057" s="739" t="s">
        <v>0</v>
      </c>
      <c r="E6057" s="741">
        <f t="shared" si="188"/>
        <v>13.81</v>
      </c>
      <c r="F6057">
        <f t="shared" si="189"/>
        <v>88488</v>
      </c>
      <c r="H6057" s="1406">
        <v>13.06</v>
      </c>
      <c r="I6057" s="1406">
        <v>13.81</v>
      </c>
    </row>
    <row r="6058" spans="2:9">
      <c r="B6058" s="677">
        <v>88489</v>
      </c>
      <c r="C6058" s="733" t="s">
        <v>7865</v>
      </c>
      <c r="D6058" s="677" t="s">
        <v>0</v>
      </c>
      <c r="E6058" s="738">
        <f t="shared" si="188"/>
        <v>11.65</v>
      </c>
      <c r="F6058">
        <f t="shared" si="189"/>
        <v>88489</v>
      </c>
      <c r="H6058" s="1405">
        <v>11.11</v>
      </c>
      <c r="I6058" s="1405">
        <v>11.65</v>
      </c>
    </row>
    <row r="6059" spans="2:9">
      <c r="B6059" s="1477">
        <v>88494</v>
      </c>
      <c r="C6059" s="740" t="s">
        <v>7866</v>
      </c>
      <c r="D6059" s="739" t="s">
        <v>0</v>
      </c>
      <c r="E6059" s="741">
        <f t="shared" si="188"/>
        <v>19.649999999999999</v>
      </c>
      <c r="F6059">
        <f t="shared" si="189"/>
        <v>88494</v>
      </c>
      <c r="H6059" s="1406">
        <v>17.98</v>
      </c>
      <c r="I6059" s="1406">
        <v>19.649999999999999</v>
      </c>
    </row>
    <row r="6060" spans="2:9">
      <c r="B6060" s="677">
        <v>88495</v>
      </c>
      <c r="C6060" s="733" t="s">
        <v>7867</v>
      </c>
      <c r="D6060" s="677" t="s">
        <v>0</v>
      </c>
      <c r="E6060" s="738">
        <f t="shared" si="188"/>
        <v>10.85</v>
      </c>
      <c r="F6060">
        <f t="shared" si="189"/>
        <v>88495</v>
      </c>
      <c r="H6060" s="1405">
        <v>10.039999999999999</v>
      </c>
      <c r="I6060" s="1405">
        <v>10.85</v>
      </c>
    </row>
    <row r="6061" spans="2:9">
      <c r="B6061" s="1477">
        <v>88496</v>
      </c>
      <c r="C6061" s="740" t="s">
        <v>7868</v>
      </c>
      <c r="D6061" s="739" t="s">
        <v>0</v>
      </c>
      <c r="E6061" s="741">
        <f t="shared" si="188"/>
        <v>29.81</v>
      </c>
      <c r="F6061">
        <f t="shared" si="189"/>
        <v>88496</v>
      </c>
      <c r="H6061" s="1406">
        <v>27.36</v>
      </c>
      <c r="I6061" s="1406">
        <v>29.81</v>
      </c>
    </row>
    <row r="6062" spans="2:9">
      <c r="B6062" s="677">
        <v>88497</v>
      </c>
      <c r="C6062" s="733" t="s">
        <v>7869</v>
      </c>
      <c r="D6062" s="677" t="s">
        <v>0</v>
      </c>
      <c r="E6062" s="738">
        <f t="shared" si="188"/>
        <v>16.899999999999999</v>
      </c>
      <c r="F6062">
        <f t="shared" si="189"/>
        <v>88497</v>
      </c>
      <c r="H6062" s="1405">
        <v>15.71</v>
      </c>
      <c r="I6062" s="1405">
        <v>16.899999999999999</v>
      </c>
    </row>
    <row r="6063" spans="2:9">
      <c r="B6063" s="1477">
        <v>95305</v>
      </c>
      <c r="C6063" s="740" t="s">
        <v>7870</v>
      </c>
      <c r="D6063" s="739" t="s">
        <v>0</v>
      </c>
      <c r="E6063" s="741">
        <f t="shared" si="188"/>
        <v>12.3</v>
      </c>
      <c r="F6063">
        <f t="shared" si="189"/>
        <v>95305</v>
      </c>
      <c r="H6063" s="1406">
        <v>11.8</v>
      </c>
      <c r="I6063" s="1406">
        <v>12.3</v>
      </c>
    </row>
    <row r="6064" spans="2:9">
      <c r="B6064" s="677">
        <v>95306</v>
      </c>
      <c r="C6064" s="733" t="s">
        <v>7871</v>
      </c>
      <c r="D6064" s="677" t="s">
        <v>0</v>
      </c>
      <c r="E6064" s="738">
        <f t="shared" si="188"/>
        <v>14.35</v>
      </c>
      <c r="F6064">
        <f t="shared" si="189"/>
        <v>95306</v>
      </c>
      <c r="H6064" s="1405">
        <v>13.64</v>
      </c>
      <c r="I6064" s="1405">
        <v>14.35</v>
      </c>
    </row>
    <row r="6065" spans="2:9" ht="30">
      <c r="B6065" s="1477">
        <v>95622</v>
      </c>
      <c r="C6065" s="740" t="s">
        <v>522</v>
      </c>
      <c r="D6065" s="739" t="s">
        <v>0</v>
      </c>
      <c r="E6065" s="741">
        <f t="shared" si="188"/>
        <v>15.3</v>
      </c>
      <c r="F6065">
        <f t="shared" si="189"/>
        <v>95622</v>
      </c>
      <c r="H6065" s="1406">
        <v>14.34</v>
      </c>
      <c r="I6065" s="1406">
        <v>15.3</v>
      </c>
    </row>
    <row r="6066" spans="2:9" ht="30">
      <c r="B6066" s="677">
        <v>95623</v>
      </c>
      <c r="C6066" s="733" t="s">
        <v>523</v>
      </c>
      <c r="D6066" s="677" t="s">
        <v>0</v>
      </c>
      <c r="E6066" s="738">
        <f t="shared" si="188"/>
        <v>11.82</v>
      </c>
      <c r="F6066">
        <f t="shared" si="189"/>
        <v>95623</v>
      </c>
      <c r="H6066" s="1405">
        <v>11.19</v>
      </c>
      <c r="I6066" s="1405">
        <v>11.82</v>
      </c>
    </row>
    <row r="6067" spans="2:9" ht="30">
      <c r="B6067" s="1477">
        <v>95624</v>
      </c>
      <c r="C6067" s="740" t="s">
        <v>1511</v>
      </c>
      <c r="D6067" s="739" t="s">
        <v>0</v>
      </c>
      <c r="E6067" s="741">
        <f t="shared" si="188"/>
        <v>22.39</v>
      </c>
      <c r="F6067">
        <f t="shared" si="189"/>
        <v>95624</v>
      </c>
      <c r="H6067" s="1406">
        <v>20.73</v>
      </c>
      <c r="I6067" s="1406">
        <v>22.39</v>
      </c>
    </row>
    <row r="6068" spans="2:9" ht="30">
      <c r="B6068" s="677">
        <v>95625</v>
      </c>
      <c r="C6068" s="733" t="s">
        <v>1512</v>
      </c>
      <c r="D6068" s="677" t="s">
        <v>0</v>
      </c>
      <c r="E6068" s="738">
        <f t="shared" si="188"/>
        <v>24.62</v>
      </c>
      <c r="F6068">
        <f t="shared" si="189"/>
        <v>95625</v>
      </c>
      <c r="H6068" s="1405">
        <v>22.75</v>
      </c>
      <c r="I6068" s="1405">
        <v>24.62</v>
      </c>
    </row>
    <row r="6069" spans="2:9">
      <c r="B6069" s="1477">
        <v>95626</v>
      </c>
      <c r="C6069" s="740" t="s">
        <v>524</v>
      </c>
      <c r="D6069" s="739" t="s">
        <v>0</v>
      </c>
      <c r="E6069" s="741">
        <f t="shared" si="188"/>
        <v>16.43</v>
      </c>
      <c r="F6069">
        <f t="shared" si="189"/>
        <v>95626</v>
      </c>
      <c r="H6069" s="1406">
        <v>15.35</v>
      </c>
      <c r="I6069" s="1406">
        <v>16.43</v>
      </c>
    </row>
    <row r="6070" spans="2:9" ht="30">
      <c r="B6070" s="677">
        <v>96126</v>
      </c>
      <c r="C6070" s="733" t="s">
        <v>1747</v>
      </c>
      <c r="D6070" s="677" t="s">
        <v>0</v>
      </c>
      <c r="E6070" s="738">
        <f t="shared" si="188"/>
        <v>18.920000000000002</v>
      </c>
      <c r="F6070">
        <f t="shared" si="189"/>
        <v>96126</v>
      </c>
      <c r="H6070" s="1405">
        <v>17.7</v>
      </c>
      <c r="I6070" s="1405">
        <v>18.920000000000002</v>
      </c>
    </row>
    <row r="6071" spans="2:9" ht="30">
      <c r="B6071" s="1477">
        <v>96127</v>
      </c>
      <c r="C6071" s="740" t="s">
        <v>1748</v>
      </c>
      <c r="D6071" s="739" t="s">
        <v>0</v>
      </c>
      <c r="E6071" s="741">
        <f t="shared" si="188"/>
        <v>14.57</v>
      </c>
      <c r="F6071">
        <f t="shared" si="189"/>
        <v>96127</v>
      </c>
      <c r="H6071" s="1406">
        <v>13.78</v>
      </c>
      <c r="I6071" s="1406">
        <v>14.57</v>
      </c>
    </row>
    <row r="6072" spans="2:9" ht="30">
      <c r="B6072" s="677">
        <v>96128</v>
      </c>
      <c r="C6072" s="733" t="s">
        <v>1749</v>
      </c>
      <c r="D6072" s="677" t="s">
        <v>0</v>
      </c>
      <c r="E6072" s="738">
        <f t="shared" si="188"/>
        <v>27.73</v>
      </c>
      <c r="F6072">
        <f t="shared" si="189"/>
        <v>96128</v>
      </c>
      <c r="H6072" s="1405">
        <v>25.66</v>
      </c>
      <c r="I6072" s="1405">
        <v>27.73</v>
      </c>
    </row>
    <row r="6073" spans="2:9" ht="30">
      <c r="B6073" s="1477">
        <v>96129</v>
      </c>
      <c r="C6073" s="740" t="s">
        <v>1750</v>
      </c>
      <c r="D6073" s="739" t="s">
        <v>0</v>
      </c>
      <c r="E6073" s="741">
        <f t="shared" si="188"/>
        <v>30.53</v>
      </c>
      <c r="F6073">
        <f t="shared" si="189"/>
        <v>96129</v>
      </c>
      <c r="H6073" s="1406">
        <v>28.18</v>
      </c>
      <c r="I6073" s="1406">
        <v>30.53</v>
      </c>
    </row>
    <row r="6074" spans="2:9">
      <c r="B6074" s="677">
        <v>96130</v>
      </c>
      <c r="C6074" s="733" t="s">
        <v>1751</v>
      </c>
      <c r="D6074" s="677" t="s">
        <v>0</v>
      </c>
      <c r="E6074" s="738">
        <f t="shared" si="188"/>
        <v>20.29</v>
      </c>
      <c r="F6074">
        <f t="shared" si="189"/>
        <v>96130</v>
      </c>
      <c r="H6074" s="1405">
        <v>18.940000000000001</v>
      </c>
      <c r="I6074" s="1405">
        <v>20.29</v>
      </c>
    </row>
    <row r="6075" spans="2:9" ht="30">
      <c r="B6075" s="1477">
        <v>96131</v>
      </c>
      <c r="C6075" s="740" t="s">
        <v>1752</v>
      </c>
      <c r="D6075" s="739" t="s">
        <v>0</v>
      </c>
      <c r="E6075" s="741">
        <f t="shared" si="188"/>
        <v>26.21</v>
      </c>
      <c r="F6075">
        <f t="shared" si="189"/>
        <v>96131</v>
      </c>
      <c r="H6075" s="1406">
        <v>24.59</v>
      </c>
      <c r="I6075" s="1406">
        <v>26.21</v>
      </c>
    </row>
    <row r="6076" spans="2:9" ht="30">
      <c r="B6076" s="677">
        <v>96132</v>
      </c>
      <c r="C6076" s="733" t="s">
        <v>1753</v>
      </c>
      <c r="D6076" s="677" t="s">
        <v>0</v>
      </c>
      <c r="E6076" s="738">
        <f t="shared" si="188"/>
        <v>20.41</v>
      </c>
      <c r="F6076">
        <f t="shared" si="189"/>
        <v>96132</v>
      </c>
      <c r="H6076" s="1405">
        <v>19.37</v>
      </c>
      <c r="I6076" s="1405">
        <v>20.41</v>
      </c>
    </row>
    <row r="6077" spans="2:9" ht="30">
      <c r="B6077" s="1477">
        <v>96133</v>
      </c>
      <c r="C6077" s="740" t="s">
        <v>1754</v>
      </c>
      <c r="D6077" s="739" t="s">
        <v>0</v>
      </c>
      <c r="E6077" s="741">
        <f t="shared" si="188"/>
        <v>37.93</v>
      </c>
      <c r="F6077">
        <f t="shared" si="189"/>
        <v>96133</v>
      </c>
      <c r="H6077" s="1406">
        <v>35.17</v>
      </c>
      <c r="I6077" s="1406">
        <v>37.93</v>
      </c>
    </row>
    <row r="6078" spans="2:9" ht="30">
      <c r="B6078" s="677">
        <v>96134</v>
      </c>
      <c r="C6078" s="733" t="s">
        <v>1755</v>
      </c>
      <c r="D6078" s="677" t="s">
        <v>0</v>
      </c>
      <c r="E6078" s="738">
        <f t="shared" si="188"/>
        <v>41.65</v>
      </c>
      <c r="F6078">
        <f t="shared" si="189"/>
        <v>96134</v>
      </c>
      <c r="H6078" s="1405">
        <v>38.54</v>
      </c>
      <c r="I6078" s="1405">
        <v>41.65</v>
      </c>
    </row>
    <row r="6079" spans="2:9">
      <c r="B6079" s="1477">
        <v>96135</v>
      </c>
      <c r="C6079" s="740" t="s">
        <v>1756</v>
      </c>
      <c r="D6079" s="739" t="s">
        <v>0</v>
      </c>
      <c r="E6079" s="741">
        <f t="shared" si="188"/>
        <v>28.05</v>
      </c>
      <c r="F6079">
        <f t="shared" si="189"/>
        <v>96135</v>
      </c>
      <c r="H6079" s="1406">
        <v>26.27</v>
      </c>
      <c r="I6079" s="1406">
        <v>28.05</v>
      </c>
    </row>
    <row r="6080" spans="2:9">
      <c r="B6080" s="677">
        <v>104639</v>
      </c>
      <c r="C6080" s="733" t="s">
        <v>7872</v>
      </c>
      <c r="D6080" s="677" t="s">
        <v>0</v>
      </c>
      <c r="E6080" s="738">
        <f t="shared" si="188"/>
        <v>10.68</v>
      </c>
      <c r="F6080">
        <f t="shared" si="189"/>
        <v>104639</v>
      </c>
      <c r="H6080" s="1405">
        <v>9.93</v>
      </c>
      <c r="I6080" s="1405">
        <v>10.68</v>
      </c>
    </row>
    <row r="6081" spans="2:9">
      <c r="B6081" s="1477">
        <v>104640</v>
      </c>
      <c r="C6081" s="740" t="s">
        <v>7873</v>
      </c>
      <c r="D6081" s="739" t="s">
        <v>0</v>
      </c>
      <c r="E6081" s="741">
        <f t="shared" si="188"/>
        <v>11.84</v>
      </c>
      <c r="F6081">
        <f t="shared" si="189"/>
        <v>104640</v>
      </c>
      <c r="H6081" s="1406">
        <v>11.09</v>
      </c>
      <c r="I6081" s="1406">
        <v>11.84</v>
      </c>
    </row>
    <row r="6082" spans="2:9">
      <c r="B6082" s="677">
        <v>104641</v>
      </c>
      <c r="C6082" s="733" t="s">
        <v>7874</v>
      </c>
      <c r="D6082" s="677" t="s">
        <v>0</v>
      </c>
      <c r="E6082" s="738">
        <f t="shared" si="188"/>
        <v>8.52</v>
      </c>
      <c r="F6082">
        <f t="shared" si="189"/>
        <v>104641</v>
      </c>
      <c r="H6082" s="1405">
        <v>7.98</v>
      </c>
      <c r="I6082" s="1405">
        <v>8.52</v>
      </c>
    </row>
    <row r="6083" spans="2:9">
      <c r="B6083" s="1477">
        <v>104642</v>
      </c>
      <c r="C6083" s="740" t="s">
        <v>7875</v>
      </c>
      <c r="D6083" s="739" t="s">
        <v>0</v>
      </c>
      <c r="E6083" s="741">
        <f t="shared" ref="E6083:E6146" si="190">IF($K$2=$H$1,H6083,I6083)</f>
        <v>9.68</v>
      </c>
      <c r="F6083">
        <f t="shared" ref="F6083:F6146" si="191">IF(LEN($B6083)=7,CONCATENATE(MID($B6083,1,6),"00",RIGHT($B6083,1)),IF(LEN($B6083)=8,CONCATENATE(MID($B6083,1,6),"0",RIGHT($B6083,2)),$B6083))</f>
        <v>104642</v>
      </c>
      <c r="H6083" s="1406">
        <v>9.14</v>
      </c>
      <c r="I6083" s="1406">
        <v>9.68</v>
      </c>
    </row>
    <row r="6084" spans="2:9">
      <c r="B6084" s="677">
        <v>102193</v>
      </c>
      <c r="C6084" s="733" t="s">
        <v>4560</v>
      </c>
      <c r="D6084" s="677" t="s">
        <v>0</v>
      </c>
      <c r="E6084" s="738">
        <f t="shared" si="190"/>
        <v>1.92</v>
      </c>
      <c r="F6084">
        <f t="shared" si="191"/>
        <v>102193</v>
      </c>
      <c r="H6084" s="1405">
        <v>1.78</v>
      </c>
      <c r="I6084" s="1405">
        <v>1.92</v>
      </c>
    </row>
    <row r="6085" spans="2:9">
      <c r="B6085" s="1477">
        <v>102194</v>
      </c>
      <c r="C6085" s="740" t="s">
        <v>4561</v>
      </c>
      <c r="D6085" s="739" t="s">
        <v>0</v>
      </c>
      <c r="E6085" s="741">
        <f t="shared" si="190"/>
        <v>7.64</v>
      </c>
      <c r="F6085">
        <f t="shared" si="191"/>
        <v>102194</v>
      </c>
      <c r="H6085" s="1406">
        <v>6.95</v>
      </c>
      <c r="I6085" s="1406">
        <v>7.64</v>
      </c>
    </row>
    <row r="6086" spans="2:9">
      <c r="B6086" s="677">
        <v>102197</v>
      </c>
      <c r="C6086" s="733" t="s">
        <v>4562</v>
      </c>
      <c r="D6086" s="677" t="s">
        <v>0</v>
      </c>
      <c r="E6086" s="738">
        <f t="shared" si="190"/>
        <v>25.32</v>
      </c>
      <c r="F6086">
        <f t="shared" si="191"/>
        <v>102197</v>
      </c>
      <c r="H6086" s="1405">
        <v>24.58</v>
      </c>
      <c r="I6086" s="1405">
        <v>25.32</v>
      </c>
    </row>
    <row r="6087" spans="2:9">
      <c r="B6087" s="1477">
        <v>102200</v>
      </c>
      <c r="C6087" s="740" t="s">
        <v>4563</v>
      </c>
      <c r="D6087" s="739" t="s">
        <v>0</v>
      </c>
      <c r="E6087" s="741">
        <f t="shared" si="190"/>
        <v>19.71</v>
      </c>
      <c r="F6087">
        <f t="shared" si="191"/>
        <v>102200</v>
      </c>
      <c r="H6087" s="1406">
        <v>18.739999999999998</v>
      </c>
      <c r="I6087" s="1406">
        <v>19.71</v>
      </c>
    </row>
    <row r="6088" spans="2:9">
      <c r="B6088" s="677">
        <v>102201</v>
      </c>
      <c r="C6088" s="733" t="s">
        <v>5519</v>
      </c>
      <c r="D6088" s="677" t="s">
        <v>0</v>
      </c>
      <c r="E6088" s="738">
        <f t="shared" si="190"/>
        <v>18.02</v>
      </c>
      <c r="F6088">
        <f t="shared" si="191"/>
        <v>102201</v>
      </c>
      <c r="H6088" s="1405">
        <v>16.82</v>
      </c>
      <c r="I6088" s="1405">
        <v>18.02</v>
      </c>
    </row>
    <row r="6089" spans="2:9">
      <c r="B6089" s="1477">
        <v>102202</v>
      </c>
      <c r="C6089" s="740" t="s">
        <v>4564</v>
      </c>
      <c r="D6089" s="739" t="s">
        <v>0</v>
      </c>
      <c r="E6089" s="741">
        <f t="shared" si="190"/>
        <v>48.48</v>
      </c>
      <c r="F6089">
        <f t="shared" si="191"/>
        <v>102202</v>
      </c>
      <c r="H6089" s="1406">
        <v>47.51</v>
      </c>
      <c r="I6089" s="1406">
        <v>48.48</v>
      </c>
    </row>
    <row r="6090" spans="2:9">
      <c r="B6090" s="677">
        <v>102203</v>
      </c>
      <c r="C6090" s="733" t="s">
        <v>4565</v>
      </c>
      <c r="D6090" s="677" t="s">
        <v>0</v>
      </c>
      <c r="E6090" s="738">
        <f t="shared" si="190"/>
        <v>9.5399999999999991</v>
      </c>
      <c r="F6090">
        <f t="shared" si="191"/>
        <v>102203</v>
      </c>
      <c r="H6090" s="1405">
        <v>8.92</v>
      </c>
      <c r="I6090" s="1405">
        <v>9.5399999999999991</v>
      </c>
    </row>
    <row r="6091" spans="2:9">
      <c r="B6091" s="1477">
        <v>102204</v>
      </c>
      <c r="C6091" s="740" t="s">
        <v>4566</v>
      </c>
      <c r="D6091" s="739" t="s">
        <v>0</v>
      </c>
      <c r="E6091" s="741">
        <f t="shared" si="190"/>
        <v>9.83</v>
      </c>
      <c r="F6091">
        <f t="shared" si="191"/>
        <v>102204</v>
      </c>
      <c r="H6091" s="1406">
        <v>9.2100000000000009</v>
      </c>
      <c r="I6091" s="1406">
        <v>9.83</v>
      </c>
    </row>
    <row r="6092" spans="2:9">
      <c r="B6092" s="677">
        <v>102205</v>
      </c>
      <c r="C6092" s="733" t="s">
        <v>4567</v>
      </c>
      <c r="D6092" s="677" t="s">
        <v>0</v>
      </c>
      <c r="E6092" s="738">
        <f t="shared" si="190"/>
        <v>8.9</v>
      </c>
      <c r="F6092">
        <f t="shared" si="191"/>
        <v>102205</v>
      </c>
      <c r="H6092" s="1405">
        <v>8.2799999999999994</v>
      </c>
      <c r="I6092" s="1405">
        <v>8.9</v>
      </c>
    </row>
    <row r="6093" spans="2:9">
      <c r="B6093" s="1477">
        <v>102207</v>
      </c>
      <c r="C6093" s="740" t="s">
        <v>4568</v>
      </c>
      <c r="D6093" s="739" t="s">
        <v>0</v>
      </c>
      <c r="E6093" s="741">
        <f t="shared" si="190"/>
        <v>7.82</v>
      </c>
      <c r="F6093">
        <f t="shared" si="191"/>
        <v>102207</v>
      </c>
      <c r="H6093" s="1406">
        <v>7.32</v>
      </c>
      <c r="I6093" s="1406">
        <v>7.82</v>
      </c>
    </row>
    <row r="6094" spans="2:9">
      <c r="B6094" s="677">
        <v>102208</v>
      </c>
      <c r="C6094" s="733" t="s">
        <v>4569</v>
      </c>
      <c r="D6094" s="677" t="s">
        <v>0</v>
      </c>
      <c r="E6094" s="738">
        <f t="shared" si="190"/>
        <v>7.46</v>
      </c>
      <c r="F6094">
        <f t="shared" si="191"/>
        <v>102208</v>
      </c>
      <c r="H6094" s="1405">
        <v>6.96</v>
      </c>
      <c r="I6094" s="1405">
        <v>7.46</v>
      </c>
    </row>
    <row r="6095" spans="2:9">
      <c r="B6095" s="1477">
        <v>102209</v>
      </c>
      <c r="C6095" s="740" t="s">
        <v>4570</v>
      </c>
      <c r="D6095" s="739" t="s">
        <v>0</v>
      </c>
      <c r="E6095" s="741">
        <f t="shared" si="190"/>
        <v>7.69</v>
      </c>
      <c r="F6095">
        <f t="shared" si="191"/>
        <v>102209</v>
      </c>
      <c r="H6095" s="1406">
        <v>7.19</v>
      </c>
      <c r="I6095" s="1406">
        <v>7.69</v>
      </c>
    </row>
    <row r="6096" spans="2:9">
      <c r="B6096" s="677">
        <v>102210</v>
      </c>
      <c r="C6096" s="733" t="s">
        <v>4571</v>
      </c>
      <c r="D6096" s="677" t="s">
        <v>0</v>
      </c>
      <c r="E6096" s="738">
        <f t="shared" si="190"/>
        <v>7.35</v>
      </c>
      <c r="F6096">
        <f t="shared" si="191"/>
        <v>102210</v>
      </c>
      <c r="H6096" s="1405">
        <v>6.85</v>
      </c>
      <c r="I6096" s="1405">
        <v>7.35</v>
      </c>
    </row>
    <row r="6097" spans="2:9">
      <c r="B6097" s="1477">
        <v>102213</v>
      </c>
      <c r="C6097" s="740" t="s">
        <v>4572</v>
      </c>
      <c r="D6097" s="739" t="s">
        <v>0</v>
      </c>
      <c r="E6097" s="741">
        <f t="shared" si="190"/>
        <v>19.100000000000001</v>
      </c>
      <c r="F6097">
        <f t="shared" si="191"/>
        <v>102213</v>
      </c>
      <c r="H6097" s="1406">
        <v>17.850000000000001</v>
      </c>
      <c r="I6097" s="1406">
        <v>19.100000000000001</v>
      </c>
    </row>
    <row r="6098" spans="2:9">
      <c r="B6098" s="677">
        <v>102214</v>
      </c>
      <c r="C6098" s="733" t="s">
        <v>4573</v>
      </c>
      <c r="D6098" s="677" t="s">
        <v>0</v>
      </c>
      <c r="E6098" s="738">
        <f t="shared" si="190"/>
        <v>19.68</v>
      </c>
      <c r="F6098">
        <f t="shared" si="191"/>
        <v>102214</v>
      </c>
      <c r="H6098" s="1405">
        <v>18.43</v>
      </c>
      <c r="I6098" s="1405">
        <v>19.68</v>
      </c>
    </row>
    <row r="6099" spans="2:9">
      <c r="B6099" s="1477">
        <v>102215</v>
      </c>
      <c r="C6099" s="740" t="s">
        <v>4574</v>
      </c>
      <c r="D6099" s="739" t="s">
        <v>0</v>
      </c>
      <c r="E6099" s="741">
        <f t="shared" si="190"/>
        <v>17.829999999999998</v>
      </c>
      <c r="F6099">
        <f t="shared" si="191"/>
        <v>102215</v>
      </c>
      <c r="H6099" s="1406">
        <v>16.579999999999998</v>
      </c>
      <c r="I6099" s="1406">
        <v>17.829999999999998</v>
      </c>
    </row>
    <row r="6100" spans="2:9">
      <c r="B6100" s="677">
        <v>102217</v>
      </c>
      <c r="C6100" s="733" t="s">
        <v>4575</v>
      </c>
      <c r="D6100" s="677" t="s">
        <v>0</v>
      </c>
      <c r="E6100" s="738">
        <f t="shared" si="190"/>
        <v>15.66</v>
      </c>
      <c r="F6100">
        <f t="shared" si="191"/>
        <v>102217</v>
      </c>
      <c r="H6100" s="1405">
        <v>14.66</v>
      </c>
      <c r="I6100" s="1405">
        <v>15.66</v>
      </c>
    </row>
    <row r="6101" spans="2:9">
      <c r="B6101" s="1477">
        <v>102218</v>
      </c>
      <c r="C6101" s="740" t="s">
        <v>4576</v>
      </c>
      <c r="D6101" s="739" t="s">
        <v>0</v>
      </c>
      <c r="E6101" s="741">
        <f t="shared" si="190"/>
        <v>14.95</v>
      </c>
      <c r="F6101">
        <f t="shared" si="191"/>
        <v>102218</v>
      </c>
      <c r="H6101" s="1406">
        <v>13.95</v>
      </c>
      <c r="I6101" s="1406">
        <v>14.95</v>
      </c>
    </row>
    <row r="6102" spans="2:9">
      <c r="B6102" s="677">
        <v>102219</v>
      </c>
      <c r="C6102" s="733" t="s">
        <v>4577</v>
      </c>
      <c r="D6102" s="677" t="s">
        <v>0</v>
      </c>
      <c r="E6102" s="738">
        <f t="shared" si="190"/>
        <v>15.4</v>
      </c>
      <c r="F6102">
        <f t="shared" si="191"/>
        <v>102219</v>
      </c>
      <c r="H6102" s="1405">
        <v>14.4</v>
      </c>
      <c r="I6102" s="1405">
        <v>15.4</v>
      </c>
    </row>
    <row r="6103" spans="2:9">
      <c r="B6103" s="1477">
        <v>102220</v>
      </c>
      <c r="C6103" s="740" t="s">
        <v>4578</v>
      </c>
      <c r="D6103" s="739" t="s">
        <v>0</v>
      </c>
      <c r="E6103" s="741">
        <f t="shared" si="190"/>
        <v>14.72</v>
      </c>
      <c r="F6103">
        <f t="shared" si="191"/>
        <v>102220</v>
      </c>
      <c r="H6103" s="1406">
        <v>13.72</v>
      </c>
      <c r="I6103" s="1406">
        <v>14.72</v>
      </c>
    </row>
    <row r="6104" spans="2:9">
      <c r="B6104" s="677">
        <v>102223</v>
      </c>
      <c r="C6104" s="733" t="s">
        <v>4579</v>
      </c>
      <c r="D6104" s="677" t="s">
        <v>0</v>
      </c>
      <c r="E6104" s="738">
        <f t="shared" si="190"/>
        <v>28.66</v>
      </c>
      <c r="F6104">
        <f t="shared" si="191"/>
        <v>102223</v>
      </c>
      <c r="H6104" s="1405">
        <v>26.79</v>
      </c>
      <c r="I6104" s="1405">
        <v>28.66</v>
      </c>
    </row>
    <row r="6105" spans="2:9">
      <c r="B6105" s="1477">
        <v>102224</v>
      </c>
      <c r="C6105" s="740" t="s">
        <v>4580</v>
      </c>
      <c r="D6105" s="739" t="s">
        <v>0</v>
      </c>
      <c r="E6105" s="741">
        <f t="shared" si="190"/>
        <v>29.52</v>
      </c>
      <c r="F6105">
        <f t="shared" si="191"/>
        <v>102224</v>
      </c>
      <c r="H6105" s="1406">
        <v>27.65</v>
      </c>
      <c r="I6105" s="1406">
        <v>29.52</v>
      </c>
    </row>
    <row r="6106" spans="2:9">
      <c r="B6106" s="677">
        <v>102225</v>
      </c>
      <c r="C6106" s="733" t="s">
        <v>4581</v>
      </c>
      <c r="D6106" s="677" t="s">
        <v>0</v>
      </c>
      <c r="E6106" s="738">
        <f t="shared" si="190"/>
        <v>26.75</v>
      </c>
      <c r="F6106">
        <f t="shared" si="191"/>
        <v>102225</v>
      </c>
      <c r="H6106" s="1405">
        <v>24.88</v>
      </c>
      <c r="I6106" s="1405">
        <v>26.75</v>
      </c>
    </row>
    <row r="6107" spans="2:9">
      <c r="B6107" s="1477">
        <v>102227</v>
      </c>
      <c r="C6107" s="740" t="s">
        <v>4582</v>
      </c>
      <c r="D6107" s="739" t="s">
        <v>0</v>
      </c>
      <c r="E6107" s="741">
        <f t="shared" si="190"/>
        <v>23.5</v>
      </c>
      <c r="F6107">
        <f t="shared" si="191"/>
        <v>102227</v>
      </c>
      <c r="H6107" s="1406">
        <v>21.99</v>
      </c>
      <c r="I6107" s="1406">
        <v>23.5</v>
      </c>
    </row>
    <row r="6108" spans="2:9">
      <c r="B6108" s="677">
        <v>102228</v>
      </c>
      <c r="C6108" s="733" t="s">
        <v>4583</v>
      </c>
      <c r="D6108" s="677" t="s">
        <v>0</v>
      </c>
      <c r="E6108" s="738">
        <f t="shared" si="190"/>
        <v>22.44</v>
      </c>
      <c r="F6108">
        <f t="shared" si="191"/>
        <v>102228</v>
      </c>
      <c r="H6108" s="1405">
        <v>20.93</v>
      </c>
      <c r="I6108" s="1405">
        <v>22.44</v>
      </c>
    </row>
    <row r="6109" spans="2:9">
      <c r="B6109" s="1477">
        <v>102229</v>
      </c>
      <c r="C6109" s="740" t="s">
        <v>4584</v>
      </c>
      <c r="D6109" s="739" t="s">
        <v>0</v>
      </c>
      <c r="E6109" s="741">
        <f t="shared" si="190"/>
        <v>23.11</v>
      </c>
      <c r="F6109">
        <f t="shared" si="191"/>
        <v>102229</v>
      </c>
      <c r="H6109" s="1406">
        <v>21.6</v>
      </c>
      <c r="I6109" s="1406">
        <v>23.11</v>
      </c>
    </row>
    <row r="6110" spans="2:9">
      <c r="B6110" s="677">
        <v>102230</v>
      </c>
      <c r="C6110" s="733" t="s">
        <v>4585</v>
      </c>
      <c r="D6110" s="677" t="s">
        <v>0</v>
      </c>
      <c r="E6110" s="738">
        <f t="shared" si="190"/>
        <v>22.09</v>
      </c>
      <c r="F6110">
        <f t="shared" si="191"/>
        <v>102230</v>
      </c>
      <c r="H6110" s="1405">
        <v>20.58</v>
      </c>
      <c r="I6110" s="1405">
        <v>22.09</v>
      </c>
    </row>
    <row r="6111" spans="2:9">
      <c r="B6111" s="1477">
        <v>102233</v>
      </c>
      <c r="C6111" s="740" t="s">
        <v>4586</v>
      </c>
      <c r="D6111" s="739" t="s">
        <v>0</v>
      </c>
      <c r="E6111" s="741">
        <f t="shared" si="190"/>
        <v>11.56</v>
      </c>
      <c r="F6111">
        <f t="shared" si="191"/>
        <v>102233</v>
      </c>
      <c r="H6111" s="1406">
        <v>10.96</v>
      </c>
      <c r="I6111" s="1406">
        <v>11.56</v>
      </c>
    </row>
    <row r="6112" spans="2:9">
      <c r="B6112" s="677">
        <v>102234</v>
      </c>
      <c r="C6112" s="733" t="s">
        <v>4587</v>
      </c>
      <c r="D6112" s="677" t="s">
        <v>0</v>
      </c>
      <c r="E6112" s="738">
        <f t="shared" si="190"/>
        <v>23.12</v>
      </c>
      <c r="F6112">
        <f t="shared" si="191"/>
        <v>102234</v>
      </c>
      <c r="H6112" s="1405">
        <v>21.93</v>
      </c>
      <c r="I6112" s="1405">
        <v>23.12</v>
      </c>
    </row>
    <row r="6113" spans="2:9">
      <c r="B6113" s="1477">
        <v>100716</v>
      </c>
      <c r="C6113" s="740" t="s">
        <v>3148</v>
      </c>
      <c r="D6113" s="739" t="s">
        <v>0</v>
      </c>
      <c r="E6113" s="741">
        <f t="shared" si="190"/>
        <v>26.57</v>
      </c>
      <c r="F6113">
        <f t="shared" si="191"/>
        <v>100716</v>
      </c>
      <c r="H6113" s="1406">
        <v>26.26</v>
      </c>
      <c r="I6113" s="1406">
        <v>26.57</v>
      </c>
    </row>
    <row r="6114" spans="2:9">
      <c r="B6114" s="677">
        <v>100717</v>
      </c>
      <c r="C6114" s="733" t="s">
        <v>3149</v>
      </c>
      <c r="D6114" s="677" t="s">
        <v>0</v>
      </c>
      <c r="E6114" s="738">
        <f t="shared" si="190"/>
        <v>9.1199999999999992</v>
      </c>
      <c r="F6114">
        <f t="shared" si="191"/>
        <v>100717</v>
      </c>
      <c r="H6114" s="1405">
        <v>8.33</v>
      </c>
      <c r="I6114" s="1405">
        <v>9.1199999999999992</v>
      </c>
    </row>
    <row r="6115" spans="2:9">
      <c r="B6115" s="1477">
        <v>100718</v>
      </c>
      <c r="C6115" s="740" t="s">
        <v>3150</v>
      </c>
      <c r="D6115" s="739" t="s">
        <v>21</v>
      </c>
      <c r="E6115" s="741">
        <f t="shared" si="190"/>
        <v>1.32</v>
      </c>
      <c r="F6115">
        <f t="shared" si="191"/>
        <v>100718</v>
      </c>
      <c r="H6115" s="1406">
        <v>1.21</v>
      </c>
      <c r="I6115" s="1406">
        <v>1.32</v>
      </c>
    </row>
    <row r="6116" spans="2:9" ht="30">
      <c r="B6116" s="677">
        <v>100719</v>
      </c>
      <c r="C6116" s="733" t="s">
        <v>7177</v>
      </c>
      <c r="D6116" s="677" t="s">
        <v>0</v>
      </c>
      <c r="E6116" s="738">
        <f t="shared" si="190"/>
        <v>9.68</v>
      </c>
      <c r="F6116">
        <f t="shared" si="191"/>
        <v>100719</v>
      </c>
      <c r="H6116" s="1405">
        <v>9.51</v>
      </c>
      <c r="I6116" s="1405">
        <v>9.68</v>
      </c>
    </row>
    <row r="6117" spans="2:9" ht="30">
      <c r="B6117" s="1477">
        <v>100720</v>
      </c>
      <c r="C6117" s="740" t="s">
        <v>3151</v>
      </c>
      <c r="D6117" s="739" t="s">
        <v>0</v>
      </c>
      <c r="E6117" s="741">
        <f t="shared" si="190"/>
        <v>9.83</v>
      </c>
      <c r="F6117">
        <f t="shared" si="191"/>
        <v>100720</v>
      </c>
      <c r="H6117" s="1406">
        <v>9.26</v>
      </c>
      <c r="I6117" s="1406">
        <v>9.83</v>
      </c>
    </row>
    <row r="6118" spans="2:9" ht="30">
      <c r="B6118" s="677">
        <v>100721</v>
      </c>
      <c r="C6118" s="733" t="s">
        <v>7178</v>
      </c>
      <c r="D6118" s="677" t="s">
        <v>0</v>
      </c>
      <c r="E6118" s="738">
        <f t="shared" si="190"/>
        <v>22.91</v>
      </c>
      <c r="F6118">
        <f t="shared" si="191"/>
        <v>100721</v>
      </c>
      <c r="H6118" s="1405">
        <v>21.52</v>
      </c>
      <c r="I6118" s="1405">
        <v>22.91</v>
      </c>
    </row>
    <row r="6119" spans="2:9" ht="30">
      <c r="B6119" s="1477">
        <v>100722</v>
      </c>
      <c r="C6119" s="740" t="s">
        <v>3152</v>
      </c>
      <c r="D6119" s="739" t="s">
        <v>0</v>
      </c>
      <c r="E6119" s="741">
        <f t="shared" si="190"/>
        <v>22.52</v>
      </c>
      <c r="F6119">
        <f t="shared" si="191"/>
        <v>100722</v>
      </c>
      <c r="H6119" s="1406">
        <v>20.73</v>
      </c>
      <c r="I6119" s="1406">
        <v>22.52</v>
      </c>
    </row>
    <row r="6120" spans="2:9" ht="30">
      <c r="B6120" s="677">
        <v>100723</v>
      </c>
      <c r="C6120" s="733" t="s">
        <v>7179</v>
      </c>
      <c r="D6120" s="677" t="s">
        <v>0</v>
      </c>
      <c r="E6120" s="738">
        <f t="shared" si="190"/>
        <v>10.39</v>
      </c>
      <c r="F6120">
        <f t="shared" si="191"/>
        <v>100723</v>
      </c>
      <c r="H6120" s="1405">
        <v>10.220000000000001</v>
      </c>
      <c r="I6120" s="1405">
        <v>10.39</v>
      </c>
    </row>
    <row r="6121" spans="2:9" ht="30">
      <c r="B6121" s="1477">
        <v>100724</v>
      </c>
      <c r="C6121" s="740" t="s">
        <v>3153</v>
      </c>
      <c r="D6121" s="739" t="s">
        <v>0</v>
      </c>
      <c r="E6121" s="741">
        <f t="shared" si="190"/>
        <v>12.66</v>
      </c>
      <c r="F6121">
        <f t="shared" si="191"/>
        <v>100724</v>
      </c>
      <c r="H6121" s="1406">
        <v>12.09</v>
      </c>
      <c r="I6121" s="1406">
        <v>12.66</v>
      </c>
    </row>
    <row r="6122" spans="2:9" ht="30">
      <c r="B6122" s="677">
        <v>100725</v>
      </c>
      <c r="C6122" s="733" t="s">
        <v>7180</v>
      </c>
      <c r="D6122" s="677" t="s">
        <v>0</v>
      </c>
      <c r="E6122" s="738">
        <f t="shared" si="190"/>
        <v>23.14</v>
      </c>
      <c r="F6122">
        <f t="shared" si="191"/>
        <v>100725</v>
      </c>
      <c r="H6122" s="1405">
        <v>21.75</v>
      </c>
      <c r="I6122" s="1405">
        <v>23.14</v>
      </c>
    </row>
    <row r="6123" spans="2:9" ht="30">
      <c r="B6123" s="1477">
        <v>100726</v>
      </c>
      <c r="C6123" s="740" t="s">
        <v>3154</v>
      </c>
      <c r="D6123" s="739" t="s">
        <v>0</v>
      </c>
      <c r="E6123" s="741">
        <f t="shared" si="190"/>
        <v>25.25</v>
      </c>
      <c r="F6123">
        <f t="shared" si="191"/>
        <v>100726</v>
      </c>
      <c r="H6123" s="1406">
        <v>23.46</v>
      </c>
      <c r="I6123" s="1406">
        <v>25.25</v>
      </c>
    </row>
    <row r="6124" spans="2:9" ht="30">
      <c r="B6124" s="677">
        <v>100727</v>
      </c>
      <c r="C6124" s="733" t="s">
        <v>7181</v>
      </c>
      <c r="D6124" s="677" t="s">
        <v>0</v>
      </c>
      <c r="E6124" s="738">
        <f t="shared" si="190"/>
        <v>23.45</v>
      </c>
      <c r="F6124">
        <f t="shared" si="191"/>
        <v>100727</v>
      </c>
      <c r="H6124" s="1405">
        <v>23.28</v>
      </c>
      <c r="I6124" s="1405">
        <v>23.45</v>
      </c>
    </row>
    <row r="6125" spans="2:9" ht="30">
      <c r="B6125" s="1477">
        <v>100728</v>
      </c>
      <c r="C6125" s="740" t="s">
        <v>3155</v>
      </c>
      <c r="D6125" s="739" t="s">
        <v>0</v>
      </c>
      <c r="E6125" s="741">
        <f t="shared" si="190"/>
        <v>21.37</v>
      </c>
      <c r="F6125">
        <f t="shared" si="191"/>
        <v>100728</v>
      </c>
      <c r="H6125" s="1406">
        <v>20.8</v>
      </c>
      <c r="I6125" s="1406">
        <v>21.37</v>
      </c>
    </row>
    <row r="6126" spans="2:9" ht="30">
      <c r="B6126" s="677">
        <v>100729</v>
      </c>
      <c r="C6126" s="733" t="s">
        <v>7182</v>
      </c>
      <c r="D6126" s="677" t="s">
        <v>0</v>
      </c>
      <c r="E6126" s="738">
        <f t="shared" si="190"/>
        <v>17.82</v>
      </c>
      <c r="F6126">
        <f t="shared" si="191"/>
        <v>100729</v>
      </c>
      <c r="H6126" s="1405">
        <v>17.649999999999999</v>
      </c>
      <c r="I6126" s="1405">
        <v>17.82</v>
      </c>
    </row>
    <row r="6127" spans="2:9" ht="30">
      <c r="B6127" s="1477">
        <v>100730</v>
      </c>
      <c r="C6127" s="740" t="s">
        <v>3156</v>
      </c>
      <c r="D6127" s="739" t="s">
        <v>0</v>
      </c>
      <c r="E6127" s="741">
        <f t="shared" si="190"/>
        <v>21.04</v>
      </c>
      <c r="F6127">
        <f t="shared" si="191"/>
        <v>100730</v>
      </c>
      <c r="H6127" s="1406">
        <v>20.47</v>
      </c>
      <c r="I6127" s="1406">
        <v>21.04</v>
      </c>
    </row>
    <row r="6128" spans="2:9" ht="30">
      <c r="B6128" s="677">
        <v>100733</v>
      </c>
      <c r="C6128" s="733" t="s">
        <v>7183</v>
      </c>
      <c r="D6128" s="677" t="s">
        <v>0</v>
      </c>
      <c r="E6128" s="738">
        <f t="shared" si="190"/>
        <v>10.38</v>
      </c>
      <c r="F6128">
        <f t="shared" si="191"/>
        <v>100733</v>
      </c>
      <c r="H6128" s="1405">
        <v>9.58</v>
      </c>
      <c r="I6128" s="1405">
        <v>10.38</v>
      </c>
    </row>
    <row r="6129" spans="2:9" ht="30">
      <c r="B6129" s="1477">
        <v>100734</v>
      </c>
      <c r="C6129" s="740" t="s">
        <v>3157</v>
      </c>
      <c r="D6129" s="739" t="s">
        <v>0</v>
      </c>
      <c r="E6129" s="741">
        <f t="shared" si="190"/>
        <v>13.93</v>
      </c>
      <c r="F6129">
        <f t="shared" si="191"/>
        <v>100734</v>
      </c>
      <c r="H6129" s="1406">
        <v>12.73</v>
      </c>
      <c r="I6129" s="1406">
        <v>13.93</v>
      </c>
    </row>
    <row r="6130" spans="2:9" ht="30">
      <c r="B6130" s="677">
        <v>100735</v>
      </c>
      <c r="C6130" s="733" t="s">
        <v>7184</v>
      </c>
      <c r="D6130" s="677" t="s">
        <v>0</v>
      </c>
      <c r="E6130" s="738">
        <f t="shared" si="190"/>
        <v>10.26</v>
      </c>
      <c r="F6130">
        <f t="shared" si="191"/>
        <v>100735</v>
      </c>
      <c r="H6130" s="1405">
        <v>9.4600000000000009</v>
      </c>
      <c r="I6130" s="1405">
        <v>10.26</v>
      </c>
    </row>
    <row r="6131" spans="2:9" ht="30">
      <c r="B6131" s="1477">
        <v>100736</v>
      </c>
      <c r="C6131" s="740" t="s">
        <v>3158</v>
      </c>
      <c r="D6131" s="739" t="s">
        <v>0</v>
      </c>
      <c r="E6131" s="741">
        <f t="shared" si="190"/>
        <v>13.72</v>
      </c>
      <c r="F6131">
        <f t="shared" si="191"/>
        <v>100736</v>
      </c>
      <c r="H6131" s="1406">
        <v>12.52</v>
      </c>
      <c r="I6131" s="1406">
        <v>13.72</v>
      </c>
    </row>
    <row r="6132" spans="2:9" ht="30">
      <c r="B6132" s="677">
        <v>100739</v>
      </c>
      <c r="C6132" s="733" t="s">
        <v>7185</v>
      </c>
      <c r="D6132" s="677" t="s">
        <v>0</v>
      </c>
      <c r="E6132" s="738">
        <f t="shared" si="190"/>
        <v>9.5399999999999991</v>
      </c>
      <c r="F6132">
        <f t="shared" si="191"/>
        <v>100739</v>
      </c>
      <c r="H6132" s="1405">
        <v>9.3699999999999992</v>
      </c>
      <c r="I6132" s="1405">
        <v>9.5399999999999991</v>
      </c>
    </row>
    <row r="6133" spans="2:9" ht="30">
      <c r="B6133" s="1477">
        <v>100740</v>
      </c>
      <c r="C6133" s="740" t="s">
        <v>3159</v>
      </c>
      <c r="D6133" s="739" t="s">
        <v>0</v>
      </c>
      <c r="E6133" s="741">
        <f t="shared" si="190"/>
        <v>10.33</v>
      </c>
      <c r="F6133">
        <f t="shared" si="191"/>
        <v>100740</v>
      </c>
      <c r="H6133" s="1406">
        <v>9.76</v>
      </c>
      <c r="I6133" s="1406">
        <v>10.33</v>
      </c>
    </row>
    <row r="6134" spans="2:9" ht="30">
      <c r="B6134" s="677">
        <v>100741</v>
      </c>
      <c r="C6134" s="733" t="s">
        <v>7186</v>
      </c>
      <c r="D6134" s="677" t="s">
        <v>0</v>
      </c>
      <c r="E6134" s="738">
        <f t="shared" si="190"/>
        <v>22.58</v>
      </c>
      <c r="F6134">
        <f t="shared" si="191"/>
        <v>100741</v>
      </c>
      <c r="H6134" s="1405">
        <v>21.19</v>
      </c>
      <c r="I6134" s="1405">
        <v>22.58</v>
      </c>
    </row>
    <row r="6135" spans="2:9" ht="30">
      <c r="B6135" s="1477">
        <v>100742</v>
      </c>
      <c r="C6135" s="740" t="s">
        <v>3160</v>
      </c>
      <c r="D6135" s="739" t="s">
        <v>0</v>
      </c>
      <c r="E6135" s="741">
        <f t="shared" si="190"/>
        <v>22.99</v>
      </c>
      <c r="F6135">
        <f t="shared" si="191"/>
        <v>100742</v>
      </c>
      <c r="H6135" s="1406">
        <v>21.2</v>
      </c>
      <c r="I6135" s="1406">
        <v>22.99</v>
      </c>
    </row>
    <row r="6136" spans="2:9" ht="30">
      <c r="B6136" s="677">
        <v>100743</v>
      </c>
      <c r="C6136" s="733" t="s">
        <v>7187</v>
      </c>
      <c r="D6136" s="677" t="s">
        <v>0</v>
      </c>
      <c r="E6136" s="738">
        <f t="shared" si="190"/>
        <v>9.33</v>
      </c>
      <c r="F6136">
        <f t="shared" si="191"/>
        <v>100743</v>
      </c>
      <c r="H6136" s="1405">
        <v>9.16</v>
      </c>
      <c r="I6136" s="1405">
        <v>9.33</v>
      </c>
    </row>
    <row r="6137" spans="2:9" ht="30">
      <c r="B6137" s="1477">
        <v>100744</v>
      </c>
      <c r="C6137" s="740" t="s">
        <v>3161</v>
      </c>
      <c r="D6137" s="739" t="s">
        <v>0</v>
      </c>
      <c r="E6137" s="741">
        <f t="shared" si="190"/>
        <v>10.19</v>
      </c>
      <c r="F6137">
        <f t="shared" si="191"/>
        <v>100744</v>
      </c>
      <c r="H6137" s="1406">
        <v>9.6199999999999992</v>
      </c>
      <c r="I6137" s="1406">
        <v>10.19</v>
      </c>
    </row>
    <row r="6138" spans="2:9" ht="30">
      <c r="B6138" s="677">
        <v>100745</v>
      </c>
      <c r="C6138" s="733" t="s">
        <v>7188</v>
      </c>
      <c r="D6138" s="677" t="s">
        <v>0</v>
      </c>
      <c r="E6138" s="738">
        <f t="shared" si="190"/>
        <v>22.35</v>
      </c>
      <c r="F6138">
        <f t="shared" si="191"/>
        <v>100745</v>
      </c>
      <c r="H6138" s="1405">
        <v>20.96</v>
      </c>
      <c r="I6138" s="1405">
        <v>22.35</v>
      </c>
    </row>
    <row r="6139" spans="2:9" ht="30">
      <c r="B6139" s="1477">
        <v>100746</v>
      </c>
      <c r="C6139" s="740" t="s">
        <v>3162</v>
      </c>
      <c r="D6139" s="739" t="s">
        <v>0</v>
      </c>
      <c r="E6139" s="741">
        <f t="shared" si="190"/>
        <v>22.85</v>
      </c>
      <c r="F6139">
        <f t="shared" si="191"/>
        <v>100746</v>
      </c>
      <c r="H6139" s="1406">
        <v>21.06</v>
      </c>
      <c r="I6139" s="1406">
        <v>22.85</v>
      </c>
    </row>
    <row r="6140" spans="2:9" ht="30">
      <c r="B6140" s="677">
        <v>100747</v>
      </c>
      <c r="C6140" s="733" t="s">
        <v>7189</v>
      </c>
      <c r="D6140" s="677" t="s">
        <v>0</v>
      </c>
      <c r="E6140" s="738">
        <f t="shared" si="190"/>
        <v>9.42</v>
      </c>
      <c r="F6140">
        <f t="shared" si="191"/>
        <v>100747</v>
      </c>
      <c r="H6140" s="1405">
        <v>9.25</v>
      </c>
      <c r="I6140" s="1405">
        <v>9.42</v>
      </c>
    </row>
    <row r="6141" spans="2:9" ht="30">
      <c r="B6141" s="1477">
        <v>100748</v>
      </c>
      <c r="C6141" s="740" t="s">
        <v>3163</v>
      </c>
      <c r="D6141" s="739" t="s">
        <v>0</v>
      </c>
      <c r="E6141" s="741">
        <f t="shared" si="190"/>
        <v>10.25</v>
      </c>
      <c r="F6141">
        <f t="shared" si="191"/>
        <v>100748</v>
      </c>
      <c r="H6141" s="1406">
        <v>9.68</v>
      </c>
      <c r="I6141" s="1406">
        <v>10.25</v>
      </c>
    </row>
    <row r="6142" spans="2:9" ht="30">
      <c r="B6142" s="677">
        <v>100749</v>
      </c>
      <c r="C6142" s="733" t="s">
        <v>7190</v>
      </c>
      <c r="D6142" s="677" t="s">
        <v>0</v>
      </c>
      <c r="E6142" s="738">
        <f t="shared" si="190"/>
        <v>22.45</v>
      </c>
      <c r="F6142">
        <f t="shared" si="191"/>
        <v>100749</v>
      </c>
      <c r="H6142" s="1405">
        <v>21.06</v>
      </c>
      <c r="I6142" s="1405">
        <v>22.45</v>
      </c>
    </row>
    <row r="6143" spans="2:9" ht="30">
      <c r="B6143" s="1477">
        <v>100750</v>
      </c>
      <c r="C6143" s="740" t="s">
        <v>3164</v>
      </c>
      <c r="D6143" s="739" t="s">
        <v>0</v>
      </c>
      <c r="E6143" s="741">
        <f t="shared" si="190"/>
        <v>22.91</v>
      </c>
      <c r="F6143">
        <f t="shared" si="191"/>
        <v>100750</v>
      </c>
      <c r="H6143" s="1406">
        <v>21.12</v>
      </c>
      <c r="I6143" s="1406">
        <v>22.91</v>
      </c>
    </row>
    <row r="6144" spans="2:9" ht="30">
      <c r="B6144" s="677">
        <v>100751</v>
      </c>
      <c r="C6144" s="733" t="s">
        <v>7191</v>
      </c>
      <c r="D6144" s="677" t="s">
        <v>0</v>
      </c>
      <c r="E6144" s="738">
        <f t="shared" si="190"/>
        <v>35.64</v>
      </c>
      <c r="F6144">
        <f t="shared" si="191"/>
        <v>100751</v>
      </c>
      <c r="H6144" s="1405">
        <v>35.299999999999997</v>
      </c>
      <c r="I6144" s="1405">
        <v>35.64</v>
      </c>
    </row>
    <row r="6145" spans="2:9" ht="30">
      <c r="B6145" s="1477">
        <v>100752</v>
      </c>
      <c r="C6145" s="740" t="s">
        <v>3165</v>
      </c>
      <c r="D6145" s="739" t="s">
        <v>0</v>
      </c>
      <c r="E6145" s="741">
        <f t="shared" si="190"/>
        <v>42.1</v>
      </c>
      <c r="F6145">
        <f t="shared" si="191"/>
        <v>100752</v>
      </c>
      <c r="H6145" s="1406">
        <v>40.96</v>
      </c>
      <c r="I6145" s="1406">
        <v>42.1</v>
      </c>
    </row>
    <row r="6146" spans="2:9" ht="30">
      <c r="B6146" s="677">
        <v>100753</v>
      </c>
      <c r="C6146" s="733" t="s">
        <v>7192</v>
      </c>
      <c r="D6146" s="677" t="s">
        <v>0</v>
      </c>
      <c r="E6146" s="738">
        <f t="shared" si="190"/>
        <v>20.53</v>
      </c>
      <c r="F6146">
        <f t="shared" si="191"/>
        <v>100753</v>
      </c>
      <c r="H6146" s="1405">
        <v>18.93</v>
      </c>
      <c r="I6146" s="1405">
        <v>20.53</v>
      </c>
    </row>
    <row r="6147" spans="2:9" ht="30">
      <c r="B6147" s="1477">
        <v>100754</v>
      </c>
      <c r="C6147" s="740" t="s">
        <v>3166</v>
      </c>
      <c r="D6147" s="739" t="s">
        <v>0</v>
      </c>
      <c r="E6147" s="741">
        <f t="shared" ref="E6147:E6210" si="192">IF($K$2=$H$1,H6147,I6147)</f>
        <v>27.47</v>
      </c>
      <c r="F6147">
        <f t="shared" ref="F6147:F6210" si="193">IF(LEN($B6147)=7,CONCATENATE(MID($B6147,1,6),"00",RIGHT($B6147,1)),IF(LEN($B6147)=8,CONCATENATE(MID($B6147,1,6),"0",RIGHT($B6147,2)),$B6147))</f>
        <v>100754</v>
      </c>
      <c r="H6147" s="1406">
        <v>25.07</v>
      </c>
      <c r="I6147" s="1406">
        <v>27.47</v>
      </c>
    </row>
    <row r="6148" spans="2:9" ht="30">
      <c r="B6148" s="677">
        <v>100757</v>
      </c>
      <c r="C6148" s="733" t="s">
        <v>7193</v>
      </c>
      <c r="D6148" s="677" t="s">
        <v>0</v>
      </c>
      <c r="E6148" s="738">
        <f t="shared" si="192"/>
        <v>45.17</v>
      </c>
      <c r="F6148">
        <f t="shared" si="193"/>
        <v>100757</v>
      </c>
      <c r="H6148" s="1405">
        <v>42.39</v>
      </c>
      <c r="I6148" s="1405">
        <v>45.17</v>
      </c>
    </row>
    <row r="6149" spans="2:9" ht="30">
      <c r="B6149" s="1477">
        <v>100758</v>
      </c>
      <c r="C6149" s="740" t="s">
        <v>3167</v>
      </c>
      <c r="D6149" s="739" t="s">
        <v>0</v>
      </c>
      <c r="E6149" s="741">
        <f t="shared" si="192"/>
        <v>46.01</v>
      </c>
      <c r="F6149">
        <f t="shared" si="193"/>
        <v>100758</v>
      </c>
      <c r="H6149" s="1406">
        <v>42.43</v>
      </c>
      <c r="I6149" s="1406">
        <v>46.01</v>
      </c>
    </row>
    <row r="6150" spans="2:9" ht="30">
      <c r="B6150" s="677">
        <v>100759</v>
      </c>
      <c r="C6150" s="733" t="s">
        <v>7194</v>
      </c>
      <c r="D6150" s="677" t="s">
        <v>0</v>
      </c>
      <c r="E6150" s="738">
        <f t="shared" si="192"/>
        <v>44.72</v>
      </c>
      <c r="F6150">
        <f t="shared" si="193"/>
        <v>100759</v>
      </c>
      <c r="H6150" s="1405">
        <v>41.94</v>
      </c>
      <c r="I6150" s="1405">
        <v>44.72</v>
      </c>
    </row>
    <row r="6151" spans="2:9" ht="30">
      <c r="B6151" s="1477">
        <v>100760</v>
      </c>
      <c r="C6151" s="740" t="s">
        <v>3168</v>
      </c>
      <c r="D6151" s="739" t="s">
        <v>0</v>
      </c>
      <c r="E6151" s="741">
        <f t="shared" si="192"/>
        <v>45.73</v>
      </c>
      <c r="F6151">
        <f t="shared" si="193"/>
        <v>100760</v>
      </c>
      <c r="H6151" s="1406">
        <v>42.15</v>
      </c>
      <c r="I6151" s="1406">
        <v>45.73</v>
      </c>
    </row>
    <row r="6152" spans="2:9" ht="30">
      <c r="B6152" s="677">
        <v>100761</v>
      </c>
      <c r="C6152" s="733" t="s">
        <v>7195</v>
      </c>
      <c r="D6152" s="677" t="s">
        <v>0</v>
      </c>
      <c r="E6152" s="738">
        <f t="shared" si="192"/>
        <v>44.91</v>
      </c>
      <c r="F6152">
        <f t="shared" si="193"/>
        <v>100761</v>
      </c>
      <c r="H6152" s="1405">
        <v>42.13</v>
      </c>
      <c r="I6152" s="1405">
        <v>44.91</v>
      </c>
    </row>
    <row r="6153" spans="2:9" ht="30">
      <c r="B6153" s="1477">
        <v>100762</v>
      </c>
      <c r="C6153" s="740" t="s">
        <v>3169</v>
      </c>
      <c r="D6153" s="739" t="s">
        <v>0</v>
      </c>
      <c r="E6153" s="741">
        <f t="shared" si="192"/>
        <v>45.85</v>
      </c>
      <c r="F6153">
        <f t="shared" si="193"/>
        <v>100762</v>
      </c>
      <c r="H6153" s="1406">
        <v>42.27</v>
      </c>
      <c r="I6153" s="1406">
        <v>45.85</v>
      </c>
    </row>
    <row r="6154" spans="2:9">
      <c r="B6154" s="677">
        <v>102488</v>
      </c>
      <c r="C6154" s="733" t="s">
        <v>4717</v>
      </c>
      <c r="D6154" s="677" t="s">
        <v>0</v>
      </c>
      <c r="E6154" s="738">
        <f t="shared" si="192"/>
        <v>3.34</v>
      </c>
      <c r="F6154">
        <f t="shared" si="193"/>
        <v>102488</v>
      </c>
      <c r="H6154" s="1405">
        <v>3.01</v>
      </c>
      <c r="I6154" s="1405">
        <v>3.34</v>
      </c>
    </row>
    <row r="6155" spans="2:9">
      <c r="B6155" s="1477">
        <v>102489</v>
      </c>
      <c r="C6155" s="740" t="s">
        <v>4718</v>
      </c>
      <c r="D6155" s="739" t="s">
        <v>0</v>
      </c>
      <c r="E6155" s="741">
        <f t="shared" si="192"/>
        <v>27.03</v>
      </c>
      <c r="F6155">
        <f t="shared" si="193"/>
        <v>102489</v>
      </c>
      <c r="H6155" s="1406">
        <v>25.79</v>
      </c>
      <c r="I6155" s="1406">
        <v>27.03</v>
      </c>
    </row>
    <row r="6156" spans="2:9">
      <c r="B6156" s="677">
        <v>102491</v>
      </c>
      <c r="C6156" s="733" t="s">
        <v>4719</v>
      </c>
      <c r="D6156" s="677" t="s">
        <v>0</v>
      </c>
      <c r="E6156" s="738">
        <f t="shared" si="192"/>
        <v>18.5</v>
      </c>
      <c r="F6156">
        <f t="shared" si="193"/>
        <v>102491</v>
      </c>
      <c r="H6156" s="1405">
        <v>17.54</v>
      </c>
      <c r="I6156" s="1405">
        <v>18.5</v>
      </c>
    </row>
    <row r="6157" spans="2:9">
      <c r="B6157" s="1477">
        <v>102492</v>
      </c>
      <c r="C6157" s="740" t="s">
        <v>4720</v>
      </c>
      <c r="D6157" s="739" t="s">
        <v>0</v>
      </c>
      <c r="E6157" s="741">
        <f t="shared" si="192"/>
        <v>23.62</v>
      </c>
      <c r="F6157">
        <f t="shared" si="193"/>
        <v>102492</v>
      </c>
      <c r="H6157" s="1406">
        <v>22.36</v>
      </c>
      <c r="I6157" s="1406">
        <v>23.62</v>
      </c>
    </row>
    <row r="6158" spans="2:9">
      <c r="B6158" s="677">
        <v>102494</v>
      </c>
      <c r="C6158" s="733" t="s">
        <v>4721</v>
      </c>
      <c r="D6158" s="677" t="s">
        <v>0</v>
      </c>
      <c r="E6158" s="738">
        <f t="shared" si="192"/>
        <v>55.73</v>
      </c>
      <c r="F6158">
        <f t="shared" si="193"/>
        <v>102494</v>
      </c>
      <c r="H6158" s="1405">
        <v>54.77</v>
      </c>
      <c r="I6158" s="1405">
        <v>55.73</v>
      </c>
    </row>
    <row r="6159" spans="2:9">
      <c r="B6159" s="1477">
        <v>102496</v>
      </c>
      <c r="C6159" s="740" t="s">
        <v>4722</v>
      </c>
      <c r="D6159" s="739" t="s">
        <v>21</v>
      </c>
      <c r="E6159" s="741">
        <f t="shared" si="192"/>
        <v>11.92</v>
      </c>
      <c r="F6159">
        <f t="shared" si="193"/>
        <v>102496</v>
      </c>
      <c r="H6159" s="1406">
        <v>11.48</v>
      </c>
      <c r="I6159" s="1406">
        <v>11.92</v>
      </c>
    </row>
    <row r="6160" spans="2:9">
      <c r="B6160" s="677">
        <v>102497</v>
      </c>
      <c r="C6160" s="733" t="s">
        <v>4723</v>
      </c>
      <c r="D6160" s="677" t="s">
        <v>21</v>
      </c>
      <c r="E6160" s="738">
        <f t="shared" si="192"/>
        <v>4.6399999999999997</v>
      </c>
      <c r="F6160">
        <f t="shared" si="193"/>
        <v>102497</v>
      </c>
      <c r="H6160" s="1405">
        <v>4.34</v>
      </c>
      <c r="I6160" s="1405">
        <v>4.6399999999999997</v>
      </c>
    </row>
    <row r="6161" spans="2:9">
      <c r="B6161" s="1477">
        <v>102498</v>
      </c>
      <c r="C6161" s="740" t="s">
        <v>4724</v>
      </c>
      <c r="D6161" s="739" t="s">
        <v>21</v>
      </c>
      <c r="E6161" s="741">
        <f t="shared" si="192"/>
        <v>1.49</v>
      </c>
      <c r="F6161">
        <f t="shared" si="193"/>
        <v>102498</v>
      </c>
      <c r="H6161" s="1406">
        <v>1.36</v>
      </c>
      <c r="I6161" s="1406">
        <v>1.49</v>
      </c>
    </row>
    <row r="6162" spans="2:9">
      <c r="B6162" s="677">
        <v>102499</v>
      </c>
      <c r="C6162" s="733" t="s">
        <v>4725</v>
      </c>
      <c r="D6162" s="677" t="s">
        <v>0</v>
      </c>
      <c r="E6162" s="738">
        <f t="shared" si="192"/>
        <v>3.04</v>
      </c>
      <c r="F6162">
        <f t="shared" si="193"/>
        <v>102499</v>
      </c>
      <c r="H6162" s="1405">
        <v>2.9</v>
      </c>
      <c r="I6162" s="1405">
        <v>3.04</v>
      </c>
    </row>
    <row r="6163" spans="2:9">
      <c r="B6163" s="1477">
        <v>102500</v>
      </c>
      <c r="C6163" s="740" t="s">
        <v>4726</v>
      </c>
      <c r="D6163" s="739" t="s">
        <v>21</v>
      </c>
      <c r="E6163" s="741">
        <f t="shared" si="192"/>
        <v>4.1500000000000004</v>
      </c>
      <c r="F6163">
        <f t="shared" si="193"/>
        <v>102500</v>
      </c>
      <c r="H6163" s="1406">
        <v>3.86</v>
      </c>
      <c r="I6163" s="1406">
        <v>4.1500000000000004</v>
      </c>
    </row>
    <row r="6164" spans="2:9">
      <c r="B6164" s="677">
        <v>102501</v>
      </c>
      <c r="C6164" s="733" t="s">
        <v>4727</v>
      </c>
      <c r="D6164" s="677" t="s">
        <v>0</v>
      </c>
      <c r="E6164" s="738">
        <f t="shared" si="192"/>
        <v>23.17</v>
      </c>
      <c r="F6164">
        <f t="shared" si="193"/>
        <v>102501</v>
      </c>
      <c r="H6164" s="1405">
        <v>21.68</v>
      </c>
      <c r="I6164" s="1405">
        <v>23.17</v>
      </c>
    </row>
    <row r="6165" spans="2:9">
      <c r="B6165" s="1477">
        <v>102504</v>
      </c>
      <c r="C6165" s="740" t="s">
        <v>4728</v>
      </c>
      <c r="D6165" s="739" t="s">
        <v>21</v>
      </c>
      <c r="E6165" s="741">
        <f t="shared" si="192"/>
        <v>9.2899999999999991</v>
      </c>
      <c r="F6165">
        <f t="shared" si="193"/>
        <v>102504</v>
      </c>
      <c r="H6165" s="1406">
        <v>8.4600000000000009</v>
      </c>
      <c r="I6165" s="1406">
        <v>9.2899999999999991</v>
      </c>
    </row>
    <row r="6166" spans="2:9">
      <c r="B6166" s="677">
        <v>102505</v>
      </c>
      <c r="C6166" s="733" t="s">
        <v>4729</v>
      </c>
      <c r="D6166" s="677" t="s">
        <v>21</v>
      </c>
      <c r="E6166" s="738">
        <f t="shared" si="192"/>
        <v>9.43</v>
      </c>
      <c r="F6166">
        <f t="shared" si="193"/>
        <v>102505</v>
      </c>
      <c r="H6166" s="1405">
        <v>8.6</v>
      </c>
      <c r="I6166" s="1405">
        <v>9.43</v>
      </c>
    </row>
    <row r="6167" spans="2:9">
      <c r="B6167" s="1477">
        <v>102506</v>
      </c>
      <c r="C6167" s="740" t="s">
        <v>4730</v>
      </c>
      <c r="D6167" s="739" t="s">
        <v>21</v>
      </c>
      <c r="E6167" s="741">
        <f t="shared" si="192"/>
        <v>10.15</v>
      </c>
      <c r="F6167">
        <f t="shared" si="193"/>
        <v>102506</v>
      </c>
      <c r="H6167" s="1406">
        <v>9.32</v>
      </c>
      <c r="I6167" s="1406">
        <v>10.15</v>
      </c>
    </row>
    <row r="6168" spans="2:9">
      <c r="B6168" s="677">
        <v>102507</v>
      </c>
      <c r="C6168" s="733" t="s">
        <v>4731</v>
      </c>
      <c r="D6168" s="677" t="s">
        <v>21</v>
      </c>
      <c r="E6168" s="738">
        <f t="shared" si="192"/>
        <v>5.84</v>
      </c>
      <c r="F6168">
        <f t="shared" si="193"/>
        <v>102507</v>
      </c>
      <c r="H6168" s="1405">
        <v>5.55</v>
      </c>
      <c r="I6168" s="1405">
        <v>5.84</v>
      </c>
    </row>
    <row r="6169" spans="2:9">
      <c r="B6169" s="1477">
        <v>102508</v>
      </c>
      <c r="C6169" s="740" t="s">
        <v>4732</v>
      </c>
      <c r="D6169" s="739" t="s">
        <v>0</v>
      </c>
      <c r="E6169" s="741">
        <f t="shared" si="192"/>
        <v>40.46</v>
      </c>
      <c r="F6169">
        <f t="shared" si="193"/>
        <v>102508</v>
      </c>
      <c r="H6169" s="1406">
        <v>38.97</v>
      </c>
      <c r="I6169" s="1406">
        <v>40.46</v>
      </c>
    </row>
    <row r="6170" spans="2:9" ht="30">
      <c r="B6170" s="677">
        <v>102509</v>
      </c>
      <c r="C6170" s="733" t="s">
        <v>4733</v>
      </c>
      <c r="D6170" s="677" t="s">
        <v>0</v>
      </c>
      <c r="E6170" s="738">
        <f t="shared" si="192"/>
        <v>23.2</v>
      </c>
      <c r="F6170">
        <f t="shared" si="193"/>
        <v>102509</v>
      </c>
      <c r="H6170" s="1405">
        <v>21.94</v>
      </c>
      <c r="I6170" s="1405">
        <v>23.2</v>
      </c>
    </row>
    <row r="6171" spans="2:9" ht="30">
      <c r="B6171" s="1477">
        <v>102512</v>
      </c>
      <c r="C6171" s="740" t="s">
        <v>4734</v>
      </c>
      <c r="D6171" s="739" t="s">
        <v>21</v>
      </c>
      <c r="E6171" s="741">
        <f t="shared" si="192"/>
        <v>5.14</v>
      </c>
      <c r="F6171">
        <f t="shared" si="193"/>
        <v>102512</v>
      </c>
      <c r="H6171" s="1406">
        <v>4.9400000000000004</v>
      </c>
      <c r="I6171" s="1406">
        <v>5.14</v>
      </c>
    </row>
    <row r="6172" spans="2:9">
      <c r="B6172" s="677">
        <v>102513</v>
      </c>
      <c r="C6172" s="733" t="s">
        <v>4735</v>
      </c>
      <c r="D6172" s="677" t="s">
        <v>0</v>
      </c>
      <c r="E6172" s="738">
        <f t="shared" si="192"/>
        <v>44.28</v>
      </c>
      <c r="F6172">
        <f t="shared" si="193"/>
        <v>102513</v>
      </c>
      <c r="H6172" s="1405">
        <v>40.96</v>
      </c>
      <c r="I6172" s="1405">
        <v>44.28</v>
      </c>
    </row>
    <row r="6173" spans="2:9">
      <c r="B6173" s="1477">
        <v>102520</v>
      </c>
      <c r="C6173" s="740" t="s">
        <v>4736</v>
      </c>
      <c r="D6173" s="739" t="s">
        <v>0</v>
      </c>
      <c r="E6173" s="741">
        <f t="shared" si="192"/>
        <v>75.790000000000006</v>
      </c>
      <c r="F6173">
        <f t="shared" si="193"/>
        <v>102520</v>
      </c>
      <c r="H6173" s="1406">
        <v>69.819999999999993</v>
      </c>
      <c r="I6173" s="1406">
        <v>75.790000000000006</v>
      </c>
    </row>
    <row r="6174" spans="2:9" ht="30">
      <c r="B6174" s="677">
        <v>101749</v>
      </c>
      <c r="C6174" s="733" t="s">
        <v>3798</v>
      </c>
      <c r="D6174" s="677" t="s">
        <v>0</v>
      </c>
      <c r="E6174" s="738">
        <f t="shared" si="192"/>
        <v>57.25</v>
      </c>
      <c r="F6174">
        <f t="shared" si="193"/>
        <v>101749</v>
      </c>
      <c r="H6174" s="1405">
        <v>55.25</v>
      </c>
      <c r="I6174" s="1405">
        <v>57.25</v>
      </c>
    </row>
    <row r="6175" spans="2:9" ht="30">
      <c r="B6175" s="1477">
        <v>101750</v>
      </c>
      <c r="C6175" s="740" t="s">
        <v>3799</v>
      </c>
      <c r="D6175" s="739" t="s">
        <v>0</v>
      </c>
      <c r="E6175" s="741">
        <f t="shared" si="192"/>
        <v>54.83</v>
      </c>
      <c r="F6175">
        <f t="shared" si="193"/>
        <v>101750</v>
      </c>
      <c r="H6175" s="1406">
        <v>53.02</v>
      </c>
      <c r="I6175" s="1406">
        <v>54.83</v>
      </c>
    </row>
    <row r="6176" spans="2:9">
      <c r="B6176" s="677">
        <v>101729</v>
      </c>
      <c r="C6176" s="733" t="s">
        <v>3800</v>
      </c>
      <c r="D6176" s="677" t="s">
        <v>0</v>
      </c>
      <c r="E6176" s="738">
        <f t="shared" si="192"/>
        <v>224.5</v>
      </c>
      <c r="F6176">
        <f t="shared" si="193"/>
        <v>101729</v>
      </c>
      <c r="H6176" s="1405">
        <v>223.13</v>
      </c>
      <c r="I6176" s="1405">
        <v>224.5</v>
      </c>
    </row>
    <row r="6177" spans="2:9">
      <c r="B6177" s="1477">
        <v>101746</v>
      </c>
      <c r="C6177" s="740" t="s">
        <v>3801</v>
      </c>
      <c r="D6177" s="739" t="s">
        <v>0</v>
      </c>
      <c r="E6177" s="741">
        <f t="shared" si="192"/>
        <v>352.67</v>
      </c>
      <c r="F6177">
        <f t="shared" si="193"/>
        <v>101746</v>
      </c>
      <c r="H6177" s="1406">
        <v>351.06</v>
      </c>
      <c r="I6177" s="1406">
        <v>352.67</v>
      </c>
    </row>
    <row r="6178" spans="2:9">
      <c r="B6178" s="677">
        <v>101751</v>
      </c>
      <c r="C6178" s="733" t="s">
        <v>3802</v>
      </c>
      <c r="D6178" s="677" t="s">
        <v>0</v>
      </c>
      <c r="E6178" s="738">
        <f t="shared" si="192"/>
        <v>230.54</v>
      </c>
      <c r="F6178">
        <f t="shared" si="193"/>
        <v>101751</v>
      </c>
      <c r="H6178" s="1405">
        <v>228.54</v>
      </c>
      <c r="I6178" s="1405">
        <v>230.54</v>
      </c>
    </row>
    <row r="6179" spans="2:9" ht="30">
      <c r="B6179" s="1477">
        <v>87246</v>
      </c>
      <c r="C6179" s="740" t="s">
        <v>7460</v>
      </c>
      <c r="D6179" s="739" t="s">
        <v>0</v>
      </c>
      <c r="E6179" s="741">
        <f t="shared" si="192"/>
        <v>68.709999999999994</v>
      </c>
      <c r="F6179">
        <f t="shared" si="193"/>
        <v>87246</v>
      </c>
      <c r="H6179" s="1406">
        <v>66.540000000000006</v>
      </c>
      <c r="I6179" s="1406">
        <v>68.709999999999994</v>
      </c>
    </row>
    <row r="6180" spans="2:9" ht="30">
      <c r="B6180" s="677">
        <v>87247</v>
      </c>
      <c r="C6180" s="733" t="s">
        <v>7461</v>
      </c>
      <c r="D6180" s="677" t="s">
        <v>0</v>
      </c>
      <c r="E6180" s="738">
        <f t="shared" si="192"/>
        <v>62.26</v>
      </c>
      <c r="F6180">
        <f t="shared" si="193"/>
        <v>87247</v>
      </c>
      <c r="H6180" s="1405">
        <v>60.68</v>
      </c>
      <c r="I6180" s="1405">
        <v>62.26</v>
      </c>
    </row>
    <row r="6181" spans="2:9" ht="30">
      <c r="B6181" s="1477">
        <v>87248</v>
      </c>
      <c r="C6181" s="740" t="s">
        <v>7462</v>
      </c>
      <c r="D6181" s="739" t="s">
        <v>0</v>
      </c>
      <c r="E6181" s="741">
        <f t="shared" si="192"/>
        <v>55.53</v>
      </c>
      <c r="F6181">
        <f t="shared" si="193"/>
        <v>87248</v>
      </c>
      <c r="H6181" s="1406">
        <v>54.63</v>
      </c>
      <c r="I6181" s="1406">
        <v>55.53</v>
      </c>
    </row>
    <row r="6182" spans="2:9" ht="30">
      <c r="B6182" s="677">
        <v>87249</v>
      </c>
      <c r="C6182" s="733" t="s">
        <v>7463</v>
      </c>
      <c r="D6182" s="677" t="s">
        <v>0</v>
      </c>
      <c r="E6182" s="738">
        <f t="shared" si="192"/>
        <v>73.010000000000005</v>
      </c>
      <c r="F6182">
        <f t="shared" si="193"/>
        <v>87249</v>
      </c>
      <c r="H6182" s="1405">
        <v>70.48</v>
      </c>
      <c r="I6182" s="1405">
        <v>73.010000000000005</v>
      </c>
    </row>
    <row r="6183" spans="2:9" ht="30">
      <c r="B6183" s="1477">
        <v>87250</v>
      </c>
      <c r="C6183" s="740" t="s">
        <v>7464</v>
      </c>
      <c r="D6183" s="739" t="s">
        <v>0</v>
      </c>
      <c r="E6183" s="741">
        <f t="shared" si="192"/>
        <v>63.35</v>
      </c>
      <c r="F6183">
        <f t="shared" si="193"/>
        <v>87250</v>
      </c>
      <c r="H6183" s="1406">
        <v>61.67</v>
      </c>
      <c r="I6183" s="1406">
        <v>63.35</v>
      </c>
    </row>
    <row r="6184" spans="2:9" ht="30">
      <c r="B6184" s="677">
        <v>87251</v>
      </c>
      <c r="C6184" s="733" t="s">
        <v>7465</v>
      </c>
      <c r="D6184" s="677" t="s">
        <v>0</v>
      </c>
      <c r="E6184" s="738">
        <f t="shared" si="192"/>
        <v>55.62</v>
      </c>
      <c r="F6184">
        <f t="shared" si="193"/>
        <v>87251</v>
      </c>
      <c r="H6184" s="1405">
        <v>54.69</v>
      </c>
      <c r="I6184" s="1405">
        <v>55.62</v>
      </c>
    </row>
    <row r="6185" spans="2:9" ht="30">
      <c r="B6185" s="1477">
        <v>87255</v>
      </c>
      <c r="C6185" s="740" t="s">
        <v>7466</v>
      </c>
      <c r="D6185" s="739" t="s">
        <v>0</v>
      </c>
      <c r="E6185" s="741">
        <f t="shared" si="192"/>
        <v>114.29</v>
      </c>
      <c r="F6185">
        <f t="shared" si="193"/>
        <v>87255</v>
      </c>
      <c r="H6185" s="1406">
        <v>111.53</v>
      </c>
      <c r="I6185" s="1406">
        <v>114.29</v>
      </c>
    </row>
    <row r="6186" spans="2:9" ht="30">
      <c r="B6186" s="677">
        <v>87256</v>
      </c>
      <c r="C6186" s="733" t="s">
        <v>7467</v>
      </c>
      <c r="D6186" s="677" t="s">
        <v>0</v>
      </c>
      <c r="E6186" s="738">
        <f t="shared" si="192"/>
        <v>102.42</v>
      </c>
      <c r="F6186">
        <f t="shared" si="193"/>
        <v>87256</v>
      </c>
      <c r="H6186" s="1405">
        <v>100.57</v>
      </c>
      <c r="I6186" s="1405">
        <v>102.42</v>
      </c>
    </row>
    <row r="6187" spans="2:9" ht="30">
      <c r="B6187" s="1477">
        <v>87257</v>
      </c>
      <c r="C6187" s="740" t="s">
        <v>7468</v>
      </c>
      <c r="D6187" s="739" t="s">
        <v>0</v>
      </c>
      <c r="E6187" s="741">
        <f t="shared" si="192"/>
        <v>93.24</v>
      </c>
      <c r="F6187">
        <f t="shared" si="193"/>
        <v>87257</v>
      </c>
      <c r="H6187" s="1406">
        <v>92.21</v>
      </c>
      <c r="I6187" s="1406">
        <v>93.24</v>
      </c>
    </row>
    <row r="6188" spans="2:9" ht="30">
      <c r="B6188" s="677">
        <v>87258</v>
      </c>
      <c r="C6188" s="733" t="s">
        <v>7469</v>
      </c>
      <c r="D6188" s="677" t="s">
        <v>0</v>
      </c>
      <c r="E6188" s="738">
        <f t="shared" si="192"/>
        <v>163.99</v>
      </c>
      <c r="F6188">
        <f t="shared" si="193"/>
        <v>87258</v>
      </c>
      <c r="H6188" s="1405">
        <v>160.78</v>
      </c>
      <c r="I6188" s="1405">
        <v>163.99</v>
      </c>
    </row>
    <row r="6189" spans="2:9" ht="30">
      <c r="B6189" s="1477">
        <v>87259</v>
      </c>
      <c r="C6189" s="740" t="s">
        <v>7470</v>
      </c>
      <c r="D6189" s="739" t="s">
        <v>0</v>
      </c>
      <c r="E6189" s="741">
        <f t="shared" si="192"/>
        <v>151.97999999999999</v>
      </c>
      <c r="F6189">
        <f t="shared" si="193"/>
        <v>87259</v>
      </c>
      <c r="H6189" s="1406">
        <v>149.61000000000001</v>
      </c>
      <c r="I6189" s="1406">
        <v>151.97999999999999</v>
      </c>
    </row>
    <row r="6190" spans="2:9" ht="30">
      <c r="B6190" s="677">
        <v>87260</v>
      </c>
      <c r="C6190" s="733" t="s">
        <v>7471</v>
      </c>
      <c r="D6190" s="677" t="s">
        <v>0</v>
      </c>
      <c r="E6190" s="738">
        <f t="shared" si="192"/>
        <v>143.58000000000001</v>
      </c>
      <c r="F6190">
        <f t="shared" si="193"/>
        <v>87260</v>
      </c>
      <c r="H6190" s="1405">
        <v>141.97999999999999</v>
      </c>
      <c r="I6190" s="1405">
        <v>143.58000000000001</v>
      </c>
    </row>
    <row r="6191" spans="2:9" ht="30">
      <c r="B6191" s="1477">
        <v>87261</v>
      </c>
      <c r="C6191" s="740" t="s">
        <v>7472</v>
      </c>
      <c r="D6191" s="739" t="s">
        <v>0</v>
      </c>
      <c r="E6191" s="741">
        <f t="shared" si="192"/>
        <v>185.92</v>
      </c>
      <c r="F6191">
        <f t="shared" si="193"/>
        <v>87261</v>
      </c>
      <c r="H6191" s="1406">
        <v>182.49</v>
      </c>
      <c r="I6191" s="1406">
        <v>185.92</v>
      </c>
    </row>
    <row r="6192" spans="2:9" ht="30">
      <c r="B6192" s="677">
        <v>87262</v>
      </c>
      <c r="C6192" s="733" t="s">
        <v>7473</v>
      </c>
      <c r="D6192" s="677" t="s">
        <v>0</v>
      </c>
      <c r="E6192" s="738">
        <f t="shared" si="192"/>
        <v>172.27</v>
      </c>
      <c r="F6192">
        <f t="shared" si="193"/>
        <v>87262</v>
      </c>
      <c r="H6192" s="1405">
        <v>169.74</v>
      </c>
      <c r="I6192" s="1405">
        <v>172.27</v>
      </c>
    </row>
    <row r="6193" spans="2:9" ht="30">
      <c r="B6193" s="1477">
        <v>87263</v>
      </c>
      <c r="C6193" s="740" t="s">
        <v>7474</v>
      </c>
      <c r="D6193" s="739" t="s">
        <v>0</v>
      </c>
      <c r="E6193" s="741">
        <f t="shared" si="192"/>
        <v>162.41999999999999</v>
      </c>
      <c r="F6193">
        <f t="shared" si="193"/>
        <v>87263</v>
      </c>
      <c r="H6193" s="1406">
        <v>160.71</v>
      </c>
      <c r="I6193" s="1406">
        <v>162.41999999999999</v>
      </c>
    </row>
    <row r="6194" spans="2:9" ht="30">
      <c r="B6194" s="677">
        <v>89046</v>
      </c>
      <c r="C6194" s="733" t="s">
        <v>4300</v>
      </c>
      <c r="D6194" s="677" t="s">
        <v>0</v>
      </c>
      <c r="E6194" s="738">
        <f t="shared" si="192"/>
        <v>61.52</v>
      </c>
      <c r="F6194">
        <f t="shared" si="193"/>
        <v>89046</v>
      </c>
      <c r="H6194" s="1405">
        <v>60.02</v>
      </c>
      <c r="I6194" s="1405">
        <v>61.52</v>
      </c>
    </row>
    <row r="6195" spans="2:9" ht="30">
      <c r="B6195" s="1477">
        <v>89171</v>
      </c>
      <c r="C6195" s="740" t="s">
        <v>4301</v>
      </c>
      <c r="D6195" s="739" t="s">
        <v>0</v>
      </c>
      <c r="E6195" s="741">
        <f t="shared" si="192"/>
        <v>58.51</v>
      </c>
      <c r="F6195">
        <f t="shared" si="193"/>
        <v>89171</v>
      </c>
      <c r="H6195" s="1406">
        <v>57.3</v>
      </c>
      <c r="I6195" s="1406">
        <v>58.51</v>
      </c>
    </row>
    <row r="6196" spans="2:9" ht="30">
      <c r="B6196" s="677">
        <v>93389</v>
      </c>
      <c r="C6196" s="733" t="s">
        <v>7475</v>
      </c>
      <c r="D6196" s="677" t="s">
        <v>0</v>
      </c>
      <c r="E6196" s="738">
        <f t="shared" si="192"/>
        <v>62.64</v>
      </c>
      <c r="F6196">
        <f t="shared" si="193"/>
        <v>93389</v>
      </c>
      <c r="H6196" s="1405">
        <v>60.47</v>
      </c>
      <c r="I6196" s="1405">
        <v>62.64</v>
      </c>
    </row>
    <row r="6197" spans="2:9" ht="30">
      <c r="B6197" s="1477">
        <v>93390</v>
      </c>
      <c r="C6197" s="740" t="s">
        <v>7476</v>
      </c>
      <c r="D6197" s="739" t="s">
        <v>0</v>
      </c>
      <c r="E6197" s="741">
        <f t="shared" si="192"/>
        <v>56.28</v>
      </c>
      <c r="F6197">
        <f t="shared" si="193"/>
        <v>93390</v>
      </c>
      <c r="H6197" s="1406">
        <v>54.7</v>
      </c>
      <c r="I6197" s="1406">
        <v>56.28</v>
      </c>
    </row>
    <row r="6198" spans="2:9" ht="30">
      <c r="B6198" s="677">
        <v>93391</v>
      </c>
      <c r="C6198" s="733" t="s">
        <v>7477</v>
      </c>
      <c r="D6198" s="677" t="s">
        <v>0</v>
      </c>
      <c r="E6198" s="738">
        <f t="shared" si="192"/>
        <v>49.58</v>
      </c>
      <c r="F6198">
        <f t="shared" si="193"/>
        <v>93391</v>
      </c>
      <c r="H6198" s="1405">
        <v>48.68</v>
      </c>
      <c r="I6198" s="1405">
        <v>49.58</v>
      </c>
    </row>
    <row r="6199" spans="2:9" ht="30">
      <c r="B6199" s="1477">
        <v>104593</v>
      </c>
      <c r="C6199" s="740" t="s">
        <v>7478</v>
      </c>
      <c r="D6199" s="739" t="s">
        <v>0</v>
      </c>
      <c r="E6199" s="741">
        <f t="shared" si="192"/>
        <v>117.98</v>
      </c>
      <c r="F6199">
        <f t="shared" si="193"/>
        <v>104593</v>
      </c>
      <c r="H6199" s="1406">
        <v>114.97</v>
      </c>
      <c r="I6199" s="1406">
        <v>117.98</v>
      </c>
    </row>
    <row r="6200" spans="2:9" ht="30">
      <c r="B6200" s="677">
        <v>104594</v>
      </c>
      <c r="C6200" s="733" t="s">
        <v>7479</v>
      </c>
      <c r="D6200" s="677" t="s">
        <v>0</v>
      </c>
      <c r="E6200" s="738">
        <f t="shared" si="192"/>
        <v>104.64</v>
      </c>
      <c r="F6200">
        <f t="shared" si="193"/>
        <v>104594</v>
      </c>
      <c r="H6200" s="1405">
        <v>102.62</v>
      </c>
      <c r="I6200" s="1405">
        <v>104.64</v>
      </c>
    </row>
    <row r="6201" spans="2:9" ht="30">
      <c r="B6201" s="1477">
        <v>104595</v>
      </c>
      <c r="C6201" s="740" t="s">
        <v>7480</v>
      </c>
      <c r="D6201" s="739" t="s">
        <v>0</v>
      </c>
      <c r="E6201" s="741">
        <f t="shared" si="192"/>
        <v>93.67</v>
      </c>
      <c r="F6201">
        <f t="shared" si="193"/>
        <v>104595</v>
      </c>
      <c r="H6201" s="1406">
        <v>92.6</v>
      </c>
      <c r="I6201" s="1406">
        <v>93.67</v>
      </c>
    </row>
    <row r="6202" spans="2:9" ht="30">
      <c r="B6202" s="677">
        <v>104596</v>
      </c>
      <c r="C6202" s="733" t="s">
        <v>7481</v>
      </c>
      <c r="D6202" s="677" t="s">
        <v>0</v>
      </c>
      <c r="E6202" s="738">
        <f t="shared" si="192"/>
        <v>190.45</v>
      </c>
      <c r="F6202">
        <f t="shared" si="193"/>
        <v>104596</v>
      </c>
      <c r="H6202" s="1405">
        <v>186.76</v>
      </c>
      <c r="I6202" s="1405">
        <v>190.45</v>
      </c>
    </row>
    <row r="6203" spans="2:9" ht="30">
      <c r="B6203" s="1477">
        <v>104597</v>
      </c>
      <c r="C6203" s="740" t="s">
        <v>7482</v>
      </c>
      <c r="D6203" s="739" t="s">
        <v>0</v>
      </c>
      <c r="E6203" s="741">
        <f t="shared" si="192"/>
        <v>175.01</v>
      </c>
      <c r="F6203">
        <f t="shared" si="193"/>
        <v>104597</v>
      </c>
      <c r="H6203" s="1406">
        <v>172.33</v>
      </c>
      <c r="I6203" s="1406">
        <v>175.01</v>
      </c>
    </row>
    <row r="6204" spans="2:9" ht="30">
      <c r="B6204" s="677">
        <v>104598</v>
      </c>
      <c r="C6204" s="733" t="s">
        <v>7483</v>
      </c>
      <c r="D6204" s="677" t="s">
        <v>0</v>
      </c>
      <c r="E6204" s="738">
        <f t="shared" si="192"/>
        <v>163</v>
      </c>
      <c r="F6204">
        <f t="shared" si="193"/>
        <v>104598</v>
      </c>
      <c r="H6204" s="1405">
        <v>161.24</v>
      </c>
      <c r="I6204" s="1405">
        <v>163</v>
      </c>
    </row>
    <row r="6205" spans="2:9" ht="30">
      <c r="B6205" s="1477">
        <v>104599</v>
      </c>
      <c r="C6205" s="740" t="s">
        <v>7484</v>
      </c>
      <c r="D6205" s="739" t="s">
        <v>0</v>
      </c>
      <c r="E6205" s="741">
        <f t="shared" si="192"/>
        <v>80.900000000000006</v>
      </c>
      <c r="F6205">
        <f t="shared" si="193"/>
        <v>104599</v>
      </c>
      <c r="H6205" s="1406">
        <v>77.77</v>
      </c>
      <c r="I6205" s="1406">
        <v>80.900000000000006</v>
      </c>
    </row>
    <row r="6206" spans="2:9" ht="30">
      <c r="B6206" s="677">
        <v>104600</v>
      </c>
      <c r="C6206" s="733" t="s">
        <v>7485</v>
      </c>
      <c r="D6206" s="677" t="s">
        <v>0</v>
      </c>
      <c r="E6206" s="738">
        <f t="shared" si="192"/>
        <v>74.33</v>
      </c>
      <c r="F6206">
        <f t="shared" si="193"/>
        <v>104600</v>
      </c>
      <c r="H6206" s="1405">
        <v>71.2</v>
      </c>
      <c r="I6206" s="1405">
        <v>74.33</v>
      </c>
    </row>
    <row r="6207" spans="2:9" ht="30">
      <c r="B6207" s="1477">
        <v>104601</v>
      </c>
      <c r="C6207" s="740" t="s">
        <v>7486</v>
      </c>
      <c r="D6207" s="739" t="s">
        <v>0</v>
      </c>
      <c r="E6207" s="741">
        <f t="shared" si="192"/>
        <v>66.849999999999994</v>
      </c>
      <c r="F6207">
        <f t="shared" si="193"/>
        <v>104601</v>
      </c>
      <c r="H6207" s="1406">
        <v>64.92</v>
      </c>
      <c r="I6207" s="1406">
        <v>66.849999999999994</v>
      </c>
    </row>
    <row r="6208" spans="2:9" ht="30">
      <c r="B6208" s="677">
        <v>104602</v>
      </c>
      <c r="C6208" s="733" t="s">
        <v>7487</v>
      </c>
      <c r="D6208" s="677" t="s">
        <v>0</v>
      </c>
      <c r="E6208" s="738">
        <f t="shared" si="192"/>
        <v>60.69</v>
      </c>
      <c r="F6208">
        <f t="shared" si="193"/>
        <v>104602</v>
      </c>
      <c r="H6208" s="1405">
        <v>58.76</v>
      </c>
      <c r="I6208" s="1405">
        <v>60.69</v>
      </c>
    </row>
    <row r="6209" spans="2:9" ht="30">
      <c r="B6209" s="1477">
        <v>104603</v>
      </c>
      <c r="C6209" s="740" t="s">
        <v>7488</v>
      </c>
      <c r="D6209" s="739" t="s">
        <v>0</v>
      </c>
      <c r="E6209" s="741">
        <f t="shared" si="192"/>
        <v>57.81</v>
      </c>
      <c r="F6209">
        <f t="shared" si="193"/>
        <v>104603</v>
      </c>
      <c r="H6209" s="1406">
        <v>56.74</v>
      </c>
      <c r="I6209" s="1406">
        <v>57.81</v>
      </c>
    </row>
    <row r="6210" spans="2:9" ht="30">
      <c r="B6210" s="677">
        <v>104604</v>
      </c>
      <c r="C6210" s="733" t="s">
        <v>7489</v>
      </c>
      <c r="D6210" s="677" t="s">
        <v>0</v>
      </c>
      <c r="E6210" s="738">
        <f t="shared" si="192"/>
        <v>51.77</v>
      </c>
      <c r="F6210">
        <f t="shared" si="193"/>
        <v>104604</v>
      </c>
      <c r="H6210" s="1405">
        <v>50.7</v>
      </c>
      <c r="I6210" s="1405">
        <v>51.77</v>
      </c>
    </row>
    <row r="6211" spans="2:9" ht="30">
      <c r="B6211" s="1477">
        <v>104605</v>
      </c>
      <c r="C6211" s="740" t="s">
        <v>7490</v>
      </c>
      <c r="D6211" s="739" t="s">
        <v>0</v>
      </c>
      <c r="E6211" s="741">
        <f t="shared" ref="E6211:E6274" si="194">IF($K$2=$H$1,H6211,I6211)</f>
        <v>98.81</v>
      </c>
      <c r="F6211">
        <f t="shared" ref="F6211:F6274" si="195">IF(LEN($B6211)=7,CONCATENATE(MID($B6211,1,6),"00",RIGHT($B6211,1)),IF(LEN($B6211)=8,CONCATENATE(MID($B6211,1,6),"0",RIGHT($B6211,2)),$B6211))</f>
        <v>104605</v>
      </c>
      <c r="H6211" s="1406">
        <v>94.22</v>
      </c>
      <c r="I6211" s="1406">
        <v>98.81</v>
      </c>
    </row>
    <row r="6212" spans="2:9" ht="30">
      <c r="B6212" s="677">
        <v>104606</v>
      </c>
      <c r="C6212" s="733" t="s">
        <v>7491</v>
      </c>
      <c r="D6212" s="677" t="s">
        <v>0</v>
      </c>
      <c r="E6212" s="738">
        <f t="shared" si="194"/>
        <v>70.67</v>
      </c>
      <c r="F6212">
        <f t="shared" si="195"/>
        <v>104606</v>
      </c>
      <c r="H6212" s="1405">
        <v>68.39</v>
      </c>
      <c r="I6212" s="1405">
        <v>70.67</v>
      </c>
    </row>
    <row r="6213" spans="2:9" ht="30">
      <c r="B6213" s="1477">
        <v>104607</v>
      </c>
      <c r="C6213" s="740" t="s">
        <v>7492</v>
      </c>
      <c r="D6213" s="739" t="s">
        <v>0</v>
      </c>
      <c r="E6213" s="741">
        <f t="shared" si="194"/>
        <v>58.89</v>
      </c>
      <c r="F6213">
        <f t="shared" si="195"/>
        <v>104607</v>
      </c>
      <c r="H6213" s="1406">
        <v>57.7</v>
      </c>
      <c r="I6213" s="1406">
        <v>58.89</v>
      </c>
    </row>
    <row r="6214" spans="2:9" ht="30">
      <c r="B6214" s="677">
        <v>104608</v>
      </c>
      <c r="C6214" s="733" t="s">
        <v>7493</v>
      </c>
      <c r="D6214" s="677" t="s">
        <v>0</v>
      </c>
      <c r="E6214" s="738">
        <f t="shared" si="194"/>
        <v>199.79</v>
      </c>
      <c r="F6214">
        <f t="shared" si="195"/>
        <v>104608</v>
      </c>
      <c r="H6214" s="1405">
        <v>194.52</v>
      </c>
      <c r="I6214" s="1405">
        <v>199.79</v>
      </c>
    </row>
    <row r="6215" spans="2:9" ht="30">
      <c r="B6215" s="1477">
        <v>104609</v>
      </c>
      <c r="C6215" s="740" t="s">
        <v>7494</v>
      </c>
      <c r="D6215" s="739" t="s">
        <v>0</v>
      </c>
      <c r="E6215" s="741">
        <f t="shared" si="194"/>
        <v>162.1</v>
      </c>
      <c r="F6215">
        <f t="shared" si="195"/>
        <v>104609</v>
      </c>
      <c r="H6215" s="1406">
        <v>159.16999999999999</v>
      </c>
      <c r="I6215" s="1406">
        <v>162.1</v>
      </c>
    </row>
    <row r="6216" spans="2:9" ht="30">
      <c r="B6216" s="677">
        <v>104610</v>
      </c>
      <c r="C6216" s="733" t="s">
        <v>7495</v>
      </c>
      <c r="D6216" s="677" t="s">
        <v>0</v>
      </c>
      <c r="E6216" s="738">
        <f t="shared" si="194"/>
        <v>148.1</v>
      </c>
      <c r="F6216">
        <f t="shared" si="195"/>
        <v>104610</v>
      </c>
      <c r="H6216" s="1405">
        <v>146.24</v>
      </c>
      <c r="I6216" s="1405">
        <v>148.1</v>
      </c>
    </row>
    <row r="6217" spans="2:9">
      <c r="B6217" s="1477">
        <v>98671</v>
      </c>
      <c r="C6217" s="740" t="s">
        <v>3803</v>
      </c>
      <c r="D6217" s="739" t="s">
        <v>0</v>
      </c>
      <c r="E6217" s="741">
        <f t="shared" si="194"/>
        <v>439.09</v>
      </c>
      <c r="F6217">
        <f t="shared" si="195"/>
        <v>98671</v>
      </c>
      <c r="H6217" s="1406">
        <v>434.78</v>
      </c>
      <c r="I6217" s="1406">
        <v>439.09</v>
      </c>
    </row>
    <row r="6218" spans="2:9">
      <c r="B6218" s="677">
        <v>98672</v>
      </c>
      <c r="C6218" s="733" t="s">
        <v>3804</v>
      </c>
      <c r="D6218" s="677" t="s">
        <v>0</v>
      </c>
      <c r="E6218" s="738">
        <f t="shared" si="194"/>
        <v>537.15</v>
      </c>
      <c r="F6218">
        <f t="shared" si="195"/>
        <v>98672</v>
      </c>
      <c r="H6218" s="1405">
        <v>532.84</v>
      </c>
      <c r="I6218" s="1405">
        <v>537.15</v>
      </c>
    </row>
    <row r="6219" spans="2:9">
      <c r="B6219" s="1477">
        <v>98678</v>
      </c>
      <c r="C6219" s="740" t="s">
        <v>3805</v>
      </c>
      <c r="D6219" s="739" t="s">
        <v>0</v>
      </c>
      <c r="E6219" s="741">
        <f t="shared" si="194"/>
        <v>438.69</v>
      </c>
      <c r="F6219">
        <f t="shared" si="195"/>
        <v>98678</v>
      </c>
      <c r="H6219" s="1406">
        <v>437.2</v>
      </c>
      <c r="I6219" s="1406">
        <v>438.69</v>
      </c>
    </row>
    <row r="6220" spans="2:9" ht="30">
      <c r="B6220" s="677">
        <v>98679</v>
      </c>
      <c r="C6220" s="733" t="s">
        <v>3806</v>
      </c>
      <c r="D6220" s="677" t="s">
        <v>0</v>
      </c>
      <c r="E6220" s="738">
        <f t="shared" si="194"/>
        <v>38.46</v>
      </c>
      <c r="F6220">
        <f t="shared" si="195"/>
        <v>98679</v>
      </c>
      <c r="H6220" s="1405">
        <v>36.89</v>
      </c>
      <c r="I6220" s="1405">
        <v>38.46</v>
      </c>
    </row>
    <row r="6221" spans="2:9" ht="30">
      <c r="B6221" s="1477">
        <v>98680</v>
      </c>
      <c r="C6221" s="740" t="s">
        <v>3807</v>
      </c>
      <c r="D6221" s="739" t="s">
        <v>0</v>
      </c>
      <c r="E6221" s="741">
        <f t="shared" si="194"/>
        <v>48.8</v>
      </c>
      <c r="F6221">
        <f t="shared" si="195"/>
        <v>98680</v>
      </c>
      <c r="H6221" s="1406">
        <v>46.99</v>
      </c>
      <c r="I6221" s="1406">
        <v>48.8</v>
      </c>
    </row>
    <row r="6222" spans="2:9" ht="30">
      <c r="B6222" s="677">
        <v>98681</v>
      </c>
      <c r="C6222" s="733" t="s">
        <v>3808</v>
      </c>
      <c r="D6222" s="677" t="s">
        <v>0</v>
      </c>
      <c r="E6222" s="738">
        <f t="shared" si="194"/>
        <v>36.04</v>
      </c>
      <c r="F6222">
        <f t="shared" si="195"/>
        <v>98681</v>
      </c>
      <c r="H6222" s="1405">
        <v>34.67</v>
      </c>
      <c r="I6222" s="1405">
        <v>36.04</v>
      </c>
    </row>
    <row r="6223" spans="2:9" ht="30">
      <c r="B6223" s="1477">
        <v>98682</v>
      </c>
      <c r="C6223" s="740" t="s">
        <v>3809</v>
      </c>
      <c r="D6223" s="739" t="s">
        <v>0</v>
      </c>
      <c r="E6223" s="741">
        <f t="shared" si="194"/>
        <v>46.38</v>
      </c>
      <c r="F6223">
        <f t="shared" si="195"/>
        <v>98682</v>
      </c>
      <c r="H6223" s="1406">
        <v>44.78</v>
      </c>
      <c r="I6223" s="1406">
        <v>46.38</v>
      </c>
    </row>
    <row r="6224" spans="2:9">
      <c r="B6224" s="677">
        <v>98685</v>
      </c>
      <c r="C6224" s="733" t="s">
        <v>3810</v>
      </c>
      <c r="D6224" s="677" t="s">
        <v>21</v>
      </c>
      <c r="E6224" s="738">
        <f t="shared" si="194"/>
        <v>79.11</v>
      </c>
      <c r="F6224">
        <f t="shared" si="195"/>
        <v>98685</v>
      </c>
      <c r="H6224" s="1405">
        <v>78.03</v>
      </c>
      <c r="I6224" s="1405">
        <v>79.11</v>
      </c>
    </row>
    <row r="6225" spans="2:9">
      <c r="B6225" s="1477">
        <v>98686</v>
      </c>
      <c r="C6225" s="740" t="s">
        <v>3811</v>
      </c>
      <c r="D6225" s="739" t="s">
        <v>21</v>
      </c>
      <c r="E6225" s="741">
        <f t="shared" si="194"/>
        <v>40.75</v>
      </c>
      <c r="F6225">
        <f t="shared" si="195"/>
        <v>98686</v>
      </c>
      <c r="H6225" s="1406">
        <v>37.76</v>
      </c>
      <c r="I6225" s="1406">
        <v>40.75</v>
      </c>
    </row>
    <row r="6226" spans="2:9">
      <c r="B6226" s="677">
        <v>98688</v>
      </c>
      <c r="C6226" s="733" t="s">
        <v>3812</v>
      </c>
      <c r="D6226" s="677" t="s">
        <v>21</v>
      </c>
      <c r="E6226" s="738">
        <f t="shared" si="194"/>
        <v>81.19</v>
      </c>
      <c r="F6226">
        <f t="shared" si="195"/>
        <v>98688</v>
      </c>
      <c r="H6226" s="1405">
        <v>80.819999999999993</v>
      </c>
      <c r="I6226" s="1405">
        <v>81.19</v>
      </c>
    </row>
    <row r="6227" spans="2:9">
      <c r="B6227" s="1477">
        <v>98689</v>
      </c>
      <c r="C6227" s="740" t="s">
        <v>3813</v>
      </c>
      <c r="D6227" s="739" t="s">
        <v>21</v>
      </c>
      <c r="E6227" s="741">
        <f t="shared" si="194"/>
        <v>112</v>
      </c>
      <c r="F6227">
        <f t="shared" si="195"/>
        <v>98689</v>
      </c>
      <c r="H6227" s="1406">
        <v>110.01</v>
      </c>
      <c r="I6227" s="1406">
        <v>112</v>
      </c>
    </row>
    <row r="6228" spans="2:9" ht="30">
      <c r="B6228" s="677">
        <v>101090</v>
      </c>
      <c r="C6228" s="733" t="s">
        <v>3245</v>
      </c>
      <c r="D6228" s="677" t="s">
        <v>0</v>
      </c>
      <c r="E6228" s="738">
        <f t="shared" si="194"/>
        <v>217.24</v>
      </c>
      <c r="F6228">
        <f t="shared" si="195"/>
        <v>101090</v>
      </c>
      <c r="H6228" s="1405">
        <v>214.4</v>
      </c>
      <c r="I6228" s="1405">
        <v>217.24</v>
      </c>
    </row>
    <row r="6229" spans="2:9">
      <c r="B6229" s="1477">
        <v>101091</v>
      </c>
      <c r="C6229" s="740" t="s">
        <v>3246</v>
      </c>
      <c r="D6229" s="739" t="s">
        <v>0</v>
      </c>
      <c r="E6229" s="741">
        <f t="shared" si="194"/>
        <v>146.26</v>
      </c>
      <c r="F6229">
        <f t="shared" si="195"/>
        <v>101091</v>
      </c>
      <c r="H6229" s="1406">
        <v>141.77000000000001</v>
      </c>
      <c r="I6229" s="1406">
        <v>146.26</v>
      </c>
    </row>
    <row r="6230" spans="2:9" ht="30">
      <c r="B6230" s="677">
        <v>101725</v>
      </c>
      <c r="C6230" s="733" t="s">
        <v>3814</v>
      </c>
      <c r="D6230" s="677" t="s">
        <v>0</v>
      </c>
      <c r="E6230" s="738">
        <f t="shared" si="194"/>
        <v>270.86</v>
      </c>
      <c r="F6230">
        <f t="shared" si="195"/>
        <v>101725</v>
      </c>
      <c r="H6230" s="1405">
        <v>254.19</v>
      </c>
      <c r="I6230" s="1405">
        <v>270.86</v>
      </c>
    </row>
    <row r="6231" spans="2:9" ht="30">
      <c r="B6231" s="1477">
        <v>101726</v>
      </c>
      <c r="C6231" s="740" t="s">
        <v>3815</v>
      </c>
      <c r="D6231" s="739" t="s">
        <v>0</v>
      </c>
      <c r="E6231" s="741">
        <f t="shared" si="194"/>
        <v>185.54</v>
      </c>
      <c r="F6231">
        <f t="shared" si="195"/>
        <v>101726</v>
      </c>
      <c r="H6231" s="1406">
        <v>177.56</v>
      </c>
      <c r="I6231" s="1406">
        <v>185.54</v>
      </c>
    </row>
    <row r="6232" spans="2:9">
      <c r="B6232" s="677">
        <v>101731</v>
      </c>
      <c r="C6232" s="733" t="s">
        <v>3816</v>
      </c>
      <c r="D6232" s="677" t="s">
        <v>0</v>
      </c>
      <c r="E6232" s="738">
        <f t="shared" si="194"/>
        <v>313.39</v>
      </c>
      <c r="F6232">
        <f t="shared" si="195"/>
        <v>101731</v>
      </c>
      <c r="H6232" s="1405">
        <v>308.47000000000003</v>
      </c>
      <c r="I6232" s="1405">
        <v>313.39</v>
      </c>
    </row>
    <row r="6233" spans="2:9">
      <c r="B6233" s="1477">
        <v>101732</v>
      </c>
      <c r="C6233" s="740" t="s">
        <v>3817</v>
      </c>
      <c r="D6233" s="739" t="s">
        <v>0</v>
      </c>
      <c r="E6233" s="741">
        <f t="shared" si="194"/>
        <v>96.92</v>
      </c>
      <c r="F6233">
        <f t="shared" si="195"/>
        <v>101732</v>
      </c>
      <c r="H6233" s="1406">
        <v>93.58</v>
      </c>
      <c r="I6233" s="1406">
        <v>96.92</v>
      </c>
    </row>
    <row r="6234" spans="2:9">
      <c r="B6234" s="677">
        <v>101094</v>
      </c>
      <c r="C6234" s="733" t="s">
        <v>6885</v>
      </c>
      <c r="D6234" s="677" t="s">
        <v>21</v>
      </c>
      <c r="E6234" s="738">
        <f t="shared" si="194"/>
        <v>175.14</v>
      </c>
      <c r="F6234">
        <f t="shared" si="195"/>
        <v>101094</v>
      </c>
      <c r="H6234" s="1405">
        <v>173.54</v>
      </c>
      <c r="I6234" s="1405">
        <v>175.14</v>
      </c>
    </row>
    <row r="6235" spans="2:9">
      <c r="B6235" s="1477">
        <v>101727</v>
      </c>
      <c r="C6235" s="740" t="s">
        <v>3818</v>
      </c>
      <c r="D6235" s="739" t="s">
        <v>0</v>
      </c>
      <c r="E6235" s="741">
        <f t="shared" si="194"/>
        <v>204.09</v>
      </c>
      <c r="F6235">
        <f t="shared" si="195"/>
        <v>101727</v>
      </c>
      <c r="H6235" s="1406">
        <v>203.46</v>
      </c>
      <c r="I6235" s="1406">
        <v>204.09</v>
      </c>
    </row>
    <row r="6236" spans="2:9">
      <c r="B6236" s="677">
        <v>101733</v>
      </c>
      <c r="C6236" s="733" t="s">
        <v>3819</v>
      </c>
      <c r="D6236" s="677" t="s">
        <v>0</v>
      </c>
      <c r="E6236" s="738">
        <f t="shared" si="194"/>
        <v>276.52999999999997</v>
      </c>
      <c r="F6236">
        <f t="shared" si="195"/>
        <v>101733</v>
      </c>
      <c r="H6236" s="1405">
        <v>273.89</v>
      </c>
      <c r="I6236" s="1405">
        <v>276.52999999999997</v>
      </c>
    </row>
    <row r="6237" spans="2:9">
      <c r="B6237" s="1477">
        <v>101734</v>
      </c>
      <c r="C6237" s="740" t="s">
        <v>3820</v>
      </c>
      <c r="D6237" s="739" t="s">
        <v>0</v>
      </c>
      <c r="E6237" s="741">
        <f t="shared" si="194"/>
        <v>422.18</v>
      </c>
      <c r="F6237">
        <f t="shared" si="195"/>
        <v>101734</v>
      </c>
      <c r="H6237" s="1406">
        <v>419.54</v>
      </c>
      <c r="I6237" s="1406">
        <v>422.18</v>
      </c>
    </row>
    <row r="6238" spans="2:9">
      <c r="B6238" s="677">
        <v>101735</v>
      </c>
      <c r="C6238" s="733" t="s">
        <v>3821</v>
      </c>
      <c r="D6238" s="677" t="s">
        <v>0</v>
      </c>
      <c r="E6238" s="738">
        <f t="shared" si="194"/>
        <v>432.75</v>
      </c>
      <c r="F6238">
        <f t="shared" si="195"/>
        <v>101735</v>
      </c>
      <c r="H6238" s="1405">
        <v>430.11</v>
      </c>
      <c r="I6238" s="1405">
        <v>432.75</v>
      </c>
    </row>
    <row r="6239" spans="2:9">
      <c r="B6239" s="1477">
        <v>101736</v>
      </c>
      <c r="C6239" s="740" t="s">
        <v>3822</v>
      </c>
      <c r="D6239" s="739" t="s">
        <v>0</v>
      </c>
      <c r="E6239" s="741">
        <f t="shared" si="194"/>
        <v>97.11</v>
      </c>
      <c r="F6239">
        <f t="shared" si="195"/>
        <v>101736</v>
      </c>
      <c r="H6239" s="1406">
        <v>95.42</v>
      </c>
      <c r="I6239" s="1406">
        <v>97.11</v>
      </c>
    </row>
    <row r="6240" spans="2:9">
      <c r="B6240" s="677">
        <v>101737</v>
      </c>
      <c r="C6240" s="733" t="s">
        <v>3823</v>
      </c>
      <c r="D6240" s="677" t="s">
        <v>0</v>
      </c>
      <c r="E6240" s="738">
        <f t="shared" si="194"/>
        <v>118.01</v>
      </c>
      <c r="F6240">
        <f t="shared" si="195"/>
        <v>101737</v>
      </c>
      <c r="H6240" s="1405">
        <v>116.32</v>
      </c>
      <c r="I6240" s="1405">
        <v>118.01</v>
      </c>
    </row>
    <row r="6241" spans="2:9">
      <c r="B6241" s="1477">
        <v>101748</v>
      </c>
      <c r="C6241" s="740" t="s">
        <v>3824</v>
      </c>
      <c r="D6241" s="739" t="s">
        <v>0</v>
      </c>
      <c r="E6241" s="741">
        <f t="shared" si="194"/>
        <v>3.37</v>
      </c>
      <c r="F6241">
        <f t="shared" si="195"/>
        <v>101748</v>
      </c>
      <c r="H6241" s="1406">
        <v>3.04</v>
      </c>
      <c r="I6241" s="1406">
        <v>3.37</v>
      </c>
    </row>
    <row r="6242" spans="2:9" ht="45">
      <c r="B6242" s="677">
        <v>104162</v>
      </c>
      <c r="C6242" s="733" t="s">
        <v>6432</v>
      </c>
      <c r="D6242" s="677" t="s">
        <v>0</v>
      </c>
      <c r="E6242" s="738">
        <f t="shared" si="194"/>
        <v>97.21</v>
      </c>
      <c r="F6242">
        <f t="shared" si="195"/>
        <v>104162</v>
      </c>
      <c r="H6242" s="1405">
        <v>93.33</v>
      </c>
      <c r="I6242" s="1405">
        <v>97.21</v>
      </c>
    </row>
    <row r="6243" spans="2:9">
      <c r="B6243" s="1477">
        <v>101092</v>
      </c>
      <c r="C6243" s="740" t="s">
        <v>3247</v>
      </c>
      <c r="D6243" s="739" t="s">
        <v>0</v>
      </c>
      <c r="E6243" s="741">
        <f t="shared" si="194"/>
        <v>449.32</v>
      </c>
      <c r="F6243">
        <f t="shared" si="195"/>
        <v>101092</v>
      </c>
      <c r="H6243" s="1406">
        <v>443.97</v>
      </c>
      <c r="I6243" s="1406">
        <v>449.32</v>
      </c>
    </row>
    <row r="6244" spans="2:9">
      <c r="B6244" s="677">
        <v>101093</v>
      </c>
      <c r="C6244" s="733" t="s">
        <v>3248</v>
      </c>
      <c r="D6244" s="677" t="s">
        <v>0</v>
      </c>
      <c r="E6244" s="738">
        <f t="shared" si="194"/>
        <v>547.38</v>
      </c>
      <c r="F6244">
        <f t="shared" si="195"/>
        <v>101093</v>
      </c>
      <c r="H6244" s="1405">
        <v>542.03</v>
      </c>
      <c r="I6244" s="1405">
        <v>547.38</v>
      </c>
    </row>
    <row r="6245" spans="2:9">
      <c r="B6245" s="1477">
        <v>98695</v>
      </c>
      <c r="C6245" s="740" t="s">
        <v>3825</v>
      </c>
      <c r="D6245" s="739" t="s">
        <v>21</v>
      </c>
      <c r="E6245" s="741">
        <f t="shared" si="194"/>
        <v>95.01</v>
      </c>
      <c r="F6245">
        <f t="shared" si="195"/>
        <v>98695</v>
      </c>
      <c r="H6245" s="1406">
        <v>93.02</v>
      </c>
      <c r="I6245" s="1406">
        <v>95.01</v>
      </c>
    </row>
    <row r="6246" spans="2:9">
      <c r="B6246" s="677">
        <v>98697</v>
      </c>
      <c r="C6246" s="733" t="s">
        <v>3826</v>
      </c>
      <c r="D6246" s="677" t="s">
        <v>21</v>
      </c>
      <c r="E6246" s="738">
        <f t="shared" si="194"/>
        <v>62.81</v>
      </c>
      <c r="F6246">
        <f t="shared" si="195"/>
        <v>98697</v>
      </c>
      <c r="H6246" s="1405">
        <v>61.73</v>
      </c>
      <c r="I6246" s="1405">
        <v>62.81</v>
      </c>
    </row>
    <row r="6247" spans="2:9">
      <c r="B6247" s="1477">
        <v>101738</v>
      </c>
      <c r="C6247" s="740" t="s">
        <v>3827</v>
      </c>
      <c r="D6247" s="739" t="s">
        <v>21</v>
      </c>
      <c r="E6247" s="741">
        <f t="shared" si="194"/>
        <v>31.84</v>
      </c>
      <c r="F6247">
        <f t="shared" si="195"/>
        <v>101738</v>
      </c>
      <c r="H6247" s="1406">
        <v>30.58</v>
      </c>
      <c r="I6247" s="1406">
        <v>31.84</v>
      </c>
    </row>
    <row r="6248" spans="2:9">
      <c r="B6248" s="677">
        <v>101739</v>
      </c>
      <c r="C6248" s="733" t="s">
        <v>3828</v>
      </c>
      <c r="D6248" s="677" t="s">
        <v>21</v>
      </c>
      <c r="E6248" s="738">
        <f t="shared" si="194"/>
        <v>34.56</v>
      </c>
      <c r="F6248">
        <f t="shared" si="195"/>
        <v>101739</v>
      </c>
      <c r="H6248" s="1405">
        <v>33.090000000000003</v>
      </c>
      <c r="I6248" s="1405">
        <v>34.56</v>
      </c>
    </row>
    <row r="6249" spans="2:9">
      <c r="B6249" s="1477">
        <v>88648</v>
      </c>
      <c r="C6249" s="740" t="s">
        <v>7496</v>
      </c>
      <c r="D6249" s="739" t="s">
        <v>21</v>
      </c>
      <c r="E6249" s="741">
        <f t="shared" si="194"/>
        <v>7.78</v>
      </c>
      <c r="F6249">
        <f t="shared" si="195"/>
        <v>88648</v>
      </c>
      <c r="H6249" s="1406">
        <v>7.53</v>
      </c>
      <c r="I6249" s="1406">
        <v>7.78</v>
      </c>
    </row>
    <row r="6250" spans="2:9">
      <c r="B6250" s="677">
        <v>88649</v>
      </c>
      <c r="C6250" s="733" t="s">
        <v>7497</v>
      </c>
      <c r="D6250" s="677" t="s">
        <v>21</v>
      </c>
      <c r="E6250" s="738">
        <f t="shared" si="194"/>
        <v>8.7899999999999991</v>
      </c>
      <c r="F6250">
        <f t="shared" si="195"/>
        <v>88649</v>
      </c>
      <c r="H6250" s="1405">
        <v>8.5299999999999994</v>
      </c>
      <c r="I6250" s="1405">
        <v>8.7899999999999991</v>
      </c>
    </row>
    <row r="6251" spans="2:9">
      <c r="B6251" s="1477">
        <v>88650</v>
      </c>
      <c r="C6251" s="740" t="s">
        <v>7498</v>
      </c>
      <c r="D6251" s="739" t="s">
        <v>21</v>
      </c>
      <c r="E6251" s="741">
        <f t="shared" si="194"/>
        <v>16.78</v>
      </c>
      <c r="F6251">
        <f t="shared" si="195"/>
        <v>88650</v>
      </c>
      <c r="H6251" s="1406">
        <v>16.48</v>
      </c>
      <c r="I6251" s="1406">
        <v>16.78</v>
      </c>
    </row>
    <row r="6252" spans="2:9" ht="30">
      <c r="B6252" s="677">
        <v>96467</v>
      </c>
      <c r="C6252" s="733" t="s">
        <v>7499</v>
      </c>
      <c r="D6252" s="677" t="s">
        <v>21</v>
      </c>
      <c r="E6252" s="738">
        <f t="shared" si="194"/>
        <v>7.09</v>
      </c>
      <c r="F6252">
        <f t="shared" si="195"/>
        <v>96467</v>
      </c>
      <c r="H6252" s="1405">
        <v>6.84</v>
      </c>
      <c r="I6252" s="1405">
        <v>7.09</v>
      </c>
    </row>
    <row r="6253" spans="2:9">
      <c r="B6253" s="1477">
        <v>101740</v>
      </c>
      <c r="C6253" s="740" t="s">
        <v>3829</v>
      </c>
      <c r="D6253" s="739" t="s">
        <v>21</v>
      </c>
      <c r="E6253" s="741">
        <f t="shared" si="194"/>
        <v>47.36</v>
      </c>
      <c r="F6253">
        <f t="shared" si="195"/>
        <v>101740</v>
      </c>
      <c r="H6253" s="1406">
        <v>44.39</v>
      </c>
      <c r="I6253" s="1406">
        <v>47.36</v>
      </c>
    </row>
    <row r="6254" spans="2:9">
      <c r="B6254" s="677">
        <v>101741</v>
      </c>
      <c r="C6254" s="733" t="s">
        <v>3830</v>
      </c>
      <c r="D6254" s="677" t="s">
        <v>21</v>
      </c>
      <c r="E6254" s="738">
        <f t="shared" si="194"/>
        <v>22.44</v>
      </c>
      <c r="F6254">
        <f t="shared" si="195"/>
        <v>101741</v>
      </c>
      <c r="H6254" s="1405">
        <v>20.38</v>
      </c>
      <c r="I6254" s="1405">
        <v>22.44</v>
      </c>
    </row>
    <row r="6255" spans="2:9" ht="30">
      <c r="B6255" s="1477">
        <v>94990</v>
      </c>
      <c r="C6255" s="740" t="s">
        <v>6699</v>
      </c>
      <c r="D6255" s="739" t="s">
        <v>19</v>
      </c>
      <c r="E6255" s="741">
        <f t="shared" si="194"/>
        <v>845.92</v>
      </c>
      <c r="F6255">
        <f t="shared" si="195"/>
        <v>94990</v>
      </c>
      <c r="H6255" s="1406">
        <v>821.65</v>
      </c>
      <c r="I6255" s="1406">
        <v>845.92</v>
      </c>
    </row>
    <row r="6256" spans="2:9" ht="30">
      <c r="B6256" s="677">
        <v>94991</v>
      </c>
      <c r="C6256" s="733" t="s">
        <v>7738</v>
      </c>
      <c r="D6256" s="677" t="s">
        <v>19</v>
      </c>
      <c r="E6256" s="738">
        <f t="shared" si="194"/>
        <v>943.53</v>
      </c>
      <c r="F6256">
        <f t="shared" si="195"/>
        <v>94991</v>
      </c>
      <c r="H6256" s="1405">
        <v>935.29</v>
      </c>
      <c r="I6256" s="1405">
        <v>943.53</v>
      </c>
    </row>
    <row r="6257" spans="2:9" ht="30">
      <c r="B6257" s="1477">
        <v>94992</v>
      </c>
      <c r="C6257" s="740" t="s">
        <v>6700</v>
      </c>
      <c r="D6257" s="739" t="s">
        <v>0</v>
      </c>
      <c r="E6257" s="741">
        <f t="shared" si="194"/>
        <v>88.76</v>
      </c>
      <c r="F6257">
        <f t="shared" si="195"/>
        <v>94992</v>
      </c>
      <c r="H6257" s="1406">
        <v>87.01</v>
      </c>
      <c r="I6257" s="1406">
        <v>88.76</v>
      </c>
    </row>
    <row r="6258" spans="2:9" ht="30">
      <c r="B6258" s="677">
        <v>94993</v>
      </c>
      <c r="C6258" s="733" t="s">
        <v>6701</v>
      </c>
      <c r="D6258" s="677" t="s">
        <v>0</v>
      </c>
      <c r="E6258" s="738">
        <f t="shared" si="194"/>
        <v>94.63</v>
      </c>
      <c r="F6258">
        <f t="shared" si="195"/>
        <v>94993</v>
      </c>
      <c r="H6258" s="1405">
        <v>93.83</v>
      </c>
      <c r="I6258" s="1405">
        <v>94.63</v>
      </c>
    </row>
    <row r="6259" spans="2:9" ht="30">
      <c r="B6259" s="1477">
        <v>94994</v>
      </c>
      <c r="C6259" s="740" t="s">
        <v>6702</v>
      </c>
      <c r="D6259" s="739" t="s">
        <v>0</v>
      </c>
      <c r="E6259" s="741">
        <f t="shared" si="194"/>
        <v>105.98</v>
      </c>
      <c r="F6259">
        <f t="shared" si="195"/>
        <v>94994</v>
      </c>
      <c r="H6259" s="1406">
        <v>103.69</v>
      </c>
      <c r="I6259" s="1406">
        <v>105.98</v>
      </c>
    </row>
    <row r="6260" spans="2:9" ht="30">
      <c r="B6260" s="677">
        <v>94995</v>
      </c>
      <c r="C6260" s="733" t="s">
        <v>6703</v>
      </c>
      <c r="D6260" s="677" t="s">
        <v>0</v>
      </c>
      <c r="E6260" s="738">
        <f t="shared" si="194"/>
        <v>113.79</v>
      </c>
      <c r="F6260">
        <f t="shared" si="195"/>
        <v>94995</v>
      </c>
      <c r="H6260" s="1405">
        <v>112.79</v>
      </c>
      <c r="I6260" s="1405">
        <v>113.79</v>
      </c>
    </row>
    <row r="6261" spans="2:9">
      <c r="B6261" s="1477">
        <v>101747</v>
      </c>
      <c r="C6261" s="740" t="s">
        <v>3831</v>
      </c>
      <c r="D6261" s="739" t="s">
        <v>0</v>
      </c>
      <c r="E6261" s="741">
        <f t="shared" si="194"/>
        <v>94.44</v>
      </c>
      <c r="F6261">
        <f t="shared" si="195"/>
        <v>101747</v>
      </c>
      <c r="H6261" s="1406">
        <v>94.05</v>
      </c>
      <c r="I6261" s="1406">
        <v>94.44</v>
      </c>
    </row>
    <row r="6262" spans="2:9" ht="30">
      <c r="B6262" s="677">
        <v>104626</v>
      </c>
      <c r="C6262" s="733" t="s">
        <v>7739</v>
      </c>
      <c r="D6262" s="677" t="s">
        <v>19</v>
      </c>
      <c r="E6262" s="738">
        <f t="shared" si="194"/>
        <v>966.9</v>
      </c>
      <c r="F6262">
        <f t="shared" si="195"/>
        <v>104626</v>
      </c>
      <c r="H6262" s="1405">
        <v>958.66</v>
      </c>
      <c r="I6262" s="1405">
        <v>966.9</v>
      </c>
    </row>
    <row r="6263" spans="2:9">
      <c r="B6263" s="1477">
        <v>104658</v>
      </c>
      <c r="C6263" s="740" t="s">
        <v>8084</v>
      </c>
      <c r="D6263" s="739" t="s">
        <v>0</v>
      </c>
      <c r="E6263" s="741">
        <f t="shared" si="194"/>
        <v>174.72</v>
      </c>
      <c r="F6263">
        <f t="shared" si="195"/>
        <v>104658</v>
      </c>
      <c r="H6263" s="1406">
        <v>170.48</v>
      </c>
      <c r="I6263" s="1406">
        <v>174.72</v>
      </c>
    </row>
    <row r="6264" spans="2:9" ht="30">
      <c r="B6264" s="677">
        <v>87620</v>
      </c>
      <c r="C6264" s="733" t="s">
        <v>4884</v>
      </c>
      <c r="D6264" s="677" t="s">
        <v>0</v>
      </c>
      <c r="E6264" s="738">
        <f t="shared" si="194"/>
        <v>32.75</v>
      </c>
      <c r="F6264">
        <f t="shared" si="195"/>
        <v>87620</v>
      </c>
      <c r="H6264" s="1405">
        <v>31.66</v>
      </c>
      <c r="I6264" s="1405">
        <v>32.75</v>
      </c>
    </row>
    <row r="6265" spans="2:9" ht="30">
      <c r="B6265" s="1477">
        <v>87622</v>
      </c>
      <c r="C6265" s="740" t="s">
        <v>4885</v>
      </c>
      <c r="D6265" s="739" t="s">
        <v>0</v>
      </c>
      <c r="E6265" s="741">
        <f t="shared" si="194"/>
        <v>36.44</v>
      </c>
      <c r="F6265">
        <f t="shared" si="195"/>
        <v>87622</v>
      </c>
      <c r="H6265" s="1406">
        <v>34.99</v>
      </c>
      <c r="I6265" s="1406">
        <v>36.44</v>
      </c>
    </row>
    <row r="6266" spans="2:9" ht="30">
      <c r="B6266" s="677">
        <v>87623</v>
      </c>
      <c r="C6266" s="733" t="s">
        <v>4886</v>
      </c>
      <c r="D6266" s="677" t="s">
        <v>0</v>
      </c>
      <c r="E6266" s="738">
        <f t="shared" si="194"/>
        <v>97.06</v>
      </c>
      <c r="F6266">
        <f t="shared" si="195"/>
        <v>87623</v>
      </c>
      <c r="H6266" s="1405">
        <v>96.03</v>
      </c>
      <c r="I6266" s="1405">
        <v>97.06</v>
      </c>
    </row>
    <row r="6267" spans="2:9" ht="30">
      <c r="B6267" s="1477">
        <v>87624</v>
      </c>
      <c r="C6267" s="740" t="s">
        <v>14009</v>
      </c>
      <c r="D6267" s="739" t="s">
        <v>0</v>
      </c>
      <c r="E6267" s="741">
        <f t="shared" si="194"/>
        <v>104.11</v>
      </c>
      <c r="F6267">
        <f t="shared" si="195"/>
        <v>87624</v>
      </c>
      <c r="H6267" s="1406">
        <v>102.5</v>
      </c>
      <c r="I6267" s="1406">
        <v>104.11</v>
      </c>
    </row>
    <row r="6268" spans="2:9" ht="30">
      <c r="B6268" s="677">
        <v>87630</v>
      </c>
      <c r="C6268" s="733" t="s">
        <v>4887</v>
      </c>
      <c r="D6268" s="677" t="s">
        <v>0</v>
      </c>
      <c r="E6268" s="738">
        <f t="shared" si="194"/>
        <v>42.04</v>
      </c>
      <c r="F6268">
        <f t="shared" si="195"/>
        <v>87630</v>
      </c>
      <c r="H6268" s="1405">
        <v>40.72</v>
      </c>
      <c r="I6268" s="1405">
        <v>42.04</v>
      </c>
    </row>
    <row r="6269" spans="2:9" ht="30">
      <c r="B6269" s="1477">
        <v>87632</v>
      </c>
      <c r="C6269" s="740" t="s">
        <v>4888</v>
      </c>
      <c r="D6269" s="739" t="s">
        <v>0</v>
      </c>
      <c r="E6269" s="741">
        <f t="shared" si="194"/>
        <v>47.17</v>
      </c>
      <c r="F6269">
        <f t="shared" si="195"/>
        <v>87632</v>
      </c>
      <c r="H6269" s="1406">
        <v>45.34</v>
      </c>
      <c r="I6269" s="1406">
        <v>47.17</v>
      </c>
    </row>
    <row r="6270" spans="2:9" ht="30">
      <c r="B6270" s="677">
        <v>87633</v>
      </c>
      <c r="C6270" s="733" t="s">
        <v>4889</v>
      </c>
      <c r="D6270" s="677" t="s">
        <v>0</v>
      </c>
      <c r="E6270" s="738">
        <f t="shared" si="194"/>
        <v>131.44999999999999</v>
      </c>
      <c r="F6270">
        <f t="shared" si="195"/>
        <v>87633</v>
      </c>
      <c r="H6270" s="1405">
        <v>130.21</v>
      </c>
      <c r="I6270" s="1405">
        <v>131.44999999999999</v>
      </c>
    </row>
    <row r="6271" spans="2:9" ht="30">
      <c r="B6271" s="1477">
        <v>87634</v>
      </c>
      <c r="C6271" s="740" t="s">
        <v>4890</v>
      </c>
      <c r="D6271" s="739" t="s">
        <v>0</v>
      </c>
      <c r="E6271" s="741">
        <f t="shared" si="194"/>
        <v>141.25</v>
      </c>
      <c r="F6271">
        <f t="shared" si="195"/>
        <v>87634</v>
      </c>
      <c r="H6271" s="1406">
        <v>139.21</v>
      </c>
      <c r="I6271" s="1406">
        <v>141.25</v>
      </c>
    </row>
    <row r="6272" spans="2:9" ht="30">
      <c r="B6272" s="677">
        <v>87640</v>
      </c>
      <c r="C6272" s="733" t="s">
        <v>4891</v>
      </c>
      <c r="D6272" s="677" t="s">
        <v>0</v>
      </c>
      <c r="E6272" s="738">
        <f t="shared" si="194"/>
        <v>49.66</v>
      </c>
      <c r="F6272">
        <f t="shared" si="195"/>
        <v>87640</v>
      </c>
      <c r="H6272" s="1405">
        <v>48.14</v>
      </c>
      <c r="I6272" s="1405">
        <v>49.66</v>
      </c>
    </row>
    <row r="6273" spans="2:9" ht="30">
      <c r="B6273" s="1477">
        <v>87642</v>
      </c>
      <c r="C6273" s="740" t="s">
        <v>4892</v>
      </c>
      <c r="D6273" s="739" t="s">
        <v>0</v>
      </c>
      <c r="E6273" s="741">
        <f t="shared" si="194"/>
        <v>55.98</v>
      </c>
      <c r="F6273">
        <f t="shared" si="195"/>
        <v>87642</v>
      </c>
      <c r="H6273" s="1406">
        <v>53.82</v>
      </c>
      <c r="I6273" s="1406">
        <v>55.98</v>
      </c>
    </row>
    <row r="6274" spans="2:9" ht="30">
      <c r="B6274" s="677">
        <v>87643</v>
      </c>
      <c r="C6274" s="733" t="s">
        <v>4893</v>
      </c>
      <c r="D6274" s="677" t="s">
        <v>0</v>
      </c>
      <c r="E6274" s="738">
        <f t="shared" si="194"/>
        <v>159.62</v>
      </c>
      <c r="F6274">
        <f t="shared" si="195"/>
        <v>87643</v>
      </c>
      <c r="H6274" s="1405">
        <v>158.18</v>
      </c>
      <c r="I6274" s="1405">
        <v>159.62</v>
      </c>
    </row>
    <row r="6275" spans="2:9" ht="30">
      <c r="B6275" s="1477">
        <v>87644</v>
      </c>
      <c r="C6275" s="740" t="s">
        <v>4894</v>
      </c>
      <c r="D6275" s="739" t="s">
        <v>0</v>
      </c>
      <c r="E6275" s="741">
        <f t="shared" ref="E6275:E6338" si="196">IF($K$2=$H$1,H6275,I6275)</f>
        <v>171.67</v>
      </c>
      <c r="F6275">
        <f t="shared" ref="F6275:F6338" si="197">IF(LEN($B6275)=7,CONCATENATE(MID($B6275,1,6),"00",RIGHT($B6275,1)),IF(LEN($B6275)=8,CONCATENATE(MID($B6275,1,6),"0",RIGHT($B6275,2)),$B6275))</f>
        <v>87644</v>
      </c>
      <c r="H6275" s="1406">
        <v>169.25</v>
      </c>
      <c r="I6275" s="1406">
        <v>171.67</v>
      </c>
    </row>
    <row r="6276" spans="2:9" ht="30">
      <c r="B6276" s="677">
        <v>87680</v>
      </c>
      <c r="C6276" s="733" t="s">
        <v>4895</v>
      </c>
      <c r="D6276" s="677" t="s">
        <v>0</v>
      </c>
      <c r="E6276" s="738">
        <f t="shared" si="196"/>
        <v>44.66</v>
      </c>
      <c r="F6276">
        <f t="shared" si="197"/>
        <v>87680</v>
      </c>
      <c r="H6276" s="1405">
        <v>43.24</v>
      </c>
      <c r="I6276" s="1405">
        <v>44.66</v>
      </c>
    </row>
    <row r="6277" spans="2:9" ht="30">
      <c r="B6277" s="1477">
        <v>87682</v>
      </c>
      <c r="C6277" s="740" t="s">
        <v>4896</v>
      </c>
      <c r="D6277" s="739" t="s">
        <v>0</v>
      </c>
      <c r="E6277" s="741">
        <f t="shared" si="196"/>
        <v>50.98</v>
      </c>
      <c r="F6277">
        <f t="shared" si="197"/>
        <v>87682</v>
      </c>
      <c r="H6277" s="1406">
        <v>48.92</v>
      </c>
      <c r="I6277" s="1406">
        <v>50.98</v>
      </c>
    </row>
    <row r="6278" spans="2:9" ht="30">
      <c r="B6278" s="677">
        <v>87683</v>
      </c>
      <c r="C6278" s="733" t="s">
        <v>4897</v>
      </c>
      <c r="D6278" s="677" t="s">
        <v>0</v>
      </c>
      <c r="E6278" s="738">
        <f t="shared" si="196"/>
        <v>154.62</v>
      </c>
      <c r="F6278">
        <f t="shared" si="197"/>
        <v>87683</v>
      </c>
      <c r="H6278" s="1405">
        <v>153.28</v>
      </c>
      <c r="I6278" s="1405">
        <v>154.62</v>
      </c>
    </row>
    <row r="6279" spans="2:9" ht="30">
      <c r="B6279" s="1477">
        <v>87684</v>
      </c>
      <c r="C6279" s="740" t="s">
        <v>4898</v>
      </c>
      <c r="D6279" s="739" t="s">
        <v>0</v>
      </c>
      <c r="E6279" s="741">
        <f t="shared" si="196"/>
        <v>166.67</v>
      </c>
      <c r="F6279">
        <f t="shared" si="197"/>
        <v>87684</v>
      </c>
      <c r="H6279" s="1406">
        <v>164.35</v>
      </c>
      <c r="I6279" s="1406">
        <v>166.67</v>
      </c>
    </row>
    <row r="6280" spans="2:9" ht="30">
      <c r="B6280" s="677">
        <v>87690</v>
      </c>
      <c r="C6280" s="733" t="s">
        <v>4899</v>
      </c>
      <c r="D6280" s="677" t="s">
        <v>0</v>
      </c>
      <c r="E6280" s="738">
        <f t="shared" si="196"/>
        <v>51.19</v>
      </c>
      <c r="F6280">
        <f t="shared" si="197"/>
        <v>87690</v>
      </c>
      <c r="H6280" s="1405">
        <v>49.55</v>
      </c>
      <c r="I6280" s="1405">
        <v>51.19</v>
      </c>
    </row>
    <row r="6281" spans="2:9" ht="30">
      <c r="B6281" s="1477">
        <v>87692</v>
      </c>
      <c r="C6281" s="740" t="s">
        <v>4900</v>
      </c>
      <c r="D6281" s="739" t="s">
        <v>0</v>
      </c>
      <c r="E6281" s="741">
        <f t="shared" si="196"/>
        <v>58.42</v>
      </c>
      <c r="F6281">
        <f t="shared" si="197"/>
        <v>87692</v>
      </c>
      <c r="H6281" s="1406">
        <v>56.05</v>
      </c>
      <c r="I6281" s="1406">
        <v>58.42</v>
      </c>
    </row>
    <row r="6282" spans="2:9" ht="30">
      <c r="B6282" s="677">
        <v>87693</v>
      </c>
      <c r="C6282" s="733" t="s">
        <v>4901</v>
      </c>
      <c r="D6282" s="677" t="s">
        <v>0</v>
      </c>
      <c r="E6282" s="738">
        <f t="shared" si="196"/>
        <v>177.11</v>
      </c>
      <c r="F6282">
        <f t="shared" si="197"/>
        <v>87693</v>
      </c>
      <c r="H6282" s="1405">
        <v>175.58</v>
      </c>
      <c r="I6282" s="1405">
        <v>177.11</v>
      </c>
    </row>
    <row r="6283" spans="2:9" ht="30">
      <c r="B6283" s="1477">
        <v>87694</v>
      </c>
      <c r="C6283" s="740" t="s">
        <v>4902</v>
      </c>
      <c r="D6283" s="739" t="s">
        <v>0</v>
      </c>
      <c r="E6283" s="741">
        <f t="shared" si="196"/>
        <v>190.92</v>
      </c>
      <c r="F6283">
        <f t="shared" si="197"/>
        <v>87694</v>
      </c>
      <c r="H6283" s="1406">
        <v>188.25</v>
      </c>
      <c r="I6283" s="1406">
        <v>190.92</v>
      </c>
    </row>
    <row r="6284" spans="2:9" ht="30">
      <c r="B6284" s="677">
        <v>87700</v>
      </c>
      <c r="C6284" s="733" t="s">
        <v>4903</v>
      </c>
      <c r="D6284" s="677" t="s">
        <v>0</v>
      </c>
      <c r="E6284" s="738">
        <f t="shared" si="196"/>
        <v>55.33</v>
      </c>
      <c r="F6284">
        <f t="shared" si="197"/>
        <v>87700</v>
      </c>
      <c r="H6284" s="1405">
        <v>53.59</v>
      </c>
      <c r="I6284" s="1405">
        <v>55.33</v>
      </c>
    </row>
    <row r="6285" spans="2:9" ht="30">
      <c r="B6285" s="1477">
        <v>87702</v>
      </c>
      <c r="C6285" s="740" t="s">
        <v>4904</v>
      </c>
      <c r="D6285" s="739" t="s">
        <v>0</v>
      </c>
      <c r="E6285" s="741">
        <f t="shared" si="196"/>
        <v>63.21</v>
      </c>
      <c r="F6285">
        <f t="shared" si="197"/>
        <v>87702</v>
      </c>
      <c r="H6285" s="1406">
        <v>60.68</v>
      </c>
      <c r="I6285" s="1406">
        <v>63.21</v>
      </c>
    </row>
    <row r="6286" spans="2:9" ht="30">
      <c r="B6286" s="677">
        <v>87703</v>
      </c>
      <c r="C6286" s="733" t="s">
        <v>4905</v>
      </c>
      <c r="D6286" s="677" t="s">
        <v>0</v>
      </c>
      <c r="E6286" s="738">
        <f t="shared" si="196"/>
        <v>192.46</v>
      </c>
      <c r="F6286">
        <f t="shared" si="197"/>
        <v>87703</v>
      </c>
      <c r="H6286" s="1405">
        <v>190.83</v>
      </c>
      <c r="I6286" s="1405">
        <v>192.46</v>
      </c>
    </row>
    <row r="6287" spans="2:9" ht="30">
      <c r="B6287" s="1477">
        <v>87704</v>
      </c>
      <c r="C6287" s="740" t="s">
        <v>4906</v>
      </c>
      <c r="D6287" s="739" t="s">
        <v>0</v>
      </c>
      <c r="E6287" s="741">
        <f t="shared" si="196"/>
        <v>207.5</v>
      </c>
      <c r="F6287">
        <f t="shared" si="197"/>
        <v>87704</v>
      </c>
      <c r="H6287" s="1406">
        <v>204.64</v>
      </c>
      <c r="I6287" s="1406">
        <v>207.5</v>
      </c>
    </row>
    <row r="6288" spans="2:9" ht="30">
      <c r="B6288" s="677">
        <v>87735</v>
      </c>
      <c r="C6288" s="733" t="s">
        <v>4907</v>
      </c>
      <c r="D6288" s="677" t="s">
        <v>0</v>
      </c>
      <c r="E6288" s="738">
        <f t="shared" si="196"/>
        <v>44.03</v>
      </c>
      <c r="F6288">
        <f t="shared" si="197"/>
        <v>87735</v>
      </c>
      <c r="H6288" s="1405">
        <v>41.79</v>
      </c>
      <c r="I6288" s="1405">
        <v>44.03</v>
      </c>
    </row>
    <row r="6289" spans="2:9" ht="30">
      <c r="B6289" s="1477">
        <v>87737</v>
      </c>
      <c r="C6289" s="740" t="s">
        <v>4908</v>
      </c>
      <c r="D6289" s="739" t="s">
        <v>0</v>
      </c>
      <c r="E6289" s="741">
        <f t="shared" si="196"/>
        <v>47.72</v>
      </c>
      <c r="F6289">
        <f t="shared" si="197"/>
        <v>87737</v>
      </c>
      <c r="H6289" s="1406">
        <v>45.12</v>
      </c>
      <c r="I6289" s="1406">
        <v>47.72</v>
      </c>
    </row>
    <row r="6290" spans="2:9" ht="30">
      <c r="B6290" s="677">
        <v>87738</v>
      </c>
      <c r="C6290" s="733" t="s">
        <v>4909</v>
      </c>
      <c r="D6290" s="677" t="s">
        <v>0</v>
      </c>
      <c r="E6290" s="738">
        <f t="shared" si="196"/>
        <v>108.34</v>
      </c>
      <c r="F6290">
        <f t="shared" si="197"/>
        <v>87738</v>
      </c>
      <c r="H6290" s="1405">
        <v>106.16</v>
      </c>
      <c r="I6290" s="1405">
        <v>108.34</v>
      </c>
    </row>
    <row r="6291" spans="2:9" ht="30">
      <c r="B6291" s="1477">
        <v>87739</v>
      </c>
      <c r="C6291" s="740" t="s">
        <v>4910</v>
      </c>
      <c r="D6291" s="739" t="s">
        <v>0</v>
      </c>
      <c r="E6291" s="741">
        <f t="shared" si="196"/>
        <v>115.39</v>
      </c>
      <c r="F6291">
        <f t="shared" si="197"/>
        <v>87739</v>
      </c>
      <c r="H6291" s="1406">
        <v>112.63</v>
      </c>
      <c r="I6291" s="1406">
        <v>115.39</v>
      </c>
    </row>
    <row r="6292" spans="2:9" ht="30">
      <c r="B6292" s="677">
        <v>87745</v>
      </c>
      <c r="C6292" s="733" t="s">
        <v>4911</v>
      </c>
      <c r="D6292" s="677" t="s">
        <v>0</v>
      </c>
      <c r="E6292" s="738">
        <f t="shared" si="196"/>
        <v>53.33</v>
      </c>
      <c r="F6292">
        <f t="shared" si="197"/>
        <v>87745</v>
      </c>
      <c r="H6292" s="1405">
        <v>50.85</v>
      </c>
      <c r="I6292" s="1405">
        <v>53.33</v>
      </c>
    </row>
    <row r="6293" spans="2:9" ht="30">
      <c r="B6293" s="1477">
        <v>87747</v>
      </c>
      <c r="C6293" s="740" t="s">
        <v>4912</v>
      </c>
      <c r="D6293" s="739" t="s">
        <v>0</v>
      </c>
      <c r="E6293" s="741">
        <f t="shared" si="196"/>
        <v>58.46</v>
      </c>
      <c r="F6293">
        <f t="shared" si="197"/>
        <v>87747</v>
      </c>
      <c r="H6293" s="1406">
        <v>55.47</v>
      </c>
      <c r="I6293" s="1406">
        <v>58.46</v>
      </c>
    </row>
    <row r="6294" spans="2:9" ht="30">
      <c r="B6294" s="677">
        <v>87748</v>
      </c>
      <c r="C6294" s="733" t="s">
        <v>4913</v>
      </c>
      <c r="D6294" s="677" t="s">
        <v>0</v>
      </c>
      <c r="E6294" s="738">
        <f t="shared" si="196"/>
        <v>142.74</v>
      </c>
      <c r="F6294">
        <f t="shared" si="197"/>
        <v>87748</v>
      </c>
      <c r="H6294" s="1405">
        <v>140.34</v>
      </c>
      <c r="I6294" s="1405">
        <v>142.74</v>
      </c>
    </row>
    <row r="6295" spans="2:9" ht="30">
      <c r="B6295" s="1477">
        <v>87749</v>
      </c>
      <c r="C6295" s="740" t="s">
        <v>4914</v>
      </c>
      <c r="D6295" s="739" t="s">
        <v>0</v>
      </c>
      <c r="E6295" s="741">
        <f t="shared" si="196"/>
        <v>152.54</v>
      </c>
      <c r="F6295">
        <f t="shared" si="197"/>
        <v>87749</v>
      </c>
      <c r="H6295" s="1406">
        <v>149.34</v>
      </c>
      <c r="I6295" s="1406">
        <v>152.54</v>
      </c>
    </row>
    <row r="6296" spans="2:9" ht="30">
      <c r="B6296" s="677">
        <v>87755</v>
      </c>
      <c r="C6296" s="733" t="s">
        <v>4915</v>
      </c>
      <c r="D6296" s="677" t="s">
        <v>0</v>
      </c>
      <c r="E6296" s="738">
        <f t="shared" si="196"/>
        <v>50.6</v>
      </c>
      <c r="F6296">
        <f t="shared" si="197"/>
        <v>87755</v>
      </c>
      <c r="H6296" s="1405">
        <v>48.01</v>
      </c>
      <c r="I6296" s="1405">
        <v>50.6</v>
      </c>
    </row>
    <row r="6297" spans="2:9" ht="30">
      <c r="B6297" s="1477">
        <v>87757</v>
      </c>
      <c r="C6297" s="740" t="s">
        <v>4916</v>
      </c>
      <c r="D6297" s="739" t="s">
        <v>0</v>
      </c>
      <c r="E6297" s="741">
        <f t="shared" si="196"/>
        <v>55.73</v>
      </c>
      <c r="F6297">
        <f t="shared" si="197"/>
        <v>87757</v>
      </c>
      <c r="H6297" s="1406">
        <v>52.63</v>
      </c>
      <c r="I6297" s="1406">
        <v>55.73</v>
      </c>
    </row>
    <row r="6298" spans="2:9" ht="30">
      <c r="B6298" s="677">
        <v>87758</v>
      </c>
      <c r="C6298" s="733" t="s">
        <v>4917</v>
      </c>
      <c r="D6298" s="677" t="s">
        <v>0</v>
      </c>
      <c r="E6298" s="738">
        <f t="shared" si="196"/>
        <v>140.01</v>
      </c>
      <c r="F6298">
        <f t="shared" si="197"/>
        <v>87758</v>
      </c>
      <c r="H6298" s="1405">
        <v>137.5</v>
      </c>
      <c r="I6298" s="1405">
        <v>140.01</v>
      </c>
    </row>
    <row r="6299" spans="2:9" ht="30">
      <c r="B6299" s="1477">
        <v>87759</v>
      </c>
      <c r="C6299" s="740" t="s">
        <v>4918</v>
      </c>
      <c r="D6299" s="739" t="s">
        <v>0</v>
      </c>
      <c r="E6299" s="741">
        <f t="shared" si="196"/>
        <v>149.81</v>
      </c>
      <c r="F6299">
        <f t="shared" si="197"/>
        <v>87759</v>
      </c>
      <c r="H6299" s="1406">
        <v>146.5</v>
      </c>
      <c r="I6299" s="1406">
        <v>149.81</v>
      </c>
    </row>
    <row r="6300" spans="2:9" ht="30">
      <c r="B6300" s="677">
        <v>87765</v>
      </c>
      <c r="C6300" s="733" t="s">
        <v>4919</v>
      </c>
      <c r="D6300" s="677" t="s">
        <v>0</v>
      </c>
      <c r="E6300" s="738">
        <f t="shared" si="196"/>
        <v>58.25</v>
      </c>
      <c r="F6300">
        <f t="shared" si="197"/>
        <v>87765</v>
      </c>
      <c r="H6300" s="1405">
        <v>55.47</v>
      </c>
      <c r="I6300" s="1405">
        <v>58.25</v>
      </c>
    </row>
    <row r="6301" spans="2:9" ht="30">
      <c r="B6301" s="1477">
        <v>87767</v>
      </c>
      <c r="C6301" s="740" t="s">
        <v>4920</v>
      </c>
      <c r="D6301" s="739" t="s">
        <v>0</v>
      </c>
      <c r="E6301" s="741">
        <f t="shared" si="196"/>
        <v>64.569999999999993</v>
      </c>
      <c r="F6301">
        <f t="shared" si="197"/>
        <v>87767</v>
      </c>
      <c r="H6301" s="1406">
        <v>61.15</v>
      </c>
      <c r="I6301" s="1406">
        <v>64.569999999999993</v>
      </c>
    </row>
    <row r="6302" spans="2:9" ht="30">
      <c r="B6302" s="677">
        <v>87768</v>
      </c>
      <c r="C6302" s="733" t="s">
        <v>4921</v>
      </c>
      <c r="D6302" s="677" t="s">
        <v>0</v>
      </c>
      <c r="E6302" s="738">
        <f t="shared" si="196"/>
        <v>168.21</v>
      </c>
      <c r="F6302">
        <f t="shared" si="197"/>
        <v>87768</v>
      </c>
      <c r="H6302" s="1405">
        <v>165.51</v>
      </c>
      <c r="I6302" s="1405">
        <v>168.21</v>
      </c>
    </row>
    <row r="6303" spans="2:9" ht="30">
      <c r="B6303" s="1477">
        <v>87769</v>
      </c>
      <c r="C6303" s="740" t="s">
        <v>4922</v>
      </c>
      <c r="D6303" s="739" t="s">
        <v>0</v>
      </c>
      <c r="E6303" s="741">
        <f t="shared" si="196"/>
        <v>180.26</v>
      </c>
      <c r="F6303">
        <f t="shared" si="197"/>
        <v>87769</v>
      </c>
      <c r="H6303" s="1406">
        <v>176.58</v>
      </c>
      <c r="I6303" s="1406">
        <v>180.26</v>
      </c>
    </row>
    <row r="6304" spans="2:9">
      <c r="B6304" s="677">
        <v>88470</v>
      </c>
      <c r="C6304" s="733" t="s">
        <v>4923</v>
      </c>
      <c r="D6304" s="677" t="s">
        <v>0</v>
      </c>
      <c r="E6304" s="738">
        <f t="shared" si="196"/>
        <v>34.54</v>
      </c>
      <c r="F6304">
        <f t="shared" si="197"/>
        <v>88470</v>
      </c>
      <c r="H6304" s="1405">
        <v>34.24</v>
      </c>
      <c r="I6304" s="1405">
        <v>34.54</v>
      </c>
    </row>
    <row r="6305" spans="2:9">
      <c r="B6305" s="1477">
        <v>88471</v>
      </c>
      <c r="C6305" s="740" t="s">
        <v>4924</v>
      </c>
      <c r="D6305" s="739" t="s">
        <v>0</v>
      </c>
      <c r="E6305" s="741">
        <f t="shared" si="196"/>
        <v>43.03</v>
      </c>
      <c r="F6305">
        <f t="shared" si="197"/>
        <v>88471</v>
      </c>
      <c r="H6305" s="1406">
        <v>42.61</v>
      </c>
      <c r="I6305" s="1406">
        <v>43.03</v>
      </c>
    </row>
    <row r="6306" spans="2:9">
      <c r="B6306" s="677">
        <v>88472</v>
      </c>
      <c r="C6306" s="733" t="s">
        <v>4925</v>
      </c>
      <c r="D6306" s="677" t="s">
        <v>0</v>
      </c>
      <c r="E6306" s="738">
        <f t="shared" si="196"/>
        <v>49.79</v>
      </c>
      <c r="F6306">
        <f t="shared" si="197"/>
        <v>88472</v>
      </c>
      <c r="H6306" s="1405">
        <v>49.28</v>
      </c>
      <c r="I6306" s="1405">
        <v>49.79</v>
      </c>
    </row>
    <row r="6307" spans="2:9">
      <c r="B6307" s="1477">
        <v>88476</v>
      </c>
      <c r="C6307" s="740" t="s">
        <v>4926</v>
      </c>
      <c r="D6307" s="739" t="s">
        <v>0</v>
      </c>
      <c r="E6307" s="741">
        <f t="shared" si="196"/>
        <v>28.37</v>
      </c>
      <c r="F6307">
        <f t="shared" si="197"/>
        <v>88476</v>
      </c>
      <c r="H6307" s="1406">
        <v>28.18</v>
      </c>
      <c r="I6307" s="1406">
        <v>28.37</v>
      </c>
    </row>
    <row r="6308" spans="2:9">
      <c r="B6308" s="677">
        <v>88477</v>
      </c>
      <c r="C6308" s="733" t="s">
        <v>4927</v>
      </c>
      <c r="D6308" s="677" t="s">
        <v>0</v>
      </c>
      <c r="E6308" s="738">
        <f t="shared" si="196"/>
        <v>38.880000000000003</v>
      </c>
      <c r="F6308">
        <f t="shared" si="197"/>
        <v>88477</v>
      </c>
      <c r="H6308" s="1405">
        <v>38.51</v>
      </c>
      <c r="I6308" s="1405">
        <v>38.880000000000003</v>
      </c>
    </row>
    <row r="6309" spans="2:9">
      <c r="B6309" s="1477">
        <v>88478</v>
      </c>
      <c r="C6309" s="740" t="s">
        <v>4928</v>
      </c>
      <c r="D6309" s="739" t="s">
        <v>0</v>
      </c>
      <c r="E6309" s="741">
        <f t="shared" si="196"/>
        <v>47.59</v>
      </c>
      <c r="F6309">
        <f t="shared" si="197"/>
        <v>88478</v>
      </c>
      <c r="H6309" s="1406">
        <v>47.08</v>
      </c>
      <c r="I6309" s="1406">
        <v>47.59</v>
      </c>
    </row>
    <row r="6310" spans="2:9" ht="30">
      <c r="B6310" s="677">
        <v>90930</v>
      </c>
      <c r="C6310" s="733" t="s">
        <v>4929</v>
      </c>
      <c r="D6310" s="677" t="s">
        <v>0</v>
      </c>
      <c r="E6310" s="738">
        <f t="shared" si="196"/>
        <v>82.37</v>
      </c>
      <c r="F6310">
        <f t="shared" si="197"/>
        <v>90930</v>
      </c>
      <c r="H6310" s="1405">
        <v>80.099999999999994</v>
      </c>
      <c r="I6310" s="1405">
        <v>82.37</v>
      </c>
    </row>
    <row r="6311" spans="2:9" ht="30">
      <c r="B6311" s="1477">
        <v>90932</v>
      </c>
      <c r="C6311" s="740" t="s">
        <v>4930</v>
      </c>
      <c r="D6311" s="739" t="s">
        <v>0</v>
      </c>
      <c r="E6311" s="741">
        <f t="shared" si="196"/>
        <v>89.6</v>
      </c>
      <c r="F6311">
        <f t="shared" si="197"/>
        <v>90932</v>
      </c>
      <c r="H6311" s="1406">
        <v>86.6</v>
      </c>
      <c r="I6311" s="1406">
        <v>89.6</v>
      </c>
    </row>
    <row r="6312" spans="2:9" ht="30">
      <c r="B6312" s="677">
        <v>90933</v>
      </c>
      <c r="C6312" s="733" t="s">
        <v>4931</v>
      </c>
      <c r="D6312" s="677" t="s">
        <v>0</v>
      </c>
      <c r="E6312" s="738">
        <f t="shared" si="196"/>
        <v>208.29</v>
      </c>
      <c r="F6312">
        <f t="shared" si="197"/>
        <v>90933</v>
      </c>
      <c r="H6312" s="1405">
        <v>206.13</v>
      </c>
      <c r="I6312" s="1405">
        <v>208.29</v>
      </c>
    </row>
    <row r="6313" spans="2:9" ht="30">
      <c r="B6313" s="1477">
        <v>90934</v>
      </c>
      <c r="C6313" s="740" t="s">
        <v>4932</v>
      </c>
      <c r="D6313" s="739" t="s">
        <v>0</v>
      </c>
      <c r="E6313" s="741">
        <f t="shared" si="196"/>
        <v>222.1</v>
      </c>
      <c r="F6313">
        <f t="shared" si="197"/>
        <v>90934</v>
      </c>
      <c r="H6313" s="1406">
        <v>218.8</v>
      </c>
      <c r="I6313" s="1406">
        <v>222.1</v>
      </c>
    </row>
    <row r="6314" spans="2:9" ht="30">
      <c r="B6314" s="677">
        <v>90940</v>
      </c>
      <c r="C6314" s="733" t="s">
        <v>4933</v>
      </c>
      <c r="D6314" s="677" t="s">
        <v>0</v>
      </c>
      <c r="E6314" s="738">
        <f t="shared" si="196"/>
        <v>87.73</v>
      </c>
      <c r="F6314">
        <f t="shared" si="197"/>
        <v>90940</v>
      </c>
      <c r="H6314" s="1405">
        <v>85.24</v>
      </c>
      <c r="I6314" s="1405">
        <v>87.73</v>
      </c>
    </row>
    <row r="6315" spans="2:9" ht="30">
      <c r="B6315" s="1477">
        <v>90942</v>
      </c>
      <c r="C6315" s="740" t="s">
        <v>4934</v>
      </c>
      <c r="D6315" s="739" t="s">
        <v>0</v>
      </c>
      <c r="E6315" s="741">
        <f t="shared" si="196"/>
        <v>95.61</v>
      </c>
      <c r="F6315">
        <f t="shared" si="197"/>
        <v>90942</v>
      </c>
      <c r="H6315" s="1406">
        <v>92.33</v>
      </c>
      <c r="I6315" s="1406">
        <v>95.61</v>
      </c>
    </row>
    <row r="6316" spans="2:9" ht="30">
      <c r="B6316" s="677">
        <v>90943</v>
      </c>
      <c r="C6316" s="733" t="s">
        <v>4935</v>
      </c>
      <c r="D6316" s="677" t="s">
        <v>0</v>
      </c>
      <c r="E6316" s="738">
        <f t="shared" si="196"/>
        <v>224.86</v>
      </c>
      <c r="F6316">
        <f t="shared" si="197"/>
        <v>90943</v>
      </c>
      <c r="H6316" s="1405">
        <v>222.48</v>
      </c>
      <c r="I6316" s="1405">
        <v>224.86</v>
      </c>
    </row>
    <row r="6317" spans="2:9" ht="30">
      <c r="B6317" s="1477">
        <v>90944</v>
      </c>
      <c r="C6317" s="740" t="s">
        <v>4936</v>
      </c>
      <c r="D6317" s="739" t="s">
        <v>0</v>
      </c>
      <c r="E6317" s="741">
        <f t="shared" si="196"/>
        <v>239.9</v>
      </c>
      <c r="F6317">
        <f t="shared" si="197"/>
        <v>90944</v>
      </c>
      <c r="H6317" s="1406">
        <v>236.29</v>
      </c>
      <c r="I6317" s="1406">
        <v>239.9</v>
      </c>
    </row>
    <row r="6318" spans="2:9" ht="30">
      <c r="B6318" s="677">
        <v>90950</v>
      </c>
      <c r="C6318" s="733" t="s">
        <v>4937</v>
      </c>
      <c r="D6318" s="677" t="s">
        <v>0</v>
      </c>
      <c r="E6318" s="738">
        <f t="shared" si="196"/>
        <v>97.54</v>
      </c>
      <c r="F6318">
        <f t="shared" si="197"/>
        <v>90950</v>
      </c>
      <c r="H6318" s="1405">
        <v>94.64</v>
      </c>
      <c r="I6318" s="1405">
        <v>97.54</v>
      </c>
    </row>
    <row r="6319" spans="2:9" ht="30">
      <c r="B6319" s="1477">
        <v>90952</v>
      </c>
      <c r="C6319" s="740" t="s">
        <v>4938</v>
      </c>
      <c r="D6319" s="739" t="s">
        <v>0</v>
      </c>
      <c r="E6319" s="741">
        <f t="shared" si="196"/>
        <v>106.6</v>
      </c>
      <c r="F6319">
        <f t="shared" si="197"/>
        <v>90952</v>
      </c>
      <c r="H6319" s="1406">
        <v>102.78</v>
      </c>
      <c r="I6319" s="1406">
        <v>106.6</v>
      </c>
    </row>
    <row r="6320" spans="2:9" ht="30">
      <c r="B6320" s="677">
        <v>90953</v>
      </c>
      <c r="C6320" s="733" t="s">
        <v>4939</v>
      </c>
      <c r="D6320" s="677" t="s">
        <v>0</v>
      </c>
      <c r="E6320" s="738">
        <f t="shared" si="196"/>
        <v>255.21</v>
      </c>
      <c r="F6320">
        <f t="shared" si="197"/>
        <v>90953</v>
      </c>
      <c r="H6320" s="1405">
        <v>252.43</v>
      </c>
      <c r="I6320" s="1405">
        <v>255.21</v>
      </c>
    </row>
    <row r="6321" spans="2:9" ht="30">
      <c r="B6321" s="1477">
        <v>90954</v>
      </c>
      <c r="C6321" s="740" t="s">
        <v>4940</v>
      </c>
      <c r="D6321" s="739" t="s">
        <v>0</v>
      </c>
      <c r="E6321" s="741">
        <f t="shared" si="196"/>
        <v>272.49</v>
      </c>
      <c r="F6321">
        <f t="shared" si="197"/>
        <v>90954</v>
      </c>
      <c r="H6321" s="1406">
        <v>268.3</v>
      </c>
      <c r="I6321" s="1406">
        <v>272.49</v>
      </c>
    </row>
    <row r="6322" spans="2:9" ht="45">
      <c r="B6322" s="677">
        <v>94438</v>
      </c>
      <c r="C6322" s="733" t="s">
        <v>1514</v>
      </c>
      <c r="D6322" s="677" t="s">
        <v>0</v>
      </c>
      <c r="E6322" s="738">
        <f t="shared" si="196"/>
        <v>45.67</v>
      </c>
      <c r="F6322">
        <f t="shared" si="197"/>
        <v>94438</v>
      </c>
      <c r="H6322" s="1405">
        <v>43.91</v>
      </c>
      <c r="I6322" s="1405">
        <v>45.67</v>
      </c>
    </row>
    <row r="6323" spans="2:9" ht="45">
      <c r="B6323" s="1477">
        <v>94439</v>
      </c>
      <c r="C6323" s="740" t="s">
        <v>5305</v>
      </c>
      <c r="D6323" s="739" t="s">
        <v>0</v>
      </c>
      <c r="E6323" s="741">
        <f t="shared" si="196"/>
        <v>51.77</v>
      </c>
      <c r="F6323">
        <f t="shared" si="197"/>
        <v>94439</v>
      </c>
      <c r="H6323" s="1406">
        <v>49.85</v>
      </c>
      <c r="I6323" s="1406">
        <v>51.77</v>
      </c>
    </row>
    <row r="6324" spans="2:9" ht="30">
      <c r="B6324" s="677">
        <v>94779</v>
      </c>
      <c r="C6324" s="733" t="s">
        <v>1515</v>
      </c>
      <c r="D6324" s="677" t="s">
        <v>0</v>
      </c>
      <c r="E6324" s="738">
        <f t="shared" si="196"/>
        <v>44.26</v>
      </c>
      <c r="F6324">
        <f t="shared" si="197"/>
        <v>94779</v>
      </c>
      <c r="H6324" s="1405">
        <v>42.67</v>
      </c>
      <c r="I6324" s="1405">
        <v>44.26</v>
      </c>
    </row>
    <row r="6325" spans="2:9" ht="45">
      <c r="B6325" s="1477">
        <v>94782</v>
      </c>
      <c r="C6325" s="740" t="s">
        <v>5306</v>
      </c>
      <c r="D6325" s="739" t="s">
        <v>0</v>
      </c>
      <c r="E6325" s="741">
        <f t="shared" si="196"/>
        <v>51.03</v>
      </c>
      <c r="F6325">
        <f t="shared" si="197"/>
        <v>94782</v>
      </c>
      <c r="H6325" s="1406">
        <v>49.26</v>
      </c>
      <c r="I6325" s="1406">
        <v>51.03</v>
      </c>
    </row>
    <row r="6326" spans="2:9">
      <c r="B6326" s="677">
        <v>102803</v>
      </c>
      <c r="C6326" s="733" t="s">
        <v>4941</v>
      </c>
      <c r="D6326" s="677" t="s">
        <v>0</v>
      </c>
      <c r="E6326" s="738">
        <f t="shared" si="196"/>
        <v>2.27</v>
      </c>
      <c r="F6326">
        <f t="shared" si="197"/>
        <v>102803</v>
      </c>
      <c r="H6326" s="1405">
        <v>2.08</v>
      </c>
      <c r="I6326" s="1405">
        <v>2.27</v>
      </c>
    </row>
    <row r="6327" spans="2:9">
      <c r="B6327" s="1477">
        <v>101742</v>
      </c>
      <c r="C6327" s="740" t="s">
        <v>3832</v>
      </c>
      <c r="D6327" s="739" t="s">
        <v>21</v>
      </c>
      <c r="E6327" s="741">
        <f t="shared" si="196"/>
        <v>60.28</v>
      </c>
      <c r="F6327">
        <f t="shared" si="197"/>
        <v>101742</v>
      </c>
      <c r="H6327" s="1406">
        <v>57.87</v>
      </c>
      <c r="I6327" s="1406">
        <v>60.28</v>
      </c>
    </row>
    <row r="6328" spans="2:9" ht="30">
      <c r="B6328" s="677">
        <v>87878</v>
      </c>
      <c r="C6328" s="733" t="s">
        <v>7196</v>
      </c>
      <c r="D6328" s="677" t="s">
        <v>0</v>
      </c>
      <c r="E6328" s="738">
        <f t="shared" si="196"/>
        <v>4.88</v>
      </c>
      <c r="F6328">
        <f t="shared" si="197"/>
        <v>87878</v>
      </c>
      <c r="H6328" s="1405">
        <v>4.57</v>
      </c>
      <c r="I6328" s="1405">
        <v>4.88</v>
      </c>
    </row>
    <row r="6329" spans="2:9" ht="30">
      <c r="B6329" s="1477">
        <v>87879</v>
      </c>
      <c r="C6329" s="740" t="s">
        <v>7197</v>
      </c>
      <c r="D6329" s="739" t="s">
        <v>0</v>
      </c>
      <c r="E6329" s="741">
        <f t="shared" si="196"/>
        <v>4.4000000000000004</v>
      </c>
      <c r="F6329">
        <f t="shared" si="197"/>
        <v>87879</v>
      </c>
      <c r="H6329" s="1406">
        <v>4.13</v>
      </c>
      <c r="I6329" s="1406">
        <v>4.4000000000000004</v>
      </c>
    </row>
    <row r="6330" spans="2:9" ht="30">
      <c r="B6330" s="677">
        <v>87881</v>
      </c>
      <c r="C6330" s="733" t="s">
        <v>7198</v>
      </c>
      <c r="D6330" s="677" t="s">
        <v>0</v>
      </c>
      <c r="E6330" s="738">
        <f t="shared" si="196"/>
        <v>7.16</v>
      </c>
      <c r="F6330">
        <f t="shared" si="197"/>
        <v>87881</v>
      </c>
      <c r="H6330" s="1405">
        <v>6.99</v>
      </c>
      <c r="I6330" s="1405">
        <v>7.16</v>
      </c>
    </row>
    <row r="6331" spans="2:9" ht="30">
      <c r="B6331" s="1477">
        <v>87882</v>
      </c>
      <c r="C6331" s="740" t="s">
        <v>7199</v>
      </c>
      <c r="D6331" s="739" t="s">
        <v>0</v>
      </c>
      <c r="E6331" s="741">
        <f t="shared" si="196"/>
        <v>6.99</v>
      </c>
      <c r="F6331">
        <f t="shared" si="197"/>
        <v>87882</v>
      </c>
      <c r="H6331" s="1406">
        <v>6.84</v>
      </c>
      <c r="I6331" s="1406">
        <v>6.99</v>
      </c>
    </row>
    <row r="6332" spans="2:9" ht="30">
      <c r="B6332" s="677">
        <v>87884</v>
      </c>
      <c r="C6332" s="733" t="s">
        <v>7200</v>
      </c>
      <c r="D6332" s="677" t="s">
        <v>0</v>
      </c>
      <c r="E6332" s="738">
        <f t="shared" si="196"/>
        <v>12.86</v>
      </c>
      <c r="F6332">
        <f t="shared" si="197"/>
        <v>87884</v>
      </c>
      <c r="H6332" s="1405">
        <v>12.68</v>
      </c>
      <c r="I6332" s="1405">
        <v>12.86</v>
      </c>
    </row>
    <row r="6333" spans="2:9" ht="30">
      <c r="B6333" s="1477">
        <v>87885</v>
      </c>
      <c r="C6333" s="740" t="s">
        <v>7201</v>
      </c>
      <c r="D6333" s="739" t="s">
        <v>0</v>
      </c>
      <c r="E6333" s="741">
        <f t="shared" si="196"/>
        <v>12.45</v>
      </c>
      <c r="F6333">
        <f t="shared" si="197"/>
        <v>87885</v>
      </c>
      <c r="H6333" s="1406">
        <v>12.31</v>
      </c>
      <c r="I6333" s="1406">
        <v>12.45</v>
      </c>
    </row>
    <row r="6334" spans="2:9" ht="30">
      <c r="B6334" s="677">
        <v>87886</v>
      </c>
      <c r="C6334" s="733" t="s">
        <v>7202</v>
      </c>
      <c r="D6334" s="677" t="s">
        <v>0</v>
      </c>
      <c r="E6334" s="738">
        <f t="shared" si="196"/>
        <v>21.04</v>
      </c>
      <c r="F6334">
        <f t="shared" si="197"/>
        <v>87886</v>
      </c>
      <c r="H6334" s="1405">
        <v>20.51</v>
      </c>
      <c r="I6334" s="1405">
        <v>21.04</v>
      </c>
    </row>
    <row r="6335" spans="2:9" ht="30">
      <c r="B6335" s="1477">
        <v>87887</v>
      </c>
      <c r="C6335" s="740" t="s">
        <v>7203</v>
      </c>
      <c r="D6335" s="739" t="s">
        <v>0</v>
      </c>
      <c r="E6335" s="741">
        <f t="shared" si="196"/>
        <v>20.190000000000001</v>
      </c>
      <c r="F6335">
        <f t="shared" si="197"/>
        <v>87887</v>
      </c>
      <c r="H6335" s="1406">
        <v>19.73</v>
      </c>
      <c r="I6335" s="1406">
        <v>20.190000000000001</v>
      </c>
    </row>
    <row r="6336" spans="2:9" ht="30">
      <c r="B6336" s="677">
        <v>87888</v>
      </c>
      <c r="C6336" s="733" t="s">
        <v>7204</v>
      </c>
      <c r="D6336" s="677" t="s">
        <v>0</v>
      </c>
      <c r="E6336" s="738">
        <f t="shared" si="196"/>
        <v>8.68</v>
      </c>
      <c r="F6336">
        <f t="shared" si="197"/>
        <v>87888</v>
      </c>
      <c r="H6336" s="1405">
        <v>8.36</v>
      </c>
      <c r="I6336" s="1405">
        <v>8.68</v>
      </c>
    </row>
    <row r="6337" spans="2:9" ht="30">
      <c r="B6337" s="1477">
        <v>87889</v>
      </c>
      <c r="C6337" s="740" t="s">
        <v>7205</v>
      </c>
      <c r="D6337" s="739" t="s">
        <v>0</v>
      </c>
      <c r="E6337" s="741">
        <f t="shared" si="196"/>
        <v>8.51</v>
      </c>
      <c r="F6337">
        <f t="shared" si="197"/>
        <v>87889</v>
      </c>
      <c r="H6337" s="1406">
        <v>8.2100000000000009</v>
      </c>
      <c r="I6337" s="1406">
        <v>8.51</v>
      </c>
    </row>
    <row r="6338" spans="2:9" ht="30">
      <c r="B6338" s="677">
        <v>87891</v>
      </c>
      <c r="C6338" s="733" t="s">
        <v>7206</v>
      </c>
      <c r="D6338" s="677" t="s">
        <v>0</v>
      </c>
      <c r="E6338" s="738">
        <f t="shared" si="196"/>
        <v>14.38</v>
      </c>
      <c r="F6338">
        <f t="shared" si="197"/>
        <v>87891</v>
      </c>
      <c r="H6338" s="1405">
        <v>14.05</v>
      </c>
      <c r="I6338" s="1405">
        <v>14.38</v>
      </c>
    </row>
    <row r="6339" spans="2:9" ht="30">
      <c r="B6339" s="1477">
        <v>87892</v>
      </c>
      <c r="C6339" s="740" t="s">
        <v>7207</v>
      </c>
      <c r="D6339" s="739" t="s">
        <v>0</v>
      </c>
      <c r="E6339" s="741">
        <f t="shared" ref="E6339:E6402" si="198">IF($K$2=$H$1,H6339,I6339)</f>
        <v>13.97</v>
      </c>
      <c r="F6339">
        <f t="shared" ref="F6339:F6402" si="199">IF(LEN($B6339)=7,CONCATENATE(MID($B6339,1,6),"00",RIGHT($B6339,1)),IF(LEN($B6339)=8,CONCATENATE(MID($B6339,1,6),"0",RIGHT($B6339,2)),$B6339))</f>
        <v>87892</v>
      </c>
      <c r="H6339" s="1406">
        <v>13.68</v>
      </c>
      <c r="I6339" s="1406">
        <v>13.97</v>
      </c>
    </row>
    <row r="6340" spans="2:9" ht="30">
      <c r="B6340" s="677">
        <v>87893</v>
      </c>
      <c r="C6340" s="733" t="s">
        <v>7208</v>
      </c>
      <c r="D6340" s="677" t="s">
        <v>0</v>
      </c>
      <c r="E6340" s="738">
        <f t="shared" si="198"/>
        <v>7.14</v>
      </c>
      <c r="F6340">
        <f t="shared" si="199"/>
        <v>87893</v>
      </c>
      <c r="H6340" s="1405">
        <v>6.59</v>
      </c>
      <c r="I6340" s="1405">
        <v>7.14</v>
      </c>
    </row>
    <row r="6341" spans="2:9" ht="30">
      <c r="B6341" s="1477">
        <v>87894</v>
      </c>
      <c r="C6341" s="740" t="s">
        <v>7209</v>
      </c>
      <c r="D6341" s="739" t="s">
        <v>0</v>
      </c>
      <c r="E6341" s="741">
        <f t="shared" si="198"/>
        <v>6.66</v>
      </c>
      <c r="F6341">
        <f t="shared" si="199"/>
        <v>87894</v>
      </c>
      <c r="H6341" s="1406">
        <v>6.15</v>
      </c>
      <c r="I6341" s="1406">
        <v>6.66</v>
      </c>
    </row>
    <row r="6342" spans="2:9" ht="30">
      <c r="B6342" s="677">
        <v>87896</v>
      </c>
      <c r="C6342" s="733" t="s">
        <v>7210</v>
      </c>
      <c r="D6342" s="677" t="s">
        <v>0</v>
      </c>
      <c r="E6342" s="738">
        <f t="shared" si="198"/>
        <v>5.55</v>
      </c>
      <c r="F6342">
        <f t="shared" si="199"/>
        <v>87896</v>
      </c>
      <c r="H6342" s="1405">
        <v>5.25</v>
      </c>
      <c r="I6342" s="1405">
        <v>5.55</v>
      </c>
    </row>
    <row r="6343" spans="2:9" ht="30">
      <c r="B6343" s="1477">
        <v>87897</v>
      </c>
      <c r="C6343" s="740" t="s">
        <v>7211</v>
      </c>
      <c r="D6343" s="739" t="s">
        <v>0</v>
      </c>
      <c r="E6343" s="741">
        <f t="shared" si="198"/>
        <v>5.07</v>
      </c>
      <c r="F6343">
        <f t="shared" si="199"/>
        <v>87897</v>
      </c>
      <c r="H6343" s="1406">
        <v>4.8099999999999996</v>
      </c>
      <c r="I6343" s="1406">
        <v>5.07</v>
      </c>
    </row>
    <row r="6344" spans="2:9" ht="30">
      <c r="B6344" s="677">
        <v>87899</v>
      </c>
      <c r="C6344" s="733" t="s">
        <v>7212</v>
      </c>
      <c r="D6344" s="677" t="s">
        <v>0</v>
      </c>
      <c r="E6344" s="738">
        <f t="shared" si="198"/>
        <v>9.35</v>
      </c>
      <c r="F6344">
        <f t="shared" si="199"/>
        <v>87899</v>
      </c>
      <c r="H6344" s="1405">
        <v>8.9499999999999993</v>
      </c>
      <c r="I6344" s="1405">
        <v>9.35</v>
      </c>
    </row>
    <row r="6345" spans="2:9" ht="30">
      <c r="B6345" s="1477">
        <v>87900</v>
      </c>
      <c r="C6345" s="740" t="s">
        <v>7213</v>
      </c>
      <c r="D6345" s="739" t="s">
        <v>0</v>
      </c>
      <c r="E6345" s="741">
        <f t="shared" si="198"/>
        <v>9.18</v>
      </c>
      <c r="F6345">
        <f t="shared" si="199"/>
        <v>87900</v>
      </c>
      <c r="H6345" s="1406">
        <v>8.8000000000000007</v>
      </c>
      <c r="I6345" s="1406">
        <v>9.18</v>
      </c>
    </row>
    <row r="6346" spans="2:9" ht="30">
      <c r="B6346" s="677">
        <v>87902</v>
      </c>
      <c r="C6346" s="733" t="s">
        <v>7214</v>
      </c>
      <c r="D6346" s="677" t="s">
        <v>0</v>
      </c>
      <c r="E6346" s="738">
        <f t="shared" si="198"/>
        <v>15.05</v>
      </c>
      <c r="F6346">
        <f t="shared" si="199"/>
        <v>87902</v>
      </c>
      <c r="H6346" s="1405">
        <v>14.64</v>
      </c>
      <c r="I6346" s="1405">
        <v>15.05</v>
      </c>
    </row>
    <row r="6347" spans="2:9" ht="30">
      <c r="B6347" s="1477">
        <v>87903</v>
      </c>
      <c r="C6347" s="740" t="s">
        <v>7215</v>
      </c>
      <c r="D6347" s="739" t="s">
        <v>0</v>
      </c>
      <c r="E6347" s="741">
        <f t="shared" si="198"/>
        <v>14.64</v>
      </c>
      <c r="F6347">
        <f t="shared" si="199"/>
        <v>87903</v>
      </c>
      <c r="H6347" s="1406">
        <v>14.27</v>
      </c>
      <c r="I6347" s="1406">
        <v>14.64</v>
      </c>
    </row>
    <row r="6348" spans="2:9" ht="30">
      <c r="B6348" s="677">
        <v>87904</v>
      </c>
      <c r="C6348" s="733" t="s">
        <v>7216</v>
      </c>
      <c r="D6348" s="677" t="s">
        <v>0</v>
      </c>
      <c r="E6348" s="738">
        <f t="shared" si="198"/>
        <v>8.1999999999999993</v>
      </c>
      <c r="F6348">
        <f t="shared" si="199"/>
        <v>87904</v>
      </c>
      <c r="H6348" s="1405">
        <v>7.55</v>
      </c>
      <c r="I6348" s="1405">
        <v>8.1999999999999993</v>
      </c>
    </row>
    <row r="6349" spans="2:9" ht="30">
      <c r="B6349" s="1477">
        <v>87905</v>
      </c>
      <c r="C6349" s="740" t="s">
        <v>7217</v>
      </c>
      <c r="D6349" s="739" t="s">
        <v>0</v>
      </c>
      <c r="E6349" s="741">
        <f t="shared" si="198"/>
        <v>7.72</v>
      </c>
      <c r="F6349">
        <f t="shared" si="199"/>
        <v>87905</v>
      </c>
      <c r="H6349" s="1406">
        <v>7.11</v>
      </c>
      <c r="I6349" s="1406">
        <v>7.72</v>
      </c>
    </row>
    <row r="6350" spans="2:9" ht="30">
      <c r="B6350" s="677">
        <v>87907</v>
      </c>
      <c r="C6350" s="733" t="s">
        <v>7218</v>
      </c>
      <c r="D6350" s="677" t="s">
        <v>0</v>
      </c>
      <c r="E6350" s="738">
        <f t="shared" si="198"/>
        <v>6.6</v>
      </c>
      <c r="F6350">
        <f t="shared" si="199"/>
        <v>87907</v>
      </c>
      <c r="H6350" s="1405">
        <v>6.21</v>
      </c>
      <c r="I6350" s="1405">
        <v>6.6</v>
      </c>
    </row>
    <row r="6351" spans="2:9" ht="30">
      <c r="B6351" s="1477">
        <v>87908</v>
      </c>
      <c r="C6351" s="740" t="s">
        <v>7219</v>
      </c>
      <c r="D6351" s="739" t="s">
        <v>0</v>
      </c>
      <c r="E6351" s="741">
        <f t="shared" si="198"/>
        <v>6.12</v>
      </c>
      <c r="F6351">
        <f t="shared" si="199"/>
        <v>87908</v>
      </c>
      <c r="H6351" s="1406">
        <v>5.77</v>
      </c>
      <c r="I6351" s="1406">
        <v>6.12</v>
      </c>
    </row>
    <row r="6352" spans="2:9" ht="30">
      <c r="B6352" s="677">
        <v>87910</v>
      </c>
      <c r="C6352" s="733" t="s">
        <v>7220</v>
      </c>
      <c r="D6352" s="677" t="s">
        <v>0</v>
      </c>
      <c r="E6352" s="738">
        <f t="shared" si="198"/>
        <v>26.1</v>
      </c>
      <c r="F6352">
        <f t="shared" si="199"/>
        <v>87910</v>
      </c>
      <c r="H6352" s="1405">
        <v>25.04</v>
      </c>
      <c r="I6352" s="1405">
        <v>26.1</v>
      </c>
    </row>
    <row r="6353" spans="2:9" ht="30">
      <c r="B6353" s="1477">
        <v>87911</v>
      </c>
      <c r="C6353" s="740" t="s">
        <v>7221</v>
      </c>
      <c r="D6353" s="739" t="s">
        <v>0</v>
      </c>
      <c r="E6353" s="741">
        <f t="shared" si="198"/>
        <v>25.25</v>
      </c>
      <c r="F6353">
        <f t="shared" si="199"/>
        <v>87911</v>
      </c>
      <c r="H6353" s="1406">
        <v>24.26</v>
      </c>
      <c r="I6353" s="1406">
        <v>25.25</v>
      </c>
    </row>
    <row r="6354" spans="2:9" ht="30">
      <c r="B6354" s="677">
        <v>104410</v>
      </c>
      <c r="C6354" s="733" t="s">
        <v>7222</v>
      </c>
      <c r="D6354" s="677" t="s">
        <v>0</v>
      </c>
      <c r="E6354" s="738">
        <f t="shared" si="198"/>
        <v>5.17</v>
      </c>
      <c r="F6354">
        <f t="shared" si="199"/>
        <v>104410</v>
      </c>
      <c r="H6354" s="1405">
        <v>4.8899999999999997</v>
      </c>
      <c r="I6354" s="1405">
        <v>5.17</v>
      </c>
    </row>
    <row r="6355" spans="2:9" ht="30">
      <c r="B6355" s="1477">
        <v>104411</v>
      </c>
      <c r="C6355" s="740" t="s">
        <v>7223</v>
      </c>
      <c r="D6355" s="739" t="s">
        <v>0</v>
      </c>
      <c r="E6355" s="741">
        <f t="shared" si="198"/>
        <v>5.17</v>
      </c>
      <c r="F6355">
        <f t="shared" si="199"/>
        <v>104411</v>
      </c>
      <c r="H6355" s="1406">
        <v>4.8899999999999997</v>
      </c>
      <c r="I6355" s="1406">
        <v>5.17</v>
      </c>
    </row>
    <row r="6356" spans="2:9" ht="30">
      <c r="B6356" s="677">
        <v>87411</v>
      </c>
      <c r="C6356" s="733" t="s">
        <v>7740</v>
      </c>
      <c r="D6356" s="677" t="s">
        <v>0</v>
      </c>
      <c r="E6356" s="738">
        <f t="shared" si="198"/>
        <v>17.21</v>
      </c>
      <c r="F6356">
        <f t="shared" si="199"/>
        <v>87411</v>
      </c>
      <c r="H6356" s="1405">
        <v>16.41</v>
      </c>
      <c r="I6356" s="1405">
        <v>17.21</v>
      </c>
    </row>
    <row r="6357" spans="2:9" ht="30">
      <c r="B6357" s="1477">
        <v>87412</v>
      </c>
      <c r="C6357" s="740" t="s">
        <v>7741</v>
      </c>
      <c r="D6357" s="739" t="s">
        <v>0</v>
      </c>
      <c r="E6357" s="741">
        <f t="shared" si="198"/>
        <v>24.63</v>
      </c>
      <c r="F6357">
        <f t="shared" si="199"/>
        <v>87412</v>
      </c>
      <c r="H6357" s="1406">
        <v>23.07</v>
      </c>
      <c r="I6357" s="1406">
        <v>24.63</v>
      </c>
    </row>
    <row r="6358" spans="2:9" ht="30">
      <c r="B6358" s="677">
        <v>87413</v>
      </c>
      <c r="C6358" s="733" t="s">
        <v>7742</v>
      </c>
      <c r="D6358" s="677" t="s">
        <v>0</v>
      </c>
      <c r="E6358" s="738">
        <f t="shared" si="198"/>
        <v>28.89</v>
      </c>
      <c r="F6358">
        <f t="shared" si="199"/>
        <v>87413</v>
      </c>
      <c r="H6358" s="1405">
        <v>26.9</v>
      </c>
      <c r="I6358" s="1405">
        <v>28.89</v>
      </c>
    </row>
    <row r="6359" spans="2:9" ht="30">
      <c r="B6359" s="1477">
        <v>87414</v>
      </c>
      <c r="C6359" s="740" t="s">
        <v>7743</v>
      </c>
      <c r="D6359" s="739" t="s">
        <v>0</v>
      </c>
      <c r="E6359" s="741">
        <f t="shared" si="198"/>
        <v>27.81</v>
      </c>
      <c r="F6359">
        <f t="shared" si="199"/>
        <v>87414</v>
      </c>
      <c r="H6359" s="1406">
        <v>26.67</v>
      </c>
      <c r="I6359" s="1406">
        <v>27.81</v>
      </c>
    </row>
    <row r="6360" spans="2:9" ht="30">
      <c r="B6360" s="677">
        <v>87415</v>
      </c>
      <c r="C6360" s="733" t="s">
        <v>7744</v>
      </c>
      <c r="D6360" s="677" t="s">
        <v>0</v>
      </c>
      <c r="E6360" s="738">
        <f t="shared" si="198"/>
        <v>35.229999999999997</v>
      </c>
      <c r="F6360">
        <f t="shared" si="199"/>
        <v>87415</v>
      </c>
      <c r="H6360" s="1405">
        <v>33.32</v>
      </c>
      <c r="I6360" s="1405">
        <v>35.229999999999997</v>
      </c>
    </row>
    <row r="6361" spans="2:9" ht="30">
      <c r="B6361" s="1477">
        <v>87416</v>
      </c>
      <c r="C6361" s="740" t="s">
        <v>7745</v>
      </c>
      <c r="D6361" s="739" t="s">
        <v>0</v>
      </c>
      <c r="E6361" s="741">
        <f t="shared" si="198"/>
        <v>39.49</v>
      </c>
      <c r="F6361">
        <f t="shared" si="199"/>
        <v>87416</v>
      </c>
      <c r="H6361" s="1406">
        <v>37.15</v>
      </c>
      <c r="I6361" s="1406">
        <v>39.49</v>
      </c>
    </row>
    <row r="6362" spans="2:9">
      <c r="B6362" s="677">
        <v>87418</v>
      </c>
      <c r="C6362" s="733" t="s">
        <v>7746</v>
      </c>
      <c r="D6362" s="677" t="s">
        <v>0</v>
      </c>
      <c r="E6362" s="738">
        <f t="shared" si="198"/>
        <v>19.559999999999999</v>
      </c>
      <c r="F6362">
        <f t="shared" si="199"/>
        <v>87418</v>
      </c>
      <c r="H6362" s="1405">
        <v>18.52</v>
      </c>
      <c r="I6362" s="1405">
        <v>19.559999999999999</v>
      </c>
    </row>
    <row r="6363" spans="2:9">
      <c r="B6363" s="1477">
        <v>87421</v>
      </c>
      <c r="C6363" s="740" t="s">
        <v>7747</v>
      </c>
      <c r="D6363" s="739" t="s">
        <v>0</v>
      </c>
      <c r="E6363" s="741">
        <f t="shared" si="198"/>
        <v>30.5</v>
      </c>
      <c r="F6363">
        <f t="shared" si="199"/>
        <v>87421</v>
      </c>
      <c r="H6363" s="1406">
        <v>29.08</v>
      </c>
      <c r="I6363" s="1406">
        <v>30.5</v>
      </c>
    </row>
    <row r="6364" spans="2:9">
      <c r="B6364" s="677">
        <v>87424</v>
      </c>
      <c r="C6364" s="733" t="s">
        <v>7748</v>
      </c>
      <c r="D6364" s="677" t="s">
        <v>0</v>
      </c>
      <c r="E6364" s="738">
        <f t="shared" si="198"/>
        <v>38.78</v>
      </c>
      <c r="F6364">
        <f t="shared" si="199"/>
        <v>87424</v>
      </c>
      <c r="H6364" s="1405">
        <v>36.520000000000003</v>
      </c>
      <c r="I6364" s="1405">
        <v>38.78</v>
      </c>
    </row>
    <row r="6365" spans="2:9">
      <c r="B6365" s="1477">
        <v>87427</v>
      </c>
      <c r="C6365" s="740" t="s">
        <v>7749</v>
      </c>
      <c r="D6365" s="739" t="s">
        <v>0</v>
      </c>
      <c r="E6365" s="741">
        <f t="shared" si="198"/>
        <v>46.39</v>
      </c>
      <c r="F6365">
        <f t="shared" si="199"/>
        <v>87427</v>
      </c>
      <c r="H6365" s="1406">
        <v>43.87</v>
      </c>
      <c r="I6365" s="1406">
        <v>46.39</v>
      </c>
    </row>
    <row r="6366" spans="2:9" ht="30">
      <c r="B6366" s="677">
        <v>87430</v>
      </c>
      <c r="C6366" s="733" t="s">
        <v>7750</v>
      </c>
      <c r="D6366" s="677" t="s">
        <v>0</v>
      </c>
      <c r="E6366" s="738">
        <f t="shared" si="198"/>
        <v>19.09</v>
      </c>
      <c r="F6366">
        <f t="shared" si="199"/>
        <v>87430</v>
      </c>
      <c r="H6366" s="1405">
        <v>18</v>
      </c>
      <c r="I6366" s="1405">
        <v>19.09</v>
      </c>
    </row>
    <row r="6367" spans="2:9" ht="30">
      <c r="B6367" s="1477">
        <v>87433</v>
      </c>
      <c r="C6367" s="740" t="s">
        <v>7751</v>
      </c>
      <c r="D6367" s="739" t="s">
        <v>0</v>
      </c>
      <c r="E6367" s="741">
        <f t="shared" si="198"/>
        <v>28.3</v>
      </c>
      <c r="F6367">
        <f t="shared" si="199"/>
        <v>87433</v>
      </c>
      <c r="H6367" s="1406">
        <v>26.93</v>
      </c>
      <c r="I6367" s="1406">
        <v>28.3</v>
      </c>
    </row>
    <row r="6368" spans="2:9" ht="30">
      <c r="B6368" s="677">
        <v>87436</v>
      </c>
      <c r="C6368" s="733" t="s">
        <v>7752</v>
      </c>
      <c r="D6368" s="677" t="s">
        <v>0</v>
      </c>
      <c r="E6368" s="738">
        <f t="shared" si="198"/>
        <v>31.66</v>
      </c>
      <c r="F6368">
        <f t="shared" si="199"/>
        <v>87436</v>
      </c>
      <c r="H6368" s="1405">
        <v>29.94</v>
      </c>
      <c r="I6368" s="1405">
        <v>31.66</v>
      </c>
    </row>
    <row r="6369" spans="2:9" ht="30">
      <c r="B6369" s="1477">
        <v>87439</v>
      </c>
      <c r="C6369" s="740" t="s">
        <v>7753</v>
      </c>
      <c r="D6369" s="739" t="s">
        <v>0</v>
      </c>
      <c r="E6369" s="741">
        <f t="shared" si="198"/>
        <v>39.07</v>
      </c>
      <c r="F6369">
        <f t="shared" si="199"/>
        <v>87439</v>
      </c>
      <c r="H6369" s="1406">
        <v>37.06</v>
      </c>
      <c r="I6369" s="1406">
        <v>39.07</v>
      </c>
    </row>
    <row r="6370" spans="2:9" ht="45">
      <c r="B6370" s="677">
        <v>87527</v>
      </c>
      <c r="C6370" s="733" t="s">
        <v>1516</v>
      </c>
      <c r="D6370" s="677" t="s">
        <v>0</v>
      </c>
      <c r="E6370" s="738">
        <f t="shared" si="198"/>
        <v>41.42</v>
      </c>
      <c r="F6370">
        <f t="shared" si="199"/>
        <v>87527</v>
      </c>
      <c r="H6370" s="1405">
        <v>39.11</v>
      </c>
      <c r="I6370" s="1405">
        <v>41.42</v>
      </c>
    </row>
    <row r="6371" spans="2:9" ht="45">
      <c r="B6371" s="1477">
        <v>87528</v>
      </c>
      <c r="C6371" s="740" t="s">
        <v>1517</v>
      </c>
      <c r="D6371" s="739" t="s">
        <v>0</v>
      </c>
      <c r="E6371" s="741">
        <f t="shared" si="198"/>
        <v>46.12</v>
      </c>
      <c r="F6371">
        <f t="shared" si="199"/>
        <v>87528</v>
      </c>
      <c r="H6371" s="1406">
        <v>43.33</v>
      </c>
      <c r="I6371" s="1406">
        <v>46.12</v>
      </c>
    </row>
    <row r="6372" spans="2:9" ht="30">
      <c r="B6372" s="677">
        <v>87529</v>
      </c>
      <c r="C6372" s="733" t="s">
        <v>1518</v>
      </c>
      <c r="D6372" s="677" t="s">
        <v>0</v>
      </c>
      <c r="E6372" s="738">
        <f t="shared" si="198"/>
        <v>37.799999999999997</v>
      </c>
      <c r="F6372">
        <f t="shared" si="199"/>
        <v>87529</v>
      </c>
      <c r="H6372" s="1405">
        <v>35.85</v>
      </c>
      <c r="I6372" s="1405">
        <v>37.799999999999997</v>
      </c>
    </row>
    <row r="6373" spans="2:9" ht="30">
      <c r="B6373" s="1477">
        <v>87530</v>
      </c>
      <c r="C6373" s="740" t="s">
        <v>1519</v>
      </c>
      <c r="D6373" s="739" t="s">
        <v>0</v>
      </c>
      <c r="E6373" s="741">
        <f t="shared" si="198"/>
        <v>42.5</v>
      </c>
      <c r="F6373">
        <f t="shared" si="199"/>
        <v>87530</v>
      </c>
      <c r="H6373" s="1406">
        <v>40.07</v>
      </c>
      <c r="I6373" s="1406">
        <v>42.5</v>
      </c>
    </row>
    <row r="6374" spans="2:9" ht="45">
      <c r="B6374" s="677">
        <v>87531</v>
      </c>
      <c r="C6374" s="733" t="s">
        <v>1520</v>
      </c>
      <c r="D6374" s="677" t="s">
        <v>0</v>
      </c>
      <c r="E6374" s="738">
        <f t="shared" si="198"/>
        <v>36.51</v>
      </c>
      <c r="F6374">
        <f t="shared" si="199"/>
        <v>87531</v>
      </c>
      <c r="H6374" s="1405">
        <v>34.69</v>
      </c>
      <c r="I6374" s="1405">
        <v>36.51</v>
      </c>
    </row>
    <row r="6375" spans="2:9" ht="45">
      <c r="B6375" s="1477">
        <v>87532</v>
      </c>
      <c r="C6375" s="740" t="s">
        <v>1521</v>
      </c>
      <c r="D6375" s="739" t="s">
        <v>0</v>
      </c>
      <c r="E6375" s="741">
        <f t="shared" si="198"/>
        <v>41.21</v>
      </c>
      <c r="F6375">
        <f t="shared" si="199"/>
        <v>87532</v>
      </c>
      <c r="H6375" s="1406">
        <v>38.909999999999997</v>
      </c>
      <c r="I6375" s="1406">
        <v>41.21</v>
      </c>
    </row>
    <row r="6376" spans="2:9" ht="45">
      <c r="B6376" s="677">
        <v>87535</v>
      </c>
      <c r="C6376" s="733" t="s">
        <v>1522</v>
      </c>
      <c r="D6376" s="677" t="s">
        <v>0</v>
      </c>
      <c r="E6376" s="738">
        <f t="shared" si="198"/>
        <v>32.869999999999997</v>
      </c>
      <c r="F6376">
        <f t="shared" si="199"/>
        <v>87535</v>
      </c>
      <c r="H6376" s="1405">
        <v>31.44</v>
      </c>
      <c r="I6376" s="1405">
        <v>32.869999999999997</v>
      </c>
    </row>
    <row r="6377" spans="2:9" ht="45">
      <c r="B6377" s="1477">
        <v>87536</v>
      </c>
      <c r="C6377" s="740" t="s">
        <v>1523</v>
      </c>
      <c r="D6377" s="739" t="s">
        <v>0</v>
      </c>
      <c r="E6377" s="741">
        <f t="shared" si="198"/>
        <v>37.57</v>
      </c>
      <c r="F6377">
        <f t="shared" si="199"/>
        <v>87536</v>
      </c>
      <c r="H6377" s="1406">
        <v>35.659999999999997</v>
      </c>
      <c r="I6377" s="1406">
        <v>37.57</v>
      </c>
    </row>
    <row r="6378" spans="2:9" ht="45">
      <c r="B6378" s="677">
        <v>87537</v>
      </c>
      <c r="C6378" s="733" t="s">
        <v>1524</v>
      </c>
      <c r="D6378" s="677" t="s">
        <v>0</v>
      </c>
      <c r="E6378" s="738">
        <f t="shared" si="198"/>
        <v>105.54</v>
      </c>
      <c r="F6378">
        <f t="shared" si="199"/>
        <v>87537</v>
      </c>
      <c r="H6378" s="1405">
        <v>103.64</v>
      </c>
      <c r="I6378" s="1405">
        <v>105.54</v>
      </c>
    </row>
    <row r="6379" spans="2:9" ht="45">
      <c r="B6379" s="1477">
        <v>87538</v>
      </c>
      <c r="C6379" s="740" t="s">
        <v>1525</v>
      </c>
      <c r="D6379" s="739" t="s">
        <v>0</v>
      </c>
      <c r="E6379" s="741">
        <f t="shared" si="198"/>
        <v>102.43</v>
      </c>
      <c r="F6379">
        <f t="shared" si="199"/>
        <v>87538</v>
      </c>
      <c r="H6379" s="1406">
        <v>100.86</v>
      </c>
      <c r="I6379" s="1406">
        <v>102.43</v>
      </c>
    </row>
    <row r="6380" spans="2:9" ht="45">
      <c r="B6380" s="677">
        <v>87539</v>
      </c>
      <c r="C6380" s="733" t="s">
        <v>1526</v>
      </c>
      <c r="D6380" s="677" t="s">
        <v>0</v>
      </c>
      <c r="E6380" s="738">
        <f t="shared" si="198"/>
        <v>101.33</v>
      </c>
      <c r="F6380">
        <f t="shared" si="199"/>
        <v>87539</v>
      </c>
      <c r="H6380" s="1405">
        <v>99.87</v>
      </c>
      <c r="I6380" s="1405">
        <v>101.33</v>
      </c>
    </row>
    <row r="6381" spans="2:9" ht="45">
      <c r="B6381" s="1477">
        <v>87541</v>
      </c>
      <c r="C6381" s="740" t="s">
        <v>1527</v>
      </c>
      <c r="D6381" s="739" t="s">
        <v>0</v>
      </c>
      <c r="E6381" s="741">
        <f t="shared" si="198"/>
        <v>98.23</v>
      </c>
      <c r="F6381">
        <f t="shared" si="199"/>
        <v>87541</v>
      </c>
      <c r="H6381" s="1406">
        <v>97.09</v>
      </c>
      <c r="I6381" s="1406">
        <v>98.23</v>
      </c>
    </row>
    <row r="6382" spans="2:9" ht="45">
      <c r="B6382" s="677">
        <v>87543</v>
      </c>
      <c r="C6382" s="733" t="s">
        <v>1991</v>
      </c>
      <c r="D6382" s="677" t="s">
        <v>0</v>
      </c>
      <c r="E6382" s="738">
        <f t="shared" si="198"/>
        <v>32.770000000000003</v>
      </c>
      <c r="F6382">
        <f t="shared" si="199"/>
        <v>87543</v>
      </c>
      <c r="H6382" s="1405">
        <v>32.090000000000003</v>
      </c>
      <c r="I6382" s="1405">
        <v>32.770000000000003</v>
      </c>
    </row>
    <row r="6383" spans="2:9" ht="45">
      <c r="B6383" s="1477">
        <v>87545</v>
      </c>
      <c r="C6383" s="740" t="s">
        <v>1528</v>
      </c>
      <c r="D6383" s="739" t="s">
        <v>0</v>
      </c>
      <c r="E6383" s="741">
        <f t="shared" si="198"/>
        <v>27.79</v>
      </c>
      <c r="F6383">
        <f t="shared" si="199"/>
        <v>87545</v>
      </c>
      <c r="H6383" s="1406">
        <v>26.04</v>
      </c>
      <c r="I6383" s="1406">
        <v>27.79</v>
      </c>
    </row>
    <row r="6384" spans="2:9" ht="45">
      <c r="B6384" s="677">
        <v>87546</v>
      </c>
      <c r="C6384" s="733" t="s">
        <v>1529</v>
      </c>
      <c r="D6384" s="677" t="s">
        <v>0</v>
      </c>
      <c r="E6384" s="738">
        <f t="shared" si="198"/>
        <v>30.46</v>
      </c>
      <c r="F6384">
        <f t="shared" si="199"/>
        <v>87546</v>
      </c>
      <c r="H6384" s="1405">
        <v>28.43</v>
      </c>
      <c r="I6384" s="1405">
        <v>30.46</v>
      </c>
    </row>
    <row r="6385" spans="2:9" ht="30">
      <c r="B6385" s="1477">
        <v>87547</v>
      </c>
      <c r="C6385" s="740" t="s">
        <v>1530</v>
      </c>
      <c r="D6385" s="739" t="s">
        <v>0</v>
      </c>
      <c r="E6385" s="741">
        <f t="shared" si="198"/>
        <v>24.18</v>
      </c>
      <c r="F6385">
        <f t="shared" si="199"/>
        <v>87547</v>
      </c>
      <c r="H6385" s="1406">
        <v>22.8</v>
      </c>
      <c r="I6385" s="1406">
        <v>24.18</v>
      </c>
    </row>
    <row r="6386" spans="2:9" ht="30">
      <c r="B6386" s="677">
        <v>87548</v>
      </c>
      <c r="C6386" s="733" t="s">
        <v>1531</v>
      </c>
      <c r="D6386" s="677" t="s">
        <v>0</v>
      </c>
      <c r="E6386" s="738">
        <f t="shared" si="198"/>
        <v>26.85</v>
      </c>
      <c r="F6386">
        <f t="shared" si="199"/>
        <v>87548</v>
      </c>
      <c r="H6386" s="1405">
        <v>25.19</v>
      </c>
      <c r="I6386" s="1405">
        <v>26.85</v>
      </c>
    </row>
    <row r="6387" spans="2:9" ht="45">
      <c r="B6387" s="1477">
        <v>87549</v>
      </c>
      <c r="C6387" s="740" t="s">
        <v>1532</v>
      </c>
      <c r="D6387" s="739" t="s">
        <v>0</v>
      </c>
      <c r="E6387" s="741">
        <f t="shared" si="198"/>
        <v>22.87</v>
      </c>
      <c r="F6387">
        <f t="shared" si="199"/>
        <v>87549</v>
      </c>
      <c r="H6387" s="1406">
        <v>21.63</v>
      </c>
      <c r="I6387" s="1406">
        <v>22.87</v>
      </c>
    </row>
    <row r="6388" spans="2:9" ht="45">
      <c r="B6388" s="677">
        <v>87550</v>
      </c>
      <c r="C6388" s="733" t="s">
        <v>1533</v>
      </c>
      <c r="D6388" s="677" t="s">
        <v>0</v>
      </c>
      <c r="E6388" s="738">
        <f t="shared" si="198"/>
        <v>25.54</v>
      </c>
      <c r="F6388">
        <f t="shared" si="199"/>
        <v>87550</v>
      </c>
      <c r="H6388" s="1405">
        <v>24.02</v>
      </c>
      <c r="I6388" s="1405">
        <v>25.54</v>
      </c>
    </row>
    <row r="6389" spans="2:9" ht="45">
      <c r="B6389" s="1477">
        <v>87553</v>
      </c>
      <c r="C6389" s="740" t="s">
        <v>1534</v>
      </c>
      <c r="D6389" s="739" t="s">
        <v>0</v>
      </c>
      <c r="E6389" s="741">
        <f t="shared" si="198"/>
        <v>19.239999999999998</v>
      </c>
      <c r="F6389">
        <f t="shared" si="199"/>
        <v>87553</v>
      </c>
      <c r="H6389" s="1406">
        <v>18.37</v>
      </c>
      <c r="I6389" s="1406">
        <v>19.239999999999998</v>
      </c>
    </row>
    <row r="6390" spans="2:9" ht="45">
      <c r="B6390" s="677">
        <v>87554</v>
      </c>
      <c r="C6390" s="733" t="s">
        <v>1535</v>
      </c>
      <c r="D6390" s="677" t="s">
        <v>0</v>
      </c>
      <c r="E6390" s="738">
        <f t="shared" si="198"/>
        <v>21.91</v>
      </c>
      <c r="F6390">
        <f t="shared" si="199"/>
        <v>87554</v>
      </c>
      <c r="H6390" s="1405">
        <v>20.76</v>
      </c>
      <c r="I6390" s="1405">
        <v>21.91</v>
      </c>
    </row>
    <row r="6391" spans="2:9" ht="45">
      <c r="B6391" s="1477">
        <v>87555</v>
      </c>
      <c r="C6391" s="740" t="s">
        <v>1536</v>
      </c>
      <c r="D6391" s="739" t="s">
        <v>0</v>
      </c>
      <c r="E6391" s="741">
        <f t="shared" si="198"/>
        <v>62.99</v>
      </c>
      <c r="F6391">
        <f t="shared" si="199"/>
        <v>87555</v>
      </c>
      <c r="H6391" s="1406">
        <v>61.58</v>
      </c>
      <c r="I6391" s="1406">
        <v>62.99</v>
      </c>
    </row>
    <row r="6392" spans="2:9" ht="45">
      <c r="B6392" s="677">
        <v>87556</v>
      </c>
      <c r="C6392" s="733" t="s">
        <v>1537</v>
      </c>
      <c r="D6392" s="677" t="s">
        <v>0</v>
      </c>
      <c r="E6392" s="738">
        <f t="shared" si="198"/>
        <v>59.91</v>
      </c>
      <c r="F6392">
        <f t="shared" si="199"/>
        <v>87556</v>
      </c>
      <c r="H6392" s="1405">
        <v>58.82</v>
      </c>
      <c r="I6392" s="1405">
        <v>59.91</v>
      </c>
    </row>
    <row r="6393" spans="2:9" ht="45">
      <c r="B6393" s="1477">
        <v>87557</v>
      </c>
      <c r="C6393" s="740" t="s">
        <v>1538</v>
      </c>
      <c r="D6393" s="739" t="s">
        <v>0</v>
      </c>
      <c r="E6393" s="741">
        <f t="shared" si="198"/>
        <v>58.78</v>
      </c>
      <c r="F6393">
        <f t="shared" si="199"/>
        <v>87557</v>
      </c>
      <c r="H6393" s="1406">
        <v>57.81</v>
      </c>
      <c r="I6393" s="1406">
        <v>58.78</v>
      </c>
    </row>
    <row r="6394" spans="2:9" ht="45">
      <c r="B6394" s="677">
        <v>87559</v>
      </c>
      <c r="C6394" s="733" t="s">
        <v>1539</v>
      </c>
      <c r="D6394" s="677" t="s">
        <v>0</v>
      </c>
      <c r="E6394" s="738">
        <f t="shared" si="198"/>
        <v>55.67</v>
      </c>
      <c r="F6394">
        <f t="shared" si="199"/>
        <v>87559</v>
      </c>
      <c r="H6394" s="1405">
        <v>55.03</v>
      </c>
      <c r="I6394" s="1405">
        <v>55.67</v>
      </c>
    </row>
    <row r="6395" spans="2:9" ht="45">
      <c r="B6395" s="1477">
        <v>87561</v>
      </c>
      <c r="C6395" s="740" t="s">
        <v>1540</v>
      </c>
      <c r="D6395" s="739" t="s">
        <v>0</v>
      </c>
      <c r="E6395" s="741">
        <f t="shared" si="198"/>
        <v>59.06</v>
      </c>
      <c r="F6395">
        <f t="shared" si="199"/>
        <v>87561</v>
      </c>
      <c r="H6395" s="1406">
        <v>58.06</v>
      </c>
      <c r="I6395" s="1406">
        <v>59.06</v>
      </c>
    </row>
    <row r="6396" spans="2:9" ht="30">
      <c r="B6396" s="677">
        <v>87775</v>
      </c>
      <c r="C6396" s="733" t="s">
        <v>6704</v>
      </c>
      <c r="D6396" s="677" t="s">
        <v>0</v>
      </c>
      <c r="E6396" s="738">
        <f t="shared" si="198"/>
        <v>52.69</v>
      </c>
      <c r="F6396">
        <f t="shared" si="199"/>
        <v>87775</v>
      </c>
      <c r="H6396" s="1405">
        <v>49.25</v>
      </c>
      <c r="I6396" s="1405">
        <v>52.69</v>
      </c>
    </row>
    <row r="6397" spans="2:9" ht="30">
      <c r="B6397" s="1477">
        <v>87777</v>
      </c>
      <c r="C6397" s="740" t="s">
        <v>6705</v>
      </c>
      <c r="D6397" s="739" t="s">
        <v>0</v>
      </c>
      <c r="E6397" s="741">
        <f t="shared" si="198"/>
        <v>56.62</v>
      </c>
      <c r="F6397">
        <f t="shared" si="199"/>
        <v>87777</v>
      </c>
      <c r="H6397" s="1406">
        <v>52.78</v>
      </c>
      <c r="I6397" s="1406">
        <v>56.62</v>
      </c>
    </row>
    <row r="6398" spans="2:9" ht="30">
      <c r="B6398" s="677">
        <v>87778</v>
      </c>
      <c r="C6398" s="733" t="s">
        <v>6706</v>
      </c>
      <c r="D6398" s="677" t="s">
        <v>0</v>
      </c>
      <c r="E6398" s="738">
        <f t="shared" si="198"/>
        <v>106.68</v>
      </c>
      <c r="F6398">
        <f t="shared" si="199"/>
        <v>87778</v>
      </c>
      <c r="H6398" s="1405">
        <v>103.55</v>
      </c>
      <c r="I6398" s="1405">
        <v>106.68</v>
      </c>
    </row>
    <row r="6399" spans="2:9" ht="30">
      <c r="B6399" s="1477">
        <v>87779</v>
      </c>
      <c r="C6399" s="740" t="s">
        <v>6707</v>
      </c>
      <c r="D6399" s="739" t="s">
        <v>0</v>
      </c>
      <c r="E6399" s="741">
        <f t="shared" si="198"/>
        <v>67.760000000000005</v>
      </c>
      <c r="F6399">
        <f t="shared" si="199"/>
        <v>87779</v>
      </c>
      <c r="H6399" s="1406">
        <v>63.34</v>
      </c>
      <c r="I6399" s="1406">
        <v>67.760000000000005</v>
      </c>
    </row>
    <row r="6400" spans="2:9" ht="30">
      <c r="B6400" s="677">
        <v>87781</v>
      </c>
      <c r="C6400" s="733" t="s">
        <v>6708</v>
      </c>
      <c r="D6400" s="677" t="s">
        <v>0</v>
      </c>
      <c r="E6400" s="738">
        <f t="shared" si="198"/>
        <v>73.03</v>
      </c>
      <c r="F6400">
        <f t="shared" si="199"/>
        <v>87781</v>
      </c>
      <c r="H6400" s="1405">
        <v>68.069999999999993</v>
      </c>
      <c r="I6400" s="1405">
        <v>73.03</v>
      </c>
    </row>
    <row r="6401" spans="2:9" ht="30">
      <c r="B6401" s="1477">
        <v>87783</v>
      </c>
      <c r="C6401" s="740" t="s">
        <v>6709</v>
      </c>
      <c r="D6401" s="739" t="s">
        <v>0</v>
      </c>
      <c r="E6401" s="741">
        <f t="shared" si="198"/>
        <v>140.4</v>
      </c>
      <c r="F6401">
        <f t="shared" si="199"/>
        <v>87783</v>
      </c>
      <c r="H6401" s="1406">
        <v>136.35</v>
      </c>
      <c r="I6401" s="1406">
        <v>140.4</v>
      </c>
    </row>
    <row r="6402" spans="2:9" ht="30">
      <c r="B6402" s="677">
        <v>87784</v>
      </c>
      <c r="C6402" s="733" t="s">
        <v>6710</v>
      </c>
      <c r="D6402" s="677" t="s">
        <v>0</v>
      </c>
      <c r="E6402" s="738">
        <f t="shared" si="198"/>
        <v>74.11</v>
      </c>
      <c r="F6402">
        <f t="shared" si="199"/>
        <v>87784</v>
      </c>
      <c r="H6402" s="1405">
        <v>69.58</v>
      </c>
      <c r="I6402" s="1405">
        <v>74.11</v>
      </c>
    </row>
    <row r="6403" spans="2:9" ht="30">
      <c r="B6403" s="1477">
        <v>87786</v>
      </c>
      <c r="C6403" s="740" t="s">
        <v>6711</v>
      </c>
      <c r="D6403" s="739" t="s">
        <v>0</v>
      </c>
      <c r="E6403" s="741">
        <f t="shared" ref="E6403:E6466" si="200">IF($K$2=$H$1,H6403,I6403)</f>
        <v>80.709999999999994</v>
      </c>
      <c r="F6403">
        <f t="shared" ref="F6403:F6466" si="201">IF(LEN($B6403)=7,CONCATENATE(MID($B6403,1,6),"00",RIGHT($B6403,1)),IF(LEN($B6403)=8,CONCATENATE(MID($B6403,1,6),"0",RIGHT($B6403,2)),$B6403))</f>
        <v>87786</v>
      </c>
      <c r="H6403" s="1406">
        <v>75.510000000000005</v>
      </c>
      <c r="I6403" s="1406">
        <v>80.709999999999994</v>
      </c>
    </row>
    <row r="6404" spans="2:9" ht="30">
      <c r="B6404" s="677">
        <v>87787</v>
      </c>
      <c r="C6404" s="733" t="s">
        <v>6712</v>
      </c>
      <c r="D6404" s="677" t="s">
        <v>0</v>
      </c>
      <c r="E6404" s="738">
        <f t="shared" si="200"/>
        <v>166.11</v>
      </c>
      <c r="F6404">
        <f t="shared" si="201"/>
        <v>87787</v>
      </c>
      <c r="H6404" s="1405">
        <v>161.97</v>
      </c>
      <c r="I6404" s="1405">
        <v>166.11</v>
      </c>
    </row>
    <row r="6405" spans="2:9" ht="30">
      <c r="B6405" s="1477">
        <v>87788</v>
      </c>
      <c r="C6405" s="740" t="s">
        <v>6713</v>
      </c>
      <c r="D6405" s="739" t="s">
        <v>0</v>
      </c>
      <c r="E6405" s="741">
        <f t="shared" si="200"/>
        <v>87.17</v>
      </c>
      <c r="F6405">
        <f t="shared" si="201"/>
        <v>87788</v>
      </c>
      <c r="H6405" s="1406">
        <v>81.599999999999994</v>
      </c>
      <c r="I6405" s="1406">
        <v>87.17</v>
      </c>
    </row>
    <row r="6406" spans="2:9" ht="30">
      <c r="B6406" s="677">
        <v>87790</v>
      </c>
      <c r="C6406" s="733" t="s">
        <v>1541</v>
      </c>
      <c r="D6406" s="677" t="s">
        <v>0</v>
      </c>
      <c r="E6406" s="738">
        <f t="shared" si="200"/>
        <v>94.44</v>
      </c>
      <c r="F6406">
        <f t="shared" si="201"/>
        <v>87790</v>
      </c>
      <c r="H6406" s="1405">
        <v>88.12</v>
      </c>
      <c r="I6406" s="1405">
        <v>94.44</v>
      </c>
    </row>
    <row r="6407" spans="2:9" ht="45">
      <c r="B6407" s="1477">
        <v>87791</v>
      </c>
      <c r="C6407" s="740" t="s">
        <v>6714</v>
      </c>
      <c r="D6407" s="739" t="s">
        <v>0</v>
      </c>
      <c r="E6407" s="741">
        <f t="shared" si="200"/>
        <v>182.94</v>
      </c>
      <c r="F6407">
        <f t="shared" si="201"/>
        <v>87791</v>
      </c>
      <c r="H6407" s="1406">
        <v>178.34</v>
      </c>
      <c r="I6407" s="1406">
        <v>182.94</v>
      </c>
    </row>
    <row r="6408" spans="2:9" ht="30">
      <c r="B6408" s="677">
        <v>87792</v>
      </c>
      <c r="C6408" s="733" t="s">
        <v>6715</v>
      </c>
      <c r="D6408" s="677" t="s">
        <v>0</v>
      </c>
      <c r="E6408" s="738">
        <f t="shared" si="200"/>
        <v>39.450000000000003</v>
      </c>
      <c r="F6408">
        <f t="shared" si="201"/>
        <v>87792</v>
      </c>
      <c r="H6408" s="1405">
        <v>37.28</v>
      </c>
      <c r="I6408" s="1405">
        <v>39.450000000000003</v>
      </c>
    </row>
    <row r="6409" spans="2:9" ht="30">
      <c r="B6409" s="1477">
        <v>87794</v>
      </c>
      <c r="C6409" s="740" t="s">
        <v>6716</v>
      </c>
      <c r="D6409" s="739" t="s">
        <v>0</v>
      </c>
      <c r="E6409" s="741">
        <f t="shared" si="200"/>
        <v>43.11</v>
      </c>
      <c r="F6409">
        <f t="shared" si="201"/>
        <v>87794</v>
      </c>
      <c r="H6409" s="1406">
        <v>40.57</v>
      </c>
      <c r="I6409" s="1406">
        <v>43.11</v>
      </c>
    </row>
    <row r="6410" spans="2:9" ht="45">
      <c r="B6410" s="677">
        <v>87795</v>
      </c>
      <c r="C6410" s="733" t="s">
        <v>6717</v>
      </c>
      <c r="D6410" s="677" t="s">
        <v>0</v>
      </c>
      <c r="E6410" s="738">
        <f t="shared" si="200"/>
        <v>90.79</v>
      </c>
      <c r="F6410">
        <f t="shared" si="201"/>
        <v>87795</v>
      </c>
      <c r="H6410" s="1405">
        <v>88.8</v>
      </c>
      <c r="I6410" s="1405">
        <v>90.79</v>
      </c>
    </row>
    <row r="6411" spans="2:9" ht="30">
      <c r="B6411" s="1477">
        <v>87797</v>
      </c>
      <c r="C6411" s="740" t="s">
        <v>6718</v>
      </c>
      <c r="D6411" s="739" t="s">
        <v>0</v>
      </c>
      <c r="E6411" s="741">
        <f t="shared" si="200"/>
        <v>54.15</v>
      </c>
      <c r="F6411">
        <f t="shared" si="201"/>
        <v>87797</v>
      </c>
      <c r="H6411" s="1406">
        <v>51</v>
      </c>
      <c r="I6411" s="1406">
        <v>54.15</v>
      </c>
    </row>
    <row r="6412" spans="2:9" ht="30">
      <c r="B6412" s="677">
        <v>87799</v>
      </c>
      <c r="C6412" s="733" t="s">
        <v>6719</v>
      </c>
      <c r="D6412" s="677" t="s">
        <v>0</v>
      </c>
      <c r="E6412" s="738">
        <f t="shared" si="200"/>
        <v>59.07</v>
      </c>
      <c r="F6412">
        <f t="shared" si="201"/>
        <v>87799</v>
      </c>
      <c r="H6412" s="1405">
        <v>55.42</v>
      </c>
      <c r="I6412" s="1405">
        <v>59.07</v>
      </c>
    </row>
    <row r="6413" spans="2:9" ht="45">
      <c r="B6413" s="1477">
        <v>87800</v>
      </c>
      <c r="C6413" s="740" t="s">
        <v>6720</v>
      </c>
      <c r="D6413" s="739" t="s">
        <v>0</v>
      </c>
      <c r="E6413" s="741">
        <f t="shared" si="200"/>
        <v>122.77</v>
      </c>
      <c r="F6413">
        <f t="shared" si="201"/>
        <v>87800</v>
      </c>
      <c r="H6413" s="1406">
        <v>119.89</v>
      </c>
      <c r="I6413" s="1406">
        <v>122.77</v>
      </c>
    </row>
    <row r="6414" spans="2:9" ht="30">
      <c r="B6414" s="677">
        <v>87801</v>
      </c>
      <c r="C6414" s="733" t="s">
        <v>6721</v>
      </c>
      <c r="D6414" s="677" t="s">
        <v>0</v>
      </c>
      <c r="E6414" s="738">
        <f t="shared" si="200"/>
        <v>60.08</v>
      </c>
      <c r="F6414">
        <f t="shared" si="201"/>
        <v>87801</v>
      </c>
      <c r="H6414" s="1405">
        <v>56.84</v>
      </c>
      <c r="I6414" s="1405">
        <v>60.08</v>
      </c>
    </row>
    <row r="6415" spans="2:9" ht="30">
      <c r="B6415" s="1477">
        <v>87803</v>
      </c>
      <c r="C6415" s="740" t="s">
        <v>6722</v>
      </c>
      <c r="D6415" s="739" t="s">
        <v>0</v>
      </c>
      <c r="E6415" s="741">
        <f t="shared" si="200"/>
        <v>66.25</v>
      </c>
      <c r="F6415">
        <f t="shared" si="201"/>
        <v>87803</v>
      </c>
      <c r="H6415" s="1406">
        <v>62.38</v>
      </c>
      <c r="I6415" s="1406">
        <v>66.25</v>
      </c>
    </row>
    <row r="6416" spans="2:9" ht="45">
      <c r="B6416" s="677">
        <v>87804</v>
      </c>
      <c r="C6416" s="733" t="s">
        <v>6723</v>
      </c>
      <c r="D6416" s="677" t="s">
        <v>0</v>
      </c>
      <c r="E6416" s="738">
        <f t="shared" si="200"/>
        <v>146.80000000000001</v>
      </c>
      <c r="F6416">
        <f t="shared" si="201"/>
        <v>87804</v>
      </c>
      <c r="H6416" s="1405">
        <v>143.83000000000001</v>
      </c>
      <c r="I6416" s="1405">
        <v>146.80000000000001</v>
      </c>
    </row>
    <row r="6417" spans="2:9" ht="30">
      <c r="B6417" s="1477">
        <v>87805</v>
      </c>
      <c r="C6417" s="740" t="s">
        <v>6724</v>
      </c>
      <c r="D6417" s="739" t="s">
        <v>0</v>
      </c>
      <c r="E6417" s="741">
        <f t="shared" si="200"/>
        <v>65.569999999999993</v>
      </c>
      <c r="F6417">
        <f t="shared" si="201"/>
        <v>87805</v>
      </c>
      <c r="H6417" s="1406">
        <v>62.03</v>
      </c>
      <c r="I6417" s="1406">
        <v>65.569999999999993</v>
      </c>
    </row>
    <row r="6418" spans="2:9" ht="30">
      <c r="B6418" s="677">
        <v>87807</v>
      </c>
      <c r="C6418" s="733" t="s">
        <v>6725</v>
      </c>
      <c r="D6418" s="677" t="s">
        <v>0</v>
      </c>
      <c r="E6418" s="738">
        <f t="shared" si="200"/>
        <v>72.36</v>
      </c>
      <c r="F6418">
        <f t="shared" si="201"/>
        <v>87807</v>
      </c>
      <c r="H6418" s="1405">
        <v>68.13</v>
      </c>
      <c r="I6418" s="1405">
        <v>72.36</v>
      </c>
    </row>
    <row r="6419" spans="2:9" ht="45">
      <c r="B6419" s="1477">
        <v>87808</v>
      </c>
      <c r="C6419" s="740" t="s">
        <v>6726</v>
      </c>
      <c r="D6419" s="739" t="s">
        <v>0</v>
      </c>
      <c r="E6419" s="741">
        <f t="shared" si="200"/>
        <v>158.16</v>
      </c>
      <c r="F6419">
        <f t="shared" si="201"/>
        <v>87808</v>
      </c>
      <c r="H6419" s="1406">
        <v>155.22999999999999</v>
      </c>
      <c r="I6419" s="1406">
        <v>158.16</v>
      </c>
    </row>
    <row r="6420" spans="2:9" ht="45">
      <c r="B6420" s="677">
        <v>87809</v>
      </c>
      <c r="C6420" s="733" t="s">
        <v>6727</v>
      </c>
      <c r="D6420" s="677" t="s">
        <v>0</v>
      </c>
      <c r="E6420" s="738">
        <f t="shared" si="200"/>
        <v>73.22</v>
      </c>
      <c r="F6420">
        <f t="shared" si="201"/>
        <v>87809</v>
      </c>
      <c r="H6420" s="1405">
        <v>67.3</v>
      </c>
      <c r="I6420" s="1405">
        <v>73.22</v>
      </c>
    </row>
    <row r="6421" spans="2:9" ht="30">
      <c r="B6421" s="1477">
        <v>87811</v>
      </c>
      <c r="C6421" s="740" t="s">
        <v>6728</v>
      </c>
      <c r="D6421" s="739" t="s">
        <v>0</v>
      </c>
      <c r="E6421" s="741">
        <f t="shared" si="200"/>
        <v>76.88</v>
      </c>
      <c r="F6421">
        <f t="shared" si="201"/>
        <v>87811</v>
      </c>
      <c r="H6421" s="1406">
        <v>70.59</v>
      </c>
      <c r="I6421" s="1406">
        <v>76.88</v>
      </c>
    </row>
    <row r="6422" spans="2:9" ht="30">
      <c r="B6422" s="677">
        <v>87812</v>
      </c>
      <c r="C6422" s="733" t="s">
        <v>6729</v>
      </c>
      <c r="D6422" s="677" t="s">
        <v>0</v>
      </c>
      <c r="E6422" s="738">
        <f t="shared" si="200"/>
        <v>121.17</v>
      </c>
      <c r="F6422">
        <f t="shared" si="201"/>
        <v>87812</v>
      </c>
      <c r="H6422" s="1405">
        <v>115.76</v>
      </c>
      <c r="I6422" s="1405">
        <v>121.17</v>
      </c>
    </row>
    <row r="6423" spans="2:9" ht="45">
      <c r="B6423" s="1477">
        <v>87813</v>
      </c>
      <c r="C6423" s="740" t="s">
        <v>6730</v>
      </c>
      <c r="D6423" s="739" t="s">
        <v>0</v>
      </c>
      <c r="E6423" s="741">
        <f t="shared" si="200"/>
        <v>87.92</v>
      </c>
      <c r="F6423">
        <f t="shared" si="201"/>
        <v>87813</v>
      </c>
      <c r="H6423" s="1406">
        <v>81.02</v>
      </c>
      <c r="I6423" s="1406">
        <v>87.92</v>
      </c>
    </row>
    <row r="6424" spans="2:9" ht="30">
      <c r="B6424" s="677">
        <v>87815</v>
      </c>
      <c r="C6424" s="733" t="s">
        <v>6731</v>
      </c>
      <c r="D6424" s="677" t="s">
        <v>0</v>
      </c>
      <c r="E6424" s="738">
        <f t="shared" si="200"/>
        <v>92.84</v>
      </c>
      <c r="F6424">
        <f t="shared" si="201"/>
        <v>87815</v>
      </c>
      <c r="H6424" s="1405">
        <v>85.44</v>
      </c>
      <c r="I6424" s="1405">
        <v>92.84</v>
      </c>
    </row>
    <row r="6425" spans="2:9" ht="30">
      <c r="B6425" s="1477">
        <v>87816</v>
      </c>
      <c r="C6425" s="740" t="s">
        <v>6732</v>
      </c>
      <c r="D6425" s="739" t="s">
        <v>0</v>
      </c>
      <c r="E6425" s="741">
        <f t="shared" si="200"/>
        <v>153.18</v>
      </c>
      <c r="F6425">
        <f t="shared" si="201"/>
        <v>87816</v>
      </c>
      <c r="H6425" s="1406">
        <v>146.9</v>
      </c>
      <c r="I6425" s="1406">
        <v>153.18</v>
      </c>
    </row>
    <row r="6426" spans="2:9" ht="45">
      <c r="B6426" s="677">
        <v>87817</v>
      </c>
      <c r="C6426" s="733" t="s">
        <v>6733</v>
      </c>
      <c r="D6426" s="677" t="s">
        <v>0</v>
      </c>
      <c r="E6426" s="738">
        <f t="shared" si="200"/>
        <v>93.85</v>
      </c>
      <c r="F6426">
        <f t="shared" si="201"/>
        <v>87817</v>
      </c>
      <c r="H6426" s="1405">
        <v>86.86</v>
      </c>
      <c r="I6426" s="1405">
        <v>93.85</v>
      </c>
    </row>
    <row r="6427" spans="2:9" ht="30">
      <c r="B6427" s="1477">
        <v>87819</v>
      </c>
      <c r="C6427" s="740" t="s">
        <v>6734</v>
      </c>
      <c r="D6427" s="739" t="s">
        <v>0</v>
      </c>
      <c r="E6427" s="741">
        <f t="shared" si="200"/>
        <v>100.02</v>
      </c>
      <c r="F6427">
        <f t="shared" si="201"/>
        <v>87819</v>
      </c>
      <c r="H6427" s="1406">
        <v>92.4</v>
      </c>
      <c r="I6427" s="1406">
        <v>100.02</v>
      </c>
    </row>
    <row r="6428" spans="2:9" ht="30">
      <c r="B6428" s="677">
        <v>87820</v>
      </c>
      <c r="C6428" s="733" t="s">
        <v>6735</v>
      </c>
      <c r="D6428" s="677" t="s">
        <v>0</v>
      </c>
      <c r="E6428" s="738">
        <f t="shared" si="200"/>
        <v>177.21</v>
      </c>
      <c r="F6428">
        <f t="shared" si="201"/>
        <v>87820</v>
      </c>
      <c r="H6428" s="1405">
        <v>170.84</v>
      </c>
      <c r="I6428" s="1405">
        <v>177.21</v>
      </c>
    </row>
    <row r="6429" spans="2:9" ht="45">
      <c r="B6429" s="1477">
        <v>87821</v>
      </c>
      <c r="C6429" s="740" t="s">
        <v>6736</v>
      </c>
      <c r="D6429" s="739" t="s">
        <v>0</v>
      </c>
      <c r="E6429" s="741">
        <f t="shared" si="200"/>
        <v>121.49</v>
      </c>
      <c r="F6429">
        <f t="shared" si="201"/>
        <v>87821</v>
      </c>
      <c r="H6429" s="1406">
        <v>111.95</v>
      </c>
      <c r="I6429" s="1406">
        <v>121.49</v>
      </c>
    </row>
    <row r="6430" spans="2:9" ht="30">
      <c r="B6430" s="677">
        <v>87823</v>
      </c>
      <c r="C6430" s="733" t="s">
        <v>8143</v>
      </c>
      <c r="D6430" s="677" t="s">
        <v>0</v>
      </c>
      <c r="E6430" s="738">
        <f t="shared" si="200"/>
        <v>128.28</v>
      </c>
      <c r="F6430">
        <f t="shared" si="201"/>
        <v>87823</v>
      </c>
      <c r="H6430" s="1405">
        <v>118.05</v>
      </c>
      <c r="I6430" s="1405">
        <v>128.28</v>
      </c>
    </row>
    <row r="6431" spans="2:9" ht="45">
      <c r="B6431" s="1477">
        <v>87824</v>
      </c>
      <c r="C6431" s="740" t="s">
        <v>6737</v>
      </c>
      <c r="D6431" s="739" t="s">
        <v>0</v>
      </c>
      <c r="E6431" s="741">
        <f t="shared" si="200"/>
        <v>202.92</v>
      </c>
      <c r="F6431">
        <f t="shared" si="201"/>
        <v>87824</v>
      </c>
      <c r="H6431" s="1406">
        <v>195.13</v>
      </c>
      <c r="I6431" s="1406">
        <v>202.92</v>
      </c>
    </row>
    <row r="6432" spans="2:9" ht="45">
      <c r="B6432" s="677">
        <v>87825</v>
      </c>
      <c r="C6432" s="733" t="s">
        <v>6738</v>
      </c>
      <c r="D6432" s="677" t="s">
        <v>0</v>
      </c>
      <c r="E6432" s="738">
        <f t="shared" si="200"/>
        <v>68.91</v>
      </c>
      <c r="F6432">
        <f t="shared" si="201"/>
        <v>87825</v>
      </c>
      <c r="H6432" s="1405">
        <v>63.75</v>
      </c>
      <c r="I6432" s="1405">
        <v>68.91</v>
      </c>
    </row>
    <row r="6433" spans="2:9" ht="30">
      <c r="B6433" s="1477">
        <v>87827</v>
      </c>
      <c r="C6433" s="740" t="s">
        <v>6739</v>
      </c>
      <c r="D6433" s="739" t="s">
        <v>0</v>
      </c>
      <c r="E6433" s="741">
        <f t="shared" si="200"/>
        <v>73.400000000000006</v>
      </c>
      <c r="F6433">
        <f t="shared" si="201"/>
        <v>87827</v>
      </c>
      <c r="H6433" s="1406">
        <v>67.78</v>
      </c>
      <c r="I6433" s="1406">
        <v>73.400000000000006</v>
      </c>
    </row>
    <row r="6434" spans="2:9" ht="30">
      <c r="B6434" s="677">
        <v>87828</v>
      </c>
      <c r="C6434" s="733" t="s">
        <v>6740</v>
      </c>
      <c r="D6434" s="677" t="s">
        <v>0</v>
      </c>
      <c r="E6434" s="738">
        <f t="shared" si="200"/>
        <v>129.63</v>
      </c>
      <c r="F6434">
        <f t="shared" si="201"/>
        <v>87828</v>
      </c>
      <c r="H6434" s="1405">
        <v>124.93</v>
      </c>
      <c r="I6434" s="1405">
        <v>129.63</v>
      </c>
    </row>
    <row r="6435" spans="2:9" ht="45">
      <c r="B6435" s="1477">
        <v>87829</v>
      </c>
      <c r="C6435" s="740" t="s">
        <v>6741</v>
      </c>
      <c r="D6435" s="739" t="s">
        <v>0</v>
      </c>
      <c r="E6435" s="741">
        <f t="shared" si="200"/>
        <v>83.63</v>
      </c>
      <c r="F6435">
        <f t="shared" si="201"/>
        <v>87829</v>
      </c>
      <c r="H6435" s="1406">
        <v>77.61</v>
      </c>
      <c r="I6435" s="1406">
        <v>83.63</v>
      </c>
    </row>
    <row r="6436" spans="2:9" ht="30">
      <c r="B6436" s="677">
        <v>87831</v>
      </c>
      <c r="C6436" s="733" t="s">
        <v>6742</v>
      </c>
      <c r="D6436" s="677" t="s">
        <v>0</v>
      </c>
      <c r="E6436" s="738">
        <f t="shared" si="200"/>
        <v>89.65</v>
      </c>
      <c r="F6436">
        <f t="shared" si="201"/>
        <v>87831</v>
      </c>
      <c r="H6436" s="1405">
        <v>83.01</v>
      </c>
      <c r="I6436" s="1405">
        <v>89.65</v>
      </c>
    </row>
    <row r="6437" spans="2:9" ht="45">
      <c r="B6437" s="1477">
        <v>87832</v>
      </c>
      <c r="C6437" s="740" t="s">
        <v>6743</v>
      </c>
      <c r="D6437" s="739" t="s">
        <v>0</v>
      </c>
      <c r="E6437" s="741">
        <f t="shared" si="200"/>
        <v>165.73</v>
      </c>
      <c r="F6437">
        <f t="shared" si="201"/>
        <v>87832</v>
      </c>
      <c r="H6437" s="1406">
        <v>160.25</v>
      </c>
      <c r="I6437" s="1406">
        <v>165.73</v>
      </c>
    </row>
    <row r="6438" spans="2:9" ht="30">
      <c r="B6438" s="677">
        <v>87834</v>
      </c>
      <c r="C6438" s="733" t="s">
        <v>1542</v>
      </c>
      <c r="D6438" s="677" t="s">
        <v>0</v>
      </c>
      <c r="E6438" s="738">
        <f t="shared" si="200"/>
        <v>259.39999999999998</v>
      </c>
      <c r="F6438">
        <f t="shared" si="201"/>
        <v>87834</v>
      </c>
      <c r="H6438" s="1405">
        <v>257.18</v>
      </c>
      <c r="I6438" s="1405">
        <v>259.39999999999998</v>
      </c>
    </row>
    <row r="6439" spans="2:9" ht="30">
      <c r="B6439" s="1477">
        <v>87835</v>
      </c>
      <c r="C6439" s="740" t="s">
        <v>1543</v>
      </c>
      <c r="D6439" s="739" t="s">
        <v>0</v>
      </c>
      <c r="E6439" s="741">
        <f t="shared" si="200"/>
        <v>180.11</v>
      </c>
      <c r="F6439">
        <f t="shared" si="201"/>
        <v>87835</v>
      </c>
      <c r="H6439" s="1406">
        <v>178.3</v>
      </c>
      <c r="I6439" s="1406">
        <v>180.11</v>
      </c>
    </row>
    <row r="6440" spans="2:9" ht="30">
      <c r="B6440" s="677">
        <v>87836</v>
      </c>
      <c r="C6440" s="733" t="s">
        <v>1544</v>
      </c>
      <c r="D6440" s="677" t="s">
        <v>0</v>
      </c>
      <c r="E6440" s="738">
        <f t="shared" si="200"/>
        <v>250.9</v>
      </c>
      <c r="F6440">
        <f t="shared" si="201"/>
        <v>87836</v>
      </c>
      <c r="H6440" s="1405">
        <v>249.42</v>
      </c>
      <c r="I6440" s="1405">
        <v>250.9</v>
      </c>
    </row>
    <row r="6441" spans="2:9" ht="30">
      <c r="B6441" s="1477">
        <v>87837</v>
      </c>
      <c r="C6441" s="740" t="s">
        <v>1545</v>
      </c>
      <c r="D6441" s="739" t="s">
        <v>0</v>
      </c>
      <c r="E6441" s="741">
        <f t="shared" si="200"/>
        <v>172.76</v>
      </c>
      <c r="F6441">
        <f t="shared" si="201"/>
        <v>87837</v>
      </c>
      <c r="H6441" s="1406">
        <v>171.63</v>
      </c>
      <c r="I6441" s="1406">
        <v>172.76</v>
      </c>
    </row>
    <row r="6442" spans="2:9" ht="30">
      <c r="B6442" s="677">
        <v>87838</v>
      </c>
      <c r="C6442" s="733" t="s">
        <v>1546</v>
      </c>
      <c r="D6442" s="677" t="s">
        <v>0</v>
      </c>
      <c r="E6442" s="738">
        <f t="shared" si="200"/>
        <v>266.79000000000002</v>
      </c>
      <c r="F6442">
        <f t="shared" si="201"/>
        <v>87838</v>
      </c>
      <c r="H6442" s="1405">
        <v>264.05</v>
      </c>
      <c r="I6442" s="1405">
        <v>266.79000000000002</v>
      </c>
    </row>
    <row r="6443" spans="2:9" ht="30">
      <c r="B6443" s="1477">
        <v>87839</v>
      </c>
      <c r="C6443" s="740" t="s">
        <v>1547</v>
      </c>
      <c r="D6443" s="739" t="s">
        <v>0</v>
      </c>
      <c r="E6443" s="741">
        <f t="shared" si="200"/>
        <v>185.69</v>
      </c>
      <c r="F6443">
        <f t="shared" si="201"/>
        <v>87839</v>
      </c>
      <c r="H6443" s="1406">
        <v>183.37</v>
      </c>
      <c r="I6443" s="1406">
        <v>185.69</v>
      </c>
    </row>
    <row r="6444" spans="2:9" ht="30">
      <c r="B6444" s="677">
        <v>87840</v>
      </c>
      <c r="C6444" s="733" t="s">
        <v>1548</v>
      </c>
      <c r="D6444" s="677" t="s">
        <v>0</v>
      </c>
      <c r="E6444" s="738">
        <f t="shared" si="200"/>
        <v>256.42</v>
      </c>
      <c r="F6444">
        <f t="shared" si="201"/>
        <v>87840</v>
      </c>
      <c r="H6444" s="1405">
        <v>254.61</v>
      </c>
      <c r="I6444" s="1405">
        <v>256.42</v>
      </c>
    </row>
    <row r="6445" spans="2:9" ht="30">
      <c r="B6445" s="1477">
        <v>87841</v>
      </c>
      <c r="C6445" s="740" t="s">
        <v>1549</v>
      </c>
      <c r="D6445" s="739" t="s">
        <v>0</v>
      </c>
      <c r="E6445" s="741">
        <f t="shared" si="200"/>
        <v>176.45</v>
      </c>
      <c r="F6445">
        <f t="shared" si="201"/>
        <v>87841</v>
      </c>
      <c r="H6445" s="1406">
        <v>174.98</v>
      </c>
      <c r="I6445" s="1406">
        <v>176.45</v>
      </c>
    </row>
    <row r="6446" spans="2:9" ht="30">
      <c r="B6446" s="677">
        <v>87842</v>
      </c>
      <c r="C6446" s="733" t="s">
        <v>1550</v>
      </c>
      <c r="D6446" s="677" t="s">
        <v>0</v>
      </c>
      <c r="E6446" s="738">
        <f t="shared" si="200"/>
        <v>269.45</v>
      </c>
      <c r="F6446">
        <f t="shared" si="201"/>
        <v>87842</v>
      </c>
      <c r="H6446" s="1405">
        <v>265.37</v>
      </c>
      <c r="I6446" s="1405">
        <v>269.45</v>
      </c>
    </row>
    <row r="6447" spans="2:9" ht="30">
      <c r="B6447" s="1477">
        <v>87843</v>
      </c>
      <c r="C6447" s="740" t="s">
        <v>1551</v>
      </c>
      <c r="D6447" s="739" t="s">
        <v>0</v>
      </c>
      <c r="E6447" s="741">
        <f t="shared" si="200"/>
        <v>196.03</v>
      </c>
      <c r="F6447">
        <f t="shared" si="201"/>
        <v>87843</v>
      </c>
      <c r="H6447" s="1406">
        <v>192.37</v>
      </c>
      <c r="I6447" s="1406">
        <v>196.03</v>
      </c>
    </row>
    <row r="6448" spans="2:9" ht="30">
      <c r="B6448" s="677">
        <v>87844</v>
      </c>
      <c r="C6448" s="733" t="s">
        <v>1552</v>
      </c>
      <c r="D6448" s="677" t="s">
        <v>0</v>
      </c>
      <c r="E6448" s="738">
        <f t="shared" si="200"/>
        <v>254.13</v>
      </c>
      <c r="F6448">
        <f t="shared" si="201"/>
        <v>87844</v>
      </c>
      <c r="H6448" s="1405">
        <v>251.47</v>
      </c>
      <c r="I6448" s="1405">
        <v>254.13</v>
      </c>
    </row>
    <row r="6449" spans="2:9" ht="30">
      <c r="B6449" s="1477">
        <v>87845</v>
      </c>
      <c r="C6449" s="740" t="s">
        <v>1553</v>
      </c>
      <c r="D6449" s="739" t="s">
        <v>0</v>
      </c>
      <c r="E6449" s="741">
        <f t="shared" si="200"/>
        <v>181.89</v>
      </c>
      <c r="F6449">
        <f t="shared" si="201"/>
        <v>87845</v>
      </c>
      <c r="H6449" s="1406">
        <v>179.56</v>
      </c>
      <c r="I6449" s="1406">
        <v>181.89</v>
      </c>
    </row>
    <row r="6450" spans="2:9" ht="30">
      <c r="B6450" s="677">
        <v>87846</v>
      </c>
      <c r="C6450" s="733" t="s">
        <v>1554</v>
      </c>
      <c r="D6450" s="677" t="s">
        <v>0</v>
      </c>
      <c r="E6450" s="738">
        <f t="shared" si="200"/>
        <v>280.22000000000003</v>
      </c>
      <c r="F6450">
        <f t="shared" si="201"/>
        <v>87846</v>
      </c>
      <c r="H6450" s="1405">
        <v>277.5</v>
      </c>
      <c r="I6450" s="1405">
        <v>280.22000000000003</v>
      </c>
    </row>
    <row r="6451" spans="2:9" ht="30">
      <c r="B6451" s="1477">
        <v>87847</v>
      </c>
      <c r="C6451" s="740" t="s">
        <v>1555</v>
      </c>
      <c r="D6451" s="739" t="s">
        <v>0</v>
      </c>
      <c r="E6451" s="741">
        <f t="shared" si="200"/>
        <v>200.93</v>
      </c>
      <c r="F6451">
        <f t="shared" si="201"/>
        <v>87847</v>
      </c>
      <c r="H6451" s="1406">
        <v>198.63</v>
      </c>
      <c r="I6451" s="1406">
        <v>200.93</v>
      </c>
    </row>
    <row r="6452" spans="2:9" ht="30">
      <c r="B6452" s="677">
        <v>87848</v>
      </c>
      <c r="C6452" s="733" t="s">
        <v>1556</v>
      </c>
      <c r="D6452" s="677" t="s">
        <v>0</v>
      </c>
      <c r="E6452" s="738">
        <f t="shared" si="200"/>
        <v>270.44</v>
      </c>
      <c r="F6452">
        <f t="shared" si="201"/>
        <v>87848</v>
      </c>
      <c r="H6452" s="1405">
        <v>268.62</v>
      </c>
      <c r="I6452" s="1405">
        <v>270.44</v>
      </c>
    </row>
    <row r="6453" spans="2:9" ht="30">
      <c r="B6453" s="1477">
        <v>87849</v>
      </c>
      <c r="C6453" s="740" t="s">
        <v>1557</v>
      </c>
      <c r="D6453" s="739" t="s">
        <v>0</v>
      </c>
      <c r="E6453" s="741">
        <f t="shared" si="200"/>
        <v>192.31</v>
      </c>
      <c r="F6453">
        <f t="shared" si="201"/>
        <v>87849</v>
      </c>
      <c r="H6453" s="1406">
        <v>190.82</v>
      </c>
      <c r="I6453" s="1406">
        <v>192.31</v>
      </c>
    </row>
    <row r="6454" spans="2:9" ht="30">
      <c r="B6454" s="677">
        <v>87850</v>
      </c>
      <c r="C6454" s="733" t="s">
        <v>1558</v>
      </c>
      <c r="D6454" s="677" t="s">
        <v>0</v>
      </c>
      <c r="E6454" s="738">
        <f t="shared" si="200"/>
        <v>287.63</v>
      </c>
      <c r="F6454">
        <f t="shared" si="201"/>
        <v>87850</v>
      </c>
      <c r="H6454" s="1405">
        <v>284.39</v>
      </c>
      <c r="I6454" s="1405">
        <v>287.63</v>
      </c>
    </row>
    <row r="6455" spans="2:9" ht="30">
      <c r="B6455" s="1477">
        <v>87851</v>
      </c>
      <c r="C6455" s="740" t="s">
        <v>1559</v>
      </c>
      <c r="D6455" s="739" t="s">
        <v>0</v>
      </c>
      <c r="E6455" s="741">
        <f t="shared" si="200"/>
        <v>206.53</v>
      </c>
      <c r="F6455">
        <f t="shared" si="201"/>
        <v>87851</v>
      </c>
      <c r="H6455" s="1406">
        <v>203.7</v>
      </c>
      <c r="I6455" s="1406">
        <v>206.53</v>
      </c>
    </row>
    <row r="6456" spans="2:9" ht="30">
      <c r="B6456" s="677">
        <v>87852</v>
      </c>
      <c r="C6456" s="733" t="s">
        <v>1560</v>
      </c>
      <c r="D6456" s="677" t="s">
        <v>0</v>
      </c>
      <c r="E6456" s="738">
        <f t="shared" si="200"/>
        <v>275.94</v>
      </c>
      <c r="F6456">
        <f t="shared" si="201"/>
        <v>87852</v>
      </c>
      <c r="H6456" s="1405">
        <v>273.79000000000002</v>
      </c>
      <c r="I6456" s="1405">
        <v>275.94</v>
      </c>
    </row>
    <row r="6457" spans="2:9" ht="30">
      <c r="B6457" s="1477">
        <v>87853</v>
      </c>
      <c r="C6457" s="740" t="s">
        <v>1561</v>
      </c>
      <c r="D6457" s="739" t="s">
        <v>0</v>
      </c>
      <c r="E6457" s="741">
        <f t="shared" si="200"/>
        <v>195.98</v>
      </c>
      <c r="F6457">
        <f t="shared" si="201"/>
        <v>87853</v>
      </c>
      <c r="H6457" s="1406">
        <v>194.16</v>
      </c>
      <c r="I6457" s="1406">
        <v>195.98</v>
      </c>
    </row>
    <row r="6458" spans="2:9" ht="30">
      <c r="B6458" s="677">
        <v>87854</v>
      </c>
      <c r="C6458" s="733" t="s">
        <v>1562</v>
      </c>
      <c r="D6458" s="677" t="s">
        <v>0</v>
      </c>
      <c r="E6458" s="738">
        <f t="shared" si="200"/>
        <v>290.26</v>
      </c>
      <c r="F6458">
        <f t="shared" si="201"/>
        <v>87854</v>
      </c>
      <c r="H6458" s="1405">
        <v>285.69</v>
      </c>
      <c r="I6458" s="1405">
        <v>290.26</v>
      </c>
    </row>
    <row r="6459" spans="2:9" ht="30">
      <c r="B6459" s="1477">
        <v>87855</v>
      </c>
      <c r="C6459" s="740" t="s">
        <v>1563</v>
      </c>
      <c r="D6459" s="739" t="s">
        <v>0</v>
      </c>
      <c r="E6459" s="741">
        <f t="shared" si="200"/>
        <v>216.87</v>
      </c>
      <c r="F6459">
        <f t="shared" si="201"/>
        <v>87855</v>
      </c>
      <c r="H6459" s="1406">
        <v>212.7</v>
      </c>
      <c r="I6459" s="1406">
        <v>216.87</v>
      </c>
    </row>
    <row r="6460" spans="2:9" ht="30">
      <c r="B6460" s="677">
        <v>87856</v>
      </c>
      <c r="C6460" s="733" t="s">
        <v>1564</v>
      </c>
      <c r="D6460" s="677" t="s">
        <v>0</v>
      </c>
      <c r="E6460" s="738">
        <f t="shared" si="200"/>
        <v>273.68</v>
      </c>
      <c r="F6460">
        <f t="shared" si="201"/>
        <v>87856</v>
      </c>
      <c r="H6460" s="1405">
        <v>270.67</v>
      </c>
      <c r="I6460" s="1405">
        <v>273.68</v>
      </c>
    </row>
    <row r="6461" spans="2:9" ht="30">
      <c r="B6461" s="1477">
        <v>87857</v>
      </c>
      <c r="C6461" s="740" t="s">
        <v>1565</v>
      </c>
      <c r="D6461" s="739" t="s">
        <v>0</v>
      </c>
      <c r="E6461" s="741">
        <f t="shared" si="200"/>
        <v>201.42</v>
      </c>
      <c r="F6461">
        <f t="shared" si="201"/>
        <v>87857</v>
      </c>
      <c r="H6461" s="1406">
        <v>198.74</v>
      </c>
      <c r="I6461" s="1406">
        <v>201.42</v>
      </c>
    </row>
    <row r="6462" spans="2:9" ht="30">
      <c r="B6462" s="677">
        <v>87858</v>
      </c>
      <c r="C6462" s="733" t="s">
        <v>1566</v>
      </c>
      <c r="D6462" s="677" t="s">
        <v>0</v>
      </c>
      <c r="E6462" s="738">
        <f t="shared" si="200"/>
        <v>190.48</v>
      </c>
      <c r="F6462">
        <f t="shared" si="201"/>
        <v>87858</v>
      </c>
      <c r="H6462" s="1405">
        <v>187.49</v>
      </c>
      <c r="I6462" s="1405">
        <v>190.48</v>
      </c>
    </row>
    <row r="6463" spans="2:9" ht="30">
      <c r="B6463" s="1477">
        <v>87859</v>
      </c>
      <c r="C6463" s="740" t="s">
        <v>1567</v>
      </c>
      <c r="D6463" s="739" t="s">
        <v>0</v>
      </c>
      <c r="E6463" s="741">
        <f t="shared" si="200"/>
        <v>217.29</v>
      </c>
      <c r="F6463">
        <f t="shared" si="201"/>
        <v>87859</v>
      </c>
      <c r="H6463" s="1406">
        <v>213.19</v>
      </c>
      <c r="I6463" s="1406">
        <v>217.29</v>
      </c>
    </row>
    <row r="6464" spans="2:9" ht="45">
      <c r="B6464" s="677">
        <v>89048</v>
      </c>
      <c r="C6464" s="733" t="s">
        <v>1568</v>
      </c>
      <c r="D6464" s="677" t="s">
        <v>0</v>
      </c>
      <c r="E6464" s="738">
        <f t="shared" si="200"/>
        <v>38.56</v>
      </c>
      <c r="F6464">
        <f t="shared" si="201"/>
        <v>89048</v>
      </c>
      <c r="H6464" s="1405">
        <v>36.54</v>
      </c>
      <c r="I6464" s="1405">
        <v>38.56</v>
      </c>
    </row>
    <row r="6465" spans="2:9" ht="30">
      <c r="B6465" s="1477">
        <v>89049</v>
      </c>
      <c r="C6465" s="740" t="s">
        <v>1569</v>
      </c>
      <c r="D6465" s="739" t="s">
        <v>0</v>
      </c>
      <c r="E6465" s="741">
        <f t="shared" si="200"/>
        <v>24</v>
      </c>
      <c r="F6465">
        <f t="shared" si="201"/>
        <v>89049</v>
      </c>
      <c r="H6465" s="1406">
        <v>22.5</v>
      </c>
      <c r="I6465" s="1406">
        <v>24</v>
      </c>
    </row>
    <row r="6466" spans="2:9" ht="45">
      <c r="B6466" s="677">
        <v>89173</v>
      </c>
      <c r="C6466" s="733" t="s">
        <v>1570</v>
      </c>
      <c r="D6466" s="677" t="s">
        <v>0</v>
      </c>
      <c r="E6466" s="738">
        <f t="shared" si="200"/>
        <v>38</v>
      </c>
      <c r="F6466">
        <f t="shared" si="201"/>
        <v>89173</v>
      </c>
      <c r="H6466" s="1405">
        <v>36.03</v>
      </c>
      <c r="I6466" s="1405">
        <v>38</v>
      </c>
    </row>
    <row r="6467" spans="2:9" ht="30">
      <c r="B6467" s="1477">
        <v>90406</v>
      </c>
      <c r="C6467" s="740" t="s">
        <v>1571</v>
      </c>
      <c r="D6467" s="739" t="s">
        <v>0</v>
      </c>
      <c r="E6467" s="741">
        <f t="shared" ref="E6467:E6530" si="202">IF($K$2=$H$1,H6467,I6467)</f>
        <v>48.39</v>
      </c>
      <c r="F6467">
        <f t="shared" ref="F6467:F6530" si="203">IF(LEN($B6467)=7,CONCATENATE(MID($B6467,1,6),"00",RIGHT($B6467,1)),IF(LEN($B6467)=8,CONCATENATE(MID($B6467,1,6),"0",RIGHT($B6467,2)),$B6467))</f>
        <v>90406</v>
      </c>
      <c r="H6467" s="1406">
        <v>45.37</v>
      </c>
      <c r="I6467" s="1406">
        <v>48.39</v>
      </c>
    </row>
    <row r="6468" spans="2:9" ht="30">
      <c r="B6468" s="677">
        <v>90407</v>
      </c>
      <c r="C6468" s="733" t="s">
        <v>1572</v>
      </c>
      <c r="D6468" s="677" t="s">
        <v>0</v>
      </c>
      <c r="E6468" s="738">
        <f t="shared" si="202"/>
        <v>53.09</v>
      </c>
      <c r="F6468">
        <f t="shared" si="203"/>
        <v>90407</v>
      </c>
      <c r="H6468" s="1405">
        <v>49.59</v>
      </c>
      <c r="I6468" s="1405">
        <v>53.09</v>
      </c>
    </row>
    <row r="6469" spans="2:9" ht="30">
      <c r="B6469" s="1477">
        <v>90408</v>
      </c>
      <c r="C6469" s="740" t="s">
        <v>1573</v>
      </c>
      <c r="D6469" s="739" t="s">
        <v>0</v>
      </c>
      <c r="E6469" s="741">
        <f t="shared" si="202"/>
        <v>34.450000000000003</v>
      </c>
      <c r="F6469">
        <f t="shared" si="203"/>
        <v>90408</v>
      </c>
      <c r="H6469" s="1406">
        <v>32.020000000000003</v>
      </c>
      <c r="I6469" s="1406">
        <v>34.450000000000003</v>
      </c>
    </row>
    <row r="6470" spans="2:9" ht="30">
      <c r="B6470" s="677">
        <v>90409</v>
      </c>
      <c r="C6470" s="733" t="s">
        <v>1574</v>
      </c>
      <c r="D6470" s="677" t="s">
        <v>0</v>
      </c>
      <c r="E6470" s="738">
        <f t="shared" si="202"/>
        <v>37.119999999999997</v>
      </c>
      <c r="F6470">
        <f t="shared" si="203"/>
        <v>90409</v>
      </c>
      <c r="H6470" s="1405">
        <v>34.409999999999997</v>
      </c>
      <c r="I6470" s="1405">
        <v>37.119999999999997</v>
      </c>
    </row>
    <row r="6471" spans="2:9" ht="45">
      <c r="B6471" s="1477">
        <v>104203</v>
      </c>
      <c r="C6471" s="740" t="s">
        <v>6744</v>
      </c>
      <c r="D6471" s="739" t="s">
        <v>0</v>
      </c>
      <c r="E6471" s="741">
        <f t="shared" si="202"/>
        <v>56.99</v>
      </c>
      <c r="F6471">
        <f t="shared" si="203"/>
        <v>104203</v>
      </c>
      <c r="H6471" s="1406">
        <v>53.84</v>
      </c>
      <c r="I6471" s="1406">
        <v>56.99</v>
      </c>
    </row>
    <row r="6472" spans="2:9" ht="45">
      <c r="B6472" s="677">
        <v>104204</v>
      </c>
      <c r="C6472" s="733" t="s">
        <v>6745</v>
      </c>
      <c r="D6472" s="677" t="s">
        <v>0</v>
      </c>
      <c r="E6472" s="738">
        <f t="shared" si="202"/>
        <v>73.540000000000006</v>
      </c>
      <c r="F6472">
        <f t="shared" si="203"/>
        <v>104204</v>
      </c>
      <c r="H6472" s="1405">
        <v>69.48</v>
      </c>
      <c r="I6472" s="1405">
        <v>73.540000000000006</v>
      </c>
    </row>
    <row r="6473" spans="2:9" ht="45">
      <c r="B6473" s="1477">
        <v>104205</v>
      </c>
      <c r="C6473" s="740" t="s">
        <v>6746</v>
      </c>
      <c r="D6473" s="739" t="s">
        <v>0</v>
      </c>
      <c r="E6473" s="741">
        <f t="shared" si="202"/>
        <v>80.58</v>
      </c>
      <c r="F6473">
        <f t="shared" si="203"/>
        <v>104205</v>
      </c>
      <c r="H6473" s="1406">
        <v>76.41</v>
      </c>
      <c r="I6473" s="1406">
        <v>80.58</v>
      </c>
    </row>
    <row r="6474" spans="2:9" ht="45">
      <c r="B6474" s="677">
        <v>104206</v>
      </c>
      <c r="C6474" s="733" t="s">
        <v>6747</v>
      </c>
      <c r="D6474" s="677" t="s">
        <v>0</v>
      </c>
      <c r="E6474" s="738">
        <f t="shared" si="202"/>
        <v>88.94</v>
      </c>
      <c r="F6474">
        <f t="shared" si="203"/>
        <v>104206</v>
      </c>
      <c r="H6474" s="1405">
        <v>84.31</v>
      </c>
      <c r="I6474" s="1405">
        <v>88.94</v>
      </c>
    </row>
    <row r="6475" spans="2:9" ht="45">
      <c r="B6475" s="1477">
        <v>104207</v>
      </c>
      <c r="C6475" s="740" t="s">
        <v>6748</v>
      </c>
      <c r="D6475" s="739" t="s">
        <v>0</v>
      </c>
      <c r="E6475" s="741">
        <f t="shared" si="202"/>
        <v>42.74</v>
      </c>
      <c r="F6475">
        <f t="shared" si="203"/>
        <v>104207</v>
      </c>
      <c r="H6475" s="1406">
        <v>40.74</v>
      </c>
      <c r="I6475" s="1406">
        <v>42.74</v>
      </c>
    </row>
    <row r="6476" spans="2:9" ht="45">
      <c r="B6476" s="677">
        <v>104208</v>
      </c>
      <c r="C6476" s="733" t="s">
        <v>6749</v>
      </c>
      <c r="D6476" s="677" t="s">
        <v>0</v>
      </c>
      <c r="E6476" s="738">
        <f t="shared" si="202"/>
        <v>58.82</v>
      </c>
      <c r="F6476">
        <f t="shared" si="203"/>
        <v>104208</v>
      </c>
      <c r="H6476" s="1405">
        <v>55.92</v>
      </c>
      <c r="I6476" s="1405">
        <v>58.82</v>
      </c>
    </row>
    <row r="6477" spans="2:9" ht="45">
      <c r="B6477" s="1477">
        <v>104209</v>
      </c>
      <c r="C6477" s="740" t="s">
        <v>6750</v>
      </c>
      <c r="D6477" s="739" t="s">
        <v>0</v>
      </c>
      <c r="E6477" s="741">
        <f t="shared" si="202"/>
        <v>65.430000000000007</v>
      </c>
      <c r="F6477">
        <f t="shared" si="203"/>
        <v>104209</v>
      </c>
      <c r="H6477" s="1406">
        <v>62.44</v>
      </c>
      <c r="I6477" s="1406">
        <v>65.430000000000007</v>
      </c>
    </row>
    <row r="6478" spans="2:9" ht="45">
      <c r="B6478" s="677">
        <v>104210</v>
      </c>
      <c r="C6478" s="733" t="s">
        <v>6751</v>
      </c>
      <c r="D6478" s="677" t="s">
        <v>0</v>
      </c>
      <c r="E6478" s="738">
        <f t="shared" si="202"/>
        <v>67.97</v>
      </c>
      <c r="F6478">
        <f t="shared" si="203"/>
        <v>104210</v>
      </c>
      <c r="H6478" s="1405">
        <v>65</v>
      </c>
      <c r="I6478" s="1405">
        <v>67.97</v>
      </c>
    </row>
    <row r="6479" spans="2:9" ht="45">
      <c r="B6479" s="1477">
        <v>104211</v>
      </c>
      <c r="C6479" s="740" t="s">
        <v>6752</v>
      </c>
      <c r="D6479" s="739" t="s">
        <v>0</v>
      </c>
      <c r="E6479" s="741">
        <f t="shared" si="202"/>
        <v>79.569999999999993</v>
      </c>
      <c r="F6479">
        <f t="shared" si="203"/>
        <v>104211</v>
      </c>
      <c r="H6479" s="1406">
        <v>74.150000000000006</v>
      </c>
      <c r="I6479" s="1406">
        <v>79.569999999999993</v>
      </c>
    </row>
    <row r="6480" spans="2:9" ht="45">
      <c r="B6480" s="677">
        <v>104212</v>
      </c>
      <c r="C6480" s="733" t="s">
        <v>6753</v>
      </c>
      <c r="D6480" s="677" t="s">
        <v>0</v>
      </c>
      <c r="E6480" s="738">
        <f t="shared" si="202"/>
        <v>95.69</v>
      </c>
      <c r="F6480">
        <f t="shared" si="203"/>
        <v>104212</v>
      </c>
      <c r="H6480" s="1405">
        <v>89.39</v>
      </c>
      <c r="I6480" s="1405">
        <v>95.69</v>
      </c>
    </row>
    <row r="6481" spans="2:9" ht="45">
      <c r="B6481" s="1477">
        <v>104213</v>
      </c>
      <c r="C6481" s="740" t="s">
        <v>6754</v>
      </c>
      <c r="D6481" s="739" t="s">
        <v>0</v>
      </c>
      <c r="E6481" s="741">
        <f t="shared" si="202"/>
        <v>102.31</v>
      </c>
      <c r="F6481">
        <f t="shared" si="203"/>
        <v>104213</v>
      </c>
      <c r="H6481" s="1406">
        <v>95.92</v>
      </c>
      <c r="I6481" s="1406">
        <v>102.31</v>
      </c>
    </row>
    <row r="6482" spans="2:9" ht="45">
      <c r="B6482" s="677">
        <v>104214</v>
      </c>
      <c r="C6482" s="733" t="s">
        <v>6755</v>
      </c>
      <c r="D6482" s="677" t="s">
        <v>0</v>
      </c>
      <c r="E6482" s="738">
        <f t="shared" si="202"/>
        <v>121.95</v>
      </c>
      <c r="F6482">
        <f t="shared" si="203"/>
        <v>104214</v>
      </c>
      <c r="H6482" s="1405">
        <v>114.12</v>
      </c>
      <c r="I6482" s="1405">
        <v>121.95</v>
      </c>
    </row>
    <row r="6483" spans="2:9" ht="30">
      <c r="B6483" s="1477">
        <v>104215</v>
      </c>
      <c r="C6483" s="740" t="s">
        <v>6756</v>
      </c>
      <c r="D6483" s="739" t="s">
        <v>0</v>
      </c>
      <c r="E6483" s="741">
        <f t="shared" si="202"/>
        <v>74.67</v>
      </c>
      <c r="F6483">
        <f t="shared" si="203"/>
        <v>104215</v>
      </c>
      <c r="H6483" s="1406">
        <v>69.95</v>
      </c>
      <c r="I6483" s="1406">
        <v>74.67</v>
      </c>
    </row>
    <row r="6484" spans="2:9" ht="30">
      <c r="B6484" s="677">
        <v>104216</v>
      </c>
      <c r="C6484" s="733" t="s">
        <v>6757</v>
      </c>
      <c r="D6484" s="677" t="s">
        <v>0</v>
      </c>
      <c r="E6484" s="738">
        <f t="shared" si="202"/>
        <v>90.68</v>
      </c>
      <c r="F6484">
        <f t="shared" si="203"/>
        <v>104216</v>
      </c>
      <c r="H6484" s="1405">
        <v>85.17</v>
      </c>
      <c r="I6484" s="1405">
        <v>90.68</v>
      </c>
    </row>
    <row r="6485" spans="2:9" ht="30">
      <c r="B6485" s="1477">
        <v>104217</v>
      </c>
      <c r="C6485" s="740" t="s">
        <v>6758</v>
      </c>
      <c r="D6485" s="739" t="s">
        <v>0</v>
      </c>
      <c r="E6485" s="741">
        <f t="shared" si="202"/>
        <v>49.11</v>
      </c>
      <c r="F6485">
        <f t="shared" si="203"/>
        <v>104217</v>
      </c>
      <c r="H6485" s="1406">
        <v>46.03</v>
      </c>
      <c r="I6485" s="1406">
        <v>49.11</v>
      </c>
    </row>
    <row r="6486" spans="2:9" ht="30">
      <c r="B6486" s="677">
        <v>104218</v>
      </c>
      <c r="C6486" s="733" t="s">
        <v>6759</v>
      </c>
      <c r="D6486" s="677" t="s">
        <v>0</v>
      </c>
      <c r="E6486" s="738">
        <f t="shared" si="202"/>
        <v>53.04</v>
      </c>
      <c r="F6486">
        <f t="shared" si="203"/>
        <v>104218</v>
      </c>
      <c r="H6486" s="1405">
        <v>49.56</v>
      </c>
      <c r="I6486" s="1405">
        <v>53.04</v>
      </c>
    </row>
    <row r="6487" spans="2:9" ht="45">
      <c r="B6487" s="1477">
        <v>104219</v>
      </c>
      <c r="C6487" s="740" t="s">
        <v>6760</v>
      </c>
      <c r="D6487" s="739" t="s">
        <v>0</v>
      </c>
      <c r="E6487" s="741">
        <f t="shared" si="202"/>
        <v>103.47</v>
      </c>
      <c r="F6487">
        <f t="shared" si="203"/>
        <v>104219</v>
      </c>
      <c r="H6487" s="1406">
        <v>100.66</v>
      </c>
      <c r="I6487" s="1406">
        <v>103.47</v>
      </c>
    </row>
    <row r="6488" spans="2:9" ht="30">
      <c r="B6488" s="677">
        <v>104220</v>
      </c>
      <c r="C6488" s="733" t="s">
        <v>6761</v>
      </c>
      <c r="D6488" s="677" t="s">
        <v>0</v>
      </c>
      <c r="E6488" s="738">
        <f t="shared" si="202"/>
        <v>53.16</v>
      </c>
      <c r="F6488">
        <f t="shared" si="203"/>
        <v>104220</v>
      </c>
      <c r="H6488" s="1405">
        <v>50.33</v>
      </c>
      <c r="I6488" s="1405">
        <v>53.16</v>
      </c>
    </row>
    <row r="6489" spans="2:9" ht="30">
      <c r="B6489" s="1477">
        <v>104221</v>
      </c>
      <c r="C6489" s="740" t="s">
        <v>6762</v>
      </c>
      <c r="D6489" s="739" t="s">
        <v>0</v>
      </c>
      <c r="E6489" s="741">
        <f t="shared" si="202"/>
        <v>63.17</v>
      </c>
      <c r="F6489">
        <f t="shared" si="203"/>
        <v>104221</v>
      </c>
      <c r="H6489" s="1406">
        <v>59.21</v>
      </c>
      <c r="I6489" s="1406">
        <v>63.17</v>
      </c>
    </row>
    <row r="6490" spans="2:9" ht="30">
      <c r="B6490" s="677">
        <v>104222</v>
      </c>
      <c r="C6490" s="733" t="s">
        <v>6763</v>
      </c>
      <c r="D6490" s="677" t="s">
        <v>0</v>
      </c>
      <c r="E6490" s="738">
        <f t="shared" si="202"/>
        <v>68.44</v>
      </c>
      <c r="F6490">
        <f t="shared" si="203"/>
        <v>104222</v>
      </c>
      <c r="H6490" s="1405">
        <v>63.94</v>
      </c>
      <c r="I6490" s="1405">
        <v>68.44</v>
      </c>
    </row>
    <row r="6491" spans="2:9" ht="45">
      <c r="B6491" s="1477">
        <v>104223</v>
      </c>
      <c r="C6491" s="740" t="s">
        <v>6764</v>
      </c>
      <c r="D6491" s="739" t="s">
        <v>0</v>
      </c>
      <c r="E6491" s="741">
        <f t="shared" si="202"/>
        <v>136.22</v>
      </c>
      <c r="F6491">
        <f t="shared" si="203"/>
        <v>104223</v>
      </c>
      <c r="H6491" s="1406">
        <v>132.59</v>
      </c>
      <c r="I6491" s="1406">
        <v>136.22</v>
      </c>
    </row>
    <row r="6492" spans="2:9" ht="30">
      <c r="B6492" s="677">
        <v>104224</v>
      </c>
      <c r="C6492" s="733" t="s">
        <v>6765</v>
      </c>
      <c r="D6492" s="677" t="s">
        <v>0</v>
      </c>
      <c r="E6492" s="738">
        <f t="shared" si="202"/>
        <v>68.56</v>
      </c>
      <c r="F6492">
        <f t="shared" si="203"/>
        <v>104224</v>
      </c>
      <c r="H6492" s="1405">
        <v>64.92</v>
      </c>
      <c r="I6492" s="1405">
        <v>68.56</v>
      </c>
    </row>
    <row r="6493" spans="2:9" ht="30">
      <c r="B6493" s="1477">
        <v>104225</v>
      </c>
      <c r="C6493" s="740" t="s">
        <v>6766</v>
      </c>
      <c r="D6493" s="739" t="s">
        <v>0</v>
      </c>
      <c r="E6493" s="741">
        <f t="shared" si="202"/>
        <v>69.52</v>
      </c>
      <c r="F6493">
        <f t="shared" si="203"/>
        <v>104225</v>
      </c>
      <c r="H6493" s="1406">
        <v>65.45</v>
      </c>
      <c r="I6493" s="1406">
        <v>69.52</v>
      </c>
    </row>
    <row r="6494" spans="2:9" ht="30">
      <c r="B6494" s="677">
        <v>104226</v>
      </c>
      <c r="C6494" s="733" t="s">
        <v>6767</v>
      </c>
      <c r="D6494" s="677" t="s">
        <v>0</v>
      </c>
      <c r="E6494" s="738">
        <f t="shared" si="202"/>
        <v>76.12</v>
      </c>
      <c r="F6494">
        <f t="shared" si="203"/>
        <v>104226</v>
      </c>
      <c r="H6494" s="1405">
        <v>71.38</v>
      </c>
      <c r="I6494" s="1405">
        <v>76.12</v>
      </c>
    </row>
    <row r="6495" spans="2:9" ht="45">
      <c r="B6495" s="1477">
        <v>104227</v>
      </c>
      <c r="C6495" s="740" t="s">
        <v>6768</v>
      </c>
      <c r="D6495" s="739" t="s">
        <v>0</v>
      </c>
      <c r="E6495" s="741">
        <f t="shared" si="202"/>
        <v>161.93</v>
      </c>
      <c r="F6495">
        <f t="shared" si="203"/>
        <v>104227</v>
      </c>
      <c r="H6495" s="1406">
        <v>158.21</v>
      </c>
      <c r="I6495" s="1406">
        <v>161.93</v>
      </c>
    </row>
    <row r="6496" spans="2:9" ht="30">
      <c r="B6496" s="677">
        <v>104228</v>
      </c>
      <c r="C6496" s="733" t="s">
        <v>6769</v>
      </c>
      <c r="D6496" s="677" t="s">
        <v>0</v>
      </c>
      <c r="E6496" s="738">
        <f t="shared" si="202"/>
        <v>75.599999999999994</v>
      </c>
      <c r="F6496">
        <f t="shared" si="203"/>
        <v>104228</v>
      </c>
      <c r="H6496" s="1405">
        <v>71.849999999999994</v>
      </c>
      <c r="I6496" s="1405">
        <v>75.599999999999994</v>
      </c>
    </row>
    <row r="6497" spans="2:9" ht="30">
      <c r="B6497" s="1477">
        <v>104229</v>
      </c>
      <c r="C6497" s="740" t="s">
        <v>6770</v>
      </c>
      <c r="D6497" s="739" t="s">
        <v>0</v>
      </c>
      <c r="E6497" s="741">
        <f t="shared" si="202"/>
        <v>81.48</v>
      </c>
      <c r="F6497">
        <f t="shared" si="203"/>
        <v>104229</v>
      </c>
      <c r="H6497" s="1406">
        <v>76.48</v>
      </c>
      <c r="I6497" s="1406">
        <v>81.48</v>
      </c>
    </row>
    <row r="6498" spans="2:9" ht="30">
      <c r="B6498" s="677">
        <v>104230</v>
      </c>
      <c r="C6498" s="733" t="s">
        <v>6771</v>
      </c>
      <c r="D6498" s="677" t="s">
        <v>0</v>
      </c>
      <c r="E6498" s="738">
        <f t="shared" si="202"/>
        <v>88.75</v>
      </c>
      <c r="F6498">
        <f t="shared" si="203"/>
        <v>104230</v>
      </c>
      <c r="H6498" s="1405">
        <v>83</v>
      </c>
      <c r="I6498" s="1405">
        <v>88.75</v>
      </c>
    </row>
    <row r="6499" spans="2:9" ht="45">
      <c r="B6499" s="1477">
        <v>104231</v>
      </c>
      <c r="C6499" s="740" t="s">
        <v>6772</v>
      </c>
      <c r="D6499" s="739" t="s">
        <v>0</v>
      </c>
      <c r="E6499" s="741">
        <f t="shared" si="202"/>
        <v>178.34</v>
      </c>
      <c r="F6499">
        <f t="shared" si="203"/>
        <v>104231</v>
      </c>
      <c r="H6499" s="1406">
        <v>174.22</v>
      </c>
      <c r="I6499" s="1406">
        <v>178.34</v>
      </c>
    </row>
    <row r="6500" spans="2:9" ht="30">
      <c r="B6500" s="677">
        <v>104232</v>
      </c>
      <c r="C6500" s="733" t="s">
        <v>6773</v>
      </c>
      <c r="D6500" s="677" t="s">
        <v>0</v>
      </c>
      <c r="E6500" s="738">
        <f t="shared" si="202"/>
        <v>83.46</v>
      </c>
      <c r="F6500">
        <f t="shared" si="203"/>
        <v>104232</v>
      </c>
      <c r="H6500" s="1405">
        <v>79.31</v>
      </c>
      <c r="I6500" s="1405">
        <v>83.46</v>
      </c>
    </row>
    <row r="6501" spans="2:9" ht="30">
      <c r="B6501" s="1477">
        <v>104233</v>
      </c>
      <c r="C6501" s="740" t="s">
        <v>6774</v>
      </c>
      <c r="D6501" s="739" t="s">
        <v>0</v>
      </c>
      <c r="E6501" s="741">
        <f t="shared" si="202"/>
        <v>37.340000000000003</v>
      </c>
      <c r="F6501">
        <f t="shared" si="203"/>
        <v>104233</v>
      </c>
      <c r="H6501" s="1406">
        <v>35.380000000000003</v>
      </c>
      <c r="I6501" s="1406">
        <v>37.340000000000003</v>
      </c>
    </row>
    <row r="6502" spans="2:9" ht="30">
      <c r="B6502" s="677">
        <v>104234</v>
      </c>
      <c r="C6502" s="733" t="s">
        <v>6775</v>
      </c>
      <c r="D6502" s="677" t="s">
        <v>0</v>
      </c>
      <c r="E6502" s="738">
        <f t="shared" si="202"/>
        <v>41</v>
      </c>
      <c r="F6502">
        <f t="shared" si="203"/>
        <v>104234</v>
      </c>
      <c r="H6502" s="1405">
        <v>38.67</v>
      </c>
      <c r="I6502" s="1405">
        <v>41</v>
      </c>
    </row>
    <row r="6503" spans="2:9" ht="45">
      <c r="B6503" s="1477">
        <v>104235</v>
      </c>
      <c r="C6503" s="740" t="s">
        <v>6776</v>
      </c>
      <c r="D6503" s="739" t="s">
        <v>0</v>
      </c>
      <c r="E6503" s="741">
        <f t="shared" si="202"/>
        <v>88.81</v>
      </c>
      <c r="F6503">
        <f t="shared" si="203"/>
        <v>104235</v>
      </c>
      <c r="H6503" s="1406">
        <v>87.03</v>
      </c>
      <c r="I6503" s="1406">
        <v>88.81</v>
      </c>
    </row>
    <row r="6504" spans="2:9" ht="30">
      <c r="B6504" s="677">
        <v>104236</v>
      </c>
      <c r="C6504" s="733" t="s">
        <v>6777</v>
      </c>
      <c r="D6504" s="677" t="s">
        <v>0</v>
      </c>
      <c r="E6504" s="738">
        <f t="shared" si="202"/>
        <v>40.380000000000003</v>
      </c>
      <c r="F6504">
        <f t="shared" si="203"/>
        <v>104236</v>
      </c>
      <c r="H6504" s="1405">
        <v>38.590000000000003</v>
      </c>
      <c r="I6504" s="1405">
        <v>40.380000000000003</v>
      </c>
    </row>
    <row r="6505" spans="2:9" ht="30">
      <c r="B6505" s="1477">
        <v>104237</v>
      </c>
      <c r="C6505" s="740" t="s">
        <v>6778</v>
      </c>
      <c r="D6505" s="739" t="s">
        <v>0</v>
      </c>
      <c r="E6505" s="741">
        <f t="shared" si="202"/>
        <v>51.02</v>
      </c>
      <c r="F6505">
        <f t="shared" si="203"/>
        <v>104237</v>
      </c>
      <c r="H6505" s="1406">
        <v>48.18</v>
      </c>
      <c r="I6505" s="1406">
        <v>51.02</v>
      </c>
    </row>
    <row r="6506" spans="2:9" ht="30">
      <c r="B6506" s="677">
        <v>104238</v>
      </c>
      <c r="C6506" s="733" t="s">
        <v>6779</v>
      </c>
      <c r="D6506" s="677" t="s">
        <v>0</v>
      </c>
      <c r="E6506" s="738">
        <f t="shared" si="202"/>
        <v>55.94</v>
      </c>
      <c r="F6506">
        <f t="shared" si="203"/>
        <v>104238</v>
      </c>
      <c r="H6506" s="1405">
        <v>52.6</v>
      </c>
      <c r="I6506" s="1405">
        <v>55.94</v>
      </c>
    </row>
    <row r="6507" spans="2:9" ht="45">
      <c r="B6507" s="1477">
        <v>104239</v>
      </c>
      <c r="C6507" s="740" t="s">
        <v>6780</v>
      </c>
      <c r="D6507" s="739" t="s">
        <v>0</v>
      </c>
      <c r="E6507" s="741">
        <f t="shared" si="202"/>
        <v>119.92</v>
      </c>
      <c r="F6507">
        <f t="shared" si="203"/>
        <v>104239</v>
      </c>
      <c r="H6507" s="1406">
        <v>117.33</v>
      </c>
      <c r="I6507" s="1406">
        <v>119.92</v>
      </c>
    </row>
    <row r="6508" spans="2:9" ht="30">
      <c r="B6508" s="677">
        <v>104240</v>
      </c>
      <c r="C6508" s="733" t="s">
        <v>6781</v>
      </c>
      <c r="D6508" s="677" t="s">
        <v>0</v>
      </c>
      <c r="E6508" s="738">
        <f t="shared" si="202"/>
        <v>55.42</v>
      </c>
      <c r="F6508">
        <f t="shared" si="203"/>
        <v>104240</v>
      </c>
      <c r="H6508" s="1405">
        <v>52.81</v>
      </c>
      <c r="I6508" s="1405">
        <v>55.42</v>
      </c>
    </row>
    <row r="6509" spans="2:9" ht="30">
      <c r="B6509" s="1477">
        <v>104241</v>
      </c>
      <c r="C6509" s="740" t="s">
        <v>6782</v>
      </c>
      <c r="D6509" s="739" t="s">
        <v>0</v>
      </c>
      <c r="E6509" s="741">
        <f t="shared" si="202"/>
        <v>56.95</v>
      </c>
      <c r="F6509">
        <f t="shared" si="203"/>
        <v>104241</v>
      </c>
      <c r="H6509" s="1406">
        <v>54.02</v>
      </c>
      <c r="I6509" s="1406">
        <v>56.95</v>
      </c>
    </row>
    <row r="6510" spans="2:9" ht="30">
      <c r="B6510" s="677">
        <v>104242</v>
      </c>
      <c r="C6510" s="733" t="s">
        <v>6783</v>
      </c>
      <c r="D6510" s="677" t="s">
        <v>0</v>
      </c>
      <c r="E6510" s="738">
        <f t="shared" si="202"/>
        <v>63.12</v>
      </c>
      <c r="F6510">
        <f t="shared" si="203"/>
        <v>104242</v>
      </c>
      <c r="H6510" s="1405">
        <v>59.56</v>
      </c>
      <c r="I6510" s="1405">
        <v>63.12</v>
      </c>
    </row>
    <row r="6511" spans="2:9" ht="45">
      <c r="B6511" s="1477">
        <v>104243</v>
      </c>
      <c r="C6511" s="740" t="s">
        <v>6784</v>
      </c>
      <c r="D6511" s="739" t="s">
        <v>0</v>
      </c>
      <c r="E6511" s="741">
        <f t="shared" si="202"/>
        <v>143.94999999999999</v>
      </c>
      <c r="F6511">
        <f t="shared" si="203"/>
        <v>104243</v>
      </c>
      <c r="H6511" s="1406">
        <v>141.27000000000001</v>
      </c>
      <c r="I6511" s="1406">
        <v>143.94999999999999</v>
      </c>
    </row>
    <row r="6512" spans="2:9" ht="30">
      <c r="B6512" s="677">
        <v>104244</v>
      </c>
      <c r="C6512" s="733" t="s">
        <v>6785</v>
      </c>
      <c r="D6512" s="677" t="s">
        <v>0</v>
      </c>
      <c r="E6512" s="738">
        <f t="shared" si="202"/>
        <v>62.04</v>
      </c>
      <c r="F6512">
        <f t="shared" si="203"/>
        <v>104244</v>
      </c>
      <c r="H6512" s="1405">
        <v>59.34</v>
      </c>
      <c r="I6512" s="1405">
        <v>62.04</v>
      </c>
    </row>
    <row r="6513" spans="2:9" ht="30">
      <c r="B6513" s="1477">
        <v>104245</v>
      </c>
      <c r="C6513" s="740" t="s">
        <v>6786</v>
      </c>
      <c r="D6513" s="739" t="s">
        <v>0</v>
      </c>
      <c r="E6513" s="741">
        <f t="shared" si="202"/>
        <v>62.12</v>
      </c>
      <c r="F6513">
        <f t="shared" si="203"/>
        <v>104245</v>
      </c>
      <c r="H6513" s="1406">
        <v>58.93</v>
      </c>
      <c r="I6513" s="1406">
        <v>62.12</v>
      </c>
    </row>
    <row r="6514" spans="2:9" ht="30">
      <c r="B6514" s="677">
        <v>104246</v>
      </c>
      <c r="C6514" s="733" t="s">
        <v>6787</v>
      </c>
      <c r="D6514" s="677" t="s">
        <v>0</v>
      </c>
      <c r="E6514" s="738">
        <f t="shared" si="202"/>
        <v>68.91</v>
      </c>
      <c r="F6514">
        <f t="shared" si="203"/>
        <v>104246</v>
      </c>
      <c r="H6514" s="1405">
        <v>65.03</v>
      </c>
      <c r="I6514" s="1405">
        <v>68.91</v>
      </c>
    </row>
    <row r="6515" spans="2:9" ht="45">
      <c r="B6515" s="1477">
        <v>104247</v>
      </c>
      <c r="C6515" s="740" t="s">
        <v>6788</v>
      </c>
      <c r="D6515" s="739" t="s">
        <v>0</v>
      </c>
      <c r="E6515" s="741">
        <f t="shared" si="202"/>
        <v>155.41</v>
      </c>
      <c r="F6515">
        <f t="shared" si="203"/>
        <v>104247</v>
      </c>
      <c r="H6515" s="1406">
        <v>152.75</v>
      </c>
      <c r="I6515" s="1406">
        <v>155.41</v>
      </c>
    </row>
    <row r="6516" spans="2:9" ht="30">
      <c r="B6516" s="677">
        <v>104248</v>
      </c>
      <c r="C6516" s="733" t="s">
        <v>6789</v>
      </c>
      <c r="D6516" s="677" t="s">
        <v>0</v>
      </c>
      <c r="E6516" s="738">
        <f t="shared" si="202"/>
        <v>64.69</v>
      </c>
      <c r="F6516">
        <f t="shared" si="203"/>
        <v>104248</v>
      </c>
      <c r="H6516" s="1405">
        <v>61.99</v>
      </c>
      <c r="I6516" s="1405">
        <v>64.69</v>
      </c>
    </row>
    <row r="6517" spans="2:9" ht="30">
      <c r="B6517" s="1477">
        <v>104249</v>
      </c>
      <c r="C6517" s="740" t="s">
        <v>6790</v>
      </c>
      <c r="D6517" s="739" t="s">
        <v>0</v>
      </c>
      <c r="E6517" s="741">
        <f t="shared" si="202"/>
        <v>66.790000000000006</v>
      </c>
      <c r="F6517">
        <f t="shared" si="203"/>
        <v>104249</v>
      </c>
      <c r="H6517" s="1406">
        <v>61.52</v>
      </c>
      <c r="I6517" s="1406">
        <v>66.790000000000006</v>
      </c>
    </row>
    <row r="6518" spans="2:9" ht="30">
      <c r="B6518" s="677">
        <v>104250</v>
      </c>
      <c r="C6518" s="733" t="s">
        <v>6791</v>
      </c>
      <c r="D6518" s="677" t="s">
        <v>0</v>
      </c>
      <c r="E6518" s="738">
        <f t="shared" si="202"/>
        <v>70.45</v>
      </c>
      <c r="F6518">
        <f t="shared" si="203"/>
        <v>104250</v>
      </c>
      <c r="H6518" s="1405">
        <v>64.81</v>
      </c>
      <c r="I6518" s="1405">
        <v>70.45</v>
      </c>
    </row>
    <row r="6519" spans="2:9" ht="45">
      <c r="B6519" s="1477">
        <v>104251</v>
      </c>
      <c r="C6519" s="740" t="s">
        <v>6792</v>
      </c>
      <c r="D6519" s="739" t="s">
        <v>0</v>
      </c>
      <c r="E6519" s="741">
        <f t="shared" si="202"/>
        <v>115.38</v>
      </c>
      <c r="F6519">
        <f t="shared" si="203"/>
        <v>104251</v>
      </c>
      <c r="H6519" s="1406">
        <v>110.56</v>
      </c>
      <c r="I6519" s="1406">
        <v>115.38</v>
      </c>
    </row>
    <row r="6520" spans="2:9" ht="45">
      <c r="B6520" s="677">
        <v>104252</v>
      </c>
      <c r="C6520" s="733" t="s">
        <v>6793</v>
      </c>
      <c r="D6520" s="677" t="s">
        <v>0</v>
      </c>
      <c r="E6520" s="738">
        <f t="shared" si="202"/>
        <v>72.67</v>
      </c>
      <c r="F6520">
        <f t="shared" si="203"/>
        <v>104252</v>
      </c>
      <c r="H6520" s="1405">
        <v>67.84</v>
      </c>
      <c r="I6520" s="1405">
        <v>72.67</v>
      </c>
    </row>
    <row r="6521" spans="2:9" ht="30">
      <c r="B6521" s="1477">
        <v>104253</v>
      </c>
      <c r="C6521" s="740" t="s">
        <v>6794</v>
      </c>
      <c r="D6521" s="739" t="s">
        <v>0</v>
      </c>
      <c r="E6521" s="741">
        <f t="shared" si="202"/>
        <v>80.47</v>
      </c>
      <c r="F6521">
        <f t="shared" si="203"/>
        <v>104253</v>
      </c>
      <c r="H6521" s="1406">
        <v>74.33</v>
      </c>
      <c r="I6521" s="1406">
        <v>80.47</v>
      </c>
    </row>
    <row r="6522" spans="2:9" ht="30">
      <c r="B6522" s="677">
        <v>104254</v>
      </c>
      <c r="C6522" s="733" t="s">
        <v>6795</v>
      </c>
      <c r="D6522" s="677" t="s">
        <v>0</v>
      </c>
      <c r="E6522" s="738">
        <f t="shared" si="202"/>
        <v>85.39</v>
      </c>
      <c r="F6522">
        <f t="shared" si="203"/>
        <v>104254</v>
      </c>
      <c r="H6522" s="1405">
        <v>78.75</v>
      </c>
      <c r="I6522" s="1405">
        <v>85.39</v>
      </c>
    </row>
    <row r="6523" spans="2:9" ht="45">
      <c r="B6523" s="1477">
        <v>104255</v>
      </c>
      <c r="C6523" s="740" t="s">
        <v>6796</v>
      </c>
      <c r="D6523" s="739" t="s">
        <v>0</v>
      </c>
      <c r="E6523" s="741">
        <f t="shared" si="202"/>
        <v>146.47999999999999</v>
      </c>
      <c r="F6523">
        <f t="shared" si="203"/>
        <v>104255</v>
      </c>
      <c r="H6523" s="1406">
        <v>140.87</v>
      </c>
      <c r="I6523" s="1406">
        <v>146.47999999999999</v>
      </c>
    </row>
    <row r="6524" spans="2:9" ht="45">
      <c r="B6524" s="677">
        <v>104256</v>
      </c>
      <c r="C6524" s="733" t="s">
        <v>6797</v>
      </c>
      <c r="D6524" s="677" t="s">
        <v>0</v>
      </c>
      <c r="E6524" s="738">
        <f t="shared" si="202"/>
        <v>87.71</v>
      </c>
      <c r="F6524">
        <f t="shared" si="203"/>
        <v>104256</v>
      </c>
      <c r="H6524" s="1405">
        <v>82.08</v>
      </c>
      <c r="I6524" s="1405">
        <v>87.71</v>
      </c>
    </row>
    <row r="6525" spans="2:9" ht="30">
      <c r="B6525" s="1477">
        <v>104257</v>
      </c>
      <c r="C6525" s="740" t="s">
        <v>6798</v>
      </c>
      <c r="D6525" s="739" t="s">
        <v>0</v>
      </c>
      <c r="E6525" s="741">
        <f t="shared" si="202"/>
        <v>86.4</v>
      </c>
      <c r="F6525">
        <f t="shared" si="203"/>
        <v>104257</v>
      </c>
      <c r="H6525" s="1406">
        <v>80.17</v>
      </c>
      <c r="I6525" s="1406">
        <v>86.4</v>
      </c>
    </row>
    <row r="6526" spans="2:9" ht="30">
      <c r="B6526" s="677">
        <v>104258</v>
      </c>
      <c r="C6526" s="733" t="s">
        <v>6799</v>
      </c>
      <c r="D6526" s="677" t="s">
        <v>0</v>
      </c>
      <c r="E6526" s="738">
        <f t="shared" si="202"/>
        <v>92.57</v>
      </c>
      <c r="F6526">
        <f t="shared" si="203"/>
        <v>104258</v>
      </c>
      <c r="H6526" s="1405">
        <v>85.71</v>
      </c>
      <c r="I6526" s="1405">
        <v>92.57</v>
      </c>
    </row>
    <row r="6527" spans="2:9" ht="45">
      <c r="B6527" s="1477">
        <v>104259</v>
      </c>
      <c r="C6527" s="740" t="s">
        <v>6800</v>
      </c>
      <c r="D6527" s="739" t="s">
        <v>0</v>
      </c>
      <c r="E6527" s="741">
        <f t="shared" si="202"/>
        <v>170.51</v>
      </c>
      <c r="F6527">
        <f t="shared" si="203"/>
        <v>104259</v>
      </c>
      <c r="H6527" s="1406">
        <v>164.81</v>
      </c>
      <c r="I6527" s="1406">
        <v>170.51</v>
      </c>
    </row>
    <row r="6528" spans="2:9" ht="45">
      <c r="B6528" s="677">
        <v>104260</v>
      </c>
      <c r="C6528" s="733" t="s">
        <v>6801</v>
      </c>
      <c r="D6528" s="677" t="s">
        <v>0</v>
      </c>
      <c r="E6528" s="738">
        <f t="shared" si="202"/>
        <v>94.32</v>
      </c>
      <c r="F6528">
        <f t="shared" si="203"/>
        <v>104260</v>
      </c>
      <c r="H6528" s="1405">
        <v>88.6</v>
      </c>
      <c r="I6528" s="1405">
        <v>94.32</v>
      </c>
    </row>
    <row r="6529" spans="2:9" ht="30">
      <c r="B6529" s="1477">
        <v>104261</v>
      </c>
      <c r="C6529" s="740" t="s">
        <v>6802</v>
      </c>
      <c r="D6529" s="739" t="s">
        <v>0</v>
      </c>
      <c r="E6529" s="741">
        <f t="shared" si="202"/>
        <v>111.34</v>
      </c>
      <c r="F6529">
        <f t="shared" si="203"/>
        <v>104261</v>
      </c>
      <c r="H6529" s="1406">
        <v>102.82</v>
      </c>
      <c r="I6529" s="1406">
        <v>111.34</v>
      </c>
    </row>
    <row r="6530" spans="2:9" ht="30">
      <c r="B6530" s="677">
        <v>104262</v>
      </c>
      <c r="C6530" s="733" t="s">
        <v>6803</v>
      </c>
      <c r="D6530" s="677" t="s">
        <v>0</v>
      </c>
      <c r="E6530" s="738">
        <f t="shared" si="202"/>
        <v>118.13</v>
      </c>
      <c r="F6530">
        <f t="shared" si="203"/>
        <v>104262</v>
      </c>
      <c r="H6530" s="1405">
        <v>108.92</v>
      </c>
      <c r="I6530" s="1405">
        <v>118.13</v>
      </c>
    </row>
    <row r="6531" spans="2:9" ht="45">
      <c r="B6531" s="1477">
        <v>104263</v>
      </c>
      <c r="C6531" s="740" t="s">
        <v>6804</v>
      </c>
      <c r="D6531" s="739" t="s">
        <v>0</v>
      </c>
      <c r="E6531" s="741">
        <f t="shared" ref="E6531:E6594" si="204">IF($K$2=$H$1,H6531,I6531)</f>
        <v>194.65</v>
      </c>
      <c r="F6531">
        <f t="shared" ref="F6531:F6594" si="205">IF(LEN($B6531)=7,CONCATENATE(MID($B6531,1,6),"00",RIGHT($B6531,1)),IF(LEN($B6531)=8,CONCATENATE(MID($B6531,1,6),"0",RIGHT($B6531,2)),$B6531))</f>
        <v>104263</v>
      </c>
      <c r="H6531" s="1406">
        <v>187.7</v>
      </c>
      <c r="I6531" s="1406">
        <v>194.65</v>
      </c>
    </row>
    <row r="6532" spans="2:9" ht="45">
      <c r="B6532" s="677">
        <v>104264</v>
      </c>
      <c r="C6532" s="733" t="s">
        <v>6805</v>
      </c>
      <c r="D6532" s="677" t="s">
        <v>0</v>
      </c>
      <c r="E6532" s="738">
        <f t="shared" si="204"/>
        <v>112.09</v>
      </c>
      <c r="F6532">
        <f t="shared" si="205"/>
        <v>104264</v>
      </c>
      <c r="H6532" s="1405">
        <v>105.1</v>
      </c>
      <c r="I6532" s="1405">
        <v>112.09</v>
      </c>
    </row>
    <row r="6533" spans="2:9" ht="30">
      <c r="B6533" s="1477">
        <v>104627</v>
      </c>
      <c r="C6533" s="740" t="s">
        <v>7754</v>
      </c>
      <c r="D6533" s="739" t="s">
        <v>0</v>
      </c>
      <c r="E6533" s="741">
        <f t="shared" si="204"/>
        <v>19.55</v>
      </c>
      <c r="F6533">
        <f t="shared" si="205"/>
        <v>104627</v>
      </c>
      <c r="H6533" s="1406">
        <v>18.510000000000002</v>
      </c>
      <c r="I6533" s="1406">
        <v>19.55</v>
      </c>
    </row>
    <row r="6534" spans="2:9" ht="30">
      <c r="B6534" s="677">
        <v>104628</v>
      </c>
      <c r="C6534" s="733" t="s">
        <v>7755</v>
      </c>
      <c r="D6534" s="677" t="s">
        <v>0</v>
      </c>
      <c r="E6534" s="738">
        <f t="shared" si="204"/>
        <v>29.17</v>
      </c>
      <c r="F6534">
        <f t="shared" si="205"/>
        <v>104628</v>
      </c>
      <c r="H6534" s="1405">
        <v>27.15</v>
      </c>
      <c r="I6534" s="1405">
        <v>29.17</v>
      </c>
    </row>
    <row r="6535" spans="2:9" ht="30">
      <c r="B6535" s="1477">
        <v>104629</v>
      </c>
      <c r="C6535" s="740" t="s">
        <v>7756</v>
      </c>
      <c r="D6535" s="739" t="s">
        <v>0</v>
      </c>
      <c r="E6535" s="741">
        <f t="shared" si="204"/>
        <v>34.69</v>
      </c>
      <c r="F6535">
        <f t="shared" si="205"/>
        <v>104629</v>
      </c>
      <c r="H6535" s="1406">
        <v>32.119999999999997</v>
      </c>
      <c r="I6535" s="1406">
        <v>34.69</v>
      </c>
    </row>
    <row r="6536" spans="2:9" ht="30">
      <c r="B6536" s="677">
        <v>104630</v>
      </c>
      <c r="C6536" s="733" t="s">
        <v>7757</v>
      </c>
      <c r="D6536" s="677" t="s">
        <v>0</v>
      </c>
      <c r="E6536" s="738">
        <f t="shared" si="204"/>
        <v>31.16</v>
      </c>
      <c r="F6536">
        <f t="shared" si="205"/>
        <v>104630</v>
      </c>
      <c r="H6536" s="1405">
        <v>29.68</v>
      </c>
      <c r="I6536" s="1405">
        <v>31.16</v>
      </c>
    </row>
    <row r="6537" spans="2:9" ht="30">
      <c r="B6537" s="1477">
        <v>104631</v>
      </c>
      <c r="C6537" s="740" t="s">
        <v>7758</v>
      </c>
      <c r="D6537" s="739" t="s">
        <v>0</v>
      </c>
      <c r="E6537" s="741">
        <f t="shared" si="204"/>
        <v>40.79</v>
      </c>
      <c r="F6537">
        <f t="shared" si="205"/>
        <v>104631</v>
      </c>
      <c r="H6537" s="1406">
        <v>38.31</v>
      </c>
      <c r="I6537" s="1406">
        <v>40.79</v>
      </c>
    </row>
    <row r="6538" spans="2:9" ht="30">
      <c r="B6538" s="677">
        <v>104632</v>
      </c>
      <c r="C6538" s="733" t="s">
        <v>7759</v>
      </c>
      <c r="D6538" s="677" t="s">
        <v>0</v>
      </c>
      <c r="E6538" s="738">
        <f t="shared" si="204"/>
        <v>46.31</v>
      </c>
      <c r="F6538">
        <f t="shared" si="205"/>
        <v>104632</v>
      </c>
      <c r="H6538" s="1405">
        <v>43.28</v>
      </c>
      <c r="I6538" s="1405">
        <v>46.31</v>
      </c>
    </row>
    <row r="6539" spans="2:9" ht="30">
      <c r="B6539" s="1477">
        <v>104633</v>
      </c>
      <c r="C6539" s="740" t="s">
        <v>7760</v>
      </c>
      <c r="D6539" s="739" t="s">
        <v>0</v>
      </c>
      <c r="E6539" s="741">
        <f t="shared" si="204"/>
        <v>26.01</v>
      </c>
      <c r="F6539">
        <f t="shared" si="205"/>
        <v>104633</v>
      </c>
      <c r="H6539" s="1406">
        <v>24.32</v>
      </c>
      <c r="I6539" s="1406">
        <v>26.01</v>
      </c>
    </row>
    <row r="6540" spans="2:9" ht="30">
      <c r="B6540" s="677">
        <v>104634</v>
      </c>
      <c r="C6540" s="733" t="s">
        <v>7761</v>
      </c>
      <c r="D6540" s="677" t="s">
        <v>0</v>
      </c>
      <c r="E6540" s="738">
        <f t="shared" si="204"/>
        <v>39.08</v>
      </c>
      <c r="F6540">
        <f t="shared" si="205"/>
        <v>104634</v>
      </c>
      <c r="H6540" s="1405">
        <v>36.799999999999997</v>
      </c>
      <c r="I6540" s="1405">
        <v>39.08</v>
      </c>
    </row>
    <row r="6541" spans="2:9" ht="30">
      <c r="B6541" s="1477">
        <v>104635</v>
      </c>
      <c r="C6541" s="740" t="s">
        <v>7762</v>
      </c>
      <c r="D6541" s="739" t="s">
        <v>0</v>
      </c>
      <c r="E6541" s="741">
        <f t="shared" si="204"/>
        <v>52.48</v>
      </c>
      <c r="F6541">
        <f t="shared" si="205"/>
        <v>104635</v>
      </c>
      <c r="H6541" s="1406">
        <v>48.82</v>
      </c>
      <c r="I6541" s="1406">
        <v>52.48</v>
      </c>
    </row>
    <row r="6542" spans="2:9" ht="30">
      <c r="B6542" s="677">
        <v>104636</v>
      </c>
      <c r="C6542" s="733" t="s">
        <v>7763</v>
      </c>
      <c r="D6542" s="677" t="s">
        <v>0</v>
      </c>
      <c r="E6542" s="738">
        <f t="shared" si="204"/>
        <v>61.57</v>
      </c>
      <c r="F6542">
        <f t="shared" si="205"/>
        <v>104636</v>
      </c>
      <c r="H6542" s="1405">
        <v>57.5</v>
      </c>
      <c r="I6542" s="1405">
        <v>61.57</v>
      </c>
    </row>
    <row r="6543" spans="2:9" ht="30">
      <c r="B6543" s="1477">
        <v>87244</v>
      </c>
      <c r="C6543" s="740" t="s">
        <v>7500</v>
      </c>
      <c r="D6543" s="739" t="s">
        <v>0</v>
      </c>
      <c r="E6543" s="741">
        <f t="shared" si="204"/>
        <v>216.94</v>
      </c>
      <c r="F6543">
        <f t="shared" si="205"/>
        <v>87244</v>
      </c>
      <c r="H6543" s="1406">
        <v>212.75</v>
      </c>
      <c r="I6543" s="1406">
        <v>216.94</v>
      </c>
    </row>
    <row r="6544" spans="2:9" ht="30">
      <c r="B6544" s="677">
        <v>87245</v>
      </c>
      <c r="C6544" s="733" t="s">
        <v>7501</v>
      </c>
      <c r="D6544" s="677" t="s">
        <v>0</v>
      </c>
      <c r="E6544" s="738">
        <f t="shared" si="204"/>
        <v>256.75</v>
      </c>
      <c r="F6544">
        <f t="shared" si="205"/>
        <v>87245</v>
      </c>
      <c r="H6544" s="1405">
        <v>251.88</v>
      </c>
      <c r="I6544" s="1405">
        <v>256.75</v>
      </c>
    </row>
    <row r="6545" spans="2:9" ht="30">
      <c r="B6545" s="1477">
        <v>87265</v>
      </c>
      <c r="C6545" s="740" t="s">
        <v>7502</v>
      </c>
      <c r="D6545" s="739" t="s">
        <v>0</v>
      </c>
      <c r="E6545" s="741">
        <f t="shared" si="204"/>
        <v>64.2</v>
      </c>
      <c r="F6545">
        <f t="shared" si="205"/>
        <v>87265</v>
      </c>
      <c r="H6545" s="1406">
        <v>62.26</v>
      </c>
      <c r="I6545" s="1406">
        <v>64.2</v>
      </c>
    </row>
    <row r="6546" spans="2:9" ht="30">
      <c r="B6546" s="677">
        <v>87267</v>
      </c>
      <c r="C6546" s="733" t="s">
        <v>7503</v>
      </c>
      <c r="D6546" s="677" t="s">
        <v>0</v>
      </c>
      <c r="E6546" s="738">
        <f t="shared" si="204"/>
        <v>68.95</v>
      </c>
      <c r="F6546">
        <f t="shared" si="205"/>
        <v>87267</v>
      </c>
      <c r="H6546" s="1405">
        <v>66.55</v>
      </c>
      <c r="I6546" s="1405">
        <v>68.95</v>
      </c>
    </row>
    <row r="6547" spans="2:9" ht="30">
      <c r="B6547" s="1477">
        <v>87269</v>
      </c>
      <c r="C6547" s="740" t="s">
        <v>7504</v>
      </c>
      <c r="D6547" s="739" t="s">
        <v>0</v>
      </c>
      <c r="E6547" s="741">
        <f t="shared" si="204"/>
        <v>67.510000000000005</v>
      </c>
      <c r="F6547">
        <f t="shared" si="205"/>
        <v>87269</v>
      </c>
      <c r="H6547" s="1406">
        <v>65.2</v>
      </c>
      <c r="I6547" s="1406">
        <v>67.510000000000005</v>
      </c>
    </row>
    <row r="6548" spans="2:9" ht="30">
      <c r="B6548" s="677">
        <v>87271</v>
      </c>
      <c r="C6548" s="733" t="s">
        <v>7505</v>
      </c>
      <c r="D6548" s="677" t="s">
        <v>0</v>
      </c>
      <c r="E6548" s="738">
        <f t="shared" si="204"/>
        <v>72.31</v>
      </c>
      <c r="F6548">
        <f t="shared" si="205"/>
        <v>87271</v>
      </c>
      <c r="H6548" s="1405">
        <v>69.53</v>
      </c>
      <c r="I6548" s="1405">
        <v>72.31</v>
      </c>
    </row>
    <row r="6549" spans="2:9" ht="30">
      <c r="B6549" s="1477">
        <v>87273</v>
      </c>
      <c r="C6549" s="740" t="s">
        <v>7506</v>
      </c>
      <c r="D6549" s="739" t="s">
        <v>0</v>
      </c>
      <c r="E6549" s="741">
        <f t="shared" si="204"/>
        <v>71.010000000000005</v>
      </c>
      <c r="F6549">
        <f t="shared" si="205"/>
        <v>87273</v>
      </c>
      <c r="H6549" s="1406">
        <v>68.55</v>
      </c>
      <c r="I6549" s="1406">
        <v>71.010000000000005</v>
      </c>
    </row>
    <row r="6550" spans="2:9" ht="30">
      <c r="B6550" s="677">
        <v>87275</v>
      </c>
      <c r="C6550" s="733" t="s">
        <v>7507</v>
      </c>
      <c r="D6550" s="677" t="s">
        <v>0</v>
      </c>
      <c r="E6550" s="738">
        <f t="shared" si="204"/>
        <v>77.430000000000007</v>
      </c>
      <c r="F6550">
        <f t="shared" si="205"/>
        <v>87275</v>
      </c>
      <c r="H6550" s="1405">
        <v>74.349999999999994</v>
      </c>
      <c r="I6550" s="1405">
        <v>77.430000000000007</v>
      </c>
    </row>
    <row r="6551" spans="2:9" ht="30">
      <c r="B6551" s="1477">
        <v>88788</v>
      </c>
      <c r="C6551" s="740" t="s">
        <v>7508</v>
      </c>
      <c r="D6551" s="739" t="s">
        <v>0</v>
      </c>
      <c r="E6551" s="741">
        <f t="shared" si="204"/>
        <v>306.76</v>
      </c>
      <c r="F6551">
        <f t="shared" si="205"/>
        <v>88788</v>
      </c>
      <c r="H6551" s="1406">
        <v>302.41000000000003</v>
      </c>
      <c r="I6551" s="1406">
        <v>306.76</v>
      </c>
    </row>
    <row r="6552" spans="2:9" ht="30">
      <c r="B6552" s="677">
        <v>88789</v>
      </c>
      <c r="C6552" s="733" t="s">
        <v>7509</v>
      </c>
      <c r="D6552" s="677" t="s">
        <v>0</v>
      </c>
      <c r="E6552" s="738">
        <f t="shared" si="204"/>
        <v>364.84</v>
      </c>
      <c r="F6552">
        <f t="shared" si="205"/>
        <v>88789</v>
      </c>
      <c r="H6552" s="1405">
        <v>359.83</v>
      </c>
      <c r="I6552" s="1405">
        <v>364.84</v>
      </c>
    </row>
    <row r="6553" spans="2:9" ht="45">
      <c r="B6553" s="1477">
        <v>89045</v>
      </c>
      <c r="C6553" s="740" t="s">
        <v>4302</v>
      </c>
      <c r="D6553" s="739" t="s">
        <v>0</v>
      </c>
      <c r="E6553" s="741">
        <f t="shared" si="204"/>
        <v>65.38</v>
      </c>
      <c r="F6553">
        <f t="shared" si="205"/>
        <v>89045</v>
      </c>
      <c r="H6553" s="1406">
        <v>63.32</v>
      </c>
      <c r="I6553" s="1406">
        <v>65.38</v>
      </c>
    </row>
    <row r="6554" spans="2:9" ht="45">
      <c r="B6554" s="677">
        <v>89170</v>
      </c>
      <c r="C6554" s="733" t="s">
        <v>5307</v>
      </c>
      <c r="D6554" s="677" t="s">
        <v>0</v>
      </c>
      <c r="E6554" s="738">
        <f t="shared" si="204"/>
        <v>65.38</v>
      </c>
      <c r="F6554">
        <f t="shared" si="205"/>
        <v>89170</v>
      </c>
      <c r="H6554" s="1405">
        <v>63.32</v>
      </c>
      <c r="I6554" s="1405">
        <v>65.38</v>
      </c>
    </row>
    <row r="6555" spans="2:9" ht="30">
      <c r="B6555" s="1477">
        <v>93393</v>
      </c>
      <c r="C6555" s="740" t="s">
        <v>7510</v>
      </c>
      <c r="D6555" s="739" t="s">
        <v>0</v>
      </c>
      <c r="E6555" s="741">
        <f t="shared" si="204"/>
        <v>54.36</v>
      </c>
      <c r="F6555">
        <f t="shared" si="205"/>
        <v>93393</v>
      </c>
      <c r="H6555" s="1406">
        <v>52.42</v>
      </c>
      <c r="I6555" s="1406">
        <v>54.36</v>
      </c>
    </row>
    <row r="6556" spans="2:9" ht="30">
      <c r="B6556" s="677">
        <v>93395</v>
      </c>
      <c r="C6556" s="733" t="s">
        <v>7511</v>
      </c>
      <c r="D6556" s="677" t="s">
        <v>0</v>
      </c>
      <c r="E6556" s="738">
        <f t="shared" si="204"/>
        <v>59.05</v>
      </c>
      <c r="F6556">
        <f t="shared" si="205"/>
        <v>93395</v>
      </c>
      <c r="H6556" s="1405">
        <v>56.65</v>
      </c>
      <c r="I6556" s="1405">
        <v>59.05</v>
      </c>
    </row>
    <row r="6557" spans="2:9" ht="30">
      <c r="B6557" s="1477">
        <v>99195</v>
      </c>
      <c r="C6557" s="740" t="s">
        <v>7512</v>
      </c>
      <c r="D6557" s="739" t="s">
        <v>0</v>
      </c>
      <c r="E6557" s="741">
        <f t="shared" si="204"/>
        <v>65.849999999999994</v>
      </c>
      <c r="F6557">
        <f t="shared" si="205"/>
        <v>99195</v>
      </c>
      <c r="H6557" s="1406">
        <v>63.91</v>
      </c>
      <c r="I6557" s="1406">
        <v>65.849999999999994</v>
      </c>
    </row>
    <row r="6558" spans="2:9" ht="30">
      <c r="B6558" s="677">
        <v>99198</v>
      </c>
      <c r="C6558" s="733" t="s">
        <v>7513</v>
      </c>
      <c r="D6558" s="677" t="s">
        <v>0</v>
      </c>
      <c r="E6558" s="738">
        <f t="shared" si="204"/>
        <v>70.540000000000006</v>
      </c>
      <c r="F6558">
        <f t="shared" si="205"/>
        <v>99198</v>
      </c>
      <c r="H6558" s="1405">
        <v>68.14</v>
      </c>
      <c r="I6558" s="1405">
        <v>70.540000000000006</v>
      </c>
    </row>
    <row r="6559" spans="2:9" ht="30">
      <c r="B6559" s="1477">
        <v>104611</v>
      </c>
      <c r="C6559" s="740" t="s">
        <v>7514</v>
      </c>
      <c r="D6559" s="739" t="s">
        <v>0</v>
      </c>
      <c r="E6559" s="741">
        <f t="shared" si="204"/>
        <v>86.55</v>
      </c>
      <c r="F6559">
        <f t="shared" si="205"/>
        <v>104611</v>
      </c>
      <c r="H6559" s="1406">
        <v>83.95</v>
      </c>
      <c r="I6559" s="1406">
        <v>86.55</v>
      </c>
    </row>
    <row r="6560" spans="2:9" ht="30">
      <c r="B6560" s="677">
        <v>104612</v>
      </c>
      <c r="C6560" s="733" t="s">
        <v>7515</v>
      </c>
      <c r="D6560" s="677" t="s">
        <v>0</v>
      </c>
      <c r="E6560" s="738">
        <f t="shared" si="204"/>
        <v>87.17</v>
      </c>
      <c r="F6560">
        <f t="shared" si="205"/>
        <v>104612</v>
      </c>
      <c r="H6560" s="1405">
        <v>84.46</v>
      </c>
      <c r="I6560" s="1405">
        <v>87.17</v>
      </c>
    </row>
    <row r="6561" spans="2:9" ht="30">
      <c r="B6561" s="1477">
        <v>104613</v>
      </c>
      <c r="C6561" s="740" t="s">
        <v>7516</v>
      </c>
      <c r="D6561" s="739" t="s">
        <v>0</v>
      </c>
      <c r="E6561" s="741">
        <f t="shared" si="204"/>
        <v>67.44</v>
      </c>
      <c r="F6561">
        <f t="shared" si="205"/>
        <v>104613</v>
      </c>
      <c r="H6561" s="1406">
        <v>65.209999999999994</v>
      </c>
      <c r="I6561" s="1406">
        <v>67.44</v>
      </c>
    </row>
    <row r="6562" spans="2:9" ht="30">
      <c r="B6562" s="677">
        <v>104614</v>
      </c>
      <c r="C6562" s="733" t="s">
        <v>7517</v>
      </c>
      <c r="D6562" s="677" t="s">
        <v>0</v>
      </c>
      <c r="E6562" s="738">
        <f t="shared" si="204"/>
        <v>73.66</v>
      </c>
      <c r="F6562">
        <f t="shared" si="205"/>
        <v>104614</v>
      </c>
      <c r="H6562" s="1405">
        <v>70.84</v>
      </c>
      <c r="I6562" s="1405">
        <v>73.66</v>
      </c>
    </row>
    <row r="6563" spans="2:9" ht="30">
      <c r="B6563" s="1477">
        <v>104615</v>
      </c>
      <c r="C6563" s="740" t="s">
        <v>7518</v>
      </c>
      <c r="D6563" s="739" t="s">
        <v>0</v>
      </c>
      <c r="E6563" s="741">
        <f t="shared" si="204"/>
        <v>213.59</v>
      </c>
      <c r="F6563">
        <f t="shared" si="205"/>
        <v>104615</v>
      </c>
      <c r="H6563" s="1406">
        <v>210.01</v>
      </c>
      <c r="I6563" s="1406">
        <v>213.59</v>
      </c>
    </row>
    <row r="6564" spans="2:9" ht="30">
      <c r="B6564" s="677">
        <v>104616</v>
      </c>
      <c r="C6564" s="733" t="s">
        <v>7519</v>
      </c>
      <c r="D6564" s="677" t="s">
        <v>0</v>
      </c>
      <c r="E6564" s="738">
        <f t="shared" si="204"/>
        <v>307.99</v>
      </c>
      <c r="F6564">
        <f t="shared" si="205"/>
        <v>104616</v>
      </c>
      <c r="H6564" s="1405">
        <v>304.41000000000003</v>
      </c>
      <c r="I6564" s="1405">
        <v>307.99</v>
      </c>
    </row>
    <row r="6565" spans="2:9" ht="30">
      <c r="B6565" s="1477">
        <v>104617</v>
      </c>
      <c r="C6565" s="740" t="s">
        <v>7520</v>
      </c>
      <c r="D6565" s="739" t="s">
        <v>0</v>
      </c>
      <c r="E6565" s="741">
        <f t="shared" si="204"/>
        <v>223.07</v>
      </c>
      <c r="F6565">
        <f t="shared" si="205"/>
        <v>104617</v>
      </c>
      <c r="H6565" s="1406">
        <v>218.52</v>
      </c>
      <c r="I6565" s="1406">
        <v>223.07</v>
      </c>
    </row>
    <row r="6566" spans="2:9" ht="30">
      <c r="B6566" s="677">
        <v>104618</v>
      </c>
      <c r="C6566" s="733" t="s">
        <v>7521</v>
      </c>
      <c r="D6566" s="677" t="s">
        <v>0</v>
      </c>
      <c r="E6566" s="738">
        <f t="shared" si="204"/>
        <v>317.47000000000003</v>
      </c>
      <c r="F6566">
        <f t="shared" si="205"/>
        <v>104618</v>
      </c>
      <c r="H6566" s="1405">
        <v>312.92</v>
      </c>
      <c r="I6566" s="1405">
        <v>317.47000000000003</v>
      </c>
    </row>
    <row r="6567" spans="2:9">
      <c r="B6567" s="1477">
        <v>104619</v>
      </c>
      <c r="C6567" s="740" t="s">
        <v>7522</v>
      </c>
      <c r="D6567" s="739" t="s">
        <v>21</v>
      </c>
      <c r="E6567" s="741">
        <f t="shared" si="204"/>
        <v>20.25</v>
      </c>
      <c r="F6567">
        <f t="shared" si="205"/>
        <v>104619</v>
      </c>
      <c r="H6567" s="1406">
        <v>19.940000000000001</v>
      </c>
      <c r="I6567" s="1406">
        <v>20.25</v>
      </c>
    </row>
    <row r="6568" spans="2:9" ht="30">
      <c r="B6568" s="677">
        <v>101965</v>
      </c>
      <c r="C6568" s="733" t="s">
        <v>4303</v>
      </c>
      <c r="D6568" s="677" t="s">
        <v>21</v>
      </c>
      <c r="E6568" s="738">
        <f t="shared" si="204"/>
        <v>125.36</v>
      </c>
      <c r="F6568">
        <f t="shared" si="205"/>
        <v>101965</v>
      </c>
      <c r="H6568" s="1405">
        <v>122.81</v>
      </c>
      <c r="I6568" s="1405">
        <v>125.36</v>
      </c>
    </row>
    <row r="6569" spans="2:9" ht="30">
      <c r="B6569" s="1477">
        <v>101966</v>
      </c>
      <c r="C6569" s="740" t="s">
        <v>4304</v>
      </c>
      <c r="D6569" s="739" t="s">
        <v>21</v>
      </c>
      <c r="E6569" s="741">
        <f t="shared" si="204"/>
        <v>160.09</v>
      </c>
      <c r="F6569">
        <f t="shared" si="205"/>
        <v>101966</v>
      </c>
      <c r="H6569" s="1406">
        <v>158.88999999999999</v>
      </c>
      <c r="I6569" s="1406">
        <v>160.09</v>
      </c>
    </row>
    <row r="6570" spans="2:9">
      <c r="B6570" s="677">
        <v>101979</v>
      </c>
      <c r="C6570" s="733" t="s">
        <v>4305</v>
      </c>
      <c r="D6570" s="677" t="s">
        <v>21</v>
      </c>
      <c r="E6570" s="738">
        <f t="shared" si="204"/>
        <v>48.87</v>
      </c>
      <c r="F6570">
        <f t="shared" si="205"/>
        <v>101979</v>
      </c>
      <c r="H6570" s="1405">
        <v>48.22</v>
      </c>
      <c r="I6570" s="1405">
        <v>48.87</v>
      </c>
    </row>
    <row r="6571" spans="2:9">
      <c r="B6571" s="1477">
        <v>96112</v>
      </c>
      <c r="C6571" s="740" t="s">
        <v>8330</v>
      </c>
      <c r="D6571" s="739" t="s">
        <v>0</v>
      </c>
      <c r="E6571" s="741">
        <f t="shared" si="204"/>
        <v>124.44</v>
      </c>
      <c r="F6571">
        <f t="shared" si="205"/>
        <v>96112</v>
      </c>
      <c r="H6571" s="1406">
        <v>118.86</v>
      </c>
      <c r="I6571" s="1406">
        <v>124.44</v>
      </c>
    </row>
    <row r="6572" spans="2:9">
      <c r="B6572" s="677">
        <v>96122</v>
      </c>
      <c r="C6572" s="733" t="s">
        <v>8200</v>
      </c>
      <c r="D6572" s="677" t="s">
        <v>21</v>
      </c>
      <c r="E6572" s="738">
        <f t="shared" si="204"/>
        <v>38.22</v>
      </c>
      <c r="F6572">
        <f t="shared" si="205"/>
        <v>96122</v>
      </c>
      <c r="H6572" s="1405">
        <v>36.99</v>
      </c>
      <c r="I6572" s="1405">
        <v>38.22</v>
      </c>
    </row>
    <row r="6573" spans="2:9" ht="30">
      <c r="B6573" s="1477">
        <v>104756</v>
      </c>
      <c r="C6573" s="740" t="s">
        <v>8201</v>
      </c>
      <c r="D6573" s="739" t="s">
        <v>0</v>
      </c>
      <c r="E6573" s="741">
        <f t="shared" si="204"/>
        <v>164.21</v>
      </c>
      <c r="F6573">
        <f t="shared" si="205"/>
        <v>104756</v>
      </c>
      <c r="H6573" s="1406">
        <v>159.04</v>
      </c>
      <c r="I6573" s="1406">
        <v>164.21</v>
      </c>
    </row>
    <row r="6574" spans="2:9">
      <c r="B6574" s="677">
        <v>96109</v>
      </c>
      <c r="C6574" s="733" t="s">
        <v>8202</v>
      </c>
      <c r="D6574" s="677" t="s">
        <v>0</v>
      </c>
      <c r="E6574" s="738">
        <f t="shared" si="204"/>
        <v>50.58</v>
      </c>
      <c r="F6574">
        <f t="shared" si="205"/>
        <v>96109</v>
      </c>
      <c r="H6574" s="1405">
        <v>47.24</v>
      </c>
      <c r="I6574" s="1405">
        <v>50.58</v>
      </c>
    </row>
    <row r="6575" spans="2:9">
      <c r="B6575" s="1477">
        <v>96110</v>
      </c>
      <c r="C6575" s="740" t="s">
        <v>8203</v>
      </c>
      <c r="D6575" s="739" t="s">
        <v>0</v>
      </c>
      <c r="E6575" s="741">
        <f t="shared" si="204"/>
        <v>74.78</v>
      </c>
      <c r="F6575">
        <f t="shared" si="205"/>
        <v>96110</v>
      </c>
      <c r="H6575" s="1406">
        <v>72.39</v>
      </c>
      <c r="I6575" s="1406">
        <v>74.78</v>
      </c>
    </row>
    <row r="6576" spans="2:9">
      <c r="B6576" s="677">
        <v>96113</v>
      </c>
      <c r="C6576" s="733" t="s">
        <v>8204</v>
      </c>
      <c r="D6576" s="677" t="s">
        <v>0</v>
      </c>
      <c r="E6576" s="738">
        <f t="shared" si="204"/>
        <v>46.03</v>
      </c>
      <c r="F6576">
        <f t="shared" si="205"/>
        <v>96113</v>
      </c>
      <c r="H6576" s="1405">
        <v>43.16</v>
      </c>
      <c r="I6576" s="1405">
        <v>46.03</v>
      </c>
    </row>
    <row r="6577" spans="2:9">
      <c r="B6577" s="1477">
        <v>96114</v>
      </c>
      <c r="C6577" s="740" t="s">
        <v>8205</v>
      </c>
      <c r="D6577" s="739" t="s">
        <v>0</v>
      </c>
      <c r="E6577" s="741">
        <f t="shared" si="204"/>
        <v>75.319999999999993</v>
      </c>
      <c r="F6577">
        <f t="shared" si="205"/>
        <v>96114</v>
      </c>
      <c r="H6577" s="1406">
        <v>73.23</v>
      </c>
      <c r="I6577" s="1406">
        <v>75.319999999999993</v>
      </c>
    </row>
    <row r="6578" spans="2:9">
      <c r="B6578" s="677">
        <v>96120</v>
      </c>
      <c r="C6578" s="733" t="s">
        <v>8206</v>
      </c>
      <c r="D6578" s="677" t="s">
        <v>21</v>
      </c>
      <c r="E6578" s="738">
        <f t="shared" si="204"/>
        <v>3.05</v>
      </c>
      <c r="F6578">
        <f t="shared" si="205"/>
        <v>96120</v>
      </c>
      <c r="H6578" s="1405">
        <v>2.87</v>
      </c>
      <c r="I6578" s="1405">
        <v>3.05</v>
      </c>
    </row>
    <row r="6579" spans="2:9">
      <c r="B6579" s="1477">
        <v>96123</v>
      </c>
      <c r="C6579" s="740" t="s">
        <v>8207</v>
      </c>
      <c r="D6579" s="739" t="s">
        <v>21</v>
      </c>
      <c r="E6579" s="741">
        <f t="shared" si="204"/>
        <v>26.94</v>
      </c>
      <c r="F6579">
        <f t="shared" si="205"/>
        <v>96123</v>
      </c>
      <c r="H6579" s="1406">
        <v>25.98</v>
      </c>
      <c r="I6579" s="1406">
        <v>26.94</v>
      </c>
    </row>
    <row r="6580" spans="2:9">
      <c r="B6580" s="677">
        <v>99054</v>
      </c>
      <c r="C6580" s="733" t="s">
        <v>8208</v>
      </c>
      <c r="D6580" s="677" t="s">
        <v>0</v>
      </c>
      <c r="E6580" s="738">
        <f t="shared" si="204"/>
        <v>57.29</v>
      </c>
      <c r="F6580">
        <f t="shared" si="205"/>
        <v>99054</v>
      </c>
      <c r="H6580" s="1405">
        <v>53.28</v>
      </c>
      <c r="I6580" s="1405">
        <v>57.29</v>
      </c>
    </row>
    <row r="6581" spans="2:9" ht="30">
      <c r="B6581" s="1477">
        <v>96111</v>
      </c>
      <c r="C6581" s="740" t="s">
        <v>8209</v>
      </c>
      <c r="D6581" s="739" t="s">
        <v>0</v>
      </c>
      <c r="E6581" s="741">
        <f t="shared" si="204"/>
        <v>60.24</v>
      </c>
      <c r="F6581">
        <f t="shared" si="205"/>
        <v>96111</v>
      </c>
      <c r="H6581" s="1406">
        <v>58.57</v>
      </c>
      <c r="I6581" s="1406">
        <v>60.24</v>
      </c>
    </row>
    <row r="6582" spans="2:9" ht="30">
      <c r="B6582" s="677">
        <v>96116</v>
      </c>
      <c r="C6582" s="733" t="s">
        <v>8331</v>
      </c>
      <c r="D6582" s="677" t="s">
        <v>0</v>
      </c>
      <c r="E6582" s="738">
        <f t="shared" si="204"/>
        <v>62.21</v>
      </c>
      <c r="F6582">
        <f t="shared" si="205"/>
        <v>96116</v>
      </c>
      <c r="H6582" s="1405">
        <v>60.77</v>
      </c>
      <c r="I6582" s="1405">
        <v>62.21</v>
      </c>
    </row>
    <row r="6583" spans="2:9">
      <c r="B6583" s="1477">
        <v>96121</v>
      </c>
      <c r="C6583" s="740" t="s">
        <v>8210</v>
      </c>
      <c r="D6583" s="739" t="s">
        <v>21</v>
      </c>
      <c r="E6583" s="741">
        <f t="shared" si="204"/>
        <v>11.45</v>
      </c>
      <c r="F6583">
        <f t="shared" si="205"/>
        <v>96121</v>
      </c>
      <c r="H6583" s="1406">
        <v>10.94</v>
      </c>
      <c r="I6583" s="1406">
        <v>11.45</v>
      </c>
    </row>
    <row r="6584" spans="2:9" ht="30">
      <c r="B6584" s="677">
        <v>96485</v>
      </c>
      <c r="C6584" s="733" t="s">
        <v>8211</v>
      </c>
      <c r="D6584" s="677" t="s">
        <v>0</v>
      </c>
      <c r="E6584" s="738">
        <f t="shared" si="204"/>
        <v>70.989999999999995</v>
      </c>
      <c r="F6584">
        <f t="shared" si="205"/>
        <v>96485</v>
      </c>
      <c r="H6584" s="1405">
        <v>69.319999999999993</v>
      </c>
      <c r="I6584" s="1405">
        <v>70.989999999999995</v>
      </c>
    </row>
    <row r="6585" spans="2:9">
      <c r="B6585" s="1477">
        <v>96486</v>
      </c>
      <c r="C6585" s="740" t="s">
        <v>8212</v>
      </c>
      <c r="D6585" s="739" t="s">
        <v>0</v>
      </c>
      <c r="E6585" s="741">
        <f t="shared" si="204"/>
        <v>72.959999999999994</v>
      </c>
      <c r="F6585">
        <f t="shared" si="205"/>
        <v>96486</v>
      </c>
      <c r="H6585" s="1406">
        <v>71.52</v>
      </c>
      <c r="I6585" s="1406">
        <v>72.959999999999994</v>
      </c>
    </row>
    <row r="6586" spans="2:9" ht="30">
      <c r="B6586" s="677">
        <v>91515</v>
      </c>
      <c r="C6586" s="733" t="s">
        <v>7224</v>
      </c>
      <c r="D6586" s="677" t="s">
        <v>0</v>
      </c>
      <c r="E6586" s="738">
        <f t="shared" si="204"/>
        <v>5.94</v>
      </c>
      <c r="F6586">
        <f t="shared" si="205"/>
        <v>91515</v>
      </c>
      <c r="H6586" s="1405">
        <v>5.35</v>
      </c>
      <c r="I6586" s="1405">
        <v>5.94</v>
      </c>
    </row>
    <row r="6587" spans="2:9" ht="30">
      <c r="B6587" s="1477">
        <v>91519</v>
      </c>
      <c r="C6587" s="740" t="s">
        <v>7225</v>
      </c>
      <c r="D6587" s="739" t="s">
        <v>0</v>
      </c>
      <c r="E6587" s="741">
        <f t="shared" si="204"/>
        <v>7.95</v>
      </c>
      <c r="F6587">
        <f t="shared" si="205"/>
        <v>91519</v>
      </c>
      <c r="H6587" s="1406">
        <v>7.16</v>
      </c>
      <c r="I6587" s="1406">
        <v>7.95</v>
      </c>
    </row>
    <row r="6588" spans="2:9" ht="30">
      <c r="B6588" s="677">
        <v>91520</v>
      </c>
      <c r="C6588" s="733" t="s">
        <v>7226</v>
      </c>
      <c r="D6588" s="677" t="s">
        <v>0</v>
      </c>
      <c r="E6588" s="738">
        <f t="shared" si="204"/>
        <v>2.25</v>
      </c>
      <c r="F6588">
        <f t="shared" si="205"/>
        <v>91520</v>
      </c>
      <c r="H6588" s="1405">
        <v>2.04</v>
      </c>
      <c r="I6588" s="1405">
        <v>2.25</v>
      </c>
    </row>
    <row r="6589" spans="2:9" ht="30">
      <c r="B6589" s="1477">
        <v>91522</v>
      </c>
      <c r="C6589" s="740" t="s">
        <v>7227</v>
      </c>
      <c r="D6589" s="739" t="s">
        <v>0</v>
      </c>
      <c r="E6589" s="741">
        <f t="shared" si="204"/>
        <v>3.08</v>
      </c>
      <c r="F6589">
        <f t="shared" si="205"/>
        <v>91522</v>
      </c>
      <c r="H6589" s="1406">
        <v>2.78</v>
      </c>
      <c r="I6589" s="1406">
        <v>3.08</v>
      </c>
    </row>
    <row r="6590" spans="2:9" ht="30">
      <c r="B6590" s="677">
        <v>91525</v>
      </c>
      <c r="C6590" s="733" t="s">
        <v>7228</v>
      </c>
      <c r="D6590" s="677" t="s">
        <v>0</v>
      </c>
      <c r="E6590" s="738">
        <f t="shared" si="204"/>
        <v>8.31</v>
      </c>
      <c r="F6590">
        <f t="shared" si="205"/>
        <v>91525</v>
      </c>
      <c r="H6590" s="1405">
        <v>7.83</v>
      </c>
      <c r="I6590" s="1405">
        <v>8.31</v>
      </c>
    </row>
    <row r="6591" spans="2:9" ht="30">
      <c r="B6591" s="1477">
        <v>104412</v>
      </c>
      <c r="C6591" s="740" t="s">
        <v>7229</v>
      </c>
      <c r="D6591" s="739" t="s">
        <v>0</v>
      </c>
      <c r="E6591" s="741">
        <f t="shared" si="204"/>
        <v>2.77</v>
      </c>
      <c r="F6591">
        <f t="shared" si="205"/>
        <v>104412</v>
      </c>
      <c r="H6591" s="1406">
        <v>2.5</v>
      </c>
      <c r="I6591" s="1406">
        <v>2.77</v>
      </c>
    </row>
    <row r="6592" spans="2:9" ht="30">
      <c r="B6592" s="677">
        <v>104413</v>
      </c>
      <c r="C6592" s="733" t="s">
        <v>7230</v>
      </c>
      <c r="D6592" s="677" t="s">
        <v>0</v>
      </c>
      <c r="E6592" s="738">
        <f t="shared" si="204"/>
        <v>4.83</v>
      </c>
      <c r="F6592">
        <f t="shared" si="205"/>
        <v>104413</v>
      </c>
      <c r="H6592" s="1405">
        <v>4.3499999999999996</v>
      </c>
      <c r="I6592" s="1405">
        <v>4.83</v>
      </c>
    </row>
    <row r="6593" spans="2:9" ht="30">
      <c r="B6593" s="1477">
        <v>104414</v>
      </c>
      <c r="C6593" s="740" t="s">
        <v>7231</v>
      </c>
      <c r="D6593" s="739" t="s">
        <v>0</v>
      </c>
      <c r="E6593" s="741">
        <f t="shared" si="204"/>
        <v>7.6</v>
      </c>
      <c r="F6593">
        <f t="shared" si="205"/>
        <v>104414</v>
      </c>
      <c r="H6593" s="1406">
        <v>7.19</v>
      </c>
      <c r="I6593" s="1406">
        <v>7.6</v>
      </c>
    </row>
    <row r="6594" spans="2:9" ht="30">
      <c r="B6594" s="677">
        <v>104415</v>
      </c>
      <c r="C6594" s="733" t="s">
        <v>7232</v>
      </c>
      <c r="D6594" s="677" t="s">
        <v>0</v>
      </c>
      <c r="E6594" s="738">
        <f t="shared" si="204"/>
        <v>12.21</v>
      </c>
      <c r="F6594">
        <f t="shared" si="205"/>
        <v>104415</v>
      </c>
      <c r="H6594" s="1405">
        <v>11.32</v>
      </c>
      <c r="I6594" s="1405">
        <v>12.21</v>
      </c>
    </row>
    <row r="6595" spans="2:9" ht="30">
      <c r="B6595" s="1477">
        <v>104416</v>
      </c>
      <c r="C6595" s="740" t="s">
        <v>7233</v>
      </c>
      <c r="D6595" s="739" t="s">
        <v>0</v>
      </c>
      <c r="E6595" s="741">
        <f t="shared" ref="E6595:E6658" si="206">IF($K$2=$H$1,H6595,I6595)</f>
        <v>1.94</v>
      </c>
      <c r="F6595">
        <f t="shared" ref="F6595:F6658" si="207">IF(LEN($B6595)=7,CONCATENATE(MID($B6595,1,6),"00",RIGHT($B6595,1)),IF(LEN($B6595)=8,CONCATENATE(MID($B6595,1,6),"0",RIGHT($B6595,2)),$B6595))</f>
        <v>104416</v>
      </c>
      <c r="H6595" s="1406">
        <v>1.75</v>
      </c>
      <c r="I6595" s="1406">
        <v>1.94</v>
      </c>
    </row>
    <row r="6596" spans="2:9" ht="30">
      <c r="B6596" s="677">
        <v>104417</v>
      </c>
      <c r="C6596" s="733" t="s">
        <v>7234</v>
      </c>
      <c r="D6596" s="677" t="s">
        <v>0</v>
      </c>
      <c r="E6596" s="738">
        <f t="shared" si="206"/>
        <v>4</v>
      </c>
      <c r="F6596">
        <f t="shared" si="207"/>
        <v>104417</v>
      </c>
      <c r="H6596" s="1405">
        <v>3.6</v>
      </c>
      <c r="I6596" s="1405">
        <v>4</v>
      </c>
    </row>
    <row r="6597" spans="2:9" ht="30">
      <c r="B6597" s="1477">
        <v>104418</v>
      </c>
      <c r="C6597" s="740" t="s">
        <v>7235</v>
      </c>
      <c r="D6597" s="739" t="s">
        <v>0</v>
      </c>
      <c r="E6597" s="741">
        <f t="shared" si="206"/>
        <v>2.63</v>
      </c>
      <c r="F6597">
        <f t="shared" si="207"/>
        <v>104418</v>
      </c>
      <c r="H6597" s="1406">
        <v>2.39</v>
      </c>
      <c r="I6597" s="1406">
        <v>2.63</v>
      </c>
    </row>
    <row r="6598" spans="2:9" ht="30">
      <c r="B6598" s="677">
        <v>104419</v>
      </c>
      <c r="C6598" s="733" t="s">
        <v>7236</v>
      </c>
      <c r="D6598" s="677" t="s">
        <v>0</v>
      </c>
      <c r="E6598" s="738">
        <f t="shared" si="206"/>
        <v>10.59</v>
      </c>
      <c r="F6598">
        <f t="shared" si="207"/>
        <v>104419</v>
      </c>
      <c r="H6598" s="1405">
        <v>9.5299999999999994</v>
      </c>
      <c r="I6598" s="1405">
        <v>10.59</v>
      </c>
    </row>
    <row r="6599" spans="2:9" ht="30">
      <c r="B6599" s="1477">
        <v>104420</v>
      </c>
      <c r="C6599" s="740" t="s">
        <v>7237</v>
      </c>
      <c r="D6599" s="739" t="s">
        <v>0</v>
      </c>
      <c r="E6599" s="741">
        <f t="shared" si="206"/>
        <v>9.57</v>
      </c>
      <c r="F6599">
        <f t="shared" si="207"/>
        <v>104420</v>
      </c>
      <c r="H6599" s="1406">
        <v>8.61</v>
      </c>
      <c r="I6599" s="1406">
        <v>9.57</v>
      </c>
    </row>
    <row r="6600" spans="2:9" ht="30">
      <c r="B6600" s="677">
        <v>104421</v>
      </c>
      <c r="C6600" s="733" t="s">
        <v>7238</v>
      </c>
      <c r="D6600" s="677" t="s">
        <v>0</v>
      </c>
      <c r="E6600" s="738">
        <f t="shared" si="206"/>
        <v>15.54</v>
      </c>
      <c r="F6600">
        <f t="shared" si="207"/>
        <v>104421</v>
      </c>
      <c r="H6600" s="1405">
        <v>14.56</v>
      </c>
      <c r="I6600" s="1405">
        <v>15.54</v>
      </c>
    </row>
    <row r="6601" spans="2:9" ht="30">
      <c r="B6601" s="1477">
        <v>104422</v>
      </c>
      <c r="C6601" s="740" t="s">
        <v>7239</v>
      </c>
      <c r="D6601" s="739" t="s">
        <v>0</v>
      </c>
      <c r="E6601" s="741">
        <f t="shared" si="206"/>
        <v>10.01</v>
      </c>
      <c r="F6601">
        <f t="shared" si="207"/>
        <v>104422</v>
      </c>
      <c r="H6601" s="1406">
        <v>9.6</v>
      </c>
      <c r="I6601" s="1406">
        <v>10.01</v>
      </c>
    </row>
    <row r="6602" spans="2:9" ht="30">
      <c r="B6602" s="677">
        <v>104423</v>
      </c>
      <c r="C6602" s="733" t="s">
        <v>7240</v>
      </c>
      <c r="D6602" s="677" t="s">
        <v>0</v>
      </c>
      <c r="E6602" s="738">
        <f t="shared" si="206"/>
        <v>23.38</v>
      </c>
      <c r="F6602">
        <f t="shared" si="207"/>
        <v>104423</v>
      </c>
      <c r="H6602" s="1405">
        <v>21.6</v>
      </c>
      <c r="I6602" s="1405">
        <v>23.38</v>
      </c>
    </row>
    <row r="6603" spans="2:9" ht="30">
      <c r="B6603" s="1477">
        <v>104424</v>
      </c>
      <c r="C6603" s="740" t="s">
        <v>7241</v>
      </c>
      <c r="D6603" s="739" t="s">
        <v>0</v>
      </c>
      <c r="E6603" s="741">
        <f t="shared" si="206"/>
        <v>21.72</v>
      </c>
      <c r="F6603">
        <f t="shared" si="207"/>
        <v>104424</v>
      </c>
      <c r="H6603" s="1406">
        <v>20.100000000000001</v>
      </c>
      <c r="I6603" s="1406">
        <v>21.72</v>
      </c>
    </row>
    <row r="6604" spans="2:9" ht="30">
      <c r="B6604" s="677">
        <v>104425</v>
      </c>
      <c r="C6604" s="733" t="s">
        <v>7242</v>
      </c>
      <c r="D6604" s="677" t="s">
        <v>0</v>
      </c>
      <c r="E6604" s="738">
        <f t="shared" si="206"/>
        <v>18.95</v>
      </c>
      <c r="F6604">
        <f t="shared" si="207"/>
        <v>104425</v>
      </c>
      <c r="H6604" s="1405">
        <v>17.62</v>
      </c>
      <c r="I6604" s="1405">
        <v>18.95</v>
      </c>
    </row>
    <row r="6605" spans="2:9" ht="30">
      <c r="B6605" s="1477">
        <v>87280</v>
      </c>
      <c r="C6605" s="740" t="s">
        <v>2561</v>
      </c>
      <c r="D6605" s="739" t="s">
        <v>19</v>
      </c>
      <c r="E6605" s="741">
        <f t="shared" si="206"/>
        <v>487.83</v>
      </c>
      <c r="F6605">
        <f t="shared" si="207"/>
        <v>87280</v>
      </c>
      <c r="H6605" s="1406">
        <v>478.04</v>
      </c>
      <c r="I6605" s="1406">
        <v>487.83</v>
      </c>
    </row>
    <row r="6606" spans="2:9" ht="30">
      <c r="B6606" s="677">
        <v>87281</v>
      </c>
      <c r="C6606" s="733" t="s">
        <v>2562</v>
      </c>
      <c r="D6606" s="677" t="s">
        <v>19</v>
      </c>
      <c r="E6606" s="738">
        <f t="shared" si="206"/>
        <v>483.78</v>
      </c>
      <c r="F6606">
        <f t="shared" si="207"/>
        <v>87281</v>
      </c>
      <c r="H6606" s="1405">
        <v>475.17</v>
      </c>
      <c r="I6606" s="1405">
        <v>483.78</v>
      </c>
    </row>
    <row r="6607" spans="2:9" ht="30">
      <c r="B6607" s="1477">
        <v>87283</v>
      </c>
      <c r="C6607" s="740" t="s">
        <v>2563</v>
      </c>
      <c r="D6607" s="739" t="s">
        <v>19</v>
      </c>
      <c r="E6607" s="741">
        <f t="shared" si="206"/>
        <v>507.11</v>
      </c>
      <c r="F6607">
        <f t="shared" si="207"/>
        <v>87283</v>
      </c>
      <c r="H6607" s="1406">
        <v>498.32</v>
      </c>
      <c r="I6607" s="1406">
        <v>507.11</v>
      </c>
    </row>
    <row r="6608" spans="2:9" ht="30">
      <c r="B6608" s="677">
        <v>87284</v>
      </c>
      <c r="C6608" s="733" t="s">
        <v>2564</v>
      </c>
      <c r="D6608" s="677" t="s">
        <v>19</v>
      </c>
      <c r="E6608" s="738">
        <f t="shared" si="206"/>
        <v>501.21</v>
      </c>
      <c r="F6608">
        <f t="shared" si="207"/>
        <v>87284</v>
      </c>
      <c r="H6608" s="1405">
        <v>493.5</v>
      </c>
      <c r="I6608" s="1405">
        <v>501.21</v>
      </c>
    </row>
    <row r="6609" spans="2:9" ht="30">
      <c r="B6609" s="1477">
        <v>87286</v>
      </c>
      <c r="C6609" s="740" t="s">
        <v>2565</v>
      </c>
      <c r="D6609" s="739" t="s">
        <v>19</v>
      </c>
      <c r="E6609" s="741">
        <f t="shared" si="206"/>
        <v>607.85</v>
      </c>
      <c r="F6609">
        <f t="shared" si="207"/>
        <v>87286</v>
      </c>
      <c r="H6609" s="1406">
        <v>597.38</v>
      </c>
      <c r="I6609" s="1406">
        <v>607.85</v>
      </c>
    </row>
    <row r="6610" spans="2:9" ht="30">
      <c r="B6610" s="677">
        <v>87287</v>
      </c>
      <c r="C6610" s="733" t="s">
        <v>2566</v>
      </c>
      <c r="D6610" s="677" t="s">
        <v>19</v>
      </c>
      <c r="E6610" s="738">
        <f t="shared" si="206"/>
        <v>594.69000000000005</v>
      </c>
      <c r="F6610">
        <f t="shared" si="207"/>
        <v>87287</v>
      </c>
      <c r="H6610" s="1405">
        <v>586.79999999999995</v>
      </c>
      <c r="I6610" s="1405">
        <v>594.69000000000005</v>
      </c>
    </row>
    <row r="6611" spans="2:9" ht="30">
      <c r="B6611" s="1477">
        <v>87289</v>
      </c>
      <c r="C6611" s="740" t="s">
        <v>2567</v>
      </c>
      <c r="D6611" s="739" t="s">
        <v>19</v>
      </c>
      <c r="E6611" s="741">
        <f t="shared" si="206"/>
        <v>583.39</v>
      </c>
      <c r="F6611">
        <f t="shared" si="207"/>
        <v>87289</v>
      </c>
      <c r="H6611" s="1406">
        <v>573.5</v>
      </c>
      <c r="I6611" s="1406">
        <v>583.39</v>
      </c>
    </row>
    <row r="6612" spans="2:9" ht="30">
      <c r="B6612" s="677">
        <v>87290</v>
      </c>
      <c r="C6612" s="733" t="s">
        <v>2568</v>
      </c>
      <c r="D6612" s="677" t="s">
        <v>19</v>
      </c>
      <c r="E6612" s="738">
        <f t="shared" si="206"/>
        <v>576.57000000000005</v>
      </c>
      <c r="F6612">
        <f t="shared" si="207"/>
        <v>87290</v>
      </c>
      <c r="H6612" s="1405">
        <v>568.15</v>
      </c>
      <c r="I6612" s="1405">
        <v>576.57000000000005</v>
      </c>
    </row>
    <row r="6613" spans="2:9" ht="30">
      <c r="B6613" s="1477">
        <v>87292</v>
      </c>
      <c r="C6613" s="740" t="s">
        <v>2569</v>
      </c>
      <c r="D6613" s="739" t="s">
        <v>19</v>
      </c>
      <c r="E6613" s="741">
        <f t="shared" si="206"/>
        <v>592.85</v>
      </c>
      <c r="F6613">
        <f t="shared" si="207"/>
        <v>87292</v>
      </c>
      <c r="H6613" s="1406">
        <v>583.71</v>
      </c>
      <c r="I6613" s="1406">
        <v>592.85</v>
      </c>
    </row>
    <row r="6614" spans="2:9" ht="30">
      <c r="B6614" s="677">
        <v>87294</v>
      </c>
      <c r="C6614" s="733" t="s">
        <v>2570</v>
      </c>
      <c r="D6614" s="677" t="s">
        <v>19</v>
      </c>
      <c r="E6614" s="738">
        <f t="shared" si="206"/>
        <v>568.75</v>
      </c>
      <c r="F6614">
        <f t="shared" si="207"/>
        <v>87294</v>
      </c>
      <c r="H6614" s="1405">
        <v>559.77</v>
      </c>
      <c r="I6614" s="1405">
        <v>568.75</v>
      </c>
    </row>
    <row r="6615" spans="2:9" ht="30">
      <c r="B6615" s="1477">
        <v>87295</v>
      </c>
      <c r="C6615" s="740" t="s">
        <v>2571</v>
      </c>
      <c r="D6615" s="739" t="s">
        <v>19</v>
      </c>
      <c r="E6615" s="741">
        <f t="shared" si="206"/>
        <v>573.73</v>
      </c>
      <c r="F6615">
        <f t="shared" si="207"/>
        <v>87295</v>
      </c>
      <c r="H6615" s="1406">
        <v>562.51</v>
      </c>
      <c r="I6615" s="1406">
        <v>573.73</v>
      </c>
    </row>
    <row r="6616" spans="2:9" ht="30">
      <c r="B6616" s="677">
        <v>87296</v>
      </c>
      <c r="C6616" s="733" t="s">
        <v>2572</v>
      </c>
      <c r="D6616" s="677" t="s">
        <v>19</v>
      </c>
      <c r="E6616" s="738">
        <f t="shared" si="206"/>
        <v>550.76</v>
      </c>
      <c r="F6616">
        <f t="shared" si="207"/>
        <v>87296</v>
      </c>
      <c r="H6616" s="1405">
        <v>542.80999999999995</v>
      </c>
      <c r="I6616" s="1405">
        <v>550.76</v>
      </c>
    </row>
    <row r="6617" spans="2:9" ht="30">
      <c r="B6617" s="1477">
        <v>87298</v>
      </c>
      <c r="C6617" s="740" t="s">
        <v>2573</v>
      </c>
      <c r="D6617" s="739" t="s">
        <v>19</v>
      </c>
      <c r="E6617" s="741">
        <f t="shared" si="206"/>
        <v>749.82</v>
      </c>
      <c r="F6617">
        <f t="shared" si="207"/>
        <v>87298</v>
      </c>
      <c r="H6617" s="1406">
        <v>740.84</v>
      </c>
      <c r="I6617" s="1406">
        <v>749.82</v>
      </c>
    </row>
    <row r="6618" spans="2:9" ht="30">
      <c r="B6618" s="677">
        <v>87299</v>
      </c>
      <c r="C6618" s="733" t="s">
        <v>2574</v>
      </c>
      <c r="D6618" s="677" t="s">
        <v>19</v>
      </c>
      <c r="E6618" s="738">
        <f t="shared" si="206"/>
        <v>497.02</v>
      </c>
      <c r="F6618">
        <f t="shared" si="207"/>
        <v>87299</v>
      </c>
      <c r="H6618" s="1405">
        <v>488.75</v>
      </c>
      <c r="I6618" s="1405">
        <v>497.02</v>
      </c>
    </row>
    <row r="6619" spans="2:9" ht="30">
      <c r="B6619" s="1477">
        <v>87301</v>
      </c>
      <c r="C6619" s="740" t="s">
        <v>2575</v>
      </c>
      <c r="D6619" s="739" t="s">
        <v>19</v>
      </c>
      <c r="E6619" s="741">
        <f t="shared" si="206"/>
        <v>675.64</v>
      </c>
      <c r="F6619">
        <f t="shared" si="207"/>
        <v>87301</v>
      </c>
      <c r="H6619" s="1406">
        <v>665.79</v>
      </c>
      <c r="I6619" s="1406">
        <v>675.64</v>
      </c>
    </row>
    <row r="6620" spans="2:9" ht="30">
      <c r="B6620" s="677">
        <v>87302</v>
      </c>
      <c r="C6620" s="733" t="s">
        <v>2576</v>
      </c>
      <c r="D6620" s="677" t="s">
        <v>19</v>
      </c>
      <c r="E6620" s="738">
        <f t="shared" si="206"/>
        <v>669.41</v>
      </c>
      <c r="F6620">
        <f t="shared" si="207"/>
        <v>87302</v>
      </c>
      <c r="H6620" s="1405">
        <v>661.07</v>
      </c>
      <c r="I6620" s="1405">
        <v>669.41</v>
      </c>
    </row>
    <row r="6621" spans="2:9" ht="30">
      <c r="B6621" s="1477">
        <v>87304</v>
      </c>
      <c r="C6621" s="740" t="s">
        <v>2577</v>
      </c>
      <c r="D6621" s="739" t="s">
        <v>19</v>
      </c>
      <c r="E6621" s="741">
        <f t="shared" si="206"/>
        <v>615.24</v>
      </c>
      <c r="F6621">
        <f t="shared" si="207"/>
        <v>87304</v>
      </c>
      <c r="H6621" s="1406">
        <v>606.29999999999995</v>
      </c>
      <c r="I6621" s="1406">
        <v>615.24</v>
      </c>
    </row>
    <row r="6622" spans="2:9" ht="30">
      <c r="B6622" s="677">
        <v>87305</v>
      </c>
      <c r="C6622" s="733" t="s">
        <v>2578</v>
      </c>
      <c r="D6622" s="677" t="s">
        <v>19</v>
      </c>
      <c r="E6622" s="738">
        <f t="shared" si="206"/>
        <v>618.9</v>
      </c>
      <c r="F6622">
        <f t="shared" si="207"/>
        <v>87305</v>
      </c>
      <c r="H6622" s="1405">
        <v>610.25</v>
      </c>
      <c r="I6622" s="1405">
        <v>618.9</v>
      </c>
    </row>
    <row r="6623" spans="2:9" ht="30">
      <c r="B6623" s="1477">
        <v>87307</v>
      </c>
      <c r="C6623" s="740" t="s">
        <v>2579</v>
      </c>
      <c r="D6623" s="739" t="s">
        <v>19</v>
      </c>
      <c r="E6623" s="741">
        <f t="shared" si="206"/>
        <v>585.37</v>
      </c>
      <c r="F6623">
        <f t="shared" si="207"/>
        <v>87307</v>
      </c>
      <c r="H6623" s="1406">
        <v>575.52</v>
      </c>
      <c r="I6623" s="1406">
        <v>585.37</v>
      </c>
    </row>
    <row r="6624" spans="2:9" ht="30">
      <c r="B6624" s="677">
        <v>87308</v>
      </c>
      <c r="C6624" s="733" t="s">
        <v>2580</v>
      </c>
      <c r="D6624" s="677" t="s">
        <v>19</v>
      </c>
      <c r="E6624" s="738">
        <f t="shared" si="206"/>
        <v>577.37</v>
      </c>
      <c r="F6624">
        <f t="shared" si="207"/>
        <v>87308</v>
      </c>
      <c r="H6624" s="1405">
        <v>568.79</v>
      </c>
      <c r="I6624" s="1405">
        <v>577.37</v>
      </c>
    </row>
    <row r="6625" spans="2:9" ht="30">
      <c r="B6625" s="1477">
        <v>87310</v>
      </c>
      <c r="C6625" s="740" t="s">
        <v>2581</v>
      </c>
      <c r="D6625" s="739" t="s">
        <v>19</v>
      </c>
      <c r="E6625" s="741">
        <f t="shared" si="206"/>
        <v>482.53</v>
      </c>
      <c r="F6625">
        <f t="shared" si="207"/>
        <v>87310</v>
      </c>
      <c r="H6625" s="1406">
        <v>473.8</v>
      </c>
      <c r="I6625" s="1406">
        <v>482.53</v>
      </c>
    </row>
    <row r="6626" spans="2:9" ht="30">
      <c r="B6626" s="677">
        <v>87311</v>
      </c>
      <c r="C6626" s="733" t="s">
        <v>2582</v>
      </c>
      <c r="D6626" s="677" t="s">
        <v>19</v>
      </c>
      <c r="E6626" s="738">
        <f t="shared" si="206"/>
        <v>474.71</v>
      </c>
      <c r="F6626">
        <f t="shared" si="207"/>
        <v>87311</v>
      </c>
      <c r="H6626" s="1405">
        <v>467.25</v>
      </c>
      <c r="I6626" s="1405">
        <v>474.71</v>
      </c>
    </row>
    <row r="6627" spans="2:9" ht="30">
      <c r="B6627" s="1477">
        <v>87313</v>
      </c>
      <c r="C6627" s="740" t="s">
        <v>2583</v>
      </c>
      <c r="D6627" s="739" t="s">
        <v>19</v>
      </c>
      <c r="E6627" s="741">
        <f t="shared" si="206"/>
        <v>581.14</v>
      </c>
      <c r="F6627">
        <f t="shared" si="207"/>
        <v>87313</v>
      </c>
      <c r="H6627" s="1406">
        <v>572.37</v>
      </c>
      <c r="I6627" s="1406">
        <v>581.14</v>
      </c>
    </row>
    <row r="6628" spans="2:9" ht="30">
      <c r="B6628" s="677">
        <v>87314</v>
      </c>
      <c r="C6628" s="733" t="s">
        <v>2584</v>
      </c>
      <c r="D6628" s="677" t="s">
        <v>19</v>
      </c>
      <c r="E6628" s="738">
        <f t="shared" si="206"/>
        <v>575.35</v>
      </c>
      <c r="F6628">
        <f t="shared" si="207"/>
        <v>87314</v>
      </c>
      <c r="H6628" s="1405">
        <v>567.86</v>
      </c>
      <c r="I6628" s="1405">
        <v>575.35</v>
      </c>
    </row>
    <row r="6629" spans="2:9" ht="30">
      <c r="B6629" s="1477">
        <v>87316</v>
      </c>
      <c r="C6629" s="740" t="s">
        <v>2585</v>
      </c>
      <c r="D6629" s="739" t="s">
        <v>19</v>
      </c>
      <c r="E6629" s="741">
        <f t="shared" si="206"/>
        <v>527.88</v>
      </c>
      <c r="F6629">
        <f t="shared" si="207"/>
        <v>87316</v>
      </c>
      <c r="H6629" s="1406">
        <v>518.46</v>
      </c>
      <c r="I6629" s="1406">
        <v>527.88</v>
      </c>
    </row>
    <row r="6630" spans="2:9" ht="30">
      <c r="B6630" s="677">
        <v>87317</v>
      </c>
      <c r="C6630" s="733" t="s">
        <v>2586</v>
      </c>
      <c r="D6630" s="677" t="s">
        <v>19</v>
      </c>
      <c r="E6630" s="738">
        <f t="shared" si="206"/>
        <v>515.84</v>
      </c>
      <c r="F6630">
        <f t="shared" si="207"/>
        <v>87317</v>
      </c>
      <c r="H6630" s="1405">
        <v>508.34</v>
      </c>
      <c r="I6630" s="1405">
        <v>515.84</v>
      </c>
    </row>
    <row r="6631" spans="2:9" ht="30">
      <c r="B6631" s="1477">
        <v>87319</v>
      </c>
      <c r="C6631" s="740" t="s">
        <v>2587</v>
      </c>
      <c r="D6631" s="739" t="s">
        <v>19</v>
      </c>
      <c r="E6631" s="741">
        <f t="shared" si="206"/>
        <v>3781.02</v>
      </c>
      <c r="F6631">
        <f t="shared" si="207"/>
        <v>87319</v>
      </c>
      <c r="H6631" s="1406">
        <v>3772.25</v>
      </c>
      <c r="I6631" s="1406">
        <v>3781.02</v>
      </c>
    </row>
    <row r="6632" spans="2:9" ht="30">
      <c r="B6632" s="677">
        <v>87320</v>
      </c>
      <c r="C6632" s="733" t="s">
        <v>2588</v>
      </c>
      <c r="D6632" s="677" t="s">
        <v>19</v>
      </c>
      <c r="E6632" s="738">
        <f t="shared" si="206"/>
        <v>3789.86</v>
      </c>
      <c r="F6632">
        <f t="shared" si="207"/>
        <v>87320</v>
      </c>
      <c r="H6632" s="1405">
        <v>3782.28</v>
      </c>
      <c r="I6632" s="1405">
        <v>3789.86</v>
      </c>
    </row>
    <row r="6633" spans="2:9" ht="30">
      <c r="B6633" s="1477">
        <v>87322</v>
      </c>
      <c r="C6633" s="740" t="s">
        <v>2589</v>
      </c>
      <c r="D6633" s="739" t="s">
        <v>19</v>
      </c>
      <c r="E6633" s="741">
        <f t="shared" si="206"/>
        <v>3897.61</v>
      </c>
      <c r="F6633">
        <f t="shared" si="207"/>
        <v>87322</v>
      </c>
      <c r="H6633" s="1406">
        <v>3888.35</v>
      </c>
      <c r="I6633" s="1406">
        <v>3897.61</v>
      </c>
    </row>
    <row r="6634" spans="2:9" ht="30">
      <c r="B6634" s="677">
        <v>87323</v>
      </c>
      <c r="C6634" s="733" t="s">
        <v>2590</v>
      </c>
      <c r="D6634" s="677" t="s">
        <v>19</v>
      </c>
      <c r="E6634" s="738">
        <f t="shared" si="206"/>
        <v>3900.49</v>
      </c>
      <c r="F6634">
        <f t="shared" si="207"/>
        <v>87323</v>
      </c>
      <c r="H6634" s="1405">
        <v>3893.16</v>
      </c>
      <c r="I6634" s="1405">
        <v>3900.49</v>
      </c>
    </row>
    <row r="6635" spans="2:9" ht="30">
      <c r="B6635" s="1477">
        <v>87325</v>
      </c>
      <c r="C6635" s="740" t="s">
        <v>2591</v>
      </c>
      <c r="D6635" s="739" t="s">
        <v>19</v>
      </c>
      <c r="E6635" s="741">
        <f t="shared" si="206"/>
        <v>3809.22</v>
      </c>
      <c r="F6635">
        <f t="shared" si="207"/>
        <v>87325</v>
      </c>
      <c r="H6635" s="1406">
        <v>3799.7</v>
      </c>
      <c r="I6635" s="1406">
        <v>3809.22</v>
      </c>
    </row>
    <row r="6636" spans="2:9" ht="30">
      <c r="B6636" s="677">
        <v>87326</v>
      </c>
      <c r="C6636" s="733" t="s">
        <v>2592</v>
      </c>
      <c r="D6636" s="677" t="s">
        <v>19</v>
      </c>
      <c r="E6636" s="738">
        <f t="shared" si="206"/>
        <v>3824.29</v>
      </c>
      <c r="F6636">
        <f t="shared" si="207"/>
        <v>87326</v>
      </c>
      <c r="H6636" s="1405">
        <v>3817.38</v>
      </c>
      <c r="I6636" s="1405">
        <v>3824.29</v>
      </c>
    </row>
    <row r="6637" spans="2:9" ht="45">
      <c r="B6637" s="1477">
        <v>87327</v>
      </c>
      <c r="C6637" s="740" t="s">
        <v>2593</v>
      </c>
      <c r="D6637" s="739" t="s">
        <v>19</v>
      </c>
      <c r="E6637" s="741">
        <f t="shared" si="206"/>
        <v>507.6</v>
      </c>
      <c r="F6637">
        <f t="shared" si="207"/>
        <v>87327</v>
      </c>
      <c r="H6637" s="1406">
        <v>495.74</v>
      </c>
      <c r="I6637" s="1406">
        <v>507.6</v>
      </c>
    </row>
    <row r="6638" spans="2:9" ht="45">
      <c r="B6638" s="677">
        <v>87328</v>
      </c>
      <c r="C6638" s="733" t="s">
        <v>2594</v>
      </c>
      <c r="D6638" s="677" t="s">
        <v>19</v>
      </c>
      <c r="E6638" s="738">
        <f t="shared" si="206"/>
        <v>455.92</v>
      </c>
      <c r="F6638">
        <f t="shared" si="207"/>
        <v>87328</v>
      </c>
      <c r="H6638" s="1405">
        <v>449.38</v>
      </c>
      <c r="I6638" s="1405">
        <v>455.92</v>
      </c>
    </row>
    <row r="6639" spans="2:9" ht="45">
      <c r="B6639" s="1477">
        <v>87329</v>
      </c>
      <c r="C6639" s="740" t="s">
        <v>2595</v>
      </c>
      <c r="D6639" s="739" t="s">
        <v>19</v>
      </c>
      <c r="E6639" s="741">
        <f t="shared" si="206"/>
        <v>541.94000000000005</v>
      </c>
      <c r="F6639">
        <f t="shared" si="207"/>
        <v>87329</v>
      </c>
      <c r="H6639" s="1406">
        <v>529.11</v>
      </c>
      <c r="I6639" s="1406">
        <v>541.94000000000005</v>
      </c>
    </row>
    <row r="6640" spans="2:9" ht="45">
      <c r="B6640" s="677">
        <v>87330</v>
      </c>
      <c r="C6640" s="733" t="s">
        <v>2596</v>
      </c>
      <c r="D6640" s="677" t="s">
        <v>19</v>
      </c>
      <c r="E6640" s="738">
        <f t="shared" si="206"/>
        <v>483.13</v>
      </c>
      <c r="F6640">
        <f t="shared" si="207"/>
        <v>87330</v>
      </c>
      <c r="H6640" s="1405">
        <v>476.28</v>
      </c>
      <c r="I6640" s="1405">
        <v>483.13</v>
      </c>
    </row>
    <row r="6641" spans="2:9" ht="30">
      <c r="B6641" s="1477">
        <v>87331</v>
      </c>
      <c r="C6641" s="740" t="s">
        <v>2597</v>
      </c>
      <c r="D6641" s="739" t="s">
        <v>19</v>
      </c>
      <c r="E6641" s="741">
        <f t="shared" si="206"/>
        <v>627.03</v>
      </c>
      <c r="F6641">
        <f t="shared" si="207"/>
        <v>87331</v>
      </c>
      <c r="H6641" s="1406">
        <v>614.44000000000005</v>
      </c>
      <c r="I6641" s="1406">
        <v>627.03</v>
      </c>
    </row>
    <row r="6642" spans="2:9" ht="30">
      <c r="B6642" s="677">
        <v>87332</v>
      </c>
      <c r="C6642" s="733" t="s">
        <v>2598</v>
      </c>
      <c r="D6642" s="677" t="s">
        <v>19</v>
      </c>
      <c r="E6642" s="738">
        <f t="shared" si="206"/>
        <v>573.42999999999995</v>
      </c>
      <c r="F6642">
        <f t="shared" si="207"/>
        <v>87332</v>
      </c>
      <c r="H6642" s="1405">
        <v>566.48</v>
      </c>
      <c r="I6642" s="1405">
        <v>573.42999999999995</v>
      </c>
    </row>
    <row r="6643" spans="2:9" ht="30">
      <c r="B6643" s="1477">
        <v>87333</v>
      </c>
      <c r="C6643" s="740" t="s">
        <v>2599</v>
      </c>
      <c r="D6643" s="739" t="s">
        <v>19</v>
      </c>
      <c r="E6643" s="741">
        <f t="shared" si="206"/>
        <v>585.62</v>
      </c>
      <c r="F6643">
        <f t="shared" si="207"/>
        <v>87333</v>
      </c>
      <c r="H6643" s="1406">
        <v>574.74</v>
      </c>
      <c r="I6643" s="1406">
        <v>585.62</v>
      </c>
    </row>
    <row r="6644" spans="2:9" ht="30">
      <c r="B6644" s="677">
        <v>87334</v>
      </c>
      <c r="C6644" s="733" t="s">
        <v>2600</v>
      </c>
      <c r="D6644" s="677" t="s">
        <v>19</v>
      </c>
      <c r="E6644" s="738">
        <f t="shared" si="206"/>
        <v>553.44000000000005</v>
      </c>
      <c r="F6644">
        <f t="shared" si="207"/>
        <v>87334</v>
      </c>
      <c r="H6644" s="1405">
        <v>545.98</v>
      </c>
      <c r="I6644" s="1405">
        <v>553.44000000000005</v>
      </c>
    </row>
    <row r="6645" spans="2:9" ht="30">
      <c r="B6645" s="1477">
        <v>87335</v>
      </c>
      <c r="C6645" s="740" t="s">
        <v>2601</v>
      </c>
      <c r="D6645" s="739" t="s">
        <v>19</v>
      </c>
      <c r="E6645" s="741">
        <f t="shared" si="206"/>
        <v>579.67999999999995</v>
      </c>
      <c r="F6645">
        <f t="shared" si="207"/>
        <v>87335</v>
      </c>
      <c r="H6645" s="1406">
        <v>569.61</v>
      </c>
      <c r="I6645" s="1406">
        <v>579.67999999999995</v>
      </c>
    </row>
    <row r="6646" spans="2:9" ht="30">
      <c r="B6646" s="677">
        <v>87336</v>
      </c>
      <c r="C6646" s="733" t="s">
        <v>2602</v>
      </c>
      <c r="D6646" s="677" t="s">
        <v>19</v>
      </c>
      <c r="E6646" s="738">
        <f t="shared" si="206"/>
        <v>567.04</v>
      </c>
      <c r="F6646">
        <f t="shared" si="207"/>
        <v>87336</v>
      </c>
      <c r="H6646" s="1405">
        <v>559.89</v>
      </c>
      <c r="I6646" s="1405">
        <v>567.04</v>
      </c>
    </row>
    <row r="6647" spans="2:9" ht="30">
      <c r="B6647" s="1477">
        <v>87337</v>
      </c>
      <c r="C6647" s="740" t="s">
        <v>2603</v>
      </c>
      <c r="D6647" s="739" t="s">
        <v>19</v>
      </c>
      <c r="E6647" s="741">
        <f t="shared" si="206"/>
        <v>568.75</v>
      </c>
      <c r="F6647">
        <f t="shared" si="207"/>
        <v>87337</v>
      </c>
      <c r="H6647" s="1406">
        <v>558.85</v>
      </c>
      <c r="I6647" s="1406">
        <v>568.75</v>
      </c>
    </row>
    <row r="6648" spans="2:9" ht="30">
      <c r="B6648" s="677">
        <v>87338</v>
      </c>
      <c r="C6648" s="733" t="s">
        <v>2604</v>
      </c>
      <c r="D6648" s="677" t="s">
        <v>19</v>
      </c>
      <c r="E6648" s="738">
        <f t="shared" si="206"/>
        <v>546.79999999999995</v>
      </c>
      <c r="F6648">
        <f t="shared" si="207"/>
        <v>87338</v>
      </c>
      <c r="H6648" s="1405">
        <v>538</v>
      </c>
      <c r="I6648" s="1405">
        <v>546.79999999999995</v>
      </c>
    </row>
    <row r="6649" spans="2:9" ht="30">
      <c r="B6649" s="1477">
        <v>87339</v>
      </c>
      <c r="C6649" s="740" t="s">
        <v>2605</v>
      </c>
      <c r="D6649" s="739" t="s">
        <v>19</v>
      </c>
      <c r="E6649" s="741">
        <f t="shared" si="206"/>
        <v>854.41</v>
      </c>
      <c r="F6649">
        <f t="shared" si="207"/>
        <v>87339</v>
      </c>
      <c r="H6649" s="1406">
        <v>833.39</v>
      </c>
      <c r="I6649" s="1406">
        <v>854.41</v>
      </c>
    </row>
    <row r="6650" spans="2:9" ht="30">
      <c r="B6650" s="677">
        <v>87340</v>
      </c>
      <c r="C6650" s="733" t="s">
        <v>2606</v>
      </c>
      <c r="D6650" s="677" t="s">
        <v>19</v>
      </c>
      <c r="E6650" s="738">
        <f t="shared" si="206"/>
        <v>744.98</v>
      </c>
      <c r="F6650">
        <f t="shared" si="207"/>
        <v>87340</v>
      </c>
      <c r="H6650" s="1405">
        <v>735.28</v>
      </c>
      <c r="I6650" s="1405">
        <v>744.98</v>
      </c>
    </row>
    <row r="6651" spans="2:9" ht="30">
      <c r="B6651" s="1477">
        <v>87341</v>
      </c>
      <c r="C6651" s="740" t="s">
        <v>2607</v>
      </c>
      <c r="D6651" s="739" t="s">
        <v>19</v>
      </c>
      <c r="E6651" s="741">
        <f t="shared" si="206"/>
        <v>718.11</v>
      </c>
      <c r="F6651">
        <f t="shared" si="207"/>
        <v>87341</v>
      </c>
      <c r="H6651" s="1406">
        <v>711.3</v>
      </c>
      <c r="I6651" s="1406">
        <v>718.11</v>
      </c>
    </row>
    <row r="6652" spans="2:9" ht="30">
      <c r="B6652" s="677">
        <v>87342</v>
      </c>
      <c r="C6652" s="733" t="s">
        <v>2608</v>
      </c>
      <c r="D6652" s="677" t="s">
        <v>19</v>
      </c>
      <c r="E6652" s="738">
        <f t="shared" si="206"/>
        <v>736.24</v>
      </c>
      <c r="F6652">
        <f t="shared" si="207"/>
        <v>87342</v>
      </c>
      <c r="H6652" s="1405">
        <v>719.28</v>
      </c>
      <c r="I6652" s="1405">
        <v>736.24</v>
      </c>
    </row>
    <row r="6653" spans="2:9" ht="30">
      <c r="B6653" s="1477">
        <v>87343</v>
      </c>
      <c r="C6653" s="740" t="s">
        <v>2609</v>
      </c>
      <c r="D6653" s="739" t="s">
        <v>19</v>
      </c>
      <c r="E6653" s="741">
        <f t="shared" si="206"/>
        <v>674.39</v>
      </c>
      <c r="F6653">
        <f t="shared" si="207"/>
        <v>87343</v>
      </c>
      <c r="H6653" s="1406">
        <v>663.88</v>
      </c>
      <c r="I6653" s="1406">
        <v>674.39</v>
      </c>
    </row>
    <row r="6654" spans="2:9" ht="30">
      <c r="B6654" s="677">
        <v>87344</v>
      </c>
      <c r="C6654" s="733" t="s">
        <v>2610</v>
      </c>
      <c r="D6654" s="677" t="s">
        <v>19</v>
      </c>
      <c r="E6654" s="738">
        <f t="shared" si="206"/>
        <v>641.35</v>
      </c>
      <c r="F6654">
        <f t="shared" si="207"/>
        <v>87344</v>
      </c>
      <c r="H6654" s="1405">
        <v>634.55999999999995</v>
      </c>
      <c r="I6654" s="1405">
        <v>641.35</v>
      </c>
    </row>
    <row r="6655" spans="2:9" ht="30">
      <c r="B6655" s="1477">
        <v>87345</v>
      </c>
      <c r="C6655" s="740" t="s">
        <v>2611</v>
      </c>
      <c r="D6655" s="739" t="s">
        <v>19</v>
      </c>
      <c r="E6655" s="741">
        <f t="shared" si="206"/>
        <v>665.25</v>
      </c>
      <c r="F6655">
        <f t="shared" si="207"/>
        <v>87345</v>
      </c>
      <c r="H6655" s="1406">
        <v>650.15</v>
      </c>
      <c r="I6655" s="1406">
        <v>665.25</v>
      </c>
    </row>
    <row r="6656" spans="2:9" ht="30">
      <c r="B6656" s="677">
        <v>87346</v>
      </c>
      <c r="C6656" s="733" t="s">
        <v>2612</v>
      </c>
      <c r="D6656" s="677" t="s">
        <v>19</v>
      </c>
      <c r="E6656" s="738">
        <f t="shared" si="206"/>
        <v>614.49</v>
      </c>
      <c r="F6656">
        <f t="shared" si="207"/>
        <v>87346</v>
      </c>
      <c r="H6656" s="1405">
        <v>604.77</v>
      </c>
      <c r="I6656" s="1405">
        <v>614.49</v>
      </c>
    </row>
    <row r="6657" spans="2:9" ht="30">
      <c r="B6657" s="1477">
        <v>87347</v>
      </c>
      <c r="C6657" s="740" t="s">
        <v>2613</v>
      </c>
      <c r="D6657" s="739" t="s">
        <v>19</v>
      </c>
      <c r="E6657" s="741">
        <f t="shared" si="206"/>
        <v>588.15</v>
      </c>
      <c r="F6657">
        <f t="shared" si="207"/>
        <v>87347</v>
      </c>
      <c r="H6657" s="1406">
        <v>581.30999999999995</v>
      </c>
      <c r="I6657" s="1406">
        <v>588.15</v>
      </c>
    </row>
    <row r="6658" spans="2:9" ht="30">
      <c r="B6658" s="677">
        <v>87348</v>
      </c>
      <c r="C6658" s="733" t="s">
        <v>2614</v>
      </c>
      <c r="D6658" s="677" t="s">
        <v>19</v>
      </c>
      <c r="E6658" s="738">
        <f t="shared" si="206"/>
        <v>612.74</v>
      </c>
      <c r="F6658">
        <f t="shared" si="207"/>
        <v>87348</v>
      </c>
      <c r="H6658" s="1405">
        <v>599.13</v>
      </c>
      <c r="I6658" s="1405">
        <v>612.74</v>
      </c>
    </row>
    <row r="6659" spans="2:9" ht="30">
      <c r="B6659" s="1477">
        <v>87349</v>
      </c>
      <c r="C6659" s="740" t="s">
        <v>2615</v>
      </c>
      <c r="D6659" s="739" t="s">
        <v>19</v>
      </c>
      <c r="E6659" s="741">
        <f t="shared" ref="E6659:E6722" si="208">IF($K$2=$H$1,H6659,I6659)</f>
        <v>547.27</v>
      </c>
      <c r="F6659">
        <f t="shared" ref="F6659:F6722" si="209">IF(LEN($B6659)=7,CONCATENATE(MID($B6659,1,6),"00",RIGHT($B6659,1)),IF(LEN($B6659)=8,CONCATENATE(MID($B6659,1,6),"0",RIGHT($B6659,2)),$B6659))</f>
        <v>87349</v>
      </c>
      <c r="H6659" s="1406">
        <v>540.84</v>
      </c>
      <c r="I6659" s="1406">
        <v>547.27</v>
      </c>
    </row>
    <row r="6660" spans="2:9" ht="30">
      <c r="B6660" s="677">
        <v>87350</v>
      </c>
      <c r="C6660" s="733" t="s">
        <v>2616</v>
      </c>
      <c r="D6660" s="677" t="s">
        <v>19</v>
      </c>
      <c r="E6660" s="738">
        <f t="shared" si="208"/>
        <v>522.13</v>
      </c>
      <c r="F6660">
        <f t="shared" si="209"/>
        <v>87350</v>
      </c>
      <c r="H6660" s="1405">
        <v>509.12</v>
      </c>
      <c r="I6660" s="1405">
        <v>522.13</v>
      </c>
    </row>
    <row r="6661" spans="2:9" ht="30">
      <c r="B6661" s="1477">
        <v>87351</v>
      </c>
      <c r="C6661" s="740" t="s">
        <v>2617</v>
      </c>
      <c r="D6661" s="739" t="s">
        <v>19</v>
      </c>
      <c r="E6661" s="741">
        <f t="shared" si="208"/>
        <v>458.66</v>
      </c>
      <c r="F6661">
        <f t="shared" si="209"/>
        <v>87351</v>
      </c>
      <c r="H6661" s="1406">
        <v>452.01</v>
      </c>
      <c r="I6661" s="1406">
        <v>458.66</v>
      </c>
    </row>
    <row r="6662" spans="2:9" ht="30">
      <c r="B6662" s="677">
        <v>87352</v>
      </c>
      <c r="C6662" s="733" t="s">
        <v>2618</v>
      </c>
      <c r="D6662" s="677" t="s">
        <v>19</v>
      </c>
      <c r="E6662" s="738">
        <f t="shared" si="208"/>
        <v>651.41999999999996</v>
      </c>
      <c r="F6662">
        <f t="shared" si="209"/>
        <v>87352</v>
      </c>
      <c r="H6662" s="1405">
        <v>634.91999999999996</v>
      </c>
      <c r="I6662" s="1405">
        <v>651.41999999999996</v>
      </c>
    </row>
    <row r="6663" spans="2:9" ht="30">
      <c r="B6663" s="1477">
        <v>87353</v>
      </c>
      <c r="C6663" s="740" t="s">
        <v>2619</v>
      </c>
      <c r="D6663" s="739" t="s">
        <v>19</v>
      </c>
      <c r="E6663" s="741">
        <f t="shared" si="208"/>
        <v>582.99</v>
      </c>
      <c r="F6663">
        <f t="shared" si="209"/>
        <v>87353</v>
      </c>
      <c r="H6663" s="1406">
        <v>573.33000000000004</v>
      </c>
      <c r="I6663" s="1406">
        <v>582.99</v>
      </c>
    </row>
    <row r="6664" spans="2:9" ht="30">
      <c r="B6664" s="677">
        <v>87354</v>
      </c>
      <c r="C6664" s="733" t="s">
        <v>2620</v>
      </c>
      <c r="D6664" s="677" t="s">
        <v>19</v>
      </c>
      <c r="E6664" s="738">
        <f t="shared" si="208"/>
        <v>553.86</v>
      </c>
      <c r="F6664">
        <f t="shared" si="209"/>
        <v>87354</v>
      </c>
      <c r="H6664" s="1405">
        <v>547.54</v>
      </c>
      <c r="I6664" s="1405">
        <v>553.86</v>
      </c>
    </row>
    <row r="6665" spans="2:9" ht="30">
      <c r="B6665" s="1477">
        <v>87355</v>
      </c>
      <c r="C6665" s="740" t="s">
        <v>2621</v>
      </c>
      <c r="D6665" s="739" t="s">
        <v>19</v>
      </c>
      <c r="E6665" s="741">
        <f t="shared" si="208"/>
        <v>560.04999999999995</v>
      </c>
      <c r="F6665">
        <f t="shared" si="209"/>
        <v>87355</v>
      </c>
      <c r="H6665" s="1406">
        <v>546.75</v>
      </c>
      <c r="I6665" s="1406">
        <v>560.04999999999995</v>
      </c>
    </row>
    <row r="6666" spans="2:9" ht="30">
      <c r="B6666" s="677">
        <v>87356</v>
      </c>
      <c r="C6666" s="733" t="s">
        <v>2622</v>
      </c>
      <c r="D6666" s="677" t="s">
        <v>19</v>
      </c>
      <c r="E6666" s="738">
        <f t="shared" si="208"/>
        <v>514.66</v>
      </c>
      <c r="F6666">
        <f t="shared" si="209"/>
        <v>87356</v>
      </c>
      <c r="H6666" s="1405">
        <v>506.18</v>
      </c>
      <c r="I6666" s="1405">
        <v>514.66</v>
      </c>
    </row>
    <row r="6667" spans="2:9" ht="30">
      <c r="B6667" s="1477">
        <v>87357</v>
      </c>
      <c r="C6667" s="740" t="s">
        <v>2623</v>
      </c>
      <c r="D6667" s="739" t="s">
        <v>19</v>
      </c>
      <c r="E6667" s="741">
        <f t="shared" si="208"/>
        <v>493.02</v>
      </c>
      <c r="F6667">
        <f t="shared" si="209"/>
        <v>87357</v>
      </c>
      <c r="H6667" s="1406">
        <v>486.86</v>
      </c>
      <c r="I6667" s="1406">
        <v>493.02</v>
      </c>
    </row>
    <row r="6668" spans="2:9" ht="30">
      <c r="B6668" s="677">
        <v>87358</v>
      </c>
      <c r="C6668" s="733" t="s">
        <v>2624</v>
      </c>
      <c r="D6668" s="677" t="s">
        <v>19</v>
      </c>
      <c r="E6668" s="738">
        <f t="shared" si="208"/>
        <v>3734.93</v>
      </c>
      <c r="F6668">
        <f t="shared" si="209"/>
        <v>87358</v>
      </c>
      <c r="H6668" s="1405">
        <v>3724.03</v>
      </c>
      <c r="I6668" s="1405">
        <v>3734.93</v>
      </c>
    </row>
    <row r="6669" spans="2:9" ht="30">
      <c r="B6669" s="1477">
        <v>87359</v>
      </c>
      <c r="C6669" s="740" t="s">
        <v>2625</v>
      </c>
      <c r="D6669" s="739" t="s">
        <v>19</v>
      </c>
      <c r="E6669" s="741">
        <f t="shared" si="208"/>
        <v>3712.68</v>
      </c>
      <c r="F6669">
        <f t="shared" si="209"/>
        <v>87359</v>
      </c>
      <c r="H6669" s="1406">
        <v>3705.4</v>
      </c>
      <c r="I6669" s="1406">
        <v>3712.68</v>
      </c>
    </row>
    <row r="6670" spans="2:9" ht="30">
      <c r="B6670" s="677">
        <v>87360</v>
      </c>
      <c r="C6670" s="733" t="s">
        <v>2626</v>
      </c>
      <c r="D6670" s="677" t="s">
        <v>19</v>
      </c>
      <c r="E6670" s="738">
        <f t="shared" si="208"/>
        <v>3841.83</v>
      </c>
      <c r="F6670">
        <f t="shared" si="209"/>
        <v>87360</v>
      </c>
      <c r="H6670" s="1405">
        <v>3827.84</v>
      </c>
      <c r="I6670" s="1405">
        <v>3841.83</v>
      </c>
    </row>
    <row r="6671" spans="2:9" ht="30">
      <c r="B6671" s="1477">
        <v>87361</v>
      </c>
      <c r="C6671" s="740" t="s">
        <v>2627</v>
      </c>
      <c r="D6671" s="739" t="s">
        <v>19</v>
      </c>
      <c r="E6671" s="741">
        <f t="shared" si="208"/>
        <v>3806.81</v>
      </c>
      <c r="F6671">
        <f t="shared" si="209"/>
        <v>87361</v>
      </c>
      <c r="H6671" s="1406">
        <v>3798.44</v>
      </c>
      <c r="I6671" s="1406">
        <v>3806.81</v>
      </c>
    </row>
    <row r="6672" spans="2:9" ht="30">
      <c r="B6672" s="677">
        <v>87362</v>
      </c>
      <c r="C6672" s="733" t="s">
        <v>2628</v>
      </c>
      <c r="D6672" s="677" t="s">
        <v>19</v>
      </c>
      <c r="E6672" s="738">
        <f t="shared" si="208"/>
        <v>3811.04</v>
      </c>
      <c r="F6672">
        <f t="shared" si="209"/>
        <v>87362</v>
      </c>
      <c r="H6672" s="1405">
        <v>3804.92</v>
      </c>
      <c r="I6672" s="1405">
        <v>3811.04</v>
      </c>
    </row>
    <row r="6673" spans="2:9" ht="30">
      <c r="B6673" s="1477">
        <v>87363</v>
      </c>
      <c r="C6673" s="740" t="s">
        <v>2629</v>
      </c>
      <c r="D6673" s="739" t="s">
        <v>19</v>
      </c>
      <c r="E6673" s="741">
        <f t="shared" si="208"/>
        <v>3772.74</v>
      </c>
      <c r="F6673">
        <f t="shared" si="209"/>
        <v>87363</v>
      </c>
      <c r="H6673" s="1406">
        <v>3760.85</v>
      </c>
      <c r="I6673" s="1406">
        <v>3772.74</v>
      </c>
    </row>
    <row r="6674" spans="2:9" ht="30">
      <c r="B6674" s="677">
        <v>87364</v>
      </c>
      <c r="C6674" s="733" t="s">
        <v>2630</v>
      </c>
      <c r="D6674" s="677" t="s">
        <v>19</v>
      </c>
      <c r="E6674" s="738">
        <f t="shared" si="208"/>
        <v>3755.1</v>
      </c>
      <c r="F6674">
        <f t="shared" si="209"/>
        <v>87364</v>
      </c>
      <c r="H6674" s="1405">
        <v>3748.67</v>
      </c>
      <c r="I6674" s="1405">
        <v>3755.1</v>
      </c>
    </row>
    <row r="6675" spans="2:9" ht="30">
      <c r="B6675" s="1477">
        <v>87365</v>
      </c>
      <c r="C6675" s="740" t="s">
        <v>2631</v>
      </c>
      <c r="D6675" s="739" t="s">
        <v>19</v>
      </c>
      <c r="E6675" s="741">
        <f t="shared" si="208"/>
        <v>606.15</v>
      </c>
      <c r="F6675">
        <f t="shared" si="209"/>
        <v>87365</v>
      </c>
      <c r="H6675" s="1406">
        <v>584.77</v>
      </c>
      <c r="I6675" s="1406">
        <v>606.15</v>
      </c>
    </row>
    <row r="6676" spans="2:9" ht="30">
      <c r="B6676" s="677">
        <v>87366</v>
      </c>
      <c r="C6676" s="733" t="s">
        <v>2632</v>
      </c>
      <c r="D6676" s="677" t="s">
        <v>19</v>
      </c>
      <c r="E6676" s="738">
        <f t="shared" si="208"/>
        <v>637.78</v>
      </c>
      <c r="F6676">
        <f t="shared" si="209"/>
        <v>87366</v>
      </c>
      <c r="H6676" s="1405">
        <v>615.72</v>
      </c>
      <c r="I6676" s="1405">
        <v>637.78</v>
      </c>
    </row>
    <row r="6677" spans="2:9" ht="30">
      <c r="B6677" s="1477">
        <v>87367</v>
      </c>
      <c r="C6677" s="740" t="s">
        <v>2633</v>
      </c>
      <c r="D6677" s="739" t="s">
        <v>19</v>
      </c>
      <c r="E6677" s="741">
        <f t="shared" si="208"/>
        <v>726.97</v>
      </c>
      <c r="F6677">
        <f t="shared" si="209"/>
        <v>87367</v>
      </c>
      <c r="H6677" s="1406">
        <v>704.73</v>
      </c>
      <c r="I6677" s="1406">
        <v>726.97</v>
      </c>
    </row>
    <row r="6678" spans="2:9" ht="30">
      <c r="B6678" s="677">
        <v>87368</v>
      </c>
      <c r="C6678" s="733" t="s">
        <v>2634</v>
      </c>
      <c r="D6678" s="677" t="s">
        <v>19</v>
      </c>
      <c r="E6678" s="738">
        <f t="shared" si="208"/>
        <v>705.81</v>
      </c>
      <c r="F6678">
        <f t="shared" si="209"/>
        <v>87368</v>
      </c>
      <c r="H6678" s="1405">
        <v>683.39</v>
      </c>
      <c r="I6678" s="1405">
        <v>705.81</v>
      </c>
    </row>
    <row r="6679" spans="2:9" ht="30">
      <c r="B6679" s="1477">
        <v>87369</v>
      </c>
      <c r="C6679" s="740" t="s">
        <v>2635</v>
      </c>
      <c r="D6679" s="739" t="s">
        <v>19</v>
      </c>
      <c r="E6679" s="741">
        <f t="shared" si="208"/>
        <v>717.99</v>
      </c>
      <c r="F6679">
        <f t="shared" si="209"/>
        <v>87369</v>
      </c>
      <c r="H6679" s="1406">
        <v>696.01</v>
      </c>
      <c r="I6679" s="1406">
        <v>717.99</v>
      </c>
    </row>
    <row r="6680" spans="2:9" ht="30">
      <c r="B6680" s="677">
        <v>87370</v>
      </c>
      <c r="C6680" s="733" t="s">
        <v>2636</v>
      </c>
      <c r="D6680" s="677" t="s">
        <v>19</v>
      </c>
      <c r="E6680" s="738">
        <f t="shared" si="208"/>
        <v>693.91</v>
      </c>
      <c r="F6680">
        <f t="shared" si="209"/>
        <v>87370</v>
      </c>
      <c r="H6680" s="1405">
        <v>671.79</v>
      </c>
      <c r="I6680" s="1405">
        <v>693.91</v>
      </c>
    </row>
    <row r="6681" spans="2:9" ht="30">
      <c r="B6681" s="1477">
        <v>87371</v>
      </c>
      <c r="C6681" s="740" t="s">
        <v>2637</v>
      </c>
      <c r="D6681" s="739" t="s">
        <v>19</v>
      </c>
      <c r="E6681" s="741">
        <f t="shared" si="208"/>
        <v>677.68</v>
      </c>
      <c r="F6681">
        <f t="shared" si="209"/>
        <v>87371</v>
      </c>
      <c r="H6681" s="1406">
        <v>656.13</v>
      </c>
      <c r="I6681" s="1406">
        <v>677.68</v>
      </c>
    </row>
    <row r="6682" spans="2:9">
      <c r="B6682" s="677">
        <v>87372</v>
      </c>
      <c r="C6682" s="733" t="s">
        <v>2638</v>
      </c>
      <c r="D6682" s="677" t="s">
        <v>19</v>
      </c>
      <c r="E6682" s="738">
        <f t="shared" si="208"/>
        <v>885.13</v>
      </c>
      <c r="F6682">
        <f t="shared" si="209"/>
        <v>87372</v>
      </c>
      <c r="H6682" s="1405">
        <v>862.07</v>
      </c>
      <c r="I6682" s="1405">
        <v>885.13</v>
      </c>
    </row>
    <row r="6683" spans="2:9">
      <c r="B6683" s="1477">
        <v>87373</v>
      </c>
      <c r="C6683" s="740" t="s">
        <v>2639</v>
      </c>
      <c r="D6683" s="739" t="s">
        <v>19</v>
      </c>
      <c r="E6683" s="741">
        <f t="shared" si="208"/>
        <v>794.76</v>
      </c>
      <c r="F6683">
        <f t="shared" si="209"/>
        <v>87373</v>
      </c>
      <c r="H6683" s="1406">
        <v>772.94</v>
      </c>
      <c r="I6683" s="1406">
        <v>794.76</v>
      </c>
    </row>
    <row r="6684" spans="2:9">
      <c r="B6684" s="677">
        <v>87374</v>
      </c>
      <c r="C6684" s="733" t="s">
        <v>2640</v>
      </c>
      <c r="D6684" s="677" t="s">
        <v>19</v>
      </c>
      <c r="E6684" s="738">
        <f t="shared" si="208"/>
        <v>742.9</v>
      </c>
      <c r="F6684">
        <f t="shared" si="209"/>
        <v>87374</v>
      </c>
      <c r="H6684" s="1405">
        <v>720.92</v>
      </c>
      <c r="I6684" s="1405">
        <v>742.9</v>
      </c>
    </row>
    <row r="6685" spans="2:9">
      <c r="B6685" s="1477">
        <v>87375</v>
      </c>
      <c r="C6685" s="740" t="s">
        <v>2641</v>
      </c>
      <c r="D6685" s="739" t="s">
        <v>19</v>
      </c>
      <c r="E6685" s="741">
        <f t="shared" si="208"/>
        <v>709.54</v>
      </c>
      <c r="F6685">
        <f t="shared" si="209"/>
        <v>87375</v>
      </c>
      <c r="H6685" s="1406">
        <v>687.15</v>
      </c>
      <c r="I6685" s="1406">
        <v>709.54</v>
      </c>
    </row>
    <row r="6686" spans="2:9" ht="30">
      <c r="B6686" s="677">
        <v>87376</v>
      </c>
      <c r="C6686" s="733" t="s">
        <v>2642</v>
      </c>
      <c r="D6686" s="677" t="s">
        <v>19</v>
      </c>
      <c r="E6686" s="738">
        <f t="shared" si="208"/>
        <v>609.15</v>
      </c>
      <c r="F6686">
        <f t="shared" si="209"/>
        <v>87376</v>
      </c>
      <c r="H6686" s="1405">
        <v>587.77</v>
      </c>
      <c r="I6686" s="1405">
        <v>609.15</v>
      </c>
    </row>
    <row r="6687" spans="2:9" ht="30">
      <c r="B6687" s="1477">
        <v>87377</v>
      </c>
      <c r="C6687" s="740" t="s">
        <v>2643</v>
      </c>
      <c r="D6687" s="739" t="s">
        <v>19</v>
      </c>
      <c r="E6687" s="741">
        <f t="shared" si="208"/>
        <v>712.24</v>
      </c>
      <c r="F6687">
        <f t="shared" si="209"/>
        <v>87377</v>
      </c>
      <c r="H6687" s="1406">
        <v>690.42</v>
      </c>
      <c r="I6687" s="1406">
        <v>712.24</v>
      </c>
    </row>
    <row r="6688" spans="2:9" ht="30">
      <c r="B6688" s="677">
        <v>87378</v>
      </c>
      <c r="C6688" s="733" t="s">
        <v>2644</v>
      </c>
      <c r="D6688" s="677" t="s">
        <v>19</v>
      </c>
      <c r="E6688" s="738">
        <f t="shared" si="208"/>
        <v>645.79</v>
      </c>
      <c r="F6688">
        <f t="shared" si="209"/>
        <v>87378</v>
      </c>
      <c r="H6688" s="1405">
        <v>624.67999999999995</v>
      </c>
      <c r="I6688" s="1405">
        <v>645.79</v>
      </c>
    </row>
    <row r="6689" spans="2:9" ht="30">
      <c r="B6689" s="1477">
        <v>87379</v>
      </c>
      <c r="C6689" s="740" t="s">
        <v>2645</v>
      </c>
      <c r="D6689" s="739" t="s">
        <v>19</v>
      </c>
      <c r="E6689" s="741">
        <f t="shared" si="208"/>
        <v>3885.54</v>
      </c>
      <c r="F6689">
        <f t="shared" si="209"/>
        <v>87379</v>
      </c>
      <c r="H6689" s="1406">
        <v>3864.46</v>
      </c>
      <c r="I6689" s="1406">
        <v>3885.54</v>
      </c>
    </row>
    <row r="6690" spans="2:9" ht="30">
      <c r="B6690" s="677">
        <v>87380</v>
      </c>
      <c r="C6690" s="733" t="s">
        <v>2646</v>
      </c>
      <c r="D6690" s="677" t="s">
        <v>19</v>
      </c>
      <c r="E6690" s="738">
        <f t="shared" si="208"/>
        <v>3986</v>
      </c>
      <c r="F6690">
        <f t="shared" si="209"/>
        <v>87380</v>
      </c>
      <c r="H6690" s="1405">
        <v>3964.48</v>
      </c>
      <c r="I6690" s="1405">
        <v>3986</v>
      </c>
    </row>
    <row r="6691" spans="2:9" ht="30">
      <c r="B6691" s="1477">
        <v>87381</v>
      </c>
      <c r="C6691" s="740" t="s">
        <v>2647</v>
      </c>
      <c r="D6691" s="739" t="s">
        <v>19</v>
      </c>
      <c r="E6691" s="741">
        <f t="shared" si="208"/>
        <v>3920.8</v>
      </c>
      <c r="F6691">
        <f t="shared" si="209"/>
        <v>87381</v>
      </c>
      <c r="H6691" s="1406">
        <v>3899.99</v>
      </c>
      <c r="I6691" s="1406">
        <v>3920.8</v>
      </c>
    </row>
    <row r="6692" spans="2:9" ht="30">
      <c r="B6692" s="677">
        <v>87382</v>
      </c>
      <c r="C6692" s="733" t="s">
        <v>2648</v>
      </c>
      <c r="D6692" s="677" t="s">
        <v>19</v>
      </c>
      <c r="E6692" s="738">
        <f t="shared" si="208"/>
        <v>2357.84</v>
      </c>
      <c r="F6692">
        <f t="shared" si="209"/>
        <v>87382</v>
      </c>
      <c r="H6692" s="1405">
        <v>2348.79</v>
      </c>
      <c r="I6692" s="1405">
        <v>2357.84</v>
      </c>
    </row>
    <row r="6693" spans="2:9" ht="30">
      <c r="B6693" s="1477">
        <v>87383</v>
      </c>
      <c r="C6693" s="740" t="s">
        <v>2649</v>
      </c>
      <c r="D6693" s="739" t="s">
        <v>19</v>
      </c>
      <c r="E6693" s="741">
        <f t="shared" si="208"/>
        <v>2361.69</v>
      </c>
      <c r="F6693">
        <f t="shared" si="209"/>
        <v>87383</v>
      </c>
      <c r="H6693" s="1406">
        <v>2354.58</v>
      </c>
      <c r="I6693" s="1406">
        <v>2361.69</v>
      </c>
    </row>
    <row r="6694" spans="2:9" ht="30">
      <c r="B6694" s="677">
        <v>87384</v>
      </c>
      <c r="C6694" s="733" t="s">
        <v>2650</v>
      </c>
      <c r="D6694" s="677" t="s">
        <v>19</v>
      </c>
      <c r="E6694" s="738">
        <f t="shared" si="208"/>
        <v>2360.08</v>
      </c>
      <c r="F6694">
        <f t="shared" si="209"/>
        <v>87384</v>
      </c>
      <c r="H6694" s="1405">
        <v>2354.6999999999998</v>
      </c>
      <c r="I6694" s="1405">
        <v>2360.08</v>
      </c>
    </row>
    <row r="6695" spans="2:9">
      <c r="B6695" s="1477">
        <v>87385</v>
      </c>
      <c r="C6695" s="740" t="s">
        <v>2651</v>
      </c>
      <c r="D6695" s="739" t="s">
        <v>19</v>
      </c>
      <c r="E6695" s="741">
        <f t="shared" si="208"/>
        <v>2749.67</v>
      </c>
      <c r="F6695">
        <f t="shared" si="209"/>
        <v>87385</v>
      </c>
      <c r="H6695" s="1406">
        <v>2738.87</v>
      </c>
      <c r="I6695" s="1406">
        <v>2749.67</v>
      </c>
    </row>
    <row r="6696" spans="2:9">
      <c r="B6696" s="677">
        <v>87386</v>
      </c>
      <c r="C6696" s="733" t="s">
        <v>2652</v>
      </c>
      <c r="D6696" s="677" t="s">
        <v>19</v>
      </c>
      <c r="E6696" s="738">
        <f t="shared" si="208"/>
        <v>2750.19</v>
      </c>
      <c r="F6696">
        <f t="shared" si="209"/>
        <v>87386</v>
      </c>
      <c r="H6696" s="1405">
        <v>2742.03</v>
      </c>
      <c r="I6696" s="1405">
        <v>2750.19</v>
      </c>
    </row>
    <row r="6697" spans="2:9">
      <c r="B6697" s="1477">
        <v>87387</v>
      </c>
      <c r="C6697" s="740" t="s">
        <v>2653</v>
      </c>
      <c r="D6697" s="739" t="s">
        <v>19</v>
      </c>
      <c r="E6697" s="741">
        <f t="shared" si="208"/>
        <v>2752.33</v>
      </c>
      <c r="F6697">
        <f t="shared" si="209"/>
        <v>87387</v>
      </c>
      <c r="H6697" s="1406">
        <v>2746.02</v>
      </c>
      <c r="I6697" s="1406">
        <v>2752.33</v>
      </c>
    </row>
    <row r="6698" spans="2:9" ht="30">
      <c r="B6698" s="677">
        <v>87388</v>
      </c>
      <c r="C6698" s="733" t="s">
        <v>2654</v>
      </c>
      <c r="D6698" s="677" t="s">
        <v>19</v>
      </c>
      <c r="E6698" s="738">
        <f t="shared" si="208"/>
        <v>6645.88</v>
      </c>
      <c r="F6698">
        <f t="shared" si="209"/>
        <v>87388</v>
      </c>
      <c r="H6698" s="1405">
        <v>6636.76</v>
      </c>
      <c r="I6698" s="1405">
        <v>6645.88</v>
      </c>
    </row>
    <row r="6699" spans="2:9" ht="30">
      <c r="B6699" s="1477">
        <v>87389</v>
      </c>
      <c r="C6699" s="740" t="s">
        <v>2655</v>
      </c>
      <c r="D6699" s="739" t="s">
        <v>19</v>
      </c>
      <c r="E6699" s="741">
        <f t="shared" si="208"/>
        <v>6680.81</v>
      </c>
      <c r="F6699">
        <f t="shared" si="209"/>
        <v>87389</v>
      </c>
      <c r="H6699" s="1406">
        <v>6673.76</v>
      </c>
      <c r="I6699" s="1406">
        <v>6680.81</v>
      </c>
    </row>
    <row r="6700" spans="2:9" ht="30">
      <c r="B6700" s="677">
        <v>87390</v>
      </c>
      <c r="C6700" s="733" t="s">
        <v>2656</v>
      </c>
      <c r="D6700" s="677" t="s">
        <v>19</v>
      </c>
      <c r="E6700" s="738">
        <f t="shared" si="208"/>
        <v>6723.19</v>
      </c>
      <c r="F6700">
        <f t="shared" si="209"/>
        <v>87390</v>
      </c>
      <c r="H6700" s="1405">
        <v>6717.81</v>
      </c>
      <c r="I6700" s="1405">
        <v>6723.19</v>
      </c>
    </row>
    <row r="6701" spans="2:9">
      <c r="B6701" s="1477">
        <v>87391</v>
      </c>
      <c r="C6701" s="740" t="s">
        <v>2657</v>
      </c>
      <c r="D6701" s="739" t="s">
        <v>19</v>
      </c>
      <c r="E6701" s="741">
        <f t="shared" si="208"/>
        <v>7377.03</v>
      </c>
      <c r="F6701">
        <f t="shared" si="209"/>
        <v>87391</v>
      </c>
      <c r="H6701" s="1406">
        <v>7365.21</v>
      </c>
      <c r="I6701" s="1406">
        <v>7377.03</v>
      </c>
    </row>
    <row r="6702" spans="2:9">
      <c r="B6702" s="677">
        <v>87393</v>
      </c>
      <c r="C6702" s="733" t="s">
        <v>2658</v>
      </c>
      <c r="D6702" s="677" t="s">
        <v>19</v>
      </c>
      <c r="E6702" s="738">
        <f t="shared" si="208"/>
        <v>7452.81</v>
      </c>
      <c r="F6702">
        <f t="shared" si="209"/>
        <v>87393</v>
      </c>
      <c r="H6702" s="1405">
        <v>7443.23</v>
      </c>
      <c r="I6702" s="1405">
        <v>7452.81</v>
      </c>
    </row>
    <row r="6703" spans="2:9">
      <c r="B6703" s="1477">
        <v>87394</v>
      </c>
      <c r="C6703" s="740" t="s">
        <v>2659</v>
      </c>
      <c r="D6703" s="739" t="s">
        <v>19</v>
      </c>
      <c r="E6703" s="741">
        <f t="shared" si="208"/>
        <v>7527.72</v>
      </c>
      <c r="F6703">
        <f t="shared" si="209"/>
        <v>87394</v>
      </c>
      <c r="H6703" s="1406">
        <v>7519.95</v>
      </c>
      <c r="I6703" s="1406">
        <v>7527.72</v>
      </c>
    </row>
    <row r="6704" spans="2:9" ht="30">
      <c r="B6704" s="677">
        <v>87395</v>
      </c>
      <c r="C6704" s="733" t="s">
        <v>2660</v>
      </c>
      <c r="D6704" s="677" t="s">
        <v>19</v>
      </c>
      <c r="E6704" s="738">
        <f t="shared" si="208"/>
        <v>4640.08</v>
      </c>
      <c r="F6704">
        <f t="shared" si="209"/>
        <v>87395</v>
      </c>
      <c r="H6704" s="1405">
        <v>4628.26</v>
      </c>
      <c r="I6704" s="1405">
        <v>4640.08</v>
      </c>
    </row>
    <row r="6705" spans="2:9" ht="30">
      <c r="B6705" s="1477">
        <v>87396</v>
      </c>
      <c r="C6705" s="740" t="s">
        <v>2661</v>
      </c>
      <c r="D6705" s="739" t="s">
        <v>19</v>
      </c>
      <c r="E6705" s="741">
        <f t="shared" si="208"/>
        <v>4679.09</v>
      </c>
      <c r="F6705">
        <f t="shared" si="209"/>
        <v>87396</v>
      </c>
      <c r="H6705" s="1406">
        <v>4669.51</v>
      </c>
      <c r="I6705" s="1406">
        <v>4679.09</v>
      </c>
    </row>
    <row r="6706" spans="2:9" ht="30">
      <c r="B6706" s="677">
        <v>87397</v>
      </c>
      <c r="C6706" s="733" t="s">
        <v>2662</v>
      </c>
      <c r="D6706" s="677" t="s">
        <v>19</v>
      </c>
      <c r="E6706" s="738">
        <f t="shared" si="208"/>
        <v>4718.88</v>
      </c>
      <c r="F6706">
        <f t="shared" si="209"/>
        <v>87397</v>
      </c>
      <c r="H6706" s="1405">
        <v>4711.1099999999997</v>
      </c>
      <c r="I6706" s="1405">
        <v>4718.88</v>
      </c>
    </row>
    <row r="6707" spans="2:9" ht="30">
      <c r="B6707" s="1477">
        <v>87398</v>
      </c>
      <c r="C6707" s="740" t="s">
        <v>2663</v>
      </c>
      <c r="D6707" s="739" t="s">
        <v>19</v>
      </c>
      <c r="E6707" s="741">
        <f t="shared" si="208"/>
        <v>2580.52</v>
      </c>
      <c r="F6707">
        <f t="shared" si="209"/>
        <v>87398</v>
      </c>
      <c r="H6707" s="1406">
        <v>2555.6</v>
      </c>
      <c r="I6707" s="1406">
        <v>2580.52</v>
      </c>
    </row>
    <row r="6708" spans="2:9">
      <c r="B6708" s="677">
        <v>87399</v>
      </c>
      <c r="C6708" s="733" t="s">
        <v>2664</v>
      </c>
      <c r="D6708" s="677" t="s">
        <v>19</v>
      </c>
      <c r="E6708" s="738">
        <f t="shared" si="208"/>
        <v>2977.62</v>
      </c>
      <c r="F6708">
        <f t="shared" si="209"/>
        <v>87399</v>
      </c>
      <c r="H6708" s="1405">
        <v>2950.84</v>
      </c>
      <c r="I6708" s="1405">
        <v>2977.62</v>
      </c>
    </row>
    <row r="6709" spans="2:9">
      <c r="B6709" s="1477">
        <v>87401</v>
      </c>
      <c r="C6709" s="740" t="s">
        <v>2665</v>
      </c>
      <c r="D6709" s="739" t="s">
        <v>19</v>
      </c>
      <c r="E6709" s="741">
        <f t="shared" si="208"/>
        <v>7722.09</v>
      </c>
      <c r="F6709">
        <f t="shared" si="209"/>
        <v>87401</v>
      </c>
      <c r="H6709" s="1406">
        <v>7690.85</v>
      </c>
      <c r="I6709" s="1406">
        <v>7722.09</v>
      </c>
    </row>
    <row r="6710" spans="2:9">
      <c r="B6710" s="677">
        <v>87402</v>
      </c>
      <c r="C6710" s="733" t="s">
        <v>2666</v>
      </c>
      <c r="D6710" s="677" t="s">
        <v>19</v>
      </c>
      <c r="E6710" s="738">
        <f t="shared" si="208"/>
        <v>4929.09</v>
      </c>
      <c r="F6710">
        <f t="shared" si="209"/>
        <v>87402</v>
      </c>
      <c r="H6710" s="1405">
        <v>4897.8500000000004</v>
      </c>
      <c r="I6710" s="1405">
        <v>4929.09</v>
      </c>
    </row>
    <row r="6711" spans="2:9" ht="30">
      <c r="B6711" s="1477">
        <v>87404</v>
      </c>
      <c r="C6711" s="740" t="s">
        <v>2667</v>
      </c>
      <c r="D6711" s="739" t="s">
        <v>19</v>
      </c>
      <c r="E6711" s="741">
        <f t="shared" si="208"/>
        <v>6883.89</v>
      </c>
      <c r="F6711">
        <f t="shared" si="209"/>
        <v>87404</v>
      </c>
      <c r="H6711" s="1406">
        <v>6871.14</v>
      </c>
      <c r="I6711" s="1406">
        <v>6883.89</v>
      </c>
    </row>
    <row r="6712" spans="2:9" ht="30">
      <c r="B6712" s="677">
        <v>87405</v>
      </c>
      <c r="C6712" s="733" t="s">
        <v>312</v>
      </c>
      <c r="D6712" s="677" t="s">
        <v>19</v>
      </c>
      <c r="E6712" s="738">
        <f t="shared" si="208"/>
        <v>6914.15</v>
      </c>
      <c r="F6712">
        <f t="shared" si="209"/>
        <v>87405</v>
      </c>
      <c r="H6712" s="1405">
        <v>6904.59</v>
      </c>
      <c r="I6712" s="1405">
        <v>6914.15</v>
      </c>
    </row>
    <row r="6713" spans="2:9">
      <c r="B6713" s="1477">
        <v>87407</v>
      </c>
      <c r="C6713" s="740" t="s">
        <v>2668</v>
      </c>
      <c r="D6713" s="739" t="s">
        <v>19</v>
      </c>
      <c r="E6713" s="741">
        <f t="shared" si="208"/>
        <v>2403.11</v>
      </c>
      <c r="F6713">
        <f t="shared" si="209"/>
        <v>87407</v>
      </c>
      <c r="H6713" s="1406">
        <v>2394.5</v>
      </c>
      <c r="I6713" s="1406">
        <v>2403.11</v>
      </c>
    </row>
    <row r="6714" spans="2:9">
      <c r="B6714" s="677">
        <v>87408</v>
      </c>
      <c r="C6714" s="733" t="s">
        <v>313</v>
      </c>
      <c r="D6714" s="677" t="s">
        <v>19</v>
      </c>
      <c r="E6714" s="738">
        <f t="shared" si="208"/>
        <v>2396.25</v>
      </c>
      <c r="F6714">
        <f t="shared" si="209"/>
        <v>87408</v>
      </c>
      <c r="H6714" s="1405">
        <v>2389.8000000000002</v>
      </c>
      <c r="I6714" s="1405">
        <v>2396.25</v>
      </c>
    </row>
    <row r="6715" spans="2:9">
      <c r="B6715" s="1477">
        <v>87410</v>
      </c>
      <c r="C6715" s="740" t="s">
        <v>2669</v>
      </c>
      <c r="D6715" s="739" t="s">
        <v>19</v>
      </c>
      <c r="E6715" s="741">
        <f t="shared" si="208"/>
        <v>984.48</v>
      </c>
      <c r="F6715">
        <f t="shared" si="209"/>
        <v>87410</v>
      </c>
      <c r="H6715" s="1406">
        <v>972.48</v>
      </c>
      <c r="I6715" s="1406">
        <v>984.48</v>
      </c>
    </row>
    <row r="6716" spans="2:9" ht="30">
      <c r="B6716" s="677">
        <v>88626</v>
      </c>
      <c r="C6716" s="733" t="s">
        <v>2670</v>
      </c>
      <c r="D6716" s="677" t="s">
        <v>19</v>
      </c>
      <c r="E6716" s="738">
        <f t="shared" si="208"/>
        <v>598.09</v>
      </c>
      <c r="F6716">
        <f t="shared" si="209"/>
        <v>88626</v>
      </c>
      <c r="H6716" s="1405">
        <v>590.22</v>
      </c>
      <c r="I6716" s="1405">
        <v>598.09</v>
      </c>
    </row>
    <row r="6717" spans="2:9" ht="30">
      <c r="B6717" s="1477">
        <v>88627</v>
      </c>
      <c r="C6717" s="740" t="s">
        <v>2671</v>
      </c>
      <c r="D6717" s="739" t="s">
        <v>19</v>
      </c>
      <c r="E6717" s="741">
        <f t="shared" si="208"/>
        <v>697.35</v>
      </c>
      <c r="F6717">
        <f t="shared" si="209"/>
        <v>88627</v>
      </c>
      <c r="H6717" s="1406">
        <v>679.97</v>
      </c>
      <c r="I6717" s="1406">
        <v>697.35</v>
      </c>
    </row>
    <row r="6718" spans="2:9">
      <c r="B6718" s="677">
        <v>88628</v>
      </c>
      <c r="C6718" s="733" t="s">
        <v>2672</v>
      </c>
      <c r="D6718" s="677" t="s">
        <v>19</v>
      </c>
      <c r="E6718" s="738">
        <f t="shared" si="208"/>
        <v>625.89</v>
      </c>
      <c r="F6718">
        <f t="shared" si="209"/>
        <v>88628</v>
      </c>
      <c r="H6718" s="1405">
        <v>618.94000000000005</v>
      </c>
      <c r="I6718" s="1405">
        <v>625.89</v>
      </c>
    </row>
    <row r="6719" spans="2:9">
      <c r="B6719" s="1477">
        <v>88629</v>
      </c>
      <c r="C6719" s="740" t="s">
        <v>2673</v>
      </c>
      <c r="D6719" s="739" t="s">
        <v>19</v>
      </c>
      <c r="E6719" s="741">
        <f t="shared" si="208"/>
        <v>729.62</v>
      </c>
      <c r="F6719">
        <f t="shared" si="209"/>
        <v>88629</v>
      </c>
      <c r="H6719" s="1406">
        <v>712.65</v>
      </c>
      <c r="I6719" s="1406">
        <v>729.62</v>
      </c>
    </row>
    <row r="6720" spans="2:9">
      <c r="B6720" s="677">
        <v>88630</v>
      </c>
      <c r="C6720" s="733" t="s">
        <v>1575</v>
      </c>
      <c r="D6720" s="677" t="s">
        <v>19</v>
      </c>
      <c r="E6720" s="738">
        <f t="shared" si="208"/>
        <v>538.98</v>
      </c>
      <c r="F6720">
        <f t="shared" si="209"/>
        <v>88630</v>
      </c>
      <c r="H6720" s="1405">
        <v>532.16</v>
      </c>
      <c r="I6720" s="1405">
        <v>538.98</v>
      </c>
    </row>
    <row r="6721" spans="2:9">
      <c r="B6721" s="1477">
        <v>88631</v>
      </c>
      <c r="C6721" s="740" t="s">
        <v>2674</v>
      </c>
      <c r="D6721" s="739" t="s">
        <v>19</v>
      </c>
      <c r="E6721" s="741">
        <f t="shared" si="208"/>
        <v>656.66</v>
      </c>
      <c r="F6721">
        <f t="shared" si="209"/>
        <v>88631</v>
      </c>
      <c r="H6721" s="1406">
        <v>640.24</v>
      </c>
      <c r="I6721" s="1406">
        <v>656.66</v>
      </c>
    </row>
    <row r="6722" spans="2:9" ht="30">
      <c r="B6722" s="677">
        <v>88715</v>
      </c>
      <c r="C6722" s="733" t="s">
        <v>2675</v>
      </c>
      <c r="D6722" s="677" t="s">
        <v>19</v>
      </c>
      <c r="E6722" s="738">
        <f t="shared" si="208"/>
        <v>562.66999999999996</v>
      </c>
      <c r="F6722">
        <f t="shared" si="209"/>
        <v>88715</v>
      </c>
      <c r="H6722" s="1405">
        <v>554.02</v>
      </c>
      <c r="I6722" s="1405">
        <v>562.66999999999996</v>
      </c>
    </row>
    <row r="6723" spans="2:9" ht="30">
      <c r="B6723" s="1477">
        <v>95563</v>
      </c>
      <c r="C6723" s="740" t="s">
        <v>3225</v>
      </c>
      <c r="D6723" s="739" t="s">
        <v>19</v>
      </c>
      <c r="E6723" s="741">
        <f t="shared" ref="E6723:E6786" si="210">IF($K$2=$H$1,H6723,I6723)</f>
        <v>897.39</v>
      </c>
      <c r="F6723">
        <f t="shared" ref="F6723:F6787" si="211">IF(LEN($B6723)=7,CONCATENATE(MID($B6723,1,6),"00",RIGHT($B6723,1)),IF(LEN($B6723)=8,CONCATENATE(MID($B6723,1,6),"0",RIGHT($B6723,2)),$B6723))</f>
        <v>95563</v>
      </c>
      <c r="H6723" s="1406">
        <v>881.17</v>
      </c>
      <c r="I6723" s="1406">
        <v>897.39</v>
      </c>
    </row>
    <row r="6724" spans="2:9" ht="30">
      <c r="B6724" s="677">
        <v>100464</v>
      </c>
      <c r="C6724" s="733" t="s">
        <v>2676</v>
      </c>
      <c r="D6724" s="677" t="s">
        <v>19</v>
      </c>
      <c r="E6724" s="738">
        <f t="shared" si="210"/>
        <v>618.84</v>
      </c>
      <c r="F6724">
        <f t="shared" si="211"/>
        <v>100464</v>
      </c>
      <c r="H6724" s="1405">
        <v>608.04</v>
      </c>
      <c r="I6724" s="1405">
        <v>618.84</v>
      </c>
    </row>
    <row r="6725" spans="2:9" ht="30">
      <c r="B6725" s="1477">
        <v>100465</v>
      </c>
      <c r="C6725" s="740" t="s">
        <v>2677</v>
      </c>
      <c r="D6725" s="739" t="s">
        <v>19</v>
      </c>
      <c r="E6725" s="741">
        <f t="shared" si="210"/>
        <v>585.5</v>
      </c>
      <c r="F6725">
        <f t="shared" si="211"/>
        <v>100465</v>
      </c>
      <c r="H6725" s="1406">
        <v>578.38</v>
      </c>
      <c r="I6725" s="1406">
        <v>585.5</v>
      </c>
    </row>
    <row r="6726" spans="2:9" ht="30">
      <c r="B6726" s="677">
        <v>100466</v>
      </c>
      <c r="C6726" s="733" t="s">
        <v>2678</v>
      </c>
      <c r="D6726" s="677" t="s">
        <v>19</v>
      </c>
      <c r="E6726" s="738">
        <f t="shared" si="210"/>
        <v>569.78</v>
      </c>
      <c r="F6726">
        <f t="shared" si="211"/>
        <v>100466</v>
      </c>
      <c r="H6726" s="1405">
        <v>564.49</v>
      </c>
      <c r="I6726" s="1405">
        <v>569.78</v>
      </c>
    </row>
    <row r="6727" spans="2:9" ht="30">
      <c r="B6727" s="1477">
        <v>100468</v>
      </c>
      <c r="C6727" s="740" t="s">
        <v>2679</v>
      </c>
      <c r="D6727" s="739" t="s">
        <v>19</v>
      </c>
      <c r="E6727" s="741">
        <f t="shared" si="210"/>
        <v>732.94</v>
      </c>
      <c r="F6727">
        <f t="shared" si="211"/>
        <v>100468</v>
      </c>
      <c r="H6727" s="1406">
        <v>719.16</v>
      </c>
      <c r="I6727" s="1406">
        <v>732.94</v>
      </c>
    </row>
    <row r="6728" spans="2:9" ht="30">
      <c r="B6728" s="677">
        <v>100469</v>
      </c>
      <c r="C6728" s="733" t="s">
        <v>2680</v>
      </c>
      <c r="D6728" s="677" t="s">
        <v>19</v>
      </c>
      <c r="E6728" s="738">
        <f t="shared" si="210"/>
        <v>615.29</v>
      </c>
      <c r="F6728">
        <f t="shared" si="211"/>
        <v>100469</v>
      </c>
      <c r="H6728" s="1405">
        <v>608.69000000000005</v>
      </c>
      <c r="I6728" s="1405">
        <v>615.29</v>
      </c>
    </row>
    <row r="6729" spans="2:9" ht="30">
      <c r="B6729" s="1477">
        <v>100470</v>
      </c>
      <c r="C6729" s="740" t="s">
        <v>2681</v>
      </c>
      <c r="D6729" s="739" t="s">
        <v>19</v>
      </c>
      <c r="E6729" s="741">
        <f t="shared" si="210"/>
        <v>560.44000000000005</v>
      </c>
      <c r="F6729">
        <f t="shared" si="211"/>
        <v>100470</v>
      </c>
      <c r="H6729" s="1406">
        <v>553.84</v>
      </c>
      <c r="I6729" s="1406">
        <v>560.44000000000005</v>
      </c>
    </row>
    <row r="6730" spans="2:9" ht="30">
      <c r="B6730" s="677">
        <v>100472</v>
      </c>
      <c r="C6730" s="733" t="s">
        <v>2682</v>
      </c>
      <c r="D6730" s="677" t="s">
        <v>19</v>
      </c>
      <c r="E6730" s="738">
        <f t="shared" si="210"/>
        <v>597.52</v>
      </c>
      <c r="F6730">
        <f t="shared" si="211"/>
        <v>100472</v>
      </c>
      <c r="H6730" s="1405">
        <v>585.87</v>
      </c>
      <c r="I6730" s="1405">
        <v>597.52</v>
      </c>
    </row>
    <row r="6731" spans="2:9" ht="30">
      <c r="B6731" s="1477">
        <v>100473</v>
      </c>
      <c r="C6731" s="740" t="s">
        <v>2683</v>
      </c>
      <c r="D6731" s="739" t="s">
        <v>19</v>
      </c>
      <c r="E6731" s="741">
        <f t="shared" si="210"/>
        <v>554.67999999999995</v>
      </c>
      <c r="F6731">
        <f t="shared" si="211"/>
        <v>100473</v>
      </c>
      <c r="H6731" s="1406">
        <v>547.52</v>
      </c>
      <c r="I6731" s="1406">
        <v>554.67999999999995</v>
      </c>
    </row>
    <row r="6732" spans="2:9" ht="30">
      <c r="B6732" s="677">
        <v>100474</v>
      </c>
      <c r="C6732" s="733" t="s">
        <v>2684</v>
      </c>
      <c r="D6732" s="677" t="s">
        <v>19</v>
      </c>
      <c r="E6732" s="738">
        <f t="shared" si="210"/>
        <v>537.22</v>
      </c>
      <c r="F6732">
        <f t="shared" si="211"/>
        <v>100474</v>
      </c>
      <c r="H6732" s="1405">
        <v>532.17999999999995</v>
      </c>
      <c r="I6732" s="1405">
        <v>537.22</v>
      </c>
    </row>
    <row r="6733" spans="2:9" ht="30">
      <c r="B6733" s="1477">
        <v>100475</v>
      </c>
      <c r="C6733" s="740" t="s">
        <v>2685</v>
      </c>
      <c r="D6733" s="739" t="s">
        <v>19</v>
      </c>
      <c r="E6733" s="741">
        <f t="shared" si="210"/>
        <v>777.28</v>
      </c>
      <c r="F6733">
        <f t="shared" si="211"/>
        <v>100475</v>
      </c>
      <c r="H6733" s="1406">
        <v>769.66</v>
      </c>
      <c r="I6733" s="1406">
        <v>777.28</v>
      </c>
    </row>
    <row r="6734" spans="2:9" ht="30">
      <c r="B6734" s="677">
        <v>100477</v>
      </c>
      <c r="C6734" s="733" t="s">
        <v>2686</v>
      </c>
      <c r="D6734" s="677" t="s">
        <v>19</v>
      </c>
      <c r="E6734" s="738">
        <f t="shared" si="210"/>
        <v>828.68</v>
      </c>
      <c r="F6734">
        <f t="shared" si="211"/>
        <v>100477</v>
      </c>
      <c r="H6734" s="1405">
        <v>814.22</v>
      </c>
      <c r="I6734" s="1405">
        <v>828.68</v>
      </c>
    </row>
    <row r="6735" spans="2:9" ht="30">
      <c r="B6735" s="1477">
        <v>100478</v>
      </c>
      <c r="C6735" s="740" t="s">
        <v>2687</v>
      </c>
      <c r="D6735" s="739" t="s">
        <v>19</v>
      </c>
      <c r="E6735" s="741">
        <f t="shared" si="210"/>
        <v>763.02</v>
      </c>
      <c r="F6735">
        <f t="shared" si="211"/>
        <v>100478</v>
      </c>
      <c r="H6735" s="1406">
        <v>755.76</v>
      </c>
      <c r="I6735" s="1406">
        <v>763.02</v>
      </c>
    </row>
    <row r="6736" spans="2:9" ht="30">
      <c r="B6736" s="677">
        <v>100479</v>
      </c>
      <c r="C6736" s="733" t="s">
        <v>2688</v>
      </c>
      <c r="D6736" s="677" t="s">
        <v>19</v>
      </c>
      <c r="E6736" s="738">
        <f t="shared" si="210"/>
        <v>749.93</v>
      </c>
      <c r="F6736">
        <f t="shared" si="211"/>
        <v>100479</v>
      </c>
      <c r="H6736" s="1405">
        <v>744.27</v>
      </c>
      <c r="I6736" s="1405">
        <v>749.93</v>
      </c>
    </row>
    <row r="6737" spans="2:9" ht="30">
      <c r="B6737" s="1477">
        <v>100480</v>
      </c>
      <c r="C6737" s="740" t="s">
        <v>2689</v>
      </c>
      <c r="D6737" s="739" t="s">
        <v>19</v>
      </c>
      <c r="E6737" s="741">
        <f t="shared" si="210"/>
        <v>880.12</v>
      </c>
      <c r="F6737">
        <f t="shared" si="211"/>
        <v>100480</v>
      </c>
      <c r="H6737" s="1406">
        <v>862.5</v>
      </c>
      <c r="I6737" s="1406">
        <v>880.12</v>
      </c>
    </row>
    <row r="6738" spans="2:9" ht="30">
      <c r="B6738" s="677">
        <v>100481</v>
      </c>
      <c r="C6738" s="733" t="s">
        <v>2690</v>
      </c>
      <c r="D6738" s="677" t="s">
        <v>19</v>
      </c>
      <c r="E6738" s="738">
        <f t="shared" si="210"/>
        <v>675.59</v>
      </c>
      <c r="F6738">
        <f t="shared" si="211"/>
        <v>100481</v>
      </c>
      <c r="H6738" s="1405">
        <v>668.47</v>
      </c>
      <c r="I6738" s="1405">
        <v>675.59</v>
      </c>
    </row>
    <row r="6739" spans="2:9" ht="30">
      <c r="B6739" s="1477">
        <v>100483</v>
      </c>
      <c r="C6739" s="740" t="s">
        <v>2691</v>
      </c>
      <c r="D6739" s="739" t="s">
        <v>19</v>
      </c>
      <c r="E6739" s="741">
        <f t="shared" si="210"/>
        <v>713.85</v>
      </c>
      <c r="F6739">
        <f t="shared" si="211"/>
        <v>100483</v>
      </c>
      <c r="H6739" s="1406">
        <v>701.65</v>
      </c>
      <c r="I6739" s="1406">
        <v>713.85</v>
      </c>
    </row>
    <row r="6740" spans="2:9" ht="30">
      <c r="B6740" s="677">
        <v>100484</v>
      </c>
      <c r="C6740" s="733" t="s">
        <v>2692</v>
      </c>
      <c r="D6740" s="677" t="s">
        <v>19</v>
      </c>
      <c r="E6740" s="738">
        <f t="shared" si="210"/>
        <v>672.14</v>
      </c>
      <c r="F6740">
        <f t="shared" si="211"/>
        <v>100484</v>
      </c>
      <c r="H6740" s="1405">
        <v>664.42</v>
      </c>
      <c r="I6740" s="1405">
        <v>672.14</v>
      </c>
    </row>
    <row r="6741" spans="2:9" ht="30">
      <c r="B6741" s="1477">
        <v>100485</v>
      </c>
      <c r="C6741" s="740" t="s">
        <v>2693</v>
      </c>
      <c r="D6741" s="739" t="s">
        <v>19</v>
      </c>
      <c r="E6741" s="741">
        <f t="shared" si="210"/>
        <v>656.82</v>
      </c>
      <c r="F6741">
        <f t="shared" si="211"/>
        <v>100485</v>
      </c>
      <c r="H6741" s="1406">
        <v>651.17999999999995</v>
      </c>
      <c r="I6741" s="1406">
        <v>656.82</v>
      </c>
    </row>
    <row r="6742" spans="2:9" ht="30">
      <c r="B6742" s="677">
        <v>100486</v>
      </c>
      <c r="C6742" s="733" t="s">
        <v>2694</v>
      </c>
      <c r="D6742" s="677" t="s">
        <v>19</v>
      </c>
      <c r="E6742" s="738">
        <f t="shared" si="210"/>
        <v>783.91</v>
      </c>
      <c r="F6742">
        <f t="shared" si="211"/>
        <v>100486</v>
      </c>
      <c r="H6742" s="1405">
        <v>766.98</v>
      </c>
      <c r="I6742" s="1405">
        <v>783.91</v>
      </c>
    </row>
    <row r="6743" spans="2:9" ht="30">
      <c r="B6743" s="1477">
        <v>100487</v>
      </c>
      <c r="C6743" s="740" t="s">
        <v>2695</v>
      </c>
      <c r="D6743" s="739" t="s">
        <v>19</v>
      </c>
      <c r="E6743" s="741">
        <f t="shared" si="210"/>
        <v>539.44000000000005</v>
      </c>
      <c r="F6743">
        <f t="shared" si="211"/>
        <v>100487</v>
      </c>
      <c r="H6743" s="1406">
        <v>532.55999999999995</v>
      </c>
      <c r="I6743" s="1406">
        <v>539.44000000000005</v>
      </c>
    </row>
    <row r="6744" spans="2:9" ht="30">
      <c r="B6744" s="677">
        <v>100488</v>
      </c>
      <c r="C6744" s="733" t="s">
        <v>2696</v>
      </c>
      <c r="D6744" s="677" t="s">
        <v>19</v>
      </c>
      <c r="E6744" s="738">
        <f t="shared" si="210"/>
        <v>592.54</v>
      </c>
      <c r="F6744">
        <f t="shared" si="211"/>
        <v>100488</v>
      </c>
      <c r="H6744" s="1405">
        <v>585.97</v>
      </c>
      <c r="I6744" s="1405">
        <v>592.54</v>
      </c>
    </row>
    <row r="6745" spans="2:9">
      <c r="B6745" s="1477">
        <v>100489</v>
      </c>
      <c r="C6745" s="740" t="s">
        <v>2697</v>
      </c>
      <c r="D6745" s="739" t="s">
        <v>19</v>
      </c>
      <c r="E6745" s="741">
        <f t="shared" si="210"/>
        <v>625.70000000000005</v>
      </c>
      <c r="F6745">
        <f t="shared" si="211"/>
        <v>100489</v>
      </c>
      <c r="H6745" s="1406">
        <v>619.26</v>
      </c>
      <c r="I6745" s="1406">
        <v>625.70000000000005</v>
      </c>
    </row>
    <row r="6746" spans="2:9">
      <c r="B6746" s="677">
        <v>100490</v>
      </c>
      <c r="C6746" s="733" t="s">
        <v>2698</v>
      </c>
      <c r="D6746" s="677" t="s">
        <v>19</v>
      </c>
      <c r="E6746" s="738">
        <f t="shared" si="210"/>
        <v>555.78</v>
      </c>
      <c r="F6746">
        <f t="shared" si="211"/>
        <v>100490</v>
      </c>
      <c r="H6746" s="1405">
        <v>549.71</v>
      </c>
      <c r="I6746" s="1405">
        <v>555.78</v>
      </c>
    </row>
    <row r="6747" spans="2:9" ht="30">
      <c r="B6747" s="1477">
        <v>100491</v>
      </c>
      <c r="C6747" s="740" t="s">
        <v>2699</v>
      </c>
      <c r="D6747" s="739" t="s">
        <v>19</v>
      </c>
      <c r="E6747" s="741">
        <f t="shared" si="210"/>
        <v>778.29</v>
      </c>
      <c r="F6747">
        <f t="shared" si="211"/>
        <v>100491</v>
      </c>
      <c r="H6747" s="1406">
        <v>771.1</v>
      </c>
      <c r="I6747" s="1406">
        <v>778.29</v>
      </c>
    </row>
    <row r="6748" spans="2:9" ht="30">
      <c r="B6748" s="677">
        <v>100492</v>
      </c>
      <c r="C6748" s="733" t="s">
        <v>2700</v>
      </c>
      <c r="D6748" s="677" t="s">
        <v>19</v>
      </c>
      <c r="E6748" s="738">
        <f t="shared" si="210"/>
        <v>677.17</v>
      </c>
      <c r="F6748">
        <f t="shared" si="211"/>
        <v>100492</v>
      </c>
      <c r="H6748" s="1405">
        <v>670.51</v>
      </c>
      <c r="I6748" s="1405">
        <v>677.17</v>
      </c>
    </row>
    <row r="6749" spans="2:9">
      <c r="B6749" s="1477">
        <v>92121</v>
      </c>
      <c r="C6749" s="740" t="s">
        <v>62</v>
      </c>
      <c r="D6749" s="739" t="s">
        <v>19</v>
      </c>
      <c r="E6749" s="741">
        <f t="shared" si="210"/>
        <v>29.53</v>
      </c>
      <c r="F6749">
        <f t="shared" si="211"/>
        <v>92121</v>
      </c>
      <c r="H6749" s="1406">
        <v>26.92</v>
      </c>
      <c r="I6749" s="1406">
        <v>29.53</v>
      </c>
    </row>
    <row r="6750" spans="2:9">
      <c r="B6750" s="677">
        <v>92122</v>
      </c>
      <c r="C6750" s="733" t="s">
        <v>63</v>
      </c>
      <c r="D6750" s="677" t="s">
        <v>19</v>
      </c>
      <c r="E6750" s="738">
        <f t="shared" si="210"/>
        <v>48.72</v>
      </c>
      <c r="F6750">
        <f t="shared" si="211"/>
        <v>92122</v>
      </c>
      <c r="H6750" s="1405">
        <v>43.97</v>
      </c>
      <c r="I6750" s="1405">
        <v>48.72</v>
      </c>
    </row>
    <row r="6751" spans="2:9">
      <c r="B6751" s="1477">
        <v>92123</v>
      </c>
      <c r="C6751" s="740" t="s">
        <v>64</v>
      </c>
      <c r="D6751" s="739" t="s">
        <v>19</v>
      </c>
      <c r="E6751" s="741">
        <f t="shared" si="210"/>
        <v>49.6</v>
      </c>
      <c r="F6751">
        <f t="shared" si="211"/>
        <v>92123</v>
      </c>
      <c r="H6751" s="1406">
        <v>46.55</v>
      </c>
      <c r="I6751" s="1406">
        <v>49.6</v>
      </c>
    </row>
    <row r="6752" spans="2:9">
      <c r="B6752" s="677">
        <v>100195</v>
      </c>
      <c r="C6752" s="733" t="s">
        <v>2423</v>
      </c>
      <c r="D6752" s="677" t="s">
        <v>2424</v>
      </c>
      <c r="E6752" s="738">
        <f t="shared" si="210"/>
        <v>0.74</v>
      </c>
      <c r="F6752">
        <f t="shared" si="211"/>
        <v>100195</v>
      </c>
      <c r="H6752" s="1405">
        <v>0.67</v>
      </c>
      <c r="I6752" s="1405">
        <v>0.74</v>
      </c>
    </row>
    <row r="6753" spans="2:9">
      <c r="B6753" s="1477">
        <v>100196</v>
      </c>
      <c r="C6753" s="740" t="s">
        <v>2425</v>
      </c>
      <c r="D6753" s="739" t="s">
        <v>2424</v>
      </c>
      <c r="E6753" s="741">
        <f t="shared" si="210"/>
        <v>1.24</v>
      </c>
      <c r="F6753">
        <f t="shared" si="211"/>
        <v>100196</v>
      </c>
      <c r="H6753" s="1406">
        <v>1.1200000000000001</v>
      </c>
      <c r="I6753" s="1406">
        <v>1.24</v>
      </c>
    </row>
    <row r="6754" spans="2:9">
      <c r="B6754" s="677">
        <v>100197</v>
      </c>
      <c r="C6754" s="733" t="s">
        <v>2426</v>
      </c>
      <c r="D6754" s="677" t="s">
        <v>2424</v>
      </c>
      <c r="E6754" s="738">
        <f t="shared" si="210"/>
        <v>1.86</v>
      </c>
      <c r="F6754">
        <f t="shared" si="211"/>
        <v>100197</v>
      </c>
      <c r="H6754" s="1405">
        <v>1.68</v>
      </c>
      <c r="I6754" s="1405">
        <v>1.86</v>
      </c>
    </row>
    <row r="6755" spans="2:9">
      <c r="B6755" s="1477">
        <v>100198</v>
      </c>
      <c r="C6755" s="740" t="s">
        <v>2427</v>
      </c>
      <c r="D6755" s="739" t="s">
        <v>2424</v>
      </c>
      <c r="E6755" s="741">
        <f t="shared" si="210"/>
        <v>0.26</v>
      </c>
      <c r="F6755">
        <f t="shared" si="211"/>
        <v>100198</v>
      </c>
      <c r="H6755" s="1406">
        <v>0.23</v>
      </c>
      <c r="I6755" s="1406">
        <v>0.26</v>
      </c>
    </row>
    <row r="6756" spans="2:9">
      <c r="B6756" s="677">
        <v>100199</v>
      </c>
      <c r="C6756" s="733" t="s">
        <v>2428</v>
      </c>
      <c r="D6756" s="677" t="s">
        <v>2424</v>
      </c>
      <c r="E6756" s="738">
        <f t="shared" si="210"/>
        <v>0.31</v>
      </c>
      <c r="F6756">
        <f t="shared" si="211"/>
        <v>100199</v>
      </c>
      <c r="H6756" s="1405">
        <v>0.28000000000000003</v>
      </c>
      <c r="I6756" s="1405">
        <v>0.31</v>
      </c>
    </row>
    <row r="6757" spans="2:9">
      <c r="B6757" s="1477">
        <v>100200</v>
      </c>
      <c r="C6757" s="740" t="s">
        <v>2429</v>
      </c>
      <c r="D6757" s="739" t="s">
        <v>2424</v>
      </c>
      <c r="E6757" s="741">
        <f t="shared" si="210"/>
        <v>0.38</v>
      </c>
      <c r="F6757">
        <f t="shared" si="211"/>
        <v>100200</v>
      </c>
      <c r="H6757" s="1406">
        <v>0.34</v>
      </c>
      <c r="I6757" s="1406">
        <v>0.38</v>
      </c>
    </row>
    <row r="6758" spans="2:9">
      <c r="B6758" s="677">
        <v>100201</v>
      </c>
      <c r="C6758" s="733" t="s">
        <v>2430</v>
      </c>
      <c r="D6758" s="677" t="s">
        <v>2424</v>
      </c>
      <c r="E6758" s="738">
        <f t="shared" si="210"/>
        <v>0.75</v>
      </c>
      <c r="F6758">
        <f t="shared" si="211"/>
        <v>100201</v>
      </c>
      <c r="H6758" s="1405">
        <v>0.68</v>
      </c>
      <c r="I6758" s="1405">
        <v>0.75</v>
      </c>
    </row>
    <row r="6759" spans="2:9">
      <c r="B6759" s="1477">
        <v>100202</v>
      </c>
      <c r="C6759" s="740" t="s">
        <v>2431</v>
      </c>
      <c r="D6759" s="739" t="s">
        <v>2424</v>
      </c>
      <c r="E6759" s="741">
        <f t="shared" si="210"/>
        <v>0.88</v>
      </c>
      <c r="F6759">
        <f t="shared" si="211"/>
        <v>100202</v>
      </c>
      <c r="H6759" s="1406">
        <v>0.79</v>
      </c>
      <c r="I6759" s="1406">
        <v>0.88</v>
      </c>
    </row>
    <row r="6760" spans="2:9">
      <c r="B6760" s="677">
        <v>100203</v>
      </c>
      <c r="C6760" s="733" t="s">
        <v>2432</v>
      </c>
      <c r="D6760" s="677" t="s">
        <v>2424</v>
      </c>
      <c r="E6760" s="738">
        <f t="shared" si="210"/>
        <v>1.04</v>
      </c>
      <c r="F6760">
        <f t="shared" si="211"/>
        <v>100203</v>
      </c>
      <c r="H6760" s="1405">
        <v>0.94</v>
      </c>
      <c r="I6760" s="1405">
        <v>1.04</v>
      </c>
    </row>
    <row r="6761" spans="2:9">
      <c r="B6761" s="1477">
        <v>100204</v>
      </c>
      <c r="C6761" s="740" t="s">
        <v>2433</v>
      </c>
      <c r="D6761" s="739" t="s">
        <v>2424</v>
      </c>
      <c r="E6761" s="741">
        <f t="shared" si="210"/>
        <v>0.11</v>
      </c>
      <c r="F6761">
        <f t="shared" si="211"/>
        <v>100204</v>
      </c>
      <c r="H6761" s="1406">
        <v>0.1</v>
      </c>
      <c r="I6761" s="1406">
        <v>0.11</v>
      </c>
    </row>
    <row r="6762" spans="2:9">
      <c r="B6762" s="677">
        <v>100205</v>
      </c>
      <c r="C6762" s="733" t="s">
        <v>2434</v>
      </c>
      <c r="D6762" s="677" t="s">
        <v>60</v>
      </c>
      <c r="E6762" s="738">
        <f t="shared" si="210"/>
        <v>1387.98</v>
      </c>
      <c r="F6762">
        <f t="shared" si="211"/>
        <v>100205</v>
      </c>
      <c r="H6762" s="1405">
        <v>1252.74</v>
      </c>
      <c r="I6762" s="1405">
        <v>1387.98</v>
      </c>
    </row>
    <row r="6763" spans="2:9">
      <c r="B6763" s="1477">
        <v>100206</v>
      </c>
      <c r="C6763" s="740" t="s">
        <v>2435</v>
      </c>
      <c r="D6763" s="739" t="s">
        <v>60</v>
      </c>
      <c r="E6763" s="741">
        <f t="shared" si="210"/>
        <v>1003.27</v>
      </c>
      <c r="F6763">
        <f t="shared" si="211"/>
        <v>100206</v>
      </c>
      <c r="H6763" s="1406">
        <v>905.51</v>
      </c>
      <c r="I6763" s="1406">
        <v>1003.27</v>
      </c>
    </row>
    <row r="6764" spans="2:9">
      <c r="B6764" s="677">
        <v>100207</v>
      </c>
      <c r="C6764" s="733" t="s">
        <v>2436</v>
      </c>
      <c r="D6764" s="677" t="s">
        <v>60</v>
      </c>
      <c r="E6764" s="738">
        <f t="shared" si="210"/>
        <v>452.27</v>
      </c>
      <c r="F6764">
        <f t="shared" si="211"/>
        <v>100207</v>
      </c>
      <c r="H6764" s="1405">
        <v>436.25</v>
      </c>
      <c r="I6764" s="1405">
        <v>452.27</v>
      </c>
    </row>
    <row r="6765" spans="2:9" ht="30">
      <c r="B6765" s="1477">
        <v>100208</v>
      </c>
      <c r="C6765" s="740" t="s">
        <v>2437</v>
      </c>
      <c r="D6765" s="739" t="s">
        <v>2438</v>
      </c>
      <c r="E6765" s="741">
        <f t="shared" si="210"/>
        <v>18.36</v>
      </c>
      <c r="F6765">
        <f t="shared" si="211"/>
        <v>100208</v>
      </c>
      <c r="H6765" s="1406">
        <v>16.57</v>
      </c>
      <c r="I6765" s="1406">
        <v>18.36</v>
      </c>
    </row>
    <row r="6766" spans="2:9" ht="30">
      <c r="B6766" s="677">
        <v>100209</v>
      </c>
      <c r="C6766" s="733" t="s">
        <v>2439</v>
      </c>
      <c r="D6766" s="677" t="s">
        <v>2438</v>
      </c>
      <c r="E6766" s="738">
        <f t="shared" si="210"/>
        <v>9.18</v>
      </c>
      <c r="F6766">
        <f t="shared" si="211"/>
        <v>100209</v>
      </c>
      <c r="H6766" s="1405">
        <v>8.2799999999999994</v>
      </c>
      <c r="I6766" s="1405">
        <v>9.18</v>
      </c>
    </row>
    <row r="6767" spans="2:9" ht="30">
      <c r="B6767" s="1477">
        <v>100210</v>
      </c>
      <c r="C6767" s="740" t="s">
        <v>2440</v>
      </c>
      <c r="D6767" s="739" t="s">
        <v>2438</v>
      </c>
      <c r="E6767" s="741">
        <f t="shared" si="210"/>
        <v>16.91</v>
      </c>
      <c r="F6767">
        <f t="shared" si="211"/>
        <v>100210</v>
      </c>
      <c r="H6767" s="1406">
        <v>15.26</v>
      </c>
      <c r="I6767" s="1406">
        <v>16.91</v>
      </c>
    </row>
    <row r="6768" spans="2:9" ht="30">
      <c r="B6768" s="677">
        <v>100211</v>
      </c>
      <c r="C6768" s="733" t="s">
        <v>2441</v>
      </c>
      <c r="D6768" s="677" t="s">
        <v>2438</v>
      </c>
      <c r="E6768" s="738">
        <f t="shared" si="210"/>
        <v>6.52</v>
      </c>
      <c r="F6768">
        <f t="shared" si="211"/>
        <v>100211</v>
      </c>
      <c r="H6768" s="1405">
        <v>5.89</v>
      </c>
      <c r="I6768" s="1405">
        <v>6.52</v>
      </c>
    </row>
    <row r="6769" spans="2:9" ht="30">
      <c r="B6769" s="1477">
        <v>100212</v>
      </c>
      <c r="C6769" s="740" t="s">
        <v>2442</v>
      </c>
      <c r="D6769" s="739" t="s">
        <v>2438</v>
      </c>
      <c r="E6769" s="741">
        <f t="shared" si="210"/>
        <v>7.2</v>
      </c>
      <c r="F6769">
        <f t="shared" si="211"/>
        <v>100212</v>
      </c>
      <c r="H6769" s="1406">
        <v>6.5</v>
      </c>
      <c r="I6769" s="1406">
        <v>7.2</v>
      </c>
    </row>
    <row r="6770" spans="2:9" ht="30">
      <c r="B6770" s="677">
        <v>100213</v>
      </c>
      <c r="C6770" s="733" t="s">
        <v>2443</v>
      </c>
      <c r="D6770" s="677" t="s">
        <v>2438</v>
      </c>
      <c r="E6770" s="738">
        <f t="shared" si="210"/>
        <v>2.59</v>
      </c>
      <c r="F6770">
        <f t="shared" si="211"/>
        <v>100213</v>
      </c>
      <c r="H6770" s="1405">
        <v>2.33</v>
      </c>
      <c r="I6770" s="1405">
        <v>2.59</v>
      </c>
    </row>
    <row r="6771" spans="2:9" ht="30">
      <c r="B6771" s="1477">
        <v>100214</v>
      </c>
      <c r="C6771" s="740" t="s">
        <v>2444</v>
      </c>
      <c r="D6771" s="739" t="s">
        <v>2438</v>
      </c>
      <c r="E6771" s="741">
        <f t="shared" si="210"/>
        <v>3.97</v>
      </c>
      <c r="F6771">
        <f t="shared" si="211"/>
        <v>100214</v>
      </c>
      <c r="H6771" s="1406">
        <v>3.58</v>
      </c>
      <c r="I6771" s="1406">
        <v>3.97</v>
      </c>
    </row>
    <row r="6772" spans="2:9" ht="30">
      <c r="B6772" s="677">
        <v>100215</v>
      </c>
      <c r="C6772" s="733" t="s">
        <v>2445</v>
      </c>
      <c r="D6772" s="677" t="s">
        <v>2438</v>
      </c>
      <c r="E6772" s="738">
        <f t="shared" si="210"/>
        <v>3.4</v>
      </c>
      <c r="F6772">
        <f t="shared" si="211"/>
        <v>100215</v>
      </c>
      <c r="H6772" s="1405">
        <v>3.07</v>
      </c>
      <c r="I6772" s="1405">
        <v>3.4</v>
      </c>
    </row>
    <row r="6773" spans="2:9" ht="30">
      <c r="B6773" s="1477">
        <v>100216</v>
      </c>
      <c r="C6773" s="740" t="s">
        <v>2446</v>
      </c>
      <c r="D6773" s="739" t="s">
        <v>2438</v>
      </c>
      <c r="E6773" s="741">
        <f t="shared" si="210"/>
        <v>0.91</v>
      </c>
      <c r="F6773">
        <f t="shared" si="211"/>
        <v>100216</v>
      </c>
      <c r="H6773" s="1406">
        <v>0.82</v>
      </c>
      <c r="I6773" s="1406">
        <v>0.91</v>
      </c>
    </row>
    <row r="6774" spans="2:9" ht="30">
      <c r="B6774" s="677">
        <v>100217</v>
      </c>
      <c r="C6774" s="733" t="s">
        <v>2447</v>
      </c>
      <c r="D6774" s="677" t="s">
        <v>2438</v>
      </c>
      <c r="E6774" s="738">
        <f t="shared" si="210"/>
        <v>2.85</v>
      </c>
      <c r="F6774">
        <f t="shared" si="211"/>
        <v>100217</v>
      </c>
      <c r="H6774" s="1405">
        <v>2.77</v>
      </c>
      <c r="I6774" s="1405">
        <v>2.85</v>
      </c>
    </row>
    <row r="6775" spans="2:9" ht="30">
      <c r="B6775" s="1477">
        <v>100218</v>
      </c>
      <c r="C6775" s="740" t="s">
        <v>2448</v>
      </c>
      <c r="D6775" s="739" t="s">
        <v>2438</v>
      </c>
      <c r="E6775" s="741">
        <f t="shared" si="210"/>
        <v>1.95</v>
      </c>
      <c r="F6775">
        <f t="shared" si="211"/>
        <v>100218</v>
      </c>
      <c r="H6775" s="1406">
        <v>1.9</v>
      </c>
      <c r="I6775" s="1406">
        <v>1.95</v>
      </c>
    </row>
    <row r="6776" spans="2:9" ht="30">
      <c r="B6776" s="677">
        <v>100219</v>
      </c>
      <c r="C6776" s="733" t="s">
        <v>2449</v>
      </c>
      <c r="D6776" s="677" t="s">
        <v>2438</v>
      </c>
      <c r="E6776" s="738">
        <f t="shared" si="210"/>
        <v>0.43</v>
      </c>
      <c r="F6776">
        <f t="shared" si="211"/>
        <v>100219</v>
      </c>
      <c r="H6776" s="1405">
        <v>0.41</v>
      </c>
      <c r="I6776" s="1405">
        <v>0.43</v>
      </c>
    </row>
    <row r="6777" spans="2:9">
      <c r="B6777" s="1477">
        <v>100220</v>
      </c>
      <c r="C6777" s="740" t="s">
        <v>2450</v>
      </c>
      <c r="D6777" s="739" t="s">
        <v>2451</v>
      </c>
      <c r="E6777" s="741">
        <f t="shared" si="210"/>
        <v>26.37</v>
      </c>
      <c r="F6777">
        <f t="shared" si="211"/>
        <v>100220</v>
      </c>
      <c r="H6777" s="1406">
        <v>23.8</v>
      </c>
      <c r="I6777" s="1406">
        <v>26.37</v>
      </c>
    </row>
    <row r="6778" spans="2:9">
      <c r="B6778" s="677">
        <v>100221</v>
      </c>
      <c r="C6778" s="733" t="s">
        <v>2452</v>
      </c>
      <c r="D6778" s="677" t="s">
        <v>2451</v>
      </c>
      <c r="E6778" s="738">
        <f t="shared" si="210"/>
        <v>29.9</v>
      </c>
      <c r="F6778">
        <f t="shared" si="211"/>
        <v>100221</v>
      </c>
      <c r="H6778" s="1405">
        <v>26.98</v>
      </c>
      <c r="I6778" s="1405">
        <v>29.9</v>
      </c>
    </row>
    <row r="6779" spans="2:9" ht="30">
      <c r="B6779" s="1477">
        <v>100222</v>
      </c>
      <c r="C6779" s="740" t="s">
        <v>2453</v>
      </c>
      <c r="D6779" s="739" t="s">
        <v>2451</v>
      </c>
      <c r="E6779" s="741">
        <f t="shared" si="210"/>
        <v>11.32</v>
      </c>
      <c r="F6779">
        <f t="shared" si="211"/>
        <v>100222</v>
      </c>
      <c r="H6779" s="1406">
        <v>10.220000000000001</v>
      </c>
      <c r="I6779" s="1406">
        <v>11.32</v>
      </c>
    </row>
    <row r="6780" spans="2:9" ht="30">
      <c r="B6780" s="677">
        <v>100223</v>
      </c>
      <c r="C6780" s="733" t="s">
        <v>2454</v>
      </c>
      <c r="D6780" s="677" t="s">
        <v>2451</v>
      </c>
      <c r="E6780" s="738">
        <f t="shared" si="210"/>
        <v>5.3</v>
      </c>
      <c r="F6780">
        <f t="shared" si="211"/>
        <v>100223</v>
      </c>
      <c r="H6780" s="1405">
        <v>4.78</v>
      </c>
      <c r="I6780" s="1405">
        <v>5.3</v>
      </c>
    </row>
    <row r="6781" spans="2:9" ht="30">
      <c r="B6781" s="1477">
        <v>100224</v>
      </c>
      <c r="C6781" s="740" t="s">
        <v>2455</v>
      </c>
      <c r="D6781" s="739" t="s">
        <v>2451</v>
      </c>
      <c r="E6781" s="741">
        <f t="shared" si="210"/>
        <v>2.85</v>
      </c>
      <c r="F6781">
        <f t="shared" si="211"/>
        <v>100224</v>
      </c>
      <c r="H6781" s="1406">
        <v>2.77</v>
      </c>
      <c r="I6781" s="1406">
        <v>2.85</v>
      </c>
    </row>
    <row r="6782" spans="2:9">
      <c r="B6782" s="677">
        <v>100225</v>
      </c>
      <c r="C6782" s="733" t="s">
        <v>2456</v>
      </c>
      <c r="D6782" s="677" t="s">
        <v>2457</v>
      </c>
      <c r="E6782" s="738">
        <f t="shared" si="210"/>
        <v>2.0699999999999998</v>
      </c>
      <c r="F6782">
        <f t="shared" si="211"/>
        <v>100225</v>
      </c>
      <c r="H6782" s="1405">
        <v>1.87</v>
      </c>
      <c r="I6782" s="1405">
        <v>2.0699999999999998</v>
      </c>
    </row>
    <row r="6783" spans="2:9">
      <c r="B6783" s="1477">
        <v>100226</v>
      </c>
      <c r="C6783" s="740" t="s">
        <v>2458</v>
      </c>
      <c r="D6783" s="739" t="s">
        <v>2457</v>
      </c>
      <c r="E6783" s="741">
        <f t="shared" si="210"/>
        <v>0.65</v>
      </c>
      <c r="F6783">
        <f t="shared" si="211"/>
        <v>100226</v>
      </c>
      <c r="H6783" s="1406">
        <v>0.57999999999999996</v>
      </c>
      <c r="I6783" s="1406">
        <v>0.65</v>
      </c>
    </row>
    <row r="6784" spans="2:9">
      <c r="B6784" s="677">
        <v>100227</v>
      </c>
      <c r="C6784" s="733" t="s">
        <v>2459</v>
      </c>
      <c r="D6784" s="677" t="s">
        <v>2457</v>
      </c>
      <c r="E6784" s="738">
        <f t="shared" si="210"/>
        <v>0.96</v>
      </c>
      <c r="F6784">
        <f t="shared" si="211"/>
        <v>100227</v>
      </c>
      <c r="H6784" s="1405">
        <v>0.86</v>
      </c>
      <c r="I6784" s="1405">
        <v>0.96</v>
      </c>
    </row>
    <row r="6785" spans="2:9">
      <c r="B6785" s="1477">
        <v>100228</v>
      </c>
      <c r="C6785" s="740" t="s">
        <v>2460</v>
      </c>
      <c r="D6785" s="739" t="s">
        <v>2457</v>
      </c>
      <c r="E6785" s="741">
        <f t="shared" si="210"/>
        <v>0.28000000000000003</v>
      </c>
      <c r="F6785">
        <f t="shared" si="211"/>
        <v>100228</v>
      </c>
      <c r="H6785" s="1406">
        <v>0.26</v>
      </c>
      <c r="I6785" s="1406">
        <v>0.28000000000000003</v>
      </c>
    </row>
    <row r="6786" spans="2:9">
      <c r="B6786" s="677">
        <v>100229</v>
      </c>
      <c r="C6786" s="733" t="s">
        <v>2461</v>
      </c>
      <c r="D6786" s="677" t="s">
        <v>20</v>
      </c>
      <c r="E6786" s="738">
        <f t="shared" si="210"/>
        <v>0.01</v>
      </c>
      <c r="F6786">
        <f t="shared" si="211"/>
        <v>100229</v>
      </c>
      <c r="H6786" s="1405">
        <v>0.01</v>
      </c>
      <c r="I6786" s="1405">
        <v>0.01</v>
      </c>
    </row>
    <row r="6787" spans="2:9">
      <c r="B6787" s="1477">
        <v>100230</v>
      </c>
      <c r="C6787" s="740" t="s">
        <v>2462</v>
      </c>
      <c r="D6787" s="739" t="s">
        <v>20</v>
      </c>
      <c r="E6787" s="741">
        <f t="shared" ref="E6787:E6850" si="212">IF($K$2=$H$1,H6787,I6787)</f>
        <v>0.02</v>
      </c>
      <c r="F6787">
        <f t="shared" si="211"/>
        <v>100230</v>
      </c>
      <c r="H6787" s="1406">
        <v>0.02</v>
      </c>
      <c r="I6787" s="1406">
        <v>0.02</v>
      </c>
    </row>
    <row r="6788" spans="2:9">
      <c r="B6788" s="677">
        <v>100231</v>
      </c>
      <c r="C6788" s="733" t="s">
        <v>2463</v>
      </c>
      <c r="D6788" s="677" t="s">
        <v>20</v>
      </c>
      <c r="E6788" s="738">
        <f t="shared" si="212"/>
        <v>0.03</v>
      </c>
      <c r="F6788">
        <f t="shared" ref="F6788:F6851" si="213">IF(LEN($B6788)=7,CONCATENATE(MID($B6788,1,6),"00",RIGHT($B6788,1)),IF(LEN($B6788)=8,CONCATENATE(MID($B6788,1,6),"0",RIGHT($B6788,2)),$B6788))</f>
        <v>100231</v>
      </c>
      <c r="H6788" s="1405">
        <v>0.03</v>
      </c>
      <c r="I6788" s="1405">
        <v>0.03</v>
      </c>
    </row>
    <row r="6789" spans="2:9" ht="30">
      <c r="B6789" s="1477">
        <v>100232</v>
      </c>
      <c r="C6789" s="740" t="s">
        <v>2464</v>
      </c>
      <c r="D6789" s="739" t="s">
        <v>22</v>
      </c>
      <c r="E6789" s="741">
        <f t="shared" si="212"/>
        <v>0.34</v>
      </c>
      <c r="F6789">
        <f t="shared" si="213"/>
        <v>100232</v>
      </c>
      <c r="H6789" s="1406">
        <v>0.31</v>
      </c>
      <c r="I6789" s="1406">
        <v>0.34</v>
      </c>
    </row>
    <row r="6790" spans="2:9" ht="30">
      <c r="B6790" s="677">
        <v>100233</v>
      </c>
      <c r="C6790" s="733" t="s">
        <v>2465</v>
      </c>
      <c r="D6790" s="677" t="s">
        <v>22</v>
      </c>
      <c r="E6790" s="738">
        <f t="shared" si="212"/>
        <v>0.17</v>
      </c>
      <c r="F6790">
        <f t="shared" si="213"/>
        <v>100233</v>
      </c>
      <c r="H6790" s="1405">
        <v>0.15</v>
      </c>
      <c r="I6790" s="1405">
        <v>0.17</v>
      </c>
    </row>
    <row r="6791" spans="2:9">
      <c r="B6791" s="1477">
        <v>100234</v>
      </c>
      <c r="C6791" s="740" t="s">
        <v>2466</v>
      </c>
      <c r="D6791" s="739" t="s">
        <v>0</v>
      </c>
      <c r="E6791" s="741">
        <f t="shared" si="212"/>
        <v>0.52</v>
      </c>
      <c r="F6791">
        <f t="shared" si="213"/>
        <v>100234</v>
      </c>
      <c r="H6791" s="1406">
        <v>0.47</v>
      </c>
      <c r="I6791" s="1406">
        <v>0.52</v>
      </c>
    </row>
    <row r="6792" spans="2:9">
      <c r="B6792" s="677">
        <v>100235</v>
      </c>
      <c r="C6792" s="733" t="s">
        <v>2467</v>
      </c>
      <c r="D6792" s="677" t="s">
        <v>61</v>
      </c>
      <c r="E6792" s="738">
        <f t="shared" si="212"/>
        <v>0.04</v>
      </c>
      <c r="F6792">
        <f t="shared" si="213"/>
        <v>100235</v>
      </c>
      <c r="H6792" s="1405">
        <v>0.03</v>
      </c>
      <c r="I6792" s="1405">
        <v>0.04</v>
      </c>
    </row>
    <row r="6793" spans="2:9" ht="30">
      <c r="B6793" s="1477">
        <v>100236</v>
      </c>
      <c r="C6793" s="740" t="s">
        <v>2468</v>
      </c>
      <c r="D6793" s="739" t="s">
        <v>2469</v>
      </c>
      <c r="E6793" s="741">
        <f t="shared" si="212"/>
        <v>2.63</v>
      </c>
      <c r="F6793">
        <f t="shared" si="213"/>
        <v>100236</v>
      </c>
      <c r="H6793" s="1406">
        <v>2.37</v>
      </c>
      <c r="I6793" s="1406">
        <v>2.63</v>
      </c>
    </row>
    <row r="6794" spans="2:9" ht="30">
      <c r="B6794" s="677">
        <v>100237</v>
      </c>
      <c r="C6794" s="733" t="s">
        <v>2470</v>
      </c>
      <c r="D6794" s="677" t="s">
        <v>2469</v>
      </c>
      <c r="E6794" s="738">
        <f t="shared" si="212"/>
        <v>3.15</v>
      </c>
      <c r="F6794">
        <f t="shared" si="213"/>
        <v>100237</v>
      </c>
      <c r="H6794" s="1405">
        <v>2.84</v>
      </c>
      <c r="I6794" s="1405">
        <v>3.15</v>
      </c>
    </row>
    <row r="6795" spans="2:9">
      <c r="B6795" s="1477">
        <v>100238</v>
      </c>
      <c r="C6795" s="740" t="s">
        <v>2471</v>
      </c>
      <c r="D6795" s="739" t="s">
        <v>2469</v>
      </c>
      <c r="E6795" s="741">
        <f t="shared" si="212"/>
        <v>5.04</v>
      </c>
      <c r="F6795">
        <f t="shared" si="213"/>
        <v>100238</v>
      </c>
      <c r="H6795" s="1406">
        <v>4.55</v>
      </c>
      <c r="I6795" s="1406">
        <v>5.04</v>
      </c>
    </row>
    <row r="6796" spans="2:9" ht="30">
      <c r="B6796" s="677">
        <v>100239</v>
      </c>
      <c r="C6796" s="733" t="s">
        <v>2472</v>
      </c>
      <c r="D6796" s="677" t="s">
        <v>2469</v>
      </c>
      <c r="E6796" s="738">
        <f t="shared" si="212"/>
        <v>6.31</v>
      </c>
      <c r="F6796">
        <f t="shared" si="213"/>
        <v>100239</v>
      </c>
      <c r="H6796" s="1405">
        <v>5.69</v>
      </c>
      <c r="I6796" s="1405">
        <v>6.31</v>
      </c>
    </row>
    <row r="6797" spans="2:9" ht="30">
      <c r="B6797" s="1477">
        <v>100240</v>
      </c>
      <c r="C6797" s="740" t="s">
        <v>2473</v>
      </c>
      <c r="D6797" s="739" t="s">
        <v>2469</v>
      </c>
      <c r="E6797" s="741">
        <f t="shared" si="212"/>
        <v>3.78</v>
      </c>
      <c r="F6797">
        <f t="shared" si="213"/>
        <v>100240</v>
      </c>
      <c r="H6797" s="1406">
        <v>3.41</v>
      </c>
      <c r="I6797" s="1406">
        <v>3.78</v>
      </c>
    </row>
    <row r="6798" spans="2:9" ht="30">
      <c r="B6798" s="677">
        <v>100241</v>
      </c>
      <c r="C6798" s="733" t="s">
        <v>2474</v>
      </c>
      <c r="D6798" s="677" t="s">
        <v>2469</v>
      </c>
      <c r="E6798" s="738">
        <f t="shared" si="212"/>
        <v>6.31</v>
      </c>
      <c r="F6798">
        <f t="shared" si="213"/>
        <v>100241</v>
      </c>
      <c r="H6798" s="1405">
        <v>5.69</v>
      </c>
      <c r="I6798" s="1405">
        <v>6.31</v>
      </c>
    </row>
    <row r="6799" spans="2:9" ht="30">
      <c r="B6799" s="1477">
        <v>100242</v>
      </c>
      <c r="C6799" s="740" t="s">
        <v>2475</v>
      </c>
      <c r="D6799" s="739" t="s">
        <v>2469</v>
      </c>
      <c r="E6799" s="741">
        <f t="shared" si="212"/>
        <v>18.64</v>
      </c>
      <c r="F6799">
        <f t="shared" si="213"/>
        <v>100242</v>
      </c>
      <c r="H6799" s="1406">
        <v>16.829999999999998</v>
      </c>
      <c r="I6799" s="1406">
        <v>18.64</v>
      </c>
    </row>
    <row r="6800" spans="2:9" ht="30">
      <c r="B6800" s="677">
        <v>100243</v>
      </c>
      <c r="C6800" s="733" t="s">
        <v>2476</v>
      </c>
      <c r="D6800" s="677" t="s">
        <v>2469</v>
      </c>
      <c r="E6800" s="738">
        <f t="shared" si="212"/>
        <v>3.02</v>
      </c>
      <c r="F6800">
        <f t="shared" si="213"/>
        <v>100243</v>
      </c>
      <c r="H6800" s="1405">
        <v>2.73</v>
      </c>
      <c r="I6800" s="1405">
        <v>3.02</v>
      </c>
    </row>
    <row r="6801" spans="2:9" ht="30">
      <c r="B6801" s="1477">
        <v>100244</v>
      </c>
      <c r="C6801" s="740" t="s">
        <v>2477</v>
      </c>
      <c r="D6801" s="739" t="s">
        <v>2469</v>
      </c>
      <c r="E6801" s="741">
        <f t="shared" si="212"/>
        <v>3.78</v>
      </c>
      <c r="F6801">
        <f t="shared" si="213"/>
        <v>100244</v>
      </c>
      <c r="H6801" s="1406">
        <v>3.41</v>
      </c>
      <c r="I6801" s="1406">
        <v>3.78</v>
      </c>
    </row>
    <row r="6802" spans="2:9" ht="30">
      <c r="B6802" s="677">
        <v>100245</v>
      </c>
      <c r="C6802" s="733" t="s">
        <v>2478</v>
      </c>
      <c r="D6802" s="677" t="s">
        <v>2469</v>
      </c>
      <c r="E6802" s="738">
        <f t="shared" si="212"/>
        <v>7.57</v>
      </c>
      <c r="F6802">
        <f t="shared" si="213"/>
        <v>100245</v>
      </c>
      <c r="H6802" s="1405">
        <v>6.83</v>
      </c>
      <c r="I6802" s="1405">
        <v>7.57</v>
      </c>
    </row>
    <row r="6803" spans="2:9" ht="30">
      <c r="B6803" s="1477">
        <v>100246</v>
      </c>
      <c r="C6803" s="740" t="s">
        <v>2479</v>
      </c>
      <c r="D6803" s="739" t="s">
        <v>2469</v>
      </c>
      <c r="E6803" s="741">
        <f t="shared" si="212"/>
        <v>2.52</v>
      </c>
      <c r="F6803">
        <f t="shared" si="213"/>
        <v>100246</v>
      </c>
      <c r="H6803" s="1406">
        <v>2.27</v>
      </c>
      <c r="I6803" s="1406">
        <v>2.52</v>
      </c>
    </row>
    <row r="6804" spans="2:9" ht="30">
      <c r="B6804" s="677">
        <v>100247</v>
      </c>
      <c r="C6804" s="733" t="s">
        <v>2480</v>
      </c>
      <c r="D6804" s="677" t="s">
        <v>2469</v>
      </c>
      <c r="E6804" s="738">
        <f t="shared" si="212"/>
        <v>3.15</v>
      </c>
      <c r="F6804">
        <f t="shared" si="213"/>
        <v>100247</v>
      </c>
      <c r="H6804" s="1405">
        <v>2.84</v>
      </c>
      <c r="I6804" s="1405">
        <v>3.15</v>
      </c>
    </row>
    <row r="6805" spans="2:9" ht="30">
      <c r="B6805" s="1477">
        <v>100248</v>
      </c>
      <c r="C6805" s="740" t="s">
        <v>2481</v>
      </c>
      <c r="D6805" s="739" t="s">
        <v>2469</v>
      </c>
      <c r="E6805" s="741">
        <f t="shared" si="212"/>
        <v>12.43</v>
      </c>
      <c r="F6805">
        <f t="shared" si="213"/>
        <v>100248</v>
      </c>
      <c r="H6805" s="1406">
        <v>11.22</v>
      </c>
      <c r="I6805" s="1406">
        <v>12.43</v>
      </c>
    </row>
    <row r="6806" spans="2:9" ht="30">
      <c r="B6806" s="677">
        <v>100249</v>
      </c>
      <c r="C6806" s="733" t="s">
        <v>2482</v>
      </c>
      <c r="D6806" s="677" t="s">
        <v>2469</v>
      </c>
      <c r="E6806" s="738">
        <f t="shared" si="212"/>
        <v>2.52</v>
      </c>
      <c r="F6806">
        <f t="shared" si="213"/>
        <v>100249</v>
      </c>
      <c r="H6806" s="1405">
        <v>2.27</v>
      </c>
      <c r="I6806" s="1405">
        <v>2.52</v>
      </c>
    </row>
    <row r="6807" spans="2:9" ht="30">
      <c r="B6807" s="1477">
        <v>100250</v>
      </c>
      <c r="C6807" s="740" t="s">
        <v>2483</v>
      </c>
      <c r="D6807" s="739" t="s">
        <v>2469</v>
      </c>
      <c r="E6807" s="741">
        <f t="shared" si="212"/>
        <v>4.2</v>
      </c>
      <c r="F6807">
        <f t="shared" si="213"/>
        <v>100250</v>
      </c>
      <c r="H6807" s="1406">
        <v>3.79</v>
      </c>
      <c r="I6807" s="1406">
        <v>4.2</v>
      </c>
    </row>
    <row r="6808" spans="2:9" ht="30">
      <c r="B6808" s="677">
        <v>100251</v>
      </c>
      <c r="C6808" s="733" t="s">
        <v>2484</v>
      </c>
      <c r="D6808" s="677" t="s">
        <v>2469</v>
      </c>
      <c r="E6808" s="738">
        <f t="shared" si="212"/>
        <v>12.43</v>
      </c>
      <c r="F6808">
        <f t="shared" si="213"/>
        <v>100251</v>
      </c>
      <c r="H6808" s="1405">
        <v>11.22</v>
      </c>
      <c r="I6808" s="1405">
        <v>12.43</v>
      </c>
    </row>
    <row r="6809" spans="2:9" ht="30">
      <c r="B6809" s="1477">
        <v>100252</v>
      </c>
      <c r="C6809" s="740" t="s">
        <v>2485</v>
      </c>
      <c r="D6809" s="739" t="s">
        <v>2469</v>
      </c>
      <c r="E6809" s="741">
        <f t="shared" si="212"/>
        <v>18.64</v>
      </c>
      <c r="F6809">
        <f t="shared" si="213"/>
        <v>100252</v>
      </c>
      <c r="H6809" s="1406">
        <v>16.829999999999998</v>
      </c>
      <c r="I6809" s="1406">
        <v>18.64</v>
      </c>
    </row>
    <row r="6810" spans="2:9" ht="30">
      <c r="B6810" s="677">
        <v>100253</v>
      </c>
      <c r="C6810" s="733" t="s">
        <v>2486</v>
      </c>
      <c r="D6810" s="677" t="s">
        <v>2469</v>
      </c>
      <c r="E6810" s="738">
        <f t="shared" si="212"/>
        <v>24.86</v>
      </c>
      <c r="F6810">
        <f t="shared" si="213"/>
        <v>100253</v>
      </c>
      <c r="H6810" s="1405">
        <v>22.44</v>
      </c>
      <c r="I6810" s="1405">
        <v>24.86</v>
      </c>
    </row>
    <row r="6811" spans="2:9" ht="30">
      <c r="B6811" s="1477">
        <v>100254</v>
      </c>
      <c r="C6811" s="740" t="s">
        <v>2487</v>
      </c>
      <c r="D6811" s="739" t="s">
        <v>2469</v>
      </c>
      <c r="E6811" s="741">
        <f t="shared" si="212"/>
        <v>37.29</v>
      </c>
      <c r="F6811">
        <f t="shared" si="213"/>
        <v>100254</v>
      </c>
      <c r="H6811" s="1406">
        <v>33.659999999999997</v>
      </c>
      <c r="I6811" s="1406">
        <v>37.29</v>
      </c>
    </row>
    <row r="6812" spans="2:9" ht="30">
      <c r="B6812" s="677">
        <v>100255</v>
      </c>
      <c r="C6812" s="733" t="s">
        <v>2488</v>
      </c>
      <c r="D6812" s="677" t="s">
        <v>2469</v>
      </c>
      <c r="E6812" s="738">
        <f t="shared" si="212"/>
        <v>12.62</v>
      </c>
      <c r="F6812">
        <f t="shared" si="213"/>
        <v>100255</v>
      </c>
      <c r="H6812" s="1405">
        <v>11.39</v>
      </c>
      <c r="I6812" s="1405">
        <v>12.62</v>
      </c>
    </row>
    <row r="6813" spans="2:9" ht="30">
      <c r="B6813" s="1477">
        <v>100256</v>
      </c>
      <c r="C6813" s="740" t="s">
        <v>2489</v>
      </c>
      <c r="D6813" s="739" t="s">
        <v>2469</v>
      </c>
      <c r="E6813" s="741">
        <f t="shared" si="212"/>
        <v>8.41</v>
      </c>
      <c r="F6813">
        <f t="shared" si="213"/>
        <v>100256</v>
      </c>
      <c r="H6813" s="1406">
        <v>7.59</v>
      </c>
      <c r="I6813" s="1406">
        <v>8.41</v>
      </c>
    </row>
    <row r="6814" spans="2:9" ht="30">
      <c r="B6814" s="677">
        <v>100257</v>
      </c>
      <c r="C6814" s="733" t="s">
        <v>2490</v>
      </c>
      <c r="D6814" s="677" t="s">
        <v>2469</v>
      </c>
      <c r="E6814" s="738">
        <f t="shared" si="212"/>
        <v>5.04</v>
      </c>
      <c r="F6814">
        <f t="shared" si="213"/>
        <v>100257</v>
      </c>
      <c r="H6814" s="1405">
        <v>4.55</v>
      </c>
      <c r="I6814" s="1405">
        <v>5.04</v>
      </c>
    </row>
    <row r="6815" spans="2:9">
      <c r="B6815" s="1477">
        <v>100258</v>
      </c>
      <c r="C6815" s="740" t="s">
        <v>2491</v>
      </c>
      <c r="D6815" s="739" t="s">
        <v>2469</v>
      </c>
      <c r="E6815" s="741">
        <f t="shared" si="212"/>
        <v>12.62</v>
      </c>
      <c r="F6815">
        <f t="shared" si="213"/>
        <v>100258</v>
      </c>
      <c r="H6815" s="1406">
        <v>11.39</v>
      </c>
      <c r="I6815" s="1406">
        <v>12.62</v>
      </c>
    </row>
    <row r="6816" spans="2:9">
      <c r="B6816" s="677">
        <v>100259</v>
      </c>
      <c r="C6816" s="733" t="s">
        <v>2492</v>
      </c>
      <c r="D6816" s="677" t="s">
        <v>2469</v>
      </c>
      <c r="E6816" s="738">
        <f t="shared" si="212"/>
        <v>24.86</v>
      </c>
      <c r="F6816">
        <f t="shared" si="213"/>
        <v>100259</v>
      </c>
      <c r="H6816" s="1405">
        <v>22.44</v>
      </c>
      <c r="I6816" s="1405">
        <v>24.86</v>
      </c>
    </row>
    <row r="6817" spans="2:9">
      <c r="B6817" s="1477">
        <v>100260</v>
      </c>
      <c r="C6817" s="740" t="s">
        <v>2493</v>
      </c>
      <c r="D6817" s="739" t="s">
        <v>2424</v>
      </c>
      <c r="E6817" s="741">
        <f t="shared" si="212"/>
        <v>8.19</v>
      </c>
      <c r="F6817">
        <f t="shared" si="213"/>
        <v>100260</v>
      </c>
      <c r="H6817" s="1406">
        <v>7.39</v>
      </c>
      <c r="I6817" s="1406">
        <v>8.19</v>
      </c>
    </row>
    <row r="6818" spans="2:9">
      <c r="B6818" s="677">
        <v>100261</v>
      </c>
      <c r="C6818" s="733" t="s">
        <v>2494</v>
      </c>
      <c r="D6818" s="677" t="s">
        <v>2424</v>
      </c>
      <c r="E6818" s="738">
        <f t="shared" si="212"/>
        <v>5.15</v>
      </c>
      <c r="F6818">
        <f t="shared" si="213"/>
        <v>100261</v>
      </c>
      <c r="H6818" s="1405">
        <v>4.6399999999999997</v>
      </c>
      <c r="I6818" s="1405">
        <v>5.15</v>
      </c>
    </row>
    <row r="6819" spans="2:9">
      <c r="B6819" s="1477">
        <v>100262</v>
      </c>
      <c r="C6819" s="740" t="s">
        <v>2495</v>
      </c>
      <c r="D6819" s="739" t="s">
        <v>2424</v>
      </c>
      <c r="E6819" s="741">
        <f t="shared" si="212"/>
        <v>3.19</v>
      </c>
      <c r="F6819">
        <f t="shared" si="213"/>
        <v>100262</v>
      </c>
      <c r="H6819" s="1406">
        <v>2.88</v>
      </c>
      <c r="I6819" s="1406">
        <v>3.19</v>
      </c>
    </row>
    <row r="6820" spans="2:9" ht="30">
      <c r="B6820" s="677">
        <v>100263</v>
      </c>
      <c r="C6820" s="733" t="s">
        <v>2496</v>
      </c>
      <c r="D6820" s="677" t="s">
        <v>2424</v>
      </c>
      <c r="E6820" s="738">
        <f t="shared" si="212"/>
        <v>2.04</v>
      </c>
      <c r="F6820">
        <f t="shared" si="213"/>
        <v>100263</v>
      </c>
      <c r="H6820" s="1405">
        <v>1.84</v>
      </c>
      <c r="I6820" s="1405">
        <v>2.04</v>
      </c>
    </row>
    <row r="6821" spans="2:9">
      <c r="B6821" s="1477">
        <v>100264</v>
      </c>
      <c r="C6821" s="740" t="s">
        <v>2497</v>
      </c>
      <c r="D6821" s="739" t="s">
        <v>2451</v>
      </c>
      <c r="E6821" s="741">
        <f t="shared" si="212"/>
        <v>37.229999999999997</v>
      </c>
      <c r="F6821">
        <f t="shared" si="213"/>
        <v>100264</v>
      </c>
      <c r="H6821" s="1406">
        <v>33.6</v>
      </c>
      <c r="I6821" s="1406">
        <v>37.229999999999997</v>
      </c>
    </row>
    <row r="6822" spans="2:9">
      <c r="B6822" s="677">
        <v>100265</v>
      </c>
      <c r="C6822" s="733" t="s">
        <v>2498</v>
      </c>
      <c r="D6822" s="677" t="s">
        <v>0</v>
      </c>
      <c r="E6822" s="738">
        <f t="shared" si="212"/>
        <v>0.78</v>
      </c>
      <c r="F6822">
        <f t="shared" si="213"/>
        <v>100265</v>
      </c>
      <c r="H6822" s="1405">
        <v>0.7</v>
      </c>
      <c r="I6822" s="1405">
        <v>0.78</v>
      </c>
    </row>
    <row r="6823" spans="2:9">
      <c r="B6823" s="1477">
        <v>100266</v>
      </c>
      <c r="C6823" s="740" t="s">
        <v>2499</v>
      </c>
      <c r="D6823" s="739" t="s">
        <v>2438</v>
      </c>
      <c r="E6823" s="741">
        <f t="shared" si="212"/>
        <v>79.13</v>
      </c>
      <c r="F6823">
        <f t="shared" si="213"/>
        <v>100266</v>
      </c>
      <c r="H6823" s="1406">
        <v>71.42</v>
      </c>
      <c r="I6823" s="1406">
        <v>79.13</v>
      </c>
    </row>
    <row r="6824" spans="2:9">
      <c r="B6824" s="677">
        <v>100267</v>
      </c>
      <c r="C6824" s="733" t="s">
        <v>2500</v>
      </c>
      <c r="D6824" s="677" t="s">
        <v>22</v>
      </c>
      <c r="E6824" s="738">
        <f t="shared" si="212"/>
        <v>1.56</v>
      </c>
      <c r="F6824">
        <f t="shared" si="213"/>
        <v>100267</v>
      </c>
      <c r="H6824" s="1405">
        <v>1.41</v>
      </c>
      <c r="I6824" s="1405">
        <v>1.56</v>
      </c>
    </row>
    <row r="6825" spans="2:9" ht="30">
      <c r="B6825" s="1477">
        <v>100268</v>
      </c>
      <c r="C6825" s="740" t="s">
        <v>2501</v>
      </c>
      <c r="D6825" s="739" t="s">
        <v>2438</v>
      </c>
      <c r="E6825" s="741">
        <f t="shared" si="212"/>
        <v>79.13</v>
      </c>
      <c r="F6825">
        <f t="shared" si="213"/>
        <v>100268</v>
      </c>
      <c r="H6825" s="1406">
        <v>71.42</v>
      </c>
      <c r="I6825" s="1406">
        <v>79.13</v>
      </c>
    </row>
    <row r="6826" spans="2:9" ht="30">
      <c r="B6826" s="677">
        <v>100269</v>
      </c>
      <c r="C6826" s="733" t="s">
        <v>2502</v>
      </c>
      <c r="D6826" s="677" t="s">
        <v>22</v>
      </c>
      <c r="E6826" s="738">
        <f t="shared" si="212"/>
        <v>1.56</v>
      </c>
      <c r="F6826">
        <f t="shared" si="213"/>
        <v>100269</v>
      </c>
      <c r="H6826" s="1405">
        <v>1.41</v>
      </c>
      <c r="I6826" s="1405">
        <v>1.56</v>
      </c>
    </row>
    <row r="6827" spans="2:9" ht="30">
      <c r="B6827" s="1477">
        <v>100270</v>
      </c>
      <c r="C6827" s="740" t="s">
        <v>2503</v>
      </c>
      <c r="D6827" s="739" t="s">
        <v>2438</v>
      </c>
      <c r="E6827" s="741">
        <f t="shared" si="212"/>
        <v>59.32</v>
      </c>
      <c r="F6827">
        <f t="shared" si="213"/>
        <v>100270</v>
      </c>
      <c r="H6827" s="1406">
        <v>53.54</v>
      </c>
      <c r="I6827" s="1406">
        <v>59.32</v>
      </c>
    </row>
    <row r="6828" spans="2:9">
      <c r="B6828" s="677">
        <v>100271</v>
      </c>
      <c r="C6828" s="733" t="s">
        <v>2504</v>
      </c>
      <c r="D6828" s="677" t="s">
        <v>2451</v>
      </c>
      <c r="E6828" s="738">
        <f t="shared" si="212"/>
        <v>59.35</v>
      </c>
      <c r="F6828">
        <f t="shared" si="213"/>
        <v>100271</v>
      </c>
      <c r="H6828" s="1405">
        <v>53.57</v>
      </c>
      <c r="I6828" s="1405">
        <v>59.35</v>
      </c>
    </row>
    <row r="6829" spans="2:9">
      <c r="B6829" s="1477">
        <v>100272</v>
      </c>
      <c r="C6829" s="740" t="s">
        <v>2505</v>
      </c>
      <c r="D6829" s="739" t="s">
        <v>0</v>
      </c>
      <c r="E6829" s="741">
        <f t="shared" si="212"/>
        <v>1.17</v>
      </c>
      <c r="F6829">
        <f t="shared" si="213"/>
        <v>100272</v>
      </c>
      <c r="H6829" s="1406">
        <v>1.06</v>
      </c>
      <c r="I6829" s="1406">
        <v>1.17</v>
      </c>
    </row>
    <row r="6830" spans="2:9">
      <c r="B6830" s="677">
        <v>100273</v>
      </c>
      <c r="C6830" s="733" t="s">
        <v>2506</v>
      </c>
      <c r="D6830" s="677" t="s">
        <v>2424</v>
      </c>
      <c r="E6830" s="738">
        <f t="shared" si="212"/>
        <v>3.09</v>
      </c>
      <c r="F6830">
        <f t="shared" si="213"/>
        <v>100273</v>
      </c>
      <c r="H6830" s="1405">
        <v>2.79</v>
      </c>
      <c r="I6830" s="1405">
        <v>3.09</v>
      </c>
    </row>
    <row r="6831" spans="2:9">
      <c r="B6831" s="1477">
        <v>100274</v>
      </c>
      <c r="C6831" s="740" t="s">
        <v>2507</v>
      </c>
      <c r="D6831" s="739" t="s">
        <v>2451</v>
      </c>
      <c r="E6831" s="741">
        <f t="shared" si="212"/>
        <v>26.39</v>
      </c>
      <c r="F6831">
        <f t="shared" si="213"/>
        <v>100274</v>
      </c>
      <c r="H6831" s="1406">
        <v>23.82</v>
      </c>
      <c r="I6831" s="1406">
        <v>26.39</v>
      </c>
    </row>
    <row r="6832" spans="2:9">
      <c r="B6832" s="677">
        <v>100275</v>
      </c>
      <c r="C6832" s="733" t="s">
        <v>2508</v>
      </c>
      <c r="D6832" s="677" t="s">
        <v>2451</v>
      </c>
      <c r="E6832" s="738">
        <f t="shared" si="212"/>
        <v>17.059999999999999</v>
      </c>
      <c r="F6832">
        <f t="shared" si="213"/>
        <v>100275</v>
      </c>
      <c r="H6832" s="1405">
        <v>15.4</v>
      </c>
      <c r="I6832" s="1405">
        <v>17.059999999999999</v>
      </c>
    </row>
    <row r="6833" spans="2:9" ht="30">
      <c r="B6833" s="1477">
        <v>100276</v>
      </c>
      <c r="C6833" s="740" t="s">
        <v>2509</v>
      </c>
      <c r="D6833" s="739" t="s">
        <v>2451</v>
      </c>
      <c r="E6833" s="741">
        <f t="shared" si="212"/>
        <v>31.14</v>
      </c>
      <c r="F6833">
        <f t="shared" si="213"/>
        <v>100276</v>
      </c>
      <c r="H6833" s="1406">
        <v>28.1</v>
      </c>
      <c r="I6833" s="1406">
        <v>31.14</v>
      </c>
    </row>
    <row r="6834" spans="2:9" ht="30">
      <c r="B6834" s="677">
        <v>100277</v>
      </c>
      <c r="C6834" s="733" t="s">
        <v>2510</v>
      </c>
      <c r="D6834" s="677" t="s">
        <v>2451</v>
      </c>
      <c r="E6834" s="738">
        <f t="shared" si="212"/>
        <v>1.82</v>
      </c>
      <c r="F6834">
        <f t="shared" si="213"/>
        <v>100277</v>
      </c>
      <c r="H6834" s="1405">
        <v>1.77</v>
      </c>
      <c r="I6834" s="1405">
        <v>1.82</v>
      </c>
    </row>
    <row r="6835" spans="2:9">
      <c r="B6835" s="1477">
        <v>100278</v>
      </c>
      <c r="C6835" s="740" t="s">
        <v>2511</v>
      </c>
      <c r="D6835" s="739" t="s">
        <v>2438</v>
      </c>
      <c r="E6835" s="741">
        <f t="shared" si="212"/>
        <v>37.86</v>
      </c>
      <c r="F6835">
        <f t="shared" si="213"/>
        <v>100278</v>
      </c>
      <c r="H6835" s="1406">
        <v>34.17</v>
      </c>
      <c r="I6835" s="1406">
        <v>37.86</v>
      </c>
    </row>
    <row r="6836" spans="2:9" ht="30">
      <c r="B6836" s="677">
        <v>100279</v>
      </c>
      <c r="C6836" s="733" t="s">
        <v>2512</v>
      </c>
      <c r="D6836" s="677" t="s">
        <v>22</v>
      </c>
      <c r="E6836" s="738">
        <f t="shared" si="212"/>
        <v>0.73</v>
      </c>
      <c r="F6836">
        <f t="shared" si="213"/>
        <v>100279</v>
      </c>
      <c r="H6836" s="1405">
        <v>0.66</v>
      </c>
      <c r="I6836" s="1405">
        <v>0.73</v>
      </c>
    </row>
    <row r="6837" spans="2:9" ht="30">
      <c r="B6837" s="1477">
        <v>100280</v>
      </c>
      <c r="C6837" s="740" t="s">
        <v>2513</v>
      </c>
      <c r="D6837" s="739" t="s">
        <v>2438</v>
      </c>
      <c r="E6837" s="741">
        <f t="shared" si="212"/>
        <v>17.38</v>
      </c>
      <c r="F6837">
        <f t="shared" si="213"/>
        <v>100280</v>
      </c>
      <c r="H6837" s="1406">
        <v>15.69</v>
      </c>
      <c r="I6837" s="1406">
        <v>17.38</v>
      </c>
    </row>
    <row r="6838" spans="2:9" ht="30">
      <c r="B6838" s="677">
        <v>100281</v>
      </c>
      <c r="C6838" s="733" t="s">
        <v>2514</v>
      </c>
      <c r="D6838" s="677" t="s">
        <v>2438</v>
      </c>
      <c r="E6838" s="738">
        <f t="shared" si="212"/>
        <v>3.5</v>
      </c>
      <c r="F6838">
        <f t="shared" si="213"/>
        <v>100281</v>
      </c>
      <c r="H6838" s="1405">
        <v>3.4</v>
      </c>
      <c r="I6838" s="1405">
        <v>3.5</v>
      </c>
    </row>
    <row r="6839" spans="2:9">
      <c r="B6839" s="1477">
        <v>100282</v>
      </c>
      <c r="C6839" s="740" t="s">
        <v>2515</v>
      </c>
      <c r="D6839" s="739" t="s">
        <v>2451</v>
      </c>
      <c r="E6839" s="741">
        <f t="shared" si="212"/>
        <v>148.26</v>
      </c>
      <c r="F6839">
        <f t="shared" si="213"/>
        <v>100282</v>
      </c>
      <c r="H6839" s="1406">
        <v>133.82</v>
      </c>
      <c r="I6839" s="1406">
        <v>148.26</v>
      </c>
    </row>
    <row r="6840" spans="2:9">
      <c r="B6840" s="677">
        <v>100283</v>
      </c>
      <c r="C6840" s="733" t="s">
        <v>2516</v>
      </c>
      <c r="D6840" s="677" t="s">
        <v>2451</v>
      </c>
      <c r="E6840" s="738">
        <f t="shared" si="212"/>
        <v>23.95</v>
      </c>
      <c r="F6840">
        <f t="shared" si="213"/>
        <v>100283</v>
      </c>
      <c r="H6840" s="1405">
        <v>21.61</v>
      </c>
      <c r="I6840" s="1405">
        <v>23.95</v>
      </c>
    </row>
    <row r="6841" spans="2:9" ht="30">
      <c r="B6841" s="1477">
        <v>100284</v>
      </c>
      <c r="C6841" s="740" t="s">
        <v>2517</v>
      </c>
      <c r="D6841" s="739" t="s">
        <v>2451</v>
      </c>
      <c r="E6841" s="741">
        <f t="shared" si="212"/>
        <v>10.25</v>
      </c>
      <c r="F6841">
        <f t="shared" si="213"/>
        <v>100284</v>
      </c>
      <c r="H6841" s="1406">
        <v>9.94</v>
      </c>
      <c r="I6841" s="1406">
        <v>10.25</v>
      </c>
    </row>
    <row r="6842" spans="2:9">
      <c r="B6842" s="677">
        <v>100285</v>
      </c>
      <c r="C6842" s="733" t="s">
        <v>2518</v>
      </c>
      <c r="D6842" s="677" t="s">
        <v>2469</v>
      </c>
      <c r="E6842" s="738">
        <f t="shared" si="212"/>
        <v>39.83</v>
      </c>
      <c r="F6842">
        <f t="shared" si="213"/>
        <v>100285</v>
      </c>
      <c r="H6842" s="1405">
        <v>35.950000000000003</v>
      </c>
      <c r="I6842" s="1405">
        <v>39.83</v>
      </c>
    </row>
    <row r="6843" spans="2:9">
      <c r="B6843" s="1477">
        <v>100286</v>
      </c>
      <c r="C6843" s="740" t="s">
        <v>2519</v>
      </c>
      <c r="D6843" s="739" t="s">
        <v>2469</v>
      </c>
      <c r="E6843" s="741">
        <f t="shared" si="212"/>
        <v>12.98</v>
      </c>
      <c r="F6843">
        <f t="shared" si="213"/>
        <v>100286</v>
      </c>
      <c r="H6843" s="1406">
        <v>11.71</v>
      </c>
      <c r="I6843" s="1406">
        <v>12.98</v>
      </c>
    </row>
    <row r="6844" spans="2:9">
      <c r="B6844" s="677">
        <v>100287</v>
      </c>
      <c r="C6844" s="733" t="s">
        <v>2520</v>
      </c>
      <c r="D6844" s="677" t="s">
        <v>2469</v>
      </c>
      <c r="E6844" s="738">
        <f t="shared" si="212"/>
        <v>12.43</v>
      </c>
      <c r="F6844">
        <f t="shared" si="213"/>
        <v>100287</v>
      </c>
      <c r="H6844" s="1405">
        <v>11.22</v>
      </c>
      <c r="I6844" s="1405">
        <v>12.43</v>
      </c>
    </row>
    <row r="6845" spans="2:9">
      <c r="B6845" s="1477">
        <v>99802</v>
      </c>
      <c r="C6845" s="740" t="s">
        <v>2189</v>
      </c>
      <c r="D6845" s="739" t="s">
        <v>0</v>
      </c>
      <c r="E6845" s="741">
        <f t="shared" si="212"/>
        <v>0.5</v>
      </c>
      <c r="F6845">
        <f t="shared" si="213"/>
        <v>99802</v>
      </c>
      <c r="H6845" s="1406">
        <v>0.45</v>
      </c>
      <c r="I6845" s="1406">
        <v>0.5</v>
      </c>
    </row>
    <row r="6846" spans="2:9">
      <c r="B6846" s="677">
        <v>99803</v>
      </c>
      <c r="C6846" s="733" t="s">
        <v>2190</v>
      </c>
      <c r="D6846" s="677" t="s">
        <v>0</v>
      </c>
      <c r="E6846" s="738">
        <f t="shared" si="212"/>
        <v>1.97</v>
      </c>
      <c r="F6846">
        <f t="shared" si="213"/>
        <v>99803</v>
      </c>
      <c r="H6846" s="1405">
        <v>1.77</v>
      </c>
      <c r="I6846" s="1405">
        <v>1.97</v>
      </c>
    </row>
    <row r="6847" spans="2:9">
      <c r="B6847" s="1477">
        <v>99804</v>
      </c>
      <c r="C6847" s="740" t="s">
        <v>5172</v>
      </c>
      <c r="D6847" s="739" t="s">
        <v>0</v>
      </c>
      <c r="E6847" s="741">
        <f t="shared" si="212"/>
        <v>5.0999999999999996</v>
      </c>
      <c r="F6847">
        <f t="shared" si="213"/>
        <v>99804</v>
      </c>
      <c r="H6847" s="1406">
        <v>4.6100000000000003</v>
      </c>
      <c r="I6847" s="1406">
        <v>5.0999999999999996</v>
      </c>
    </row>
    <row r="6848" spans="2:9">
      <c r="B6848" s="677">
        <v>99805</v>
      </c>
      <c r="C6848" s="733" t="s">
        <v>2191</v>
      </c>
      <c r="D6848" s="677" t="s">
        <v>0</v>
      </c>
      <c r="E6848" s="738">
        <f t="shared" si="212"/>
        <v>10.66</v>
      </c>
      <c r="F6848">
        <f t="shared" si="213"/>
        <v>99805</v>
      </c>
      <c r="H6848" s="1405">
        <v>9.69</v>
      </c>
      <c r="I6848" s="1405">
        <v>10.66</v>
      </c>
    </row>
    <row r="6849" spans="2:9">
      <c r="B6849" s="1477">
        <v>99806</v>
      </c>
      <c r="C6849" s="740" t="s">
        <v>2192</v>
      </c>
      <c r="D6849" s="739" t="s">
        <v>0</v>
      </c>
      <c r="E6849" s="741">
        <f t="shared" si="212"/>
        <v>0.81</v>
      </c>
      <c r="F6849">
        <f t="shared" si="213"/>
        <v>99806</v>
      </c>
      <c r="H6849" s="1406">
        <v>0.73</v>
      </c>
      <c r="I6849" s="1406">
        <v>0.81</v>
      </c>
    </row>
    <row r="6850" spans="2:9">
      <c r="B6850" s="677">
        <v>99807</v>
      </c>
      <c r="C6850" s="733" t="s">
        <v>5173</v>
      </c>
      <c r="D6850" s="677" t="s">
        <v>0</v>
      </c>
      <c r="E6850" s="738">
        <f t="shared" si="212"/>
        <v>1.55</v>
      </c>
      <c r="F6850">
        <f t="shared" si="213"/>
        <v>99807</v>
      </c>
      <c r="H6850" s="1405">
        <v>1.4</v>
      </c>
      <c r="I6850" s="1405">
        <v>1.55</v>
      </c>
    </row>
    <row r="6851" spans="2:9">
      <c r="B6851" s="1477">
        <v>99808</v>
      </c>
      <c r="C6851" s="740" t="s">
        <v>2193</v>
      </c>
      <c r="D6851" s="739" t="s">
        <v>0</v>
      </c>
      <c r="E6851" s="741">
        <f t="shared" ref="E6851:E6914" si="214">IF($K$2=$H$1,H6851,I6851)</f>
        <v>3.75</v>
      </c>
      <c r="F6851">
        <f t="shared" si="213"/>
        <v>99808</v>
      </c>
      <c r="H6851" s="1406">
        <v>3.45</v>
      </c>
      <c r="I6851" s="1406">
        <v>3.75</v>
      </c>
    </row>
    <row r="6852" spans="2:9">
      <c r="B6852" s="677">
        <v>99809</v>
      </c>
      <c r="C6852" s="733" t="s">
        <v>2194</v>
      </c>
      <c r="D6852" s="677" t="s">
        <v>0</v>
      </c>
      <c r="E6852" s="738">
        <f t="shared" si="214"/>
        <v>5.6</v>
      </c>
      <c r="F6852">
        <f t="shared" ref="F6852:F6915" si="215">IF(LEN($B6852)=7,CONCATENATE(MID($B6852,1,6),"00",RIGHT($B6852,1)),IF(LEN($B6852)=8,CONCATENATE(MID($B6852,1,6),"0",RIGHT($B6852,2)),$B6852))</f>
        <v>99809</v>
      </c>
      <c r="H6852" s="1405">
        <v>5.0599999999999996</v>
      </c>
      <c r="I6852" s="1405">
        <v>5.6</v>
      </c>
    </row>
    <row r="6853" spans="2:9">
      <c r="B6853" s="1477">
        <v>99810</v>
      </c>
      <c r="C6853" s="740" t="s">
        <v>5174</v>
      </c>
      <c r="D6853" s="739" t="s">
        <v>0</v>
      </c>
      <c r="E6853" s="741">
        <f t="shared" si="214"/>
        <v>6.97</v>
      </c>
      <c r="F6853">
        <f t="shared" si="215"/>
        <v>99810</v>
      </c>
      <c r="H6853" s="1406">
        <v>6.3</v>
      </c>
      <c r="I6853" s="1406">
        <v>6.97</v>
      </c>
    </row>
    <row r="6854" spans="2:9">
      <c r="B6854" s="677">
        <v>99811</v>
      </c>
      <c r="C6854" s="733" t="s">
        <v>2195</v>
      </c>
      <c r="D6854" s="677" t="s">
        <v>0</v>
      </c>
      <c r="E6854" s="738">
        <f t="shared" si="214"/>
        <v>3.35</v>
      </c>
      <c r="F6854">
        <f t="shared" si="215"/>
        <v>99811</v>
      </c>
      <c r="H6854" s="1405">
        <v>3.02</v>
      </c>
      <c r="I6854" s="1405">
        <v>3.35</v>
      </c>
    </row>
    <row r="6855" spans="2:9">
      <c r="B6855" s="1477">
        <v>99812</v>
      </c>
      <c r="C6855" s="740" t="s">
        <v>2196</v>
      </c>
      <c r="D6855" s="739" t="s">
        <v>0</v>
      </c>
      <c r="E6855" s="741">
        <f t="shared" si="214"/>
        <v>1.07</v>
      </c>
      <c r="F6855">
        <f t="shared" si="215"/>
        <v>99812</v>
      </c>
      <c r="H6855" s="1406">
        <v>0.97</v>
      </c>
      <c r="I6855" s="1406">
        <v>1.07</v>
      </c>
    </row>
    <row r="6856" spans="2:9">
      <c r="B6856" s="677">
        <v>99813</v>
      </c>
      <c r="C6856" s="733" t="s">
        <v>5175</v>
      </c>
      <c r="D6856" s="677" t="s">
        <v>0</v>
      </c>
      <c r="E6856" s="738">
        <f t="shared" si="214"/>
        <v>0.92</v>
      </c>
      <c r="F6856">
        <f t="shared" si="215"/>
        <v>99813</v>
      </c>
      <c r="H6856" s="1405">
        <v>0.84</v>
      </c>
      <c r="I6856" s="1405">
        <v>0.92</v>
      </c>
    </row>
    <row r="6857" spans="2:9">
      <c r="B6857" s="1477">
        <v>99814</v>
      </c>
      <c r="C6857" s="740" t="s">
        <v>2197</v>
      </c>
      <c r="D6857" s="739" t="s">
        <v>0</v>
      </c>
      <c r="E6857" s="741">
        <f t="shared" si="214"/>
        <v>1.83</v>
      </c>
      <c r="F6857">
        <f t="shared" si="215"/>
        <v>99814</v>
      </c>
      <c r="H6857" s="1406">
        <v>1.66</v>
      </c>
      <c r="I6857" s="1406">
        <v>1.83</v>
      </c>
    </row>
    <row r="6858" spans="2:9">
      <c r="B6858" s="677">
        <v>99815</v>
      </c>
      <c r="C6858" s="733" t="s">
        <v>5176</v>
      </c>
      <c r="D6858" s="677" t="s">
        <v>22</v>
      </c>
      <c r="E6858" s="738">
        <f t="shared" si="214"/>
        <v>8.27</v>
      </c>
      <c r="F6858">
        <f t="shared" si="215"/>
        <v>99815</v>
      </c>
      <c r="H6858" s="1405">
        <v>7.73</v>
      </c>
      <c r="I6858" s="1405">
        <v>8.27</v>
      </c>
    </row>
    <row r="6859" spans="2:9">
      <c r="B6859" s="1477">
        <v>99816</v>
      </c>
      <c r="C6859" s="740" t="s">
        <v>5177</v>
      </c>
      <c r="D6859" s="739" t="s">
        <v>22</v>
      </c>
      <c r="E6859" s="741">
        <f t="shared" si="214"/>
        <v>8.7799999999999994</v>
      </c>
      <c r="F6859">
        <f t="shared" si="215"/>
        <v>99816</v>
      </c>
      <c r="H6859" s="1406">
        <v>8.19</v>
      </c>
      <c r="I6859" s="1406">
        <v>8.7799999999999994</v>
      </c>
    </row>
    <row r="6860" spans="2:9">
      <c r="B6860" s="677">
        <v>99817</v>
      </c>
      <c r="C6860" s="733" t="s">
        <v>5178</v>
      </c>
      <c r="D6860" s="677" t="s">
        <v>22</v>
      </c>
      <c r="E6860" s="738">
        <f t="shared" si="214"/>
        <v>5.24</v>
      </c>
      <c r="F6860">
        <f t="shared" si="215"/>
        <v>99817</v>
      </c>
      <c r="H6860" s="1405">
        <v>5</v>
      </c>
      <c r="I6860" s="1405">
        <v>5.24</v>
      </c>
    </row>
    <row r="6861" spans="2:9">
      <c r="B6861" s="1477">
        <v>99818</v>
      </c>
      <c r="C6861" s="740" t="s">
        <v>5179</v>
      </c>
      <c r="D6861" s="739" t="s">
        <v>22</v>
      </c>
      <c r="E6861" s="741">
        <f t="shared" si="214"/>
        <v>5.24</v>
      </c>
      <c r="F6861">
        <f t="shared" si="215"/>
        <v>99818</v>
      </c>
      <c r="H6861" s="1406">
        <v>5</v>
      </c>
      <c r="I6861" s="1406">
        <v>5.24</v>
      </c>
    </row>
    <row r="6862" spans="2:9">
      <c r="B6862" s="677">
        <v>99819</v>
      </c>
      <c r="C6862" s="733" t="s">
        <v>5180</v>
      </c>
      <c r="D6862" s="677" t="s">
        <v>0</v>
      </c>
      <c r="E6862" s="738">
        <f t="shared" si="214"/>
        <v>15.96</v>
      </c>
      <c r="F6862">
        <f t="shared" si="215"/>
        <v>99819</v>
      </c>
      <c r="H6862" s="1405">
        <v>14.43</v>
      </c>
      <c r="I6862" s="1405">
        <v>15.96</v>
      </c>
    </row>
    <row r="6863" spans="2:9">
      <c r="B6863" s="1477">
        <v>99820</v>
      </c>
      <c r="C6863" s="740" t="s">
        <v>5181</v>
      </c>
      <c r="D6863" s="739" t="s">
        <v>0</v>
      </c>
      <c r="E6863" s="741">
        <f t="shared" si="214"/>
        <v>1.87</v>
      </c>
      <c r="F6863">
        <f t="shared" si="215"/>
        <v>99820</v>
      </c>
      <c r="H6863" s="1406">
        <v>1.74</v>
      </c>
      <c r="I6863" s="1406">
        <v>1.87</v>
      </c>
    </row>
    <row r="6864" spans="2:9">
      <c r="B6864" s="677">
        <v>99821</v>
      </c>
      <c r="C6864" s="733" t="s">
        <v>5182</v>
      </c>
      <c r="D6864" s="677" t="s">
        <v>0</v>
      </c>
      <c r="E6864" s="738">
        <f t="shared" si="214"/>
        <v>2.89</v>
      </c>
      <c r="F6864">
        <f t="shared" si="215"/>
        <v>99821</v>
      </c>
      <c r="H6864" s="1405">
        <v>2.71</v>
      </c>
      <c r="I6864" s="1405">
        <v>2.89</v>
      </c>
    </row>
    <row r="6865" spans="2:9">
      <c r="B6865" s="1477">
        <v>99822</v>
      </c>
      <c r="C6865" s="740" t="s">
        <v>2198</v>
      </c>
      <c r="D6865" s="739" t="s">
        <v>0</v>
      </c>
      <c r="E6865" s="741">
        <f t="shared" si="214"/>
        <v>0.95</v>
      </c>
      <c r="F6865">
        <f t="shared" si="215"/>
        <v>99822</v>
      </c>
      <c r="H6865" s="1406">
        <v>0.86</v>
      </c>
      <c r="I6865" s="1406">
        <v>0.95</v>
      </c>
    </row>
    <row r="6866" spans="2:9">
      <c r="B6866" s="677">
        <v>99823</v>
      </c>
      <c r="C6866" s="733" t="s">
        <v>5183</v>
      </c>
      <c r="D6866" s="677" t="s">
        <v>0</v>
      </c>
      <c r="E6866" s="738">
        <f t="shared" si="214"/>
        <v>2.19</v>
      </c>
      <c r="F6866">
        <f t="shared" si="215"/>
        <v>99823</v>
      </c>
      <c r="H6866" s="1405">
        <v>2.0299999999999998</v>
      </c>
      <c r="I6866" s="1405">
        <v>2.19</v>
      </c>
    </row>
    <row r="6867" spans="2:9">
      <c r="B6867" s="1477">
        <v>99824</v>
      </c>
      <c r="C6867" s="740" t="s">
        <v>5184</v>
      </c>
      <c r="D6867" s="739" t="s">
        <v>0</v>
      </c>
      <c r="E6867" s="741">
        <f t="shared" si="214"/>
        <v>2.39</v>
      </c>
      <c r="F6867">
        <f t="shared" si="215"/>
        <v>99824</v>
      </c>
      <c r="H6867" s="1406">
        <v>2.21</v>
      </c>
      <c r="I6867" s="1406">
        <v>2.39</v>
      </c>
    </row>
    <row r="6868" spans="2:9">
      <c r="B6868" s="677">
        <v>99825</v>
      </c>
      <c r="C6868" s="733" t="s">
        <v>5185</v>
      </c>
      <c r="D6868" s="677" t="s">
        <v>0</v>
      </c>
      <c r="E6868" s="738">
        <f t="shared" si="214"/>
        <v>3.38</v>
      </c>
      <c r="F6868">
        <f t="shared" si="215"/>
        <v>99825</v>
      </c>
      <c r="H6868" s="1405">
        <v>3.15</v>
      </c>
      <c r="I6868" s="1405">
        <v>3.38</v>
      </c>
    </row>
    <row r="6869" spans="2:9">
      <c r="B6869" s="1477">
        <v>99826</v>
      </c>
      <c r="C6869" s="740" t="s">
        <v>2199</v>
      </c>
      <c r="D6869" s="739" t="s">
        <v>0</v>
      </c>
      <c r="E6869" s="741">
        <f t="shared" si="214"/>
        <v>1.46</v>
      </c>
      <c r="F6869">
        <f t="shared" si="215"/>
        <v>99826</v>
      </c>
      <c r="H6869" s="1406">
        <v>1.32</v>
      </c>
      <c r="I6869" s="1406">
        <v>1.46</v>
      </c>
    </row>
    <row r="6870" spans="2:9" ht="30">
      <c r="B6870" s="677">
        <v>97010</v>
      </c>
      <c r="C6870" s="733" t="s">
        <v>1958</v>
      </c>
      <c r="D6870" s="677" t="s">
        <v>21</v>
      </c>
      <c r="E6870" s="738">
        <f t="shared" si="214"/>
        <v>58.49</v>
      </c>
      <c r="F6870">
        <f t="shared" si="215"/>
        <v>97010</v>
      </c>
      <c r="H6870" s="1405">
        <v>56.82</v>
      </c>
      <c r="I6870" s="1405">
        <v>58.49</v>
      </c>
    </row>
    <row r="6871" spans="2:9" ht="30">
      <c r="B6871" s="1477">
        <v>97011</v>
      </c>
      <c r="C6871" s="740" t="s">
        <v>1959</v>
      </c>
      <c r="D6871" s="739" t="s">
        <v>21</v>
      </c>
      <c r="E6871" s="741">
        <f t="shared" si="214"/>
        <v>45.31</v>
      </c>
      <c r="F6871">
        <f t="shared" si="215"/>
        <v>97011</v>
      </c>
      <c r="H6871" s="1406">
        <v>43.64</v>
      </c>
      <c r="I6871" s="1406">
        <v>45.31</v>
      </c>
    </row>
    <row r="6872" spans="2:9" ht="30">
      <c r="B6872" s="677">
        <v>97012</v>
      </c>
      <c r="C6872" s="733" t="s">
        <v>1960</v>
      </c>
      <c r="D6872" s="677" t="s">
        <v>21</v>
      </c>
      <c r="E6872" s="738">
        <f t="shared" si="214"/>
        <v>38.72</v>
      </c>
      <c r="F6872">
        <f t="shared" si="215"/>
        <v>97012</v>
      </c>
      <c r="H6872" s="1405">
        <v>37.049999999999997</v>
      </c>
      <c r="I6872" s="1405">
        <v>38.72</v>
      </c>
    </row>
    <row r="6873" spans="2:9" ht="30">
      <c r="B6873" s="1477">
        <v>97013</v>
      </c>
      <c r="C6873" s="740" t="s">
        <v>1961</v>
      </c>
      <c r="D6873" s="739" t="s">
        <v>21</v>
      </c>
      <c r="E6873" s="741">
        <f t="shared" si="214"/>
        <v>100.17</v>
      </c>
      <c r="F6873">
        <f t="shared" si="215"/>
        <v>97013</v>
      </c>
      <c r="H6873" s="1406">
        <v>98.38</v>
      </c>
      <c r="I6873" s="1406">
        <v>100.17</v>
      </c>
    </row>
    <row r="6874" spans="2:9" ht="30">
      <c r="B6874" s="677">
        <v>97014</v>
      </c>
      <c r="C6874" s="733" t="s">
        <v>1962</v>
      </c>
      <c r="D6874" s="677" t="s">
        <v>21</v>
      </c>
      <c r="E6874" s="738">
        <f t="shared" si="214"/>
        <v>73.33</v>
      </c>
      <c r="F6874">
        <f t="shared" si="215"/>
        <v>97014</v>
      </c>
      <c r="H6874" s="1405">
        <v>71.540000000000006</v>
      </c>
      <c r="I6874" s="1405">
        <v>73.33</v>
      </c>
    </row>
    <row r="6875" spans="2:9" ht="30">
      <c r="B6875" s="1477">
        <v>97015</v>
      </c>
      <c r="C6875" s="740" t="s">
        <v>1963</v>
      </c>
      <c r="D6875" s="739" t="s">
        <v>21</v>
      </c>
      <c r="E6875" s="741">
        <f t="shared" si="214"/>
        <v>59.8</v>
      </c>
      <c r="F6875">
        <f t="shared" si="215"/>
        <v>97015</v>
      </c>
      <c r="H6875" s="1406">
        <v>58.01</v>
      </c>
      <c r="I6875" s="1406">
        <v>59.8</v>
      </c>
    </row>
    <row r="6876" spans="2:9" ht="30">
      <c r="B6876" s="677">
        <v>97016</v>
      </c>
      <c r="C6876" s="733" t="s">
        <v>1964</v>
      </c>
      <c r="D6876" s="677" t="s">
        <v>21</v>
      </c>
      <c r="E6876" s="738">
        <f t="shared" si="214"/>
        <v>51.44</v>
      </c>
      <c r="F6876">
        <f t="shared" si="215"/>
        <v>97016</v>
      </c>
      <c r="H6876" s="1405">
        <v>50.39</v>
      </c>
      <c r="I6876" s="1405">
        <v>51.44</v>
      </c>
    </row>
    <row r="6877" spans="2:9" ht="30">
      <c r="B6877" s="1477">
        <v>97017</v>
      </c>
      <c r="C6877" s="740" t="s">
        <v>1965</v>
      </c>
      <c r="D6877" s="739" t="s">
        <v>21</v>
      </c>
      <c r="E6877" s="741">
        <f t="shared" si="214"/>
        <v>38.869999999999997</v>
      </c>
      <c r="F6877">
        <f t="shared" si="215"/>
        <v>97017</v>
      </c>
      <c r="H6877" s="1406">
        <v>37.82</v>
      </c>
      <c r="I6877" s="1406">
        <v>38.869999999999997</v>
      </c>
    </row>
    <row r="6878" spans="2:9" ht="30">
      <c r="B6878" s="677">
        <v>97018</v>
      </c>
      <c r="C6878" s="733" t="s">
        <v>1966</v>
      </c>
      <c r="D6878" s="677" t="s">
        <v>21</v>
      </c>
      <c r="E6878" s="738">
        <f t="shared" si="214"/>
        <v>32.35</v>
      </c>
      <c r="F6878">
        <f t="shared" si="215"/>
        <v>97018</v>
      </c>
      <c r="H6878" s="1405">
        <v>31.3</v>
      </c>
      <c r="I6878" s="1405">
        <v>32.35</v>
      </c>
    </row>
    <row r="6879" spans="2:9" ht="45">
      <c r="B6879" s="1477">
        <v>97031</v>
      </c>
      <c r="C6879" s="740" t="s">
        <v>1967</v>
      </c>
      <c r="D6879" s="739" t="s">
        <v>21</v>
      </c>
      <c r="E6879" s="741">
        <f t="shared" si="214"/>
        <v>91.07</v>
      </c>
      <c r="F6879">
        <f t="shared" si="215"/>
        <v>97031</v>
      </c>
      <c r="H6879" s="1406">
        <v>89.35</v>
      </c>
      <c r="I6879" s="1406">
        <v>91.07</v>
      </c>
    </row>
    <row r="6880" spans="2:9" ht="45">
      <c r="B6880" s="677">
        <v>97032</v>
      </c>
      <c r="C6880" s="733" t="s">
        <v>2154</v>
      </c>
      <c r="D6880" s="677" t="s">
        <v>21</v>
      </c>
      <c r="E6880" s="738">
        <f t="shared" si="214"/>
        <v>55.79</v>
      </c>
      <c r="F6880">
        <f t="shared" si="215"/>
        <v>97032</v>
      </c>
      <c r="H6880" s="1405">
        <v>54.07</v>
      </c>
      <c r="I6880" s="1405">
        <v>55.79</v>
      </c>
    </row>
    <row r="6881" spans="2:9" ht="45">
      <c r="B6881" s="1477">
        <v>97033</v>
      </c>
      <c r="C6881" s="740" t="s">
        <v>2034</v>
      </c>
      <c r="D6881" s="739" t="s">
        <v>21</v>
      </c>
      <c r="E6881" s="741">
        <f t="shared" si="214"/>
        <v>137.13</v>
      </c>
      <c r="F6881">
        <f t="shared" si="215"/>
        <v>97033</v>
      </c>
      <c r="H6881" s="1406">
        <v>135.51</v>
      </c>
      <c r="I6881" s="1406">
        <v>137.13</v>
      </c>
    </row>
    <row r="6882" spans="2:9" ht="45">
      <c r="B6882" s="677">
        <v>97034</v>
      </c>
      <c r="C6882" s="733" t="s">
        <v>2035</v>
      </c>
      <c r="D6882" s="677" t="s">
        <v>21</v>
      </c>
      <c r="E6882" s="738">
        <f t="shared" si="214"/>
        <v>77.63</v>
      </c>
      <c r="F6882">
        <f t="shared" si="215"/>
        <v>97034</v>
      </c>
      <c r="H6882" s="1405">
        <v>76.010000000000005</v>
      </c>
      <c r="I6882" s="1405">
        <v>77.63</v>
      </c>
    </row>
    <row r="6883" spans="2:9">
      <c r="B6883" s="1477">
        <v>97039</v>
      </c>
      <c r="C6883" s="740" t="s">
        <v>1968</v>
      </c>
      <c r="D6883" s="739" t="s">
        <v>0</v>
      </c>
      <c r="E6883" s="741">
        <f t="shared" si="214"/>
        <v>54.36</v>
      </c>
      <c r="F6883">
        <f t="shared" si="215"/>
        <v>97039</v>
      </c>
      <c r="H6883" s="1406">
        <v>52.72</v>
      </c>
      <c r="I6883" s="1406">
        <v>54.36</v>
      </c>
    </row>
    <row r="6884" spans="2:9">
      <c r="B6884" s="677">
        <v>97040</v>
      </c>
      <c r="C6884" s="733" t="s">
        <v>1969</v>
      </c>
      <c r="D6884" s="677" t="s">
        <v>0</v>
      </c>
      <c r="E6884" s="738">
        <f t="shared" si="214"/>
        <v>18.239999999999998</v>
      </c>
      <c r="F6884">
        <f t="shared" si="215"/>
        <v>97040</v>
      </c>
      <c r="H6884" s="1405">
        <v>17.239999999999998</v>
      </c>
      <c r="I6884" s="1405">
        <v>18.239999999999998</v>
      </c>
    </row>
    <row r="6885" spans="2:9">
      <c r="B6885" s="1477">
        <v>97041</v>
      </c>
      <c r="C6885" s="740" t="s">
        <v>1970</v>
      </c>
      <c r="D6885" s="739" t="s">
        <v>0</v>
      </c>
      <c r="E6885" s="741">
        <f t="shared" si="214"/>
        <v>229.89</v>
      </c>
      <c r="F6885">
        <f t="shared" si="215"/>
        <v>97041</v>
      </c>
      <c r="H6885" s="1406">
        <v>227.22</v>
      </c>
      <c r="I6885" s="1406">
        <v>229.89</v>
      </c>
    </row>
    <row r="6886" spans="2:9">
      <c r="B6886" s="677">
        <v>97046</v>
      </c>
      <c r="C6886" s="733" t="s">
        <v>2036</v>
      </c>
      <c r="D6886" s="677" t="s">
        <v>0</v>
      </c>
      <c r="E6886" s="738">
        <f t="shared" si="214"/>
        <v>0.37</v>
      </c>
      <c r="F6886">
        <f t="shared" si="215"/>
        <v>97046</v>
      </c>
      <c r="H6886" s="1405">
        <v>0.36</v>
      </c>
      <c r="I6886" s="1405">
        <v>0.37</v>
      </c>
    </row>
    <row r="6887" spans="2:9">
      <c r="B6887" s="1477">
        <v>97047</v>
      </c>
      <c r="C6887" s="740" t="s">
        <v>2037</v>
      </c>
      <c r="D6887" s="739" t="s">
        <v>0</v>
      </c>
      <c r="E6887" s="741">
        <f t="shared" si="214"/>
        <v>0.14000000000000001</v>
      </c>
      <c r="F6887">
        <f t="shared" si="215"/>
        <v>97047</v>
      </c>
      <c r="H6887" s="1406">
        <v>0.13</v>
      </c>
      <c r="I6887" s="1406">
        <v>0.14000000000000001</v>
      </c>
    </row>
    <row r="6888" spans="2:9">
      <c r="B6888" s="677">
        <v>97048</v>
      </c>
      <c r="C6888" s="733" t="s">
        <v>2038</v>
      </c>
      <c r="D6888" s="677" t="s">
        <v>0</v>
      </c>
      <c r="E6888" s="738">
        <f t="shared" si="214"/>
        <v>0.1</v>
      </c>
      <c r="F6888">
        <f t="shared" si="215"/>
        <v>97048</v>
      </c>
      <c r="H6888" s="1405">
        <v>0.1</v>
      </c>
      <c r="I6888" s="1405">
        <v>0.1</v>
      </c>
    </row>
    <row r="6889" spans="2:9">
      <c r="B6889" s="1477">
        <v>97054</v>
      </c>
      <c r="C6889" s="740" t="s">
        <v>3447</v>
      </c>
      <c r="D6889" s="739" t="s">
        <v>22</v>
      </c>
      <c r="E6889" s="741">
        <f t="shared" si="214"/>
        <v>30.06</v>
      </c>
      <c r="F6889">
        <f t="shared" si="215"/>
        <v>97054</v>
      </c>
      <c r="H6889" s="1406">
        <v>29</v>
      </c>
      <c r="I6889" s="1406">
        <v>30.06</v>
      </c>
    </row>
    <row r="6890" spans="2:9">
      <c r="B6890" s="677">
        <v>97062</v>
      </c>
      <c r="C6890" s="733" t="s">
        <v>1971</v>
      </c>
      <c r="D6890" s="677" t="s">
        <v>0</v>
      </c>
      <c r="E6890" s="738">
        <f t="shared" si="214"/>
        <v>7.04</v>
      </c>
      <c r="F6890">
        <f t="shared" si="215"/>
        <v>97062</v>
      </c>
      <c r="H6890" s="1405">
        <v>6.7</v>
      </c>
      <c r="I6890" s="1405">
        <v>7.04</v>
      </c>
    </row>
    <row r="6891" spans="2:9" ht="30">
      <c r="B6891" s="1477">
        <v>97063</v>
      </c>
      <c r="C6891" s="740" t="s">
        <v>1972</v>
      </c>
      <c r="D6891" s="739" t="s">
        <v>0</v>
      </c>
      <c r="E6891" s="741">
        <f t="shared" si="214"/>
        <v>9.8800000000000008</v>
      </c>
      <c r="F6891">
        <f t="shared" si="215"/>
        <v>97063</v>
      </c>
      <c r="H6891" s="1406">
        <v>8.86</v>
      </c>
      <c r="I6891" s="1406">
        <v>9.8800000000000008</v>
      </c>
    </row>
    <row r="6892" spans="2:9">
      <c r="B6892" s="677">
        <v>97064</v>
      </c>
      <c r="C6892" s="733" t="s">
        <v>1973</v>
      </c>
      <c r="D6892" s="677" t="s">
        <v>21</v>
      </c>
      <c r="E6892" s="738">
        <f t="shared" si="214"/>
        <v>18.239999999999998</v>
      </c>
      <c r="F6892">
        <f t="shared" si="215"/>
        <v>97064</v>
      </c>
      <c r="H6892" s="1405">
        <v>16.36</v>
      </c>
      <c r="I6892" s="1405">
        <v>18.239999999999998</v>
      </c>
    </row>
    <row r="6893" spans="2:9">
      <c r="B6893" s="1477">
        <v>97065</v>
      </c>
      <c r="C6893" s="740" t="s">
        <v>1974</v>
      </c>
      <c r="D6893" s="739" t="s">
        <v>19</v>
      </c>
      <c r="E6893" s="741">
        <f t="shared" si="214"/>
        <v>6.33</v>
      </c>
      <c r="F6893">
        <f t="shared" si="215"/>
        <v>97065</v>
      </c>
      <c r="H6893" s="1406">
        <v>5.69</v>
      </c>
      <c r="I6893" s="1406">
        <v>6.33</v>
      </c>
    </row>
    <row r="6894" spans="2:9">
      <c r="B6894" s="677">
        <v>97066</v>
      </c>
      <c r="C6894" s="733" t="s">
        <v>2137</v>
      </c>
      <c r="D6894" s="677" t="s">
        <v>0</v>
      </c>
      <c r="E6894" s="738">
        <f t="shared" si="214"/>
        <v>115.19</v>
      </c>
      <c r="F6894">
        <f t="shared" si="215"/>
        <v>97066</v>
      </c>
      <c r="H6894" s="1405">
        <v>112.36</v>
      </c>
      <c r="I6894" s="1405">
        <v>115.19</v>
      </c>
    </row>
    <row r="6895" spans="2:9" ht="30">
      <c r="B6895" s="1477">
        <v>97067</v>
      </c>
      <c r="C6895" s="740" t="s">
        <v>1975</v>
      </c>
      <c r="D6895" s="739" t="s">
        <v>21</v>
      </c>
      <c r="E6895" s="741">
        <f t="shared" si="214"/>
        <v>635.13</v>
      </c>
      <c r="F6895">
        <f t="shared" si="215"/>
        <v>97067</v>
      </c>
      <c r="H6895" s="1406">
        <v>608.24</v>
      </c>
      <c r="I6895" s="1406">
        <v>635.13</v>
      </c>
    </row>
    <row r="6896" spans="2:9">
      <c r="B6896" s="677">
        <v>97621</v>
      </c>
      <c r="C6896" s="733" t="s">
        <v>8332</v>
      </c>
      <c r="D6896" s="677" t="s">
        <v>19</v>
      </c>
      <c r="E6896" s="738">
        <f t="shared" si="214"/>
        <v>110.14</v>
      </c>
      <c r="F6896">
        <f t="shared" si="215"/>
        <v>97621</v>
      </c>
      <c r="H6896" s="1405">
        <v>99.28</v>
      </c>
      <c r="I6896" s="1405">
        <v>110.14</v>
      </c>
    </row>
    <row r="6897" spans="2:9">
      <c r="B6897" s="1477">
        <v>97622</v>
      </c>
      <c r="C6897" s="740" t="s">
        <v>8333</v>
      </c>
      <c r="D6897" s="739" t="s">
        <v>19</v>
      </c>
      <c r="E6897" s="741">
        <f t="shared" si="214"/>
        <v>53.68</v>
      </c>
      <c r="F6897">
        <f t="shared" si="215"/>
        <v>97622</v>
      </c>
      <c r="H6897" s="1406">
        <v>48.38</v>
      </c>
      <c r="I6897" s="1406">
        <v>53.68</v>
      </c>
    </row>
    <row r="6898" spans="2:9">
      <c r="B6898" s="677">
        <v>97623</v>
      </c>
      <c r="C6898" s="733" t="s">
        <v>8334</v>
      </c>
      <c r="D6898" s="677" t="s">
        <v>19</v>
      </c>
      <c r="E6898" s="738">
        <f t="shared" si="214"/>
        <v>164.45</v>
      </c>
      <c r="F6898">
        <f t="shared" si="215"/>
        <v>97623</v>
      </c>
      <c r="H6898" s="1405">
        <v>148.22999999999999</v>
      </c>
      <c r="I6898" s="1405">
        <v>164.45</v>
      </c>
    </row>
    <row r="6899" spans="2:9">
      <c r="B6899" s="1477">
        <v>97624</v>
      </c>
      <c r="C6899" s="740" t="s">
        <v>8335</v>
      </c>
      <c r="D6899" s="739" t="s">
        <v>19</v>
      </c>
      <c r="E6899" s="741">
        <f t="shared" si="214"/>
        <v>100.92</v>
      </c>
      <c r="F6899">
        <f t="shared" si="215"/>
        <v>97624</v>
      </c>
      <c r="H6899" s="1406">
        <v>90.98</v>
      </c>
      <c r="I6899" s="1406">
        <v>100.92</v>
      </c>
    </row>
    <row r="6900" spans="2:9">
      <c r="B6900" s="677">
        <v>97625</v>
      </c>
      <c r="C6900" s="733" t="s">
        <v>8336</v>
      </c>
      <c r="D6900" s="677" t="s">
        <v>19</v>
      </c>
      <c r="E6900" s="738">
        <f t="shared" si="214"/>
        <v>51.45</v>
      </c>
      <c r="F6900">
        <f t="shared" si="215"/>
        <v>97625</v>
      </c>
      <c r="H6900" s="1405">
        <v>50.6</v>
      </c>
      <c r="I6900" s="1405">
        <v>51.45</v>
      </c>
    </row>
    <row r="6901" spans="2:9">
      <c r="B6901" s="1477">
        <v>97626</v>
      </c>
      <c r="C6901" s="740" t="s">
        <v>8337</v>
      </c>
      <c r="D6901" s="739" t="s">
        <v>19</v>
      </c>
      <c r="E6901" s="741">
        <f t="shared" si="214"/>
        <v>539.5</v>
      </c>
      <c r="F6901">
        <f t="shared" si="215"/>
        <v>97626</v>
      </c>
      <c r="H6901" s="1406">
        <v>486.3</v>
      </c>
      <c r="I6901" s="1406">
        <v>539.5</v>
      </c>
    </row>
    <row r="6902" spans="2:9" ht="30">
      <c r="B6902" s="677">
        <v>97627</v>
      </c>
      <c r="C6902" s="733" t="s">
        <v>8338</v>
      </c>
      <c r="D6902" s="677" t="s">
        <v>19</v>
      </c>
      <c r="E6902" s="738">
        <f t="shared" si="214"/>
        <v>154.43</v>
      </c>
      <c r="F6902">
        <f t="shared" si="215"/>
        <v>97627</v>
      </c>
      <c r="H6902" s="1405">
        <v>140.11000000000001</v>
      </c>
      <c r="I6902" s="1405">
        <v>154.43</v>
      </c>
    </row>
    <row r="6903" spans="2:9">
      <c r="B6903" s="1477">
        <v>97628</v>
      </c>
      <c r="C6903" s="740" t="s">
        <v>8339</v>
      </c>
      <c r="D6903" s="739" t="s">
        <v>19</v>
      </c>
      <c r="E6903" s="741">
        <f t="shared" si="214"/>
        <v>251.26</v>
      </c>
      <c r="F6903">
        <f t="shared" si="215"/>
        <v>97628</v>
      </c>
      <c r="H6903" s="1406">
        <v>226.49</v>
      </c>
      <c r="I6903" s="1406">
        <v>251.26</v>
      </c>
    </row>
    <row r="6904" spans="2:9">
      <c r="B6904" s="677">
        <v>97629</v>
      </c>
      <c r="C6904" s="733" t="s">
        <v>8340</v>
      </c>
      <c r="D6904" s="677" t="s">
        <v>19</v>
      </c>
      <c r="E6904" s="738">
        <f t="shared" si="214"/>
        <v>71.91</v>
      </c>
      <c r="F6904">
        <f t="shared" si="215"/>
        <v>97629</v>
      </c>
      <c r="H6904" s="1405">
        <v>65.25</v>
      </c>
      <c r="I6904" s="1405">
        <v>71.91</v>
      </c>
    </row>
    <row r="6905" spans="2:9">
      <c r="B6905" s="1477">
        <v>97631</v>
      </c>
      <c r="C6905" s="740" t="s">
        <v>8341</v>
      </c>
      <c r="D6905" s="739" t="s">
        <v>0</v>
      </c>
      <c r="E6905" s="741">
        <f t="shared" si="214"/>
        <v>10.8</v>
      </c>
      <c r="F6905">
        <f t="shared" si="215"/>
        <v>97631</v>
      </c>
      <c r="H6905" s="1406">
        <v>9.74</v>
      </c>
      <c r="I6905" s="1406">
        <v>10.8</v>
      </c>
    </row>
    <row r="6906" spans="2:9">
      <c r="B6906" s="677">
        <v>97632</v>
      </c>
      <c r="C6906" s="733" t="s">
        <v>8342</v>
      </c>
      <c r="D6906" s="677" t="s">
        <v>21</v>
      </c>
      <c r="E6906" s="738">
        <f t="shared" si="214"/>
        <v>2.4700000000000002</v>
      </c>
      <c r="F6906">
        <f t="shared" si="215"/>
        <v>97632</v>
      </c>
      <c r="H6906" s="1405">
        <v>2.2200000000000002</v>
      </c>
      <c r="I6906" s="1405">
        <v>2.4700000000000002</v>
      </c>
    </row>
    <row r="6907" spans="2:9">
      <c r="B6907" s="1477">
        <v>97633</v>
      </c>
      <c r="C6907" s="740" t="s">
        <v>8343</v>
      </c>
      <c r="D6907" s="739" t="s">
        <v>0</v>
      </c>
      <c r="E6907" s="741">
        <f t="shared" si="214"/>
        <v>21.58</v>
      </c>
      <c r="F6907">
        <f t="shared" si="215"/>
        <v>97633</v>
      </c>
      <c r="H6907" s="1406">
        <v>19.440000000000001</v>
      </c>
      <c r="I6907" s="1406">
        <v>21.58</v>
      </c>
    </row>
    <row r="6908" spans="2:9">
      <c r="B6908" s="677">
        <v>97634</v>
      </c>
      <c r="C6908" s="733" t="s">
        <v>8344</v>
      </c>
      <c r="D6908" s="677" t="s">
        <v>0</v>
      </c>
      <c r="E6908" s="738">
        <f t="shared" si="214"/>
        <v>6</v>
      </c>
      <c r="F6908">
        <f t="shared" si="215"/>
        <v>97634</v>
      </c>
      <c r="H6908" s="1405">
        <v>5.42</v>
      </c>
      <c r="I6908" s="1405">
        <v>6</v>
      </c>
    </row>
    <row r="6909" spans="2:9" ht="30">
      <c r="B6909" s="1477">
        <v>97635</v>
      </c>
      <c r="C6909" s="740" t="s">
        <v>8345</v>
      </c>
      <c r="D6909" s="739" t="s">
        <v>0</v>
      </c>
      <c r="E6909" s="741">
        <f t="shared" si="214"/>
        <v>15.6</v>
      </c>
      <c r="F6909">
        <f t="shared" si="215"/>
        <v>97635</v>
      </c>
      <c r="H6909" s="1406">
        <v>14.02</v>
      </c>
      <c r="I6909" s="1406">
        <v>15.6</v>
      </c>
    </row>
    <row r="6910" spans="2:9">
      <c r="B6910" s="677">
        <v>97636</v>
      </c>
      <c r="C6910" s="733" t="s">
        <v>8346</v>
      </c>
      <c r="D6910" s="677" t="s">
        <v>0</v>
      </c>
      <c r="E6910" s="738">
        <f t="shared" si="214"/>
        <v>20.83</v>
      </c>
      <c r="F6910">
        <f t="shared" si="215"/>
        <v>97636</v>
      </c>
      <c r="H6910" s="1405">
        <v>19.86</v>
      </c>
      <c r="I6910" s="1405">
        <v>20.83</v>
      </c>
    </row>
    <row r="6911" spans="2:9">
      <c r="B6911" s="1477">
        <v>97637</v>
      </c>
      <c r="C6911" s="740" t="s">
        <v>8347</v>
      </c>
      <c r="D6911" s="739" t="s">
        <v>0</v>
      </c>
      <c r="E6911" s="741">
        <f t="shared" si="214"/>
        <v>2.68</v>
      </c>
      <c r="F6911">
        <f t="shared" si="215"/>
        <v>97637</v>
      </c>
      <c r="H6911" s="1406">
        <v>2.41</v>
      </c>
      <c r="I6911" s="1406">
        <v>2.68</v>
      </c>
    </row>
    <row r="6912" spans="2:9">
      <c r="B6912" s="677">
        <v>97638</v>
      </c>
      <c r="C6912" s="733" t="s">
        <v>8348</v>
      </c>
      <c r="D6912" s="677" t="s">
        <v>0</v>
      </c>
      <c r="E6912" s="738">
        <f t="shared" si="214"/>
        <v>7.81</v>
      </c>
      <c r="F6912">
        <f t="shared" si="215"/>
        <v>97638</v>
      </c>
      <c r="H6912" s="1405">
        <v>7.02</v>
      </c>
      <c r="I6912" s="1405">
        <v>7.81</v>
      </c>
    </row>
    <row r="6913" spans="2:9">
      <c r="B6913" s="1477">
        <v>97639</v>
      </c>
      <c r="C6913" s="740" t="s">
        <v>8349</v>
      </c>
      <c r="D6913" s="739" t="s">
        <v>0</v>
      </c>
      <c r="E6913" s="741">
        <f t="shared" si="214"/>
        <v>19.489999999999998</v>
      </c>
      <c r="F6913">
        <f t="shared" si="215"/>
        <v>97639</v>
      </c>
      <c r="H6913" s="1406">
        <v>17.55</v>
      </c>
      <c r="I6913" s="1406">
        <v>19.489999999999998</v>
      </c>
    </row>
    <row r="6914" spans="2:9">
      <c r="B6914" s="677">
        <v>97640</v>
      </c>
      <c r="C6914" s="733" t="s">
        <v>8350</v>
      </c>
      <c r="D6914" s="677" t="s">
        <v>0</v>
      </c>
      <c r="E6914" s="738">
        <f t="shared" si="214"/>
        <v>1.82</v>
      </c>
      <c r="F6914">
        <f t="shared" si="215"/>
        <v>97640</v>
      </c>
      <c r="H6914" s="1405">
        <v>1.63</v>
      </c>
      <c r="I6914" s="1405">
        <v>1.82</v>
      </c>
    </row>
    <row r="6915" spans="2:9">
      <c r="B6915" s="1477">
        <v>97641</v>
      </c>
      <c r="C6915" s="740" t="s">
        <v>8351</v>
      </c>
      <c r="D6915" s="739" t="s">
        <v>0</v>
      </c>
      <c r="E6915" s="741">
        <f t="shared" ref="E6915:E6978" si="216">IF($K$2=$H$1,H6915,I6915)</f>
        <v>2.75</v>
      </c>
      <c r="F6915">
        <f t="shared" si="215"/>
        <v>97641</v>
      </c>
      <c r="H6915" s="1406">
        <v>2.4700000000000002</v>
      </c>
      <c r="I6915" s="1406">
        <v>2.75</v>
      </c>
    </row>
    <row r="6916" spans="2:9">
      <c r="B6916" s="677">
        <v>97642</v>
      </c>
      <c r="C6916" s="733" t="s">
        <v>8352</v>
      </c>
      <c r="D6916" s="677" t="s">
        <v>0</v>
      </c>
      <c r="E6916" s="738">
        <f t="shared" si="216"/>
        <v>2.61</v>
      </c>
      <c r="F6916">
        <f t="shared" ref="F6916:F6979" si="217">IF(LEN($B6916)=7,CONCATENATE(MID($B6916,1,6),"00",RIGHT($B6916,1)),IF(LEN($B6916)=8,CONCATENATE(MID($B6916,1,6),"0",RIGHT($B6916,2)),$B6916))</f>
        <v>97642</v>
      </c>
      <c r="H6916" s="1405">
        <v>2.35</v>
      </c>
      <c r="I6916" s="1405">
        <v>2.61</v>
      </c>
    </row>
    <row r="6917" spans="2:9">
      <c r="B6917" s="1477">
        <v>97643</v>
      </c>
      <c r="C6917" s="740" t="s">
        <v>8353</v>
      </c>
      <c r="D6917" s="739" t="s">
        <v>0</v>
      </c>
      <c r="E6917" s="741">
        <f t="shared" si="216"/>
        <v>23.9</v>
      </c>
      <c r="F6917">
        <f t="shared" si="217"/>
        <v>97643</v>
      </c>
      <c r="H6917" s="1406">
        <v>21.51</v>
      </c>
      <c r="I6917" s="1406">
        <v>23.9</v>
      </c>
    </row>
    <row r="6918" spans="2:9">
      <c r="B6918" s="677">
        <v>97644</v>
      </c>
      <c r="C6918" s="733" t="s">
        <v>8354</v>
      </c>
      <c r="D6918" s="677" t="s">
        <v>0</v>
      </c>
      <c r="E6918" s="738">
        <f t="shared" si="216"/>
        <v>9.02</v>
      </c>
      <c r="F6918">
        <f t="shared" si="217"/>
        <v>97644</v>
      </c>
      <c r="H6918" s="1405">
        <v>8.1199999999999992</v>
      </c>
      <c r="I6918" s="1405">
        <v>9.02</v>
      </c>
    </row>
    <row r="6919" spans="2:9">
      <c r="B6919" s="1477">
        <v>97645</v>
      </c>
      <c r="C6919" s="740" t="s">
        <v>8355</v>
      </c>
      <c r="D6919" s="739" t="s">
        <v>0</v>
      </c>
      <c r="E6919" s="741">
        <f t="shared" si="216"/>
        <v>23.31</v>
      </c>
      <c r="F6919">
        <f t="shared" si="217"/>
        <v>97645</v>
      </c>
      <c r="H6919" s="1406">
        <v>20.99</v>
      </c>
      <c r="I6919" s="1406">
        <v>23.31</v>
      </c>
    </row>
    <row r="6920" spans="2:9">
      <c r="B6920" s="677">
        <v>97647</v>
      </c>
      <c r="C6920" s="733" t="s">
        <v>8356</v>
      </c>
      <c r="D6920" s="677" t="s">
        <v>0</v>
      </c>
      <c r="E6920" s="738">
        <f t="shared" si="216"/>
        <v>3.36</v>
      </c>
      <c r="F6920">
        <f t="shared" si="217"/>
        <v>97647</v>
      </c>
      <c r="H6920" s="1405">
        <v>3.02</v>
      </c>
      <c r="I6920" s="1405">
        <v>3.36</v>
      </c>
    </row>
    <row r="6921" spans="2:9">
      <c r="B6921" s="1477">
        <v>97648</v>
      </c>
      <c r="C6921" s="740" t="s">
        <v>8357</v>
      </c>
      <c r="D6921" s="739" t="s">
        <v>0</v>
      </c>
      <c r="E6921" s="741">
        <f t="shared" si="216"/>
        <v>1.92</v>
      </c>
      <c r="F6921">
        <f t="shared" si="217"/>
        <v>97648</v>
      </c>
      <c r="H6921" s="1406">
        <v>1.73</v>
      </c>
      <c r="I6921" s="1406">
        <v>1.92</v>
      </c>
    </row>
    <row r="6922" spans="2:9" ht="30">
      <c r="B6922" s="677">
        <v>97649</v>
      </c>
      <c r="C6922" s="733" t="s">
        <v>8358</v>
      </c>
      <c r="D6922" s="677" t="s">
        <v>0</v>
      </c>
      <c r="E6922" s="738">
        <f t="shared" si="216"/>
        <v>4.28</v>
      </c>
      <c r="F6922">
        <f t="shared" si="217"/>
        <v>97649</v>
      </c>
      <c r="H6922" s="1405">
        <v>3.91</v>
      </c>
      <c r="I6922" s="1405">
        <v>4.28</v>
      </c>
    </row>
    <row r="6923" spans="2:9">
      <c r="B6923" s="1477">
        <v>97650</v>
      </c>
      <c r="C6923" s="740" t="s">
        <v>8359</v>
      </c>
      <c r="D6923" s="739" t="s">
        <v>0</v>
      </c>
      <c r="E6923" s="741">
        <f t="shared" si="216"/>
        <v>7.24</v>
      </c>
      <c r="F6923">
        <f t="shared" si="217"/>
        <v>97650</v>
      </c>
      <c r="H6923" s="1406">
        <v>6.52</v>
      </c>
      <c r="I6923" s="1406">
        <v>7.24</v>
      </c>
    </row>
    <row r="6924" spans="2:9">
      <c r="B6924" s="677">
        <v>97651</v>
      </c>
      <c r="C6924" s="733" t="s">
        <v>8360</v>
      </c>
      <c r="D6924" s="677" t="s">
        <v>22</v>
      </c>
      <c r="E6924" s="738">
        <f t="shared" si="216"/>
        <v>78.92</v>
      </c>
      <c r="F6924">
        <f t="shared" si="217"/>
        <v>97651</v>
      </c>
      <c r="H6924" s="1405">
        <v>71.069999999999993</v>
      </c>
      <c r="I6924" s="1405">
        <v>78.92</v>
      </c>
    </row>
    <row r="6925" spans="2:9" ht="30">
      <c r="B6925" s="1477">
        <v>97652</v>
      </c>
      <c r="C6925" s="740" t="s">
        <v>8361</v>
      </c>
      <c r="D6925" s="739" t="s">
        <v>22</v>
      </c>
      <c r="E6925" s="741">
        <f t="shared" si="216"/>
        <v>178.91</v>
      </c>
      <c r="F6925">
        <f t="shared" si="217"/>
        <v>97652</v>
      </c>
      <c r="H6925" s="1406">
        <v>161.12</v>
      </c>
      <c r="I6925" s="1406">
        <v>178.91</v>
      </c>
    </row>
    <row r="6926" spans="2:9">
      <c r="B6926" s="677">
        <v>97653</v>
      </c>
      <c r="C6926" s="733" t="s">
        <v>8362</v>
      </c>
      <c r="D6926" s="677" t="s">
        <v>22</v>
      </c>
      <c r="E6926" s="738">
        <f t="shared" si="216"/>
        <v>135.75</v>
      </c>
      <c r="F6926">
        <f t="shared" si="217"/>
        <v>97653</v>
      </c>
      <c r="H6926" s="1405">
        <v>131.63999999999999</v>
      </c>
      <c r="I6926" s="1405">
        <v>135.75</v>
      </c>
    </row>
    <row r="6927" spans="2:9" ht="30">
      <c r="B6927" s="1477">
        <v>97654</v>
      </c>
      <c r="C6927" s="740" t="s">
        <v>8363</v>
      </c>
      <c r="D6927" s="739" t="s">
        <v>22</v>
      </c>
      <c r="E6927" s="741">
        <f t="shared" si="216"/>
        <v>168.48</v>
      </c>
      <c r="F6927">
        <f t="shared" si="217"/>
        <v>97654</v>
      </c>
      <c r="H6927" s="1406">
        <v>161.11000000000001</v>
      </c>
      <c r="I6927" s="1406">
        <v>168.48</v>
      </c>
    </row>
    <row r="6928" spans="2:9">
      <c r="B6928" s="677">
        <v>97655</v>
      </c>
      <c r="C6928" s="733" t="s">
        <v>8364</v>
      </c>
      <c r="D6928" s="677" t="s">
        <v>0</v>
      </c>
      <c r="E6928" s="738">
        <f t="shared" si="216"/>
        <v>41.61</v>
      </c>
      <c r="F6928">
        <f t="shared" si="217"/>
        <v>97655</v>
      </c>
      <c r="H6928" s="1405">
        <v>39.97</v>
      </c>
      <c r="I6928" s="1405">
        <v>41.61</v>
      </c>
    </row>
    <row r="6929" spans="2:9">
      <c r="B6929" s="1477">
        <v>97656</v>
      </c>
      <c r="C6929" s="740" t="s">
        <v>8365</v>
      </c>
      <c r="D6929" s="739" t="s">
        <v>22</v>
      </c>
      <c r="E6929" s="741">
        <f t="shared" si="216"/>
        <v>370.41</v>
      </c>
      <c r="F6929">
        <f t="shared" si="217"/>
        <v>97656</v>
      </c>
      <c r="H6929" s="1406">
        <v>353.24</v>
      </c>
      <c r="I6929" s="1406">
        <v>370.41</v>
      </c>
    </row>
    <row r="6930" spans="2:9">
      <c r="B6930" s="677">
        <v>97657</v>
      </c>
      <c r="C6930" s="733" t="s">
        <v>8366</v>
      </c>
      <c r="D6930" s="677" t="s">
        <v>22</v>
      </c>
      <c r="E6930" s="738">
        <f t="shared" si="216"/>
        <v>734.18</v>
      </c>
      <c r="F6930">
        <f t="shared" si="217"/>
        <v>97657</v>
      </c>
      <c r="H6930" s="1405">
        <v>700.13</v>
      </c>
      <c r="I6930" s="1405">
        <v>734.18</v>
      </c>
    </row>
    <row r="6931" spans="2:9">
      <c r="B6931" s="1477">
        <v>97658</v>
      </c>
      <c r="C6931" s="740" t="s">
        <v>8367</v>
      </c>
      <c r="D6931" s="739" t="s">
        <v>22</v>
      </c>
      <c r="E6931" s="741">
        <f t="shared" si="216"/>
        <v>223.73</v>
      </c>
      <c r="F6931">
        <f t="shared" si="217"/>
        <v>97658</v>
      </c>
      <c r="H6931" s="1406">
        <v>215.86</v>
      </c>
      <c r="I6931" s="1406">
        <v>223.73</v>
      </c>
    </row>
    <row r="6932" spans="2:9" ht="30">
      <c r="B6932" s="677">
        <v>97659</v>
      </c>
      <c r="C6932" s="733" t="s">
        <v>8368</v>
      </c>
      <c r="D6932" s="677" t="s">
        <v>22</v>
      </c>
      <c r="E6932" s="738">
        <f t="shared" si="216"/>
        <v>315.52</v>
      </c>
      <c r="F6932">
        <f t="shared" si="217"/>
        <v>97659</v>
      </c>
      <c r="H6932" s="1405">
        <v>302.52999999999997</v>
      </c>
      <c r="I6932" s="1405">
        <v>315.52</v>
      </c>
    </row>
    <row r="6933" spans="2:9">
      <c r="B6933" s="1477">
        <v>97660</v>
      </c>
      <c r="C6933" s="740" t="s">
        <v>8369</v>
      </c>
      <c r="D6933" s="739" t="s">
        <v>22</v>
      </c>
      <c r="E6933" s="741">
        <f t="shared" si="216"/>
        <v>0.63</v>
      </c>
      <c r="F6933">
        <f t="shared" si="217"/>
        <v>97660</v>
      </c>
      <c r="H6933" s="1406">
        <v>0.56999999999999995</v>
      </c>
      <c r="I6933" s="1406">
        <v>0.63</v>
      </c>
    </row>
    <row r="6934" spans="2:9">
      <c r="B6934" s="677">
        <v>97661</v>
      </c>
      <c r="C6934" s="733" t="s">
        <v>8370</v>
      </c>
      <c r="D6934" s="677" t="s">
        <v>21</v>
      </c>
      <c r="E6934" s="738">
        <f t="shared" si="216"/>
        <v>0.67</v>
      </c>
      <c r="F6934">
        <f t="shared" si="217"/>
        <v>97661</v>
      </c>
      <c r="H6934" s="1405">
        <v>0.61</v>
      </c>
      <c r="I6934" s="1405">
        <v>0.67</v>
      </c>
    </row>
    <row r="6935" spans="2:9">
      <c r="B6935" s="1477">
        <v>97662</v>
      </c>
      <c r="C6935" s="740" t="s">
        <v>8371</v>
      </c>
      <c r="D6935" s="739" t="s">
        <v>21</v>
      </c>
      <c r="E6935" s="741">
        <f t="shared" si="216"/>
        <v>0.48</v>
      </c>
      <c r="F6935">
        <f t="shared" si="217"/>
        <v>97662</v>
      </c>
      <c r="H6935" s="1406">
        <v>0.43</v>
      </c>
      <c r="I6935" s="1406">
        <v>0.48</v>
      </c>
    </row>
    <row r="6936" spans="2:9">
      <c r="B6936" s="677">
        <v>97663</v>
      </c>
      <c r="C6936" s="733" t="s">
        <v>8372</v>
      </c>
      <c r="D6936" s="677" t="s">
        <v>22</v>
      </c>
      <c r="E6936" s="738">
        <f t="shared" si="216"/>
        <v>12.01</v>
      </c>
      <c r="F6936">
        <f t="shared" si="217"/>
        <v>97663</v>
      </c>
      <c r="H6936" s="1405">
        <v>10.81</v>
      </c>
      <c r="I6936" s="1405">
        <v>12.01</v>
      </c>
    </row>
    <row r="6937" spans="2:9">
      <c r="B6937" s="1477">
        <v>97664</v>
      </c>
      <c r="C6937" s="740" t="s">
        <v>8373</v>
      </c>
      <c r="D6937" s="739" t="s">
        <v>22</v>
      </c>
      <c r="E6937" s="741">
        <f t="shared" si="216"/>
        <v>1.5</v>
      </c>
      <c r="F6937">
        <f t="shared" si="217"/>
        <v>97664</v>
      </c>
      <c r="H6937" s="1406">
        <v>1.34</v>
      </c>
      <c r="I6937" s="1406">
        <v>1.5</v>
      </c>
    </row>
    <row r="6938" spans="2:9">
      <c r="B6938" s="677">
        <v>97665</v>
      </c>
      <c r="C6938" s="733" t="s">
        <v>8374</v>
      </c>
      <c r="D6938" s="677" t="s">
        <v>22</v>
      </c>
      <c r="E6938" s="738">
        <f t="shared" si="216"/>
        <v>1.71</v>
      </c>
      <c r="F6938">
        <f t="shared" si="217"/>
        <v>97665</v>
      </c>
      <c r="H6938" s="1405">
        <v>1.54</v>
      </c>
      <c r="I6938" s="1405">
        <v>1.71</v>
      </c>
    </row>
    <row r="6939" spans="2:9">
      <c r="B6939" s="1477">
        <v>97666</v>
      </c>
      <c r="C6939" s="740" t="s">
        <v>8375</v>
      </c>
      <c r="D6939" s="739" t="s">
        <v>22</v>
      </c>
      <c r="E6939" s="741">
        <f t="shared" si="216"/>
        <v>8.75</v>
      </c>
      <c r="F6939">
        <f t="shared" si="217"/>
        <v>97666</v>
      </c>
      <c r="H6939" s="1406">
        <v>7.87</v>
      </c>
      <c r="I6939" s="1406">
        <v>8.75</v>
      </c>
    </row>
    <row r="6940" spans="2:9">
      <c r="B6940" s="677">
        <v>104789</v>
      </c>
      <c r="C6940" s="733" t="s">
        <v>8376</v>
      </c>
      <c r="D6940" s="677" t="s">
        <v>19</v>
      </c>
      <c r="E6940" s="738">
        <f t="shared" si="216"/>
        <v>188.92</v>
      </c>
      <c r="F6940">
        <f t="shared" si="217"/>
        <v>104789</v>
      </c>
      <c r="H6940" s="1405">
        <v>170.3</v>
      </c>
      <c r="I6940" s="1405">
        <v>188.92</v>
      </c>
    </row>
    <row r="6941" spans="2:9">
      <c r="B6941" s="1477">
        <v>104790</v>
      </c>
      <c r="C6941" s="740" t="s">
        <v>8377</v>
      </c>
      <c r="D6941" s="739" t="s">
        <v>19</v>
      </c>
      <c r="E6941" s="741">
        <f t="shared" si="216"/>
        <v>99.68</v>
      </c>
      <c r="F6941">
        <f t="shared" si="217"/>
        <v>104790</v>
      </c>
      <c r="H6941" s="1406">
        <v>94.67</v>
      </c>
      <c r="I6941" s="1406">
        <v>99.68</v>
      </c>
    </row>
    <row r="6942" spans="2:9">
      <c r="B6942" s="677">
        <v>104791</v>
      </c>
      <c r="C6942" s="733" t="s">
        <v>8378</v>
      </c>
      <c r="D6942" s="677" t="s">
        <v>0</v>
      </c>
      <c r="E6942" s="738">
        <f t="shared" si="216"/>
        <v>5.28</v>
      </c>
      <c r="F6942">
        <f t="shared" si="217"/>
        <v>104791</v>
      </c>
      <c r="H6942" s="1405">
        <v>4.78</v>
      </c>
      <c r="I6942" s="1405">
        <v>5.28</v>
      </c>
    </row>
    <row r="6943" spans="2:9">
      <c r="B6943" s="1477">
        <v>104792</v>
      </c>
      <c r="C6943" s="740" t="s">
        <v>8379</v>
      </c>
      <c r="D6943" s="739" t="s">
        <v>21</v>
      </c>
      <c r="E6943" s="741">
        <f t="shared" si="216"/>
        <v>0.38</v>
      </c>
      <c r="F6943">
        <f t="shared" si="217"/>
        <v>104792</v>
      </c>
      <c r="H6943" s="1406">
        <v>0.33</v>
      </c>
      <c r="I6943" s="1406">
        <v>0.38</v>
      </c>
    </row>
    <row r="6944" spans="2:9" ht="30">
      <c r="B6944" s="677">
        <v>104793</v>
      </c>
      <c r="C6944" s="733" t="s">
        <v>8380</v>
      </c>
      <c r="D6944" s="677" t="s">
        <v>21</v>
      </c>
      <c r="E6944" s="738">
        <f t="shared" si="216"/>
        <v>0.51</v>
      </c>
      <c r="F6944">
        <f t="shared" si="217"/>
        <v>104793</v>
      </c>
      <c r="H6944" s="1405">
        <v>0.46</v>
      </c>
      <c r="I6944" s="1405">
        <v>0.51</v>
      </c>
    </row>
    <row r="6945" spans="2:9">
      <c r="B6945" s="1477">
        <v>104794</v>
      </c>
      <c r="C6945" s="740" t="s">
        <v>8381</v>
      </c>
      <c r="D6945" s="739" t="s">
        <v>21</v>
      </c>
      <c r="E6945" s="741">
        <f t="shared" si="216"/>
        <v>0.92</v>
      </c>
      <c r="F6945">
        <f t="shared" si="217"/>
        <v>104794</v>
      </c>
      <c r="H6945" s="1406">
        <v>0.83</v>
      </c>
      <c r="I6945" s="1406">
        <v>0.92</v>
      </c>
    </row>
    <row r="6946" spans="2:9">
      <c r="B6946" s="677">
        <v>104795</v>
      </c>
      <c r="C6946" s="733" t="s">
        <v>8382</v>
      </c>
      <c r="D6946" s="677" t="s">
        <v>21</v>
      </c>
      <c r="E6946" s="738">
        <f t="shared" si="216"/>
        <v>1.29</v>
      </c>
      <c r="F6946">
        <f t="shared" si="217"/>
        <v>104795</v>
      </c>
      <c r="H6946" s="1405">
        <v>1.1499999999999999</v>
      </c>
      <c r="I6946" s="1405">
        <v>1.29</v>
      </c>
    </row>
    <row r="6947" spans="2:9">
      <c r="B6947" s="1477">
        <v>104796</v>
      </c>
      <c r="C6947" s="740" t="s">
        <v>8383</v>
      </c>
      <c r="D6947" s="739" t="s">
        <v>21</v>
      </c>
      <c r="E6947" s="741">
        <f t="shared" si="216"/>
        <v>12.89</v>
      </c>
      <c r="F6947">
        <f t="shared" si="217"/>
        <v>104796</v>
      </c>
      <c r="H6947" s="1406">
        <v>11.97</v>
      </c>
      <c r="I6947" s="1406">
        <v>12.89</v>
      </c>
    </row>
    <row r="6948" spans="2:9">
      <c r="B6948" s="677">
        <v>104797</v>
      </c>
      <c r="C6948" s="733" t="s">
        <v>8384</v>
      </c>
      <c r="D6948" s="677" t="s">
        <v>21</v>
      </c>
      <c r="E6948" s="738">
        <f t="shared" si="216"/>
        <v>16.13</v>
      </c>
      <c r="F6948">
        <f t="shared" si="217"/>
        <v>104797</v>
      </c>
      <c r="H6948" s="1405">
        <v>14.97</v>
      </c>
      <c r="I6948" s="1405">
        <v>16.13</v>
      </c>
    </row>
    <row r="6949" spans="2:9" ht="30">
      <c r="B6949" s="1477">
        <v>104798</v>
      </c>
      <c r="C6949" s="740" t="s">
        <v>8385</v>
      </c>
      <c r="D6949" s="739" t="s">
        <v>22</v>
      </c>
      <c r="E6949" s="741">
        <f t="shared" si="216"/>
        <v>12.84</v>
      </c>
      <c r="F6949">
        <f t="shared" si="217"/>
        <v>104798</v>
      </c>
      <c r="H6949" s="1406">
        <v>11.55</v>
      </c>
      <c r="I6949" s="1406">
        <v>12.84</v>
      </c>
    </row>
    <row r="6950" spans="2:9">
      <c r="B6950" s="677">
        <v>104799</v>
      </c>
      <c r="C6950" s="733" t="s">
        <v>8386</v>
      </c>
      <c r="D6950" s="677" t="s">
        <v>0</v>
      </c>
      <c r="E6950" s="738">
        <f t="shared" si="216"/>
        <v>10.08</v>
      </c>
      <c r="F6950">
        <f t="shared" si="217"/>
        <v>104799</v>
      </c>
      <c r="H6950" s="1405">
        <v>9.07</v>
      </c>
      <c r="I6950" s="1405">
        <v>10.08</v>
      </c>
    </row>
    <row r="6951" spans="2:9">
      <c r="B6951" s="1477">
        <v>104800</v>
      </c>
      <c r="C6951" s="740" t="s">
        <v>8387</v>
      </c>
      <c r="D6951" s="739" t="s">
        <v>21</v>
      </c>
      <c r="E6951" s="741">
        <f t="shared" si="216"/>
        <v>8.8000000000000007</v>
      </c>
      <c r="F6951">
        <f t="shared" si="217"/>
        <v>104800</v>
      </c>
      <c r="H6951" s="1406">
        <v>7.9</v>
      </c>
      <c r="I6951" s="1406">
        <v>8.8000000000000007</v>
      </c>
    </row>
    <row r="6952" spans="2:9" ht="30">
      <c r="B6952" s="677">
        <v>104801</v>
      </c>
      <c r="C6952" s="733" t="s">
        <v>8388</v>
      </c>
      <c r="D6952" s="677" t="s">
        <v>0</v>
      </c>
      <c r="E6952" s="738">
        <f t="shared" si="216"/>
        <v>13.35</v>
      </c>
      <c r="F6952">
        <f t="shared" si="217"/>
        <v>104801</v>
      </c>
      <c r="H6952" s="1405">
        <v>12.01</v>
      </c>
      <c r="I6952" s="1405">
        <v>13.35</v>
      </c>
    </row>
    <row r="6953" spans="2:9" ht="30">
      <c r="B6953" s="1477">
        <v>104802</v>
      </c>
      <c r="C6953" s="740" t="s">
        <v>8389</v>
      </c>
      <c r="D6953" s="739" t="s">
        <v>0</v>
      </c>
      <c r="E6953" s="741">
        <f t="shared" si="216"/>
        <v>8.89</v>
      </c>
      <c r="F6953">
        <f t="shared" si="217"/>
        <v>104802</v>
      </c>
      <c r="H6953" s="1406">
        <v>7.98</v>
      </c>
      <c r="I6953" s="1406">
        <v>8.89</v>
      </c>
    </row>
    <row r="6954" spans="2:9">
      <c r="B6954" s="677">
        <v>104803</v>
      </c>
      <c r="C6954" s="733" t="s">
        <v>8390</v>
      </c>
      <c r="D6954" s="677" t="s">
        <v>21</v>
      </c>
      <c r="E6954" s="738">
        <f t="shared" si="216"/>
        <v>4.32</v>
      </c>
      <c r="F6954">
        <f t="shared" si="217"/>
        <v>104803</v>
      </c>
      <c r="H6954" s="1405">
        <v>3.88</v>
      </c>
      <c r="I6954" s="1405">
        <v>4.32</v>
      </c>
    </row>
    <row r="6955" spans="2:9" ht="30">
      <c r="B6955" s="1477">
        <v>95967</v>
      </c>
      <c r="C6955" s="740" t="s">
        <v>1576</v>
      </c>
      <c r="D6955" s="739" t="s">
        <v>31</v>
      </c>
      <c r="E6955" s="741">
        <f t="shared" si="216"/>
        <v>153.1</v>
      </c>
      <c r="F6955">
        <f t="shared" si="217"/>
        <v>95967</v>
      </c>
      <c r="H6955" s="1406">
        <v>133.62</v>
      </c>
      <c r="I6955" s="1406">
        <v>153.1</v>
      </c>
    </row>
    <row r="6956" spans="2:9">
      <c r="B6956" s="677">
        <v>99058</v>
      </c>
      <c r="C6956" s="733" t="s">
        <v>2160</v>
      </c>
      <c r="D6956" s="677" t="s">
        <v>22</v>
      </c>
      <c r="E6956" s="738">
        <f t="shared" si="216"/>
        <v>7.61</v>
      </c>
      <c r="F6956">
        <f t="shared" si="217"/>
        <v>99058</v>
      </c>
      <c r="H6956" s="1405">
        <v>6.86</v>
      </c>
      <c r="I6956" s="1405">
        <v>7.61</v>
      </c>
    </row>
    <row r="6957" spans="2:9" ht="30">
      <c r="B6957" s="1477">
        <v>99059</v>
      </c>
      <c r="C6957" s="740" t="s">
        <v>2161</v>
      </c>
      <c r="D6957" s="739" t="s">
        <v>21</v>
      </c>
      <c r="E6957" s="741">
        <f t="shared" si="216"/>
        <v>55.39</v>
      </c>
      <c r="F6957">
        <f t="shared" si="217"/>
        <v>99059</v>
      </c>
      <c r="H6957" s="1406">
        <v>52.29</v>
      </c>
      <c r="I6957" s="1406">
        <v>55.39</v>
      </c>
    </row>
    <row r="6958" spans="2:9">
      <c r="B6958" s="677">
        <v>99060</v>
      </c>
      <c r="C6958" s="733" t="s">
        <v>3249</v>
      </c>
      <c r="D6958" s="677" t="s">
        <v>22</v>
      </c>
      <c r="E6958" s="738">
        <f t="shared" si="216"/>
        <v>144.16</v>
      </c>
      <c r="F6958">
        <f t="shared" si="217"/>
        <v>99060</v>
      </c>
      <c r="H6958" s="1405">
        <v>135.62</v>
      </c>
      <c r="I6958" s="1405">
        <v>144.16</v>
      </c>
    </row>
    <row r="6959" spans="2:9">
      <c r="B6959" s="1477">
        <v>99061</v>
      </c>
      <c r="C6959" s="740" t="s">
        <v>3250</v>
      </c>
      <c r="D6959" s="739" t="s">
        <v>22</v>
      </c>
      <c r="E6959" s="741">
        <f t="shared" si="216"/>
        <v>97.82</v>
      </c>
      <c r="F6959">
        <f t="shared" si="217"/>
        <v>99061</v>
      </c>
      <c r="H6959" s="1406">
        <v>91.53</v>
      </c>
      <c r="I6959" s="1406">
        <v>97.82</v>
      </c>
    </row>
    <row r="6960" spans="2:9">
      <c r="B6960" s="677">
        <v>99062</v>
      </c>
      <c r="C6960" s="733" t="s">
        <v>2162</v>
      </c>
      <c r="D6960" s="677" t="s">
        <v>22</v>
      </c>
      <c r="E6960" s="738">
        <f t="shared" si="216"/>
        <v>2.37</v>
      </c>
      <c r="F6960">
        <f t="shared" si="217"/>
        <v>99062</v>
      </c>
      <c r="H6960" s="1405">
        <v>2.13</v>
      </c>
      <c r="I6960" s="1405">
        <v>2.37</v>
      </c>
    </row>
    <row r="6961" spans="2:9">
      <c r="B6961" s="1477">
        <v>99063</v>
      </c>
      <c r="C6961" s="740" t="s">
        <v>2163</v>
      </c>
      <c r="D6961" s="739" t="s">
        <v>21</v>
      </c>
      <c r="E6961" s="741">
        <f t="shared" si="216"/>
        <v>4.8899999999999997</v>
      </c>
      <c r="F6961">
        <f t="shared" si="217"/>
        <v>99063</v>
      </c>
      <c r="H6961" s="1406">
        <v>4.57</v>
      </c>
      <c r="I6961" s="1406">
        <v>4.8899999999999997</v>
      </c>
    </row>
    <row r="6962" spans="2:9">
      <c r="B6962" s="677">
        <v>99064</v>
      </c>
      <c r="C6962" s="733" t="s">
        <v>2164</v>
      </c>
      <c r="D6962" s="677" t="s">
        <v>21</v>
      </c>
      <c r="E6962" s="738">
        <f t="shared" si="216"/>
        <v>0.38</v>
      </c>
      <c r="F6962">
        <f t="shared" si="217"/>
        <v>99064</v>
      </c>
      <c r="H6962" s="1405">
        <v>0.34</v>
      </c>
      <c r="I6962" s="1405">
        <v>0.38</v>
      </c>
    </row>
    <row r="6963" spans="2:9">
      <c r="B6963" s="1477">
        <v>93588</v>
      </c>
      <c r="C6963" s="740" t="s">
        <v>3448</v>
      </c>
      <c r="D6963" s="739" t="s">
        <v>60</v>
      </c>
      <c r="E6963" s="741">
        <f t="shared" si="216"/>
        <v>3.15</v>
      </c>
      <c r="F6963">
        <f t="shared" si="217"/>
        <v>93588</v>
      </c>
      <c r="H6963" s="1406">
        <v>3.1</v>
      </c>
      <c r="I6963" s="1406">
        <v>3.15</v>
      </c>
    </row>
    <row r="6964" spans="2:9" ht="30">
      <c r="B6964" s="677">
        <v>93589</v>
      </c>
      <c r="C6964" s="733" t="s">
        <v>3449</v>
      </c>
      <c r="D6964" s="677" t="s">
        <v>60</v>
      </c>
      <c r="E6964" s="738">
        <f t="shared" si="216"/>
        <v>2.7</v>
      </c>
      <c r="F6964">
        <f t="shared" si="217"/>
        <v>93589</v>
      </c>
      <c r="H6964" s="1405">
        <v>2.66</v>
      </c>
      <c r="I6964" s="1405">
        <v>2.7</v>
      </c>
    </row>
    <row r="6965" spans="2:9" ht="30">
      <c r="B6965" s="1477">
        <v>93590</v>
      </c>
      <c r="C6965" s="740" t="s">
        <v>3450</v>
      </c>
      <c r="D6965" s="739" t="s">
        <v>60</v>
      </c>
      <c r="E6965" s="741">
        <f t="shared" si="216"/>
        <v>0.98</v>
      </c>
      <c r="F6965">
        <f t="shared" si="217"/>
        <v>93590</v>
      </c>
      <c r="H6965" s="1406">
        <v>0.97</v>
      </c>
      <c r="I6965" s="1406">
        <v>0.98</v>
      </c>
    </row>
    <row r="6966" spans="2:9">
      <c r="B6966" s="677">
        <v>93591</v>
      </c>
      <c r="C6966" s="733" t="s">
        <v>3451</v>
      </c>
      <c r="D6966" s="677" t="s">
        <v>60</v>
      </c>
      <c r="E6966" s="738">
        <f t="shared" si="216"/>
        <v>2.73</v>
      </c>
      <c r="F6966">
        <f t="shared" si="217"/>
        <v>93591</v>
      </c>
      <c r="H6966" s="1405">
        <v>2.69</v>
      </c>
      <c r="I6966" s="1405">
        <v>2.73</v>
      </c>
    </row>
    <row r="6967" spans="2:9" ht="30">
      <c r="B6967" s="1477">
        <v>93592</v>
      </c>
      <c r="C6967" s="740" t="s">
        <v>3452</v>
      </c>
      <c r="D6967" s="739" t="s">
        <v>60</v>
      </c>
      <c r="E6967" s="741">
        <f t="shared" si="216"/>
        <v>2.36</v>
      </c>
      <c r="F6967">
        <f t="shared" si="217"/>
        <v>93592</v>
      </c>
      <c r="H6967" s="1406">
        <v>2.33</v>
      </c>
      <c r="I6967" s="1406">
        <v>2.36</v>
      </c>
    </row>
    <row r="6968" spans="2:9" ht="30">
      <c r="B6968" s="677">
        <v>93593</v>
      </c>
      <c r="C6968" s="733" t="s">
        <v>3453</v>
      </c>
      <c r="D6968" s="677" t="s">
        <v>60</v>
      </c>
      <c r="E6968" s="738">
        <f t="shared" si="216"/>
        <v>0.86</v>
      </c>
      <c r="F6968">
        <f t="shared" si="217"/>
        <v>93593</v>
      </c>
      <c r="H6968" s="1405">
        <v>0.85</v>
      </c>
      <c r="I6968" s="1405">
        <v>0.86</v>
      </c>
    </row>
    <row r="6969" spans="2:9">
      <c r="B6969" s="1477">
        <v>93594</v>
      </c>
      <c r="C6969" s="740" t="s">
        <v>3454</v>
      </c>
      <c r="D6969" s="739" t="s">
        <v>58</v>
      </c>
      <c r="E6969" s="741">
        <f t="shared" si="216"/>
        <v>2.09</v>
      </c>
      <c r="F6969">
        <f t="shared" si="217"/>
        <v>93594</v>
      </c>
      <c r="H6969" s="1406">
        <v>2.06</v>
      </c>
      <c r="I6969" s="1406">
        <v>2.09</v>
      </c>
    </row>
    <row r="6970" spans="2:9">
      <c r="B6970" s="677">
        <v>93595</v>
      </c>
      <c r="C6970" s="733" t="s">
        <v>3455</v>
      </c>
      <c r="D6970" s="677" t="s">
        <v>58</v>
      </c>
      <c r="E6970" s="738">
        <f t="shared" si="216"/>
        <v>1.82</v>
      </c>
      <c r="F6970">
        <f t="shared" si="217"/>
        <v>93595</v>
      </c>
      <c r="H6970" s="1405">
        <v>1.79</v>
      </c>
      <c r="I6970" s="1405">
        <v>1.82</v>
      </c>
    </row>
    <row r="6971" spans="2:9" ht="30">
      <c r="B6971" s="1477">
        <v>93596</v>
      </c>
      <c r="C6971" s="740" t="s">
        <v>3456</v>
      </c>
      <c r="D6971" s="739" t="s">
        <v>58</v>
      </c>
      <c r="E6971" s="741">
        <f t="shared" si="216"/>
        <v>0.66</v>
      </c>
      <c r="F6971">
        <f t="shared" si="217"/>
        <v>93596</v>
      </c>
      <c r="H6971" s="1406">
        <v>0.65</v>
      </c>
      <c r="I6971" s="1406">
        <v>0.66</v>
      </c>
    </row>
    <row r="6972" spans="2:9">
      <c r="B6972" s="677">
        <v>93597</v>
      </c>
      <c r="C6972" s="733" t="s">
        <v>3457</v>
      </c>
      <c r="D6972" s="677" t="s">
        <v>58</v>
      </c>
      <c r="E6972" s="738">
        <f t="shared" si="216"/>
        <v>1.81</v>
      </c>
      <c r="F6972">
        <f t="shared" si="217"/>
        <v>93597</v>
      </c>
      <c r="H6972" s="1405">
        <v>1.78</v>
      </c>
      <c r="I6972" s="1405">
        <v>1.81</v>
      </c>
    </row>
    <row r="6973" spans="2:9">
      <c r="B6973" s="1477">
        <v>93598</v>
      </c>
      <c r="C6973" s="740" t="s">
        <v>3458</v>
      </c>
      <c r="D6973" s="739" t="s">
        <v>58</v>
      </c>
      <c r="E6973" s="741">
        <f t="shared" si="216"/>
        <v>1.56</v>
      </c>
      <c r="F6973">
        <f t="shared" si="217"/>
        <v>93598</v>
      </c>
      <c r="H6973" s="1406">
        <v>1.55</v>
      </c>
      <c r="I6973" s="1406">
        <v>1.56</v>
      </c>
    </row>
    <row r="6974" spans="2:9" ht="30">
      <c r="B6974" s="677">
        <v>93599</v>
      </c>
      <c r="C6974" s="733" t="s">
        <v>3459</v>
      </c>
      <c r="D6974" s="677" t="s">
        <v>58</v>
      </c>
      <c r="E6974" s="738">
        <f t="shared" si="216"/>
        <v>0.57999999999999996</v>
      </c>
      <c r="F6974">
        <f t="shared" si="217"/>
        <v>93599</v>
      </c>
      <c r="H6974" s="1405">
        <v>0.56000000000000005</v>
      </c>
      <c r="I6974" s="1405">
        <v>0.57999999999999996</v>
      </c>
    </row>
    <row r="6975" spans="2:9">
      <c r="B6975" s="1477">
        <v>95425</v>
      </c>
      <c r="C6975" s="740" t="s">
        <v>3460</v>
      </c>
      <c r="D6975" s="739" t="s">
        <v>60</v>
      </c>
      <c r="E6975" s="741">
        <f t="shared" si="216"/>
        <v>2.31</v>
      </c>
      <c r="F6975">
        <f t="shared" si="217"/>
        <v>95425</v>
      </c>
      <c r="H6975" s="1406">
        <v>2.2799999999999998</v>
      </c>
      <c r="I6975" s="1406">
        <v>2.31</v>
      </c>
    </row>
    <row r="6976" spans="2:9" ht="30">
      <c r="B6976" s="677">
        <v>95426</v>
      </c>
      <c r="C6976" s="733" t="s">
        <v>3461</v>
      </c>
      <c r="D6976" s="677" t="s">
        <v>60</v>
      </c>
      <c r="E6976" s="738">
        <f t="shared" si="216"/>
        <v>2</v>
      </c>
      <c r="F6976">
        <f t="shared" si="217"/>
        <v>95426</v>
      </c>
      <c r="H6976" s="1405">
        <v>1.97</v>
      </c>
      <c r="I6976" s="1405">
        <v>2</v>
      </c>
    </row>
    <row r="6977" spans="2:9" ht="30">
      <c r="B6977" s="1477">
        <v>95427</v>
      </c>
      <c r="C6977" s="740" t="s">
        <v>3462</v>
      </c>
      <c r="D6977" s="739" t="s">
        <v>60</v>
      </c>
      <c r="E6977" s="741">
        <f t="shared" si="216"/>
        <v>0.75</v>
      </c>
      <c r="F6977">
        <f t="shared" si="217"/>
        <v>95427</v>
      </c>
      <c r="H6977" s="1406">
        <v>0.74</v>
      </c>
      <c r="I6977" s="1406">
        <v>0.75</v>
      </c>
    </row>
    <row r="6978" spans="2:9">
      <c r="B6978" s="677">
        <v>95428</v>
      </c>
      <c r="C6978" s="733" t="s">
        <v>3463</v>
      </c>
      <c r="D6978" s="677" t="s">
        <v>58</v>
      </c>
      <c r="E6978" s="738">
        <f t="shared" si="216"/>
        <v>1.55</v>
      </c>
      <c r="F6978">
        <f t="shared" si="217"/>
        <v>95428</v>
      </c>
      <c r="H6978" s="1405">
        <v>1.53</v>
      </c>
      <c r="I6978" s="1405">
        <v>1.55</v>
      </c>
    </row>
    <row r="6979" spans="2:9">
      <c r="B6979" s="1477">
        <v>95429</v>
      </c>
      <c r="C6979" s="740" t="s">
        <v>3464</v>
      </c>
      <c r="D6979" s="739" t="s">
        <v>58</v>
      </c>
      <c r="E6979" s="741">
        <f t="shared" ref="E6979:E7042" si="218">IF($K$2=$H$1,H6979,I6979)</f>
        <v>1.34</v>
      </c>
      <c r="F6979">
        <f t="shared" si="217"/>
        <v>95429</v>
      </c>
      <c r="H6979" s="1406">
        <v>1.33</v>
      </c>
      <c r="I6979" s="1406">
        <v>1.34</v>
      </c>
    </row>
    <row r="6980" spans="2:9" ht="30">
      <c r="B6980" s="677">
        <v>95430</v>
      </c>
      <c r="C6980" s="733" t="s">
        <v>3465</v>
      </c>
      <c r="D6980" s="677" t="s">
        <v>58</v>
      </c>
      <c r="E6980" s="738">
        <f t="shared" si="218"/>
        <v>0.47</v>
      </c>
      <c r="F6980">
        <f t="shared" ref="F6980:F7043" si="219">IF(LEN($B6980)=7,CONCATENATE(MID($B6980,1,6),"00",RIGHT($B6980,1)),IF(LEN($B6980)=8,CONCATENATE(MID($B6980,1,6),"0",RIGHT($B6980,2)),$B6980))</f>
        <v>95430</v>
      </c>
      <c r="H6980" s="1405">
        <v>0.46</v>
      </c>
      <c r="I6980" s="1405">
        <v>0.47</v>
      </c>
    </row>
    <row r="6981" spans="2:9" ht="30">
      <c r="B6981" s="1477">
        <v>95875</v>
      </c>
      <c r="C6981" s="740" t="s">
        <v>3466</v>
      </c>
      <c r="D6981" s="739" t="s">
        <v>60</v>
      </c>
      <c r="E6981" s="741">
        <f t="shared" si="218"/>
        <v>2.4900000000000002</v>
      </c>
      <c r="F6981">
        <f t="shared" si="219"/>
        <v>95875</v>
      </c>
      <c r="H6981" s="1406">
        <v>2.4500000000000002</v>
      </c>
      <c r="I6981" s="1406">
        <v>2.4900000000000002</v>
      </c>
    </row>
    <row r="6982" spans="2:9" ht="30">
      <c r="B6982" s="677">
        <v>95876</v>
      </c>
      <c r="C6982" s="733" t="s">
        <v>3467</v>
      </c>
      <c r="D6982" s="677" t="s">
        <v>60</v>
      </c>
      <c r="E6982" s="738">
        <f t="shared" si="218"/>
        <v>2.13</v>
      </c>
      <c r="F6982">
        <f t="shared" si="219"/>
        <v>95876</v>
      </c>
      <c r="H6982" s="1405">
        <v>2.11</v>
      </c>
      <c r="I6982" s="1405">
        <v>2.13</v>
      </c>
    </row>
    <row r="6983" spans="2:9" ht="30">
      <c r="B6983" s="1477">
        <v>95877</v>
      </c>
      <c r="C6983" s="740" t="s">
        <v>3468</v>
      </c>
      <c r="D6983" s="739" t="s">
        <v>60</v>
      </c>
      <c r="E6983" s="741">
        <f t="shared" si="218"/>
        <v>1.84</v>
      </c>
      <c r="F6983">
        <f t="shared" si="219"/>
        <v>95877</v>
      </c>
      <c r="H6983" s="1406">
        <v>1.81</v>
      </c>
      <c r="I6983" s="1406">
        <v>1.84</v>
      </c>
    </row>
    <row r="6984" spans="2:9" ht="30">
      <c r="B6984" s="677">
        <v>95878</v>
      </c>
      <c r="C6984" s="733" t="s">
        <v>3469</v>
      </c>
      <c r="D6984" s="677" t="s">
        <v>58</v>
      </c>
      <c r="E6984" s="738">
        <f t="shared" si="218"/>
        <v>1.68</v>
      </c>
      <c r="F6984">
        <f t="shared" si="219"/>
        <v>95878</v>
      </c>
      <c r="H6984" s="1405">
        <v>1.65</v>
      </c>
      <c r="I6984" s="1405">
        <v>1.68</v>
      </c>
    </row>
    <row r="6985" spans="2:9" ht="30">
      <c r="B6985" s="1477">
        <v>95879</v>
      </c>
      <c r="C6985" s="740" t="s">
        <v>3470</v>
      </c>
      <c r="D6985" s="739" t="s">
        <v>58</v>
      </c>
      <c r="E6985" s="741">
        <f t="shared" si="218"/>
        <v>1.44</v>
      </c>
      <c r="F6985">
        <f t="shared" si="219"/>
        <v>95879</v>
      </c>
      <c r="H6985" s="1406">
        <v>1.43</v>
      </c>
      <c r="I6985" s="1406">
        <v>1.44</v>
      </c>
    </row>
    <row r="6986" spans="2:9" ht="30">
      <c r="B6986" s="677">
        <v>95880</v>
      </c>
      <c r="C6986" s="733" t="s">
        <v>3471</v>
      </c>
      <c r="D6986" s="677" t="s">
        <v>58</v>
      </c>
      <c r="E6986" s="738">
        <f t="shared" si="218"/>
        <v>1.22</v>
      </c>
      <c r="F6986">
        <f t="shared" si="219"/>
        <v>95880</v>
      </c>
      <c r="H6986" s="1405">
        <v>1.21</v>
      </c>
      <c r="I6986" s="1405">
        <v>1.22</v>
      </c>
    </row>
    <row r="6987" spans="2:9">
      <c r="B6987" s="1477">
        <v>97912</v>
      </c>
      <c r="C6987" s="740" t="s">
        <v>3472</v>
      </c>
      <c r="D6987" s="739" t="s">
        <v>60</v>
      </c>
      <c r="E6987" s="741">
        <f t="shared" si="218"/>
        <v>3.78</v>
      </c>
      <c r="F6987">
        <f t="shared" si="219"/>
        <v>97912</v>
      </c>
      <c r="H6987" s="1406">
        <v>3.7</v>
      </c>
      <c r="I6987" s="1406">
        <v>3.78</v>
      </c>
    </row>
    <row r="6988" spans="2:9" ht="30">
      <c r="B6988" s="677">
        <v>97913</v>
      </c>
      <c r="C6988" s="733" t="s">
        <v>3473</v>
      </c>
      <c r="D6988" s="677" t="s">
        <v>60</v>
      </c>
      <c r="E6988" s="738">
        <f t="shared" si="218"/>
        <v>3.29</v>
      </c>
      <c r="F6988">
        <f t="shared" si="219"/>
        <v>97913</v>
      </c>
      <c r="H6988" s="1405">
        <v>3.2</v>
      </c>
      <c r="I6988" s="1405">
        <v>3.29</v>
      </c>
    </row>
    <row r="6989" spans="2:9" ht="30">
      <c r="B6989" s="1477">
        <v>97914</v>
      </c>
      <c r="C6989" s="740" t="s">
        <v>3474</v>
      </c>
      <c r="D6989" s="739" t="s">
        <v>60</v>
      </c>
      <c r="E6989" s="741">
        <f t="shared" si="218"/>
        <v>3</v>
      </c>
      <c r="F6989">
        <f t="shared" si="219"/>
        <v>97914</v>
      </c>
      <c r="H6989" s="1406">
        <v>2.93</v>
      </c>
      <c r="I6989" s="1406">
        <v>3</v>
      </c>
    </row>
    <row r="6990" spans="2:9" ht="30">
      <c r="B6990" s="677">
        <v>97915</v>
      </c>
      <c r="C6990" s="733" t="s">
        <v>3475</v>
      </c>
      <c r="D6990" s="677" t="s">
        <v>60</v>
      </c>
      <c r="E6990" s="738">
        <f t="shared" si="218"/>
        <v>1.2</v>
      </c>
      <c r="F6990">
        <f t="shared" si="219"/>
        <v>97915</v>
      </c>
      <c r="H6990" s="1405">
        <v>1.18</v>
      </c>
      <c r="I6990" s="1405">
        <v>1.2</v>
      </c>
    </row>
    <row r="6991" spans="2:9">
      <c r="B6991" s="1477">
        <v>100937</v>
      </c>
      <c r="C6991" s="740" t="s">
        <v>3476</v>
      </c>
      <c r="D6991" s="739" t="s">
        <v>60</v>
      </c>
      <c r="E6991" s="741">
        <f t="shared" si="218"/>
        <v>9.02</v>
      </c>
      <c r="F6991">
        <f t="shared" si="219"/>
        <v>100937</v>
      </c>
      <c r="H6991" s="1406">
        <v>8.82</v>
      </c>
      <c r="I6991" s="1406">
        <v>9.02</v>
      </c>
    </row>
    <row r="6992" spans="2:9">
      <c r="B6992" s="677">
        <v>100938</v>
      </c>
      <c r="C6992" s="733" t="s">
        <v>3477</v>
      </c>
      <c r="D6992" s="677" t="s">
        <v>60</v>
      </c>
      <c r="E6992" s="738">
        <f t="shared" si="218"/>
        <v>7.51</v>
      </c>
      <c r="F6992">
        <f t="shared" si="219"/>
        <v>100938</v>
      </c>
      <c r="H6992" s="1405">
        <v>7.38</v>
      </c>
      <c r="I6992" s="1405">
        <v>7.51</v>
      </c>
    </row>
    <row r="6993" spans="2:9">
      <c r="B6993" s="1477">
        <v>100939</v>
      </c>
      <c r="C6993" s="740" t="s">
        <v>3478</v>
      </c>
      <c r="D6993" s="739" t="s">
        <v>60</v>
      </c>
      <c r="E6993" s="741">
        <f t="shared" si="218"/>
        <v>6.52</v>
      </c>
      <c r="F6993">
        <f t="shared" si="219"/>
        <v>100939</v>
      </c>
      <c r="H6993" s="1406">
        <v>6.44</v>
      </c>
      <c r="I6993" s="1406">
        <v>6.52</v>
      </c>
    </row>
    <row r="6994" spans="2:9">
      <c r="B6994" s="677">
        <v>100940</v>
      </c>
      <c r="C6994" s="733" t="s">
        <v>3479</v>
      </c>
      <c r="D6994" s="677" t="s">
        <v>60</v>
      </c>
      <c r="E6994" s="738">
        <f t="shared" si="218"/>
        <v>5.55</v>
      </c>
      <c r="F6994">
        <f t="shared" si="219"/>
        <v>100940</v>
      </c>
      <c r="H6994" s="1405">
        <v>5.48</v>
      </c>
      <c r="I6994" s="1405">
        <v>5.55</v>
      </c>
    </row>
    <row r="6995" spans="2:9">
      <c r="B6995" s="1477">
        <v>100941</v>
      </c>
      <c r="C6995" s="740" t="s">
        <v>3480</v>
      </c>
      <c r="D6995" s="739" t="s">
        <v>58</v>
      </c>
      <c r="E6995" s="741">
        <f t="shared" si="218"/>
        <v>6.01</v>
      </c>
      <c r="F6995">
        <f t="shared" si="219"/>
        <v>100941</v>
      </c>
      <c r="H6995" s="1406">
        <v>5.87</v>
      </c>
      <c r="I6995" s="1406">
        <v>6.01</v>
      </c>
    </row>
    <row r="6996" spans="2:9">
      <c r="B6996" s="677">
        <v>100942</v>
      </c>
      <c r="C6996" s="733" t="s">
        <v>3481</v>
      </c>
      <c r="D6996" s="677" t="s">
        <v>58</v>
      </c>
      <c r="E6996" s="738">
        <f t="shared" si="218"/>
        <v>5.01</v>
      </c>
      <c r="F6996">
        <f t="shared" si="219"/>
        <v>100942</v>
      </c>
      <c r="H6996" s="1405">
        <v>4.93</v>
      </c>
      <c r="I6996" s="1405">
        <v>5.01</v>
      </c>
    </row>
    <row r="6997" spans="2:9">
      <c r="B6997" s="1477">
        <v>100943</v>
      </c>
      <c r="C6997" s="740" t="s">
        <v>3482</v>
      </c>
      <c r="D6997" s="739" t="s">
        <v>58</v>
      </c>
      <c r="E6997" s="741">
        <f t="shared" si="218"/>
        <v>4.33</v>
      </c>
      <c r="F6997">
        <f t="shared" si="219"/>
        <v>100943</v>
      </c>
      <c r="H6997" s="1406">
        <v>4.28</v>
      </c>
      <c r="I6997" s="1406">
        <v>4.33</v>
      </c>
    </row>
    <row r="6998" spans="2:9">
      <c r="B6998" s="677">
        <v>100944</v>
      </c>
      <c r="C6998" s="733" t="s">
        <v>3483</v>
      </c>
      <c r="D6998" s="677" t="s">
        <v>58</v>
      </c>
      <c r="E6998" s="738">
        <f t="shared" si="218"/>
        <v>3.71</v>
      </c>
      <c r="F6998">
        <f t="shared" si="219"/>
        <v>100944</v>
      </c>
      <c r="H6998" s="1405">
        <v>3.67</v>
      </c>
      <c r="I6998" s="1405">
        <v>3.71</v>
      </c>
    </row>
    <row r="6999" spans="2:9">
      <c r="B6999" s="1477">
        <v>100945</v>
      </c>
      <c r="C6999" s="740" t="s">
        <v>3484</v>
      </c>
      <c r="D6999" s="739" t="s">
        <v>58</v>
      </c>
      <c r="E6999" s="741">
        <f t="shared" si="218"/>
        <v>2.84</v>
      </c>
      <c r="F6999">
        <f t="shared" si="219"/>
        <v>100945</v>
      </c>
      <c r="H6999" s="1406">
        <v>2.78</v>
      </c>
      <c r="I6999" s="1406">
        <v>2.84</v>
      </c>
    </row>
    <row r="7000" spans="2:9">
      <c r="B7000" s="677">
        <v>100946</v>
      </c>
      <c r="C7000" s="733" t="s">
        <v>3485</v>
      </c>
      <c r="D7000" s="677" t="s">
        <v>58</v>
      </c>
      <c r="E7000" s="738">
        <f t="shared" si="218"/>
        <v>2.4500000000000002</v>
      </c>
      <c r="F7000">
        <f t="shared" si="219"/>
        <v>100946</v>
      </c>
      <c r="H7000" s="1405">
        <v>2.4</v>
      </c>
      <c r="I7000" s="1405">
        <v>2.4500000000000002</v>
      </c>
    </row>
    <row r="7001" spans="2:9">
      <c r="B7001" s="1477">
        <v>100947</v>
      </c>
      <c r="C7001" s="740" t="s">
        <v>3486</v>
      </c>
      <c r="D7001" s="739" t="s">
        <v>58</v>
      </c>
      <c r="E7001" s="741">
        <f t="shared" si="218"/>
        <v>2.2599999999999998</v>
      </c>
      <c r="F7001">
        <f t="shared" si="219"/>
        <v>100947</v>
      </c>
      <c r="H7001" s="1406">
        <v>2.21</v>
      </c>
      <c r="I7001" s="1406">
        <v>2.2599999999999998</v>
      </c>
    </row>
    <row r="7002" spans="2:9" ht="30">
      <c r="B7002" s="677">
        <v>100948</v>
      </c>
      <c r="C7002" s="733" t="s">
        <v>3487</v>
      </c>
      <c r="D7002" s="677" t="s">
        <v>58</v>
      </c>
      <c r="E7002" s="738">
        <f t="shared" si="218"/>
        <v>0.9</v>
      </c>
      <c r="F7002">
        <f t="shared" si="219"/>
        <v>100948</v>
      </c>
      <c r="H7002" s="1405">
        <v>0.87</v>
      </c>
      <c r="I7002" s="1405">
        <v>0.9</v>
      </c>
    </row>
    <row r="7003" spans="2:9">
      <c r="B7003" s="1477">
        <v>100949</v>
      </c>
      <c r="C7003" s="740" t="s">
        <v>3488</v>
      </c>
      <c r="D7003" s="739" t="s">
        <v>58</v>
      </c>
      <c r="E7003" s="741">
        <f t="shared" si="218"/>
        <v>6.77</v>
      </c>
      <c r="F7003">
        <f t="shared" si="219"/>
        <v>100949</v>
      </c>
      <c r="H7003" s="1406">
        <v>6.64</v>
      </c>
      <c r="I7003" s="1406">
        <v>6.77</v>
      </c>
    </row>
    <row r="7004" spans="2:9" ht="30">
      <c r="B7004" s="677">
        <v>100950</v>
      </c>
      <c r="C7004" s="733" t="s">
        <v>3489</v>
      </c>
      <c r="D7004" s="677" t="s">
        <v>58</v>
      </c>
      <c r="E7004" s="738">
        <f t="shared" si="218"/>
        <v>3.61</v>
      </c>
      <c r="F7004">
        <f t="shared" si="219"/>
        <v>100950</v>
      </c>
      <c r="H7004" s="1405">
        <v>3.55</v>
      </c>
      <c r="I7004" s="1405">
        <v>3.61</v>
      </c>
    </row>
    <row r="7005" spans="2:9" ht="30">
      <c r="B7005" s="1477">
        <v>100951</v>
      </c>
      <c r="C7005" s="740" t="s">
        <v>3490</v>
      </c>
      <c r="D7005" s="739" t="s">
        <v>58</v>
      </c>
      <c r="E7005" s="741">
        <f t="shared" si="218"/>
        <v>3.12</v>
      </c>
      <c r="F7005">
        <f t="shared" si="219"/>
        <v>100951</v>
      </c>
      <c r="H7005" s="1406">
        <v>3.06</v>
      </c>
      <c r="I7005" s="1406">
        <v>3.12</v>
      </c>
    </row>
    <row r="7006" spans="2:9" ht="30">
      <c r="B7006" s="677">
        <v>100952</v>
      </c>
      <c r="C7006" s="733" t="s">
        <v>3491</v>
      </c>
      <c r="D7006" s="677" t="s">
        <v>58</v>
      </c>
      <c r="E7006" s="738">
        <f t="shared" si="218"/>
        <v>2.87</v>
      </c>
      <c r="F7006">
        <f t="shared" si="219"/>
        <v>100952</v>
      </c>
      <c r="H7006" s="1405">
        <v>2.82</v>
      </c>
      <c r="I7006" s="1405">
        <v>2.87</v>
      </c>
    </row>
    <row r="7007" spans="2:9" ht="30">
      <c r="B7007" s="1477">
        <v>100953</v>
      </c>
      <c r="C7007" s="740" t="s">
        <v>3492</v>
      </c>
      <c r="D7007" s="739" t="s">
        <v>58</v>
      </c>
      <c r="E7007" s="741">
        <f t="shared" si="218"/>
        <v>1.1399999999999999</v>
      </c>
      <c r="F7007">
        <f t="shared" si="219"/>
        <v>100953</v>
      </c>
      <c r="H7007" s="1406">
        <v>1.1200000000000001</v>
      </c>
      <c r="I7007" s="1406">
        <v>1.1399999999999999</v>
      </c>
    </row>
    <row r="7008" spans="2:9" ht="30">
      <c r="B7008" s="677">
        <v>100954</v>
      </c>
      <c r="C7008" s="733" t="s">
        <v>3493</v>
      </c>
      <c r="D7008" s="677" t="s">
        <v>58</v>
      </c>
      <c r="E7008" s="738">
        <f t="shared" si="218"/>
        <v>8.6</v>
      </c>
      <c r="F7008">
        <f t="shared" si="219"/>
        <v>100954</v>
      </c>
      <c r="H7008" s="1405">
        <v>8.44</v>
      </c>
      <c r="I7008" s="1405">
        <v>8.6</v>
      </c>
    </row>
    <row r="7009" spans="2:9">
      <c r="B7009" s="1477">
        <v>100955</v>
      </c>
      <c r="C7009" s="740" t="s">
        <v>3494</v>
      </c>
      <c r="D7009" s="739" t="s">
        <v>60</v>
      </c>
      <c r="E7009" s="741">
        <f t="shared" si="218"/>
        <v>4.93</v>
      </c>
      <c r="F7009">
        <f t="shared" si="219"/>
        <v>100955</v>
      </c>
      <c r="H7009" s="1406">
        <v>4.8499999999999996</v>
      </c>
      <c r="I7009" s="1406">
        <v>4.93</v>
      </c>
    </row>
    <row r="7010" spans="2:9">
      <c r="B7010" s="677">
        <v>100956</v>
      </c>
      <c r="C7010" s="733" t="s">
        <v>3495</v>
      </c>
      <c r="D7010" s="677" t="s">
        <v>60</v>
      </c>
      <c r="E7010" s="738">
        <f t="shared" si="218"/>
        <v>4.28</v>
      </c>
      <c r="F7010">
        <f t="shared" si="219"/>
        <v>100956</v>
      </c>
      <c r="H7010" s="1405">
        <v>4.21</v>
      </c>
      <c r="I7010" s="1405">
        <v>4.28</v>
      </c>
    </row>
    <row r="7011" spans="2:9">
      <c r="B7011" s="1477">
        <v>100957</v>
      </c>
      <c r="C7011" s="740" t="s">
        <v>3496</v>
      </c>
      <c r="D7011" s="739" t="s">
        <v>60</v>
      </c>
      <c r="E7011" s="741">
        <f t="shared" si="218"/>
        <v>3.92</v>
      </c>
      <c r="F7011">
        <f t="shared" si="219"/>
        <v>100957</v>
      </c>
      <c r="H7011" s="1406">
        <v>3.85</v>
      </c>
      <c r="I7011" s="1406">
        <v>3.92</v>
      </c>
    </row>
    <row r="7012" spans="2:9" ht="30">
      <c r="B7012" s="677">
        <v>100958</v>
      </c>
      <c r="C7012" s="733" t="s">
        <v>3497</v>
      </c>
      <c r="D7012" s="677" t="s">
        <v>60</v>
      </c>
      <c r="E7012" s="738">
        <f t="shared" si="218"/>
        <v>1.57</v>
      </c>
      <c r="F7012">
        <f t="shared" si="219"/>
        <v>100958</v>
      </c>
      <c r="H7012" s="1405">
        <v>1.55</v>
      </c>
      <c r="I7012" s="1405">
        <v>1.57</v>
      </c>
    </row>
    <row r="7013" spans="2:9">
      <c r="B7013" s="1477">
        <v>100959</v>
      </c>
      <c r="C7013" s="740" t="s">
        <v>3498</v>
      </c>
      <c r="D7013" s="739" t="s">
        <v>60</v>
      </c>
      <c r="E7013" s="741">
        <f t="shared" si="218"/>
        <v>11.76</v>
      </c>
      <c r="F7013">
        <f t="shared" si="219"/>
        <v>100959</v>
      </c>
      <c r="H7013" s="1406">
        <v>11.56</v>
      </c>
      <c r="I7013" s="1406">
        <v>11.76</v>
      </c>
    </row>
    <row r="7014" spans="2:9">
      <c r="B7014" s="677">
        <v>100960</v>
      </c>
      <c r="C7014" s="733" t="s">
        <v>3499</v>
      </c>
      <c r="D7014" s="677" t="s">
        <v>60</v>
      </c>
      <c r="E7014" s="738">
        <f t="shared" si="218"/>
        <v>3.65</v>
      </c>
      <c r="F7014">
        <f t="shared" si="219"/>
        <v>100960</v>
      </c>
      <c r="H7014" s="1405">
        <v>3.61</v>
      </c>
      <c r="I7014" s="1405">
        <v>3.65</v>
      </c>
    </row>
    <row r="7015" spans="2:9">
      <c r="B7015" s="1477">
        <v>100961</v>
      </c>
      <c r="C7015" s="740" t="s">
        <v>3500</v>
      </c>
      <c r="D7015" s="739" t="s">
        <v>60</v>
      </c>
      <c r="E7015" s="741">
        <f t="shared" si="218"/>
        <v>3.17</v>
      </c>
      <c r="F7015">
        <f t="shared" si="219"/>
        <v>100961</v>
      </c>
      <c r="H7015" s="1406">
        <v>3.13</v>
      </c>
      <c r="I7015" s="1406">
        <v>3.17</v>
      </c>
    </row>
    <row r="7016" spans="2:9">
      <c r="B7016" s="677">
        <v>100962</v>
      </c>
      <c r="C7016" s="733" t="s">
        <v>3501</v>
      </c>
      <c r="D7016" s="677" t="s">
        <v>60</v>
      </c>
      <c r="E7016" s="738">
        <f t="shared" si="218"/>
        <v>2.9</v>
      </c>
      <c r="F7016">
        <f t="shared" si="219"/>
        <v>100962</v>
      </c>
      <c r="H7016" s="1405">
        <v>2.85</v>
      </c>
      <c r="I7016" s="1405">
        <v>2.9</v>
      </c>
    </row>
    <row r="7017" spans="2:9" ht="30">
      <c r="B7017" s="1477">
        <v>100963</v>
      </c>
      <c r="C7017" s="740" t="s">
        <v>3502</v>
      </c>
      <c r="D7017" s="739" t="s">
        <v>60</v>
      </c>
      <c r="E7017" s="741">
        <f t="shared" si="218"/>
        <v>1.1399999999999999</v>
      </c>
      <c r="F7017">
        <f t="shared" si="219"/>
        <v>100963</v>
      </c>
      <c r="H7017" s="1406">
        <v>1.1299999999999999</v>
      </c>
      <c r="I7017" s="1406">
        <v>1.1399999999999999</v>
      </c>
    </row>
    <row r="7018" spans="2:9">
      <c r="B7018" s="677">
        <v>100964</v>
      </c>
      <c r="C7018" s="733" t="s">
        <v>3503</v>
      </c>
      <c r="D7018" s="677" t="s">
        <v>60</v>
      </c>
      <c r="E7018" s="738">
        <f t="shared" si="218"/>
        <v>8.7899999999999991</v>
      </c>
      <c r="F7018">
        <f t="shared" si="219"/>
        <v>100964</v>
      </c>
      <c r="H7018" s="1405">
        <v>8.66</v>
      </c>
      <c r="I7018" s="1405">
        <v>8.7899999999999991</v>
      </c>
    </row>
    <row r="7019" spans="2:9" ht="30">
      <c r="B7019" s="1477">
        <v>100973</v>
      </c>
      <c r="C7019" s="740" t="s">
        <v>3504</v>
      </c>
      <c r="D7019" s="739" t="s">
        <v>19</v>
      </c>
      <c r="E7019" s="741">
        <f t="shared" si="218"/>
        <v>8.81</v>
      </c>
      <c r="F7019">
        <f t="shared" si="219"/>
        <v>100973</v>
      </c>
      <c r="H7019" s="1406">
        <v>8.6</v>
      </c>
      <c r="I7019" s="1406">
        <v>8.81</v>
      </c>
    </row>
    <row r="7020" spans="2:9" ht="30">
      <c r="B7020" s="677">
        <v>100974</v>
      </c>
      <c r="C7020" s="733" t="s">
        <v>3505</v>
      </c>
      <c r="D7020" s="677" t="s">
        <v>19</v>
      </c>
      <c r="E7020" s="738">
        <f t="shared" si="218"/>
        <v>8.5</v>
      </c>
      <c r="F7020">
        <f t="shared" si="219"/>
        <v>100974</v>
      </c>
      <c r="H7020" s="1405">
        <v>8.33</v>
      </c>
      <c r="I7020" s="1405">
        <v>8.5</v>
      </c>
    </row>
    <row r="7021" spans="2:9" ht="30">
      <c r="B7021" s="1477">
        <v>100975</v>
      </c>
      <c r="C7021" s="740" t="s">
        <v>3506</v>
      </c>
      <c r="D7021" s="739" t="s">
        <v>19</v>
      </c>
      <c r="E7021" s="741">
        <f t="shared" si="218"/>
        <v>8.49</v>
      </c>
      <c r="F7021">
        <f t="shared" si="219"/>
        <v>100975</v>
      </c>
      <c r="H7021" s="1406">
        <v>8.35</v>
      </c>
      <c r="I7021" s="1406">
        <v>8.49</v>
      </c>
    </row>
    <row r="7022" spans="2:9" ht="30">
      <c r="B7022" s="677">
        <v>100965</v>
      </c>
      <c r="C7022" s="733" t="s">
        <v>3507</v>
      </c>
      <c r="D7022" s="677" t="s">
        <v>58</v>
      </c>
      <c r="E7022" s="738">
        <f t="shared" si="218"/>
        <v>1.77</v>
      </c>
      <c r="F7022">
        <f t="shared" si="219"/>
        <v>100965</v>
      </c>
      <c r="H7022" s="1405">
        <v>1.76</v>
      </c>
      <c r="I7022" s="1405">
        <v>1.77</v>
      </c>
    </row>
    <row r="7023" spans="2:9" ht="30">
      <c r="B7023" s="1477">
        <v>100966</v>
      </c>
      <c r="C7023" s="740" t="s">
        <v>3508</v>
      </c>
      <c r="D7023" s="739" t="s">
        <v>58</v>
      </c>
      <c r="E7023" s="741">
        <f t="shared" si="218"/>
        <v>1.52</v>
      </c>
      <c r="F7023">
        <f t="shared" si="219"/>
        <v>100966</v>
      </c>
      <c r="H7023" s="1406">
        <v>1.51</v>
      </c>
      <c r="I7023" s="1406">
        <v>1.52</v>
      </c>
    </row>
    <row r="7024" spans="2:9" ht="30">
      <c r="B7024" s="677">
        <v>100969</v>
      </c>
      <c r="C7024" s="733" t="s">
        <v>3511</v>
      </c>
      <c r="D7024" s="677" t="s">
        <v>58</v>
      </c>
      <c r="E7024" s="738">
        <f t="shared" si="218"/>
        <v>2.33</v>
      </c>
      <c r="F7024">
        <f t="shared" si="219"/>
        <v>100969</v>
      </c>
      <c r="H7024" s="1405">
        <v>2.2999999999999998</v>
      </c>
      <c r="I7024" s="1405">
        <v>2.33</v>
      </c>
    </row>
    <row r="7025" spans="2:9" ht="30">
      <c r="B7025" s="1477">
        <v>100970</v>
      </c>
      <c r="C7025" s="740" t="s">
        <v>3512</v>
      </c>
      <c r="D7025" s="739" t="s">
        <v>58</v>
      </c>
      <c r="E7025" s="741">
        <f t="shared" si="218"/>
        <v>1.97</v>
      </c>
      <c r="F7025">
        <f t="shared" si="219"/>
        <v>100970</v>
      </c>
      <c r="H7025" s="1406">
        <v>1.95</v>
      </c>
      <c r="I7025" s="1406">
        <v>1.97</v>
      </c>
    </row>
    <row r="7026" spans="2:9" ht="30">
      <c r="B7026" s="677">
        <v>102330</v>
      </c>
      <c r="C7026" s="733" t="s">
        <v>3509</v>
      </c>
      <c r="D7026" s="677" t="s">
        <v>58</v>
      </c>
      <c r="E7026" s="738">
        <f t="shared" si="218"/>
        <v>1.42</v>
      </c>
      <c r="F7026">
        <f t="shared" si="219"/>
        <v>102330</v>
      </c>
      <c r="H7026" s="1405">
        <v>1.41</v>
      </c>
      <c r="I7026" s="1405">
        <v>1.42</v>
      </c>
    </row>
    <row r="7027" spans="2:9" ht="30">
      <c r="B7027" s="1477">
        <v>102331</v>
      </c>
      <c r="C7027" s="740" t="s">
        <v>3510</v>
      </c>
      <c r="D7027" s="739" t="s">
        <v>58</v>
      </c>
      <c r="E7027" s="741">
        <f t="shared" si="218"/>
        <v>0.55000000000000004</v>
      </c>
      <c r="F7027">
        <f t="shared" si="219"/>
        <v>102331</v>
      </c>
      <c r="H7027" s="1406">
        <v>0.55000000000000004</v>
      </c>
      <c r="I7027" s="1406">
        <v>0.55000000000000004</v>
      </c>
    </row>
    <row r="7028" spans="2:9" ht="30">
      <c r="B7028" s="677">
        <v>102332</v>
      </c>
      <c r="C7028" s="733" t="s">
        <v>3513</v>
      </c>
      <c r="D7028" s="677" t="s">
        <v>58</v>
      </c>
      <c r="E7028" s="738">
        <f t="shared" si="218"/>
        <v>1.84</v>
      </c>
      <c r="F7028">
        <f t="shared" si="219"/>
        <v>102332</v>
      </c>
      <c r="H7028" s="1405">
        <v>1.83</v>
      </c>
      <c r="I7028" s="1405">
        <v>1.84</v>
      </c>
    </row>
    <row r="7029" spans="2:9" ht="30">
      <c r="B7029" s="1477">
        <v>102333</v>
      </c>
      <c r="C7029" s="740" t="s">
        <v>3514</v>
      </c>
      <c r="D7029" s="739" t="s">
        <v>58</v>
      </c>
      <c r="E7029" s="741">
        <f t="shared" si="218"/>
        <v>0.74</v>
      </c>
      <c r="F7029">
        <f t="shared" si="219"/>
        <v>102333</v>
      </c>
      <c r="H7029" s="1406">
        <v>0.73</v>
      </c>
      <c r="I7029" s="1406">
        <v>0.74</v>
      </c>
    </row>
    <row r="7030" spans="2:9" ht="30">
      <c r="B7030" s="677">
        <v>101019</v>
      </c>
      <c r="C7030" s="733" t="s">
        <v>3515</v>
      </c>
      <c r="D7030" s="677" t="s">
        <v>59</v>
      </c>
      <c r="E7030" s="738">
        <f t="shared" si="218"/>
        <v>567.91999999999996</v>
      </c>
      <c r="F7030">
        <f t="shared" si="219"/>
        <v>101019</v>
      </c>
      <c r="H7030" s="1405">
        <v>545.07000000000005</v>
      </c>
      <c r="I7030" s="1405">
        <v>567.91999999999996</v>
      </c>
    </row>
    <row r="7031" spans="2:9">
      <c r="B7031" s="1477">
        <v>101479</v>
      </c>
      <c r="C7031" s="740" t="s">
        <v>3516</v>
      </c>
      <c r="D7031" s="739" t="s">
        <v>59</v>
      </c>
      <c r="E7031" s="741">
        <f t="shared" si="218"/>
        <v>165.46</v>
      </c>
      <c r="F7031">
        <f t="shared" si="219"/>
        <v>101479</v>
      </c>
      <c r="H7031" s="1406">
        <v>158.81</v>
      </c>
      <c r="I7031" s="1406">
        <v>165.46</v>
      </c>
    </row>
    <row r="7032" spans="2:9">
      <c r="B7032" s="677">
        <v>102568</v>
      </c>
      <c r="C7032" s="733" t="s">
        <v>4772</v>
      </c>
      <c r="D7032" s="677" t="s">
        <v>59</v>
      </c>
      <c r="E7032" s="738">
        <f t="shared" si="218"/>
        <v>281.88</v>
      </c>
      <c r="F7032">
        <f t="shared" si="219"/>
        <v>102568</v>
      </c>
      <c r="H7032" s="1405">
        <v>270.52999999999997</v>
      </c>
      <c r="I7032" s="1405">
        <v>281.88</v>
      </c>
    </row>
    <row r="7033" spans="2:9" ht="30">
      <c r="B7033" s="1477">
        <v>100976</v>
      </c>
      <c r="C7033" s="740" t="s">
        <v>3517</v>
      </c>
      <c r="D7033" s="739" t="s">
        <v>19</v>
      </c>
      <c r="E7033" s="741">
        <f t="shared" si="218"/>
        <v>8.32</v>
      </c>
      <c r="F7033">
        <f t="shared" si="219"/>
        <v>100976</v>
      </c>
      <c r="H7033" s="1406">
        <v>8.1999999999999993</v>
      </c>
      <c r="I7033" s="1406">
        <v>8.32</v>
      </c>
    </row>
    <row r="7034" spans="2:9" ht="30">
      <c r="B7034" s="677">
        <v>100977</v>
      </c>
      <c r="C7034" s="733" t="s">
        <v>3518</v>
      </c>
      <c r="D7034" s="677" t="s">
        <v>19</v>
      </c>
      <c r="E7034" s="738">
        <f t="shared" si="218"/>
        <v>7.63</v>
      </c>
      <c r="F7034">
        <f t="shared" si="219"/>
        <v>100977</v>
      </c>
      <c r="H7034" s="1405">
        <v>7.45</v>
      </c>
      <c r="I7034" s="1405">
        <v>7.63</v>
      </c>
    </row>
    <row r="7035" spans="2:9" ht="30">
      <c r="B7035" s="1477">
        <v>100978</v>
      </c>
      <c r="C7035" s="740" t="s">
        <v>3519</v>
      </c>
      <c r="D7035" s="739" t="s">
        <v>19</v>
      </c>
      <c r="E7035" s="741">
        <f t="shared" si="218"/>
        <v>6.9</v>
      </c>
      <c r="F7035">
        <f t="shared" si="219"/>
        <v>100978</v>
      </c>
      <c r="H7035" s="1406">
        <v>6.75</v>
      </c>
      <c r="I7035" s="1406">
        <v>6.9</v>
      </c>
    </row>
    <row r="7036" spans="2:9" ht="30">
      <c r="B7036" s="677">
        <v>100979</v>
      </c>
      <c r="C7036" s="733" t="s">
        <v>3520</v>
      </c>
      <c r="D7036" s="677" t="s">
        <v>19</v>
      </c>
      <c r="E7036" s="738">
        <f t="shared" si="218"/>
        <v>6.56</v>
      </c>
      <c r="F7036">
        <f t="shared" si="219"/>
        <v>100979</v>
      </c>
      <c r="H7036" s="1405">
        <v>6.45</v>
      </c>
      <c r="I7036" s="1405">
        <v>6.56</v>
      </c>
    </row>
    <row r="7037" spans="2:9" ht="30">
      <c r="B7037" s="1477">
        <v>100980</v>
      </c>
      <c r="C7037" s="740" t="s">
        <v>3521</v>
      </c>
      <c r="D7037" s="739" t="s">
        <v>19</v>
      </c>
      <c r="E7037" s="741">
        <f t="shared" si="218"/>
        <v>6.2</v>
      </c>
      <c r="F7037">
        <f t="shared" si="219"/>
        <v>100980</v>
      </c>
      <c r="H7037" s="1406">
        <v>6.11</v>
      </c>
      <c r="I7037" s="1406">
        <v>6.2</v>
      </c>
    </row>
    <row r="7038" spans="2:9" ht="30">
      <c r="B7038" s="677">
        <v>100981</v>
      </c>
      <c r="C7038" s="733" t="s">
        <v>3522</v>
      </c>
      <c r="D7038" s="677" t="s">
        <v>19</v>
      </c>
      <c r="E7038" s="738">
        <f t="shared" si="218"/>
        <v>9.2799999999999994</v>
      </c>
      <c r="F7038">
        <f t="shared" si="219"/>
        <v>100981</v>
      </c>
      <c r="H7038" s="1405">
        <v>9.06</v>
      </c>
      <c r="I7038" s="1405">
        <v>9.2799999999999994</v>
      </c>
    </row>
    <row r="7039" spans="2:9" ht="30">
      <c r="B7039" s="1477">
        <v>100982</v>
      </c>
      <c r="C7039" s="740" t="s">
        <v>3523</v>
      </c>
      <c r="D7039" s="739" t="s">
        <v>19</v>
      </c>
      <c r="E7039" s="741">
        <f t="shared" si="218"/>
        <v>8.89</v>
      </c>
      <c r="F7039">
        <f t="shared" si="219"/>
        <v>100982</v>
      </c>
      <c r="H7039" s="1406">
        <v>8.7200000000000006</v>
      </c>
      <c r="I7039" s="1406">
        <v>8.89</v>
      </c>
    </row>
    <row r="7040" spans="2:9" ht="30">
      <c r="B7040" s="677">
        <v>100983</v>
      </c>
      <c r="C7040" s="733" t="s">
        <v>3524</v>
      </c>
      <c r="D7040" s="677" t="s">
        <v>19</v>
      </c>
      <c r="E7040" s="738">
        <f t="shared" si="218"/>
        <v>8.85</v>
      </c>
      <c r="F7040">
        <f t="shared" si="219"/>
        <v>100983</v>
      </c>
      <c r="H7040" s="1405">
        <v>8.7100000000000009</v>
      </c>
      <c r="I7040" s="1405">
        <v>8.85</v>
      </c>
    </row>
    <row r="7041" spans="2:9" ht="30">
      <c r="B7041" s="1477">
        <v>100984</v>
      </c>
      <c r="C7041" s="740" t="s">
        <v>3525</v>
      </c>
      <c r="D7041" s="739" t="s">
        <v>19</v>
      </c>
      <c r="E7041" s="741">
        <f t="shared" si="218"/>
        <v>8.66</v>
      </c>
      <c r="F7041">
        <f t="shared" si="219"/>
        <v>100984</v>
      </c>
      <c r="H7041" s="1406">
        <v>8.5399999999999991</v>
      </c>
      <c r="I7041" s="1406">
        <v>8.66</v>
      </c>
    </row>
    <row r="7042" spans="2:9">
      <c r="B7042" s="677">
        <v>100985</v>
      </c>
      <c r="C7042" s="733" t="s">
        <v>3526</v>
      </c>
      <c r="D7042" s="677" t="s">
        <v>19</v>
      </c>
      <c r="E7042" s="738">
        <f t="shared" si="218"/>
        <v>7.62</v>
      </c>
      <c r="F7042">
        <f t="shared" si="219"/>
        <v>100985</v>
      </c>
      <c r="H7042" s="1405">
        <v>7.43</v>
      </c>
      <c r="I7042" s="1405">
        <v>7.62</v>
      </c>
    </row>
    <row r="7043" spans="2:9">
      <c r="B7043" s="1477">
        <v>100986</v>
      </c>
      <c r="C7043" s="740" t="s">
        <v>3527</v>
      </c>
      <c r="D7043" s="739" t="s">
        <v>19</v>
      </c>
      <c r="E7043" s="741">
        <f t="shared" ref="E7043:E7106" si="220">IF($K$2=$H$1,H7043,I7043)</f>
        <v>9.1199999999999992</v>
      </c>
      <c r="F7043">
        <f t="shared" si="219"/>
        <v>100986</v>
      </c>
      <c r="H7043" s="1406">
        <v>8.9499999999999993</v>
      </c>
      <c r="I7043" s="1406">
        <v>9.1199999999999992</v>
      </c>
    </row>
    <row r="7044" spans="2:9">
      <c r="B7044" s="677">
        <v>100987</v>
      </c>
      <c r="C7044" s="733" t="s">
        <v>3528</v>
      </c>
      <c r="D7044" s="677" t="s">
        <v>19</v>
      </c>
      <c r="E7044" s="738">
        <f t="shared" si="220"/>
        <v>10.36</v>
      </c>
      <c r="F7044">
        <f t="shared" ref="F7044:F7107" si="221">IF(LEN($B7044)=7,CONCATENATE(MID($B7044,1,6),"00",RIGHT($B7044,1)),IF(LEN($B7044)=8,CONCATENATE(MID($B7044,1,6),"0",RIGHT($B7044,2)),$B7044))</f>
        <v>100987</v>
      </c>
      <c r="H7044" s="1405">
        <v>10.199999999999999</v>
      </c>
      <c r="I7044" s="1405">
        <v>10.36</v>
      </c>
    </row>
    <row r="7045" spans="2:9">
      <c r="B7045" s="1477">
        <v>100988</v>
      </c>
      <c r="C7045" s="740" t="s">
        <v>3529</v>
      </c>
      <c r="D7045" s="739" t="s">
        <v>19</v>
      </c>
      <c r="E7045" s="741">
        <f t="shared" si="220"/>
        <v>10.94</v>
      </c>
      <c r="F7045">
        <f t="shared" si="221"/>
        <v>100988</v>
      </c>
      <c r="H7045" s="1406">
        <v>10.8</v>
      </c>
      <c r="I7045" s="1406">
        <v>10.94</v>
      </c>
    </row>
    <row r="7046" spans="2:9" ht="30">
      <c r="B7046" s="677">
        <v>100989</v>
      </c>
      <c r="C7046" s="733" t="s">
        <v>3530</v>
      </c>
      <c r="D7046" s="677" t="s">
        <v>59</v>
      </c>
      <c r="E7046" s="738">
        <f t="shared" si="220"/>
        <v>5.87</v>
      </c>
      <c r="F7046">
        <f t="shared" si="221"/>
        <v>100989</v>
      </c>
      <c r="H7046" s="1405">
        <v>5.73</v>
      </c>
      <c r="I7046" s="1405">
        <v>5.87</v>
      </c>
    </row>
    <row r="7047" spans="2:9" ht="30">
      <c r="B7047" s="1477">
        <v>100990</v>
      </c>
      <c r="C7047" s="740" t="s">
        <v>3531</v>
      </c>
      <c r="D7047" s="739" t="s">
        <v>59</v>
      </c>
      <c r="E7047" s="741">
        <f t="shared" si="220"/>
        <v>5.67</v>
      </c>
      <c r="F7047">
        <f t="shared" si="221"/>
        <v>100990</v>
      </c>
      <c r="H7047" s="1406">
        <v>5.57</v>
      </c>
      <c r="I7047" s="1406">
        <v>5.67</v>
      </c>
    </row>
    <row r="7048" spans="2:9" ht="30">
      <c r="B7048" s="677">
        <v>100991</v>
      </c>
      <c r="C7048" s="733" t="s">
        <v>3532</v>
      </c>
      <c r="D7048" s="677" t="s">
        <v>59</v>
      </c>
      <c r="E7048" s="738">
        <f t="shared" si="220"/>
        <v>5.7</v>
      </c>
      <c r="F7048">
        <f t="shared" si="221"/>
        <v>100991</v>
      </c>
      <c r="H7048" s="1405">
        <v>5.6</v>
      </c>
      <c r="I7048" s="1405">
        <v>5.7</v>
      </c>
    </row>
    <row r="7049" spans="2:9" ht="30">
      <c r="B7049" s="1477">
        <v>100992</v>
      </c>
      <c r="C7049" s="740" t="s">
        <v>3533</v>
      </c>
      <c r="D7049" s="739" t="s">
        <v>59</v>
      </c>
      <c r="E7049" s="741">
        <f t="shared" si="220"/>
        <v>5.55</v>
      </c>
      <c r="F7049">
        <f t="shared" si="221"/>
        <v>100992</v>
      </c>
      <c r="H7049" s="1406">
        <v>5.47</v>
      </c>
      <c r="I7049" s="1406">
        <v>5.55</v>
      </c>
    </row>
    <row r="7050" spans="2:9" ht="30">
      <c r="B7050" s="677">
        <v>100993</v>
      </c>
      <c r="C7050" s="733" t="s">
        <v>3534</v>
      </c>
      <c r="D7050" s="677" t="s">
        <v>59</v>
      </c>
      <c r="E7050" s="738">
        <f t="shared" si="220"/>
        <v>5.08</v>
      </c>
      <c r="F7050">
        <f t="shared" si="221"/>
        <v>100993</v>
      </c>
      <c r="H7050" s="1405">
        <v>4.95</v>
      </c>
      <c r="I7050" s="1405">
        <v>5.08</v>
      </c>
    </row>
    <row r="7051" spans="2:9" ht="30">
      <c r="B7051" s="1477">
        <v>100994</v>
      </c>
      <c r="C7051" s="740" t="s">
        <v>3535</v>
      </c>
      <c r="D7051" s="739" t="s">
        <v>59</v>
      </c>
      <c r="E7051" s="741">
        <f t="shared" si="220"/>
        <v>4.57</v>
      </c>
      <c r="F7051">
        <f t="shared" si="221"/>
        <v>100994</v>
      </c>
      <c r="H7051" s="1406">
        <v>4.47</v>
      </c>
      <c r="I7051" s="1406">
        <v>4.57</v>
      </c>
    </row>
    <row r="7052" spans="2:9" ht="30">
      <c r="B7052" s="677">
        <v>100995</v>
      </c>
      <c r="C7052" s="733" t="s">
        <v>3536</v>
      </c>
      <c r="D7052" s="677" t="s">
        <v>59</v>
      </c>
      <c r="E7052" s="738">
        <f t="shared" si="220"/>
        <v>4.37</v>
      </c>
      <c r="F7052">
        <f t="shared" si="221"/>
        <v>100995</v>
      </c>
      <c r="H7052" s="1405">
        <v>4.3099999999999996</v>
      </c>
      <c r="I7052" s="1405">
        <v>4.37</v>
      </c>
    </row>
    <row r="7053" spans="2:9" ht="30">
      <c r="B7053" s="1477">
        <v>100996</v>
      </c>
      <c r="C7053" s="740" t="s">
        <v>3537</v>
      </c>
      <c r="D7053" s="739" t="s">
        <v>59</v>
      </c>
      <c r="E7053" s="741">
        <f t="shared" si="220"/>
        <v>4.12</v>
      </c>
      <c r="F7053">
        <f t="shared" si="221"/>
        <v>100996</v>
      </c>
      <c r="H7053" s="1406">
        <v>4.05</v>
      </c>
      <c r="I7053" s="1406">
        <v>4.12</v>
      </c>
    </row>
    <row r="7054" spans="2:9" ht="30">
      <c r="B7054" s="677">
        <v>100997</v>
      </c>
      <c r="C7054" s="733" t="s">
        <v>3538</v>
      </c>
      <c r="D7054" s="677" t="s">
        <v>59</v>
      </c>
      <c r="E7054" s="738">
        <f t="shared" si="220"/>
        <v>6.19</v>
      </c>
      <c r="F7054">
        <f t="shared" si="221"/>
        <v>100997</v>
      </c>
      <c r="H7054" s="1405">
        <v>6.04</v>
      </c>
      <c r="I7054" s="1405">
        <v>6.19</v>
      </c>
    </row>
    <row r="7055" spans="2:9" ht="30">
      <c r="B7055" s="1477">
        <v>100998</v>
      </c>
      <c r="C7055" s="740" t="s">
        <v>3539</v>
      </c>
      <c r="D7055" s="739" t="s">
        <v>59</v>
      </c>
      <c r="E7055" s="741">
        <f t="shared" si="220"/>
        <v>5.93</v>
      </c>
      <c r="F7055">
        <f t="shared" si="221"/>
        <v>100998</v>
      </c>
      <c r="H7055" s="1406">
        <v>5.82</v>
      </c>
      <c r="I7055" s="1406">
        <v>5.93</v>
      </c>
    </row>
    <row r="7056" spans="2:9" ht="30">
      <c r="B7056" s="677">
        <v>100999</v>
      </c>
      <c r="C7056" s="733" t="s">
        <v>3540</v>
      </c>
      <c r="D7056" s="677" t="s">
        <v>59</v>
      </c>
      <c r="E7056" s="738">
        <f t="shared" si="220"/>
        <v>5.93</v>
      </c>
      <c r="F7056">
        <f t="shared" si="221"/>
        <v>100999</v>
      </c>
      <c r="H7056" s="1405">
        <v>5.84</v>
      </c>
      <c r="I7056" s="1405">
        <v>5.93</v>
      </c>
    </row>
    <row r="7057" spans="2:9" ht="30">
      <c r="B7057" s="1477">
        <v>101000</v>
      </c>
      <c r="C7057" s="740" t="s">
        <v>3541</v>
      </c>
      <c r="D7057" s="739" t="s">
        <v>59</v>
      </c>
      <c r="E7057" s="741">
        <f t="shared" si="220"/>
        <v>5.78</v>
      </c>
      <c r="F7057">
        <f t="shared" si="221"/>
        <v>101000</v>
      </c>
      <c r="H7057" s="1406">
        <v>5.69</v>
      </c>
      <c r="I7057" s="1406">
        <v>5.78</v>
      </c>
    </row>
    <row r="7058" spans="2:9">
      <c r="B7058" s="677">
        <v>101001</v>
      </c>
      <c r="C7058" s="733" t="s">
        <v>3542</v>
      </c>
      <c r="D7058" s="677" t="s">
        <v>59</v>
      </c>
      <c r="E7058" s="738">
        <f t="shared" si="220"/>
        <v>5.08</v>
      </c>
      <c r="F7058">
        <f t="shared" si="221"/>
        <v>101001</v>
      </c>
      <c r="H7058" s="1405">
        <v>4.95</v>
      </c>
      <c r="I7058" s="1405">
        <v>5.08</v>
      </c>
    </row>
    <row r="7059" spans="2:9">
      <c r="B7059" s="1477">
        <v>101002</v>
      </c>
      <c r="C7059" s="740" t="s">
        <v>3543</v>
      </c>
      <c r="D7059" s="739" t="s">
        <v>59</v>
      </c>
      <c r="E7059" s="741">
        <f t="shared" si="220"/>
        <v>6.06</v>
      </c>
      <c r="F7059">
        <f t="shared" si="221"/>
        <v>101002</v>
      </c>
      <c r="H7059" s="1406">
        <v>5.96</v>
      </c>
      <c r="I7059" s="1406">
        <v>6.06</v>
      </c>
    </row>
    <row r="7060" spans="2:9">
      <c r="B7060" s="677">
        <v>101003</v>
      </c>
      <c r="C7060" s="733" t="s">
        <v>3544</v>
      </c>
      <c r="D7060" s="677" t="s">
        <v>59</v>
      </c>
      <c r="E7060" s="738">
        <f t="shared" si="220"/>
        <v>6.89</v>
      </c>
      <c r="F7060">
        <f t="shared" si="221"/>
        <v>101003</v>
      </c>
      <c r="H7060" s="1405">
        <v>6.79</v>
      </c>
      <c r="I7060" s="1405">
        <v>6.89</v>
      </c>
    </row>
    <row r="7061" spans="2:9">
      <c r="B7061" s="1477">
        <v>101004</v>
      </c>
      <c r="C7061" s="740" t="s">
        <v>3545</v>
      </c>
      <c r="D7061" s="739" t="s">
        <v>59</v>
      </c>
      <c r="E7061" s="741">
        <f t="shared" si="220"/>
        <v>7.29</v>
      </c>
      <c r="F7061">
        <f t="shared" si="221"/>
        <v>101004</v>
      </c>
      <c r="H7061" s="1406">
        <v>7.2</v>
      </c>
      <c r="I7061" s="1406">
        <v>7.29</v>
      </c>
    </row>
    <row r="7062" spans="2:9">
      <c r="B7062" s="677">
        <v>101005</v>
      </c>
      <c r="C7062" s="733" t="s">
        <v>3546</v>
      </c>
      <c r="D7062" s="677" t="s">
        <v>19</v>
      </c>
      <c r="E7062" s="738">
        <f t="shared" si="220"/>
        <v>18.77</v>
      </c>
      <c r="F7062">
        <f t="shared" si="221"/>
        <v>101005</v>
      </c>
      <c r="H7062" s="1405">
        <v>18.440000000000001</v>
      </c>
      <c r="I7062" s="1405">
        <v>18.77</v>
      </c>
    </row>
    <row r="7063" spans="2:9">
      <c r="B7063" s="1477">
        <v>101006</v>
      </c>
      <c r="C7063" s="740" t="s">
        <v>3547</v>
      </c>
      <c r="D7063" s="739" t="s">
        <v>19</v>
      </c>
      <c r="E7063" s="741">
        <f t="shared" si="220"/>
        <v>20.85</v>
      </c>
      <c r="F7063">
        <f t="shared" si="221"/>
        <v>101006</v>
      </c>
      <c r="H7063" s="1406">
        <v>20.57</v>
      </c>
      <c r="I7063" s="1406">
        <v>20.85</v>
      </c>
    </row>
    <row r="7064" spans="2:9">
      <c r="B7064" s="677">
        <v>101007</v>
      </c>
      <c r="C7064" s="733" t="s">
        <v>3548</v>
      </c>
      <c r="D7064" s="677" t="s">
        <v>19</v>
      </c>
      <c r="E7064" s="738">
        <f t="shared" si="220"/>
        <v>5.44</v>
      </c>
      <c r="F7064">
        <f t="shared" si="221"/>
        <v>101007</v>
      </c>
      <c r="H7064" s="1405">
        <v>5.35</v>
      </c>
      <c r="I7064" s="1405">
        <v>5.44</v>
      </c>
    </row>
    <row r="7065" spans="2:9">
      <c r="B7065" s="1477">
        <v>101008</v>
      </c>
      <c r="C7065" s="740" t="s">
        <v>3549</v>
      </c>
      <c r="D7065" s="739" t="s">
        <v>19</v>
      </c>
      <c r="E7065" s="741">
        <f t="shared" si="220"/>
        <v>5.52</v>
      </c>
      <c r="F7065">
        <f t="shared" si="221"/>
        <v>101008</v>
      </c>
      <c r="H7065" s="1406">
        <v>5.43</v>
      </c>
      <c r="I7065" s="1406">
        <v>5.52</v>
      </c>
    </row>
    <row r="7066" spans="2:9" ht="30">
      <c r="B7066" s="677">
        <v>101009</v>
      </c>
      <c r="C7066" s="733" t="s">
        <v>3550</v>
      </c>
      <c r="D7066" s="677" t="s">
        <v>59</v>
      </c>
      <c r="E7066" s="738">
        <f t="shared" si="220"/>
        <v>43.54</v>
      </c>
      <c r="F7066">
        <f t="shared" si="221"/>
        <v>101009</v>
      </c>
      <c r="H7066" s="1405">
        <v>42.77</v>
      </c>
      <c r="I7066" s="1405">
        <v>43.54</v>
      </c>
    </row>
    <row r="7067" spans="2:9">
      <c r="B7067" s="1477">
        <v>101010</v>
      </c>
      <c r="C7067" s="740" t="s">
        <v>3551</v>
      </c>
      <c r="D7067" s="739" t="s">
        <v>59</v>
      </c>
      <c r="E7067" s="741">
        <f t="shared" si="220"/>
        <v>27.42</v>
      </c>
      <c r="F7067">
        <f t="shared" si="221"/>
        <v>101010</v>
      </c>
      <c r="H7067" s="1406">
        <v>26.93</v>
      </c>
      <c r="I7067" s="1406">
        <v>27.42</v>
      </c>
    </row>
    <row r="7068" spans="2:9" ht="30">
      <c r="B7068" s="677">
        <v>101013</v>
      </c>
      <c r="C7068" s="733" t="s">
        <v>3552</v>
      </c>
      <c r="D7068" s="677" t="s">
        <v>59</v>
      </c>
      <c r="E7068" s="738">
        <f t="shared" si="220"/>
        <v>45.17</v>
      </c>
      <c r="F7068">
        <f t="shared" si="221"/>
        <v>101013</v>
      </c>
      <c r="H7068" s="1405">
        <v>43.8</v>
      </c>
      <c r="I7068" s="1405">
        <v>45.17</v>
      </c>
    </row>
    <row r="7069" spans="2:9" ht="30">
      <c r="B7069" s="1477">
        <v>101014</v>
      </c>
      <c r="C7069" s="740" t="s">
        <v>3553</v>
      </c>
      <c r="D7069" s="739" t="s">
        <v>59</v>
      </c>
      <c r="E7069" s="741">
        <f t="shared" si="220"/>
        <v>41.38</v>
      </c>
      <c r="F7069">
        <f t="shared" si="221"/>
        <v>101014</v>
      </c>
      <c r="H7069" s="1406">
        <v>40.130000000000003</v>
      </c>
      <c r="I7069" s="1406">
        <v>41.38</v>
      </c>
    </row>
    <row r="7070" spans="2:9" ht="30">
      <c r="B7070" s="677">
        <v>101015</v>
      </c>
      <c r="C7070" s="733" t="s">
        <v>3554</v>
      </c>
      <c r="D7070" s="677" t="s">
        <v>59</v>
      </c>
      <c r="E7070" s="738">
        <f t="shared" si="220"/>
        <v>34</v>
      </c>
      <c r="F7070">
        <f t="shared" si="221"/>
        <v>101015</v>
      </c>
      <c r="H7070" s="1405">
        <v>32.96</v>
      </c>
      <c r="I7070" s="1405">
        <v>34</v>
      </c>
    </row>
    <row r="7071" spans="2:9" ht="30">
      <c r="B7071" s="1477">
        <v>101016</v>
      </c>
      <c r="C7071" s="740" t="s">
        <v>3555</v>
      </c>
      <c r="D7071" s="739" t="s">
        <v>59</v>
      </c>
      <c r="E7071" s="741">
        <f t="shared" si="220"/>
        <v>39.35</v>
      </c>
      <c r="F7071">
        <f t="shared" si="221"/>
        <v>101016</v>
      </c>
      <c r="H7071" s="1406">
        <v>38.159999999999997</v>
      </c>
      <c r="I7071" s="1406">
        <v>39.35</v>
      </c>
    </row>
    <row r="7072" spans="2:9" ht="30">
      <c r="B7072" s="677">
        <v>101017</v>
      </c>
      <c r="C7072" s="733" t="s">
        <v>3556</v>
      </c>
      <c r="D7072" s="677" t="s">
        <v>59</v>
      </c>
      <c r="E7072" s="738">
        <f t="shared" si="220"/>
        <v>29.84</v>
      </c>
      <c r="F7072">
        <f t="shared" si="221"/>
        <v>101017</v>
      </c>
      <c r="H7072" s="1405">
        <v>28.93</v>
      </c>
      <c r="I7072" s="1405">
        <v>29.84</v>
      </c>
    </row>
    <row r="7073" spans="2:9" ht="30">
      <c r="B7073" s="1477">
        <v>101018</v>
      </c>
      <c r="C7073" s="740" t="s">
        <v>3557</v>
      </c>
      <c r="D7073" s="739" t="s">
        <v>59</v>
      </c>
      <c r="E7073" s="741">
        <f t="shared" si="220"/>
        <v>24.51</v>
      </c>
      <c r="F7073">
        <f t="shared" si="221"/>
        <v>101018</v>
      </c>
      <c r="H7073" s="1406">
        <v>23.76</v>
      </c>
      <c r="I7073" s="1406">
        <v>24.51</v>
      </c>
    </row>
    <row r="7074" spans="2:9" ht="30">
      <c r="B7074" s="677">
        <v>101463</v>
      </c>
      <c r="C7074" s="733" t="s">
        <v>3558</v>
      </c>
      <c r="D7074" s="677" t="s">
        <v>59</v>
      </c>
      <c r="E7074" s="738">
        <f t="shared" si="220"/>
        <v>45.31</v>
      </c>
      <c r="F7074">
        <f t="shared" si="221"/>
        <v>101463</v>
      </c>
      <c r="H7074" s="1405">
        <v>43.93</v>
      </c>
      <c r="I7074" s="1405">
        <v>45.31</v>
      </c>
    </row>
    <row r="7075" spans="2:9" ht="30">
      <c r="B7075" s="1477">
        <v>101464</v>
      </c>
      <c r="C7075" s="740" t="s">
        <v>3559</v>
      </c>
      <c r="D7075" s="739" t="s">
        <v>59</v>
      </c>
      <c r="E7075" s="741">
        <f t="shared" si="220"/>
        <v>34.79</v>
      </c>
      <c r="F7075">
        <f t="shared" si="221"/>
        <v>101464</v>
      </c>
      <c r="H7075" s="1406">
        <v>33.75</v>
      </c>
      <c r="I7075" s="1406">
        <v>34.79</v>
      </c>
    </row>
    <row r="7076" spans="2:9" ht="30">
      <c r="B7076" s="677">
        <v>101465</v>
      </c>
      <c r="C7076" s="733" t="s">
        <v>3560</v>
      </c>
      <c r="D7076" s="677" t="s">
        <v>59</v>
      </c>
      <c r="E7076" s="738">
        <f t="shared" si="220"/>
        <v>26.6</v>
      </c>
      <c r="F7076">
        <f t="shared" si="221"/>
        <v>101465</v>
      </c>
      <c r="H7076" s="1405">
        <v>25.79</v>
      </c>
      <c r="I7076" s="1405">
        <v>26.6</v>
      </c>
    </row>
    <row r="7077" spans="2:9" ht="30">
      <c r="B7077" s="1477">
        <v>101466</v>
      </c>
      <c r="C7077" s="740" t="s">
        <v>3561</v>
      </c>
      <c r="D7077" s="739" t="s">
        <v>59</v>
      </c>
      <c r="E7077" s="741">
        <f t="shared" si="220"/>
        <v>21.63</v>
      </c>
      <c r="F7077">
        <f t="shared" si="221"/>
        <v>101466</v>
      </c>
      <c r="H7077" s="1406">
        <v>20.99</v>
      </c>
      <c r="I7077" s="1406">
        <v>21.63</v>
      </c>
    </row>
    <row r="7078" spans="2:9" ht="30">
      <c r="B7078" s="677">
        <v>101467</v>
      </c>
      <c r="C7078" s="733" t="s">
        <v>3562</v>
      </c>
      <c r="D7078" s="677" t="s">
        <v>59</v>
      </c>
      <c r="E7078" s="738">
        <f t="shared" si="220"/>
        <v>18.11</v>
      </c>
      <c r="F7078">
        <f t="shared" si="221"/>
        <v>101467</v>
      </c>
      <c r="H7078" s="1405">
        <v>17.559999999999999</v>
      </c>
      <c r="I7078" s="1405">
        <v>18.11</v>
      </c>
    </row>
    <row r="7079" spans="2:9" ht="30">
      <c r="B7079" s="1477">
        <v>101468</v>
      </c>
      <c r="C7079" s="740" t="s">
        <v>3563</v>
      </c>
      <c r="D7079" s="739" t="s">
        <v>59</v>
      </c>
      <c r="E7079" s="741">
        <f t="shared" si="220"/>
        <v>16.55</v>
      </c>
      <c r="F7079">
        <f t="shared" si="221"/>
        <v>101468</v>
      </c>
      <c r="H7079" s="1406">
        <v>16.059999999999999</v>
      </c>
      <c r="I7079" s="1406">
        <v>16.55</v>
      </c>
    </row>
    <row r="7080" spans="2:9" ht="30">
      <c r="B7080" s="677">
        <v>101469</v>
      </c>
      <c r="C7080" s="733" t="s">
        <v>3564</v>
      </c>
      <c r="D7080" s="677" t="s">
        <v>59</v>
      </c>
      <c r="E7080" s="738">
        <f t="shared" si="220"/>
        <v>37.07</v>
      </c>
      <c r="F7080">
        <f t="shared" si="221"/>
        <v>101469</v>
      </c>
      <c r="H7080" s="1405">
        <v>35.94</v>
      </c>
      <c r="I7080" s="1405">
        <v>37.07</v>
      </c>
    </row>
    <row r="7081" spans="2:9" ht="30">
      <c r="B7081" s="1477">
        <v>101470</v>
      </c>
      <c r="C7081" s="740" t="s">
        <v>3565</v>
      </c>
      <c r="D7081" s="739" t="s">
        <v>59</v>
      </c>
      <c r="E7081" s="741">
        <f t="shared" si="220"/>
        <v>29.43</v>
      </c>
      <c r="F7081">
        <f t="shared" si="221"/>
        <v>101470</v>
      </c>
      <c r="H7081" s="1406">
        <v>28.53</v>
      </c>
      <c r="I7081" s="1406">
        <v>29.43</v>
      </c>
    </row>
    <row r="7082" spans="2:9" ht="30">
      <c r="B7082" s="677">
        <v>101471</v>
      </c>
      <c r="C7082" s="733" t="s">
        <v>3566</v>
      </c>
      <c r="D7082" s="677" t="s">
        <v>59</v>
      </c>
      <c r="E7082" s="738">
        <f t="shared" si="220"/>
        <v>25.25</v>
      </c>
      <c r="F7082">
        <f t="shared" si="221"/>
        <v>101471</v>
      </c>
      <c r="H7082" s="1405">
        <v>24.49</v>
      </c>
      <c r="I7082" s="1405">
        <v>25.25</v>
      </c>
    </row>
    <row r="7083" spans="2:9" ht="30">
      <c r="B7083" s="1477">
        <v>101472</v>
      </c>
      <c r="C7083" s="740" t="s">
        <v>3567</v>
      </c>
      <c r="D7083" s="739" t="s">
        <v>59</v>
      </c>
      <c r="E7083" s="741">
        <f t="shared" si="220"/>
        <v>19.64</v>
      </c>
      <c r="F7083">
        <f t="shared" si="221"/>
        <v>101472</v>
      </c>
      <c r="H7083" s="1406">
        <v>19.059999999999999</v>
      </c>
      <c r="I7083" s="1406">
        <v>19.64</v>
      </c>
    </row>
    <row r="7084" spans="2:9" ht="30">
      <c r="B7084" s="677">
        <v>101473</v>
      </c>
      <c r="C7084" s="733" t="s">
        <v>3568</v>
      </c>
      <c r="D7084" s="677" t="s">
        <v>59</v>
      </c>
      <c r="E7084" s="738">
        <f t="shared" si="220"/>
        <v>28.29</v>
      </c>
      <c r="F7084">
        <f t="shared" si="221"/>
        <v>101473</v>
      </c>
      <c r="H7084" s="1405">
        <v>27.44</v>
      </c>
      <c r="I7084" s="1405">
        <v>28.29</v>
      </c>
    </row>
    <row r="7085" spans="2:9" ht="30">
      <c r="B7085" s="1477">
        <v>101474</v>
      </c>
      <c r="C7085" s="740" t="s">
        <v>3569</v>
      </c>
      <c r="D7085" s="739" t="s">
        <v>59</v>
      </c>
      <c r="E7085" s="741">
        <f t="shared" si="220"/>
        <v>20.25</v>
      </c>
      <c r="F7085">
        <f t="shared" si="221"/>
        <v>101474</v>
      </c>
      <c r="H7085" s="1406">
        <v>19.63</v>
      </c>
      <c r="I7085" s="1406">
        <v>20.25</v>
      </c>
    </row>
    <row r="7086" spans="2:9" ht="30">
      <c r="B7086" s="677">
        <v>101475</v>
      </c>
      <c r="C7086" s="733" t="s">
        <v>3570</v>
      </c>
      <c r="D7086" s="677" t="s">
        <v>59</v>
      </c>
      <c r="E7086" s="738">
        <f t="shared" si="220"/>
        <v>17.95</v>
      </c>
      <c r="F7086">
        <f t="shared" si="221"/>
        <v>101475</v>
      </c>
      <c r="H7086" s="1405">
        <v>17.41</v>
      </c>
      <c r="I7086" s="1405">
        <v>17.95</v>
      </c>
    </row>
    <row r="7087" spans="2:9" ht="30">
      <c r="B7087" s="1477">
        <v>101476</v>
      </c>
      <c r="C7087" s="740" t="s">
        <v>3571</v>
      </c>
      <c r="D7087" s="739" t="s">
        <v>59</v>
      </c>
      <c r="E7087" s="741">
        <f t="shared" si="220"/>
        <v>16.010000000000002</v>
      </c>
      <c r="F7087">
        <f t="shared" si="221"/>
        <v>101476</v>
      </c>
      <c r="H7087" s="1406">
        <v>15.53</v>
      </c>
      <c r="I7087" s="1406">
        <v>16.010000000000002</v>
      </c>
    </row>
    <row r="7088" spans="2:9" ht="30">
      <c r="B7088" s="677">
        <v>101477</v>
      </c>
      <c r="C7088" s="733" t="s">
        <v>3572</v>
      </c>
      <c r="D7088" s="677" t="s">
        <v>59</v>
      </c>
      <c r="E7088" s="738">
        <f t="shared" si="220"/>
        <v>13.11</v>
      </c>
      <c r="F7088">
        <f t="shared" si="221"/>
        <v>101477</v>
      </c>
      <c r="H7088" s="1405">
        <v>12.71</v>
      </c>
      <c r="I7088" s="1405">
        <v>13.11</v>
      </c>
    </row>
    <row r="7089" spans="2:9" ht="30">
      <c r="B7089" s="1477">
        <v>101478</v>
      </c>
      <c r="C7089" s="740" t="s">
        <v>3573</v>
      </c>
      <c r="D7089" s="739" t="s">
        <v>59</v>
      </c>
      <c r="E7089" s="741">
        <f t="shared" si="220"/>
        <v>11.16</v>
      </c>
      <c r="F7089">
        <f t="shared" si="221"/>
        <v>101478</v>
      </c>
      <c r="H7089" s="1406">
        <v>10.82</v>
      </c>
      <c r="I7089" s="1406">
        <v>11.16</v>
      </c>
    </row>
    <row r="7090" spans="2:9" ht="30">
      <c r="B7090" s="677">
        <v>101480</v>
      </c>
      <c r="C7090" s="733" t="s">
        <v>3574</v>
      </c>
      <c r="D7090" s="677" t="s">
        <v>59</v>
      </c>
      <c r="E7090" s="738">
        <f t="shared" si="220"/>
        <v>66.3</v>
      </c>
      <c r="F7090">
        <f t="shared" si="221"/>
        <v>101480</v>
      </c>
      <c r="H7090" s="1405">
        <v>64.290000000000006</v>
      </c>
      <c r="I7090" s="1405">
        <v>66.3</v>
      </c>
    </row>
    <row r="7091" spans="2:9" ht="30">
      <c r="B7091" s="1477">
        <v>101481</v>
      </c>
      <c r="C7091" s="740" t="s">
        <v>3575</v>
      </c>
      <c r="D7091" s="739" t="s">
        <v>59</v>
      </c>
      <c r="E7091" s="741">
        <f t="shared" si="220"/>
        <v>47.89</v>
      </c>
      <c r="F7091">
        <f t="shared" si="221"/>
        <v>101481</v>
      </c>
      <c r="H7091" s="1406">
        <v>46.44</v>
      </c>
      <c r="I7091" s="1406">
        <v>47.89</v>
      </c>
    </row>
    <row r="7092" spans="2:9" ht="30">
      <c r="B7092" s="677">
        <v>101482</v>
      </c>
      <c r="C7092" s="733" t="s">
        <v>5046</v>
      </c>
      <c r="D7092" s="677" t="s">
        <v>59</v>
      </c>
      <c r="E7092" s="738">
        <f t="shared" si="220"/>
        <v>35.79</v>
      </c>
      <c r="F7092">
        <f t="shared" si="221"/>
        <v>101482</v>
      </c>
      <c r="H7092" s="1405">
        <v>34.71</v>
      </c>
      <c r="I7092" s="1405">
        <v>35.79</v>
      </c>
    </row>
    <row r="7093" spans="2:9" ht="30">
      <c r="B7093" s="1477">
        <v>101483</v>
      </c>
      <c r="C7093" s="740" t="s">
        <v>3576</v>
      </c>
      <c r="D7093" s="739" t="s">
        <v>59</v>
      </c>
      <c r="E7093" s="741">
        <f t="shared" si="220"/>
        <v>37.159999999999997</v>
      </c>
      <c r="F7093">
        <f t="shared" si="221"/>
        <v>101483</v>
      </c>
      <c r="H7093" s="1406">
        <v>36.020000000000003</v>
      </c>
      <c r="I7093" s="1406">
        <v>37.159999999999997</v>
      </c>
    </row>
    <row r="7094" spans="2:9" ht="30">
      <c r="B7094" s="677">
        <v>101484</v>
      </c>
      <c r="C7094" s="733" t="s">
        <v>3577</v>
      </c>
      <c r="D7094" s="677" t="s">
        <v>59</v>
      </c>
      <c r="E7094" s="738">
        <f t="shared" si="220"/>
        <v>192.54</v>
      </c>
      <c r="F7094">
        <f t="shared" si="221"/>
        <v>101484</v>
      </c>
      <c r="H7094" s="1405">
        <v>186.7</v>
      </c>
      <c r="I7094" s="1405">
        <v>192.54</v>
      </c>
    </row>
    <row r="7095" spans="2:9" ht="30">
      <c r="B7095" s="1477">
        <v>101485</v>
      </c>
      <c r="C7095" s="740" t="s">
        <v>3578</v>
      </c>
      <c r="D7095" s="739" t="s">
        <v>59</v>
      </c>
      <c r="E7095" s="741">
        <f t="shared" si="220"/>
        <v>147.80000000000001</v>
      </c>
      <c r="F7095">
        <f t="shared" si="221"/>
        <v>101485</v>
      </c>
      <c r="H7095" s="1406">
        <v>143.31</v>
      </c>
      <c r="I7095" s="1406">
        <v>147.80000000000001</v>
      </c>
    </row>
    <row r="7096" spans="2:9" ht="30">
      <c r="B7096" s="677">
        <v>101486</v>
      </c>
      <c r="C7096" s="733" t="s">
        <v>3579</v>
      </c>
      <c r="D7096" s="677" t="s">
        <v>59</v>
      </c>
      <c r="E7096" s="738">
        <f t="shared" si="220"/>
        <v>133.13</v>
      </c>
      <c r="F7096">
        <f t="shared" si="221"/>
        <v>101486</v>
      </c>
      <c r="H7096" s="1405">
        <v>129.1</v>
      </c>
      <c r="I7096" s="1405">
        <v>133.13</v>
      </c>
    </row>
    <row r="7097" spans="2:9" ht="30">
      <c r="B7097" s="1477">
        <v>101487</v>
      </c>
      <c r="C7097" s="740" t="s">
        <v>3580</v>
      </c>
      <c r="D7097" s="739" t="s">
        <v>59</v>
      </c>
      <c r="E7097" s="741">
        <f t="shared" si="220"/>
        <v>97.48</v>
      </c>
      <c r="F7097">
        <f t="shared" si="221"/>
        <v>101487</v>
      </c>
      <c r="H7097" s="1406">
        <v>94.52</v>
      </c>
      <c r="I7097" s="1406">
        <v>97.48</v>
      </c>
    </row>
    <row r="7098" spans="2:9" ht="30">
      <c r="B7098" s="677">
        <v>101488</v>
      </c>
      <c r="C7098" s="733" t="s">
        <v>3581</v>
      </c>
      <c r="D7098" s="677" t="s">
        <v>59</v>
      </c>
      <c r="E7098" s="738">
        <f t="shared" si="220"/>
        <v>84.35</v>
      </c>
      <c r="F7098">
        <f t="shared" si="221"/>
        <v>101488</v>
      </c>
      <c r="H7098" s="1405">
        <v>81.790000000000006</v>
      </c>
      <c r="I7098" s="1405">
        <v>84.35</v>
      </c>
    </row>
    <row r="7099" spans="2:9" ht="30">
      <c r="B7099" s="1477">
        <v>101188</v>
      </c>
      <c r="C7099" s="740" t="s">
        <v>3251</v>
      </c>
      <c r="D7099" s="739" t="s">
        <v>21</v>
      </c>
      <c r="E7099" s="741">
        <f t="shared" si="220"/>
        <v>5.99</v>
      </c>
      <c r="F7099">
        <f t="shared" si="221"/>
        <v>101188</v>
      </c>
      <c r="H7099" s="1406">
        <v>5.55</v>
      </c>
      <c r="I7099" s="1406">
        <v>5.99</v>
      </c>
    </row>
    <row r="7100" spans="2:9" ht="30">
      <c r="B7100" s="677">
        <v>101189</v>
      </c>
      <c r="C7100" s="733" t="s">
        <v>3252</v>
      </c>
      <c r="D7100" s="677" t="s">
        <v>21</v>
      </c>
      <c r="E7100" s="738">
        <f t="shared" si="220"/>
        <v>71.31</v>
      </c>
      <c r="F7100">
        <f t="shared" si="221"/>
        <v>101189</v>
      </c>
      <c r="H7100" s="1405">
        <v>68.790000000000006</v>
      </c>
      <c r="I7100" s="1405">
        <v>71.31</v>
      </c>
    </row>
    <row r="7101" spans="2:9" ht="30">
      <c r="B7101" s="1477">
        <v>101190</v>
      </c>
      <c r="C7101" s="740" t="s">
        <v>3253</v>
      </c>
      <c r="D7101" s="739" t="s">
        <v>21</v>
      </c>
      <c r="E7101" s="741">
        <f t="shared" si="220"/>
        <v>70.5</v>
      </c>
      <c r="F7101">
        <f t="shared" si="221"/>
        <v>101190</v>
      </c>
      <c r="H7101" s="1406">
        <v>67.98</v>
      </c>
      <c r="I7101" s="1406">
        <v>70.5</v>
      </c>
    </row>
    <row r="7102" spans="2:9" ht="30">
      <c r="B7102" s="677">
        <v>101191</v>
      </c>
      <c r="C7102" s="733" t="s">
        <v>3254</v>
      </c>
      <c r="D7102" s="677" t="s">
        <v>21</v>
      </c>
      <c r="E7102" s="738">
        <f t="shared" si="220"/>
        <v>70.900000000000006</v>
      </c>
      <c r="F7102">
        <f t="shared" si="221"/>
        <v>101191</v>
      </c>
      <c r="H7102" s="1405">
        <v>68.38</v>
      </c>
      <c r="I7102" s="1405">
        <v>70.900000000000006</v>
      </c>
    </row>
    <row r="7103" spans="2:9" ht="30">
      <c r="B7103" s="1477">
        <v>101192</v>
      </c>
      <c r="C7103" s="740" t="s">
        <v>3255</v>
      </c>
      <c r="D7103" s="739" t="s">
        <v>21</v>
      </c>
      <c r="E7103" s="741">
        <f t="shared" si="220"/>
        <v>71.38</v>
      </c>
      <c r="F7103">
        <f t="shared" si="221"/>
        <v>101192</v>
      </c>
      <c r="H7103" s="1406">
        <v>68.86</v>
      </c>
      <c r="I7103" s="1406">
        <v>71.38</v>
      </c>
    </row>
    <row r="7104" spans="2:9" ht="30">
      <c r="B7104" s="677">
        <v>101193</v>
      </c>
      <c r="C7104" s="733" t="s">
        <v>3256</v>
      </c>
      <c r="D7104" s="677" t="s">
        <v>21</v>
      </c>
      <c r="E7104" s="738">
        <f t="shared" si="220"/>
        <v>63.99</v>
      </c>
      <c r="F7104">
        <f t="shared" si="221"/>
        <v>101193</v>
      </c>
      <c r="H7104" s="1405">
        <v>61.47</v>
      </c>
      <c r="I7104" s="1405">
        <v>63.99</v>
      </c>
    </row>
    <row r="7105" spans="2:9" ht="30">
      <c r="B7105" s="1477">
        <v>101194</v>
      </c>
      <c r="C7105" s="740" t="s">
        <v>3257</v>
      </c>
      <c r="D7105" s="739" t="s">
        <v>21</v>
      </c>
      <c r="E7105" s="741">
        <f t="shared" si="220"/>
        <v>64.39</v>
      </c>
      <c r="F7105">
        <f t="shared" si="221"/>
        <v>101194</v>
      </c>
      <c r="H7105" s="1406">
        <v>61.87</v>
      </c>
      <c r="I7105" s="1406">
        <v>64.39</v>
      </c>
    </row>
    <row r="7106" spans="2:9" ht="30">
      <c r="B7106" s="677">
        <v>101197</v>
      </c>
      <c r="C7106" s="733" t="s">
        <v>3258</v>
      </c>
      <c r="D7106" s="677" t="s">
        <v>21</v>
      </c>
      <c r="E7106" s="738">
        <f t="shared" si="220"/>
        <v>134.44</v>
      </c>
      <c r="F7106">
        <f t="shared" si="221"/>
        <v>101197</v>
      </c>
      <c r="H7106" s="1405">
        <v>129.80000000000001</v>
      </c>
      <c r="I7106" s="1405">
        <v>134.44</v>
      </c>
    </row>
    <row r="7107" spans="2:9" ht="30">
      <c r="B7107" s="1477">
        <v>101198</v>
      </c>
      <c r="C7107" s="740" t="s">
        <v>3259</v>
      </c>
      <c r="D7107" s="739" t="s">
        <v>21</v>
      </c>
      <c r="E7107" s="741">
        <f t="shared" ref="E7107:E7170" si="222">IF($K$2=$H$1,H7107,I7107)</f>
        <v>95.32</v>
      </c>
      <c r="F7107">
        <f t="shared" si="221"/>
        <v>101198</v>
      </c>
      <c r="H7107" s="1406">
        <v>91.29</v>
      </c>
      <c r="I7107" s="1406">
        <v>95.32</v>
      </c>
    </row>
    <row r="7108" spans="2:9" ht="30">
      <c r="B7108" s="677">
        <v>101199</v>
      </c>
      <c r="C7108" s="733" t="s">
        <v>3260</v>
      </c>
      <c r="D7108" s="677" t="s">
        <v>21</v>
      </c>
      <c r="E7108" s="738">
        <f t="shared" si="222"/>
        <v>96.32</v>
      </c>
      <c r="F7108">
        <f t="shared" ref="F7108:F7171" si="223">IF(LEN($B7108)=7,CONCATENATE(MID($B7108,1,6),"00",RIGHT($B7108,1)),IF(LEN($B7108)=8,CONCATENATE(MID($B7108,1,6),"0",RIGHT($B7108,2)),$B7108))</f>
        <v>101199</v>
      </c>
      <c r="H7108" s="1405">
        <v>92.29</v>
      </c>
      <c r="I7108" s="1405">
        <v>96.32</v>
      </c>
    </row>
    <row r="7109" spans="2:9" ht="30">
      <c r="B7109" s="1477">
        <v>101200</v>
      </c>
      <c r="C7109" s="740" t="s">
        <v>3261</v>
      </c>
      <c r="D7109" s="739" t="s">
        <v>21</v>
      </c>
      <c r="E7109" s="741">
        <f t="shared" si="222"/>
        <v>51.48</v>
      </c>
      <c r="F7109">
        <f t="shared" si="223"/>
        <v>101200</v>
      </c>
      <c r="H7109" s="1406">
        <v>49.13</v>
      </c>
      <c r="I7109" s="1406">
        <v>51.48</v>
      </c>
    </row>
    <row r="7110" spans="2:9" ht="30">
      <c r="B7110" s="677">
        <v>101201</v>
      </c>
      <c r="C7110" s="733" t="s">
        <v>3262</v>
      </c>
      <c r="D7110" s="677" t="s">
        <v>21</v>
      </c>
      <c r="E7110" s="738">
        <f t="shared" si="222"/>
        <v>64.790000000000006</v>
      </c>
      <c r="F7110">
        <f t="shared" si="223"/>
        <v>101201</v>
      </c>
      <c r="H7110" s="1405">
        <v>61.72</v>
      </c>
      <c r="I7110" s="1405">
        <v>64.790000000000006</v>
      </c>
    </row>
    <row r="7111" spans="2:9" ht="30">
      <c r="B7111" s="1477">
        <v>101202</v>
      </c>
      <c r="C7111" s="740" t="s">
        <v>3263</v>
      </c>
      <c r="D7111" s="739" t="s">
        <v>21</v>
      </c>
      <c r="E7111" s="741">
        <f t="shared" si="222"/>
        <v>43.92</v>
      </c>
      <c r="F7111">
        <f t="shared" si="223"/>
        <v>101202</v>
      </c>
      <c r="H7111" s="1406">
        <v>41.39</v>
      </c>
      <c r="I7111" s="1406">
        <v>43.92</v>
      </c>
    </row>
    <row r="7112" spans="2:9" ht="30">
      <c r="B7112" s="677">
        <v>101203</v>
      </c>
      <c r="C7112" s="733" t="s">
        <v>3264</v>
      </c>
      <c r="D7112" s="677" t="s">
        <v>21</v>
      </c>
      <c r="E7112" s="738">
        <f t="shared" si="222"/>
        <v>42.91</v>
      </c>
      <c r="F7112">
        <f t="shared" si="223"/>
        <v>101203</v>
      </c>
      <c r="H7112" s="1405">
        <v>40.380000000000003</v>
      </c>
      <c r="I7112" s="1405">
        <v>42.91</v>
      </c>
    </row>
    <row r="7113" spans="2:9" ht="30">
      <c r="B7113" s="1477">
        <v>101204</v>
      </c>
      <c r="C7113" s="740" t="s">
        <v>3265</v>
      </c>
      <c r="D7113" s="739" t="s">
        <v>21</v>
      </c>
      <c r="E7113" s="741">
        <f t="shared" si="222"/>
        <v>43.31</v>
      </c>
      <c r="F7113">
        <f t="shared" si="223"/>
        <v>101204</v>
      </c>
      <c r="H7113" s="1406">
        <v>40.78</v>
      </c>
      <c r="I7113" s="1406">
        <v>43.31</v>
      </c>
    </row>
    <row r="7114" spans="2:9" ht="30">
      <c r="B7114" s="677">
        <v>101205</v>
      </c>
      <c r="C7114" s="733" t="s">
        <v>3266</v>
      </c>
      <c r="D7114" s="677" t="s">
        <v>21</v>
      </c>
      <c r="E7114" s="738">
        <f t="shared" si="222"/>
        <v>43.92</v>
      </c>
      <c r="F7114">
        <f t="shared" si="223"/>
        <v>101205</v>
      </c>
      <c r="H7114" s="1405">
        <v>41.39</v>
      </c>
      <c r="I7114" s="1405">
        <v>43.92</v>
      </c>
    </row>
    <row r="7115" spans="2:9" ht="45">
      <c r="B7115" s="1477">
        <v>102362</v>
      </c>
      <c r="C7115" s="740" t="s">
        <v>4596</v>
      </c>
      <c r="D7115" s="739" t="s">
        <v>0</v>
      </c>
      <c r="E7115" s="741">
        <f t="shared" si="222"/>
        <v>157.82</v>
      </c>
      <c r="F7115">
        <f t="shared" si="223"/>
        <v>102362</v>
      </c>
      <c r="H7115" s="1406">
        <v>153.22999999999999</v>
      </c>
      <c r="I7115" s="1406">
        <v>157.82</v>
      </c>
    </row>
    <row r="7116" spans="2:9" ht="45">
      <c r="B7116" s="677">
        <v>102363</v>
      </c>
      <c r="C7116" s="733" t="s">
        <v>4597</v>
      </c>
      <c r="D7116" s="677" t="s">
        <v>0</v>
      </c>
      <c r="E7116" s="738">
        <f t="shared" si="222"/>
        <v>169.75</v>
      </c>
      <c r="F7116">
        <f t="shared" si="223"/>
        <v>102363</v>
      </c>
      <c r="H7116" s="1405">
        <v>165.19</v>
      </c>
      <c r="I7116" s="1405">
        <v>169.75</v>
      </c>
    </row>
    <row r="7117" spans="2:9" ht="45">
      <c r="B7117" s="1477">
        <v>102364</v>
      </c>
      <c r="C7117" s="740" t="s">
        <v>4598</v>
      </c>
      <c r="D7117" s="739" t="s">
        <v>0</v>
      </c>
      <c r="E7117" s="741">
        <f t="shared" si="222"/>
        <v>191.56</v>
      </c>
      <c r="F7117">
        <f t="shared" si="223"/>
        <v>102364</v>
      </c>
      <c r="H7117" s="1406">
        <v>187</v>
      </c>
      <c r="I7117" s="1406">
        <v>191.56</v>
      </c>
    </row>
    <row r="7118" spans="2:9">
      <c r="B7118" s="677">
        <v>98509</v>
      </c>
      <c r="C7118" s="733" t="s">
        <v>2039</v>
      </c>
      <c r="D7118" s="677" t="s">
        <v>22</v>
      </c>
      <c r="E7118" s="738">
        <f t="shared" si="222"/>
        <v>73.849999999999994</v>
      </c>
      <c r="F7118">
        <f t="shared" si="223"/>
        <v>98509</v>
      </c>
      <c r="H7118" s="1405">
        <v>73.599999999999994</v>
      </c>
      <c r="I7118" s="1405">
        <v>73.849999999999994</v>
      </c>
    </row>
    <row r="7119" spans="2:9">
      <c r="B7119" s="1477">
        <v>98510</v>
      </c>
      <c r="C7119" s="740" t="s">
        <v>2040</v>
      </c>
      <c r="D7119" s="739" t="s">
        <v>22</v>
      </c>
      <c r="E7119" s="741">
        <f t="shared" si="222"/>
        <v>103.65</v>
      </c>
      <c r="F7119">
        <f t="shared" si="223"/>
        <v>98510</v>
      </c>
      <c r="H7119" s="1406">
        <v>101.83</v>
      </c>
      <c r="I7119" s="1406">
        <v>103.65</v>
      </c>
    </row>
    <row r="7120" spans="2:9">
      <c r="B7120" s="677">
        <v>98511</v>
      </c>
      <c r="C7120" s="733" t="s">
        <v>2041</v>
      </c>
      <c r="D7120" s="677" t="s">
        <v>22</v>
      </c>
      <c r="E7120" s="738">
        <f t="shared" si="222"/>
        <v>201.32</v>
      </c>
      <c r="F7120">
        <f t="shared" si="223"/>
        <v>98511</v>
      </c>
      <c r="H7120" s="1405">
        <v>198.72</v>
      </c>
      <c r="I7120" s="1405">
        <v>201.32</v>
      </c>
    </row>
    <row r="7121" spans="2:9">
      <c r="B7121" s="1477">
        <v>98516</v>
      </c>
      <c r="C7121" s="740" t="s">
        <v>2042</v>
      </c>
      <c r="D7121" s="739" t="s">
        <v>22</v>
      </c>
      <c r="E7121" s="741">
        <f t="shared" si="222"/>
        <v>436.31</v>
      </c>
      <c r="F7121">
        <f t="shared" si="223"/>
        <v>98516</v>
      </c>
      <c r="H7121" s="1406">
        <v>419.53</v>
      </c>
      <c r="I7121" s="1406">
        <v>436.31</v>
      </c>
    </row>
    <row r="7122" spans="2:9">
      <c r="B7122" s="677">
        <v>98519</v>
      </c>
      <c r="C7122" s="733" t="s">
        <v>2043</v>
      </c>
      <c r="D7122" s="677" t="s">
        <v>0</v>
      </c>
      <c r="E7122" s="738">
        <f t="shared" si="222"/>
        <v>1.94</v>
      </c>
      <c r="F7122">
        <f t="shared" si="223"/>
        <v>98519</v>
      </c>
      <c r="H7122" s="1405">
        <v>1.75</v>
      </c>
      <c r="I7122" s="1405">
        <v>1.94</v>
      </c>
    </row>
    <row r="7123" spans="2:9">
      <c r="B7123" s="1477">
        <v>98520</v>
      </c>
      <c r="C7123" s="740" t="s">
        <v>2044</v>
      </c>
      <c r="D7123" s="739" t="s">
        <v>0</v>
      </c>
      <c r="E7123" s="741">
        <f t="shared" si="222"/>
        <v>4.76</v>
      </c>
      <c r="F7123">
        <f t="shared" si="223"/>
        <v>98520</v>
      </c>
      <c r="H7123" s="1406">
        <v>4.5999999999999996</v>
      </c>
      <c r="I7123" s="1406">
        <v>4.76</v>
      </c>
    </row>
    <row r="7124" spans="2:9">
      <c r="B7124" s="677">
        <v>98521</v>
      </c>
      <c r="C7124" s="733" t="s">
        <v>2045</v>
      </c>
      <c r="D7124" s="677" t="s">
        <v>0</v>
      </c>
      <c r="E7124" s="738">
        <f t="shared" si="222"/>
        <v>0.36</v>
      </c>
      <c r="F7124">
        <f t="shared" si="223"/>
        <v>98521</v>
      </c>
      <c r="H7124" s="1405">
        <v>0.33</v>
      </c>
      <c r="I7124" s="1405">
        <v>0.36</v>
      </c>
    </row>
    <row r="7125" spans="2:9">
      <c r="B7125" s="1477">
        <v>98522</v>
      </c>
      <c r="C7125" s="740" t="s">
        <v>2046</v>
      </c>
      <c r="D7125" s="739" t="s">
        <v>21</v>
      </c>
      <c r="E7125" s="741">
        <f t="shared" si="222"/>
        <v>157.78</v>
      </c>
      <c r="F7125">
        <f t="shared" si="223"/>
        <v>98522</v>
      </c>
      <c r="H7125" s="1406">
        <v>152.38999999999999</v>
      </c>
      <c r="I7125" s="1406">
        <v>157.78</v>
      </c>
    </row>
    <row r="7126" spans="2:9">
      <c r="B7126" s="677">
        <v>98524</v>
      </c>
      <c r="C7126" s="733" t="s">
        <v>2047</v>
      </c>
      <c r="D7126" s="677" t="s">
        <v>0</v>
      </c>
      <c r="E7126" s="738">
        <f t="shared" si="222"/>
        <v>2.96</v>
      </c>
      <c r="F7126">
        <f t="shared" si="223"/>
        <v>98524</v>
      </c>
      <c r="H7126" s="1405">
        <v>2.67</v>
      </c>
      <c r="I7126" s="1405">
        <v>2.96</v>
      </c>
    </row>
    <row r="7127" spans="2:9">
      <c r="B7127" s="1477">
        <v>98503</v>
      </c>
      <c r="C7127" s="740" t="s">
        <v>2048</v>
      </c>
      <c r="D7127" s="739" t="s">
        <v>0</v>
      </c>
      <c r="E7127" s="741">
        <f t="shared" si="222"/>
        <v>21.5</v>
      </c>
      <c r="F7127">
        <f t="shared" si="223"/>
        <v>98503</v>
      </c>
      <c r="H7127" s="1406">
        <v>21.02</v>
      </c>
      <c r="I7127" s="1406">
        <v>21.5</v>
      </c>
    </row>
    <row r="7128" spans="2:9">
      <c r="B7128" s="677">
        <v>98504</v>
      </c>
      <c r="C7128" s="733" t="s">
        <v>5868</v>
      </c>
      <c r="D7128" s="677" t="s">
        <v>0</v>
      </c>
      <c r="E7128" s="738">
        <f t="shared" si="222"/>
        <v>15.41</v>
      </c>
      <c r="F7128">
        <f t="shared" si="223"/>
        <v>98504</v>
      </c>
      <c r="H7128" s="1405">
        <v>15.02</v>
      </c>
      <c r="I7128" s="1405">
        <v>15.41</v>
      </c>
    </row>
    <row r="7129" spans="2:9">
      <c r="B7129" s="1477">
        <v>98505</v>
      </c>
      <c r="C7129" s="740" t="s">
        <v>2049</v>
      </c>
      <c r="D7129" s="739" t="s">
        <v>0</v>
      </c>
      <c r="E7129" s="741">
        <f t="shared" si="222"/>
        <v>105.39</v>
      </c>
      <c r="F7129">
        <f t="shared" si="223"/>
        <v>98505</v>
      </c>
      <c r="H7129" s="1406">
        <v>104.86</v>
      </c>
      <c r="I7129" s="1406">
        <v>105.39</v>
      </c>
    </row>
    <row r="7130" spans="2:9">
      <c r="B7130" s="677">
        <v>103946</v>
      </c>
      <c r="C7130" s="733" t="s">
        <v>5869</v>
      </c>
      <c r="D7130" s="677" t="s">
        <v>0</v>
      </c>
      <c r="E7130" s="738">
        <f t="shared" si="222"/>
        <v>19.989999999999998</v>
      </c>
      <c r="F7130">
        <f t="shared" si="223"/>
        <v>103946</v>
      </c>
      <c r="H7130" s="1405">
        <v>19.600000000000001</v>
      </c>
      <c r="I7130" s="1405">
        <v>19.989999999999998</v>
      </c>
    </row>
    <row r="7131" spans="2:9" ht="30">
      <c r="B7131" s="1477">
        <v>103185</v>
      </c>
      <c r="C7131" s="740" t="s">
        <v>5308</v>
      </c>
      <c r="D7131" s="739" t="s">
        <v>22</v>
      </c>
      <c r="E7131" s="741">
        <f t="shared" si="222"/>
        <v>6145.05</v>
      </c>
      <c r="F7131">
        <f t="shared" si="223"/>
        <v>103185</v>
      </c>
      <c r="H7131" s="1406">
        <v>6132.78</v>
      </c>
      <c r="I7131" s="1406">
        <v>6145.05</v>
      </c>
    </row>
    <row r="7132" spans="2:9" ht="30">
      <c r="B7132" s="677">
        <v>103186</v>
      </c>
      <c r="C7132" s="733" t="s">
        <v>5309</v>
      </c>
      <c r="D7132" s="677" t="s">
        <v>22</v>
      </c>
      <c r="E7132" s="738">
        <f t="shared" si="222"/>
        <v>6483.36</v>
      </c>
      <c r="F7132">
        <f t="shared" si="223"/>
        <v>103186</v>
      </c>
      <c r="H7132" s="1405">
        <v>6478.33</v>
      </c>
      <c r="I7132" s="1405">
        <v>6483.36</v>
      </c>
    </row>
    <row r="7133" spans="2:9" ht="30">
      <c r="B7133" s="1477">
        <v>103187</v>
      </c>
      <c r="C7133" s="740" t="s">
        <v>5310</v>
      </c>
      <c r="D7133" s="739" t="s">
        <v>22</v>
      </c>
      <c r="E7133" s="741">
        <f t="shared" si="222"/>
        <v>4871.2299999999996</v>
      </c>
      <c r="F7133">
        <f t="shared" si="223"/>
        <v>103187</v>
      </c>
      <c r="H7133" s="1406">
        <v>4862.84</v>
      </c>
      <c r="I7133" s="1406">
        <v>4871.2299999999996</v>
      </c>
    </row>
    <row r="7134" spans="2:9" ht="30">
      <c r="B7134" s="677">
        <v>103188</v>
      </c>
      <c r="C7134" s="733" t="s">
        <v>5311</v>
      </c>
      <c r="D7134" s="677" t="s">
        <v>22</v>
      </c>
      <c r="E7134" s="738">
        <f t="shared" si="222"/>
        <v>5238.5</v>
      </c>
      <c r="F7134">
        <f t="shared" si="223"/>
        <v>103188</v>
      </c>
      <c r="H7134" s="1405">
        <v>5232.04</v>
      </c>
      <c r="I7134" s="1405">
        <v>5238.5</v>
      </c>
    </row>
    <row r="7135" spans="2:9" ht="30">
      <c r="B7135" s="1477">
        <v>103189</v>
      </c>
      <c r="C7135" s="740" t="s">
        <v>5312</v>
      </c>
      <c r="D7135" s="739" t="s">
        <v>22</v>
      </c>
      <c r="E7135" s="741">
        <f t="shared" si="222"/>
        <v>2624.92</v>
      </c>
      <c r="F7135">
        <f t="shared" si="223"/>
        <v>103189</v>
      </c>
      <c r="H7135" s="1406">
        <v>2620.41</v>
      </c>
      <c r="I7135" s="1406">
        <v>2624.92</v>
      </c>
    </row>
    <row r="7136" spans="2:9" ht="30">
      <c r="B7136" s="677">
        <v>103190</v>
      </c>
      <c r="C7136" s="733" t="s">
        <v>5313</v>
      </c>
      <c r="D7136" s="677" t="s">
        <v>22</v>
      </c>
      <c r="E7136" s="738">
        <f t="shared" si="222"/>
        <v>4087.74</v>
      </c>
      <c r="F7136">
        <f t="shared" si="223"/>
        <v>103190</v>
      </c>
      <c r="H7136" s="1405">
        <v>4079.21</v>
      </c>
      <c r="I7136" s="1405">
        <v>4087.74</v>
      </c>
    </row>
    <row r="7137" spans="2:9" ht="30">
      <c r="B7137" s="1477">
        <v>103191</v>
      </c>
      <c r="C7137" s="740" t="s">
        <v>5314</v>
      </c>
      <c r="D7137" s="739" t="s">
        <v>22</v>
      </c>
      <c r="E7137" s="741">
        <f t="shared" si="222"/>
        <v>2385.91</v>
      </c>
      <c r="F7137">
        <f t="shared" si="223"/>
        <v>103191</v>
      </c>
      <c r="H7137" s="1406">
        <v>2378.92</v>
      </c>
      <c r="I7137" s="1406">
        <v>2385.91</v>
      </c>
    </row>
    <row r="7138" spans="2:9" ht="30">
      <c r="B7138" s="677">
        <v>103192</v>
      </c>
      <c r="C7138" s="733" t="s">
        <v>5315</v>
      </c>
      <c r="D7138" s="677" t="s">
        <v>22</v>
      </c>
      <c r="E7138" s="738">
        <f t="shared" si="222"/>
        <v>2539.5500000000002</v>
      </c>
      <c r="F7138">
        <f t="shared" si="223"/>
        <v>103192</v>
      </c>
      <c r="H7138" s="1405">
        <v>2532.56</v>
      </c>
      <c r="I7138" s="1405">
        <v>2539.5500000000002</v>
      </c>
    </row>
    <row r="7139" spans="2:9" ht="30">
      <c r="B7139" s="1477">
        <v>103193</v>
      </c>
      <c r="C7139" s="740" t="s">
        <v>5316</v>
      </c>
      <c r="D7139" s="739" t="s">
        <v>22</v>
      </c>
      <c r="E7139" s="741">
        <f t="shared" si="222"/>
        <v>1958.28</v>
      </c>
      <c r="F7139">
        <f t="shared" si="223"/>
        <v>103193</v>
      </c>
      <c r="H7139" s="1406">
        <v>1951.29</v>
      </c>
      <c r="I7139" s="1406">
        <v>1958.28</v>
      </c>
    </row>
    <row r="7140" spans="2:9" ht="30">
      <c r="B7140" s="677">
        <v>103194</v>
      </c>
      <c r="C7140" s="733" t="s">
        <v>5317</v>
      </c>
      <c r="D7140" s="677" t="s">
        <v>22</v>
      </c>
      <c r="E7140" s="738">
        <f t="shared" si="222"/>
        <v>2816.25</v>
      </c>
      <c r="F7140">
        <f t="shared" si="223"/>
        <v>103194</v>
      </c>
      <c r="H7140" s="1405">
        <v>2809.26</v>
      </c>
      <c r="I7140" s="1405">
        <v>2816.25</v>
      </c>
    </row>
    <row r="7141" spans="2:9" ht="30">
      <c r="B7141" s="1477">
        <v>103195</v>
      </c>
      <c r="C7141" s="740" t="s">
        <v>5318</v>
      </c>
      <c r="D7141" s="739" t="s">
        <v>22</v>
      </c>
      <c r="E7141" s="741">
        <f t="shared" si="222"/>
        <v>2197.9299999999998</v>
      </c>
      <c r="F7141">
        <f t="shared" si="223"/>
        <v>103195</v>
      </c>
      <c r="H7141" s="1406">
        <v>2190.75</v>
      </c>
      <c r="I7141" s="1406">
        <v>2197.9299999999998</v>
      </c>
    </row>
    <row r="7142" spans="2:9" ht="30">
      <c r="B7142" s="677">
        <v>103205</v>
      </c>
      <c r="C7142" s="733" t="s">
        <v>5319</v>
      </c>
      <c r="D7142" s="677" t="s">
        <v>22</v>
      </c>
      <c r="E7142" s="738">
        <f t="shared" si="222"/>
        <v>4094.86</v>
      </c>
      <c r="F7142">
        <f t="shared" si="223"/>
        <v>103205</v>
      </c>
      <c r="H7142" s="1405">
        <v>4084.32</v>
      </c>
      <c r="I7142" s="1405">
        <v>4094.86</v>
      </c>
    </row>
    <row r="7143" spans="2:9" ht="30">
      <c r="B7143" s="1477">
        <v>103206</v>
      </c>
      <c r="C7143" s="740" t="s">
        <v>5320</v>
      </c>
      <c r="D7143" s="739" t="s">
        <v>22</v>
      </c>
      <c r="E7143" s="741">
        <f t="shared" si="222"/>
        <v>2393.04</v>
      </c>
      <c r="F7143">
        <f t="shared" si="223"/>
        <v>103206</v>
      </c>
      <c r="H7143" s="1406">
        <v>2384.0300000000002</v>
      </c>
      <c r="I7143" s="1406">
        <v>2393.04</v>
      </c>
    </row>
    <row r="7144" spans="2:9" ht="30">
      <c r="B7144" s="677">
        <v>103207</v>
      </c>
      <c r="C7144" s="733" t="s">
        <v>5321</v>
      </c>
      <c r="D7144" s="677" t="s">
        <v>22</v>
      </c>
      <c r="E7144" s="738">
        <f t="shared" si="222"/>
        <v>2546.6799999999998</v>
      </c>
      <c r="F7144">
        <f t="shared" si="223"/>
        <v>103207</v>
      </c>
      <c r="H7144" s="1405">
        <v>2537.67</v>
      </c>
      <c r="I7144" s="1405">
        <v>2546.6799999999998</v>
      </c>
    </row>
    <row r="7145" spans="2:9" ht="30">
      <c r="B7145" s="1477">
        <v>103208</v>
      </c>
      <c r="C7145" s="740" t="s">
        <v>5322</v>
      </c>
      <c r="D7145" s="739" t="s">
        <v>22</v>
      </c>
      <c r="E7145" s="741">
        <f t="shared" si="222"/>
        <v>1965.41</v>
      </c>
      <c r="F7145">
        <f t="shared" si="223"/>
        <v>103208</v>
      </c>
      <c r="H7145" s="1406">
        <v>1956.4</v>
      </c>
      <c r="I7145" s="1406">
        <v>1965.41</v>
      </c>
    </row>
    <row r="7146" spans="2:9" ht="30">
      <c r="B7146" s="677">
        <v>103209</v>
      </c>
      <c r="C7146" s="733" t="s">
        <v>5323</v>
      </c>
      <c r="D7146" s="677" t="s">
        <v>22</v>
      </c>
      <c r="E7146" s="738">
        <f t="shared" si="222"/>
        <v>2823.38</v>
      </c>
      <c r="F7146">
        <f t="shared" si="223"/>
        <v>103209</v>
      </c>
      <c r="H7146" s="1405">
        <v>2814.37</v>
      </c>
      <c r="I7146" s="1405">
        <v>2823.38</v>
      </c>
    </row>
    <row r="7147" spans="2:9" ht="30">
      <c r="B7147" s="1477">
        <v>103210</v>
      </c>
      <c r="C7147" s="740" t="s">
        <v>5324</v>
      </c>
      <c r="D7147" s="739" t="s">
        <v>22</v>
      </c>
      <c r="E7147" s="741">
        <f t="shared" si="222"/>
        <v>2291.62</v>
      </c>
      <c r="F7147">
        <f t="shared" si="223"/>
        <v>103210</v>
      </c>
      <c r="H7147" s="1406">
        <v>2275.36</v>
      </c>
      <c r="I7147" s="1406">
        <v>2291.62</v>
      </c>
    </row>
    <row r="7148" spans="2:9" ht="30">
      <c r="B7148" s="677">
        <v>103304</v>
      </c>
      <c r="C7148" s="733" t="s">
        <v>5366</v>
      </c>
      <c r="D7148" s="677" t="s">
        <v>22</v>
      </c>
      <c r="E7148" s="738">
        <f t="shared" si="222"/>
        <v>1245.81</v>
      </c>
      <c r="F7148">
        <f t="shared" si="223"/>
        <v>103304</v>
      </c>
      <c r="H7148" s="1405">
        <v>1241.94</v>
      </c>
      <c r="I7148" s="1405">
        <v>1245.81</v>
      </c>
    </row>
    <row r="7149" spans="2:9" ht="30">
      <c r="B7149" s="1477">
        <v>103307</v>
      </c>
      <c r="C7149" s="740" t="s">
        <v>5367</v>
      </c>
      <c r="D7149" s="739" t="s">
        <v>22</v>
      </c>
      <c r="E7149" s="741">
        <f t="shared" si="222"/>
        <v>1333.73</v>
      </c>
      <c r="F7149">
        <f t="shared" si="223"/>
        <v>103307</v>
      </c>
      <c r="H7149" s="1406">
        <v>1325.42</v>
      </c>
      <c r="I7149" s="1406">
        <v>1333.73</v>
      </c>
    </row>
    <row r="7150" spans="2:9" ht="30">
      <c r="B7150" s="677">
        <v>103310</v>
      </c>
      <c r="C7150" s="733" t="s">
        <v>5368</v>
      </c>
      <c r="D7150" s="677" t="s">
        <v>22</v>
      </c>
      <c r="E7150" s="738">
        <f t="shared" si="222"/>
        <v>1287.02</v>
      </c>
      <c r="F7150">
        <f t="shared" si="223"/>
        <v>103310</v>
      </c>
      <c r="H7150" s="1405">
        <v>1283.28</v>
      </c>
      <c r="I7150" s="1405">
        <v>1287.02</v>
      </c>
    </row>
    <row r="7151" spans="2:9" ht="30">
      <c r="B7151" s="1477">
        <v>103314</v>
      </c>
      <c r="C7151" s="740" t="s">
        <v>5369</v>
      </c>
      <c r="D7151" s="739" t="s">
        <v>0</v>
      </c>
      <c r="E7151" s="741">
        <f t="shared" si="222"/>
        <v>230.31</v>
      </c>
      <c r="F7151">
        <f t="shared" si="223"/>
        <v>103314</v>
      </c>
      <c r="H7151" s="1406">
        <v>227.35</v>
      </c>
      <c r="I7151" s="1406">
        <v>230.31</v>
      </c>
    </row>
    <row r="7152" spans="2:9" ht="30">
      <c r="B7152" s="677">
        <v>103315</v>
      </c>
      <c r="C7152" s="733" t="s">
        <v>5370</v>
      </c>
      <c r="D7152" s="677" t="s">
        <v>0</v>
      </c>
      <c r="E7152" s="738">
        <f t="shared" si="222"/>
        <v>222.48</v>
      </c>
      <c r="F7152">
        <f t="shared" si="223"/>
        <v>103315</v>
      </c>
      <c r="H7152" s="1405">
        <v>220.22</v>
      </c>
      <c r="I7152" s="1405">
        <v>222.48</v>
      </c>
    </row>
    <row r="7153" spans="2:9">
      <c r="B7153" s="1477">
        <v>103769</v>
      </c>
      <c r="C7153" s="740" t="s">
        <v>5547</v>
      </c>
      <c r="D7153" s="739" t="s">
        <v>22</v>
      </c>
      <c r="E7153" s="741">
        <f t="shared" si="222"/>
        <v>4025.55</v>
      </c>
      <c r="F7153">
        <f t="shared" si="223"/>
        <v>103769</v>
      </c>
      <c r="H7153" s="1406">
        <v>3985.14</v>
      </c>
      <c r="I7153" s="1406">
        <v>4025.55</v>
      </c>
    </row>
    <row r="7154" spans="2:9" ht="30">
      <c r="B7154" s="677">
        <v>98525</v>
      </c>
      <c r="C7154" s="733" t="s">
        <v>2050</v>
      </c>
      <c r="D7154" s="677" t="s">
        <v>0</v>
      </c>
      <c r="E7154" s="738">
        <f t="shared" si="222"/>
        <v>0.37</v>
      </c>
      <c r="F7154">
        <f t="shared" si="223"/>
        <v>98525</v>
      </c>
      <c r="H7154" s="1405">
        <v>0.34</v>
      </c>
      <c r="I7154" s="1405">
        <v>0.37</v>
      </c>
    </row>
    <row r="7155" spans="2:9" ht="30">
      <c r="B7155" s="1477">
        <v>98526</v>
      </c>
      <c r="C7155" s="740" t="s">
        <v>2051</v>
      </c>
      <c r="D7155" s="739" t="s">
        <v>22</v>
      </c>
      <c r="E7155" s="741">
        <f t="shared" si="222"/>
        <v>75.680000000000007</v>
      </c>
      <c r="F7155">
        <f t="shared" si="223"/>
        <v>98526</v>
      </c>
      <c r="H7155" s="1406">
        <v>71.14</v>
      </c>
      <c r="I7155" s="1406">
        <v>75.680000000000007</v>
      </c>
    </row>
    <row r="7156" spans="2:9" ht="30">
      <c r="B7156" s="677">
        <v>98527</v>
      </c>
      <c r="C7156" s="733" t="s">
        <v>2052</v>
      </c>
      <c r="D7156" s="677" t="s">
        <v>22</v>
      </c>
      <c r="E7156" s="738">
        <f t="shared" si="222"/>
        <v>162.94</v>
      </c>
      <c r="F7156">
        <f t="shared" si="223"/>
        <v>98527</v>
      </c>
      <c r="H7156" s="1405">
        <v>153.16999999999999</v>
      </c>
      <c r="I7156" s="1405">
        <v>162.94</v>
      </c>
    </row>
    <row r="7157" spans="2:9">
      <c r="B7157" s="1477">
        <v>98528</v>
      </c>
      <c r="C7157" s="740" t="s">
        <v>2053</v>
      </c>
      <c r="D7157" s="739" t="s">
        <v>22</v>
      </c>
      <c r="E7157" s="741">
        <f t="shared" si="222"/>
        <v>238.27</v>
      </c>
      <c r="F7157">
        <f t="shared" si="223"/>
        <v>98528</v>
      </c>
      <c r="H7157" s="1406">
        <v>223.97</v>
      </c>
      <c r="I7157" s="1406">
        <v>238.27</v>
      </c>
    </row>
    <row r="7158" spans="2:9">
      <c r="B7158" s="677">
        <v>98529</v>
      </c>
      <c r="C7158" s="733" t="s">
        <v>2054</v>
      </c>
      <c r="D7158" s="677" t="s">
        <v>22</v>
      </c>
      <c r="E7158" s="738">
        <f t="shared" si="222"/>
        <v>63.98</v>
      </c>
      <c r="F7158">
        <f t="shared" si="223"/>
        <v>98529</v>
      </c>
      <c r="H7158" s="1405">
        <v>57.7</v>
      </c>
      <c r="I7158" s="1405">
        <v>63.98</v>
      </c>
    </row>
    <row r="7159" spans="2:9">
      <c r="B7159" s="1477">
        <v>98530</v>
      </c>
      <c r="C7159" s="740" t="s">
        <v>2055</v>
      </c>
      <c r="D7159" s="739" t="s">
        <v>22</v>
      </c>
      <c r="E7159" s="741">
        <f t="shared" si="222"/>
        <v>113.97</v>
      </c>
      <c r="F7159">
        <f t="shared" si="223"/>
        <v>98530</v>
      </c>
      <c r="H7159" s="1406">
        <v>102.8</v>
      </c>
      <c r="I7159" s="1406">
        <v>113.97</v>
      </c>
    </row>
    <row r="7160" spans="2:9">
      <c r="B7160" s="677">
        <v>98531</v>
      </c>
      <c r="C7160" s="733" t="s">
        <v>2056</v>
      </c>
      <c r="D7160" s="677" t="s">
        <v>22</v>
      </c>
      <c r="E7160" s="738">
        <f t="shared" si="222"/>
        <v>271.85000000000002</v>
      </c>
      <c r="F7160">
        <f t="shared" si="223"/>
        <v>98531</v>
      </c>
      <c r="H7160" s="1405">
        <v>254.22</v>
      </c>
      <c r="I7160" s="1405">
        <v>271.85000000000002</v>
      </c>
    </row>
    <row r="7161" spans="2:9">
      <c r="B7161" s="1477">
        <v>98532</v>
      </c>
      <c r="C7161" s="740" t="s">
        <v>2057</v>
      </c>
      <c r="D7161" s="739" t="s">
        <v>22</v>
      </c>
      <c r="E7161" s="741">
        <f t="shared" si="222"/>
        <v>122.05</v>
      </c>
      <c r="F7161">
        <f t="shared" si="223"/>
        <v>98532</v>
      </c>
      <c r="H7161" s="1406">
        <v>116.58</v>
      </c>
      <c r="I7161" s="1406">
        <v>122.05</v>
      </c>
    </row>
    <row r="7162" spans="2:9">
      <c r="B7162" s="677">
        <v>98533</v>
      </c>
      <c r="C7162" s="733" t="s">
        <v>2058</v>
      </c>
      <c r="D7162" s="677" t="s">
        <v>22</v>
      </c>
      <c r="E7162" s="738">
        <f t="shared" si="222"/>
        <v>334.48</v>
      </c>
      <c r="F7162">
        <f t="shared" si="223"/>
        <v>98533</v>
      </c>
      <c r="H7162" s="1405">
        <v>317.39999999999998</v>
      </c>
      <c r="I7162" s="1405">
        <v>334.48</v>
      </c>
    </row>
    <row r="7163" spans="2:9">
      <c r="B7163" s="1477">
        <v>98534</v>
      </c>
      <c r="C7163" s="740" t="s">
        <v>2059</v>
      </c>
      <c r="D7163" s="739" t="s">
        <v>22</v>
      </c>
      <c r="E7163" s="741">
        <f t="shared" si="222"/>
        <v>856.64</v>
      </c>
      <c r="F7163">
        <f t="shared" si="223"/>
        <v>98534</v>
      </c>
      <c r="H7163" s="1406">
        <v>815.35</v>
      </c>
      <c r="I7163" s="1406">
        <v>856.64</v>
      </c>
    </row>
    <row r="7164" spans="2:9">
      <c r="B7164" s="677">
        <v>98535</v>
      </c>
      <c r="C7164" s="733" t="s">
        <v>2060</v>
      </c>
      <c r="D7164" s="677" t="s">
        <v>22</v>
      </c>
      <c r="E7164" s="738">
        <f t="shared" si="222"/>
        <v>1356.31</v>
      </c>
      <c r="F7164">
        <f t="shared" si="223"/>
        <v>98535</v>
      </c>
      <c r="H7164" s="1405">
        <v>1286.73</v>
      </c>
      <c r="I7164" s="1405">
        <v>1356.31</v>
      </c>
    </row>
    <row r="7165" spans="2:9">
      <c r="B7165" s="1477">
        <v>88238</v>
      </c>
      <c r="C7165" s="740" t="s">
        <v>65</v>
      </c>
      <c r="D7165" s="739" t="s">
        <v>31</v>
      </c>
      <c r="E7165" s="741">
        <f t="shared" si="222"/>
        <v>21.5</v>
      </c>
      <c r="F7165">
        <f t="shared" si="223"/>
        <v>88238</v>
      </c>
      <c r="H7165" s="1406">
        <v>19.38</v>
      </c>
      <c r="I7165" s="1406">
        <v>21.5</v>
      </c>
    </row>
    <row r="7166" spans="2:9">
      <c r="B7166" s="677">
        <v>88239</v>
      </c>
      <c r="C7166" s="733" t="s">
        <v>66</v>
      </c>
      <c r="D7166" s="677" t="s">
        <v>31</v>
      </c>
      <c r="E7166" s="738">
        <f t="shared" si="222"/>
        <v>21.42</v>
      </c>
      <c r="F7166">
        <f t="shared" si="223"/>
        <v>88239</v>
      </c>
      <c r="H7166" s="1405">
        <v>19.29</v>
      </c>
      <c r="I7166" s="1405">
        <v>21.42</v>
      </c>
    </row>
    <row r="7167" spans="2:9">
      <c r="B7167" s="1477">
        <v>88240</v>
      </c>
      <c r="C7167" s="740" t="s">
        <v>67</v>
      </c>
      <c r="D7167" s="739" t="s">
        <v>31</v>
      </c>
      <c r="E7167" s="741">
        <f t="shared" si="222"/>
        <v>20.309999999999999</v>
      </c>
      <c r="F7167">
        <f t="shared" si="223"/>
        <v>88240</v>
      </c>
      <c r="H7167" s="1406">
        <v>18.190000000000001</v>
      </c>
      <c r="I7167" s="1406">
        <v>20.309999999999999</v>
      </c>
    </row>
    <row r="7168" spans="2:9">
      <c r="B7168" s="677">
        <v>88241</v>
      </c>
      <c r="C7168" s="733" t="s">
        <v>68</v>
      </c>
      <c r="D7168" s="677" t="s">
        <v>31</v>
      </c>
      <c r="E7168" s="738">
        <f t="shared" si="222"/>
        <v>21.33</v>
      </c>
      <c r="F7168">
        <f t="shared" si="223"/>
        <v>88241</v>
      </c>
      <c r="H7168" s="1405">
        <v>19.23</v>
      </c>
      <c r="I7168" s="1405">
        <v>21.33</v>
      </c>
    </row>
    <row r="7169" spans="2:9">
      <c r="B7169" s="1477">
        <v>88242</v>
      </c>
      <c r="C7169" s="740" t="s">
        <v>69</v>
      </c>
      <c r="D7169" s="739" t="s">
        <v>31</v>
      </c>
      <c r="E7169" s="741">
        <f t="shared" si="222"/>
        <v>21.56</v>
      </c>
      <c r="F7169">
        <f t="shared" si="223"/>
        <v>88242</v>
      </c>
      <c r="H7169" s="1406">
        <v>19.43</v>
      </c>
      <c r="I7169" s="1406">
        <v>21.56</v>
      </c>
    </row>
    <row r="7170" spans="2:9">
      <c r="B7170" s="677">
        <v>88243</v>
      </c>
      <c r="C7170" s="733" t="s">
        <v>70</v>
      </c>
      <c r="D7170" s="677" t="s">
        <v>31</v>
      </c>
      <c r="E7170" s="738">
        <f t="shared" si="222"/>
        <v>21.21</v>
      </c>
      <c r="F7170">
        <f t="shared" si="223"/>
        <v>88243</v>
      </c>
      <c r="H7170" s="1405">
        <v>19.11</v>
      </c>
      <c r="I7170" s="1405">
        <v>21.21</v>
      </c>
    </row>
    <row r="7171" spans="2:9">
      <c r="B7171" s="1477">
        <v>88245</v>
      </c>
      <c r="C7171" s="740" t="s">
        <v>71</v>
      </c>
      <c r="D7171" s="739" t="s">
        <v>31</v>
      </c>
      <c r="E7171" s="741">
        <f t="shared" ref="E7171:E7234" si="224">IF($K$2=$H$1,H7171,I7171)</f>
        <v>25.4</v>
      </c>
      <c r="F7171">
        <f t="shared" si="223"/>
        <v>88245</v>
      </c>
      <c r="H7171" s="1406">
        <v>22.76</v>
      </c>
      <c r="I7171" s="1406">
        <v>25.4</v>
      </c>
    </row>
    <row r="7172" spans="2:9">
      <c r="B7172" s="677">
        <v>88246</v>
      </c>
      <c r="C7172" s="733" t="s">
        <v>72</v>
      </c>
      <c r="D7172" s="677" t="s">
        <v>31</v>
      </c>
      <c r="E7172" s="738">
        <f t="shared" si="224"/>
        <v>14.31</v>
      </c>
      <c r="F7172">
        <f t="shared" ref="F7172:F7235" si="225">IF(LEN($B7172)=7,CONCATENATE(MID($B7172,1,6),"00",RIGHT($B7172,1)),IF(LEN($B7172)=8,CONCATENATE(MID($B7172,1,6),"0",RIGHT($B7172,2)),$B7172))</f>
        <v>88246</v>
      </c>
      <c r="H7172" s="1405">
        <v>12.97</v>
      </c>
      <c r="I7172" s="1405">
        <v>14.31</v>
      </c>
    </row>
    <row r="7173" spans="2:9">
      <c r="B7173" s="1477">
        <v>88247</v>
      </c>
      <c r="C7173" s="740" t="s">
        <v>73</v>
      </c>
      <c r="D7173" s="739" t="s">
        <v>31</v>
      </c>
      <c r="E7173" s="741">
        <f t="shared" si="224"/>
        <v>21.96</v>
      </c>
      <c r="F7173">
        <f t="shared" si="225"/>
        <v>88247</v>
      </c>
      <c r="H7173" s="1406">
        <v>19.78</v>
      </c>
      <c r="I7173" s="1406">
        <v>21.96</v>
      </c>
    </row>
    <row r="7174" spans="2:9">
      <c r="B7174" s="677">
        <v>88248</v>
      </c>
      <c r="C7174" s="733" t="s">
        <v>1581</v>
      </c>
      <c r="D7174" s="677" t="s">
        <v>31</v>
      </c>
      <c r="E7174" s="738">
        <f t="shared" si="224"/>
        <v>20.92</v>
      </c>
      <c r="F7174">
        <f t="shared" si="225"/>
        <v>88248</v>
      </c>
      <c r="H7174" s="1405">
        <v>18.79</v>
      </c>
      <c r="I7174" s="1405">
        <v>20.92</v>
      </c>
    </row>
    <row r="7175" spans="2:9">
      <c r="B7175" s="1477">
        <v>88249</v>
      </c>
      <c r="C7175" s="740" t="s">
        <v>74</v>
      </c>
      <c r="D7175" s="739" t="s">
        <v>31</v>
      </c>
      <c r="E7175" s="741">
        <f t="shared" si="224"/>
        <v>27.19</v>
      </c>
      <c r="F7175">
        <f t="shared" si="225"/>
        <v>88249</v>
      </c>
      <c r="H7175" s="1406">
        <v>23.91</v>
      </c>
      <c r="I7175" s="1406">
        <v>27.19</v>
      </c>
    </row>
    <row r="7176" spans="2:9">
      <c r="B7176" s="677">
        <v>88250</v>
      </c>
      <c r="C7176" s="733" t="s">
        <v>75</v>
      </c>
      <c r="D7176" s="677" t="s">
        <v>31</v>
      </c>
      <c r="E7176" s="738">
        <f t="shared" si="224"/>
        <v>20.309999999999999</v>
      </c>
      <c r="F7176">
        <f t="shared" si="225"/>
        <v>88250</v>
      </c>
      <c r="H7176" s="1405">
        <v>18.190000000000001</v>
      </c>
      <c r="I7176" s="1405">
        <v>20.309999999999999</v>
      </c>
    </row>
    <row r="7177" spans="2:9">
      <c r="B7177" s="1477">
        <v>88251</v>
      </c>
      <c r="C7177" s="740" t="s">
        <v>76</v>
      </c>
      <c r="D7177" s="739" t="s">
        <v>31</v>
      </c>
      <c r="E7177" s="741">
        <f t="shared" si="224"/>
        <v>21.5</v>
      </c>
      <c r="F7177">
        <f t="shared" si="225"/>
        <v>88251</v>
      </c>
      <c r="H7177" s="1406">
        <v>19.38</v>
      </c>
      <c r="I7177" s="1406">
        <v>21.5</v>
      </c>
    </row>
    <row r="7178" spans="2:9">
      <c r="B7178" s="677">
        <v>88252</v>
      </c>
      <c r="C7178" s="733" t="s">
        <v>77</v>
      </c>
      <c r="D7178" s="677" t="s">
        <v>31</v>
      </c>
      <c r="E7178" s="738">
        <f t="shared" si="224"/>
        <v>20.16</v>
      </c>
      <c r="F7178">
        <f t="shared" si="225"/>
        <v>88252</v>
      </c>
      <c r="H7178" s="1405">
        <v>18.190000000000001</v>
      </c>
      <c r="I7178" s="1405">
        <v>20.16</v>
      </c>
    </row>
    <row r="7179" spans="2:9">
      <c r="B7179" s="1477">
        <v>88253</v>
      </c>
      <c r="C7179" s="740" t="s">
        <v>78</v>
      </c>
      <c r="D7179" s="739" t="s">
        <v>31</v>
      </c>
      <c r="E7179" s="741">
        <f t="shared" si="224"/>
        <v>11.13</v>
      </c>
      <c r="F7179">
        <f t="shared" si="225"/>
        <v>88253</v>
      </c>
      <c r="H7179" s="1406">
        <v>9.9499999999999993</v>
      </c>
      <c r="I7179" s="1406">
        <v>11.13</v>
      </c>
    </row>
    <row r="7180" spans="2:9">
      <c r="B7180" s="677">
        <v>88255</v>
      </c>
      <c r="C7180" s="733" t="s">
        <v>79</v>
      </c>
      <c r="D7180" s="677" t="s">
        <v>31</v>
      </c>
      <c r="E7180" s="738">
        <f t="shared" si="224"/>
        <v>27.22</v>
      </c>
      <c r="F7180">
        <f t="shared" si="225"/>
        <v>88255</v>
      </c>
      <c r="H7180" s="1405">
        <v>23.92</v>
      </c>
      <c r="I7180" s="1405">
        <v>27.22</v>
      </c>
    </row>
    <row r="7181" spans="2:9">
      <c r="B7181" s="1477">
        <v>88256</v>
      </c>
      <c r="C7181" s="740" t="s">
        <v>80</v>
      </c>
      <c r="D7181" s="739" t="s">
        <v>31</v>
      </c>
      <c r="E7181" s="741">
        <f t="shared" si="224"/>
        <v>25.47</v>
      </c>
      <c r="F7181">
        <f t="shared" si="225"/>
        <v>88256</v>
      </c>
      <c r="H7181" s="1406">
        <v>22.83</v>
      </c>
      <c r="I7181" s="1406">
        <v>25.47</v>
      </c>
    </row>
    <row r="7182" spans="2:9">
      <c r="B7182" s="677">
        <v>88257</v>
      </c>
      <c r="C7182" s="733" t="s">
        <v>81</v>
      </c>
      <c r="D7182" s="677" t="s">
        <v>31</v>
      </c>
      <c r="E7182" s="738">
        <f t="shared" si="224"/>
        <v>18.510000000000002</v>
      </c>
      <c r="F7182">
        <f t="shared" si="225"/>
        <v>88257</v>
      </c>
      <c r="H7182" s="1405">
        <v>16.62</v>
      </c>
      <c r="I7182" s="1405">
        <v>18.510000000000002</v>
      </c>
    </row>
    <row r="7183" spans="2:9">
      <c r="B7183" s="1477">
        <v>88258</v>
      </c>
      <c r="C7183" s="740" t="s">
        <v>542</v>
      </c>
      <c r="D7183" s="739" t="s">
        <v>31</v>
      </c>
      <c r="E7183" s="741">
        <f t="shared" si="224"/>
        <v>18.100000000000001</v>
      </c>
      <c r="F7183">
        <f t="shared" si="225"/>
        <v>88258</v>
      </c>
      <c r="H7183" s="1406">
        <v>16.010000000000002</v>
      </c>
      <c r="I7183" s="1406">
        <v>18.100000000000001</v>
      </c>
    </row>
    <row r="7184" spans="2:9">
      <c r="B7184" s="677">
        <v>88260</v>
      </c>
      <c r="C7184" s="733" t="s">
        <v>82</v>
      </c>
      <c r="D7184" s="677" t="s">
        <v>31</v>
      </c>
      <c r="E7184" s="738">
        <f t="shared" si="224"/>
        <v>23.49</v>
      </c>
      <c r="F7184">
        <f t="shared" si="225"/>
        <v>88260</v>
      </c>
      <c r="H7184" s="1405">
        <v>21.1</v>
      </c>
      <c r="I7184" s="1405">
        <v>23.49</v>
      </c>
    </row>
    <row r="7185" spans="2:9">
      <c r="B7185" s="1477">
        <v>88261</v>
      </c>
      <c r="C7185" s="740" t="s">
        <v>83</v>
      </c>
      <c r="D7185" s="739" t="s">
        <v>31</v>
      </c>
      <c r="E7185" s="741">
        <f t="shared" si="224"/>
        <v>24.15</v>
      </c>
      <c r="F7185">
        <f t="shared" si="225"/>
        <v>88261</v>
      </c>
      <c r="H7185" s="1406">
        <v>21.66</v>
      </c>
      <c r="I7185" s="1406">
        <v>24.15</v>
      </c>
    </row>
    <row r="7186" spans="2:9">
      <c r="B7186" s="677">
        <v>88262</v>
      </c>
      <c r="C7186" s="733" t="s">
        <v>84</v>
      </c>
      <c r="D7186" s="677" t="s">
        <v>31</v>
      </c>
      <c r="E7186" s="738">
        <f t="shared" si="224"/>
        <v>25.26</v>
      </c>
      <c r="F7186">
        <f t="shared" si="225"/>
        <v>88262</v>
      </c>
      <c r="H7186" s="1405">
        <v>22.62</v>
      </c>
      <c r="I7186" s="1405">
        <v>25.26</v>
      </c>
    </row>
    <row r="7187" spans="2:9">
      <c r="B7187" s="1477">
        <v>88263</v>
      </c>
      <c r="C7187" s="740" t="s">
        <v>1582</v>
      </c>
      <c r="D7187" s="739" t="s">
        <v>31</v>
      </c>
      <c r="E7187" s="741">
        <f t="shared" si="224"/>
        <v>21.17</v>
      </c>
      <c r="F7187">
        <f t="shared" si="225"/>
        <v>88263</v>
      </c>
      <c r="H7187" s="1406">
        <v>18.93</v>
      </c>
      <c r="I7187" s="1406">
        <v>21.17</v>
      </c>
    </row>
    <row r="7188" spans="2:9">
      <c r="B7188" s="677">
        <v>88264</v>
      </c>
      <c r="C7188" s="733" t="s">
        <v>85</v>
      </c>
      <c r="D7188" s="677" t="s">
        <v>31</v>
      </c>
      <c r="E7188" s="738">
        <f t="shared" si="224"/>
        <v>26.68</v>
      </c>
      <c r="F7188">
        <f t="shared" si="225"/>
        <v>88264</v>
      </c>
      <c r="H7188" s="1405">
        <v>23.88</v>
      </c>
      <c r="I7188" s="1405">
        <v>26.68</v>
      </c>
    </row>
    <row r="7189" spans="2:9">
      <c r="B7189" s="1477">
        <v>88265</v>
      </c>
      <c r="C7189" s="740" t="s">
        <v>86</v>
      </c>
      <c r="D7189" s="739" t="s">
        <v>31</v>
      </c>
      <c r="E7189" s="741">
        <f t="shared" si="224"/>
        <v>26.68</v>
      </c>
      <c r="F7189">
        <f t="shared" si="225"/>
        <v>88265</v>
      </c>
      <c r="H7189" s="1406">
        <v>23.88</v>
      </c>
      <c r="I7189" s="1406">
        <v>26.68</v>
      </c>
    </row>
    <row r="7190" spans="2:9">
      <c r="B7190" s="677">
        <v>88266</v>
      </c>
      <c r="C7190" s="733" t="s">
        <v>87</v>
      </c>
      <c r="D7190" s="677" t="s">
        <v>31</v>
      </c>
      <c r="E7190" s="738">
        <f t="shared" si="224"/>
        <v>32.85</v>
      </c>
      <c r="F7190">
        <f t="shared" si="225"/>
        <v>88266</v>
      </c>
      <c r="H7190" s="1405">
        <v>29.24</v>
      </c>
      <c r="I7190" s="1405">
        <v>32.85</v>
      </c>
    </row>
    <row r="7191" spans="2:9">
      <c r="B7191" s="1477">
        <v>88267</v>
      </c>
      <c r="C7191" s="740" t="s">
        <v>88</v>
      </c>
      <c r="D7191" s="739" t="s">
        <v>31</v>
      </c>
      <c r="E7191" s="741">
        <f t="shared" si="224"/>
        <v>25.55</v>
      </c>
      <c r="F7191">
        <f t="shared" si="225"/>
        <v>88267</v>
      </c>
      <c r="H7191" s="1406">
        <v>22.8</v>
      </c>
      <c r="I7191" s="1406">
        <v>25.55</v>
      </c>
    </row>
    <row r="7192" spans="2:9">
      <c r="B7192" s="677">
        <v>88269</v>
      </c>
      <c r="C7192" s="733" t="s">
        <v>89</v>
      </c>
      <c r="D7192" s="677" t="s">
        <v>31</v>
      </c>
      <c r="E7192" s="738">
        <f t="shared" si="224"/>
        <v>24.5</v>
      </c>
      <c r="F7192">
        <f t="shared" si="225"/>
        <v>88269</v>
      </c>
      <c r="H7192" s="1405">
        <v>21.98</v>
      </c>
      <c r="I7192" s="1405">
        <v>24.5</v>
      </c>
    </row>
    <row r="7193" spans="2:9">
      <c r="B7193" s="1477">
        <v>88270</v>
      </c>
      <c r="C7193" s="740" t="s">
        <v>90</v>
      </c>
      <c r="D7193" s="739" t="s">
        <v>31</v>
      </c>
      <c r="E7193" s="741">
        <f t="shared" si="224"/>
        <v>23.14</v>
      </c>
      <c r="F7193">
        <f t="shared" si="225"/>
        <v>88270</v>
      </c>
      <c r="H7193" s="1406">
        <v>20.8</v>
      </c>
      <c r="I7193" s="1406">
        <v>23.14</v>
      </c>
    </row>
    <row r="7194" spans="2:9">
      <c r="B7194" s="677">
        <v>88272</v>
      </c>
      <c r="C7194" s="733" t="s">
        <v>91</v>
      </c>
      <c r="D7194" s="677" t="s">
        <v>31</v>
      </c>
      <c r="E7194" s="738">
        <f t="shared" si="224"/>
        <v>25.97</v>
      </c>
      <c r="F7194">
        <f t="shared" si="225"/>
        <v>88272</v>
      </c>
      <c r="H7194" s="1405">
        <v>23.39</v>
      </c>
      <c r="I7194" s="1405">
        <v>25.97</v>
      </c>
    </row>
    <row r="7195" spans="2:9">
      <c r="B7195" s="1477">
        <v>88273</v>
      </c>
      <c r="C7195" s="740" t="s">
        <v>92</v>
      </c>
      <c r="D7195" s="739" t="s">
        <v>31</v>
      </c>
      <c r="E7195" s="741">
        <f t="shared" si="224"/>
        <v>23.84</v>
      </c>
      <c r="F7195">
        <f t="shared" si="225"/>
        <v>88273</v>
      </c>
      <c r="H7195" s="1406">
        <v>21.39</v>
      </c>
      <c r="I7195" s="1406">
        <v>23.84</v>
      </c>
    </row>
    <row r="7196" spans="2:9">
      <c r="B7196" s="677">
        <v>88274</v>
      </c>
      <c r="C7196" s="733" t="s">
        <v>93</v>
      </c>
      <c r="D7196" s="677" t="s">
        <v>31</v>
      </c>
      <c r="E7196" s="738">
        <f t="shared" si="224"/>
        <v>25.47</v>
      </c>
      <c r="F7196">
        <f t="shared" si="225"/>
        <v>88274</v>
      </c>
      <c r="H7196" s="1405">
        <v>22.83</v>
      </c>
      <c r="I7196" s="1405">
        <v>25.47</v>
      </c>
    </row>
    <row r="7197" spans="2:9">
      <c r="B7197" s="1477">
        <v>88275</v>
      </c>
      <c r="C7197" s="740" t="s">
        <v>94</v>
      </c>
      <c r="D7197" s="739" t="s">
        <v>31</v>
      </c>
      <c r="E7197" s="741">
        <f t="shared" si="224"/>
        <v>30.42</v>
      </c>
      <c r="F7197">
        <f t="shared" si="225"/>
        <v>88275</v>
      </c>
      <c r="H7197" s="1406">
        <v>26.96</v>
      </c>
      <c r="I7197" s="1406">
        <v>30.42</v>
      </c>
    </row>
    <row r="7198" spans="2:9">
      <c r="B7198" s="677">
        <v>88277</v>
      </c>
      <c r="C7198" s="733" t="s">
        <v>95</v>
      </c>
      <c r="D7198" s="677" t="s">
        <v>31</v>
      </c>
      <c r="E7198" s="738">
        <f t="shared" si="224"/>
        <v>15.89</v>
      </c>
      <c r="F7198">
        <f t="shared" si="225"/>
        <v>88277</v>
      </c>
      <c r="H7198" s="1405">
        <v>14.35</v>
      </c>
      <c r="I7198" s="1405">
        <v>15.89</v>
      </c>
    </row>
    <row r="7199" spans="2:9">
      <c r="B7199" s="1477">
        <v>88278</v>
      </c>
      <c r="C7199" s="740" t="s">
        <v>96</v>
      </c>
      <c r="D7199" s="739" t="s">
        <v>31</v>
      </c>
      <c r="E7199" s="741">
        <f t="shared" si="224"/>
        <v>22.44</v>
      </c>
      <c r="F7199">
        <f t="shared" si="225"/>
        <v>88278</v>
      </c>
      <c r="H7199" s="1406">
        <v>20.04</v>
      </c>
      <c r="I7199" s="1406">
        <v>22.44</v>
      </c>
    </row>
    <row r="7200" spans="2:9">
      <c r="B7200" s="677">
        <v>88279</v>
      </c>
      <c r="C7200" s="733" t="s">
        <v>97</v>
      </c>
      <c r="D7200" s="677" t="s">
        <v>31</v>
      </c>
      <c r="E7200" s="738">
        <f t="shared" si="224"/>
        <v>19.34</v>
      </c>
      <c r="F7200">
        <f t="shared" si="225"/>
        <v>88279</v>
      </c>
      <c r="H7200" s="1405">
        <v>17.489999999999998</v>
      </c>
      <c r="I7200" s="1405">
        <v>19.34</v>
      </c>
    </row>
    <row r="7201" spans="2:9">
      <c r="B7201" s="1477">
        <v>88281</v>
      </c>
      <c r="C7201" s="740" t="s">
        <v>98</v>
      </c>
      <c r="D7201" s="739" t="s">
        <v>31</v>
      </c>
      <c r="E7201" s="741">
        <f t="shared" si="224"/>
        <v>30.84</v>
      </c>
      <c r="F7201">
        <f t="shared" si="225"/>
        <v>88281</v>
      </c>
      <c r="H7201" s="1406">
        <v>27.33</v>
      </c>
      <c r="I7201" s="1406">
        <v>30.84</v>
      </c>
    </row>
    <row r="7202" spans="2:9">
      <c r="B7202" s="677">
        <v>88282</v>
      </c>
      <c r="C7202" s="733" t="s">
        <v>99</v>
      </c>
      <c r="D7202" s="677" t="s">
        <v>31</v>
      </c>
      <c r="E7202" s="738">
        <f t="shared" si="224"/>
        <v>29.84</v>
      </c>
      <c r="F7202">
        <f t="shared" si="225"/>
        <v>88282</v>
      </c>
      <c r="H7202" s="1405">
        <v>26.46</v>
      </c>
      <c r="I7202" s="1405">
        <v>29.84</v>
      </c>
    </row>
    <row r="7203" spans="2:9">
      <c r="B7203" s="1477">
        <v>88283</v>
      </c>
      <c r="C7203" s="740" t="s">
        <v>100</v>
      </c>
      <c r="D7203" s="739" t="s">
        <v>31</v>
      </c>
      <c r="E7203" s="741">
        <f t="shared" si="224"/>
        <v>36.11</v>
      </c>
      <c r="F7203">
        <f t="shared" si="225"/>
        <v>88283</v>
      </c>
      <c r="H7203" s="1406">
        <v>31.91</v>
      </c>
      <c r="I7203" s="1406">
        <v>36.11</v>
      </c>
    </row>
    <row r="7204" spans="2:9">
      <c r="B7204" s="677">
        <v>88284</v>
      </c>
      <c r="C7204" s="733" t="s">
        <v>8213</v>
      </c>
      <c r="D7204" s="677" t="s">
        <v>31</v>
      </c>
      <c r="E7204" s="738">
        <f t="shared" si="224"/>
        <v>25.54</v>
      </c>
      <c r="F7204">
        <f t="shared" si="225"/>
        <v>88284</v>
      </c>
      <c r="H7204" s="1405">
        <v>22.72</v>
      </c>
      <c r="I7204" s="1405">
        <v>25.54</v>
      </c>
    </row>
    <row r="7205" spans="2:9">
      <c r="B7205" s="1477">
        <v>88286</v>
      </c>
      <c r="C7205" s="740" t="s">
        <v>101</v>
      </c>
      <c r="D7205" s="739" t="s">
        <v>31</v>
      </c>
      <c r="E7205" s="741">
        <f t="shared" si="224"/>
        <v>33.450000000000003</v>
      </c>
      <c r="F7205">
        <f t="shared" si="225"/>
        <v>88286</v>
      </c>
      <c r="H7205" s="1406">
        <v>29.6</v>
      </c>
      <c r="I7205" s="1406">
        <v>33.450000000000003</v>
      </c>
    </row>
    <row r="7206" spans="2:9">
      <c r="B7206" s="677">
        <v>88288</v>
      </c>
      <c r="C7206" s="733" t="s">
        <v>102</v>
      </c>
      <c r="D7206" s="677" t="s">
        <v>31</v>
      </c>
      <c r="E7206" s="738">
        <f t="shared" si="224"/>
        <v>18.25</v>
      </c>
      <c r="F7206">
        <f t="shared" si="225"/>
        <v>88288</v>
      </c>
      <c r="H7206" s="1405">
        <v>16.14</v>
      </c>
      <c r="I7206" s="1405">
        <v>18.25</v>
      </c>
    </row>
    <row r="7207" spans="2:9">
      <c r="B7207" s="1477">
        <v>88291</v>
      </c>
      <c r="C7207" s="740" t="s">
        <v>103</v>
      </c>
      <c r="D7207" s="739" t="s">
        <v>31</v>
      </c>
      <c r="E7207" s="741">
        <f t="shared" si="224"/>
        <v>21.38</v>
      </c>
      <c r="F7207">
        <f t="shared" si="225"/>
        <v>88291</v>
      </c>
      <c r="H7207" s="1406">
        <v>19.12</v>
      </c>
      <c r="I7207" s="1406">
        <v>21.38</v>
      </c>
    </row>
    <row r="7208" spans="2:9">
      <c r="B7208" s="677">
        <v>88292</v>
      </c>
      <c r="C7208" s="733" t="s">
        <v>104</v>
      </c>
      <c r="D7208" s="677" t="s">
        <v>31</v>
      </c>
      <c r="E7208" s="738">
        <f t="shared" si="224"/>
        <v>21.21</v>
      </c>
      <c r="F7208">
        <f t="shared" si="225"/>
        <v>88292</v>
      </c>
      <c r="H7208" s="1405">
        <v>18.97</v>
      </c>
      <c r="I7208" s="1405">
        <v>21.21</v>
      </c>
    </row>
    <row r="7209" spans="2:9">
      <c r="B7209" s="1477">
        <v>88293</v>
      </c>
      <c r="C7209" s="740" t="s">
        <v>314</v>
      </c>
      <c r="D7209" s="739" t="s">
        <v>31</v>
      </c>
      <c r="E7209" s="741">
        <f t="shared" si="224"/>
        <v>21.38</v>
      </c>
      <c r="F7209">
        <f t="shared" si="225"/>
        <v>88293</v>
      </c>
      <c r="H7209" s="1406">
        <v>19.12</v>
      </c>
      <c r="I7209" s="1406">
        <v>21.38</v>
      </c>
    </row>
    <row r="7210" spans="2:9">
      <c r="B7210" s="677">
        <v>88294</v>
      </c>
      <c r="C7210" s="733" t="s">
        <v>105</v>
      </c>
      <c r="D7210" s="677" t="s">
        <v>31</v>
      </c>
      <c r="E7210" s="738">
        <f t="shared" si="224"/>
        <v>24.21</v>
      </c>
      <c r="F7210">
        <f t="shared" si="225"/>
        <v>88294</v>
      </c>
      <c r="H7210" s="1405">
        <v>21.57</v>
      </c>
      <c r="I7210" s="1405">
        <v>24.21</v>
      </c>
    </row>
    <row r="7211" spans="2:9">
      <c r="B7211" s="1477">
        <v>88295</v>
      </c>
      <c r="C7211" s="740" t="s">
        <v>106</v>
      </c>
      <c r="D7211" s="739" t="s">
        <v>31</v>
      </c>
      <c r="E7211" s="741">
        <f t="shared" si="224"/>
        <v>20.99</v>
      </c>
      <c r="F7211">
        <f t="shared" si="225"/>
        <v>88295</v>
      </c>
      <c r="H7211" s="1406">
        <v>18.78</v>
      </c>
      <c r="I7211" s="1406">
        <v>20.99</v>
      </c>
    </row>
    <row r="7212" spans="2:9">
      <c r="B7212" s="677">
        <v>88296</v>
      </c>
      <c r="C7212" s="733" t="s">
        <v>107</v>
      </c>
      <c r="D7212" s="677" t="s">
        <v>31</v>
      </c>
      <c r="E7212" s="738">
        <f t="shared" si="224"/>
        <v>25.07</v>
      </c>
      <c r="F7212">
        <f t="shared" si="225"/>
        <v>88296</v>
      </c>
      <c r="H7212" s="1405">
        <v>22.32</v>
      </c>
      <c r="I7212" s="1405">
        <v>25.07</v>
      </c>
    </row>
    <row r="7213" spans="2:9">
      <c r="B7213" s="1477">
        <v>88297</v>
      </c>
      <c r="C7213" s="740" t="s">
        <v>108</v>
      </c>
      <c r="D7213" s="739" t="s">
        <v>31</v>
      </c>
      <c r="E7213" s="741">
        <f t="shared" si="224"/>
        <v>21.72</v>
      </c>
      <c r="F7213">
        <f t="shared" si="225"/>
        <v>88297</v>
      </c>
      <c r="H7213" s="1406">
        <v>19.399999999999999</v>
      </c>
      <c r="I7213" s="1406">
        <v>21.72</v>
      </c>
    </row>
    <row r="7214" spans="2:9">
      <c r="B7214" s="677">
        <v>88298</v>
      </c>
      <c r="C7214" s="733" t="s">
        <v>109</v>
      </c>
      <c r="D7214" s="677" t="s">
        <v>31</v>
      </c>
      <c r="E7214" s="738">
        <f t="shared" si="224"/>
        <v>19.100000000000001</v>
      </c>
      <c r="F7214">
        <f t="shared" si="225"/>
        <v>88298</v>
      </c>
      <c r="H7214" s="1405">
        <v>17.14</v>
      </c>
      <c r="I7214" s="1405">
        <v>19.100000000000001</v>
      </c>
    </row>
    <row r="7215" spans="2:9">
      <c r="B7215" s="1477">
        <v>88299</v>
      </c>
      <c r="C7215" s="740" t="s">
        <v>110</v>
      </c>
      <c r="D7215" s="739" t="s">
        <v>31</v>
      </c>
      <c r="E7215" s="741">
        <f t="shared" si="224"/>
        <v>28.79</v>
      </c>
      <c r="F7215">
        <f t="shared" si="225"/>
        <v>88299</v>
      </c>
      <c r="H7215" s="1406">
        <v>25.55</v>
      </c>
      <c r="I7215" s="1406">
        <v>28.79</v>
      </c>
    </row>
    <row r="7216" spans="2:9">
      <c r="B7216" s="677">
        <v>88300</v>
      </c>
      <c r="C7216" s="733" t="s">
        <v>111</v>
      </c>
      <c r="D7216" s="677" t="s">
        <v>31</v>
      </c>
      <c r="E7216" s="738">
        <f t="shared" si="224"/>
        <v>28.79</v>
      </c>
      <c r="F7216">
        <f t="shared" si="225"/>
        <v>88300</v>
      </c>
      <c r="H7216" s="1405">
        <v>25.55</v>
      </c>
      <c r="I7216" s="1405">
        <v>28.79</v>
      </c>
    </row>
    <row r="7217" spans="2:9">
      <c r="B7217" s="1477">
        <v>88301</v>
      </c>
      <c r="C7217" s="740" t="s">
        <v>112</v>
      </c>
      <c r="D7217" s="739" t="s">
        <v>31</v>
      </c>
      <c r="E7217" s="741">
        <f t="shared" si="224"/>
        <v>21.38</v>
      </c>
      <c r="F7217">
        <f t="shared" si="225"/>
        <v>88301</v>
      </c>
      <c r="H7217" s="1406">
        <v>19.12</v>
      </c>
      <c r="I7217" s="1406">
        <v>21.38</v>
      </c>
    </row>
    <row r="7218" spans="2:9">
      <c r="B7218" s="677">
        <v>88302</v>
      </c>
      <c r="C7218" s="733" t="s">
        <v>113</v>
      </c>
      <c r="D7218" s="677" t="s">
        <v>31</v>
      </c>
      <c r="E7218" s="738">
        <f t="shared" si="224"/>
        <v>21.38</v>
      </c>
      <c r="F7218">
        <f t="shared" si="225"/>
        <v>88302</v>
      </c>
      <c r="H7218" s="1405">
        <v>19.12</v>
      </c>
      <c r="I7218" s="1405">
        <v>21.38</v>
      </c>
    </row>
    <row r="7219" spans="2:9">
      <c r="B7219" s="1477">
        <v>88303</v>
      </c>
      <c r="C7219" s="740" t="s">
        <v>114</v>
      </c>
      <c r="D7219" s="739" t="s">
        <v>31</v>
      </c>
      <c r="E7219" s="741">
        <f t="shared" si="224"/>
        <v>21.21</v>
      </c>
      <c r="F7219">
        <f t="shared" si="225"/>
        <v>88303</v>
      </c>
      <c r="H7219" s="1406">
        <v>18.97</v>
      </c>
      <c r="I7219" s="1406">
        <v>21.21</v>
      </c>
    </row>
    <row r="7220" spans="2:9">
      <c r="B7220" s="677">
        <v>88304</v>
      </c>
      <c r="C7220" s="733" t="s">
        <v>1583</v>
      </c>
      <c r="D7220" s="677" t="s">
        <v>31</v>
      </c>
      <c r="E7220" s="738">
        <f t="shared" si="224"/>
        <v>28.79</v>
      </c>
      <c r="F7220">
        <f t="shared" si="225"/>
        <v>88304</v>
      </c>
      <c r="H7220" s="1405">
        <v>25.55</v>
      </c>
      <c r="I7220" s="1405">
        <v>28.79</v>
      </c>
    </row>
    <row r="7221" spans="2:9">
      <c r="B7221" s="1477">
        <v>88306</v>
      </c>
      <c r="C7221" s="740" t="s">
        <v>115</v>
      </c>
      <c r="D7221" s="739" t="s">
        <v>31</v>
      </c>
      <c r="E7221" s="741">
        <f t="shared" si="224"/>
        <v>18.78</v>
      </c>
      <c r="F7221">
        <f t="shared" si="225"/>
        <v>88306</v>
      </c>
      <c r="H7221" s="1406">
        <v>16.850000000000001</v>
      </c>
      <c r="I7221" s="1406">
        <v>18.78</v>
      </c>
    </row>
    <row r="7222" spans="2:9">
      <c r="B7222" s="677">
        <v>88307</v>
      </c>
      <c r="C7222" s="733" t="s">
        <v>116</v>
      </c>
      <c r="D7222" s="677" t="s">
        <v>31</v>
      </c>
      <c r="E7222" s="738">
        <f t="shared" si="224"/>
        <v>20.69</v>
      </c>
      <c r="F7222">
        <f t="shared" si="225"/>
        <v>88307</v>
      </c>
      <c r="H7222" s="1405">
        <v>18.510000000000002</v>
      </c>
      <c r="I7222" s="1405">
        <v>20.69</v>
      </c>
    </row>
    <row r="7223" spans="2:9">
      <c r="B7223" s="1477">
        <v>88308</v>
      </c>
      <c r="C7223" s="740" t="s">
        <v>117</v>
      </c>
      <c r="D7223" s="739" t="s">
        <v>31</v>
      </c>
      <c r="E7223" s="741">
        <f t="shared" si="224"/>
        <v>25.47</v>
      </c>
      <c r="F7223">
        <f t="shared" si="225"/>
        <v>88308</v>
      </c>
      <c r="H7223" s="1406">
        <v>22.83</v>
      </c>
      <c r="I7223" s="1406">
        <v>25.47</v>
      </c>
    </row>
    <row r="7224" spans="2:9">
      <c r="B7224" s="677">
        <v>88309</v>
      </c>
      <c r="C7224" s="733" t="s">
        <v>118</v>
      </c>
      <c r="D7224" s="677" t="s">
        <v>31</v>
      </c>
      <c r="E7224" s="738">
        <f t="shared" si="224"/>
        <v>25.62</v>
      </c>
      <c r="F7224">
        <f t="shared" si="225"/>
        <v>88309</v>
      </c>
      <c r="H7224" s="1405">
        <v>22.95</v>
      </c>
      <c r="I7224" s="1405">
        <v>25.62</v>
      </c>
    </row>
    <row r="7225" spans="2:9">
      <c r="B7225" s="1477">
        <v>88310</v>
      </c>
      <c r="C7225" s="740" t="s">
        <v>119</v>
      </c>
      <c r="D7225" s="739" t="s">
        <v>31</v>
      </c>
      <c r="E7225" s="741">
        <f t="shared" si="224"/>
        <v>27.11</v>
      </c>
      <c r="F7225">
        <f t="shared" si="225"/>
        <v>88310</v>
      </c>
      <c r="H7225" s="1406">
        <v>24.47</v>
      </c>
      <c r="I7225" s="1406">
        <v>27.11</v>
      </c>
    </row>
    <row r="7226" spans="2:9">
      <c r="B7226" s="677">
        <v>88311</v>
      </c>
      <c r="C7226" s="733" t="s">
        <v>120</v>
      </c>
      <c r="D7226" s="677" t="s">
        <v>31</v>
      </c>
      <c r="E7226" s="738">
        <f t="shared" si="224"/>
        <v>26.52</v>
      </c>
      <c r="F7226">
        <f t="shared" si="225"/>
        <v>88311</v>
      </c>
      <c r="H7226" s="1405">
        <v>23.95</v>
      </c>
      <c r="I7226" s="1405">
        <v>26.52</v>
      </c>
    </row>
    <row r="7227" spans="2:9">
      <c r="B7227" s="1477">
        <v>88312</v>
      </c>
      <c r="C7227" s="740" t="s">
        <v>121</v>
      </c>
      <c r="D7227" s="739" t="s">
        <v>31</v>
      </c>
      <c r="E7227" s="741">
        <f t="shared" si="224"/>
        <v>27.11</v>
      </c>
      <c r="F7227">
        <f t="shared" si="225"/>
        <v>88312</v>
      </c>
      <c r="H7227" s="1406">
        <v>24.47</v>
      </c>
      <c r="I7227" s="1406">
        <v>27.11</v>
      </c>
    </row>
    <row r="7228" spans="2:9">
      <c r="B7228" s="677">
        <v>88313</v>
      </c>
      <c r="C7228" s="733" t="s">
        <v>122</v>
      </c>
      <c r="D7228" s="677" t="s">
        <v>31</v>
      </c>
      <c r="E7228" s="738">
        <f t="shared" si="224"/>
        <v>20.89</v>
      </c>
      <c r="F7228">
        <f t="shared" si="225"/>
        <v>88313</v>
      </c>
      <c r="H7228" s="1405">
        <v>18.690000000000001</v>
      </c>
      <c r="I7228" s="1405">
        <v>20.89</v>
      </c>
    </row>
    <row r="7229" spans="2:9">
      <c r="B7229" s="1477">
        <v>88314</v>
      </c>
      <c r="C7229" s="740" t="s">
        <v>123</v>
      </c>
      <c r="D7229" s="739" t="s">
        <v>31</v>
      </c>
      <c r="E7229" s="741">
        <f t="shared" si="224"/>
        <v>22.17</v>
      </c>
      <c r="F7229">
        <f t="shared" si="225"/>
        <v>88314</v>
      </c>
      <c r="H7229" s="1406">
        <v>19.8</v>
      </c>
      <c r="I7229" s="1406">
        <v>22.17</v>
      </c>
    </row>
    <row r="7230" spans="2:9">
      <c r="B7230" s="677">
        <v>88315</v>
      </c>
      <c r="C7230" s="733" t="s">
        <v>124</v>
      </c>
      <c r="D7230" s="677" t="s">
        <v>31</v>
      </c>
      <c r="E7230" s="738">
        <f t="shared" si="224"/>
        <v>25.4</v>
      </c>
      <c r="F7230">
        <f t="shared" si="225"/>
        <v>88315</v>
      </c>
      <c r="H7230" s="1405">
        <v>22.76</v>
      </c>
      <c r="I7230" s="1405">
        <v>25.4</v>
      </c>
    </row>
    <row r="7231" spans="2:9">
      <c r="B7231" s="1477">
        <v>88316</v>
      </c>
      <c r="C7231" s="740" t="s">
        <v>125</v>
      </c>
      <c r="D7231" s="739" t="s">
        <v>31</v>
      </c>
      <c r="E7231" s="741">
        <f t="shared" si="224"/>
        <v>20.32</v>
      </c>
      <c r="F7231">
        <f t="shared" si="225"/>
        <v>88316</v>
      </c>
      <c r="H7231" s="1406">
        <v>18.34</v>
      </c>
      <c r="I7231" s="1406">
        <v>20.32</v>
      </c>
    </row>
    <row r="7232" spans="2:9">
      <c r="B7232" s="677">
        <v>88317</v>
      </c>
      <c r="C7232" s="733" t="s">
        <v>126</v>
      </c>
      <c r="D7232" s="677" t="s">
        <v>31</v>
      </c>
      <c r="E7232" s="738">
        <f t="shared" si="224"/>
        <v>26.36</v>
      </c>
      <c r="F7232">
        <f t="shared" si="225"/>
        <v>88317</v>
      </c>
      <c r="H7232" s="1405">
        <v>23.72</v>
      </c>
      <c r="I7232" s="1405">
        <v>26.36</v>
      </c>
    </row>
    <row r="7233" spans="2:9">
      <c r="B7233" s="1477">
        <v>88318</v>
      </c>
      <c r="C7233" s="740" t="s">
        <v>1584</v>
      </c>
      <c r="D7233" s="739" t="s">
        <v>31</v>
      </c>
      <c r="E7233" s="741">
        <f t="shared" si="224"/>
        <v>29.85</v>
      </c>
      <c r="F7233">
        <f t="shared" si="225"/>
        <v>88318</v>
      </c>
      <c r="H7233" s="1406">
        <v>26.76</v>
      </c>
      <c r="I7233" s="1406">
        <v>29.85</v>
      </c>
    </row>
    <row r="7234" spans="2:9">
      <c r="B7234" s="677">
        <v>88320</v>
      </c>
      <c r="C7234" s="733" t="s">
        <v>127</v>
      </c>
      <c r="D7234" s="677" t="s">
        <v>31</v>
      </c>
      <c r="E7234" s="738">
        <f t="shared" si="224"/>
        <v>25.26</v>
      </c>
      <c r="F7234">
        <f t="shared" si="225"/>
        <v>88320</v>
      </c>
      <c r="H7234" s="1405">
        <v>22.62</v>
      </c>
      <c r="I7234" s="1405">
        <v>25.26</v>
      </c>
    </row>
    <row r="7235" spans="2:9">
      <c r="B7235" s="1477">
        <v>88321</v>
      </c>
      <c r="C7235" s="740" t="s">
        <v>128</v>
      </c>
      <c r="D7235" s="739" t="s">
        <v>31</v>
      </c>
      <c r="E7235" s="741">
        <f t="shared" ref="E7235:E7298" si="226">IF($K$2=$H$1,H7235,I7235)</f>
        <v>29.68</v>
      </c>
      <c r="F7235">
        <f t="shared" si="225"/>
        <v>88321</v>
      </c>
      <c r="H7235" s="1406">
        <v>26.07</v>
      </c>
      <c r="I7235" s="1406">
        <v>29.68</v>
      </c>
    </row>
    <row r="7236" spans="2:9">
      <c r="B7236" s="677">
        <v>88322</v>
      </c>
      <c r="C7236" s="733" t="s">
        <v>129</v>
      </c>
      <c r="D7236" s="677" t="s">
        <v>31</v>
      </c>
      <c r="E7236" s="738">
        <f t="shared" si="226"/>
        <v>23.47</v>
      </c>
      <c r="F7236">
        <f t="shared" ref="F7236:F7299" si="227">IF(LEN($B7236)=7,CONCATENATE(MID($B7236,1,6),"00",RIGHT($B7236,1)),IF(LEN($B7236)=8,CONCATENATE(MID($B7236,1,6),"0",RIGHT($B7236,2)),$B7236))</f>
        <v>88322</v>
      </c>
      <c r="H7236" s="1405">
        <v>20.68</v>
      </c>
      <c r="I7236" s="1405">
        <v>23.47</v>
      </c>
    </row>
    <row r="7237" spans="2:9">
      <c r="B7237" s="1477">
        <v>88323</v>
      </c>
      <c r="C7237" s="740" t="s">
        <v>130</v>
      </c>
      <c r="D7237" s="739" t="s">
        <v>31</v>
      </c>
      <c r="E7237" s="741">
        <f t="shared" si="226"/>
        <v>25</v>
      </c>
      <c r="F7237">
        <f t="shared" si="227"/>
        <v>88323</v>
      </c>
      <c r="H7237" s="1406">
        <v>22.4</v>
      </c>
      <c r="I7237" s="1406">
        <v>25</v>
      </c>
    </row>
    <row r="7238" spans="2:9">
      <c r="B7238" s="677">
        <v>88324</v>
      </c>
      <c r="C7238" s="733" t="s">
        <v>131</v>
      </c>
      <c r="D7238" s="677" t="s">
        <v>31</v>
      </c>
      <c r="E7238" s="738">
        <f t="shared" si="226"/>
        <v>21.72</v>
      </c>
      <c r="F7238">
        <f t="shared" si="227"/>
        <v>88324</v>
      </c>
      <c r="H7238" s="1405">
        <v>19.399999999999999</v>
      </c>
      <c r="I7238" s="1405">
        <v>21.72</v>
      </c>
    </row>
    <row r="7239" spans="2:9">
      <c r="B7239" s="1477">
        <v>88325</v>
      </c>
      <c r="C7239" s="740" t="s">
        <v>132</v>
      </c>
      <c r="D7239" s="739" t="s">
        <v>31</v>
      </c>
      <c r="E7239" s="741">
        <f t="shared" si="226"/>
        <v>22.69</v>
      </c>
      <c r="F7239">
        <f t="shared" si="227"/>
        <v>88325</v>
      </c>
      <c r="H7239" s="1406">
        <v>20.420000000000002</v>
      </c>
      <c r="I7239" s="1406">
        <v>22.69</v>
      </c>
    </row>
    <row r="7240" spans="2:9">
      <c r="B7240" s="677">
        <v>88377</v>
      </c>
      <c r="C7240" s="733" t="s">
        <v>1585</v>
      </c>
      <c r="D7240" s="677" t="s">
        <v>31</v>
      </c>
      <c r="E7240" s="738">
        <f t="shared" si="226"/>
        <v>19.600000000000001</v>
      </c>
      <c r="F7240">
        <f t="shared" si="227"/>
        <v>88377</v>
      </c>
      <c r="H7240" s="1405">
        <v>17.57</v>
      </c>
      <c r="I7240" s="1405">
        <v>19.600000000000001</v>
      </c>
    </row>
    <row r="7241" spans="2:9">
      <c r="B7241" s="1477">
        <v>88441</v>
      </c>
      <c r="C7241" s="740" t="s">
        <v>133</v>
      </c>
      <c r="D7241" s="739" t="s">
        <v>31</v>
      </c>
      <c r="E7241" s="741">
        <f t="shared" si="226"/>
        <v>21.11</v>
      </c>
      <c r="F7241">
        <f t="shared" si="227"/>
        <v>88441</v>
      </c>
      <c r="H7241" s="1406">
        <v>19.03</v>
      </c>
      <c r="I7241" s="1406">
        <v>21.11</v>
      </c>
    </row>
    <row r="7242" spans="2:9">
      <c r="B7242" s="677">
        <v>88597</v>
      </c>
      <c r="C7242" s="733" t="s">
        <v>134</v>
      </c>
      <c r="D7242" s="677" t="s">
        <v>31</v>
      </c>
      <c r="E7242" s="738">
        <f t="shared" si="226"/>
        <v>21.02</v>
      </c>
      <c r="F7242">
        <f t="shared" si="227"/>
        <v>88597</v>
      </c>
      <c r="H7242" s="1405">
        <v>18.54</v>
      </c>
      <c r="I7242" s="1405">
        <v>21.02</v>
      </c>
    </row>
    <row r="7243" spans="2:9">
      <c r="B7243" s="1477">
        <v>90766</v>
      </c>
      <c r="C7243" s="740" t="s">
        <v>135</v>
      </c>
      <c r="D7243" s="739" t="s">
        <v>31</v>
      </c>
      <c r="E7243" s="741">
        <f t="shared" si="226"/>
        <v>22.13</v>
      </c>
      <c r="F7243">
        <f t="shared" si="227"/>
        <v>90766</v>
      </c>
      <c r="H7243" s="1406">
        <v>19.52</v>
      </c>
      <c r="I7243" s="1406">
        <v>22.13</v>
      </c>
    </row>
    <row r="7244" spans="2:9">
      <c r="B7244" s="677">
        <v>90767</v>
      </c>
      <c r="C7244" s="733" t="s">
        <v>136</v>
      </c>
      <c r="D7244" s="677" t="s">
        <v>31</v>
      </c>
      <c r="E7244" s="738">
        <f t="shared" si="226"/>
        <v>23.15</v>
      </c>
      <c r="F7244">
        <f t="shared" si="227"/>
        <v>90767</v>
      </c>
      <c r="H7244" s="1405">
        <v>20.399999999999999</v>
      </c>
      <c r="I7244" s="1405">
        <v>23.15</v>
      </c>
    </row>
    <row r="7245" spans="2:9">
      <c r="B7245" s="1477">
        <v>90768</v>
      </c>
      <c r="C7245" s="740" t="s">
        <v>137</v>
      </c>
      <c r="D7245" s="739" t="s">
        <v>31</v>
      </c>
      <c r="E7245" s="741">
        <f t="shared" si="226"/>
        <v>113.92</v>
      </c>
      <c r="F7245">
        <f t="shared" si="227"/>
        <v>90768</v>
      </c>
      <c r="H7245" s="1406">
        <v>99.23</v>
      </c>
      <c r="I7245" s="1406">
        <v>113.92</v>
      </c>
    </row>
    <row r="7246" spans="2:9">
      <c r="B7246" s="677">
        <v>90769</v>
      </c>
      <c r="C7246" s="733" t="s">
        <v>138</v>
      </c>
      <c r="D7246" s="677" t="s">
        <v>31</v>
      </c>
      <c r="E7246" s="738">
        <f t="shared" si="226"/>
        <v>120.56</v>
      </c>
      <c r="F7246">
        <f t="shared" si="227"/>
        <v>90769</v>
      </c>
      <c r="H7246" s="1405">
        <v>104.99</v>
      </c>
      <c r="I7246" s="1405">
        <v>120.56</v>
      </c>
    </row>
    <row r="7247" spans="2:9">
      <c r="B7247" s="1477">
        <v>90770</v>
      </c>
      <c r="C7247" s="740" t="s">
        <v>139</v>
      </c>
      <c r="D7247" s="739" t="s">
        <v>31</v>
      </c>
      <c r="E7247" s="741">
        <f t="shared" si="226"/>
        <v>126.24</v>
      </c>
      <c r="F7247">
        <f t="shared" si="227"/>
        <v>90770</v>
      </c>
      <c r="H7247" s="1406">
        <v>109.93</v>
      </c>
      <c r="I7247" s="1406">
        <v>126.24</v>
      </c>
    </row>
    <row r="7248" spans="2:9">
      <c r="B7248" s="677">
        <v>90771</v>
      </c>
      <c r="C7248" s="733" t="s">
        <v>140</v>
      </c>
      <c r="D7248" s="677" t="s">
        <v>31</v>
      </c>
      <c r="E7248" s="738">
        <f t="shared" si="226"/>
        <v>15.01</v>
      </c>
      <c r="F7248">
        <f t="shared" si="227"/>
        <v>90771</v>
      </c>
      <c r="H7248" s="1405">
        <v>13.32</v>
      </c>
      <c r="I7248" s="1405">
        <v>15.01</v>
      </c>
    </row>
    <row r="7249" spans="2:9">
      <c r="B7249" s="1477">
        <v>90772</v>
      </c>
      <c r="C7249" s="740" t="s">
        <v>141</v>
      </c>
      <c r="D7249" s="739" t="s">
        <v>31</v>
      </c>
      <c r="E7249" s="741">
        <f t="shared" si="226"/>
        <v>17.7</v>
      </c>
      <c r="F7249">
        <f t="shared" si="227"/>
        <v>90772</v>
      </c>
      <c r="H7249" s="1406">
        <v>15.66</v>
      </c>
      <c r="I7249" s="1406">
        <v>17.7</v>
      </c>
    </row>
    <row r="7250" spans="2:9">
      <c r="B7250" s="677">
        <v>90773</v>
      </c>
      <c r="C7250" s="733" t="s">
        <v>142</v>
      </c>
      <c r="D7250" s="677" t="s">
        <v>31</v>
      </c>
      <c r="E7250" s="738">
        <f t="shared" si="226"/>
        <v>10.91</v>
      </c>
      <c r="F7250">
        <f t="shared" si="227"/>
        <v>90773</v>
      </c>
      <c r="H7250" s="1405">
        <v>9.76</v>
      </c>
      <c r="I7250" s="1405">
        <v>10.91</v>
      </c>
    </row>
    <row r="7251" spans="2:9">
      <c r="B7251" s="1477">
        <v>90775</v>
      </c>
      <c r="C7251" s="740" t="s">
        <v>143</v>
      </c>
      <c r="D7251" s="739" t="s">
        <v>31</v>
      </c>
      <c r="E7251" s="741">
        <f t="shared" si="226"/>
        <v>22.54</v>
      </c>
      <c r="F7251">
        <f t="shared" si="227"/>
        <v>90775</v>
      </c>
      <c r="H7251" s="1406">
        <v>19.86</v>
      </c>
      <c r="I7251" s="1406">
        <v>22.54</v>
      </c>
    </row>
    <row r="7252" spans="2:9">
      <c r="B7252" s="677">
        <v>90776</v>
      </c>
      <c r="C7252" s="733" t="s">
        <v>144</v>
      </c>
      <c r="D7252" s="677" t="s">
        <v>31</v>
      </c>
      <c r="E7252" s="738">
        <f t="shared" si="226"/>
        <v>29.84</v>
      </c>
      <c r="F7252">
        <f t="shared" si="227"/>
        <v>90776</v>
      </c>
      <c r="H7252" s="1405">
        <v>26.28</v>
      </c>
      <c r="I7252" s="1405">
        <v>29.84</v>
      </c>
    </row>
    <row r="7253" spans="2:9">
      <c r="B7253" s="1477">
        <v>90777</v>
      </c>
      <c r="C7253" s="740" t="s">
        <v>145</v>
      </c>
      <c r="D7253" s="739" t="s">
        <v>31</v>
      </c>
      <c r="E7253" s="741">
        <f t="shared" si="226"/>
        <v>116.87</v>
      </c>
      <c r="F7253">
        <f t="shared" si="227"/>
        <v>90777</v>
      </c>
      <c r="H7253" s="1406">
        <v>101.78</v>
      </c>
      <c r="I7253" s="1406">
        <v>116.87</v>
      </c>
    </row>
    <row r="7254" spans="2:9">
      <c r="B7254" s="677">
        <v>90778</v>
      </c>
      <c r="C7254" s="733" t="s">
        <v>146</v>
      </c>
      <c r="D7254" s="677" t="s">
        <v>31</v>
      </c>
      <c r="E7254" s="738">
        <f t="shared" si="226"/>
        <v>123.26</v>
      </c>
      <c r="F7254">
        <f t="shared" si="227"/>
        <v>90778</v>
      </c>
      <c r="H7254" s="1405">
        <v>107.34</v>
      </c>
      <c r="I7254" s="1405">
        <v>123.26</v>
      </c>
    </row>
    <row r="7255" spans="2:9">
      <c r="B7255" s="1477">
        <v>90779</v>
      </c>
      <c r="C7255" s="740" t="s">
        <v>147</v>
      </c>
      <c r="D7255" s="739" t="s">
        <v>31</v>
      </c>
      <c r="E7255" s="741">
        <f t="shared" si="226"/>
        <v>146.59</v>
      </c>
      <c r="F7255">
        <f t="shared" si="227"/>
        <v>90779</v>
      </c>
      <c r="H7255" s="1406">
        <v>127.6</v>
      </c>
      <c r="I7255" s="1406">
        <v>146.59</v>
      </c>
    </row>
    <row r="7256" spans="2:9">
      <c r="B7256" s="677">
        <v>90780</v>
      </c>
      <c r="C7256" s="733" t="s">
        <v>148</v>
      </c>
      <c r="D7256" s="677" t="s">
        <v>31</v>
      </c>
      <c r="E7256" s="738">
        <f t="shared" si="226"/>
        <v>61.24</v>
      </c>
      <c r="F7256">
        <f t="shared" si="227"/>
        <v>90780</v>
      </c>
      <c r="H7256" s="1405">
        <v>53.55</v>
      </c>
      <c r="I7256" s="1405">
        <v>61.24</v>
      </c>
    </row>
    <row r="7257" spans="2:9">
      <c r="B7257" s="1477">
        <v>90781</v>
      </c>
      <c r="C7257" s="740" t="s">
        <v>149</v>
      </c>
      <c r="D7257" s="739" t="s">
        <v>31</v>
      </c>
      <c r="E7257" s="741">
        <f t="shared" si="226"/>
        <v>22.13</v>
      </c>
      <c r="F7257">
        <f t="shared" si="227"/>
        <v>90781</v>
      </c>
      <c r="H7257" s="1406">
        <v>19.510000000000002</v>
      </c>
      <c r="I7257" s="1406">
        <v>22.13</v>
      </c>
    </row>
    <row r="7258" spans="2:9">
      <c r="B7258" s="677">
        <v>93558</v>
      </c>
      <c r="C7258" s="733" t="s">
        <v>385</v>
      </c>
      <c r="D7258" s="677" t="s">
        <v>27</v>
      </c>
      <c r="E7258" s="738">
        <f t="shared" si="226"/>
        <v>5295.95</v>
      </c>
      <c r="F7258">
        <f t="shared" si="227"/>
        <v>93558</v>
      </c>
      <c r="H7258" s="1405">
        <v>4696.96</v>
      </c>
      <c r="I7258" s="1405">
        <v>5295.95</v>
      </c>
    </row>
    <row r="7259" spans="2:9">
      <c r="B7259" s="1477">
        <v>93559</v>
      </c>
      <c r="C7259" s="740" t="s">
        <v>134</v>
      </c>
      <c r="D7259" s="739" t="s">
        <v>27</v>
      </c>
      <c r="E7259" s="741">
        <f t="shared" si="226"/>
        <v>3721.96</v>
      </c>
      <c r="F7259">
        <f t="shared" si="227"/>
        <v>93559</v>
      </c>
      <c r="H7259" s="1406">
        <v>3281.79</v>
      </c>
      <c r="I7259" s="1406">
        <v>3721.96</v>
      </c>
    </row>
    <row r="7260" spans="2:9">
      <c r="B7260" s="677">
        <v>93560</v>
      </c>
      <c r="C7260" s="733" t="s">
        <v>142</v>
      </c>
      <c r="D7260" s="677" t="s">
        <v>27</v>
      </c>
      <c r="E7260" s="738">
        <f t="shared" si="226"/>
        <v>1946.21</v>
      </c>
      <c r="F7260">
        <f t="shared" si="227"/>
        <v>93560</v>
      </c>
      <c r="H7260" s="1405">
        <v>1741.69</v>
      </c>
      <c r="I7260" s="1405">
        <v>1946.21</v>
      </c>
    </row>
    <row r="7261" spans="2:9">
      <c r="B7261" s="1477">
        <v>93561</v>
      </c>
      <c r="C7261" s="740" t="s">
        <v>143</v>
      </c>
      <c r="D7261" s="739" t="s">
        <v>27</v>
      </c>
      <c r="E7261" s="741">
        <f t="shared" si="226"/>
        <v>3989.46</v>
      </c>
      <c r="F7261">
        <f t="shared" si="227"/>
        <v>93561</v>
      </c>
      <c r="H7261" s="1406">
        <v>3513.78</v>
      </c>
      <c r="I7261" s="1406">
        <v>3989.46</v>
      </c>
    </row>
    <row r="7262" spans="2:9">
      <c r="B7262" s="677">
        <v>93562</v>
      </c>
      <c r="C7262" s="733" t="s">
        <v>140</v>
      </c>
      <c r="D7262" s="677" t="s">
        <v>27</v>
      </c>
      <c r="E7262" s="738">
        <f t="shared" si="226"/>
        <v>2666.16</v>
      </c>
      <c r="F7262">
        <f t="shared" si="227"/>
        <v>93562</v>
      </c>
      <c r="H7262" s="1405">
        <v>2366.1</v>
      </c>
      <c r="I7262" s="1405">
        <v>2666.16</v>
      </c>
    </row>
    <row r="7263" spans="2:9">
      <c r="B7263" s="1477">
        <v>93563</v>
      </c>
      <c r="C7263" s="740" t="s">
        <v>135</v>
      </c>
      <c r="D7263" s="739" t="s">
        <v>27</v>
      </c>
      <c r="E7263" s="741">
        <f t="shared" si="226"/>
        <v>3915.9</v>
      </c>
      <c r="F7263">
        <f t="shared" si="227"/>
        <v>93563</v>
      </c>
      <c r="H7263" s="1406">
        <v>3451.73</v>
      </c>
      <c r="I7263" s="1406">
        <v>3915.9</v>
      </c>
    </row>
    <row r="7264" spans="2:9">
      <c r="B7264" s="677">
        <v>93564</v>
      </c>
      <c r="C7264" s="733" t="s">
        <v>136</v>
      </c>
      <c r="D7264" s="677" t="s">
        <v>27</v>
      </c>
      <c r="E7264" s="738">
        <f t="shared" si="226"/>
        <v>4080.12</v>
      </c>
      <c r="F7264">
        <f t="shared" si="227"/>
        <v>93564</v>
      </c>
      <c r="H7264" s="1405">
        <v>3594.17</v>
      </c>
      <c r="I7264" s="1405">
        <v>4080.12</v>
      </c>
    </row>
    <row r="7265" spans="2:9">
      <c r="B7265" s="1477">
        <v>93565</v>
      </c>
      <c r="C7265" s="740" t="s">
        <v>145</v>
      </c>
      <c r="D7265" s="739" t="s">
        <v>27</v>
      </c>
      <c r="E7265" s="741">
        <f t="shared" si="226"/>
        <v>20503.84</v>
      </c>
      <c r="F7265">
        <f t="shared" si="227"/>
        <v>93565</v>
      </c>
      <c r="H7265" s="1406">
        <v>17836.14</v>
      </c>
      <c r="I7265" s="1406">
        <v>20503.84</v>
      </c>
    </row>
    <row r="7266" spans="2:9">
      <c r="B7266" s="677">
        <v>93566</v>
      </c>
      <c r="C7266" s="733" t="s">
        <v>141</v>
      </c>
      <c r="D7266" s="677" t="s">
        <v>27</v>
      </c>
      <c r="E7266" s="738">
        <f t="shared" si="226"/>
        <v>3139.44</v>
      </c>
      <c r="F7266">
        <f t="shared" si="227"/>
        <v>93566</v>
      </c>
      <c r="H7266" s="1405">
        <v>2778.33</v>
      </c>
      <c r="I7266" s="1405">
        <v>3139.44</v>
      </c>
    </row>
    <row r="7267" spans="2:9">
      <c r="B7267" s="1477">
        <v>93567</v>
      </c>
      <c r="C7267" s="740" t="s">
        <v>146</v>
      </c>
      <c r="D7267" s="739" t="s">
        <v>27</v>
      </c>
      <c r="E7267" s="741">
        <f t="shared" si="226"/>
        <v>21625.07</v>
      </c>
      <c r="F7267">
        <f t="shared" si="227"/>
        <v>93567</v>
      </c>
      <c r="H7267" s="1406">
        <v>18808.580000000002</v>
      </c>
      <c r="I7267" s="1406">
        <v>21625.07</v>
      </c>
    </row>
    <row r="7268" spans="2:9">
      <c r="B7268" s="677">
        <v>93568</v>
      </c>
      <c r="C7268" s="733" t="s">
        <v>147</v>
      </c>
      <c r="D7268" s="677" t="s">
        <v>27</v>
      </c>
      <c r="E7268" s="738">
        <f t="shared" si="226"/>
        <v>25712.47</v>
      </c>
      <c r="F7268">
        <f t="shared" si="227"/>
        <v>93568</v>
      </c>
      <c r="H7268" s="1405">
        <v>22353.55</v>
      </c>
      <c r="I7268" s="1405">
        <v>25712.47</v>
      </c>
    </row>
    <row r="7269" spans="2:9">
      <c r="B7269" s="1477">
        <v>93569</v>
      </c>
      <c r="C7269" s="740" t="s">
        <v>386</v>
      </c>
      <c r="D7269" s="739" t="s">
        <v>27</v>
      </c>
      <c r="E7269" s="741">
        <f t="shared" si="226"/>
        <v>20024.18</v>
      </c>
      <c r="F7269">
        <f t="shared" si="227"/>
        <v>93569</v>
      </c>
      <c r="H7269" s="1406">
        <v>17420.13</v>
      </c>
      <c r="I7269" s="1406">
        <v>20024.18</v>
      </c>
    </row>
    <row r="7270" spans="2:9">
      <c r="B7270" s="677">
        <v>93570</v>
      </c>
      <c r="C7270" s="733" t="s">
        <v>387</v>
      </c>
      <c r="D7270" s="677" t="s">
        <v>27</v>
      </c>
      <c r="E7270" s="738">
        <f t="shared" si="226"/>
        <v>21189.82</v>
      </c>
      <c r="F7270">
        <f t="shared" si="227"/>
        <v>93570</v>
      </c>
      <c r="H7270" s="1405">
        <v>18431.09</v>
      </c>
      <c r="I7270" s="1405">
        <v>21189.82</v>
      </c>
    </row>
    <row r="7271" spans="2:9">
      <c r="B7271" s="1477">
        <v>93571</v>
      </c>
      <c r="C7271" s="740" t="s">
        <v>388</v>
      </c>
      <c r="D7271" s="739" t="s">
        <v>27</v>
      </c>
      <c r="E7271" s="741">
        <f t="shared" si="226"/>
        <v>22188.31</v>
      </c>
      <c r="F7271">
        <f t="shared" si="227"/>
        <v>93571</v>
      </c>
      <c r="H7271" s="1406">
        <v>19297.060000000001</v>
      </c>
      <c r="I7271" s="1406">
        <v>22188.31</v>
      </c>
    </row>
    <row r="7272" spans="2:9">
      <c r="B7272" s="677">
        <v>93572</v>
      </c>
      <c r="C7272" s="733" t="s">
        <v>389</v>
      </c>
      <c r="D7272" s="677" t="s">
        <v>27</v>
      </c>
      <c r="E7272" s="738">
        <f t="shared" si="226"/>
        <v>5256.98</v>
      </c>
      <c r="F7272">
        <f t="shared" si="227"/>
        <v>93572</v>
      </c>
      <c r="H7272" s="1405">
        <v>4627.59</v>
      </c>
      <c r="I7272" s="1405">
        <v>5256.98</v>
      </c>
    </row>
    <row r="7273" spans="2:9">
      <c r="B7273" s="1477">
        <v>94295</v>
      </c>
      <c r="C7273" s="740" t="s">
        <v>148</v>
      </c>
      <c r="D7273" s="739" t="s">
        <v>27</v>
      </c>
      <c r="E7273" s="741">
        <f t="shared" si="226"/>
        <v>10750.39</v>
      </c>
      <c r="F7273">
        <f t="shared" si="227"/>
        <v>94295</v>
      </c>
      <c r="H7273" s="1406">
        <v>9391.9699999999993</v>
      </c>
      <c r="I7273" s="1406">
        <v>10750.39</v>
      </c>
    </row>
    <row r="7274" spans="2:9">
      <c r="B7274" s="677">
        <v>94296</v>
      </c>
      <c r="C7274" s="733" t="s">
        <v>149</v>
      </c>
      <c r="D7274" s="677" t="s">
        <v>27</v>
      </c>
      <c r="E7274" s="738">
        <f t="shared" si="226"/>
        <v>3912.36</v>
      </c>
      <c r="F7274">
        <f t="shared" si="227"/>
        <v>94296</v>
      </c>
      <c r="H7274" s="1405">
        <v>3446.91</v>
      </c>
      <c r="I7274" s="1405">
        <v>3912.36</v>
      </c>
    </row>
    <row r="7275" spans="2:9">
      <c r="B7275" s="1477">
        <v>95308</v>
      </c>
      <c r="C7275" s="740" t="s">
        <v>1586</v>
      </c>
      <c r="D7275" s="739" t="s">
        <v>31</v>
      </c>
      <c r="E7275" s="741">
        <f t="shared" si="226"/>
        <v>0.21</v>
      </c>
      <c r="F7275">
        <f t="shared" si="227"/>
        <v>95308</v>
      </c>
      <c r="H7275" s="1406">
        <v>0.18</v>
      </c>
      <c r="I7275" s="1406">
        <v>0.21</v>
      </c>
    </row>
    <row r="7276" spans="2:9">
      <c r="B7276" s="677">
        <v>95309</v>
      </c>
      <c r="C7276" s="733" t="s">
        <v>1587</v>
      </c>
      <c r="D7276" s="677" t="s">
        <v>31</v>
      </c>
      <c r="E7276" s="738">
        <f t="shared" si="226"/>
        <v>0.27</v>
      </c>
      <c r="F7276">
        <f t="shared" si="227"/>
        <v>95309</v>
      </c>
      <c r="H7276" s="1405">
        <v>0.23</v>
      </c>
      <c r="I7276" s="1405">
        <v>0.27</v>
      </c>
    </row>
    <row r="7277" spans="2:9">
      <c r="B7277" s="1477">
        <v>95310</v>
      </c>
      <c r="C7277" s="740" t="s">
        <v>1588</v>
      </c>
      <c r="D7277" s="739" t="s">
        <v>31</v>
      </c>
      <c r="E7277" s="741">
        <f t="shared" si="226"/>
        <v>0.21</v>
      </c>
      <c r="F7277">
        <f t="shared" si="227"/>
        <v>95310</v>
      </c>
      <c r="H7277" s="1406">
        <v>0.18</v>
      </c>
      <c r="I7277" s="1406">
        <v>0.21</v>
      </c>
    </row>
    <row r="7278" spans="2:9">
      <c r="B7278" s="677">
        <v>95311</v>
      </c>
      <c r="C7278" s="733" t="s">
        <v>1589</v>
      </c>
      <c r="D7278" s="677" t="s">
        <v>31</v>
      </c>
      <c r="E7278" s="738">
        <f t="shared" si="226"/>
        <v>0.2</v>
      </c>
      <c r="F7278">
        <f t="shared" si="227"/>
        <v>95311</v>
      </c>
      <c r="H7278" s="1405">
        <v>0.18</v>
      </c>
      <c r="I7278" s="1405">
        <v>0.2</v>
      </c>
    </row>
    <row r="7279" spans="2:9">
      <c r="B7279" s="1477">
        <v>95312</v>
      </c>
      <c r="C7279" s="740" t="s">
        <v>1590</v>
      </c>
      <c r="D7279" s="739" t="s">
        <v>31</v>
      </c>
      <c r="E7279" s="741">
        <f t="shared" si="226"/>
        <v>0.27</v>
      </c>
      <c r="F7279">
        <f t="shared" si="227"/>
        <v>95312</v>
      </c>
      <c r="H7279" s="1406">
        <v>0.23</v>
      </c>
      <c r="I7279" s="1406">
        <v>0.27</v>
      </c>
    </row>
    <row r="7280" spans="2:9">
      <c r="B7280" s="677">
        <v>95313</v>
      </c>
      <c r="C7280" s="733" t="s">
        <v>1591</v>
      </c>
      <c r="D7280" s="677" t="s">
        <v>31</v>
      </c>
      <c r="E7280" s="738">
        <f t="shared" si="226"/>
        <v>0.2</v>
      </c>
      <c r="F7280">
        <f t="shared" si="227"/>
        <v>95313</v>
      </c>
      <c r="H7280" s="1405">
        <v>0.18</v>
      </c>
      <c r="I7280" s="1405">
        <v>0.2</v>
      </c>
    </row>
    <row r="7281" spans="2:9">
      <c r="B7281" s="1477">
        <v>95314</v>
      </c>
      <c r="C7281" s="740" t="s">
        <v>532</v>
      </c>
      <c r="D7281" s="739" t="s">
        <v>31</v>
      </c>
      <c r="E7281" s="741">
        <f t="shared" si="226"/>
        <v>0.26</v>
      </c>
      <c r="F7281">
        <f t="shared" si="227"/>
        <v>95314</v>
      </c>
      <c r="H7281" s="1406">
        <v>0.22</v>
      </c>
      <c r="I7281" s="1406">
        <v>0.26</v>
      </c>
    </row>
    <row r="7282" spans="2:9">
      <c r="B7282" s="677">
        <v>95315</v>
      </c>
      <c r="C7282" s="733" t="s">
        <v>1592</v>
      </c>
      <c r="D7282" s="677" t="s">
        <v>31</v>
      </c>
      <c r="E7282" s="738">
        <f t="shared" si="226"/>
        <v>0.16</v>
      </c>
      <c r="F7282">
        <f t="shared" si="227"/>
        <v>95315</v>
      </c>
      <c r="H7282" s="1405">
        <v>0.14000000000000001</v>
      </c>
      <c r="I7282" s="1405">
        <v>0.16</v>
      </c>
    </row>
    <row r="7283" spans="2:9">
      <c r="B7283" s="1477">
        <v>95316</v>
      </c>
      <c r="C7283" s="740" t="s">
        <v>1593</v>
      </c>
      <c r="D7283" s="739" t="s">
        <v>31</v>
      </c>
      <c r="E7283" s="741">
        <f t="shared" si="226"/>
        <v>0.68</v>
      </c>
      <c r="F7283">
        <f t="shared" si="227"/>
        <v>95316</v>
      </c>
      <c r="H7283" s="1406">
        <v>0.59</v>
      </c>
      <c r="I7283" s="1406">
        <v>0.68</v>
      </c>
    </row>
    <row r="7284" spans="2:9">
      <c r="B7284" s="677">
        <v>95317</v>
      </c>
      <c r="C7284" s="733" t="s">
        <v>1594</v>
      </c>
      <c r="D7284" s="677" t="s">
        <v>31</v>
      </c>
      <c r="E7284" s="738">
        <f t="shared" si="226"/>
        <v>0.32</v>
      </c>
      <c r="F7284">
        <f t="shared" si="227"/>
        <v>95317</v>
      </c>
      <c r="H7284" s="1405">
        <v>0.28000000000000003</v>
      </c>
      <c r="I7284" s="1405">
        <v>0.32</v>
      </c>
    </row>
    <row r="7285" spans="2:9">
      <c r="B7285" s="1477">
        <v>95318</v>
      </c>
      <c r="C7285" s="740" t="s">
        <v>1595</v>
      </c>
      <c r="D7285" s="739" t="s">
        <v>31</v>
      </c>
      <c r="E7285" s="741">
        <f t="shared" si="226"/>
        <v>0.23</v>
      </c>
      <c r="F7285">
        <f t="shared" si="227"/>
        <v>95318</v>
      </c>
      <c r="H7285" s="1406">
        <v>0.2</v>
      </c>
      <c r="I7285" s="1406">
        <v>0.23</v>
      </c>
    </row>
    <row r="7286" spans="2:9">
      <c r="B7286" s="677">
        <v>95319</v>
      </c>
      <c r="C7286" s="733" t="s">
        <v>1596</v>
      </c>
      <c r="D7286" s="677" t="s">
        <v>31</v>
      </c>
      <c r="E7286" s="738">
        <f t="shared" si="226"/>
        <v>0.21</v>
      </c>
      <c r="F7286">
        <f t="shared" si="227"/>
        <v>95319</v>
      </c>
      <c r="H7286" s="1405">
        <v>0.18</v>
      </c>
      <c r="I7286" s="1405">
        <v>0.21</v>
      </c>
    </row>
    <row r="7287" spans="2:9">
      <c r="B7287" s="1477">
        <v>95320</v>
      </c>
      <c r="C7287" s="740" t="s">
        <v>1597</v>
      </c>
      <c r="D7287" s="739" t="s">
        <v>31</v>
      </c>
      <c r="E7287" s="741">
        <f t="shared" si="226"/>
        <v>0.21</v>
      </c>
      <c r="F7287">
        <f t="shared" si="227"/>
        <v>95320</v>
      </c>
      <c r="H7287" s="1406">
        <v>0.18</v>
      </c>
      <c r="I7287" s="1406">
        <v>0.21</v>
      </c>
    </row>
    <row r="7288" spans="2:9">
      <c r="B7288" s="677">
        <v>95321</v>
      </c>
      <c r="C7288" s="733" t="s">
        <v>1598</v>
      </c>
      <c r="D7288" s="677" t="s">
        <v>31</v>
      </c>
      <c r="E7288" s="738">
        <f t="shared" si="226"/>
        <v>0.19</v>
      </c>
      <c r="F7288">
        <f t="shared" si="227"/>
        <v>95321</v>
      </c>
      <c r="H7288" s="1405">
        <v>0.16</v>
      </c>
      <c r="I7288" s="1405">
        <v>0.19</v>
      </c>
    </row>
    <row r="7289" spans="2:9">
      <c r="B7289" s="1477">
        <v>95322</v>
      </c>
      <c r="C7289" s="740" t="s">
        <v>1599</v>
      </c>
      <c r="D7289" s="739" t="s">
        <v>31</v>
      </c>
      <c r="E7289" s="741">
        <f t="shared" si="226"/>
        <v>0.08</v>
      </c>
      <c r="F7289">
        <f t="shared" si="227"/>
        <v>95322</v>
      </c>
      <c r="H7289" s="1406">
        <v>7.0000000000000007E-2</v>
      </c>
      <c r="I7289" s="1406">
        <v>0.08</v>
      </c>
    </row>
    <row r="7290" spans="2:9">
      <c r="B7290" s="677">
        <v>95323</v>
      </c>
      <c r="C7290" s="733" t="s">
        <v>1600</v>
      </c>
      <c r="D7290" s="677" t="s">
        <v>31</v>
      </c>
      <c r="E7290" s="738">
        <f t="shared" si="226"/>
        <v>0.23</v>
      </c>
      <c r="F7290">
        <f t="shared" si="227"/>
        <v>95323</v>
      </c>
      <c r="H7290" s="1405">
        <v>0.2</v>
      </c>
      <c r="I7290" s="1405">
        <v>0.23</v>
      </c>
    </row>
    <row r="7291" spans="2:9">
      <c r="B7291" s="1477">
        <v>95324</v>
      </c>
      <c r="C7291" s="740" t="s">
        <v>1601</v>
      </c>
      <c r="D7291" s="739" t="s">
        <v>31</v>
      </c>
      <c r="E7291" s="741">
        <f t="shared" si="226"/>
        <v>0.33</v>
      </c>
      <c r="F7291">
        <f t="shared" si="227"/>
        <v>95324</v>
      </c>
      <c r="H7291" s="1406">
        <v>0.28999999999999998</v>
      </c>
      <c r="I7291" s="1406">
        <v>0.33</v>
      </c>
    </row>
    <row r="7292" spans="2:9">
      <c r="B7292" s="677">
        <v>95325</v>
      </c>
      <c r="C7292" s="733" t="s">
        <v>1602</v>
      </c>
      <c r="D7292" s="677" t="s">
        <v>31</v>
      </c>
      <c r="E7292" s="738">
        <f t="shared" si="226"/>
        <v>0.28999999999999998</v>
      </c>
      <c r="F7292">
        <f t="shared" si="227"/>
        <v>95325</v>
      </c>
      <c r="H7292" s="1405">
        <v>0.25</v>
      </c>
      <c r="I7292" s="1405">
        <v>0.28999999999999998</v>
      </c>
    </row>
    <row r="7293" spans="2:9">
      <c r="B7293" s="1477">
        <v>95326</v>
      </c>
      <c r="C7293" s="740" t="s">
        <v>1603</v>
      </c>
      <c r="D7293" s="739" t="s">
        <v>31</v>
      </c>
      <c r="E7293" s="741">
        <f t="shared" si="226"/>
        <v>0.09</v>
      </c>
      <c r="F7293">
        <f t="shared" si="227"/>
        <v>95326</v>
      </c>
      <c r="H7293" s="1406">
        <v>0.08</v>
      </c>
      <c r="I7293" s="1406">
        <v>0.09</v>
      </c>
    </row>
    <row r="7294" spans="2:9">
      <c r="B7294" s="677">
        <v>95328</v>
      </c>
      <c r="C7294" s="733" t="s">
        <v>1604</v>
      </c>
      <c r="D7294" s="677" t="s">
        <v>31</v>
      </c>
      <c r="E7294" s="738">
        <f t="shared" si="226"/>
        <v>0.23</v>
      </c>
      <c r="F7294">
        <f t="shared" si="227"/>
        <v>95328</v>
      </c>
      <c r="H7294" s="1405">
        <v>0.2</v>
      </c>
      <c r="I7294" s="1405">
        <v>0.23</v>
      </c>
    </row>
    <row r="7295" spans="2:9">
      <c r="B7295" s="1477">
        <v>95329</v>
      </c>
      <c r="C7295" s="740" t="s">
        <v>1605</v>
      </c>
      <c r="D7295" s="739" t="s">
        <v>31</v>
      </c>
      <c r="E7295" s="741">
        <f t="shared" si="226"/>
        <v>0.31</v>
      </c>
      <c r="F7295">
        <f t="shared" si="227"/>
        <v>95329</v>
      </c>
      <c r="H7295" s="1406">
        <v>0.27</v>
      </c>
      <c r="I7295" s="1406">
        <v>0.31</v>
      </c>
    </row>
    <row r="7296" spans="2:9">
      <c r="B7296" s="677">
        <v>95330</v>
      </c>
      <c r="C7296" s="733" t="s">
        <v>1606</v>
      </c>
      <c r="D7296" s="677" t="s">
        <v>31</v>
      </c>
      <c r="E7296" s="738">
        <f t="shared" si="226"/>
        <v>0.26</v>
      </c>
      <c r="F7296">
        <f t="shared" si="227"/>
        <v>95330</v>
      </c>
      <c r="H7296" s="1405">
        <v>0.22</v>
      </c>
      <c r="I7296" s="1405">
        <v>0.26</v>
      </c>
    </row>
    <row r="7297" spans="2:9">
      <c r="B7297" s="1477">
        <v>95331</v>
      </c>
      <c r="C7297" s="740" t="s">
        <v>1607</v>
      </c>
      <c r="D7297" s="739" t="s">
        <v>31</v>
      </c>
      <c r="E7297" s="741">
        <f t="shared" si="226"/>
        <v>0.22</v>
      </c>
      <c r="F7297">
        <f t="shared" si="227"/>
        <v>95331</v>
      </c>
      <c r="H7297" s="1406">
        <v>0.19</v>
      </c>
      <c r="I7297" s="1406">
        <v>0.22</v>
      </c>
    </row>
    <row r="7298" spans="2:9">
      <c r="B7298" s="677">
        <v>95332</v>
      </c>
      <c r="C7298" s="733" t="s">
        <v>1608</v>
      </c>
      <c r="D7298" s="677" t="s">
        <v>31</v>
      </c>
      <c r="E7298" s="738">
        <f t="shared" si="226"/>
        <v>0.87</v>
      </c>
      <c r="F7298">
        <f t="shared" si="227"/>
        <v>95332</v>
      </c>
      <c r="H7298" s="1405">
        <v>0.76</v>
      </c>
      <c r="I7298" s="1405">
        <v>0.87</v>
      </c>
    </row>
    <row r="7299" spans="2:9">
      <c r="B7299" s="1477">
        <v>95333</v>
      </c>
      <c r="C7299" s="740" t="s">
        <v>1609</v>
      </c>
      <c r="D7299" s="739" t="s">
        <v>31</v>
      </c>
      <c r="E7299" s="741">
        <f t="shared" ref="E7299:E7362" si="228">IF($K$2=$H$1,H7299,I7299)</f>
        <v>0.87</v>
      </c>
      <c r="F7299">
        <f t="shared" si="227"/>
        <v>95333</v>
      </c>
      <c r="H7299" s="1406">
        <v>0.76</v>
      </c>
      <c r="I7299" s="1406">
        <v>0.87</v>
      </c>
    </row>
    <row r="7300" spans="2:9">
      <c r="B7300" s="677">
        <v>95334</v>
      </c>
      <c r="C7300" s="733" t="s">
        <v>1610</v>
      </c>
      <c r="D7300" s="677" t="s">
        <v>31</v>
      </c>
      <c r="E7300" s="738">
        <f t="shared" si="228"/>
        <v>0.94</v>
      </c>
      <c r="F7300">
        <f t="shared" ref="F7300:F7363" si="229">IF(LEN($B7300)=7,CONCATENATE(MID($B7300,1,6),"00",RIGHT($B7300,1)),IF(LEN($B7300)=8,CONCATENATE(MID($B7300,1,6),"0",RIGHT($B7300,2)),$B7300))</f>
        <v>95334</v>
      </c>
      <c r="H7300" s="1405">
        <v>0.82</v>
      </c>
      <c r="I7300" s="1405">
        <v>0.94</v>
      </c>
    </row>
    <row r="7301" spans="2:9">
      <c r="B7301" s="1477">
        <v>95335</v>
      </c>
      <c r="C7301" s="740" t="s">
        <v>1611</v>
      </c>
      <c r="D7301" s="739" t="s">
        <v>31</v>
      </c>
      <c r="E7301" s="741">
        <f t="shared" si="228"/>
        <v>0.42</v>
      </c>
      <c r="F7301">
        <f t="shared" si="229"/>
        <v>95335</v>
      </c>
      <c r="H7301" s="1406">
        <v>0.36</v>
      </c>
      <c r="I7301" s="1406">
        <v>0.42</v>
      </c>
    </row>
    <row r="7302" spans="2:9">
      <c r="B7302" s="677">
        <v>95337</v>
      </c>
      <c r="C7302" s="733" t="s">
        <v>533</v>
      </c>
      <c r="D7302" s="677" t="s">
        <v>31</v>
      </c>
      <c r="E7302" s="738">
        <f t="shared" si="228"/>
        <v>0.25</v>
      </c>
      <c r="F7302">
        <f t="shared" si="229"/>
        <v>95337</v>
      </c>
      <c r="H7302" s="1405">
        <v>0.21</v>
      </c>
      <c r="I7302" s="1405">
        <v>0.25</v>
      </c>
    </row>
    <row r="7303" spans="2:9">
      <c r="B7303" s="1477">
        <v>95338</v>
      </c>
      <c r="C7303" s="740" t="s">
        <v>1612</v>
      </c>
      <c r="D7303" s="739" t="s">
        <v>31</v>
      </c>
      <c r="E7303" s="741">
        <f t="shared" si="228"/>
        <v>0.42</v>
      </c>
      <c r="F7303">
        <f t="shared" si="229"/>
        <v>95338</v>
      </c>
      <c r="H7303" s="1406">
        <v>0.36</v>
      </c>
      <c r="I7303" s="1406">
        <v>0.42</v>
      </c>
    </row>
    <row r="7304" spans="2:9">
      <c r="B7304" s="677">
        <v>95339</v>
      </c>
      <c r="C7304" s="733" t="s">
        <v>1613</v>
      </c>
      <c r="D7304" s="677" t="s">
        <v>31</v>
      </c>
      <c r="E7304" s="738">
        <f t="shared" si="228"/>
        <v>0.39</v>
      </c>
      <c r="F7304">
        <f t="shared" si="229"/>
        <v>95339</v>
      </c>
      <c r="H7304" s="1405">
        <v>0.34</v>
      </c>
      <c r="I7304" s="1405">
        <v>0.39</v>
      </c>
    </row>
    <row r="7305" spans="2:9">
      <c r="B7305" s="1477">
        <v>95340</v>
      </c>
      <c r="C7305" s="740" t="s">
        <v>1614</v>
      </c>
      <c r="D7305" s="739" t="s">
        <v>31</v>
      </c>
      <c r="E7305" s="741">
        <f t="shared" si="228"/>
        <v>0.31</v>
      </c>
      <c r="F7305">
        <f t="shared" si="229"/>
        <v>95340</v>
      </c>
      <c r="H7305" s="1406">
        <v>0.27</v>
      </c>
      <c r="I7305" s="1406">
        <v>0.31</v>
      </c>
    </row>
    <row r="7306" spans="2:9">
      <c r="B7306" s="677">
        <v>95341</v>
      </c>
      <c r="C7306" s="733" t="s">
        <v>1615</v>
      </c>
      <c r="D7306" s="677" t="s">
        <v>31</v>
      </c>
      <c r="E7306" s="738">
        <f t="shared" si="228"/>
        <v>0.33</v>
      </c>
      <c r="F7306">
        <f t="shared" si="229"/>
        <v>95341</v>
      </c>
      <c r="H7306" s="1405">
        <v>0.28999999999999998</v>
      </c>
      <c r="I7306" s="1405">
        <v>0.33</v>
      </c>
    </row>
    <row r="7307" spans="2:9">
      <c r="B7307" s="1477">
        <v>95342</v>
      </c>
      <c r="C7307" s="740" t="s">
        <v>1616</v>
      </c>
      <c r="D7307" s="739" t="s">
        <v>31</v>
      </c>
      <c r="E7307" s="741">
        <f t="shared" si="228"/>
        <v>0.24</v>
      </c>
      <c r="F7307">
        <f t="shared" si="229"/>
        <v>95342</v>
      </c>
      <c r="H7307" s="1406">
        <v>0.21</v>
      </c>
      <c r="I7307" s="1406">
        <v>0.24</v>
      </c>
    </row>
    <row r="7308" spans="2:9">
      <c r="B7308" s="677">
        <v>95343</v>
      </c>
      <c r="C7308" s="733" t="s">
        <v>1617</v>
      </c>
      <c r="D7308" s="677" t="s">
        <v>31</v>
      </c>
      <c r="E7308" s="738">
        <f t="shared" si="228"/>
        <v>0.19</v>
      </c>
      <c r="F7308">
        <f t="shared" si="229"/>
        <v>95343</v>
      </c>
      <c r="H7308" s="1405">
        <v>0.17</v>
      </c>
      <c r="I7308" s="1405">
        <v>0.19</v>
      </c>
    </row>
    <row r="7309" spans="2:9">
      <c r="B7309" s="1477">
        <v>95344</v>
      </c>
      <c r="C7309" s="740" t="s">
        <v>1618</v>
      </c>
      <c r="D7309" s="739" t="s">
        <v>31</v>
      </c>
      <c r="E7309" s="741">
        <f t="shared" si="228"/>
        <v>0.23</v>
      </c>
      <c r="F7309">
        <f t="shared" si="229"/>
        <v>95344</v>
      </c>
      <c r="H7309" s="1406">
        <v>0.2</v>
      </c>
      <c r="I7309" s="1406">
        <v>0.23</v>
      </c>
    </row>
    <row r="7310" spans="2:9">
      <c r="B7310" s="677">
        <v>95345</v>
      </c>
      <c r="C7310" s="733" t="s">
        <v>1619</v>
      </c>
      <c r="D7310" s="677" t="s">
        <v>31</v>
      </c>
      <c r="E7310" s="738">
        <f t="shared" si="228"/>
        <v>0.48</v>
      </c>
      <c r="F7310">
        <f t="shared" si="229"/>
        <v>95345</v>
      </c>
      <c r="H7310" s="1405">
        <v>0.41</v>
      </c>
      <c r="I7310" s="1405">
        <v>0.48</v>
      </c>
    </row>
    <row r="7311" spans="2:9">
      <c r="B7311" s="1477">
        <v>95346</v>
      </c>
      <c r="C7311" s="740" t="s">
        <v>1620</v>
      </c>
      <c r="D7311" s="739" t="s">
        <v>31</v>
      </c>
      <c r="E7311" s="741">
        <f t="shared" si="228"/>
        <v>0.15</v>
      </c>
      <c r="F7311">
        <f t="shared" si="229"/>
        <v>95346</v>
      </c>
      <c r="H7311" s="1406">
        <v>0.13</v>
      </c>
      <c r="I7311" s="1406">
        <v>0.15</v>
      </c>
    </row>
    <row r="7312" spans="2:9">
      <c r="B7312" s="677">
        <v>95347</v>
      </c>
      <c r="C7312" s="733" t="s">
        <v>1621</v>
      </c>
      <c r="D7312" s="677" t="s">
        <v>31</v>
      </c>
      <c r="E7312" s="738">
        <f t="shared" si="228"/>
        <v>0.14000000000000001</v>
      </c>
      <c r="F7312">
        <f t="shared" si="229"/>
        <v>95347</v>
      </c>
      <c r="H7312" s="1405">
        <v>0.12</v>
      </c>
      <c r="I7312" s="1405">
        <v>0.14000000000000001</v>
      </c>
    </row>
    <row r="7313" spans="2:9">
      <c r="B7313" s="1477">
        <v>95348</v>
      </c>
      <c r="C7313" s="740" t="s">
        <v>1622</v>
      </c>
      <c r="D7313" s="739" t="s">
        <v>31</v>
      </c>
      <c r="E7313" s="741">
        <f t="shared" si="228"/>
        <v>0.18</v>
      </c>
      <c r="F7313">
        <f t="shared" si="229"/>
        <v>95348</v>
      </c>
      <c r="H7313" s="1406">
        <v>0.16</v>
      </c>
      <c r="I7313" s="1406">
        <v>0.18</v>
      </c>
    </row>
    <row r="7314" spans="2:9">
      <c r="B7314" s="677">
        <v>95349</v>
      </c>
      <c r="C7314" s="733" t="s">
        <v>1623</v>
      </c>
      <c r="D7314" s="677" t="s">
        <v>31</v>
      </c>
      <c r="E7314" s="738">
        <f t="shared" si="228"/>
        <v>0.12</v>
      </c>
      <c r="F7314">
        <f t="shared" si="229"/>
        <v>95349</v>
      </c>
      <c r="H7314" s="1405">
        <v>0.1</v>
      </c>
      <c r="I7314" s="1405">
        <v>0.12</v>
      </c>
    </row>
    <row r="7315" spans="2:9">
      <c r="B7315" s="1477">
        <v>95351</v>
      </c>
      <c r="C7315" s="740" t="s">
        <v>1624</v>
      </c>
      <c r="D7315" s="739" t="s">
        <v>31</v>
      </c>
      <c r="E7315" s="741">
        <f t="shared" si="228"/>
        <v>0.54</v>
      </c>
      <c r="F7315">
        <f t="shared" si="229"/>
        <v>95351</v>
      </c>
      <c r="H7315" s="1406">
        <v>0.47</v>
      </c>
      <c r="I7315" s="1406">
        <v>0.54</v>
      </c>
    </row>
    <row r="7316" spans="2:9">
      <c r="B7316" s="677">
        <v>95352</v>
      </c>
      <c r="C7316" s="733" t="s">
        <v>1625</v>
      </c>
      <c r="D7316" s="677" t="s">
        <v>31</v>
      </c>
      <c r="E7316" s="738">
        <f t="shared" si="228"/>
        <v>0.15</v>
      </c>
      <c r="F7316">
        <f t="shared" si="229"/>
        <v>95352</v>
      </c>
      <c r="H7316" s="1405">
        <v>0.13</v>
      </c>
      <c r="I7316" s="1405">
        <v>0.15</v>
      </c>
    </row>
    <row r="7317" spans="2:9">
      <c r="B7317" s="1477">
        <v>95354</v>
      </c>
      <c r="C7317" s="740" t="s">
        <v>1626</v>
      </c>
      <c r="D7317" s="739" t="s">
        <v>31</v>
      </c>
      <c r="E7317" s="741">
        <f t="shared" si="228"/>
        <v>0.16</v>
      </c>
      <c r="F7317">
        <f t="shared" si="229"/>
        <v>95354</v>
      </c>
      <c r="H7317" s="1406">
        <v>0.14000000000000001</v>
      </c>
      <c r="I7317" s="1406">
        <v>0.16</v>
      </c>
    </row>
    <row r="7318" spans="2:9">
      <c r="B7318" s="677">
        <v>95355</v>
      </c>
      <c r="C7318" s="733" t="s">
        <v>1627</v>
      </c>
      <c r="D7318" s="677" t="s">
        <v>31</v>
      </c>
      <c r="E7318" s="738">
        <f t="shared" si="228"/>
        <v>0.16</v>
      </c>
      <c r="F7318">
        <f t="shared" si="229"/>
        <v>95355</v>
      </c>
      <c r="H7318" s="1405">
        <v>0.14000000000000001</v>
      </c>
      <c r="I7318" s="1405">
        <v>0.16</v>
      </c>
    </row>
    <row r="7319" spans="2:9">
      <c r="B7319" s="1477">
        <v>95356</v>
      </c>
      <c r="C7319" s="740" t="s">
        <v>1628</v>
      </c>
      <c r="D7319" s="739" t="s">
        <v>31</v>
      </c>
      <c r="E7319" s="741">
        <f t="shared" si="228"/>
        <v>0.16</v>
      </c>
      <c r="F7319">
        <f t="shared" si="229"/>
        <v>95356</v>
      </c>
      <c r="H7319" s="1406">
        <v>0.14000000000000001</v>
      </c>
      <c r="I7319" s="1406">
        <v>0.16</v>
      </c>
    </row>
    <row r="7320" spans="2:9">
      <c r="B7320" s="677">
        <v>95357</v>
      </c>
      <c r="C7320" s="733" t="s">
        <v>1629</v>
      </c>
      <c r="D7320" s="677" t="s">
        <v>31</v>
      </c>
      <c r="E7320" s="738">
        <f t="shared" si="228"/>
        <v>0.26</v>
      </c>
      <c r="F7320">
        <f t="shared" si="229"/>
        <v>95357</v>
      </c>
      <c r="H7320" s="1405">
        <v>0.22</v>
      </c>
      <c r="I7320" s="1405">
        <v>0.26</v>
      </c>
    </row>
    <row r="7321" spans="2:9">
      <c r="B7321" s="1477">
        <v>95358</v>
      </c>
      <c r="C7321" s="740" t="s">
        <v>1630</v>
      </c>
      <c r="D7321" s="739" t="s">
        <v>31</v>
      </c>
      <c r="E7321" s="741">
        <f t="shared" si="228"/>
        <v>0.31</v>
      </c>
      <c r="F7321">
        <f t="shared" si="229"/>
        <v>95358</v>
      </c>
      <c r="H7321" s="1406">
        <v>0.27</v>
      </c>
      <c r="I7321" s="1406">
        <v>0.31</v>
      </c>
    </row>
    <row r="7322" spans="2:9">
      <c r="B7322" s="677">
        <v>95359</v>
      </c>
      <c r="C7322" s="733" t="s">
        <v>1631</v>
      </c>
      <c r="D7322" s="677" t="s">
        <v>31</v>
      </c>
      <c r="E7322" s="738">
        <f t="shared" si="228"/>
        <v>0.38</v>
      </c>
      <c r="F7322">
        <f t="shared" si="229"/>
        <v>95359</v>
      </c>
      <c r="H7322" s="1405">
        <v>0.33</v>
      </c>
      <c r="I7322" s="1405">
        <v>0.38</v>
      </c>
    </row>
    <row r="7323" spans="2:9">
      <c r="B7323" s="1477">
        <v>95360</v>
      </c>
      <c r="C7323" s="740" t="s">
        <v>1632</v>
      </c>
      <c r="D7323" s="739" t="s">
        <v>31</v>
      </c>
      <c r="E7323" s="741">
        <f t="shared" si="228"/>
        <v>0.23</v>
      </c>
      <c r="F7323">
        <f t="shared" si="229"/>
        <v>95360</v>
      </c>
      <c r="H7323" s="1406">
        <v>0.19</v>
      </c>
      <c r="I7323" s="1406">
        <v>0.23</v>
      </c>
    </row>
    <row r="7324" spans="2:9">
      <c r="B7324" s="677">
        <v>95361</v>
      </c>
      <c r="C7324" s="733" t="s">
        <v>1633</v>
      </c>
      <c r="D7324" s="677" t="s">
        <v>31</v>
      </c>
      <c r="E7324" s="738">
        <f t="shared" si="228"/>
        <v>0.14000000000000001</v>
      </c>
      <c r="F7324">
        <f t="shared" si="229"/>
        <v>95361</v>
      </c>
      <c r="H7324" s="1405">
        <v>0.12</v>
      </c>
      <c r="I7324" s="1405">
        <v>0.14000000000000001</v>
      </c>
    </row>
    <row r="7325" spans="2:9">
      <c r="B7325" s="1477">
        <v>95362</v>
      </c>
      <c r="C7325" s="740" t="s">
        <v>1634</v>
      </c>
      <c r="D7325" s="739" t="s">
        <v>31</v>
      </c>
      <c r="E7325" s="741">
        <f t="shared" si="228"/>
        <v>0.23</v>
      </c>
      <c r="F7325">
        <f t="shared" si="229"/>
        <v>95362</v>
      </c>
      <c r="H7325" s="1406">
        <v>0.2</v>
      </c>
      <c r="I7325" s="1406">
        <v>0.23</v>
      </c>
    </row>
    <row r="7326" spans="2:9">
      <c r="B7326" s="677">
        <v>95363</v>
      </c>
      <c r="C7326" s="733" t="s">
        <v>1635</v>
      </c>
      <c r="D7326" s="677" t="s">
        <v>31</v>
      </c>
      <c r="E7326" s="738">
        <f t="shared" si="228"/>
        <v>0.23</v>
      </c>
      <c r="F7326">
        <f t="shared" si="229"/>
        <v>95363</v>
      </c>
      <c r="H7326" s="1405">
        <v>0.2</v>
      </c>
      <c r="I7326" s="1405">
        <v>0.23</v>
      </c>
    </row>
    <row r="7327" spans="2:9">
      <c r="B7327" s="1477">
        <v>95364</v>
      </c>
      <c r="C7327" s="740" t="s">
        <v>1636</v>
      </c>
      <c r="D7327" s="739" t="s">
        <v>31</v>
      </c>
      <c r="E7327" s="741">
        <f t="shared" si="228"/>
        <v>0.16</v>
      </c>
      <c r="F7327">
        <f t="shared" si="229"/>
        <v>95364</v>
      </c>
      <c r="H7327" s="1406">
        <v>0.14000000000000001</v>
      </c>
      <c r="I7327" s="1406">
        <v>0.16</v>
      </c>
    </row>
    <row r="7328" spans="2:9">
      <c r="B7328" s="677">
        <v>95365</v>
      </c>
      <c r="C7328" s="733" t="s">
        <v>1637</v>
      </c>
      <c r="D7328" s="677" t="s">
        <v>31</v>
      </c>
      <c r="E7328" s="738">
        <f t="shared" si="228"/>
        <v>0.16</v>
      </c>
      <c r="F7328">
        <f t="shared" si="229"/>
        <v>95365</v>
      </c>
      <c r="H7328" s="1405">
        <v>0.14000000000000001</v>
      </c>
      <c r="I7328" s="1405">
        <v>0.16</v>
      </c>
    </row>
    <row r="7329" spans="2:9">
      <c r="B7329" s="1477">
        <v>95366</v>
      </c>
      <c r="C7329" s="740" t="s">
        <v>1638</v>
      </c>
      <c r="D7329" s="739" t="s">
        <v>31</v>
      </c>
      <c r="E7329" s="741">
        <f t="shared" si="228"/>
        <v>0.16</v>
      </c>
      <c r="F7329">
        <f t="shared" si="229"/>
        <v>95366</v>
      </c>
      <c r="H7329" s="1406">
        <v>0.14000000000000001</v>
      </c>
      <c r="I7329" s="1406">
        <v>0.16</v>
      </c>
    </row>
    <row r="7330" spans="2:9" ht="30">
      <c r="B7330" s="677">
        <v>95367</v>
      </c>
      <c r="C7330" s="733" t="s">
        <v>1639</v>
      </c>
      <c r="D7330" s="677" t="s">
        <v>31</v>
      </c>
      <c r="E7330" s="738">
        <f t="shared" si="228"/>
        <v>0.23</v>
      </c>
      <c r="F7330">
        <f t="shared" si="229"/>
        <v>95367</v>
      </c>
      <c r="H7330" s="1405">
        <v>0.2</v>
      </c>
      <c r="I7330" s="1405">
        <v>0.23</v>
      </c>
    </row>
    <row r="7331" spans="2:9">
      <c r="B7331" s="1477">
        <v>95368</v>
      </c>
      <c r="C7331" s="740" t="s">
        <v>1640</v>
      </c>
      <c r="D7331" s="739" t="s">
        <v>31</v>
      </c>
      <c r="E7331" s="741">
        <f t="shared" si="228"/>
        <v>0.19</v>
      </c>
      <c r="F7331">
        <f t="shared" si="229"/>
        <v>95368</v>
      </c>
      <c r="H7331" s="1406">
        <v>0.16</v>
      </c>
      <c r="I7331" s="1406">
        <v>0.19</v>
      </c>
    </row>
    <row r="7332" spans="2:9">
      <c r="B7332" s="677">
        <v>95369</v>
      </c>
      <c r="C7332" s="733" t="s">
        <v>1641</v>
      </c>
      <c r="D7332" s="677" t="s">
        <v>31</v>
      </c>
      <c r="E7332" s="738">
        <f t="shared" si="228"/>
        <v>0.15</v>
      </c>
      <c r="F7332">
        <f t="shared" si="229"/>
        <v>95369</v>
      </c>
      <c r="H7332" s="1405">
        <v>0.13</v>
      </c>
      <c r="I7332" s="1405">
        <v>0.15</v>
      </c>
    </row>
    <row r="7333" spans="2:9">
      <c r="B7333" s="1477">
        <v>95370</v>
      </c>
      <c r="C7333" s="740" t="s">
        <v>1642</v>
      </c>
      <c r="D7333" s="739" t="s">
        <v>31</v>
      </c>
      <c r="E7333" s="741">
        <f t="shared" si="228"/>
        <v>0.33</v>
      </c>
      <c r="F7333">
        <f t="shared" si="229"/>
        <v>95370</v>
      </c>
      <c r="H7333" s="1406">
        <v>0.28999999999999998</v>
      </c>
      <c r="I7333" s="1406">
        <v>0.33</v>
      </c>
    </row>
    <row r="7334" spans="2:9">
      <c r="B7334" s="677">
        <v>95371</v>
      </c>
      <c r="C7334" s="733" t="s">
        <v>534</v>
      </c>
      <c r="D7334" s="677" t="s">
        <v>31</v>
      </c>
      <c r="E7334" s="738">
        <f t="shared" si="228"/>
        <v>0.48</v>
      </c>
      <c r="F7334">
        <f t="shared" si="229"/>
        <v>95371</v>
      </c>
      <c r="H7334" s="1405">
        <v>0.41</v>
      </c>
      <c r="I7334" s="1405">
        <v>0.48</v>
      </c>
    </row>
    <row r="7335" spans="2:9">
      <c r="B7335" s="1477">
        <v>95372</v>
      </c>
      <c r="C7335" s="740" t="s">
        <v>535</v>
      </c>
      <c r="D7335" s="739" t="s">
        <v>31</v>
      </c>
      <c r="E7335" s="741">
        <f t="shared" si="228"/>
        <v>0.33</v>
      </c>
      <c r="F7335">
        <f t="shared" si="229"/>
        <v>95372</v>
      </c>
      <c r="H7335" s="1406">
        <v>0.28999999999999998</v>
      </c>
      <c r="I7335" s="1406">
        <v>0.33</v>
      </c>
    </row>
    <row r="7336" spans="2:9">
      <c r="B7336" s="677">
        <v>95373</v>
      </c>
      <c r="C7336" s="733" t="s">
        <v>1643</v>
      </c>
      <c r="D7336" s="677" t="s">
        <v>31</v>
      </c>
      <c r="E7336" s="738">
        <f t="shared" si="228"/>
        <v>0.32</v>
      </c>
      <c r="F7336">
        <f t="shared" si="229"/>
        <v>95373</v>
      </c>
      <c r="H7336" s="1405">
        <v>0.28000000000000003</v>
      </c>
      <c r="I7336" s="1405">
        <v>0.32</v>
      </c>
    </row>
    <row r="7337" spans="2:9">
      <c r="B7337" s="1477">
        <v>95374</v>
      </c>
      <c r="C7337" s="740" t="s">
        <v>1644</v>
      </c>
      <c r="D7337" s="739" t="s">
        <v>31</v>
      </c>
      <c r="E7337" s="741">
        <f t="shared" si="228"/>
        <v>0.33</v>
      </c>
      <c r="F7337">
        <f t="shared" si="229"/>
        <v>95374</v>
      </c>
      <c r="H7337" s="1406">
        <v>0.28999999999999998</v>
      </c>
      <c r="I7337" s="1406">
        <v>0.33</v>
      </c>
    </row>
    <row r="7338" spans="2:9">
      <c r="B7338" s="677">
        <v>95375</v>
      </c>
      <c r="C7338" s="733" t="s">
        <v>536</v>
      </c>
      <c r="D7338" s="677" t="s">
        <v>31</v>
      </c>
      <c r="E7338" s="738">
        <f t="shared" si="228"/>
        <v>0.39</v>
      </c>
      <c r="F7338">
        <f t="shared" si="229"/>
        <v>95375</v>
      </c>
      <c r="H7338" s="1405">
        <v>0.34</v>
      </c>
      <c r="I7338" s="1405">
        <v>0.39</v>
      </c>
    </row>
    <row r="7339" spans="2:9">
      <c r="B7339" s="1477">
        <v>95376</v>
      </c>
      <c r="C7339" s="740" t="s">
        <v>1645</v>
      </c>
      <c r="D7339" s="739" t="s">
        <v>31</v>
      </c>
      <c r="E7339" s="741">
        <f t="shared" si="228"/>
        <v>0.1</v>
      </c>
      <c r="F7339">
        <f t="shared" si="229"/>
        <v>95376</v>
      </c>
      <c r="H7339" s="1406">
        <v>0.09</v>
      </c>
      <c r="I7339" s="1406">
        <v>0.1</v>
      </c>
    </row>
    <row r="7340" spans="2:9">
      <c r="B7340" s="677">
        <v>95377</v>
      </c>
      <c r="C7340" s="733" t="s">
        <v>1646</v>
      </c>
      <c r="D7340" s="677" t="s">
        <v>31</v>
      </c>
      <c r="E7340" s="738">
        <f t="shared" si="228"/>
        <v>0.26</v>
      </c>
      <c r="F7340">
        <f t="shared" si="229"/>
        <v>95377</v>
      </c>
      <c r="H7340" s="1405">
        <v>0.22</v>
      </c>
      <c r="I7340" s="1405">
        <v>0.26</v>
      </c>
    </row>
    <row r="7341" spans="2:9">
      <c r="B7341" s="1477">
        <v>95378</v>
      </c>
      <c r="C7341" s="740" t="s">
        <v>537</v>
      </c>
      <c r="D7341" s="739" t="s">
        <v>31</v>
      </c>
      <c r="E7341" s="741">
        <f t="shared" si="228"/>
        <v>0.35</v>
      </c>
      <c r="F7341">
        <f t="shared" si="229"/>
        <v>95378</v>
      </c>
      <c r="H7341" s="1406">
        <v>0.31</v>
      </c>
      <c r="I7341" s="1406">
        <v>0.35</v>
      </c>
    </row>
    <row r="7342" spans="2:9">
      <c r="B7342" s="677">
        <v>95379</v>
      </c>
      <c r="C7342" s="733" t="s">
        <v>538</v>
      </c>
      <c r="D7342" s="677" t="s">
        <v>31</v>
      </c>
      <c r="E7342" s="738">
        <f t="shared" si="228"/>
        <v>0.26</v>
      </c>
      <c r="F7342">
        <f t="shared" si="229"/>
        <v>95379</v>
      </c>
      <c r="H7342" s="1405">
        <v>0.22</v>
      </c>
      <c r="I7342" s="1405">
        <v>0.26</v>
      </c>
    </row>
    <row r="7343" spans="2:9" ht="30">
      <c r="B7343" s="1477">
        <v>95380</v>
      </c>
      <c r="C7343" s="740" t="s">
        <v>1647</v>
      </c>
      <c r="D7343" s="739" t="s">
        <v>31</v>
      </c>
      <c r="E7343" s="741">
        <f t="shared" si="228"/>
        <v>0.3</v>
      </c>
      <c r="F7343">
        <f t="shared" si="229"/>
        <v>95380</v>
      </c>
      <c r="H7343" s="1406">
        <v>0.26</v>
      </c>
      <c r="I7343" s="1406">
        <v>0.3</v>
      </c>
    </row>
    <row r="7344" spans="2:9">
      <c r="B7344" s="677">
        <v>95382</v>
      </c>
      <c r="C7344" s="733" t="s">
        <v>1648</v>
      </c>
      <c r="D7344" s="677" t="s">
        <v>31</v>
      </c>
      <c r="E7344" s="738">
        <f t="shared" si="228"/>
        <v>0.26</v>
      </c>
      <c r="F7344">
        <f t="shared" si="229"/>
        <v>95382</v>
      </c>
      <c r="H7344" s="1405">
        <v>0.22</v>
      </c>
      <c r="I7344" s="1405">
        <v>0.26</v>
      </c>
    </row>
    <row r="7345" spans="2:9">
      <c r="B7345" s="1477">
        <v>95383</v>
      </c>
      <c r="C7345" s="740" t="s">
        <v>1649</v>
      </c>
      <c r="D7345" s="739" t="s">
        <v>31</v>
      </c>
      <c r="E7345" s="741">
        <f t="shared" si="228"/>
        <v>0.26</v>
      </c>
      <c r="F7345">
        <f t="shared" si="229"/>
        <v>95383</v>
      </c>
      <c r="H7345" s="1406">
        <v>0.22</v>
      </c>
      <c r="I7345" s="1406">
        <v>0.26</v>
      </c>
    </row>
    <row r="7346" spans="2:9">
      <c r="B7346" s="677">
        <v>95384</v>
      </c>
      <c r="C7346" s="733" t="s">
        <v>1650</v>
      </c>
      <c r="D7346" s="677" t="s">
        <v>31</v>
      </c>
      <c r="E7346" s="738">
        <f t="shared" si="228"/>
        <v>0.27</v>
      </c>
      <c r="F7346">
        <f t="shared" si="229"/>
        <v>95384</v>
      </c>
      <c r="H7346" s="1405">
        <v>0.24</v>
      </c>
      <c r="I7346" s="1405">
        <v>0.27</v>
      </c>
    </row>
    <row r="7347" spans="2:9">
      <c r="B7347" s="1477">
        <v>95385</v>
      </c>
      <c r="C7347" s="740" t="s">
        <v>1651</v>
      </c>
      <c r="D7347" s="739" t="s">
        <v>31</v>
      </c>
      <c r="E7347" s="741">
        <f t="shared" si="228"/>
        <v>0.25</v>
      </c>
      <c r="F7347">
        <f t="shared" si="229"/>
        <v>95385</v>
      </c>
      <c r="H7347" s="1406">
        <v>0.22</v>
      </c>
      <c r="I7347" s="1406">
        <v>0.25</v>
      </c>
    </row>
    <row r="7348" spans="2:9">
      <c r="B7348" s="677">
        <v>95386</v>
      </c>
      <c r="C7348" s="733" t="s">
        <v>1652</v>
      </c>
      <c r="D7348" s="677" t="s">
        <v>31</v>
      </c>
      <c r="E7348" s="738">
        <f t="shared" si="228"/>
        <v>0.23</v>
      </c>
      <c r="F7348">
        <f t="shared" si="229"/>
        <v>95386</v>
      </c>
      <c r="H7348" s="1405">
        <v>0.19</v>
      </c>
      <c r="I7348" s="1405">
        <v>0.23</v>
      </c>
    </row>
    <row r="7349" spans="2:9">
      <c r="B7349" s="1477">
        <v>95387</v>
      </c>
      <c r="C7349" s="740" t="s">
        <v>1653</v>
      </c>
      <c r="D7349" s="739" t="s">
        <v>31</v>
      </c>
      <c r="E7349" s="741">
        <f t="shared" si="228"/>
        <v>0.28000000000000003</v>
      </c>
      <c r="F7349">
        <f t="shared" si="229"/>
        <v>95387</v>
      </c>
      <c r="H7349" s="1406">
        <v>0.25</v>
      </c>
      <c r="I7349" s="1406">
        <v>0.28000000000000003</v>
      </c>
    </row>
    <row r="7350" spans="2:9">
      <c r="B7350" s="677">
        <v>95389</v>
      </c>
      <c r="C7350" s="733" t="s">
        <v>1654</v>
      </c>
      <c r="D7350" s="677" t="s">
        <v>31</v>
      </c>
      <c r="E7350" s="738">
        <f t="shared" si="228"/>
        <v>0.14000000000000001</v>
      </c>
      <c r="F7350">
        <f t="shared" si="229"/>
        <v>95389</v>
      </c>
      <c r="H7350" s="1405">
        <v>0.12</v>
      </c>
      <c r="I7350" s="1405">
        <v>0.14000000000000001</v>
      </c>
    </row>
    <row r="7351" spans="2:9">
      <c r="B7351" s="1477">
        <v>95390</v>
      </c>
      <c r="C7351" s="740" t="s">
        <v>1655</v>
      </c>
      <c r="D7351" s="739" t="s">
        <v>31</v>
      </c>
      <c r="E7351" s="741">
        <f t="shared" si="228"/>
        <v>0.09</v>
      </c>
      <c r="F7351">
        <f t="shared" si="229"/>
        <v>95390</v>
      </c>
      <c r="H7351" s="1406">
        <v>7.0000000000000007E-2</v>
      </c>
      <c r="I7351" s="1406">
        <v>0.09</v>
      </c>
    </row>
    <row r="7352" spans="2:9">
      <c r="B7352" s="677">
        <v>95391</v>
      </c>
      <c r="C7352" s="733" t="s">
        <v>1656</v>
      </c>
      <c r="D7352" s="677" t="s">
        <v>31</v>
      </c>
      <c r="E7352" s="738">
        <f t="shared" si="228"/>
        <v>0.1</v>
      </c>
      <c r="F7352">
        <f t="shared" si="229"/>
        <v>95391</v>
      </c>
      <c r="H7352" s="1405">
        <v>0.09</v>
      </c>
      <c r="I7352" s="1405">
        <v>0.1</v>
      </c>
    </row>
    <row r="7353" spans="2:9">
      <c r="B7353" s="1477">
        <v>95392</v>
      </c>
      <c r="C7353" s="740" t="s">
        <v>1657</v>
      </c>
      <c r="D7353" s="739" t="s">
        <v>31</v>
      </c>
      <c r="E7353" s="741">
        <f t="shared" si="228"/>
        <v>0.11</v>
      </c>
      <c r="F7353">
        <f t="shared" si="229"/>
        <v>95392</v>
      </c>
      <c r="H7353" s="1406">
        <v>0.1</v>
      </c>
      <c r="I7353" s="1406">
        <v>0.11</v>
      </c>
    </row>
    <row r="7354" spans="2:9">
      <c r="B7354" s="677">
        <v>95393</v>
      </c>
      <c r="C7354" s="733" t="s">
        <v>1658</v>
      </c>
      <c r="D7354" s="677" t="s">
        <v>31</v>
      </c>
      <c r="E7354" s="738">
        <f t="shared" si="228"/>
        <v>0.49</v>
      </c>
      <c r="F7354">
        <f t="shared" si="229"/>
        <v>95393</v>
      </c>
      <c r="H7354" s="1405">
        <v>0.43</v>
      </c>
      <c r="I7354" s="1405">
        <v>0.49</v>
      </c>
    </row>
    <row r="7355" spans="2:9">
      <c r="B7355" s="1477">
        <v>95394</v>
      </c>
      <c r="C7355" s="740" t="s">
        <v>1659</v>
      </c>
      <c r="D7355" s="739" t="s">
        <v>31</v>
      </c>
      <c r="E7355" s="741">
        <f t="shared" si="228"/>
        <v>1.05</v>
      </c>
      <c r="F7355">
        <f t="shared" si="229"/>
        <v>95394</v>
      </c>
      <c r="H7355" s="1406">
        <v>0.92</v>
      </c>
      <c r="I7355" s="1406">
        <v>1.05</v>
      </c>
    </row>
    <row r="7356" spans="2:9">
      <c r="B7356" s="677">
        <v>95395</v>
      </c>
      <c r="C7356" s="733" t="s">
        <v>1660</v>
      </c>
      <c r="D7356" s="677" t="s">
        <v>31</v>
      </c>
      <c r="E7356" s="738">
        <f t="shared" si="228"/>
        <v>1.1200000000000001</v>
      </c>
      <c r="F7356">
        <f t="shared" si="229"/>
        <v>95395</v>
      </c>
      <c r="H7356" s="1405">
        <v>0.97</v>
      </c>
      <c r="I7356" s="1405">
        <v>1.1200000000000001</v>
      </c>
    </row>
    <row r="7357" spans="2:9">
      <c r="B7357" s="1477">
        <v>95396</v>
      </c>
      <c r="C7357" s="740" t="s">
        <v>1661</v>
      </c>
      <c r="D7357" s="739" t="s">
        <v>31</v>
      </c>
      <c r="E7357" s="741">
        <f t="shared" si="228"/>
        <v>1.17</v>
      </c>
      <c r="F7357">
        <f t="shared" si="229"/>
        <v>95396</v>
      </c>
      <c r="H7357" s="1406">
        <v>1.02</v>
      </c>
      <c r="I7357" s="1406">
        <v>1.17</v>
      </c>
    </row>
    <row r="7358" spans="2:9">
      <c r="B7358" s="677">
        <v>95397</v>
      </c>
      <c r="C7358" s="733" t="s">
        <v>1662</v>
      </c>
      <c r="D7358" s="677" t="s">
        <v>31</v>
      </c>
      <c r="E7358" s="738">
        <f t="shared" si="228"/>
        <v>7.0000000000000007E-2</v>
      </c>
      <c r="F7358">
        <f t="shared" si="229"/>
        <v>95397</v>
      </c>
      <c r="H7358" s="1405">
        <v>0.06</v>
      </c>
      <c r="I7358" s="1405">
        <v>7.0000000000000007E-2</v>
      </c>
    </row>
    <row r="7359" spans="2:9">
      <c r="B7359" s="1477">
        <v>95398</v>
      </c>
      <c r="C7359" s="740" t="s">
        <v>1663</v>
      </c>
      <c r="D7359" s="739" t="s">
        <v>31</v>
      </c>
      <c r="E7359" s="741">
        <f t="shared" si="228"/>
        <v>0.09</v>
      </c>
      <c r="F7359">
        <f t="shared" si="229"/>
        <v>95398</v>
      </c>
      <c r="H7359" s="1406">
        <v>7.0000000000000007E-2</v>
      </c>
      <c r="I7359" s="1406">
        <v>0.09</v>
      </c>
    </row>
    <row r="7360" spans="2:9">
      <c r="B7360" s="677">
        <v>95399</v>
      </c>
      <c r="C7360" s="733" t="s">
        <v>1664</v>
      </c>
      <c r="D7360" s="677" t="s">
        <v>31</v>
      </c>
      <c r="E7360" s="738">
        <f t="shared" si="228"/>
        <v>0.05</v>
      </c>
      <c r="F7360">
        <f t="shared" si="229"/>
        <v>95399</v>
      </c>
      <c r="H7360" s="1405">
        <v>0.04</v>
      </c>
      <c r="I7360" s="1405">
        <v>0.05</v>
      </c>
    </row>
    <row r="7361" spans="2:9">
      <c r="B7361" s="1477">
        <v>95400</v>
      </c>
      <c r="C7361" s="740" t="s">
        <v>1665</v>
      </c>
      <c r="D7361" s="739" t="s">
        <v>31</v>
      </c>
      <c r="E7361" s="741">
        <f t="shared" si="228"/>
        <v>0.11</v>
      </c>
      <c r="F7361">
        <f t="shared" si="229"/>
        <v>95400</v>
      </c>
      <c r="H7361" s="1406">
        <v>0.1</v>
      </c>
      <c r="I7361" s="1406">
        <v>0.11</v>
      </c>
    </row>
    <row r="7362" spans="2:9">
      <c r="B7362" s="677">
        <v>95401</v>
      </c>
      <c r="C7362" s="733" t="s">
        <v>1666</v>
      </c>
      <c r="D7362" s="677" t="s">
        <v>31</v>
      </c>
      <c r="E7362" s="738">
        <f t="shared" si="228"/>
        <v>0.64</v>
      </c>
      <c r="F7362">
        <f t="shared" si="229"/>
        <v>95401</v>
      </c>
      <c r="H7362" s="1405">
        <v>0.56000000000000005</v>
      </c>
      <c r="I7362" s="1405">
        <v>0.64</v>
      </c>
    </row>
    <row r="7363" spans="2:9">
      <c r="B7363" s="1477">
        <v>95402</v>
      </c>
      <c r="C7363" s="740" t="s">
        <v>1667</v>
      </c>
      <c r="D7363" s="739" t="s">
        <v>31</v>
      </c>
      <c r="E7363" s="741">
        <f t="shared" ref="E7363:E7426" si="230">IF($K$2=$H$1,H7363,I7363)</f>
        <v>1.91</v>
      </c>
      <c r="F7363">
        <f t="shared" si="229"/>
        <v>95402</v>
      </c>
      <c r="H7363" s="1406">
        <v>1.66</v>
      </c>
      <c r="I7363" s="1406">
        <v>1.91</v>
      </c>
    </row>
    <row r="7364" spans="2:9">
      <c r="B7364" s="677">
        <v>95403</v>
      </c>
      <c r="C7364" s="733" t="s">
        <v>1668</v>
      </c>
      <c r="D7364" s="677" t="s">
        <v>31</v>
      </c>
      <c r="E7364" s="738">
        <f t="shared" si="230"/>
        <v>2.02</v>
      </c>
      <c r="F7364">
        <f t="shared" ref="F7364:F7427" si="231">IF(LEN($B7364)=7,CONCATENATE(MID($B7364,1,6),"00",RIGHT($B7364,1)),IF(LEN($B7364)=8,CONCATENATE(MID($B7364,1,6),"0",RIGHT($B7364,2)),$B7364))</f>
        <v>95403</v>
      </c>
      <c r="H7364" s="1405">
        <v>1.75</v>
      </c>
      <c r="I7364" s="1405">
        <v>2.02</v>
      </c>
    </row>
    <row r="7365" spans="2:9">
      <c r="B7365" s="1477">
        <v>95404</v>
      </c>
      <c r="C7365" s="740" t="s">
        <v>1669</v>
      </c>
      <c r="D7365" s="739" t="s">
        <v>31</v>
      </c>
      <c r="E7365" s="741">
        <f t="shared" si="230"/>
        <v>2.41</v>
      </c>
      <c r="F7365">
        <f t="shared" si="231"/>
        <v>95404</v>
      </c>
      <c r="H7365" s="1406">
        <v>2.09</v>
      </c>
      <c r="I7365" s="1406">
        <v>2.41</v>
      </c>
    </row>
    <row r="7366" spans="2:9">
      <c r="B7366" s="677">
        <v>95405</v>
      </c>
      <c r="C7366" s="733" t="s">
        <v>1670</v>
      </c>
      <c r="D7366" s="677" t="s">
        <v>31</v>
      </c>
      <c r="E7366" s="738">
        <f t="shared" si="230"/>
        <v>1.39</v>
      </c>
      <c r="F7366">
        <f t="shared" si="231"/>
        <v>95405</v>
      </c>
      <c r="H7366" s="1405">
        <v>1.21</v>
      </c>
      <c r="I7366" s="1405">
        <v>1.39</v>
      </c>
    </row>
    <row r="7367" spans="2:9">
      <c r="B7367" s="1477">
        <v>95406</v>
      </c>
      <c r="C7367" s="740" t="s">
        <v>1671</v>
      </c>
      <c r="D7367" s="739" t="s">
        <v>31</v>
      </c>
      <c r="E7367" s="741">
        <f t="shared" si="230"/>
        <v>0.18</v>
      </c>
      <c r="F7367">
        <f t="shared" si="231"/>
        <v>95406</v>
      </c>
      <c r="H7367" s="1406">
        <v>0.16</v>
      </c>
      <c r="I7367" s="1406">
        <v>0.18</v>
      </c>
    </row>
    <row r="7368" spans="2:9">
      <c r="B7368" s="677">
        <v>95408</v>
      </c>
      <c r="C7368" s="733" t="s">
        <v>1672</v>
      </c>
      <c r="D7368" s="677" t="s">
        <v>27</v>
      </c>
      <c r="E7368" s="738">
        <f t="shared" si="230"/>
        <v>19.68</v>
      </c>
      <c r="F7368">
        <f t="shared" si="231"/>
        <v>95408</v>
      </c>
      <c r="H7368" s="1405">
        <v>17.07</v>
      </c>
      <c r="I7368" s="1405">
        <v>19.68</v>
      </c>
    </row>
    <row r="7369" spans="2:9">
      <c r="B7369" s="1477">
        <v>95409</v>
      </c>
      <c r="C7369" s="740" t="s">
        <v>1673</v>
      </c>
      <c r="D7369" s="739" t="s">
        <v>27</v>
      </c>
      <c r="E7369" s="741">
        <f t="shared" si="230"/>
        <v>14.46</v>
      </c>
      <c r="F7369">
        <f t="shared" si="231"/>
        <v>95409</v>
      </c>
      <c r="H7369" s="1406">
        <v>12.54</v>
      </c>
      <c r="I7369" s="1406">
        <v>14.46</v>
      </c>
    </row>
    <row r="7370" spans="2:9">
      <c r="B7370" s="677">
        <v>95410</v>
      </c>
      <c r="C7370" s="733" t="s">
        <v>1674</v>
      </c>
      <c r="D7370" s="677" t="s">
        <v>27</v>
      </c>
      <c r="E7370" s="738">
        <f t="shared" si="230"/>
        <v>6.72</v>
      </c>
      <c r="F7370">
        <f t="shared" si="231"/>
        <v>95410</v>
      </c>
      <c r="H7370" s="1405">
        <v>5.82</v>
      </c>
      <c r="I7370" s="1405">
        <v>6.72</v>
      </c>
    </row>
    <row r="7371" spans="2:9">
      <c r="B7371" s="1477">
        <v>95411</v>
      </c>
      <c r="C7371" s="740" t="s">
        <v>1675</v>
      </c>
      <c r="D7371" s="739" t="s">
        <v>27</v>
      </c>
      <c r="E7371" s="741">
        <f t="shared" si="230"/>
        <v>15.63</v>
      </c>
      <c r="F7371">
        <f t="shared" si="231"/>
        <v>95411</v>
      </c>
      <c r="H7371" s="1406">
        <v>13.55</v>
      </c>
      <c r="I7371" s="1406">
        <v>15.63</v>
      </c>
    </row>
    <row r="7372" spans="2:9">
      <c r="B7372" s="677">
        <v>95412</v>
      </c>
      <c r="C7372" s="733" t="s">
        <v>1676</v>
      </c>
      <c r="D7372" s="677" t="s">
        <v>27</v>
      </c>
      <c r="E7372" s="738">
        <f t="shared" si="230"/>
        <v>9.86</v>
      </c>
      <c r="F7372">
        <f t="shared" si="231"/>
        <v>95412</v>
      </c>
      <c r="H7372" s="1405">
        <v>8.5500000000000007</v>
      </c>
      <c r="I7372" s="1405">
        <v>9.86</v>
      </c>
    </row>
    <row r="7373" spans="2:9">
      <c r="B7373" s="1477">
        <v>95413</v>
      </c>
      <c r="C7373" s="740" t="s">
        <v>1677</v>
      </c>
      <c r="D7373" s="739" t="s">
        <v>27</v>
      </c>
      <c r="E7373" s="741">
        <f t="shared" si="230"/>
        <v>15.25</v>
      </c>
      <c r="F7373">
        <f t="shared" si="231"/>
        <v>95413</v>
      </c>
      <c r="H7373" s="1406">
        <v>13.22</v>
      </c>
      <c r="I7373" s="1406">
        <v>15.25</v>
      </c>
    </row>
    <row r="7374" spans="2:9">
      <c r="B7374" s="677">
        <v>95414</v>
      </c>
      <c r="C7374" s="733" t="s">
        <v>1678</v>
      </c>
      <c r="D7374" s="677" t="s">
        <v>27</v>
      </c>
      <c r="E7374" s="738">
        <f t="shared" si="230"/>
        <v>65.66</v>
      </c>
      <c r="F7374">
        <f t="shared" si="231"/>
        <v>95414</v>
      </c>
      <c r="H7374" s="1405">
        <v>56.95</v>
      </c>
      <c r="I7374" s="1405">
        <v>65.66</v>
      </c>
    </row>
    <row r="7375" spans="2:9">
      <c r="B7375" s="1477">
        <v>95415</v>
      </c>
      <c r="C7375" s="740" t="s">
        <v>1679</v>
      </c>
      <c r="D7375" s="739" t="s">
        <v>27</v>
      </c>
      <c r="E7375" s="741">
        <f t="shared" si="230"/>
        <v>252.28</v>
      </c>
      <c r="F7375">
        <f t="shared" si="231"/>
        <v>95415</v>
      </c>
      <c r="H7375" s="1406">
        <v>218.8</v>
      </c>
      <c r="I7375" s="1406">
        <v>252.28</v>
      </c>
    </row>
    <row r="7376" spans="2:9">
      <c r="B7376" s="677">
        <v>95416</v>
      </c>
      <c r="C7376" s="733" t="s">
        <v>1680</v>
      </c>
      <c r="D7376" s="677" t="s">
        <v>27</v>
      </c>
      <c r="E7376" s="738">
        <f t="shared" si="230"/>
        <v>11.86</v>
      </c>
      <c r="F7376">
        <f t="shared" si="231"/>
        <v>95416</v>
      </c>
      <c r="H7376" s="1405">
        <v>10.29</v>
      </c>
      <c r="I7376" s="1405">
        <v>11.86</v>
      </c>
    </row>
    <row r="7377" spans="2:9">
      <c r="B7377" s="1477">
        <v>95417</v>
      </c>
      <c r="C7377" s="740" t="s">
        <v>1681</v>
      </c>
      <c r="D7377" s="739" t="s">
        <v>27</v>
      </c>
      <c r="E7377" s="741">
        <f t="shared" si="230"/>
        <v>266.36</v>
      </c>
      <c r="F7377">
        <f t="shared" si="231"/>
        <v>95417</v>
      </c>
      <c r="H7377" s="1406">
        <v>231.01</v>
      </c>
      <c r="I7377" s="1406">
        <v>266.36</v>
      </c>
    </row>
    <row r="7378" spans="2:9">
      <c r="B7378" s="677">
        <v>95418</v>
      </c>
      <c r="C7378" s="733" t="s">
        <v>1682</v>
      </c>
      <c r="D7378" s="677" t="s">
        <v>27</v>
      </c>
      <c r="E7378" s="738">
        <f t="shared" si="230"/>
        <v>317.64999999999998</v>
      </c>
      <c r="F7378">
        <f t="shared" si="231"/>
        <v>95418</v>
      </c>
      <c r="H7378" s="1405">
        <v>275.5</v>
      </c>
      <c r="I7378" s="1405">
        <v>317.64999999999998</v>
      </c>
    </row>
    <row r="7379" spans="2:9">
      <c r="B7379" s="1477">
        <v>95419</v>
      </c>
      <c r="C7379" s="740" t="s">
        <v>1683</v>
      </c>
      <c r="D7379" s="739" t="s">
        <v>27</v>
      </c>
      <c r="E7379" s="741">
        <f t="shared" si="230"/>
        <v>139.49</v>
      </c>
      <c r="F7379">
        <f t="shared" si="231"/>
        <v>95419</v>
      </c>
      <c r="H7379" s="1406">
        <v>120.98</v>
      </c>
      <c r="I7379" s="1406">
        <v>139.49</v>
      </c>
    </row>
    <row r="7380" spans="2:9">
      <c r="B7380" s="677">
        <v>95420</v>
      </c>
      <c r="C7380" s="733" t="s">
        <v>1684</v>
      </c>
      <c r="D7380" s="677" t="s">
        <v>27</v>
      </c>
      <c r="E7380" s="738">
        <f t="shared" si="230"/>
        <v>147.78</v>
      </c>
      <c r="F7380">
        <f t="shared" si="231"/>
        <v>95420</v>
      </c>
      <c r="H7380" s="1405">
        <v>128.16999999999999</v>
      </c>
      <c r="I7380" s="1405">
        <v>147.78</v>
      </c>
    </row>
    <row r="7381" spans="2:9">
      <c r="B7381" s="1477">
        <v>95421</v>
      </c>
      <c r="C7381" s="740" t="s">
        <v>1685</v>
      </c>
      <c r="D7381" s="739" t="s">
        <v>27</v>
      </c>
      <c r="E7381" s="741">
        <f t="shared" si="230"/>
        <v>154.88</v>
      </c>
      <c r="F7381">
        <f t="shared" si="231"/>
        <v>95421</v>
      </c>
      <c r="H7381" s="1406">
        <v>134.32</v>
      </c>
      <c r="I7381" s="1406">
        <v>154.88</v>
      </c>
    </row>
    <row r="7382" spans="2:9">
      <c r="B7382" s="677">
        <v>95422</v>
      </c>
      <c r="C7382" s="733" t="s">
        <v>1686</v>
      </c>
      <c r="D7382" s="677" t="s">
        <v>27</v>
      </c>
      <c r="E7382" s="738">
        <f t="shared" si="230"/>
        <v>85.04</v>
      </c>
      <c r="F7382">
        <f t="shared" si="231"/>
        <v>95422</v>
      </c>
      <c r="H7382" s="1405">
        <v>73.760000000000005</v>
      </c>
      <c r="I7382" s="1405">
        <v>85.04</v>
      </c>
    </row>
    <row r="7383" spans="2:9">
      <c r="B7383" s="1477">
        <v>95423</v>
      </c>
      <c r="C7383" s="740" t="s">
        <v>1687</v>
      </c>
      <c r="D7383" s="739" t="s">
        <v>27</v>
      </c>
      <c r="E7383" s="741">
        <f t="shared" si="230"/>
        <v>183.55</v>
      </c>
      <c r="F7383">
        <f t="shared" si="231"/>
        <v>95423</v>
      </c>
      <c r="H7383" s="1406">
        <v>159.19</v>
      </c>
      <c r="I7383" s="1406">
        <v>183.55</v>
      </c>
    </row>
    <row r="7384" spans="2:9">
      <c r="B7384" s="677">
        <v>95424</v>
      </c>
      <c r="C7384" s="733" t="s">
        <v>1688</v>
      </c>
      <c r="D7384" s="677" t="s">
        <v>27</v>
      </c>
      <c r="E7384" s="738">
        <f t="shared" si="230"/>
        <v>24.93</v>
      </c>
      <c r="F7384">
        <f t="shared" si="231"/>
        <v>95424</v>
      </c>
      <c r="H7384" s="1405">
        <v>21.62</v>
      </c>
      <c r="I7384" s="1405">
        <v>24.93</v>
      </c>
    </row>
    <row r="7385" spans="2:9">
      <c r="B7385" s="1477">
        <v>100288</v>
      </c>
      <c r="C7385" s="740" t="s">
        <v>2521</v>
      </c>
      <c r="D7385" s="739" t="s">
        <v>31</v>
      </c>
      <c r="E7385" s="741">
        <f t="shared" si="230"/>
        <v>0.08</v>
      </c>
      <c r="F7385">
        <f t="shared" si="231"/>
        <v>100288</v>
      </c>
      <c r="H7385" s="1406">
        <v>7.0000000000000007E-2</v>
      </c>
      <c r="I7385" s="1406">
        <v>0.08</v>
      </c>
    </row>
    <row r="7386" spans="2:9">
      <c r="B7386" s="677">
        <v>100289</v>
      </c>
      <c r="C7386" s="733" t="s">
        <v>2522</v>
      </c>
      <c r="D7386" s="677" t="s">
        <v>31</v>
      </c>
      <c r="E7386" s="738">
        <f t="shared" si="230"/>
        <v>20.59</v>
      </c>
      <c r="F7386">
        <f t="shared" si="231"/>
        <v>100289</v>
      </c>
      <c r="H7386" s="1405">
        <v>18.57</v>
      </c>
      <c r="I7386" s="1405">
        <v>20.59</v>
      </c>
    </row>
    <row r="7387" spans="2:9">
      <c r="B7387" s="1477">
        <v>100290</v>
      </c>
      <c r="C7387" s="740" t="s">
        <v>2523</v>
      </c>
      <c r="D7387" s="739" t="s">
        <v>31</v>
      </c>
      <c r="E7387" s="741">
        <f t="shared" si="230"/>
        <v>0.09</v>
      </c>
      <c r="F7387">
        <f t="shared" si="231"/>
        <v>100290</v>
      </c>
      <c r="H7387" s="1406">
        <v>0.08</v>
      </c>
      <c r="I7387" s="1406">
        <v>0.09</v>
      </c>
    </row>
    <row r="7388" spans="2:9">
      <c r="B7388" s="677">
        <v>100291</v>
      </c>
      <c r="C7388" s="733" t="s">
        <v>2524</v>
      </c>
      <c r="D7388" s="677" t="s">
        <v>31</v>
      </c>
      <c r="E7388" s="738">
        <f t="shared" si="230"/>
        <v>0.33</v>
      </c>
      <c r="F7388">
        <f t="shared" si="231"/>
        <v>100291</v>
      </c>
      <c r="H7388" s="1405">
        <v>0.28999999999999998</v>
      </c>
      <c r="I7388" s="1405">
        <v>0.33</v>
      </c>
    </row>
    <row r="7389" spans="2:9">
      <c r="B7389" s="1477">
        <v>100293</v>
      </c>
      <c r="C7389" s="740" t="s">
        <v>2525</v>
      </c>
      <c r="D7389" s="739" t="s">
        <v>31</v>
      </c>
      <c r="E7389" s="741">
        <f t="shared" si="230"/>
        <v>0.25</v>
      </c>
      <c r="F7389">
        <f t="shared" si="231"/>
        <v>100293</v>
      </c>
      <c r="H7389" s="1406">
        <v>0.21</v>
      </c>
      <c r="I7389" s="1406">
        <v>0.25</v>
      </c>
    </row>
    <row r="7390" spans="2:9">
      <c r="B7390" s="677">
        <v>100295</v>
      </c>
      <c r="C7390" s="733" t="s">
        <v>2526</v>
      </c>
      <c r="D7390" s="677" t="s">
        <v>31</v>
      </c>
      <c r="E7390" s="738">
        <f t="shared" si="230"/>
        <v>0.61</v>
      </c>
      <c r="F7390">
        <f t="shared" si="231"/>
        <v>100295</v>
      </c>
      <c r="H7390" s="1405">
        <v>0.53</v>
      </c>
      <c r="I7390" s="1405">
        <v>0.61</v>
      </c>
    </row>
    <row r="7391" spans="2:9">
      <c r="B7391" s="1477">
        <v>100298</v>
      </c>
      <c r="C7391" s="740" t="s">
        <v>2527</v>
      </c>
      <c r="D7391" s="739" t="s">
        <v>31</v>
      </c>
      <c r="E7391" s="741">
        <f t="shared" si="230"/>
        <v>0.69</v>
      </c>
      <c r="F7391">
        <f t="shared" si="231"/>
        <v>100298</v>
      </c>
      <c r="H7391" s="1406">
        <v>0.6</v>
      </c>
      <c r="I7391" s="1406">
        <v>0.69</v>
      </c>
    </row>
    <row r="7392" spans="2:9">
      <c r="B7392" s="677">
        <v>100299</v>
      </c>
      <c r="C7392" s="733" t="s">
        <v>2528</v>
      </c>
      <c r="D7392" s="677" t="s">
        <v>31</v>
      </c>
      <c r="E7392" s="738">
        <f t="shared" si="230"/>
        <v>0.55000000000000004</v>
      </c>
      <c r="F7392">
        <f t="shared" si="231"/>
        <v>100299</v>
      </c>
      <c r="H7392" s="1405">
        <v>0.48</v>
      </c>
      <c r="I7392" s="1405">
        <v>0.55000000000000004</v>
      </c>
    </row>
    <row r="7393" spans="2:9">
      <c r="B7393" s="1477">
        <v>100300</v>
      </c>
      <c r="C7393" s="740" t="s">
        <v>2529</v>
      </c>
      <c r="D7393" s="739" t="s">
        <v>31</v>
      </c>
      <c r="E7393" s="741">
        <f t="shared" si="230"/>
        <v>18.260000000000002</v>
      </c>
      <c r="F7393">
        <f t="shared" si="231"/>
        <v>100300</v>
      </c>
      <c r="H7393" s="1406">
        <v>16.16</v>
      </c>
      <c r="I7393" s="1406">
        <v>18.260000000000002</v>
      </c>
    </row>
    <row r="7394" spans="2:9">
      <c r="B7394" s="677">
        <v>100301</v>
      </c>
      <c r="C7394" s="733" t="s">
        <v>2530</v>
      </c>
      <c r="D7394" s="677" t="s">
        <v>31</v>
      </c>
      <c r="E7394" s="738">
        <f t="shared" si="230"/>
        <v>27.11</v>
      </c>
      <c r="F7394">
        <f t="shared" si="231"/>
        <v>100301</v>
      </c>
      <c r="H7394" s="1405">
        <v>24.47</v>
      </c>
      <c r="I7394" s="1405">
        <v>27.11</v>
      </c>
    </row>
    <row r="7395" spans="2:9">
      <c r="B7395" s="1477">
        <v>100303</v>
      </c>
      <c r="C7395" s="740" t="s">
        <v>2531</v>
      </c>
      <c r="D7395" s="739" t="s">
        <v>31</v>
      </c>
      <c r="E7395" s="741">
        <f t="shared" si="230"/>
        <v>20.32</v>
      </c>
      <c r="F7395">
        <f t="shared" si="231"/>
        <v>100303</v>
      </c>
      <c r="H7395" s="1406">
        <v>18.350000000000001</v>
      </c>
      <c r="I7395" s="1406">
        <v>20.32</v>
      </c>
    </row>
    <row r="7396" spans="2:9">
      <c r="B7396" s="677">
        <v>100307</v>
      </c>
      <c r="C7396" s="733" t="s">
        <v>2532</v>
      </c>
      <c r="D7396" s="677" t="s">
        <v>31</v>
      </c>
      <c r="E7396" s="738">
        <f t="shared" si="230"/>
        <v>23.28</v>
      </c>
      <c r="F7396">
        <f t="shared" si="231"/>
        <v>100307</v>
      </c>
      <c r="H7396" s="1405">
        <v>20.92</v>
      </c>
      <c r="I7396" s="1405">
        <v>23.28</v>
      </c>
    </row>
    <row r="7397" spans="2:9">
      <c r="B7397" s="1477">
        <v>100308</v>
      </c>
      <c r="C7397" s="740" t="s">
        <v>2533</v>
      </c>
      <c r="D7397" s="739" t="s">
        <v>31</v>
      </c>
      <c r="E7397" s="741">
        <f t="shared" si="230"/>
        <v>27.83</v>
      </c>
      <c r="F7397">
        <f t="shared" si="231"/>
        <v>100308</v>
      </c>
      <c r="H7397" s="1406">
        <v>24.87</v>
      </c>
      <c r="I7397" s="1406">
        <v>27.83</v>
      </c>
    </row>
    <row r="7398" spans="2:9">
      <c r="B7398" s="677">
        <v>100309</v>
      </c>
      <c r="C7398" s="733" t="s">
        <v>2536</v>
      </c>
      <c r="D7398" s="677" t="s">
        <v>31</v>
      </c>
      <c r="E7398" s="738">
        <f t="shared" si="230"/>
        <v>29.71</v>
      </c>
      <c r="F7398">
        <f t="shared" si="231"/>
        <v>100309</v>
      </c>
      <c r="H7398" s="1405">
        <v>26.1</v>
      </c>
      <c r="I7398" s="1405">
        <v>29.71</v>
      </c>
    </row>
    <row r="7399" spans="2:9">
      <c r="B7399" s="1477">
        <v>100310</v>
      </c>
      <c r="C7399" s="740" t="s">
        <v>2534</v>
      </c>
      <c r="D7399" s="739" t="s">
        <v>27</v>
      </c>
      <c r="E7399" s="741">
        <f t="shared" si="230"/>
        <v>12.28</v>
      </c>
      <c r="F7399">
        <f t="shared" si="231"/>
        <v>100310</v>
      </c>
      <c r="H7399" s="1406">
        <v>10.65</v>
      </c>
      <c r="I7399" s="1406">
        <v>12.28</v>
      </c>
    </row>
    <row r="7400" spans="2:9">
      <c r="B7400" s="677">
        <v>100315</v>
      </c>
      <c r="C7400" s="733" t="s">
        <v>2535</v>
      </c>
      <c r="D7400" s="677" t="s">
        <v>27</v>
      </c>
      <c r="E7400" s="738">
        <f t="shared" si="230"/>
        <v>73.44</v>
      </c>
      <c r="F7400">
        <f t="shared" si="231"/>
        <v>100315</v>
      </c>
      <c r="H7400" s="1405">
        <v>63.69</v>
      </c>
      <c r="I7400" s="1405">
        <v>73.44</v>
      </c>
    </row>
    <row r="7401" spans="2:9">
      <c r="B7401" s="1477">
        <v>100316</v>
      </c>
      <c r="C7401" s="740" t="s">
        <v>2529</v>
      </c>
      <c r="D7401" s="739" t="s">
        <v>27</v>
      </c>
      <c r="E7401" s="741">
        <f t="shared" si="230"/>
        <v>3236.41</v>
      </c>
      <c r="F7401">
        <f t="shared" si="231"/>
        <v>100316</v>
      </c>
      <c r="H7401" s="1406">
        <v>2862.42</v>
      </c>
      <c r="I7401" s="1406">
        <v>3236.41</v>
      </c>
    </row>
    <row r="7402" spans="2:9">
      <c r="B7402" s="677">
        <v>100321</v>
      </c>
      <c r="C7402" s="733" t="s">
        <v>2536</v>
      </c>
      <c r="D7402" s="677" t="s">
        <v>27</v>
      </c>
      <c r="E7402" s="738">
        <f t="shared" si="230"/>
        <v>5233</v>
      </c>
      <c r="F7402">
        <f t="shared" si="231"/>
        <v>100321</v>
      </c>
      <c r="H7402" s="1405">
        <v>4594.04</v>
      </c>
      <c r="I7402" s="1405">
        <v>5233</v>
      </c>
    </row>
    <row r="7403" spans="2:9">
      <c r="B7403" s="1477">
        <v>100533</v>
      </c>
      <c r="C7403" s="740" t="s">
        <v>2711</v>
      </c>
      <c r="D7403" s="739" t="s">
        <v>31</v>
      </c>
      <c r="E7403" s="741">
        <f t="shared" si="230"/>
        <v>18.11</v>
      </c>
      <c r="F7403">
        <f t="shared" si="231"/>
        <v>100533</v>
      </c>
      <c r="H7403" s="1406">
        <v>16.02</v>
      </c>
      <c r="I7403" s="1406">
        <v>18.11</v>
      </c>
    </row>
    <row r="7404" spans="2:9">
      <c r="B7404" s="677">
        <v>100534</v>
      </c>
      <c r="C7404" s="733" t="s">
        <v>2711</v>
      </c>
      <c r="D7404" s="677" t="s">
        <v>27</v>
      </c>
      <c r="E7404" s="738">
        <f t="shared" si="230"/>
        <v>3212.41</v>
      </c>
      <c r="F7404">
        <f t="shared" si="231"/>
        <v>100534</v>
      </c>
      <c r="H7404" s="1405">
        <v>2841.61</v>
      </c>
      <c r="I7404" s="1405">
        <v>3212.41</v>
      </c>
    </row>
    <row r="7405" spans="2:9">
      <c r="B7405" s="1477">
        <v>100535</v>
      </c>
      <c r="C7405" s="740" t="s">
        <v>2712</v>
      </c>
      <c r="D7405" s="739" t="s">
        <v>31</v>
      </c>
      <c r="E7405" s="741">
        <f t="shared" si="230"/>
        <v>0.32</v>
      </c>
      <c r="F7405">
        <f t="shared" si="231"/>
        <v>100535</v>
      </c>
      <c r="H7405" s="1406">
        <v>0.28000000000000003</v>
      </c>
      <c r="I7405" s="1406">
        <v>0.32</v>
      </c>
    </row>
    <row r="7406" spans="2:9">
      <c r="B7406" s="677">
        <v>100536</v>
      </c>
      <c r="C7406" s="733" t="s">
        <v>2713</v>
      </c>
      <c r="D7406" s="677" t="s">
        <v>27</v>
      </c>
      <c r="E7406" s="738">
        <f t="shared" si="230"/>
        <v>42.62</v>
      </c>
      <c r="F7406">
        <f t="shared" si="231"/>
        <v>100536</v>
      </c>
      <c r="H7406" s="1405">
        <v>36.96</v>
      </c>
      <c r="I7406" s="1405">
        <v>42.62</v>
      </c>
    </row>
    <row r="7407" spans="2:9">
      <c r="B7407" s="1477">
        <v>101286</v>
      </c>
      <c r="C7407" s="740" t="s">
        <v>3281</v>
      </c>
      <c r="D7407" s="739" t="s">
        <v>27</v>
      </c>
      <c r="E7407" s="741">
        <f t="shared" si="230"/>
        <v>27.9</v>
      </c>
      <c r="F7407">
        <f t="shared" si="231"/>
        <v>101286</v>
      </c>
      <c r="H7407" s="1406">
        <v>24.19</v>
      </c>
      <c r="I7407" s="1406">
        <v>27.9</v>
      </c>
    </row>
    <row r="7408" spans="2:9">
      <c r="B7408" s="677">
        <v>101287</v>
      </c>
      <c r="C7408" s="733" t="s">
        <v>3282</v>
      </c>
      <c r="D7408" s="677" t="s">
        <v>27</v>
      </c>
      <c r="E7408" s="738">
        <f t="shared" si="230"/>
        <v>90.21</v>
      </c>
      <c r="F7408">
        <f t="shared" si="231"/>
        <v>101287</v>
      </c>
      <c r="H7408" s="1405">
        <v>78.239999999999995</v>
      </c>
      <c r="I7408" s="1405">
        <v>90.21</v>
      </c>
    </row>
    <row r="7409" spans="2:9">
      <c r="B7409" s="1477">
        <v>101288</v>
      </c>
      <c r="C7409" s="740" t="s">
        <v>3283</v>
      </c>
      <c r="D7409" s="739" t="s">
        <v>27</v>
      </c>
      <c r="E7409" s="741">
        <f t="shared" si="230"/>
        <v>27.9</v>
      </c>
      <c r="F7409">
        <f t="shared" si="231"/>
        <v>101288</v>
      </c>
      <c r="H7409" s="1406">
        <v>24.19</v>
      </c>
      <c r="I7409" s="1406">
        <v>27.9</v>
      </c>
    </row>
    <row r="7410" spans="2:9">
      <c r="B7410" s="677">
        <v>101289</v>
      </c>
      <c r="C7410" s="733" t="s">
        <v>3284</v>
      </c>
      <c r="D7410" s="677" t="s">
        <v>27</v>
      </c>
      <c r="E7410" s="738">
        <f t="shared" si="230"/>
        <v>27.61</v>
      </c>
      <c r="F7410">
        <f t="shared" si="231"/>
        <v>101289</v>
      </c>
      <c r="H7410" s="1405">
        <v>23.94</v>
      </c>
      <c r="I7410" s="1405">
        <v>27.61</v>
      </c>
    </row>
    <row r="7411" spans="2:9">
      <c r="B7411" s="1477">
        <v>101290</v>
      </c>
      <c r="C7411" s="740" t="s">
        <v>3285</v>
      </c>
      <c r="D7411" s="739" t="s">
        <v>27</v>
      </c>
      <c r="E7411" s="741">
        <f t="shared" si="230"/>
        <v>44.27</v>
      </c>
      <c r="F7411">
        <f t="shared" si="231"/>
        <v>101290</v>
      </c>
      <c r="H7411" s="1406">
        <v>38.4</v>
      </c>
      <c r="I7411" s="1406">
        <v>44.27</v>
      </c>
    </row>
    <row r="7412" spans="2:9">
      <c r="B7412" s="677">
        <v>101291</v>
      </c>
      <c r="C7412" s="733" t="s">
        <v>3286</v>
      </c>
      <c r="D7412" s="677" t="s">
        <v>27</v>
      </c>
      <c r="E7412" s="738">
        <f t="shared" si="230"/>
        <v>27.9</v>
      </c>
      <c r="F7412">
        <f t="shared" si="231"/>
        <v>101291</v>
      </c>
      <c r="H7412" s="1405">
        <v>24.19</v>
      </c>
      <c r="I7412" s="1405">
        <v>27.9</v>
      </c>
    </row>
    <row r="7413" spans="2:9">
      <c r="B7413" s="1477">
        <v>101292</v>
      </c>
      <c r="C7413" s="740" t="s">
        <v>3287</v>
      </c>
      <c r="D7413" s="739" t="s">
        <v>27</v>
      </c>
      <c r="E7413" s="741">
        <f t="shared" si="230"/>
        <v>27.61</v>
      </c>
      <c r="F7413">
        <f t="shared" si="231"/>
        <v>101292</v>
      </c>
      <c r="H7413" s="1406">
        <v>23.94</v>
      </c>
      <c r="I7413" s="1406">
        <v>27.61</v>
      </c>
    </row>
    <row r="7414" spans="2:9">
      <c r="B7414" s="677">
        <v>101293</v>
      </c>
      <c r="C7414" s="733" t="s">
        <v>3288</v>
      </c>
      <c r="D7414" s="677" t="s">
        <v>27</v>
      </c>
      <c r="E7414" s="738">
        <f t="shared" si="230"/>
        <v>34.61</v>
      </c>
      <c r="F7414">
        <f t="shared" si="231"/>
        <v>101293</v>
      </c>
      <c r="H7414" s="1405">
        <v>30.02</v>
      </c>
      <c r="I7414" s="1405">
        <v>34.61</v>
      </c>
    </row>
    <row r="7415" spans="2:9">
      <c r="B7415" s="1477">
        <v>101294</v>
      </c>
      <c r="C7415" s="740" t="s">
        <v>3289</v>
      </c>
      <c r="D7415" s="739" t="s">
        <v>27</v>
      </c>
      <c r="E7415" s="741">
        <f t="shared" si="230"/>
        <v>22.37</v>
      </c>
      <c r="F7415">
        <f t="shared" si="231"/>
        <v>101294</v>
      </c>
      <c r="H7415" s="1406">
        <v>19.399999999999999</v>
      </c>
      <c r="I7415" s="1406">
        <v>22.37</v>
      </c>
    </row>
    <row r="7416" spans="2:9">
      <c r="B7416" s="677">
        <v>101295</v>
      </c>
      <c r="C7416" s="733" t="s">
        <v>3290</v>
      </c>
      <c r="D7416" s="677" t="s">
        <v>27</v>
      </c>
      <c r="E7416" s="738">
        <f t="shared" si="230"/>
        <v>32.93</v>
      </c>
      <c r="F7416">
        <f t="shared" si="231"/>
        <v>101295</v>
      </c>
      <c r="H7416" s="1405">
        <v>28.56</v>
      </c>
      <c r="I7416" s="1405">
        <v>32.93</v>
      </c>
    </row>
    <row r="7417" spans="2:9" ht="30">
      <c r="B7417" s="1477">
        <v>101296</v>
      </c>
      <c r="C7417" s="740" t="s">
        <v>3291</v>
      </c>
      <c r="D7417" s="739" t="s">
        <v>27</v>
      </c>
      <c r="E7417" s="741">
        <f t="shared" si="230"/>
        <v>43.47</v>
      </c>
      <c r="F7417">
        <f t="shared" si="231"/>
        <v>101296</v>
      </c>
      <c r="H7417" s="1406">
        <v>37.700000000000003</v>
      </c>
      <c r="I7417" s="1406">
        <v>43.47</v>
      </c>
    </row>
    <row r="7418" spans="2:9">
      <c r="B7418" s="677">
        <v>101297</v>
      </c>
      <c r="C7418" s="733" t="s">
        <v>3292</v>
      </c>
      <c r="D7418" s="677" t="s">
        <v>27</v>
      </c>
      <c r="E7418" s="738">
        <f t="shared" si="230"/>
        <v>31.16</v>
      </c>
      <c r="F7418">
        <f t="shared" si="231"/>
        <v>101297</v>
      </c>
      <c r="H7418" s="1405">
        <v>27.03</v>
      </c>
      <c r="I7418" s="1405">
        <v>31.16</v>
      </c>
    </row>
    <row r="7419" spans="2:9">
      <c r="B7419" s="1477">
        <v>101298</v>
      </c>
      <c r="C7419" s="740" t="s">
        <v>3293</v>
      </c>
      <c r="D7419" s="739" t="s">
        <v>27</v>
      </c>
      <c r="E7419" s="741">
        <f t="shared" si="230"/>
        <v>27.9</v>
      </c>
      <c r="F7419">
        <f t="shared" si="231"/>
        <v>101298</v>
      </c>
      <c r="H7419" s="1406">
        <v>24.19</v>
      </c>
      <c r="I7419" s="1406">
        <v>27.9</v>
      </c>
    </row>
    <row r="7420" spans="2:9">
      <c r="B7420" s="677">
        <v>101299</v>
      </c>
      <c r="C7420" s="733" t="s">
        <v>3294</v>
      </c>
      <c r="D7420" s="677" t="s">
        <v>27</v>
      </c>
      <c r="E7420" s="738">
        <f t="shared" si="230"/>
        <v>35.67</v>
      </c>
      <c r="F7420">
        <f t="shared" si="231"/>
        <v>101299</v>
      </c>
      <c r="H7420" s="1405">
        <v>30.94</v>
      </c>
      <c r="I7420" s="1405">
        <v>35.67</v>
      </c>
    </row>
    <row r="7421" spans="2:9">
      <c r="B7421" s="1477">
        <v>101300</v>
      </c>
      <c r="C7421" s="740" t="s">
        <v>3295</v>
      </c>
      <c r="D7421" s="739" t="s">
        <v>27</v>
      </c>
      <c r="E7421" s="741">
        <f t="shared" si="230"/>
        <v>25.78</v>
      </c>
      <c r="F7421">
        <f t="shared" si="231"/>
        <v>101300</v>
      </c>
      <c r="H7421" s="1406">
        <v>22.36</v>
      </c>
      <c r="I7421" s="1406">
        <v>25.78</v>
      </c>
    </row>
    <row r="7422" spans="2:9">
      <c r="B7422" s="677">
        <v>101301</v>
      </c>
      <c r="C7422" s="733" t="s">
        <v>3296</v>
      </c>
      <c r="D7422" s="677" t="s">
        <v>27</v>
      </c>
      <c r="E7422" s="738">
        <f t="shared" si="230"/>
        <v>11.22</v>
      </c>
      <c r="F7422">
        <f t="shared" si="231"/>
        <v>101301</v>
      </c>
      <c r="H7422" s="1405">
        <v>9.73</v>
      </c>
      <c r="I7422" s="1405">
        <v>11.22</v>
      </c>
    </row>
    <row r="7423" spans="2:9">
      <c r="B7423" s="1477">
        <v>101302</v>
      </c>
      <c r="C7423" s="740" t="s">
        <v>3297</v>
      </c>
      <c r="D7423" s="739" t="s">
        <v>27</v>
      </c>
      <c r="E7423" s="741">
        <f t="shared" si="230"/>
        <v>31.34</v>
      </c>
      <c r="F7423">
        <f t="shared" si="231"/>
        <v>101302</v>
      </c>
      <c r="H7423" s="1406">
        <v>27.18</v>
      </c>
      <c r="I7423" s="1406">
        <v>31.34</v>
      </c>
    </row>
    <row r="7424" spans="2:9">
      <c r="B7424" s="677">
        <v>101303</v>
      </c>
      <c r="C7424" s="733" t="s">
        <v>3298</v>
      </c>
      <c r="D7424" s="677" t="s">
        <v>27</v>
      </c>
      <c r="E7424" s="738">
        <f t="shared" si="230"/>
        <v>81.12</v>
      </c>
      <c r="F7424">
        <f t="shared" si="231"/>
        <v>101303</v>
      </c>
      <c r="H7424" s="1405">
        <v>70.349999999999994</v>
      </c>
      <c r="I7424" s="1405">
        <v>81.12</v>
      </c>
    </row>
    <row r="7425" spans="2:9">
      <c r="B7425" s="1477">
        <v>101304</v>
      </c>
      <c r="C7425" s="740" t="s">
        <v>3299</v>
      </c>
      <c r="D7425" s="739" t="s">
        <v>27</v>
      </c>
      <c r="E7425" s="741">
        <f t="shared" si="230"/>
        <v>44.26</v>
      </c>
      <c r="F7425">
        <f t="shared" si="231"/>
        <v>101304</v>
      </c>
      <c r="H7425" s="1406">
        <v>38.380000000000003</v>
      </c>
      <c r="I7425" s="1406">
        <v>44.26</v>
      </c>
    </row>
    <row r="7426" spans="2:9">
      <c r="B7426" s="677">
        <v>101305</v>
      </c>
      <c r="C7426" s="733" t="s">
        <v>3300</v>
      </c>
      <c r="D7426" s="677" t="s">
        <v>27</v>
      </c>
      <c r="E7426" s="738">
        <f t="shared" si="230"/>
        <v>38.340000000000003</v>
      </c>
      <c r="F7426">
        <f t="shared" si="231"/>
        <v>101305</v>
      </c>
      <c r="H7426" s="1405">
        <v>33.25</v>
      </c>
      <c r="I7426" s="1405">
        <v>38.340000000000003</v>
      </c>
    </row>
    <row r="7427" spans="2:9">
      <c r="B7427" s="1477">
        <v>101307</v>
      </c>
      <c r="C7427" s="740" t="s">
        <v>3301</v>
      </c>
      <c r="D7427" s="739" t="s">
        <v>27</v>
      </c>
      <c r="E7427" s="741">
        <f t="shared" ref="E7427:E7490" si="232">IF($K$2=$H$1,H7427,I7427)</f>
        <v>31.35</v>
      </c>
      <c r="F7427">
        <f t="shared" si="231"/>
        <v>101307</v>
      </c>
      <c r="H7427" s="1406">
        <v>27.19</v>
      </c>
      <c r="I7427" s="1406">
        <v>31.35</v>
      </c>
    </row>
    <row r="7428" spans="2:9">
      <c r="B7428" s="677">
        <v>101308</v>
      </c>
      <c r="C7428" s="733" t="s">
        <v>3302</v>
      </c>
      <c r="D7428" s="677" t="s">
        <v>27</v>
      </c>
      <c r="E7428" s="738">
        <f t="shared" si="232"/>
        <v>31.57</v>
      </c>
      <c r="F7428">
        <f t="shared" ref="F7428:F7491" si="233">IF(LEN($B7428)=7,CONCATENATE(MID($B7428,1,6),"00",RIGHT($B7428,1)),IF(LEN($B7428)=8,CONCATENATE(MID($B7428,1,6),"0",RIGHT($B7428,2)),$B7428))</f>
        <v>101308</v>
      </c>
      <c r="H7428" s="1405">
        <v>27.38</v>
      </c>
      <c r="I7428" s="1405">
        <v>31.57</v>
      </c>
    </row>
    <row r="7429" spans="2:9">
      <c r="B7429" s="1477">
        <v>101309</v>
      </c>
      <c r="C7429" s="740" t="s">
        <v>3303</v>
      </c>
      <c r="D7429" s="739" t="s">
        <v>27</v>
      </c>
      <c r="E7429" s="741">
        <f t="shared" si="232"/>
        <v>35.67</v>
      </c>
      <c r="F7429">
        <f t="shared" si="233"/>
        <v>101309</v>
      </c>
      <c r="H7429" s="1406">
        <v>30.94</v>
      </c>
      <c r="I7429" s="1406">
        <v>35.67</v>
      </c>
    </row>
    <row r="7430" spans="2:9">
      <c r="B7430" s="677">
        <v>101310</v>
      </c>
      <c r="C7430" s="733" t="s">
        <v>3304</v>
      </c>
      <c r="D7430" s="677" t="s">
        <v>27</v>
      </c>
      <c r="E7430" s="738">
        <f t="shared" si="232"/>
        <v>41.67</v>
      </c>
      <c r="F7430">
        <f t="shared" si="233"/>
        <v>101310</v>
      </c>
      <c r="H7430" s="1405">
        <v>36.14</v>
      </c>
      <c r="I7430" s="1405">
        <v>41.67</v>
      </c>
    </row>
    <row r="7431" spans="2:9">
      <c r="B7431" s="1477">
        <v>101311</v>
      </c>
      <c r="C7431" s="740" t="s">
        <v>3305</v>
      </c>
      <c r="D7431" s="739" t="s">
        <v>27</v>
      </c>
      <c r="E7431" s="741">
        <f t="shared" si="232"/>
        <v>34.61</v>
      </c>
      <c r="F7431">
        <f t="shared" si="233"/>
        <v>101311</v>
      </c>
      <c r="H7431" s="1406">
        <v>30.02</v>
      </c>
      <c r="I7431" s="1406">
        <v>34.61</v>
      </c>
    </row>
    <row r="7432" spans="2:9">
      <c r="B7432" s="677">
        <v>101312</v>
      </c>
      <c r="C7432" s="733" t="s">
        <v>3306</v>
      </c>
      <c r="D7432" s="677" t="s">
        <v>27</v>
      </c>
      <c r="E7432" s="738">
        <f t="shared" si="232"/>
        <v>29.4</v>
      </c>
      <c r="F7432">
        <f t="shared" si="233"/>
        <v>101312</v>
      </c>
      <c r="H7432" s="1405">
        <v>25.5</v>
      </c>
      <c r="I7432" s="1405">
        <v>29.4</v>
      </c>
    </row>
    <row r="7433" spans="2:9">
      <c r="B7433" s="1477">
        <v>101313</v>
      </c>
      <c r="C7433" s="740" t="s">
        <v>3307</v>
      </c>
      <c r="D7433" s="739" t="s">
        <v>27</v>
      </c>
      <c r="E7433" s="741">
        <f t="shared" si="232"/>
        <v>115.78</v>
      </c>
      <c r="F7433">
        <f t="shared" si="233"/>
        <v>101313</v>
      </c>
      <c r="H7433" s="1406">
        <v>100.41</v>
      </c>
      <c r="I7433" s="1406">
        <v>115.78</v>
      </c>
    </row>
    <row r="7434" spans="2:9">
      <c r="B7434" s="677">
        <v>101314</v>
      </c>
      <c r="C7434" s="733" t="s">
        <v>3308</v>
      </c>
      <c r="D7434" s="677" t="s">
        <v>27</v>
      </c>
      <c r="E7434" s="738">
        <f t="shared" si="232"/>
        <v>115.78</v>
      </c>
      <c r="F7434">
        <f t="shared" si="233"/>
        <v>101314</v>
      </c>
      <c r="H7434" s="1405">
        <v>100.41</v>
      </c>
      <c r="I7434" s="1405">
        <v>115.78</v>
      </c>
    </row>
    <row r="7435" spans="2:9">
      <c r="B7435" s="1477">
        <v>101315</v>
      </c>
      <c r="C7435" s="740" t="s">
        <v>3309</v>
      </c>
      <c r="D7435" s="739" t="s">
        <v>27</v>
      </c>
      <c r="E7435" s="741">
        <f t="shared" si="232"/>
        <v>124.35</v>
      </c>
      <c r="F7435">
        <f t="shared" si="233"/>
        <v>101315</v>
      </c>
      <c r="H7435" s="1406">
        <v>107.84</v>
      </c>
      <c r="I7435" s="1406">
        <v>124.35</v>
      </c>
    </row>
    <row r="7436" spans="2:9">
      <c r="B7436" s="677">
        <v>101316</v>
      </c>
      <c r="C7436" s="733" t="s">
        <v>3310</v>
      </c>
      <c r="D7436" s="677" t="s">
        <v>27</v>
      </c>
      <c r="E7436" s="738">
        <f t="shared" si="232"/>
        <v>55.8</v>
      </c>
      <c r="F7436">
        <f t="shared" si="233"/>
        <v>101316</v>
      </c>
      <c r="H7436" s="1405">
        <v>48.39</v>
      </c>
      <c r="I7436" s="1405">
        <v>55.8</v>
      </c>
    </row>
    <row r="7437" spans="2:9">
      <c r="B7437" s="1477">
        <v>101320</v>
      </c>
      <c r="C7437" s="740" t="s">
        <v>3311</v>
      </c>
      <c r="D7437" s="739" t="s">
        <v>27</v>
      </c>
      <c r="E7437" s="741">
        <f t="shared" si="232"/>
        <v>17.04</v>
      </c>
      <c r="F7437">
        <f t="shared" si="233"/>
        <v>101320</v>
      </c>
      <c r="H7437" s="1406">
        <v>14.78</v>
      </c>
      <c r="I7437" s="1406">
        <v>17.04</v>
      </c>
    </row>
    <row r="7438" spans="2:9">
      <c r="B7438" s="677">
        <v>101322</v>
      </c>
      <c r="C7438" s="733" t="s">
        <v>3312</v>
      </c>
      <c r="D7438" s="677" t="s">
        <v>27</v>
      </c>
      <c r="E7438" s="738">
        <f t="shared" si="232"/>
        <v>33.08</v>
      </c>
      <c r="F7438">
        <f t="shared" si="233"/>
        <v>101322</v>
      </c>
      <c r="H7438" s="1405">
        <v>28.69</v>
      </c>
      <c r="I7438" s="1405">
        <v>33.08</v>
      </c>
    </row>
    <row r="7439" spans="2:9">
      <c r="B7439" s="1477">
        <v>101323</v>
      </c>
      <c r="C7439" s="740" t="s">
        <v>3313</v>
      </c>
      <c r="D7439" s="739" t="s">
        <v>27</v>
      </c>
      <c r="E7439" s="741">
        <f t="shared" si="232"/>
        <v>55.83</v>
      </c>
      <c r="F7439">
        <f t="shared" si="233"/>
        <v>101323</v>
      </c>
      <c r="H7439" s="1406">
        <v>48.42</v>
      </c>
      <c r="I7439" s="1406">
        <v>55.83</v>
      </c>
    </row>
    <row r="7440" spans="2:9">
      <c r="B7440" s="677">
        <v>101324</v>
      </c>
      <c r="C7440" s="733" t="s">
        <v>3314</v>
      </c>
      <c r="D7440" s="677" t="s">
        <v>27</v>
      </c>
      <c r="E7440" s="738">
        <f t="shared" si="232"/>
        <v>20.45</v>
      </c>
      <c r="F7440">
        <f t="shared" si="233"/>
        <v>101324</v>
      </c>
      <c r="H7440" s="1405">
        <v>17.739999999999998</v>
      </c>
      <c r="I7440" s="1405">
        <v>20.45</v>
      </c>
    </row>
    <row r="7441" spans="2:9">
      <c r="B7441" s="1477">
        <v>101325</v>
      </c>
      <c r="C7441" s="740" t="s">
        <v>3315</v>
      </c>
      <c r="D7441" s="739" t="s">
        <v>27</v>
      </c>
      <c r="E7441" s="741">
        <f t="shared" si="232"/>
        <v>25.8</v>
      </c>
      <c r="F7441">
        <f t="shared" si="233"/>
        <v>101325</v>
      </c>
      <c r="H7441" s="1406">
        <v>22.38</v>
      </c>
      <c r="I7441" s="1406">
        <v>25.8</v>
      </c>
    </row>
    <row r="7442" spans="2:9">
      <c r="B7442" s="677">
        <v>101326</v>
      </c>
      <c r="C7442" s="733" t="s">
        <v>3316</v>
      </c>
      <c r="D7442" s="677" t="s">
        <v>27</v>
      </c>
      <c r="E7442" s="738">
        <f t="shared" si="232"/>
        <v>12.09</v>
      </c>
      <c r="F7442">
        <f t="shared" si="233"/>
        <v>101326</v>
      </c>
      <c r="H7442" s="1405">
        <v>10.48</v>
      </c>
      <c r="I7442" s="1405">
        <v>12.09</v>
      </c>
    </row>
    <row r="7443" spans="2:9">
      <c r="B7443" s="1477">
        <v>101327</v>
      </c>
      <c r="C7443" s="740" t="s">
        <v>3317</v>
      </c>
      <c r="D7443" s="739" t="s">
        <v>27</v>
      </c>
      <c r="E7443" s="741">
        <f t="shared" si="232"/>
        <v>12.16</v>
      </c>
      <c r="F7443">
        <f t="shared" si="233"/>
        <v>101327</v>
      </c>
      <c r="H7443" s="1406">
        <v>10.54</v>
      </c>
      <c r="I7443" s="1406">
        <v>12.16</v>
      </c>
    </row>
    <row r="7444" spans="2:9">
      <c r="B7444" s="677">
        <v>101328</v>
      </c>
      <c r="C7444" s="733" t="s">
        <v>3318</v>
      </c>
      <c r="D7444" s="677" t="s">
        <v>27</v>
      </c>
      <c r="E7444" s="738">
        <f t="shared" si="232"/>
        <v>24.48</v>
      </c>
      <c r="F7444">
        <f t="shared" si="233"/>
        <v>101328</v>
      </c>
      <c r="H7444" s="1405">
        <v>21.23</v>
      </c>
      <c r="I7444" s="1405">
        <v>24.48</v>
      </c>
    </row>
    <row r="7445" spans="2:9">
      <c r="B7445" s="1477">
        <v>101329</v>
      </c>
      <c r="C7445" s="740" t="s">
        <v>3319</v>
      </c>
      <c r="D7445" s="739" t="s">
        <v>27</v>
      </c>
      <c r="E7445" s="741">
        <f t="shared" si="232"/>
        <v>52.58</v>
      </c>
      <c r="F7445">
        <f t="shared" si="233"/>
        <v>101329</v>
      </c>
      <c r="H7445" s="1406">
        <v>45.6</v>
      </c>
      <c r="I7445" s="1406">
        <v>52.58</v>
      </c>
    </row>
    <row r="7446" spans="2:9">
      <c r="B7446" s="677">
        <v>101330</v>
      </c>
      <c r="C7446" s="733" t="s">
        <v>3320</v>
      </c>
      <c r="D7446" s="677" t="s">
        <v>27</v>
      </c>
      <c r="E7446" s="738">
        <f t="shared" si="232"/>
        <v>41.01</v>
      </c>
      <c r="F7446">
        <f t="shared" si="233"/>
        <v>101330</v>
      </c>
      <c r="H7446" s="1405">
        <v>35.57</v>
      </c>
      <c r="I7446" s="1405">
        <v>41.01</v>
      </c>
    </row>
    <row r="7447" spans="2:9">
      <c r="B7447" s="1477">
        <v>101331</v>
      </c>
      <c r="C7447" s="740" t="s">
        <v>3321</v>
      </c>
      <c r="D7447" s="739" t="s">
        <v>27</v>
      </c>
      <c r="E7447" s="741">
        <f t="shared" si="232"/>
        <v>44.26</v>
      </c>
      <c r="F7447">
        <f t="shared" si="233"/>
        <v>101331</v>
      </c>
      <c r="H7447" s="1406">
        <v>38.380000000000003</v>
      </c>
      <c r="I7447" s="1406">
        <v>44.26</v>
      </c>
    </row>
    <row r="7448" spans="2:9">
      <c r="B7448" s="677">
        <v>101332</v>
      </c>
      <c r="C7448" s="733" t="s">
        <v>3322</v>
      </c>
      <c r="D7448" s="677" t="s">
        <v>27</v>
      </c>
      <c r="E7448" s="738">
        <f t="shared" si="232"/>
        <v>16.39</v>
      </c>
      <c r="F7448">
        <f t="shared" si="233"/>
        <v>101332</v>
      </c>
      <c r="H7448" s="1405">
        <v>14.21</v>
      </c>
      <c r="I7448" s="1405">
        <v>16.39</v>
      </c>
    </row>
    <row r="7449" spans="2:9">
      <c r="B7449" s="1477">
        <v>101333</v>
      </c>
      <c r="C7449" s="740" t="s">
        <v>3323</v>
      </c>
      <c r="D7449" s="739" t="s">
        <v>27</v>
      </c>
      <c r="E7449" s="741">
        <f t="shared" si="232"/>
        <v>32.770000000000003</v>
      </c>
      <c r="F7449">
        <f t="shared" si="233"/>
        <v>101333</v>
      </c>
      <c r="H7449" s="1406">
        <v>28.42</v>
      </c>
      <c r="I7449" s="1406">
        <v>32.770000000000003</v>
      </c>
    </row>
    <row r="7450" spans="2:9">
      <c r="B7450" s="677">
        <v>101334</v>
      </c>
      <c r="C7450" s="733" t="s">
        <v>3324</v>
      </c>
      <c r="D7450" s="677" t="s">
        <v>27</v>
      </c>
      <c r="E7450" s="738">
        <f t="shared" si="232"/>
        <v>91.38</v>
      </c>
      <c r="F7450">
        <f t="shared" si="233"/>
        <v>101334</v>
      </c>
      <c r="H7450" s="1405">
        <v>79.25</v>
      </c>
      <c r="I7450" s="1405">
        <v>91.38</v>
      </c>
    </row>
    <row r="7451" spans="2:9">
      <c r="B7451" s="1477">
        <v>101336</v>
      </c>
      <c r="C7451" s="740" t="s">
        <v>3325</v>
      </c>
      <c r="D7451" s="739" t="s">
        <v>27</v>
      </c>
      <c r="E7451" s="741">
        <f t="shared" si="232"/>
        <v>71.34</v>
      </c>
      <c r="F7451">
        <f t="shared" si="233"/>
        <v>101336</v>
      </c>
      <c r="H7451" s="1406">
        <v>61.87</v>
      </c>
      <c r="I7451" s="1406">
        <v>71.34</v>
      </c>
    </row>
    <row r="7452" spans="2:9">
      <c r="B7452" s="677">
        <v>101337</v>
      </c>
      <c r="C7452" s="733" t="s">
        <v>3326</v>
      </c>
      <c r="D7452" s="677" t="s">
        <v>27</v>
      </c>
      <c r="E7452" s="738">
        <f t="shared" si="232"/>
        <v>20.09</v>
      </c>
      <c r="F7452">
        <f t="shared" si="233"/>
        <v>101337</v>
      </c>
      <c r="H7452" s="1405">
        <v>17.43</v>
      </c>
      <c r="I7452" s="1405">
        <v>20.09</v>
      </c>
    </row>
    <row r="7453" spans="2:9">
      <c r="B7453" s="1477">
        <v>101338</v>
      </c>
      <c r="C7453" s="740" t="s">
        <v>3327</v>
      </c>
      <c r="D7453" s="739" t="s">
        <v>27</v>
      </c>
      <c r="E7453" s="741">
        <f t="shared" si="232"/>
        <v>20.65</v>
      </c>
      <c r="F7453">
        <f t="shared" si="233"/>
        <v>101338</v>
      </c>
      <c r="H7453" s="1406">
        <v>17.91</v>
      </c>
      <c r="I7453" s="1406">
        <v>20.65</v>
      </c>
    </row>
    <row r="7454" spans="2:9">
      <c r="B7454" s="677">
        <v>101339</v>
      </c>
      <c r="C7454" s="733" t="s">
        <v>3328</v>
      </c>
      <c r="D7454" s="677" t="s">
        <v>27</v>
      </c>
      <c r="E7454" s="738">
        <f t="shared" si="232"/>
        <v>21.51</v>
      </c>
      <c r="F7454">
        <f t="shared" si="233"/>
        <v>101339</v>
      </c>
      <c r="H7454" s="1405">
        <v>18.649999999999999</v>
      </c>
      <c r="I7454" s="1405">
        <v>21.51</v>
      </c>
    </row>
    <row r="7455" spans="2:9" ht="30">
      <c r="B7455" s="1477">
        <v>101340</v>
      </c>
      <c r="C7455" s="740" t="s">
        <v>3329</v>
      </c>
      <c r="D7455" s="739" t="s">
        <v>27</v>
      </c>
      <c r="E7455" s="741">
        <f t="shared" si="232"/>
        <v>19.3</v>
      </c>
      <c r="F7455">
        <f t="shared" si="233"/>
        <v>101340</v>
      </c>
      <c r="H7455" s="1406">
        <v>16.739999999999998</v>
      </c>
      <c r="I7455" s="1406">
        <v>19.3</v>
      </c>
    </row>
    <row r="7456" spans="2:9" ht="30">
      <c r="B7456" s="677">
        <v>101341</v>
      </c>
      <c r="C7456" s="733" t="s">
        <v>3330</v>
      </c>
      <c r="D7456" s="677" t="s">
        <v>27</v>
      </c>
      <c r="E7456" s="738">
        <f t="shared" si="232"/>
        <v>21.3</v>
      </c>
      <c r="F7456">
        <f t="shared" si="233"/>
        <v>101341</v>
      </c>
      <c r="H7456" s="1405">
        <v>18.47</v>
      </c>
      <c r="I7456" s="1405">
        <v>21.3</v>
      </c>
    </row>
    <row r="7457" spans="2:9" ht="30">
      <c r="B7457" s="1477">
        <v>101342</v>
      </c>
      <c r="C7457" s="740" t="s">
        <v>3331</v>
      </c>
      <c r="D7457" s="739" t="s">
        <v>27</v>
      </c>
      <c r="E7457" s="741">
        <f t="shared" si="232"/>
        <v>21.51</v>
      </c>
      <c r="F7457">
        <f t="shared" si="233"/>
        <v>101342</v>
      </c>
      <c r="H7457" s="1406">
        <v>18.649999999999999</v>
      </c>
      <c r="I7457" s="1406">
        <v>21.51</v>
      </c>
    </row>
    <row r="7458" spans="2:9">
      <c r="B7458" s="677">
        <v>101343</v>
      </c>
      <c r="C7458" s="733" t="s">
        <v>3332</v>
      </c>
      <c r="D7458" s="677" t="s">
        <v>27</v>
      </c>
      <c r="E7458" s="738">
        <f t="shared" si="232"/>
        <v>34.61</v>
      </c>
      <c r="F7458">
        <f t="shared" si="233"/>
        <v>101343</v>
      </c>
      <c r="H7458" s="1405">
        <v>30.02</v>
      </c>
      <c r="I7458" s="1405">
        <v>34.61</v>
      </c>
    </row>
    <row r="7459" spans="2:9">
      <c r="B7459" s="1477">
        <v>101344</v>
      </c>
      <c r="C7459" s="740" t="s">
        <v>3333</v>
      </c>
      <c r="D7459" s="739" t="s">
        <v>27</v>
      </c>
      <c r="E7459" s="741">
        <f t="shared" si="232"/>
        <v>41.02</v>
      </c>
      <c r="F7459">
        <f t="shared" si="233"/>
        <v>101344</v>
      </c>
      <c r="H7459" s="1406">
        <v>35.57</v>
      </c>
      <c r="I7459" s="1406">
        <v>41.02</v>
      </c>
    </row>
    <row r="7460" spans="2:9">
      <c r="B7460" s="677">
        <v>101345</v>
      </c>
      <c r="C7460" s="733" t="s">
        <v>3334</v>
      </c>
      <c r="D7460" s="677" t="s">
        <v>27</v>
      </c>
      <c r="E7460" s="738">
        <f t="shared" si="232"/>
        <v>50.95</v>
      </c>
      <c r="F7460">
        <f t="shared" si="233"/>
        <v>101345</v>
      </c>
      <c r="H7460" s="1405">
        <v>44.18</v>
      </c>
      <c r="I7460" s="1405">
        <v>50.95</v>
      </c>
    </row>
    <row r="7461" spans="2:9">
      <c r="B7461" s="1477">
        <v>101346</v>
      </c>
      <c r="C7461" s="740" t="s">
        <v>3335</v>
      </c>
      <c r="D7461" s="739" t="s">
        <v>27</v>
      </c>
      <c r="E7461" s="741">
        <f t="shared" si="232"/>
        <v>25.24</v>
      </c>
      <c r="F7461">
        <f t="shared" si="233"/>
        <v>101346</v>
      </c>
      <c r="H7461" s="1406">
        <v>21.89</v>
      </c>
      <c r="I7461" s="1406">
        <v>25.24</v>
      </c>
    </row>
    <row r="7462" spans="2:9">
      <c r="B7462" s="677">
        <v>101347</v>
      </c>
      <c r="C7462" s="733" t="s">
        <v>3336</v>
      </c>
      <c r="D7462" s="677" t="s">
        <v>27</v>
      </c>
      <c r="E7462" s="738">
        <f t="shared" si="232"/>
        <v>30.33</v>
      </c>
      <c r="F7462">
        <f t="shared" si="233"/>
        <v>101347</v>
      </c>
      <c r="H7462" s="1405">
        <v>26.31</v>
      </c>
      <c r="I7462" s="1405">
        <v>30.33</v>
      </c>
    </row>
    <row r="7463" spans="2:9">
      <c r="B7463" s="1477">
        <v>101348</v>
      </c>
      <c r="C7463" s="740" t="s">
        <v>3337</v>
      </c>
      <c r="D7463" s="739" t="s">
        <v>27</v>
      </c>
      <c r="E7463" s="741">
        <f t="shared" si="232"/>
        <v>18.649999999999999</v>
      </c>
      <c r="F7463">
        <f t="shared" si="233"/>
        <v>101348</v>
      </c>
      <c r="H7463" s="1406">
        <v>16.18</v>
      </c>
      <c r="I7463" s="1406">
        <v>18.649999999999999</v>
      </c>
    </row>
    <row r="7464" spans="2:9">
      <c r="B7464" s="677">
        <v>101349</v>
      </c>
      <c r="C7464" s="733" t="s">
        <v>3338</v>
      </c>
      <c r="D7464" s="677" t="s">
        <v>27</v>
      </c>
      <c r="E7464" s="738">
        <f t="shared" si="232"/>
        <v>30.74</v>
      </c>
      <c r="F7464">
        <f t="shared" si="233"/>
        <v>101349</v>
      </c>
      <c r="H7464" s="1405">
        <v>26.66</v>
      </c>
      <c r="I7464" s="1405">
        <v>30.74</v>
      </c>
    </row>
    <row r="7465" spans="2:9">
      <c r="B7465" s="1477">
        <v>101350</v>
      </c>
      <c r="C7465" s="740" t="s">
        <v>3339</v>
      </c>
      <c r="D7465" s="739" t="s">
        <v>27</v>
      </c>
      <c r="E7465" s="741">
        <f t="shared" si="232"/>
        <v>30.74</v>
      </c>
      <c r="F7465">
        <f t="shared" si="233"/>
        <v>101350</v>
      </c>
      <c r="H7465" s="1406">
        <v>26.66</v>
      </c>
      <c r="I7465" s="1406">
        <v>30.74</v>
      </c>
    </row>
    <row r="7466" spans="2:9">
      <c r="B7466" s="677">
        <v>101351</v>
      </c>
      <c r="C7466" s="733" t="s">
        <v>3340</v>
      </c>
      <c r="D7466" s="677" t="s">
        <v>27</v>
      </c>
      <c r="E7466" s="738">
        <f t="shared" si="232"/>
        <v>21.51</v>
      </c>
      <c r="F7466">
        <f t="shared" si="233"/>
        <v>101351</v>
      </c>
      <c r="H7466" s="1405">
        <v>18.649999999999999</v>
      </c>
      <c r="I7466" s="1405">
        <v>21.51</v>
      </c>
    </row>
    <row r="7467" spans="2:9" ht="30">
      <c r="B7467" s="1477">
        <v>101352</v>
      </c>
      <c r="C7467" s="740" t="s">
        <v>3341</v>
      </c>
      <c r="D7467" s="739" t="s">
        <v>27</v>
      </c>
      <c r="E7467" s="741">
        <f t="shared" si="232"/>
        <v>21.51</v>
      </c>
      <c r="F7467">
        <f t="shared" si="233"/>
        <v>101352</v>
      </c>
      <c r="H7467" s="1406">
        <v>18.649999999999999</v>
      </c>
      <c r="I7467" s="1406">
        <v>21.51</v>
      </c>
    </row>
    <row r="7468" spans="2:9">
      <c r="B7468" s="677">
        <v>101353</v>
      </c>
      <c r="C7468" s="733" t="s">
        <v>3342</v>
      </c>
      <c r="D7468" s="677" t="s">
        <v>27</v>
      </c>
      <c r="E7468" s="738">
        <f t="shared" si="232"/>
        <v>21.3</v>
      </c>
      <c r="F7468">
        <f t="shared" si="233"/>
        <v>101353</v>
      </c>
      <c r="H7468" s="1405">
        <v>18.47</v>
      </c>
      <c r="I7468" s="1405">
        <v>21.3</v>
      </c>
    </row>
    <row r="7469" spans="2:9" ht="30">
      <c r="B7469" s="1477">
        <v>101355</v>
      </c>
      <c r="C7469" s="740" t="s">
        <v>3343</v>
      </c>
      <c r="D7469" s="739" t="s">
        <v>27</v>
      </c>
      <c r="E7469" s="741">
        <f t="shared" si="232"/>
        <v>30.74</v>
      </c>
      <c r="F7469">
        <f t="shared" si="233"/>
        <v>101355</v>
      </c>
      <c r="H7469" s="1406">
        <v>26.66</v>
      </c>
      <c r="I7469" s="1406">
        <v>30.74</v>
      </c>
    </row>
    <row r="7470" spans="2:9">
      <c r="B7470" s="677">
        <v>101356</v>
      </c>
      <c r="C7470" s="733" t="s">
        <v>3344</v>
      </c>
      <c r="D7470" s="677" t="s">
        <v>27</v>
      </c>
      <c r="E7470" s="738">
        <f t="shared" si="232"/>
        <v>44.26</v>
      </c>
      <c r="F7470">
        <f t="shared" si="233"/>
        <v>101356</v>
      </c>
      <c r="H7470" s="1405">
        <v>38.380000000000003</v>
      </c>
      <c r="I7470" s="1405">
        <v>44.26</v>
      </c>
    </row>
    <row r="7471" spans="2:9">
      <c r="B7471" s="1477">
        <v>101357</v>
      </c>
      <c r="C7471" s="740" t="s">
        <v>3345</v>
      </c>
      <c r="D7471" s="739" t="s">
        <v>27</v>
      </c>
      <c r="E7471" s="741">
        <f t="shared" si="232"/>
        <v>63.58</v>
      </c>
      <c r="F7471">
        <f t="shared" si="233"/>
        <v>101357</v>
      </c>
      <c r="H7471" s="1406">
        <v>55.14</v>
      </c>
      <c r="I7471" s="1406">
        <v>63.58</v>
      </c>
    </row>
    <row r="7472" spans="2:9">
      <c r="B7472" s="677">
        <v>101358</v>
      </c>
      <c r="C7472" s="733" t="s">
        <v>3346</v>
      </c>
      <c r="D7472" s="677" t="s">
        <v>27</v>
      </c>
      <c r="E7472" s="738">
        <f t="shared" si="232"/>
        <v>44.26</v>
      </c>
      <c r="F7472">
        <f t="shared" si="233"/>
        <v>101358</v>
      </c>
      <c r="H7472" s="1405">
        <v>38.380000000000003</v>
      </c>
      <c r="I7472" s="1405">
        <v>44.26</v>
      </c>
    </row>
    <row r="7473" spans="2:9">
      <c r="B7473" s="1477">
        <v>101359</v>
      </c>
      <c r="C7473" s="740" t="s">
        <v>3347</v>
      </c>
      <c r="D7473" s="739" t="s">
        <v>27</v>
      </c>
      <c r="E7473" s="741">
        <f t="shared" si="232"/>
        <v>42.97</v>
      </c>
      <c r="F7473">
        <f t="shared" si="233"/>
        <v>101359</v>
      </c>
      <c r="H7473" s="1406">
        <v>37.270000000000003</v>
      </c>
      <c r="I7473" s="1406">
        <v>42.97</v>
      </c>
    </row>
    <row r="7474" spans="2:9">
      <c r="B7474" s="677">
        <v>101360</v>
      </c>
      <c r="C7474" s="733" t="s">
        <v>3348</v>
      </c>
      <c r="D7474" s="677" t="s">
        <v>27</v>
      </c>
      <c r="E7474" s="738">
        <f t="shared" si="232"/>
        <v>44.26</v>
      </c>
      <c r="F7474">
        <f t="shared" si="233"/>
        <v>101360</v>
      </c>
      <c r="H7474" s="1405">
        <v>38.380000000000003</v>
      </c>
      <c r="I7474" s="1405">
        <v>44.26</v>
      </c>
    </row>
    <row r="7475" spans="2:9">
      <c r="B7475" s="1477">
        <v>101361</v>
      </c>
      <c r="C7475" s="740" t="s">
        <v>3349</v>
      </c>
      <c r="D7475" s="739" t="s">
        <v>27</v>
      </c>
      <c r="E7475" s="741">
        <f t="shared" si="232"/>
        <v>52.55</v>
      </c>
      <c r="F7475">
        <f t="shared" si="233"/>
        <v>101361</v>
      </c>
      <c r="H7475" s="1406">
        <v>45.58</v>
      </c>
      <c r="I7475" s="1406">
        <v>52.55</v>
      </c>
    </row>
    <row r="7476" spans="2:9">
      <c r="B7476" s="677">
        <v>101363</v>
      </c>
      <c r="C7476" s="733" t="s">
        <v>3350</v>
      </c>
      <c r="D7476" s="677" t="s">
        <v>27</v>
      </c>
      <c r="E7476" s="738">
        <f t="shared" si="232"/>
        <v>34.61</v>
      </c>
      <c r="F7476">
        <f t="shared" si="233"/>
        <v>101363</v>
      </c>
      <c r="H7476" s="1405">
        <v>30.02</v>
      </c>
      <c r="I7476" s="1405">
        <v>34.61</v>
      </c>
    </row>
    <row r="7477" spans="2:9">
      <c r="B7477" s="1477">
        <v>101364</v>
      </c>
      <c r="C7477" s="740" t="s">
        <v>3351</v>
      </c>
      <c r="D7477" s="739" t="s">
        <v>27</v>
      </c>
      <c r="E7477" s="741">
        <f t="shared" si="232"/>
        <v>47.37</v>
      </c>
      <c r="F7477">
        <f t="shared" si="233"/>
        <v>101364</v>
      </c>
      <c r="H7477" s="1406">
        <v>41.08</v>
      </c>
      <c r="I7477" s="1406">
        <v>47.37</v>
      </c>
    </row>
    <row r="7478" spans="2:9">
      <c r="B7478" s="677">
        <v>101365</v>
      </c>
      <c r="C7478" s="733" t="s">
        <v>3352</v>
      </c>
      <c r="D7478" s="677" t="s">
        <v>27</v>
      </c>
      <c r="E7478" s="738">
        <f t="shared" si="232"/>
        <v>34.61</v>
      </c>
      <c r="F7478">
        <f t="shared" si="233"/>
        <v>101365</v>
      </c>
      <c r="H7478" s="1405">
        <v>30.02</v>
      </c>
      <c r="I7478" s="1405">
        <v>34.61</v>
      </c>
    </row>
    <row r="7479" spans="2:9">
      <c r="B7479" s="1477">
        <v>101366</v>
      </c>
      <c r="C7479" s="740" t="s">
        <v>3353</v>
      </c>
      <c r="D7479" s="739" t="s">
        <v>27</v>
      </c>
      <c r="E7479" s="741">
        <f t="shared" si="232"/>
        <v>40.67</v>
      </c>
      <c r="F7479">
        <f t="shared" si="233"/>
        <v>101366</v>
      </c>
      <c r="H7479" s="1406">
        <v>35.270000000000003</v>
      </c>
      <c r="I7479" s="1406">
        <v>40.67</v>
      </c>
    </row>
    <row r="7480" spans="2:9">
      <c r="B7480" s="677">
        <v>101367</v>
      </c>
      <c r="C7480" s="733" t="s">
        <v>3354</v>
      </c>
      <c r="D7480" s="677" t="s">
        <v>27</v>
      </c>
      <c r="E7480" s="738">
        <f t="shared" si="232"/>
        <v>34.61</v>
      </c>
      <c r="F7480">
        <f t="shared" si="233"/>
        <v>101367</v>
      </c>
      <c r="H7480" s="1405">
        <v>30.02</v>
      </c>
      <c r="I7480" s="1405">
        <v>34.61</v>
      </c>
    </row>
    <row r="7481" spans="2:9" ht="30">
      <c r="B7481" s="1477">
        <v>101368</v>
      </c>
      <c r="C7481" s="740" t="s">
        <v>3355</v>
      </c>
      <c r="D7481" s="739" t="s">
        <v>27</v>
      </c>
      <c r="E7481" s="741">
        <f t="shared" si="232"/>
        <v>34.28</v>
      </c>
      <c r="F7481">
        <f t="shared" si="233"/>
        <v>101368</v>
      </c>
      <c r="H7481" s="1406">
        <v>29.73</v>
      </c>
      <c r="I7481" s="1406">
        <v>34.28</v>
      </c>
    </row>
    <row r="7482" spans="2:9">
      <c r="B7482" s="677">
        <v>101369</v>
      </c>
      <c r="C7482" s="733" t="s">
        <v>3356</v>
      </c>
      <c r="D7482" s="677" t="s">
        <v>27</v>
      </c>
      <c r="E7482" s="738">
        <f t="shared" si="232"/>
        <v>36.64</v>
      </c>
      <c r="F7482">
        <f t="shared" si="233"/>
        <v>101369</v>
      </c>
      <c r="H7482" s="1405">
        <v>31.78</v>
      </c>
      <c r="I7482" s="1405">
        <v>36.64</v>
      </c>
    </row>
    <row r="7483" spans="2:9">
      <c r="B7483" s="1477">
        <v>101370</v>
      </c>
      <c r="C7483" s="740" t="s">
        <v>3357</v>
      </c>
      <c r="D7483" s="739" t="s">
        <v>27</v>
      </c>
      <c r="E7483" s="741">
        <f t="shared" si="232"/>
        <v>34.200000000000003</v>
      </c>
      <c r="F7483">
        <f t="shared" si="233"/>
        <v>101370</v>
      </c>
      <c r="H7483" s="1406">
        <v>29.66</v>
      </c>
      <c r="I7483" s="1406">
        <v>34.200000000000003</v>
      </c>
    </row>
    <row r="7484" spans="2:9">
      <c r="B7484" s="677">
        <v>101371</v>
      </c>
      <c r="C7484" s="733" t="s">
        <v>3358</v>
      </c>
      <c r="D7484" s="677" t="s">
        <v>27</v>
      </c>
      <c r="E7484" s="738">
        <f t="shared" si="232"/>
        <v>38.159999999999997</v>
      </c>
      <c r="F7484">
        <f t="shared" si="233"/>
        <v>101371</v>
      </c>
      <c r="H7484" s="1405">
        <v>33.090000000000003</v>
      </c>
      <c r="I7484" s="1405">
        <v>38.159999999999997</v>
      </c>
    </row>
    <row r="7485" spans="2:9">
      <c r="B7485" s="1477">
        <v>101372</v>
      </c>
      <c r="C7485" s="740" t="s">
        <v>3359</v>
      </c>
      <c r="D7485" s="739" t="s">
        <v>27</v>
      </c>
      <c r="E7485" s="741">
        <f t="shared" si="232"/>
        <v>11.79</v>
      </c>
      <c r="F7485">
        <f t="shared" si="233"/>
        <v>101372</v>
      </c>
      <c r="H7485" s="1406">
        <v>10.220000000000001</v>
      </c>
      <c r="I7485" s="1406">
        <v>11.79</v>
      </c>
    </row>
    <row r="7486" spans="2:9">
      <c r="B7486" s="677">
        <v>101374</v>
      </c>
      <c r="C7486" s="733" t="s">
        <v>65</v>
      </c>
      <c r="D7486" s="677" t="s">
        <v>27</v>
      </c>
      <c r="E7486" s="738">
        <f t="shared" si="232"/>
        <v>3842.77</v>
      </c>
      <c r="F7486">
        <f t="shared" si="233"/>
        <v>101374</v>
      </c>
      <c r="H7486" s="1405">
        <v>3466.56</v>
      </c>
      <c r="I7486" s="1405">
        <v>3842.77</v>
      </c>
    </row>
    <row r="7487" spans="2:9">
      <c r="B7487" s="1477">
        <v>101375</v>
      </c>
      <c r="C7487" s="740" t="s">
        <v>3360</v>
      </c>
      <c r="D7487" s="739" t="s">
        <v>27</v>
      </c>
      <c r="E7487" s="741">
        <f t="shared" si="232"/>
        <v>3902.66</v>
      </c>
      <c r="F7487">
        <f t="shared" si="233"/>
        <v>101375</v>
      </c>
      <c r="H7487" s="1406">
        <v>3518.19</v>
      </c>
      <c r="I7487" s="1406">
        <v>3902.66</v>
      </c>
    </row>
    <row r="7488" spans="2:9">
      <c r="B7488" s="677">
        <v>101376</v>
      </c>
      <c r="C7488" s="733" t="s">
        <v>3361</v>
      </c>
      <c r="D7488" s="677" t="s">
        <v>27</v>
      </c>
      <c r="E7488" s="738">
        <f t="shared" si="232"/>
        <v>3617.19</v>
      </c>
      <c r="F7488">
        <f t="shared" si="233"/>
        <v>101376</v>
      </c>
      <c r="H7488" s="1405">
        <v>3240.98</v>
      </c>
      <c r="I7488" s="1405">
        <v>3617.19</v>
      </c>
    </row>
    <row r="7489" spans="2:9">
      <c r="B7489" s="1477">
        <v>101377</v>
      </c>
      <c r="C7489" s="740" t="s">
        <v>68</v>
      </c>
      <c r="D7489" s="739" t="s">
        <v>27</v>
      </c>
      <c r="E7489" s="741">
        <f t="shared" si="232"/>
        <v>3813.44</v>
      </c>
      <c r="F7489">
        <f t="shared" si="233"/>
        <v>101377</v>
      </c>
      <c r="H7489" s="1406">
        <v>3441.12</v>
      </c>
      <c r="I7489" s="1406">
        <v>3813.44</v>
      </c>
    </row>
    <row r="7490" spans="2:9">
      <c r="B7490" s="677">
        <v>101378</v>
      </c>
      <c r="C7490" s="733" t="s">
        <v>2530</v>
      </c>
      <c r="D7490" s="677" t="s">
        <v>27</v>
      </c>
      <c r="E7490" s="738">
        <f t="shared" si="232"/>
        <v>4844.2299999999996</v>
      </c>
      <c r="F7490">
        <f t="shared" si="233"/>
        <v>101378</v>
      </c>
      <c r="H7490" s="1405">
        <v>4376.03</v>
      </c>
      <c r="I7490" s="1405">
        <v>4844.2299999999996</v>
      </c>
    </row>
    <row r="7491" spans="2:9">
      <c r="B7491" s="1477">
        <v>101379</v>
      </c>
      <c r="C7491" s="740" t="s">
        <v>3362</v>
      </c>
      <c r="D7491" s="739" t="s">
        <v>27</v>
      </c>
      <c r="E7491" s="741">
        <f t="shared" ref="E7491:E7554" si="234">IF($K$2=$H$1,H7491,I7491)</f>
        <v>3842.77</v>
      </c>
      <c r="F7491">
        <f t="shared" si="233"/>
        <v>101379</v>
      </c>
      <c r="H7491" s="1406">
        <v>3466.56</v>
      </c>
      <c r="I7491" s="1406">
        <v>3842.77</v>
      </c>
    </row>
    <row r="7492" spans="2:9">
      <c r="B7492" s="677">
        <v>101380</v>
      </c>
      <c r="C7492" s="733" t="s">
        <v>70</v>
      </c>
      <c r="D7492" s="677" t="s">
        <v>27</v>
      </c>
      <c r="E7492" s="738">
        <f t="shared" si="234"/>
        <v>3789.84</v>
      </c>
      <c r="F7492">
        <f t="shared" ref="F7492:F7555" si="235">IF(LEN($B7492)=7,CONCATENATE(MID($B7492,1,6),"00",RIGHT($B7492,1)),IF(LEN($B7492)=8,CONCATENATE(MID($B7492,1,6),"0",RIGHT($B7492,2)),$B7492))</f>
        <v>101380</v>
      </c>
      <c r="H7492" s="1405">
        <v>3417.52</v>
      </c>
      <c r="I7492" s="1405">
        <v>3789.84</v>
      </c>
    </row>
    <row r="7493" spans="2:9">
      <c r="B7493" s="1477">
        <v>101381</v>
      </c>
      <c r="C7493" s="740" t="s">
        <v>71</v>
      </c>
      <c r="D7493" s="739" t="s">
        <v>27</v>
      </c>
      <c r="E7493" s="741">
        <f t="shared" si="234"/>
        <v>4524.88</v>
      </c>
      <c r="F7493">
        <f t="shared" si="235"/>
        <v>101381</v>
      </c>
      <c r="H7493" s="1406">
        <v>4058.15</v>
      </c>
      <c r="I7493" s="1406">
        <v>4524.88</v>
      </c>
    </row>
    <row r="7494" spans="2:9">
      <c r="B7494" s="677">
        <v>101382</v>
      </c>
      <c r="C7494" s="733" t="s">
        <v>3363</v>
      </c>
      <c r="D7494" s="677" t="s">
        <v>27</v>
      </c>
      <c r="E7494" s="738">
        <f t="shared" si="234"/>
        <v>2565.14</v>
      </c>
      <c r="F7494">
        <f t="shared" si="235"/>
        <v>101382</v>
      </c>
      <c r="H7494" s="1405">
        <v>2328.5500000000002</v>
      </c>
      <c r="I7494" s="1405">
        <v>2565.14</v>
      </c>
    </row>
    <row r="7495" spans="2:9">
      <c r="B7495" s="1477">
        <v>101383</v>
      </c>
      <c r="C7495" s="740" t="s">
        <v>2531</v>
      </c>
      <c r="D7495" s="739" t="s">
        <v>27</v>
      </c>
      <c r="E7495" s="741">
        <f t="shared" si="234"/>
        <v>3631.89</v>
      </c>
      <c r="F7495">
        <f t="shared" si="235"/>
        <v>101383</v>
      </c>
      <c r="H7495" s="1406">
        <v>3283.67</v>
      </c>
      <c r="I7495" s="1406">
        <v>3631.89</v>
      </c>
    </row>
    <row r="7496" spans="2:9">
      <c r="B7496" s="1477">
        <v>101384</v>
      </c>
      <c r="C7496" s="740" t="s">
        <v>1581</v>
      </c>
      <c r="D7496" s="739" t="s">
        <v>27</v>
      </c>
      <c r="E7496" s="741">
        <f t="shared" si="234"/>
        <v>3728.26</v>
      </c>
      <c r="F7496">
        <f t="shared" si="235"/>
        <v>101384</v>
      </c>
      <c r="H7496" s="1406">
        <v>3349.99</v>
      </c>
      <c r="I7496" s="1406">
        <v>3728.26</v>
      </c>
    </row>
    <row r="7497" spans="2:9">
      <c r="B7497" s="677">
        <v>101385</v>
      </c>
      <c r="C7497" s="733" t="s">
        <v>3364</v>
      </c>
      <c r="D7497" s="677" t="s">
        <v>27</v>
      </c>
      <c r="E7497" s="738">
        <f t="shared" si="234"/>
        <v>4802.3900000000003</v>
      </c>
      <c r="F7497">
        <f t="shared" si="235"/>
        <v>101385</v>
      </c>
      <c r="H7497" s="1405">
        <v>4220.59</v>
      </c>
      <c r="I7497" s="1405">
        <v>4802.3900000000003</v>
      </c>
    </row>
    <row r="7498" spans="2:9">
      <c r="B7498" s="1477">
        <v>101386</v>
      </c>
      <c r="C7498" s="740" t="s">
        <v>75</v>
      </c>
      <c r="D7498" s="739" t="s">
        <v>27</v>
      </c>
      <c r="E7498" s="741">
        <f t="shared" si="234"/>
        <v>3617.19</v>
      </c>
      <c r="F7498">
        <f t="shared" si="235"/>
        <v>101386</v>
      </c>
      <c r="H7498" s="1406">
        <v>3240.98</v>
      </c>
      <c r="I7498" s="1406">
        <v>3617.19</v>
      </c>
    </row>
    <row r="7499" spans="2:9">
      <c r="B7499" s="677">
        <v>101387</v>
      </c>
      <c r="C7499" s="733" t="s">
        <v>3365</v>
      </c>
      <c r="D7499" s="677" t="s">
        <v>27</v>
      </c>
      <c r="E7499" s="738">
        <f t="shared" si="234"/>
        <v>3850.54</v>
      </c>
      <c r="F7499">
        <f t="shared" si="235"/>
        <v>101387</v>
      </c>
      <c r="H7499" s="1405">
        <v>3473.31</v>
      </c>
      <c r="I7499" s="1405">
        <v>3850.54</v>
      </c>
    </row>
    <row r="7500" spans="2:9">
      <c r="B7500" s="1477">
        <v>101388</v>
      </c>
      <c r="C7500" s="740" t="s">
        <v>77</v>
      </c>
      <c r="D7500" s="739" t="s">
        <v>27</v>
      </c>
      <c r="E7500" s="741">
        <f t="shared" si="234"/>
        <v>3604.58</v>
      </c>
      <c r="F7500">
        <f t="shared" si="235"/>
        <v>101388</v>
      </c>
      <c r="H7500" s="1406">
        <v>3256.85</v>
      </c>
      <c r="I7500" s="1406">
        <v>3604.58</v>
      </c>
    </row>
    <row r="7501" spans="2:9">
      <c r="B7501" s="677">
        <v>101389</v>
      </c>
      <c r="C7501" s="733" t="s">
        <v>78</v>
      </c>
      <c r="D7501" s="677" t="s">
        <v>27</v>
      </c>
      <c r="E7501" s="738">
        <f t="shared" si="234"/>
        <v>1983.46</v>
      </c>
      <c r="F7501">
        <f t="shared" si="235"/>
        <v>101389</v>
      </c>
      <c r="H7501" s="1405">
        <v>1774</v>
      </c>
      <c r="I7501" s="1405">
        <v>1983.46</v>
      </c>
    </row>
    <row r="7502" spans="2:9">
      <c r="B7502" s="1477">
        <v>101390</v>
      </c>
      <c r="C7502" s="740" t="s">
        <v>3366</v>
      </c>
      <c r="D7502" s="739" t="s">
        <v>27</v>
      </c>
      <c r="E7502" s="741">
        <f t="shared" si="234"/>
        <v>4810.59</v>
      </c>
      <c r="F7502">
        <f t="shared" si="235"/>
        <v>101390</v>
      </c>
      <c r="H7502" s="1406">
        <v>4225.5200000000004</v>
      </c>
      <c r="I7502" s="1406">
        <v>4810.59</v>
      </c>
    </row>
    <row r="7503" spans="2:9">
      <c r="B7503" s="677">
        <v>101391</v>
      </c>
      <c r="C7503" s="733" t="s">
        <v>3367</v>
      </c>
      <c r="D7503" s="677" t="s">
        <v>27</v>
      </c>
      <c r="E7503" s="738">
        <f t="shared" si="234"/>
        <v>4534.53</v>
      </c>
      <c r="F7503">
        <f t="shared" si="235"/>
        <v>101391</v>
      </c>
      <c r="H7503" s="1405">
        <v>4066.51</v>
      </c>
      <c r="I7503" s="1405">
        <v>4534.53</v>
      </c>
    </row>
    <row r="7504" spans="2:9">
      <c r="B7504" s="1477">
        <v>101392</v>
      </c>
      <c r="C7504" s="740" t="s">
        <v>3368</v>
      </c>
      <c r="D7504" s="739" t="s">
        <v>27</v>
      </c>
      <c r="E7504" s="741">
        <f t="shared" si="234"/>
        <v>3296.35</v>
      </c>
      <c r="F7504">
        <f t="shared" si="235"/>
        <v>101392</v>
      </c>
      <c r="H7504" s="1406">
        <v>2962.72</v>
      </c>
      <c r="I7504" s="1406">
        <v>3296.35</v>
      </c>
    </row>
    <row r="7505" spans="2:9">
      <c r="B7505" s="677">
        <v>101394</v>
      </c>
      <c r="C7505" s="733" t="s">
        <v>82</v>
      </c>
      <c r="D7505" s="677" t="s">
        <v>27</v>
      </c>
      <c r="E7505" s="738">
        <f t="shared" si="234"/>
        <v>4193.3599999999997</v>
      </c>
      <c r="F7505">
        <f t="shared" si="235"/>
        <v>101394</v>
      </c>
      <c r="H7505" s="1405">
        <v>3770.63</v>
      </c>
      <c r="I7505" s="1405">
        <v>4193.3599999999997</v>
      </c>
    </row>
    <row r="7506" spans="2:9">
      <c r="B7506" s="1477">
        <v>101395</v>
      </c>
      <c r="C7506" s="740" t="s">
        <v>3369</v>
      </c>
      <c r="D7506" s="739" t="s">
        <v>27</v>
      </c>
      <c r="E7506" s="741">
        <f t="shared" si="234"/>
        <v>3824.21</v>
      </c>
      <c r="F7506">
        <f t="shared" si="235"/>
        <v>101395</v>
      </c>
      <c r="H7506" s="1406">
        <v>3446.98</v>
      </c>
      <c r="I7506" s="1406">
        <v>3824.21</v>
      </c>
    </row>
    <row r="7507" spans="2:9">
      <c r="B7507" s="677">
        <v>101396</v>
      </c>
      <c r="C7507" s="733" t="s">
        <v>3370</v>
      </c>
      <c r="D7507" s="677" t="s">
        <v>27</v>
      </c>
      <c r="E7507" s="738">
        <f t="shared" si="234"/>
        <v>4302.41</v>
      </c>
      <c r="F7507">
        <f t="shared" si="235"/>
        <v>101396</v>
      </c>
      <c r="H7507" s="1405">
        <v>3861.71</v>
      </c>
      <c r="I7507" s="1405">
        <v>4302.41</v>
      </c>
    </row>
    <row r="7508" spans="2:9">
      <c r="B7508" s="1477">
        <v>101397</v>
      </c>
      <c r="C7508" s="740" t="s">
        <v>84</v>
      </c>
      <c r="D7508" s="739" t="s">
        <v>27</v>
      </c>
      <c r="E7508" s="741">
        <f t="shared" si="234"/>
        <v>4498.55</v>
      </c>
      <c r="F7508">
        <f t="shared" si="235"/>
        <v>101397</v>
      </c>
      <c r="H7508" s="1406">
        <v>4031.82</v>
      </c>
      <c r="I7508" s="1406">
        <v>4498.55</v>
      </c>
    </row>
    <row r="7509" spans="2:9">
      <c r="B7509" s="677">
        <v>101398</v>
      </c>
      <c r="C7509" s="733" t="s">
        <v>3371</v>
      </c>
      <c r="D7509" s="677" t="s">
        <v>27</v>
      </c>
      <c r="E7509" s="738">
        <f t="shared" si="234"/>
        <v>3769.87</v>
      </c>
      <c r="F7509">
        <f t="shared" si="235"/>
        <v>101398</v>
      </c>
      <c r="H7509" s="1405">
        <v>3373.4</v>
      </c>
      <c r="I7509" s="1405">
        <v>3769.87</v>
      </c>
    </row>
    <row r="7510" spans="2:9">
      <c r="B7510" s="1477">
        <v>101399</v>
      </c>
      <c r="C7510" s="740" t="s">
        <v>85</v>
      </c>
      <c r="D7510" s="739" t="s">
        <v>27</v>
      </c>
      <c r="E7510" s="741">
        <f t="shared" si="234"/>
        <v>4723.71</v>
      </c>
      <c r="F7510">
        <f t="shared" si="235"/>
        <v>101399</v>
      </c>
      <c r="H7510" s="1406">
        <v>4230.2700000000004</v>
      </c>
      <c r="I7510" s="1406">
        <v>4723.71</v>
      </c>
    </row>
    <row r="7511" spans="2:9">
      <c r="B7511" s="677">
        <v>101400</v>
      </c>
      <c r="C7511" s="733" t="s">
        <v>3372</v>
      </c>
      <c r="D7511" s="677" t="s">
        <v>27</v>
      </c>
      <c r="E7511" s="738">
        <f t="shared" si="234"/>
        <v>4723.71</v>
      </c>
      <c r="F7511">
        <f t="shared" si="235"/>
        <v>101400</v>
      </c>
      <c r="H7511" s="1405">
        <v>4230.2700000000004</v>
      </c>
      <c r="I7511" s="1405">
        <v>4723.71</v>
      </c>
    </row>
    <row r="7512" spans="2:9">
      <c r="B7512" s="1477">
        <v>101401</v>
      </c>
      <c r="C7512" s="740" t="s">
        <v>87</v>
      </c>
      <c r="D7512" s="739" t="s">
        <v>27</v>
      </c>
      <c r="E7512" s="741">
        <f t="shared" si="234"/>
        <v>5806.45</v>
      </c>
      <c r="F7512">
        <f t="shared" si="235"/>
        <v>101401</v>
      </c>
      <c r="H7512" s="1406">
        <v>5169.32</v>
      </c>
      <c r="I7512" s="1406">
        <v>5806.45</v>
      </c>
    </row>
    <row r="7513" spans="2:9">
      <c r="B7513" s="677">
        <v>101402</v>
      </c>
      <c r="C7513" s="733" t="s">
        <v>88</v>
      </c>
      <c r="D7513" s="677" t="s">
        <v>27</v>
      </c>
      <c r="E7513" s="738">
        <f t="shared" si="234"/>
        <v>4536.07</v>
      </c>
      <c r="F7513">
        <f t="shared" si="235"/>
        <v>101402</v>
      </c>
      <c r="H7513" s="1405">
        <v>4050.59</v>
      </c>
      <c r="I7513" s="1405">
        <v>4536.07</v>
      </c>
    </row>
    <row r="7514" spans="2:9">
      <c r="B7514" s="1477">
        <v>101407</v>
      </c>
      <c r="C7514" s="740" t="s">
        <v>89</v>
      </c>
      <c r="D7514" s="739" t="s">
        <v>27</v>
      </c>
      <c r="E7514" s="741">
        <f t="shared" si="234"/>
        <v>4369.5600000000004</v>
      </c>
      <c r="F7514">
        <f t="shared" si="235"/>
        <v>101407</v>
      </c>
      <c r="H7514" s="1406">
        <v>3923.44</v>
      </c>
      <c r="I7514" s="1406">
        <v>4369.5600000000004</v>
      </c>
    </row>
    <row r="7515" spans="2:9">
      <c r="B7515" s="677">
        <v>101408</v>
      </c>
      <c r="C7515" s="733" t="s">
        <v>90</v>
      </c>
      <c r="D7515" s="677" t="s">
        <v>27</v>
      </c>
      <c r="E7515" s="738">
        <f t="shared" si="234"/>
        <v>4121.3999999999996</v>
      </c>
      <c r="F7515">
        <f t="shared" si="235"/>
        <v>101408</v>
      </c>
      <c r="H7515" s="1405">
        <v>3708.21</v>
      </c>
      <c r="I7515" s="1405">
        <v>4121.3999999999996</v>
      </c>
    </row>
    <row r="7516" spans="2:9">
      <c r="B7516" s="1477">
        <v>101409</v>
      </c>
      <c r="C7516" s="740" t="s">
        <v>3373</v>
      </c>
      <c r="D7516" s="739" t="s">
        <v>27</v>
      </c>
      <c r="E7516" s="741">
        <f t="shared" si="234"/>
        <v>2838.77</v>
      </c>
      <c r="F7516">
        <f t="shared" si="235"/>
        <v>101409</v>
      </c>
      <c r="H7516" s="1406">
        <v>2565.87</v>
      </c>
      <c r="I7516" s="1406">
        <v>2838.77</v>
      </c>
    </row>
    <row r="7517" spans="2:9">
      <c r="B7517" s="677">
        <v>101410</v>
      </c>
      <c r="C7517" s="733" t="s">
        <v>133</v>
      </c>
      <c r="D7517" s="677" t="s">
        <v>27</v>
      </c>
      <c r="E7517" s="738">
        <f t="shared" si="234"/>
        <v>3780.93</v>
      </c>
      <c r="F7517">
        <f t="shared" si="235"/>
        <v>101410</v>
      </c>
      <c r="H7517" s="1405">
        <v>3412.93</v>
      </c>
      <c r="I7517" s="1405">
        <v>3780.93</v>
      </c>
    </row>
    <row r="7518" spans="2:9">
      <c r="B7518" s="1477">
        <v>101411</v>
      </c>
      <c r="C7518" s="740" t="s">
        <v>3374</v>
      </c>
      <c r="D7518" s="739" t="s">
        <v>27</v>
      </c>
      <c r="E7518" s="741">
        <f t="shared" si="234"/>
        <v>3207.49</v>
      </c>
      <c r="F7518">
        <f t="shared" si="235"/>
        <v>101411</v>
      </c>
      <c r="H7518" s="1406">
        <v>2837.34</v>
      </c>
      <c r="I7518" s="1406">
        <v>3207.49</v>
      </c>
    </row>
    <row r="7519" spans="2:9">
      <c r="B7519" s="1476">
        <v>101412</v>
      </c>
      <c r="C7519" s="733" t="s">
        <v>3375</v>
      </c>
      <c r="D7519" s="677" t="s">
        <v>27</v>
      </c>
      <c r="E7519" s="741">
        <f t="shared" si="234"/>
        <v>4636.84</v>
      </c>
      <c r="F7519">
        <f t="shared" si="235"/>
        <v>101412</v>
      </c>
      <c r="H7519" s="1402">
        <v>4179.3500000000004</v>
      </c>
      <c r="I7519" s="1402">
        <v>4636.84</v>
      </c>
    </row>
    <row r="7520" spans="2:9">
      <c r="B7520" s="1476">
        <v>101413</v>
      </c>
      <c r="C7520" s="733" t="s">
        <v>92</v>
      </c>
      <c r="D7520" s="677" t="s">
        <v>27</v>
      </c>
      <c r="E7520" s="741">
        <f t="shared" si="234"/>
        <v>4250</v>
      </c>
      <c r="F7520">
        <f t="shared" si="235"/>
        <v>101413</v>
      </c>
      <c r="H7520" s="1402">
        <v>3816.26</v>
      </c>
      <c r="I7520" s="1402">
        <v>4250</v>
      </c>
    </row>
    <row r="7521" spans="2:9">
      <c r="B7521" s="1476">
        <v>101414</v>
      </c>
      <c r="C7521" s="733" t="s">
        <v>3376</v>
      </c>
      <c r="D7521" s="677" t="s">
        <v>27</v>
      </c>
      <c r="E7521" s="741">
        <f t="shared" si="234"/>
        <v>4534.53</v>
      </c>
      <c r="F7521">
        <f t="shared" si="235"/>
        <v>101414</v>
      </c>
      <c r="H7521" s="1402">
        <v>4066.51</v>
      </c>
      <c r="I7521" s="1402">
        <v>4534.53</v>
      </c>
    </row>
    <row r="7522" spans="2:9">
      <c r="B7522" s="1476">
        <v>101415</v>
      </c>
      <c r="C7522" s="733" t="s">
        <v>3377</v>
      </c>
      <c r="D7522" s="677" t="s">
        <v>27</v>
      </c>
      <c r="E7522" s="741">
        <f t="shared" si="234"/>
        <v>5393.31</v>
      </c>
      <c r="F7522">
        <f t="shared" si="235"/>
        <v>101415</v>
      </c>
      <c r="H7522" s="1402">
        <v>4781.3999999999996</v>
      </c>
      <c r="I7522" s="1402">
        <v>5393.31</v>
      </c>
    </row>
    <row r="7523" spans="2:9">
      <c r="B7523" s="1476">
        <v>101416</v>
      </c>
      <c r="C7523" s="733" t="s">
        <v>2533</v>
      </c>
      <c r="D7523" s="677" t="s">
        <v>27</v>
      </c>
      <c r="E7523" s="741">
        <f t="shared" si="234"/>
        <v>4933.3999999999996</v>
      </c>
      <c r="F7523">
        <f t="shared" si="235"/>
        <v>101416</v>
      </c>
      <c r="H7523" s="1402">
        <v>4412.13</v>
      </c>
      <c r="I7523" s="1402">
        <v>4933.3999999999996</v>
      </c>
    </row>
    <row r="7524" spans="2:9">
      <c r="B7524" s="1476">
        <v>101417</v>
      </c>
      <c r="C7524" s="733" t="s">
        <v>3378</v>
      </c>
      <c r="D7524" s="677" t="s">
        <v>27</v>
      </c>
      <c r="E7524" s="741">
        <f t="shared" si="234"/>
        <v>4137.5200000000004</v>
      </c>
      <c r="F7524">
        <f t="shared" si="235"/>
        <v>101417</v>
      </c>
      <c r="H7524" s="1402">
        <v>3721.87</v>
      </c>
      <c r="I7524" s="1402">
        <v>4137.5200000000004</v>
      </c>
    </row>
    <row r="7525" spans="2:9">
      <c r="B7525" s="1476">
        <v>101418</v>
      </c>
      <c r="C7525" s="733" t="s">
        <v>3379</v>
      </c>
      <c r="D7525" s="677" t="s">
        <v>27</v>
      </c>
      <c r="E7525" s="741">
        <f t="shared" si="234"/>
        <v>3990.93</v>
      </c>
      <c r="F7525">
        <f t="shared" si="235"/>
        <v>101418</v>
      </c>
      <c r="H7525" s="1402">
        <v>3565.12</v>
      </c>
      <c r="I7525" s="1402">
        <v>3990.93</v>
      </c>
    </row>
    <row r="7526" spans="2:9">
      <c r="B7526" s="1476">
        <v>101419</v>
      </c>
      <c r="C7526" s="733" t="s">
        <v>3380</v>
      </c>
      <c r="D7526" s="677" t="s">
        <v>27</v>
      </c>
      <c r="E7526" s="741">
        <f t="shared" si="234"/>
        <v>3403.21</v>
      </c>
      <c r="F7526">
        <f t="shared" si="235"/>
        <v>101419</v>
      </c>
      <c r="H7526" s="1402">
        <v>3085.01</v>
      </c>
      <c r="I7526" s="1402">
        <v>3403.21</v>
      </c>
    </row>
    <row r="7527" spans="2:9">
      <c r="B7527" s="1476">
        <v>101420</v>
      </c>
      <c r="C7527" s="733" t="s">
        <v>3381</v>
      </c>
      <c r="D7527" s="677" t="s">
        <v>27</v>
      </c>
      <c r="E7527" s="741">
        <f t="shared" si="234"/>
        <v>5472.91</v>
      </c>
      <c r="F7527">
        <f t="shared" si="235"/>
        <v>101420</v>
      </c>
      <c r="H7527" s="1402">
        <v>4850.43</v>
      </c>
      <c r="I7527" s="1402">
        <v>5472.91</v>
      </c>
    </row>
    <row r="7528" spans="2:9">
      <c r="B7528" s="1476">
        <v>101421</v>
      </c>
      <c r="C7528" s="733" t="s">
        <v>3382</v>
      </c>
      <c r="D7528" s="677" t="s">
        <v>27</v>
      </c>
      <c r="E7528" s="741">
        <f t="shared" si="234"/>
        <v>6396.46</v>
      </c>
      <c r="F7528">
        <f t="shared" si="235"/>
        <v>101421</v>
      </c>
      <c r="H7528" s="1402">
        <v>5651.42</v>
      </c>
      <c r="I7528" s="1402">
        <v>6396.46</v>
      </c>
    </row>
    <row r="7529" spans="2:9">
      <c r="B7529" s="1476">
        <v>101422</v>
      </c>
      <c r="C7529" s="733" t="s">
        <v>3383</v>
      </c>
      <c r="D7529" s="677" t="s">
        <v>27</v>
      </c>
      <c r="E7529" s="741">
        <f t="shared" si="234"/>
        <v>4542.0600000000004</v>
      </c>
      <c r="F7529">
        <f t="shared" si="235"/>
        <v>101422</v>
      </c>
      <c r="H7529" s="1402">
        <v>4043.11</v>
      </c>
      <c r="I7529" s="1402">
        <v>4542.0600000000004</v>
      </c>
    </row>
    <row r="7530" spans="2:9">
      <c r="B7530" s="1476">
        <v>101424</v>
      </c>
      <c r="C7530" s="733" t="s">
        <v>3384</v>
      </c>
      <c r="D7530" s="677" t="s">
        <v>27</v>
      </c>
      <c r="E7530" s="741">
        <f t="shared" si="234"/>
        <v>5913.36</v>
      </c>
      <c r="F7530">
        <f t="shared" si="235"/>
        <v>101424</v>
      </c>
      <c r="H7530" s="1402">
        <v>5232.43</v>
      </c>
      <c r="I7530" s="1402">
        <v>5913.36</v>
      </c>
    </row>
    <row r="7531" spans="2:9">
      <c r="B7531" s="1476">
        <v>101425</v>
      </c>
      <c r="C7531" s="733" t="s">
        <v>3385</v>
      </c>
      <c r="D7531" s="677" t="s">
        <v>27</v>
      </c>
      <c r="E7531" s="741">
        <f t="shared" si="234"/>
        <v>3232.12</v>
      </c>
      <c r="F7531">
        <f t="shared" si="235"/>
        <v>101425</v>
      </c>
      <c r="H7531" s="1402">
        <v>2856.96</v>
      </c>
      <c r="I7531" s="1402">
        <v>3232.12</v>
      </c>
    </row>
    <row r="7532" spans="2:9">
      <c r="B7532" s="1476">
        <v>101426</v>
      </c>
      <c r="C7532" s="733" t="s">
        <v>3386</v>
      </c>
      <c r="D7532" s="677" t="s">
        <v>27</v>
      </c>
      <c r="E7532" s="741">
        <f t="shared" si="234"/>
        <v>3688.03</v>
      </c>
      <c r="F7532">
        <f t="shared" si="235"/>
        <v>101426</v>
      </c>
      <c r="H7532" s="1402">
        <v>3302.42</v>
      </c>
      <c r="I7532" s="1402">
        <v>3688.03</v>
      </c>
    </row>
    <row r="7533" spans="2:9">
      <c r="B7533" s="1476">
        <v>101427</v>
      </c>
      <c r="C7533" s="733" t="s">
        <v>103</v>
      </c>
      <c r="D7533" s="677" t="s">
        <v>27</v>
      </c>
      <c r="E7533" s="741">
        <f t="shared" si="234"/>
        <v>3808.69</v>
      </c>
      <c r="F7533">
        <f t="shared" si="235"/>
        <v>101427</v>
      </c>
      <c r="H7533" s="1402">
        <v>3407.06</v>
      </c>
      <c r="I7533" s="1402">
        <v>3808.69</v>
      </c>
    </row>
    <row r="7534" spans="2:9">
      <c r="B7534" s="1476">
        <v>101428</v>
      </c>
      <c r="C7534" s="733" t="s">
        <v>3387</v>
      </c>
      <c r="D7534" s="677" t="s">
        <v>27</v>
      </c>
      <c r="E7534" s="741">
        <f t="shared" si="234"/>
        <v>3497.59</v>
      </c>
      <c r="F7534">
        <f t="shared" si="235"/>
        <v>101428</v>
      </c>
      <c r="H7534" s="1402">
        <v>3137.26</v>
      </c>
      <c r="I7534" s="1402">
        <v>3497.59</v>
      </c>
    </row>
    <row r="7535" spans="2:9">
      <c r="B7535" s="1476">
        <v>101429</v>
      </c>
      <c r="C7535" s="733" t="s">
        <v>3388</v>
      </c>
      <c r="D7535" s="677" t="s">
        <v>27</v>
      </c>
      <c r="E7535" s="741">
        <f t="shared" si="234"/>
        <v>3779.48</v>
      </c>
      <c r="F7535">
        <f t="shared" si="235"/>
        <v>101429</v>
      </c>
      <c r="H7535" s="1402">
        <v>3381.73</v>
      </c>
      <c r="I7535" s="1402">
        <v>3779.48</v>
      </c>
    </row>
    <row r="7536" spans="2:9">
      <c r="B7536" s="1476">
        <v>101430</v>
      </c>
      <c r="C7536" s="733" t="s">
        <v>3389</v>
      </c>
      <c r="D7536" s="677" t="s">
        <v>27</v>
      </c>
      <c r="E7536" s="741">
        <f t="shared" si="234"/>
        <v>3808.69</v>
      </c>
      <c r="F7536">
        <f t="shared" si="235"/>
        <v>101430</v>
      </c>
      <c r="H7536" s="1402">
        <v>3407.06</v>
      </c>
      <c r="I7536" s="1402">
        <v>3808.69</v>
      </c>
    </row>
    <row r="7537" spans="2:9">
      <c r="B7537" s="1476">
        <v>101431</v>
      </c>
      <c r="C7537" s="733" t="s">
        <v>105</v>
      </c>
      <c r="D7537" s="677" t="s">
        <v>27</v>
      </c>
      <c r="E7537" s="741">
        <f t="shared" si="234"/>
        <v>4299.3</v>
      </c>
      <c r="F7537">
        <f t="shared" si="235"/>
        <v>101431</v>
      </c>
      <c r="H7537" s="1402">
        <v>3832.57</v>
      </c>
      <c r="I7537" s="1402">
        <v>4299.3</v>
      </c>
    </row>
    <row r="7538" spans="2:9">
      <c r="B7538" s="1476">
        <v>101432</v>
      </c>
      <c r="C7538" s="733" t="s">
        <v>3390</v>
      </c>
      <c r="D7538" s="677" t="s">
        <v>27</v>
      </c>
      <c r="E7538" s="741">
        <f t="shared" si="234"/>
        <v>3732.74</v>
      </c>
      <c r="F7538">
        <f t="shared" si="235"/>
        <v>101432</v>
      </c>
      <c r="H7538" s="1402">
        <v>3341.2</v>
      </c>
      <c r="I7538" s="1402">
        <v>3732.74</v>
      </c>
    </row>
    <row r="7539" spans="2:9">
      <c r="B7539" s="1476">
        <v>101433</v>
      </c>
      <c r="C7539" s="733" t="s">
        <v>107</v>
      </c>
      <c r="D7539" s="677" t="s">
        <v>27</v>
      </c>
      <c r="E7539" s="741">
        <f t="shared" si="234"/>
        <v>4446.8599999999997</v>
      </c>
      <c r="F7539">
        <f t="shared" si="235"/>
        <v>101433</v>
      </c>
      <c r="H7539" s="1402">
        <v>3960.54</v>
      </c>
      <c r="I7539" s="1402">
        <v>4446.8599999999997</v>
      </c>
    </row>
    <row r="7540" spans="2:9">
      <c r="B7540" s="1476">
        <v>101434</v>
      </c>
      <c r="C7540" s="733" t="s">
        <v>3391</v>
      </c>
      <c r="D7540" s="677" t="s">
        <v>27</v>
      </c>
      <c r="E7540" s="741">
        <f t="shared" si="234"/>
        <v>3347.78</v>
      </c>
      <c r="F7540">
        <f t="shared" si="235"/>
        <v>101434</v>
      </c>
      <c r="H7540" s="1402">
        <v>3007.32</v>
      </c>
      <c r="I7540" s="1402">
        <v>3347.78</v>
      </c>
    </row>
    <row r="7541" spans="2:9">
      <c r="B7541" s="1476">
        <v>101435</v>
      </c>
      <c r="C7541" s="733" t="s">
        <v>3392</v>
      </c>
      <c r="D7541" s="677" t="s">
        <v>27</v>
      </c>
      <c r="E7541" s="741">
        <f t="shared" si="234"/>
        <v>3864.81</v>
      </c>
      <c r="F7541">
        <f t="shared" si="235"/>
        <v>101435</v>
      </c>
      <c r="H7541" s="1402">
        <v>3455.75</v>
      </c>
      <c r="I7541" s="1402">
        <v>3864.81</v>
      </c>
    </row>
    <row r="7542" spans="2:9">
      <c r="B7542" s="1476">
        <v>101436</v>
      </c>
      <c r="C7542" s="733" t="s">
        <v>109</v>
      </c>
      <c r="D7542" s="677" t="s">
        <v>27</v>
      </c>
      <c r="E7542" s="741">
        <f t="shared" si="234"/>
        <v>3406.98</v>
      </c>
      <c r="F7542">
        <f t="shared" si="235"/>
        <v>101436</v>
      </c>
      <c r="H7542" s="1402">
        <v>3058.68</v>
      </c>
      <c r="I7542" s="1402">
        <v>3406.98</v>
      </c>
    </row>
    <row r="7543" spans="2:9">
      <c r="B7543" s="1476">
        <v>101437</v>
      </c>
      <c r="C7543" s="733" t="s">
        <v>3393</v>
      </c>
      <c r="D7543" s="677" t="s">
        <v>27</v>
      </c>
      <c r="E7543" s="741">
        <f t="shared" si="234"/>
        <v>5106.95</v>
      </c>
      <c r="F7543">
        <f t="shared" si="235"/>
        <v>101437</v>
      </c>
      <c r="H7543" s="1402">
        <v>4533.03</v>
      </c>
      <c r="I7543" s="1402">
        <v>5106.95</v>
      </c>
    </row>
    <row r="7544" spans="2:9">
      <c r="B7544" s="1476">
        <v>101438</v>
      </c>
      <c r="C7544" s="733" t="s">
        <v>111</v>
      </c>
      <c r="D7544" s="677" t="s">
        <v>27</v>
      </c>
      <c r="E7544" s="741">
        <f t="shared" si="234"/>
        <v>5106.95</v>
      </c>
      <c r="F7544">
        <f t="shared" si="235"/>
        <v>101438</v>
      </c>
      <c r="H7544" s="1402">
        <v>4533.03</v>
      </c>
      <c r="I7544" s="1402">
        <v>5106.95</v>
      </c>
    </row>
    <row r="7545" spans="2:9">
      <c r="B7545" s="1476">
        <v>101439</v>
      </c>
      <c r="C7545" s="733" t="s">
        <v>112</v>
      </c>
      <c r="D7545" s="677" t="s">
        <v>27</v>
      </c>
      <c r="E7545" s="741">
        <f t="shared" si="234"/>
        <v>3808.69</v>
      </c>
      <c r="F7545">
        <f t="shared" si="235"/>
        <v>101439</v>
      </c>
      <c r="H7545" s="1402">
        <v>3407.06</v>
      </c>
      <c r="I7545" s="1402">
        <v>3808.69</v>
      </c>
    </row>
    <row r="7546" spans="2:9">
      <c r="B7546" s="1476">
        <v>101440</v>
      </c>
      <c r="C7546" s="733" t="s">
        <v>3394</v>
      </c>
      <c r="D7546" s="677" t="s">
        <v>27</v>
      </c>
      <c r="E7546" s="741">
        <f t="shared" si="234"/>
        <v>3808.69</v>
      </c>
      <c r="F7546">
        <f t="shared" si="235"/>
        <v>101440</v>
      </c>
      <c r="H7546" s="1402">
        <v>3407.06</v>
      </c>
      <c r="I7546" s="1402">
        <v>3808.69</v>
      </c>
    </row>
    <row r="7547" spans="2:9">
      <c r="B7547" s="1476">
        <v>101441</v>
      </c>
      <c r="C7547" s="733" t="s">
        <v>114</v>
      </c>
      <c r="D7547" s="677" t="s">
        <v>27</v>
      </c>
      <c r="E7547" s="741">
        <f t="shared" si="234"/>
        <v>3779.48</v>
      </c>
      <c r="F7547">
        <f t="shared" si="235"/>
        <v>101441</v>
      </c>
      <c r="H7547" s="1402">
        <v>3381.73</v>
      </c>
      <c r="I7547" s="1402">
        <v>3779.48</v>
      </c>
    </row>
    <row r="7548" spans="2:9">
      <c r="B7548" s="1476">
        <v>101443</v>
      </c>
      <c r="C7548" s="733" t="s">
        <v>1583</v>
      </c>
      <c r="D7548" s="677" t="s">
        <v>27</v>
      </c>
      <c r="E7548" s="741">
        <f t="shared" si="234"/>
        <v>5106.95</v>
      </c>
      <c r="F7548">
        <f t="shared" si="235"/>
        <v>101443</v>
      </c>
      <c r="H7548" s="1402">
        <v>4533.03</v>
      </c>
      <c r="I7548" s="1402">
        <v>5106.95</v>
      </c>
    </row>
    <row r="7549" spans="2:9">
      <c r="B7549" s="1476">
        <v>101444</v>
      </c>
      <c r="C7549" s="733" t="s">
        <v>117</v>
      </c>
      <c r="D7549" s="677" t="s">
        <v>27</v>
      </c>
      <c r="E7549" s="741">
        <f t="shared" si="234"/>
        <v>4534.53</v>
      </c>
      <c r="F7549">
        <f t="shared" si="235"/>
        <v>101444</v>
      </c>
      <c r="H7549" s="1402">
        <v>4066.51</v>
      </c>
      <c r="I7549" s="1402">
        <v>4534.53</v>
      </c>
    </row>
    <row r="7550" spans="2:9">
      <c r="B7550" s="1476">
        <v>101445</v>
      </c>
      <c r="C7550" s="733" t="s">
        <v>118</v>
      </c>
      <c r="D7550" s="677" t="s">
        <v>27</v>
      </c>
      <c r="E7550" s="741">
        <f t="shared" si="234"/>
        <v>4553.8500000000004</v>
      </c>
      <c r="F7550">
        <f t="shared" si="235"/>
        <v>101445</v>
      </c>
      <c r="H7550" s="1402">
        <v>4083.27</v>
      </c>
      <c r="I7550" s="1402">
        <v>4553.8500000000004</v>
      </c>
    </row>
    <row r="7551" spans="2:9">
      <c r="B7551" s="1476">
        <v>101446</v>
      </c>
      <c r="C7551" s="733" t="s">
        <v>119</v>
      </c>
      <c r="D7551" s="677" t="s">
        <v>27</v>
      </c>
      <c r="E7551" s="741">
        <f t="shared" si="234"/>
        <v>4842.6899999999996</v>
      </c>
      <c r="F7551">
        <f t="shared" si="235"/>
        <v>101446</v>
      </c>
      <c r="H7551" s="1402">
        <v>4374.67</v>
      </c>
      <c r="I7551" s="1402">
        <v>4842.6899999999996</v>
      </c>
    </row>
    <row r="7552" spans="2:9">
      <c r="B7552" s="1476">
        <v>101447</v>
      </c>
      <c r="C7552" s="733" t="s">
        <v>120</v>
      </c>
      <c r="D7552" s="677" t="s">
        <v>27</v>
      </c>
      <c r="E7552" s="741">
        <f t="shared" si="234"/>
        <v>4740.63</v>
      </c>
      <c r="F7552">
        <f t="shared" si="235"/>
        <v>101447</v>
      </c>
      <c r="H7552" s="1402">
        <v>4286.17</v>
      </c>
      <c r="I7552" s="1402">
        <v>4740.63</v>
      </c>
    </row>
    <row r="7553" spans="2:9">
      <c r="B7553" s="1476">
        <v>101448</v>
      </c>
      <c r="C7553" s="733" t="s">
        <v>121</v>
      </c>
      <c r="D7553" s="677" t="s">
        <v>27</v>
      </c>
      <c r="E7553" s="741">
        <f t="shared" si="234"/>
        <v>4842.6899999999996</v>
      </c>
      <c r="F7553">
        <f t="shared" si="235"/>
        <v>101448</v>
      </c>
      <c r="H7553" s="1402">
        <v>4374.67</v>
      </c>
      <c r="I7553" s="1402">
        <v>4842.6899999999996</v>
      </c>
    </row>
    <row r="7554" spans="2:9">
      <c r="B7554" s="1476">
        <v>101449</v>
      </c>
      <c r="C7554" s="733" t="s">
        <v>3395</v>
      </c>
      <c r="D7554" s="677" t="s">
        <v>27</v>
      </c>
      <c r="E7554" s="741">
        <f t="shared" si="234"/>
        <v>3713.15</v>
      </c>
      <c r="F7554">
        <f t="shared" si="235"/>
        <v>101449</v>
      </c>
      <c r="H7554" s="1402">
        <v>3324.21</v>
      </c>
      <c r="I7554" s="1402">
        <v>3713.15</v>
      </c>
    </row>
    <row r="7555" spans="2:9">
      <c r="B7555" s="1476">
        <v>101451</v>
      </c>
      <c r="C7555" s="733" t="s">
        <v>124</v>
      </c>
      <c r="D7555" s="677" t="s">
        <v>27</v>
      </c>
      <c r="E7555" s="741">
        <f t="shared" ref="E7555:E7564" si="236">IF($K$2=$H$1,H7555,I7555)</f>
        <v>4524.88</v>
      </c>
      <c r="F7555">
        <f t="shared" si="235"/>
        <v>101451</v>
      </c>
      <c r="H7555" s="1402">
        <v>4058.15</v>
      </c>
      <c r="I7555" s="1402">
        <v>4524.88</v>
      </c>
    </row>
    <row r="7556" spans="2:9">
      <c r="B7556" s="1476">
        <v>101452</v>
      </c>
      <c r="C7556" s="733" t="s">
        <v>3396</v>
      </c>
      <c r="D7556" s="677" t="s">
        <v>27</v>
      </c>
      <c r="E7556" s="741">
        <f t="shared" si="236"/>
        <v>3626.17</v>
      </c>
      <c r="F7556">
        <f t="shared" ref="F7556:F7564" si="237">IF(LEN($B7556)=7,CONCATENATE(MID($B7556,1,6),"00",RIGHT($B7556,1)),IF(LEN($B7556)=8,CONCATENATE(MID($B7556,1,6),"0",RIGHT($B7556,2)),$B7556))</f>
        <v>101452</v>
      </c>
      <c r="H7556" s="1402">
        <v>3275.57</v>
      </c>
      <c r="I7556" s="1402">
        <v>3626.17</v>
      </c>
    </row>
    <row r="7557" spans="2:9">
      <c r="B7557" s="1476">
        <v>101453</v>
      </c>
      <c r="C7557" s="733" t="s">
        <v>126</v>
      </c>
      <c r="D7557" s="677" t="s">
        <v>27</v>
      </c>
      <c r="E7557" s="741">
        <f t="shared" si="236"/>
        <v>4706.5</v>
      </c>
      <c r="F7557">
        <f t="shared" si="237"/>
        <v>101453</v>
      </c>
      <c r="H7557" s="1402">
        <v>4239.7700000000004</v>
      </c>
      <c r="I7557" s="1402">
        <v>4706.5</v>
      </c>
    </row>
    <row r="7558" spans="2:9">
      <c r="B7558" s="1476">
        <v>101454</v>
      </c>
      <c r="C7558" s="733" t="s">
        <v>3397</v>
      </c>
      <c r="D7558" s="677" t="s">
        <v>27</v>
      </c>
      <c r="E7558" s="741">
        <f t="shared" si="236"/>
        <v>5322.4</v>
      </c>
      <c r="F7558">
        <f t="shared" si="237"/>
        <v>101454</v>
      </c>
      <c r="H7558" s="1402">
        <v>4773.9399999999996</v>
      </c>
      <c r="I7558" s="1402">
        <v>5322.4</v>
      </c>
    </row>
    <row r="7559" spans="2:9">
      <c r="B7559" s="1476">
        <v>101455</v>
      </c>
      <c r="C7559" s="733" t="s">
        <v>127</v>
      </c>
      <c r="D7559" s="677" t="s">
        <v>27</v>
      </c>
      <c r="E7559" s="741">
        <f t="shared" si="236"/>
        <v>4498.55</v>
      </c>
      <c r="F7559">
        <f t="shared" si="237"/>
        <v>101455</v>
      </c>
      <c r="H7559" s="1402">
        <v>4031.82</v>
      </c>
      <c r="I7559" s="1402">
        <v>4498.55</v>
      </c>
    </row>
    <row r="7560" spans="2:9">
      <c r="B7560" s="1476">
        <v>101456</v>
      </c>
      <c r="C7560" s="733" t="s">
        <v>3398</v>
      </c>
      <c r="D7560" s="677" t="s">
        <v>27</v>
      </c>
      <c r="E7560" s="741">
        <f t="shared" si="236"/>
        <v>5240.79</v>
      </c>
      <c r="F7560">
        <f t="shared" si="237"/>
        <v>101456</v>
      </c>
      <c r="H7560" s="1402">
        <v>4600.8100000000004</v>
      </c>
      <c r="I7560" s="1402">
        <v>5240.79</v>
      </c>
    </row>
    <row r="7561" spans="2:9">
      <c r="B7561" s="1476">
        <v>101457</v>
      </c>
      <c r="C7561" s="733" t="s">
        <v>3399</v>
      </c>
      <c r="D7561" s="677" t="s">
        <v>27</v>
      </c>
      <c r="E7561" s="741">
        <f t="shared" si="236"/>
        <v>4506.12</v>
      </c>
      <c r="F7561">
        <f t="shared" si="237"/>
        <v>101457</v>
      </c>
      <c r="H7561" s="1402">
        <v>4011.95</v>
      </c>
      <c r="I7561" s="1402">
        <v>4506.12</v>
      </c>
    </row>
    <row r="7562" spans="2:9">
      <c r="B7562" s="1476">
        <v>101458</v>
      </c>
      <c r="C7562" s="733" t="s">
        <v>3400</v>
      </c>
      <c r="D7562" s="677" t="s">
        <v>27</v>
      </c>
      <c r="E7562" s="741">
        <f t="shared" si="236"/>
        <v>4456.74</v>
      </c>
      <c r="F7562">
        <f t="shared" si="237"/>
        <v>101458</v>
      </c>
      <c r="H7562" s="1402">
        <v>3995.56</v>
      </c>
      <c r="I7562" s="1402">
        <v>4456.74</v>
      </c>
    </row>
    <row r="7563" spans="2:9">
      <c r="B7563" s="1476">
        <v>101459</v>
      </c>
      <c r="C7563" s="733" t="s">
        <v>132</v>
      </c>
      <c r="D7563" s="677" t="s">
        <v>27</v>
      </c>
      <c r="E7563" s="741">
        <f t="shared" si="236"/>
        <v>4048.83</v>
      </c>
      <c r="F7563">
        <f t="shared" si="237"/>
        <v>101459</v>
      </c>
      <c r="H7563" s="1402">
        <v>3645.27</v>
      </c>
      <c r="I7563" s="1402">
        <v>4048.83</v>
      </c>
    </row>
    <row r="7564" spans="2:9">
      <c r="B7564" s="1476">
        <v>101460</v>
      </c>
      <c r="C7564" s="733" t="s">
        <v>2522</v>
      </c>
      <c r="D7564" s="677" t="s">
        <v>27</v>
      </c>
      <c r="E7564" s="741">
        <f t="shared" si="236"/>
        <v>3688.32</v>
      </c>
      <c r="F7564">
        <f t="shared" si="237"/>
        <v>101460</v>
      </c>
      <c r="H7564" s="1402">
        <v>3329.48</v>
      </c>
      <c r="I7564" s="1402">
        <v>3688.32</v>
      </c>
    </row>
  </sheetData>
  <autoFilter ref="A1:M7518" xr:uid="{00000000-0009-0000-0000-00000A000000}"/>
  <pageMargins left="0.511811024" right="0.511811024" top="0.78740157499999996" bottom="0.78740157499999996" header="0.31496062000000002" footer="0.31496062000000002"/>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dimension ref="A1:J4912"/>
  <sheetViews>
    <sheetView topLeftCell="A4872" zoomScale="85" zoomScaleNormal="85" zoomScalePageLayoutView="55" workbookViewId="0">
      <selection activeCell="D2" sqref="D2:D4911"/>
    </sheetView>
  </sheetViews>
  <sheetFormatPr defaultColWidth="9.140625" defaultRowHeight="15"/>
  <cols>
    <col min="1" max="1" width="10.7109375" style="677" customWidth="1"/>
    <col min="2" max="2" width="120.7109375" style="733" customWidth="1"/>
    <col min="3" max="3" width="10.7109375" style="677" customWidth="1"/>
    <col min="4" max="4" width="12.7109375" customWidth="1"/>
    <col min="6" max="6" width="18.42578125" customWidth="1"/>
    <col min="7" max="7" width="20.140625" bestFit="1" customWidth="1"/>
    <col min="8" max="8" width="12.42578125" bestFit="1" customWidth="1"/>
    <col min="10" max="10" width="23.28515625" customWidth="1"/>
  </cols>
  <sheetData>
    <row r="1" spans="1:10" ht="16.5" thickBot="1">
      <c r="A1" s="737" t="s">
        <v>2537</v>
      </c>
      <c r="B1" s="736" t="s">
        <v>2538</v>
      </c>
      <c r="C1" s="737" t="s">
        <v>2539</v>
      </c>
      <c r="D1" s="737" t="s">
        <v>26</v>
      </c>
      <c r="F1" s="737" t="s">
        <v>1997</v>
      </c>
      <c r="G1" s="737" t="s">
        <v>1998</v>
      </c>
    </row>
    <row r="2" spans="1:10" ht="15.75" thickBot="1">
      <c r="A2" s="677">
        <v>38605</v>
      </c>
      <c r="B2" s="733" t="s">
        <v>8392</v>
      </c>
      <c r="C2" s="677" t="s">
        <v>1690</v>
      </c>
      <c r="D2" s="738">
        <f>IF($J$2=$F$1,F2,G2)</f>
        <v>142.15</v>
      </c>
      <c r="F2" s="1405">
        <v>142.15</v>
      </c>
      <c r="G2" s="1405">
        <v>142.15</v>
      </c>
      <c r="H2" t="b">
        <f>F2=G2</f>
        <v>1</v>
      </c>
      <c r="J2" s="777" t="s">
        <v>1998</v>
      </c>
    </row>
    <row r="3" spans="1:10">
      <c r="A3" s="739">
        <v>11270</v>
      </c>
      <c r="B3" s="740" t="s">
        <v>8393</v>
      </c>
      <c r="C3" s="739" t="s">
        <v>1690</v>
      </c>
      <c r="D3" s="741">
        <f t="shared" ref="D3:D66" si="0">IF($J$2=$F$1,F3,G3)</f>
        <v>2.58</v>
      </c>
      <c r="F3" s="1406">
        <v>2.58</v>
      </c>
      <c r="G3" s="1406">
        <v>2.58</v>
      </c>
      <c r="H3" t="b">
        <f t="shared" ref="H3:H66" si="1">F3=G3</f>
        <v>1</v>
      </c>
    </row>
    <row r="4" spans="1:10">
      <c r="A4" s="677">
        <v>412</v>
      </c>
      <c r="B4" s="733" t="s">
        <v>8394</v>
      </c>
      <c r="C4" s="677" t="s">
        <v>1690</v>
      </c>
      <c r="D4" s="738">
        <f t="shared" si="0"/>
        <v>1.33</v>
      </c>
      <c r="F4" s="1405">
        <v>1.33</v>
      </c>
      <c r="G4" s="1405">
        <v>1.33</v>
      </c>
      <c r="H4" t="b">
        <f t="shared" si="1"/>
        <v>1</v>
      </c>
    </row>
    <row r="5" spans="1:10">
      <c r="A5" s="739">
        <v>414</v>
      </c>
      <c r="B5" s="740" t="s">
        <v>8395</v>
      </c>
      <c r="C5" s="739" t="s">
        <v>1690</v>
      </c>
      <c r="D5" s="741">
        <f t="shared" si="0"/>
        <v>0.08</v>
      </c>
      <c r="F5" s="1406">
        <v>0.08</v>
      </c>
      <c r="G5" s="1406">
        <v>0.08</v>
      </c>
      <c r="H5" t="b">
        <f t="shared" si="1"/>
        <v>1</v>
      </c>
    </row>
    <row r="6" spans="1:10">
      <c r="A6" s="677">
        <v>410</v>
      </c>
      <c r="B6" s="733" t="s">
        <v>8396</v>
      </c>
      <c r="C6" s="677" t="s">
        <v>1690</v>
      </c>
      <c r="D6" s="738">
        <f t="shared" si="0"/>
        <v>0.2</v>
      </c>
      <c r="F6" s="1405">
        <v>0.2</v>
      </c>
      <c r="G6" s="1405">
        <v>0.2</v>
      </c>
      <c r="H6" t="b">
        <f t="shared" si="1"/>
        <v>1</v>
      </c>
    </row>
    <row r="7" spans="1:10">
      <c r="A7" s="739">
        <v>411</v>
      </c>
      <c r="B7" s="740" t="s">
        <v>8397</v>
      </c>
      <c r="C7" s="739" t="s">
        <v>1690</v>
      </c>
      <c r="D7" s="741">
        <f t="shared" si="0"/>
        <v>0.26</v>
      </c>
      <c r="F7" s="1406">
        <v>0.26</v>
      </c>
      <c r="G7" s="1406">
        <v>0.26</v>
      </c>
      <c r="H7" t="b">
        <f t="shared" si="1"/>
        <v>1</v>
      </c>
    </row>
    <row r="8" spans="1:10">
      <c r="A8" s="677">
        <v>408</v>
      </c>
      <c r="B8" s="733" t="s">
        <v>8398</v>
      </c>
      <c r="C8" s="677" t="s">
        <v>1690</v>
      </c>
      <c r="D8" s="738">
        <f t="shared" si="0"/>
        <v>1.29</v>
      </c>
      <c r="F8" s="1405">
        <v>1.29</v>
      </c>
      <c r="G8" s="1405">
        <v>1.29</v>
      </c>
      <c r="H8" t="b">
        <f t="shared" si="1"/>
        <v>1</v>
      </c>
    </row>
    <row r="9" spans="1:10">
      <c r="A9" s="739">
        <v>39131</v>
      </c>
      <c r="B9" s="740" t="s">
        <v>8399</v>
      </c>
      <c r="C9" s="739" t="s">
        <v>1690</v>
      </c>
      <c r="D9" s="741">
        <f t="shared" si="0"/>
        <v>4.01</v>
      </c>
      <c r="F9" s="1406">
        <v>4.01</v>
      </c>
      <c r="G9" s="1406">
        <v>4.01</v>
      </c>
      <c r="H9" t="b">
        <f t="shared" si="1"/>
        <v>1</v>
      </c>
    </row>
    <row r="10" spans="1:10">
      <c r="A10" s="677">
        <v>394</v>
      </c>
      <c r="B10" s="733" t="s">
        <v>8400</v>
      </c>
      <c r="C10" s="677" t="s">
        <v>1690</v>
      </c>
      <c r="D10" s="738">
        <f t="shared" si="0"/>
        <v>4.0599999999999996</v>
      </c>
      <c r="F10" s="1405">
        <v>4.0599999999999996</v>
      </c>
      <c r="G10" s="1405">
        <v>4.0599999999999996</v>
      </c>
      <c r="H10" t="b">
        <f t="shared" si="1"/>
        <v>1</v>
      </c>
    </row>
    <row r="11" spans="1:10">
      <c r="A11" s="739">
        <v>39130</v>
      </c>
      <c r="B11" s="740" t="s">
        <v>8401</v>
      </c>
      <c r="C11" s="739" t="s">
        <v>1690</v>
      </c>
      <c r="D11" s="741">
        <f t="shared" si="0"/>
        <v>3.66</v>
      </c>
      <c r="F11" s="1406">
        <v>3.66</v>
      </c>
      <c r="G11" s="1406">
        <v>3.66</v>
      </c>
      <c r="H11" t="b">
        <f t="shared" si="1"/>
        <v>1</v>
      </c>
    </row>
    <row r="12" spans="1:10">
      <c r="A12" s="677">
        <v>395</v>
      </c>
      <c r="B12" s="733" t="s">
        <v>8402</v>
      </c>
      <c r="C12" s="677" t="s">
        <v>1690</v>
      </c>
      <c r="D12" s="738">
        <f t="shared" si="0"/>
        <v>3.91</v>
      </c>
      <c r="F12" s="1405">
        <v>3.91</v>
      </c>
      <c r="G12" s="1405">
        <v>3.91</v>
      </c>
      <c r="H12" t="b">
        <f t="shared" si="1"/>
        <v>1</v>
      </c>
    </row>
    <row r="13" spans="1:10">
      <c r="A13" s="739">
        <v>39127</v>
      </c>
      <c r="B13" s="740" t="s">
        <v>8403</v>
      </c>
      <c r="C13" s="739" t="s">
        <v>1690</v>
      </c>
      <c r="D13" s="741">
        <f t="shared" si="0"/>
        <v>1.93</v>
      </c>
      <c r="F13" s="1406">
        <v>1.93</v>
      </c>
      <c r="G13" s="1406">
        <v>1.93</v>
      </c>
      <c r="H13" t="b">
        <f t="shared" si="1"/>
        <v>1</v>
      </c>
    </row>
    <row r="14" spans="1:10">
      <c r="A14" s="677">
        <v>392</v>
      </c>
      <c r="B14" s="733" t="s">
        <v>8404</v>
      </c>
      <c r="C14" s="677" t="s">
        <v>1690</v>
      </c>
      <c r="D14" s="738">
        <f t="shared" si="0"/>
        <v>1.98</v>
      </c>
      <c r="F14" s="1405">
        <v>1.98</v>
      </c>
      <c r="G14" s="1405">
        <v>1.98</v>
      </c>
      <c r="H14" t="b">
        <f t="shared" si="1"/>
        <v>1</v>
      </c>
    </row>
    <row r="15" spans="1:10">
      <c r="A15" s="739">
        <v>39129</v>
      </c>
      <c r="B15" s="740" t="s">
        <v>8405</v>
      </c>
      <c r="C15" s="739" t="s">
        <v>1690</v>
      </c>
      <c r="D15" s="741">
        <f t="shared" si="0"/>
        <v>2.25</v>
      </c>
      <c r="F15" s="1406">
        <v>2.25</v>
      </c>
      <c r="G15" s="1406">
        <v>2.25</v>
      </c>
      <c r="H15" t="b">
        <f t="shared" si="1"/>
        <v>1</v>
      </c>
    </row>
    <row r="16" spans="1:10">
      <c r="A16" s="677">
        <v>393</v>
      </c>
      <c r="B16" s="733" t="s">
        <v>8406</v>
      </c>
      <c r="C16" s="677" t="s">
        <v>1690</v>
      </c>
      <c r="D16" s="738">
        <f t="shared" si="0"/>
        <v>2.36</v>
      </c>
      <c r="F16" s="1405">
        <v>2.36</v>
      </c>
      <c r="G16" s="1405">
        <v>2.36</v>
      </c>
      <c r="H16" t="b">
        <f t="shared" si="1"/>
        <v>1</v>
      </c>
    </row>
    <row r="17" spans="1:8">
      <c r="A17" s="739">
        <v>39133</v>
      </c>
      <c r="B17" s="740" t="s">
        <v>8407</v>
      </c>
      <c r="C17" s="739" t="s">
        <v>1690</v>
      </c>
      <c r="D17" s="741">
        <f t="shared" si="0"/>
        <v>5.27</v>
      </c>
      <c r="F17" s="1406">
        <v>5.27</v>
      </c>
      <c r="G17" s="1406">
        <v>5.27</v>
      </c>
      <c r="H17" t="b">
        <f t="shared" si="1"/>
        <v>1</v>
      </c>
    </row>
    <row r="18" spans="1:8">
      <c r="A18" s="677">
        <v>397</v>
      </c>
      <c r="B18" s="733" t="s">
        <v>8408</v>
      </c>
      <c r="C18" s="677" t="s">
        <v>1690</v>
      </c>
      <c r="D18" s="738">
        <f t="shared" si="0"/>
        <v>5.82</v>
      </c>
      <c r="F18" s="1405">
        <v>5.82</v>
      </c>
      <c r="G18" s="1405">
        <v>5.82</v>
      </c>
      <c r="H18" t="b">
        <f t="shared" si="1"/>
        <v>1</v>
      </c>
    </row>
    <row r="19" spans="1:8">
      <c r="A19" s="739">
        <v>39132</v>
      </c>
      <c r="B19" s="740" t="s">
        <v>8409</v>
      </c>
      <c r="C19" s="739" t="s">
        <v>1690</v>
      </c>
      <c r="D19" s="741">
        <f t="shared" si="0"/>
        <v>4.21</v>
      </c>
      <c r="F19" s="1406">
        <v>4.21</v>
      </c>
      <c r="G19" s="1406">
        <v>4.21</v>
      </c>
      <c r="H19" t="b">
        <f t="shared" si="1"/>
        <v>1</v>
      </c>
    </row>
    <row r="20" spans="1:8">
      <c r="A20" s="677">
        <v>396</v>
      </c>
      <c r="B20" s="733" t="s">
        <v>8410</v>
      </c>
      <c r="C20" s="677" t="s">
        <v>1690</v>
      </c>
      <c r="D20" s="738">
        <f t="shared" si="0"/>
        <v>4.51</v>
      </c>
      <c r="F20" s="1405">
        <v>4.51</v>
      </c>
      <c r="G20" s="1405">
        <v>4.51</v>
      </c>
      <c r="H20" t="b">
        <f t="shared" si="1"/>
        <v>1</v>
      </c>
    </row>
    <row r="21" spans="1:8">
      <c r="A21" s="739">
        <v>39135</v>
      </c>
      <c r="B21" s="740" t="s">
        <v>8411</v>
      </c>
      <c r="C21" s="739" t="s">
        <v>1690</v>
      </c>
      <c r="D21" s="741">
        <f t="shared" si="0"/>
        <v>8.43</v>
      </c>
      <c r="F21" s="1406">
        <v>8.43</v>
      </c>
      <c r="G21" s="1406">
        <v>8.43</v>
      </c>
      <c r="H21" t="b">
        <f t="shared" si="1"/>
        <v>1</v>
      </c>
    </row>
    <row r="22" spans="1:8">
      <c r="A22" s="677">
        <v>39128</v>
      </c>
      <c r="B22" s="733" t="s">
        <v>8412</v>
      </c>
      <c r="C22" s="677" t="s">
        <v>1690</v>
      </c>
      <c r="D22" s="738">
        <f t="shared" si="0"/>
        <v>2.1</v>
      </c>
      <c r="F22" s="1405">
        <v>2.1</v>
      </c>
      <c r="G22" s="1405">
        <v>2.1</v>
      </c>
      <c r="H22" t="b">
        <f t="shared" si="1"/>
        <v>1</v>
      </c>
    </row>
    <row r="23" spans="1:8">
      <c r="A23" s="739">
        <v>400</v>
      </c>
      <c r="B23" s="740" t="s">
        <v>8413</v>
      </c>
      <c r="C23" s="739" t="s">
        <v>1690</v>
      </c>
      <c r="D23" s="741">
        <f t="shared" si="0"/>
        <v>2.0499999999999998</v>
      </c>
      <c r="F23" s="1406">
        <v>2.0499999999999998</v>
      </c>
      <c r="G23" s="1406">
        <v>2.0499999999999998</v>
      </c>
      <c r="H23" t="b">
        <f t="shared" si="1"/>
        <v>1</v>
      </c>
    </row>
    <row r="24" spans="1:8">
      <c r="A24" s="677">
        <v>39125</v>
      </c>
      <c r="B24" s="733" t="s">
        <v>8414</v>
      </c>
      <c r="C24" s="677" t="s">
        <v>1690</v>
      </c>
      <c r="D24" s="741">
        <f t="shared" si="0"/>
        <v>2.1</v>
      </c>
      <c r="F24" s="1405">
        <v>2.1</v>
      </c>
      <c r="G24" s="1405">
        <v>2.1</v>
      </c>
      <c r="H24" t="b">
        <f t="shared" si="1"/>
        <v>1</v>
      </c>
    </row>
    <row r="25" spans="1:8">
      <c r="A25" s="739">
        <v>39134</v>
      </c>
      <c r="B25" s="740" t="s">
        <v>8415</v>
      </c>
      <c r="C25" s="739" t="s">
        <v>1690</v>
      </c>
      <c r="D25" s="741">
        <f t="shared" si="0"/>
        <v>7.02</v>
      </c>
      <c r="F25" s="1406">
        <v>7.02</v>
      </c>
      <c r="G25" s="1406">
        <v>7.02</v>
      </c>
      <c r="H25" t="b">
        <f t="shared" si="1"/>
        <v>1</v>
      </c>
    </row>
    <row r="26" spans="1:8">
      <c r="A26" s="677">
        <v>398</v>
      </c>
      <c r="B26" s="733" t="s">
        <v>8416</v>
      </c>
      <c r="C26" s="677" t="s">
        <v>1690</v>
      </c>
      <c r="D26" s="738">
        <f t="shared" si="0"/>
        <v>6.47</v>
      </c>
      <c r="F26" s="1405">
        <v>6.47</v>
      </c>
      <c r="G26" s="1405">
        <v>6.47</v>
      </c>
      <c r="H26" t="b">
        <f t="shared" si="1"/>
        <v>1</v>
      </c>
    </row>
    <row r="27" spans="1:8">
      <c r="A27" s="739">
        <v>39126</v>
      </c>
      <c r="B27" s="740" t="s">
        <v>8417</v>
      </c>
      <c r="C27" s="739" t="s">
        <v>1690</v>
      </c>
      <c r="D27" s="741">
        <f t="shared" si="0"/>
        <v>9.49</v>
      </c>
      <c r="F27" s="1406">
        <v>9.49</v>
      </c>
      <c r="G27" s="1406">
        <v>9.49</v>
      </c>
      <c r="H27" t="b">
        <f t="shared" si="1"/>
        <v>1</v>
      </c>
    </row>
    <row r="28" spans="1:8">
      <c r="A28" s="677">
        <v>399</v>
      </c>
      <c r="B28" s="733" t="s">
        <v>8418</v>
      </c>
      <c r="C28" s="677" t="s">
        <v>1690</v>
      </c>
      <c r="D28" s="738">
        <f t="shared" si="0"/>
        <v>8.36</v>
      </c>
      <c r="F28" s="1405">
        <v>8.36</v>
      </c>
      <c r="G28" s="1405">
        <v>8.36</v>
      </c>
      <c r="H28" t="b">
        <f t="shared" si="1"/>
        <v>1</v>
      </c>
    </row>
    <row r="29" spans="1:8">
      <c r="A29" s="739">
        <v>39158</v>
      </c>
      <c r="B29" s="740" t="s">
        <v>8419</v>
      </c>
      <c r="C29" s="739" t="s">
        <v>1690</v>
      </c>
      <c r="D29" s="741">
        <f t="shared" si="0"/>
        <v>22.44</v>
      </c>
      <c r="F29" s="1406">
        <v>22.44</v>
      </c>
      <c r="G29" s="1406">
        <v>22.44</v>
      </c>
      <c r="H29" t="b">
        <f t="shared" si="1"/>
        <v>1</v>
      </c>
    </row>
    <row r="30" spans="1:8">
      <c r="A30" s="677">
        <v>39141</v>
      </c>
      <c r="B30" s="733" t="s">
        <v>8420</v>
      </c>
      <c r="C30" s="677" t="s">
        <v>1690</v>
      </c>
      <c r="D30" s="738">
        <f t="shared" si="0"/>
        <v>1.63</v>
      </c>
      <c r="F30" s="1405">
        <v>1.63</v>
      </c>
      <c r="G30" s="1405">
        <v>1.63</v>
      </c>
      <c r="H30" t="b">
        <f t="shared" si="1"/>
        <v>1</v>
      </c>
    </row>
    <row r="31" spans="1:8">
      <c r="A31" s="739">
        <v>39140</v>
      </c>
      <c r="B31" s="740" t="s">
        <v>8421</v>
      </c>
      <c r="C31" s="739" t="s">
        <v>1690</v>
      </c>
      <c r="D31" s="741">
        <f t="shared" si="0"/>
        <v>1.48</v>
      </c>
      <c r="F31" s="1406">
        <v>1.48</v>
      </c>
      <c r="G31" s="1406">
        <v>1.48</v>
      </c>
      <c r="H31" t="b">
        <f t="shared" si="1"/>
        <v>1</v>
      </c>
    </row>
    <row r="32" spans="1:8">
      <c r="A32" s="677">
        <v>39137</v>
      </c>
      <c r="B32" s="733" t="s">
        <v>8422</v>
      </c>
      <c r="C32" s="677" t="s">
        <v>1690</v>
      </c>
      <c r="D32" s="738">
        <f t="shared" si="0"/>
        <v>0.85</v>
      </c>
      <c r="F32" s="1405">
        <v>0.85</v>
      </c>
      <c r="G32" s="1405">
        <v>0.85</v>
      </c>
      <c r="H32" t="b">
        <f t="shared" si="1"/>
        <v>1</v>
      </c>
    </row>
    <row r="33" spans="1:8">
      <c r="A33" s="739">
        <v>39139</v>
      </c>
      <c r="B33" s="740" t="s">
        <v>8423</v>
      </c>
      <c r="C33" s="739" t="s">
        <v>1690</v>
      </c>
      <c r="D33" s="741">
        <f t="shared" si="0"/>
        <v>1.23</v>
      </c>
      <c r="F33" s="1406">
        <v>1.23</v>
      </c>
      <c r="G33" s="1406">
        <v>1.23</v>
      </c>
      <c r="H33" t="b">
        <f t="shared" si="1"/>
        <v>1</v>
      </c>
    </row>
    <row r="34" spans="1:8">
      <c r="A34" s="677">
        <v>39143</v>
      </c>
      <c r="B34" s="733" t="s">
        <v>8424</v>
      </c>
      <c r="C34" s="677" t="s">
        <v>1690</v>
      </c>
      <c r="D34" s="738">
        <f t="shared" si="0"/>
        <v>3.36</v>
      </c>
      <c r="F34" s="1405">
        <v>3.36</v>
      </c>
      <c r="G34" s="1405">
        <v>3.36</v>
      </c>
      <c r="H34" t="b">
        <f t="shared" si="1"/>
        <v>1</v>
      </c>
    </row>
    <row r="35" spans="1:8">
      <c r="A35" s="739">
        <v>39142</v>
      </c>
      <c r="B35" s="740" t="s">
        <v>8425</v>
      </c>
      <c r="C35" s="739" t="s">
        <v>1690</v>
      </c>
      <c r="D35" s="741">
        <f t="shared" si="0"/>
        <v>2.41</v>
      </c>
      <c r="F35" s="1406">
        <v>2.41</v>
      </c>
      <c r="G35" s="1406">
        <v>2.41</v>
      </c>
      <c r="H35" t="b">
        <f t="shared" si="1"/>
        <v>1</v>
      </c>
    </row>
    <row r="36" spans="1:8">
      <c r="A36" s="677">
        <v>39138</v>
      </c>
      <c r="B36" s="733" t="s">
        <v>8426</v>
      </c>
      <c r="C36" s="677" t="s">
        <v>1690</v>
      </c>
      <c r="D36" s="738">
        <f t="shared" si="0"/>
        <v>0.9</v>
      </c>
      <c r="F36" s="1405">
        <v>0.9</v>
      </c>
      <c r="G36" s="1405">
        <v>0.9</v>
      </c>
      <c r="H36" t="b">
        <f t="shared" si="1"/>
        <v>1</v>
      </c>
    </row>
    <row r="37" spans="1:8">
      <c r="A37" s="739">
        <v>39136</v>
      </c>
      <c r="B37" s="740" t="s">
        <v>8427</v>
      </c>
      <c r="C37" s="739" t="s">
        <v>1690</v>
      </c>
      <c r="D37" s="741">
        <f t="shared" si="0"/>
        <v>0.6</v>
      </c>
      <c r="F37" s="1406">
        <v>0.6</v>
      </c>
      <c r="G37" s="1406">
        <v>0.6</v>
      </c>
      <c r="H37" t="b">
        <f t="shared" si="1"/>
        <v>1</v>
      </c>
    </row>
    <row r="38" spans="1:8">
      <c r="A38" s="677">
        <v>39144</v>
      </c>
      <c r="B38" s="733" t="s">
        <v>8428</v>
      </c>
      <c r="C38" s="677" t="s">
        <v>1690</v>
      </c>
      <c r="D38" s="738">
        <f t="shared" si="0"/>
        <v>3.91</v>
      </c>
      <c r="F38" s="1405">
        <v>3.91</v>
      </c>
      <c r="G38" s="1405">
        <v>3.91</v>
      </c>
      <c r="H38" t="b">
        <f t="shared" si="1"/>
        <v>1</v>
      </c>
    </row>
    <row r="39" spans="1:8">
      <c r="A39" s="739">
        <v>39145</v>
      </c>
      <c r="B39" s="740" t="s">
        <v>8429</v>
      </c>
      <c r="C39" s="739" t="s">
        <v>1690</v>
      </c>
      <c r="D39" s="741">
        <f t="shared" si="0"/>
        <v>6.45</v>
      </c>
      <c r="F39" s="1406">
        <v>6.45</v>
      </c>
      <c r="G39" s="1406">
        <v>6.45</v>
      </c>
      <c r="H39" t="b">
        <f t="shared" si="1"/>
        <v>1</v>
      </c>
    </row>
    <row r="40" spans="1:8">
      <c r="A40" s="677">
        <v>12615</v>
      </c>
      <c r="B40" s="733" t="s">
        <v>8430</v>
      </c>
      <c r="C40" s="677" t="s">
        <v>1690</v>
      </c>
      <c r="D40" s="738">
        <f t="shared" si="0"/>
        <v>12.1</v>
      </c>
      <c r="F40" s="1405">
        <v>12.1</v>
      </c>
      <c r="G40" s="1405">
        <v>12.1</v>
      </c>
      <c r="H40" t="b">
        <f t="shared" si="1"/>
        <v>1</v>
      </c>
    </row>
    <row r="41" spans="1:8">
      <c r="A41" s="739">
        <v>11927</v>
      </c>
      <c r="B41" s="740" t="s">
        <v>8431</v>
      </c>
      <c r="C41" s="739" t="s">
        <v>1690</v>
      </c>
      <c r="D41" s="741">
        <f t="shared" si="0"/>
        <v>7.7</v>
      </c>
      <c r="F41" s="1406">
        <v>7.7</v>
      </c>
      <c r="G41" s="1406">
        <v>7.7</v>
      </c>
      <c r="H41" t="b">
        <f t="shared" si="1"/>
        <v>1</v>
      </c>
    </row>
    <row r="42" spans="1:8">
      <c r="A42" s="677">
        <v>11928</v>
      </c>
      <c r="B42" s="733" t="s">
        <v>8432</v>
      </c>
      <c r="C42" s="677" t="s">
        <v>1690</v>
      </c>
      <c r="D42" s="738">
        <f t="shared" si="0"/>
        <v>8.82</v>
      </c>
      <c r="F42" s="1405">
        <v>8.82</v>
      </c>
      <c r="G42" s="1405">
        <v>8.82</v>
      </c>
      <c r="H42" t="b">
        <f t="shared" si="1"/>
        <v>1</v>
      </c>
    </row>
    <row r="43" spans="1:8">
      <c r="A43" s="739">
        <v>11929</v>
      </c>
      <c r="B43" s="740" t="s">
        <v>8433</v>
      </c>
      <c r="C43" s="739" t="s">
        <v>1690</v>
      </c>
      <c r="D43" s="741">
        <f t="shared" si="0"/>
        <v>13.64</v>
      </c>
      <c r="F43" s="1406">
        <v>13.64</v>
      </c>
      <c r="G43" s="1406">
        <v>13.64</v>
      </c>
      <c r="H43" t="b">
        <f t="shared" si="1"/>
        <v>1</v>
      </c>
    </row>
    <row r="44" spans="1:8">
      <c r="A44" s="677">
        <v>36801</v>
      </c>
      <c r="B44" s="733" t="s">
        <v>8434</v>
      </c>
      <c r="C44" s="677" t="s">
        <v>1690</v>
      </c>
      <c r="D44" s="738">
        <f t="shared" si="0"/>
        <v>37.44</v>
      </c>
      <c r="F44" s="1405">
        <v>37.44</v>
      </c>
      <c r="G44" s="1405">
        <v>37.44</v>
      </c>
      <c r="H44" t="b">
        <f t="shared" si="1"/>
        <v>1</v>
      </c>
    </row>
    <row r="45" spans="1:8">
      <c r="A45" s="739">
        <v>36246</v>
      </c>
      <c r="B45" s="740" t="s">
        <v>8435</v>
      </c>
      <c r="C45" s="739" t="s">
        <v>1693</v>
      </c>
      <c r="D45" s="741">
        <f t="shared" si="0"/>
        <v>4.42</v>
      </c>
      <c r="F45" s="1406">
        <v>4.42</v>
      </c>
      <c r="G45" s="1406">
        <v>4.42</v>
      </c>
      <c r="H45" t="b">
        <f t="shared" si="1"/>
        <v>1</v>
      </c>
    </row>
    <row r="46" spans="1:8">
      <c r="A46" s="677">
        <v>37600</v>
      </c>
      <c r="B46" s="733" t="s">
        <v>8436</v>
      </c>
      <c r="C46" s="677" t="s">
        <v>1690</v>
      </c>
      <c r="D46" s="738">
        <f t="shared" si="0"/>
        <v>104.86</v>
      </c>
      <c r="F46" s="1405">
        <v>104.86</v>
      </c>
      <c r="G46" s="1405">
        <v>104.86</v>
      </c>
      <c r="H46" t="b">
        <f t="shared" si="1"/>
        <v>1</v>
      </c>
    </row>
    <row r="47" spans="1:8">
      <c r="A47" s="739">
        <v>37599</v>
      </c>
      <c r="B47" s="740" t="s">
        <v>8437</v>
      </c>
      <c r="C47" s="739" t="s">
        <v>1690</v>
      </c>
      <c r="D47" s="741">
        <f t="shared" si="0"/>
        <v>97.6</v>
      </c>
      <c r="F47" s="1406">
        <v>97.6</v>
      </c>
      <c r="G47" s="1406">
        <v>97.6</v>
      </c>
      <c r="H47" t="b">
        <f t="shared" si="1"/>
        <v>1</v>
      </c>
    </row>
    <row r="48" spans="1:8" ht="30">
      <c r="A48" s="677">
        <v>1</v>
      </c>
      <c r="B48" s="733" t="s">
        <v>8438</v>
      </c>
      <c r="C48" s="677" t="s">
        <v>1694</v>
      </c>
      <c r="D48" s="738">
        <f t="shared" si="0"/>
        <v>130</v>
      </c>
      <c r="F48" s="1405">
        <v>130</v>
      </c>
      <c r="G48" s="1405">
        <v>130</v>
      </c>
      <c r="H48" t="b">
        <f t="shared" si="1"/>
        <v>1</v>
      </c>
    </row>
    <row r="49" spans="1:8">
      <c r="A49" s="739">
        <v>3</v>
      </c>
      <c r="B49" s="740" t="s">
        <v>8439</v>
      </c>
      <c r="C49" s="739" t="s">
        <v>1695</v>
      </c>
      <c r="D49" s="741">
        <f t="shared" si="0"/>
        <v>14.78</v>
      </c>
      <c r="F49" s="1406">
        <v>14.78</v>
      </c>
      <c r="G49" s="1406">
        <v>14.78</v>
      </c>
      <c r="H49" t="b">
        <f t="shared" si="1"/>
        <v>1</v>
      </c>
    </row>
    <row r="50" spans="1:8">
      <c r="A50" s="677">
        <v>43054</v>
      </c>
      <c r="B50" s="733" t="s">
        <v>8440</v>
      </c>
      <c r="C50" s="677" t="s">
        <v>1694</v>
      </c>
      <c r="D50" s="738">
        <f t="shared" si="0"/>
        <v>10</v>
      </c>
      <c r="F50" s="1405">
        <v>10</v>
      </c>
      <c r="G50" s="1405">
        <v>10</v>
      </c>
      <c r="H50" t="b">
        <f t="shared" si="1"/>
        <v>1</v>
      </c>
    </row>
    <row r="51" spans="1:8">
      <c r="A51" s="739">
        <v>42402</v>
      </c>
      <c r="B51" s="740" t="s">
        <v>8441</v>
      </c>
      <c r="C51" s="739" t="s">
        <v>1694</v>
      </c>
      <c r="D51" s="741">
        <f t="shared" si="0"/>
        <v>9.5500000000000007</v>
      </c>
      <c r="F51" s="1406">
        <v>9.5500000000000007</v>
      </c>
      <c r="G51" s="1406">
        <v>9.5500000000000007</v>
      </c>
      <c r="H51" t="b">
        <f t="shared" si="1"/>
        <v>1</v>
      </c>
    </row>
    <row r="52" spans="1:8">
      <c r="A52" s="677">
        <v>42403</v>
      </c>
      <c r="B52" s="733" t="s">
        <v>8442</v>
      </c>
      <c r="C52" s="677" t="s">
        <v>1694</v>
      </c>
      <c r="D52" s="738">
        <f t="shared" si="0"/>
        <v>12.26</v>
      </c>
      <c r="F52" s="1405">
        <v>12.26</v>
      </c>
      <c r="G52" s="1405">
        <v>12.26</v>
      </c>
      <c r="H52" t="b">
        <f t="shared" si="1"/>
        <v>1</v>
      </c>
    </row>
    <row r="53" spans="1:8">
      <c r="A53" s="739">
        <v>42404</v>
      </c>
      <c r="B53" s="740" t="s">
        <v>8443</v>
      </c>
      <c r="C53" s="739" t="s">
        <v>1694</v>
      </c>
      <c r="D53" s="741">
        <f t="shared" si="0"/>
        <v>12.19</v>
      </c>
      <c r="F53" s="1406">
        <v>12.19</v>
      </c>
      <c r="G53" s="1406">
        <v>12.19</v>
      </c>
      <c r="H53" t="b">
        <f t="shared" si="1"/>
        <v>1</v>
      </c>
    </row>
    <row r="54" spans="1:8">
      <c r="A54" s="677">
        <v>42405</v>
      </c>
      <c r="B54" s="733" t="s">
        <v>8444</v>
      </c>
      <c r="C54" s="677" t="s">
        <v>1694</v>
      </c>
      <c r="D54" s="738">
        <f t="shared" si="0"/>
        <v>12.98</v>
      </c>
      <c r="F54" s="1405">
        <v>12.98</v>
      </c>
      <c r="G54" s="1405">
        <v>12.98</v>
      </c>
      <c r="H54" t="b">
        <f t="shared" si="1"/>
        <v>1</v>
      </c>
    </row>
    <row r="55" spans="1:8">
      <c r="A55" s="739">
        <v>34341</v>
      </c>
      <c r="B55" s="740" t="s">
        <v>8445</v>
      </c>
      <c r="C55" s="739" t="s">
        <v>1694</v>
      </c>
      <c r="D55" s="741">
        <f t="shared" si="0"/>
        <v>11.27</v>
      </c>
      <c r="F55" s="1406">
        <v>11.27</v>
      </c>
      <c r="G55" s="1406">
        <v>11.27</v>
      </c>
      <c r="H55" t="b">
        <f t="shared" si="1"/>
        <v>1</v>
      </c>
    </row>
    <row r="56" spans="1:8">
      <c r="A56" s="677">
        <v>43053</v>
      </c>
      <c r="B56" s="733" t="s">
        <v>8446</v>
      </c>
      <c r="C56" s="677" t="s">
        <v>1694</v>
      </c>
      <c r="D56" s="738">
        <f t="shared" si="0"/>
        <v>8.93</v>
      </c>
      <c r="F56" s="1405">
        <v>8.93</v>
      </c>
      <c r="G56" s="1405">
        <v>8.93</v>
      </c>
      <c r="H56" t="b">
        <f t="shared" si="1"/>
        <v>1</v>
      </c>
    </row>
    <row r="57" spans="1:8">
      <c r="A57" s="739">
        <v>43058</v>
      </c>
      <c r="B57" s="740" t="s">
        <v>8447</v>
      </c>
      <c r="C57" s="739" t="s">
        <v>1694</v>
      </c>
      <c r="D57" s="741">
        <f t="shared" si="0"/>
        <v>9.26</v>
      </c>
      <c r="F57" s="1406">
        <v>9.26</v>
      </c>
      <c r="G57" s="1406">
        <v>9.26</v>
      </c>
      <c r="H57" t="b">
        <f t="shared" si="1"/>
        <v>1</v>
      </c>
    </row>
    <row r="58" spans="1:8">
      <c r="A58" s="677">
        <v>34</v>
      </c>
      <c r="B58" s="733" t="s">
        <v>8448</v>
      </c>
      <c r="C58" s="677" t="s">
        <v>1694</v>
      </c>
      <c r="D58" s="738">
        <f t="shared" si="0"/>
        <v>9.3000000000000007</v>
      </c>
      <c r="F58" s="1405">
        <v>9.3000000000000007</v>
      </c>
      <c r="G58" s="1405">
        <v>9.3000000000000007</v>
      </c>
      <c r="H58" t="b">
        <f t="shared" si="1"/>
        <v>1</v>
      </c>
    </row>
    <row r="59" spans="1:8">
      <c r="A59" s="739">
        <v>43055</v>
      </c>
      <c r="B59" s="740" t="s">
        <v>8449</v>
      </c>
      <c r="C59" s="739" t="s">
        <v>1694</v>
      </c>
      <c r="D59" s="741">
        <f t="shared" si="0"/>
        <v>8.06</v>
      </c>
      <c r="F59" s="1406">
        <v>8.06</v>
      </c>
      <c r="G59" s="1406">
        <v>8.06</v>
      </c>
      <c r="H59" t="b">
        <f t="shared" si="1"/>
        <v>1</v>
      </c>
    </row>
    <row r="60" spans="1:8">
      <c r="A60" s="677">
        <v>43056</v>
      </c>
      <c r="B60" s="733" t="s">
        <v>8450</v>
      </c>
      <c r="C60" s="677" t="s">
        <v>1694</v>
      </c>
      <c r="D60" s="738">
        <f t="shared" si="0"/>
        <v>9.2899999999999991</v>
      </c>
      <c r="F60" s="1405">
        <v>9.2899999999999991</v>
      </c>
      <c r="G60" s="1405">
        <v>9.2899999999999991</v>
      </c>
      <c r="H60" t="b">
        <f t="shared" si="1"/>
        <v>1</v>
      </c>
    </row>
    <row r="61" spans="1:8">
      <c r="A61" s="739">
        <v>43057</v>
      </c>
      <c r="B61" s="740" t="s">
        <v>8451</v>
      </c>
      <c r="C61" s="739" t="s">
        <v>1694</v>
      </c>
      <c r="D61" s="741">
        <f t="shared" si="0"/>
        <v>10.210000000000001</v>
      </c>
      <c r="F61" s="1406">
        <v>10.210000000000001</v>
      </c>
      <c r="G61" s="1406">
        <v>10.210000000000001</v>
      </c>
      <c r="H61" t="b">
        <f t="shared" si="1"/>
        <v>1</v>
      </c>
    </row>
    <row r="62" spans="1:8">
      <c r="A62" s="677">
        <v>34449</v>
      </c>
      <c r="B62" s="733" t="s">
        <v>8452</v>
      </c>
      <c r="C62" s="677" t="s">
        <v>1694</v>
      </c>
      <c r="D62" s="738">
        <f t="shared" si="0"/>
        <v>10.92</v>
      </c>
      <c r="F62" s="1405">
        <v>10.92</v>
      </c>
      <c r="G62" s="1405">
        <v>10.92</v>
      </c>
      <c r="H62" t="b">
        <f t="shared" si="1"/>
        <v>1</v>
      </c>
    </row>
    <row r="63" spans="1:8">
      <c r="A63" s="739">
        <v>32</v>
      </c>
      <c r="B63" s="740" t="s">
        <v>8453</v>
      </c>
      <c r="C63" s="739" t="s">
        <v>1694</v>
      </c>
      <c r="D63" s="741">
        <f t="shared" si="0"/>
        <v>9.81</v>
      </c>
      <c r="F63" s="1406">
        <v>9.81</v>
      </c>
      <c r="G63" s="1406">
        <v>9.81</v>
      </c>
      <c r="H63" t="b">
        <f t="shared" si="1"/>
        <v>1</v>
      </c>
    </row>
    <row r="64" spans="1:8">
      <c r="A64" s="677">
        <v>33</v>
      </c>
      <c r="B64" s="733" t="s">
        <v>8454</v>
      </c>
      <c r="C64" s="677" t="s">
        <v>1694</v>
      </c>
      <c r="D64" s="738">
        <f t="shared" si="0"/>
        <v>9.8699999999999992</v>
      </c>
      <c r="F64" s="1405">
        <v>9.8699999999999992</v>
      </c>
      <c r="G64" s="1405">
        <v>9.8699999999999992</v>
      </c>
      <c r="H64" t="b">
        <f t="shared" si="1"/>
        <v>1</v>
      </c>
    </row>
    <row r="65" spans="1:8">
      <c r="A65" s="739">
        <v>43061</v>
      </c>
      <c r="B65" s="740" t="s">
        <v>8455</v>
      </c>
      <c r="C65" s="739" t="s">
        <v>1694</v>
      </c>
      <c r="D65" s="741">
        <f t="shared" si="0"/>
        <v>9.2200000000000006</v>
      </c>
      <c r="F65" s="1406">
        <v>9.2200000000000006</v>
      </c>
      <c r="G65" s="1406">
        <v>9.2200000000000006</v>
      </c>
      <c r="H65" t="b">
        <f t="shared" si="1"/>
        <v>1</v>
      </c>
    </row>
    <row r="66" spans="1:8">
      <c r="A66" s="677">
        <v>43059</v>
      </c>
      <c r="B66" s="733" t="s">
        <v>8456</v>
      </c>
      <c r="C66" s="677" t="s">
        <v>1694</v>
      </c>
      <c r="D66" s="738">
        <f t="shared" si="0"/>
        <v>8.8000000000000007</v>
      </c>
      <c r="F66" s="1405">
        <v>8.8000000000000007</v>
      </c>
      <c r="G66" s="1405">
        <v>8.8000000000000007</v>
      </c>
      <c r="H66" t="b">
        <f t="shared" si="1"/>
        <v>1</v>
      </c>
    </row>
    <row r="67" spans="1:8">
      <c r="A67" s="739">
        <v>43062</v>
      </c>
      <c r="B67" s="740" t="s">
        <v>8457</v>
      </c>
      <c r="C67" s="739" t="s">
        <v>1694</v>
      </c>
      <c r="D67" s="741">
        <f t="shared" ref="D67:D130" si="2">IF($J$2=$F$1,F67,G67)</f>
        <v>9.76</v>
      </c>
      <c r="F67" s="1406">
        <v>9.76</v>
      </c>
      <c r="G67" s="1406">
        <v>9.76</v>
      </c>
      <c r="H67" t="b">
        <f t="shared" ref="H67:H130" si="3">F67=G67</f>
        <v>1</v>
      </c>
    </row>
    <row r="68" spans="1:8">
      <c r="A68" s="677">
        <v>43060</v>
      </c>
      <c r="B68" s="733" t="s">
        <v>8458</v>
      </c>
      <c r="C68" s="677" t="s">
        <v>1694</v>
      </c>
      <c r="D68" s="738">
        <f t="shared" si="2"/>
        <v>7.67</v>
      </c>
      <c r="F68" s="1405">
        <v>7.67</v>
      </c>
      <c r="G68" s="1405">
        <v>7.67</v>
      </c>
      <c r="H68" t="b">
        <f t="shared" si="3"/>
        <v>1</v>
      </c>
    </row>
    <row r="69" spans="1:8">
      <c r="A69" s="739">
        <v>40410</v>
      </c>
      <c r="B69" s="740" t="s">
        <v>8459</v>
      </c>
      <c r="C69" s="739" t="s">
        <v>1690</v>
      </c>
      <c r="D69" s="741">
        <f t="shared" si="2"/>
        <v>23.71</v>
      </c>
      <c r="F69" s="1406">
        <v>23.71</v>
      </c>
      <c r="G69" s="1406">
        <v>23.71</v>
      </c>
      <c r="H69" t="b">
        <f t="shared" si="3"/>
        <v>1</v>
      </c>
    </row>
    <row r="70" spans="1:8">
      <c r="A70" s="677">
        <v>40411</v>
      </c>
      <c r="B70" s="733" t="s">
        <v>8460</v>
      </c>
      <c r="C70" s="677" t="s">
        <v>1690</v>
      </c>
      <c r="D70" s="738">
        <f t="shared" si="2"/>
        <v>25.73</v>
      </c>
      <c r="F70" s="1405">
        <v>25.73</v>
      </c>
      <c r="G70" s="1405">
        <v>25.73</v>
      </c>
      <c r="H70" t="b">
        <f t="shared" si="3"/>
        <v>1</v>
      </c>
    </row>
    <row r="71" spans="1:8">
      <c r="A71" s="739">
        <v>40412</v>
      </c>
      <c r="B71" s="740" t="s">
        <v>8461</v>
      </c>
      <c r="C71" s="739" t="s">
        <v>1690</v>
      </c>
      <c r="D71" s="741">
        <f t="shared" si="2"/>
        <v>28.88</v>
      </c>
      <c r="F71" s="1406">
        <v>28.88</v>
      </c>
      <c r="G71" s="1406">
        <v>28.88</v>
      </c>
      <c r="H71" t="b">
        <f t="shared" si="3"/>
        <v>1</v>
      </c>
    </row>
    <row r="72" spans="1:8">
      <c r="A72" s="677">
        <v>44254</v>
      </c>
      <c r="B72" s="733" t="s">
        <v>8462</v>
      </c>
      <c r="C72" s="677" t="s">
        <v>1690</v>
      </c>
      <c r="D72" s="738">
        <f t="shared" si="2"/>
        <v>27.31</v>
      </c>
      <c r="F72" s="1405">
        <v>27.31</v>
      </c>
      <c r="G72" s="1405">
        <v>27.31</v>
      </c>
      <c r="H72" t="b">
        <f t="shared" si="3"/>
        <v>1</v>
      </c>
    </row>
    <row r="73" spans="1:8">
      <c r="A73" s="739">
        <v>44255</v>
      </c>
      <c r="B73" s="740" t="s">
        <v>8463</v>
      </c>
      <c r="C73" s="739" t="s">
        <v>1690</v>
      </c>
      <c r="D73" s="741">
        <f t="shared" si="2"/>
        <v>30.27</v>
      </c>
      <c r="F73" s="1406">
        <v>30.27</v>
      </c>
      <c r="G73" s="1406">
        <v>30.27</v>
      </c>
      <c r="H73" t="b">
        <f t="shared" si="3"/>
        <v>1</v>
      </c>
    </row>
    <row r="74" spans="1:8">
      <c r="A74" s="677">
        <v>44256</v>
      </c>
      <c r="B74" s="733" t="s">
        <v>8464</v>
      </c>
      <c r="C74" s="677" t="s">
        <v>1690</v>
      </c>
      <c r="D74" s="738">
        <f t="shared" si="2"/>
        <v>34.19</v>
      </c>
      <c r="F74" s="1405">
        <v>34.19</v>
      </c>
      <c r="G74" s="1405">
        <v>34.19</v>
      </c>
      <c r="H74" t="b">
        <f t="shared" si="3"/>
        <v>1</v>
      </c>
    </row>
    <row r="75" spans="1:8">
      <c r="A75" s="739">
        <v>44257</v>
      </c>
      <c r="B75" s="740" t="s">
        <v>8465</v>
      </c>
      <c r="C75" s="739" t="s">
        <v>1690</v>
      </c>
      <c r="D75" s="741">
        <f t="shared" si="2"/>
        <v>54.08</v>
      </c>
      <c r="F75" s="1406">
        <v>54.08</v>
      </c>
      <c r="G75" s="1406">
        <v>54.08</v>
      </c>
      <c r="H75" t="b">
        <f t="shared" si="3"/>
        <v>1</v>
      </c>
    </row>
    <row r="76" spans="1:8">
      <c r="A76" s="677">
        <v>44258</v>
      </c>
      <c r="B76" s="733" t="s">
        <v>8466</v>
      </c>
      <c r="C76" s="677" t="s">
        <v>1690</v>
      </c>
      <c r="D76" s="738">
        <f t="shared" si="2"/>
        <v>61.81</v>
      </c>
      <c r="F76" s="1405">
        <v>61.81</v>
      </c>
      <c r="G76" s="1405">
        <v>61.81</v>
      </c>
      <c r="H76" t="b">
        <f t="shared" si="3"/>
        <v>1</v>
      </c>
    </row>
    <row r="77" spans="1:8">
      <c r="A77" s="739">
        <v>44259</v>
      </c>
      <c r="B77" s="740" t="s">
        <v>8467</v>
      </c>
      <c r="C77" s="739" t="s">
        <v>1690</v>
      </c>
      <c r="D77" s="741">
        <f t="shared" si="2"/>
        <v>84.84</v>
      </c>
      <c r="F77" s="1406">
        <v>84.84</v>
      </c>
      <c r="G77" s="1406">
        <v>84.84</v>
      </c>
      <c r="H77" t="b">
        <f t="shared" si="3"/>
        <v>1</v>
      </c>
    </row>
    <row r="78" spans="1:8">
      <c r="A78" s="677">
        <v>37997</v>
      </c>
      <c r="B78" s="733" t="s">
        <v>8468</v>
      </c>
      <c r="C78" s="677" t="s">
        <v>1690</v>
      </c>
      <c r="D78" s="738">
        <f t="shared" si="2"/>
        <v>16.27</v>
      </c>
      <c r="F78" s="1405">
        <v>16.27</v>
      </c>
      <c r="G78" s="1405">
        <v>16.27</v>
      </c>
      <c r="H78" t="b">
        <f t="shared" si="3"/>
        <v>1</v>
      </c>
    </row>
    <row r="79" spans="1:8">
      <c r="A79" s="739">
        <v>37998</v>
      </c>
      <c r="B79" s="740" t="s">
        <v>8469</v>
      </c>
      <c r="C79" s="739" t="s">
        <v>1690</v>
      </c>
      <c r="D79" s="741">
        <f t="shared" si="2"/>
        <v>21.78</v>
      </c>
      <c r="F79" s="1406">
        <v>21.78</v>
      </c>
      <c r="G79" s="1406">
        <v>21.78</v>
      </c>
      <c r="H79" t="b">
        <f t="shared" si="3"/>
        <v>1</v>
      </c>
    </row>
    <row r="80" spans="1:8" ht="30">
      <c r="A80" s="677">
        <v>55</v>
      </c>
      <c r="B80" s="733" t="s">
        <v>8470</v>
      </c>
      <c r="C80" s="677" t="s">
        <v>1690</v>
      </c>
      <c r="D80" s="738">
        <f t="shared" si="2"/>
        <v>4.2</v>
      </c>
      <c r="F80" s="1405">
        <v>4.2</v>
      </c>
      <c r="G80" s="1405">
        <v>4.2</v>
      </c>
      <c r="H80" t="b">
        <f t="shared" si="3"/>
        <v>1</v>
      </c>
    </row>
    <row r="81" spans="1:8" ht="30">
      <c r="A81" s="739">
        <v>61</v>
      </c>
      <c r="B81" s="740" t="s">
        <v>8471</v>
      </c>
      <c r="C81" s="739" t="s">
        <v>1690</v>
      </c>
      <c r="D81" s="741">
        <f t="shared" si="2"/>
        <v>3.97</v>
      </c>
      <c r="F81" s="1406">
        <v>3.97</v>
      </c>
      <c r="G81" s="1406">
        <v>3.97</v>
      </c>
      <c r="H81" t="b">
        <f t="shared" si="3"/>
        <v>1</v>
      </c>
    </row>
    <row r="82" spans="1:8" ht="30">
      <c r="A82" s="677">
        <v>62</v>
      </c>
      <c r="B82" s="733" t="s">
        <v>8472</v>
      </c>
      <c r="C82" s="677" t="s">
        <v>1690</v>
      </c>
      <c r="D82" s="738">
        <f t="shared" si="2"/>
        <v>8.23</v>
      </c>
      <c r="F82" s="1405">
        <v>8.23</v>
      </c>
      <c r="G82" s="1405">
        <v>8.23</v>
      </c>
      <c r="H82" t="b">
        <f t="shared" si="3"/>
        <v>1</v>
      </c>
    </row>
    <row r="83" spans="1:8" ht="30">
      <c r="A83" s="739">
        <v>10899</v>
      </c>
      <c r="B83" s="740" t="s">
        <v>8473</v>
      </c>
      <c r="C83" s="739" t="s">
        <v>1690</v>
      </c>
      <c r="D83" s="741">
        <f t="shared" si="2"/>
        <v>81.040000000000006</v>
      </c>
      <c r="F83" s="1406">
        <v>81.040000000000006</v>
      </c>
      <c r="G83" s="1406">
        <v>81.040000000000006</v>
      </c>
      <c r="H83" t="b">
        <f t="shared" si="3"/>
        <v>1</v>
      </c>
    </row>
    <row r="84" spans="1:8" ht="30">
      <c r="A84" s="677">
        <v>10900</v>
      </c>
      <c r="B84" s="733" t="s">
        <v>8474</v>
      </c>
      <c r="C84" s="677" t="s">
        <v>1690</v>
      </c>
      <c r="D84" s="738">
        <f t="shared" si="2"/>
        <v>63.42</v>
      </c>
      <c r="F84" s="1405">
        <v>63.42</v>
      </c>
      <c r="G84" s="1405">
        <v>63.42</v>
      </c>
      <c r="H84" t="b">
        <f t="shared" si="3"/>
        <v>1</v>
      </c>
    </row>
    <row r="85" spans="1:8">
      <c r="A85" s="739">
        <v>103</v>
      </c>
      <c r="B85" s="740" t="s">
        <v>8475</v>
      </c>
      <c r="C85" s="739" t="s">
        <v>1690</v>
      </c>
      <c r="D85" s="741">
        <f t="shared" si="2"/>
        <v>41.14</v>
      </c>
      <c r="F85" s="1406">
        <v>41.14</v>
      </c>
      <c r="G85" s="1406">
        <v>41.14</v>
      </c>
      <c r="H85" t="b">
        <f t="shared" si="3"/>
        <v>1</v>
      </c>
    </row>
    <row r="86" spans="1:8">
      <c r="A86" s="677">
        <v>107</v>
      </c>
      <c r="B86" s="733" t="s">
        <v>8476</v>
      </c>
      <c r="C86" s="677" t="s">
        <v>1690</v>
      </c>
      <c r="D86" s="738">
        <f t="shared" si="2"/>
        <v>0.77</v>
      </c>
      <c r="F86" s="1405">
        <v>0.77</v>
      </c>
      <c r="G86" s="1405">
        <v>0.77</v>
      </c>
      <c r="H86" t="b">
        <f t="shared" si="3"/>
        <v>1</v>
      </c>
    </row>
    <row r="87" spans="1:8">
      <c r="A87" s="739">
        <v>65</v>
      </c>
      <c r="B87" s="740" t="s">
        <v>8477</v>
      </c>
      <c r="C87" s="739" t="s">
        <v>1690</v>
      </c>
      <c r="D87" s="741">
        <f t="shared" si="2"/>
        <v>0.85</v>
      </c>
      <c r="F87" s="1406">
        <v>0.85</v>
      </c>
      <c r="G87" s="1406">
        <v>0.85</v>
      </c>
      <c r="H87" t="b">
        <f t="shared" si="3"/>
        <v>1</v>
      </c>
    </row>
    <row r="88" spans="1:8">
      <c r="A88" s="677">
        <v>108</v>
      </c>
      <c r="B88" s="733" t="s">
        <v>8478</v>
      </c>
      <c r="C88" s="677" t="s">
        <v>1690</v>
      </c>
      <c r="D88" s="738">
        <f t="shared" si="2"/>
        <v>1.7</v>
      </c>
      <c r="F88" s="1405">
        <v>1.7</v>
      </c>
      <c r="G88" s="1405">
        <v>1.7</v>
      </c>
      <c r="H88" t="b">
        <f t="shared" si="3"/>
        <v>1</v>
      </c>
    </row>
    <row r="89" spans="1:8">
      <c r="A89" s="739">
        <v>110</v>
      </c>
      <c r="B89" s="740" t="s">
        <v>8479</v>
      </c>
      <c r="C89" s="739" t="s">
        <v>1690</v>
      </c>
      <c r="D89" s="741">
        <f t="shared" si="2"/>
        <v>5.92</v>
      </c>
      <c r="F89" s="1406">
        <v>5.92</v>
      </c>
      <c r="G89" s="1406">
        <v>5.92</v>
      </c>
      <c r="H89" t="b">
        <f t="shared" si="3"/>
        <v>1</v>
      </c>
    </row>
    <row r="90" spans="1:8">
      <c r="A90" s="677">
        <v>109</v>
      </c>
      <c r="B90" s="733" t="s">
        <v>8480</v>
      </c>
      <c r="C90" s="677" t="s">
        <v>1690</v>
      </c>
      <c r="D90" s="738">
        <f t="shared" si="2"/>
        <v>3.52</v>
      </c>
      <c r="F90" s="1405">
        <v>3.52</v>
      </c>
      <c r="G90" s="1405">
        <v>3.52</v>
      </c>
      <c r="H90" t="b">
        <f t="shared" si="3"/>
        <v>1</v>
      </c>
    </row>
    <row r="91" spans="1:8">
      <c r="A91" s="739">
        <v>111</v>
      </c>
      <c r="B91" s="740" t="s">
        <v>8481</v>
      </c>
      <c r="C91" s="739" t="s">
        <v>1690</v>
      </c>
      <c r="D91" s="741">
        <f t="shared" si="2"/>
        <v>8.01</v>
      </c>
      <c r="F91" s="1406">
        <v>8.01</v>
      </c>
      <c r="G91" s="1406">
        <v>8.01</v>
      </c>
      <c r="H91" t="b">
        <f t="shared" si="3"/>
        <v>1</v>
      </c>
    </row>
    <row r="92" spans="1:8">
      <c r="A92" s="677">
        <v>112</v>
      </c>
      <c r="B92" s="733" t="s">
        <v>8482</v>
      </c>
      <c r="C92" s="677" t="s">
        <v>1690</v>
      </c>
      <c r="D92" s="738">
        <f t="shared" si="2"/>
        <v>4.24</v>
      </c>
      <c r="F92" s="1405">
        <v>4.24</v>
      </c>
      <c r="G92" s="1405">
        <v>4.24</v>
      </c>
      <c r="H92" t="b">
        <f t="shared" si="3"/>
        <v>1</v>
      </c>
    </row>
    <row r="93" spans="1:8">
      <c r="A93" s="739">
        <v>113</v>
      </c>
      <c r="B93" s="740" t="s">
        <v>8483</v>
      </c>
      <c r="C93" s="739" t="s">
        <v>1690</v>
      </c>
      <c r="D93" s="741">
        <f t="shared" si="2"/>
        <v>10.62</v>
      </c>
      <c r="F93" s="1406">
        <v>10.62</v>
      </c>
      <c r="G93" s="1406">
        <v>10.62</v>
      </c>
      <c r="H93" t="b">
        <f t="shared" si="3"/>
        <v>1</v>
      </c>
    </row>
    <row r="94" spans="1:8">
      <c r="A94" s="677">
        <v>104</v>
      </c>
      <c r="B94" s="733" t="s">
        <v>8484</v>
      </c>
      <c r="C94" s="677" t="s">
        <v>1690</v>
      </c>
      <c r="D94" s="738">
        <f t="shared" si="2"/>
        <v>18.489999999999998</v>
      </c>
      <c r="F94" s="1405">
        <v>18.489999999999998</v>
      </c>
      <c r="G94" s="1405">
        <v>18.489999999999998</v>
      </c>
      <c r="H94" t="b">
        <f t="shared" si="3"/>
        <v>1</v>
      </c>
    </row>
    <row r="95" spans="1:8">
      <c r="A95" s="739">
        <v>102</v>
      </c>
      <c r="B95" s="740" t="s">
        <v>8485</v>
      </c>
      <c r="C95" s="739" t="s">
        <v>1690</v>
      </c>
      <c r="D95" s="741">
        <f t="shared" si="2"/>
        <v>25.49</v>
      </c>
      <c r="F95" s="1406">
        <v>25.49</v>
      </c>
      <c r="G95" s="1406">
        <v>25.49</v>
      </c>
      <c r="H95" t="b">
        <f t="shared" si="3"/>
        <v>1</v>
      </c>
    </row>
    <row r="96" spans="1:8">
      <c r="A96" s="677">
        <v>95</v>
      </c>
      <c r="B96" s="733" t="s">
        <v>8486</v>
      </c>
      <c r="C96" s="677" t="s">
        <v>1690</v>
      </c>
      <c r="D96" s="738">
        <f t="shared" si="2"/>
        <v>10.77</v>
      </c>
      <c r="F96" s="1405">
        <v>10.77</v>
      </c>
      <c r="G96" s="1405">
        <v>10.77</v>
      </c>
      <c r="H96" t="b">
        <f t="shared" si="3"/>
        <v>1</v>
      </c>
    </row>
    <row r="97" spans="1:8">
      <c r="A97" s="739">
        <v>96</v>
      </c>
      <c r="B97" s="740" t="s">
        <v>8487</v>
      </c>
      <c r="C97" s="739" t="s">
        <v>1690</v>
      </c>
      <c r="D97" s="741">
        <f t="shared" si="2"/>
        <v>11.72</v>
      </c>
      <c r="F97" s="1406">
        <v>11.72</v>
      </c>
      <c r="G97" s="1406">
        <v>11.72</v>
      </c>
      <c r="H97" t="b">
        <f t="shared" si="3"/>
        <v>1</v>
      </c>
    </row>
    <row r="98" spans="1:8">
      <c r="A98" s="677">
        <v>97</v>
      </c>
      <c r="B98" s="733" t="s">
        <v>8488</v>
      </c>
      <c r="C98" s="677" t="s">
        <v>1690</v>
      </c>
      <c r="D98" s="738">
        <f t="shared" si="2"/>
        <v>17.63</v>
      </c>
      <c r="F98" s="1405">
        <v>17.63</v>
      </c>
      <c r="G98" s="1405">
        <v>17.63</v>
      </c>
      <c r="H98" t="b">
        <f t="shared" si="3"/>
        <v>1</v>
      </c>
    </row>
    <row r="99" spans="1:8">
      <c r="A99" s="739">
        <v>98</v>
      </c>
      <c r="B99" s="740" t="s">
        <v>8489</v>
      </c>
      <c r="C99" s="739" t="s">
        <v>1690</v>
      </c>
      <c r="D99" s="741">
        <f t="shared" si="2"/>
        <v>26.39</v>
      </c>
      <c r="F99" s="1406">
        <v>26.39</v>
      </c>
      <c r="G99" s="1406">
        <v>26.39</v>
      </c>
      <c r="H99" t="b">
        <f t="shared" si="3"/>
        <v>1</v>
      </c>
    </row>
    <row r="100" spans="1:8">
      <c r="A100" s="677">
        <v>99</v>
      </c>
      <c r="B100" s="733" t="s">
        <v>8490</v>
      </c>
      <c r="C100" s="677" t="s">
        <v>1690</v>
      </c>
      <c r="D100" s="738">
        <f t="shared" si="2"/>
        <v>24.94</v>
      </c>
      <c r="F100" s="1405">
        <v>24.94</v>
      </c>
      <c r="G100" s="1405">
        <v>24.94</v>
      </c>
      <c r="H100" t="b">
        <f t="shared" si="3"/>
        <v>1</v>
      </c>
    </row>
    <row r="101" spans="1:8">
      <c r="A101" s="739">
        <v>100</v>
      </c>
      <c r="B101" s="740" t="s">
        <v>8491</v>
      </c>
      <c r="C101" s="739" t="s">
        <v>1690</v>
      </c>
      <c r="D101" s="741">
        <f t="shared" si="2"/>
        <v>43.58</v>
      </c>
      <c r="F101" s="1406">
        <v>43.58</v>
      </c>
      <c r="G101" s="1406">
        <v>43.58</v>
      </c>
      <c r="H101" t="b">
        <f t="shared" si="3"/>
        <v>1</v>
      </c>
    </row>
    <row r="102" spans="1:8">
      <c r="A102" s="677">
        <v>75</v>
      </c>
      <c r="B102" s="733" t="s">
        <v>8492</v>
      </c>
      <c r="C102" s="677" t="s">
        <v>1690</v>
      </c>
      <c r="D102" s="738">
        <f t="shared" si="2"/>
        <v>254.06</v>
      </c>
      <c r="F102" s="1405">
        <v>254.06</v>
      </c>
      <c r="G102" s="1405">
        <v>254.06</v>
      </c>
      <c r="H102" t="b">
        <f t="shared" si="3"/>
        <v>1</v>
      </c>
    </row>
    <row r="103" spans="1:8">
      <c r="A103" s="739">
        <v>83</v>
      </c>
      <c r="B103" s="740" t="s">
        <v>8493</v>
      </c>
      <c r="C103" s="739" t="s">
        <v>1690</v>
      </c>
      <c r="D103" s="741">
        <f t="shared" si="2"/>
        <v>203.12</v>
      </c>
      <c r="F103" s="1406">
        <v>203.12</v>
      </c>
      <c r="G103" s="1406">
        <v>203.12</v>
      </c>
      <c r="H103" t="b">
        <f t="shared" si="3"/>
        <v>1</v>
      </c>
    </row>
    <row r="104" spans="1:8">
      <c r="A104" s="677">
        <v>74</v>
      </c>
      <c r="B104" s="733" t="s">
        <v>8494</v>
      </c>
      <c r="C104" s="677" t="s">
        <v>1690</v>
      </c>
      <c r="D104" s="738">
        <f t="shared" si="2"/>
        <v>290.39999999999998</v>
      </c>
      <c r="F104" s="1405">
        <v>290.39999999999998</v>
      </c>
      <c r="G104" s="1405">
        <v>290.39999999999998</v>
      </c>
      <c r="H104" t="b">
        <f t="shared" si="3"/>
        <v>1</v>
      </c>
    </row>
    <row r="105" spans="1:8">
      <c r="A105" s="739">
        <v>106</v>
      </c>
      <c r="B105" s="740" t="s">
        <v>8495</v>
      </c>
      <c r="C105" s="739" t="s">
        <v>1690</v>
      </c>
      <c r="D105" s="741">
        <f t="shared" si="2"/>
        <v>367.22</v>
      </c>
      <c r="F105" s="1406">
        <v>367.22</v>
      </c>
      <c r="G105" s="1406">
        <v>367.22</v>
      </c>
      <c r="H105" t="b">
        <f t="shared" si="3"/>
        <v>1</v>
      </c>
    </row>
    <row r="106" spans="1:8">
      <c r="A106" s="677">
        <v>88</v>
      </c>
      <c r="B106" s="733" t="s">
        <v>8496</v>
      </c>
      <c r="C106" s="677" t="s">
        <v>1690</v>
      </c>
      <c r="D106" s="738">
        <f t="shared" si="2"/>
        <v>10.32</v>
      </c>
      <c r="F106" s="1405">
        <v>10.32</v>
      </c>
      <c r="G106" s="1405">
        <v>10.32</v>
      </c>
      <c r="H106" t="b">
        <f t="shared" si="3"/>
        <v>1</v>
      </c>
    </row>
    <row r="107" spans="1:8">
      <c r="A107" s="739">
        <v>82</v>
      </c>
      <c r="B107" s="740" t="s">
        <v>8497</v>
      </c>
      <c r="C107" s="739" t="s">
        <v>1690</v>
      </c>
      <c r="D107" s="741">
        <f t="shared" si="2"/>
        <v>193.25</v>
      </c>
      <c r="F107" s="1406">
        <v>193.25</v>
      </c>
      <c r="G107" s="1406">
        <v>193.25</v>
      </c>
      <c r="H107" t="b">
        <f t="shared" si="3"/>
        <v>1</v>
      </c>
    </row>
    <row r="108" spans="1:8">
      <c r="A108" s="677">
        <v>105</v>
      </c>
      <c r="B108" s="733" t="s">
        <v>8498</v>
      </c>
      <c r="C108" s="677" t="s">
        <v>1690</v>
      </c>
      <c r="D108" s="738">
        <f t="shared" si="2"/>
        <v>273.83</v>
      </c>
      <c r="F108" s="1405">
        <v>273.83</v>
      </c>
      <c r="G108" s="1405">
        <v>273.83</v>
      </c>
      <c r="H108" t="b">
        <f t="shared" si="3"/>
        <v>1</v>
      </c>
    </row>
    <row r="109" spans="1:8">
      <c r="A109" s="739">
        <v>60</v>
      </c>
      <c r="B109" s="740" t="s">
        <v>8499</v>
      </c>
      <c r="C109" s="739" t="s">
        <v>1690</v>
      </c>
      <c r="D109" s="741">
        <f t="shared" si="2"/>
        <v>5.45</v>
      </c>
      <c r="F109" s="1406">
        <v>5.45</v>
      </c>
      <c r="G109" s="1406">
        <v>5.45</v>
      </c>
      <c r="H109" t="b">
        <f t="shared" si="3"/>
        <v>1</v>
      </c>
    </row>
    <row r="110" spans="1:8">
      <c r="A110" s="677">
        <v>72</v>
      </c>
      <c r="B110" s="733" t="s">
        <v>8500</v>
      </c>
      <c r="C110" s="677" t="s">
        <v>1690</v>
      </c>
      <c r="D110" s="738">
        <f t="shared" si="2"/>
        <v>47.83</v>
      </c>
      <c r="F110" s="1405">
        <v>47.83</v>
      </c>
      <c r="G110" s="1405">
        <v>47.83</v>
      </c>
      <c r="H110" t="b">
        <f t="shared" si="3"/>
        <v>1</v>
      </c>
    </row>
    <row r="111" spans="1:8">
      <c r="A111" s="739">
        <v>67</v>
      </c>
      <c r="B111" s="740" t="s">
        <v>8501</v>
      </c>
      <c r="C111" s="739" t="s">
        <v>1690</v>
      </c>
      <c r="D111" s="741">
        <f t="shared" si="2"/>
        <v>15.46</v>
      </c>
      <c r="F111" s="1406">
        <v>15.46</v>
      </c>
      <c r="G111" s="1406">
        <v>15.46</v>
      </c>
      <c r="H111" t="b">
        <f t="shared" si="3"/>
        <v>1</v>
      </c>
    </row>
    <row r="112" spans="1:8">
      <c r="A112" s="677">
        <v>71</v>
      </c>
      <c r="B112" s="733" t="s">
        <v>8502</v>
      </c>
      <c r="C112" s="677" t="s">
        <v>1690</v>
      </c>
      <c r="D112" s="738">
        <f t="shared" si="2"/>
        <v>29.54</v>
      </c>
      <c r="F112" s="1405">
        <v>29.54</v>
      </c>
      <c r="G112" s="1405">
        <v>29.54</v>
      </c>
      <c r="H112" t="b">
        <f t="shared" si="3"/>
        <v>1</v>
      </c>
    </row>
    <row r="113" spans="1:8">
      <c r="A113" s="739">
        <v>73</v>
      </c>
      <c r="B113" s="740" t="s">
        <v>8503</v>
      </c>
      <c r="C113" s="739" t="s">
        <v>1690</v>
      </c>
      <c r="D113" s="741">
        <f t="shared" si="2"/>
        <v>14.8</v>
      </c>
      <c r="F113" s="1406">
        <v>14.8</v>
      </c>
      <c r="G113" s="1406">
        <v>14.8</v>
      </c>
      <c r="H113" t="b">
        <f t="shared" si="3"/>
        <v>1</v>
      </c>
    </row>
    <row r="114" spans="1:8">
      <c r="A114" s="677">
        <v>46</v>
      </c>
      <c r="B114" s="733" t="s">
        <v>8504</v>
      </c>
      <c r="C114" s="677" t="s">
        <v>1690</v>
      </c>
      <c r="D114" s="738">
        <f t="shared" si="2"/>
        <v>38.06</v>
      </c>
      <c r="F114" s="1405">
        <v>38.06</v>
      </c>
      <c r="G114" s="1405">
        <v>38.06</v>
      </c>
      <c r="H114" t="b">
        <f t="shared" si="3"/>
        <v>1</v>
      </c>
    </row>
    <row r="115" spans="1:8">
      <c r="A115" s="739">
        <v>47</v>
      </c>
      <c r="B115" s="740" t="s">
        <v>8505</v>
      </c>
      <c r="C115" s="739" t="s">
        <v>1690</v>
      </c>
      <c r="D115" s="741">
        <f t="shared" si="2"/>
        <v>65.069999999999993</v>
      </c>
      <c r="F115" s="1406">
        <v>65.069999999999993</v>
      </c>
      <c r="G115" s="1406">
        <v>65.069999999999993</v>
      </c>
      <c r="H115" t="b">
        <f t="shared" si="3"/>
        <v>1</v>
      </c>
    </row>
    <row r="116" spans="1:8">
      <c r="A116" s="677">
        <v>48</v>
      </c>
      <c r="B116" s="733" t="s">
        <v>8506</v>
      </c>
      <c r="C116" s="677" t="s">
        <v>1690</v>
      </c>
      <c r="D116" s="738">
        <f t="shared" si="2"/>
        <v>16.97</v>
      </c>
      <c r="F116" s="1405">
        <v>16.97</v>
      </c>
      <c r="G116" s="1405">
        <v>16.97</v>
      </c>
      <c r="H116" t="b">
        <f t="shared" si="3"/>
        <v>1</v>
      </c>
    </row>
    <row r="117" spans="1:8">
      <c r="A117" s="739">
        <v>52</v>
      </c>
      <c r="B117" s="740" t="s">
        <v>8507</v>
      </c>
      <c r="C117" s="739" t="s">
        <v>1690</v>
      </c>
      <c r="D117" s="741">
        <f t="shared" si="2"/>
        <v>12.89</v>
      </c>
      <c r="F117" s="1406">
        <v>12.89</v>
      </c>
      <c r="G117" s="1406">
        <v>12.89</v>
      </c>
      <c r="H117" t="b">
        <f t="shared" si="3"/>
        <v>1</v>
      </c>
    </row>
    <row r="118" spans="1:8">
      <c r="A118" s="677">
        <v>43</v>
      </c>
      <c r="B118" s="733" t="s">
        <v>8508</v>
      </c>
      <c r="C118" s="677" t="s">
        <v>1690</v>
      </c>
      <c r="D118" s="738">
        <f t="shared" si="2"/>
        <v>43.52</v>
      </c>
      <c r="F118" s="1405">
        <v>43.52</v>
      </c>
      <c r="G118" s="1405">
        <v>43.52</v>
      </c>
      <c r="H118" t="b">
        <f t="shared" si="3"/>
        <v>1</v>
      </c>
    </row>
    <row r="119" spans="1:8">
      <c r="A119" s="739">
        <v>39719</v>
      </c>
      <c r="B119" s="740" t="s">
        <v>8509</v>
      </c>
      <c r="C119" s="739" t="s">
        <v>1695</v>
      </c>
      <c r="D119" s="741">
        <f t="shared" si="2"/>
        <v>199.75</v>
      </c>
      <c r="F119" s="1406">
        <v>199.75</v>
      </c>
      <c r="G119" s="1406">
        <v>199.75</v>
      </c>
      <c r="H119" t="b">
        <f t="shared" si="3"/>
        <v>1</v>
      </c>
    </row>
    <row r="120" spans="1:8">
      <c r="A120" s="677">
        <v>3410</v>
      </c>
      <c r="B120" s="733" t="s">
        <v>8510</v>
      </c>
      <c r="C120" s="677" t="s">
        <v>1694</v>
      </c>
      <c r="D120" s="738">
        <f t="shared" si="2"/>
        <v>44.93</v>
      </c>
      <c r="F120" s="1405">
        <v>44.93</v>
      </c>
      <c r="G120" s="1405">
        <v>44.93</v>
      </c>
      <c r="H120" t="b">
        <f t="shared" si="3"/>
        <v>1</v>
      </c>
    </row>
    <row r="121" spans="1:8">
      <c r="A121" s="739">
        <v>4791</v>
      </c>
      <c r="B121" s="740" t="s">
        <v>8511</v>
      </c>
      <c r="C121" s="739" t="s">
        <v>1694</v>
      </c>
      <c r="D121" s="741">
        <f t="shared" si="2"/>
        <v>25.16</v>
      </c>
      <c r="F121" s="1406">
        <v>25.16</v>
      </c>
      <c r="G121" s="1406">
        <v>25.16</v>
      </c>
      <c r="H121" t="b">
        <f t="shared" si="3"/>
        <v>1</v>
      </c>
    </row>
    <row r="122" spans="1:8">
      <c r="A122" s="677">
        <v>157</v>
      </c>
      <c r="B122" s="733" t="s">
        <v>8512</v>
      </c>
      <c r="C122" s="677" t="s">
        <v>1694</v>
      </c>
      <c r="D122" s="738">
        <f t="shared" si="2"/>
        <v>151.33000000000001</v>
      </c>
      <c r="F122" s="1405">
        <v>151.33000000000001</v>
      </c>
      <c r="G122" s="1405">
        <v>151.33000000000001</v>
      </c>
      <c r="H122" t="b">
        <f t="shared" si="3"/>
        <v>1</v>
      </c>
    </row>
    <row r="123" spans="1:8">
      <c r="A123" s="739">
        <v>156</v>
      </c>
      <c r="B123" s="740" t="s">
        <v>8513</v>
      </c>
      <c r="C123" s="739" t="s">
        <v>1694</v>
      </c>
      <c r="D123" s="741">
        <f t="shared" si="2"/>
        <v>53.88</v>
      </c>
      <c r="F123" s="1406">
        <v>53.88</v>
      </c>
      <c r="G123" s="1406">
        <v>53.88</v>
      </c>
      <c r="H123" t="b">
        <f t="shared" si="3"/>
        <v>1</v>
      </c>
    </row>
    <row r="124" spans="1:8">
      <c r="A124" s="677">
        <v>131</v>
      </c>
      <c r="B124" s="733" t="s">
        <v>8514</v>
      </c>
      <c r="C124" s="677" t="s">
        <v>1694</v>
      </c>
      <c r="D124" s="738">
        <f t="shared" si="2"/>
        <v>46.08</v>
      </c>
      <c r="F124" s="1405">
        <v>46.08</v>
      </c>
      <c r="G124" s="1405">
        <v>46.08</v>
      </c>
      <c r="H124" t="b">
        <f t="shared" si="3"/>
        <v>1</v>
      </c>
    </row>
    <row r="125" spans="1:8">
      <c r="A125" s="739">
        <v>21114</v>
      </c>
      <c r="B125" s="740" t="s">
        <v>8515</v>
      </c>
      <c r="C125" s="739" t="s">
        <v>1690</v>
      </c>
      <c r="D125" s="741">
        <f t="shared" si="2"/>
        <v>39.369999999999997</v>
      </c>
      <c r="F125" s="1406">
        <v>39.369999999999997</v>
      </c>
      <c r="G125" s="1406">
        <v>39.369999999999997</v>
      </c>
      <c r="H125" t="b">
        <f t="shared" si="3"/>
        <v>1</v>
      </c>
    </row>
    <row r="126" spans="1:8">
      <c r="A126" s="677">
        <v>119</v>
      </c>
      <c r="B126" s="733" t="s">
        <v>8516</v>
      </c>
      <c r="C126" s="677" t="s">
        <v>1690</v>
      </c>
      <c r="D126" s="738">
        <f t="shared" si="2"/>
        <v>9.98</v>
      </c>
      <c r="F126" s="1405">
        <v>9.98</v>
      </c>
      <c r="G126" s="1405">
        <v>9.98</v>
      </c>
      <c r="H126" t="b">
        <f t="shared" si="3"/>
        <v>1</v>
      </c>
    </row>
    <row r="127" spans="1:8">
      <c r="A127" s="739">
        <v>122</v>
      </c>
      <c r="B127" s="740" t="s">
        <v>8517</v>
      </c>
      <c r="C127" s="739" t="s">
        <v>1690</v>
      </c>
      <c r="D127" s="741">
        <f t="shared" si="2"/>
        <v>76.790000000000006</v>
      </c>
      <c r="F127" s="1406">
        <v>76.790000000000006</v>
      </c>
      <c r="G127" s="1406">
        <v>76.790000000000006</v>
      </c>
      <c r="H127" t="b">
        <f t="shared" si="3"/>
        <v>1</v>
      </c>
    </row>
    <row r="128" spans="1:8">
      <c r="A128" s="677">
        <v>20080</v>
      </c>
      <c r="B128" s="733" t="s">
        <v>8518</v>
      </c>
      <c r="C128" s="677" t="s">
        <v>1690</v>
      </c>
      <c r="D128" s="738">
        <f t="shared" si="2"/>
        <v>25.06</v>
      </c>
      <c r="F128" s="1405">
        <v>25.06</v>
      </c>
      <c r="G128" s="1405">
        <v>25.06</v>
      </c>
      <c r="H128" t="b">
        <f t="shared" si="3"/>
        <v>1</v>
      </c>
    </row>
    <row r="129" spans="1:8">
      <c r="A129" s="739">
        <v>124</v>
      </c>
      <c r="B129" s="740" t="s">
        <v>8519</v>
      </c>
      <c r="C129" s="739" t="s">
        <v>1695</v>
      </c>
      <c r="D129" s="741">
        <f t="shared" si="2"/>
        <v>17.77</v>
      </c>
      <c r="F129" s="1406">
        <v>17.77</v>
      </c>
      <c r="G129" s="1406">
        <v>17.77</v>
      </c>
      <c r="H129" t="b">
        <f t="shared" si="3"/>
        <v>1</v>
      </c>
    </row>
    <row r="130" spans="1:8">
      <c r="A130" s="677">
        <v>7334</v>
      </c>
      <c r="B130" s="733" t="s">
        <v>8520</v>
      </c>
      <c r="C130" s="677" t="s">
        <v>1695</v>
      </c>
      <c r="D130" s="738">
        <f t="shared" si="2"/>
        <v>17.850000000000001</v>
      </c>
      <c r="F130" s="1405">
        <v>17.850000000000001</v>
      </c>
      <c r="G130" s="1405">
        <v>17.850000000000001</v>
      </c>
      <c r="H130" t="b">
        <f t="shared" si="3"/>
        <v>1</v>
      </c>
    </row>
    <row r="131" spans="1:8">
      <c r="A131" s="739">
        <v>45146</v>
      </c>
      <c r="B131" s="740" t="s">
        <v>14626</v>
      </c>
      <c r="C131" s="739" t="s">
        <v>1694</v>
      </c>
      <c r="D131" s="741">
        <f t="shared" ref="D131:D194" si="4">IF($J$2=$F$1,F131,G131)</f>
        <v>34.07</v>
      </c>
      <c r="F131" s="1406">
        <v>34.07</v>
      </c>
      <c r="G131" s="1406">
        <v>34.07</v>
      </c>
      <c r="H131" t="b">
        <f t="shared" ref="H131:H194" si="5">F131=G131</f>
        <v>1</v>
      </c>
    </row>
    <row r="132" spans="1:8">
      <c r="A132" s="677">
        <v>123</v>
      </c>
      <c r="B132" s="733" t="s">
        <v>8521</v>
      </c>
      <c r="C132" s="677" t="s">
        <v>1695</v>
      </c>
      <c r="D132" s="738">
        <f t="shared" si="4"/>
        <v>7.27</v>
      </c>
      <c r="F132" s="1405">
        <v>7.27</v>
      </c>
      <c r="G132" s="1405">
        <v>7.27</v>
      </c>
      <c r="H132" t="b">
        <f t="shared" si="5"/>
        <v>1</v>
      </c>
    </row>
    <row r="133" spans="1:8">
      <c r="A133" s="739">
        <v>127</v>
      </c>
      <c r="B133" s="740" t="s">
        <v>8522</v>
      </c>
      <c r="C133" s="739" t="s">
        <v>1695</v>
      </c>
      <c r="D133" s="741">
        <f t="shared" si="4"/>
        <v>17.350000000000001</v>
      </c>
      <c r="F133" s="1406">
        <v>17.350000000000001</v>
      </c>
      <c r="G133" s="1406">
        <v>17.350000000000001</v>
      </c>
      <c r="H133" t="b">
        <f t="shared" si="5"/>
        <v>1</v>
      </c>
    </row>
    <row r="134" spans="1:8">
      <c r="A134" s="677">
        <v>133</v>
      </c>
      <c r="B134" s="733" t="s">
        <v>8523</v>
      </c>
      <c r="C134" s="677" t="s">
        <v>1695</v>
      </c>
      <c r="D134" s="738">
        <f t="shared" si="4"/>
        <v>7.21</v>
      </c>
      <c r="F134" s="1405">
        <v>7.21</v>
      </c>
      <c r="G134" s="1405">
        <v>7.21</v>
      </c>
      <c r="H134" t="b">
        <f t="shared" si="5"/>
        <v>1</v>
      </c>
    </row>
    <row r="135" spans="1:8">
      <c r="A135" s="739">
        <v>43617</v>
      </c>
      <c r="B135" s="740" t="s">
        <v>8524</v>
      </c>
      <c r="C135" s="739" t="s">
        <v>1695</v>
      </c>
      <c r="D135" s="741">
        <f t="shared" si="4"/>
        <v>8.0500000000000007</v>
      </c>
      <c r="F135" s="1406">
        <v>8.0500000000000007</v>
      </c>
      <c r="G135" s="1406">
        <v>8.0500000000000007</v>
      </c>
      <c r="H135" t="b">
        <f t="shared" si="5"/>
        <v>1</v>
      </c>
    </row>
    <row r="136" spans="1:8">
      <c r="A136" s="677">
        <v>132</v>
      </c>
      <c r="B136" s="733" t="s">
        <v>8525</v>
      </c>
      <c r="C136" s="677" t="s">
        <v>1695</v>
      </c>
      <c r="D136" s="738">
        <f t="shared" si="4"/>
        <v>7.47</v>
      </c>
      <c r="F136" s="1405">
        <v>7.47</v>
      </c>
      <c r="G136" s="1405">
        <v>7.47</v>
      </c>
      <c r="H136" t="b">
        <f t="shared" si="5"/>
        <v>1</v>
      </c>
    </row>
    <row r="137" spans="1:8">
      <c r="A137" s="739">
        <v>43618</v>
      </c>
      <c r="B137" s="740" t="s">
        <v>8526</v>
      </c>
      <c r="C137" s="739" t="s">
        <v>1694</v>
      </c>
      <c r="D137" s="741">
        <f t="shared" si="4"/>
        <v>18.809999999999999</v>
      </c>
      <c r="F137" s="1406">
        <v>18.809999999999999</v>
      </c>
      <c r="G137" s="1406">
        <v>18.809999999999999</v>
      </c>
      <c r="H137" t="b">
        <f t="shared" si="5"/>
        <v>1</v>
      </c>
    </row>
    <row r="138" spans="1:8" ht="30">
      <c r="A138" s="677">
        <v>37476</v>
      </c>
      <c r="B138" s="733" t="s">
        <v>8527</v>
      </c>
      <c r="C138" s="677" t="s">
        <v>1690</v>
      </c>
      <c r="D138" s="738">
        <f t="shared" si="4"/>
        <v>4070.97</v>
      </c>
      <c r="F138" s="1405">
        <v>4070.97</v>
      </c>
      <c r="G138" s="1405">
        <v>4070.97</v>
      </c>
      <c r="H138" t="b">
        <f t="shared" si="5"/>
        <v>1</v>
      </c>
    </row>
    <row r="139" spans="1:8" ht="30">
      <c r="A139" s="739">
        <v>37478</v>
      </c>
      <c r="B139" s="740" t="s">
        <v>8528</v>
      </c>
      <c r="C139" s="739" t="s">
        <v>1690</v>
      </c>
      <c r="D139" s="741">
        <f t="shared" si="4"/>
        <v>5099</v>
      </c>
      <c r="F139" s="1406">
        <v>5099</v>
      </c>
      <c r="G139" s="1406">
        <v>5099</v>
      </c>
      <c r="H139" t="b">
        <f t="shared" si="5"/>
        <v>1</v>
      </c>
    </row>
    <row r="140" spans="1:8" ht="30">
      <c r="A140" s="677">
        <v>37477</v>
      </c>
      <c r="B140" s="733" t="s">
        <v>8529</v>
      </c>
      <c r="C140" s="677" t="s">
        <v>1690</v>
      </c>
      <c r="D140" s="738">
        <f t="shared" si="4"/>
        <v>6908.32</v>
      </c>
      <c r="F140" s="1405">
        <v>6908.32</v>
      </c>
      <c r="G140" s="1405">
        <v>6908.32</v>
      </c>
      <c r="H140" t="b">
        <f t="shared" si="5"/>
        <v>1</v>
      </c>
    </row>
    <row r="141" spans="1:8" ht="30">
      <c r="A141" s="739">
        <v>37479</v>
      </c>
      <c r="B141" s="740" t="s">
        <v>8530</v>
      </c>
      <c r="C141" s="739" t="s">
        <v>1690</v>
      </c>
      <c r="D141" s="741">
        <f t="shared" si="4"/>
        <v>8193.36</v>
      </c>
      <c r="F141" s="1406">
        <v>8193.36</v>
      </c>
      <c r="G141" s="1406">
        <v>8193.36</v>
      </c>
      <c r="H141" t="b">
        <f t="shared" si="5"/>
        <v>1</v>
      </c>
    </row>
    <row r="142" spans="1:8">
      <c r="A142" s="677">
        <v>4319</v>
      </c>
      <c r="B142" s="733" t="s">
        <v>8531</v>
      </c>
      <c r="C142" s="677" t="s">
        <v>1690</v>
      </c>
      <c r="D142" s="738">
        <f t="shared" si="4"/>
        <v>1.73</v>
      </c>
      <c r="F142" s="1405">
        <v>1.73</v>
      </c>
      <c r="G142" s="1405">
        <v>1.73</v>
      </c>
      <c r="H142" t="b">
        <f t="shared" si="5"/>
        <v>1</v>
      </c>
    </row>
    <row r="143" spans="1:8">
      <c r="A143" s="739">
        <v>42409</v>
      </c>
      <c r="B143" s="740" t="s">
        <v>8532</v>
      </c>
      <c r="C143" s="739" t="s">
        <v>1694</v>
      </c>
      <c r="D143" s="741">
        <f t="shared" si="4"/>
        <v>11.84</v>
      </c>
      <c r="F143" s="1406">
        <v>11.84</v>
      </c>
      <c r="G143" s="1406">
        <v>11.84</v>
      </c>
      <c r="H143" t="b">
        <f t="shared" si="5"/>
        <v>1</v>
      </c>
    </row>
    <row r="144" spans="1:8">
      <c r="A144" s="677">
        <v>40553</v>
      </c>
      <c r="B144" s="733" t="s">
        <v>8533</v>
      </c>
      <c r="C144" s="677" t="s">
        <v>1691</v>
      </c>
      <c r="D144" s="738">
        <f t="shared" si="4"/>
        <v>60</v>
      </c>
      <c r="F144" s="1405">
        <v>60</v>
      </c>
      <c r="G144" s="1405">
        <v>60</v>
      </c>
      <c r="H144" t="b">
        <f t="shared" si="5"/>
        <v>1</v>
      </c>
    </row>
    <row r="145" spans="1:8">
      <c r="A145" s="739">
        <v>6114</v>
      </c>
      <c r="B145" s="740" t="s">
        <v>8534</v>
      </c>
      <c r="C145" s="739" t="s">
        <v>1689</v>
      </c>
      <c r="D145" s="741">
        <f t="shared" si="4"/>
        <v>15.94</v>
      </c>
      <c r="F145" s="1406">
        <v>13.85</v>
      </c>
      <c r="G145" s="1406">
        <v>15.94</v>
      </c>
      <c r="H145" t="b">
        <f t="shared" si="5"/>
        <v>0</v>
      </c>
    </row>
    <row r="146" spans="1:8">
      <c r="A146" s="677">
        <v>40912</v>
      </c>
      <c r="B146" s="733" t="s">
        <v>8535</v>
      </c>
      <c r="C146" s="677" t="s">
        <v>1696</v>
      </c>
      <c r="D146" s="738">
        <f t="shared" si="4"/>
        <v>2806.93</v>
      </c>
      <c r="F146" s="1405">
        <v>2434.4299999999998</v>
      </c>
      <c r="G146" s="1405">
        <v>2806.93</v>
      </c>
      <c r="H146" t="b">
        <f t="shared" si="5"/>
        <v>0</v>
      </c>
    </row>
    <row r="147" spans="1:8">
      <c r="A147" s="739">
        <v>247</v>
      </c>
      <c r="B147" s="740" t="s">
        <v>8536</v>
      </c>
      <c r="C147" s="739" t="s">
        <v>1689</v>
      </c>
      <c r="D147" s="741">
        <f t="shared" si="4"/>
        <v>15.94</v>
      </c>
      <c r="F147" s="1406">
        <v>13.85</v>
      </c>
      <c r="G147" s="1406">
        <v>15.94</v>
      </c>
      <c r="H147" t="b">
        <f t="shared" si="5"/>
        <v>0</v>
      </c>
    </row>
    <row r="148" spans="1:8">
      <c r="A148" s="677">
        <v>40919</v>
      </c>
      <c r="B148" s="733" t="s">
        <v>8537</v>
      </c>
      <c r="C148" s="677" t="s">
        <v>1696</v>
      </c>
      <c r="D148" s="738">
        <f t="shared" si="4"/>
        <v>2806.93</v>
      </c>
      <c r="F148" s="1405">
        <v>2434.4299999999998</v>
      </c>
      <c r="G148" s="1405">
        <v>2806.93</v>
      </c>
      <c r="H148" t="b">
        <f t="shared" si="5"/>
        <v>0</v>
      </c>
    </row>
    <row r="149" spans="1:8">
      <c r="A149" s="739">
        <v>44499</v>
      </c>
      <c r="B149" s="740" t="s">
        <v>8538</v>
      </c>
      <c r="C149" s="739" t="s">
        <v>1689</v>
      </c>
      <c r="D149" s="741">
        <f t="shared" si="4"/>
        <v>15.94</v>
      </c>
      <c r="F149" s="1406">
        <v>13.85</v>
      </c>
      <c r="G149" s="1406">
        <v>15.94</v>
      </c>
      <c r="H149" t="b">
        <f t="shared" si="5"/>
        <v>0</v>
      </c>
    </row>
    <row r="150" spans="1:8">
      <c r="A150" s="677">
        <v>40984</v>
      </c>
      <c r="B150" s="733" t="s">
        <v>8539</v>
      </c>
      <c r="C150" s="677" t="s">
        <v>1696</v>
      </c>
      <c r="D150" s="738">
        <f t="shared" si="4"/>
        <v>2806.93</v>
      </c>
      <c r="F150" s="1405">
        <v>2434.4299999999998</v>
      </c>
      <c r="G150" s="1405">
        <v>2806.93</v>
      </c>
      <c r="H150" t="b">
        <f t="shared" si="5"/>
        <v>0</v>
      </c>
    </row>
    <row r="151" spans="1:8">
      <c r="A151" s="739">
        <v>248</v>
      </c>
      <c r="B151" s="740" t="s">
        <v>8540</v>
      </c>
      <c r="C151" s="739" t="s">
        <v>1689</v>
      </c>
      <c r="D151" s="741">
        <f t="shared" si="4"/>
        <v>15.78</v>
      </c>
      <c r="F151" s="1406">
        <v>13.7</v>
      </c>
      <c r="G151" s="1406">
        <v>15.78</v>
      </c>
      <c r="H151" t="b">
        <f t="shared" si="5"/>
        <v>0</v>
      </c>
    </row>
    <row r="152" spans="1:8">
      <c r="A152" s="677">
        <v>41086</v>
      </c>
      <c r="B152" s="733" t="s">
        <v>8541</v>
      </c>
      <c r="C152" s="677" t="s">
        <v>1696</v>
      </c>
      <c r="D152" s="738">
        <f t="shared" si="4"/>
        <v>2777.89</v>
      </c>
      <c r="F152" s="1405">
        <v>2409.2399999999998</v>
      </c>
      <c r="G152" s="1405">
        <v>2777.89</v>
      </c>
      <c r="H152" t="b">
        <f t="shared" si="5"/>
        <v>0</v>
      </c>
    </row>
    <row r="153" spans="1:8">
      <c r="A153" s="739">
        <v>34466</v>
      </c>
      <c r="B153" s="740" t="s">
        <v>8542</v>
      </c>
      <c r="C153" s="739" t="s">
        <v>1689</v>
      </c>
      <c r="D153" s="741">
        <f t="shared" si="4"/>
        <v>19.79</v>
      </c>
      <c r="F153" s="1406">
        <v>17.190000000000001</v>
      </c>
      <c r="G153" s="1406">
        <v>19.79</v>
      </c>
      <c r="H153" t="b">
        <f t="shared" si="5"/>
        <v>0</v>
      </c>
    </row>
    <row r="154" spans="1:8">
      <c r="A154" s="677">
        <v>41083</v>
      </c>
      <c r="B154" s="733" t="s">
        <v>8543</v>
      </c>
      <c r="C154" s="677" t="s">
        <v>1696</v>
      </c>
      <c r="D154" s="738">
        <f t="shared" si="4"/>
        <v>3483.86</v>
      </c>
      <c r="F154" s="1405">
        <v>3021.53</v>
      </c>
      <c r="G154" s="1405">
        <v>3483.86</v>
      </c>
      <c r="H154" t="b">
        <f t="shared" si="5"/>
        <v>0</v>
      </c>
    </row>
    <row r="155" spans="1:8">
      <c r="A155" s="739">
        <v>252</v>
      </c>
      <c r="B155" s="740" t="s">
        <v>8544</v>
      </c>
      <c r="C155" s="739" t="s">
        <v>1689</v>
      </c>
      <c r="D155" s="741">
        <f t="shared" si="4"/>
        <v>15.94</v>
      </c>
      <c r="F155" s="1406">
        <v>13.85</v>
      </c>
      <c r="G155" s="1406">
        <v>15.94</v>
      </c>
      <c r="H155" t="b">
        <f t="shared" si="5"/>
        <v>0</v>
      </c>
    </row>
    <row r="156" spans="1:8">
      <c r="A156" s="677">
        <v>40909</v>
      </c>
      <c r="B156" s="733" t="s">
        <v>8545</v>
      </c>
      <c r="C156" s="677" t="s">
        <v>1696</v>
      </c>
      <c r="D156" s="738">
        <f t="shared" si="4"/>
        <v>2806.93</v>
      </c>
      <c r="F156" s="1405">
        <v>2434.4299999999998</v>
      </c>
      <c r="G156" s="1405">
        <v>2806.93</v>
      </c>
      <c r="H156" t="b">
        <f t="shared" si="5"/>
        <v>0</v>
      </c>
    </row>
    <row r="157" spans="1:8">
      <c r="A157" s="739">
        <v>242</v>
      </c>
      <c r="B157" s="740" t="s">
        <v>8546</v>
      </c>
      <c r="C157" s="739" t="s">
        <v>1689</v>
      </c>
      <c r="D157" s="741">
        <f t="shared" si="4"/>
        <v>15.78</v>
      </c>
      <c r="F157" s="1406">
        <v>13.7</v>
      </c>
      <c r="G157" s="1406">
        <v>15.78</v>
      </c>
      <c r="H157" t="b">
        <f t="shared" si="5"/>
        <v>0</v>
      </c>
    </row>
    <row r="158" spans="1:8">
      <c r="A158" s="677">
        <v>41085</v>
      </c>
      <c r="B158" s="733" t="s">
        <v>8547</v>
      </c>
      <c r="C158" s="677" t="s">
        <v>1696</v>
      </c>
      <c r="D158" s="738">
        <f t="shared" si="4"/>
        <v>2777.89</v>
      </c>
      <c r="F158" s="1405">
        <v>2409.2399999999998</v>
      </c>
      <c r="G158" s="1405">
        <v>2777.89</v>
      </c>
      <c r="H158" t="b">
        <f t="shared" si="5"/>
        <v>0</v>
      </c>
    </row>
    <row r="159" spans="1:8">
      <c r="A159" s="739">
        <v>427</v>
      </c>
      <c r="B159" s="740" t="s">
        <v>8548</v>
      </c>
      <c r="C159" s="739" t="s">
        <v>1690</v>
      </c>
      <c r="D159" s="741">
        <f t="shared" si="4"/>
        <v>11.12</v>
      </c>
      <c r="F159" s="1406">
        <v>11.12</v>
      </c>
      <c r="G159" s="1406">
        <v>11.12</v>
      </c>
      <c r="H159" t="b">
        <f t="shared" si="5"/>
        <v>1</v>
      </c>
    </row>
    <row r="160" spans="1:8">
      <c r="A160" s="677">
        <v>417</v>
      </c>
      <c r="B160" s="733" t="s">
        <v>8549</v>
      </c>
      <c r="C160" s="677" t="s">
        <v>1690</v>
      </c>
      <c r="D160" s="738">
        <f t="shared" si="4"/>
        <v>5.24</v>
      </c>
      <c r="F160" s="1405">
        <v>5.24</v>
      </c>
      <c r="G160" s="1405">
        <v>5.24</v>
      </c>
      <c r="H160" t="b">
        <f t="shared" si="5"/>
        <v>1</v>
      </c>
    </row>
    <row r="161" spans="1:8">
      <c r="A161" s="739">
        <v>11273</v>
      </c>
      <c r="B161" s="740" t="s">
        <v>8550</v>
      </c>
      <c r="C161" s="739" t="s">
        <v>1690</v>
      </c>
      <c r="D161" s="741">
        <f t="shared" si="4"/>
        <v>16.260000000000002</v>
      </c>
      <c r="F161" s="1406">
        <v>16.260000000000002</v>
      </c>
      <c r="G161" s="1406">
        <v>16.260000000000002</v>
      </c>
      <c r="H161" t="b">
        <f t="shared" si="5"/>
        <v>1</v>
      </c>
    </row>
    <row r="162" spans="1:8">
      <c r="A162" s="677">
        <v>11272</v>
      </c>
      <c r="B162" s="733" t="s">
        <v>8551</v>
      </c>
      <c r="C162" s="677" t="s">
        <v>1690</v>
      </c>
      <c r="D162" s="738">
        <f t="shared" si="4"/>
        <v>9.82</v>
      </c>
      <c r="F162" s="1405">
        <v>9.82</v>
      </c>
      <c r="G162" s="1405">
        <v>9.82</v>
      </c>
      <c r="H162" t="b">
        <f t="shared" si="5"/>
        <v>1</v>
      </c>
    </row>
    <row r="163" spans="1:8">
      <c r="A163" s="739">
        <v>11275</v>
      </c>
      <c r="B163" s="740" t="s">
        <v>8552</v>
      </c>
      <c r="C163" s="739" t="s">
        <v>1690</v>
      </c>
      <c r="D163" s="741">
        <f t="shared" si="4"/>
        <v>3.94</v>
      </c>
      <c r="F163" s="1406">
        <v>3.94</v>
      </c>
      <c r="G163" s="1406">
        <v>3.94</v>
      </c>
      <c r="H163" t="b">
        <f t="shared" si="5"/>
        <v>1</v>
      </c>
    </row>
    <row r="164" spans="1:8">
      <c r="A164" s="677">
        <v>11274</v>
      </c>
      <c r="B164" s="733" t="s">
        <v>8553</v>
      </c>
      <c r="C164" s="677" t="s">
        <v>1690</v>
      </c>
      <c r="D164" s="738">
        <f t="shared" si="4"/>
        <v>3</v>
      </c>
      <c r="F164" s="1405">
        <v>3</v>
      </c>
      <c r="G164" s="1405">
        <v>3</v>
      </c>
      <c r="H164" t="b">
        <f t="shared" si="5"/>
        <v>1</v>
      </c>
    </row>
    <row r="165" spans="1:8">
      <c r="A165" s="739">
        <v>38470</v>
      </c>
      <c r="B165" s="740" t="s">
        <v>8554</v>
      </c>
      <c r="C165" s="739" t="s">
        <v>1690</v>
      </c>
      <c r="D165" s="741">
        <f t="shared" si="4"/>
        <v>45.91</v>
      </c>
      <c r="F165" s="1406">
        <v>45.91</v>
      </c>
      <c r="G165" s="1406">
        <v>45.91</v>
      </c>
      <c r="H165" t="b">
        <f t="shared" si="5"/>
        <v>1</v>
      </c>
    </row>
    <row r="166" spans="1:8">
      <c r="A166" s="677">
        <v>38547</v>
      </c>
      <c r="B166" s="733" t="s">
        <v>8555</v>
      </c>
      <c r="C166" s="677" t="s">
        <v>1690</v>
      </c>
      <c r="D166" s="738">
        <f t="shared" si="4"/>
        <v>125.28</v>
      </c>
      <c r="F166" s="1405">
        <v>125.28</v>
      </c>
      <c r="G166" s="1405">
        <v>125.28</v>
      </c>
      <c r="H166" t="b">
        <f t="shared" si="5"/>
        <v>1</v>
      </c>
    </row>
    <row r="167" spans="1:8">
      <c r="A167" s="739">
        <v>38469</v>
      </c>
      <c r="B167" s="740" t="s">
        <v>8556</v>
      </c>
      <c r="C167" s="739" t="s">
        <v>1690</v>
      </c>
      <c r="D167" s="741">
        <f t="shared" si="4"/>
        <v>134.71</v>
      </c>
      <c r="F167" s="1406">
        <v>134.71</v>
      </c>
      <c r="G167" s="1406">
        <v>134.71</v>
      </c>
      <c r="H167" t="b">
        <f t="shared" si="5"/>
        <v>1</v>
      </c>
    </row>
    <row r="168" spans="1:8">
      <c r="A168" s="677">
        <v>38467</v>
      </c>
      <c r="B168" s="733" t="s">
        <v>8557</v>
      </c>
      <c r="C168" s="677" t="s">
        <v>1690</v>
      </c>
      <c r="D168" s="738">
        <f t="shared" si="4"/>
        <v>75.8</v>
      </c>
      <c r="F168" s="1405">
        <v>75.8</v>
      </c>
      <c r="G168" s="1405">
        <v>75.8</v>
      </c>
      <c r="H168" t="b">
        <f t="shared" si="5"/>
        <v>1</v>
      </c>
    </row>
    <row r="169" spans="1:8">
      <c r="A169" s="739">
        <v>38468</v>
      </c>
      <c r="B169" s="740" t="s">
        <v>8558</v>
      </c>
      <c r="C169" s="739" t="s">
        <v>1690</v>
      </c>
      <c r="D169" s="741">
        <f t="shared" si="4"/>
        <v>83.41</v>
      </c>
      <c r="F169" s="1406">
        <v>83.41</v>
      </c>
      <c r="G169" s="1406">
        <v>83.41</v>
      </c>
      <c r="H169" t="b">
        <f t="shared" si="5"/>
        <v>1</v>
      </c>
    </row>
    <row r="170" spans="1:8">
      <c r="A170" s="677">
        <v>38471</v>
      </c>
      <c r="B170" s="733" t="s">
        <v>8559</v>
      </c>
      <c r="C170" s="677" t="s">
        <v>1690</v>
      </c>
      <c r="D170" s="738">
        <f t="shared" si="4"/>
        <v>108.31</v>
      </c>
      <c r="F170" s="1405">
        <v>108.31</v>
      </c>
      <c r="G170" s="1405">
        <v>108.31</v>
      </c>
      <c r="H170" t="b">
        <f t="shared" si="5"/>
        <v>1</v>
      </c>
    </row>
    <row r="171" spans="1:8">
      <c r="A171" s="739">
        <v>37370</v>
      </c>
      <c r="B171" s="740" t="s">
        <v>8560</v>
      </c>
      <c r="C171" s="739" t="s">
        <v>1689</v>
      </c>
      <c r="D171" s="741">
        <f t="shared" si="4"/>
        <v>1.0900000000000001</v>
      </c>
      <c r="F171" s="1406">
        <v>1.0900000000000001</v>
      </c>
      <c r="G171" s="1406">
        <v>1.0900000000000001</v>
      </c>
      <c r="H171" t="b">
        <f t="shared" si="5"/>
        <v>1</v>
      </c>
    </row>
    <row r="172" spans="1:8">
      <c r="A172" s="677">
        <v>40862</v>
      </c>
      <c r="B172" s="733" t="s">
        <v>8561</v>
      </c>
      <c r="C172" s="677" t="s">
        <v>1696</v>
      </c>
      <c r="D172" s="738">
        <f t="shared" si="4"/>
        <v>205.81</v>
      </c>
      <c r="F172" s="1405">
        <v>205.81</v>
      </c>
      <c r="G172" s="1405">
        <v>205.81</v>
      </c>
      <c r="H172" t="b">
        <f t="shared" si="5"/>
        <v>1</v>
      </c>
    </row>
    <row r="173" spans="1:8">
      <c r="A173" s="739">
        <v>10658</v>
      </c>
      <c r="B173" s="740" t="s">
        <v>8562</v>
      </c>
      <c r="C173" s="739" t="s">
        <v>1690</v>
      </c>
      <c r="D173" s="741">
        <f t="shared" si="4"/>
        <v>7359</v>
      </c>
      <c r="F173" s="1406">
        <v>7359</v>
      </c>
      <c r="G173" s="1406">
        <v>7359</v>
      </c>
      <c r="H173" t="b">
        <f t="shared" si="5"/>
        <v>1</v>
      </c>
    </row>
    <row r="174" spans="1:8">
      <c r="A174" s="677">
        <v>253</v>
      </c>
      <c r="B174" s="733" t="s">
        <v>8563</v>
      </c>
      <c r="C174" s="677" t="s">
        <v>1689</v>
      </c>
      <c r="D174" s="738">
        <f t="shared" si="4"/>
        <v>19.79</v>
      </c>
      <c r="F174" s="1405">
        <v>17.190000000000001</v>
      </c>
      <c r="G174" s="1405">
        <v>19.79</v>
      </c>
      <c r="H174" t="b">
        <f t="shared" si="5"/>
        <v>0</v>
      </c>
    </row>
    <row r="175" spans="1:8">
      <c r="A175" s="739">
        <v>40809</v>
      </c>
      <c r="B175" s="740" t="s">
        <v>8564</v>
      </c>
      <c r="C175" s="739" t="s">
        <v>1696</v>
      </c>
      <c r="D175" s="741">
        <f t="shared" si="4"/>
        <v>3482.33</v>
      </c>
      <c r="F175" s="1406">
        <v>3020.19</v>
      </c>
      <c r="G175" s="1406">
        <v>3482.33</v>
      </c>
      <c r="H175" t="b">
        <f t="shared" si="5"/>
        <v>0</v>
      </c>
    </row>
    <row r="176" spans="1:8" ht="30">
      <c r="A176" s="677">
        <v>42428</v>
      </c>
      <c r="B176" s="733" t="s">
        <v>8565</v>
      </c>
      <c r="C176" s="677" t="s">
        <v>1690</v>
      </c>
      <c r="D176" s="738">
        <f t="shared" si="4"/>
        <v>2271</v>
      </c>
      <c r="F176" s="1405">
        <v>2271</v>
      </c>
      <c r="G176" s="1405">
        <v>2271</v>
      </c>
      <c r="H176" t="b">
        <f t="shared" si="5"/>
        <v>1</v>
      </c>
    </row>
    <row r="177" spans="1:8">
      <c r="A177" s="739">
        <v>301</v>
      </c>
      <c r="B177" s="740" t="s">
        <v>8566</v>
      </c>
      <c r="C177" s="739" t="s">
        <v>1690</v>
      </c>
      <c r="D177" s="741">
        <f t="shared" si="4"/>
        <v>3.13</v>
      </c>
      <c r="F177" s="1406">
        <v>3.13</v>
      </c>
      <c r="G177" s="1406">
        <v>3.13</v>
      </c>
      <c r="H177" t="b">
        <f t="shared" si="5"/>
        <v>1</v>
      </c>
    </row>
    <row r="178" spans="1:8">
      <c r="A178" s="677">
        <v>296</v>
      </c>
      <c r="B178" s="733" t="s">
        <v>8567</v>
      </c>
      <c r="C178" s="677" t="s">
        <v>1690</v>
      </c>
      <c r="D178" s="738">
        <f t="shared" si="4"/>
        <v>1.77</v>
      </c>
      <c r="F178" s="1405">
        <v>1.77</v>
      </c>
      <c r="G178" s="1405">
        <v>1.77</v>
      </c>
      <c r="H178" t="b">
        <f t="shared" si="5"/>
        <v>1</v>
      </c>
    </row>
    <row r="179" spans="1:8">
      <c r="A179" s="739">
        <v>297</v>
      </c>
      <c r="B179" s="740" t="s">
        <v>8568</v>
      </c>
      <c r="C179" s="739" t="s">
        <v>1690</v>
      </c>
      <c r="D179" s="741">
        <f t="shared" si="4"/>
        <v>2.6</v>
      </c>
      <c r="F179" s="1406">
        <v>2.6</v>
      </c>
      <c r="G179" s="1406">
        <v>2.6</v>
      </c>
      <c r="H179" t="b">
        <f t="shared" si="5"/>
        <v>1</v>
      </c>
    </row>
    <row r="180" spans="1:8">
      <c r="A180" s="677">
        <v>299</v>
      </c>
      <c r="B180" s="733" t="s">
        <v>8569</v>
      </c>
      <c r="C180" s="677" t="s">
        <v>1690</v>
      </c>
      <c r="D180" s="738">
        <f t="shared" si="4"/>
        <v>3.67</v>
      </c>
      <c r="F180" s="1405">
        <v>3.67</v>
      </c>
      <c r="G180" s="1405">
        <v>3.67</v>
      </c>
      <c r="H180" t="b">
        <f t="shared" si="5"/>
        <v>1</v>
      </c>
    </row>
    <row r="181" spans="1:8">
      <c r="A181" s="739">
        <v>300</v>
      </c>
      <c r="B181" s="740" t="s">
        <v>8570</v>
      </c>
      <c r="C181" s="739" t="s">
        <v>1690</v>
      </c>
      <c r="D181" s="741">
        <f t="shared" si="4"/>
        <v>12.7</v>
      </c>
      <c r="F181" s="1406">
        <v>12.7</v>
      </c>
      <c r="G181" s="1406">
        <v>12.7</v>
      </c>
      <c r="H181" t="b">
        <f t="shared" si="5"/>
        <v>1</v>
      </c>
    </row>
    <row r="182" spans="1:8">
      <c r="A182" s="677">
        <v>20085</v>
      </c>
      <c r="B182" s="733" t="s">
        <v>8571</v>
      </c>
      <c r="C182" s="677" t="s">
        <v>1690</v>
      </c>
      <c r="D182" s="738">
        <f t="shared" si="4"/>
        <v>2.3199999999999998</v>
      </c>
      <c r="F182" s="1405">
        <v>2.3199999999999998</v>
      </c>
      <c r="G182" s="1405">
        <v>2.3199999999999998</v>
      </c>
      <c r="H182" t="b">
        <f t="shared" si="5"/>
        <v>1</v>
      </c>
    </row>
    <row r="183" spans="1:8">
      <c r="A183" s="739">
        <v>298</v>
      </c>
      <c r="B183" s="740" t="s">
        <v>8572</v>
      </c>
      <c r="C183" s="739" t="s">
        <v>1690</v>
      </c>
      <c r="D183" s="741">
        <f t="shared" si="4"/>
        <v>2.82</v>
      </c>
      <c r="F183" s="1406">
        <v>2.82</v>
      </c>
      <c r="G183" s="1406">
        <v>2.82</v>
      </c>
      <c r="H183" t="b">
        <f t="shared" si="5"/>
        <v>1</v>
      </c>
    </row>
    <row r="184" spans="1:8">
      <c r="A184" s="677">
        <v>311</v>
      </c>
      <c r="B184" s="733" t="s">
        <v>8573</v>
      </c>
      <c r="C184" s="677" t="s">
        <v>1690</v>
      </c>
      <c r="D184" s="738">
        <f t="shared" si="4"/>
        <v>10.48</v>
      </c>
      <c r="F184" s="1405">
        <v>10.48</v>
      </c>
      <c r="G184" s="1405">
        <v>10.48</v>
      </c>
      <c r="H184" t="b">
        <f t="shared" si="5"/>
        <v>1</v>
      </c>
    </row>
    <row r="185" spans="1:8">
      <c r="A185" s="739">
        <v>318</v>
      </c>
      <c r="B185" s="740" t="s">
        <v>8574</v>
      </c>
      <c r="C185" s="739" t="s">
        <v>1690</v>
      </c>
      <c r="D185" s="741">
        <f t="shared" si="4"/>
        <v>21.1</v>
      </c>
      <c r="F185" s="1406">
        <v>21.1</v>
      </c>
      <c r="G185" s="1406">
        <v>21.1</v>
      </c>
      <c r="H185" t="b">
        <f t="shared" si="5"/>
        <v>1</v>
      </c>
    </row>
    <row r="186" spans="1:8">
      <c r="A186" s="677">
        <v>319</v>
      </c>
      <c r="B186" s="733" t="s">
        <v>8575</v>
      </c>
      <c r="C186" s="677" t="s">
        <v>1690</v>
      </c>
      <c r="D186" s="738">
        <f t="shared" si="4"/>
        <v>33.08</v>
      </c>
      <c r="F186" s="1405">
        <v>33.08</v>
      </c>
      <c r="G186" s="1405">
        <v>33.08</v>
      </c>
      <c r="H186" t="b">
        <f t="shared" si="5"/>
        <v>1</v>
      </c>
    </row>
    <row r="187" spans="1:8">
      <c r="A187" s="739">
        <v>303</v>
      </c>
      <c r="B187" s="740" t="s">
        <v>8576</v>
      </c>
      <c r="C187" s="739" t="s">
        <v>1690</v>
      </c>
      <c r="D187" s="741">
        <f t="shared" si="4"/>
        <v>3.46</v>
      </c>
      <c r="F187" s="1406">
        <v>3.46</v>
      </c>
      <c r="G187" s="1406">
        <v>3.46</v>
      </c>
      <c r="H187" t="b">
        <f t="shared" si="5"/>
        <v>1</v>
      </c>
    </row>
    <row r="188" spans="1:8">
      <c r="A188" s="677">
        <v>305</v>
      </c>
      <c r="B188" s="733" t="s">
        <v>8577</v>
      </c>
      <c r="C188" s="677" t="s">
        <v>1690</v>
      </c>
      <c r="D188" s="738">
        <f t="shared" si="4"/>
        <v>10.91</v>
      </c>
      <c r="F188" s="1405">
        <v>10.91</v>
      </c>
      <c r="G188" s="1405">
        <v>10.91</v>
      </c>
      <c r="H188" t="b">
        <f t="shared" si="5"/>
        <v>1</v>
      </c>
    </row>
    <row r="189" spans="1:8">
      <c r="A189" s="739">
        <v>306</v>
      </c>
      <c r="B189" s="740" t="s">
        <v>8578</v>
      </c>
      <c r="C189" s="739" t="s">
        <v>1690</v>
      </c>
      <c r="D189" s="741">
        <f t="shared" si="4"/>
        <v>16.54</v>
      </c>
      <c r="F189" s="1406">
        <v>16.54</v>
      </c>
      <c r="G189" s="1406">
        <v>16.54</v>
      </c>
      <c r="H189" t="b">
        <f t="shared" si="5"/>
        <v>1</v>
      </c>
    </row>
    <row r="190" spans="1:8">
      <c r="A190" s="677">
        <v>307</v>
      </c>
      <c r="B190" s="733" t="s">
        <v>8579</v>
      </c>
      <c r="C190" s="677" t="s">
        <v>1690</v>
      </c>
      <c r="D190" s="738">
        <f t="shared" si="4"/>
        <v>41.79</v>
      </c>
      <c r="F190" s="1405">
        <v>41.79</v>
      </c>
      <c r="G190" s="1405">
        <v>41.79</v>
      </c>
      <c r="H190" t="b">
        <f t="shared" si="5"/>
        <v>1</v>
      </c>
    </row>
    <row r="191" spans="1:8">
      <c r="A191" s="739">
        <v>309</v>
      </c>
      <c r="B191" s="740" t="s">
        <v>8580</v>
      </c>
      <c r="C191" s="739" t="s">
        <v>1690</v>
      </c>
      <c r="D191" s="741">
        <f t="shared" si="4"/>
        <v>68.459999999999994</v>
      </c>
      <c r="F191" s="1406">
        <v>68.459999999999994</v>
      </c>
      <c r="G191" s="1406">
        <v>68.459999999999994</v>
      </c>
      <c r="H191" t="b">
        <f t="shared" si="5"/>
        <v>1</v>
      </c>
    </row>
    <row r="192" spans="1:8">
      <c r="A192" s="677">
        <v>310</v>
      </c>
      <c r="B192" s="733" t="s">
        <v>8581</v>
      </c>
      <c r="C192" s="677" t="s">
        <v>1690</v>
      </c>
      <c r="D192" s="738">
        <f t="shared" si="4"/>
        <v>94.89</v>
      </c>
      <c r="F192" s="1405">
        <v>94.89</v>
      </c>
      <c r="G192" s="1405">
        <v>94.89</v>
      </c>
      <c r="H192" t="b">
        <f t="shared" si="5"/>
        <v>1</v>
      </c>
    </row>
    <row r="193" spans="1:8">
      <c r="A193" s="739">
        <v>328</v>
      </c>
      <c r="B193" s="740" t="s">
        <v>8582</v>
      </c>
      <c r="C193" s="739" t="s">
        <v>1690</v>
      </c>
      <c r="D193" s="741">
        <f t="shared" si="4"/>
        <v>8.2899999999999991</v>
      </c>
      <c r="F193" s="1406">
        <v>8.2899999999999991</v>
      </c>
      <c r="G193" s="1406">
        <v>8.2899999999999991</v>
      </c>
      <c r="H193" t="b">
        <f t="shared" si="5"/>
        <v>1</v>
      </c>
    </row>
    <row r="194" spans="1:8">
      <c r="A194" s="677">
        <v>325</v>
      </c>
      <c r="B194" s="733" t="s">
        <v>8583</v>
      </c>
      <c r="C194" s="677" t="s">
        <v>1690</v>
      </c>
      <c r="D194" s="738">
        <f t="shared" si="4"/>
        <v>2.4500000000000002</v>
      </c>
      <c r="F194" s="1405">
        <v>2.4500000000000002</v>
      </c>
      <c r="G194" s="1405">
        <v>2.4500000000000002</v>
      </c>
      <c r="H194" t="b">
        <f t="shared" si="5"/>
        <v>1</v>
      </c>
    </row>
    <row r="195" spans="1:8">
      <c r="A195" s="739">
        <v>20326</v>
      </c>
      <c r="B195" s="740" t="s">
        <v>8584</v>
      </c>
      <c r="C195" s="739" t="s">
        <v>1690</v>
      </c>
      <c r="D195" s="741">
        <f t="shared" ref="D195:D258" si="6">IF($J$2=$F$1,F195,G195)</f>
        <v>4.4800000000000004</v>
      </c>
      <c r="F195" s="1406">
        <v>4.4800000000000004</v>
      </c>
      <c r="G195" s="1406">
        <v>4.4800000000000004</v>
      </c>
      <c r="H195" t="b">
        <f t="shared" ref="H195:H258" si="7">F195=G195</f>
        <v>1</v>
      </c>
    </row>
    <row r="196" spans="1:8">
      <c r="A196" s="677">
        <v>329</v>
      </c>
      <c r="B196" s="733" t="s">
        <v>8585</v>
      </c>
      <c r="C196" s="677" t="s">
        <v>1690</v>
      </c>
      <c r="D196" s="738">
        <f t="shared" si="6"/>
        <v>6.93</v>
      </c>
      <c r="F196" s="1405">
        <v>6.93</v>
      </c>
      <c r="G196" s="1405">
        <v>6.93</v>
      </c>
      <c r="H196" t="b">
        <f t="shared" si="7"/>
        <v>1</v>
      </c>
    </row>
    <row r="197" spans="1:8">
      <c r="A197" s="739">
        <v>308</v>
      </c>
      <c r="B197" s="740" t="s">
        <v>8586</v>
      </c>
      <c r="C197" s="739" t="s">
        <v>1690</v>
      </c>
      <c r="D197" s="741">
        <f t="shared" si="6"/>
        <v>93.28</v>
      </c>
      <c r="F197" s="1406">
        <v>93.28</v>
      </c>
      <c r="G197" s="1406">
        <v>93.28</v>
      </c>
      <c r="H197" t="b">
        <f t="shared" si="7"/>
        <v>1</v>
      </c>
    </row>
    <row r="198" spans="1:8">
      <c r="A198" s="677">
        <v>39642</v>
      </c>
      <c r="B198" s="733" t="s">
        <v>8587</v>
      </c>
      <c r="C198" s="677" t="s">
        <v>1690</v>
      </c>
      <c r="D198" s="738">
        <f t="shared" si="6"/>
        <v>3.07</v>
      </c>
      <c r="F198" s="1405">
        <v>3.07</v>
      </c>
      <c r="G198" s="1405">
        <v>3.07</v>
      </c>
      <c r="H198" t="b">
        <f t="shared" si="7"/>
        <v>1</v>
      </c>
    </row>
    <row r="199" spans="1:8">
      <c r="A199" s="739">
        <v>39641</v>
      </c>
      <c r="B199" s="740" t="s">
        <v>8588</v>
      </c>
      <c r="C199" s="739" t="s">
        <v>1690</v>
      </c>
      <c r="D199" s="741">
        <f t="shared" si="6"/>
        <v>2.7</v>
      </c>
      <c r="F199" s="1406">
        <v>2.7</v>
      </c>
      <c r="G199" s="1406">
        <v>2.7</v>
      </c>
      <c r="H199" t="b">
        <f t="shared" si="7"/>
        <v>1</v>
      </c>
    </row>
    <row r="200" spans="1:8">
      <c r="A200" s="677">
        <v>39643</v>
      </c>
      <c r="B200" s="733" t="s">
        <v>8589</v>
      </c>
      <c r="C200" s="677" t="s">
        <v>1690</v>
      </c>
      <c r="D200" s="738">
        <f t="shared" si="6"/>
        <v>3.61</v>
      </c>
      <c r="F200" s="1405">
        <v>3.61</v>
      </c>
      <c r="G200" s="1405">
        <v>3.61</v>
      </c>
      <c r="H200" t="b">
        <f t="shared" si="7"/>
        <v>1</v>
      </c>
    </row>
    <row r="201" spans="1:8">
      <c r="A201" s="739">
        <v>39644</v>
      </c>
      <c r="B201" s="740" t="s">
        <v>8590</v>
      </c>
      <c r="C201" s="739" t="s">
        <v>1690</v>
      </c>
      <c r="D201" s="741">
        <f t="shared" si="6"/>
        <v>5.59</v>
      </c>
      <c r="F201" s="1406">
        <v>5.59</v>
      </c>
      <c r="G201" s="1406">
        <v>5.59</v>
      </c>
      <c r="H201" t="b">
        <f t="shared" si="7"/>
        <v>1</v>
      </c>
    </row>
    <row r="202" spans="1:8">
      <c r="A202" s="677">
        <v>39645</v>
      </c>
      <c r="B202" s="733" t="s">
        <v>8591</v>
      </c>
      <c r="C202" s="677" t="s">
        <v>1690</v>
      </c>
      <c r="D202" s="738">
        <f t="shared" si="6"/>
        <v>6.13</v>
      </c>
      <c r="F202" s="1405">
        <v>6.13</v>
      </c>
      <c r="G202" s="1405">
        <v>6.13</v>
      </c>
      <c r="H202" t="b">
        <f t="shared" si="7"/>
        <v>1</v>
      </c>
    </row>
    <row r="203" spans="1:8">
      <c r="A203" s="739">
        <v>41610</v>
      </c>
      <c r="B203" s="740" t="s">
        <v>8592</v>
      </c>
      <c r="C203" s="739" t="s">
        <v>1690</v>
      </c>
      <c r="D203" s="741">
        <f t="shared" si="6"/>
        <v>755.26</v>
      </c>
      <c r="F203" s="1406">
        <v>755.26</v>
      </c>
      <c r="G203" s="1406">
        <v>755.26</v>
      </c>
      <c r="H203" t="b">
        <f t="shared" si="7"/>
        <v>1</v>
      </c>
    </row>
    <row r="204" spans="1:8">
      <c r="A204" s="677">
        <v>41611</v>
      </c>
      <c r="B204" s="733" t="s">
        <v>8593</v>
      </c>
      <c r="C204" s="677" t="s">
        <v>1690</v>
      </c>
      <c r="D204" s="738">
        <f t="shared" si="6"/>
        <v>1190.45</v>
      </c>
      <c r="F204" s="1405">
        <v>1190.45</v>
      </c>
      <c r="G204" s="1405">
        <v>1190.45</v>
      </c>
      <c r="H204" t="b">
        <f t="shared" si="7"/>
        <v>1</v>
      </c>
    </row>
    <row r="205" spans="1:8">
      <c r="A205" s="739">
        <v>41612</v>
      </c>
      <c r="B205" s="740" t="s">
        <v>8594</v>
      </c>
      <c r="C205" s="739" t="s">
        <v>1690</v>
      </c>
      <c r="D205" s="741">
        <f t="shared" si="6"/>
        <v>1671.56</v>
      </c>
      <c r="F205" s="1406">
        <v>1671.56</v>
      </c>
      <c r="G205" s="1406">
        <v>1671.56</v>
      </c>
      <c r="H205" t="b">
        <f t="shared" si="7"/>
        <v>1</v>
      </c>
    </row>
    <row r="206" spans="1:8">
      <c r="A206" s="677">
        <v>41637</v>
      </c>
      <c r="B206" s="733" t="s">
        <v>8595</v>
      </c>
      <c r="C206" s="677" t="s">
        <v>1690</v>
      </c>
      <c r="D206" s="738">
        <f t="shared" si="6"/>
        <v>156.25</v>
      </c>
      <c r="F206" s="1405">
        <v>156.25</v>
      </c>
      <c r="G206" s="1405">
        <v>156.25</v>
      </c>
      <c r="H206" t="b">
        <f t="shared" si="7"/>
        <v>1</v>
      </c>
    </row>
    <row r="207" spans="1:8">
      <c r="A207" s="739">
        <v>41638</v>
      </c>
      <c r="B207" s="740" t="s">
        <v>8596</v>
      </c>
      <c r="C207" s="739" t="s">
        <v>1690</v>
      </c>
      <c r="D207" s="741">
        <f t="shared" si="6"/>
        <v>203.54</v>
      </c>
      <c r="F207" s="1406">
        <v>203.54</v>
      </c>
      <c r="G207" s="1406">
        <v>203.54</v>
      </c>
      <c r="H207" t="b">
        <f t="shared" si="7"/>
        <v>1</v>
      </c>
    </row>
    <row r="208" spans="1:8">
      <c r="A208" s="677">
        <v>41639</v>
      </c>
      <c r="B208" s="733" t="s">
        <v>8597</v>
      </c>
      <c r="C208" s="677" t="s">
        <v>1690</v>
      </c>
      <c r="D208" s="738">
        <f t="shared" si="6"/>
        <v>492.42</v>
      </c>
      <c r="F208" s="1405">
        <v>492.42</v>
      </c>
      <c r="G208" s="1405">
        <v>492.42</v>
      </c>
      <c r="H208" t="b">
        <f t="shared" si="7"/>
        <v>1</v>
      </c>
    </row>
    <row r="209" spans="1:8">
      <c r="A209" s="739">
        <v>11789</v>
      </c>
      <c r="B209" s="740" t="s">
        <v>8598</v>
      </c>
      <c r="C209" s="739" t="s">
        <v>1690</v>
      </c>
      <c r="D209" s="741">
        <f t="shared" si="6"/>
        <v>1.48</v>
      </c>
      <c r="F209" s="1406">
        <v>1.48</v>
      </c>
      <c r="G209" s="1406">
        <v>1.48</v>
      </c>
      <c r="H209" t="b">
        <f t="shared" si="7"/>
        <v>1</v>
      </c>
    </row>
    <row r="210" spans="1:8">
      <c r="A210" s="677">
        <v>20975</v>
      </c>
      <c r="B210" s="733" t="s">
        <v>8599</v>
      </c>
      <c r="C210" s="677" t="s">
        <v>1690</v>
      </c>
      <c r="D210" s="738">
        <f t="shared" si="6"/>
        <v>12.71</v>
      </c>
      <c r="F210" s="1405">
        <v>12.71</v>
      </c>
      <c r="G210" s="1405">
        <v>12.71</v>
      </c>
      <c r="H210" t="b">
        <f t="shared" si="7"/>
        <v>1</v>
      </c>
    </row>
    <row r="211" spans="1:8">
      <c r="A211" s="739">
        <v>20976</v>
      </c>
      <c r="B211" s="740" t="s">
        <v>8600</v>
      </c>
      <c r="C211" s="739" t="s">
        <v>1690</v>
      </c>
      <c r="D211" s="741">
        <f t="shared" si="6"/>
        <v>19.2</v>
      </c>
      <c r="F211" s="1406">
        <v>19.2</v>
      </c>
      <c r="G211" s="1406">
        <v>19.2</v>
      </c>
      <c r="H211" t="b">
        <f t="shared" si="7"/>
        <v>1</v>
      </c>
    </row>
    <row r="212" spans="1:8">
      <c r="A212" s="677">
        <v>40340</v>
      </c>
      <c r="B212" s="733" t="s">
        <v>8601</v>
      </c>
      <c r="C212" s="677" t="s">
        <v>1690</v>
      </c>
      <c r="D212" s="738">
        <f t="shared" si="6"/>
        <v>23.02</v>
      </c>
      <c r="F212" s="1405">
        <v>23.02</v>
      </c>
      <c r="G212" s="1405">
        <v>23.02</v>
      </c>
      <c r="H212" t="b">
        <f t="shared" si="7"/>
        <v>1</v>
      </c>
    </row>
    <row r="213" spans="1:8">
      <c r="A213" s="739">
        <v>40341</v>
      </c>
      <c r="B213" s="740" t="s">
        <v>8602</v>
      </c>
      <c r="C213" s="739" t="s">
        <v>1690</v>
      </c>
      <c r="D213" s="741">
        <f t="shared" si="6"/>
        <v>27.48</v>
      </c>
      <c r="F213" s="1406">
        <v>27.48</v>
      </c>
      <c r="G213" s="1406">
        <v>27.48</v>
      </c>
      <c r="H213" t="b">
        <f t="shared" si="7"/>
        <v>1</v>
      </c>
    </row>
    <row r="214" spans="1:8">
      <c r="A214" s="677">
        <v>40342</v>
      </c>
      <c r="B214" s="733" t="s">
        <v>8603</v>
      </c>
      <c r="C214" s="677" t="s">
        <v>1690</v>
      </c>
      <c r="D214" s="738">
        <f t="shared" si="6"/>
        <v>32.770000000000003</v>
      </c>
      <c r="F214" s="1405">
        <v>32.770000000000003</v>
      </c>
      <c r="G214" s="1405">
        <v>32.770000000000003</v>
      </c>
      <c r="H214" t="b">
        <f t="shared" si="7"/>
        <v>1</v>
      </c>
    </row>
    <row r="215" spans="1:8">
      <c r="A215" s="739">
        <v>40343</v>
      </c>
      <c r="B215" s="740" t="s">
        <v>8604</v>
      </c>
      <c r="C215" s="739" t="s">
        <v>1690</v>
      </c>
      <c r="D215" s="741">
        <f t="shared" si="6"/>
        <v>38.869999999999997</v>
      </c>
      <c r="F215" s="1406">
        <v>38.869999999999997</v>
      </c>
      <c r="G215" s="1406">
        <v>38.869999999999997</v>
      </c>
      <c r="H215" t="b">
        <f t="shared" si="7"/>
        <v>1</v>
      </c>
    </row>
    <row r="216" spans="1:8">
      <c r="A216" s="677">
        <v>40344</v>
      </c>
      <c r="B216" s="733" t="s">
        <v>8605</v>
      </c>
      <c r="C216" s="677" t="s">
        <v>1690</v>
      </c>
      <c r="D216" s="738">
        <f t="shared" si="6"/>
        <v>52.99</v>
      </c>
      <c r="F216" s="1405">
        <v>52.99</v>
      </c>
      <c r="G216" s="1405">
        <v>52.99</v>
      </c>
      <c r="H216" t="b">
        <f t="shared" si="7"/>
        <v>1</v>
      </c>
    </row>
    <row r="217" spans="1:8">
      <c r="A217" s="739">
        <v>40345</v>
      </c>
      <c r="B217" s="740" t="s">
        <v>8606</v>
      </c>
      <c r="C217" s="739" t="s">
        <v>1690</v>
      </c>
      <c r="D217" s="741">
        <f t="shared" si="6"/>
        <v>65.3</v>
      </c>
      <c r="F217" s="1406">
        <v>65.3</v>
      </c>
      <c r="G217" s="1406">
        <v>65.3</v>
      </c>
      <c r="H217" t="b">
        <f t="shared" si="7"/>
        <v>1</v>
      </c>
    </row>
    <row r="218" spans="1:8">
      <c r="A218" s="677">
        <v>40346</v>
      </c>
      <c r="B218" s="733" t="s">
        <v>8607</v>
      </c>
      <c r="C218" s="677" t="s">
        <v>1690</v>
      </c>
      <c r="D218" s="738">
        <f t="shared" si="6"/>
        <v>75.739999999999995</v>
      </c>
      <c r="F218" s="1405">
        <v>75.739999999999995</v>
      </c>
      <c r="G218" s="1405">
        <v>75.739999999999995</v>
      </c>
      <c r="H218" t="b">
        <f t="shared" si="7"/>
        <v>1</v>
      </c>
    </row>
    <row r="219" spans="1:8">
      <c r="A219" s="739">
        <v>40347</v>
      </c>
      <c r="B219" s="740" t="s">
        <v>8608</v>
      </c>
      <c r="C219" s="739" t="s">
        <v>1690</v>
      </c>
      <c r="D219" s="741">
        <f t="shared" si="6"/>
        <v>95.16</v>
      </c>
      <c r="F219" s="1406">
        <v>95.16</v>
      </c>
      <c r="G219" s="1406">
        <v>95.16</v>
      </c>
      <c r="H219" t="b">
        <f t="shared" si="7"/>
        <v>1</v>
      </c>
    </row>
    <row r="220" spans="1:8">
      <c r="A220" s="677">
        <v>6138</v>
      </c>
      <c r="B220" s="733" t="s">
        <v>8609</v>
      </c>
      <c r="C220" s="677" t="s">
        <v>1690</v>
      </c>
      <c r="D220" s="738">
        <f t="shared" si="6"/>
        <v>11.28</v>
      </c>
      <c r="F220" s="1405">
        <v>11.28</v>
      </c>
      <c r="G220" s="1405">
        <v>11.28</v>
      </c>
      <c r="H220" t="b">
        <f t="shared" si="7"/>
        <v>1</v>
      </c>
    </row>
    <row r="221" spans="1:8" ht="30">
      <c r="A221" s="739">
        <v>43424</v>
      </c>
      <c r="B221" s="740" t="s">
        <v>8610</v>
      </c>
      <c r="C221" s="739" t="s">
        <v>1690</v>
      </c>
      <c r="D221" s="741">
        <f t="shared" si="6"/>
        <v>632.79</v>
      </c>
      <c r="F221" s="1406">
        <v>632.79</v>
      </c>
      <c r="G221" s="1406">
        <v>632.79</v>
      </c>
      <c r="H221" t="b">
        <f t="shared" si="7"/>
        <v>1</v>
      </c>
    </row>
    <row r="222" spans="1:8" ht="30">
      <c r="A222" s="677">
        <v>43426</v>
      </c>
      <c r="B222" s="733" t="s">
        <v>8611</v>
      </c>
      <c r="C222" s="677" t="s">
        <v>1690</v>
      </c>
      <c r="D222" s="738">
        <f t="shared" si="6"/>
        <v>2182.4899999999998</v>
      </c>
      <c r="F222" s="1405">
        <v>2182.4899999999998</v>
      </c>
      <c r="G222" s="1405">
        <v>2182.4899999999998</v>
      </c>
      <c r="H222" t="b">
        <f t="shared" si="7"/>
        <v>1</v>
      </c>
    </row>
    <row r="223" spans="1:8" ht="30">
      <c r="A223" s="739">
        <v>12565</v>
      </c>
      <c r="B223" s="740" t="s">
        <v>8612</v>
      </c>
      <c r="C223" s="739" t="s">
        <v>1690</v>
      </c>
      <c r="D223" s="741">
        <f t="shared" si="6"/>
        <v>765.37</v>
      </c>
      <c r="F223" s="1406">
        <v>765.37</v>
      </c>
      <c r="G223" s="1406">
        <v>765.37</v>
      </c>
      <c r="H223" t="b">
        <f t="shared" si="7"/>
        <v>1</v>
      </c>
    </row>
    <row r="224" spans="1:8" ht="30">
      <c r="A224" s="677">
        <v>12567</v>
      </c>
      <c r="B224" s="733" t="s">
        <v>8613</v>
      </c>
      <c r="C224" s="677" t="s">
        <v>1690</v>
      </c>
      <c r="D224" s="738">
        <f t="shared" si="6"/>
        <v>1028.02</v>
      </c>
      <c r="F224" s="1405">
        <v>1028.02</v>
      </c>
      <c r="G224" s="1405">
        <v>1028.02</v>
      </c>
      <c r="H224" t="b">
        <f t="shared" si="7"/>
        <v>1</v>
      </c>
    </row>
    <row r="225" spans="1:8" ht="30">
      <c r="A225" s="739">
        <v>12568</v>
      </c>
      <c r="B225" s="740" t="s">
        <v>8614</v>
      </c>
      <c r="C225" s="739" t="s">
        <v>1690</v>
      </c>
      <c r="D225" s="741">
        <f t="shared" si="6"/>
        <v>1439.23</v>
      </c>
      <c r="F225" s="1406">
        <v>1439.23</v>
      </c>
      <c r="G225" s="1406">
        <v>1439.23</v>
      </c>
      <c r="H225" t="b">
        <f t="shared" si="7"/>
        <v>1</v>
      </c>
    </row>
    <row r="226" spans="1:8">
      <c r="A226" s="677">
        <v>43441</v>
      </c>
      <c r="B226" s="733" t="s">
        <v>8615</v>
      </c>
      <c r="C226" s="677" t="s">
        <v>1690</v>
      </c>
      <c r="D226" s="738">
        <f t="shared" si="6"/>
        <v>185.04</v>
      </c>
      <c r="F226" s="1405">
        <v>185.04</v>
      </c>
      <c r="G226" s="1405">
        <v>185.04</v>
      </c>
      <c r="H226" t="b">
        <f t="shared" si="7"/>
        <v>1</v>
      </c>
    </row>
    <row r="227" spans="1:8">
      <c r="A227" s="739">
        <v>43423</v>
      </c>
      <c r="B227" s="740" t="s">
        <v>8616</v>
      </c>
      <c r="C227" s="739" t="s">
        <v>1690</v>
      </c>
      <c r="D227" s="741">
        <f t="shared" si="6"/>
        <v>86.35</v>
      </c>
      <c r="F227" s="1406">
        <v>86.35</v>
      </c>
      <c r="G227" s="1406">
        <v>86.35</v>
      </c>
      <c r="H227" t="b">
        <f t="shared" si="7"/>
        <v>1</v>
      </c>
    </row>
    <row r="228" spans="1:8">
      <c r="A228" s="677">
        <v>12532</v>
      </c>
      <c r="B228" s="733" t="s">
        <v>8617</v>
      </c>
      <c r="C228" s="677" t="s">
        <v>1690</v>
      </c>
      <c r="D228" s="738">
        <f t="shared" si="6"/>
        <v>133.18</v>
      </c>
      <c r="F228" s="1405">
        <v>133.18</v>
      </c>
      <c r="G228" s="1405">
        <v>133.18</v>
      </c>
      <c r="H228" t="b">
        <f t="shared" si="7"/>
        <v>1</v>
      </c>
    </row>
    <row r="229" spans="1:8" ht="30">
      <c r="A229" s="739">
        <v>43444</v>
      </c>
      <c r="B229" s="740" t="s">
        <v>8618</v>
      </c>
      <c r="C229" s="739" t="s">
        <v>1690</v>
      </c>
      <c r="D229" s="741">
        <f t="shared" si="6"/>
        <v>447.19</v>
      </c>
      <c r="F229" s="1406">
        <v>447.19</v>
      </c>
      <c r="G229" s="1406">
        <v>447.19</v>
      </c>
      <c r="H229" t="b">
        <f t="shared" si="7"/>
        <v>1</v>
      </c>
    </row>
    <row r="230" spans="1:8" ht="30">
      <c r="A230" s="677">
        <v>12551</v>
      </c>
      <c r="B230" s="733" t="s">
        <v>8619</v>
      </c>
      <c r="C230" s="677" t="s">
        <v>1690</v>
      </c>
      <c r="D230" s="738">
        <f t="shared" si="6"/>
        <v>319.05</v>
      </c>
      <c r="F230" s="1405">
        <v>319.05</v>
      </c>
      <c r="G230" s="1405">
        <v>319.05</v>
      </c>
      <c r="H230" t="b">
        <f t="shared" si="7"/>
        <v>1</v>
      </c>
    </row>
    <row r="231" spans="1:8" ht="30">
      <c r="A231" s="739">
        <v>43442</v>
      </c>
      <c r="B231" s="740" t="s">
        <v>8620</v>
      </c>
      <c r="C231" s="739" t="s">
        <v>1690</v>
      </c>
      <c r="D231" s="741">
        <f t="shared" si="6"/>
        <v>246.72</v>
      </c>
      <c r="F231" s="1406">
        <v>246.72</v>
      </c>
      <c r="G231" s="1406">
        <v>246.72</v>
      </c>
      <c r="H231" t="b">
        <f t="shared" si="7"/>
        <v>1</v>
      </c>
    </row>
    <row r="232" spans="1:8" ht="30">
      <c r="A232" s="677">
        <v>43443</v>
      </c>
      <c r="B232" s="733" t="s">
        <v>8621</v>
      </c>
      <c r="C232" s="677" t="s">
        <v>1690</v>
      </c>
      <c r="D232" s="738">
        <f t="shared" si="6"/>
        <v>323.82</v>
      </c>
      <c r="F232" s="1405">
        <v>323.82</v>
      </c>
      <c r="G232" s="1405">
        <v>323.82</v>
      </c>
      <c r="H232" t="b">
        <f t="shared" si="7"/>
        <v>1</v>
      </c>
    </row>
    <row r="233" spans="1:8" ht="30">
      <c r="A233" s="739">
        <v>12544</v>
      </c>
      <c r="B233" s="740" t="s">
        <v>8622</v>
      </c>
      <c r="C233" s="739" t="s">
        <v>1690</v>
      </c>
      <c r="D233" s="741">
        <f t="shared" si="6"/>
        <v>174.76</v>
      </c>
      <c r="F233" s="1406">
        <v>174.76</v>
      </c>
      <c r="G233" s="1406">
        <v>174.76</v>
      </c>
      <c r="H233" t="b">
        <f t="shared" si="7"/>
        <v>1</v>
      </c>
    </row>
    <row r="234" spans="1:8" ht="30">
      <c r="A234" s="677">
        <v>12547</v>
      </c>
      <c r="B234" s="733" t="s">
        <v>8623</v>
      </c>
      <c r="C234" s="677" t="s">
        <v>1690</v>
      </c>
      <c r="D234" s="738">
        <f t="shared" si="6"/>
        <v>235.04</v>
      </c>
      <c r="F234" s="1405">
        <v>235.04</v>
      </c>
      <c r="G234" s="1405">
        <v>235.04</v>
      </c>
      <c r="H234" t="b">
        <f t="shared" si="7"/>
        <v>1</v>
      </c>
    </row>
    <row r="235" spans="1:8" ht="30">
      <c r="A235" s="739">
        <v>43445</v>
      </c>
      <c r="B235" s="740" t="s">
        <v>8624</v>
      </c>
      <c r="C235" s="739" t="s">
        <v>1690</v>
      </c>
      <c r="D235" s="741">
        <f t="shared" si="6"/>
        <v>616.80999999999995</v>
      </c>
      <c r="F235" s="1406">
        <v>616.80999999999995</v>
      </c>
      <c r="G235" s="1406">
        <v>616.80999999999995</v>
      </c>
      <c r="H235" t="b">
        <f t="shared" si="7"/>
        <v>1</v>
      </c>
    </row>
    <row r="236" spans="1:8" ht="30">
      <c r="A236" s="677">
        <v>12563</v>
      </c>
      <c r="B236" s="733" t="s">
        <v>8625</v>
      </c>
      <c r="C236" s="677" t="s">
        <v>1690</v>
      </c>
      <c r="D236" s="738">
        <f t="shared" si="6"/>
        <v>441.31</v>
      </c>
      <c r="F236" s="1405">
        <v>441.31</v>
      </c>
      <c r="G236" s="1405">
        <v>441.31</v>
      </c>
      <c r="H236" t="b">
        <f t="shared" si="7"/>
        <v>1</v>
      </c>
    </row>
    <row r="237" spans="1:8" ht="30">
      <c r="A237" s="739">
        <v>43425</v>
      </c>
      <c r="B237" s="740" t="s">
        <v>8626</v>
      </c>
      <c r="C237" s="739" t="s">
        <v>1690</v>
      </c>
      <c r="D237" s="741">
        <f t="shared" si="6"/>
        <v>277.56</v>
      </c>
      <c r="F237" s="1406">
        <v>277.56</v>
      </c>
      <c r="G237" s="1406">
        <v>277.56</v>
      </c>
      <c r="H237" t="b">
        <f t="shared" si="7"/>
        <v>1</v>
      </c>
    </row>
    <row r="238" spans="1:8" ht="30">
      <c r="A238" s="677">
        <v>43446</v>
      </c>
      <c r="B238" s="733" t="s">
        <v>8627</v>
      </c>
      <c r="C238" s="677" t="s">
        <v>1690</v>
      </c>
      <c r="D238" s="738">
        <f t="shared" si="6"/>
        <v>585.97</v>
      </c>
      <c r="F238" s="1405">
        <v>585.97</v>
      </c>
      <c r="G238" s="1405">
        <v>585.97</v>
      </c>
      <c r="H238" t="b">
        <f t="shared" si="7"/>
        <v>1</v>
      </c>
    </row>
    <row r="239" spans="1:8" ht="30">
      <c r="A239" s="739">
        <v>43447</v>
      </c>
      <c r="B239" s="740" t="s">
        <v>8628</v>
      </c>
      <c r="C239" s="739" t="s">
        <v>1690</v>
      </c>
      <c r="D239" s="741">
        <f t="shared" si="6"/>
        <v>719.61</v>
      </c>
      <c r="F239" s="1406">
        <v>719.61</v>
      </c>
      <c r="G239" s="1406">
        <v>719.61</v>
      </c>
      <c r="H239" t="b">
        <f t="shared" si="7"/>
        <v>1</v>
      </c>
    </row>
    <row r="240" spans="1:8" ht="30">
      <c r="A240" s="677">
        <v>43448</v>
      </c>
      <c r="B240" s="733" t="s">
        <v>8629</v>
      </c>
      <c r="C240" s="677" t="s">
        <v>1690</v>
      </c>
      <c r="D240" s="738">
        <f t="shared" si="6"/>
        <v>1007.46</v>
      </c>
      <c r="F240" s="1405">
        <v>1007.46</v>
      </c>
      <c r="G240" s="1405">
        <v>1007.46</v>
      </c>
      <c r="H240" t="b">
        <f t="shared" si="7"/>
        <v>1</v>
      </c>
    </row>
    <row r="241" spans="1:8" ht="30">
      <c r="A241" s="739">
        <v>13761</v>
      </c>
      <c r="B241" s="740" t="s">
        <v>8630</v>
      </c>
      <c r="C241" s="739" t="s">
        <v>1690</v>
      </c>
      <c r="D241" s="741">
        <f t="shared" si="6"/>
        <v>3300.12</v>
      </c>
      <c r="F241" s="1406">
        <v>3300.12</v>
      </c>
      <c r="G241" s="1406">
        <v>3300.12</v>
      </c>
      <c r="H241" t="b">
        <f t="shared" si="7"/>
        <v>1</v>
      </c>
    </row>
    <row r="242" spans="1:8" ht="30">
      <c r="A242" s="677">
        <v>4814</v>
      </c>
      <c r="B242" s="733" t="s">
        <v>8631</v>
      </c>
      <c r="C242" s="677" t="s">
        <v>1690</v>
      </c>
      <c r="D242" s="738">
        <f t="shared" si="6"/>
        <v>49.63</v>
      </c>
      <c r="F242" s="1405">
        <v>49.63</v>
      </c>
      <c r="G242" s="1405">
        <v>49.63</v>
      </c>
      <c r="H242" t="b">
        <f t="shared" si="7"/>
        <v>1</v>
      </c>
    </row>
    <row r="243" spans="1:8">
      <c r="A243" s="739">
        <v>44473</v>
      </c>
      <c r="B243" s="740" t="s">
        <v>8632</v>
      </c>
      <c r="C243" s="739" t="s">
        <v>1690</v>
      </c>
      <c r="D243" s="741">
        <f t="shared" si="6"/>
        <v>2162.0100000000002</v>
      </c>
      <c r="F243" s="1406">
        <v>2162.0100000000002</v>
      </c>
      <c r="G243" s="1406">
        <v>2162.0100000000002</v>
      </c>
      <c r="H243" t="b">
        <f t="shared" si="7"/>
        <v>1</v>
      </c>
    </row>
    <row r="244" spans="1:8">
      <c r="A244" s="677">
        <v>6122</v>
      </c>
      <c r="B244" s="733" t="s">
        <v>8633</v>
      </c>
      <c r="C244" s="677" t="s">
        <v>1689</v>
      </c>
      <c r="D244" s="738">
        <f t="shared" si="6"/>
        <v>20.43</v>
      </c>
      <c r="F244" s="1405">
        <v>17.739999999999998</v>
      </c>
      <c r="G244" s="1405">
        <v>20.43</v>
      </c>
      <c r="H244" t="b">
        <f t="shared" si="7"/>
        <v>0</v>
      </c>
    </row>
    <row r="245" spans="1:8">
      <c r="A245" s="739">
        <v>40810</v>
      </c>
      <c r="B245" s="740" t="s">
        <v>8634</v>
      </c>
      <c r="C245" s="739" t="s">
        <v>1696</v>
      </c>
      <c r="D245" s="741">
        <f t="shared" si="6"/>
        <v>3596.14</v>
      </c>
      <c r="F245" s="1406">
        <v>3118.9</v>
      </c>
      <c r="G245" s="1406">
        <v>3596.14</v>
      </c>
      <c r="H245" t="b">
        <f t="shared" si="7"/>
        <v>0</v>
      </c>
    </row>
    <row r="246" spans="1:8">
      <c r="A246" s="677">
        <v>21100</v>
      </c>
      <c r="B246" s="733" t="s">
        <v>8635</v>
      </c>
      <c r="C246" s="677" t="s">
        <v>1690</v>
      </c>
      <c r="D246" s="738">
        <f t="shared" si="6"/>
        <v>3845.1</v>
      </c>
      <c r="F246" s="1405">
        <v>3845.1</v>
      </c>
      <c r="G246" s="1405">
        <v>3845.1</v>
      </c>
      <c r="H246" t="b">
        <f t="shared" si="7"/>
        <v>1</v>
      </c>
    </row>
    <row r="247" spans="1:8" ht="30">
      <c r="A247" s="739">
        <v>11816</v>
      </c>
      <c r="B247" s="740" t="s">
        <v>8636</v>
      </c>
      <c r="C247" s="739" t="s">
        <v>1690</v>
      </c>
      <c r="D247" s="741">
        <f t="shared" si="6"/>
        <v>4100</v>
      </c>
      <c r="F247" s="1406">
        <v>4100</v>
      </c>
      <c r="G247" s="1406">
        <v>4100</v>
      </c>
      <c r="H247" t="b">
        <f t="shared" si="7"/>
        <v>1</v>
      </c>
    </row>
    <row r="248" spans="1:8" ht="30">
      <c r="A248" s="677">
        <v>11814</v>
      </c>
      <c r="B248" s="733" t="s">
        <v>8637</v>
      </c>
      <c r="C248" s="677" t="s">
        <v>1690</v>
      </c>
      <c r="D248" s="738">
        <f t="shared" si="6"/>
        <v>8924.67</v>
      </c>
      <c r="F248" s="1405">
        <v>8924.67</v>
      </c>
      <c r="G248" s="1405">
        <v>8924.67</v>
      </c>
      <c r="H248" t="b">
        <f t="shared" si="7"/>
        <v>1</v>
      </c>
    </row>
    <row r="249" spans="1:8" ht="30">
      <c r="A249" s="739">
        <v>14186</v>
      </c>
      <c r="B249" s="740" t="s">
        <v>8638</v>
      </c>
      <c r="C249" s="739" t="s">
        <v>1690</v>
      </c>
      <c r="D249" s="741">
        <f t="shared" si="6"/>
        <v>11206.13</v>
      </c>
      <c r="F249" s="1406">
        <v>11206.13</v>
      </c>
      <c r="G249" s="1406">
        <v>11206.13</v>
      </c>
      <c r="H249" t="b">
        <f t="shared" si="7"/>
        <v>1</v>
      </c>
    </row>
    <row r="250" spans="1:8" ht="30">
      <c r="A250" s="677">
        <v>14185</v>
      </c>
      <c r="B250" s="733" t="s">
        <v>8639</v>
      </c>
      <c r="C250" s="677" t="s">
        <v>1690</v>
      </c>
      <c r="D250" s="738">
        <f t="shared" si="6"/>
        <v>14516.3</v>
      </c>
      <c r="F250" s="1405">
        <v>14516.3</v>
      </c>
      <c r="G250" s="1405">
        <v>14516.3</v>
      </c>
      <c r="H250" t="b">
        <f t="shared" si="7"/>
        <v>1</v>
      </c>
    </row>
    <row r="251" spans="1:8" ht="30">
      <c r="A251" s="739">
        <v>11811</v>
      </c>
      <c r="B251" s="740" t="s">
        <v>8640</v>
      </c>
      <c r="C251" s="739" t="s">
        <v>1690</v>
      </c>
      <c r="D251" s="741">
        <f t="shared" si="6"/>
        <v>5550.48</v>
      </c>
      <c r="F251" s="1406">
        <v>5550.48</v>
      </c>
      <c r="G251" s="1406">
        <v>5550.48</v>
      </c>
      <c r="H251" t="b">
        <f t="shared" si="7"/>
        <v>1</v>
      </c>
    </row>
    <row r="252" spans="1:8">
      <c r="A252" s="677">
        <v>44498</v>
      </c>
      <c r="B252" s="733" t="s">
        <v>8641</v>
      </c>
      <c r="C252" s="677" t="s">
        <v>1690</v>
      </c>
      <c r="D252" s="738">
        <f t="shared" si="6"/>
        <v>318204.48</v>
      </c>
      <c r="F252" s="1405">
        <v>318204.48</v>
      </c>
      <c r="G252" s="1405">
        <v>318204.48</v>
      </c>
      <c r="H252" t="b">
        <f t="shared" si="7"/>
        <v>1</v>
      </c>
    </row>
    <row r="253" spans="1:8" ht="30">
      <c r="A253" s="739">
        <v>34469</v>
      </c>
      <c r="B253" s="740" t="s">
        <v>8642</v>
      </c>
      <c r="C253" s="739" t="s">
        <v>1690</v>
      </c>
      <c r="D253" s="741">
        <f t="shared" si="6"/>
        <v>11310.87</v>
      </c>
      <c r="F253" s="1406">
        <v>11310.87</v>
      </c>
      <c r="G253" s="1406">
        <v>11310.87</v>
      </c>
      <c r="H253" t="b">
        <f t="shared" si="7"/>
        <v>1</v>
      </c>
    </row>
    <row r="254" spans="1:8" ht="30">
      <c r="A254" s="677">
        <v>34476</v>
      </c>
      <c r="B254" s="733" t="s">
        <v>8643</v>
      </c>
      <c r="C254" s="677" t="s">
        <v>1690</v>
      </c>
      <c r="D254" s="738">
        <f t="shared" si="6"/>
        <v>5899.09</v>
      </c>
      <c r="F254" s="1405">
        <v>5899.09</v>
      </c>
      <c r="G254" s="1405">
        <v>5899.09</v>
      </c>
      <c r="H254" t="b">
        <f t="shared" si="7"/>
        <v>1</v>
      </c>
    </row>
    <row r="255" spans="1:8" ht="30">
      <c r="A255" s="739">
        <v>34477</v>
      </c>
      <c r="B255" s="740" t="s">
        <v>8644</v>
      </c>
      <c r="C255" s="739" t="s">
        <v>1690</v>
      </c>
      <c r="D255" s="741">
        <f t="shared" si="6"/>
        <v>7829.24</v>
      </c>
      <c r="F255" s="1406">
        <v>7829.24</v>
      </c>
      <c r="G255" s="1406">
        <v>7829.24</v>
      </c>
      <c r="H255" t="b">
        <f t="shared" si="7"/>
        <v>1</v>
      </c>
    </row>
    <row r="256" spans="1:8" ht="30">
      <c r="A256" s="677">
        <v>34482</v>
      </c>
      <c r="B256" s="733" t="s">
        <v>8645</v>
      </c>
      <c r="C256" s="677" t="s">
        <v>1690</v>
      </c>
      <c r="D256" s="738">
        <f t="shared" si="6"/>
        <v>7312.08</v>
      </c>
      <c r="F256" s="1405">
        <v>7312.08</v>
      </c>
      <c r="G256" s="1405">
        <v>7312.08</v>
      </c>
      <c r="H256" t="b">
        <f t="shared" si="7"/>
        <v>1</v>
      </c>
    </row>
    <row r="257" spans="1:8" ht="30">
      <c r="A257" s="739">
        <v>34472</v>
      </c>
      <c r="B257" s="740" t="s">
        <v>8646</v>
      </c>
      <c r="C257" s="739" t="s">
        <v>1690</v>
      </c>
      <c r="D257" s="741">
        <f t="shared" si="6"/>
        <v>3480</v>
      </c>
      <c r="F257" s="1406">
        <v>3480</v>
      </c>
      <c r="G257" s="1406">
        <v>3480</v>
      </c>
      <c r="H257" t="b">
        <f t="shared" si="7"/>
        <v>1</v>
      </c>
    </row>
    <row r="258" spans="1:8" ht="30">
      <c r="A258" s="677">
        <v>42425</v>
      </c>
      <c r="B258" s="733" t="s">
        <v>8647</v>
      </c>
      <c r="C258" s="677" t="s">
        <v>1690</v>
      </c>
      <c r="D258" s="738">
        <f t="shared" si="6"/>
        <v>2453.9699999999998</v>
      </c>
      <c r="F258" s="1405">
        <v>2453.9699999999998</v>
      </c>
      <c r="G258" s="1405">
        <v>2453.9699999999998</v>
      </c>
      <c r="H258" t="b">
        <f t="shared" si="7"/>
        <v>1</v>
      </c>
    </row>
    <row r="259" spans="1:8" ht="30">
      <c r="A259" s="739">
        <v>42422</v>
      </c>
      <c r="B259" s="740" t="s">
        <v>8648</v>
      </c>
      <c r="C259" s="739" t="s">
        <v>1690</v>
      </c>
      <c r="D259" s="741">
        <f t="shared" ref="D259:D322" si="8">IF($J$2=$F$1,F259,G259)</f>
        <v>3643</v>
      </c>
      <c r="F259" s="1406">
        <v>3643</v>
      </c>
      <c r="G259" s="1406">
        <v>3643</v>
      </c>
      <c r="H259" t="b">
        <f t="shared" ref="H259:H322" si="9">F259=G259</f>
        <v>1</v>
      </c>
    </row>
    <row r="260" spans="1:8" ht="30">
      <c r="A260" s="677">
        <v>43184</v>
      </c>
      <c r="B260" s="733" t="s">
        <v>8649</v>
      </c>
      <c r="C260" s="677" t="s">
        <v>1690</v>
      </c>
      <c r="D260" s="738">
        <f t="shared" si="8"/>
        <v>5034.97</v>
      </c>
      <c r="F260" s="1405">
        <v>5034.97</v>
      </c>
      <c r="G260" s="1405">
        <v>5034.97</v>
      </c>
      <c r="H260" t="b">
        <f t="shared" si="9"/>
        <v>1</v>
      </c>
    </row>
    <row r="261" spans="1:8" ht="30">
      <c r="A261" s="739">
        <v>42424</v>
      </c>
      <c r="B261" s="740" t="s">
        <v>8650</v>
      </c>
      <c r="C261" s="739" t="s">
        <v>1690</v>
      </c>
      <c r="D261" s="741">
        <f t="shared" si="8"/>
        <v>2191.61</v>
      </c>
      <c r="F261" s="1406">
        <v>2191.61</v>
      </c>
      <c r="G261" s="1406">
        <v>2191.61</v>
      </c>
      <c r="H261" t="b">
        <f t="shared" si="9"/>
        <v>1</v>
      </c>
    </row>
    <row r="262" spans="1:8" ht="30">
      <c r="A262" s="677">
        <v>42421</v>
      </c>
      <c r="B262" s="733" t="s">
        <v>8651</v>
      </c>
      <c r="C262" s="677" t="s">
        <v>1690</v>
      </c>
      <c r="D262" s="738">
        <f t="shared" si="8"/>
        <v>19954.349999999999</v>
      </c>
      <c r="F262" s="1405">
        <v>19954.349999999999</v>
      </c>
      <c r="G262" s="1405">
        <v>19954.349999999999</v>
      </c>
      <c r="H262" t="b">
        <f t="shared" si="9"/>
        <v>1</v>
      </c>
    </row>
    <row r="263" spans="1:8" ht="30">
      <c r="A263" s="739">
        <v>42416</v>
      </c>
      <c r="B263" s="740" t="s">
        <v>8652</v>
      </c>
      <c r="C263" s="739" t="s">
        <v>1690</v>
      </c>
      <c r="D263" s="741">
        <f t="shared" si="8"/>
        <v>9447.77</v>
      </c>
      <c r="F263" s="1406">
        <v>9447.77</v>
      </c>
      <c r="G263" s="1406">
        <v>9447.77</v>
      </c>
      <c r="H263" t="b">
        <f t="shared" si="9"/>
        <v>1</v>
      </c>
    </row>
    <row r="264" spans="1:8" ht="30">
      <c r="A264" s="677">
        <v>42417</v>
      </c>
      <c r="B264" s="733" t="s">
        <v>8653</v>
      </c>
      <c r="C264" s="677" t="s">
        <v>1690</v>
      </c>
      <c r="D264" s="738">
        <f t="shared" si="8"/>
        <v>10591.72</v>
      </c>
      <c r="F264" s="1405">
        <v>10591.72</v>
      </c>
      <c r="G264" s="1405">
        <v>10591.72</v>
      </c>
      <c r="H264" t="b">
        <f t="shared" si="9"/>
        <v>1</v>
      </c>
    </row>
    <row r="265" spans="1:8" ht="30">
      <c r="A265" s="739">
        <v>42419</v>
      </c>
      <c r="B265" s="740" t="s">
        <v>8654</v>
      </c>
      <c r="C265" s="739" t="s">
        <v>1690</v>
      </c>
      <c r="D265" s="741">
        <f t="shared" si="8"/>
        <v>11966.4</v>
      </c>
      <c r="F265" s="1406">
        <v>11966.4</v>
      </c>
      <c r="G265" s="1406">
        <v>11966.4</v>
      </c>
      <c r="H265" t="b">
        <f t="shared" si="9"/>
        <v>1</v>
      </c>
    </row>
    <row r="266" spans="1:8" ht="30">
      <c r="A266" s="677">
        <v>42420</v>
      </c>
      <c r="B266" s="733" t="s">
        <v>8655</v>
      </c>
      <c r="C266" s="677" t="s">
        <v>1690</v>
      </c>
      <c r="D266" s="738">
        <f t="shared" si="8"/>
        <v>16446.93</v>
      </c>
      <c r="F266" s="1405">
        <v>16446.93</v>
      </c>
      <c r="G266" s="1405">
        <v>16446.93</v>
      </c>
      <c r="H266" t="b">
        <f t="shared" si="9"/>
        <v>1</v>
      </c>
    </row>
    <row r="267" spans="1:8" ht="30">
      <c r="A267" s="739">
        <v>43195</v>
      </c>
      <c r="B267" s="740" t="s">
        <v>8656</v>
      </c>
      <c r="C267" s="739" t="s">
        <v>1690</v>
      </c>
      <c r="D267" s="741">
        <f t="shared" si="8"/>
        <v>5791.2</v>
      </c>
      <c r="F267" s="1406">
        <v>5791.2</v>
      </c>
      <c r="G267" s="1406">
        <v>5791.2</v>
      </c>
      <c r="H267" t="b">
        <f t="shared" si="9"/>
        <v>1</v>
      </c>
    </row>
    <row r="268" spans="1:8" ht="30">
      <c r="A268" s="677">
        <v>43196</v>
      </c>
      <c r="B268" s="733" t="s">
        <v>8657</v>
      </c>
      <c r="C268" s="677" t="s">
        <v>1690</v>
      </c>
      <c r="D268" s="738">
        <f t="shared" si="8"/>
        <v>7177.36</v>
      </c>
      <c r="F268" s="1405">
        <v>7177.36</v>
      </c>
      <c r="G268" s="1405">
        <v>7177.36</v>
      </c>
      <c r="H268" t="b">
        <f t="shared" si="9"/>
        <v>1</v>
      </c>
    </row>
    <row r="269" spans="1:8" ht="30">
      <c r="A269" s="739">
        <v>43198</v>
      </c>
      <c r="B269" s="740" t="s">
        <v>8658</v>
      </c>
      <c r="C269" s="739" t="s">
        <v>1690</v>
      </c>
      <c r="D269" s="741">
        <f t="shared" si="8"/>
        <v>10665.38</v>
      </c>
      <c r="F269" s="1406">
        <v>10665.38</v>
      </c>
      <c r="G269" s="1406">
        <v>10665.38</v>
      </c>
      <c r="H269" t="b">
        <f t="shared" si="9"/>
        <v>1</v>
      </c>
    </row>
    <row r="270" spans="1:8" ht="30">
      <c r="A270" s="677">
        <v>43199</v>
      </c>
      <c r="B270" s="733" t="s">
        <v>8659</v>
      </c>
      <c r="C270" s="677" t="s">
        <v>1690</v>
      </c>
      <c r="D270" s="738">
        <f t="shared" si="8"/>
        <v>11056.2</v>
      </c>
      <c r="F270" s="1405">
        <v>11056.2</v>
      </c>
      <c r="G270" s="1405">
        <v>11056.2</v>
      </c>
      <c r="H270" t="b">
        <f t="shared" si="9"/>
        <v>1</v>
      </c>
    </row>
    <row r="271" spans="1:8" ht="30">
      <c r="A271" s="739">
        <v>43200</v>
      </c>
      <c r="B271" s="740" t="s">
        <v>8660</v>
      </c>
      <c r="C271" s="739" t="s">
        <v>1690</v>
      </c>
      <c r="D271" s="741">
        <f t="shared" si="8"/>
        <v>12687.79</v>
      </c>
      <c r="F271" s="1406">
        <v>12687.79</v>
      </c>
      <c r="G271" s="1406">
        <v>12687.79</v>
      </c>
      <c r="H271" t="b">
        <f t="shared" si="9"/>
        <v>1</v>
      </c>
    </row>
    <row r="272" spans="1:8" ht="30">
      <c r="A272" s="677">
        <v>39556</v>
      </c>
      <c r="B272" s="733" t="s">
        <v>8661</v>
      </c>
      <c r="C272" s="677" t="s">
        <v>1690</v>
      </c>
      <c r="D272" s="738">
        <f t="shared" si="8"/>
        <v>6929.7</v>
      </c>
      <c r="F272" s="1405">
        <v>6929.7</v>
      </c>
      <c r="G272" s="1405">
        <v>6929.7</v>
      </c>
      <c r="H272" t="b">
        <f t="shared" si="9"/>
        <v>1</v>
      </c>
    </row>
    <row r="273" spans="1:8" ht="30">
      <c r="A273" s="739">
        <v>39557</v>
      </c>
      <c r="B273" s="740" t="s">
        <v>8662</v>
      </c>
      <c r="C273" s="739" t="s">
        <v>1690</v>
      </c>
      <c r="D273" s="741">
        <f t="shared" si="8"/>
        <v>7461.77</v>
      </c>
      <c r="F273" s="1406">
        <v>7461.77</v>
      </c>
      <c r="G273" s="1406">
        <v>7461.77</v>
      </c>
      <c r="H273" t="b">
        <f t="shared" si="9"/>
        <v>1</v>
      </c>
    </row>
    <row r="274" spans="1:8" ht="30">
      <c r="A274" s="677">
        <v>39559</v>
      </c>
      <c r="B274" s="733" t="s">
        <v>8663</v>
      </c>
      <c r="C274" s="677" t="s">
        <v>1690</v>
      </c>
      <c r="D274" s="738">
        <f t="shared" si="8"/>
        <v>11027.07</v>
      </c>
      <c r="F274" s="1405">
        <v>11027.07</v>
      </c>
      <c r="G274" s="1405">
        <v>11027.07</v>
      </c>
      <c r="H274" t="b">
        <f t="shared" si="9"/>
        <v>1</v>
      </c>
    </row>
    <row r="275" spans="1:8" ht="30">
      <c r="A275" s="739">
        <v>39560</v>
      </c>
      <c r="B275" s="740" t="s">
        <v>8664</v>
      </c>
      <c r="C275" s="739" t="s">
        <v>1690</v>
      </c>
      <c r="D275" s="741">
        <f t="shared" si="8"/>
        <v>12757.24</v>
      </c>
      <c r="F275" s="1406">
        <v>12757.24</v>
      </c>
      <c r="G275" s="1406">
        <v>12757.24</v>
      </c>
      <c r="H275" t="b">
        <f t="shared" si="9"/>
        <v>1</v>
      </c>
    </row>
    <row r="276" spans="1:8" ht="30">
      <c r="A276" s="677">
        <v>39561</v>
      </c>
      <c r="B276" s="733" t="s">
        <v>8665</v>
      </c>
      <c r="C276" s="677" t="s">
        <v>1690</v>
      </c>
      <c r="D276" s="738">
        <f t="shared" si="8"/>
        <v>13345.7</v>
      </c>
      <c r="F276" s="1405">
        <v>13345.7</v>
      </c>
      <c r="G276" s="1405">
        <v>13345.7</v>
      </c>
      <c r="H276" t="b">
        <f t="shared" si="9"/>
        <v>1</v>
      </c>
    </row>
    <row r="277" spans="1:8" ht="30">
      <c r="A277" s="739">
        <v>43190</v>
      </c>
      <c r="B277" s="740" t="s">
        <v>8666</v>
      </c>
      <c r="C277" s="739" t="s">
        <v>1690</v>
      </c>
      <c r="D277" s="741">
        <f t="shared" si="8"/>
        <v>1969.47</v>
      </c>
      <c r="F277" s="1406">
        <v>1969.47</v>
      </c>
      <c r="G277" s="1406">
        <v>1969.47</v>
      </c>
      <c r="H277" t="b">
        <f t="shared" si="9"/>
        <v>1</v>
      </c>
    </row>
    <row r="278" spans="1:8" ht="30">
      <c r="A278" s="677">
        <v>39555</v>
      </c>
      <c r="B278" s="733" t="s">
        <v>8667</v>
      </c>
      <c r="C278" s="677" t="s">
        <v>1690</v>
      </c>
      <c r="D278" s="738">
        <f t="shared" si="8"/>
        <v>2130.46</v>
      </c>
      <c r="F278" s="1405">
        <v>2130.46</v>
      </c>
      <c r="G278" s="1405">
        <v>2130.46</v>
      </c>
      <c r="H278" t="b">
        <f t="shared" si="9"/>
        <v>1</v>
      </c>
    </row>
    <row r="279" spans="1:8" ht="30">
      <c r="A279" s="739">
        <v>43191</v>
      </c>
      <c r="B279" s="740" t="s">
        <v>8668</v>
      </c>
      <c r="C279" s="739" t="s">
        <v>1690</v>
      </c>
      <c r="D279" s="741">
        <f t="shared" si="8"/>
        <v>2833.81</v>
      </c>
      <c r="F279" s="1406">
        <v>2833.81</v>
      </c>
      <c r="G279" s="1406">
        <v>2833.81</v>
      </c>
      <c r="H279" t="b">
        <f t="shared" si="9"/>
        <v>1</v>
      </c>
    </row>
    <row r="280" spans="1:8" ht="30">
      <c r="A280" s="677">
        <v>39548</v>
      </c>
      <c r="B280" s="733" t="s">
        <v>8669</v>
      </c>
      <c r="C280" s="677" t="s">
        <v>1690</v>
      </c>
      <c r="D280" s="738">
        <f t="shared" si="8"/>
        <v>3160.13</v>
      </c>
      <c r="F280" s="1405">
        <v>3160.13</v>
      </c>
      <c r="G280" s="1405">
        <v>3160.13</v>
      </c>
      <c r="H280" t="b">
        <f t="shared" si="9"/>
        <v>1</v>
      </c>
    </row>
    <row r="281" spans="1:8" ht="30">
      <c r="A281" s="739">
        <v>43192</v>
      </c>
      <c r="B281" s="740" t="s">
        <v>8670</v>
      </c>
      <c r="C281" s="739" t="s">
        <v>1690</v>
      </c>
      <c r="D281" s="741">
        <f t="shared" si="8"/>
        <v>3712.03</v>
      </c>
      <c r="F281" s="1406">
        <v>3712.03</v>
      </c>
      <c r="G281" s="1406">
        <v>3712.03</v>
      </c>
      <c r="H281" t="b">
        <f t="shared" si="9"/>
        <v>1</v>
      </c>
    </row>
    <row r="282" spans="1:8" ht="30">
      <c r="A282" s="677">
        <v>39554</v>
      </c>
      <c r="B282" s="733" t="s">
        <v>8671</v>
      </c>
      <c r="C282" s="677" t="s">
        <v>1690</v>
      </c>
      <c r="D282" s="738">
        <f t="shared" si="8"/>
        <v>4178.8</v>
      </c>
      <c r="F282" s="1405">
        <v>4178.8</v>
      </c>
      <c r="G282" s="1405">
        <v>4178.8</v>
      </c>
      <c r="H282" t="b">
        <f t="shared" si="9"/>
        <v>1</v>
      </c>
    </row>
    <row r="283" spans="1:8" ht="30">
      <c r="A283" s="739">
        <v>43194</v>
      </c>
      <c r="B283" s="740" t="s">
        <v>8672</v>
      </c>
      <c r="C283" s="739" t="s">
        <v>1690</v>
      </c>
      <c r="D283" s="741">
        <f t="shared" si="8"/>
        <v>1687.19</v>
      </c>
      <c r="F283" s="1406">
        <v>1687.19</v>
      </c>
      <c r="G283" s="1406">
        <v>1687.19</v>
      </c>
      <c r="H283" t="b">
        <f t="shared" si="9"/>
        <v>1</v>
      </c>
    </row>
    <row r="284" spans="1:8" ht="30">
      <c r="A284" s="677">
        <v>39551</v>
      </c>
      <c r="B284" s="733" t="s">
        <v>8673</v>
      </c>
      <c r="C284" s="677" t="s">
        <v>1690</v>
      </c>
      <c r="D284" s="738">
        <f t="shared" si="8"/>
        <v>1857.77</v>
      </c>
      <c r="F284" s="1405">
        <v>1857.77</v>
      </c>
      <c r="G284" s="1405">
        <v>1857.77</v>
      </c>
      <c r="H284" t="b">
        <f t="shared" si="9"/>
        <v>1</v>
      </c>
    </row>
    <row r="285" spans="1:8" ht="30">
      <c r="A285" s="739">
        <v>43185</v>
      </c>
      <c r="B285" s="740" t="s">
        <v>8674</v>
      </c>
      <c r="C285" s="739" t="s">
        <v>1690</v>
      </c>
      <c r="D285" s="741">
        <f t="shared" si="8"/>
        <v>5279.46</v>
      </c>
      <c r="F285" s="1406">
        <v>5279.46</v>
      </c>
      <c r="G285" s="1406">
        <v>5279.46</v>
      </c>
      <c r="H285" t="b">
        <f t="shared" si="9"/>
        <v>1</v>
      </c>
    </row>
    <row r="286" spans="1:8" ht="30">
      <c r="A286" s="677">
        <v>43186</v>
      </c>
      <c r="B286" s="733" t="s">
        <v>8675</v>
      </c>
      <c r="C286" s="677" t="s">
        <v>1690</v>
      </c>
      <c r="D286" s="738">
        <f t="shared" si="8"/>
        <v>5568.77</v>
      </c>
      <c r="F286" s="1405">
        <v>5568.77</v>
      </c>
      <c r="G286" s="1405">
        <v>5568.77</v>
      </c>
      <c r="H286" t="b">
        <f t="shared" si="9"/>
        <v>1</v>
      </c>
    </row>
    <row r="287" spans="1:8" ht="30">
      <c r="A287" s="739">
        <v>43187</v>
      </c>
      <c r="B287" s="740" t="s">
        <v>8676</v>
      </c>
      <c r="C287" s="739" t="s">
        <v>1690</v>
      </c>
      <c r="D287" s="741">
        <f t="shared" si="8"/>
        <v>7389.81</v>
      </c>
      <c r="F287" s="1406">
        <v>7389.81</v>
      </c>
      <c r="G287" s="1406">
        <v>7389.81</v>
      </c>
      <c r="H287" t="b">
        <f t="shared" si="9"/>
        <v>1</v>
      </c>
    </row>
    <row r="288" spans="1:8" ht="30">
      <c r="A288" s="677">
        <v>43188</v>
      </c>
      <c r="B288" s="733" t="s">
        <v>8677</v>
      </c>
      <c r="C288" s="677" t="s">
        <v>1690</v>
      </c>
      <c r="D288" s="738">
        <f t="shared" si="8"/>
        <v>8953.73</v>
      </c>
      <c r="F288" s="1405">
        <v>8953.73</v>
      </c>
      <c r="G288" s="1405">
        <v>8953.73</v>
      </c>
      <c r="H288" t="b">
        <f t="shared" si="9"/>
        <v>1</v>
      </c>
    </row>
    <row r="289" spans="1:8" ht="30">
      <c r="A289" s="739">
        <v>43189</v>
      </c>
      <c r="B289" s="740" t="s">
        <v>8678</v>
      </c>
      <c r="C289" s="739" t="s">
        <v>1690</v>
      </c>
      <c r="D289" s="741">
        <f t="shared" si="8"/>
        <v>10071.459999999999</v>
      </c>
      <c r="F289" s="1406">
        <v>10071.459999999999</v>
      </c>
      <c r="G289" s="1406">
        <v>10071.459999999999</v>
      </c>
      <c r="H289" t="b">
        <f t="shared" si="9"/>
        <v>1</v>
      </c>
    </row>
    <row r="290" spans="1:8">
      <c r="A290" s="677">
        <v>39580</v>
      </c>
      <c r="B290" s="733" t="s">
        <v>8679</v>
      </c>
      <c r="C290" s="677" t="s">
        <v>1690</v>
      </c>
      <c r="D290" s="738">
        <f t="shared" si="8"/>
        <v>79367.199999999997</v>
      </c>
      <c r="F290" s="1405">
        <v>79367.199999999997</v>
      </c>
      <c r="G290" s="1405">
        <v>79367.199999999997</v>
      </c>
      <c r="H290" t="b">
        <f t="shared" si="9"/>
        <v>1</v>
      </c>
    </row>
    <row r="291" spans="1:8">
      <c r="A291" s="739">
        <v>39577</v>
      </c>
      <c r="B291" s="740" t="s">
        <v>8680</v>
      </c>
      <c r="C291" s="739" t="s">
        <v>1690</v>
      </c>
      <c r="D291" s="741">
        <f t="shared" si="8"/>
        <v>24841.759999999998</v>
      </c>
      <c r="F291" s="1406">
        <v>24841.759999999998</v>
      </c>
      <c r="G291" s="1406">
        <v>24841.759999999998</v>
      </c>
      <c r="H291" t="b">
        <f t="shared" si="9"/>
        <v>1</v>
      </c>
    </row>
    <row r="292" spans="1:8">
      <c r="A292" s="677">
        <v>39578</v>
      </c>
      <c r="B292" s="733" t="s">
        <v>8681</v>
      </c>
      <c r="C292" s="677" t="s">
        <v>1690</v>
      </c>
      <c r="D292" s="738">
        <f t="shared" si="8"/>
        <v>32058.79</v>
      </c>
      <c r="F292" s="1405">
        <v>32058.79</v>
      </c>
      <c r="G292" s="1405">
        <v>32058.79</v>
      </c>
      <c r="H292" t="b">
        <f t="shared" si="9"/>
        <v>1</v>
      </c>
    </row>
    <row r="293" spans="1:8">
      <c r="A293" s="739">
        <v>39579</v>
      </c>
      <c r="B293" s="740" t="s">
        <v>8682</v>
      </c>
      <c r="C293" s="739" t="s">
        <v>1690</v>
      </c>
      <c r="D293" s="741">
        <f t="shared" si="8"/>
        <v>46643.02</v>
      </c>
      <c r="F293" s="1406">
        <v>46643.02</v>
      </c>
      <c r="G293" s="1406">
        <v>46643.02</v>
      </c>
      <c r="H293" t="b">
        <f t="shared" si="9"/>
        <v>1</v>
      </c>
    </row>
    <row r="294" spans="1:8" ht="30">
      <c r="A294" s="677">
        <v>39826</v>
      </c>
      <c r="B294" s="733" t="s">
        <v>8683</v>
      </c>
      <c r="C294" s="677" t="s">
        <v>1690</v>
      </c>
      <c r="D294" s="738">
        <f t="shared" si="8"/>
        <v>5728.61</v>
      </c>
      <c r="F294" s="1405">
        <v>5728.61</v>
      </c>
      <c r="G294" s="1405">
        <v>5728.61</v>
      </c>
      <c r="H294" t="b">
        <f t="shared" si="9"/>
        <v>1</v>
      </c>
    </row>
    <row r="295" spans="1:8">
      <c r="A295" s="739">
        <v>10700</v>
      </c>
      <c r="B295" s="740" t="s">
        <v>8684</v>
      </c>
      <c r="C295" s="739" t="s">
        <v>1690</v>
      </c>
      <c r="D295" s="741">
        <f t="shared" si="8"/>
        <v>23610.91</v>
      </c>
      <c r="F295" s="1406">
        <v>23610.91</v>
      </c>
      <c r="G295" s="1406">
        <v>23610.91</v>
      </c>
      <c r="H295" t="b">
        <f t="shared" si="9"/>
        <v>1</v>
      </c>
    </row>
    <row r="296" spans="1:8">
      <c r="A296" s="677">
        <v>346</v>
      </c>
      <c r="B296" s="733" t="s">
        <v>8685</v>
      </c>
      <c r="C296" s="677" t="s">
        <v>1694</v>
      </c>
      <c r="D296" s="738">
        <f t="shared" si="8"/>
        <v>30.21</v>
      </c>
      <c r="F296" s="1405">
        <v>30.21</v>
      </c>
      <c r="G296" s="1405">
        <v>30.21</v>
      </c>
      <c r="H296" t="b">
        <f t="shared" si="9"/>
        <v>1</v>
      </c>
    </row>
    <row r="297" spans="1:8">
      <c r="A297" s="739">
        <v>3312</v>
      </c>
      <c r="B297" s="740" t="s">
        <v>8686</v>
      </c>
      <c r="C297" s="739" t="s">
        <v>1694</v>
      </c>
      <c r="D297" s="741">
        <f t="shared" si="8"/>
        <v>26.75</v>
      </c>
      <c r="F297" s="1406">
        <v>26.75</v>
      </c>
      <c r="G297" s="1406">
        <v>26.75</v>
      </c>
      <c r="H297" t="b">
        <f t="shared" si="9"/>
        <v>1</v>
      </c>
    </row>
    <row r="298" spans="1:8">
      <c r="A298" s="677">
        <v>339</v>
      </c>
      <c r="B298" s="733" t="s">
        <v>8687</v>
      </c>
      <c r="C298" s="677" t="s">
        <v>1693</v>
      </c>
      <c r="D298" s="738">
        <f t="shared" si="8"/>
        <v>1.56</v>
      </c>
      <c r="F298" s="1405">
        <v>1.56</v>
      </c>
      <c r="G298" s="1405">
        <v>1.56</v>
      </c>
      <c r="H298" t="b">
        <f t="shared" si="9"/>
        <v>1</v>
      </c>
    </row>
    <row r="299" spans="1:8">
      <c r="A299" s="739">
        <v>340</v>
      </c>
      <c r="B299" s="740" t="s">
        <v>8688</v>
      </c>
      <c r="C299" s="739" t="s">
        <v>1693</v>
      </c>
      <c r="D299" s="741">
        <f t="shared" si="8"/>
        <v>1.4</v>
      </c>
      <c r="F299" s="1406">
        <v>1.4</v>
      </c>
      <c r="G299" s="1406">
        <v>1.4</v>
      </c>
      <c r="H299" t="b">
        <f t="shared" si="9"/>
        <v>1</v>
      </c>
    </row>
    <row r="300" spans="1:8">
      <c r="A300" s="677">
        <v>43130</v>
      </c>
      <c r="B300" s="733" t="s">
        <v>8689</v>
      </c>
      <c r="C300" s="677" t="s">
        <v>1694</v>
      </c>
      <c r="D300" s="738">
        <f t="shared" si="8"/>
        <v>25.5</v>
      </c>
      <c r="F300" s="1405">
        <v>25.5</v>
      </c>
      <c r="G300" s="1405">
        <v>25.5</v>
      </c>
      <c r="H300" t="b">
        <f t="shared" si="9"/>
        <v>1</v>
      </c>
    </row>
    <row r="301" spans="1:8">
      <c r="A301" s="739">
        <v>344</v>
      </c>
      <c r="B301" s="740" t="s">
        <v>8690</v>
      </c>
      <c r="C301" s="739" t="s">
        <v>1694</v>
      </c>
      <c r="D301" s="741">
        <f t="shared" si="8"/>
        <v>33.520000000000003</v>
      </c>
      <c r="F301" s="1406">
        <v>33.520000000000003</v>
      </c>
      <c r="G301" s="1406">
        <v>33.520000000000003</v>
      </c>
      <c r="H301" t="b">
        <f t="shared" si="9"/>
        <v>1</v>
      </c>
    </row>
    <row r="302" spans="1:8">
      <c r="A302" s="677">
        <v>345</v>
      </c>
      <c r="B302" s="733" t="s">
        <v>8691</v>
      </c>
      <c r="C302" s="677" t="s">
        <v>1694</v>
      </c>
      <c r="D302" s="738">
        <f t="shared" si="8"/>
        <v>36.369999999999997</v>
      </c>
      <c r="F302" s="1405">
        <v>36.369999999999997</v>
      </c>
      <c r="G302" s="1405">
        <v>36.369999999999997</v>
      </c>
      <c r="H302" t="b">
        <f t="shared" si="9"/>
        <v>1</v>
      </c>
    </row>
    <row r="303" spans="1:8" ht="30">
      <c r="A303" s="739">
        <v>43131</v>
      </c>
      <c r="B303" s="740" t="s">
        <v>8692</v>
      </c>
      <c r="C303" s="739" t="s">
        <v>1694</v>
      </c>
      <c r="D303" s="741">
        <f t="shared" si="8"/>
        <v>29.62</v>
      </c>
      <c r="F303" s="1406">
        <v>29.62</v>
      </c>
      <c r="G303" s="1406">
        <v>29.62</v>
      </c>
      <c r="H303" t="b">
        <f t="shared" si="9"/>
        <v>1</v>
      </c>
    </row>
    <row r="304" spans="1:8">
      <c r="A304" s="677">
        <v>3313</v>
      </c>
      <c r="B304" s="733" t="s">
        <v>8693</v>
      </c>
      <c r="C304" s="677" t="s">
        <v>1694</v>
      </c>
      <c r="D304" s="738">
        <f t="shared" si="8"/>
        <v>34.43</v>
      </c>
      <c r="F304" s="1405">
        <v>34.43</v>
      </c>
      <c r="G304" s="1405">
        <v>34.43</v>
      </c>
      <c r="H304" t="b">
        <f t="shared" si="9"/>
        <v>1</v>
      </c>
    </row>
    <row r="305" spans="1:8">
      <c r="A305" s="739">
        <v>43132</v>
      </c>
      <c r="B305" s="740" t="s">
        <v>8694</v>
      </c>
      <c r="C305" s="739" t="s">
        <v>1694</v>
      </c>
      <c r="D305" s="741">
        <f t="shared" si="8"/>
        <v>25.5</v>
      </c>
      <c r="F305" s="1406">
        <v>25.5</v>
      </c>
      <c r="G305" s="1406">
        <v>25.5</v>
      </c>
      <c r="H305" t="b">
        <f t="shared" si="9"/>
        <v>1</v>
      </c>
    </row>
    <row r="306" spans="1:8">
      <c r="A306" s="677">
        <v>366</v>
      </c>
      <c r="B306" s="733" t="s">
        <v>8695</v>
      </c>
      <c r="C306" s="677" t="s">
        <v>1691</v>
      </c>
      <c r="D306" s="738">
        <f t="shared" si="8"/>
        <v>140</v>
      </c>
      <c r="F306" s="1405">
        <v>140</v>
      </c>
      <c r="G306" s="1405">
        <v>140</v>
      </c>
      <c r="H306" t="b">
        <f t="shared" si="9"/>
        <v>1</v>
      </c>
    </row>
    <row r="307" spans="1:8">
      <c r="A307" s="739">
        <v>367</v>
      </c>
      <c r="B307" s="740" t="s">
        <v>8696</v>
      </c>
      <c r="C307" s="739" t="s">
        <v>1691</v>
      </c>
      <c r="D307" s="741">
        <f t="shared" si="8"/>
        <v>141.83000000000001</v>
      </c>
      <c r="F307" s="1406">
        <v>141.83000000000001</v>
      </c>
      <c r="G307" s="1406">
        <v>141.83000000000001</v>
      </c>
      <c r="H307" t="b">
        <f t="shared" si="9"/>
        <v>1</v>
      </c>
    </row>
    <row r="308" spans="1:8">
      <c r="A308" s="677">
        <v>370</v>
      </c>
      <c r="B308" s="733" t="s">
        <v>8697</v>
      </c>
      <c r="C308" s="677" t="s">
        <v>1691</v>
      </c>
      <c r="D308" s="738">
        <f t="shared" si="8"/>
        <v>140</v>
      </c>
      <c r="F308" s="1405">
        <v>140</v>
      </c>
      <c r="G308" s="1405">
        <v>140</v>
      </c>
      <c r="H308" t="b">
        <f t="shared" si="9"/>
        <v>1</v>
      </c>
    </row>
    <row r="309" spans="1:8">
      <c r="A309" s="739">
        <v>368</v>
      </c>
      <c r="B309" s="740" t="s">
        <v>8698</v>
      </c>
      <c r="C309" s="739" t="s">
        <v>1691</v>
      </c>
      <c r="D309" s="741">
        <f t="shared" si="8"/>
        <v>70</v>
      </c>
      <c r="F309" s="1406">
        <v>70</v>
      </c>
      <c r="G309" s="1406">
        <v>70</v>
      </c>
      <c r="H309" t="b">
        <f t="shared" si="9"/>
        <v>1</v>
      </c>
    </row>
    <row r="310" spans="1:8">
      <c r="A310" s="677">
        <v>11075</v>
      </c>
      <c r="B310" s="733" t="s">
        <v>8699</v>
      </c>
      <c r="C310" s="677" t="s">
        <v>1691</v>
      </c>
      <c r="D310" s="738">
        <f t="shared" si="8"/>
        <v>1606.76</v>
      </c>
      <c r="F310" s="1405">
        <v>1606.76</v>
      </c>
      <c r="G310" s="1405">
        <v>1606.76</v>
      </c>
      <c r="H310" t="b">
        <f t="shared" si="9"/>
        <v>1</v>
      </c>
    </row>
    <row r="311" spans="1:8">
      <c r="A311" s="739">
        <v>1381</v>
      </c>
      <c r="B311" s="740" t="s">
        <v>8700</v>
      </c>
      <c r="C311" s="739" t="s">
        <v>1694</v>
      </c>
      <c r="D311" s="741">
        <f t="shared" si="8"/>
        <v>1.1299999999999999</v>
      </c>
      <c r="F311" s="1406">
        <v>1.1299999999999999</v>
      </c>
      <c r="G311" s="1406">
        <v>1.1299999999999999</v>
      </c>
      <c r="H311" t="b">
        <f t="shared" si="9"/>
        <v>1</v>
      </c>
    </row>
    <row r="312" spans="1:8">
      <c r="A312" s="677">
        <v>34353</v>
      </c>
      <c r="B312" s="733" t="s">
        <v>8701</v>
      </c>
      <c r="C312" s="677" t="s">
        <v>1694</v>
      </c>
      <c r="D312" s="738">
        <f t="shared" si="8"/>
        <v>2.1</v>
      </c>
      <c r="F312" s="1405">
        <v>2.1</v>
      </c>
      <c r="G312" s="1405">
        <v>2.1</v>
      </c>
      <c r="H312" t="b">
        <f t="shared" si="9"/>
        <v>1</v>
      </c>
    </row>
    <row r="313" spans="1:8">
      <c r="A313" s="739">
        <v>37595</v>
      </c>
      <c r="B313" s="740" t="s">
        <v>8702</v>
      </c>
      <c r="C313" s="739" t="s">
        <v>1694</v>
      </c>
      <c r="D313" s="741">
        <f t="shared" si="8"/>
        <v>3.47</v>
      </c>
      <c r="F313" s="1406">
        <v>3.47</v>
      </c>
      <c r="G313" s="1406">
        <v>3.47</v>
      </c>
      <c r="H313" t="b">
        <f t="shared" si="9"/>
        <v>1</v>
      </c>
    </row>
    <row r="314" spans="1:8">
      <c r="A314" s="677">
        <v>37596</v>
      </c>
      <c r="B314" s="733" t="s">
        <v>8703</v>
      </c>
      <c r="C314" s="677" t="s">
        <v>1694</v>
      </c>
      <c r="D314" s="738">
        <f t="shared" si="8"/>
        <v>3.98</v>
      </c>
      <c r="F314" s="1405">
        <v>3.98</v>
      </c>
      <c r="G314" s="1405">
        <v>3.98</v>
      </c>
      <c r="H314" t="b">
        <f t="shared" si="9"/>
        <v>1</v>
      </c>
    </row>
    <row r="315" spans="1:8">
      <c r="A315" s="739">
        <v>371</v>
      </c>
      <c r="B315" s="740" t="s">
        <v>8704</v>
      </c>
      <c r="C315" s="739" t="s">
        <v>1694</v>
      </c>
      <c r="D315" s="741">
        <f t="shared" si="8"/>
        <v>1.23</v>
      </c>
      <c r="F315" s="1406">
        <v>1.23</v>
      </c>
      <c r="G315" s="1406">
        <v>1.23</v>
      </c>
      <c r="H315" t="b">
        <f t="shared" si="9"/>
        <v>1</v>
      </c>
    </row>
    <row r="316" spans="1:8">
      <c r="A316" s="677">
        <v>37553</v>
      </c>
      <c r="B316" s="733" t="s">
        <v>8705</v>
      </c>
      <c r="C316" s="677" t="s">
        <v>1694</v>
      </c>
      <c r="D316" s="738">
        <f t="shared" si="8"/>
        <v>2.31</v>
      </c>
      <c r="F316" s="1405">
        <v>2.31</v>
      </c>
      <c r="G316" s="1405">
        <v>2.31</v>
      </c>
      <c r="H316" t="b">
        <f t="shared" si="9"/>
        <v>1</v>
      </c>
    </row>
    <row r="317" spans="1:8">
      <c r="A317" s="739">
        <v>37552</v>
      </c>
      <c r="B317" s="740" t="s">
        <v>8706</v>
      </c>
      <c r="C317" s="739" t="s">
        <v>1694</v>
      </c>
      <c r="D317" s="741">
        <f t="shared" si="8"/>
        <v>3.71</v>
      </c>
      <c r="F317" s="1406">
        <v>3.71</v>
      </c>
      <c r="G317" s="1406">
        <v>3.71</v>
      </c>
      <c r="H317" t="b">
        <f t="shared" si="9"/>
        <v>1</v>
      </c>
    </row>
    <row r="318" spans="1:8">
      <c r="A318" s="677">
        <v>36880</v>
      </c>
      <c r="B318" s="733" t="s">
        <v>8707</v>
      </c>
      <c r="C318" s="677" t="s">
        <v>1694</v>
      </c>
      <c r="D318" s="738">
        <f t="shared" si="8"/>
        <v>3.77</v>
      </c>
      <c r="F318" s="1405">
        <v>3.77</v>
      </c>
      <c r="G318" s="1405">
        <v>3.77</v>
      </c>
      <c r="H318" t="b">
        <f t="shared" si="9"/>
        <v>1</v>
      </c>
    </row>
    <row r="319" spans="1:8">
      <c r="A319" s="739">
        <v>34355</v>
      </c>
      <c r="B319" s="740" t="s">
        <v>8708</v>
      </c>
      <c r="C319" s="739" t="s">
        <v>1694</v>
      </c>
      <c r="D319" s="741">
        <f t="shared" si="8"/>
        <v>3.24</v>
      </c>
      <c r="F319" s="1406">
        <v>3.24</v>
      </c>
      <c r="G319" s="1406">
        <v>3.24</v>
      </c>
      <c r="H319" t="b">
        <f t="shared" si="9"/>
        <v>1</v>
      </c>
    </row>
    <row r="320" spans="1:8">
      <c r="A320" s="677">
        <v>130</v>
      </c>
      <c r="B320" s="733" t="s">
        <v>8709</v>
      </c>
      <c r="C320" s="677" t="s">
        <v>1694</v>
      </c>
      <c r="D320" s="738">
        <f t="shared" si="8"/>
        <v>4.1399999999999997</v>
      </c>
      <c r="F320" s="1405">
        <v>4.1399999999999997</v>
      </c>
      <c r="G320" s="1405">
        <v>4.1399999999999997</v>
      </c>
      <c r="H320" t="b">
        <f t="shared" si="9"/>
        <v>1</v>
      </c>
    </row>
    <row r="321" spans="1:8">
      <c r="A321" s="739">
        <v>135</v>
      </c>
      <c r="B321" s="740" t="s">
        <v>8710</v>
      </c>
      <c r="C321" s="739" t="s">
        <v>1694</v>
      </c>
      <c r="D321" s="741">
        <f t="shared" si="8"/>
        <v>3.33</v>
      </c>
      <c r="F321" s="1406">
        <v>3.33</v>
      </c>
      <c r="G321" s="1406">
        <v>3.33</v>
      </c>
      <c r="H321" t="b">
        <f t="shared" si="9"/>
        <v>1</v>
      </c>
    </row>
    <row r="322" spans="1:8">
      <c r="A322" s="677">
        <v>36886</v>
      </c>
      <c r="B322" s="733" t="s">
        <v>8711</v>
      </c>
      <c r="C322" s="677" t="s">
        <v>1694</v>
      </c>
      <c r="D322" s="738">
        <f t="shared" si="8"/>
        <v>1.17</v>
      </c>
      <c r="F322" s="1405">
        <v>1.17</v>
      </c>
      <c r="G322" s="1405">
        <v>1.17</v>
      </c>
      <c r="H322" t="b">
        <f t="shared" si="9"/>
        <v>1</v>
      </c>
    </row>
    <row r="323" spans="1:8" ht="30">
      <c r="A323" s="739">
        <v>38546</v>
      </c>
      <c r="B323" s="740" t="s">
        <v>8712</v>
      </c>
      <c r="C323" s="739" t="s">
        <v>1691</v>
      </c>
      <c r="D323" s="741">
        <f t="shared" ref="D323:D386" si="10">IF($J$2=$F$1,F323,G323)</f>
        <v>734.34</v>
      </c>
      <c r="F323" s="1406">
        <v>734.34</v>
      </c>
      <c r="G323" s="1406">
        <v>734.34</v>
      </c>
      <c r="H323" t="b">
        <f t="shared" ref="H323:H386" si="11">F323=G323</f>
        <v>1</v>
      </c>
    </row>
    <row r="324" spans="1:8">
      <c r="A324" s="677">
        <v>34549</v>
      </c>
      <c r="B324" s="733" t="s">
        <v>8713</v>
      </c>
      <c r="C324" s="677" t="s">
        <v>1691</v>
      </c>
      <c r="D324" s="738">
        <f t="shared" si="10"/>
        <v>730.33</v>
      </c>
      <c r="F324" s="1405">
        <v>730.33</v>
      </c>
      <c r="G324" s="1405">
        <v>730.33</v>
      </c>
      <c r="H324" t="b">
        <f t="shared" si="11"/>
        <v>1</v>
      </c>
    </row>
    <row r="325" spans="1:8">
      <c r="A325" s="739">
        <v>6081</v>
      </c>
      <c r="B325" s="740" t="s">
        <v>8714</v>
      </c>
      <c r="C325" s="739" t="s">
        <v>1691</v>
      </c>
      <c r="D325" s="741">
        <f t="shared" si="10"/>
        <v>51.12</v>
      </c>
      <c r="F325" s="1406">
        <v>51.12</v>
      </c>
      <c r="G325" s="1406">
        <v>51.12</v>
      </c>
      <c r="H325" t="b">
        <f t="shared" si="11"/>
        <v>1</v>
      </c>
    </row>
    <row r="326" spans="1:8">
      <c r="A326" s="677">
        <v>6077</v>
      </c>
      <c r="B326" s="733" t="s">
        <v>8715</v>
      </c>
      <c r="C326" s="677" t="s">
        <v>1691</v>
      </c>
      <c r="D326" s="738">
        <f t="shared" si="10"/>
        <v>36.51</v>
      </c>
      <c r="F326" s="1405">
        <v>36.51</v>
      </c>
      <c r="G326" s="1405">
        <v>36.51</v>
      </c>
      <c r="H326" t="b">
        <f t="shared" si="11"/>
        <v>1</v>
      </c>
    </row>
    <row r="327" spans="1:8">
      <c r="A327" s="739">
        <v>6079</v>
      </c>
      <c r="B327" s="740" t="s">
        <v>8716</v>
      </c>
      <c r="C327" s="739" t="s">
        <v>1691</v>
      </c>
      <c r="D327" s="741">
        <f t="shared" si="10"/>
        <v>36.51</v>
      </c>
      <c r="F327" s="1406">
        <v>36.51</v>
      </c>
      <c r="G327" s="1406">
        <v>36.51</v>
      </c>
      <c r="H327" t="b">
        <f t="shared" si="11"/>
        <v>1</v>
      </c>
    </row>
    <row r="328" spans="1:8">
      <c r="A328" s="677">
        <v>1091</v>
      </c>
      <c r="B328" s="733" t="s">
        <v>8717</v>
      </c>
      <c r="C328" s="677" t="s">
        <v>1690</v>
      </c>
      <c r="D328" s="738">
        <f t="shared" si="10"/>
        <v>44.29</v>
      </c>
      <c r="F328" s="1405">
        <v>44.29</v>
      </c>
      <c r="G328" s="1405">
        <v>44.29</v>
      </c>
      <c r="H328" t="b">
        <f t="shared" si="11"/>
        <v>1</v>
      </c>
    </row>
    <row r="329" spans="1:8">
      <c r="A329" s="739">
        <v>1094</v>
      </c>
      <c r="B329" s="740" t="s">
        <v>8718</v>
      </c>
      <c r="C329" s="739" t="s">
        <v>1690</v>
      </c>
      <c r="D329" s="741">
        <f t="shared" si="10"/>
        <v>30.98</v>
      </c>
      <c r="F329" s="1406">
        <v>30.98</v>
      </c>
      <c r="G329" s="1406">
        <v>30.98</v>
      </c>
      <c r="H329" t="b">
        <f t="shared" si="11"/>
        <v>1</v>
      </c>
    </row>
    <row r="330" spans="1:8">
      <c r="A330" s="677">
        <v>1095</v>
      </c>
      <c r="B330" s="733" t="s">
        <v>8719</v>
      </c>
      <c r="C330" s="677" t="s">
        <v>1690</v>
      </c>
      <c r="D330" s="738">
        <f t="shared" si="10"/>
        <v>65.83</v>
      </c>
      <c r="F330" s="1405">
        <v>65.83</v>
      </c>
      <c r="G330" s="1405">
        <v>65.83</v>
      </c>
      <c r="H330" t="b">
        <f t="shared" si="11"/>
        <v>1</v>
      </c>
    </row>
    <row r="331" spans="1:8">
      <c r="A331" s="739">
        <v>1092</v>
      </c>
      <c r="B331" s="740" t="s">
        <v>8720</v>
      </c>
      <c r="C331" s="739" t="s">
        <v>1690</v>
      </c>
      <c r="D331" s="741">
        <f t="shared" si="10"/>
        <v>50.94</v>
      </c>
      <c r="F331" s="1406">
        <v>50.94</v>
      </c>
      <c r="G331" s="1406">
        <v>50.94</v>
      </c>
      <c r="H331" t="b">
        <f t="shared" si="11"/>
        <v>1</v>
      </c>
    </row>
    <row r="332" spans="1:8">
      <c r="A332" s="677">
        <v>1093</v>
      </c>
      <c r="B332" s="733" t="s">
        <v>8721</v>
      </c>
      <c r="C332" s="677" t="s">
        <v>1690</v>
      </c>
      <c r="D332" s="738">
        <f t="shared" si="10"/>
        <v>118.96</v>
      </c>
      <c r="F332" s="1405">
        <v>118.96</v>
      </c>
      <c r="G332" s="1405">
        <v>118.96</v>
      </c>
      <c r="H332" t="b">
        <f t="shared" si="11"/>
        <v>1</v>
      </c>
    </row>
    <row r="333" spans="1:8">
      <c r="A333" s="739">
        <v>1090</v>
      </c>
      <c r="B333" s="740" t="s">
        <v>8722</v>
      </c>
      <c r="C333" s="739" t="s">
        <v>1690</v>
      </c>
      <c r="D333" s="741">
        <f t="shared" si="10"/>
        <v>85.17</v>
      </c>
      <c r="F333" s="1406">
        <v>85.17</v>
      </c>
      <c r="G333" s="1406">
        <v>85.17</v>
      </c>
      <c r="H333" t="b">
        <f t="shared" si="11"/>
        <v>1</v>
      </c>
    </row>
    <row r="334" spans="1:8">
      <c r="A334" s="677">
        <v>1096</v>
      </c>
      <c r="B334" s="733" t="s">
        <v>8723</v>
      </c>
      <c r="C334" s="677" t="s">
        <v>1690</v>
      </c>
      <c r="D334" s="738">
        <f t="shared" si="10"/>
        <v>153.28</v>
      </c>
      <c r="F334" s="1405">
        <v>153.28</v>
      </c>
      <c r="G334" s="1405">
        <v>153.28</v>
      </c>
      <c r="H334" t="b">
        <f t="shared" si="11"/>
        <v>1</v>
      </c>
    </row>
    <row r="335" spans="1:8">
      <c r="A335" s="739">
        <v>1097</v>
      </c>
      <c r="B335" s="740" t="s">
        <v>8724</v>
      </c>
      <c r="C335" s="739" t="s">
        <v>1690</v>
      </c>
      <c r="D335" s="741">
        <f t="shared" si="10"/>
        <v>130.12</v>
      </c>
      <c r="F335" s="1406">
        <v>130.12</v>
      </c>
      <c r="G335" s="1406">
        <v>130.12</v>
      </c>
      <c r="H335" t="b">
        <f t="shared" si="11"/>
        <v>1</v>
      </c>
    </row>
    <row r="336" spans="1:8">
      <c r="A336" s="677">
        <v>378</v>
      </c>
      <c r="B336" s="733" t="s">
        <v>8725</v>
      </c>
      <c r="C336" s="677" t="s">
        <v>1689</v>
      </c>
      <c r="D336" s="738">
        <f t="shared" si="10"/>
        <v>19.79</v>
      </c>
      <c r="F336" s="1405">
        <v>17.190000000000001</v>
      </c>
      <c r="G336" s="1405">
        <v>19.79</v>
      </c>
      <c r="H336" t="b">
        <f t="shared" si="11"/>
        <v>0</v>
      </c>
    </row>
    <row r="337" spans="1:8">
      <c r="A337" s="739">
        <v>40911</v>
      </c>
      <c r="B337" s="740" t="s">
        <v>8726</v>
      </c>
      <c r="C337" s="739" t="s">
        <v>1696</v>
      </c>
      <c r="D337" s="741">
        <f t="shared" si="10"/>
        <v>3482.33</v>
      </c>
      <c r="F337" s="1406">
        <v>3020.19</v>
      </c>
      <c r="G337" s="1406">
        <v>3482.33</v>
      </c>
      <c r="H337" t="b">
        <f t="shared" si="11"/>
        <v>0</v>
      </c>
    </row>
    <row r="338" spans="1:8">
      <c r="A338" s="677">
        <v>33939</v>
      </c>
      <c r="B338" s="733" t="s">
        <v>8727</v>
      </c>
      <c r="C338" s="677" t="s">
        <v>1689</v>
      </c>
      <c r="D338" s="738">
        <f t="shared" si="10"/>
        <v>110.74</v>
      </c>
      <c r="F338" s="1405">
        <v>96.18</v>
      </c>
      <c r="G338" s="1405">
        <v>110.74</v>
      </c>
      <c r="H338" t="b">
        <f t="shared" si="11"/>
        <v>0</v>
      </c>
    </row>
    <row r="339" spans="1:8">
      <c r="A339" s="739">
        <v>40815</v>
      </c>
      <c r="B339" s="740" t="s">
        <v>8728</v>
      </c>
      <c r="C339" s="739" t="s">
        <v>1696</v>
      </c>
      <c r="D339" s="741">
        <f t="shared" si="10"/>
        <v>19482.78</v>
      </c>
      <c r="F339" s="1406">
        <v>16897.240000000002</v>
      </c>
      <c r="G339" s="1406">
        <v>19482.78</v>
      </c>
      <c r="H339" t="b">
        <f t="shared" si="11"/>
        <v>0</v>
      </c>
    </row>
    <row r="340" spans="1:8">
      <c r="A340" s="677">
        <v>33952</v>
      </c>
      <c r="B340" s="733" t="s">
        <v>8729</v>
      </c>
      <c r="C340" s="677" t="s">
        <v>1689</v>
      </c>
      <c r="D340" s="738">
        <f t="shared" si="10"/>
        <v>117.31</v>
      </c>
      <c r="F340" s="1405">
        <v>101.89</v>
      </c>
      <c r="G340" s="1405">
        <v>117.31</v>
      </c>
      <c r="H340" t="b">
        <f t="shared" si="11"/>
        <v>0</v>
      </c>
    </row>
    <row r="341" spans="1:8">
      <c r="A341" s="739">
        <v>40816</v>
      </c>
      <c r="B341" s="740" t="s">
        <v>8730</v>
      </c>
      <c r="C341" s="739" t="s">
        <v>1696</v>
      </c>
      <c r="D341" s="741">
        <f t="shared" si="10"/>
        <v>20640.13</v>
      </c>
      <c r="F341" s="1406">
        <v>17901.009999999998</v>
      </c>
      <c r="G341" s="1406">
        <v>20640.13</v>
      </c>
      <c r="H341" t="b">
        <f t="shared" si="11"/>
        <v>0</v>
      </c>
    </row>
    <row r="342" spans="1:8">
      <c r="A342" s="677">
        <v>33953</v>
      </c>
      <c r="B342" s="733" t="s">
        <v>8731</v>
      </c>
      <c r="C342" s="677" t="s">
        <v>1689</v>
      </c>
      <c r="D342" s="738">
        <f t="shared" si="10"/>
        <v>122.94</v>
      </c>
      <c r="F342" s="1405">
        <v>106.78</v>
      </c>
      <c r="G342" s="1405">
        <v>122.94</v>
      </c>
      <c r="H342" t="b">
        <f t="shared" si="11"/>
        <v>0</v>
      </c>
    </row>
    <row r="343" spans="1:8">
      <c r="A343" s="739">
        <v>40817</v>
      </c>
      <c r="B343" s="740" t="s">
        <v>8732</v>
      </c>
      <c r="C343" s="739" t="s">
        <v>1696</v>
      </c>
      <c r="D343" s="741">
        <f t="shared" si="10"/>
        <v>21631.52</v>
      </c>
      <c r="F343" s="1406">
        <v>18760.830000000002</v>
      </c>
      <c r="G343" s="1406">
        <v>21631.52</v>
      </c>
      <c r="H343" t="b">
        <f t="shared" si="11"/>
        <v>0</v>
      </c>
    </row>
    <row r="344" spans="1:8">
      <c r="A344" s="677">
        <v>13348</v>
      </c>
      <c r="B344" s="733" t="s">
        <v>8733</v>
      </c>
      <c r="C344" s="677" t="s">
        <v>1690</v>
      </c>
      <c r="D344" s="738">
        <f t="shared" si="10"/>
        <v>1.79</v>
      </c>
      <c r="F344" s="1405">
        <v>1.79</v>
      </c>
      <c r="G344" s="1405">
        <v>1.79</v>
      </c>
      <c r="H344" t="b">
        <f t="shared" si="11"/>
        <v>1</v>
      </c>
    </row>
    <row r="345" spans="1:8">
      <c r="A345" s="739">
        <v>39211</v>
      </c>
      <c r="B345" s="740" t="s">
        <v>8734</v>
      </c>
      <c r="C345" s="739" t="s">
        <v>1690</v>
      </c>
      <c r="D345" s="741">
        <f t="shared" si="10"/>
        <v>1.49</v>
      </c>
      <c r="F345" s="1406">
        <v>1.49</v>
      </c>
      <c r="G345" s="1406">
        <v>1.49</v>
      </c>
      <c r="H345" t="b">
        <f t="shared" si="11"/>
        <v>1</v>
      </c>
    </row>
    <row r="346" spans="1:8">
      <c r="A346" s="677">
        <v>39212</v>
      </c>
      <c r="B346" s="733" t="s">
        <v>8735</v>
      </c>
      <c r="C346" s="677" t="s">
        <v>1690</v>
      </c>
      <c r="D346" s="738">
        <f t="shared" si="10"/>
        <v>1.66</v>
      </c>
      <c r="F346" s="1405">
        <v>1.66</v>
      </c>
      <c r="G346" s="1405">
        <v>1.66</v>
      </c>
      <c r="H346" t="b">
        <f t="shared" si="11"/>
        <v>1</v>
      </c>
    </row>
    <row r="347" spans="1:8">
      <c r="A347" s="739">
        <v>39208</v>
      </c>
      <c r="B347" s="740" t="s">
        <v>8736</v>
      </c>
      <c r="C347" s="739" t="s">
        <v>1690</v>
      </c>
      <c r="D347" s="741">
        <f t="shared" si="10"/>
        <v>0.45</v>
      </c>
      <c r="F347" s="1406">
        <v>0.45</v>
      </c>
      <c r="G347" s="1406">
        <v>0.45</v>
      </c>
      <c r="H347" t="b">
        <f t="shared" si="11"/>
        <v>1</v>
      </c>
    </row>
    <row r="348" spans="1:8">
      <c r="A348" s="677">
        <v>39210</v>
      </c>
      <c r="B348" s="733" t="s">
        <v>8737</v>
      </c>
      <c r="C348" s="677" t="s">
        <v>1690</v>
      </c>
      <c r="D348" s="738">
        <f t="shared" si="10"/>
        <v>0.83</v>
      </c>
      <c r="F348" s="1405">
        <v>0.83</v>
      </c>
      <c r="G348" s="1405">
        <v>0.83</v>
      </c>
      <c r="H348" t="b">
        <f t="shared" si="11"/>
        <v>1</v>
      </c>
    </row>
    <row r="349" spans="1:8">
      <c r="A349" s="739">
        <v>39214</v>
      </c>
      <c r="B349" s="740" t="s">
        <v>8738</v>
      </c>
      <c r="C349" s="739" t="s">
        <v>1690</v>
      </c>
      <c r="D349" s="741">
        <f t="shared" si="10"/>
        <v>3.08</v>
      </c>
      <c r="F349" s="1406">
        <v>3.08</v>
      </c>
      <c r="G349" s="1406">
        <v>3.08</v>
      </c>
      <c r="H349" t="b">
        <f t="shared" si="11"/>
        <v>1</v>
      </c>
    </row>
    <row r="350" spans="1:8">
      <c r="A350" s="677">
        <v>39213</v>
      </c>
      <c r="B350" s="733" t="s">
        <v>8739</v>
      </c>
      <c r="C350" s="677" t="s">
        <v>1690</v>
      </c>
      <c r="D350" s="738">
        <f t="shared" si="10"/>
        <v>2.17</v>
      </c>
      <c r="F350" s="1405">
        <v>2.17</v>
      </c>
      <c r="G350" s="1405">
        <v>2.17</v>
      </c>
      <c r="H350" t="b">
        <f t="shared" si="11"/>
        <v>1</v>
      </c>
    </row>
    <row r="351" spans="1:8">
      <c r="A351" s="739">
        <v>39209</v>
      </c>
      <c r="B351" s="740" t="s">
        <v>8740</v>
      </c>
      <c r="C351" s="739" t="s">
        <v>1690</v>
      </c>
      <c r="D351" s="741">
        <f t="shared" si="10"/>
        <v>0.54</v>
      </c>
      <c r="F351" s="1406">
        <v>0.54</v>
      </c>
      <c r="G351" s="1406">
        <v>0.54</v>
      </c>
      <c r="H351" t="b">
        <f t="shared" si="11"/>
        <v>1</v>
      </c>
    </row>
    <row r="352" spans="1:8">
      <c r="A352" s="677">
        <v>39207</v>
      </c>
      <c r="B352" s="733" t="s">
        <v>8741</v>
      </c>
      <c r="C352" s="677" t="s">
        <v>1690</v>
      </c>
      <c r="D352" s="738">
        <f t="shared" si="10"/>
        <v>0.83</v>
      </c>
      <c r="F352" s="1405">
        <v>0.83</v>
      </c>
      <c r="G352" s="1405">
        <v>0.83</v>
      </c>
      <c r="H352" t="b">
        <f t="shared" si="11"/>
        <v>1</v>
      </c>
    </row>
    <row r="353" spans="1:8">
      <c r="A353" s="739">
        <v>39215</v>
      </c>
      <c r="B353" s="740" t="s">
        <v>8742</v>
      </c>
      <c r="C353" s="739" t="s">
        <v>1690</v>
      </c>
      <c r="D353" s="741">
        <f t="shared" si="10"/>
        <v>5.61</v>
      </c>
      <c r="F353" s="1406">
        <v>5.61</v>
      </c>
      <c r="G353" s="1406">
        <v>5.61</v>
      </c>
      <c r="H353" t="b">
        <f t="shared" si="11"/>
        <v>1</v>
      </c>
    </row>
    <row r="354" spans="1:8">
      <c r="A354" s="677">
        <v>39216</v>
      </c>
      <c r="B354" s="733" t="s">
        <v>8743</v>
      </c>
      <c r="C354" s="677" t="s">
        <v>1690</v>
      </c>
      <c r="D354" s="738">
        <f t="shared" si="10"/>
        <v>7.83</v>
      </c>
      <c r="F354" s="1405">
        <v>7.83</v>
      </c>
      <c r="G354" s="1405">
        <v>7.83</v>
      </c>
      <c r="H354" t="b">
        <f t="shared" si="11"/>
        <v>1</v>
      </c>
    </row>
    <row r="355" spans="1:8" ht="30">
      <c r="A355" s="739">
        <v>11267</v>
      </c>
      <c r="B355" s="740" t="s">
        <v>8744</v>
      </c>
      <c r="C355" s="739" t="s">
        <v>1690</v>
      </c>
      <c r="D355" s="741">
        <f t="shared" si="10"/>
        <v>1.56</v>
      </c>
      <c r="F355" s="1406">
        <v>1.56</v>
      </c>
      <c r="G355" s="1406">
        <v>1.56</v>
      </c>
      <c r="H355" t="b">
        <f t="shared" si="11"/>
        <v>1</v>
      </c>
    </row>
    <row r="356" spans="1:8">
      <c r="A356" s="677">
        <v>379</v>
      </c>
      <c r="B356" s="733" t="s">
        <v>8745</v>
      </c>
      <c r="C356" s="677" t="s">
        <v>1690</v>
      </c>
      <c r="D356" s="738">
        <f t="shared" si="10"/>
        <v>1.57</v>
      </c>
      <c r="F356" s="1405">
        <v>1.57</v>
      </c>
      <c r="G356" s="1405">
        <v>1.57</v>
      </c>
      <c r="H356" t="b">
        <f t="shared" si="11"/>
        <v>1</v>
      </c>
    </row>
    <row r="357" spans="1:8">
      <c r="A357" s="739">
        <v>510</v>
      </c>
      <c r="B357" s="740" t="s">
        <v>8746</v>
      </c>
      <c r="C357" s="739" t="s">
        <v>1694</v>
      </c>
      <c r="D357" s="741">
        <f t="shared" si="10"/>
        <v>18.940000000000001</v>
      </c>
      <c r="F357" s="1406">
        <v>18.940000000000001</v>
      </c>
      <c r="G357" s="1406">
        <v>18.940000000000001</v>
      </c>
      <c r="H357" t="b">
        <f t="shared" si="11"/>
        <v>1</v>
      </c>
    </row>
    <row r="358" spans="1:8">
      <c r="A358" s="677">
        <v>516</v>
      </c>
      <c r="B358" s="733" t="s">
        <v>8747</v>
      </c>
      <c r="C358" s="677" t="s">
        <v>1694</v>
      </c>
      <c r="D358" s="738">
        <f t="shared" si="10"/>
        <v>22.45</v>
      </c>
      <c r="F358" s="1405">
        <v>22.45</v>
      </c>
      <c r="G358" s="1405">
        <v>22.45</v>
      </c>
      <c r="H358" t="b">
        <f t="shared" si="11"/>
        <v>1</v>
      </c>
    </row>
    <row r="359" spans="1:8">
      <c r="A359" s="739">
        <v>509</v>
      </c>
      <c r="B359" s="740" t="s">
        <v>8748</v>
      </c>
      <c r="C359" s="739" t="s">
        <v>1694</v>
      </c>
      <c r="D359" s="741">
        <f t="shared" si="10"/>
        <v>25.19</v>
      </c>
      <c r="F359" s="1406">
        <v>25.19</v>
      </c>
      <c r="G359" s="1406">
        <v>25.19</v>
      </c>
      <c r="H359" t="b">
        <f t="shared" si="11"/>
        <v>1</v>
      </c>
    </row>
    <row r="360" spans="1:8">
      <c r="A360" s="677">
        <v>40331</v>
      </c>
      <c r="B360" s="733" t="s">
        <v>8749</v>
      </c>
      <c r="C360" s="677" t="s">
        <v>1689</v>
      </c>
      <c r="D360" s="738">
        <f t="shared" si="10"/>
        <v>9.99</v>
      </c>
      <c r="F360" s="1405">
        <v>8.67</v>
      </c>
      <c r="G360" s="1405">
        <v>9.99</v>
      </c>
      <c r="H360" t="b">
        <f t="shared" si="11"/>
        <v>0</v>
      </c>
    </row>
    <row r="361" spans="1:8">
      <c r="A361" s="739">
        <v>40930</v>
      </c>
      <c r="B361" s="740" t="s">
        <v>8750</v>
      </c>
      <c r="C361" s="739" t="s">
        <v>1696</v>
      </c>
      <c r="D361" s="741">
        <f t="shared" si="10"/>
        <v>1760.41</v>
      </c>
      <c r="F361" s="1406">
        <v>1526.79</v>
      </c>
      <c r="G361" s="1406">
        <v>1760.41</v>
      </c>
      <c r="H361" t="b">
        <f t="shared" si="11"/>
        <v>0</v>
      </c>
    </row>
    <row r="362" spans="1:8">
      <c r="A362" s="677">
        <v>11761</v>
      </c>
      <c r="B362" s="733" t="s">
        <v>8751</v>
      </c>
      <c r="C362" s="677" t="s">
        <v>1690</v>
      </c>
      <c r="D362" s="738">
        <f t="shared" si="10"/>
        <v>85.29</v>
      </c>
      <c r="F362" s="1405">
        <v>85.29</v>
      </c>
      <c r="G362" s="1405">
        <v>85.29</v>
      </c>
      <c r="H362" t="b">
        <f t="shared" si="11"/>
        <v>1</v>
      </c>
    </row>
    <row r="363" spans="1:8">
      <c r="A363" s="739">
        <v>377</v>
      </c>
      <c r="B363" s="740" t="s">
        <v>8752</v>
      </c>
      <c r="C363" s="739" t="s">
        <v>1690</v>
      </c>
      <c r="D363" s="741">
        <f t="shared" si="10"/>
        <v>40.08</v>
      </c>
      <c r="F363" s="1406">
        <v>40.08</v>
      </c>
      <c r="G363" s="1406">
        <v>40.08</v>
      </c>
      <c r="H363" t="b">
        <f t="shared" si="11"/>
        <v>1</v>
      </c>
    </row>
    <row r="364" spans="1:8">
      <c r="A364" s="677">
        <v>7588</v>
      </c>
      <c r="B364" s="733" t="s">
        <v>8753</v>
      </c>
      <c r="C364" s="677" t="s">
        <v>1690</v>
      </c>
      <c r="D364" s="738">
        <f t="shared" si="10"/>
        <v>55.8</v>
      </c>
      <c r="F364" s="1405">
        <v>55.8</v>
      </c>
      <c r="G364" s="1405">
        <v>55.8</v>
      </c>
      <c r="H364" t="b">
        <f t="shared" si="11"/>
        <v>1</v>
      </c>
    </row>
    <row r="365" spans="1:8">
      <c r="A365" s="739">
        <v>34392</v>
      </c>
      <c r="B365" s="740" t="s">
        <v>8754</v>
      </c>
      <c r="C365" s="739" t="s">
        <v>1689</v>
      </c>
      <c r="D365" s="741">
        <f t="shared" si="10"/>
        <v>15.94</v>
      </c>
      <c r="F365" s="1406">
        <v>13.85</v>
      </c>
      <c r="G365" s="1406">
        <v>15.94</v>
      </c>
      <c r="H365" t="b">
        <f t="shared" si="11"/>
        <v>0</v>
      </c>
    </row>
    <row r="366" spans="1:8">
      <c r="A366" s="677">
        <v>40908</v>
      </c>
      <c r="B366" s="733" t="s">
        <v>8755</v>
      </c>
      <c r="C366" s="677" t="s">
        <v>1696</v>
      </c>
      <c r="D366" s="738">
        <f t="shared" si="10"/>
        <v>2805.81</v>
      </c>
      <c r="F366" s="1405">
        <v>2433.4499999999998</v>
      </c>
      <c r="G366" s="1405">
        <v>2805.81</v>
      </c>
      <c r="H366" t="b">
        <f t="shared" si="11"/>
        <v>0</v>
      </c>
    </row>
    <row r="367" spans="1:8">
      <c r="A367" s="739">
        <v>34551</v>
      </c>
      <c r="B367" s="740" t="s">
        <v>8756</v>
      </c>
      <c r="C367" s="739" t="s">
        <v>1689</v>
      </c>
      <c r="D367" s="741">
        <f t="shared" si="10"/>
        <v>14.72</v>
      </c>
      <c r="F367" s="1406">
        <v>12.79</v>
      </c>
      <c r="G367" s="1406">
        <v>14.72</v>
      </c>
      <c r="H367" t="b">
        <f t="shared" si="11"/>
        <v>0</v>
      </c>
    </row>
    <row r="368" spans="1:8">
      <c r="A368" s="677">
        <v>41078</v>
      </c>
      <c r="B368" s="733" t="s">
        <v>8757</v>
      </c>
      <c r="C368" s="677" t="s">
        <v>1696</v>
      </c>
      <c r="D368" s="738">
        <f t="shared" si="10"/>
        <v>2591.02</v>
      </c>
      <c r="F368" s="1405">
        <v>2247.17</v>
      </c>
      <c r="G368" s="1405">
        <v>2591.02</v>
      </c>
      <c r="H368" t="b">
        <f t="shared" si="11"/>
        <v>0</v>
      </c>
    </row>
    <row r="369" spans="1:8">
      <c r="A369" s="739">
        <v>246</v>
      </c>
      <c r="B369" s="740" t="s">
        <v>8758</v>
      </c>
      <c r="C369" s="739" t="s">
        <v>1689</v>
      </c>
      <c r="D369" s="741">
        <f t="shared" si="10"/>
        <v>15.94</v>
      </c>
      <c r="F369" s="1406">
        <v>13.85</v>
      </c>
      <c r="G369" s="1406">
        <v>15.94</v>
      </c>
      <c r="H369" t="b">
        <f t="shared" si="11"/>
        <v>0</v>
      </c>
    </row>
    <row r="370" spans="1:8">
      <c r="A370" s="677">
        <v>40927</v>
      </c>
      <c r="B370" s="733" t="s">
        <v>8759</v>
      </c>
      <c r="C370" s="677" t="s">
        <v>1696</v>
      </c>
      <c r="D370" s="738">
        <f t="shared" si="10"/>
        <v>2806.93</v>
      </c>
      <c r="F370" s="1405">
        <v>2434.4299999999998</v>
      </c>
      <c r="G370" s="1405">
        <v>2806.93</v>
      </c>
      <c r="H370" t="b">
        <f t="shared" si="11"/>
        <v>0</v>
      </c>
    </row>
    <row r="371" spans="1:8">
      <c r="A371" s="739">
        <v>2350</v>
      </c>
      <c r="B371" s="740" t="s">
        <v>8760</v>
      </c>
      <c r="C371" s="739" t="s">
        <v>1689</v>
      </c>
      <c r="D371" s="741">
        <f t="shared" si="10"/>
        <v>15.38</v>
      </c>
      <c r="F371" s="1406">
        <v>13.36</v>
      </c>
      <c r="G371" s="1406">
        <v>15.38</v>
      </c>
      <c r="H371" t="b">
        <f t="shared" si="11"/>
        <v>0</v>
      </c>
    </row>
    <row r="372" spans="1:8">
      <c r="A372" s="677">
        <v>40812</v>
      </c>
      <c r="B372" s="733" t="s">
        <v>8761</v>
      </c>
      <c r="C372" s="677" t="s">
        <v>1696</v>
      </c>
      <c r="D372" s="738">
        <f t="shared" si="10"/>
        <v>2709.26</v>
      </c>
      <c r="F372" s="1405">
        <v>2349.7199999999998</v>
      </c>
      <c r="G372" s="1405">
        <v>2709.26</v>
      </c>
      <c r="H372" t="b">
        <f t="shared" si="11"/>
        <v>0</v>
      </c>
    </row>
    <row r="373" spans="1:8">
      <c r="A373" s="739">
        <v>245</v>
      </c>
      <c r="B373" s="740" t="s">
        <v>8762</v>
      </c>
      <c r="C373" s="739" t="s">
        <v>1689</v>
      </c>
      <c r="D373" s="741">
        <f t="shared" si="10"/>
        <v>24.73</v>
      </c>
      <c r="F373" s="1406">
        <v>21.48</v>
      </c>
      <c r="G373" s="1406">
        <v>24.73</v>
      </c>
      <c r="H373" t="b">
        <f t="shared" si="11"/>
        <v>0</v>
      </c>
    </row>
    <row r="374" spans="1:8">
      <c r="A374" s="677">
        <v>41090</v>
      </c>
      <c r="B374" s="733" t="s">
        <v>8763</v>
      </c>
      <c r="C374" s="677" t="s">
        <v>1696</v>
      </c>
      <c r="D374" s="738">
        <f t="shared" si="10"/>
        <v>4352.91</v>
      </c>
      <c r="F374" s="1405">
        <v>3775.24</v>
      </c>
      <c r="G374" s="1405">
        <v>4352.91</v>
      </c>
      <c r="H374" t="b">
        <f t="shared" si="11"/>
        <v>0</v>
      </c>
    </row>
    <row r="375" spans="1:8">
      <c r="A375" s="739">
        <v>251</v>
      </c>
      <c r="B375" s="740" t="s">
        <v>8764</v>
      </c>
      <c r="C375" s="739" t="s">
        <v>1689</v>
      </c>
      <c r="D375" s="741">
        <f t="shared" si="10"/>
        <v>15.94</v>
      </c>
      <c r="F375" s="1406">
        <v>13.85</v>
      </c>
      <c r="G375" s="1406">
        <v>15.94</v>
      </c>
      <c r="H375" t="b">
        <f t="shared" si="11"/>
        <v>0</v>
      </c>
    </row>
    <row r="376" spans="1:8">
      <c r="A376" s="677">
        <v>40975</v>
      </c>
      <c r="B376" s="733" t="s">
        <v>8765</v>
      </c>
      <c r="C376" s="677" t="s">
        <v>1696</v>
      </c>
      <c r="D376" s="738">
        <f t="shared" si="10"/>
        <v>2806.93</v>
      </c>
      <c r="F376" s="1405">
        <v>2434.4299999999998</v>
      </c>
      <c r="G376" s="1405">
        <v>2806.93</v>
      </c>
      <c r="H376" t="b">
        <f t="shared" si="11"/>
        <v>0</v>
      </c>
    </row>
    <row r="377" spans="1:8">
      <c r="A377" s="739">
        <v>6127</v>
      </c>
      <c r="B377" s="740" t="s">
        <v>8766</v>
      </c>
      <c r="C377" s="739" t="s">
        <v>1689</v>
      </c>
      <c r="D377" s="741">
        <f t="shared" si="10"/>
        <v>15.94</v>
      </c>
      <c r="F377" s="1406">
        <v>13.85</v>
      </c>
      <c r="G377" s="1406">
        <v>15.94</v>
      </c>
      <c r="H377" t="b">
        <f t="shared" si="11"/>
        <v>0</v>
      </c>
    </row>
    <row r="378" spans="1:8">
      <c r="A378" s="677">
        <v>41072</v>
      </c>
      <c r="B378" s="733" t="s">
        <v>8767</v>
      </c>
      <c r="C378" s="677" t="s">
        <v>1696</v>
      </c>
      <c r="D378" s="738">
        <f t="shared" si="10"/>
        <v>2806.93</v>
      </c>
      <c r="F378" s="1405">
        <v>2434.4299999999998</v>
      </c>
      <c r="G378" s="1405">
        <v>2806.93</v>
      </c>
      <c r="H378" t="b">
        <f t="shared" si="11"/>
        <v>0</v>
      </c>
    </row>
    <row r="379" spans="1:8">
      <c r="A379" s="739">
        <v>6121</v>
      </c>
      <c r="B379" s="740" t="s">
        <v>8768</v>
      </c>
      <c r="C379" s="739" t="s">
        <v>1689</v>
      </c>
      <c r="D379" s="741">
        <f t="shared" si="10"/>
        <v>14.74</v>
      </c>
      <c r="F379" s="1406">
        <v>12.8</v>
      </c>
      <c r="G379" s="1406">
        <v>14.74</v>
      </c>
      <c r="H379" t="b">
        <f t="shared" si="11"/>
        <v>0</v>
      </c>
    </row>
    <row r="380" spans="1:8">
      <c r="A380" s="677">
        <v>41071</v>
      </c>
      <c r="B380" s="733" t="s">
        <v>8769</v>
      </c>
      <c r="C380" s="677" t="s">
        <v>1696</v>
      </c>
      <c r="D380" s="738">
        <f t="shared" si="10"/>
        <v>2594.46</v>
      </c>
      <c r="F380" s="1405">
        <v>2250.15</v>
      </c>
      <c r="G380" s="1405">
        <v>2594.46</v>
      </c>
      <c r="H380" t="b">
        <f t="shared" si="11"/>
        <v>0</v>
      </c>
    </row>
    <row r="381" spans="1:8">
      <c r="A381" s="739">
        <v>244</v>
      </c>
      <c r="B381" s="740" t="s">
        <v>8770</v>
      </c>
      <c r="C381" s="739" t="s">
        <v>1689</v>
      </c>
      <c r="D381" s="741">
        <f t="shared" si="10"/>
        <v>8.89</v>
      </c>
      <c r="F381" s="1406">
        <v>7.72</v>
      </c>
      <c r="G381" s="1406">
        <v>8.89</v>
      </c>
      <c r="H381" t="b">
        <f t="shared" si="11"/>
        <v>0</v>
      </c>
    </row>
    <row r="382" spans="1:8">
      <c r="A382" s="677">
        <v>41093</v>
      </c>
      <c r="B382" s="733" t="s">
        <v>8771</v>
      </c>
      <c r="C382" s="677" t="s">
        <v>1696</v>
      </c>
      <c r="D382" s="738">
        <f t="shared" si="10"/>
        <v>1567.14</v>
      </c>
      <c r="F382" s="1405">
        <v>1359.17</v>
      </c>
      <c r="G382" s="1405">
        <v>1567.14</v>
      </c>
      <c r="H382" t="b">
        <f t="shared" si="11"/>
        <v>0</v>
      </c>
    </row>
    <row r="383" spans="1:8">
      <c r="A383" s="739">
        <v>532</v>
      </c>
      <c r="B383" s="740" t="s">
        <v>8772</v>
      </c>
      <c r="C383" s="739" t="s">
        <v>1689</v>
      </c>
      <c r="D383" s="741">
        <f t="shared" si="10"/>
        <v>24.86</v>
      </c>
      <c r="F383" s="1406">
        <v>21.59</v>
      </c>
      <c r="G383" s="1406">
        <v>24.86</v>
      </c>
      <c r="H383" t="b">
        <f t="shared" si="11"/>
        <v>0</v>
      </c>
    </row>
    <row r="384" spans="1:8">
      <c r="A384" s="677">
        <v>40931</v>
      </c>
      <c r="B384" s="733" t="s">
        <v>8773</v>
      </c>
      <c r="C384" s="677" t="s">
        <v>1696</v>
      </c>
      <c r="D384" s="738">
        <f t="shared" si="10"/>
        <v>4377.34</v>
      </c>
      <c r="F384" s="1405">
        <v>3796.43</v>
      </c>
      <c r="G384" s="1405">
        <v>4377.34</v>
      </c>
      <c r="H384" t="b">
        <f t="shared" si="11"/>
        <v>0</v>
      </c>
    </row>
    <row r="385" spans="1:8">
      <c r="A385" s="739">
        <v>36150</v>
      </c>
      <c r="B385" s="740" t="s">
        <v>8774</v>
      </c>
      <c r="C385" s="739" t="s">
        <v>1690</v>
      </c>
      <c r="D385" s="741">
        <f t="shared" si="10"/>
        <v>52.33</v>
      </c>
      <c r="F385" s="1406">
        <v>52.33</v>
      </c>
      <c r="G385" s="1406">
        <v>52.33</v>
      </c>
      <c r="H385" t="b">
        <f t="shared" si="11"/>
        <v>1</v>
      </c>
    </row>
    <row r="386" spans="1:8">
      <c r="A386" s="677">
        <v>4760</v>
      </c>
      <c r="B386" s="733" t="s">
        <v>8775</v>
      </c>
      <c r="C386" s="677" t="s">
        <v>1689</v>
      </c>
      <c r="D386" s="738">
        <f t="shared" si="10"/>
        <v>19.79</v>
      </c>
      <c r="F386" s="1405">
        <v>17.190000000000001</v>
      </c>
      <c r="G386" s="1405">
        <v>19.79</v>
      </c>
      <c r="H386" t="b">
        <f t="shared" si="11"/>
        <v>0</v>
      </c>
    </row>
    <row r="387" spans="1:8">
      <c r="A387" s="739">
        <v>41069</v>
      </c>
      <c r="B387" s="740" t="s">
        <v>8776</v>
      </c>
      <c r="C387" s="739" t="s">
        <v>1696</v>
      </c>
      <c r="D387" s="741">
        <f t="shared" ref="D387:D450" si="12">IF($J$2=$F$1,F387,G387)</f>
        <v>3482.33</v>
      </c>
      <c r="F387" s="1406">
        <v>3020.19</v>
      </c>
      <c r="G387" s="1406">
        <v>3482.33</v>
      </c>
      <c r="H387" t="b">
        <f t="shared" ref="H387:H450" si="13">F387=G387</f>
        <v>0</v>
      </c>
    </row>
    <row r="388" spans="1:8">
      <c r="A388" s="677">
        <v>10422</v>
      </c>
      <c r="B388" s="733" t="s">
        <v>8777</v>
      </c>
      <c r="C388" s="677" t="s">
        <v>1690</v>
      </c>
      <c r="D388" s="738">
        <f t="shared" si="12"/>
        <v>369.07</v>
      </c>
      <c r="F388" s="1405">
        <v>369.07</v>
      </c>
      <c r="G388" s="1405">
        <v>369.07</v>
      </c>
      <c r="H388" t="b">
        <f t="shared" si="13"/>
        <v>1</v>
      </c>
    </row>
    <row r="389" spans="1:8">
      <c r="A389" s="739">
        <v>44019</v>
      </c>
      <c r="B389" s="740" t="s">
        <v>8778</v>
      </c>
      <c r="C389" s="739" t="s">
        <v>1690</v>
      </c>
      <c r="D389" s="741">
        <f t="shared" si="12"/>
        <v>510.89</v>
      </c>
      <c r="F389" s="1406">
        <v>510.89</v>
      </c>
      <c r="G389" s="1406">
        <v>510.89</v>
      </c>
      <c r="H389" t="b">
        <f t="shared" si="13"/>
        <v>1</v>
      </c>
    </row>
    <row r="390" spans="1:8">
      <c r="A390" s="677">
        <v>36520</v>
      </c>
      <c r="B390" s="733" t="s">
        <v>8779</v>
      </c>
      <c r="C390" s="677" t="s">
        <v>1690</v>
      </c>
      <c r="D390" s="738">
        <f t="shared" si="12"/>
        <v>621.17999999999995</v>
      </c>
      <c r="F390" s="1405">
        <v>621.17999999999995</v>
      </c>
      <c r="G390" s="1405">
        <v>621.17999999999995</v>
      </c>
      <c r="H390" t="b">
        <f t="shared" si="13"/>
        <v>1</v>
      </c>
    </row>
    <row r="391" spans="1:8" ht="30">
      <c r="A391" s="739">
        <v>42319</v>
      </c>
      <c r="B391" s="740" t="s">
        <v>8780</v>
      </c>
      <c r="C391" s="739" t="s">
        <v>1690</v>
      </c>
      <c r="D391" s="741">
        <f t="shared" si="12"/>
        <v>556.61</v>
      </c>
      <c r="F391" s="1406">
        <v>556.61</v>
      </c>
      <c r="G391" s="1406">
        <v>556.61</v>
      </c>
      <c r="H391" t="b">
        <f t="shared" si="13"/>
        <v>1</v>
      </c>
    </row>
    <row r="392" spans="1:8">
      <c r="A392" s="677">
        <v>10420</v>
      </c>
      <c r="B392" s="733" t="s">
        <v>8781</v>
      </c>
      <c r="C392" s="677" t="s">
        <v>1690</v>
      </c>
      <c r="D392" s="738">
        <f t="shared" si="12"/>
        <v>197.45</v>
      </c>
      <c r="F392" s="1405">
        <v>197.45</v>
      </c>
      <c r="G392" s="1405">
        <v>197.45</v>
      </c>
      <c r="H392" t="b">
        <f t="shared" si="13"/>
        <v>1</v>
      </c>
    </row>
    <row r="393" spans="1:8">
      <c r="A393" s="739">
        <v>10421</v>
      </c>
      <c r="B393" s="740" t="s">
        <v>8782</v>
      </c>
      <c r="C393" s="739" t="s">
        <v>1690</v>
      </c>
      <c r="D393" s="741">
        <f t="shared" si="12"/>
        <v>216.97</v>
      </c>
      <c r="F393" s="1406">
        <v>216.97</v>
      </c>
      <c r="G393" s="1406">
        <v>216.97</v>
      </c>
      <c r="H393" t="b">
        <f t="shared" si="13"/>
        <v>1</v>
      </c>
    </row>
    <row r="394" spans="1:8">
      <c r="A394" s="677">
        <v>11786</v>
      </c>
      <c r="B394" s="733" t="s">
        <v>8783</v>
      </c>
      <c r="C394" s="677" t="s">
        <v>1690</v>
      </c>
      <c r="D394" s="738">
        <f t="shared" si="12"/>
        <v>437.5</v>
      </c>
      <c r="F394" s="1405">
        <v>437.5</v>
      </c>
      <c r="G394" s="1405">
        <v>437.5</v>
      </c>
      <c r="H394" t="b">
        <f t="shared" si="13"/>
        <v>1</v>
      </c>
    </row>
    <row r="395" spans="1:8">
      <c r="A395" s="739">
        <v>10</v>
      </c>
      <c r="B395" s="740" t="s">
        <v>8784</v>
      </c>
      <c r="C395" s="739" t="s">
        <v>1690</v>
      </c>
      <c r="D395" s="741">
        <f t="shared" si="12"/>
        <v>12.71</v>
      </c>
      <c r="F395" s="1406">
        <v>12.71</v>
      </c>
      <c r="G395" s="1406">
        <v>12.71</v>
      </c>
      <c r="H395" t="b">
        <f t="shared" si="13"/>
        <v>1</v>
      </c>
    </row>
    <row r="396" spans="1:8">
      <c r="A396" s="677">
        <v>4815</v>
      </c>
      <c r="B396" s="733" t="s">
        <v>8785</v>
      </c>
      <c r="C396" s="677" t="s">
        <v>1690</v>
      </c>
      <c r="D396" s="738">
        <f t="shared" si="12"/>
        <v>7.4</v>
      </c>
      <c r="F396" s="1405">
        <v>7.4</v>
      </c>
      <c r="G396" s="1405">
        <v>7.4</v>
      </c>
      <c r="H396" t="b">
        <f t="shared" si="13"/>
        <v>1</v>
      </c>
    </row>
    <row r="397" spans="1:8">
      <c r="A397" s="739">
        <v>541</v>
      </c>
      <c r="B397" s="740" t="s">
        <v>8786</v>
      </c>
      <c r="C397" s="739" t="s">
        <v>1690</v>
      </c>
      <c r="D397" s="741">
        <f t="shared" si="12"/>
        <v>224.95</v>
      </c>
      <c r="F397" s="1406">
        <v>224.95</v>
      </c>
      <c r="G397" s="1406">
        <v>224.95</v>
      </c>
      <c r="H397" t="b">
        <f t="shared" si="13"/>
        <v>1</v>
      </c>
    </row>
    <row r="398" spans="1:8">
      <c r="A398" s="677">
        <v>542</v>
      </c>
      <c r="B398" s="733" t="s">
        <v>8787</v>
      </c>
      <c r="C398" s="677" t="s">
        <v>1690</v>
      </c>
      <c r="D398" s="738">
        <f t="shared" si="12"/>
        <v>281.97000000000003</v>
      </c>
      <c r="F398" s="1405">
        <v>281.97000000000003</v>
      </c>
      <c r="G398" s="1405">
        <v>281.97000000000003</v>
      </c>
      <c r="H398" t="b">
        <f t="shared" si="13"/>
        <v>1</v>
      </c>
    </row>
    <row r="399" spans="1:8">
      <c r="A399" s="739">
        <v>540</v>
      </c>
      <c r="B399" s="740" t="s">
        <v>8788</v>
      </c>
      <c r="C399" s="739" t="s">
        <v>1690</v>
      </c>
      <c r="D399" s="741">
        <f t="shared" si="12"/>
        <v>635.42999999999995</v>
      </c>
      <c r="F399" s="1406">
        <v>635.42999999999995</v>
      </c>
      <c r="G399" s="1406">
        <v>635.42999999999995</v>
      </c>
      <c r="H399" t="b">
        <f t="shared" si="13"/>
        <v>1</v>
      </c>
    </row>
    <row r="400" spans="1:8" s="1953" customFormat="1" ht="30">
      <c r="A400" s="1950">
        <v>38364</v>
      </c>
      <c r="B400" s="1951" t="s">
        <v>8789</v>
      </c>
      <c r="C400" s="1950" t="s">
        <v>1690</v>
      </c>
      <c r="D400" s="1952">
        <f t="shared" si="12"/>
        <v>876.31</v>
      </c>
      <c r="F400" s="1954">
        <v>876.31</v>
      </c>
      <c r="G400" s="1954">
        <v>876.31</v>
      </c>
      <c r="H400" s="1953" t="b">
        <f t="shared" si="13"/>
        <v>1</v>
      </c>
    </row>
    <row r="401" spans="1:8">
      <c r="A401" s="739">
        <v>11692</v>
      </c>
      <c r="B401" s="740" t="s">
        <v>8790</v>
      </c>
      <c r="C401" s="739" t="s">
        <v>1692</v>
      </c>
      <c r="D401" s="741">
        <f t="shared" si="12"/>
        <v>481.13</v>
      </c>
      <c r="F401" s="1406">
        <v>481.13</v>
      </c>
      <c r="G401" s="1406">
        <v>481.13</v>
      </c>
      <c r="H401" t="b">
        <f t="shared" si="13"/>
        <v>1</v>
      </c>
    </row>
    <row r="402" spans="1:8" ht="30">
      <c r="A402" s="677">
        <v>1746</v>
      </c>
      <c r="B402" s="733" t="s">
        <v>8791</v>
      </c>
      <c r="C402" s="677" t="s">
        <v>1690</v>
      </c>
      <c r="D402" s="738">
        <f t="shared" si="12"/>
        <v>249.9</v>
      </c>
      <c r="F402" s="1405">
        <v>249.9</v>
      </c>
      <c r="G402" s="1405">
        <v>249.9</v>
      </c>
      <c r="H402" t="b">
        <f t="shared" si="13"/>
        <v>1</v>
      </c>
    </row>
    <row r="403" spans="1:8" ht="30">
      <c r="A403" s="739">
        <v>1748</v>
      </c>
      <c r="B403" s="740" t="s">
        <v>8792</v>
      </c>
      <c r="C403" s="739" t="s">
        <v>1690</v>
      </c>
      <c r="D403" s="741">
        <f t="shared" si="12"/>
        <v>332.3</v>
      </c>
      <c r="F403" s="1406">
        <v>332.3</v>
      </c>
      <c r="G403" s="1406">
        <v>332.3</v>
      </c>
      <c r="H403" t="b">
        <f t="shared" si="13"/>
        <v>1</v>
      </c>
    </row>
    <row r="404" spans="1:8" ht="30">
      <c r="A404" s="677">
        <v>1749</v>
      </c>
      <c r="B404" s="733" t="s">
        <v>8793</v>
      </c>
      <c r="C404" s="677" t="s">
        <v>1690</v>
      </c>
      <c r="D404" s="738">
        <f t="shared" si="12"/>
        <v>481.45</v>
      </c>
      <c r="F404" s="1405">
        <v>481.45</v>
      </c>
      <c r="G404" s="1405">
        <v>481.45</v>
      </c>
      <c r="H404" t="b">
        <f t="shared" si="13"/>
        <v>1</v>
      </c>
    </row>
    <row r="405" spans="1:8" ht="30">
      <c r="A405" s="739">
        <v>37412</v>
      </c>
      <c r="B405" s="740" t="s">
        <v>8794</v>
      </c>
      <c r="C405" s="739" t="s">
        <v>1690</v>
      </c>
      <c r="D405" s="741">
        <f t="shared" si="12"/>
        <v>244.28</v>
      </c>
      <c r="F405" s="1406">
        <v>244.28</v>
      </c>
      <c r="G405" s="1406">
        <v>244.28</v>
      </c>
      <c r="H405" t="b">
        <f t="shared" si="13"/>
        <v>1</v>
      </c>
    </row>
    <row r="406" spans="1:8">
      <c r="A406" s="677">
        <v>1745</v>
      </c>
      <c r="B406" s="733" t="s">
        <v>8795</v>
      </c>
      <c r="C406" s="677" t="s">
        <v>1690</v>
      </c>
      <c r="D406" s="738">
        <f t="shared" si="12"/>
        <v>290.47000000000003</v>
      </c>
      <c r="F406" s="1405">
        <v>290.47000000000003</v>
      </c>
      <c r="G406" s="1405">
        <v>290.47000000000003</v>
      </c>
      <c r="H406" t="b">
        <f t="shared" si="13"/>
        <v>1</v>
      </c>
    </row>
    <row r="407" spans="1:8">
      <c r="A407" s="739">
        <v>1750</v>
      </c>
      <c r="B407" s="740" t="s">
        <v>8796</v>
      </c>
      <c r="C407" s="739" t="s">
        <v>1690</v>
      </c>
      <c r="D407" s="741">
        <f t="shared" si="12"/>
        <v>678.8</v>
      </c>
      <c r="F407" s="1406">
        <v>678.8</v>
      </c>
      <c r="G407" s="1406">
        <v>678.8</v>
      </c>
      <c r="H407" t="b">
        <f t="shared" si="13"/>
        <v>1</v>
      </c>
    </row>
    <row r="408" spans="1:8">
      <c r="A408" s="677">
        <v>11687</v>
      </c>
      <c r="B408" s="733" t="s">
        <v>8797</v>
      </c>
      <c r="C408" s="677" t="s">
        <v>1693</v>
      </c>
      <c r="D408" s="738">
        <f t="shared" si="12"/>
        <v>1081.54</v>
      </c>
      <c r="F408" s="1405">
        <v>1081.54</v>
      </c>
      <c r="G408" s="1405">
        <v>1081.54</v>
      </c>
      <c r="H408" t="b">
        <f t="shared" si="13"/>
        <v>1</v>
      </c>
    </row>
    <row r="409" spans="1:8">
      <c r="A409" s="739">
        <v>11689</v>
      </c>
      <c r="B409" s="740" t="s">
        <v>8798</v>
      </c>
      <c r="C409" s="739" t="s">
        <v>1693</v>
      </c>
      <c r="D409" s="741">
        <f t="shared" si="12"/>
        <v>1355.1</v>
      </c>
      <c r="F409" s="1406">
        <v>1355.1</v>
      </c>
      <c r="G409" s="1406">
        <v>1355.1</v>
      </c>
      <c r="H409" t="b">
        <f t="shared" si="13"/>
        <v>1</v>
      </c>
    </row>
    <row r="410" spans="1:8">
      <c r="A410" s="677">
        <v>11693</v>
      </c>
      <c r="B410" s="733" t="s">
        <v>8799</v>
      </c>
      <c r="C410" s="677" t="s">
        <v>1692</v>
      </c>
      <c r="D410" s="738">
        <f t="shared" si="12"/>
        <v>249.42</v>
      </c>
      <c r="F410" s="1405">
        <v>249.42</v>
      </c>
      <c r="G410" s="1405">
        <v>249.42</v>
      </c>
      <c r="H410" t="b">
        <f t="shared" si="13"/>
        <v>1</v>
      </c>
    </row>
    <row r="411" spans="1:8">
      <c r="A411" s="739">
        <v>36215</v>
      </c>
      <c r="B411" s="740" t="s">
        <v>8800</v>
      </c>
      <c r="C411" s="739" t="s">
        <v>1690</v>
      </c>
      <c r="D411" s="741">
        <f t="shared" si="12"/>
        <v>897.57</v>
      </c>
      <c r="F411" s="1406">
        <v>897.57</v>
      </c>
      <c r="G411" s="1406">
        <v>897.57</v>
      </c>
      <c r="H411" t="b">
        <f t="shared" si="13"/>
        <v>1</v>
      </c>
    </row>
    <row r="412" spans="1:8" ht="30">
      <c r="A412" s="677">
        <v>42439</v>
      </c>
      <c r="B412" s="733" t="s">
        <v>8801</v>
      </c>
      <c r="C412" s="677" t="s">
        <v>1690</v>
      </c>
      <c r="D412" s="738">
        <f t="shared" si="12"/>
        <v>1207.8399999999999</v>
      </c>
      <c r="F412" s="1405">
        <v>1207.8399999999999</v>
      </c>
      <c r="G412" s="1405">
        <v>1207.8399999999999</v>
      </c>
      <c r="H412" t="b">
        <f t="shared" si="13"/>
        <v>1</v>
      </c>
    </row>
    <row r="413" spans="1:8">
      <c r="A413" s="739">
        <v>38381</v>
      </c>
      <c r="B413" s="740" t="s">
        <v>8802</v>
      </c>
      <c r="C413" s="739" t="s">
        <v>1690</v>
      </c>
      <c r="D413" s="741">
        <f t="shared" si="12"/>
        <v>11.87</v>
      </c>
      <c r="F413" s="1406">
        <v>11.87</v>
      </c>
      <c r="G413" s="1406">
        <v>11.87</v>
      </c>
      <c r="H413" t="b">
        <f t="shared" si="13"/>
        <v>1</v>
      </c>
    </row>
    <row r="414" spans="1:8">
      <c r="A414" s="677">
        <v>39621</v>
      </c>
      <c r="B414" s="733" t="s">
        <v>8803</v>
      </c>
      <c r="C414" s="677" t="s">
        <v>1697</v>
      </c>
      <c r="D414" s="738">
        <f t="shared" si="12"/>
        <v>1276.6300000000001</v>
      </c>
      <c r="F414" s="1405">
        <v>1276.6300000000001</v>
      </c>
      <c r="G414" s="1405">
        <v>1276.6300000000001</v>
      </c>
      <c r="H414" t="b">
        <f t="shared" si="13"/>
        <v>1</v>
      </c>
    </row>
    <row r="415" spans="1:8">
      <c r="A415" s="739">
        <v>39624</v>
      </c>
      <c r="B415" s="740" t="s">
        <v>8804</v>
      </c>
      <c r="C415" s="739" t="s">
        <v>1697</v>
      </c>
      <c r="D415" s="741">
        <f t="shared" si="12"/>
        <v>1408.27</v>
      </c>
      <c r="F415" s="1406">
        <v>1408.27</v>
      </c>
      <c r="G415" s="1406">
        <v>1408.27</v>
      </c>
      <c r="H415" t="b">
        <f t="shared" si="13"/>
        <v>1</v>
      </c>
    </row>
    <row r="416" spans="1:8">
      <c r="A416" s="677">
        <v>39615</v>
      </c>
      <c r="B416" s="733" t="s">
        <v>8805</v>
      </c>
      <c r="C416" s="677" t="s">
        <v>1690</v>
      </c>
      <c r="D416" s="738">
        <f t="shared" si="12"/>
        <v>569.07000000000005</v>
      </c>
      <c r="F416" s="1405">
        <v>569.07000000000005</v>
      </c>
      <c r="G416" s="1405">
        <v>569.07000000000005</v>
      </c>
      <c r="H416" t="b">
        <f t="shared" si="13"/>
        <v>1</v>
      </c>
    </row>
    <row r="417" spans="1:8">
      <c r="A417" s="739">
        <v>39620</v>
      </c>
      <c r="B417" s="740" t="s">
        <v>8806</v>
      </c>
      <c r="C417" s="739" t="s">
        <v>1690</v>
      </c>
      <c r="D417" s="741">
        <f t="shared" si="12"/>
        <v>869.12</v>
      </c>
      <c r="F417" s="1406">
        <v>869.12</v>
      </c>
      <c r="G417" s="1406">
        <v>869.12</v>
      </c>
      <c r="H417" t="b">
        <f t="shared" si="13"/>
        <v>1</v>
      </c>
    </row>
    <row r="418" spans="1:8">
      <c r="A418" s="677">
        <v>39623</v>
      </c>
      <c r="B418" s="733" t="s">
        <v>8807</v>
      </c>
      <c r="C418" s="677" t="s">
        <v>1690</v>
      </c>
      <c r="D418" s="738">
        <f t="shared" si="12"/>
        <v>930.91</v>
      </c>
      <c r="F418" s="1405">
        <v>930.91</v>
      </c>
      <c r="G418" s="1405">
        <v>930.91</v>
      </c>
      <c r="H418" t="b">
        <f t="shared" si="13"/>
        <v>1</v>
      </c>
    </row>
    <row r="419" spans="1:8">
      <c r="A419" s="739">
        <v>546</v>
      </c>
      <c r="B419" s="740" t="s">
        <v>8808</v>
      </c>
      <c r="C419" s="739" t="s">
        <v>1694</v>
      </c>
      <c r="D419" s="741">
        <f t="shared" si="12"/>
        <v>8.1999999999999993</v>
      </c>
      <c r="F419" s="1406">
        <v>8.1999999999999993</v>
      </c>
      <c r="G419" s="1406">
        <v>8.1999999999999993</v>
      </c>
      <c r="H419" t="b">
        <f t="shared" si="13"/>
        <v>1</v>
      </c>
    </row>
    <row r="420" spans="1:8">
      <c r="A420" s="677">
        <v>566</v>
      </c>
      <c r="B420" s="733" t="s">
        <v>8809</v>
      </c>
      <c r="C420" s="677" t="s">
        <v>1693</v>
      </c>
      <c r="D420" s="738">
        <f t="shared" si="12"/>
        <v>3.89</v>
      </c>
      <c r="F420" s="1405">
        <v>3.89</v>
      </c>
      <c r="G420" s="1405">
        <v>3.89</v>
      </c>
      <c r="H420" t="b">
        <f t="shared" si="13"/>
        <v>1</v>
      </c>
    </row>
    <row r="421" spans="1:8">
      <c r="A421" s="739">
        <v>565</v>
      </c>
      <c r="B421" s="740" t="s">
        <v>8810</v>
      </c>
      <c r="C421" s="739" t="s">
        <v>1693</v>
      </c>
      <c r="D421" s="741">
        <f t="shared" si="12"/>
        <v>14.18</v>
      </c>
      <c r="F421" s="1406">
        <v>14.18</v>
      </c>
      <c r="G421" s="1406">
        <v>14.18</v>
      </c>
      <c r="H421" t="b">
        <f t="shared" si="13"/>
        <v>1</v>
      </c>
    </row>
    <row r="422" spans="1:8">
      <c r="A422" s="677">
        <v>555</v>
      </c>
      <c r="B422" s="733" t="s">
        <v>8811</v>
      </c>
      <c r="C422" s="677" t="s">
        <v>1693</v>
      </c>
      <c r="D422" s="738">
        <f t="shared" si="12"/>
        <v>10.050000000000001</v>
      </c>
      <c r="F422" s="1405">
        <v>10.050000000000001</v>
      </c>
      <c r="G422" s="1405">
        <v>10.050000000000001</v>
      </c>
      <c r="H422" t="b">
        <f t="shared" si="13"/>
        <v>1</v>
      </c>
    </row>
    <row r="423" spans="1:8">
      <c r="A423" s="739">
        <v>557</v>
      </c>
      <c r="B423" s="740" t="s">
        <v>8812</v>
      </c>
      <c r="C423" s="739" t="s">
        <v>1693</v>
      </c>
      <c r="D423" s="741">
        <f t="shared" si="12"/>
        <v>31.55</v>
      </c>
      <c r="F423" s="1406">
        <v>31.55</v>
      </c>
      <c r="G423" s="1406">
        <v>31.55</v>
      </c>
      <c r="H423" t="b">
        <f t="shared" si="13"/>
        <v>1</v>
      </c>
    </row>
    <row r="424" spans="1:8">
      <c r="A424" s="677">
        <v>552</v>
      </c>
      <c r="B424" s="733" t="s">
        <v>8813</v>
      </c>
      <c r="C424" s="677" t="s">
        <v>1693</v>
      </c>
      <c r="D424" s="738">
        <f t="shared" si="12"/>
        <v>15.65</v>
      </c>
      <c r="F424" s="1405">
        <v>15.65</v>
      </c>
      <c r="G424" s="1405">
        <v>15.65</v>
      </c>
      <c r="H424" t="b">
        <f t="shared" si="13"/>
        <v>1</v>
      </c>
    </row>
    <row r="425" spans="1:8">
      <c r="A425" s="739">
        <v>563</v>
      </c>
      <c r="B425" s="740" t="s">
        <v>8814</v>
      </c>
      <c r="C425" s="739" t="s">
        <v>1693</v>
      </c>
      <c r="D425" s="741">
        <f t="shared" si="12"/>
        <v>23.52</v>
      </c>
      <c r="F425" s="1406">
        <v>23.52</v>
      </c>
      <c r="G425" s="1406">
        <v>23.52</v>
      </c>
      <c r="H425" t="b">
        <f t="shared" si="13"/>
        <v>1</v>
      </c>
    </row>
    <row r="426" spans="1:8">
      <c r="A426" s="677">
        <v>549</v>
      </c>
      <c r="B426" s="733" t="s">
        <v>8815</v>
      </c>
      <c r="C426" s="677" t="s">
        <v>1693</v>
      </c>
      <c r="D426" s="738">
        <f t="shared" si="12"/>
        <v>42.33</v>
      </c>
      <c r="F426" s="1405">
        <v>42.33</v>
      </c>
      <c r="G426" s="1405">
        <v>42.33</v>
      </c>
      <c r="H426" t="b">
        <f t="shared" si="13"/>
        <v>1</v>
      </c>
    </row>
    <row r="427" spans="1:8">
      <c r="A427" s="739">
        <v>551</v>
      </c>
      <c r="B427" s="740" t="s">
        <v>8816</v>
      </c>
      <c r="C427" s="739" t="s">
        <v>1693</v>
      </c>
      <c r="D427" s="741">
        <f t="shared" si="12"/>
        <v>83.83</v>
      </c>
      <c r="F427" s="1406">
        <v>83.83</v>
      </c>
      <c r="G427" s="1406">
        <v>83.83</v>
      </c>
      <c r="H427" t="b">
        <f t="shared" si="13"/>
        <v>1</v>
      </c>
    </row>
    <row r="428" spans="1:8">
      <c r="A428" s="677">
        <v>559</v>
      </c>
      <c r="B428" s="733" t="s">
        <v>8817</v>
      </c>
      <c r="C428" s="677" t="s">
        <v>1693</v>
      </c>
      <c r="D428" s="738">
        <f t="shared" si="12"/>
        <v>20.95</v>
      </c>
      <c r="F428" s="1405">
        <v>20.95</v>
      </c>
      <c r="G428" s="1405">
        <v>20.95</v>
      </c>
      <c r="H428" t="b">
        <f t="shared" si="13"/>
        <v>1</v>
      </c>
    </row>
    <row r="429" spans="1:8">
      <c r="A429" s="739">
        <v>560</v>
      </c>
      <c r="B429" s="740" t="s">
        <v>8818</v>
      </c>
      <c r="C429" s="739" t="s">
        <v>1693</v>
      </c>
      <c r="D429" s="741">
        <f t="shared" si="12"/>
        <v>26.21</v>
      </c>
      <c r="F429" s="1406">
        <v>26.21</v>
      </c>
      <c r="G429" s="1406">
        <v>26.21</v>
      </c>
      <c r="H429" t="b">
        <f t="shared" si="13"/>
        <v>1</v>
      </c>
    </row>
    <row r="430" spans="1:8">
      <c r="A430" s="677">
        <v>547</v>
      </c>
      <c r="B430" s="733" t="s">
        <v>8819</v>
      </c>
      <c r="C430" s="677" t="s">
        <v>1693</v>
      </c>
      <c r="D430" s="738">
        <f t="shared" si="12"/>
        <v>31.39</v>
      </c>
      <c r="F430" s="1405">
        <v>31.39</v>
      </c>
      <c r="G430" s="1405">
        <v>31.39</v>
      </c>
      <c r="H430" t="b">
        <f t="shared" si="13"/>
        <v>1</v>
      </c>
    </row>
    <row r="431" spans="1:8">
      <c r="A431" s="739">
        <v>36207</v>
      </c>
      <c r="B431" s="740" t="s">
        <v>8820</v>
      </c>
      <c r="C431" s="739" t="s">
        <v>1690</v>
      </c>
      <c r="D431" s="741">
        <f t="shared" si="12"/>
        <v>397.56</v>
      </c>
      <c r="F431" s="1406">
        <v>397.56</v>
      </c>
      <c r="G431" s="1406">
        <v>397.56</v>
      </c>
      <c r="H431" t="b">
        <f t="shared" si="13"/>
        <v>1</v>
      </c>
    </row>
    <row r="432" spans="1:8">
      <c r="A432" s="677">
        <v>36209</v>
      </c>
      <c r="B432" s="733" t="s">
        <v>8821</v>
      </c>
      <c r="C432" s="677" t="s">
        <v>1690</v>
      </c>
      <c r="D432" s="738">
        <f t="shared" si="12"/>
        <v>456.26</v>
      </c>
      <c r="F432" s="1405">
        <v>456.26</v>
      </c>
      <c r="G432" s="1405">
        <v>456.26</v>
      </c>
      <c r="H432" t="b">
        <f t="shared" si="13"/>
        <v>1</v>
      </c>
    </row>
    <row r="433" spans="1:8">
      <c r="A433" s="739">
        <v>36210</v>
      </c>
      <c r="B433" s="740" t="s">
        <v>8822</v>
      </c>
      <c r="C433" s="739" t="s">
        <v>1690</v>
      </c>
      <c r="D433" s="741">
        <f t="shared" si="12"/>
        <v>493.66</v>
      </c>
      <c r="F433" s="1406">
        <v>493.66</v>
      </c>
      <c r="G433" s="1406">
        <v>493.66</v>
      </c>
      <c r="H433" t="b">
        <f t="shared" si="13"/>
        <v>1</v>
      </c>
    </row>
    <row r="434" spans="1:8">
      <c r="A434" s="677">
        <v>36204</v>
      </c>
      <c r="B434" s="733" t="s">
        <v>8823</v>
      </c>
      <c r="C434" s="677" t="s">
        <v>1690</v>
      </c>
      <c r="D434" s="738">
        <f t="shared" si="12"/>
        <v>175.03</v>
      </c>
      <c r="F434" s="1405">
        <v>175.03</v>
      </c>
      <c r="G434" s="1405">
        <v>175.03</v>
      </c>
      <c r="H434" t="b">
        <f t="shared" si="13"/>
        <v>1</v>
      </c>
    </row>
    <row r="435" spans="1:8">
      <c r="A435" s="739">
        <v>36205</v>
      </c>
      <c r="B435" s="740" t="s">
        <v>8824</v>
      </c>
      <c r="C435" s="739" t="s">
        <v>1690</v>
      </c>
      <c r="D435" s="741">
        <f t="shared" si="12"/>
        <v>194.39</v>
      </c>
      <c r="F435" s="1406">
        <v>194.39</v>
      </c>
      <c r="G435" s="1406">
        <v>194.39</v>
      </c>
      <c r="H435" t="b">
        <f t="shared" si="13"/>
        <v>1</v>
      </c>
    </row>
    <row r="436" spans="1:8">
      <c r="A436" s="677">
        <v>36081</v>
      </c>
      <c r="B436" s="733" t="s">
        <v>8825</v>
      </c>
      <c r="C436" s="677" t="s">
        <v>1690</v>
      </c>
      <c r="D436" s="738">
        <f t="shared" si="12"/>
        <v>207.27</v>
      </c>
      <c r="F436" s="1405">
        <v>207.27</v>
      </c>
      <c r="G436" s="1405">
        <v>207.27</v>
      </c>
      <c r="H436" t="b">
        <f t="shared" si="13"/>
        <v>1</v>
      </c>
    </row>
    <row r="437" spans="1:8">
      <c r="A437" s="739">
        <v>36206</v>
      </c>
      <c r="B437" s="740" t="s">
        <v>8826</v>
      </c>
      <c r="C437" s="739" t="s">
        <v>1690</v>
      </c>
      <c r="D437" s="741">
        <f t="shared" si="12"/>
        <v>217.15</v>
      </c>
      <c r="F437" s="1406">
        <v>217.15</v>
      </c>
      <c r="G437" s="1406">
        <v>217.15</v>
      </c>
      <c r="H437" t="b">
        <f t="shared" si="13"/>
        <v>1</v>
      </c>
    </row>
    <row r="438" spans="1:8">
      <c r="A438" s="677">
        <v>36218</v>
      </c>
      <c r="B438" s="733" t="s">
        <v>8827</v>
      </c>
      <c r="C438" s="677" t="s">
        <v>1690</v>
      </c>
      <c r="D438" s="738">
        <f t="shared" si="12"/>
        <v>156</v>
      </c>
      <c r="F438" s="1405">
        <v>156</v>
      </c>
      <c r="G438" s="1405">
        <v>156</v>
      </c>
      <c r="H438" t="b">
        <f t="shared" si="13"/>
        <v>1</v>
      </c>
    </row>
    <row r="439" spans="1:8">
      <c r="A439" s="739">
        <v>36220</v>
      </c>
      <c r="B439" s="740" t="s">
        <v>8828</v>
      </c>
      <c r="C439" s="739" t="s">
        <v>1690</v>
      </c>
      <c r="D439" s="741">
        <f t="shared" si="12"/>
        <v>178.88</v>
      </c>
      <c r="F439" s="1406">
        <v>178.88</v>
      </c>
      <c r="G439" s="1406">
        <v>178.88</v>
      </c>
      <c r="H439" t="b">
        <f t="shared" si="13"/>
        <v>1</v>
      </c>
    </row>
    <row r="440" spans="1:8">
      <c r="A440" s="677">
        <v>36080</v>
      </c>
      <c r="B440" s="733" t="s">
        <v>8829</v>
      </c>
      <c r="C440" s="677" t="s">
        <v>1690</v>
      </c>
      <c r="D440" s="738">
        <f t="shared" si="12"/>
        <v>193.49</v>
      </c>
      <c r="F440" s="1405">
        <v>193.49</v>
      </c>
      <c r="G440" s="1405">
        <v>193.49</v>
      </c>
      <c r="H440" t="b">
        <f t="shared" si="13"/>
        <v>1</v>
      </c>
    </row>
    <row r="441" spans="1:8">
      <c r="A441" s="739">
        <v>36223</v>
      </c>
      <c r="B441" s="740" t="s">
        <v>8830</v>
      </c>
      <c r="C441" s="739" t="s">
        <v>1690</v>
      </c>
      <c r="D441" s="741">
        <f t="shared" si="12"/>
        <v>202.61</v>
      </c>
      <c r="F441" s="1406">
        <v>202.61</v>
      </c>
      <c r="G441" s="1406">
        <v>202.61</v>
      </c>
      <c r="H441" t="b">
        <f t="shared" si="13"/>
        <v>1</v>
      </c>
    </row>
    <row r="442" spans="1:8">
      <c r="A442" s="677">
        <v>38127</v>
      </c>
      <c r="B442" s="733" t="s">
        <v>8831</v>
      </c>
      <c r="C442" s="677" t="s">
        <v>1690</v>
      </c>
      <c r="D442" s="738">
        <f t="shared" si="12"/>
        <v>476.62</v>
      </c>
      <c r="F442" s="1405">
        <v>476.62</v>
      </c>
      <c r="G442" s="1405">
        <v>476.62</v>
      </c>
      <c r="H442" t="b">
        <f t="shared" si="13"/>
        <v>1</v>
      </c>
    </row>
    <row r="443" spans="1:8">
      <c r="A443" s="739">
        <v>38060</v>
      </c>
      <c r="B443" s="740" t="s">
        <v>8832</v>
      </c>
      <c r="C443" s="739" t="s">
        <v>1690</v>
      </c>
      <c r="D443" s="741">
        <f t="shared" si="12"/>
        <v>63.39</v>
      </c>
      <c r="F443" s="1406">
        <v>63.39</v>
      </c>
      <c r="G443" s="1406">
        <v>63.39</v>
      </c>
      <c r="H443" t="b">
        <f t="shared" si="13"/>
        <v>1</v>
      </c>
    </row>
    <row r="444" spans="1:8">
      <c r="A444" s="677">
        <v>10956</v>
      </c>
      <c r="B444" s="733" t="s">
        <v>8833</v>
      </c>
      <c r="C444" s="677" t="s">
        <v>1690</v>
      </c>
      <c r="D444" s="738">
        <f t="shared" si="12"/>
        <v>69.52</v>
      </c>
      <c r="F444" s="1405">
        <v>69.52</v>
      </c>
      <c r="G444" s="1405">
        <v>69.52</v>
      </c>
      <c r="H444" t="b">
        <f t="shared" si="13"/>
        <v>1</v>
      </c>
    </row>
    <row r="445" spans="1:8">
      <c r="A445" s="739">
        <v>39380</v>
      </c>
      <c r="B445" s="740" t="s">
        <v>8834</v>
      </c>
      <c r="C445" s="739" t="s">
        <v>1690</v>
      </c>
      <c r="D445" s="741">
        <f t="shared" si="12"/>
        <v>21.3</v>
      </c>
      <c r="F445" s="1406">
        <v>21.3</v>
      </c>
      <c r="G445" s="1406">
        <v>21.3</v>
      </c>
      <c r="H445" t="b">
        <f t="shared" si="13"/>
        <v>1</v>
      </c>
    </row>
    <row r="446" spans="1:8">
      <c r="A446" s="677">
        <v>44172</v>
      </c>
      <c r="B446" s="733" t="s">
        <v>8835</v>
      </c>
      <c r="C446" s="677" t="s">
        <v>1690</v>
      </c>
      <c r="D446" s="738">
        <f t="shared" si="12"/>
        <v>6.66</v>
      </c>
      <c r="F446" s="1405">
        <v>6.66</v>
      </c>
      <c r="G446" s="1405">
        <v>6.66</v>
      </c>
      <c r="H446" t="b">
        <f t="shared" si="13"/>
        <v>1</v>
      </c>
    </row>
    <row r="447" spans="1:8">
      <c r="A447" s="739">
        <v>37597</v>
      </c>
      <c r="B447" s="740" t="s">
        <v>8836</v>
      </c>
      <c r="C447" s="739" t="s">
        <v>1690</v>
      </c>
      <c r="D447" s="741">
        <f t="shared" si="12"/>
        <v>632675.78</v>
      </c>
      <c r="F447" s="1406">
        <v>632675.78</v>
      </c>
      <c r="G447" s="1406">
        <v>632675.78</v>
      </c>
      <c r="H447" t="b">
        <f t="shared" si="13"/>
        <v>1</v>
      </c>
    </row>
    <row r="448" spans="1:8" ht="45">
      <c r="A448" s="677">
        <v>183</v>
      </c>
      <c r="B448" s="733" t="s">
        <v>8837</v>
      </c>
      <c r="C448" s="677" t="s">
        <v>1698</v>
      </c>
      <c r="D448" s="738">
        <f t="shared" si="12"/>
        <v>248.38</v>
      </c>
      <c r="F448" s="1405">
        <v>248.38</v>
      </c>
      <c r="G448" s="1405">
        <v>248.38</v>
      </c>
      <c r="H448" t="b">
        <f t="shared" si="13"/>
        <v>1</v>
      </c>
    </row>
    <row r="449" spans="1:8" ht="30">
      <c r="A449" s="739">
        <v>184</v>
      </c>
      <c r="B449" s="740" t="s">
        <v>8838</v>
      </c>
      <c r="C449" s="739" t="s">
        <v>1698</v>
      </c>
      <c r="D449" s="741">
        <f t="shared" si="12"/>
        <v>153.83000000000001</v>
      </c>
      <c r="F449" s="1406">
        <v>153.83000000000001</v>
      </c>
      <c r="G449" s="1406">
        <v>153.83000000000001</v>
      </c>
      <c r="H449" t="b">
        <f t="shared" si="13"/>
        <v>1</v>
      </c>
    </row>
    <row r="450" spans="1:8" ht="45">
      <c r="A450" s="677">
        <v>181</v>
      </c>
      <c r="B450" s="733" t="s">
        <v>8839</v>
      </c>
      <c r="C450" s="677" t="s">
        <v>1698</v>
      </c>
      <c r="D450" s="738">
        <f t="shared" si="12"/>
        <v>331.7</v>
      </c>
      <c r="F450" s="1405">
        <v>331.7</v>
      </c>
      <c r="G450" s="1405">
        <v>331.7</v>
      </c>
      <c r="H450" t="b">
        <f t="shared" si="13"/>
        <v>1</v>
      </c>
    </row>
    <row r="451" spans="1:8" ht="30">
      <c r="A451" s="739">
        <v>20001</v>
      </c>
      <c r="B451" s="740" t="s">
        <v>8840</v>
      </c>
      <c r="C451" s="739" t="s">
        <v>1698</v>
      </c>
      <c r="D451" s="741">
        <f t="shared" ref="D451:D514" si="14">IF($J$2=$F$1,F451,G451)</f>
        <v>192.29</v>
      </c>
      <c r="F451" s="1406">
        <v>192.29</v>
      </c>
      <c r="G451" s="1406">
        <v>192.29</v>
      </c>
      <c r="H451" t="b">
        <f t="shared" ref="H451:H514" si="15">F451=G451</f>
        <v>1</v>
      </c>
    </row>
    <row r="452" spans="1:8" ht="30">
      <c r="A452" s="677">
        <v>39837</v>
      </c>
      <c r="B452" s="733" t="s">
        <v>8841</v>
      </c>
      <c r="C452" s="677" t="s">
        <v>1698</v>
      </c>
      <c r="D452" s="738">
        <f t="shared" si="14"/>
        <v>536.80999999999995</v>
      </c>
      <c r="F452" s="1405">
        <v>536.80999999999995</v>
      </c>
      <c r="G452" s="1405">
        <v>536.80999999999995</v>
      </c>
      <c r="H452" t="b">
        <f t="shared" si="15"/>
        <v>1</v>
      </c>
    </row>
    <row r="453" spans="1:8">
      <c r="A453" s="739">
        <v>43366</v>
      </c>
      <c r="B453" s="740" t="s">
        <v>8842</v>
      </c>
      <c r="C453" s="739" t="s">
        <v>1694</v>
      </c>
      <c r="D453" s="741">
        <f t="shared" si="14"/>
        <v>1.54</v>
      </c>
      <c r="F453" s="1406">
        <v>1.54</v>
      </c>
      <c r="G453" s="1406">
        <v>1.54</v>
      </c>
      <c r="H453" t="b">
        <f t="shared" si="15"/>
        <v>1</v>
      </c>
    </row>
    <row r="454" spans="1:8" ht="30">
      <c r="A454" s="677">
        <v>10535</v>
      </c>
      <c r="B454" s="733" t="s">
        <v>8843</v>
      </c>
      <c r="C454" s="677" t="s">
        <v>1690</v>
      </c>
      <c r="D454" s="738">
        <f t="shared" si="14"/>
        <v>5553.88</v>
      </c>
      <c r="F454" s="1405">
        <v>5553.88</v>
      </c>
      <c r="G454" s="1405">
        <v>5553.88</v>
      </c>
      <c r="H454" t="b">
        <f t="shared" si="15"/>
        <v>1</v>
      </c>
    </row>
    <row r="455" spans="1:8">
      <c r="A455" s="739">
        <v>10537</v>
      </c>
      <c r="B455" s="740" t="s">
        <v>8844</v>
      </c>
      <c r="C455" s="739" t="s">
        <v>1690</v>
      </c>
      <c r="D455" s="741">
        <f t="shared" si="14"/>
        <v>7573.98</v>
      </c>
      <c r="F455" s="1406">
        <v>7573.98</v>
      </c>
      <c r="G455" s="1406">
        <v>7573.98</v>
      </c>
      <c r="H455" t="b">
        <f t="shared" si="15"/>
        <v>1</v>
      </c>
    </row>
    <row r="456" spans="1:8">
      <c r="A456" s="677">
        <v>13891</v>
      </c>
      <c r="B456" s="733" t="s">
        <v>8845</v>
      </c>
      <c r="C456" s="677" t="s">
        <v>1690</v>
      </c>
      <c r="D456" s="738">
        <f t="shared" si="14"/>
        <v>6947.05</v>
      </c>
      <c r="F456" s="1405">
        <v>6947.05</v>
      </c>
      <c r="G456" s="1405">
        <v>6947.05</v>
      </c>
      <c r="H456" t="b">
        <f t="shared" si="15"/>
        <v>1</v>
      </c>
    </row>
    <row r="457" spans="1:8">
      <c r="A457" s="739">
        <v>44492</v>
      </c>
      <c r="B457" s="740" t="s">
        <v>8846</v>
      </c>
      <c r="C457" s="739" t="s">
        <v>1690</v>
      </c>
      <c r="D457" s="741">
        <f t="shared" si="14"/>
        <v>30216.87</v>
      </c>
      <c r="F457" s="1406">
        <v>30216.87</v>
      </c>
      <c r="G457" s="1406">
        <v>30216.87</v>
      </c>
      <c r="H457" t="b">
        <f t="shared" si="15"/>
        <v>1</v>
      </c>
    </row>
    <row r="458" spans="1:8" ht="30">
      <c r="A458" s="677">
        <v>36396</v>
      </c>
      <c r="B458" s="733" t="s">
        <v>8847</v>
      </c>
      <c r="C458" s="677" t="s">
        <v>1690</v>
      </c>
      <c r="D458" s="738">
        <f t="shared" si="14"/>
        <v>6354.01</v>
      </c>
      <c r="F458" s="1405">
        <v>6354.01</v>
      </c>
      <c r="G458" s="1405">
        <v>6354.01</v>
      </c>
      <c r="H458" t="b">
        <f t="shared" si="15"/>
        <v>1</v>
      </c>
    </row>
    <row r="459" spans="1:8" ht="30">
      <c r="A459" s="739">
        <v>36397</v>
      </c>
      <c r="B459" s="740" t="s">
        <v>8848</v>
      </c>
      <c r="C459" s="739" t="s">
        <v>1690</v>
      </c>
      <c r="D459" s="741">
        <f t="shared" si="14"/>
        <v>22592.05</v>
      </c>
      <c r="F459" s="1406">
        <v>22592.05</v>
      </c>
      <c r="G459" s="1406">
        <v>22592.05</v>
      </c>
      <c r="H459" t="b">
        <f t="shared" si="15"/>
        <v>1</v>
      </c>
    </row>
    <row r="460" spans="1:8">
      <c r="A460" s="677">
        <v>36398</v>
      </c>
      <c r="B460" s="733" t="s">
        <v>8849</v>
      </c>
      <c r="C460" s="677" t="s">
        <v>1690</v>
      </c>
      <c r="D460" s="738">
        <f t="shared" si="14"/>
        <v>27458.75</v>
      </c>
      <c r="F460" s="1405">
        <v>27458.75</v>
      </c>
      <c r="G460" s="1405">
        <v>27458.75</v>
      </c>
      <c r="H460" t="b">
        <f t="shared" si="15"/>
        <v>1</v>
      </c>
    </row>
    <row r="461" spans="1:8">
      <c r="A461" s="739">
        <v>647</v>
      </c>
      <c r="B461" s="740" t="s">
        <v>8850</v>
      </c>
      <c r="C461" s="739" t="s">
        <v>1689</v>
      </c>
      <c r="D461" s="741">
        <f t="shared" si="14"/>
        <v>14.06</v>
      </c>
      <c r="F461" s="1406">
        <v>12.21</v>
      </c>
      <c r="G461" s="1406">
        <v>14.06</v>
      </c>
      <c r="H461" t="b">
        <f t="shared" si="15"/>
        <v>0</v>
      </c>
    </row>
    <row r="462" spans="1:8">
      <c r="A462" s="677">
        <v>40920</v>
      </c>
      <c r="B462" s="733" t="s">
        <v>8851</v>
      </c>
      <c r="C462" s="677" t="s">
        <v>1696</v>
      </c>
      <c r="D462" s="738">
        <f t="shared" si="14"/>
        <v>2475.65</v>
      </c>
      <c r="F462" s="1405">
        <v>2147.11</v>
      </c>
      <c r="G462" s="1405">
        <v>2475.65</v>
      </c>
      <c r="H462" t="b">
        <f t="shared" si="15"/>
        <v>0</v>
      </c>
    </row>
    <row r="463" spans="1:8">
      <c r="A463" s="739">
        <v>715</v>
      </c>
      <c r="B463" s="740" t="s">
        <v>8852</v>
      </c>
      <c r="C463" s="739" t="s">
        <v>1690</v>
      </c>
      <c r="D463" s="741">
        <f t="shared" si="14"/>
        <v>31.2</v>
      </c>
      <c r="F463" s="1406">
        <v>31.2</v>
      </c>
      <c r="G463" s="1406">
        <v>31.2</v>
      </c>
      <c r="H463" t="b">
        <f t="shared" si="15"/>
        <v>1</v>
      </c>
    </row>
    <row r="464" spans="1:8">
      <c r="A464" s="677">
        <v>716</v>
      </c>
      <c r="B464" s="733" t="s">
        <v>8853</v>
      </c>
      <c r="C464" s="677" t="s">
        <v>1690</v>
      </c>
      <c r="D464" s="738">
        <f t="shared" si="14"/>
        <v>35.28</v>
      </c>
      <c r="F464" s="1405">
        <v>35.28</v>
      </c>
      <c r="G464" s="1405">
        <v>35.28</v>
      </c>
      <c r="H464" t="b">
        <f t="shared" si="15"/>
        <v>1</v>
      </c>
    </row>
    <row r="465" spans="1:8">
      <c r="A465" s="739">
        <v>38783</v>
      </c>
      <c r="B465" s="740" t="s">
        <v>8854</v>
      </c>
      <c r="C465" s="739" t="s">
        <v>1690</v>
      </c>
      <c r="D465" s="741">
        <f t="shared" si="14"/>
        <v>1.27</v>
      </c>
      <c r="F465" s="1406">
        <v>1.27</v>
      </c>
      <c r="G465" s="1406">
        <v>1.27</v>
      </c>
      <c r="H465" t="b">
        <f t="shared" si="15"/>
        <v>1</v>
      </c>
    </row>
    <row r="466" spans="1:8">
      <c r="A466" s="677">
        <v>37593</v>
      </c>
      <c r="B466" s="733" t="s">
        <v>8855</v>
      </c>
      <c r="C466" s="677" t="s">
        <v>1690</v>
      </c>
      <c r="D466" s="738">
        <f t="shared" si="14"/>
        <v>3.12</v>
      </c>
      <c r="F466" s="1405">
        <v>3.12</v>
      </c>
      <c r="G466" s="1405">
        <v>3.12</v>
      </c>
      <c r="H466" t="b">
        <f t="shared" si="15"/>
        <v>1</v>
      </c>
    </row>
    <row r="467" spans="1:8">
      <c r="A467" s="739">
        <v>37594</v>
      </c>
      <c r="B467" s="740" t="s">
        <v>8856</v>
      </c>
      <c r="C467" s="739" t="s">
        <v>1690</v>
      </c>
      <c r="D467" s="741">
        <f t="shared" si="14"/>
        <v>3.88</v>
      </c>
      <c r="F467" s="1406">
        <v>3.88</v>
      </c>
      <c r="G467" s="1406">
        <v>3.88</v>
      </c>
      <c r="H467" t="b">
        <f t="shared" si="15"/>
        <v>1</v>
      </c>
    </row>
    <row r="468" spans="1:8">
      <c r="A468" s="677">
        <v>37592</v>
      </c>
      <c r="B468" s="733" t="s">
        <v>8857</v>
      </c>
      <c r="C468" s="677" t="s">
        <v>1690</v>
      </c>
      <c r="D468" s="738">
        <f t="shared" si="14"/>
        <v>2.46</v>
      </c>
      <c r="F468" s="1405">
        <v>2.46</v>
      </c>
      <c r="G468" s="1405">
        <v>2.46</v>
      </c>
      <c r="H468" t="b">
        <f t="shared" si="15"/>
        <v>1</v>
      </c>
    </row>
    <row r="469" spans="1:8">
      <c r="A469" s="739">
        <v>7270</v>
      </c>
      <c r="B469" s="740" t="s">
        <v>8858</v>
      </c>
      <c r="C469" s="739" t="s">
        <v>1690</v>
      </c>
      <c r="D469" s="741">
        <f t="shared" si="14"/>
        <v>1.1000000000000001</v>
      </c>
      <c r="F469" s="1406">
        <v>1.1000000000000001</v>
      </c>
      <c r="G469" s="1406">
        <v>1.1000000000000001</v>
      </c>
      <c r="H469" t="b">
        <f t="shared" si="15"/>
        <v>1</v>
      </c>
    </row>
    <row r="470" spans="1:8">
      <c r="A470" s="677">
        <v>7267</v>
      </c>
      <c r="B470" s="733" t="s">
        <v>8859</v>
      </c>
      <c r="C470" s="677" t="s">
        <v>1690</v>
      </c>
      <c r="D470" s="738">
        <f t="shared" si="14"/>
        <v>0.86</v>
      </c>
      <c r="F470" s="1405">
        <v>0.86</v>
      </c>
      <c r="G470" s="1405">
        <v>0.86</v>
      </c>
      <c r="H470" t="b">
        <f t="shared" si="15"/>
        <v>1</v>
      </c>
    </row>
    <row r="471" spans="1:8">
      <c r="A471" s="739">
        <v>7271</v>
      </c>
      <c r="B471" s="740" t="s">
        <v>8860</v>
      </c>
      <c r="C471" s="739" t="s">
        <v>1690</v>
      </c>
      <c r="D471" s="741">
        <f t="shared" si="14"/>
        <v>0.95</v>
      </c>
      <c r="F471" s="1406">
        <v>0.95</v>
      </c>
      <c r="G471" s="1406">
        <v>0.95</v>
      </c>
      <c r="H471" t="b">
        <f t="shared" si="15"/>
        <v>1</v>
      </c>
    </row>
    <row r="472" spans="1:8">
      <c r="A472" s="677">
        <v>7268</v>
      </c>
      <c r="B472" s="733" t="s">
        <v>8861</v>
      </c>
      <c r="C472" s="677" t="s">
        <v>1690</v>
      </c>
      <c r="D472" s="738">
        <f t="shared" si="14"/>
        <v>1.32</v>
      </c>
      <c r="F472" s="1405">
        <v>1.32</v>
      </c>
      <c r="G472" s="1405">
        <v>1.32</v>
      </c>
      <c r="H472" t="b">
        <f t="shared" si="15"/>
        <v>1</v>
      </c>
    </row>
    <row r="473" spans="1:8">
      <c r="A473" s="739">
        <v>41372</v>
      </c>
      <c r="B473" s="740" t="s">
        <v>8862</v>
      </c>
      <c r="C473" s="739" t="s">
        <v>1692</v>
      </c>
      <c r="D473" s="741">
        <f t="shared" si="14"/>
        <v>119.29</v>
      </c>
      <c r="F473" s="1406">
        <v>119.29</v>
      </c>
      <c r="G473" s="1406">
        <v>119.29</v>
      </c>
      <c r="H473" t="b">
        <f t="shared" si="15"/>
        <v>1</v>
      </c>
    </row>
    <row r="474" spans="1:8">
      <c r="A474" s="677">
        <v>41371</v>
      </c>
      <c r="B474" s="733" t="s">
        <v>8863</v>
      </c>
      <c r="C474" s="677" t="s">
        <v>1692</v>
      </c>
      <c r="D474" s="738">
        <f t="shared" si="14"/>
        <v>70.510000000000005</v>
      </c>
      <c r="F474" s="1405">
        <v>70.510000000000005</v>
      </c>
      <c r="G474" s="1405">
        <v>70.510000000000005</v>
      </c>
      <c r="H474" t="b">
        <f t="shared" si="15"/>
        <v>1</v>
      </c>
    </row>
    <row r="475" spans="1:8">
      <c r="A475" s="739">
        <v>34556</v>
      </c>
      <c r="B475" s="740" t="s">
        <v>8864</v>
      </c>
      <c r="C475" s="739" t="s">
        <v>1690</v>
      </c>
      <c r="D475" s="741">
        <f t="shared" si="14"/>
        <v>5.08</v>
      </c>
      <c r="F475" s="1406">
        <v>5.08</v>
      </c>
      <c r="G475" s="1406">
        <v>5.08</v>
      </c>
      <c r="H475" t="b">
        <f t="shared" si="15"/>
        <v>1</v>
      </c>
    </row>
    <row r="476" spans="1:8">
      <c r="A476" s="677">
        <v>37873</v>
      </c>
      <c r="B476" s="733" t="s">
        <v>8865</v>
      </c>
      <c r="C476" s="677" t="s">
        <v>1690</v>
      </c>
      <c r="D476" s="738">
        <f t="shared" si="14"/>
        <v>5.17</v>
      </c>
      <c r="F476" s="1405">
        <v>5.17</v>
      </c>
      <c r="G476" s="1405">
        <v>5.17</v>
      </c>
      <c r="H476" t="b">
        <f t="shared" si="15"/>
        <v>1</v>
      </c>
    </row>
    <row r="477" spans="1:8">
      <c r="A477" s="739">
        <v>34564</v>
      </c>
      <c r="B477" s="740" t="s">
        <v>8866</v>
      </c>
      <c r="C477" s="739" t="s">
        <v>1690</v>
      </c>
      <c r="D477" s="741">
        <f t="shared" si="14"/>
        <v>5.42</v>
      </c>
      <c r="F477" s="1406">
        <v>5.42</v>
      </c>
      <c r="G477" s="1406">
        <v>5.42</v>
      </c>
      <c r="H477" t="b">
        <f t="shared" si="15"/>
        <v>1</v>
      </c>
    </row>
    <row r="478" spans="1:8">
      <c r="A478" s="677">
        <v>34565</v>
      </c>
      <c r="B478" s="733" t="s">
        <v>8867</v>
      </c>
      <c r="C478" s="677" t="s">
        <v>1690</v>
      </c>
      <c r="D478" s="738">
        <f t="shared" si="14"/>
        <v>5.73</v>
      </c>
      <c r="F478" s="1405">
        <v>5.73</v>
      </c>
      <c r="G478" s="1405">
        <v>5.73</v>
      </c>
      <c r="H478" t="b">
        <f t="shared" si="15"/>
        <v>1</v>
      </c>
    </row>
    <row r="479" spans="1:8">
      <c r="A479" s="739">
        <v>38590</v>
      </c>
      <c r="B479" s="740" t="s">
        <v>8868</v>
      </c>
      <c r="C479" s="739" t="s">
        <v>1690</v>
      </c>
      <c r="D479" s="741">
        <f t="shared" si="14"/>
        <v>4.2300000000000004</v>
      </c>
      <c r="F479" s="1406">
        <v>4.2300000000000004</v>
      </c>
      <c r="G479" s="1406">
        <v>4.2300000000000004</v>
      </c>
      <c r="H479" t="b">
        <f t="shared" si="15"/>
        <v>1</v>
      </c>
    </row>
    <row r="480" spans="1:8">
      <c r="A480" s="677">
        <v>34566</v>
      </c>
      <c r="B480" s="733" t="s">
        <v>8869</v>
      </c>
      <c r="C480" s="677" t="s">
        <v>1690</v>
      </c>
      <c r="D480" s="738">
        <f t="shared" si="14"/>
        <v>4.45</v>
      </c>
      <c r="F480" s="1405">
        <v>4.45</v>
      </c>
      <c r="G480" s="1405">
        <v>4.45</v>
      </c>
      <c r="H480" t="b">
        <f t="shared" si="15"/>
        <v>1</v>
      </c>
    </row>
    <row r="481" spans="1:8">
      <c r="A481" s="739">
        <v>34567</v>
      </c>
      <c r="B481" s="740" t="s">
        <v>8870</v>
      </c>
      <c r="C481" s="739" t="s">
        <v>1690</v>
      </c>
      <c r="D481" s="741">
        <f t="shared" si="14"/>
        <v>4.71</v>
      </c>
      <c r="F481" s="1406">
        <v>4.71</v>
      </c>
      <c r="G481" s="1406">
        <v>4.71</v>
      </c>
      <c r="H481" t="b">
        <f t="shared" si="15"/>
        <v>1</v>
      </c>
    </row>
    <row r="482" spans="1:8">
      <c r="A482" s="677">
        <v>38591</v>
      </c>
      <c r="B482" s="733" t="s">
        <v>8871</v>
      </c>
      <c r="C482" s="677" t="s">
        <v>1690</v>
      </c>
      <c r="D482" s="738">
        <f t="shared" si="14"/>
        <v>4.28</v>
      </c>
      <c r="F482" s="1405">
        <v>4.28</v>
      </c>
      <c r="G482" s="1405">
        <v>4.28</v>
      </c>
      <c r="H482" t="b">
        <f t="shared" si="15"/>
        <v>1</v>
      </c>
    </row>
    <row r="483" spans="1:8">
      <c r="A483" s="739">
        <v>34568</v>
      </c>
      <c r="B483" s="740" t="s">
        <v>8872</v>
      </c>
      <c r="C483" s="739" t="s">
        <v>1690</v>
      </c>
      <c r="D483" s="741">
        <f t="shared" si="14"/>
        <v>5.57</v>
      </c>
      <c r="F483" s="1406">
        <v>5.57</v>
      </c>
      <c r="G483" s="1406">
        <v>5.57</v>
      </c>
      <c r="H483" t="b">
        <f t="shared" si="15"/>
        <v>1</v>
      </c>
    </row>
    <row r="484" spans="1:8">
      <c r="A484" s="677">
        <v>34569</v>
      </c>
      <c r="B484" s="733" t="s">
        <v>8873</v>
      </c>
      <c r="C484" s="677" t="s">
        <v>1690</v>
      </c>
      <c r="D484" s="738">
        <f t="shared" si="14"/>
        <v>5.73</v>
      </c>
      <c r="F484" s="1405">
        <v>5.73</v>
      </c>
      <c r="G484" s="1405">
        <v>5.73</v>
      </c>
      <c r="H484" t="b">
        <f t="shared" si="15"/>
        <v>1</v>
      </c>
    </row>
    <row r="485" spans="1:8">
      <c r="A485" s="739">
        <v>34570</v>
      </c>
      <c r="B485" s="740" t="s">
        <v>8874</v>
      </c>
      <c r="C485" s="739" t="s">
        <v>1690</v>
      </c>
      <c r="D485" s="741">
        <f t="shared" si="14"/>
        <v>6.22</v>
      </c>
      <c r="F485" s="1406">
        <v>6.22</v>
      </c>
      <c r="G485" s="1406">
        <v>6.22</v>
      </c>
      <c r="H485" t="b">
        <f t="shared" si="15"/>
        <v>1</v>
      </c>
    </row>
    <row r="486" spans="1:8">
      <c r="A486" s="677">
        <v>25070</v>
      </c>
      <c r="B486" s="733" t="s">
        <v>8875</v>
      </c>
      <c r="C486" s="677" t="s">
        <v>1690</v>
      </c>
      <c r="D486" s="738">
        <f t="shared" si="14"/>
        <v>4.68</v>
      </c>
      <c r="F486" s="1405">
        <v>4.68</v>
      </c>
      <c r="G486" s="1405">
        <v>4.68</v>
      </c>
      <c r="H486" t="b">
        <f t="shared" si="15"/>
        <v>1</v>
      </c>
    </row>
    <row r="487" spans="1:8">
      <c r="A487" s="739">
        <v>34571</v>
      </c>
      <c r="B487" s="740" t="s">
        <v>8876</v>
      </c>
      <c r="C487" s="739" t="s">
        <v>1690</v>
      </c>
      <c r="D487" s="741">
        <f t="shared" si="14"/>
        <v>4.7300000000000004</v>
      </c>
      <c r="F487" s="1406">
        <v>4.7300000000000004</v>
      </c>
      <c r="G487" s="1406">
        <v>4.7300000000000004</v>
      </c>
      <c r="H487" t="b">
        <f t="shared" si="15"/>
        <v>1</v>
      </c>
    </row>
    <row r="488" spans="1:8">
      <c r="A488" s="677">
        <v>34573</v>
      </c>
      <c r="B488" s="733" t="s">
        <v>8877</v>
      </c>
      <c r="C488" s="677" t="s">
        <v>1690</v>
      </c>
      <c r="D488" s="738">
        <f t="shared" si="14"/>
        <v>4.97</v>
      </c>
      <c r="F488" s="1405">
        <v>4.97</v>
      </c>
      <c r="G488" s="1405">
        <v>4.97</v>
      </c>
      <c r="H488" t="b">
        <f t="shared" si="15"/>
        <v>1</v>
      </c>
    </row>
    <row r="489" spans="1:8">
      <c r="A489" s="739">
        <v>37107</v>
      </c>
      <c r="B489" s="740" t="s">
        <v>8878</v>
      </c>
      <c r="C489" s="739" t="s">
        <v>1690</v>
      </c>
      <c r="D489" s="741">
        <f t="shared" si="14"/>
        <v>6.57</v>
      </c>
      <c r="F489" s="1406">
        <v>6.57</v>
      </c>
      <c r="G489" s="1406">
        <v>6.57</v>
      </c>
      <c r="H489" t="b">
        <f t="shared" si="15"/>
        <v>1</v>
      </c>
    </row>
    <row r="490" spans="1:8">
      <c r="A490" s="677">
        <v>34576</v>
      </c>
      <c r="B490" s="733" t="s">
        <v>8879</v>
      </c>
      <c r="C490" s="677" t="s">
        <v>1690</v>
      </c>
      <c r="D490" s="738">
        <f t="shared" si="14"/>
        <v>7.25</v>
      </c>
      <c r="F490" s="1405">
        <v>7.25</v>
      </c>
      <c r="G490" s="1405">
        <v>7.25</v>
      </c>
      <c r="H490" t="b">
        <f t="shared" si="15"/>
        <v>1</v>
      </c>
    </row>
    <row r="491" spans="1:8">
      <c r="A491" s="739">
        <v>34577</v>
      </c>
      <c r="B491" s="740" t="s">
        <v>8880</v>
      </c>
      <c r="C491" s="739" t="s">
        <v>1690</v>
      </c>
      <c r="D491" s="741">
        <f t="shared" si="14"/>
        <v>7.56</v>
      </c>
      <c r="F491" s="1406">
        <v>7.56</v>
      </c>
      <c r="G491" s="1406">
        <v>7.56</v>
      </c>
      <c r="H491" t="b">
        <f t="shared" si="15"/>
        <v>1</v>
      </c>
    </row>
    <row r="492" spans="1:8">
      <c r="A492" s="677">
        <v>34578</v>
      </c>
      <c r="B492" s="733" t="s">
        <v>8881</v>
      </c>
      <c r="C492" s="677" t="s">
        <v>1690</v>
      </c>
      <c r="D492" s="738">
        <f t="shared" si="14"/>
        <v>8.1999999999999993</v>
      </c>
      <c r="F492" s="1405">
        <v>8.1999999999999993</v>
      </c>
      <c r="G492" s="1405">
        <v>8.1999999999999993</v>
      </c>
      <c r="H492" t="b">
        <f t="shared" si="15"/>
        <v>1</v>
      </c>
    </row>
    <row r="493" spans="1:8">
      <c r="A493" s="739">
        <v>34579</v>
      </c>
      <c r="B493" s="740" t="s">
        <v>8882</v>
      </c>
      <c r="C493" s="739" t="s">
        <v>1690</v>
      </c>
      <c r="D493" s="741">
        <f t="shared" si="14"/>
        <v>8.74</v>
      </c>
      <c r="F493" s="1406">
        <v>8.74</v>
      </c>
      <c r="G493" s="1406">
        <v>8.74</v>
      </c>
      <c r="H493" t="b">
        <f t="shared" si="15"/>
        <v>1</v>
      </c>
    </row>
    <row r="494" spans="1:8">
      <c r="A494" s="677">
        <v>25067</v>
      </c>
      <c r="B494" s="733" t="s">
        <v>8883</v>
      </c>
      <c r="C494" s="677" t="s">
        <v>1690</v>
      </c>
      <c r="D494" s="738">
        <f t="shared" si="14"/>
        <v>5.85</v>
      </c>
      <c r="F494" s="1405">
        <v>5.85</v>
      </c>
      <c r="G494" s="1405">
        <v>5.85</v>
      </c>
      <c r="H494" t="b">
        <f t="shared" si="15"/>
        <v>1</v>
      </c>
    </row>
    <row r="495" spans="1:8">
      <c r="A495" s="739">
        <v>34580</v>
      </c>
      <c r="B495" s="740" t="s">
        <v>8884</v>
      </c>
      <c r="C495" s="739" t="s">
        <v>1690</v>
      </c>
      <c r="D495" s="741">
        <f t="shared" si="14"/>
        <v>6.53</v>
      </c>
      <c r="F495" s="1406">
        <v>6.53</v>
      </c>
      <c r="G495" s="1406">
        <v>6.53</v>
      </c>
      <c r="H495" t="b">
        <f t="shared" si="15"/>
        <v>1</v>
      </c>
    </row>
    <row r="496" spans="1:8">
      <c r="A496" s="677">
        <v>25071</v>
      </c>
      <c r="B496" s="733" t="s">
        <v>8885</v>
      </c>
      <c r="C496" s="677" t="s">
        <v>1690</v>
      </c>
      <c r="D496" s="738">
        <f t="shared" si="14"/>
        <v>3.25</v>
      </c>
      <c r="F496" s="1405">
        <v>3.25</v>
      </c>
      <c r="G496" s="1405">
        <v>3.25</v>
      </c>
      <c r="H496" t="b">
        <f t="shared" si="15"/>
        <v>1</v>
      </c>
    </row>
    <row r="497" spans="1:8">
      <c r="A497" s="739">
        <v>44171</v>
      </c>
      <c r="B497" s="740" t="s">
        <v>8886</v>
      </c>
      <c r="C497" s="739" t="s">
        <v>1690</v>
      </c>
      <c r="D497" s="741">
        <f t="shared" si="14"/>
        <v>19</v>
      </c>
      <c r="F497" s="1406">
        <v>19</v>
      </c>
      <c r="G497" s="1406">
        <v>19</v>
      </c>
      <c r="H497" t="b">
        <f t="shared" si="15"/>
        <v>1</v>
      </c>
    </row>
    <row r="498" spans="1:8">
      <c r="A498" s="677">
        <v>38395</v>
      </c>
      <c r="B498" s="733" t="s">
        <v>8887</v>
      </c>
      <c r="C498" s="677" t="s">
        <v>1690</v>
      </c>
      <c r="D498" s="738">
        <f t="shared" si="14"/>
        <v>9.91</v>
      </c>
      <c r="F498" s="1405">
        <v>9.91</v>
      </c>
      <c r="G498" s="1405">
        <v>9.91</v>
      </c>
      <c r="H498" t="b">
        <f t="shared" si="15"/>
        <v>1</v>
      </c>
    </row>
    <row r="499" spans="1:8">
      <c r="A499" s="739">
        <v>34583</v>
      </c>
      <c r="B499" s="740" t="s">
        <v>8888</v>
      </c>
      <c r="C499" s="739" t="s">
        <v>1692</v>
      </c>
      <c r="D499" s="741">
        <f t="shared" si="14"/>
        <v>69.94</v>
      </c>
      <c r="F499" s="1406">
        <v>69.94</v>
      </c>
      <c r="G499" s="1406">
        <v>69.94</v>
      </c>
      <c r="H499" t="b">
        <f t="shared" si="15"/>
        <v>1</v>
      </c>
    </row>
    <row r="500" spans="1:8">
      <c r="A500" s="677">
        <v>34584</v>
      </c>
      <c r="B500" s="733" t="s">
        <v>8889</v>
      </c>
      <c r="C500" s="677" t="s">
        <v>1692</v>
      </c>
      <c r="D500" s="738">
        <f t="shared" si="14"/>
        <v>51.29</v>
      </c>
      <c r="F500" s="1405">
        <v>51.29</v>
      </c>
      <c r="G500" s="1405">
        <v>51.29</v>
      </c>
      <c r="H500" t="b">
        <f t="shared" si="15"/>
        <v>1</v>
      </c>
    </row>
    <row r="501" spans="1:8" ht="30">
      <c r="A501" s="739">
        <v>709</v>
      </c>
      <c r="B501" s="740" t="s">
        <v>8890</v>
      </c>
      <c r="C501" s="739" t="s">
        <v>1692</v>
      </c>
      <c r="D501" s="741">
        <f t="shared" si="14"/>
        <v>740.74</v>
      </c>
      <c r="F501" s="1406">
        <v>740.74</v>
      </c>
      <c r="G501" s="1406">
        <v>740.74</v>
      </c>
      <c r="H501" t="b">
        <f t="shared" si="15"/>
        <v>1</v>
      </c>
    </row>
    <row r="502" spans="1:8">
      <c r="A502" s="677">
        <v>34599</v>
      </c>
      <c r="B502" s="733" t="s">
        <v>8891</v>
      </c>
      <c r="C502" s="677" t="s">
        <v>1690</v>
      </c>
      <c r="D502" s="738">
        <f t="shared" si="14"/>
        <v>3.34</v>
      </c>
      <c r="F502" s="1405">
        <v>3.34</v>
      </c>
      <c r="G502" s="1405">
        <v>3.34</v>
      </c>
      <c r="H502" t="b">
        <f t="shared" si="15"/>
        <v>1</v>
      </c>
    </row>
    <row r="503" spans="1:8">
      <c r="A503" s="739">
        <v>34592</v>
      </c>
      <c r="B503" s="740" t="s">
        <v>8892</v>
      </c>
      <c r="C503" s="739" t="s">
        <v>1690</v>
      </c>
      <c r="D503" s="741">
        <f t="shared" si="14"/>
        <v>3.72</v>
      </c>
      <c r="F503" s="1406">
        <v>3.72</v>
      </c>
      <c r="G503" s="1406">
        <v>3.72</v>
      </c>
      <c r="H503" t="b">
        <f t="shared" si="15"/>
        <v>1</v>
      </c>
    </row>
    <row r="504" spans="1:8">
      <c r="A504" s="677">
        <v>37103</v>
      </c>
      <c r="B504" s="733" t="s">
        <v>8893</v>
      </c>
      <c r="C504" s="677" t="s">
        <v>1690</v>
      </c>
      <c r="D504" s="738">
        <f t="shared" si="14"/>
        <v>4.26</v>
      </c>
      <c r="F504" s="1405">
        <v>4.26</v>
      </c>
      <c r="G504" s="1405">
        <v>4.26</v>
      </c>
      <c r="H504" t="b">
        <f t="shared" si="15"/>
        <v>1</v>
      </c>
    </row>
    <row r="505" spans="1:8">
      <c r="A505" s="739">
        <v>34555</v>
      </c>
      <c r="B505" s="740" t="s">
        <v>8894</v>
      </c>
      <c r="C505" s="739" t="s">
        <v>1690</v>
      </c>
      <c r="D505" s="741">
        <f t="shared" si="14"/>
        <v>5.41</v>
      </c>
      <c r="F505" s="1406">
        <v>5.41</v>
      </c>
      <c r="G505" s="1406">
        <v>5.41</v>
      </c>
      <c r="H505" t="b">
        <f t="shared" si="15"/>
        <v>1</v>
      </c>
    </row>
    <row r="506" spans="1:8">
      <c r="A506" s="677">
        <v>674</v>
      </c>
      <c r="B506" s="733" t="s">
        <v>8895</v>
      </c>
      <c r="C506" s="677" t="s">
        <v>1692</v>
      </c>
      <c r="D506" s="738">
        <f t="shared" si="14"/>
        <v>85</v>
      </c>
      <c r="F506" s="1405">
        <v>85</v>
      </c>
      <c r="G506" s="1405">
        <v>85</v>
      </c>
      <c r="H506" t="b">
        <f t="shared" si="15"/>
        <v>1</v>
      </c>
    </row>
    <row r="507" spans="1:8">
      <c r="A507" s="739">
        <v>34600</v>
      </c>
      <c r="B507" s="740" t="s">
        <v>8896</v>
      </c>
      <c r="C507" s="739" t="s">
        <v>1692</v>
      </c>
      <c r="D507" s="741">
        <f t="shared" si="14"/>
        <v>124.85</v>
      </c>
      <c r="F507" s="1406">
        <v>124.85</v>
      </c>
      <c r="G507" s="1406">
        <v>124.85</v>
      </c>
      <c r="H507" t="b">
        <f t="shared" si="15"/>
        <v>1</v>
      </c>
    </row>
    <row r="508" spans="1:8">
      <c r="A508" s="677">
        <v>652</v>
      </c>
      <c r="B508" s="733" t="s">
        <v>8897</v>
      </c>
      <c r="C508" s="677" t="s">
        <v>1692</v>
      </c>
      <c r="D508" s="738">
        <f t="shared" si="14"/>
        <v>191.25</v>
      </c>
      <c r="F508" s="1405">
        <v>191.25</v>
      </c>
      <c r="G508" s="1405">
        <v>191.25</v>
      </c>
      <c r="H508" t="b">
        <f t="shared" si="15"/>
        <v>1</v>
      </c>
    </row>
    <row r="509" spans="1:8">
      <c r="A509" s="739">
        <v>651</v>
      </c>
      <c r="B509" s="740" t="s">
        <v>8898</v>
      </c>
      <c r="C509" s="739" t="s">
        <v>1690</v>
      </c>
      <c r="D509" s="741">
        <f t="shared" si="14"/>
        <v>4.0999999999999996</v>
      </c>
      <c r="F509" s="1406">
        <v>4.0999999999999996</v>
      </c>
      <c r="G509" s="1406">
        <v>4.0999999999999996</v>
      </c>
      <c r="H509" t="b">
        <f t="shared" si="15"/>
        <v>1</v>
      </c>
    </row>
    <row r="510" spans="1:8">
      <c r="A510" s="677">
        <v>654</v>
      </c>
      <c r="B510" s="733" t="s">
        <v>8899</v>
      </c>
      <c r="C510" s="677" t="s">
        <v>1690</v>
      </c>
      <c r="D510" s="738">
        <f t="shared" si="14"/>
        <v>5.08</v>
      </c>
      <c r="F510" s="1405">
        <v>5.08</v>
      </c>
      <c r="G510" s="1405">
        <v>5.08</v>
      </c>
      <c r="H510" t="b">
        <f t="shared" si="15"/>
        <v>1</v>
      </c>
    </row>
    <row r="511" spans="1:8">
      <c r="A511" s="739">
        <v>650</v>
      </c>
      <c r="B511" s="740" t="s">
        <v>8900</v>
      </c>
      <c r="C511" s="739" t="s">
        <v>1690</v>
      </c>
      <c r="D511" s="741">
        <f t="shared" si="14"/>
        <v>3.28</v>
      </c>
      <c r="F511" s="1406">
        <v>3.28</v>
      </c>
      <c r="G511" s="1406">
        <v>3.28</v>
      </c>
      <c r="H511" t="b">
        <f t="shared" si="15"/>
        <v>1</v>
      </c>
    </row>
    <row r="512" spans="1:8">
      <c r="A512" s="677">
        <v>718</v>
      </c>
      <c r="B512" s="733" t="s">
        <v>8901</v>
      </c>
      <c r="C512" s="677" t="s">
        <v>1690</v>
      </c>
      <c r="D512" s="738">
        <f t="shared" si="14"/>
        <v>30.83</v>
      </c>
      <c r="F512" s="1405">
        <v>30.83</v>
      </c>
      <c r="G512" s="1405">
        <v>30.83</v>
      </c>
      <c r="H512" t="b">
        <f t="shared" si="15"/>
        <v>1</v>
      </c>
    </row>
    <row r="513" spans="1:8">
      <c r="A513" s="739">
        <v>11981</v>
      </c>
      <c r="B513" s="740" t="s">
        <v>8902</v>
      </c>
      <c r="C513" s="739" t="s">
        <v>1690</v>
      </c>
      <c r="D513" s="741">
        <f t="shared" si="14"/>
        <v>29.95</v>
      </c>
      <c r="F513" s="1406">
        <v>29.95</v>
      </c>
      <c r="G513" s="1406">
        <v>29.95</v>
      </c>
      <c r="H513" t="b">
        <f t="shared" si="15"/>
        <v>1</v>
      </c>
    </row>
    <row r="514" spans="1:8">
      <c r="A514" s="677">
        <v>34586</v>
      </c>
      <c r="B514" s="733" t="s">
        <v>8903</v>
      </c>
      <c r="C514" s="677" t="s">
        <v>1690</v>
      </c>
      <c r="D514" s="738">
        <f t="shared" si="14"/>
        <v>2.66</v>
      </c>
      <c r="F514" s="1405">
        <v>2.66</v>
      </c>
      <c r="G514" s="1405">
        <v>2.66</v>
      </c>
      <c r="H514" t="b">
        <f t="shared" si="15"/>
        <v>1</v>
      </c>
    </row>
    <row r="515" spans="1:8">
      <c r="A515" s="739">
        <v>38603</v>
      </c>
      <c r="B515" s="740" t="s">
        <v>8904</v>
      </c>
      <c r="C515" s="739" t="s">
        <v>1690</v>
      </c>
      <c r="D515" s="741">
        <f t="shared" ref="D515:D578" si="16">IF($J$2=$F$1,F515,G515)</f>
        <v>3.23</v>
      </c>
      <c r="F515" s="1406">
        <v>3.23</v>
      </c>
      <c r="G515" s="1406">
        <v>3.23</v>
      </c>
      <c r="H515" t="b">
        <f t="shared" ref="H515:H578" si="17">F515=G515</f>
        <v>1</v>
      </c>
    </row>
    <row r="516" spans="1:8">
      <c r="A516" s="677">
        <v>34588</v>
      </c>
      <c r="B516" s="733" t="s">
        <v>8905</v>
      </c>
      <c r="C516" s="677" t="s">
        <v>1690</v>
      </c>
      <c r="D516" s="738">
        <f t="shared" si="16"/>
        <v>3.48</v>
      </c>
      <c r="F516" s="1405">
        <v>3.48</v>
      </c>
      <c r="G516" s="1405">
        <v>3.48</v>
      </c>
      <c r="H516" t="b">
        <f t="shared" si="17"/>
        <v>1</v>
      </c>
    </row>
    <row r="517" spans="1:8">
      <c r="A517" s="739">
        <v>34590</v>
      </c>
      <c r="B517" s="740" t="s">
        <v>8906</v>
      </c>
      <c r="C517" s="739" t="s">
        <v>1690</v>
      </c>
      <c r="D517" s="741">
        <f t="shared" si="16"/>
        <v>3.18</v>
      </c>
      <c r="F517" s="1406">
        <v>3.18</v>
      </c>
      <c r="G517" s="1406">
        <v>3.18</v>
      </c>
      <c r="H517" t="b">
        <f t="shared" si="17"/>
        <v>1</v>
      </c>
    </row>
    <row r="518" spans="1:8">
      <c r="A518" s="677">
        <v>34591</v>
      </c>
      <c r="B518" s="733" t="s">
        <v>8907</v>
      </c>
      <c r="C518" s="677" t="s">
        <v>1690</v>
      </c>
      <c r="D518" s="738">
        <f t="shared" si="16"/>
        <v>4.3099999999999996</v>
      </c>
      <c r="F518" s="1405">
        <v>4.3099999999999996</v>
      </c>
      <c r="G518" s="1405">
        <v>4.3099999999999996</v>
      </c>
      <c r="H518" t="b">
        <f t="shared" si="17"/>
        <v>1</v>
      </c>
    </row>
    <row r="519" spans="1:8" ht="30">
      <c r="A519" s="739">
        <v>40517</v>
      </c>
      <c r="B519" s="740" t="s">
        <v>8908</v>
      </c>
      <c r="C519" s="739" t="s">
        <v>1692</v>
      </c>
      <c r="D519" s="741">
        <f t="shared" si="16"/>
        <v>71.31</v>
      </c>
      <c r="F519" s="1406">
        <v>71.31</v>
      </c>
      <c r="G519" s="1406">
        <v>71.31</v>
      </c>
      <c r="H519" t="b">
        <f t="shared" si="17"/>
        <v>1</v>
      </c>
    </row>
    <row r="520" spans="1:8" ht="30">
      <c r="A520" s="677">
        <v>40515</v>
      </c>
      <c r="B520" s="733" t="s">
        <v>8909</v>
      </c>
      <c r="C520" s="677" t="s">
        <v>1692</v>
      </c>
      <c r="D520" s="738">
        <f t="shared" si="16"/>
        <v>160.44999999999999</v>
      </c>
      <c r="F520" s="1405">
        <v>160.44999999999999</v>
      </c>
      <c r="G520" s="1405">
        <v>160.44999999999999</v>
      </c>
      <c r="H520" t="b">
        <f t="shared" si="17"/>
        <v>1</v>
      </c>
    </row>
    <row r="521" spans="1:8" ht="45">
      <c r="A521" s="739">
        <v>40529</v>
      </c>
      <c r="B521" s="740" t="s">
        <v>8910</v>
      </c>
      <c r="C521" s="739" t="s">
        <v>1692</v>
      </c>
      <c r="D521" s="741">
        <f t="shared" si="16"/>
        <v>102.51</v>
      </c>
      <c r="F521" s="1406">
        <v>102.51</v>
      </c>
      <c r="G521" s="1406">
        <v>102.51</v>
      </c>
      <c r="H521" t="b">
        <f t="shared" si="17"/>
        <v>1</v>
      </c>
    </row>
    <row r="522" spans="1:8" ht="45">
      <c r="A522" s="677">
        <v>36170</v>
      </c>
      <c r="B522" s="733" t="s">
        <v>8911</v>
      </c>
      <c r="C522" s="677" t="s">
        <v>1692</v>
      </c>
      <c r="D522" s="738">
        <f t="shared" si="16"/>
        <v>85.05</v>
      </c>
      <c r="F522" s="1405">
        <v>85.05</v>
      </c>
      <c r="G522" s="1405">
        <v>85.05</v>
      </c>
      <c r="H522" t="b">
        <f t="shared" si="17"/>
        <v>1</v>
      </c>
    </row>
    <row r="523" spans="1:8" ht="45">
      <c r="A523" s="739">
        <v>40524</v>
      </c>
      <c r="B523" s="740" t="s">
        <v>8912</v>
      </c>
      <c r="C523" s="739" t="s">
        <v>1692</v>
      </c>
      <c r="D523" s="741">
        <f t="shared" si="16"/>
        <v>100.28</v>
      </c>
      <c r="F523" s="1406">
        <v>100.28</v>
      </c>
      <c r="G523" s="1406">
        <v>100.28</v>
      </c>
      <c r="H523" t="b">
        <f t="shared" si="17"/>
        <v>1</v>
      </c>
    </row>
    <row r="524" spans="1:8" ht="45">
      <c r="A524" s="677">
        <v>36156</v>
      </c>
      <c r="B524" s="733" t="s">
        <v>8913</v>
      </c>
      <c r="C524" s="677" t="s">
        <v>1692</v>
      </c>
      <c r="D524" s="738">
        <f t="shared" si="16"/>
        <v>77.989999999999995</v>
      </c>
      <c r="F524" s="1405">
        <v>77.989999999999995</v>
      </c>
      <c r="G524" s="1405">
        <v>77.989999999999995</v>
      </c>
      <c r="H524" t="b">
        <f t="shared" si="17"/>
        <v>1</v>
      </c>
    </row>
    <row r="525" spans="1:8" ht="45">
      <c r="A525" s="739">
        <v>36155</v>
      </c>
      <c r="B525" s="740" t="s">
        <v>8914</v>
      </c>
      <c r="C525" s="739" t="s">
        <v>1692</v>
      </c>
      <c r="D525" s="741">
        <f t="shared" si="16"/>
        <v>67.33</v>
      </c>
      <c r="F525" s="1406">
        <v>67.33</v>
      </c>
      <c r="G525" s="1406">
        <v>67.33</v>
      </c>
      <c r="H525" t="b">
        <f t="shared" si="17"/>
        <v>1</v>
      </c>
    </row>
    <row r="526" spans="1:8" ht="45">
      <c r="A526" s="677">
        <v>36154</v>
      </c>
      <c r="B526" s="733" t="s">
        <v>8915</v>
      </c>
      <c r="C526" s="677" t="s">
        <v>1692</v>
      </c>
      <c r="D526" s="738">
        <f t="shared" si="16"/>
        <v>93.59</v>
      </c>
      <c r="F526" s="1405">
        <v>93.59</v>
      </c>
      <c r="G526" s="1405">
        <v>93.59</v>
      </c>
      <c r="H526" t="b">
        <f t="shared" si="17"/>
        <v>1</v>
      </c>
    </row>
    <row r="527" spans="1:8" ht="30">
      <c r="A527" s="739">
        <v>695</v>
      </c>
      <c r="B527" s="740" t="s">
        <v>8916</v>
      </c>
      <c r="C527" s="739" t="s">
        <v>1692</v>
      </c>
      <c r="D527" s="741">
        <f t="shared" si="16"/>
        <v>68.739999999999995</v>
      </c>
      <c r="F527" s="1406">
        <v>68.739999999999995</v>
      </c>
      <c r="G527" s="1406">
        <v>68.739999999999995</v>
      </c>
      <c r="H527" t="b">
        <f t="shared" si="17"/>
        <v>1</v>
      </c>
    </row>
    <row r="528" spans="1:8" ht="30">
      <c r="A528" s="677">
        <v>679</v>
      </c>
      <c r="B528" s="733" t="s">
        <v>8917</v>
      </c>
      <c r="C528" s="677" t="s">
        <v>1692</v>
      </c>
      <c r="D528" s="738">
        <f t="shared" si="16"/>
        <v>102.51</v>
      </c>
      <c r="F528" s="1405">
        <v>102.51</v>
      </c>
      <c r="G528" s="1405">
        <v>102.51</v>
      </c>
      <c r="H528" t="b">
        <f t="shared" si="17"/>
        <v>1</v>
      </c>
    </row>
    <row r="529" spans="1:8" ht="30">
      <c r="A529" s="739">
        <v>711</v>
      </c>
      <c r="B529" s="740" t="s">
        <v>8918</v>
      </c>
      <c r="C529" s="739" t="s">
        <v>1692</v>
      </c>
      <c r="D529" s="741">
        <f t="shared" si="16"/>
        <v>67.81</v>
      </c>
      <c r="F529" s="1406">
        <v>67.81</v>
      </c>
      <c r="G529" s="1406">
        <v>67.81</v>
      </c>
      <c r="H529" t="b">
        <f t="shared" si="17"/>
        <v>1</v>
      </c>
    </row>
    <row r="530" spans="1:8" ht="30">
      <c r="A530" s="677">
        <v>712</v>
      </c>
      <c r="B530" s="733" t="s">
        <v>8919</v>
      </c>
      <c r="C530" s="677" t="s">
        <v>1692</v>
      </c>
      <c r="D530" s="738">
        <f t="shared" si="16"/>
        <v>85.41</v>
      </c>
      <c r="F530" s="1405">
        <v>85.41</v>
      </c>
      <c r="G530" s="1405">
        <v>85.41</v>
      </c>
      <c r="H530" t="b">
        <f t="shared" si="17"/>
        <v>1</v>
      </c>
    </row>
    <row r="531" spans="1:8">
      <c r="A531" s="739">
        <v>12614</v>
      </c>
      <c r="B531" s="740" t="s">
        <v>8920</v>
      </c>
      <c r="C531" s="739" t="s">
        <v>1690</v>
      </c>
      <c r="D531" s="741">
        <f t="shared" si="16"/>
        <v>52.17</v>
      </c>
      <c r="F531" s="1406">
        <v>52.17</v>
      </c>
      <c r="G531" s="1406">
        <v>52.17</v>
      </c>
      <c r="H531" t="b">
        <f t="shared" si="17"/>
        <v>1</v>
      </c>
    </row>
    <row r="532" spans="1:8">
      <c r="A532" s="677">
        <v>6140</v>
      </c>
      <c r="B532" s="733" t="s">
        <v>8921</v>
      </c>
      <c r="C532" s="677" t="s">
        <v>1690</v>
      </c>
      <c r="D532" s="738">
        <f t="shared" si="16"/>
        <v>3.91</v>
      </c>
      <c r="F532" s="1405">
        <v>3.91</v>
      </c>
      <c r="G532" s="1405">
        <v>3.91</v>
      </c>
      <c r="H532" t="b">
        <f t="shared" si="17"/>
        <v>1</v>
      </c>
    </row>
    <row r="533" spans="1:8">
      <c r="A533" s="739">
        <v>38399</v>
      </c>
      <c r="B533" s="740" t="s">
        <v>8922</v>
      </c>
      <c r="C533" s="739" t="s">
        <v>1690</v>
      </c>
      <c r="D533" s="741">
        <f t="shared" si="16"/>
        <v>384.95</v>
      </c>
      <c r="F533" s="1406">
        <v>384.95</v>
      </c>
      <c r="G533" s="1406">
        <v>384.95</v>
      </c>
      <c r="H533" t="b">
        <f t="shared" si="17"/>
        <v>1</v>
      </c>
    </row>
    <row r="534" spans="1:8" ht="30">
      <c r="A534" s="677">
        <v>735</v>
      </c>
      <c r="B534" s="733" t="s">
        <v>8923</v>
      </c>
      <c r="C534" s="677" t="s">
        <v>1690</v>
      </c>
      <c r="D534" s="738">
        <f t="shared" si="16"/>
        <v>2201.06</v>
      </c>
      <c r="F534" s="1405">
        <v>2201.06</v>
      </c>
      <c r="G534" s="1405">
        <v>2201.06</v>
      </c>
      <c r="H534" t="b">
        <f t="shared" si="17"/>
        <v>1</v>
      </c>
    </row>
    <row r="535" spans="1:8" ht="30">
      <c r="A535" s="739">
        <v>736</v>
      </c>
      <c r="B535" s="740" t="s">
        <v>8924</v>
      </c>
      <c r="C535" s="739" t="s">
        <v>1690</v>
      </c>
      <c r="D535" s="741">
        <f t="shared" si="16"/>
        <v>1850.7</v>
      </c>
      <c r="F535" s="1406">
        <v>1850.7</v>
      </c>
      <c r="G535" s="1406">
        <v>1850.7</v>
      </c>
      <c r="H535" t="b">
        <f t="shared" si="17"/>
        <v>1</v>
      </c>
    </row>
    <row r="536" spans="1:8" ht="30">
      <c r="A536" s="677">
        <v>729</v>
      </c>
      <c r="B536" s="733" t="s">
        <v>8925</v>
      </c>
      <c r="C536" s="677" t="s">
        <v>1690</v>
      </c>
      <c r="D536" s="738">
        <f t="shared" si="16"/>
        <v>754.18</v>
      </c>
      <c r="F536" s="1405">
        <v>754.18</v>
      </c>
      <c r="G536" s="1405">
        <v>754.18</v>
      </c>
      <c r="H536" t="b">
        <f t="shared" si="17"/>
        <v>1</v>
      </c>
    </row>
    <row r="537" spans="1:8" ht="30">
      <c r="A537" s="739">
        <v>39925</v>
      </c>
      <c r="B537" s="740" t="s">
        <v>8926</v>
      </c>
      <c r="C537" s="739" t="s">
        <v>1690</v>
      </c>
      <c r="D537" s="741">
        <f t="shared" si="16"/>
        <v>10897.83</v>
      </c>
      <c r="F537" s="1406">
        <v>10897.83</v>
      </c>
      <c r="G537" s="1406">
        <v>10897.83</v>
      </c>
      <c r="H537" t="b">
        <f t="shared" si="17"/>
        <v>1</v>
      </c>
    </row>
    <row r="538" spans="1:8" ht="30">
      <c r="A538" s="677">
        <v>731</v>
      </c>
      <c r="B538" s="733" t="s">
        <v>8927</v>
      </c>
      <c r="C538" s="677" t="s">
        <v>1690</v>
      </c>
      <c r="D538" s="738">
        <f t="shared" si="16"/>
        <v>734</v>
      </c>
      <c r="F538" s="1405">
        <v>734</v>
      </c>
      <c r="G538" s="1405">
        <v>734</v>
      </c>
      <c r="H538" t="b">
        <f t="shared" si="17"/>
        <v>1</v>
      </c>
    </row>
    <row r="539" spans="1:8" ht="30">
      <c r="A539" s="739">
        <v>10575</v>
      </c>
      <c r="B539" s="740" t="s">
        <v>8928</v>
      </c>
      <c r="C539" s="739" t="s">
        <v>1690</v>
      </c>
      <c r="D539" s="741">
        <f t="shared" si="16"/>
        <v>1145.46</v>
      </c>
      <c r="F539" s="1406">
        <v>1145.46</v>
      </c>
      <c r="G539" s="1406">
        <v>1145.46</v>
      </c>
      <c r="H539" t="b">
        <f t="shared" si="17"/>
        <v>1</v>
      </c>
    </row>
    <row r="540" spans="1:8" ht="30">
      <c r="A540" s="677">
        <v>733</v>
      </c>
      <c r="B540" s="733" t="s">
        <v>8929</v>
      </c>
      <c r="C540" s="677" t="s">
        <v>1690</v>
      </c>
      <c r="D540" s="738">
        <f t="shared" si="16"/>
        <v>1254.1500000000001</v>
      </c>
      <c r="F540" s="1405">
        <v>1254.1500000000001</v>
      </c>
      <c r="G540" s="1405">
        <v>1254.1500000000001</v>
      </c>
      <c r="H540" t="b">
        <f t="shared" si="17"/>
        <v>1</v>
      </c>
    </row>
    <row r="541" spans="1:8" ht="30">
      <c r="A541" s="739">
        <v>732</v>
      </c>
      <c r="B541" s="740" t="s">
        <v>8930</v>
      </c>
      <c r="C541" s="739" t="s">
        <v>1690</v>
      </c>
      <c r="D541" s="741">
        <f t="shared" si="16"/>
        <v>1237.28</v>
      </c>
      <c r="F541" s="1406">
        <v>1237.28</v>
      </c>
      <c r="G541" s="1406">
        <v>1237.28</v>
      </c>
      <c r="H541" t="b">
        <f t="shared" si="17"/>
        <v>1</v>
      </c>
    </row>
    <row r="542" spans="1:8" ht="30">
      <c r="A542" s="677">
        <v>737</v>
      </c>
      <c r="B542" s="733" t="s">
        <v>8931</v>
      </c>
      <c r="C542" s="677" t="s">
        <v>1690</v>
      </c>
      <c r="D542" s="738">
        <f t="shared" si="16"/>
        <v>6938.33</v>
      </c>
      <c r="F542" s="1405">
        <v>6938.33</v>
      </c>
      <c r="G542" s="1405">
        <v>6938.33</v>
      </c>
      <c r="H542" t="b">
        <f t="shared" si="17"/>
        <v>1</v>
      </c>
    </row>
    <row r="543" spans="1:8" ht="30">
      <c r="A543" s="739">
        <v>738</v>
      </c>
      <c r="B543" s="740" t="s">
        <v>8932</v>
      </c>
      <c r="C543" s="739" t="s">
        <v>1690</v>
      </c>
      <c r="D543" s="741">
        <f t="shared" si="16"/>
        <v>3217.25</v>
      </c>
      <c r="F543" s="1406">
        <v>3217.25</v>
      </c>
      <c r="G543" s="1406">
        <v>3217.25</v>
      </c>
      <c r="H543" t="b">
        <f t="shared" si="17"/>
        <v>1</v>
      </c>
    </row>
    <row r="544" spans="1:8" ht="30">
      <c r="A544" s="677">
        <v>740</v>
      </c>
      <c r="B544" s="733" t="s">
        <v>8933</v>
      </c>
      <c r="C544" s="677" t="s">
        <v>1690</v>
      </c>
      <c r="D544" s="738">
        <f t="shared" si="16"/>
        <v>6527.14</v>
      </c>
      <c r="F544" s="1405">
        <v>6527.14</v>
      </c>
      <c r="G544" s="1405">
        <v>6527.14</v>
      </c>
      <c r="H544" t="b">
        <f t="shared" si="17"/>
        <v>1</v>
      </c>
    </row>
    <row r="545" spans="1:8" ht="30">
      <c r="A545" s="739">
        <v>734</v>
      </c>
      <c r="B545" s="740" t="s">
        <v>8934</v>
      </c>
      <c r="C545" s="739" t="s">
        <v>1690</v>
      </c>
      <c r="D545" s="741">
        <f t="shared" si="16"/>
        <v>1326.37</v>
      </c>
      <c r="F545" s="1406">
        <v>1326.37</v>
      </c>
      <c r="G545" s="1406">
        <v>1326.37</v>
      </c>
      <c r="H545" t="b">
        <f t="shared" si="17"/>
        <v>1</v>
      </c>
    </row>
    <row r="546" spans="1:8">
      <c r="A546" s="677">
        <v>39008</v>
      </c>
      <c r="B546" s="733" t="s">
        <v>8935</v>
      </c>
      <c r="C546" s="677" t="s">
        <v>1690</v>
      </c>
      <c r="D546" s="738">
        <f t="shared" si="16"/>
        <v>67703.490000000005</v>
      </c>
      <c r="F546" s="1405">
        <v>67703.490000000005</v>
      </c>
      <c r="G546" s="1405">
        <v>67703.490000000005</v>
      </c>
      <c r="H546" t="b">
        <f t="shared" si="17"/>
        <v>1</v>
      </c>
    </row>
    <row r="547" spans="1:8">
      <c r="A547" s="739">
        <v>39009</v>
      </c>
      <c r="B547" s="740" t="s">
        <v>8936</v>
      </c>
      <c r="C547" s="739" t="s">
        <v>1690</v>
      </c>
      <c r="D547" s="741">
        <f t="shared" si="16"/>
        <v>72535.899999999994</v>
      </c>
      <c r="F547" s="1406">
        <v>72535.899999999994</v>
      </c>
      <c r="G547" s="1406">
        <v>72535.899999999994</v>
      </c>
      <c r="H547" t="b">
        <f t="shared" si="17"/>
        <v>1</v>
      </c>
    </row>
    <row r="548" spans="1:8" ht="30">
      <c r="A548" s="677">
        <v>10587</v>
      </c>
      <c r="B548" s="733" t="s">
        <v>8937</v>
      </c>
      <c r="C548" s="677" t="s">
        <v>1690</v>
      </c>
      <c r="D548" s="738">
        <f t="shared" si="16"/>
        <v>2985.24</v>
      </c>
      <c r="F548" s="1405">
        <v>2985.24</v>
      </c>
      <c r="G548" s="1405">
        <v>2985.24</v>
      </c>
      <c r="H548" t="b">
        <f t="shared" si="17"/>
        <v>1</v>
      </c>
    </row>
    <row r="549" spans="1:8" ht="30">
      <c r="A549" s="739">
        <v>759</v>
      </c>
      <c r="B549" s="740" t="s">
        <v>8938</v>
      </c>
      <c r="C549" s="739" t="s">
        <v>1690</v>
      </c>
      <c r="D549" s="741">
        <f t="shared" si="16"/>
        <v>4292.18</v>
      </c>
      <c r="F549" s="1406">
        <v>4292.18</v>
      </c>
      <c r="G549" s="1406">
        <v>4292.18</v>
      </c>
      <c r="H549" t="b">
        <f t="shared" si="17"/>
        <v>1</v>
      </c>
    </row>
    <row r="550" spans="1:8" ht="30">
      <c r="A550" s="677">
        <v>761</v>
      </c>
      <c r="B550" s="733" t="s">
        <v>8939</v>
      </c>
      <c r="C550" s="677" t="s">
        <v>1690</v>
      </c>
      <c r="D550" s="738">
        <f t="shared" si="16"/>
        <v>7275.61</v>
      </c>
      <c r="F550" s="1405">
        <v>7275.61</v>
      </c>
      <c r="G550" s="1405">
        <v>7275.61</v>
      </c>
      <c r="H550" t="b">
        <f t="shared" si="17"/>
        <v>1</v>
      </c>
    </row>
    <row r="551" spans="1:8" ht="30">
      <c r="A551" s="739">
        <v>750</v>
      </c>
      <c r="B551" s="740" t="s">
        <v>8940</v>
      </c>
      <c r="C551" s="739" t="s">
        <v>1690</v>
      </c>
      <c r="D551" s="741">
        <f t="shared" si="16"/>
        <v>6907.61</v>
      </c>
      <c r="F551" s="1406">
        <v>6907.61</v>
      </c>
      <c r="G551" s="1406">
        <v>6907.61</v>
      </c>
      <c r="H551" t="b">
        <f t="shared" si="17"/>
        <v>1</v>
      </c>
    </row>
    <row r="552" spans="1:8" ht="30">
      <c r="A552" s="677">
        <v>755</v>
      </c>
      <c r="B552" s="733" t="s">
        <v>8941</v>
      </c>
      <c r="C552" s="677" t="s">
        <v>1690</v>
      </c>
      <c r="D552" s="738">
        <f t="shared" si="16"/>
        <v>28345.5</v>
      </c>
      <c r="F552" s="1405">
        <v>28345.5</v>
      </c>
      <c r="G552" s="1405">
        <v>28345.5</v>
      </c>
      <c r="H552" t="b">
        <f t="shared" si="17"/>
        <v>1</v>
      </c>
    </row>
    <row r="553" spans="1:8" ht="30">
      <c r="A553" s="739">
        <v>749</v>
      </c>
      <c r="B553" s="740" t="s">
        <v>8942</v>
      </c>
      <c r="C553" s="739" t="s">
        <v>1690</v>
      </c>
      <c r="D553" s="741">
        <f t="shared" si="16"/>
        <v>10424.950000000001</v>
      </c>
      <c r="F553" s="1406">
        <v>10424.950000000001</v>
      </c>
      <c r="G553" s="1406">
        <v>10424.950000000001</v>
      </c>
      <c r="H553" t="b">
        <f t="shared" si="17"/>
        <v>1</v>
      </c>
    </row>
    <row r="554" spans="1:8" ht="30">
      <c r="A554" s="677">
        <v>756</v>
      </c>
      <c r="B554" s="733" t="s">
        <v>8943</v>
      </c>
      <c r="C554" s="677" t="s">
        <v>1690</v>
      </c>
      <c r="D554" s="738">
        <f t="shared" si="16"/>
        <v>30914.560000000001</v>
      </c>
      <c r="F554" s="1405">
        <v>30914.560000000001</v>
      </c>
      <c r="G554" s="1405">
        <v>30914.560000000001</v>
      </c>
      <c r="H554" t="b">
        <f t="shared" si="17"/>
        <v>1</v>
      </c>
    </row>
    <row r="555" spans="1:8" ht="30">
      <c r="A555" s="739">
        <v>757</v>
      </c>
      <c r="B555" s="740" t="s">
        <v>8944</v>
      </c>
      <c r="C555" s="739" t="s">
        <v>1690</v>
      </c>
      <c r="D555" s="741">
        <f t="shared" si="16"/>
        <v>14037.18</v>
      </c>
      <c r="F555" s="1406">
        <v>14037.18</v>
      </c>
      <c r="G555" s="1406">
        <v>14037.18</v>
      </c>
      <c r="H555" t="b">
        <f t="shared" si="17"/>
        <v>1</v>
      </c>
    </row>
    <row r="556" spans="1:8" ht="30">
      <c r="A556" s="677">
        <v>10588</v>
      </c>
      <c r="B556" s="733" t="s">
        <v>8945</v>
      </c>
      <c r="C556" s="677" t="s">
        <v>1690</v>
      </c>
      <c r="D556" s="738">
        <f t="shared" si="16"/>
        <v>3099.06</v>
      </c>
      <c r="F556" s="1405">
        <v>3099.06</v>
      </c>
      <c r="G556" s="1405">
        <v>3099.06</v>
      </c>
      <c r="H556" t="b">
        <f t="shared" si="17"/>
        <v>1</v>
      </c>
    </row>
    <row r="557" spans="1:8" ht="30">
      <c r="A557" s="739">
        <v>10592</v>
      </c>
      <c r="B557" s="740" t="s">
        <v>8946</v>
      </c>
      <c r="C557" s="739" t="s">
        <v>1690</v>
      </c>
      <c r="D557" s="741">
        <f t="shared" si="16"/>
        <v>3743.25</v>
      </c>
      <c r="F557" s="1406">
        <v>3743.25</v>
      </c>
      <c r="G557" s="1406">
        <v>3743.25</v>
      </c>
      <c r="H557" t="b">
        <f t="shared" si="17"/>
        <v>1</v>
      </c>
    </row>
    <row r="558" spans="1:8" ht="30">
      <c r="A558" s="677">
        <v>10589</v>
      </c>
      <c r="B558" s="733" t="s">
        <v>8947</v>
      </c>
      <c r="C558" s="677" t="s">
        <v>1690</v>
      </c>
      <c r="D558" s="738">
        <f t="shared" si="16"/>
        <v>5028.82</v>
      </c>
      <c r="F558" s="1405">
        <v>5028.82</v>
      </c>
      <c r="G558" s="1405">
        <v>5028.82</v>
      </c>
      <c r="H558" t="b">
        <f t="shared" si="17"/>
        <v>1</v>
      </c>
    </row>
    <row r="559" spans="1:8" ht="30">
      <c r="A559" s="739">
        <v>760</v>
      </c>
      <c r="B559" s="740" t="s">
        <v>8948</v>
      </c>
      <c r="C559" s="739" t="s">
        <v>1690</v>
      </c>
      <c r="D559" s="741">
        <f t="shared" si="16"/>
        <v>28074.37</v>
      </c>
      <c r="F559" s="1406">
        <v>28074.37</v>
      </c>
      <c r="G559" s="1406">
        <v>28074.37</v>
      </c>
      <c r="H559" t="b">
        <f t="shared" si="17"/>
        <v>1</v>
      </c>
    </row>
    <row r="560" spans="1:8" ht="30">
      <c r="A560" s="677">
        <v>751</v>
      </c>
      <c r="B560" s="733" t="s">
        <v>8949</v>
      </c>
      <c r="C560" s="677" t="s">
        <v>1690</v>
      </c>
      <c r="D560" s="738">
        <f t="shared" si="16"/>
        <v>4421.71</v>
      </c>
      <c r="F560" s="1405">
        <v>4421.71</v>
      </c>
      <c r="G560" s="1405">
        <v>4421.71</v>
      </c>
      <c r="H560" t="b">
        <f t="shared" si="17"/>
        <v>1</v>
      </c>
    </row>
    <row r="561" spans="1:8" ht="30">
      <c r="A561" s="739">
        <v>754</v>
      </c>
      <c r="B561" s="740" t="s">
        <v>8950</v>
      </c>
      <c r="C561" s="739" t="s">
        <v>1690</v>
      </c>
      <c r="D561" s="741">
        <f t="shared" si="16"/>
        <v>7018.59</v>
      </c>
      <c r="F561" s="1406">
        <v>7018.59</v>
      </c>
      <c r="G561" s="1406">
        <v>7018.59</v>
      </c>
      <c r="H561" t="b">
        <f t="shared" si="17"/>
        <v>1</v>
      </c>
    </row>
    <row r="562" spans="1:8">
      <c r="A562" s="677">
        <v>44489</v>
      </c>
      <c r="B562" s="733" t="s">
        <v>8951</v>
      </c>
      <c r="C562" s="677" t="s">
        <v>1690</v>
      </c>
      <c r="D562" s="738">
        <f t="shared" si="16"/>
        <v>187488.81</v>
      </c>
      <c r="F562" s="1405">
        <v>187488.81</v>
      </c>
      <c r="G562" s="1405">
        <v>187488.81</v>
      </c>
      <c r="H562" t="b">
        <f t="shared" si="17"/>
        <v>1</v>
      </c>
    </row>
    <row r="563" spans="1:8" ht="30">
      <c r="A563" s="739">
        <v>39917</v>
      </c>
      <c r="B563" s="740" t="s">
        <v>8952</v>
      </c>
      <c r="C563" s="739" t="s">
        <v>1690</v>
      </c>
      <c r="D563" s="741">
        <f t="shared" si="16"/>
        <v>103997.45</v>
      </c>
      <c r="F563" s="1406">
        <v>103997.45</v>
      </c>
      <c r="G563" s="1406">
        <v>103997.45</v>
      </c>
      <c r="H563" t="b">
        <f t="shared" si="17"/>
        <v>1</v>
      </c>
    </row>
    <row r="564" spans="1:8">
      <c r="A564" s="677">
        <v>38167</v>
      </c>
      <c r="B564" s="733" t="s">
        <v>8953</v>
      </c>
      <c r="C564" s="677" t="s">
        <v>1697</v>
      </c>
      <c r="D564" s="738">
        <f t="shared" si="16"/>
        <v>31.22</v>
      </c>
      <c r="F564" s="1405">
        <v>31.22</v>
      </c>
      <c r="G564" s="1405">
        <v>31.22</v>
      </c>
      <c r="H564" t="b">
        <f t="shared" si="17"/>
        <v>1</v>
      </c>
    </row>
    <row r="565" spans="1:8">
      <c r="A565" s="739">
        <v>36145</v>
      </c>
      <c r="B565" s="740" t="s">
        <v>8954</v>
      </c>
      <c r="C565" s="739" t="s">
        <v>1697</v>
      </c>
      <c r="D565" s="741">
        <f t="shared" si="16"/>
        <v>50.74</v>
      </c>
      <c r="F565" s="1406">
        <v>50.74</v>
      </c>
      <c r="G565" s="1406">
        <v>50.74</v>
      </c>
      <c r="H565" t="b">
        <f t="shared" si="17"/>
        <v>1</v>
      </c>
    </row>
    <row r="566" spans="1:8">
      <c r="A566" s="677">
        <v>12893</v>
      </c>
      <c r="B566" s="733" t="s">
        <v>8955</v>
      </c>
      <c r="C566" s="677" t="s">
        <v>1697</v>
      </c>
      <c r="D566" s="738">
        <f t="shared" si="16"/>
        <v>84.57</v>
      </c>
      <c r="F566" s="1405">
        <v>84.57</v>
      </c>
      <c r="G566" s="1405">
        <v>84.57</v>
      </c>
      <c r="H566" t="b">
        <f t="shared" si="17"/>
        <v>1</v>
      </c>
    </row>
    <row r="567" spans="1:8">
      <c r="A567" s="739">
        <v>11685</v>
      </c>
      <c r="B567" s="740" t="s">
        <v>8956</v>
      </c>
      <c r="C567" s="739" t="s">
        <v>1690</v>
      </c>
      <c r="D567" s="741">
        <f t="shared" si="16"/>
        <v>31.04</v>
      </c>
      <c r="F567" s="1406">
        <v>31.04</v>
      </c>
      <c r="G567" s="1406">
        <v>31.04</v>
      </c>
      <c r="H567" t="b">
        <f t="shared" si="17"/>
        <v>1</v>
      </c>
    </row>
    <row r="568" spans="1:8">
      <c r="A568" s="677">
        <v>11680</v>
      </c>
      <c r="B568" s="733" t="s">
        <v>8957</v>
      </c>
      <c r="C568" s="677" t="s">
        <v>1690</v>
      </c>
      <c r="D568" s="738">
        <f t="shared" si="16"/>
        <v>17.27</v>
      </c>
      <c r="F568" s="1405">
        <v>17.27</v>
      </c>
      <c r="G568" s="1405">
        <v>17.27</v>
      </c>
      <c r="H568" t="b">
        <f t="shared" si="17"/>
        <v>1</v>
      </c>
    </row>
    <row r="569" spans="1:8">
      <c r="A569" s="739">
        <v>11679</v>
      </c>
      <c r="B569" s="740" t="s">
        <v>8958</v>
      </c>
      <c r="C569" s="739" t="s">
        <v>1690</v>
      </c>
      <c r="D569" s="741">
        <f t="shared" si="16"/>
        <v>23.41</v>
      </c>
      <c r="F569" s="1406">
        <v>23.41</v>
      </c>
      <c r="G569" s="1406">
        <v>23.41</v>
      </c>
      <c r="H569" t="b">
        <f t="shared" si="17"/>
        <v>1</v>
      </c>
    </row>
    <row r="570" spans="1:8">
      <c r="A570" s="677">
        <v>2512</v>
      </c>
      <c r="B570" s="733" t="s">
        <v>8959</v>
      </c>
      <c r="C570" s="677" t="s">
        <v>1690</v>
      </c>
      <c r="D570" s="738">
        <f t="shared" si="16"/>
        <v>40.950000000000003</v>
      </c>
      <c r="F570" s="1405">
        <v>40.950000000000003</v>
      </c>
      <c r="G570" s="1405">
        <v>40.950000000000003</v>
      </c>
      <c r="H570" t="b">
        <f t="shared" si="17"/>
        <v>1</v>
      </c>
    </row>
    <row r="571" spans="1:8">
      <c r="A571" s="739">
        <v>4374</v>
      </c>
      <c r="B571" s="740" t="s">
        <v>8960</v>
      </c>
      <c r="C571" s="739" t="s">
        <v>1690</v>
      </c>
      <c r="D571" s="741">
        <f t="shared" si="16"/>
        <v>0.37</v>
      </c>
      <c r="F571" s="1406">
        <v>0.37</v>
      </c>
      <c r="G571" s="1406">
        <v>0.37</v>
      </c>
      <c r="H571" t="b">
        <f t="shared" si="17"/>
        <v>1</v>
      </c>
    </row>
    <row r="572" spans="1:8" ht="30">
      <c r="A572" s="677">
        <v>7568</v>
      </c>
      <c r="B572" s="733" t="s">
        <v>8961</v>
      </c>
      <c r="C572" s="677" t="s">
        <v>1690</v>
      </c>
      <c r="D572" s="738">
        <f t="shared" si="16"/>
        <v>0.61</v>
      </c>
      <c r="F572" s="1405">
        <v>0.61</v>
      </c>
      <c r="G572" s="1405">
        <v>0.61</v>
      </c>
      <c r="H572" t="b">
        <f t="shared" si="17"/>
        <v>1</v>
      </c>
    </row>
    <row r="573" spans="1:8">
      <c r="A573" s="739">
        <v>7584</v>
      </c>
      <c r="B573" s="740" t="s">
        <v>8962</v>
      </c>
      <c r="C573" s="739" t="s">
        <v>1690</v>
      </c>
      <c r="D573" s="741">
        <f t="shared" si="16"/>
        <v>0.93</v>
      </c>
      <c r="F573" s="1406">
        <v>0.93</v>
      </c>
      <c r="G573" s="1406">
        <v>0.93</v>
      </c>
      <c r="H573" t="b">
        <f t="shared" si="17"/>
        <v>1</v>
      </c>
    </row>
    <row r="574" spans="1:8">
      <c r="A574" s="677">
        <v>11945</v>
      </c>
      <c r="B574" s="733" t="s">
        <v>8963</v>
      </c>
      <c r="C574" s="677" t="s">
        <v>1690</v>
      </c>
      <c r="D574" s="738">
        <f t="shared" si="16"/>
        <v>0.06</v>
      </c>
      <c r="F574" s="1405">
        <v>0.06</v>
      </c>
      <c r="G574" s="1405">
        <v>0.06</v>
      </c>
      <c r="H574" t="b">
        <f t="shared" si="17"/>
        <v>1</v>
      </c>
    </row>
    <row r="575" spans="1:8">
      <c r="A575" s="739">
        <v>11946</v>
      </c>
      <c r="B575" s="740" t="s">
        <v>8964</v>
      </c>
      <c r="C575" s="739" t="s">
        <v>1690</v>
      </c>
      <c r="D575" s="741">
        <f t="shared" si="16"/>
        <v>0.06</v>
      </c>
      <c r="F575" s="1406">
        <v>0.06</v>
      </c>
      <c r="G575" s="1406">
        <v>0.06</v>
      </c>
      <c r="H575" t="b">
        <f t="shared" si="17"/>
        <v>1</v>
      </c>
    </row>
    <row r="576" spans="1:8">
      <c r="A576" s="677">
        <v>4375</v>
      </c>
      <c r="B576" s="733" t="s">
        <v>8965</v>
      </c>
      <c r="C576" s="677" t="s">
        <v>1690</v>
      </c>
      <c r="D576" s="738">
        <f t="shared" si="16"/>
        <v>0.1</v>
      </c>
      <c r="F576" s="1405">
        <v>0.1</v>
      </c>
      <c r="G576" s="1405">
        <v>0.1</v>
      </c>
      <c r="H576" t="b">
        <f t="shared" si="17"/>
        <v>1</v>
      </c>
    </row>
    <row r="577" spans="1:8" ht="30">
      <c r="A577" s="739">
        <v>11950</v>
      </c>
      <c r="B577" s="740" t="s">
        <v>8966</v>
      </c>
      <c r="C577" s="739" t="s">
        <v>1690</v>
      </c>
      <c r="D577" s="741">
        <f t="shared" si="16"/>
        <v>0.2</v>
      </c>
      <c r="F577" s="1406">
        <v>0.2</v>
      </c>
      <c r="G577" s="1406">
        <v>0.2</v>
      </c>
      <c r="H577" t="b">
        <f t="shared" si="17"/>
        <v>1</v>
      </c>
    </row>
    <row r="578" spans="1:8">
      <c r="A578" s="677">
        <v>4376</v>
      </c>
      <c r="B578" s="733" t="s">
        <v>8967</v>
      </c>
      <c r="C578" s="677" t="s">
        <v>1690</v>
      </c>
      <c r="D578" s="738">
        <f t="shared" si="16"/>
        <v>0.19</v>
      </c>
      <c r="F578" s="1405">
        <v>0.19</v>
      </c>
      <c r="G578" s="1405">
        <v>0.19</v>
      </c>
      <c r="H578" t="b">
        <f t="shared" si="17"/>
        <v>1</v>
      </c>
    </row>
    <row r="579" spans="1:8" ht="30">
      <c r="A579" s="739">
        <v>7583</v>
      </c>
      <c r="B579" s="740" t="s">
        <v>8968</v>
      </c>
      <c r="C579" s="739" t="s">
        <v>1690</v>
      </c>
      <c r="D579" s="741">
        <f t="shared" ref="D579:D642" si="18">IF($J$2=$F$1,F579,G579)</f>
        <v>0.41</v>
      </c>
      <c r="F579" s="1406">
        <v>0.41</v>
      </c>
      <c r="G579" s="1406">
        <v>0.41</v>
      </c>
      <c r="H579" t="b">
        <f t="shared" ref="H579:H642" si="19">F579=G579</f>
        <v>1</v>
      </c>
    </row>
    <row r="580" spans="1:8" ht="30">
      <c r="A580" s="677">
        <v>4350</v>
      </c>
      <c r="B580" s="733" t="s">
        <v>8969</v>
      </c>
      <c r="C580" s="677" t="s">
        <v>1690</v>
      </c>
      <c r="D580" s="738">
        <f t="shared" si="18"/>
        <v>0.63</v>
      </c>
      <c r="F580" s="1405">
        <v>0.63</v>
      </c>
      <c r="G580" s="1405">
        <v>0.63</v>
      </c>
      <c r="H580" t="b">
        <f t="shared" si="19"/>
        <v>1</v>
      </c>
    </row>
    <row r="581" spans="1:8">
      <c r="A581" s="739">
        <v>44400</v>
      </c>
      <c r="B581" s="740" t="s">
        <v>8970</v>
      </c>
      <c r="C581" s="739" t="s">
        <v>1690</v>
      </c>
      <c r="D581" s="741">
        <f t="shared" si="18"/>
        <v>30.16</v>
      </c>
      <c r="F581" s="1406">
        <v>30.16</v>
      </c>
      <c r="G581" s="1406">
        <v>30.16</v>
      </c>
      <c r="H581" t="b">
        <f t="shared" si="19"/>
        <v>1</v>
      </c>
    </row>
    <row r="582" spans="1:8">
      <c r="A582" s="677">
        <v>39886</v>
      </c>
      <c r="B582" s="733" t="s">
        <v>8971</v>
      </c>
      <c r="C582" s="677" t="s">
        <v>1690</v>
      </c>
      <c r="D582" s="738">
        <f t="shared" si="18"/>
        <v>5.6</v>
      </c>
      <c r="F582" s="1405">
        <v>5.6</v>
      </c>
      <c r="G582" s="1405">
        <v>5.6</v>
      </c>
      <c r="H582" t="b">
        <f t="shared" si="19"/>
        <v>1</v>
      </c>
    </row>
    <row r="583" spans="1:8">
      <c r="A583" s="739">
        <v>39887</v>
      </c>
      <c r="B583" s="740" t="s">
        <v>8972</v>
      </c>
      <c r="C583" s="739" t="s">
        <v>1690</v>
      </c>
      <c r="D583" s="741">
        <f t="shared" si="18"/>
        <v>8.4</v>
      </c>
      <c r="F583" s="1406">
        <v>8.4</v>
      </c>
      <c r="G583" s="1406">
        <v>8.4</v>
      </c>
      <c r="H583" t="b">
        <f t="shared" si="19"/>
        <v>1</v>
      </c>
    </row>
    <row r="584" spans="1:8">
      <c r="A584" s="677">
        <v>39888</v>
      </c>
      <c r="B584" s="733" t="s">
        <v>8973</v>
      </c>
      <c r="C584" s="677" t="s">
        <v>1690</v>
      </c>
      <c r="D584" s="738">
        <f t="shared" si="18"/>
        <v>19.21</v>
      </c>
      <c r="F584" s="1405">
        <v>19.21</v>
      </c>
      <c r="G584" s="1405">
        <v>19.21</v>
      </c>
      <c r="H584" t="b">
        <f t="shared" si="19"/>
        <v>1</v>
      </c>
    </row>
    <row r="585" spans="1:8">
      <c r="A585" s="739">
        <v>39890</v>
      </c>
      <c r="B585" s="740" t="s">
        <v>8974</v>
      </c>
      <c r="C585" s="739" t="s">
        <v>1690</v>
      </c>
      <c r="D585" s="741">
        <f t="shared" si="18"/>
        <v>32.78</v>
      </c>
      <c r="F585" s="1406">
        <v>32.78</v>
      </c>
      <c r="G585" s="1406">
        <v>32.78</v>
      </c>
      <c r="H585" t="b">
        <f t="shared" si="19"/>
        <v>1</v>
      </c>
    </row>
    <row r="586" spans="1:8">
      <c r="A586" s="677">
        <v>39891</v>
      </c>
      <c r="B586" s="733" t="s">
        <v>8975</v>
      </c>
      <c r="C586" s="677" t="s">
        <v>1690</v>
      </c>
      <c r="D586" s="738">
        <f t="shared" si="18"/>
        <v>46.22</v>
      </c>
      <c r="F586" s="1405">
        <v>46.22</v>
      </c>
      <c r="G586" s="1405">
        <v>46.22</v>
      </c>
      <c r="H586" t="b">
        <f t="shared" si="19"/>
        <v>1</v>
      </c>
    </row>
    <row r="587" spans="1:8">
      <c r="A587" s="739">
        <v>39892</v>
      </c>
      <c r="B587" s="740" t="s">
        <v>8976</v>
      </c>
      <c r="C587" s="739" t="s">
        <v>1690</v>
      </c>
      <c r="D587" s="741">
        <f t="shared" si="18"/>
        <v>144.09</v>
      </c>
      <c r="F587" s="1406">
        <v>144.09</v>
      </c>
      <c r="G587" s="1406">
        <v>144.09</v>
      </c>
      <c r="H587" t="b">
        <f t="shared" si="19"/>
        <v>1</v>
      </c>
    </row>
    <row r="588" spans="1:8">
      <c r="A588" s="677">
        <v>790</v>
      </c>
      <c r="B588" s="733" t="s">
        <v>8977</v>
      </c>
      <c r="C588" s="677" t="s">
        <v>1690</v>
      </c>
      <c r="D588" s="738">
        <f t="shared" si="18"/>
        <v>16.8</v>
      </c>
      <c r="F588" s="1405">
        <v>16.8</v>
      </c>
      <c r="G588" s="1405">
        <v>16.8</v>
      </c>
      <c r="H588" t="b">
        <f t="shared" si="19"/>
        <v>1</v>
      </c>
    </row>
    <row r="589" spans="1:8">
      <c r="A589" s="739">
        <v>766</v>
      </c>
      <c r="B589" s="740" t="s">
        <v>8978</v>
      </c>
      <c r="C589" s="739" t="s">
        <v>1690</v>
      </c>
      <c r="D589" s="741">
        <f t="shared" si="18"/>
        <v>16.8</v>
      </c>
      <c r="F589" s="1406">
        <v>16.8</v>
      </c>
      <c r="G589" s="1406">
        <v>16.8</v>
      </c>
      <c r="H589" t="b">
        <f t="shared" si="19"/>
        <v>1</v>
      </c>
    </row>
    <row r="590" spans="1:8">
      <c r="A590" s="677">
        <v>791</v>
      </c>
      <c r="B590" s="733" t="s">
        <v>8979</v>
      </c>
      <c r="C590" s="677" t="s">
        <v>1690</v>
      </c>
      <c r="D590" s="738">
        <f t="shared" si="18"/>
        <v>16.8</v>
      </c>
      <c r="F590" s="1405">
        <v>16.8</v>
      </c>
      <c r="G590" s="1405">
        <v>16.8</v>
      </c>
      <c r="H590" t="b">
        <f t="shared" si="19"/>
        <v>1</v>
      </c>
    </row>
    <row r="591" spans="1:8">
      <c r="A591" s="739">
        <v>767</v>
      </c>
      <c r="B591" s="740" t="s">
        <v>8980</v>
      </c>
      <c r="C591" s="739" t="s">
        <v>1690</v>
      </c>
      <c r="D591" s="741">
        <f t="shared" si="18"/>
        <v>16.8</v>
      </c>
      <c r="F591" s="1406">
        <v>16.8</v>
      </c>
      <c r="G591" s="1406">
        <v>16.8</v>
      </c>
      <c r="H591" t="b">
        <f t="shared" si="19"/>
        <v>1</v>
      </c>
    </row>
    <row r="592" spans="1:8">
      <c r="A592" s="677">
        <v>768</v>
      </c>
      <c r="B592" s="733" t="s">
        <v>8981</v>
      </c>
      <c r="C592" s="677" t="s">
        <v>1690</v>
      </c>
      <c r="D592" s="738">
        <f t="shared" si="18"/>
        <v>13.19</v>
      </c>
      <c r="F592" s="1405">
        <v>13.19</v>
      </c>
      <c r="G592" s="1405">
        <v>13.19</v>
      </c>
      <c r="H592" t="b">
        <f t="shared" si="19"/>
        <v>1</v>
      </c>
    </row>
    <row r="593" spans="1:8">
      <c r="A593" s="739">
        <v>789</v>
      </c>
      <c r="B593" s="740" t="s">
        <v>8982</v>
      </c>
      <c r="C593" s="739" t="s">
        <v>1690</v>
      </c>
      <c r="D593" s="741">
        <f t="shared" si="18"/>
        <v>12.91</v>
      </c>
      <c r="F593" s="1406">
        <v>12.91</v>
      </c>
      <c r="G593" s="1406">
        <v>12.91</v>
      </c>
      <c r="H593" t="b">
        <f t="shared" si="19"/>
        <v>1</v>
      </c>
    </row>
    <row r="594" spans="1:8">
      <c r="A594" s="677">
        <v>769</v>
      </c>
      <c r="B594" s="733" t="s">
        <v>8983</v>
      </c>
      <c r="C594" s="677" t="s">
        <v>1690</v>
      </c>
      <c r="D594" s="738">
        <f t="shared" si="18"/>
        <v>13.19</v>
      </c>
      <c r="F594" s="1405">
        <v>13.19</v>
      </c>
      <c r="G594" s="1405">
        <v>13.19</v>
      </c>
      <c r="H594" t="b">
        <f t="shared" si="19"/>
        <v>1</v>
      </c>
    </row>
    <row r="595" spans="1:8">
      <c r="A595" s="739">
        <v>770</v>
      </c>
      <c r="B595" s="740" t="s">
        <v>8984</v>
      </c>
      <c r="C595" s="739" t="s">
        <v>1690</v>
      </c>
      <c r="D595" s="741">
        <f t="shared" si="18"/>
        <v>4.6500000000000004</v>
      </c>
      <c r="F595" s="1406">
        <v>4.6500000000000004</v>
      </c>
      <c r="G595" s="1406">
        <v>4.6500000000000004</v>
      </c>
      <c r="H595" t="b">
        <f t="shared" si="19"/>
        <v>1</v>
      </c>
    </row>
    <row r="596" spans="1:8">
      <c r="A596" s="677">
        <v>12394</v>
      </c>
      <c r="B596" s="733" t="s">
        <v>8985</v>
      </c>
      <c r="C596" s="677" t="s">
        <v>1690</v>
      </c>
      <c r="D596" s="738">
        <f t="shared" si="18"/>
        <v>4.6500000000000004</v>
      </c>
      <c r="F596" s="1405">
        <v>4.6500000000000004</v>
      </c>
      <c r="G596" s="1405">
        <v>4.6500000000000004</v>
      </c>
      <c r="H596" t="b">
        <f t="shared" si="19"/>
        <v>1</v>
      </c>
    </row>
    <row r="597" spans="1:8">
      <c r="A597" s="739">
        <v>764</v>
      </c>
      <c r="B597" s="740" t="s">
        <v>8986</v>
      </c>
      <c r="C597" s="739" t="s">
        <v>1690</v>
      </c>
      <c r="D597" s="741">
        <f t="shared" si="18"/>
        <v>8.1199999999999992</v>
      </c>
      <c r="F597" s="1406">
        <v>8.1199999999999992</v>
      </c>
      <c r="G597" s="1406">
        <v>8.1199999999999992</v>
      </c>
      <c r="H597" t="b">
        <f t="shared" si="19"/>
        <v>1</v>
      </c>
    </row>
    <row r="598" spans="1:8">
      <c r="A598" s="677">
        <v>765</v>
      </c>
      <c r="B598" s="733" t="s">
        <v>8987</v>
      </c>
      <c r="C598" s="677" t="s">
        <v>1690</v>
      </c>
      <c r="D598" s="738">
        <f t="shared" si="18"/>
        <v>8.1199999999999992</v>
      </c>
      <c r="F598" s="1405">
        <v>8.1199999999999992</v>
      </c>
      <c r="G598" s="1405">
        <v>8.1199999999999992</v>
      </c>
      <c r="H598" t="b">
        <f t="shared" si="19"/>
        <v>1</v>
      </c>
    </row>
    <row r="599" spans="1:8">
      <c r="A599" s="739">
        <v>787</v>
      </c>
      <c r="B599" s="740" t="s">
        <v>8988</v>
      </c>
      <c r="C599" s="739" t="s">
        <v>1690</v>
      </c>
      <c r="D599" s="741">
        <f t="shared" si="18"/>
        <v>36.270000000000003</v>
      </c>
      <c r="F599" s="1406">
        <v>36.270000000000003</v>
      </c>
      <c r="G599" s="1406">
        <v>36.270000000000003</v>
      </c>
      <c r="H599" t="b">
        <f t="shared" si="19"/>
        <v>1</v>
      </c>
    </row>
    <row r="600" spans="1:8">
      <c r="A600" s="677">
        <v>774</v>
      </c>
      <c r="B600" s="733" t="s">
        <v>8989</v>
      </c>
      <c r="C600" s="677" t="s">
        <v>1690</v>
      </c>
      <c r="D600" s="738">
        <f t="shared" si="18"/>
        <v>36.270000000000003</v>
      </c>
      <c r="F600" s="1405">
        <v>36.270000000000003</v>
      </c>
      <c r="G600" s="1405">
        <v>36.270000000000003</v>
      </c>
      <c r="H600" t="b">
        <f t="shared" si="19"/>
        <v>1</v>
      </c>
    </row>
    <row r="601" spans="1:8">
      <c r="A601" s="739">
        <v>773</v>
      </c>
      <c r="B601" s="740" t="s">
        <v>8990</v>
      </c>
      <c r="C601" s="739" t="s">
        <v>1690</v>
      </c>
      <c r="D601" s="741">
        <f t="shared" si="18"/>
        <v>36.270000000000003</v>
      </c>
      <c r="F601" s="1406">
        <v>36.270000000000003</v>
      </c>
      <c r="G601" s="1406">
        <v>36.270000000000003</v>
      </c>
      <c r="H601" t="b">
        <f t="shared" si="19"/>
        <v>1</v>
      </c>
    </row>
    <row r="602" spans="1:8">
      <c r="A602" s="677">
        <v>775</v>
      </c>
      <c r="B602" s="733" t="s">
        <v>8991</v>
      </c>
      <c r="C602" s="677" t="s">
        <v>1690</v>
      </c>
      <c r="D602" s="738">
        <f t="shared" si="18"/>
        <v>36.270000000000003</v>
      </c>
      <c r="F602" s="1405">
        <v>36.270000000000003</v>
      </c>
      <c r="G602" s="1405">
        <v>36.270000000000003</v>
      </c>
      <c r="H602" t="b">
        <f t="shared" si="19"/>
        <v>1</v>
      </c>
    </row>
    <row r="603" spans="1:8">
      <c r="A603" s="739">
        <v>788</v>
      </c>
      <c r="B603" s="740" t="s">
        <v>8992</v>
      </c>
      <c r="C603" s="739" t="s">
        <v>1690</v>
      </c>
      <c r="D603" s="741">
        <f t="shared" si="18"/>
        <v>22.54</v>
      </c>
      <c r="F603" s="1406">
        <v>22.54</v>
      </c>
      <c r="G603" s="1406">
        <v>22.54</v>
      </c>
      <c r="H603" t="b">
        <f t="shared" si="19"/>
        <v>1</v>
      </c>
    </row>
    <row r="604" spans="1:8">
      <c r="A604" s="677">
        <v>772</v>
      </c>
      <c r="B604" s="733" t="s">
        <v>8993</v>
      </c>
      <c r="C604" s="677" t="s">
        <v>1690</v>
      </c>
      <c r="D604" s="738">
        <f t="shared" si="18"/>
        <v>22.54</v>
      </c>
      <c r="F604" s="1405">
        <v>22.54</v>
      </c>
      <c r="G604" s="1405">
        <v>22.54</v>
      </c>
      <c r="H604" t="b">
        <f t="shared" si="19"/>
        <v>1</v>
      </c>
    </row>
    <row r="605" spans="1:8">
      <c r="A605" s="739">
        <v>771</v>
      </c>
      <c r="B605" s="740" t="s">
        <v>8994</v>
      </c>
      <c r="C605" s="739" t="s">
        <v>1690</v>
      </c>
      <c r="D605" s="741">
        <f t="shared" si="18"/>
        <v>22.54</v>
      </c>
      <c r="F605" s="1406">
        <v>22.54</v>
      </c>
      <c r="G605" s="1406">
        <v>22.54</v>
      </c>
      <c r="H605" t="b">
        <f t="shared" si="19"/>
        <v>1</v>
      </c>
    </row>
    <row r="606" spans="1:8">
      <c r="A606" s="677">
        <v>779</v>
      </c>
      <c r="B606" s="733" t="s">
        <v>8995</v>
      </c>
      <c r="C606" s="677" t="s">
        <v>1690</v>
      </c>
      <c r="D606" s="738">
        <f t="shared" si="18"/>
        <v>5.6</v>
      </c>
      <c r="F606" s="1405">
        <v>5.6</v>
      </c>
      <c r="G606" s="1405">
        <v>5.6</v>
      </c>
      <c r="H606" t="b">
        <f t="shared" si="19"/>
        <v>1</v>
      </c>
    </row>
    <row r="607" spans="1:8">
      <c r="A607" s="739">
        <v>776</v>
      </c>
      <c r="B607" s="740" t="s">
        <v>8996</v>
      </c>
      <c r="C607" s="739" t="s">
        <v>1690</v>
      </c>
      <c r="D607" s="741">
        <f t="shared" si="18"/>
        <v>53.47</v>
      </c>
      <c r="F607" s="1406">
        <v>53.47</v>
      </c>
      <c r="G607" s="1406">
        <v>53.47</v>
      </c>
      <c r="H607" t="b">
        <f t="shared" si="19"/>
        <v>1</v>
      </c>
    </row>
    <row r="608" spans="1:8">
      <c r="A608" s="677">
        <v>777</v>
      </c>
      <c r="B608" s="733" t="s">
        <v>8997</v>
      </c>
      <c r="C608" s="677" t="s">
        <v>1690</v>
      </c>
      <c r="D608" s="738">
        <f t="shared" si="18"/>
        <v>51.98</v>
      </c>
      <c r="F608" s="1405">
        <v>51.98</v>
      </c>
      <c r="G608" s="1405">
        <v>51.98</v>
      </c>
      <c r="H608" t="b">
        <f t="shared" si="19"/>
        <v>1</v>
      </c>
    </row>
    <row r="609" spans="1:8">
      <c r="A609" s="739">
        <v>780</v>
      </c>
      <c r="B609" s="740" t="s">
        <v>8998</v>
      </c>
      <c r="C609" s="739" t="s">
        <v>1690</v>
      </c>
      <c r="D609" s="741">
        <f t="shared" si="18"/>
        <v>52.24</v>
      </c>
      <c r="F609" s="1406">
        <v>52.24</v>
      </c>
      <c r="G609" s="1406">
        <v>52.24</v>
      </c>
      <c r="H609" t="b">
        <f t="shared" si="19"/>
        <v>1</v>
      </c>
    </row>
    <row r="610" spans="1:8">
      <c r="A610" s="677">
        <v>778</v>
      </c>
      <c r="B610" s="733" t="s">
        <v>8999</v>
      </c>
      <c r="C610" s="677" t="s">
        <v>1690</v>
      </c>
      <c r="D610" s="738">
        <f t="shared" si="18"/>
        <v>53.47</v>
      </c>
      <c r="F610" s="1405">
        <v>53.47</v>
      </c>
      <c r="G610" s="1405">
        <v>53.47</v>
      </c>
      <c r="H610" t="b">
        <f t="shared" si="19"/>
        <v>1</v>
      </c>
    </row>
    <row r="611" spans="1:8">
      <c r="A611" s="739">
        <v>781</v>
      </c>
      <c r="B611" s="740" t="s">
        <v>9000</v>
      </c>
      <c r="C611" s="739" t="s">
        <v>1690</v>
      </c>
      <c r="D611" s="741">
        <f t="shared" si="18"/>
        <v>98.79</v>
      </c>
      <c r="F611" s="1406">
        <v>98.79</v>
      </c>
      <c r="G611" s="1406">
        <v>98.79</v>
      </c>
      <c r="H611" t="b">
        <f t="shared" si="19"/>
        <v>1</v>
      </c>
    </row>
    <row r="612" spans="1:8">
      <c r="A612" s="677">
        <v>786</v>
      </c>
      <c r="B612" s="733" t="s">
        <v>9001</v>
      </c>
      <c r="C612" s="677" t="s">
        <v>1690</v>
      </c>
      <c r="D612" s="738">
        <f t="shared" si="18"/>
        <v>98.79</v>
      </c>
      <c r="F612" s="1405">
        <v>98.79</v>
      </c>
      <c r="G612" s="1405">
        <v>98.79</v>
      </c>
      <c r="H612" t="b">
        <f t="shared" si="19"/>
        <v>1</v>
      </c>
    </row>
    <row r="613" spans="1:8">
      <c r="A613" s="739">
        <v>782</v>
      </c>
      <c r="B613" s="740" t="s">
        <v>9002</v>
      </c>
      <c r="C613" s="739" t="s">
        <v>1690</v>
      </c>
      <c r="D613" s="741">
        <f t="shared" si="18"/>
        <v>98.79</v>
      </c>
      <c r="F613" s="1406">
        <v>98.79</v>
      </c>
      <c r="G613" s="1406">
        <v>98.79</v>
      </c>
      <c r="H613" t="b">
        <f t="shared" si="19"/>
        <v>1</v>
      </c>
    </row>
    <row r="614" spans="1:8">
      <c r="A614" s="677">
        <v>783</v>
      </c>
      <c r="B614" s="733" t="s">
        <v>9003</v>
      </c>
      <c r="C614" s="677" t="s">
        <v>1690</v>
      </c>
      <c r="D614" s="738">
        <f t="shared" si="18"/>
        <v>270.38</v>
      </c>
      <c r="F614" s="1405">
        <v>270.38</v>
      </c>
      <c r="G614" s="1405">
        <v>270.38</v>
      </c>
      <c r="H614" t="b">
        <f t="shared" si="19"/>
        <v>1</v>
      </c>
    </row>
    <row r="615" spans="1:8">
      <c r="A615" s="739">
        <v>785</v>
      </c>
      <c r="B615" s="740" t="s">
        <v>9004</v>
      </c>
      <c r="C615" s="739" t="s">
        <v>1690</v>
      </c>
      <c r="D615" s="741">
        <f t="shared" si="18"/>
        <v>285.69</v>
      </c>
      <c r="F615" s="1406">
        <v>285.69</v>
      </c>
      <c r="G615" s="1406">
        <v>285.69</v>
      </c>
      <c r="H615" t="b">
        <f t="shared" si="19"/>
        <v>1</v>
      </c>
    </row>
    <row r="616" spans="1:8">
      <c r="A616" s="677">
        <v>784</v>
      </c>
      <c r="B616" s="733" t="s">
        <v>9005</v>
      </c>
      <c r="C616" s="677" t="s">
        <v>1690</v>
      </c>
      <c r="D616" s="738">
        <f t="shared" si="18"/>
        <v>306.47000000000003</v>
      </c>
      <c r="F616" s="1405">
        <v>306.47000000000003</v>
      </c>
      <c r="G616" s="1405">
        <v>306.47000000000003</v>
      </c>
      <c r="H616" t="b">
        <f t="shared" si="19"/>
        <v>1</v>
      </c>
    </row>
    <row r="617" spans="1:8">
      <c r="A617" s="739">
        <v>828</v>
      </c>
      <c r="B617" s="740" t="s">
        <v>9006</v>
      </c>
      <c r="C617" s="739" t="s">
        <v>1690</v>
      </c>
      <c r="D617" s="741">
        <f t="shared" si="18"/>
        <v>0.56000000000000005</v>
      </c>
      <c r="F617" s="1406">
        <v>0.56000000000000005</v>
      </c>
      <c r="G617" s="1406">
        <v>0.56000000000000005</v>
      </c>
      <c r="H617" t="b">
        <f t="shared" si="19"/>
        <v>1</v>
      </c>
    </row>
    <row r="618" spans="1:8">
      <c r="A618" s="677">
        <v>829</v>
      </c>
      <c r="B618" s="733" t="s">
        <v>9007</v>
      </c>
      <c r="C618" s="677" t="s">
        <v>1690</v>
      </c>
      <c r="D618" s="738">
        <f t="shared" si="18"/>
        <v>0.91</v>
      </c>
      <c r="F618" s="1405">
        <v>0.91</v>
      </c>
      <c r="G618" s="1405">
        <v>0.91</v>
      </c>
      <c r="H618" t="b">
        <f t="shared" si="19"/>
        <v>1</v>
      </c>
    </row>
    <row r="619" spans="1:8">
      <c r="A619" s="739">
        <v>812</v>
      </c>
      <c r="B619" s="740" t="s">
        <v>9008</v>
      </c>
      <c r="C619" s="739" t="s">
        <v>1690</v>
      </c>
      <c r="D619" s="741">
        <f t="shared" si="18"/>
        <v>2</v>
      </c>
      <c r="F619" s="1406">
        <v>2</v>
      </c>
      <c r="G619" s="1406">
        <v>2</v>
      </c>
      <c r="H619" t="b">
        <f t="shared" si="19"/>
        <v>1</v>
      </c>
    </row>
    <row r="620" spans="1:8">
      <c r="A620" s="677">
        <v>819</v>
      </c>
      <c r="B620" s="733" t="s">
        <v>9009</v>
      </c>
      <c r="C620" s="677" t="s">
        <v>1690</v>
      </c>
      <c r="D620" s="738">
        <f t="shared" si="18"/>
        <v>3.47</v>
      </c>
      <c r="F620" s="1405">
        <v>3.47</v>
      </c>
      <c r="G620" s="1405">
        <v>3.47</v>
      </c>
      <c r="H620" t="b">
        <f t="shared" si="19"/>
        <v>1</v>
      </c>
    </row>
    <row r="621" spans="1:8">
      <c r="A621" s="739">
        <v>818</v>
      </c>
      <c r="B621" s="740" t="s">
        <v>9010</v>
      </c>
      <c r="C621" s="739" t="s">
        <v>1690</v>
      </c>
      <c r="D621" s="741">
        <f t="shared" si="18"/>
        <v>6.48</v>
      </c>
      <c r="F621" s="1406">
        <v>6.48</v>
      </c>
      <c r="G621" s="1406">
        <v>6.48</v>
      </c>
      <c r="H621" t="b">
        <f t="shared" si="19"/>
        <v>1</v>
      </c>
    </row>
    <row r="622" spans="1:8">
      <c r="A622" s="677">
        <v>832</v>
      </c>
      <c r="B622" s="733" t="s">
        <v>9011</v>
      </c>
      <c r="C622" s="677" t="s">
        <v>1690</v>
      </c>
      <c r="D622" s="738">
        <f t="shared" si="18"/>
        <v>2.68</v>
      </c>
      <c r="F622" s="1405">
        <v>2.68</v>
      </c>
      <c r="G622" s="1405">
        <v>2.68</v>
      </c>
      <c r="H622" t="b">
        <f t="shared" si="19"/>
        <v>1</v>
      </c>
    </row>
    <row r="623" spans="1:8">
      <c r="A623" s="739">
        <v>834</v>
      </c>
      <c r="B623" s="740" t="s">
        <v>9012</v>
      </c>
      <c r="C623" s="739" t="s">
        <v>1690</v>
      </c>
      <c r="D623" s="741">
        <f t="shared" si="18"/>
        <v>3.47</v>
      </c>
      <c r="F623" s="1406">
        <v>3.47</v>
      </c>
      <c r="G623" s="1406">
        <v>3.47</v>
      </c>
      <c r="H623" t="b">
        <f t="shared" si="19"/>
        <v>1</v>
      </c>
    </row>
    <row r="624" spans="1:8">
      <c r="A624" s="677">
        <v>813</v>
      </c>
      <c r="B624" s="733" t="s">
        <v>9013</v>
      </c>
      <c r="C624" s="677" t="s">
        <v>1690</v>
      </c>
      <c r="D624" s="738">
        <f t="shared" si="18"/>
        <v>4.03</v>
      </c>
      <c r="F624" s="1405">
        <v>4.03</v>
      </c>
      <c r="G624" s="1405">
        <v>4.03</v>
      </c>
      <c r="H624" t="b">
        <f t="shared" si="19"/>
        <v>1</v>
      </c>
    </row>
    <row r="625" spans="1:8">
      <c r="A625" s="739">
        <v>820</v>
      </c>
      <c r="B625" s="740" t="s">
        <v>9014</v>
      </c>
      <c r="C625" s="739" t="s">
        <v>1690</v>
      </c>
      <c r="D625" s="741">
        <f t="shared" si="18"/>
        <v>5.43</v>
      </c>
      <c r="F625" s="1406">
        <v>5.43</v>
      </c>
      <c r="G625" s="1406">
        <v>5.43</v>
      </c>
      <c r="H625" t="b">
        <f t="shared" si="19"/>
        <v>1</v>
      </c>
    </row>
    <row r="626" spans="1:8">
      <c r="A626" s="677">
        <v>816</v>
      </c>
      <c r="B626" s="733" t="s">
        <v>9015</v>
      </c>
      <c r="C626" s="677" t="s">
        <v>1690</v>
      </c>
      <c r="D626" s="738">
        <f t="shared" si="18"/>
        <v>9.68</v>
      </c>
      <c r="F626" s="1405">
        <v>9.68</v>
      </c>
      <c r="G626" s="1405">
        <v>9.68</v>
      </c>
      <c r="H626" t="b">
        <f t="shared" si="19"/>
        <v>1</v>
      </c>
    </row>
    <row r="627" spans="1:8">
      <c r="A627" s="739">
        <v>814</v>
      </c>
      <c r="B627" s="740" t="s">
        <v>9016</v>
      </c>
      <c r="C627" s="739" t="s">
        <v>1690</v>
      </c>
      <c r="D627" s="741">
        <f t="shared" si="18"/>
        <v>12.02</v>
      </c>
      <c r="F627" s="1406">
        <v>12.02</v>
      </c>
      <c r="G627" s="1406">
        <v>12.02</v>
      </c>
      <c r="H627" t="b">
        <f t="shared" si="19"/>
        <v>1</v>
      </c>
    </row>
    <row r="628" spans="1:8">
      <c r="A628" s="677">
        <v>822</v>
      </c>
      <c r="B628" s="733" t="s">
        <v>9017</v>
      </c>
      <c r="C628" s="677" t="s">
        <v>1690</v>
      </c>
      <c r="D628" s="738">
        <f t="shared" si="18"/>
        <v>15.69</v>
      </c>
      <c r="F628" s="1405">
        <v>15.69</v>
      </c>
      <c r="G628" s="1405">
        <v>15.69</v>
      </c>
      <c r="H628" t="b">
        <f t="shared" si="19"/>
        <v>1</v>
      </c>
    </row>
    <row r="629" spans="1:8">
      <c r="A629" s="739">
        <v>821</v>
      </c>
      <c r="B629" s="740" t="s">
        <v>9018</v>
      </c>
      <c r="C629" s="739" t="s">
        <v>1690</v>
      </c>
      <c r="D629" s="741">
        <f t="shared" si="18"/>
        <v>17.95</v>
      </c>
      <c r="F629" s="1406">
        <v>17.95</v>
      </c>
      <c r="G629" s="1406">
        <v>17.95</v>
      </c>
      <c r="H629" t="b">
        <f t="shared" si="19"/>
        <v>1</v>
      </c>
    </row>
    <row r="630" spans="1:8">
      <c r="A630" s="677">
        <v>20086</v>
      </c>
      <c r="B630" s="733" t="s">
        <v>9019</v>
      </c>
      <c r="C630" s="677" t="s">
        <v>1690</v>
      </c>
      <c r="D630" s="738">
        <f t="shared" si="18"/>
        <v>2.98</v>
      </c>
      <c r="F630" s="1405">
        <v>2.98</v>
      </c>
      <c r="G630" s="1405">
        <v>2.98</v>
      </c>
      <c r="H630" t="b">
        <f t="shared" si="19"/>
        <v>1</v>
      </c>
    </row>
    <row r="631" spans="1:8">
      <c r="A631" s="739">
        <v>39191</v>
      </c>
      <c r="B631" s="740" t="s">
        <v>9020</v>
      </c>
      <c r="C631" s="739" t="s">
        <v>1690</v>
      </c>
      <c r="D631" s="741">
        <f t="shared" si="18"/>
        <v>17.489999999999998</v>
      </c>
      <c r="F631" s="1406">
        <v>17.489999999999998</v>
      </c>
      <c r="G631" s="1406">
        <v>17.489999999999998</v>
      </c>
      <c r="H631" t="b">
        <f t="shared" si="19"/>
        <v>1</v>
      </c>
    </row>
    <row r="632" spans="1:8">
      <c r="A632" s="677">
        <v>39190</v>
      </c>
      <c r="B632" s="733" t="s">
        <v>9021</v>
      </c>
      <c r="C632" s="677" t="s">
        <v>1690</v>
      </c>
      <c r="D632" s="738">
        <f t="shared" si="18"/>
        <v>18.27</v>
      </c>
      <c r="F632" s="1405">
        <v>18.27</v>
      </c>
      <c r="G632" s="1405">
        <v>18.27</v>
      </c>
      <c r="H632" t="b">
        <f t="shared" si="19"/>
        <v>1</v>
      </c>
    </row>
    <row r="633" spans="1:8">
      <c r="A633" s="739">
        <v>39189</v>
      </c>
      <c r="B633" s="740" t="s">
        <v>9022</v>
      </c>
      <c r="C633" s="739" t="s">
        <v>1690</v>
      </c>
      <c r="D633" s="741">
        <f t="shared" si="18"/>
        <v>19.34</v>
      </c>
      <c r="F633" s="1406">
        <v>19.34</v>
      </c>
      <c r="G633" s="1406">
        <v>19.34</v>
      </c>
      <c r="H633" t="b">
        <f t="shared" si="19"/>
        <v>1</v>
      </c>
    </row>
    <row r="634" spans="1:8">
      <c r="A634" s="677">
        <v>39186</v>
      </c>
      <c r="B634" s="733" t="s">
        <v>9023</v>
      </c>
      <c r="C634" s="677" t="s">
        <v>1690</v>
      </c>
      <c r="D634" s="738">
        <f t="shared" si="18"/>
        <v>17.3</v>
      </c>
      <c r="F634" s="1405">
        <v>17.3</v>
      </c>
      <c r="G634" s="1405">
        <v>17.3</v>
      </c>
      <c r="H634" t="b">
        <f t="shared" si="19"/>
        <v>1</v>
      </c>
    </row>
    <row r="635" spans="1:8">
      <c r="A635" s="739">
        <v>39188</v>
      </c>
      <c r="B635" s="740" t="s">
        <v>9024</v>
      </c>
      <c r="C635" s="739" t="s">
        <v>1690</v>
      </c>
      <c r="D635" s="741">
        <f t="shared" si="18"/>
        <v>14.23</v>
      </c>
      <c r="F635" s="1406">
        <v>14.23</v>
      </c>
      <c r="G635" s="1406">
        <v>14.23</v>
      </c>
      <c r="H635" t="b">
        <f t="shared" si="19"/>
        <v>1</v>
      </c>
    </row>
    <row r="636" spans="1:8">
      <c r="A636" s="677">
        <v>39187</v>
      </c>
      <c r="B636" s="733" t="s">
        <v>9025</v>
      </c>
      <c r="C636" s="677" t="s">
        <v>1690</v>
      </c>
      <c r="D636" s="738">
        <f t="shared" si="18"/>
        <v>14.92</v>
      </c>
      <c r="F636" s="1405">
        <v>14.92</v>
      </c>
      <c r="G636" s="1405">
        <v>14.92</v>
      </c>
      <c r="H636" t="b">
        <f t="shared" si="19"/>
        <v>1</v>
      </c>
    </row>
    <row r="637" spans="1:8">
      <c r="A637" s="739">
        <v>39184</v>
      </c>
      <c r="B637" s="740" t="s">
        <v>9026</v>
      </c>
      <c r="C637" s="739" t="s">
        <v>1690</v>
      </c>
      <c r="D637" s="741">
        <f t="shared" si="18"/>
        <v>5.61</v>
      </c>
      <c r="F637" s="1406">
        <v>5.61</v>
      </c>
      <c r="G637" s="1406">
        <v>5.61</v>
      </c>
      <c r="H637" t="b">
        <f t="shared" si="19"/>
        <v>1</v>
      </c>
    </row>
    <row r="638" spans="1:8">
      <c r="A638" s="677">
        <v>39185</v>
      </c>
      <c r="B638" s="733" t="s">
        <v>9027</v>
      </c>
      <c r="C638" s="677" t="s">
        <v>1690</v>
      </c>
      <c r="D638" s="738">
        <f t="shared" si="18"/>
        <v>5.12</v>
      </c>
      <c r="F638" s="1405">
        <v>5.12</v>
      </c>
      <c r="G638" s="1405">
        <v>5.12</v>
      </c>
      <c r="H638" t="b">
        <f t="shared" si="19"/>
        <v>1</v>
      </c>
    </row>
    <row r="639" spans="1:8">
      <c r="A639" s="739">
        <v>39198</v>
      </c>
      <c r="B639" s="740" t="s">
        <v>9028</v>
      </c>
      <c r="C639" s="739" t="s">
        <v>1690</v>
      </c>
      <c r="D639" s="741">
        <f t="shared" si="18"/>
        <v>57.38</v>
      </c>
      <c r="F639" s="1406">
        <v>57.38</v>
      </c>
      <c r="G639" s="1406">
        <v>57.38</v>
      </c>
      <c r="H639" t="b">
        <f t="shared" si="19"/>
        <v>1</v>
      </c>
    </row>
    <row r="640" spans="1:8">
      <c r="A640" s="677">
        <v>39197</v>
      </c>
      <c r="B640" s="733" t="s">
        <v>9029</v>
      </c>
      <c r="C640" s="677" t="s">
        <v>1690</v>
      </c>
      <c r="D640" s="738">
        <f t="shared" si="18"/>
        <v>59.94</v>
      </c>
      <c r="F640" s="1405">
        <v>59.94</v>
      </c>
      <c r="G640" s="1405">
        <v>59.94</v>
      </c>
      <c r="H640" t="b">
        <f t="shared" si="19"/>
        <v>1</v>
      </c>
    </row>
    <row r="641" spans="1:8">
      <c r="A641" s="739">
        <v>39196</v>
      </c>
      <c r="B641" s="740" t="s">
        <v>9030</v>
      </c>
      <c r="C641" s="739" t="s">
        <v>1690</v>
      </c>
      <c r="D641" s="741">
        <f t="shared" si="18"/>
        <v>61.82</v>
      </c>
      <c r="F641" s="1406">
        <v>61.82</v>
      </c>
      <c r="G641" s="1406">
        <v>61.82</v>
      </c>
      <c r="H641" t="b">
        <f t="shared" si="19"/>
        <v>1</v>
      </c>
    </row>
    <row r="642" spans="1:8">
      <c r="A642" s="677">
        <v>39199</v>
      </c>
      <c r="B642" s="733" t="s">
        <v>9031</v>
      </c>
      <c r="C642" s="677" t="s">
        <v>1690</v>
      </c>
      <c r="D642" s="738">
        <f t="shared" si="18"/>
        <v>55.22</v>
      </c>
      <c r="F642" s="1405">
        <v>55.22</v>
      </c>
      <c r="G642" s="1405">
        <v>55.22</v>
      </c>
      <c r="H642" t="b">
        <f t="shared" si="19"/>
        <v>1</v>
      </c>
    </row>
    <row r="643" spans="1:8">
      <c r="A643" s="739">
        <v>39195</v>
      </c>
      <c r="B643" s="740" t="s">
        <v>9032</v>
      </c>
      <c r="C643" s="739" t="s">
        <v>1690</v>
      </c>
      <c r="D643" s="741">
        <f t="shared" ref="D643:D706" si="20">IF($J$2=$F$1,F643,G643)</f>
        <v>31.87</v>
      </c>
      <c r="F643" s="1406">
        <v>31.87</v>
      </c>
      <c r="G643" s="1406">
        <v>31.87</v>
      </c>
      <c r="H643" t="b">
        <f t="shared" ref="H643:H706" si="21">F643=G643</f>
        <v>1</v>
      </c>
    </row>
    <row r="644" spans="1:8">
      <c r="A644" s="677">
        <v>39194</v>
      </c>
      <c r="B644" s="733" t="s">
        <v>9033</v>
      </c>
      <c r="C644" s="677" t="s">
        <v>1690</v>
      </c>
      <c r="D644" s="738">
        <f t="shared" si="20"/>
        <v>34.11</v>
      </c>
      <c r="F644" s="1405">
        <v>34.11</v>
      </c>
      <c r="G644" s="1405">
        <v>34.11</v>
      </c>
      <c r="H644" t="b">
        <f t="shared" si="21"/>
        <v>1</v>
      </c>
    </row>
    <row r="645" spans="1:8">
      <c r="A645" s="739">
        <v>39193</v>
      </c>
      <c r="B645" s="740" t="s">
        <v>9034</v>
      </c>
      <c r="C645" s="739" t="s">
        <v>1690</v>
      </c>
      <c r="D645" s="741">
        <f t="shared" si="20"/>
        <v>37.380000000000003</v>
      </c>
      <c r="F645" s="1406">
        <v>37.380000000000003</v>
      </c>
      <c r="G645" s="1406">
        <v>37.380000000000003</v>
      </c>
      <c r="H645" t="b">
        <f t="shared" si="21"/>
        <v>1</v>
      </c>
    </row>
    <row r="646" spans="1:8">
      <c r="A646" s="677">
        <v>39192</v>
      </c>
      <c r="B646" s="733" t="s">
        <v>9035</v>
      </c>
      <c r="C646" s="677" t="s">
        <v>1690</v>
      </c>
      <c r="D646" s="738">
        <f t="shared" si="20"/>
        <v>38.89</v>
      </c>
      <c r="F646" s="1405">
        <v>38.89</v>
      </c>
      <c r="G646" s="1405">
        <v>38.89</v>
      </c>
      <c r="H646" t="b">
        <f t="shared" si="21"/>
        <v>1</v>
      </c>
    </row>
    <row r="647" spans="1:8">
      <c r="A647" s="739">
        <v>39920</v>
      </c>
      <c r="B647" s="740" t="s">
        <v>9036</v>
      </c>
      <c r="C647" s="739" t="s">
        <v>1690</v>
      </c>
      <c r="D647" s="741">
        <f t="shared" si="20"/>
        <v>4.71</v>
      </c>
      <c r="F647" s="1406">
        <v>4.71</v>
      </c>
      <c r="G647" s="1406">
        <v>4.71</v>
      </c>
      <c r="H647" t="b">
        <f t="shared" si="21"/>
        <v>1</v>
      </c>
    </row>
    <row r="648" spans="1:8">
      <c r="A648" s="677">
        <v>39201</v>
      </c>
      <c r="B648" s="733" t="s">
        <v>9037</v>
      </c>
      <c r="C648" s="677" t="s">
        <v>1690</v>
      </c>
      <c r="D648" s="738">
        <f t="shared" si="20"/>
        <v>68.599999999999994</v>
      </c>
      <c r="F648" s="1405">
        <v>68.599999999999994</v>
      </c>
      <c r="G648" s="1405">
        <v>68.599999999999994</v>
      </c>
      <c r="H648" t="b">
        <f t="shared" si="21"/>
        <v>1</v>
      </c>
    </row>
    <row r="649" spans="1:8">
      <c r="A649" s="739">
        <v>39200</v>
      </c>
      <c r="B649" s="740" t="s">
        <v>9038</v>
      </c>
      <c r="C649" s="739" t="s">
        <v>1690</v>
      </c>
      <c r="D649" s="741">
        <f t="shared" si="20"/>
        <v>69.150000000000006</v>
      </c>
      <c r="F649" s="1406">
        <v>69.150000000000006</v>
      </c>
      <c r="G649" s="1406">
        <v>69.150000000000006</v>
      </c>
      <c r="H649" t="b">
        <f t="shared" si="21"/>
        <v>1</v>
      </c>
    </row>
    <row r="650" spans="1:8">
      <c r="A650" s="677">
        <v>39203</v>
      </c>
      <c r="B650" s="733" t="s">
        <v>9039</v>
      </c>
      <c r="C650" s="677" t="s">
        <v>1690</v>
      </c>
      <c r="D650" s="738">
        <f t="shared" si="20"/>
        <v>55.84</v>
      </c>
      <c r="F650" s="1405">
        <v>55.84</v>
      </c>
      <c r="G650" s="1405">
        <v>55.84</v>
      </c>
      <c r="H650" t="b">
        <f t="shared" si="21"/>
        <v>1</v>
      </c>
    </row>
    <row r="651" spans="1:8">
      <c r="A651" s="739">
        <v>39202</v>
      </c>
      <c r="B651" s="740" t="s">
        <v>9040</v>
      </c>
      <c r="C651" s="739" t="s">
        <v>1690</v>
      </c>
      <c r="D651" s="741">
        <f t="shared" si="20"/>
        <v>65.59</v>
      </c>
      <c r="F651" s="1406">
        <v>65.59</v>
      </c>
      <c r="G651" s="1406">
        <v>65.59</v>
      </c>
      <c r="H651" t="b">
        <f t="shared" si="21"/>
        <v>1</v>
      </c>
    </row>
    <row r="652" spans="1:8">
      <c r="A652" s="677">
        <v>39205</v>
      </c>
      <c r="B652" s="733" t="s">
        <v>9041</v>
      </c>
      <c r="C652" s="677" t="s">
        <v>1690</v>
      </c>
      <c r="D652" s="738">
        <f t="shared" si="20"/>
        <v>109.43</v>
      </c>
      <c r="F652" s="1405">
        <v>109.43</v>
      </c>
      <c r="G652" s="1405">
        <v>109.43</v>
      </c>
      <c r="H652" t="b">
        <f t="shared" si="21"/>
        <v>1</v>
      </c>
    </row>
    <row r="653" spans="1:8">
      <c r="A653" s="739">
        <v>39204</v>
      </c>
      <c r="B653" s="740" t="s">
        <v>9042</v>
      </c>
      <c r="C653" s="739" t="s">
        <v>1690</v>
      </c>
      <c r="D653" s="741">
        <f t="shared" si="20"/>
        <v>112.08</v>
      </c>
      <c r="F653" s="1406">
        <v>112.08</v>
      </c>
      <c r="G653" s="1406">
        <v>112.08</v>
      </c>
      <c r="H653" t="b">
        <f t="shared" si="21"/>
        <v>1</v>
      </c>
    </row>
    <row r="654" spans="1:8">
      <c r="A654" s="677">
        <v>39206</v>
      </c>
      <c r="B654" s="733" t="s">
        <v>9043</v>
      </c>
      <c r="C654" s="677" t="s">
        <v>1690</v>
      </c>
      <c r="D654" s="738">
        <f t="shared" si="20"/>
        <v>106.33</v>
      </c>
      <c r="F654" s="1405">
        <v>106.33</v>
      </c>
      <c r="G654" s="1405">
        <v>106.33</v>
      </c>
      <c r="H654" t="b">
        <f t="shared" si="21"/>
        <v>1</v>
      </c>
    </row>
    <row r="655" spans="1:8">
      <c r="A655" s="739">
        <v>798</v>
      </c>
      <c r="B655" s="740" t="s">
        <v>9044</v>
      </c>
      <c r="C655" s="739" t="s">
        <v>1690</v>
      </c>
      <c r="D655" s="741">
        <f t="shared" si="20"/>
        <v>1.1200000000000001</v>
      </c>
      <c r="F655" s="1406">
        <v>1.1200000000000001</v>
      </c>
      <c r="G655" s="1406">
        <v>1.1200000000000001</v>
      </c>
      <c r="H655" t="b">
        <f t="shared" si="21"/>
        <v>1</v>
      </c>
    </row>
    <row r="656" spans="1:8">
      <c r="A656" s="677">
        <v>797</v>
      </c>
      <c r="B656" s="733" t="s">
        <v>9045</v>
      </c>
      <c r="C656" s="677" t="s">
        <v>1690</v>
      </c>
      <c r="D656" s="738">
        <f t="shared" si="20"/>
        <v>8.1199999999999992</v>
      </c>
      <c r="F656" s="1405">
        <v>8.1199999999999992</v>
      </c>
      <c r="G656" s="1405">
        <v>8.1199999999999992</v>
      </c>
      <c r="H656" t="b">
        <f t="shared" si="21"/>
        <v>1</v>
      </c>
    </row>
    <row r="657" spans="1:8">
      <c r="A657" s="739">
        <v>796</v>
      </c>
      <c r="B657" s="740" t="s">
        <v>9046</v>
      </c>
      <c r="C657" s="739" t="s">
        <v>1690</v>
      </c>
      <c r="D657" s="741">
        <f t="shared" si="20"/>
        <v>6.9</v>
      </c>
      <c r="F657" s="1406">
        <v>6.9</v>
      </c>
      <c r="G657" s="1406">
        <v>6.9</v>
      </c>
      <c r="H657" t="b">
        <f t="shared" si="21"/>
        <v>1</v>
      </c>
    </row>
    <row r="658" spans="1:8">
      <c r="A658" s="677">
        <v>799</v>
      </c>
      <c r="B658" s="733" t="s">
        <v>9047</v>
      </c>
      <c r="C658" s="677" t="s">
        <v>1690</v>
      </c>
      <c r="D658" s="738">
        <f t="shared" si="20"/>
        <v>3.34</v>
      </c>
      <c r="F658" s="1405">
        <v>3.34</v>
      </c>
      <c r="G658" s="1405">
        <v>3.34</v>
      </c>
      <c r="H658" t="b">
        <f t="shared" si="21"/>
        <v>1</v>
      </c>
    </row>
    <row r="659" spans="1:8">
      <c r="A659" s="739">
        <v>792</v>
      </c>
      <c r="B659" s="740" t="s">
        <v>9048</v>
      </c>
      <c r="C659" s="739" t="s">
        <v>1690</v>
      </c>
      <c r="D659" s="741">
        <f t="shared" si="20"/>
        <v>3.23</v>
      </c>
      <c r="F659" s="1406">
        <v>3.23</v>
      </c>
      <c r="G659" s="1406">
        <v>3.23</v>
      </c>
      <c r="H659" t="b">
        <f t="shared" si="21"/>
        <v>1</v>
      </c>
    </row>
    <row r="660" spans="1:8">
      <c r="A660" s="677">
        <v>38001</v>
      </c>
      <c r="B660" s="733" t="s">
        <v>9049</v>
      </c>
      <c r="C660" s="677" t="s">
        <v>1690</v>
      </c>
      <c r="D660" s="738">
        <f t="shared" si="20"/>
        <v>1.1200000000000001</v>
      </c>
      <c r="F660" s="1405">
        <v>1.1200000000000001</v>
      </c>
      <c r="G660" s="1405">
        <v>1.1200000000000001</v>
      </c>
      <c r="H660" t="b">
        <f t="shared" si="21"/>
        <v>1</v>
      </c>
    </row>
    <row r="661" spans="1:8">
      <c r="A661" s="739">
        <v>38002</v>
      </c>
      <c r="B661" s="740" t="s">
        <v>9050</v>
      </c>
      <c r="C661" s="739" t="s">
        <v>1690</v>
      </c>
      <c r="D661" s="741">
        <f t="shared" si="20"/>
        <v>3.89</v>
      </c>
      <c r="F661" s="1406">
        <v>3.89</v>
      </c>
      <c r="G661" s="1406">
        <v>3.89</v>
      </c>
      <c r="H661" t="b">
        <f t="shared" si="21"/>
        <v>1</v>
      </c>
    </row>
    <row r="662" spans="1:8">
      <c r="A662" s="677">
        <v>38003</v>
      </c>
      <c r="B662" s="733" t="s">
        <v>9051</v>
      </c>
      <c r="C662" s="677" t="s">
        <v>1690</v>
      </c>
      <c r="D662" s="738">
        <f t="shared" si="20"/>
        <v>26.59</v>
      </c>
      <c r="F662" s="1405">
        <v>26.59</v>
      </c>
      <c r="G662" s="1405">
        <v>26.59</v>
      </c>
      <c r="H662" t="b">
        <f t="shared" si="21"/>
        <v>1</v>
      </c>
    </row>
    <row r="663" spans="1:8">
      <c r="A663" s="739">
        <v>38004</v>
      </c>
      <c r="B663" s="740" t="s">
        <v>9052</v>
      </c>
      <c r="C663" s="739" t="s">
        <v>1690</v>
      </c>
      <c r="D663" s="741">
        <f t="shared" si="20"/>
        <v>30.58</v>
      </c>
      <c r="F663" s="1406">
        <v>30.58</v>
      </c>
      <c r="G663" s="1406">
        <v>30.58</v>
      </c>
      <c r="H663" t="b">
        <f t="shared" si="21"/>
        <v>1</v>
      </c>
    </row>
    <row r="664" spans="1:8">
      <c r="A664" s="677">
        <v>44263</v>
      </c>
      <c r="B664" s="733" t="s">
        <v>9053</v>
      </c>
      <c r="C664" s="677" t="s">
        <v>1690</v>
      </c>
      <c r="D664" s="738">
        <f t="shared" si="20"/>
        <v>54.9</v>
      </c>
      <c r="F664" s="1405">
        <v>54.9</v>
      </c>
      <c r="G664" s="1405">
        <v>54.9</v>
      </c>
      <c r="H664" t="b">
        <f t="shared" si="21"/>
        <v>1</v>
      </c>
    </row>
    <row r="665" spans="1:8">
      <c r="A665" s="739">
        <v>36327</v>
      </c>
      <c r="B665" s="740" t="s">
        <v>9054</v>
      </c>
      <c r="C665" s="739" t="s">
        <v>1690</v>
      </c>
      <c r="D665" s="741">
        <f t="shared" si="20"/>
        <v>3.75</v>
      </c>
      <c r="F665" s="1406">
        <v>3.75</v>
      </c>
      <c r="G665" s="1406">
        <v>3.75</v>
      </c>
      <c r="H665" t="b">
        <f t="shared" si="21"/>
        <v>1</v>
      </c>
    </row>
    <row r="666" spans="1:8">
      <c r="A666" s="677">
        <v>38992</v>
      </c>
      <c r="B666" s="733" t="s">
        <v>9055</v>
      </c>
      <c r="C666" s="677" t="s">
        <v>1690</v>
      </c>
      <c r="D666" s="738">
        <f t="shared" si="20"/>
        <v>4.5599999999999996</v>
      </c>
      <c r="F666" s="1405">
        <v>4.5599999999999996</v>
      </c>
      <c r="G666" s="1405">
        <v>4.5599999999999996</v>
      </c>
      <c r="H666" t="b">
        <f t="shared" si="21"/>
        <v>1</v>
      </c>
    </row>
    <row r="667" spans="1:8">
      <c r="A667" s="739">
        <v>38993</v>
      </c>
      <c r="B667" s="740" t="s">
        <v>9056</v>
      </c>
      <c r="C667" s="739" t="s">
        <v>1690</v>
      </c>
      <c r="D667" s="741">
        <f t="shared" si="20"/>
        <v>11.85</v>
      </c>
      <c r="F667" s="1406">
        <v>11.85</v>
      </c>
      <c r="G667" s="1406">
        <v>11.85</v>
      </c>
      <c r="H667" t="b">
        <f t="shared" si="21"/>
        <v>1</v>
      </c>
    </row>
    <row r="668" spans="1:8">
      <c r="A668" s="677">
        <v>44175</v>
      </c>
      <c r="B668" s="733" t="s">
        <v>9057</v>
      </c>
      <c r="C668" s="677" t="s">
        <v>1690</v>
      </c>
      <c r="D668" s="738">
        <f t="shared" si="20"/>
        <v>20.68</v>
      </c>
      <c r="F668" s="1405">
        <v>20.68</v>
      </c>
      <c r="G668" s="1405">
        <v>20.68</v>
      </c>
      <c r="H668" t="b">
        <f t="shared" si="21"/>
        <v>1</v>
      </c>
    </row>
    <row r="669" spans="1:8">
      <c r="A669" s="739">
        <v>44177</v>
      </c>
      <c r="B669" s="740" t="s">
        <v>9058</v>
      </c>
      <c r="C669" s="739" t="s">
        <v>1690</v>
      </c>
      <c r="D669" s="741">
        <f t="shared" si="20"/>
        <v>15.45</v>
      </c>
      <c r="F669" s="1406">
        <v>15.45</v>
      </c>
      <c r="G669" s="1406">
        <v>15.45</v>
      </c>
      <c r="H669" t="b">
        <f t="shared" si="21"/>
        <v>1</v>
      </c>
    </row>
    <row r="670" spans="1:8">
      <c r="A670" s="677">
        <v>38418</v>
      </c>
      <c r="B670" s="733" t="s">
        <v>9059</v>
      </c>
      <c r="C670" s="677" t="s">
        <v>1690</v>
      </c>
      <c r="D670" s="738">
        <f t="shared" si="20"/>
        <v>5.13</v>
      </c>
      <c r="F670" s="1405">
        <v>5.13</v>
      </c>
      <c r="G670" s="1405">
        <v>5.13</v>
      </c>
      <c r="H670" t="b">
        <f t="shared" si="21"/>
        <v>1</v>
      </c>
    </row>
    <row r="671" spans="1:8">
      <c r="A671" s="739">
        <v>39178</v>
      </c>
      <c r="B671" s="740" t="s">
        <v>9060</v>
      </c>
      <c r="C671" s="739" t="s">
        <v>1690</v>
      </c>
      <c r="D671" s="741">
        <f t="shared" si="20"/>
        <v>1.89</v>
      </c>
      <c r="F671" s="1406">
        <v>1.89</v>
      </c>
      <c r="G671" s="1406">
        <v>1.89</v>
      </c>
      <c r="H671" t="b">
        <f t="shared" si="21"/>
        <v>1</v>
      </c>
    </row>
    <row r="672" spans="1:8">
      <c r="A672" s="677">
        <v>39177</v>
      </c>
      <c r="B672" s="733" t="s">
        <v>9061</v>
      </c>
      <c r="C672" s="677" t="s">
        <v>1690</v>
      </c>
      <c r="D672" s="738">
        <f t="shared" si="20"/>
        <v>1.71</v>
      </c>
      <c r="F672" s="1405">
        <v>1.71</v>
      </c>
      <c r="G672" s="1405">
        <v>1.71</v>
      </c>
      <c r="H672" t="b">
        <f t="shared" si="21"/>
        <v>1</v>
      </c>
    </row>
    <row r="673" spans="1:8">
      <c r="A673" s="739">
        <v>39174</v>
      </c>
      <c r="B673" s="740" t="s">
        <v>9062</v>
      </c>
      <c r="C673" s="739" t="s">
        <v>1690</v>
      </c>
      <c r="D673" s="741">
        <f t="shared" si="20"/>
        <v>0.85</v>
      </c>
      <c r="F673" s="1406">
        <v>0.85</v>
      </c>
      <c r="G673" s="1406">
        <v>0.85</v>
      </c>
      <c r="H673" t="b">
        <f t="shared" si="21"/>
        <v>1</v>
      </c>
    </row>
    <row r="674" spans="1:8">
      <c r="A674" s="677">
        <v>39176</v>
      </c>
      <c r="B674" s="733" t="s">
        <v>9063</v>
      </c>
      <c r="C674" s="677" t="s">
        <v>1690</v>
      </c>
      <c r="D674" s="738">
        <f t="shared" si="20"/>
        <v>1.1200000000000001</v>
      </c>
      <c r="F674" s="1405">
        <v>1.1200000000000001</v>
      </c>
      <c r="G674" s="1405">
        <v>1.1200000000000001</v>
      </c>
      <c r="H674" t="b">
        <f t="shared" si="21"/>
        <v>1</v>
      </c>
    </row>
    <row r="675" spans="1:8">
      <c r="A675" s="739">
        <v>39180</v>
      </c>
      <c r="B675" s="740" t="s">
        <v>9064</v>
      </c>
      <c r="C675" s="739" t="s">
        <v>1690</v>
      </c>
      <c r="D675" s="741">
        <f t="shared" si="20"/>
        <v>5.13</v>
      </c>
      <c r="F675" s="1406">
        <v>5.13</v>
      </c>
      <c r="G675" s="1406">
        <v>5.13</v>
      </c>
      <c r="H675" t="b">
        <f t="shared" si="21"/>
        <v>1</v>
      </c>
    </row>
    <row r="676" spans="1:8">
      <c r="A676" s="677">
        <v>39179</v>
      </c>
      <c r="B676" s="733" t="s">
        <v>9065</v>
      </c>
      <c r="C676" s="677" t="s">
        <v>1690</v>
      </c>
      <c r="D676" s="738">
        <f t="shared" si="20"/>
        <v>4.54</v>
      </c>
      <c r="F676" s="1405">
        <v>4.54</v>
      </c>
      <c r="G676" s="1405">
        <v>4.54</v>
      </c>
      <c r="H676" t="b">
        <f t="shared" si="21"/>
        <v>1</v>
      </c>
    </row>
    <row r="677" spans="1:8">
      <c r="A677" s="739">
        <v>39175</v>
      </c>
      <c r="B677" s="740" t="s">
        <v>9066</v>
      </c>
      <c r="C677" s="739" t="s">
        <v>1690</v>
      </c>
      <c r="D677" s="741">
        <f t="shared" si="20"/>
        <v>1.04</v>
      </c>
      <c r="F677" s="1406">
        <v>1.04</v>
      </c>
      <c r="G677" s="1406">
        <v>1.04</v>
      </c>
      <c r="H677" t="b">
        <f t="shared" si="21"/>
        <v>1</v>
      </c>
    </row>
    <row r="678" spans="1:8">
      <c r="A678" s="677">
        <v>39217</v>
      </c>
      <c r="B678" s="733" t="s">
        <v>9067</v>
      </c>
      <c r="C678" s="677" t="s">
        <v>1690</v>
      </c>
      <c r="D678" s="738">
        <f t="shared" si="20"/>
        <v>0.8</v>
      </c>
      <c r="F678" s="1405">
        <v>0.8</v>
      </c>
      <c r="G678" s="1405">
        <v>0.8</v>
      </c>
      <c r="H678" t="b">
        <f t="shared" si="21"/>
        <v>1</v>
      </c>
    </row>
    <row r="679" spans="1:8">
      <c r="A679" s="739">
        <v>39181</v>
      </c>
      <c r="B679" s="740" t="s">
        <v>9068</v>
      </c>
      <c r="C679" s="739" t="s">
        <v>1690</v>
      </c>
      <c r="D679" s="741">
        <f t="shared" si="20"/>
        <v>6.89</v>
      </c>
      <c r="F679" s="1406">
        <v>6.89</v>
      </c>
      <c r="G679" s="1406">
        <v>6.89</v>
      </c>
      <c r="H679" t="b">
        <f t="shared" si="21"/>
        <v>1</v>
      </c>
    </row>
    <row r="680" spans="1:8">
      <c r="A680" s="677">
        <v>39182</v>
      </c>
      <c r="B680" s="733" t="s">
        <v>9069</v>
      </c>
      <c r="C680" s="677" t="s">
        <v>1690</v>
      </c>
      <c r="D680" s="738">
        <f t="shared" si="20"/>
        <v>9.68</v>
      </c>
      <c r="F680" s="1405">
        <v>9.68</v>
      </c>
      <c r="G680" s="1405">
        <v>9.68</v>
      </c>
      <c r="H680" t="b">
        <f t="shared" si="21"/>
        <v>1</v>
      </c>
    </row>
    <row r="681" spans="1:8" ht="30">
      <c r="A681" s="739">
        <v>12616</v>
      </c>
      <c r="B681" s="740" t="s">
        <v>9070</v>
      </c>
      <c r="C681" s="739" t="s">
        <v>1690</v>
      </c>
      <c r="D681" s="741">
        <f t="shared" si="20"/>
        <v>15.82</v>
      </c>
      <c r="F681" s="1406">
        <v>15.82</v>
      </c>
      <c r="G681" s="1406">
        <v>15.82</v>
      </c>
      <c r="H681" t="b">
        <f t="shared" si="21"/>
        <v>1</v>
      </c>
    </row>
    <row r="682" spans="1:8" ht="30">
      <c r="A682" s="677">
        <v>1049</v>
      </c>
      <c r="B682" s="733" t="s">
        <v>9071</v>
      </c>
      <c r="C682" s="677" t="s">
        <v>1690</v>
      </c>
      <c r="D682" s="738">
        <f t="shared" si="20"/>
        <v>8.1</v>
      </c>
      <c r="F682" s="1405">
        <v>8.1</v>
      </c>
      <c r="G682" s="1405">
        <v>8.1</v>
      </c>
      <c r="H682" t="b">
        <f t="shared" si="21"/>
        <v>1</v>
      </c>
    </row>
    <row r="683" spans="1:8" ht="30">
      <c r="A683" s="739">
        <v>1099</v>
      </c>
      <c r="B683" s="740" t="s">
        <v>9072</v>
      </c>
      <c r="C683" s="739" t="s">
        <v>1690</v>
      </c>
      <c r="D683" s="741">
        <f t="shared" si="20"/>
        <v>6.2</v>
      </c>
      <c r="F683" s="1406">
        <v>6.2</v>
      </c>
      <c r="G683" s="1406">
        <v>6.2</v>
      </c>
      <c r="H683" t="b">
        <f t="shared" si="21"/>
        <v>1</v>
      </c>
    </row>
    <row r="684" spans="1:8" ht="30">
      <c r="A684" s="677">
        <v>39678</v>
      </c>
      <c r="B684" s="733" t="s">
        <v>9073</v>
      </c>
      <c r="C684" s="677" t="s">
        <v>1690</v>
      </c>
      <c r="D684" s="738">
        <f t="shared" si="20"/>
        <v>2.5</v>
      </c>
      <c r="F684" s="1405">
        <v>2.5</v>
      </c>
      <c r="G684" s="1405">
        <v>2.5</v>
      </c>
      <c r="H684" t="b">
        <f t="shared" si="21"/>
        <v>1</v>
      </c>
    </row>
    <row r="685" spans="1:8" ht="30">
      <c r="A685" s="739">
        <v>1050</v>
      </c>
      <c r="B685" s="740" t="s">
        <v>9074</v>
      </c>
      <c r="C685" s="739" t="s">
        <v>1690</v>
      </c>
      <c r="D685" s="741">
        <f t="shared" si="20"/>
        <v>4.24</v>
      </c>
      <c r="F685" s="1406">
        <v>4.24</v>
      </c>
      <c r="G685" s="1406">
        <v>4.24</v>
      </c>
      <c r="H685" t="b">
        <f t="shared" si="21"/>
        <v>1</v>
      </c>
    </row>
    <row r="686" spans="1:8" ht="30">
      <c r="A686" s="677">
        <v>1101</v>
      </c>
      <c r="B686" s="733" t="s">
        <v>9075</v>
      </c>
      <c r="C686" s="677" t="s">
        <v>1690</v>
      </c>
      <c r="D686" s="738">
        <f t="shared" si="20"/>
        <v>26.74</v>
      </c>
      <c r="F686" s="1405">
        <v>26.74</v>
      </c>
      <c r="G686" s="1405">
        <v>26.74</v>
      </c>
      <c r="H686" t="b">
        <f t="shared" si="21"/>
        <v>1</v>
      </c>
    </row>
    <row r="687" spans="1:8" ht="30">
      <c r="A687" s="739">
        <v>1100</v>
      </c>
      <c r="B687" s="740" t="s">
        <v>9076</v>
      </c>
      <c r="C687" s="739" t="s">
        <v>1690</v>
      </c>
      <c r="D687" s="741">
        <f t="shared" si="20"/>
        <v>13.8</v>
      </c>
      <c r="F687" s="1406">
        <v>13.8</v>
      </c>
      <c r="G687" s="1406">
        <v>13.8</v>
      </c>
      <c r="H687" t="b">
        <f t="shared" si="21"/>
        <v>1</v>
      </c>
    </row>
    <row r="688" spans="1:8" ht="30">
      <c r="A688" s="677">
        <v>39679</v>
      </c>
      <c r="B688" s="733" t="s">
        <v>9077</v>
      </c>
      <c r="C688" s="677" t="s">
        <v>1690</v>
      </c>
      <c r="D688" s="738">
        <f t="shared" si="20"/>
        <v>53.3</v>
      </c>
      <c r="F688" s="1405">
        <v>53.3</v>
      </c>
      <c r="G688" s="1405">
        <v>53.3</v>
      </c>
      <c r="H688" t="b">
        <f t="shared" si="21"/>
        <v>1</v>
      </c>
    </row>
    <row r="689" spans="1:8" ht="30">
      <c r="A689" s="739">
        <v>1098</v>
      </c>
      <c r="B689" s="740" t="s">
        <v>9078</v>
      </c>
      <c r="C689" s="739" t="s">
        <v>1690</v>
      </c>
      <c r="D689" s="741">
        <f t="shared" si="20"/>
        <v>3.31</v>
      </c>
      <c r="F689" s="1406">
        <v>3.31</v>
      </c>
      <c r="G689" s="1406">
        <v>3.31</v>
      </c>
      <c r="H689" t="b">
        <f t="shared" si="21"/>
        <v>1</v>
      </c>
    </row>
    <row r="690" spans="1:8" ht="30">
      <c r="A690" s="677">
        <v>1102</v>
      </c>
      <c r="B690" s="733" t="s">
        <v>9079</v>
      </c>
      <c r="C690" s="677" t="s">
        <v>1690</v>
      </c>
      <c r="D690" s="738">
        <f t="shared" si="20"/>
        <v>39.880000000000003</v>
      </c>
      <c r="F690" s="1405">
        <v>39.880000000000003</v>
      </c>
      <c r="G690" s="1405">
        <v>39.880000000000003</v>
      </c>
      <c r="H690" t="b">
        <f t="shared" si="21"/>
        <v>1</v>
      </c>
    </row>
    <row r="691" spans="1:8" ht="30">
      <c r="A691" s="739">
        <v>1051</v>
      </c>
      <c r="B691" s="740" t="s">
        <v>9080</v>
      </c>
      <c r="C691" s="739" t="s">
        <v>1690</v>
      </c>
      <c r="D691" s="741">
        <f t="shared" si="20"/>
        <v>57.96</v>
      </c>
      <c r="F691" s="1406">
        <v>57.96</v>
      </c>
      <c r="G691" s="1406">
        <v>57.96</v>
      </c>
      <c r="H691" t="b">
        <f t="shared" si="21"/>
        <v>1</v>
      </c>
    </row>
    <row r="692" spans="1:8">
      <c r="A692" s="677">
        <v>37399</v>
      </c>
      <c r="B692" s="733" t="s">
        <v>9081</v>
      </c>
      <c r="C692" s="677" t="s">
        <v>1690</v>
      </c>
      <c r="D692" s="738">
        <f t="shared" si="20"/>
        <v>20.37</v>
      </c>
      <c r="F692" s="1405">
        <v>20.37</v>
      </c>
      <c r="G692" s="1405">
        <v>20.37</v>
      </c>
      <c r="H692" t="b">
        <f t="shared" si="21"/>
        <v>1</v>
      </c>
    </row>
    <row r="693" spans="1:8">
      <c r="A693" s="739">
        <v>43834</v>
      </c>
      <c r="B693" s="740" t="s">
        <v>9082</v>
      </c>
      <c r="C693" s="739" t="s">
        <v>1693</v>
      </c>
      <c r="D693" s="741">
        <f t="shared" si="20"/>
        <v>19.059999999999999</v>
      </c>
      <c r="F693" s="1406">
        <v>19.059999999999999</v>
      </c>
      <c r="G693" s="1406">
        <v>19.059999999999999</v>
      </c>
      <c r="H693" t="b">
        <f t="shared" si="21"/>
        <v>1</v>
      </c>
    </row>
    <row r="694" spans="1:8">
      <c r="A694" s="677">
        <v>43835</v>
      </c>
      <c r="B694" s="733" t="s">
        <v>9083</v>
      </c>
      <c r="C694" s="677" t="s">
        <v>1693</v>
      </c>
      <c r="D694" s="738">
        <f t="shared" si="20"/>
        <v>1.71</v>
      </c>
      <c r="F694" s="1405">
        <v>1.71</v>
      </c>
      <c r="G694" s="1405">
        <v>1.71</v>
      </c>
      <c r="H694" t="b">
        <f t="shared" si="21"/>
        <v>1</v>
      </c>
    </row>
    <row r="695" spans="1:8">
      <c r="A695" s="739">
        <v>43833</v>
      </c>
      <c r="B695" s="740" t="s">
        <v>9084</v>
      </c>
      <c r="C695" s="739" t="s">
        <v>1693</v>
      </c>
      <c r="D695" s="741">
        <f t="shared" si="20"/>
        <v>1.77</v>
      </c>
      <c r="F695" s="1406">
        <v>1.77</v>
      </c>
      <c r="G695" s="1406">
        <v>1.77</v>
      </c>
      <c r="H695" t="b">
        <f t="shared" si="21"/>
        <v>1</v>
      </c>
    </row>
    <row r="696" spans="1:8">
      <c r="A696" s="677">
        <v>41955</v>
      </c>
      <c r="B696" s="733" t="s">
        <v>9085</v>
      </c>
      <c r="C696" s="677" t="s">
        <v>1694</v>
      </c>
      <c r="D696" s="738">
        <f t="shared" si="20"/>
        <v>85.34</v>
      </c>
      <c r="F696" s="1405">
        <v>85.34</v>
      </c>
      <c r="G696" s="1405">
        <v>85.34</v>
      </c>
      <c r="H696" t="b">
        <f t="shared" si="21"/>
        <v>1</v>
      </c>
    </row>
    <row r="697" spans="1:8">
      <c r="A697" s="739">
        <v>41953</v>
      </c>
      <c r="B697" s="740" t="s">
        <v>9086</v>
      </c>
      <c r="C697" s="739" t="s">
        <v>1694</v>
      </c>
      <c r="D697" s="741">
        <f t="shared" si="20"/>
        <v>81.44</v>
      </c>
      <c r="F697" s="1406">
        <v>81.44</v>
      </c>
      <c r="G697" s="1406">
        <v>81.44</v>
      </c>
      <c r="H697" t="b">
        <f t="shared" si="21"/>
        <v>1</v>
      </c>
    </row>
    <row r="698" spans="1:8">
      <c r="A698" s="677">
        <v>41954</v>
      </c>
      <c r="B698" s="733" t="s">
        <v>9087</v>
      </c>
      <c r="C698" s="677" t="s">
        <v>1694</v>
      </c>
      <c r="D698" s="738">
        <f t="shared" si="20"/>
        <v>80.67</v>
      </c>
      <c r="F698" s="1405">
        <v>80.67</v>
      </c>
      <c r="G698" s="1405">
        <v>80.67</v>
      </c>
      <c r="H698" t="b">
        <f t="shared" si="21"/>
        <v>1</v>
      </c>
    </row>
    <row r="699" spans="1:8">
      <c r="A699" s="739">
        <v>25004</v>
      </c>
      <c r="B699" s="740" t="s">
        <v>9088</v>
      </c>
      <c r="C699" s="739" t="s">
        <v>1694</v>
      </c>
      <c r="D699" s="741">
        <f t="shared" si="20"/>
        <v>45.3</v>
      </c>
      <c r="F699" s="1406">
        <v>45.3</v>
      </c>
      <c r="G699" s="1406">
        <v>45.3</v>
      </c>
      <c r="H699" t="b">
        <f t="shared" si="21"/>
        <v>1</v>
      </c>
    </row>
    <row r="700" spans="1:8">
      <c r="A700" s="677">
        <v>25002</v>
      </c>
      <c r="B700" s="733" t="s">
        <v>9089</v>
      </c>
      <c r="C700" s="677" t="s">
        <v>1694</v>
      </c>
      <c r="D700" s="738">
        <f t="shared" si="20"/>
        <v>45.3</v>
      </c>
      <c r="F700" s="1405">
        <v>45.3</v>
      </c>
      <c r="G700" s="1405">
        <v>45.3</v>
      </c>
      <c r="H700" t="b">
        <f t="shared" si="21"/>
        <v>1</v>
      </c>
    </row>
    <row r="701" spans="1:8">
      <c r="A701" s="739">
        <v>37409</v>
      </c>
      <c r="B701" s="740" t="s">
        <v>9090</v>
      </c>
      <c r="C701" s="739" t="s">
        <v>1694</v>
      </c>
      <c r="D701" s="741">
        <f t="shared" si="20"/>
        <v>45.3</v>
      </c>
      <c r="F701" s="1406">
        <v>45.3</v>
      </c>
      <c r="G701" s="1406">
        <v>45.3</v>
      </c>
      <c r="H701" t="b">
        <f t="shared" si="21"/>
        <v>1</v>
      </c>
    </row>
    <row r="702" spans="1:8">
      <c r="A702" s="677">
        <v>841</v>
      </c>
      <c r="B702" s="733" t="s">
        <v>9091</v>
      </c>
      <c r="C702" s="677" t="s">
        <v>1694</v>
      </c>
      <c r="D702" s="738">
        <f t="shared" si="20"/>
        <v>45.85</v>
      </c>
      <c r="F702" s="1405">
        <v>45.85</v>
      </c>
      <c r="G702" s="1405">
        <v>45.85</v>
      </c>
      <c r="H702" t="b">
        <f t="shared" si="21"/>
        <v>1</v>
      </c>
    </row>
    <row r="703" spans="1:8">
      <c r="A703" s="739">
        <v>25005</v>
      </c>
      <c r="B703" s="740" t="s">
        <v>9092</v>
      </c>
      <c r="C703" s="739" t="s">
        <v>1694</v>
      </c>
      <c r="D703" s="741">
        <f t="shared" si="20"/>
        <v>49.71</v>
      </c>
      <c r="F703" s="1406">
        <v>49.71</v>
      </c>
      <c r="G703" s="1406">
        <v>49.71</v>
      </c>
      <c r="H703" t="b">
        <f t="shared" si="21"/>
        <v>1</v>
      </c>
    </row>
    <row r="704" spans="1:8">
      <c r="A704" s="677">
        <v>25003</v>
      </c>
      <c r="B704" s="733" t="s">
        <v>9093</v>
      </c>
      <c r="C704" s="677" t="s">
        <v>1694</v>
      </c>
      <c r="D704" s="738">
        <f t="shared" si="20"/>
        <v>50.45</v>
      </c>
      <c r="F704" s="1405">
        <v>50.45</v>
      </c>
      <c r="G704" s="1405">
        <v>50.45</v>
      </c>
      <c r="H704" t="b">
        <f t="shared" si="21"/>
        <v>1</v>
      </c>
    </row>
    <row r="705" spans="1:8">
      <c r="A705" s="739">
        <v>37410</v>
      </c>
      <c r="B705" s="740" t="s">
        <v>9094</v>
      </c>
      <c r="C705" s="739" t="s">
        <v>1694</v>
      </c>
      <c r="D705" s="741">
        <f t="shared" si="20"/>
        <v>49.71</v>
      </c>
      <c r="F705" s="1406">
        <v>49.71</v>
      </c>
      <c r="G705" s="1406">
        <v>49.71</v>
      </c>
      <c r="H705" t="b">
        <f t="shared" si="21"/>
        <v>1</v>
      </c>
    </row>
    <row r="706" spans="1:8">
      <c r="A706" s="677">
        <v>842</v>
      </c>
      <c r="B706" s="733" t="s">
        <v>9095</v>
      </c>
      <c r="C706" s="677" t="s">
        <v>1694</v>
      </c>
      <c r="D706" s="738">
        <f t="shared" si="20"/>
        <v>50.41</v>
      </c>
      <c r="F706" s="1405">
        <v>50.41</v>
      </c>
      <c r="G706" s="1405">
        <v>50.41</v>
      </c>
      <c r="H706" t="b">
        <f t="shared" si="21"/>
        <v>1</v>
      </c>
    </row>
    <row r="707" spans="1:8">
      <c r="A707" s="739">
        <v>44391</v>
      </c>
      <c r="B707" s="740" t="s">
        <v>9096</v>
      </c>
      <c r="C707" s="739" t="s">
        <v>1693</v>
      </c>
      <c r="D707" s="741">
        <f t="shared" ref="D707:D770" si="22">IF($J$2=$F$1,F707,G707)</f>
        <v>107.42</v>
      </c>
      <c r="F707" s="1406">
        <v>107.42</v>
      </c>
      <c r="G707" s="1406">
        <v>107.42</v>
      </c>
      <c r="H707" t="b">
        <f t="shared" ref="H707:H770" si="23">F707=G707</f>
        <v>1</v>
      </c>
    </row>
    <row r="708" spans="1:8">
      <c r="A708" s="677">
        <v>44388</v>
      </c>
      <c r="B708" s="733" t="s">
        <v>9097</v>
      </c>
      <c r="C708" s="677" t="s">
        <v>1693</v>
      </c>
      <c r="D708" s="738">
        <f t="shared" si="22"/>
        <v>2.3199999999999998</v>
      </c>
      <c r="F708" s="1405">
        <v>2.3199999999999998</v>
      </c>
      <c r="G708" s="1405">
        <v>2.3199999999999998</v>
      </c>
      <c r="H708" t="b">
        <f t="shared" si="23"/>
        <v>1</v>
      </c>
    </row>
    <row r="709" spans="1:8">
      <c r="A709" s="739">
        <v>44392</v>
      </c>
      <c r="B709" s="740" t="s">
        <v>9098</v>
      </c>
      <c r="C709" s="739" t="s">
        <v>1693</v>
      </c>
      <c r="D709" s="741">
        <f t="shared" si="22"/>
        <v>213.89</v>
      </c>
      <c r="F709" s="1406">
        <v>213.89</v>
      </c>
      <c r="G709" s="1406">
        <v>213.89</v>
      </c>
      <c r="H709" t="b">
        <f t="shared" si="23"/>
        <v>1</v>
      </c>
    </row>
    <row r="710" spans="1:8">
      <c r="A710" s="677">
        <v>44390</v>
      </c>
      <c r="B710" s="733" t="s">
        <v>9099</v>
      </c>
      <c r="C710" s="677" t="s">
        <v>1693</v>
      </c>
      <c r="D710" s="738">
        <f t="shared" si="22"/>
        <v>45.32</v>
      </c>
      <c r="F710" s="1405">
        <v>45.32</v>
      </c>
      <c r="G710" s="1405">
        <v>45.32</v>
      </c>
      <c r="H710" t="b">
        <f t="shared" si="23"/>
        <v>1</v>
      </c>
    </row>
    <row r="711" spans="1:8">
      <c r="A711" s="739">
        <v>44389</v>
      </c>
      <c r="B711" s="740" t="s">
        <v>9100</v>
      </c>
      <c r="C711" s="739" t="s">
        <v>1693</v>
      </c>
      <c r="D711" s="741">
        <f t="shared" si="22"/>
        <v>5.35</v>
      </c>
      <c r="F711" s="1406">
        <v>5.35</v>
      </c>
      <c r="G711" s="1406">
        <v>5.35</v>
      </c>
      <c r="H711" t="b">
        <f t="shared" si="23"/>
        <v>1</v>
      </c>
    </row>
    <row r="712" spans="1:8">
      <c r="A712" s="677">
        <v>862</v>
      </c>
      <c r="B712" s="733" t="s">
        <v>9101</v>
      </c>
      <c r="C712" s="677" t="s">
        <v>1693</v>
      </c>
      <c r="D712" s="738">
        <f t="shared" si="22"/>
        <v>9.8000000000000007</v>
      </c>
      <c r="F712" s="1405">
        <v>9.8000000000000007</v>
      </c>
      <c r="G712" s="1405">
        <v>9.8000000000000007</v>
      </c>
      <c r="H712" t="b">
        <f t="shared" si="23"/>
        <v>1</v>
      </c>
    </row>
    <row r="713" spans="1:8">
      <c r="A713" s="739">
        <v>866</v>
      </c>
      <c r="B713" s="740" t="s">
        <v>9102</v>
      </c>
      <c r="C713" s="739" t="s">
        <v>1693</v>
      </c>
      <c r="D713" s="741">
        <f t="shared" si="22"/>
        <v>124.55</v>
      </c>
      <c r="F713" s="1406">
        <v>124.55</v>
      </c>
      <c r="G713" s="1406">
        <v>124.55</v>
      </c>
      <c r="H713" t="b">
        <f t="shared" si="23"/>
        <v>1</v>
      </c>
    </row>
    <row r="714" spans="1:8">
      <c r="A714" s="677">
        <v>892</v>
      </c>
      <c r="B714" s="733" t="s">
        <v>9103</v>
      </c>
      <c r="C714" s="677" t="s">
        <v>1693</v>
      </c>
      <c r="D714" s="738">
        <f t="shared" si="22"/>
        <v>150.76</v>
      </c>
      <c r="F714" s="1405">
        <v>150.76</v>
      </c>
      <c r="G714" s="1405">
        <v>150.76</v>
      </c>
      <c r="H714" t="b">
        <f t="shared" si="23"/>
        <v>1</v>
      </c>
    </row>
    <row r="715" spans="1:8">
      <c r="A715" s="739">
        <v>857</v>
      </c>
      <c r="B715" s="740" t="s">
        <v>9104</v>
      </c>
      <c r="C715" s="739" t="s">
        <v>1693</v>
      </c>
      <c r="D715" s="741">
        <f t="shared" si="22"/>
        <v>16.39</v>
      </c>
      <c r="F715" s="1406">
        <v>16.39</v>
      </c>
      <c r="G715" s="1406">
        <v>16.39</v>
      </c>
      <c r="H715" t="b">
        <f t="shared" si="23"/>
        <v>1</v>
      </c>
    </row>
    <row r="716" spans="1:8">
      <c r="A716" s="677">
        <v>37404</v>
      </c>
      <c r="B716" s="733" t="s">
        <v>9105</v>
      </c>
      <c r="C716" s="677" t="s">
        <v>1693</v>
      </c>
      <c r="D716" s="738">
        <f t="shared" si="22"/>
        <v>174.43</v>
      </c>
      <c r="F716" s="1405">
        <v>174.43</v>
      </c>
      <c r="G716" s="1405">
        <v>174.43</v>
      </c>
      <c r="H716" t="b">
        <f t="shared" si="23"/>
        <v>1</v>
      </c>
    </row>
    <row r="717" spans="1:8">
      <c r="A717" s="739">
        <v>868</v>
      </c>
      <c r="B717" s="740" t="s">
        <v>9106</v>
      </c>
      <c r="C717" s="739" t="s">
        <v>1693</v>
      </c>
      <c r="D717" s="741">
        <f t="shared" si="22"/>
        <v>23.37</v>
      </c>
      <c r="F717" s="1406">
        <v>23.37</v>
      </c>
      <c r="G717" s="1406">
        <v>23.37</v>
      </c>
      <c r="H717" t="b">
        <f t="shared" si="23"/>
        <v>1</v>
      </c>
    </row>
    <row r="718" spans="1:8">
      <c r="A718" s="677">
        <v>863</v>
      </c>
      <c r="B718" s="733" t="s">
        <v>9107</v>
      </c>
      <c r="C718" s="677" t="s">
        <v>1693</v>
      </c>
      <c r="D718" s="738">
        <f t="shared" si="22"/>
        <v>34.42</v>
      </c>
      <c r="F718" s="1405">
        <v>34.42</v>
      </c>
      <c r="G718" s="1405">
        <v>34.42</v>
      </c>
      <c r="H718" t="b">
        <f t="shared" si="23"/>
        <v>1</v>
      </c>
    </row>
    <row r="719" spans="1:8">
      <c r="A719" s="739">
        <v>867</v>
      </c>
      <c r="B719" s="740" t="s">
        <v>9108</v>
      </c>
      <c r="C719" s="739" t="s">
        <v>1693</v>
      </c>
      <c r="D719" s="741">
        <f t="shared" si="22"/>
        <v>49.03</v>
      </c>
      <c r="F719" s="1406">
        <v>49.03</v>
      </c>
      <c r="G719" s="1406">
        <v>49.03</v>
      </c>
      <c r="H719" t="b">
        <f t="shared" si="23"/>
        <v>1</v>
      </c>
    </row>
    <row r="720" spans="1:8">
      <c r="A720" s="677">
        <v>864</v>
      </c>
      <c r="B720" s="733" t="s">
        <v>9109</v>
      </c>
      <c r="C720" s="677" t="s">
        <v>1693</v>
      </c>
      <c r="D720" s="738">
        <f t="shared" si="22"/>
        <v>64.760000000000005</v>
      </c>
      <c r="F720" s="1405">
        <v>64.760000000000005</v>
      </c>
      <c r="G720" s="1405">
        <v>64.760000000000005</v>
      </c>
      <c r="H720" t="b">
        <f t="shared" si="23"/>
        <v>1</v>
      </c>
    </row>
    <row r="721" spans="1:8">
      <c r="A721" s="739">
        <v>865</v>
      </c>
      <c r="B721" s="740" t="s">
        <v>9110</v>
      </c>
      <c r="C721" s="739" t="s">
        <v>1693</v>
      </c>
      <c r="D721" s="741">
        <f t="shared" si="22"/>
        <v>93.15</v>
      </c>
      <c r="F721" s="1406">
        <v>93.15</v>
      </c>
      <c r="G721" s="1406">
        <v>93.15</v>
      </c>
      <c r="H721" t="b">
        <f t="shared" si="23"/>
        <v>1</v>
      </c>
    </row>
    <row r="722" spans="1:8" ht="30">
      <c r="A722" s="677">
        <v>993</v>
      </c>
      <c r="B722" s="733" t="s">
        <v>9111</v>
      </c>
      <c r="C722" s="677" t="s">
        <v>1693</v>
      </c>
      <c r="D722" s="738">
        <f t="shared" si="22"/>
        <v>1.77</v>
      </c>
      <c r="F722" s="1405">
        <v>1.77</v>
      </c>
      <c r="G722" s="1405">
        <v>1.77</v>
      </c>
      <c r="H722" t="b">
        <f t="shared" si="23"/>
        <v>1</v>
      </c>
    </row>
    <row r="723" spans="1:8" ht="30">
      <c r="A723" s="739">
        <v>1020</v>
      </c>
      <c r="B723" s="740" t="s">
        <v>9112</v>
      </c>
      <c r="C723" s="739" t="s">
        <v>1693</v>
      </c>
      <c r="D723" s="741">
        <f t="shared" si="22"/>
        <v>9.0399999999999991</v>
      </c>
      <c r="F723" s="1406">
        <v>9.0399999999999991</v>
      </c>
      <c r="G723" s="1406">
        <v>9.0399999999999991</v>
      </c>
      <c r="H723" t="b">
        <f t="shared" si="23"/>
        <v>1</v>
      </c>
    </row>
    <row r="724" spans="1:8" ht="30">
      <c r="A724" s="677">
        <v>1017</v>
      </c>
      <c r="B724" s="733" t="s">
        <v>9113</v>
      </c>
      <c r="C724" s="677" t="s">
        <v>1693</v>
      </c>
      <c r="D724" s="738">
        <f t="shared" si="22"/>
        <v>110.76</v>
      </c>
      <c r="F724" s="1405">
        <v>110.76</v>
      </c>
      <c r="G724" s="1405">
        <v>110.76</v>
      </c>
      <c r="H724" t="b">
        <f t="shared" si="23"/>
        <v>1</v>
      </c>
    </row>
    <row r="725" spans="1:8" ht="30">
      <c r="A725" s="739">
        <v>999</v>
      </c>
      <c r="B725" s="740" t="s">
        <v>9114</v>
      </c>
      <c r="C725" s="739" t="s">
        <v>1693</v>
      </c>
      <c r="D725" s="741">
        <f t="shared" si="22"/>
        <v>134.18</v>
      </c>
      <c r="F725" s="1406">
        <v>134.18</v>
      </c>
      <c r="G725" s="1406">
        <v>134.18</v>
      </c>
      <c r="H725" t="b">
        <f t="shared" si="23"/>
        <v>1</v>
      </c>
    </row>
    <row r="726" spans="1:8" ht="30">
      <c r="A726" s="677">
        <v>995</v>
      </c>
      <c r="B726" s="733" t="s">
        <v>9115</v>
      </c>
      <c r="C726" s="677" t="s">
        <v>1693</v>
      </c>
      <c r="D726" s="738">
        <f t="shared" si="22"/>
        <v>14.39</v>
      </c>
      <c r="F726" s="1405">
        <v>14.39</v>
      </c>
      <c r="G726" s="1405">
        <v>14.39</v>
      </c>
      <c r="H726" t="b">
        <f t="shared" si="23"/>
        <v>1</v>
      </c>
    </row>
    <row r="727" spans="1:8" ht="30">
      <c r="A727" s="739">
        <v>1000</v>
      </c>
      <c r="B727" s="740" t="s">
        <v>9116</v>
      </c>
      <c r="C727" s="739" t="s">
        <v>1693</v>
      </c>
      <c r="D727" s="741">
        <f t="shared" si="22"/>
        <v>164.82</v>
      </c>
      <c r="F727" s="1406">
        <v>164.82</v>
      </c>
      <c r="G727" s="1406">
        <v>164.82</v>
      </c>
      <c r="H727" t="b">
        <f t="shared" si="23"/>
        <v>1</v>
      </c>
    </row>
    <row r="728" spans="1:8" ht="30">
      <c r="A728" s="677">
        <v>1022</v>
      </c>
      <c r="B728" s="733" t="s">
        <v>9117</v>
      </c>
      <c r="C728" s="677" t="s">
        <v>1693</v>
      </c>
      <c r="D728" s="738">
        <f t="shared" si="22"/>
        <v>2.4700000000000002</v>
      </c>
      <c r="F728" s="1405">
        <v>2.4700000000000002</v>
      </c>
      <c r="G728" s="1405">
        <v>2.4700000000000002</v>
      </c>
      <c r="H728" t="b">
        <f t="shared" si="23"/>
        <v>1</v>
      </c>
    </row>
    <row r="729" spans="1:8" ht="30">
      <c r="A729" s="739">
        <v>1015</v>
      </c>
      <c r="B729" s="740" t="s">
        <v>9118</v>
      </c>
      <c r="C729" s="739" t="s">
        <v>1693</v>
      </c>
      <c r="D729" s="741">
        <f t="shared" si="22"/>
        <v>219.02</v>
      </c>
      <c r="F729" s="1406">
        <v>219.02</v>
      </c>
      <c r="G729" s="1406">
        <v>219.02</v>
      </c>
      <c r="H729" t="b">
        <f t="shared" si="23"/>
        <v>1</v>
      </c>
    </row>
    <row r="730" spans="1:8" ht="30">
      <c r="A730" s="677">
        <v>996</v>
      </c>
      <c r="B730" s="733" t="s">
        <v>9119</v>
      </c>
      <c r="C730" s="677" t="s">
        <v>1693</v>
      </c>
      <c r="D730" s="738">
        <f t="shared" si="22"/>
        <v>22.31</v>
      </c>
      <c r="F730" s="1405">
        <v>22.31</v>
      </c>
      <c r="G730" s="1405">
        <v>22.31</v>
      </c>
      <c r="H730" t="b">
        <f t="shared" si="23"/>
        <v>1</v>
      </c>
    </row>
    <row r="731" spans="1:8" ht="30">
      <c r="A731" s="739">
        <v>1001</v>
      </c>
      <c r="B731" s="740" t="s">
        <v>9120</v>
      </c>
      <c r="C731" s="739" t="s">
        <v>1693</v>
      </c>
      <c r="D731" s="741">
        <f t="shared" si="22"/>
        <v>284.17</v>
      </c>
      <c r="F731" s="1406">
        <v>284.17</v>
      </c>
      <c r="G731" s="1406">
        <v>284.17</v>
      </c>
      <c r="H731" t="b">
        <f t="shared" si="23"/>
        <v>1</v>
      </c>
    </row>
    <row r="732" spans="1:8" ht="30">
      <c r="A732" s="677">
        <v>1019</v>
      </c>
      <c r="B732" s="733" t="s">
        <v>9121</v>
      </c>
      <c r="C732" s="677" t="s">
        <v>1693</v>
      </c>
      <c r="D732" s="738">
        <f t="shared" si="22"/>
        <v>31.53</v>
      </c>
      <c r="F732" s="1405">
        <v>31.53</v>
      </c>
      <c r="G732" s="1405">
        <v>31.53</v>
      </c>
      <c r="H732" t="b">
        <f t="shared" si="23"/>
        <v>1</v>
      </c>
    </row>
    <row r="733" spans="1:8" ht="30">
      <c r="A733" s="739">
        <v>1021</v>
      </c>
      <c r="B733" s="740" t="s">
        <v>9122</v>
      </c>
      <c r="C733" s="739" t="s">
        <v>1693</v>
      </c>
      <c r="D733" s="741">
        <f t="shared" si="22"/>
        <v>3.79</v>
      </c>
      <c r="F733" s="1406">
        <v>3.79</v>
      </c>
      <c r="G733" s="1406">
        <v>3.79</v>
      </c>
      <c r="H733" t="b">
        <f t="shared" si="23"/>
        <v>1</v>
      </c>
    </row>
    <row r="734" spans="1:8" ht="30">
      <c r="A734" s="677">
        <v>39249</v>
      </c>
      <c r="B734" s="733" t="s">
        <v>9123</v>
      </c>
      <c r="C734" s="677" t="s">
        <v>1693</v>
      </c>
      <c r="D734" s="738">
        <f t="shared" si="22"/>
        <v>382.09</v>
      </c>
      <c r="F734" s="1405">
        <v>382.09</v>
      </c>
      <c r="G734" s="1405">
        <v>382.09</v>
      </c>
      <c r="H734" t="b">
        <f t="shared" si="23"/>
        <v>1</v>
      </c>
    </row>
    <row r="735" spans="1:8" ht="30">
      <c r="A735" s="739">
        <v>1018</v>
      </c>
      <c r="B735" s="740" t="s">
        <v>9124</v>
      </c>
      <c r="C735" s="739" t="s">
        <v>1693</v>
      </c>
      <c r="D735" s="741">
        <f t="shared" si="22"/>
        <v>46.63</v>
      </c>
      <c r="F735" s="1406">
        <v>46.63</v>
      </c>
      <c r="G735" s="1406">
        <v>46.63</v>
      </c>
      <c r="H735" t="b">
        <f t="shared" si="23"/>
        <v>1</v>
      </c>
    </row>
    <row r="736" spans="1:8" ht="30">
      <c r="A736" s="677">
        <v>39250</v>
      </c>
      <c r="B736" s="733" t="s">
        <v>9125</v>
      </c>
      <c r="C736" s="677" t="s">
        <v>1693</v>
      </c>
      <c r="D736" s="738">
        <f t="shared" si="22"/>
        <v>457.07</v>
      </c>
      <c r="F736" s="1405">
        <v>457.07</v>
      </c>
      <c r="G736" s="1405">
        <v>457.07</v>
      </c>
      <c r="H736" t="b">
        <f t="shared" si="23"/>
        <v>1</v>
      </c>
    </row>
    <row r="737" spans="1:8" ht="30">
      <c r="A737" s="739">
        <v>994</v>
      </c>
      <c r="B737" s="740" t="s">
        <v>9126</v>
      </c>
      <c r="C737" s="739" t="s">
        <v>1693</v>
      </c>
      <c r="D737" s="741">
        <f t="shared" si="22"/>
        <v>5.51</v>
      </c>
      <c r="F737" s="1406">
        <v>5.51</v>
      </c>
      <c r="G737" s="1406">
        <v>5.51</v>
      </c>
      <c r="H737" t="b">
        <f t="shared" si="23"/>
        <v>1</v>
      </c>
    </row>
    <row r="738" spans="1:8" ht="30">
      <c r="A738" s="677">
        <v>977</v>
      </c>
      <c r="B738" s="733" t="s">
        <v>9127</v>
      </c>
      <c r="C738" s="677" t="s">
        <v>1693</v>
      </c>
      <c r="D738" s="738">
        <f t="shared" si="22"/>
        <v>65.23</v>
      </c>
      <c r="F738" s="1405">
        <v>65.23</v>
      </c>
      <c r="G738" s="1405">
        <v>65.23</v>
      </c>
      <c r="H738" t="b">
        <f t="shared" si="23"/>
        <v>1</v>
      </c>
    </row>
    <row r="739" spans="1:8" ht="30">
      <c r="A739" s="739">
        <v>998</v>
      </c>
      <c r="B739" s="740" t="s">
        <v>9128</v>
      </c>
      <c r="C739" s="739" t="s">
        <v>1693</v>
      </c>
      <c r="D739" s="741">
        <f t="shared" si="22"/>
        <v>84.69</v>
      </c>
      <c r="F739" s="1406">
        <v>84.69</v>
      </c>
      <c r="G739" s="1406">
        <v>84.69</v>
      </c>
      <c r="H739" t="b">
        <f t="shared" si="23"/>
        <v>1</v>
      </c>
    </row>
    <row r="740" spans="1:8" ht="30">
      <c r="A740" s="677">
        <v>39251</v>
      </c>
      <c r="B740" s="733" t="s">
        <v>9129</v>
      </c>
      <c r="C740" s="677" t="s">
        <v>1693</v>
      </c>
      <c r="D740" s="738">
        <f t="shared" si="22"/>
        <v>0.61</v>
      </c>
      <c r="F740" s="1405">
        <v>0.61</v>
      </c>
      <c r="G740" s="1405">
        <v>0.61</v>
      </c>
      <c r="H740" t="b">
        <f t="shared" si="23"/>
        <v>1</v>
      </c>
    </row>
    <row r="741" spans="1:8" ht="30">
      <c r="A741" s="739">
        <v>1011</v>
      </c>
      <c r="B741" s="740" t="s">
        <v>9130</v>
      </c>
      <c r="C741" s="739" t="s">
        <v>1693</v>
      </c>
      <c r="D741" s="741">
        <f t="shared" si="22"/>
        <v>0.83</v>
      </c>
      <c r="F741" s="1406">
        <v>0.83</v>
      </c>
      <c r="G741" s="1406">
        <v>0.83</v>
      </c>
      <c r="H741" t="b">
        <f t="shared" si="23"/>
        <v>1</v>
      </c>
    </row>
    <row r="742" spans="1:8" ht="30">
      <c r="A742" s="677">
        <v>39252</v>
      </c>
      <c r="B742" s="733" t="s">
        <v>9131</v>
      </c>
      <c r="C742" s="677" t="s">
        <v>1693</v>
      </c>
      <c r="D742" s="738">
        <f t="shared" si="22"/>
        <v>1.0900000000000001</v>
      </c>
      <c r="F742" s="1405">
        <v>1.0900000000000001</v>
      </c>
      <c r="G742" s="1405">
        <v>1.0900000000000001</v>
      </c>
      <c r="H742" t="b">
        <f t="shared" si="23"/>
        <v>1</v>
      </c>
    </row>
    <row r="743" spans="1:8" ht="30">
      <c r="A743" s="739">
        <v>1013</v>
      </c>
      <c r="B743" s="740" t="s">
        <v>9132</v>
      </c>
      <c r="C743" s="739" t="s">
        <v>1693</v>
      </c>
      <c r="D743" s="741">
        <f t="shared" si="22"/>
        <v>1.31</v>
      </c>
      <c r="F743" s="1406">
        <v>1.31</v>
      </c>
      <c r="G743" s="1406">
        <v>1.31</v>
      </c>
      <c r="H743" t="b">
        <f t="shared" si="23"/>
        <v>1</v>
      </c>
    </row>
    <row r="744" spans="1:8" ht="30">
      <c r="A744" s="677">
        <v>980</v>
      </c>
      <c r="B744" s="733" t="s">
        <v>9133</v>
      </c>
      <c r="C744" s="677" t="s">
        <v>1693</v>
      </c>
      <c r="D744" s="738">
        <f t="shared" si="22"/>
        <v>9.48</v>
      </c>
      <c r="F744" s="1405">
        <v>9.48</v>
      </c>
      <c r="G744" s="1405">
        <v>9.48</v>
      </c>
      <c r="H744" t="b">
        <f t="shared" si="23"/>
        <v>1</v>
      </c>
    </row>
    <row r="745" spans="1:8" ht="30">
      <c r="A745" s="739">
        <v>39237</v>
      </c>
      <c r="B745" s="740" t="s">
        <v>9134</v>
      </c>
      <c r="C745" s="739" t="s">
        <v>1693</v>
      </c>
      <c r="D745" s="741">
        <f t="shared" si="22"/>
        <v>100.83</v>
      </c>
      <c r="F745" s="1406">
        <v>100.83</v>
      </c>
      <c r="G745" s="1406">
        <v>100.83</v>
      </c>
      <c r="H745" t="b">
        <f t="shared" si="23"/>
        <v>1</v>
      </c>
    </row>
    <row r="746" spans="1:8" ht="30">
      <c r="A746" s="677">
        <v>39238</v>
      </c>
      <c r="B746" s="733" t="s">
        <v>9135</v>
      </c>
      <c r="C746" s="677" t="s">
        <v>1693</v>
      </c>
      <c r="D746" s="738">
        <f t="shared" si="22"/>
        <v>127.17</v>
      </c>
      <c r="F746" s="1405">
        <v>127.17</v>
      </c>
      <c r="G746" s="1405">
        <v>127.17</v>
      </c>
      <c r="H746" t="b">
        <f t="shared" si="23"/>
        <v>1</v>
      </c>
    </row>
    <row r="747" spans="1:8" ht="30">
      <c r="A747" s="739">
        <v>979</v>
      </c>
      <c r="B747" s="740" t="s">
        <v>9136</v>
      </c>
      <c r="C747" s="739" t="s">
        <v>1693</v>
      </c>
      <c r="D747" s="741">
        <f t="shared" si="22"/>
        <v>13.54</v>
      </c>
      <c r="F747" s="1406">
        <v>13.54</v>
      </c>
      <c r="G747" s="1406">
        <v>13.54</v>
      </c>
      <c r="H747" t="b">
        <f t="shared" si="23"/>
        <v>1</v>
      </c>
    </row>
    <row r="748" spans="1:8" ht="30">
      <c r="A748" s="677">
        <v>39239</v>
      </c>
      <c r="B748" s="733" t="s">
        <v>9137</v>
      </c>
      <c r="C748" s="677" t="s">
        <v>1693</v>
      </c>
      <c r="D748" s="738">
        <f t="shared" si="22"/>
        <v>153.63</v>
      </c>
      <c r="F748" s="1405">
        <v>153.63</v>
      </c>
      <c r="G748" s="1405">
        <v>153.63</v>
      </c>
      <c r="H748" t="b">
        <f t="shared" si="23"/>
        <v>1</v>
      </c>
    </row>
    <row r="749" spans="1:8" ht="30">
      <c r="A749" s="739">
        <v>1014</v>
      </c>
      <c r="B749" s="740" t="s">
        <v>9138</v>
      </c>
      <c r="C749" s="739" t="s">
        <v>1693</v>
      </c>
      <c r="D749" s="741">
        <f t="shared" si="22"/>
        <v>2.08</v>
      </c>
      <c r="F749" s="1406">
        <v>2.08</v>
      </c>
      <c r="G749" s="1406">
        <v>2.08</v>
      </c>
      <c r="H749" t="b">
        <f t="shared" si="23"/>
        <v>1</v>
      </c>
    </row>
    <row r="750" spans="1:8" ht="30">
      <c r="A750" s="677">
        <v>39240</v>
      </c>
      <c r="B750" s="733" t="s">
        <v>9139</v>
      </c>
      <c r="C750" s="677" t="s">
        <v>1693</v>
      </c>
      <c r="D750" s="738">
        <f t="shared" si="22"/>
        <v>202.07</v>
      </c>
      <c r="F750" s="1405">
        <v>202.07</v>
      </c>
      <c r="G750" s="1405">
        <v>202.07</v>
      </c>
      <c r="H750" t="b">
        <f t="shared" si="23"/>
        <v>1</v>
      </c>
    </row>
    <row r="751" spans="1:8" ht="30">
      <c r="A751" s="739">
        <v>39232</v>
      </c>
      <c r="B751" s="740" t="s">
        <v>9140</v>
      </c>
      <c r="C751" s="739" t="s">
        <v>1693</v>
      </c>
      <c r="D751" s="741">
        <f t="shared" si="22"/>
        <v>21.2</v>
      </c>
      <c r="F751" s="1406">
        <v>21.2</v>
      </c>
      <c r="G751" s="1406">
        <v>21.2</v>
      </c>
      <c r="H751" t="b">
        <f t="shared" si="23"/>
        <v>1</v>
      </c>
    </row>
    <row r="752" spans="1:8" ht="30">
      <c r="A752" s="677">
        <v>39233</v>
      </c>
      <c r="B752" s="733" t="s">
        <v>9141</v>
      </c>
      <c r="C752" s="677" t="s">
        <v>1693</v>
      </c>
      <c r="D752" s="738">
        <f t="shared" si="22"/>
        <v>30.91</v>
      </c>
      <c r="F752" s="1405">
        <v>30.91</v>
      </c>
      <c r="G752" s="1405">
        <v>30.91</v>
      </c>
      <c r="H752" t="b">
        <f t="shared" si="23"/>
        <v>1</v>
      </c>
    </row>
    <row r="753" spans="1:8" ht="30">
      <c r="A753" s="739">
        <v>981</v>
      </c>
      <c r="B753" s="740" t="s">
        <v>9142</v>
      </c>
      <c r="C753" s="739" t="s">
        <v>1693</v>
      </c>
      <c r="D753" s="741">
        <f t="shared" si="22"/>
        <v>3.45</v>
      </c>
      <c r="F753" s="1406">
        <v>3.45</v>
      </c>
      <c r="G753" s="1406">
        <v>3.45</v>
      </c>
      <c r="H753" t="b">
        <f t="shared" si="23"/>
        <v>1</v>
      </c>
    </row>
    <row r="754" spans="1:8" ht="30">
      <c r="A754" s="677">
        <v>39234</v>
      </c>
      <c r="B754" s="733" t="s">
        <v>9143</v>
      </c>
      <c r="C754" s="677" t="s">
        <v>1693</v>
      </c>
      <c r="D754" s="738">
        <f t="shared" si="22"/>
        <v>43.02</v>
      </c>
      <c r="F754" s="1405">
        <v>43.02</v>
      </c>
      <c r="G754" s="1405">
        <v>43.02</v>
      </c>
      <c r="H754" t="b">
        <f t="shared" si="23"/>
        <v>1</v>
      </c>
    </row>
    <row r="755" spans="1:8" ht="30">
      <c r="A755" s="739">
        <v>982</v>
      </c>
      <c r="B755" s="740" t="s">
        <v>9144</v>
      </c>
      <c r="C755" s="739" t="s">
        <v>1693</v>
      </c>
      <c r="D755" s="741">
        <f t="shared" si="22"/>
        <v>4.96</v>
      </c>
      <c r="F755" s="1406">
        <v>4.96</v>
      </c>
      <c r="G755" s="1406">
        <v>4.96</v>
      </c>
      <c r="H755" t="b">
        <f t="shared" si="23"/>
        <v>1</v>
      </c>
    </row>
    <row r="756" spans="1:8" ht="30">
      <c r="A756" s="677">
        <v>39235</v>
      </c>
      <c r="B756" s="733" t="s">
        <v>9145</v>
      </c>
      <c r="C756" s="677" t="s">
        <v>1693</v>
      </c>
      <c r="D756" s="738">
        <f t="shared" si="22"/>
        <v>63.46</v>
      </c>
      <c r="F756" s="1405">
        <v>63.46</v>
      </c>
      <c r="G756" s="1405">
        <v>63.46</v>
      </c>
      <c r="H756" t="b">
        <f t="shared" si="23"/>
        <v>1</v>
      </c>
    </row>
    <row r="757" spans="1:8" ht="30">
      <c r="A757" s="739">
        <v>39236</v>
      </c>
      <c r="B757" s="740" t="s">
        <v>9146</v>
      </c>
      <c r="C757" s="739" t="s">
        <v>1693</v>
      </c>
      <c r="D757" s="741">
        <f t="shared" si="22"/>
        <v>84.1</v>
      </c>
      <c r="F757" s="1406">
        <v>84.1</v>
      </c>
      <c r="G757" s="1406">
        <v>84.1</v>
      </c>
      <c r="H757" t="b">
        <f t="shared" si="23"/>
        <v>1</v>
      </c>
    </row>
    <row r="758" spans="1:8">
      <c r="A758" s="677">
        <v>990</v>
      </c>
      <c r="B758" s="733" t="s">
        <v>9147</v>
      </c>
      <c r="C758" s="677" t="s">
        <v>1693</v>
      </c>
      <c r="D758" s="738">
        <f t="shared" si="22"/>
        <v>149.22</v>
      </c>
      <c r="F758" s="1405">
        <v>149.22</v>
      </c>
      <c r="G758" s="1405">
        <v>149.22</v>
      </c>
      <c r="H758" t="b">
        <f t="shared" si="23"/>
        <v>1</v>
      </c>
    </row>
    <row r="759" spans="1:8">
      <c r="A759" s="739">
        <v>39241</v>
      </c>
      <c r="B759" s="740" t="s">
        <v>9148</v>
      </c>
      <c r="C759" s="739" t="s">
        <v>1693</v>
      </c>
      <c r="D759" s="741">
        <f t="shared" si="22"/>
        <v>14.69</v>
      </c>
      <c r="F759" s="1406">
        <v>14.69</v>
      </c>
      <c r="G759" s="1406">
        <v>14.69</v>
      </c>
      <c r="H759" t="b">
        <f t="shared" si="23"/>
        <v>1</v>
      </c>
    </row>
    <row r="760" spans="1:8">
      <c r="A760" s="677">
        <v>1005</v>
      </c>
      <c r="B760" s="733" t="s">
        <v>9149</v>
      </c>
      <c r="C760" s="677" t="s">
        <v>1693</v>
      </c>
      <c r="D760" s="738">
        <f t="shared" si="22"/>
        <v>185.79</v>
      </c>
      <c r="F760" s="1405">
        <v>185.79</v>
      </c>
      <c r="G760" s="1405">
        <v>185.79</v>
      </c>
      <c r="H760" t="b">
        <f t="shared" si="23"/>
        <v>1</v>
      </c>
    </row>
    <row r="761" spans="1:8">
      <c r="A761" s="739">
        <v>991</v>
      </c>
      <c r="B761" s="740" t="s">
        <v>9150</v>
      </c>
      <c r="C761" s="739" t="s">
        <v>1693</v>
      </c>
      <c r="D761" s="741">
        <f t="shared" si="22"/>
        <v>243.35</v>
      </c>
      <c r="F761" s="1406">
        <v>243.35</v>
      </c>
      <c r="G761" s="1406">
        <v>243.35</v>
      </c>
      <c r="H761" t="b">
        <f t="shared" si="23"/>
        <v>1</v>
      </c>
    </row>
    <row r="762" spans="1:8">
      <c r="A762" s="677">
        <v>986</v>
      </c>
      <c r="B762" s="733" t="s">
        <v>9151</v>
      </c>
      <c r="C762" s="677" t="s">
        <v>1693</v>
      </c>
      <c r="D762" s="738">
        <f t="shared" si="22"/>
        <v>23.21</v>
      </c>
      <c r="F762" s="1405">
        <v>23.21</v>
      </c>
      <c r="G762" s="1405">
        <v>23.21</v>
      </c>
      <c r="H762" t="b">
        <f t="shared" si="23"/>
        <v>1</v>
      </c>
    </row>
    <row r="763" spans="1:8">
      <c r="A763" s="739">
        <v>987</v>
      </c>
      <c r="B763" s="740" t="s">
        <v>9152</v>
      </c>
      <c r="C763" s="739" t="s">
        <v>1693</v>
      </c>
      <c r="D763" s="741">
        <f t="shared" si="22"/>
        <v>31.77</v>
      </c>
      <c r="F763" s="1406">
        <v>31.77</v>
      </c>
      <c r="G763" s="1406">
        <v>31.77</v>
      </c>
      <c r="H763" t="b">
        <f t="shared" si="23"/>
        <v>1</v>
      </c>
    </row>
    <row r="764" spans="1:8">
      <c r="A764" s="677">
        <v>1007</v>
      </c>
      <c r="B764" s="733" t="s">
        <v>9153</v>
      </c>
      <c r="C764" s="677" t="s">
        <v>1693</v>
      </c>
      <c r="D764" s="738">
        <f t="shared" si="22"/>
        <v>43.98</v>
      </c>
      <c r="F764" s="1405">
        <v>43.98</v>
      </c>
      <c r="G764" s="1405">
        <v>43.98</v>
      </c>
      <c r="H764" t="b">
        <f t="shared" si="23"/>
        <v>1</v>
      </c>
    </row>
    <row r="765" spans="1:8">
      <c r="A765" s="739">
        <v>1008</v>
      </c>
      <c r="B765" s="740" t="s">
        <v>9154</v>
      </c>
      <c r="C765" s="739" t="s">
        <v>1693</v>
      </c>
      <c r="D765" s="741">
        <f t="shared" si="22"/>
        <v>5.58</v>
      </c>
      <c r="F765" s="1406">
        <v>5.58</v>
      </c>
      <c r="G765" s="1406">
        <v>5.58</v>
      </c>
      <c r="H765" t="b">
        <f t="shared" si="23"/>
        <v>1</v>
      </c>
    </row>
    <row r="766" spans="1:8">
      <c r="A766" s="677">
        <v>988</v>
      </c>
      <c r="B766" s="733" t="s">
        <v>9155</v>
      </c>
      <c r="C766" s="677" t="s">
        <v>1693</v>
      </c>
      <c r="D766" s="738">
        <f t="shared" si="22"/>
        <v>60.64</v>
      </c>
      <c r="F766" s="1405">
        <v>60.64</v>
      </c>
      <c r="G766" s="1405">
        <v>60.64</v>
      </c>
      <c r="H766" t="b">
        <f t="shared" si="23"/>
        <v>1</v>
      </c>
    </row>
    <row r="767" spans="1:8">
      <c r="A767" s="739">
        <v>989</v>
      </c>
      <c r="B767" s="740" t="s">
        <v>9156</v>
      </c>
      <c r="C767" s="739" t="s">
        <v>1693</v>
      </c>
      <c r="D767" s="741">
        <f t="shared" si="22"/>
        <v>83.71</v>
      </c>
      <c r="F767" s="1406">
        <v>83.71</v>
      </c>
      <c r="G767" s="1406">
        <v>83.71</v>
      </c>
      <c r="H767" t="b">
        <f t="shared" si="23"/>
        <v>1</v>
      </c>
    </row>
    <row r="768" spans="1:8">
      <c r="A768" s="677">
        <v>1006</v>
      </c>
      <c r="B768" s="733" t="s">
        <v>9157</v>
      </c>
      <c r="C768" s="677" t="s">
        <v>1693</v>
      </c>
      <c r="D768" s="738">
        <f t="shared" si="22"/>
        <v>112.22</v>
      </c>
      <c r="F768" s="1405">
        <v>112.22</v>
      </c>
      <c r="G768" s="1405">
        <v>112.22</v>
      </c>
      <c r="H768" t="b">
        <f t="shared" si="23"/>
        <v>1</v>
      </c>
    </row>
    <row r="769" spans="1:8">
      <c r="A769" s="739">
        <v>43972</v>
      </c>
      <c r="B769" s="740" t="s">
        <v>9158</v>
      </c>
      <c r="C769" s="739" t="s">
        <v>1693</v>
      </c>
      <c r="D769" s="741">
        <f t="shared" si="22"/>
        <v>3.64</v>
      </c>
      <c r="F769" s="1406">
        <v>3.64</v>
      </c>
      <c r="G769" s="1406">
        <v>3.64</v>
      </c>
      <c r="H769" t="b">
        <f t="shared" si="23"/>
        <v>1</v>
      </c>
    </row>
    <row r="770" spans="1:8">
      <c r="A770" s="677">
        <v>43971</v>
      </c>
      <c r="B770" s="733" t="s">
        <v>9159</v>
      </c>
      <c r="C770" s="677" t="s">
        <v>1693</v>
      </c>
      <c r="D770" s="738">
        <f t="shared" si="22"/>
        <v>2.78</v>
      </c>
      <c r="F770" s="1405">
        <v>2.78</v>
      </c>
      <c r="G770" s="1405">
        <v>2.78</v>
      </c>
      <c r="H770" t="b">
        <f t="shared" si="23"/>
        <v>1</v>
      </c>
    </row>
    <row r="771" spans="1:8">
      <c r="A771" s="739">
        <v>39598</v>
      </c>
      <c r="B771" s="740" t="s">
        <v>9160</v>
      </c>
      <c r="C771" s="739" t="s">
        <v>1693</v>
      </c>
      <c r="D771" s="741">
        <f t="shared" ref="D771:D834" si="24">IF($J$2=$F$1,F771,G771)</f>
        <v>5.15</v>
      </c>
      <c r="F771" s="1406">
        <v>5.15</v>
      </c>
      <c r="G771" s="1406">
        <v>5.15</v>
      </c>
      <c r="H771" t="b">
        <f t="shared" ref="H771:H834" si="25">F771=G771</f>
        <v>1</v>
      </c>
    </row>
    <row r="772" spans="1:8">
      <c r="A772" s="677">
        <v>43973</v>
      </c>
      <c r="B772" s="733" t="s">
        <v>9161</v>
      </c>
      <c r="C772" s="677" t="s">
        <v>1693</v>
      </c>
      <c r="D772" s="738">
        <f t="shared" si="24"/>
        <v>3.8</v>
      </c>
      <c r="F772" s="1405">
        <v>3.8</v>
      </c>
      <c r="G772" s="1405">
        <v>3.8</v>
      </c>
      <c r="H772" t="b">
        <f t="shared" si="25"/>
        <v>1</v>
      </c>
    </row>
    <row r="773" spans="1:8">
      <c r="A773" s="739">
        <v>39599</v>
      </c>
      <c r="B773" s="740" t="s">
        <v>9162</v>
      </c>
      <c r="C773" s="739" t="s">
        <v>1693</v>
      </c>
      <c r="D773" s="741">
        <f t="shared" si="24"/>
        <v>7.41</v>
      </c>
      <c r="F773" s="1406">
        <v>7.41</v>
      </c>
      <c r="G773" s="1406">
        <v>7.41</v>
      </c>
      <c r="H773" t="b">
        <f t="shared" si="25"/>
        <v>1</v>
      </c>
    </row>
    <row r="774" spans="1:8">
      <c r="A774" s="677">
        <v>43832</v>
      </c>
      <c r="B774" s="733" t="s">
        <v>9163</v>
      </c>
      <c r="C774" s="677" t="s">
        <v>1693</v>
      </c>
      <c r="D774" s="738">
        <f t="shared" si="24"/>
        <v>19.53</v>
      </c>
      <c r="F774" s="1405">
        <v>19.53</v>
      </c>
      <c r="G774" s="1405">
        <v>19.53</v>
      </c>
      <c r="H774" t="b">
        <f t="shared" si="25"/>
        <v>1</v>
      </c>
    </row>
    <row r="775" spans="1:8">
      <c r="A775" s="739">
        <v>34602</v>
      </c>
      <c r="B775" s="740" t="s">
        <v>9164</v>
      </c>
      <c r="C775" s="739" t="s">
        <v>1693</v>
      </c>
      <c r="D775" s="741">
        <f t="shared" si="24"/>
        <v>3.84</v>
      </c>
      <c r="F775" s="1406">
        <v>3.84</v>
      </c>
      <c r="G775" s="1406">
        <v>3.84</v>
      </c>
      <c r="H775" t="b">
        <f t="shared" si="25"/>
        <v>1</v>
      </c>
    </row>
    <row r="776" spans="1:8">
      <c r="A776" s="677">
        <v>34607</v>
      </c>
      <c r="B776" s="733" t="s">
        <v>9165</v>
      </c>
      <c r="C776" s="677" t="s">
        <v>1693</v>
      </c>
      <c r="D776" s="738">
        <f t="shared" si="24"/>
        <v>9.41</v>
      </c>
      <c r="F776" s="1405">
        <v>9.41</v>
      </c>
      <c r="G776" s="1405">
        <v>9.41</v>
      </c>
      <c r="H776" t="b">
        <f t="shared" si="25"/>
        <v>1</v>
      </c>
    </row>
    <row r="777" spans="1:8">
      <c r="A777" s="739">
        <v>34609</v>
      </c>
      <c r="B777" s="740" t="s">
        <v>9166</v>
      </c>
      <c r="C777" s="739" t="s">
        <v>1693</v>
      </c>
      <c r="D777" s="741">
        <f t="shared" si="24"/>
        <v>13.69</v>
      </c>
      <c r="F777" s="1406">
        <v>13.69</v>
      </c>
      <c r="G777" s="1406">
        <v>13.69</v>
      </c>
      <c r="H777" t="b">
        <f t="shared" si="25"/>
        <v>1</v>
      </c>
    </row>
    <row r="778" spans="1:8">
      <c r="A778" s="677">
        <v>34618</v>
      </c>
      <c r="B778" s="733" t="s">
        <v>9167</v>
      </c>
      <c r="C778" s="677" t="s">
        <v>1693</v>
      </c>
      <c r="D778" s="738">
        <f t="shared" si="24"/>
        <v>5.23</v>
      </c>
      <c r="F778" s="1405">
        <v>5.23</v>
      </c>
      <c r="G778" s="1405">
        <v>5.23</v>
      </c>
      <c r="H778" t="b">
        <f t="shared" si="25"/>
        <v>1</v>
      </c>
    </row>
    <row r="779" spans="1:8">
      <c r="A779" s="739">
        <v>34621</v>
      </c>
      <c r="B779" s="740" t="s">
        <v>9168</v>
      </c>
      <c r="C779" s="739" t="s">
        <v>1693</v>
      </c>
      <c r="D779" s="741">
        <f t="shared" si="24"/>
        <v>12.97</v>
      </c>
      <c r="F779" s="1406">
        <v>12.97</v>
      </c>
      <c r="G779" s="1406">
        <v>12.97</v>
      </c>
      <c r="H779" t="b">
        <f t="shared" si="25"/>
        <v>1</v>
      </c>
    </row>
    <row r="780" spans="1:8">
      <c r="A780" s="677">
        <v>34622</v>
      </c>
      <c r="B780" s="733" t="s">
        <v>9169</v>
      </c>
      <c r="C780" s="677" t="s">
        <v>1693</v>
      </c>
      <c r="D780" s="738">
        <f t="shared" si="24"/>
        <v>19.27</v>
      </c>
      <c r="F780" s="1405">
        <v>19.27</v>
      </c>
      <c r="G780" s="1405">
        <v>19.27</v>
      </c>
      <c r="H780" t="b">
        <f t="shared" si="25"/>
        <v>1</v>
      </c>
    </row>
    <row r="781" spans="1:8">
      <c r="A781" s="739">
        <v>34624</v>
      </c>
      <c r="B781" s="740" t="s">
        <v>9170</v>
      </c>
      <c r="C781" s="739" t="s">
        <v>1693</v>
      </c>
      <c r="D781" s="741">
        <f t="shared" si="24"/>
        <v>6.99</v>
      </c>
      <c r="F781" s="1406">
        <v>6.99</v>
      </c>
      <c r="G781" s="1406">
        <v>6.99</v>
      </c>
      <c r="H781" t="b">
        <f t="shared" si="25"/>
        <v>1</v>
      </c>
    </row>
    <row r="782" spans="1:8">
      <c r="A782" s="677">
        <v>34627</v>
      </c>
      <c r="B782" s="733" t="s">
        <v>9171</v>
      </c>
      <c r="C782" s="677" t="s">
        <v>1693</v>
      </c>
      <c r="D782" s="738">
        <f t="shared" si="24"/>
        <v>16.850000000000001</v>
      </c>
      <c r="F782" s="1405">
        <v>16.850000000000001</v>
      </c>
      <c r="G782" s="1405">
        <v>16.850000000000001</v>
      </c>
      <c r="H782" t="b">
        <f t="shared" si="25"/>
        <v>1</v>
      </c>
    </row>
    <row r="783" spans="1:8">
      <c r="A783" s="739">
        <v>34629</v>
      </c>
      <c r="B783" s="740" t="s">
        <v>9172</v>
      </c>
      <c r="C783" s="739" t="s">
        <v>1693</v>
      </c>
      <c r="D783" s="741">
        <f t="shared" si="24"/>
        <v>25.75</v>
      </c>
      <c r="F783" s="1406">
        <v>25.75</v>
      </c>
      <c r="G783" s="1406">
        <v>25.75</v>
      </c>
      <c r="H783" t="b">
        <f t="shared" si="25"/>
        <v>1</v>
      </c>
    </row>
    <row r="784" spans="1:8" ht="30">
      <c r="A784" s="677">
        <v>39257</v>
      </c>
      <c r="B784" s="733" t="s">
        <v>9173</v>
      </c>
      <c r="C784" s="677" t="s">
        <v>1693</v>
      </c>
      <c r="D784" s="738">
        <f t="shared" si="24"/>
        <v>5.24</v>
      </c>
      <c r="F784" s="1405">
        <v>5.24</v>
      </c>
      <c r="G784" s="1405">
        <v>5.24</v>
      </c>
      <c r="H784" t="b">
        <f t="shared" si="25"/>
        <v>1</v>
      </c>
    </row>
    <row r="785" spans="1:8" ht="30">
      <c r="A785" s="739">
        <v>39261</v>
      </c>
      <c r="B785" s="740" t="s">
        <v>9174</v>
      </c>
      <c r="C785" s="739" t="s">
        <v>1693</v>
      </c>
      <c r="D785" s="741">
        <f t="shared" si="24"/>
        <v>30</v>
      </c>
      <c r="F785" s="1406">
        <v>30</v>
      </c>
      <c r="G785" s="1406">
        <v>30</v>
      </c>
      <c r="H785" t="b">
        <f t="shared" si="25"/>
        <v>1</v>
      </c>
    </row>
    <row r="786" spans="1:8" ht="30">
      <c r="A786" s="677">
        <v>39268</v>
      </c>
      <c r="B786" s="733" t="s">
        <v>9175</v>
      </c>
      <c r="C786" s="677" t="s">
        <v>1693</v>
      </c>
      <c r="D786" s="738">
        <f t="shared" si="24"/>
        <v>468.92</v>
      </c>
      <c r="F786" s="1405">
        <v>468.92</v>
      </c>
      <c r="G786" s="1405">
        <v>468.92</v>
      </c>
      <c r="H786" t="b">
        <f t="shared" si="25"/>
        <v>1</v>
      </c>
    </row>
    <row r="787" spans="1:8" ht="30">
      <c r="A787" s="739">
        <v>39262</v>
      </c>
      <c r="B787" s="740" t="s">
        <v>9176</v>
      </c>
      <c r="C787" s="739" t="s">
        <v>1693</v>
      </c>
      <c r="D787" s="741">
        <f t="shared" si="24"/>
        <v>47.77</v>
      </c>
      <c r="F787" s="1406">
        <v>47.77</v>
      </c>
      <c r="G787" s="1406">
        <v>47.77</v>
      </c>
      <c r="H787" t="b">
        <f t="shared" si="25"/>
        <v>1</v>
      </c>
    </row>
    <row r="788" spans="1:8" ht="30">
      <c r="A788" s="677">
        <v>39258</v>
      </c>
      <c r="B788" s="733" t="s">
        <v>9177</v>
      </c>
      <c r="C788" s="677" t="s">
        <v>1693</v>
      </c>
      <c r="D788" s="738">
        <f t="shared" si="24"/>
        <v>7.9</v>
      </c>
      <c r="F788" s="1405">
        <v>7.9</v>
      </c>
      <c r="G788" s="1405">
        <v>7.9</v>
      </c>
      <c r="H788" t="b">
        <f t="shared" si="25"/>
        <v>1</v>
      </c>
    </row>
    <row r="789" spans="1:8" ht="30">
      <c r="A789" s="739">
        <v>39263</v>
      </c>
      <c r="B789" s="740" t="s">
        <v>9178</v>
      </c>
      <c r="C789" s="739" t="s">
        <v>1693</v>
      </c>
      <c r="D789" s="741">
        <f t="shared" si="24"/>
        <v>82.61</v>
      </c>
      <c r="F789" s="1406">
        <v>82.61</v>
      </c>
      <c r="G789" s="1406">
        <v>82.61</v>
      </c>
      <c r="H789" t="b">
        <f t="shared" si="25"/>
        <v>1</v>
      </c>
    </row>
    <row r="790" spans="1:8" ht="30">
      <c r="A790" s="677">
        <v>39264</v>
      </c>
      <c r="B790" s="733" t="s">
        <v>9179</v>
      </c>
      <c r="C790" s="677" t="s">
        <v>1693</v>
      </c>
      <c r="D790" s="738">
        <f t="shared" si="24"/>
        <v>114.44</v>
      </c>
      <c r="F790" s="1405">
        <v>114.44</v>
      </c>
      <c r="G790" s="1405">
        <v>114.44</v>
      </c>
      <c r="H790" t="b">
        <f t="shared" si="25"/>
        <v>1</v>
      </c>
    </row>
    <row r="791" spans="1:8" ht="30">
      <c r="A791" s="739">
        <v>39259</v>
      </c>
      <c r="B791" s="740" t="s">
        <v>9180</v>
      </c>
      <c r="C791" s="739" t="s">
        <v>1693</v>
      </c>
      <c r="D791" s="741">
        <f t="shared" si="24"/>
        <v>12.16</v>
      </c>
      <c r="F791" s="1406">
        <v>12.16</v>
      </c>
      <c r="G791" s="1406">
        <v>12.16</v>
      </c>
      <c r="H791" t="b">
        <f t="shared" si="25"/>
        <v>1</v>
      </c>
    </row>
    <row r="792" spans="1:8" ht="30">
      <c r="A792" s="677">
        <v>39265</v>
      </c>
      <c r="B792" s="733" t="s">
        <v>9181</v>
      </c>
      <c r="C792" s="677" t="s">
        <v>1693</v>
      </c>
      <c r="D792" s="738">
        <f t="shared" si="24"/>
        <v>155.36000000000001</v>
      </c>
      <c r="F792" s="1405">
        <v>155.36000000000001</v>
      </c>
      <c r="G792" s="1405">
        <v>155.36000000000001</v>
      </c>
      <c r="H792" t="b">
        <f t="shared" si="25"/>
        <v>1</v>
      </c>
    </row>
    <row r="793" spans="1:8" ht="30">
      <c r="A793" s="739">
        <v>39260</v>
      </c>
      <c r="B793" s="740" t="s">
        <v>9182</v>
      </c>
      <c r="C793" s="739" t="s">
        <v>1693</v>
      </c>
      <c r="D793" s="741">
        <f t="shared" si="24"/>
        <v>18.62</v>
      </c>
      <c r="F793" s="1406">
        <v>18.62</v>
      </c>
      <c r="G793" s="1406">
        <v>18.62</v>
      </c>
      <c r="H793" t="b">
        <f t="shared" si="25"/>
        <v>1</v>
      </c>
    </row>
    <row r="794" spans="1:8" ht="30">
      <c r="A794" s="677">
        <v>39266</v>
      </c>
      <c r="B794" s="733" t="s">
        <v>9183</v>
      </c>
      <c r="C794" s="677" t="s">
        <v>1693</v>
      </c>
      <c r="D794" s="738">
        <f t="shared" si="24"/>
        <v>234.44</v>
      </c>
      <c r="F794" s="1405">
        <v>234.44</v>
      </c>
      <c r="G794" s="1405">
        <v>234.44</v>
      </c>
      <c r="H794" t="b">
        <f t="shared" si="25"/>
        <v>1</v>
      </c>
    </row>
    <row r="795" spans="1:8" ht="30">
      <c r="A795" s="739">
        <v>39267</v>
      </c>
      <c r="B795" s="740" t="s">
        <v>9184</v>
      </c>
      <c r="C795" s="739" t="s">
        <v>1693</v>
      </c>
      <c r="D795" s="741">
        <f t="shared" si="24"/>
        <v>293.12</v>
      </c>
      <c r="F795" s="1406">
        <v>293.12</v>
      </c>
      <c r="G795" s="1406">
        <v>293.12</v>
      </c>
      <c r="H795" t="b">
        <f t="shared" si="25"/>
        <v>1</v>
      </c>
    </row>
    <row r="796" spans="1:8">
      <c r="A796" s="677">
        <v>11901</v>
      </c>
      <c r="B796" s="733" t="s">
        <v>9185</v>
      </c>
      <c r="C796" s="677" t="s">
        <v>1693</v>
      </c>
      <c r="D796" s="738">
        <f t="shared" si="24"/>
        <v>0.67</v>
      </c>
      <c r="F796" s="1405">
        <v>0.67</v>
      </c>
      <c r="G796" s="1405">
        <v>0.67</v>
      </c>
      <c r="H796" t="b">
        <f t="shared" si="25"/>
        <v>1</v>
      </c>
    </row>
    <row r="797" spans="1:8">
      <c r="A797" s="739">
        <v>11902</v>
      </c>
      <c r="B797" s="740" t="s">
        <v>9186</v>
      </c>
      <c r="C797" s="739" t="s">
        <v>1693</v>
      </c>
      <c r="D797" s="741">
        <f t="shared" si="24"/>
        <v>1.28</v>
      </c>
      <c r="F797" s="1406">
        <v>1.28</v>
      </c>
      <c r="G797" s="1406">
        <v>1.28</v>
      </c>
      <c r="H797" t="b">
        <f t="shared" si="25"/>
        <v>1</v>
      </c>
    </row>
    <row r="798" spans="1:8">
      <c r="A798" s="677">
        <v>11903</v>
      </c>
      <c r="B798" s="733" t="s">
        <v>9187</v>
      </c>
      <c r="C798" s="677" t="s">
        <v>1693</v>
      </c>
      <c r="D798" s="738">
        <f t="shared" si="24"/>
        <v>1.35</v>
      </c>
      <c r="F798" s="1405">
        <v>1.35</v>
      </c>
      <c r="G798" s="1405">
        <v>1.35</v>
      </c>
      <c r="H798" t="b">
        <f t="shared" si="25"/>
        <v>1</v>
      </c>
    </row>
    <row r="799" spans="1:8">
      <c r="A799" s="739">
        <v>11904</v>
      </c>
      <c r="B799" s="740" t="s">
        <v>9188</v>
      </c>
      <c r="C799" s="739" t="s">
        <v>1693</v>
      </c>
      <c r="D799" s="741">
        <f t="shared" si="24"/>
        <v>2.0499999999999998</v>
      </c>
      <c r="F799" s="1406">
        <v>2.0499999999999998</v>
      </c>
      <c r="G799" s="1406">
        <v>2.0499999999999998</v>
      </c>
      <c r="H799" t="b">
        <f t="shared" si="25"/>
        <v>1</v>
      </c>
    </row>
    <row r="800" spans="1:8">
      <c r="A800" s="677">
        <v>11905</v>
      </c>
      <c r="B800" s="733" t="s">
        <v>9189</v>
      </c>
      <c r="C800" s="677" t="s">
        <v>1693</v>
      </c>
      <c r="D800" s="738">
        <f t="shared" si="24"/>
        <v>2.5</v>
      </c>
      <c r="F800" s="1405">
        <v>2.5</v>
      </c>
      <c r="G800" s="1405">
        <v>2.5</v>
      </c>
      <c r="H800" t="b">
        <f t="shared" si="25"/>
        <v>1</v>
      </c>
    </row>
    <row r="801" spans="1:8">
      <c r="A801" s="739">
        <v>11906</v>
      </c>
      <c r="B801" s="740" t="s">
        <v>9190</v>
      </c>
      <c r="C801" s="739" t="s">
        <v>1693</v>
      </c>
      <c r="D801" s="741">
        <f t="shared" si="24"/>
        <v>3.18</v>
      </c>
      <c r="F801" s="1406">
        <v>3.18</v>
      </c>
      <c r="G801" s="1406">
        <v>3.18</v>
      </c>
      <c r="H801" t="b">
        <f t="shared" si="25"/>
        <v>1</v>
      </c>
    </row>
    <row r="802" spans="1:8">
      <c r="A802" s="677">
        <v>11919</v>
      </c>
      <c r="B802" s="733" t="s">
        <v>9191</v>
      </c>
      <c r="C802" s="677" t="s">
        <v>1693</v>
      </c>
      <c r="D802" s="738">
        <f t="shared" si="24"/>
        <v>5.83</v>
      </c>
      <c r="F802" s="1405">
        <v>5.83</v>
      </c>
      <c r="G802" s="1405">
        <v>5.83</v>
      </c>
      <c r="H802" t="b">
        <f t="shared" si="25"/>
        <v>1</v>
      </c>
    </row>
    <row r="803" spans="1:8">
      <c r="A803" s="739">
        <v>11920</v>
      </c>
      <c r="B803" s="740" t="s">
        <v>9192</v>
      </c>
      <c r="C803" s="739" t="s">
        <v>1693</v>
      </c>
      <c r="D803" s="741">
        <f t="shared" si="24"/>
        <v>11.08</v>
      </c>
      <c r="F803" s="1406">
        <v>11.08</v>
      </c>
      <c r="G803" s="1406">
        <v>11.08</v>
      </c>
      <c r="H803" t="b">
        <f t="shared" si="25"/>
        <v>1</v>
      </c>
    </row>
    <row r="804" spans="1:8">
      <c r="A804" s="677">
        <v>11924</v>
      </c>
      <c r="B804" s="733" t="s">
        <v>9193</v>
      </c>
      <c r="C804" s="677" t="s">
        <v>1693</v>
      </c>
      <c r="D804" s="738">
        <f t="shared" si="24"/>
        <v>93</v>
      </c>
      <c r="F804" s="1405">
        <v>93</v>
      </c>
      <c r="G804" s="1405">
        <v>93</v>
      </c>
      <c r="H804" t="b">
        <f t="shared" si="25"/>
        <v>1</v>
      </c>
    </row>
    <row r="805" spans="1:8">
      <c r="A805" s="739">
        <v>11921</v>
      </c>
      <c r="B805" s="740" t="s">
        <v>9194</v>
      </c>
      <c r="C805" s="739" t="s">
        <v>1693</v>
      </c>
      <c r="D805" s="741">
        <f t="shared" si="24"/>
        <v>16.21</v>
      </c>
      <c r="F805" s="1406">
        <v>16.21</v>
      </c>
      <c r="G805" s="1406">
        <v>16.21</v>
      </c>
      <c r="H805" t="b">
        <f t="shared" si="25"/>
        <v>1</v>
      </c>
    </row>
    <row r="806" spans="1:8">
      <c r="A806" s="677">
        <v>11922</v>
      </c>
      <c r="B806" s="733" t="s">
        <v>9195</v>
      </c>
      <c r="C806" s="677" t="s">
        <v>1693</v>
      </c>
      <c r="D806" s="738">
        <f t="shared" si="24"/>
        <v>26.21</v>
      </c>
      <c r="F806" s="1405">
        <v>26.21</v>
      </c>
      <c r="G806" s="1405">
        <v>26.21</v>
      </c>
      <c r="H806" t="b">
        <f t="shared" si="25"/>
        <v>1</v>
      </c>
    </row>
    <row r="807" spans="1:8">
      <c r="A807" s="739">
        <v>11923</v>
      </c>
      <c r="B807" s="740" t="s">
        <v>9196</v>
      </c>
      <c r="C807" s="739" t="s">
        <v>1693</v>
      </c>
      <c r="D807" s="741">
        <f t="shared" si="24"/>
        <v>38.369999999999997</v>
      </c>
      <c r="F807" s="1406">
        <v>38.369999999999997</v>
      </c>
      <c r="G807" s="1406">
        <v>38.369999999999997</v>
      </c>
      <c r="H807" t="b">
        <f t="shared" si="25"/>
        <v>1</v>
      </c>
    </row>
    <row r="808" spans="1:8">
      <c r="A808" s="677">
        <v>11916</v>
      </c>
      <c r="B808" s="733" t="s">
        <v>9197</v>
      </c>
      <c r="C808" s="677" t="s">
        <v>1693</v>
      </c>
      <c r="D808" s="738">
        <f t="shared" si="24"/>
        <v>7.98</v>
      </c>
      <c r="F808" s="1405">
        <v>7.98</v>
      </c>
      <c r="G808" s="1405">
        <v>7.98</v>
      </c>
      <c r="H808" t="b">
        <f t="shared" si="25"/>
        <v>1</v>
      </c>
    </row>
    <row r="809" spans="1:8">
      <c r="A809" s="739">
        <v>11914</v>
      </c>
      <c r="B809" s="740" t="s">
        <v>9198</v>
      </c>
      <c r="C809" s="739" t="s">
        <v>1693</v>
      </c>
      <c r="D809" s="741">
        <f t="shared" si="24"/>
        <v>57.49</v>
      </c>
      <c r="F809" s="1406">
        <v>57.49</v>
      </c>
      <c r="G809" s="1406">
        <v>57.49</v>
      </c>
      <c r="H809" t="b">
        <f t="shared" si="25"/>
        <v>1</v>
      </c>
    </row>
    <row r="810" spans="1:8">
      <c r="A810" s="677">
        <v>11917</v>
      </c>
      <c r="B810" s="733" t="s">
        <v>9199</v>
      </c>
      <c r="C810" s="677" t="s">
        <v>1693</v>
      </c>
      <c r="D810" s="738">
        <f t="shared" si="24"/>
        <v>14.05</v>
      </c>
      <c r="F810" s="1405">
        <v>14.05</v>
      </c>
      <c r="G810" s="1405">
        <v>14.05</v>
      </c>
      <c r="H810" t="b">
        <f t="shared" si="25"/>
        <v>1</v>
      </c>
    </row>
    <row r="811" spans="1:8">
      <c r="A811" s="739">
        <v>11918</v>
      </c>
      <c r="B811" s="740" t="s">
        <v>9200</v>
      </c>
      <c r="C811" s="739" t="s">
        <v>1693</v>
      </c>
      <c r="D811" s="741">
        <f t="shared" si="24"/>
        <v>16.670000000000002</v>
      </c>
      <c r="F811" s="1406">
        <v>16.670000000000002</v>
      </c>
      <c r="G811" s="1406">
        <v>16.670000000000002</v>
      </c>
      <c r="H811" t="b">
        <f t="shared" si="25"/>
        <v>1</v>
      </c>
    </row>
    <row r="812" spans="1:8">
      <c r="A812" s="677">
        <v>37734</v>
      </c>
      <c r="B812" s="733" t="s">
        <v>9201</v>
      </c>
      <c r="C812" s="677" t="s">
        <v>1690</v>
      </c>
      <c r="D812" s="738">
        <f t="shared" si="24"/>
        <v>73298.23</v>
      </c>
      <c r="F812" s="1405">
        <v>73298.23</v>
      </c>
      <c r="G812" s="1405">
        <v>73298.23</v>
      </c>
      <c r="H812" t="b">
        <f t="shared" si="25"/>
        <v>1</v>
      </c>
    </row>
    <row r="813" spans="1:8">
      <c r="A813" s="739">
        <v>42251</v>
      </c>
      <c r="B813" s="740" t="s">
        <v>9202</v>
      </c>
      <c r="C813" s="739" t="s">
        <v>1690</v>
      </c>
      <c r="D813" s="741">
        <f t="shared" si="24"/>
        <v>83234.61</v>
      </c>
      <c r="F813" s="1406">
        <v>83234.61</v>
      </c>
      <c r="G813" s="1406">
        <v>83234.61</v>
      </c>
      <c r="H813" t="b">
        <f t="shared" si="25"/>
        <v>1</v>
      </c>
    </row>
    <row r="814" spans="1:8">
      <c r="A814" s="677">
        <v>37733</v>
      </c>
      <c r="B814" s="733" t="s">
        <v>9203</v>
      </c>
      <c r="C814" s="677" t="s">
        <v>1690</v>
      </c>
      <c r="D814" s="738">
        <f t="shared" si="24"/>
        <v>54958.74</v>
      </c>
      <c r="F814" s="1405">
        <v>54958.74</v>
      </c>
      <c r="G814" s="1405">
        <v>54958.74</v>
      </c>
      <c r="H814" t="b">
        <f t="shared" si="25"/>
        <v>1</v>
      </c>
    </row>
    <row r="815" spans="1:8">
      <c r="A815" s="739">
        <v>37735</v>
      </c>
      <c r="B815" s="740" t="s">
        <v>9204</v>
      </c>
      <c r="C815" s="739" t="s">
        <v>1690</v>
      </c>
      <c r="D815" s="741">
        <f t="shared" si="24"/>
        <v>66225.279999999999</v>
      </c>
      <c r="F815" s="1406">
        <v>66225.279999999999</v>
      </c>
      <c r="G815" s="1406">
        <v>66225.279999999999</v>
      </c>
      <c r="H815" t="b">
        <f t="shared" si="25"/>
        <v>1</v>
      </c>
    </row>
    <row r="816" spans="1:8" ht="30">
      <c r="A816" s="677">
        <v>5090</v>
      </c>
      <c r="B816" s="733" t="s">
        <v>9205</v>
      </c>
      <c r="C816" s="677" t="s">
        <v>1690</v>
      </c>
      <c r="D816" s="738">
        <f t="shared" si="24"/>
        <v>22.92</v>
      </c>
      <c r="F816" s="1405">
        <v>22.92</v>
      </c>
      <c r="G816" s="1405">
        <v>22.92</v>
      </c>
      <c r="H816" t="b">
        <f t="shared" si="25"/>
        <v>1</v>
      </c>
    </row>
    <row r="817" spans="1:8" ht="30">
      <c r="A817" s="739">
        <v>5085</v>
      </c>
      <c r="B817" s="740" t="s">
        <v>9206</v>
      </c>
      <c r="C817" s="739" t="s">
        <v>1690</v>
      </c>
      <c r="D817" s="741">
        <f t="shared" si="24"/>
        <v>34.119999999999997</v>
      </c>
      <c r="F817" s="1406">
        <v>34.119999999999997</v>
      </c>
      <c r="G817" s="1406">
        <v>34.119999999999997</v>
      </c>
      <c r="H817" t="b">
        <f t="shared" si="25"/>
        <v>1</v>
      </c>
    </row>
    <row r="818" spans="1:8" ht="30">
      <c r="A818" s="677">
        <v>43603</v>
      </c>
      <c r="B818" s="733" t="s">
        <v>9207</v>
      </c>
      <c r="C818" s="677" t="s">
        <v>1690</v>
      </c>
      <c r="D818" s="738">
        <f t="shared" si="24"/>
        <v>48.75</v>
      </c>
      <c r="F818" s="1405">
        <v>48.75</v>
      </c>
      <c r="G818" s="1405">
        <v>48.75</v>
      </c>
      <c r="H818" t="b">
        <f t="shared" si="25"/>
        <v>1</v>
      </c>
    </row>
    <row r="819" spans="1:8">
      <c r="A819" s="739">
        <v>38374</v>
      </c>
      <c r="B819" s="740" t="s">
        <v>9208</v>
      </c>
      <c r="C819" s="739" t="s">
        <v>1690</v>
      </c>
      <c r="D819" s="741">
        <f t="shared" si="24"/>
        <v>1272.07</v>
      </c>
      <c r="F819" s="1406">
        <v>1272.07</v>
      </c>
      <c r="G819" s="1406">
        <v>1272.07</v>
      </c>
      <c r="H819" t="b">
        <f t="shared" si="25"/>
        <v>1</v>
      </c>
    </row>
    <row r="820" spans="1:8">
      <c r="A820" s="677">
        <v>20212</v>
      </c>
      <c r="B820" s="733" t="s">
        <v>9209</v>
      </c>
      <c r="C820" s="677" t="s">
        <v>1693</v>
      </c>
      <c r="D820" s="738">
        <f t="shared" si="24"/>
        <v>19.239999999999998</v>
      </c>
      <c r="F820" s="1405">
        <v>19.239999999999998</v>
      </c>
      <c r="G820" s="1405">
        <v>19.239999999999998</v>
      </c>
      <c r="H820" t="b">
        <f t="shared" si="25"/>
        <v>1</v>
      </c>
    </row>
    <row r="821" spans="1:8">
      <c r="A821" s="739">
        <v>20209</v>
      </c>
      <c r="B821" s="740" t="s">
        <v>9210</v>
      </c>
      <c r="C821" s="739" t="s">
        <v>1693</v>
      </c>
      <c r="D821" s="741">
        <f t="shared" si="24"/>
        <v>22.98</v>
      </c>
      <c r="F821" s="1406">
        <v>22.98</v>
      </c>
      <c r="G821" s="1406">
        <v>22.98</v>
      </c>
      <c r="H821" t="b">
        <f t="shared" si="25"/>
        <v>1</v>
      </c>
    </row>
    <row r="822" spans="1:8">
      <c r="A822" s="677">
        <v>4430</v>
      </c>
      <c r="B822" s="733" t="s">
        <v>9211</v>
      </c>
      <c r="C822" s="677" t="s">
        <v>1693</v>
      </c>
      <c r="D822" s="738">
        <f t="shared" si="24"/>
        <v>11.26</v>
      </c>
      <c r="F822" s="1405">
        <v>11.26</v>
      </c>
      <c r="G822" s="1405">
        <v>11.26</v>
      </c>
      <c r="H822" t="b">
        <f t="shared" si="25"/>
        <v>1</v>
      </c>
    </row>
    <row r="823" spans="1:8">
      <c r="A823" s="739">
        <v>4433</v>
      </c>
      <c r="B823" s="740" t="s">
        <v>9212</v>
      </c>
      <c r="C823" s="739" t="s">
        <v>1693</v>
      </c>
      <c r="D823" s="741">
        <f t="shared" si="24"/>
        <v>22.02</v>
      </c>
      <c r="F823" s="1406">
        <v>22.02</v>
      </c>
      <c r="G823" s="1406">
        <v>22.02</v>
      </c>
      <c r="H823" t="b">
        <f t="shared" si="25"/>
        <v>1</v>
      </c>
    </row>
    <row r="824" spans="1:8">
      <c r="A824" s="677">
        <v>4400</v>
      </c>
      <c r="B824" s="733" t="s">
        <v>9213</v>
      </c>
      <c r="C824" s="677" t="s">
        <v>1693</v>
      </c>
      <c r="D824" s="738">
        <f t="shared" si="24"/>
        <v>17.920000000000002</v>
      </c>
      <c r="F824" s="1405">
        <v>17.920000000000002</v>
      </c>
      <c r="G824" s="1405">
        <v>17.920000000000002</v>
      </c>
      <c r="H824" t="b">
        <f t="shared" si="25"/>
        <v>1</v>
      </c>
    </row>
    <row r="825" spans="1:8">
      <c r="A825" s="739">
        <v>2729</v>
      </c>
      <c r="B825" s="740" t="s">
        <v>9214</v>
      </c>
      <c r="C825" s="739" t="s">
        <v>1690</v>
      </c>
      <c r="D825" s="741">
        <f t="shared" si="24"/>
        <v>35.979999999999997</v>
      </c>
      <c r="F825" s="1406">
        <v>35.979999999999997</v>
      </c>
      <c r="G825" s="1406">
        <v>35.979999999999997</v>
      </c>
      <c r="H825" t="b">
        <f t="shared" si="25"/>
        <v>1</v>
      </c>
    </row>
    <row r="826" spans="1:8">
      <c r="A826" s="677">
        <v>4513</v>
      </c>
      <c r="B826" s="733" t="s">
        <v>9215</v>
      </c>
      <c r="C826" s="677" t="s">
        <v>1693</v>
      </c>
      <c r="D826" s="738">
        <f t="shared" si="24"/>
        <v>7.88</v>
      </c>
      <c r="F826" s="1405">
        <v>7.88</v>
      </c>
      <c r="G826" s="1405">
        <v>7.88</v>
      </c>
      <c r="H826" t="b">
        <f t="shared" si="25"/>
        <v>1</v>
      </c>
    </row>
    <row r="827" spans="1:8">
      <c r="A827" s="739">
        <v>37106</v>
      </c>
      <c r="B827" s="740" t="s">
        <v>9216</v>
      </c>
      <c r="C827" s="739" t="s">
        <v>1690</v>
      </c>
      <c r="D827" s="741">
        <f t="shared" si="24"/>
        <v>4365.68</v>
      </c>
      <c r="F827" s="1406">
        <v>4365.68</v>
      </c>
      <c r="G827" s="1406">
        <v>4365.68</v>
      </c>
      <c r="H827" t="b">
        <f t="shared" si="25"/>
        <v>1</v>
      </c>
    </row>
    <row r="828" spans="1:8">
      <c r="A828" s="677">
        <v>11869</v>
      </c>
      <c r="B828" s="733" t="s">
        <v>9217</v>
      </c>
      <c r="C828" s="677" t="s">
        <v>1690</v>
      </c>
      <c r="D828" s="738">
        <f t="shared" si="24"/>
        <v>873.13</v>
      </c>
      <c r="F828" s="1405">
        <v>873.13</v>
      </c>
      <c r="G828" s="1405">
        <v>873.13</v>
      </c>
      <c r="H828" t="b">
        <f t="shared" si="25"/>
        <v>1</v>
      </c>
    </row>
    <row r="829" spans="1:8">
      <c r="A829" s="739">
        <v>43981</v>
      </c>
      <c r="B829" s="740" t="s">
        <v>9218</v>
      </c>
      <c r="C829" s="739" t="s">
        <v>1690</v>
      </c>
      <c r="D829" s="741">
        <f t="shared" si="24"/>
        <v>6579.04</v>
      </c>
      <c r="F829" s="1406">
        <v>6579.04</v>
      </c>
      <c r="G829" s="1406">
        <v>6579.04</v>
      </c>
      <c r="H829" t="b">
        <f t="shared" si="25"/>
        <v>1</v>
      </c>
    </row>
    <row r="830" spans="1:8">
      <c r="A830" s="677">
        <v>37104</v>
      </c>
      <c r="B830" s="733" t="s">
        <v>9219</v>
      </c>
      <c r="C830" s="677" t="s">
        <v>1690</v>
      </c>
      <c r="D830" s="738">
        <f t="shared" si="24"/>
        <v>1095.8</v>
      </c>
      <c r="F830" s="1405">
        <v>1095.8</v>
      </c>
      <c r="G830" s="1405">
        <v>1095.8</v>
      </c>
      <c r="H830" t="b">
        <f t="shared" si="25"/>
        <v>1</v>
      </c>
    </row>
    <row r="831" spans="1:8">
      <c r="A831" s="739">
        <v>43982</v>
      </c>
      <c r="B831" s="740" t="s">
        <v>9220</v>
      </c>
      <c r="C831" s="739" t="s">
        <v>1690</v>
      </c>
      <c r="D831" s="741">
        <f t="shared" si="24"/>
        <v>10393.23</v>
      </c>
      <c r="F831" s="1406">
        <v>10393.23</v>
      </c>
      <c r="G831" s="1406">
        <v>10393.23</v>
      </c>
      <c r="H831" t="b">
        <f t="shared" si="25"/>
        <v>1</v>
      </c>
    </row>
    <row r="832" spans="1:8">
      <c r="A832" s="677">
        <v>43978</v>
      </c>
      <c r="B832" s="733" t="s">
        <v>9221</v>
      </c>
      <c r="C832" s="677" t="s">
        <v>1690</v>
      </c>
      <c r="D832" s="738">
        <f t="shared" si="24"/>
        <v>1623.96</v>
      </c>
      <c r="F832" s="1405">
        <v>1623.96</v>
      </c>
      <c r="G832" s="1405">
        <v>1623.96</v>
      </c>
      <c r="H832" t="b">
        <f t="shared" si="25"/>
        <v>1</v>
      </c>
    </row>
    <row r="833" spans="1:8">
      <c r="A833" s="739">
        <v>11871</v>
      </c>
      <c r="B833" s="740" t="s">
        <v>9222</v>
      </c>
      <c r="C833" s="739" t="s">
        <v>1690</v>
      </c>
      <c r="D833" s="741">
        <f t="shared" si="24"/>
        <v>407.01</v>
      </c>
      <c r="F833" s="1406">
        <v>407.01</v>
      </c>
      <c r="G833" s="1406">
        <v>407.01</v>
      </c>
      <c r="H833" t="b">
        <f t="shared" si="25"/>
        <v>1</v>
      </c>
    </row>
    <row r="834" spans="1:8">
      <c r="A834" s="677">
        <v>37105</v>
      </c>
      <c r="B834" s="733" t="s">
        <v>9223</v>
      </c>
      <c r="C834" s="677" t="s">
        <v>1690</v>
      </c>
      <c r="D834" s="738">
        <f t="shared" si="24"/>
        <v>2504.33</v>
      </c>
      <c r="F834" s="1405">
        <v>2504.33</v>
      </c>
      <c r="G834" s="1405">
        <v>2504.33</v>
      </c>
      <c r="H834" t="b">
        <f t="shared" si="25"/>
        <v>1</v>
      </c>
    </row>
    <row r="835" spans="1:8">
      <c r="A835" s="739">
        <v>43980</v>
      </c>
      <c r="B835" s="740" t="s">
        <v>9224</v>
      </c>
      <c r="C835" s="739" t="s">
        <v>1690</v>
      </c>
      <c r="D835" s="741">
        <f t="shared" ref="D835:D898" si="26">IF($J$2=$F$1,F835,G835)</f>
        <v>3118.88</v>
      </c>
      <c r="F835" s="1406">
        <v>3118.88</v>
      </c>
      <c r="G835" s="1406">
        <v>3118.88</v>
      </c>
      <c r="H835" t="b">
        <f t="shared" ref="H835:H898" si="27">F835=G835</f>
        <v>1</v>
      </c>
    </row>
    <row r="836" spans="1:8">
      <c r="A836" s="677">
        <v>43979</v>
      </c>
      <c r="B836" s="733" t="s">
        <v>9225</v>
      </c>
      <c r="C836" s="677" t="s">
        <v>1690</v>
      </c>
      <c r="D836" s="738">
        <f t="shared" si="26"/>
        <v>586</v>
      </c>
      <c r="F836" s="1405">
        <v>586</v>
      </c>
      <c r="G836" s="1405">
        <v>586</v>
      </c>
      <c r="H836" t="b">
        <f t="shared" si="27"/>
        <v>1</v>
      </c>
    </row>
    <row r="837" spans="1:8">
      <c r="A837" s="739">
        <v>11868</v>
      </c>
      <c r="B837" s="740" t="s">
        <v>9226</v>
      </c>
      <c r="C837" s="739" t="s">
        <v>1690</v>
      </c>
      <c r="D837" s="741">
        <f t="shared" si="26"/>
        <v>566.72</v>
      </c>
      <c r="F837" s="1406">
        <v>566.72</v>
      </c>
      <c r="G837" s="1406">
        <v>566.72</v>
      </c>
      <c r="H837" t="b">
        <f t="shared" si="27"/>
        <v>1</v>
      </c>
    </row>
    <row r="838" spans="1:8">
      <c r="A838" s="677">
        <v>34636</v>
      </c>
      <c r="B838" s="733" t="s">
        <v>9227</v>
      </c>
      <c r="C838" s="677" t="s">
        <v>1690</v>
      </c>
      <c r="D838" s="738">
        <f t="shared" si="26"/>
        <v>402.45</v>
      </c>
      <c r="F838" s="1405">
        <v>402.45</v>
      </c>
      <c r="G838" s="1405">
        <v>402.45</v>
      </c>
      <c r="H838" t="b">
        <f t="shared" si="27"/>
        <v>1</v>
      </c>
    </row>
    <row r="839" spans="1:8">
      <c r="A839" s="739">
        <v>34639</v>
      </c>
      <c r="B839" s="740" t="s">
        <v>9228</v>
      </c>
      <c r="C839" s="739" t="s">
        <v>1690</v>
      </c>
      <c r="D839" s="741">
        <f t="shared" si="26"/>
        <v>928.92</v>
      </c>
      <c r="F839" s="1406">
        <v>928.92</v>
      </c>
      <c r="G839" s="1406">
        <v>928.92</v>
      </c>
      <c r="H839" t="b">
        <f t="shared" si="27"/>
        <v>1</v>
      </c>
    </row>
    <row r="840" spans="1:8">
      <c r="A840" s="677">
        <v>34640</v>
      </c>
      <c r="B840" s="733" t="s">
        <v>9229</v>
      </c>
      <c r="C840" s="677" t="s">
        <v>1690</v>
      </c>
      <c r="D840" s="738">
        <f t="shared" si="26"/>
        <v>1053.72</v>
      </c>
      <c r="F840" s="1405">
        <v>1053.72</v>
      </c>
      <c r="G840" s="1405">
        <v>1053.72</v>
      </c>
      <c r="H840" t="b">
        <f t="shared" si="27"/>
        <v>1</v>
      </c>
    </row>
    <row r="841" spans="1:8">
      <c r="A841" s="739">
        <v>43977</v>
      </c>
      <c r="B841" s="740" t="s">
        <v>9230</v>
      </c>
      <c r="C841" s="739" t="s">
        <v>1690</v>
      </c>
      <c r="D841" s="741">
        <f t="shared" si="26"/>
        <v>1816.55</v>
      </c>
      <c r="F841" s="1406">
        <v>1816.55</v>
      </c>
      <c r="G841" s="1406">
        <v>1816.55</v>
      </c>
      <c r="H841" t="b">
        <f t="shared" si="27"/>
        <v>1</v>
      </c>
    </row>
    <row r="842" spans="1:8">
      <c r="A842" s="677">
        <v>34637</v>
      </c>
      <c r="B842" s="733" t="s">
        <v>9231</v>
      </c>
      <c r="C842" s="677" t="s">
        <v>1690</v>
      </c>
      <c r="D842" s="738">
        <f t="shared" si="26"/>
        <v>243.38</v>
      </c>
      <c r="F842" s="1405">
        <v>243.38</v>
      </c>
      <c r="G842" s="1405">
        <v>243.38</v>
      </c>
      <c r="H842" t="b">
        <f t="shared" si="27"/>
        <v>1</v>
      </c>
    </row>
    <row r="843" spans="1:8">
      <c r="A843" s="739">
        <v>34638</v>
      </c>
      <c r="B843" s="740" t="s">
        <v>9232</v>
      </c>
      <c r="C843" s="739" t="s">
        <v>1690</v>
      </c>
      <c r="D843" s="741">
        <f t="shared" si="26"/>
        <v>376.46</v>
      </c>
      <c r="F843" s="1406">
        <v>376.46</v>
      </c>
      <c r="G843" s="1406">
        <v>376.46</v>
      </c>
      <c r="H843" t="b">
        <f t="shared" si="27"/>
        <v>1</v>
      </c>
    </row>
    <row r="844" spans="1:8">
      <c r="A844" s="677">
        <v>34641</v>
      </c>
      <c r="B844" s="733" t="s">
        <v>9233</v>
      </c>
      <c r="C844" s="677" t="s">
        <v>1690</v>
      </c>
      <c r="D844" s="738">
        <f t="shared" si="26"/>
        <v>114.1</v>
      </c>
      <c r="F844" s="1405">
        <v>114.1</v>
      </c>
      <c r="G844" s="1405">
        <v>114.1</v>
      </c>
      <c r="H844" t="b">
        <f t="shared" si="27"/>
        <v>1</v>
      </c>
    </row>
    <row r="845" spans="1:8">
      <c r="A845" s="739">
        <v>43434</v>
      </c>
      <c r="B845" s="740" t="s">
        <v>9234</v>
      </c>
      <c r="C845" s="739" t="s">
        <v>1690</v>
      </c>
      <c r="D845" s="741">
        <f t="shared" si="26"/>
        <v>123.36</v>
      </c>
      <c r="F845" s="1406">
        <v>123.36</v>
      </c>
      <c r="G845" s="1406">
        <v>123.36</v>
      </c>
      <c r="H845" t="b">
        <f t="shared" si="27"/>
        <v>1</v>
      </c>
    </row>
    <row r="846" spans="1:8">
      <c r="A846" s="677">
        <v>43435</v>
      </c>
      <c r="B846" s="733" t="s">
        <v>9235</v>
      </c>
      <c r="C846" s="677" t="s">
        <v>1690</v>
      </c>
      <c r="D846" s="738">
        <f t="shared" si="26"/>
        <v>226.16</v>
      </c>
      <c r="F846" s="1405">
        <v>226.16</v>
      </c>
      <c r="G846" s="1405">
        <v>226.16</v>
      </c>
      <c r="H846" t="b">
        <f t="shared" si="27"/>
        <v>1</v>
      </c>
    </row>
    <row r="847" spans="1:8">
      <c r="A847" s="739">
        <v>43436</v>
      </c>
      <c r="B847" s="740" t="s">
        <v>9236</v>
      </c>
      <c r="C847" s="739" t="s">
        <v>1690</v>
      </c>
      <c r="D847" s="741">
        <f t="shared" si="26"/>
        <v>395.78</v>
      </c>
      <c r="F847" s="1406">
        <v>395.78</v>
      </c>
      <c r="G847" s="1406">
        <v>395.78</v>
      </c>
      <c r="H847" t="b">
        <f t="shared" si="27"/>
        <v>1</v>
      </c>
    </row>
    <row r="848" spans="1:8">
      <c r="A848" s="677">
        <v>43437</v>
      </c>
      <c r="B848" s="733" t="s">
        <v>9237</v>
      </c>
      <c r="C848" s="677" t="s">
        <v>1690</v>
      </c>
      <c r="D848" s="738">
        <f t="shared" si="26"/>
        <v>717.56</v>
      </c>
      <c r="F848" s="1405">
        <v>717.56</v>
      </c>
      <c r="G848" s="1405">
        <v>717.56</v>
      </c>
      <c r="H848" t="b">
        <f t="shared" si="27"/>
        <v>1</v>
      </c>
    </row>
    <row r="849" spans="1:8">
      <c r="A849" s="739">
        <v>43438</v>
      </c>
      <c r="B849" s="740" t="s">
        <v>9238</v>
      </c>
      <c r="C849" s="739" t="s">
        <v>1690</v>
      </c>
      <c r="D849" s="741">
        <f t="shared" si="26"/>
        <v>1285.03</v>
      </c>
      <c r="F849" s="1406">
        <v>1285.03</v>
      </c>
      <c r="G849" s="1406">
        <v>1285.03</v>
      </c>
      <c r="H849" t="b">
        <f t="shared" si="27"/>
        <v>1</v>
      </c>
    </row>
    <row r="850" spans="1:8">
      <c r="A850" s="677">
        <v>41627</v>
      </c>
      <c r="B850" s="733" t="s">
        <v>9239</v>
      </c>
      <c r="C850" s="677" t="s">
        <v>1690</v>
      </c>
      <c r="D850" s="738">
        <f t="shared" si="26"/>
        <v>190.18</v>
      </c>
      <c r="F850" s="1405">
        <v>190.18</v>
      </c>
      <c r="G850" s="1405">
        <v>190.18</v>
      </c>
      <c r="H850" t="b">
        <f t="shared" si="27"/>
        <v>1</v>
      </c>
    </row>
    <row r="851" spans="1:8">
      <c r="A851" s="739">
        <v>41628</v>
      </c>
      <c r="B851" s="740" t="s">
        <v>9240</v>
      </c>
      <c r="C851" s="739" t="s">
        <v>1690</v>
      </c>
      <c r="D851" s="741">
        <f t="shared" si="26"/>
        <v>349.52</v>
      </c>
      <c r="F851" s="1406">
        <v>349.52</v>
      </c>
      <c r="G851" s="1406">
        <v>349.52</v>
      </c>
      <c r="H851" t="b">
        <f t="shared" si="27"/>
        <v>1</v>
      </c>
    </row>
    <row r="852" spans="1:8">
      <c r="A852" s="677">
        <v>41629</v>
      </c>
      <c r="B852" s="733" t="s">
        <v>9241</v>
      </c>
      <c r="C852" s="677" t="s">
        <v>1690</v>
      </c>
      <c r="D852" s="738">
        <f t="shared" si="26"/>
        <v>444.1</v>
      </c>
      <c r="F852" s="1405">
        <v>444.1</v>
      </c>
      <c r="G852" s="1405">
        <v>444.1</v>
      </c>
      <c r="H852" t="b">
        <f t="shared" si="27"/>
        <v>1</v>
      </c>
    </row>
    <row r="853" spans="1:8">
      <c r="A853" s="739">
        <v>43429</v>
      </c>
      <c r="B853" s="740" t="s">
        <v>9242</v>
      </c>
      <c r="C853" s="739" t="s">
        <v>1690</v>
      </c>
      <c r="D853" s="741">
        <f t="shared" si="26"/>
        <v>98.4</v>
      </c>
      <c r="F853" s="1406">
        <v>98.4</v>
      </c>
      <c r="G853" s="1406">
        <v>98.4</v>
      </c>
      <c r="H853" t="b">
        <f t="shared" si="27"/>
        <v>1</v>
      </c>
    </row>
    <row r="854" spans="1:8">
      <c r="A854" s="677">
        <v>43430</v>
      </c>
      <c r="B854" s="733" t="s">
        <v>9243</v>
      </c>
      <c r="C854" s="677" t="s">
        <v>1690</v>
      </c>
      <c r="D854" s="738">
        <f t="shared" si="26"/>
        <v>163.44999999999999</v>
      </c>
      <c r="F854" s="1405">
        <v>163.44999999999999</v>
      </c>
      <c r="G854" s="1405">
        <v>163.44999999999999</v>
      </c>
      <c r="H854" t="b">
        <f t="shared" si="27"/>
        <v>1</v>
      </c>
    </row>
    <row r="855" spans="1:8">
      <c r="A855" s="739">
        <v>43431</v>
      </c>
      <c r="B855" s="740" t="s">
        <v>9244</v>
      </c>
      <c r="C855" s="739" t="s">
        <v>1690</v>
      </c>
      <c r="D855" s="741">
        <f t="shared" si="26"/>
        <v>316.63</v>
      </c>
      <c r="F855" s="1406">
        <v>316.63</v>
      </c>
      <c r="G855" s="1406">
        <v>316.63</v>
      </c>
      <c r="H855" t="b">
        <f t="shared" si="27"/>
        <v>1</v>
      </c>
    </row>
    <row r="856" spans="1:8">
      <c r="A856" s="677">
        <v>43432</v>
      </c>
      <c r="B856" s="733" t="s">
        <v>9245</v>
      </c>
      <c r="C856" s="677" t="s">
        <v>1690</v>
      </c>
      <c r="D856" s="738">
        <f t="shared" si="26"/>
        <v>657.93</v>
      </c>
      <c r="F856" s="1405">
        <v>657.93</v>
      </c>
      <c r="G856" s="1405">
        <v>657.93</v>
      </c>
      <c r="H856" t="b">
        <f t="shared" si="27"/>
        <v>1</v>
      </c>
    </row>
    <row r="857" spans="1:8">
      <c r="A857" s="739">
        <v>43433</v>
      </c>
      <c r="B857" s="740" t="s">
        <v>9246</v>
      </c>
      <c r="C857" s="739" t="s">
        <v>1690</v>
      </c>
      <c r="D857" s="741">
        <f t="shared" si="26"/>
        <v>1037.27</v>
      </c>
      <c r="F857" s="1406">
        <v>1037.27</v>
      </c>
      <c r="G857" s="1406">
        <v>1037.27</v>
      </c>
      <c r="H857" t="b">
        <f t="shared" si="27"/>
        <v>1</v>
      </c>
    </row>
    <row r="858" spans="1:8" ht="30">
      <c r="A858" s="677">
        <v>43094</v>
      </c>
      <c r="B858" s="733" t="s">
        <v>9247</v>
      </c>
      <c r="C858" s="677" t="s">
        <v>1690</v>
      </c>
      <c r="D858" s="738">
        <f t="shared" si="26"/>
        <v>305.33999999999997</v>
      </c>
      <c r="F858" s="1405">
        <v>305.33999999999997</v>
      </c>
      <c r="G858" s="1405">
        <v>305.33999999999997</v>
      </c>
      <c r="H858" t="b">
        <f t="shared" si="27"/>
        <v>1</v>
      </c>
    </row>
    <row r="859" spans="1:8" ht="30">
      <c r="A859" s="739">
        <v>43093</v>
      </c>
      <c r="B859" s="740" t="s">
        <v>9248</v>
      </c>
      <c r="C859" s="739" t="s">
        <v>1690</v>
      </c>
      <c r="D859" s="741">
        <f t="shared" si="26"/>
        <v>324.48</v>
      </c>
      <c r="F859" s="1406">
        <v>324.48</v>
      </c>
      <c r="G859" s="1406">
        <v>324.48</v>
      </c>
      <c r="H859" t="b">
        <f t="shared" si="27"/>
        <v>1</v>
      </c>
    </row>
    <row r="860" spans="1:8" ht="30">
      <c r="A860" s="677">
        <v>11694</v>
      </c>
      <c r="B860" s="733" t="s">
        <v>9249</v>
      </c>
      <c r="C860" s="677" t="s">
        <v>1690</v>
      </c>
      <c r="D860" s="738">
        <f t="shared" si="26"/>
        <v>993.63</v>
      </c>
      <c r="F860" s="1405">
        <v>993.63</v>
      </c>
      <c r="G860" s="1405">
        <v>993.63</v>
      </c>
      <c r="H860" t="b">
        <f t="shared" si="27"/>
        <v>1</v>
      </c>
    </row>
    <row r="861" spans="1:8" ht="30">
      <c r="A861" s="739">
        <v>1030</v>
      </c>
      <c r="B861" s="740" t="s">
        <v>9250</v>
      </c>
      <c r="C861" s="739" t="s">
        <v>1690</v>
      </c>
      <c r="D861" s="741">
        <f t="shared" si="26"/>
        <v>44.95</v>
      </c>
      <c r="F861" s="1406">
        <v>44.95</v>
      </c>
      <c r="G861" s="1406">
        <v>44.95</v>
      </c>
      <c r="H861" t="b">
        <f t="shared" si="27"/>
        <v>1</v>
      </c>
    </row>
    <row r="862" spans="1:8" ht="30">
      <c r="A862" s="677">
        <v>11881</v>
      </c>
      <c r="B862" s="733" t="s">
        <v>9251</v>
      </c>
      <c r="C862" s="677" t="s">
        <v>1690</v>
      </c>
      <c r="D862" s="738">
        <f t="shared" si="26"/>
        <v>174.76</v>
      </c>
      <c r="F862" s="1405">
        <v>174.76</v>
      </c>
      <c r="G862" s="1405">
        <v>174.76</v>
      </c>
      <c r="H862" t="b">
        <f t="shared" si="27"/>
        <v>1</v>
      </c>
    </row>
    <row r="863" spans="1:8" ht="30">
      <c r="A863" s="739">
        <v>35277</v>
      </c>
      <c r="B863" s="740" t="s">
        <v>9252</v>
      </c>
      <c r="C863" s="739" t="s">
        <v>1690</v>
      </c>
      <c r="D863" s="741">
        <f t="shared" si="26"/>
        <v>370.36</v>
      </c>
      <c r="F863" s="1406">
        <v>370.36</v>
      </c>
      <c r="G863" s="1406">
        <v>370.36</v>
      </c>
      <c r="H863" t="b">
        <f t="shared" si="27"/>
        <v>1</v>
      </c>
    </row>
    <row r="864" spans="1:8" ht="45">
      <c r="A864" s="677">
        <v>10521</v>
      </c>
      <c r="B864" s="733" t="s">
        <v>9253</v>
      </c>
      <c r="C864" s="677" t="s">
        <v>1690</v>
      </c>
      <c r="D864" s="738">
        <f t="shared" si="26"/>
        <v>272.97000000000003</v>
      </c>
      <c r="F864" s="1405">
        <v>272.97000000000003</v>
      </c>
      <c r="G864" s="1405">
        <v>272.97000000000003</v>
      </c>
      <c r="H864" t="b">
        <f t="shared" si="27"/>
        <v>1</v>
      </c>
    </row>
    <row r="865" spans="1:8" ht="45">
      <c r="A865" s="739">
        <v>10885</v>
      </c>
      <c r="B865" s="740" t="s">
        <v>9254</v>
      </c>
      <c r="C865" s="739" t="s">
        <v>1690</v>
      </c>
      <c r="D865" s="741">
        <f t="shared" si="26"/>
        <v>345.27</v>
      </c>
      <c r="F865" s="1406">
        <v>345.27</v>
      </c>
      <c r="G865" s="1406">
        <v>345.27</v>
      </c>
      <c r="H865" t="b">
        <f t="shared" si="27"/>
        <v>1</v>
      </c>
    </row>
    <row r="866" spans="1:8" ht="45">
      <c r="A866" s="677">
        <v>20962</v>
      </c>
      <c r="B866" s="733" t="s">
        <v>9255</v>
      </c>
      <c r="C866" s="677" t="s">
        <v>1690</v>
      </c>
      <c r="D866" s="738">
        <f t="shared" si="26"/>
        <v>285.97000000000003</v>
      </c>
      <c r="F866" s="1405">
        <v>285.97000000000003</v>
      </c>
      <c r="G866" s="1405">
        <v>285.97000000000003</v>
      </c>
      <c r="H866" t="b">
        <f t="shared" si="27"/>
        <v>1</v>
      </c>
    </row>
    <row r="867" spans="1:8" ht="45">
      <c r="A867" s="739">
        <v>20963</v>
      </c>
      <c r="B867" s="740" t="s">
        <v>9256</v>
      </c>
      <c r="C867" s="739" t="s">
        <v>1690</v>
      </c>
      <c r="D867" s="741">
        <f t="shared" si="26"/>
        <v>349.33</v>
      </c>
      <c r="F867" s="1406">
        <v>349.33</v>
      </c>
      <c r="G867" s="1406">
        <v>349.33</v>
      </c>
      <c r="H867" t="b">
        <f t="shared" si="27"/>
        <v>1</v>
      </c>
    </row>
    <row r="868" spans="1:8">
      <c r="A868" s="677">
        <v>34643</v>
      </c>
      <c r="B868" s="733" t="s">
        <v>9257</v>
      </c>
      <c r="C868" s="677" t="s">
        <v>1690</v>
      </c>
      <c r="D868" s="738">
        <f t="shared" si="26"/>
        <v>42.65</v>
      </c>
      <c r="F868" s="1405">
        <v>42.65</v>
      </c>
      <c r="G868" s="1405">
        <v>42.65</v>
      </c>
      <c r="H868" t="b">
        <f t="shared" si="27"/>
        <v>1</v>
      </c>
    </row>
    <row r="869" spans="1:8">
      <c r="A869" s="739">
        <v>41480</v>
      </c>
      <c r="B869" s="740" t="s">
        <v>9258</v>
      </c>
      <c r="C869" s="739" t="s">
        <v>1690</v>
      </c>
      <c r="D869" s="741">
        <f t="shared" si="26"/>
        <v>49.45</v>
      </c>
      <c r="F869" s="1406">
        <v>49.45</v>
      </c>
      <c r="G869" s="1406">
        <v>49.45</v>
      </c>
      <c r="H869" t="b">
        <f t="shared" si="27"/>
        <v>1</v>
      </c>
    </row>
    <row r="870" spans="1:8">
      <c r="A870" s="677">
        <v>41474</v>
      </c>
      <c r="B870" s="733" t="s">
        <v>9259</v>
      </c>
      <c r="C870" s="677" t="s">
        <v>1690</v>
      </c>
      <c r="D870" s="738">
        <f t="shared" si="26"/>
        <v>79</v>
      </c>
      <c r="F870" s="1405">
        <v>79</v>
      </c>
      <c r="G870" s="1405">
        <v>79</v>
      </c>
      <c r="H870" t="b">
        <f t="shared" si="27"/>
        <v>1</v>
      </c>
    </row>
    <row r="871" spans="1:8">
      <c r="A871" s="739">
        <v>41475</v>
      </c>
      <c r="B871" s="740" t="s">
        <v>9260</v>
      </c>
      <c r="C871" s="739" t="s">
        <v>1690</v>
      </c>
      <c r="D871" s="741">
        <f t="shared" si="26"/>
        <v>67.400000000000006</v>
      </c>
      <c r="F871" s="1406">
        <v>67.400000000000006</v>
      </c>
      <c r="G871" s="1406">
        <v>67.400000000000006</v>
      </c>
      <c r="H871" t="b">
        <f t="shared" si="27"/>
        <v>1</v>
      </c>
    </row>
    <row r="872" spans="1:8">
      <c r="A872" s="677">
        <v>41476</v>
      </c>
      <c r="B872" s="733" t="s">
        <v>9261</v>
      </c>
      <c r="C872" s="677" t="s">
        <v>1690</v>
      </c>
      <c r="D872" s="738">
        <f t="shared" si="26"/>
        <v>147.59</v>
      </c>
      <c r="F872" s="1405">
        <v>147.59</v>
      </c>
      <c r="G872" s="1405">
        <v>147.59</v>
      </c>
      <c r="H872" t="b">
        <f t="shared" si="27"/>
        <v>1</v>
      </c>
    </row>
    <row r="873" spans="1:8">
      <c r="A873" s="739">
        <v>2555</v>
      </c>
      <c r="B873" s="740" t="s">
        <v>9262</v>
      </c>
      <c r="C873" s="739" t="s">
        <v>1690</v>
      </c>
      <c r="D873" s="741">
        <f t="shared" si="26"/>
        <v>1.8</v>
      </c>
      <c r="F873" s="1406">
        <v>1.8</v>
      </c>
      <c r="G873" s="1406">
        <v>1.8</v>
      </c>
      <c r="H873" t="b">
        <f t="shared" si="27"/>
        <v>1</v>
      </c>
    </row>
    <row r="874" spans="1:8">
      <c r="A874" s="677">
        <v>2556</v>
      </c>
      <c r="B874" s="733" t="s">
        <v>9263</v>
      </c>
      <c r="C874" s="677" t="s">
        <v>1690</v>
      </c>
      <c r="D874" s="738">
        <f t="shared" si="26"/>
        <v>1.86</v>
      </c>
      <c r="F874" s="1405">
        <v>1.86</v>
      </c>
      <c r="G874" s="1405">
        <v>1.86</v>
      </c>
      <c r="H874" t="b">
        <f t="shared" si="27"/>
        <v>1</v>
      </c>
    </row>
    <row r="875" spans="1:8">
      <c r="A875" s="739">
        <v>2557</v>
      </c>
      <c r="B875" s="740" t="s">
        <v>9264</v>
      </c>
      <c r="C875" s="739" t="s">
        <v>1690</v>
      </c>
      <c r="D875" s="741">
        <f t="shared" si="26"/>
        <v>3.93</v>
      </c>
      <c r="F875" s="1406">
        <v>3.93</v>
      </c>
      <c r="G875" s="1406">
        <v>3.93</v>
      </c>
      <c r="H875" t="b">
        <f t="shared" si="27"/>
        <v>1</v>
      </c>
    </row>
    <row r="876" spans="1:8">
      <c r="A876" s="677">
        <v>10569</v>
      </c>
      <c r="B876" s="733" t="s">
        <v>9265</v>
      </c>
      <c r="C876" s="677" t="s">
        <v>1690</v>
      </c>
      <c r="D876" s="738">
        <f t="shared" si="26"/>
        <v>3.93</v>
      </c>
      <c r="F876" s="1405">
        <v>3.93</v>
      </c>
      <c r="G876" s="1405">
        <v>3.93</v>
      </c>
      <c r="H876" t="b">
        <f t="shared" si="27"/>
        <v>1</v>
      </c>
    </row>
    <row r="877" spans="1:8">
      <c r="A877" s="739">
        <v>39810</v>
      </c>
      <c r="B877" s="740" t="s">
        <v>9266</v>
      </c>
      <c r="C877" s="739" t="s">
        <v>1690</v>
      </c>
      <c r="D877" s="741">
        <f t="shared" si="26"/>
        <v>41.2</v>
      </c>
      <c r="F877" s="1406">
        <v>41.2</v>
      </c>
      <c r="G877" s="1406">
        <v>41.2</v>
      </c>
      <c r="H877" t="b">
        <f t="shared" si="27"/>
        <v>1</v>
      </c>
    </row>
    <row r="878" spans="1:8">
      <c r="A878" s="677">
        <v>39811</v>
      </c>
      <c r="B878" s="733" t="s">
        <v>9267</v>
      </c>
      <c r="C878" s="677" t="s">
        <v>1690</v>
      </c>
      <c r="D878" s="738">
        <f t="shared" si="26"/>
        <v>50.4</v>
      </c>
      <c r="F878" s="1405">
        <v>50.4</v>
      </c>
      <c r="G878" s="1405">
        <v>50.4</v>
      </c>
      <c r="H878" t="b">
        <f t="shared" si="27"/>
        <v>1</v>
      </c>
    </row>
    <row r="879" spans="1:8">
      <c r="A879" s="739">
        <v>39812</v>
      </c>
      <c r="B879" s="740" t="s">
        <v>9268</v>
      </c>
      <c r="C879" s="739" t="s">
        <v>1690</v>
      </c>
      <c r="D879" s="741">
        <f t="shared" si="26"/>
        <v>82.87</v>
      </c>
      <c r="F879" s="1406">
        <v>82.87</v>
      </c>
      <c r="G879" s="1406">
        <v>82.87</v>
      </c>
      <c r="H879" t="b">
        <f t="shared" si="27"/>
        <v>1</v>
      </c>
    </row>
    <row r="880" spans="1:8" ht="30">
      <c r="A880" s="677">
        <v>43096</v>
      </c>
      <c r="B880" s="733" t="s">
        <v>9269</v>
      </c>
      <c r="C880" s="677" t="s">
        <v>1690</v>
      </c>
      <c r="D880" s="738">
        <f t="shared" si="26"/>
        <v>274.70999999999998</v>
      </c>
      <c r="F880" s="1405">
        <v>274.70999999999998</v>
      </c>
      <c r="G880" s="1405">
        <v>274.70999999999998</v>
      </c>
      <c r="H880" t="b">
        <f t="shared" si="27"/>
        <v>1</v>
      </c>
    </row>
    <row r="881" spans="1:8">
      <c r="A881" s="739">
        <v>43102</v>
      </c>
      <c r="B881" s="740" t="s">
        <v>9270</v>
      </c>
      <c r="C881" s="739" t="s">
        <v>1690</v>
      </c>
      <c r="D881" s="741">
        <f t="shared" si="26"/>
        <v>167.04</v>
      </c>
      <c r="F881" s="1406">
        <v>167.04</v>
      </c>
      <c r="G881" s="1406">
        <v>167.04</v>
      </c>
      <c r="H881" t="b">
        <f t="shared" si="27"/>
        <v>1</v>
      </c>
    </row>
    <row r="882" spans="1:8">
      <c r="A882" s="677">
        <v>43103</v>
      </c>
      <c r="B882" s="733" t="s">
        <v>9271</v>
      </c>
      <c r="C882" s="677" t="s">
        <v>1690</v>
      </c>
      <c r="D882" s="738">
        <f t="shared" si="26"/>
        <v>245.97</v>
      </c>
      <c r="F882" s="1405">
        <v>245.97</v>
      </c>
      <c r="G882" s="1405">
        <v>245.97</v>
      </c>
      <c r="H882" t="b">
        <f t="shared" si="27"/>
        <v>1</v>
      </c>
    </row>
    <row r="883" spans="1:8" ht="30">
      <c r="A883" s="739">
        <v>43098</v>
      </c>
      <c r="B883" s="740" t="s">
        <v>9272</v>
      </c>
      <c r="C883" s="739" t="s">
        <v>1690</v>
      </c>
      <c r="D883" s="741">
        <f t="shared" si="26"/>
        <v>93.05</v>
      </c>
      <c r="F883" s="1406">
        <v>93.05</v>
      </c>
      <c r="G883" s="1406">
        <v>93.05</v>
      </c>
      <c r="H883" t="b">
        <f t="shared" si="27"/>
        <v>1</v>
      </c>
    </row>
    <row r="884" spans="1:8" ht="30">
      <c r="A884" s="677">
        <v>43097</v>
      </c>
      <c r="B884" s="733" t="s">
        <v>9273</v>
      </c>
      <c r="C884" s="677" t="s">
        <v>1690</v>
      </c>
      <c r="D884" s="738">
        <f t="shared" si="26"/>
        <v>55.13</v>
      </c>
      <c r="F884" s="1405">
        <v>55.13</v>
      </c>
      <c r="G884" s="1405">
        <v>55.13</v>
      </c>
      <c r="H884" t="b">
        <f t="shared" si="27"/>
        <v>1</v>
      </c>
    </row>
    <row r="885" spans="1:8">
      <c r="A885" s="739">
        <v>43104</v>
      </c>
      <c r="B885" s="740" t="s">
        <v>9274</v>
      </c>
      <c r="C885" s="739" t="s">
        <v>1690</v>
      </c>
      <c r="D885" s="741">
        <f t="shared" si="26"/>
        <v>652.13</v>
      </c>
      <c r="F885" s="1406">
        <v>652.13</v>
      </c>
      <c r="G885" s="1406">
        <v>652.13</v>
      </c>
      <c r="H885" t="b">
        <f t="shared" si="27"/>
        <v>1</v>
      </c>
    </row>
    <row r="886" spans="1:8">
      <c r="A886" s="677">
        <v>39771</v>
      </c>
      <c r="B886" s="733" t="s">
        <v>9275</v>
      </c>
      <c r="C886" s="677" t="s">
        <v>1690</v>
      </c>
      <c r="D886" s="738">
        <f t="shared" si="26"/>
        <v>37.799999999999997</v>
      </c>
      <c r="F886" s="1405">
        <v>37.799999999999997</v>
      </c>
      <c r="G886" s="1405">
        <v>37.799999999999997</v>
      </c>
      <c r="H886" t="b">
        <f t="shared" si="27"/>
        <v>1</v>
      </c>
    </row>
    <row r="887" spans="1:8">
      <c r="A887" s="739">
        <v>39772</v>
      </c>
      <c r="B887" s="740" t="s">
        <v>9276</v>
      </c>
      <c r="C887" s="739" t="s">
        <v>1690</v>
      </c>
      <c r="D887" s="741">
        <f t="shared" si="26"/>
        <v>74.31</v>
      </c>
      <c r="F887" s="1406">
        <v>74.31</v>
      </c>
      <c r="G887" s="1406">
        <v>74.31</v>
      </c>
      <c r="H887" t="b">
        <f t="shared" si="27"/>
        <v>1</v>
      </c>
    </row>
    <row r="888" spans="1:8">
      <c r="A888" s="677">
        <v>39773</v>
      </c>
      <c r="B888" s="733" t="s">
        <v>9277</v>
      </c>
      <c r="C888" s="677" t="s">
        <v>1690</v>
      </c>
      <c r="D888" s="738">
        <f t="shared" si="26"/>
        <v>119.43</v>
      </c>
      <c r="F888" s="1405">
        <v>119.43</v>
      </c>
      <c r="G888" s="1405">
        <v>119.43</v>
      </c>
      <c r="H888" t="b">
        <f t="shared" si="27"/>
        <v>1</v>
      </c>
    </row>
    <row r="889" spans="1:8">
      <c r="A889" s="739">
        <v>39774</v>
      </c>
      <c r="B889" s="740" t="s">
        <v>9278</v>
      </c>
      <c r="C889" s="739" t="s">
        <v>1690</v>
      </c>
      <c r="D889" s="741">
        <f t="shared" si="26"/>
        <v>178.64</v>
      </c>
      <c r="F889" s="1406">
        <v>178.64</v>
      </c>
      <c r="G889" s="1406">
        <v>178.64</v>
      </c>
      <c r="H889" t="b">
        <f t="shared" si="27"/>
        <v>1</v>
      </c>
    </row>
    <row r="890" spans="1:8">
      <c r="A890" s="677">
        <v>39775</v>
      </c>
      <c r="B890" s="733" t="s">
        <v>9279</v>
      </c>
      <c r="C890" s="677" t="s">
        <v>1690</v>
      </c>
      <c r="D890" s="738">
        <f t="shared" si="26"/>
        <v>238.43</v>
      </c>
      <c r="F890" s="1405">
        <v>238.43</v>
      </c>
      <c r="G890" s="1405">
        <v>238.43</v>
      </c>
      <c r="H890" t="b">
        <f t="shared" si="27"/>
        <v>1</v>
      </c>
    </row>
    <row r="891" spans="1:8">
      <c r="A891" s="739">
        <v>39776</v>
      </c>
      <c r="B891" s="740" t="s">
        <v>9280</v>
      </c>
      <c r="C891" s="739" t="s">
        <v>1690</v>
      </c>
      <c r="D891" s="741">
        <f t="shared" si="26"/>
        <v>288.14</v>
      </c>
      <c r="F891" s="1406">
        <v>288.14</v>
      </c>
      <c r="G891" s="1406">
        <v>288.14</v>
      </c>
      <c r="H891" t="b">
        <f t="shared" si="27"/>
        <v>1</v>
      </c>
    </row>
    <row r="892" spans="1:8">
      <c r="A892" s="677">
        <v>39777</v>
      </c>
      <c r="B892" s="733" t="s">
        <v>9281</v>
      </c>
      <c r="C892" s="677" t="s">
        <v>1690</v>
      </c>
      <c r="D892" s="738">
        <f t="shared" si="26"/>
        <v>365.21</v>
      </c>
      <c r="F892" s="1405">
        <v>365.21</v>
      </c>
      <c r="G892" s="1405">
        <v>365.21</v>
      </c>
      <c r="H892" t="b">
        <f t="shared" si="27"/>
        <v>1</v>
      </c>
    </row>
    <row r="893" spans="1:8">
      <c r="A893" s="739">
        <v>20254</v>
      </c>
      <c r="B893" s="740" t="s">
        <v>9282</v>
      </c>
      <c r="C893" s="739" t="s">
        <v>1690</v>
      </c>
      <c r="D893" s="741">
        <f t="shared" si="26"/>
        <v>26.51</v>
      </c>
      <c r="F893" s="1406">
        <v>26.51</v>
      </c>
      <c r="G893" s="1406">
        <v>26.51</v>
      </c>
      <c r="H893" t="b">
        <f t="shared" si="27"/>
        <v>1</v>
      </c>
    </row>
    <row r="894" spans="1:8">
      <c r="A894" s="677">
        <v>20253</v>
      </c>
      <c r="B894" s="733" t="s">
        <v>9283</v>
      </c>
      <c r="C894" s="677" t="s">
        <v>1690</v>
      </c>
      <c r="D894" s="738">
        <f t="shared" si="26"/>
        <v>87.04</v>
      </c>
      <c r="F894" s="1405">
        <v>87.04</v>
      </c>
      <c r="G894" s="1405">
        <v>87.04</v>
      </c>
      <c r="H894" t="b">
        <f t="shared" si="27"/>
        <v>1</v>
      </c>
    </row>
    <row r="895" spans="1:8" ht="30">
      <c r="A895" s="739">
        <v>11247</v>
      </c>
      <c r="B895" s="740" t="s">
        <v>9284</v>
      </c>
      <c r="C895" s="739" t="s">
        <v>1690</v>
      </c>
      <c r="D895" s="741">
        <f t="shared" si="26"/>
        <v>1673.76</v>
      </c>
      <c r="F895" s="1406">
        <v>1673.76</v>
      </c>
      <c r="G895" s="1406">
        <v>1673.76</v>
      </c>
      <c r="H895" t="b">
        <f t="shared" si="27"/>
        <v>1</v>
      </c>
    </row>
    <row r="896" spans="1:8" ht="30">
      <c r="A896" s="677">
        <v>11250</v>
      </c>
      <c r="B896" s="733" t="s">
        <v>9285</v>
      </c>
      <c r="C896" s="677" t="s">
        <v>1690</v>
      </c>
      <c r="D896" s="738">
        <f t="shared" si="26"/>
        <v>72.06</v>
      </c>
      <c r="F896" s="1405">
        <v>72.06</v>
      </c>
      <c r="G896" s="1405">
        <v>72.06</v>
      </c>
      <c r="H896" t="b">
        <f t="shared" si="27"/>
        <v>1</v>
      </c>
    </row>
    <row r="897" spans="1:8" ht="30">
      <c r="A897" s="739">
        <v>11249</v>
      </c>
      <c r="B897" s="740" t="s">
        <v>9286</v>
      </c>
      <c r="C897" s="739" t="s">
        <v>1690</v>
      </c>
      <c r="D897" s="741">
        <f t="shared" si="26"/>
        <v>3269.45</v>
      </c>
      <c r="F897" s="1406">
        <v>3269.45</v>
      </c>
      <c r="G897" s="1406">
        <v>3269.45</v>
      </c>
      <c r="H897" t="b">
        <f t="shared" si="27"/>
        <v>1</v>
      </c>
    </row>
    <row r="898" spans="1:8" ht="30">
      <c r="A898" s="677">
        <v>11251</v>
      </c>
      <c r="B898" s="733" t="s">
        <v>9287</v>
      </c>
      <c r="C898" s="677" t="s">
        <v>1690</v>
      </c>
      <c r="D898" s="738">
        <f t="shared" si="26"/>
        <v>159.61000000000001</v>
      </c>
      <c r="F898" s="1405">
        <v>159.61000000000001</v>
      </c>
      <c r="G898" s="1405">
        <v>159.61000000000001</v>
      </c>
      <c r="H898" t="b">
        <f t="shared" si="27"/>
        <v>1</v>
      </c>
    </row>
    <row r="899" spans="1:8" ht="30">
      <c r="A899" s="739">
        <v>11253</v>
      </c>
      <c r="B899" s="740" t="s">
        <v>9288</v>
      </c>
      <c r="C899" s="739" t="s">
        <v>1690</v>
      </c>
      <c r="D899" s="741">
        <f t="shared" ref="D899:D962" si="28">IF($J$2=$F$1,F899,G899)</f>
        <v>264.49</v>
      </c>
      <c r="F899" s="1406">
        <v>264.49</v>
      </c>
      <c r="G899" s="1406">
        <v>264.49</v>
      </c>
      <c r="H899" t="b">
        <f t="shared" ref="H899:H962" si="29">F899=G899</f>
        <v>1</v>
      </c>
    </row>
    <row r="900" spans="1:8" ht="30">
      <c r="A900" s="677">
        <v>11255</v>
      </c>
      <c r="B900" s="733" t="s">
        <v>9289</v>
      </c>
      <c r="C900" s="677" t="s">
        <v>1690</v>
      </c>
      <c r="D900" s="738">
        <f t="shared" si="28"/>
        <v>395.41</v>
      </c>
      <c r="F900" s="1405">
        <v>395.41</v>
      </c>
      <c r="G900" s="1405">
        <v>395.41</v>
      </c>
      <c r="H900" t="b">
        <f t="shared" si="29"/>
        <v>1</v>
      </c>
    </row>
    <row r="901" spans="1:8" ht="30">
      <c r="A901" s="739">
        <v>14055</v>
      </c>
      <c r="B901" s="740" t="s">
        <v>9290</v>
      </c>
      <c r="C901" s="739" t="s">
        <v>1690</v>
      </c>
      <c r="D901" s="741">
        <f t="shared" si="28"/>
        <v>795.43</v>
      </c>
      <c r="F901" s="1406">
        <v>795.43</v>
      </c>
      <c r="G901" s="1406">
        <v>795.43</v>
      </c>
      <c r="H901" t="b">
        <f t="shared" si="29"/>
        <v>1</v>
      </c>
    </row>
    <row r="902" spans="1:8" ht="30">
      <c r="A902" s="677">
        <v>11256</v>
      </c>
      <c r="B902" s="733" t="s">
        <v>9291</v>
      </c>
      <c r="C902" s="677" t="s">
        <v>1690</v>
      </c>
      <c r="D902" s="738">
        <f t="shared" si="28"/>
        <v>495.29</v>
      </c>
      <c r="F902" s="1405">
        <v>495.29</v>
      </c>
      <c r="G902" s="1405">
        <v>495.29</v>
      </c>
      <c r="H902" t="b">
        <f t="shared" si="29"/>
        <v>1</v>
      </c>
    </row>
    <row r="903" spans="1:8">
      <c r="A903" s="739">
        <v>1872</v>
      </c>
      <c r="B903" s="740" t="s">
        <v>9292</v>
      </c>
      <c r="C903" s="739" t="s">
        <v>1690</v>
      </c>
      <c r="D903" s="741">
        <f t="shared" si="28"/>
        <v>2.62</v>
      </c>
      <c r="F903" s="1406">
        <v>2.62</v>
      </c>
      <c r="G903" s="1406">
        <v>2.62</v>
      </c>
      <c r="H903" t="b">
        <f t="shared" si="29"/>
        <v>1</v>
      </c>
    </row>
    <row r="904" spans="1:8">
      <c r="A904" s="677">
        <v>1873</v>
      </c>
      <c r="B904" s="733" t="s">
        <v>9293</v>
      </c>
      <c r="C904" s="677" t="s">
        <v>1690</v>
      </c>
      <c r="D904" s="738">
        <f t="shared" si="28"/>
        <v>5.21</v>
      </c>
      <c r="F904" s="1405">
        <v>5.21</v>
      </c>
      <c r="G904" s="1405">
        <v>5.21</v>
      </c>
      <c r="H904" t="b">
        <f t="shared" si="29"/>
        <v>1</v>
      </c>
    </row>
    <row r="905" spans="1:8" ht="30">
      <c r="A905" s="739">
        <v>39693</v>
      </c>
      <c r="B905" s="740" t="s">
        <v>9294</v>
      </c>
      <c r="C905" s="739" t="s">
        <v>1690</v>
      </c>
      <c r="D905" s="741">
        <f t="shared" si="28"/>
        <v>3110.69</v>
      </c>
      <c r="F905" s="1406">
        <v>3110.69</v>
      </c>
      <c r="G905" s="1406">
        <v>3110.69</v>
      </c>
      <c r="H905" t="b">
        <f t="shared" si="29"/>
        <v>1</v>
      </c>
    </row>
    <row r="906" spans="1:8">
      <c r="A906" s="677">
        <v>39692</v>
      </c>
      <c r="B906" s="733" t="s">
        <v>9295</v>
      </c>
      <c r="C906" s="677" t="s">
        <v>1690</v>
      </c>
      <c r="D906" s="738">
        <f t="shared" si="28"/>
        <v>995.35</v>
      </c>
      <c r="F906" s="1405">
        <v>995.35</v>
      </c>
      <c r="G906" s="1405">
        <v>995.35</v>
      </c>
      <c r="H906" t="b">
        <f t="shared" si="29"/>
        <v>1</v>
      </c>
    </row>
    <row r="907" spans="1:8" ht="30">
      <c r="A907" s="739">
        <v>1062</v>
      </c>
      <c r="B907" s="740" t="s">
        <v>9296</v>
      </c>
      <c r="C907" s="739" t="s">
        <v>1690</v>
      </c>
      <c r="D907" s="741">
        <f t="shared" si="28"/>
        <v>315.44</v>
      </c>
      <c r="F907" s="1406">
        <v>315.44</v>
      </c>
      <c r="G907" s="1406">
        <v>315.44</v>
      </c>
      <c r="H907" t="b">
        <f t="shared" si="29"/>
        <v>1</v>
      </c>
    </row>
    <row r="908" spans="1:8" ht="30">
      <c r="A908" s="677">
        <v>39686</v>
      </c>
      <c r="B908" s="733" t="s">
        <v>9297</v>
      </c>
      <c r="C908" s="677" t="s">
        <v>1690</v>
      </c>
      <c r="D908" s="738">
        <f t="shared" si="28"/>
        <v>510.77</v>
      </c>
      <c r="F908" s="1405">
        <v>510.77</v>
      </c>
      <c r="G908" s="1405">
        <v>510.77</v>
      </c>
      <c r="H908" t="b">
        <f t="shared" si="29"/>
        <v>1</v>
      </c>
    </row>
    <row r="909" spans="1:8" ht="30">
      <c r="A909" s="739">
        <v>43095</v>
      </c>
      <c r="B909" s="740" t="s">
        <v>9298</v>
      </c>
      <c r="C909" s="739" t="s">
        <v>1690</v>
      </c>
      <c r="D909" s="741">
        <f t="shared" si="28"/>
        <v>181.02</v>
      </c>
      <c r="F909" s="1406">
        <v>181.02</v>
      </c>
      <c r="G909" s="1406">
        <v>181.02</v>
      </c>
      <c r="H909" t="b">
        <f t="shared" si="29"/>
        <v>1</v>
      </c>
    </row>
    <row r="910" spans="1:8">
      <c r="A910" s="677">
        <v>1871</v>
      </c>
      <c r="B910" s="733" t="s">
        <v>9299</v>
      </c>
      <c r="C910" s="677" t="s">
        <v>1690</v>
      </c>
      <c r="D910" s="738">
        <f t="shared" si="28"/>
        <v>4.6900000000000004</v>
      </c>
      <c r="F910" s="1405">
        <v>4.6900000000000004</v>
      </c>
      <c r="G910" s="1405">
        <v>4.6900000000000004</v>
      </c>
      <c r="H910" t="b">
        <f t="shared" si="29"/>
        <v>1</v>
      </c>
    </row>
    <row r="911" spans="1:8">
      <c r="A911" s="739">
        <v>12001</v>
      </c>
      <c r="B911" s="740" t="s">
        <v>9300</v>
      </c>
      <c r="C911" s="739" t="s">
        <v>1690</v>
      </c>
      <c r="D911" s="741">
        <f t="shared" si="28"/>
        <v>6.78</v>
      </c>
      <c r="F911" s="1406">
        <v>6.78</v>
      </c>
      <c r="G911" s="1406">
        <v>6.78</v>
      </c>
      <c r="H911" t="b">
        <f t="shared" si="29"/>
        <v>1</v>
      </c>
    </row>
    <row r="912" spans="1:8">
      <c r="A912" s="677">
        <v>11882</v>
      </c>
      <c r="B912" s="733" t="s">
        <v>9301</v>
      </c>
      <c r="C912" s="677" t="s">
        <v>1690</v>
      </c>
      <c r="D912" s="738">
        <f t="shared" si="28"/>
        <v>125.41</v>
      </c>
      <c r="F912" s="1405">
        <v>125.41</v>
      </c>
      <c r="G912" s="1405">
        <v>125.41</v>
      </c>
      <c r="H912" t="b">
        <f t="shared" si="29"/>
        <v>1</v>
      </c>
    </row>
    <row r="913" spans="1:8" ht="30">
      <c r="A913" s="739">
        <v>1068</v>
      </c>
      <c r="B913" s="740" t="s">
        <v>9302</v>
      </c>
      <c r="C913" s="739" t="s">
        <v>1690</v>
      </c>
      <c r="D913" s="741">
        <f t="shared" si="28"/>
        <v>2080.6799999999998</v>
      </c>
      <c r="F913" s="1406">
        <v>2080.6799999999998</v>
      </c>
      <c r="G913" s="1406">
        <v>2080.6799999999998</v>
      </c>
      <c r="H913" t="b">
        <f t="shared" si="29"/>
        <v>1</v>
      </c>
    </row>
    <row r="914" spans="1:8" ht="30">
      <c r="A914" s="677">
        <v>39690</v>
      </c>
      <c r="B914" s="733" t="s">
        <v>9303</v>
      </c>
      <c r="C914" s="677" t="s">
        <v>1690</v>
      </c>
      <c r="D914" s="738">
        <f t="shared" si="28"/>
        <v>3490.69</v>
      </c>
      <c r="F914" s="1405">
        <v>3490.69</v>
      </c>
      <c r="G914" s="1405">
        <v>3490.69</v>
      </c>
      <c r="H914" t="b">
        <f t="shared" si="29"/>
        <v>1</v>
      </c>
    </row>
    <row r="915" spans="1:8" ht="30">
      <c r="A915" s="739">
        <v>39691</v>
      </c>
      <c r="B915" s="740" t="s">
        <v>9304</v>
      </c>
      <c r="C915" s="739" t="s">
        <v>1690</v>
      </c>
      <c r="D915" s="741">
        <f t="shared" si="28"/>
        <v>4390.3100000000004</v>
      </c>
      <c r="F915" s="1406">
        <v>4390.3100000000004</v>
      </c>
      <c r="G915" s="1406">
        <v>4390.3100000000004</v>
      </c>
      <c r="H915" t="b">
        <f t="shared" si="29"/>
        <v>1</v>
      </c>
    </row>
    <row r="916" spans="1:8" ht="30">
      <c r="A916" s="677">
        <v>39808</v>
      </c>
      <c r="B916" s="733" t="s">
        <v>9305</v>
      </c>
      <c r="C916" s="677" t="s">
        <v>1690</v>
      </c>
      <c r="D916" s="738">
        <f t="shared" si="28"/>
        <v>94.51</v>
      </c>
      <c r="F916" s="1405">
        <v>94.51</v>
      </c>
      <c r="G916" s="1405">
        <v>94.51</v>
      </c>
      <c r="H916" t="b">
        <f t="shared" si="29"/>
        <v>1</v>
      </c>
    </row>
    <row r="917" spans="1:8" ht="30">
      <c r="A917" s="739">
        <v>39809</v>
      </c>
      <c r="B917" s="740" t="s">
        <v>9306</v>
      </c>
      <c r="C917" s="739" t="s">
        <v>1690</v>
      </c>
      <c r="D917" s="741">
        <f t="shared" si="28"/>
        <v>224.16</v>
      </c>
      <c r="F917" s="1406">
        <v>224.16</v>
      </c>
      <c r="G917" s="1406">
        <v>224.16</v>
      </c>
      <c r="H917" t="b">
        <f t="shared" si="29"/>
        <v>1</v>
      </c>
    </row>
    <row r="918" spans="1:8" ht="30">
      <c r="A918" s="677">
        <v>43439</v>
      </c>
      <c r="B918" s="733" t="s">
        <v>9307</v>
      </c>
      <c r="C918" s="677" t="s">
        <v>1690</v>
      </c>
      <c r="D918" s="738">
        <f t="shared" si="28"/>
        <v>575.69000000000005</v>
      </c>
      <c r="F918" s="1405">
        <v>575.69000000000005</v>
      </c>
      <c r="G918" s="1405">
        <v>575.69000000000005</v>
      </c>
      <c r="H918" t="b">
        <f t="shared" si="29"/>
        <v>1</v>
      </c>
    </row>
    <row r="919" spans="1:8">
      <c r="A919" s="739">
        <v>5103</v>
      </c>
      <c r="B919" s="740" t="s">
        <v>9308</v>
      </c>
      <c r="C919" s="739" t="s">
        <v>1690</v>
      </c>
      <c r="D919" s="741">
        <f t="shared" si="28"/>
        <v>23.44</v>
      </c>
      <c r="F919" s="1406">
        <v>23.44</v>
      </c>
      <c r="G919" s="1406">
        <v>23.44</v>
      </c>
      <c r="H919" t="b">
        <f t="shared" si="29"/>
        <v>1</v>
      </c>
    </row>
    <row r="920" spans="1:8">
      <c r="A920" s="677">
        <v>11880</v>
      </c>
      <c r="B920" s="733" t="s">
        <v>9309</v>
      </c>
      <c r="C920" s="677" t="s">
        <v>1690</v>
      </c>
      <c r="D920" s="738">
        <f t="shared" si="28"/>
        <v>98.62</v>
      </c>
      <c r="F920" s="1405">
        <v>98.62</v>
      </c>
      <c r="G920" s="1405">
        <v>98.62</v>
      </c>
      <c r="H920" t="b">
        <f t="shared" si="29"/>
        <v>1</v>
      </c>
    </row>
    <row r="921" spans="1:8">
      <c r="A921" s="739">
        <v>11714</v>
      </c>
      <c r="B921" s="740" t="s">
        <v>9310</v>
      </c>
      <c r="C921" s="739" t="s">
        <v>1690</v>
      </c>
      <c r="D921" s="741">
        <f t="shared" si="28"/>
        <v>67.180000000000007</v>
      </c>
      <c r="F921" s="1406">
        <v>67.180000000000007</v>
      </c>
      <c r="G921" s="1406">
        <v>67.180000000000007</v>
      </c>
      <c r="H921" t="b">
        <f t="shared" si="29"/>
        <v>1</v>
      </c>
    </row>
    <row r="922" spans="1:8">
      <c r="A922" s="677">
        <v>11712</v>
      </c>
      <c r="B922" s="733" t="s">
        <v>9311</v>
      </c>
      <c r="C922" s="677" t="s">
        <v>1690</v>
      </c>
      <c r="D922" s="738">
        <f t="shared" si="28"/>
        <v>43.87</v>
      </c>
      <c r="F922" s="1405">
        <v>43.87</v>
      </c>
      <c r="G922" s="1405">
        <v>43.87</v>
      </c>
      <c r="H922" t="b">
        <f t="shared" si="29"/>
        <v>1</v>
      </c>
    </row>
    <row r="923" spans="1:8">
      <c r="A923" s="739">
        <v>11717</v>
      </c>
      <c r="B923" s="740" t="s">
        <v>9312</v>
      </c>
      <c r="C923" s="739" t="s">
        <v>1690</v>
      </c>
      <c r="D923" s="741">
        <f t="shared" si="28"/>
        <v>52.88</v>
      </c>
      <c r="F923" s="1406">
        <v>52.88</v>
      </c>
      <c r="G923" s="1406">
        <v>52.88</v>
      </c>
      <c r="H923" t="b">
        <f t="shared" si="29"/>
        <v>1</v>
      </c>
    </row>
    <row r="924" spans="1:8">
      <c r="A924" s="677">
        <v>1106</v>
      </c>
      <c r="B924" s="733" t="s">
        <v>9313</v>
      </c>
      <c r="C924" s="677" t="s">
        <v>1694</v>
      </c>
      <c r="D924" s="738">
        <f t="shared" si="28"/>
        <v>1</v>
      </c>
      <c r="F924" s="1405">
        <v>1</v>
      </c>
      <c r="G924" s="1405">
        <v>1</v>
      </c>
      <c r="H924" t="b">
        <f t="shared" si="29"/>
        <v>1</v>
      </c>
    </row>
    <row r="925" spans="1:8">
      <c r="A925" s="739">
        <v>11161</v>
      </c>
      <c r="B925" s="740" t="s">
        <v>9314</v>
      </c>
      <c r="C925" s="739" t="s">
        <v>1694</v>
      </c>
      <c r="D925" s="741">
        <f t="shared" si="28"/>
        <v>1.67</v>
      </c>
      <c r="F925" s="1406">
        <v>1.67</v>
      </c>
      <c r="G925" s="1406">
        <v>1.67</v>
      </c>
      <c r="H925" t="b">
        <f t="shared" si="29"/>
        <v>1</v>
      </c>
    </row>
    <row r="926" spans="1:8">
      <c r="A926" s="677">
        <v>1107</v>
      </c>
      <c r="B926" s="733" t="s">
        <v>9315</v>
      </c>
      <c r="C926" s="677" t="s">
        <v>1694</v>
      </c>
      <c r="D926" s="738">
        <f t="shared" si="28"/>
        <v>0.85</v>
      </c>
      <c r="F926" s="1405">
        <v>0.85</v>
      </c>
      <c r="G926" s="1405">
        <v>0.85</v>
      </c>
      <c r="H926" t="b">
        <f t="shared" si="29"/>
        <v>1</v>
      </c>
    </row>
    <row r="927" spans="1:8">
      <c r="A927" s="739">
        <v>44479</v>
      </c>
      <c r="B927" s="740" t="s">
        <v>9316</v>
      </c>
      <c r="C927" s="739" t="s">
        <v>1694</v>
      </c>
      <c r="D927" s="741">
        <f t="shared" si="28"/>
        <v>0.22</v>
      </c>
      <c r="F927" s="1406">
        <v>0.22</v>
      </c>
      <c r="G927" s="1406">
        <v>0.22</v>
      </c>
      <c r="H927" t="b">
        <f t="shared" si="29"/>
        <v>1</v>
      </c>
    </row>
    <row r="928" spans="1:8">
      <c r="A928" s="677">
        <v>4759</v>
      </c>
      <c r="B928" s="733" t="s">
        <v>9317</v>
      </c>
      <c r="C928" s="677" t="s">
        <v>1689</v>
      </c>
      <c r="D928" s="738">
        <f t="shared" si="28"/>
        <v>17.91</v>
      </c>
      <c r="F928" s="1405">
        <v>15.55</v>
      </c>
      <c r="G928" s="1405">
        <v>17.91</v>
      </c>
      <c r="H928" t="b">
        <f t="shared" si="29"/>
        <v>0</v>
      </c>
    </row>
    <row r="929" spans="1:8">
      <c r="A929" s="739">
        <v>41068</v>
      </c>
      <c r="B929" s="740" t="s">
        <v>9318</v>
      </c>
      <c r="C929" s="739" t="s">
        <v>1696</v>
      </c>
      <c r="D929" s="741">
        <f t="shared" si="28"/>
        <v>3154.07</v>
      </c>
      <c r="F929" s="1406">
        <v>2735.5</v>
      </c>
      <c r="G929" s="1406">
        <v>3154.07</v>
      </c>
      <c r="H929" t="b">
        <f t="shared" si="29"/>
        <v>0</v>
      </c>
    </row>
    <row r="930" spans="1:8">
      <c r="A930" s="677">
        <v>12618</v>
      </c>
      <c r="B930" s="733" t="s">
        <v>9319</v>
      </c>
      <c r="C930" s="677" t="s">
        <v>1690</v>
      </c>
      <c r="D930" s="738">
        <f t="shared" si="28"/>
        <v>161.44</v>
      </c>
      <c r="F930" s="1405">
        <v>161.44</v>
      </c>
      <c r="G930" s="1405">
        <v>161.44</v>
      </c>
      <c r="H930" t="b">
        <f t="shared" si="29"/>
        <v>1</v>
      </c>
    </row>
    <row r="931" spans="1:8">
      <c r="A931" s="739">
        <v>1108</v>
      </c>
      <c r="B931" s="740" t="s">
        <v>9320</v>
      </c>
      <c r="C931" s="739" t="s">
        <v>1693</v>
      </c>
      <c r="D931" s="741">
        <f t="shared" si="28"/>
        <v>33.93</v>
      </c>
      <c r="F931" s="1406">
        <v>33.93</v>
      </c>
      <c r="G931" s="1406">
        <v>33.93</v>
      </c>
      <c r="H931" t="b">
        <f t="shared" si="29"/>
        <v>1</v>
      </c>
    </row>
    <row r="932" spans="1:8">
      <c r="A932" s="677">
        <v>1117</v>
      </c>
      <c r="B932" s="733" t="s">
        <v>9321</v>
      </c>
      <c r="C932" s="677" t="s">
        <v>1693</v>
      </c>
      <c r="D932" s="738">
        <f t="shared" si="28"/>
        <v>34.200000000000003</v>
      </c>
      <c r="F932" s="1405">
        <v>34.200000000000003</v>
      </c>
      <c r="G932" s="1405">
        <v>34.200000000000003</v>
      </c>
      <c r="H932" t="b">
        <f t="shared" si="29"/>
        <v>1</v>
      </c>
    </row>
    <row r="933" spans="1:8">
      <c r="A933" s="739">
        <v>1118</v>
      </c>
      <c r="B933" s="740" t="s">
        <v>9322</v>
      </c>
      <c r="C933" s="739" t="s">
        <v>1693</v>
      </c>
      <c r="D933" s="741">
        <f t="shared" si="28"/>
        <v>40.42</v>
      </c>
      <c r="F933" s="1406">
        <v>40.42</v>
      </c>
      <c r="G933" s="1406">
        <v>40.42</v>
      </c>
      <c r="H933" t="b">
        <f t="shared" si="29"/>
        <v>1</v>
      </c>
    </row>
    <row r="934" spans="1:8">
      <c r="A934" s="677">
        <v>1110</v>
      </c>
      <c r="B934" s="733" t="s">
        <v>9323</v>
      </c>
      <c r="C934" s="677" t="s">
        <v>1693</v>
      </c>
      <c r="D934" s="738">
        <f t="shared" si="28"/>
        <v>40.42</v>
      </c>
      <c r="F934" s="1405">
        <v>40.42</v>
      </c>
      <c r="G934" s="1405">
        <v>40.42</v>
      </c>
      <c r="H934" t="b">
        <f t="shared" si="29"/>
        <v>1</v>
      </c>
    </row>
    <row r="935" spans="1:8">
      <c r="A935" s="739">
        <v>40784</v>
      </c>
      <c r="B935" s="740" t="s">
        <v>9324</v>
      </c>
      <c r="C935" s="739" t="s">
        <v>1693</v>
      </c>
      <c r="D935" s="741">
        <f t="shared" si="28"/>
        <v>111.48</v>
      </c>
      <c r="F935" s="1406">
        <v>111.48</v>
      </c>
      <c r="G935" s="1406">
        <v>111.48</v>
      </c>
      <c r="H935" t="b">
        <f t="shared" si="29"/>
        <v>1</v>
      </c>
    </row>
    <row r="936" spans="1:8">
      <c r="A936" s="677">
        <v>40782</v>
      </c>
      <c r="B936" s="733" t="s">
        <v>9325</v>
      </c>
      <c r="C936" s="677" t="s">
        <v>1693</v>
      </c>
      <c r="D936" s="738">
        <f t="shared" si="28"/>
        <v>43.75</v>
      </c>
      <c r="F936" s="1405">
        <v>43.75</v>
      </c>
      <c r="G936" s="1405">
        <v>43.75</v>
      </c>
      <c r="H936" t="b">
        <f t="shared" si="29"/>
        <v>1</v>
      </c>
    </row>
    <row r="937" spans="1:8">
      <c r="A937" s="739">
        <v>40783</v>
      </c>
      <c r="B937" s="740" t="s">
        <v>9326</v>
      </c>
      <c r="C937" s="739" t="s">
        <v>1693</v>
      </c>
      <c r="D937" s="741">
        <f t="shared" si="28"/>
        <v>56.99</v>
      </c>
      <c r="F937" s="1406">
        <v>56.99</v>
      </c>
      <c r="G937" s="1406">
        <v>56.99</v>
      </c>
      <c r="H937" t="b">
        <f t="shared" si="29"/>
        <v>1</v>
      </c>
    </row>
    <row r="938" spans="1:8">
      <c r="A938" s="677">
        <v>1109</v>
      </c>
      <c r="B938" s="733" t="s">
        <v>9327</v>
      </c>
      <c r="C938" s="677" t="s">
        <v>1693</v>
      </c>
      <c r="D938" s="738">
        <f t="shared" si="28"/>
        <v>33.93</v>
      </c>
      <c r="F938" s="1405">
        <v>33.93</v>
      </c>
      <c r="G938" s="1405">
        <v>33.93</v>
      </c>
      <c r="H938" t="b">
        <f t="shared" si="29"/>
        <v>1</v>
      </c>
    </row>
    <row r="939" spans="1:8">
      <c r="A939" s="739">
        <v>1119</v>
      </c>
      <c r="B939" s="740" t="s">
        <v>9328</v>
      </c>
      <c r="C939" s="739" t="s">
        <v>1693</v>
      </c>
      <c r="D939" s="741">
        <f t="shared" si="28"/>
        <v>21.87</v>
      </c>
      <c r="F939" s="1406">
        <v>21.87</v>
      </c>
      <c r="G939" s="1406">
        <v>21.87</v>
      </c>
      <c r="H939" t="b">
        <f t="shared" si="29"/>
        <v>1</v>
      </c>
    </row>
    <row r="940" spans="1:8">
      <c r="A940" s="677">
        <v>13115</v>
      </c>
      <c r="B940" s="733" t="s">
        <v>9329</v>
      </c>
      <c r="C940" s="677" t="s">
        <v>1693</v>
      </c>
      <c r="D940" s="738">
        <f t="shared" si="28"/>
        <v>25.13</v>
      </c>
      <c r="F940" s="1405">
        <v>25.13</v>
      </c>
      <c r="G940" s="1405">
        <v>25.13</v>
      </c>
      <c r="H940" t="b">
        <f t="shared" si="29"/>
        <v>1</v>
      </c>
    </row>
    <row r="941" spans="1:8">
      <c r="A941" s="739">
        <v>10541</v>
      </c>
      <c r="B941" s="740" t="s">
        <v>9330</v>
      </c>
      <c r="C941" s="739" t="s">
        <v>1693</v>
      </c>
      <c r="D941" s="741">
        <f t="shared" si="28"/>
        <v>30.71</v>
      </c>
      <c r="F941" s="1406">
        <v>30.71</v>
      </c>
      <c r="G941" s="1406">
        <v>30.71</v>
      </c>
      <c r="H941" t="b">
        <f t="shared" si="29"/>
        <v>1</v>
      </c>
    </row>
    <row r="942" spans="1:8">
      <c r="A942" s="677">
        <v>10542</v>
      </c>
      <c r="B942" s="733" t="s">
        <v>9331</v>
      </c>
      <c r="C942" s="677" t="s">
        <v>1693</v>
      </c>
      <c r="D942" s="738">
        <f t="shared" si="28"/>
        <v>40.159999999999997</v>
      </c>
      <c r="F942" s="1405">
        <v>40.159999999999997</v>
      </c>
      <c r="G942" s="1405">
        <v>40.159999999999997</v>
      </c>
      <c r="H942" t="b">
        <f t="shared" si="29"/>
        <v>1</v>
      </c>
    </row>
    <row r="943" spans="1:8">
      <c r="A943" s="739">
        <v>10543</v>
      </c>
      <c r="B943" s="740" t="s">
        <v>9332</v>
      </c>
      <c r="C943" s="739" t="s">
        <v>1693</v>
      </c>
      <c r="D943" s="741">
        <f t="shared" si="28"/>
        <v>65.16</v>
      </c>
      <c r="F943" s="1406">
        <v>65.16</v>
      </c>
      <c r="G943" s="1406">
        <v>65.16</v>
      </c>
      <c r="H943" t="b">
        <f t="shared" si="29"/>
        <v>1</v>
      </c>
    </row>
    <row r="944" spans="1:8">
      <c r="A944" s="677">
        <v>10544</v>
      </c>
      <c r="B944" s="733" t="s">
        <v>9333</v>
      </c>
      <c r="C944" s="677" t="s">
        <v>1693</v>
      </c>
      <c r="D944" s="738">
        <f t="shared" si="28"/>
        <v>84.28</v>
      </c>
      <c r="F944" s="1405">
        <v>84.28</v>
      </c>
      <c r="G944" s="1405">
        <v>84.28</v>
      </c>
      <c r="H944" t="b">
        <f t="shared" si="29"/>
        <v>1</v>
      </c>
    </row>
    <row r="945" spans="1:8">
      <c r="A945" s="739">
        <v>10545</v>
      </c>
      <c r="B945" s="740" t="s">
        <v>9334</v>
      </c>
      <c r="C945" s="739" t="s">
        <v>1693</v>
      </c>
      <c r="D945" s="741">
        <f t="shared" si="28"/>
        <v>157.51</v>
      </c>
      <c r="F945" s="1406">
        <v>157.51</v>
      </c>
      <c r="G945" s="1406">
        <v>157.51</v>
      </c>
      <c r="H945" t="b">
        <f t="shared" si="29"/>
        <v>1</v>
      </c>
    </row>
    <row r="946" spans="1:8">
      <c r="A946" s="677">
        <v>38365</v>
      </c>
      <c r="B946" s="733" t="s">
        <v>9335</v>
      </c>
      <c r="C946" s="677" t="s">
        <v>1692</v>
      </c>
      <c r="D946" s="738">
        <f t="shared" si="28"/>
        <v>2.4</v>
      </c>
      <c r="F946" s="1405">
        <v>2.4</v>
      </c>
      <c r="G946" s="1405">
        <v>2.4</v>
      </c>
      <c r="H946" t="b">
        <f t="shared" si="29"/>
        <v>1</v>
      </c>
    </row>
    <row r="947" spans="1:8" ht="30">
      <c r="A947" s="739">
        <v>44056</v>
      </c>
      <c r="B947" s="740" t="s">
        <v>9336</v>
      </c>
      <c r="C947" s="739" t="s">
        <v>1690</v>
      </c>
      <c r="D947" s="741">
        <f t="shared" si="28"/>
        <v>475095.87</v>
      </c>
      <c r="F947" s="1406">
        <v>475095.87</v>
      </c>
      <c r="G947" s="1406">
        <v>475095.87</v>
      </c>
      <c r="H947" t="b">
        <f t="shared" si="29"/>
        <v>1</v>
      </c>
    </row>
    <row r="948" spans="1:8" ht="30">
      <c r="A948" s="677">
        <v>44057</v>
      </c>
      <c r="B948" s="733" t="s">
        <v>9337</v>
      </c>
      <c r="C948" s="677" t="s">
        <v>1690</v>
      </c>
      <c r="D948" s="738">
        <f t="shared" si="28"/>
        <v>507073.5</v>
      </c>
      <c r="F948" s="1405">
        <v>507073.5</v>
      </c>
      <c r="G948" s="1405">
        <v>507073.5</v>
      </c>
      <c r="H948" t="b">
        <f t="shared" si="29"/>
        <v>1</v>
      </c>
    </row>
    <row r="949" spans="1:8" ht="30">
      <c r="A949" s="739">
        <v>37754</v>
      </c>
      <c r="B949" s="740" t="s">
        <v>9338</v>
      </c>
      <c r="C949" s="739" t="s">
        <v>1690</v>
      </c>
      <c r="D949" s="741">
        <f t="shared" si="28"/>
        <v>524250.05</v>
      </c>
      <c r="F949" s="1406">
        <v>524250.05</v>
      </c>
      <c r="G949" s="1406">
        <v>524250.05</v>
      </c>
      <c r="H949" t="b">
        <f t="shared" si="29"/>
        <v>1</v>
      </c>
    </row>
    <row r="950" spans="1:8" ht="30">
      <c r="A950" s="677">
        <v>37757</v>
      </c>
      <c r="B950" s="733" t="s">
        <v>9339</v>
      </c>
      <c r="C950" s="677" t="s">
        <v>1690</v>
      </c>
      <c r="D950" s="738">
        <f t="shared" si="28"/>
        <v>584733.42000000004</v>
      </c>
      <c r="F950" s="1405">
        <v>584733.42000000004</v>
      </c>
      <c r="G950" s="1405">
        <v>584733.42000000004</v>
      </c>
      <c r="H950" t="b">
        <f t="shared" si="29"/>
        <v>1</v>
      </c>
    </row>
    <row r="951" spans="1:8" ht="30">
      <c r="A951" s="739">
        <v>44058</v>
      </c>
      <c r="B951" s="740" t="s">
        <v>9340</v>
      </c>
      <c r="C951" s="739" t="s">
        <v>1690</v>
      </c>
      <c r="D951" s="741">
        <f t="shared" si="28"/>
        <v>552755.80000000005</v>
      </c>
      <c r="F951" s="1406">
        <v>552755.80000000005</v>
      </c>
      <c r="G951" s="1406">
        <v>552755.80000000005</v>
      </c>
      <c r="H951" t="b">
        <f t="shared" si="29"/>
        <v>1</v>
      </c>
    </row>
    <row r="952" spans="1:8" ht="30">
      <c r="A952" s="677">
        <v>37752</v>
      </c>
      <c r="B952" s="733" t="s">
        <v>9341</v>
      </c>
      <c r="C952" s="677" t="s">
        <v>1690</v>
      </c>
      <c r="D952" s="738">
        <f t="shared" si="28"/>
        <v>575596.92000000004</v>
      </c>
      <c r="F952" s="1405">
        <v>575596.92000000004</v>
      </c>
      <c r="G952" s="1405">
        <v>575596.92000000004</v>
      </c>
      <c r="H952" t="b">
        <f t="shared" si="29"/>
        <v>1</v>
      </c>
    </row>
    <row r="953" spans="1:8" ht="30">
      <c r="A953" s="739">
        <v>44059</v>
      </c>
      <c r="B953" s="740" t="s">
        <v>9342</v>
      </c>
      <c r="C953" s="739" t="s">
        <v>1690</v>
      </c>
      <c r="D953" s="741">
        <f t="shared" si="28"/>
        <v>454995.68</v>
      </c>
      <c r="F953" s="1406">
        <v>454995.68</v>
      </c>
      <c r="G953" s="1406">
        <v>454995.68</v>
      </c>
      <c r="H953" t="b">
        <f t="shared" si="29"/>
        <v>1</v>
      </c>
    </row>
    <row r="954" spans="1:8" ht="30">
      <c r="A954" s="677">
        <v>37750</v>
      </c>
      <c r="B954" s="733" t="s">
        <v>9343</v>
      </c>
      <c r="C954" s="677" t="s">
        <v>1690</v>
      </c>
      <c r="D954" s="738">
        <f t="shared" si="28"/>
        <v>455909.32</v>
      </c>
      <c r="F954" s="1405">
        <v>455909.32</v>
      </c>
      <c r="G954" s="1405">
        <v>455909.32</v>
      </c>
      <c r="H954" t="b">
        <f t="shared" si="29"/>
        <v>1</v>
      </c>
    </row>
    <row r="955" spans="1:8" ht="30">
      <c r="A955" s="739">
        <v>37758</v>
      </c>
      <c r="B955" s="740" t="s">
        <v>9344</v>
      </c>
      <c r="C955" s="739" t="s">
        <v>1690</v>
      </c>
      <c r="D955" s="741">
        <f t="shared" si="28"/>
        <v>725434.86</v>
      </c>
      <c r="F955" s="1406">
        <v>725434.86</v>
      </c>
      <c r="G955" s="1406">
        <v>725434.86</v>
      </c>
      <c r="H955" t="b">
        <f t="shared" si="29"/>
        <v>1</v>
      </c>
    </row>
    <row r="956" spans="1:8" ht="30">
      <c r="A956" s="677">
        <v>44060</v>
      </c>
      <c r="B956" s="733" t="s">
        <v>9345</v>
      </c>
      <c r="C956" s="677" t="s">
        <v>1690</v>
      </c>
      <c r="D956" s="738">
        <f t="shared" si="28"/>
        <v>701680.09</v>
      </c>
      <c r="F956" s="1405">
        <v>701680.09</v>
      </c>
      <c r="G956" s="1405">
        <v>701680.09</v>
      </c>
      <c r="H956" t="b">
        <f t="shared" si="29"/>
        <v>1</v>
      </c>
    </row>
    <row r="957" spans="1:8" ht="30">
      <c r="A957" s="739">
        <v>37749</v>
      </c>
      <c r="B957" s="740" t="s">
        <v>9346</v>
      </c>
      <c r="C957" s="739" t="s">
        <v>1690</v>
      </c>
      <c r="D957" s="741">
        <f t="shared" si="28"/>
        <v>749189.68</v>
      </c>
      <c r="F957" s="1406">
        <v>749189.68</v>
      </c>
      <c r="G957" s="1406">
        <v>749189.68</v>
      </c>
      <c r="H957" t="b">
        <f t="shared" si="29"/>
        <v>1</v>
      </c>
    </row>
    <row r="958" spans="1:8" ht="30">
      <c r="A958" s="677">
        <v>44061</v>
      </c>
      <c r="B958" s="733" t="s">
        <v>9347</v>
      </c>
      <c r="C958" s="677" t="s">
        <v>1690</v>
      </c>
      <c r="D958" s="738">
        <f t="shared" si="28"/>
        <v>687975.41</v>
      </c>
      <c r="F958" s="1405">
        <v>687975.41</v>
      </c>
      <c r="G958" s="1405">
        <v>687975.41</v>
      </c>
      <c r="H958" t="b">
        <f t="shared" si="29"/>
        <v>1</v>
      </c>
    </row>
    <row r="959" spans="1:8">
      <c r="A959" s="739">
        <v>1159</v>
      </c>
      <c r="B959" s="740" t="s">
        <v>9348</v>
      </c>
      <c r="C959" s="739" t="s">
        <v>1690</v>
      </c>
      <c r="D959" s="741">
        <f t="shared" si="28"/>
        <v>273970.5</v>
      </c>
      <c r="F959" s="1406">
        <v>273970.5</v>
      </c>
      <c r="G959" s="1406">
        <v>273970.5</v>
      </c>
      <c r="H959" t="b">
        <f t="shared" si="29"/>
        <v>1</v>
      </c>
    </row>
    <row r="960" spans="1:8">
      <c r="A960" s="677">
        <v>12114</v>
      </c>
      <c r="B960" s="733" t="s">
        <v>9349</v>
      </c>
      <c r="C960" s="677" t="s">
        <v>1690</v>
      </c>
      <c r="D960" s="738">
        <f t="shared" si="28"/>
        <v>123.87</v>
      </c>
      <c r="F960" s="1405">
        <v>123.87</v>
      </c>
      <c r="G960" s="1405">
        <v>123.87</v>
      </c>
      <c r="H960" t="b">
        <f t="shared" si="29"/>
        <v>1</v>
      </c>
    </row>
    <row r="961" spans="1:8">
      <c r="A961" s="739">
        <v>38106</v>
      </c>
      <c r="B961" s="740" t="s">
        <v>9350</v>
      </c>
      <c r="C961" s="739" t="s">
        <v>1690</v>
      </c>
      <c r="D961" s="741">
        <f t="shared" si="28"/>
        <v>16.829999999999998</v>
      </c>
      <c r="F961" s="1406">
        <v>16.829999999999998</v>
      </c>
      <c r="G961" s="1406">
        <v>16.829999999999998</v>
      </c>
      <c r="H961" t="b">
        <f t="shared" si="29"/>
        <v>1</v>
      </c>
    </row>
    <row r="962" spans="1:8">
      <c r="A962" s="677">
        <v>38085</v>
      </c>
      <c r="B962" s="733" t="s">
        <v>9351</v>
      </c>
      <c r="C962" s="677" t="s">
        <v>1690</v>
      </c>
      <c r="D962" s="738">
        <f t="shared" si="28"/>
        <v>19.88</v>
      </c>
      <c r="F962" s="1405">
        <v>19.88</v>
      </c>
      <c r="G962" s="1405">
        <v>19.88</v>
      </c>
      <c r="H962" t="b">
        <f t="shared" si="29"/>
        <v>1</v>
      </c>
    </row>
    <row r="963" spans="1:8">
      <c r="A963" s="739">
        <v>38599</v>
      </c>
      <c r="B963" s="740" t="s">
        <v>9352</v>
      </c>
      <c r="C963" s="739" t="s">
        <v>1690</v>
      </c>
      <c r="D963" s="741">
        <f t="shared" ref="D963:D1026" si="30">IF($J$2=$F$1,F963,G963)</f>
        <v>6.31</v>
      </c>
      <c r="F963" s="1406">
        <v>6.31</v>
      </c>
      <c r="G963" s="1406">
        <v>6.31</v>
      </c>
      <c r="H963" t="b">
        <f t="shared" ref="H963:H1026" si="31">F963=G963</f>
        <v>1</v>
      </c>
    </row>
    <row r="964" spans="1:8">
      <c r="A964" s="677">
        <v>38596</v>
      </c>
      <c r="B964" s="733" t="s">
        <v>9353</v>
      </c>
      <c r="C964" s="677" t="s">
        <v>1690</v>
      </c>
      <c r="D964" s="738">
        <f t="shared" si="30"/>
        <v>5.24</v>
      </c>
      <c r="F964" s="1405">
        <v>5.24</v>
      </c>
      <c r="G964" s="1405">
        <v>5.24</v>
      </c>
      <c r="H964" t="b">
        <f t="shared" si="31"/>
        <v>1</v>
      </c>
    </row>
    <row r="965" spans="1:8">
      <c r="A965" s="739">
        <v>38600</v>
      </c>
      <c r="B965" s="740" t="s">
        <v>9354</v>
      </c>
      <c r="C965" s="739" t="s">
        <v>1690</v>
      </c>
      <c r="D965" s="741">
        <f t="shared" si="30"/>
        <v>6.69</v>
      </c>
      <c r="F965" s="1406">
        <v>6.69</v>
      </c>
      <c r="G965" s="1406">
        <v>6.69</v>
      </c>
      <c r="H965" t="b">
        <f t="shared" si="31"/>
        <v>1</v>
      </c>
    </row>
    <row r="966" spans="1:8">
      <c r="A966" s="677">
        <v>38597</v>
      </c>
      <c r="B966" s="733" t="s">
        <v>9355</v>
      </c>
      <c r="C966" s="677" t="s">
        <v>1690</v>
      </c>
      <c r="D966" s="738">
        <f t="shared" si="30"/>
        <v>5.27</v>
      </c>
      <c r="F966" s="1405">
        <v>5.27</v>
      </c>
      <c r="G966" s="1405">
        <v>5.27</v>
      </c>
      <c r="H966" t="b">
        <f t="shared" si="31"/>
        <v>1</v>
      </c>
    </row>
    <row r="967" spans="1:8">
      <c r="A967" s="739">
        <v>659</v>
      </c>
      <c r="B967" s="740" t="s">
        <v>9356</v>
      </c>
      <c r="C967" s="739" t="s">
        <v>1690</v>
      </c>
      <c r="D967" s="741">
        <f t="shared" si="30"/>
        <v>3.03</v>
      </c>
      <c r="F967" s="1406">
        <v>3.03</v>
      </c>
      <c r="G967" s="1406">
        <v>3.03</v>
      </c>
      <c r="H967" t="b">
        <f t="shared" si="31"/>
        <v>1</v>
      </c>
    </row>
    <row r="968" spans="1:8">
      <c r="A968" s="677">
        <v>660</v>
      </c>
      <c r="B968" s="733" t="s">
        <v>9357</v>
      </c>
      <c r="C968" s="677" t="s">
        <v>1690</v>
      </c>
      <c r="D968" s="738">
        <f t="shared" si="30"/>
        <v>3.63</v>
      </c>
      <c r="F968" s="1405">
        <v>3.63</v>
      </c>
      <c r="G968" s="1405">
        <v>3.63</v>
      </c>
      <c r="H968" t="b">
        <f t="shared" si="31"/>
        <v>1</v>
      </c>
    </row>
    <row r="969" spans="1:8">
      <c r="A969" s="739">
        <v>658</v>
      </c>
      <c r="B969" s="740" t="s">
        <v>9358</v>
      </c>
      <c r="C969" s="739" t="s">
        <v>1690</v>
      </c>
      <c r="D969" s="741">
        <f t="shared" si="30"/>
        <v>2.0499999999999998</v>
      </c>
      <c r="F969" s="1406">
        <v>2.0499999999999998</v>
      </c>
      <c r="G969" s="1406">
        <v>2.0499999999999998</v>
      </c>
      <c r="H969" t="b">
        <f t="shared" si="31"/>
        <v>1</v>
      </c>
    </row>
    <row r="970" spans="1:8">
      <c r="A970" s="677">
        <v>38548</v>
      </c>
      <c r="B970" s="733" t="s">
        <v>9359</v>
      </c>
      <c r="C970" s="677" t="s">
        <v>1690</v>
      </c>
      <c r="D970" s="738">
        <f t="shared" si="30"/>
        <v>2.31</v>
      </c>
      <c r="F970" s="1405">
        <v>2.31</v>
      </c>
      <c r="G970" s="1405">
        <v>2.31</v>
      </c>
      <c r="H970" t="b">
        <f t="shared" si="31"/>
        <v>1</v>
      </c>
    </row>
    <row r="971" spans="1:8">
      <c r="A971" s="739">
        <v>34649</v>
      </c>
      <c r="B971" s="740" t="s">
        <v>9360</v>
      </c>
      <c r="C971" s="739" t="s">
        <v>1690</v>
      </c>
      <c r="D971" s="741">
        <f t="shared" si="30"/>
        <v>3.13</v>
      </c>
      <c r="F971" s="1406">
        <v>3.13</v>
      </c>
      <c r="G971" s="1406">
        <v>3.13</v>
      </c>
      <c r="H971" t="b">
        <f t="shared" si="31"/>
        <v>1</v>
      </c>
    </row>
    <row r="972" spans="1:8">
      <c r="A972" s="677">
        <v>34655</v>
      </c>
      <c r="B972" s="733" t="s">
        <v>9361</v>
      </c>
      <c r="C972" s="677" t="s">
        <v>1690</v>
      </c>
      <c r="D972" s="738">
        <f t="shared" si="30"/>
        <v>4.16</v>
      </c>
      <c r="F972" s="1405">
        <v>4.16</v>
      </c>
      <c r="G972" s="1405">
        <v>4.16</v>
      </c>
      <c r="H972" t="b">
        <f t="shared" si="31"/>
        <v>1</v>
      </c>
    </row>
    <row r="973" spans="1:8">
      <c r="A973" s="739">
        <v>40607</v>
      </c>
      <c r="B973" s="740" t="s">
        <v>9362</v>
      </c>
      <c r="C973" s="739" t="s">
        <v>1690</v>
      </c>
      <c r="D973" s="741">
        <f t="shared" si="30"/>
        <v>3.81</v>
      </c>
      <c r="F973" s="1406">
        <v>3.81</v>
      </c>
      <c r="G973" s="1406">
        <v>3.81</v>
      </c>
      <c r="H973" t="b">
        <f t="shared" si="31"/>
        <v>1</v>
      </c>
    </row>
    <row r="974" spans="1:8">
      <c r="A974" s="677">
        <v>567</v>
      </c>
      <c r="B974" s="733" t="s">
        <v>9363</v>
      </c>
      <c r="C974" s="677" t="s">
        <v>1693</v>
      </c>
      <c r="D974" s="738">
        <f t="shared" si="30"/>
        <v>10.4</v>
      </c>
      <c r="F974" s="1405">
        <v>10.4</v>
      </c>
      <c r="G974" s="1405">
        <v>10.4</v>
      </c>
      <c r="H974" t="b">
        <f t="shared" si="31"/>
        <v>1</v>
      </c>
    </row>
    <row r="975" spans="1:8">
      <c r="A975" s="739">
        <v>574</v>
      </c>
      <c r="B975" s="740" t="s">
        <v>9364</v>
      </c>
      <c r="C975" s="739" t="s">
        <v>1693</v>
      </c>
      <c r="D975" s="741">
        <f t="shared" si="30"/>
        <v>27.34</v>
      </c>
      <c r="F975" s="1406">
        <v>27.34</v>
      </c>
      <c r="G975" s="1406">
        <v>27.34</v>
      </c>
      <c r="H975" t="b">
        <f t="shared" si="31"/>
        <v>1</v>
      </c>
    </row>
    <row r="976" spans="1:8">
      <c r="A976" s="677">
        <v>568</v>
      </c>
      <c r="B976" s="733" t="s">
        <v>9365</v>
      </c>
      <c r="C976" s="677" t="s">
        <v>1693</v>
      </c>
      <c r="D976" s="738">
        <f t="shared" si="30"/>
        <v>57.61</v>
      </c>
      <c r="F976" s="1405">
        <v>57.61</v>
      </c>
      <c r="G976" s="1405">
        <v>57.61</v>
      </c>
      <c r="H976" t="b">
        <f t="shared" si="31"/>
        <v>1</v>
      </c>
    </row>
    <row r="977" spans="1:8">
      <c r="A977" s="739">
        <v>4777</v>
      </c>
      <c r="B977" s="740" t="s">
        <v>9366</v>
      </c>
      <c r="C977" s="739" t="s">
        <v>1694</v>
      </c>
      <c r="D977" s="741">
        <f t="shared" si="30"/>
        <v>8.02</v>
      </c>
      <c r="F977" s="1406">
        <v>8.02</v>
      </c>
      <c r="G977" s="1406">
        <v>8.02</v>
      </c>
      <c r="H977" t="b">
        <f t="shared" si="31"/>
        <v>1</v>
      </c>
    </row>
    <row r="978" spans="1:8" ht="30">
      <c r="A978" s="677">
        <v>592</v>
      </c>
      <c r="B978" s="733" t="s">
        <v>9367</v>
      </c>
      <c r="C978" s="677" t="s">
        <v>1694</v>
      </c>
      <c r="D978" s="738">
        <f t="shared" si="30"/>
        <v>31.48</v>
      </c>
      <c r="F978" s="1405">
        <v>31.48</v>
      </c>
      <c r="G978" s="1405">
        <v>31.48</v>
      </c>
      <c r="H978" t="b">
        <f t="shared" si="31"/>
        <v>1</v>
      </c>
    </row>
    <row r="979" spans="1:8" ht="30">
      <c r="A979" s="739">
        <v>586</v>
      </c>
      <c r="B979" s="740" t="s">
        <v>9368</v>
      </c>
      <c r="C979" s="739" t="s">
        <v>1693</v>
      </c>
      <c r="D979" s="741">
        <f t="shared" si="30"/>
        <v>18.510000000000002</v>
      </c>
      <c r="F979" s="1406">
        <v>18.510000000000002</v>
      </c>
      <c r="G979" s="1406">
        <v>18.510000000000002</v>
      </c>
      <c r="H979" t="b">
        <f t="shared" si="31"/>
        <v>1</v>
      </c>
    </row>
    <row r="980" spans="1:8" ht="30">
      <c r="A980" s="677">
        <v>588</v>
      </c>
      <c r="B980" s="733" t="s">
        <v>9369</v>
      </c>
      <c r="C980" s="677" t="s">
        <v>1693</v>
      </c>
      <c r="D980" s="738">
        <f t="shared" si="30"/>
        <v>29.27</v>
      </c>
      <c r="F980" s="1405">
        <v>29.27</v>
      </c>
      <c r="G980" s="1405">
        <v>29.27</v>
      </c>
      <c r="H980" t="b">
        <f t="shared" si="31"/>
        <v>1</v>
      </c>
    </row>
    <row r="981" spans="1:8" ht="30">
      <c r="A981" s="739">
        <v>591</v>
      </c>
      <c r="B981" s="740" t="s">
        <v>9370</v>
      </c>
      <c r="C981" s="739" t="s">
        <v>1694</v>
      </c>
      <c r="D981" s="741">
        <f t="shared" si="30"/>
        <v>29.38</v>
      </c>
      <c r="F981" s="1406">
        <v>29.38</v>
      </c>
      <c r="G981" s="1406">
        <v>29.38</v>
      </c>
      <c r="H981" t="b">
        <f t="shared" si="31"/>
        <v>1</v>
      </c>
    </row>
    <row r="982" spans="1:8" ht="30">
      <c r="A982" s="677">
        <v>584</v>
      </c>
      <c r="B982" s="733" t="s">
        <v>9371</v>
      </c>
      <c r="C982" s="677" t="s">
        <v>1693</v>
      </c>
      <c r="D982" s="738">
        <f t="shared" si="30"/>
        <v>31.27</v>
      </c>
      <c r="F982" s="1405">
        <v>31.27</v>
      </c>
      <c r="G982" s="1405">
        <v>31.27</v>
      </c>
      <c r="H982" t="b">
        <f t="shared" si="31"/>
        <v>1</v>
      </c>
    </row>
    <row r="983" spans="1:8" ht="30">
      <c r="A983" s="739">
        <v>589</v>
      </c>
      <c r="B983" s="740" t="s">
        <v>9372</v>
      </c>
      <c r="C983" s="739" t="s">
        <v>1693</v>
      </c>
      <c r="D983" s="741">
        <f t="shared" si="30"/>
        <v>49.48</v>
      </c>
      <c r="F983" s="1406">
        <v>49.48</v>
      </c>
      <c r="G983" s="1406">
        <v>49.48</v>
      </c>
      <c r="H983" t="b">
        <f t="shared" si="31"/>
        <v>1</v>
      </c>
    </row>
    <row r="984" spans="1:8">
      <c r="A984" s="677">
        <v>1165</v>
      </c>
      <c r="B984" s="733" t="s">
        <v>9373</v>
      </c>
      <c r="C984" s="677" t="s">
        <v>1690</v>
      </c>
      <c r="D984" s="738">
        <f t="shared" si="30"/>
        <v>15.57</v>
      </c>
      <c r="F984" s="1405">
        <v>15.57</v>
      </c>
      <c r="G984" s="1405">
        <v>15.57</v>
      </c>
      <c r="H984" t="b">
        <f t="shared" si="31"/>
        <v>1</v>
      </c>
    </row>
    <row r="985" spans="1:8">
      <c r="A985" s="739">
        <v>1164</v>
      </c>
      <c r="B985" s="740" t="s">
        <v>9374</v>
      </c>
      <c r="C985" s="739" t="s">
        <v>1690</v>
      </c>
      <c r="D985" s="741">
        <f t="shared" si="30"/>
        <v>12.61</v>
      </c>
      <c r="F985" s="1406">
        <v>12.61</v>
      </c>
      <c r="G985" s="1406">
        <v>12.61</v>
      </c>
      <c r="H985" t="b">
        <f t="shared" si="31"/>
        <v>1</v>
      </c>
    </row>
    <row r="986" spans="1:8">
      <c r="A986" s="677">
        <v>1162</v>
      </c>
      <c r="B986" s="733" t="s">
        <v>9375</v>
      </c>
      <c r="C986" s="677" t="s">
        <v>1690</v>
      </c>
      <c r="D986" s="738">
        <f t="shared" si="30"/>
        <v>4.38</v>
      </c>
      <c r="F986" s="1405">
        <v>4.38</v>
      </c>
      <c r="G986" s="1405">
        <v>4.38</v>
      </c>
      <c r="H986" t="b">
        <f t="shared" si="31"/>
        <v>1</v>
      </c>
    </row>
    <row r="987" spans="1:8">
      <c r="A987" s="739">
        <v>12395</v>
      </c>
      <c r="B987" s="740" t="s">
        <v>9376</v>
      </c>
      <c r="C987" s="739" t="s">
        <v>1690</v>
      </c>
      <c r="D987" s="741">
        <f t="shared" si="30"/>
        <v>4.26</v>
      </c>
      <c r="F987" s="1406">
        <v>4.26</v>
      </c>
      <c r="G987" s="1406">
        <v>4.26</v>
      </c>
      <c r="H987" t="b">
        <f t="shared" si="31"/>
        <v>1</v>
      </c>
    </row>
    <row r="988" spans="1:8">
      <c r="A988" s="677">
        <v>1170</v>
      </c>
      <c r="B988" s="733" t="s">
        <v>9377</v>
      </c>
      <c r="C988" s="677" t="s">
        <v>1690</v>
      </c>
      <c r="D988" s="738">
        <f t="shared" si="30"/>
        <v>8.26</v>
      </c>
      <c r="F988" s="1405">
        <v>8.26</v>
      </c>
      <c r="G988" s="1405">
        <v>8.26</v>
      </c>
      <c r="H988" t="b">
        <f t="shared" si="31"/>
        <v>1</v>
      </c>
    </row>
    <row r="989" spans="1:8">
      <c r="A989" s="739">
        <v>1169</v>
      </c>
      <c r="B989" s="740" t="s">
        <v>9378</v>
      </c>
      <c r="C989" s="739" t="s">
        <v>1690</v>
      </c>
      <c r="D989" s="741">
        <f t="shared" si="30"/>
        <v>40.56</v>
      </c>
      <c r="F989" s="1406">
        <v>40.56</v>
      </c>
      <c r="G989" s="1406">
        <v>40.56</v>
      </c>
      <c r="H989" t="b">
        <f t="shared" si="31"/>
        <v>1</v>
      </c>
    </row>
    <row r="990" spans="1:8">
      <c r="A990" s="677">
        <v>1166</v>
      </c>
      <c r="B990" s="733" t="s">
        <v>9379</v>
      </c>
      <c r="C990" s="677" t="s">
        <v>1690</v>
      </c>
      <c r="D990" s="738">
        <f t="shared" si="30"/>
        <v>22.49</v>
      </c>
      <c r="F990" s="1405">
        <v>22.49</v>
      </c>
      <c r="G990" s="1405">
        <v>22.49</v>
      </c>
      <c r="H990" t="b">
        <f t="shared" si="31"/>
        <v>1</v>
      </c>
    </row>
    <row r="991" spans="1:8">
      <c r="A991" s="739">
        <v>1163</v>
      </c>
      <c r="B991" s="740" t="s">
        <v>9380</v>
      </c>
      <c r="C991" s="739" t="s">
        <v>1690</v>
      </c>
      <c r="D991" s="741">
        <f t="shared" si="30"/>
        <v>5.67</v>
      </c>
      <c r="F991" s="1406">
        <v>5.67</v>
      </c>
      <c r="G991" s="1406">
        <v>5.67</v>
      </c>
      <c r="H991" t="b">
        <f t="shared" si="31"/>
        <v>1</v>
      </c>
    </row>
    <row r="992" spans="1:8">
      <c r="A992" s="677">
        <v>12396</v>
      </c>
      <c r="B992" s="733" t="s">
        <v>9381</v>
      </c>
      <c r="C992" s="677" t="s">
        <v>1690</v>
      </c>
      <c r="D992" s="738">
        <f t="shared" si="30"/>
        <v>4.26</v>
      </c>
      <c r="F992" s="1405">
        <v>4.26</v>
      </c>
      <c r="G992" s="1405">
        <v>4.26</v>
      </c>
      <c r="H992" t="b">
        <f t="shared" si="31"/>
        <v>1</v>
      </c>
    </row>
    <row r="993" spans="1:8">
      <c r="A993" s="739">
        <v>1168</v>
      </c>
      <c r="B993" s="740" t="s">
        <v>9382</v>
      </c>
      <c r="C993" s="739" t="s">
        <v>1690</v>
      </c>
      <c r="D993" s="741">
        <f t="shared" si="30"/>
        <v>57.83</v>
      </c>
      <c r="F993" s="1406">
        <v>57.83</v>
      </c>
      <c r="G993" s="1406">
        <v>57.83</v>
      </c>
      <c r="H993" t="b">
        <f t="shared" si="31"/>
        <v>1</v>
      </c>
    </row>
    <row r="994" spans="1:8">
      <c r="A994" s="677">
        <v>1167</v>
      </c>
      <c r="B994" s="733" t="s">
        <v>9383</v>
      </c>
      <c r="C994" s="677" t="s">
        <v>1690</v>
      </c>
      <c r="D994" s="738">
        <f t="shared" si="30"/>
        <v>96.73</v>
      </c>
      <c r="F994" s="1405">
        <v>96.73</v>
      </c>
      <c r="G994" s="1405">
        <v>96.73</v>
      </c>
      <c r="H994" t="b">
        <f t="shared" si="31"/>
        <v>1</v>
      </c>
    </row>
    <row r="995" spans="1:8">
      <c r="A995" s="739">
        <v>36331</v>
      </c>
      <c r="B995" s="740" t="s">
        <v>9384</v>
      </c>
      <c r="C995" s="739" t="s">
        <v>1690</v>
      </c>
      <c r="D995" s="741">
        <f t="shared" si="30"/>
        <v>2.21</v>
      </c>
      <c r="F995" s="1406">
        <v>2.21</v>
      </c>
      <c r="G995" s="1406">
        <v>2.21</v>
      </c>
      <c r="H995" t="b">
        <f t="shared" si="31"/>
        <v>1</v>
      </c>
    </row>
    <row r="996" spans="1:8">
      <c r="A996" s="677">
        <v>36346</v>
      </c>
      <c r="B996" s="733" t="s">
        <v>9385</v>
      </c>
      <c r="C996" s="677" t="s">
        <v>1690</v>
      </c>
      <c r="D996" s="738">
        <f t="shared" si="30"/>
        <v>3.32</v>
      </c>
      <c r="F996" s="1405">
        <v>3.32</v>
      </c>
      <c r="G996" s="1405">
        <v>3.32</v>
      </c>
      <c r="H996" t="b">
        <f t="shared" si="31"/>
        <v>1</v>
      </c>
    </row>
    <row r="997" spans="1:8">
      <c r="A997" s="739">
        <v>1197</v>
      </c>
      <c r="B997" s="740" t="s">
        <v>9386</v>
      </c>
      <c r="C997" s="739" t="s">
        <v>1690</v>
      </c>
      <c r="D997" s="741">
        <f t="shared" si="30"/>
        <v>1.67</v>
      </c>
      <c r="F997" s="1406">
        <v>1.67</v>
      </c>
      <c r="G997" s="1406">
        <v>1.67</v>
      </c>
      <c r="H997" t="b">
        <f t="shared" si="31"/>
        <v>1</v>
      </c>
    </row>
    <row r="998" spans="1:8">
      <c r="A998" s="677">
        <v>1202</v>
      </c>
      <c r="B998" s="733" t="s">
        <v>9387</v>
      </c>
      <c r="C998" s="677" t="s">
        <v>1690</v>
      </c>
      <c r="D998" s="738">
        <f t="shared" si="30"/>
        <v>4.7300000000000004</v>
      </c>
      <c r="F998" s="1405">
        <v>4.7300000000000004</v>
      </c>
      <c r="G998" s="1405">
        <v>4.7300000000000004</v>
      </c>
      <c r="H998" t="b">
        <f t="shared" si="31"/>
        <v>1</v>
      </c>
    </row>
    <row r="999" spans="1:8">
      <c r="A999" s="739">
        <v>1198</v>
      </c>
      <c r="B999" s="740" t="s">
        <v>9388</v>
      </c>
      <c r="C999" s="739" t="s">
        <v>1690</v>
      </c>
      <c r="D999" s="741">
        <f t="shared" si="30"/>
        <v>2.1800000000000002</v>
      </c>
      <c r="F999" s="1406">
        <v>2.1800000000000002</v>
      </c>
      <c r="G999" s="1406">
        <v>2.1800000000000002</v>
      </c>
      <c r="H999" t="b">
        <f t="shared" si="31"/>
        <v>1</v>
      </c>
    </row>
    <row r="1000" spans="1:8">
      <c r="A1000" s="677">
        <v>20088</v>
      </c>
      <c r="B1000" s="733" t="s">
        <v>9389</v>
      </c>
      <c r="C1000" s="677" t="s">
        <v>1690</v>
      </c>
      <c r="D1000" s="738">
        <f t="shared" si="30"/>
        <v>12.42</v>
      </c>
      <c r="F1000" s="1405">
        <v>12.42</v>
      </c>
      <c r="G1000" s="1405">
        <v>12.42</v>
      </c>
      <c r="H1000" t="b">
        <f t="shared" si="31"/>
        <v>1</v>
      </c>
    </row>
    <row r="1001" spans="1:8">
      <c r="A1001" s="739">
        <v>20089</v>
      </c>
      <c r="B1001" s="740" t="s">
        <v>9390</v>
      </c>
      <c r="C1001" s="739" t="s">
        <v>1690</v>
      </c>
      <c r="D1001" s="741">
        <f t="shared" si="30"/>
        <v>60.89</v>
      </c>
      <c r="F1001" s="1406">
        <v>60.89</v>
      </c>
      <c r="G1001" s="1406">
        <v>60.89</v>
      </c>
      <c r="H1001" t="b">
        <f t="shared" si="31"/>
        <v>1</v>
      </c>
    </row>
    <row r="1002" spans="1:8">
      <c r="A1002" s="677">
        <v>20087</v>
      </c>
      <c r="B1002" s="733" t="s">
        <v>9391</v>
      </c>
      <c r="C1002" s="677" t="s">
        <v>1690</v>
      </c>
      <c r="D1002" s="738">
        <f t="shared" si="30"/>
        <v>10.28</v>
      </c>
      <c r="F1002" s="1405">
        <v>10.28</v>
      </c>
      <c r="G1002" s="1405">
        <v>10.28</v>
      </c>
      <c r="H1002" t="b">
        <f t="shared" si="31"/>
        <v>1</v>
      </c>
    </row>
    <row r="1003" spans="1:8">
      <c r="A1003" s="739">
        <v>1200</v>
      </c>
      <c r="B1003" s="740" t="s">
        <v>9392</v>
      </c>
      <c r="C1003" s="739" t="s">
        <v>1690</v>
      </c>
      <c r="D1003" s="741">
        <f t="shared" si="30"/>
        <v>9.33</v>
      </c>
      <c r="F1003" s="1406">
        <v>9.33</v>
      </c>
      <c r="G1003" s="1406">
        <v>9.33</v>
      </c>
      <c r="H1003" t="b">
        <f t="shared" si="31"/>
        <v>1</v>
      </c>
    </row>
    <row r="1004" spans="1:8">
      <c r="A1004" s="677">
        <v>12909</v>
      </c>
      <c r="B1004" s="733" t="s">
        <v>9393</v>
      </c>
      <c r="C1004" s="677" t="s">
        <v>1690</v>
      </c>
      <c r="D1004" s="738">
        <f t="shared" si="30"/>
        <v>4.33</v>
      </c>
      <c r="F1004" s="1405">
        <v>4.33</v>
      </c>
      <c r="G1004" s="1405">
        <v>4.33</v>
      </c>
      <c r="H1004" t="b">
        <f t="shared" si="31"/>
        <v>1</v>
      </c>
    </row>
    <row r="1005" spans="1:8">
      <c r="A1005" s="739">
        <v>12910</v>
      </c>
      <c r="B1005" s="740" t="s">
        <v>9394</v>
      </c>
      <c r="C1005" s="739" t="s">
        <v>1690</v>
      </c>
      <c r="D1005" s="741">
        <f t="shared" si="30"/>
        <v>7.78</v>
      </c>
      <c r="F1005" s="1406">
        <v>7.78</v>
      </c>
      <c r="G1005" s="1406">
        <v>7.78</v>
      </c>
      <c r="H1005" t="b">
        <f t="shared" si="31"/>
        <v>1</v>
      </c>
    </row>
    <row r="1006" spans="1:8">
      <c r="A1006" s="677">
        <v>1191</v>
      </c>
      <c r="B1006" s="733" t="s">
        <v>9395</v>
      </c>
      <c r="C1006" s="677" t="s">
        <v>1690</v>
      </c>
      <c r="D1006" s="738">
        <f t="shared" si="30"/>
        <v>1.19</v>
      </c>
      <c r="F1006" s="1405">
        <v>1.19</v>
      </c>
      <c r="G1006" s="1405">
        <v>1.19</v>
      </c>
      <c r="H1006" t="b">
        <f t="shared" si="31"/>
        <v>1</v>
      </c>
    </row>
    <row r="1007" spans="1:8">
      <c r="A1007" s="739">
        <v>1185</v>
      </c>
      <c r="B1007" s="740" t="s">
        <v>9396</v>
      </c>
      <c r="C1007" s="739" t="s">
        <v>1690</v>
      </c>
      <c r="D1007" s="741">
        <f t="shared" si="30"/>
        <v>1.19</v>
      </c>
      <c r="F1007" s="1406">
        <v>1.19</v>
      </c>
      <c r="G1007" s="1406">
        <v>1.19</v>
      </c>
      <c r="H1007" t="b">
        <f t="shared" si="31"/>
        <v>1</v>
      </c>
    </row>
    <row r="1008" spans="1:8">
      <c r="A1008" s="677">
        <v>1189</v>
      </c>
      <c r="B1008" s="733" t="s">
        <v>9397</v>
      </c>
      <c r="C1008" s="677" t="s">
        <v>1690</v>
      </c>
      <c r="D1008" s="738">
        <f t="shared" si="30"/>
        <v>1.94</v>
      </c>
      <c r="F1008" s="1405">
        <v>1.94</v>
      </c>
      <c r="G1008" s="1405">
        <v>1.94</v>
      </c>
      <c r="H1008" t="b">
        <f t="shared" si="31"/>
        <v>1</v>
      </c>
    </row>
    <row r="1009" spans="1:8">
      <c r="A1009" s="739">
        <v>1193</v>
      </c>
      <c r="B1009" s="740" t="s">
        <v>9398</v>
      </c>
      <c r="C1009" s="739" t="s">
        <v>1690</v>
      </c>
      <c r="D1009" s="741">
        <f t="shared" si="30"/>
        <v>3.74</v>
      </c>
      <c r="F1009" s="1406">
        <v>3.74</v>
      </c>
      <c r="G1009" s="1406">
        <v>3.74</v>
      </c>
      <c r="H1009" t="b">
        <f t="shared" si="31"/>
        <v>1</v>
      </c>
    </row>
    <row r="1010" spans="1:8">
      <c r="A1010" s="677">
        <v>1194</v>
      </c>
      <c r="B1010" s="733" t="s">
        <v>9399</v>
      </c>
      <c r="C1010" s="677" t="s">
        <v>1690</v>
      </c>
      <c r="D1010" s="738">
        <f t="shared" si="30"/>
        <v>6.75</v>
      </c>
      <c r="F1010" s="1405">
        <v>6.75</v>
      </c>
      <c r="G1010" s="1405">
        <v>6.75</v>
      </c>
      <c r="H1010" t="b">
        <f t="shared" si="31"/>
        <v>1</v>
      </c>
    </row>
    <row r="1011" spans="1:8">
      <c r="A1011" s="739">
        <v>1195</v>
      </c>
      <c r="B1011" s="740" t="s">
        <v>9400</v>
      </c>
      <c r="C1011" s="739" t="s">
        <v>1690</v>
      </c>
      <c r="D1011" s="741">
        <f t="shared" si="30"/>
        <v>11.36</v>
      </c>
      <c r="F1011" s="1406">
        <v>11.36</v>
      </c>
      <c r="G1011" s="1406">
        <v>11.36</v>
      </c>
      <c r="H1011" t="b">
        <f t="shared" si="31"/>
        <v>1</v>
      </c>
    </row>
    <row r="1012" spans="1:8">
      <c r="A1012" s="677">
        <v>1204</v>
      </c>
      <c r="B1012" s="733" t="s">
        <v>9401</v>
      </c>
      <c r="C1012" s="677" t="s">
        <v>1690</v>
      </c>
      <c r="D1012" s="738">
        <f t="shared" si="30"/>
        <v>19.87</v>
      </c>
      <c r="F1012" s="1405">
        <v>19.87</v>
      </c>
      <c r="G1012" s="1405">
        <v>19.87</v>
      </c>
      <c r="H1012" t="b">
        <f t="shared" si="31"/>
        <v>1</v>
      </c>
    </row>
    <row r="1013" spans="1:8">
      <c r="A1013" s="739">
        <v>1207</v>
      </c>
      <c r="B1013" s="740" t="s">
        <v>9402</v>
      </c>
      <c r="C1013" s="739" t="s">
        <v>1690</v>
      </c>
      <c r="D1013" s="741">
        <f t="shared" si="30"/>
        <v>26.66</v>
      </c>
      <c r="F1013" s="1406">
        <v>26.66</v>
      </c>
      <c r="G1013" s="1406">
        <v>26.66</v>
      </c>
      <c r="H1013" t="b">
        <f t="shared" si="31"/>
        <v>1</v>
      </c>
    </row>
    <row r="1014" spans="1:8">
      <c r="A1014" s="677">
        <v>1206</v>
      </c>
      <c r="B1014" s="733" t="s">
        <v>9403</v>
      </c>
      <c r="C1014" s="677" t="s">
        <v>1690</v>
      </c>
      <c r="D1014" s="738">
        <f t="shared" si="30"/>
        <v>6.68</v>
      </c>
      <c r="F1014" s="1405">
        <v>6.68</v>
      </c>
      <c r="G1014" s="1405">
        <v>6.68</v>
      </c>
      <c r="H1014" t="b">
        <f t="shared" si="31"/>
        <v>1</v>
      </c>
    </row>
    <row r="1015" spans="1:8">
      <c r="A1015" s="739">
        <v>1183</v>
      </c>
      <c r="B1015" s="740" t="s">
        <v>9404</v>
      </c>
      <c r="C1015" s="739" t="s">
        <v>1690</v>
      </c>
      <c r="D1015" s="741">
        <f t="shared" si="30"/>
        <v>17.41</v>
      </c>
      <c r="F1015" s="1406">
        <v>17.41</v>
      </c>
      <c r="G1015" s="1406">
        <v>17.41</v>
      </c>
      <c r="H1015" t="b">
        <f t="shared" si="31"/>
        <v>1</v>
      </c>
    </row>
    <row r="1016" spans="1:8">
      <c r="A1016" s="677">
        <v>42685</v>
      </c>
      <c r="B1016" s="733" t="s">
        <v>9405</v>
      </c>
      <c r="C1016" s="677" t="s">
        <v>1690</v>
      </c>
      <c r="D1016" s="738">
        <f t="shared" si="30"/>
        <v>63.1</v>
      </c>
      <c r="F1016" s="1405">
        <v>63.1</v>
      </c>
      <c r="G1016" s="1405">
        <v>63.1</v>
      </c>
      <c r="H1016" t="b">
        <f t="shared" si="31"/>
        <v>1</v>
      </c>
    </row>
    <row r="1017" spans="1:8">
      <c r="A1017" s="739">
        <v>42686</v>
      </c>
      <c r="B1017" s="740" t="s">
        <v>9406</v>
      </c>
      <c r="C1017" s="739" t="s">
        <v>1690</v>
      </c>
      <c r="D1017" s="741">
        <f t="shared" si="30"/>
        <v>69.5</v>
      </c>
      <c r="F1017" s="1406">
        <v>69.5</v>
      </c>
      <c r="G1017" s="1406">
        <v>69.5</v>
      </c>
      <c r="H1017" t="b">
        <f t="shared" si="31"/>
        <v>1</v>
      </c>
    </row>
    <row r="1018" spans="1:8">
      <c r="A1018" s="677">
        <v>12894</v>
      </c>
      <c r="B1018" s="733" t="s">
        <v>9407</v>
      </c>
      <c r="C1018" s="677" t="s">
        <v>1690</v>
      </c>
      <c r="D1018" s="738">
        <f t="shared" si="30"/>
        <v>22.9</v>
      </c>
      <c r="F1018" s="1405">
        <v>22.9</v>
      </c>
      <c r="G1018" s="1405">
        <v>22.9</v>
      </c>
      <c r="H1018" t="b">
        <f t="shared" si="31"/>
        <v>1</v>
      </c>
    </row>
    <row r="1019" spans="1:8">
      <c r="A1019" s="739">
        <v>12895</v>
      </c>
      <c r="B1019" s="740" t="s">
        <v>9408</v>
      </c>
      <c r="C1019" s="739" t="s">
        <v>1690</v>
      </c>
      <c r="D1019" s="741">
        <f t="shared" si="30"/>
        <v>17.62</v>
      </c>
      <c r="F1019" s="1406">
        <v>17.62</v>
      </c>
      <c r="G1019" s="1406">
        <v>17.62</v>
      </c>
      <c r="H1019" t="b">
        <f t="shared" si="31"/>
        <v>1</v>
      </c>
    </row>
    <row r="1020" spans="1:8" ht="30">
      <c r="A1020" s="677">
        <v>1631</v>
      </c>
      <c r="B1020" s="733" t="s">
        <v>9409</v>
      </c>
      <c r="C1020" s="677" t="s">
        <v>1690</v>
      </c>
      <c r="D1020" s="738">
        <f t="shared" si="30"/>
        <v>139.71</v>
      </c>
      <c r="F1020" s="1405">
        <v>139.71</v>
      </c>
      <c r="G1020" s="1405">
        <v>139.71</v>
      </c>
      <c r="H1020" t="b">
        <f t="shared" si="31"/>
        <v>1</v>
      </c>
    </row>
    <row r="1021" spans="1:8" ht="30">
      <c r="A1021" s="739">
        <v>1633</v>
      </c>
      <c r="B1021" s="740" t="s">
        <v>9410</v>
      </c>
      <c r="C1021" s="739" t="s">
        <v>1690</v>
      </c>
      <c r="D1021" s="741">
        <f t="shared" si="30"/>
        <v>237.38</v>
      </c>
      <c r="F1021" s="1406">
        <v>237.38</v>
      </c>
      <c r="G1021" s="1406">
        <v>237.38</v>
      </c>
      <c r="H1021" t="b">
        <f t="shared" si="31"/>
        <v>1</v>
      </c>
    </row>
    <row r="1022" spans="1:8">
      <c r="A1022" s="677">
        <v>10818</v>
      </c>
      <c r="B1022" s="733" t="s">
        <v>9411</v>
      </c>
      <c r="C1022" s="677" t="s">
        <v>1694</v>
      </c>
      <c r="D1022" s="738">
        <f t="shared" si="30"/>
        <v>52.57</v>
      </c>
      <c r="F1022" s="1405">
        <v>52.57</v>
      </c>
      <c r="G1022" s="1405">
        <v>52.57</v>
      </c>
      <c r="H1022" t="b">
        <f t="shared" si="31"/>
        <v>1</v>
      </c>
    </row>
    <row r="1023" spans="1:8">
      <c r="A1023" s="739">
        <v>41410</v>
      </c>
      <c r="B1023" s="740" t="s">
        <v>9412</v>
      </c>
      <c r="C1023" s="739" t="s">
        <v>1690</v>
      </c>
      <c r="D1023" s="741">
        <f t="shared" si="30"/>
        <v>89.59</v>
      </c>
      <c r="F1023" s="1406">
        <v>89.59</v>
      </c>
      <c r="G1023" s="1406">
        <v>89.59</v>
      </c>
      <c r="H1023" t="b">
        <f t="shared" si="31"/>
        <v>1</v>
      </c>
    </row>
    <row r="1024" spans="1:8">
      <c r="A1024" s="677">
        <v>41411</v>
      </c>
      <c r="B1024" s="733" t="s">
        <v>9413</v>
      </c>
      <c r="C1024" s="677" t="s">
        <v>1690</v>
      </c>
      <c r="D1024" s="738">
        <f t="shared" si="30"/>
        <v>81.22</v>
      </c>
      <c r="F1024" s="1405">
        <v>81.22</v>
      </c>
      <c r="G1024" s="1405">
        <v>81.22</v>
      </c>
      <c r="H1024" t="b">
        <f t="shared" si="31"/>
        <v>1</v>
      </c>
    </row>
    <row r="1025" spans="1:8">
      <c r="A1025" s="739">
        <v>41412</v>
      </c>
      <c r="B1025" s="740" t="s">
        <v>9414</v>
      </c>
      <c r="C1025" s="739" t="s">
        <v>1690</v>
      </c>
      <c r="D1025" s="741">
        <f t="shared" si="30"/>
        <v>157.09</v>
      </c>
      <c r="F1025" s="1406">
        <v>157.09</v>
      </c>
      <c r="G1025" s="1406">
        <v>157.09</v>
      </c>
      <c r="H1025" t="b">
        <f t="shared" si="31"/>
        <v>1</v>
      </c>
    </row>
    <row r="1026" spans="1:8">
      <c r="A1026" s="677">
        <v>41413</v>
      </c>
      <c r="B1026" s="733" t="s">
        <v>9415</v>
      </c>
      <c r="C1026" s="677" t="s">
        <v>1690</v>
      </c>
      <c r="D1026" s="738">
        <f t="shared" si="30"/>
        <v>141.36000000000001</v>
      </c>
      <c r="F1026" s="1405">
        <v>141.36000000000001</v>
      </c>
      <c r="G1026" s="1405">
        <v>141.36000000000001</v>
      </c>
      <c r="H1026" t="b">
        <f t="shared" si="31"/>
        <v>1</v>
      </c>
    </row>
    <row r="1027" spans="1:8" ht="30">
      <c r="A1027" s="739">
        <v>39359</v>
      </c>
      <c r="B1027" s="740" t="s">
        <v>9416</v>
      </c>
      <c r="C1027" s="739" t="s">
        <v>1690</v>
      </c>
      <c r="D1027" s="741">
        <f t="shared" ref="D1027:D1090" si="32">IF($J$2=$F$1,F1027,G1027)</f>
        <v>33.65</v>
      </c>
      <c r="F1027" s="1406">
        <v>33.65</v>
      </c>
      <c r="G1027" s="1406">
        <v>33.65</v>
      </c>
      <c r="H1027" t="b">
        <f t="shared" ref="H1027:H1090" si="33">F1027=G1027</f>
        <v>1</v>
      </c>
    </row>
    <row r="1028" spans="1:8" ht="30">
      <c r="A1028" s="677">
        <v>39360</v>
      </c>
      <c r="B1028" s="733" t="s">
        <v>9417</v>
      </c>
      <c r="C1028" s="677" t="s">
        <v>1690</v>
      </c>
      <c r="D1028" s="738">
        <f t="shared" si="32"/>
        <v>33.65</v>
      </c>
      <c r="F1028" s="1405">
        <v>33.65</v>
      </c>
      <c r="G1028" s="1405">
        <v>33.65</v>
      </c>
      <c r="H1028" t="b">
        <f t="shared" si="33"/>
        <v>1</v>
      </c>
    </row>
    <row r="1029" spans="1:8">
      <c r="A1029" s="739">
        <v>10710</v>
      </c>
      <c r="B1029" s="740" t="s">
        <v>9418</v>
      </c>
      <c r="C1029" s="739" t="s">
        <v>1692</v>
      </c>
      <c r="D1029" s="741">
        <f t="shared" si="32"/>
        <v>150.43</v>
      </c>
      <c r="F1029" s="1406">
        <v>150.43</v>
      </c>
      <c r="G1029" s="1406">
        <v>150.43</v>
      </c>
      <c r="H1029" t="b">
        <f t="shared" si="33"/>
        <v>1</v>
      </c>
    </row>
    <row r="1030" spans="1:8">
      <c r="A1030" s="677">
        <v>10709</v>
      </c>
      <c r="B1030" s="733" t="s">
        <v>9419</v>
      </c>
      <c r="C1030" s="677" t="s">
        <v>1692</v>
      </c>
      <c r="D1030" s="738">
        <f t="shared" si="32"/>
        <v>184.81</v>
      </c>
      <c r="F1030" s="1405">
        <v>184.81</v>
      </c>
      <c r="G1030" s="1405">
        <v>184.81</v>
      </c>
      <c r="H1030" t="b">
        <f t="shared" si="33"/>
        <v>1</v>
      </c>
    </row>
    <row r="1031" spans="1:8">
      <c r="A1031" s="739">
        <v>39636</v>
      </c>
      <c r="B1031" s="740" t="s">
        <v>9420</v>
      </c>
      <c r="C1031" s="739" t="s">
        <v>1692</v>
      </c>
      <c r="D1031" s="741">
        <f t="shared" si="32"/>
        <v>188.72</v>
      </c>
      <c r="F1031" s="1406">
        <v>188.72</v>
      </c>
      <c r="G1031" s="1406">
        <v>188.72</v>
      </c>
      <c r="H1031" t="b">
        <f t="shared" si="33"/>
        <v>1</v>
      </c>
    </row>
    <row r="1032" spans="1:8">
      <c r="A1032" s="677">
        <v>10708</v>
      </c>
      <c r="B1032" s="733" t="s">
        <v>9421</v>
      </c>
      <c r="C1032" s="677" t="s">
        <v>1692</v>
      </c>
      <c r="D1032" s="738">
        <f t="shared" si="32"/>
        <v>58.23</v>
      </c>
      <c r="F1032" s="1405">
        <v>58.23</v>
      </c>
      <c r="G1032" s="1405">
        <v>58.23</v>
      </c>
      <c r="H1032" t="b">
        <f t="shared" si="33"/>
        <v>1</v>
      </c>
    </row>
    <row r="1033" spans="1:8">
      <c r="A1033" s="739">
        <v>39635</v>
      </c>
      <c r="B1033" s="740" t="s">
        <v>9422</v>
      </c>
      <c r="C1033" s="739" t="s">
        <v>1692</v>
      </c>
      <c r="D1033" s="741">
        <f t="shared" si="32"/>
        <v>99.14</v>
      </c>
      <c r="F1033" s="1406">
        <v>99.14</v>
      </c>
      <c r="G1033" s="1406">
        <v>99.14</v>
      </c>
      <c r="H1033" t="b">
        <f t="shared" si="33"/>
        <v>1</v>
      </c>
    </row>
    <row r="1034" spans="1:8">
      <c r="A1034" s="677">
        <v>6117</v>
      </c>
      <c r="B1034" s="733" t="s">
        <v>9423</v>
      </c>
      <c r="C1034" s="677" t="s">
        <v>1689</v>
      </c>
      <c r="D1034" s="738">
        <f t="shared" si="32"/>
        <v>15.94</v>
      </c>
      <c r="F1034" s="1405">
        <v>13.85</v>
      </c>
      <c r="G1034" s="1405">
        <v>15.94</v>
      </c>
      <c r="H1034" t="b">
        <f t="shared" si="33"/>
        <v>0</v>
      </c>
    </row>
    <row r="1035" spans="1:8">
      <c r="A1035" s="739">
        <v>40913</v>
      </c>
      <c r="B1035" s="740" t="s">
        <v>9424</v>
      </c>
      <c r="C1035" s="739" t="s">
        <v>1696</v>
      </c>
      <c r="D1035" s="741">
        <f t="shared" si="32"/>
        <v>2806.93</v>
      </c>
      <c r="F1035" s="1406">
        <v>2434.4299999999998</v>
      </c>
      <c r="G1035" s="1406">
        <v>2806.93</v>
      </c>
      <c r="H1035" t="b">
        <f t="shared" si="33"/>
        <v>0</v>
      </c>
    </row>
    <row r="1036" spans="1:8">
      <c r="A1036" s="677">
        <v>1214</v>
      </c>
      <c r="B1036" s="733" t="s">
        <v>9425</v>
      </c>
      <c r="C1036" s="677" t="s">
        <v>1689</v>
      </c>
      <c r="D1036" s="738">
        <f t="shared" si="32"/>
        <v>18.63</v>
      </c>
      <c r="F1036" s="1405">
        <v>16.18</v>
      </c>
      <c r="G1036" s="1405">
        <v>18.63</v>
      </c>
      <c r="H1036" t="b">
        <f t="shared" si="33"/>
        <v>0</v>
      </c>
    </row>
    <row r="1037" spans="1:8">
      <c r="A1037" s="739">
        <v>40915</v>
      </c>
      <c r="B1037" s="740" t="s">
        <v>9426</v>
      </c>
      <c r="C1037" s="739" t="s">
        <v>1696</v>
      </c>
      <c r="D1037" s="741">
        <f t="shared" si="32"/>
        <v>3279.13</v>
      </c>
      <c r="F1037" s="1406">
        <v>2843.96</v>
      </c>
      <c r="G1037" s="1406">
        <v>3279.13</v>
      </c>
      <c r="H1037" t="b">
        <f t="shared" si="33"/>
        <v>0</v>
      </c>
    </row>
    <row r="1038" spans="1:8">
      <c r="A1038" s="677">
        <v>1213</v>
      </c>
      <c r="B1038" s="733" t="s">
        <v>9427</v>
      </c>
      <c r="C1038" s="677" t="s">
        <v>1689</v>
      </c>
      <c r="D1038" s="738">
        <f t="shared" si="32"/>
        <v>19.79</v>
      </c>
      <c r="F1038" s="1405">
        <v>17.190000000000001</v>
      </c>
      <c r="G1038" s="1405">
        <v>19.79</v>
      </c>
      <c r="H1038" t="b">
        <f t="shared" si="33"/>
        <v>0</v>
      </c>
    </row>
    <row r="1039" spans="1:8">
      <c r="A1039" s="739">
        <v>40914</v>
      </c>
      <c r="B1039" s="740" t="s">
        <v>9428</v>
      </c>
      <c r="C1039" s="739" t="s">
        <v>1696</v>
      </c>
      <c r="D1039" s="741">
        <f t="shared" si="32"/>
        <v>3482.33</v>
      </c>
      <c r="F1039" s="1406">
        <v>3020.19</v>
      </c>
      <c r="G1039" s="1406">
        <v>3482.33</v>
      </c>
      <c r="H1039" t="b">
        <f t="shared" si="33"/>
        <v>0</v>
      </c>
    </row>
    <row r="1040" spans="1:8">
      <c r="A1040" s="677">
        <v>5091</v>
      </c>
      <c r="B1040" s="733" t="s">
        <v>9429</v>
      </c>
      <c r="C1040" s="677" t="s">
        <v>1690</v>
      </c>
      <c r="D1040" s="738">
        <f t="shared" si="32"/>
        <v>22.38</v>
      </c>
      <c r="F1040" s="1405">
        <v>22.38</v>
      </c>
      <c r="G1040" s="1405">
        <v>22.38</v>
      </c>
      <c r="H1040" t="b">
        <f t="shared" si="33"/>
        <v>1</v>
      </c>
    </row>
    <row r="1041" spans="1:8" ht="30">
      <c r="A1041" s="739">
        <v>14615</v>
      </c>
      <c r="B1041" s="740" t="s">
        <v>9430</v>
      </c>
      <c r="C1041" s="739" t="s">
        <v>1690</v>
      </c>
      <c r="D1041" s="741">
        <f t="shared" si="32"/>
        <v>3452.55</v>
      </c>
      <c r="F1041" s="1406">
        <v>3452.55</v>
      </c>
      <c r="G1041" s="1406">
        <v>3452.55</v>
      </c>
      <c r="H1041" t="b">
        <f t="shared" si="33"/>
        <v>1</v>
      </c>
    </row>
    <row r="1042" spans="1:8">
      <c r="A1042" s="677">
        <v>2711</v>
      </c>
      <c r="B1042" s="733" t="s">
        <v>9431</v>
      </c>
      <c r="C1042" s="677" t="s">
        <v>1690</v>
      </c>
      <c r="D1042" s="738">
        <f t="shared" si="32"/>
        <v>311.52</v>
      </c>
      <c r="F1042" s="1405">
        <v>311.52</v>
      </c>
      <c r="G1042" s="1405">
        <v>311.52</v>
      </c>
      <c r="H1042" t="b">
        <f t="shared" si="33"/>
        <v>1</v>
      </c>
    </row>
    <row r="1043" spans="1:8" ht="30">
      <c r="A1043" s="739">
        <v>37727</v>
      </c>
      <c r="B1043" s="740" t="s">
        <v>9432</v>
      </c>
      <c r="C1043" s="739" t="s">
        <v>1690</v>
      </c>
      <c r="D1043" s="741">
        <f t="shared" si="32"/>
        <v>17085</v>
      </c>
      <c r="F1043" s="1406">
        <v>17085</v>
      </c>
      <c r="G1043" s="1406">
        <v>17085</v>
      </c>
      <c r="H1043" t="b">
        <f t="shared" si="33"/>
        <v>1</v>
      </c>
    </row>
    <row r="1044" spans="1:8" ht="30">
      <c r="A1044" s="677">
        <v>37728</v>
      </c>
      <c r="B1044" s="733" t="s">
        <v>9433</v>
      </c>
      <c r="C1044" s="677" t="s">
        <v>1690</v>
      </c>
      <c r="D1044" s="738">
        <f t="shared" si="32"/>
        <v>23178.25</v>
      </c>
      <c r="F1044" s="1405">
        <v>23178.25</v>
      </c>
      <c r="G1044" s="1405">
        <v>23178.25</v>
      </c>
      <c r="H1044" t="b">
        <f t="shared" si="33"/>
        <v>1</v>
      </c>
    </row>
    <row r="1045" spans="1:8" ht="30">
      <c r="A1045" s="739">
        <v>37729</v>
      </c>
      <c r="B1045" s="740" t="s">
        <v>9434</v>
      </c>
      <c r="C1045" s="739" t="s">
        <v>1690</v>
      </c>
      <c r="D1045" s="741">
        <f t="shared" si="32"/>
        <v>25089.86</v>
      </c>
      <c r="F1045" s="1406">
        <v>25089.86</v>
      </c>
      <c r="G1045" s="1406">
        <v>25089.86</v>
      </c>
      <c r="H1045" t="b">
        <f t="shared" si="33"/>
        <v>1</v>
      </c>
    </row>
    <row r="1046" spans="1:8" ht="30">
      <c r="A1046" s="677">
        <v>37730</v>
      </c>
      <c r="B1046" s="733" t="s">
        <v>9435</v>
      </c>
      <c r="C1046" s="677" t="s">
        <v>1690</v>
      </c>
      <c r="D1046" s="738">
        <f t="shared" si="32"/>
        <v>27001.46</v>
      </c>
      <c r="F1046" s="1405">
        <v>27001.46</v>
      </c>
      <c r="G1046" s="1405">
        <v>27001.46</v>
      </c>
      <c r="H1046" t="b">
        <f t="shared" si="33"/>
        <v>1</v>
      </c>
    </row>
    <row r="1047" spans="1:8" ht="30">
      <c r="A1047" s="739">
        <v>37731</v>
      </c>
      <c r="B1047" s="740" t="s">
        <v>9436</v>
      </c>
      <c r="C1047" s="739" t="s">
        <v>1690</v>
      </c>
      <c r="D1047" s="741">
        <f t="shared" si="32"/>
        <v>28913.07</v>
      </c>
      <c r="F1047" s="1406">
        <v>28913.07</v>
      </c>
      <c r="G1047" s="1406">
        <v>28913.07</v>
      </c>
      <c r="H1047" t="b">
        <f t="shared" si="33"/>
        <v>1</v>
      </c>
    </row>
    <row r="1048" spans="1:8" ht="30">
      <c r="A1048" s="677">
        <v>37732</v>
      </c>
      <c r="B1048" s="733" t="s">
        <v>9437</v>
      </c>
      <c r="C1048" s="677" t="s">
        <v>1690</v>
      </c>
      <c r="D1048" s="738">
        <f t="shared" si="32"/>
        <v>32975.24</v>
      </c>
      <c r="F1048" s="1405">
        <v>32975.24</v>
      </c>
      <c r="G1048" s="1405">
        <v>32975.24</v>
      </c>
      <c r="H1048" t="b">
        <f t="shared" si="33"/>
        <v>1</v>
      </c>
    </row>
    <row r="1049" spans="1:8" ht="30">
      <c r="A1049" s="739">
        <v>42256</v>
      </c>
      <c r="B1049" s="740" t="s">
        <v>9438</v>
      </c>
      <c r="C1049" s="739" t="s">
        <v>1694</v>
      </c>
      <c r="D1049" s="741">
        <f t="shared" si="32"/>
        <v>10.91</v>
      </c>
      <c r="F1049" s="1406">
        <v>10.91</v>
      </c>
      <c r="G1049" s="1406">
        <v>10.91</v>
      </c>
      <c r="H1049" t="b">
        <f t="shared" si="33"/>
        <v>1</v>
      </c>
    </row>
    <row r="1050" spans="1:8" ht="30">
      <c r="A1050" s="677">
        <v>42250</v>
      </c>
      <c r="B1050" s="733" t="s">
        <v>9439</v>
      </c>
      <c r="C1050" s="677" t="s">
        <v>1700</v>
      </c>
      <c r="D1050" s="738">
        <f t="shared" si="32"/>
        <v>4910.8900000000003</v>
      </c>
      <c r="F1050" s="1405">
        <v>4910.8900000000003</v>
      </c>
      <c r="G1050" s="1405">
        <v>4910.8900000000003</v>
      </c>
      <c r="H1050" t="b">
        <f t="shared" si="33"/>
        <v>1</v>
      </c>
    </row>
    <row r="1051" spans="1:8">
      <c r="A1051" s="739">
        <v>4743</v>
      </c>
      <c r="B1051" s="740" t="s">
        <v>9440</v>
      </c>
      <c r="C1051" s="739" t="s">
        <v>1691</v>
      </c>
      <c r="D1051" s="741">
        <f t="shared" si="32"/>
        <v>84.1</v>
      </c>
      <c r="F1051" s="1406">
        <v>84.1</v>
      </c>
      <c r="G1051" s="1406">
        <v>84.1</v>
      </c>
      <c r="H1051" t="b">
        <f t="shared" si="33"/>
        <v>1</v>
      </c>
    </row>
    <row r="1052" spans="1:8">
      <c r="A1052" s="677">
        <v>4744</v>
      </c>
      <c r="B1052" s="733" t="s">
        <v>9441</v>
      </c>
      <c r="C1052" s="677" t="s">
        <v>1691</v>
      </c>
      <c r="D1052" s="738">
        <f t="shared" si="32"/>
        <v>134.57</v>
      </c>
      <c r="F1052" s="1405">
        <v>134.57</v>
      </c>
      <c r="G1052" s="1405">
        <v>134.57</v>
      </c>
      <c r="H1052" t="b">
        <f t="shared" si="33"/>
        <v>1</v>
      </c>
    </row>
    <row r="1053" spans="1:8">
      <c r="A1053" s="739">
        <v>4745</v>
      </c>
      <c r="B1053" s="740" t="s">
        <v>9442</v>
      </c>
      <c r="C1053" s="739" t="s">
        <v>1691</v>
      </c>
      <c r="D1053" s="741">
        <f t="shared" si="32"/>
        <v>161.4</v>
      </c>
      <c r="F1053" s="1406">
        <v>161.4</v>
      </c>
      <c r="G1053" s="1406">
        <v>161.4</v>
      </c>
      <c r="H1053" t="b">
        <f t="shared" si="33"/>
        <v>1</v>
      </c>
    </row>
    <row r="1054" spans="1:8" ht="30">
      <c r="A1054" s="677">
        <v>36496</v>
      </c>
      <c r="B1054" s="733" t="s">
        <v>9443</v>
      </c>
      <c r="C1054" s="677" t="s">
        <v>1690</v>
      </c>
      <c r="D1054" s="738">
        <f t="shared" si="32"/>
        <v>8765.9699999999993</v>
      </c>
      <c r="F1054" s="1405">
        <v>8765.9699999999993</v>
      </c>
      <c r="G1054" s="1405">
        <v>8765.9699999999993</v>
      </c>
      <c r="H1054" t="b">
        <f t="shared" si="33"/>
        <v>1</v>
      </c>
    </row>
    <row r="1055" spans="1:8" ht="30">
      <c r="A1055" s="739">
        <v>10630</v>
      </c>
      <c r="B1055" s="740" t="s">
        <v>9444</v>
      </c>
      <c r="C1055" s="739" t="s">
        <v>1690</v>
      </c>
      <c r="D1055" s="741">
        <f t="shared" si="32"/>
        <v>861365.09</v>
      </c>
      <c r="F1055" s="1406">
        <v>861365.09</v>
      </c>
      <c r="G1055" s="1406">
        <v>861365.09</v>
      </c>
      <c r="H1055" t="b">
        <f t="shared" si="33"/>
        <v>1</v>
      </c>
    </row>
    <row r="1056" spans="1:8" ht="30">
      <c r="A1056" s="677">
        <v>37762</v>
      </c>
      <c r="B1056" s="733" t="s">
        <v>9445</v>
      </c>
      <c r="C1056" s="677" t="s">
        <v>1690</v>
      </c>
      <c r="D1056" s="738">
        <f t="shared" si="32"/>
        <v>738740.35</v>
      </c>
      <c r="F1056" s="1405">
        <v>738740.35</v>
      </c>
      <c r="G1056" s="1405">
        <v>738740.35</v>
      </c>
      <c r="H1056" t="b">
        <f t="shared" si="33"/>
        <v>1</v>
      </c>
    </row>
    <row r="1057" spans="1:8" ht="30">
      <c r="A1057" s="739">
        <v>37763</v>
      </c>
      <c r="B1057" s="740" t="s">
        <v>9446</v>
      </c>
      <c r="C1057" s="739" t="s">
        <v>1690</v>
      </c>
      <c r="D1057" s="741">
        <f t="shared" si="32"/>
        <v>747712.78</v>
      </c>
      <c r="F1057" s="1406">
        <v>747712.78</v>
      </c>
      <c r="G1057" s="1406">
        <v>747712.78</v>
      </c>
      <c r="H1057" t="b">
        <f t="shared" si="33"/>
        <v>1</v>
      </c>
    </row>
    <row r="1058" spans="1:8" ht="30">
      <c r="A1058" s="677">
        <v>41992</v>
      </c>
      <c r="B1058" s="733" t="s">
        <v>9447</v>
      </c>
      <c r="C1058" s="677" t="s">
        <v>1690</v>
      </c>
      <c r="D1058" s="738">
        <f t="shared" si="32"/>
        <v>850000</v>
      </c>
      <c r="F1058" s="1405">
        <v>850000</v>
      </c>
      <c r="G1058" s="1405">
        <v>850000</v>
      </c>
      <c r="H1058" t="b">
        <f t="shared" si="33"/>
        <v>1</v>
      </c>
    </row>
    <row r="1059" spans="1:8" ht="30">
      <c r="A1059" s="739">
        <v>13215</v>
      </c>
      <c r="B1059" s="740" t="s">
        <v>9448</v>
      </c>
      <c r="C1059" s="739" t="s">
        <v>1690</v>
      </c>
      <c r="D1059" s="741">
        <f t="shared" si="32"/>
        <v>1042311.65</v>
      </c>
      <c r="F1059" s="1406">
        <v>1042311.65</v>
      </c>
      <c r="G1059" s="1406">
        <v>1042311.65</v>
      </c>
      <c r="H1059" t="b">
        <f t="shared" si="33"/>
        <v>1</v>
      </c>
    </row>
    <row r="1060" spans="1:8">
      <c r="A1060" s="677">
        <v>4235</v>
      </c>
      <c r="B1060" s="733" t="s">
        <v>9449</v>
      </c>
      <c r="C1060" s="677" t="s">
        <v>1689</v>
      </c>
      <c r="D1060" s="738">
        <f t="shared" si="32"/>
        <v>16.79</v>
      </c>
      <c r="F1060" s="1405">
        <v>14.58</v>
      </c>
      <c r="G1060" s="1405">
        <v>16.79</v>
      </c>
      <c r="H1060" t="b">
        <f t="shared" si="33"/>
        <v>0</v>
      </c>
    </row>
    <row r="1061" spans="1:8">
      <c r="A1061" s="739">
        <v>40976</v>
      </c>
      <c r="B1061" s="740" t="s">
        <v>9450</v>
      </c>
      <c r="C1061" s="739" t="s">
        <v>1696</v>
      </c>
      <c r="D1061" s="741">
        <f t="shared" si="32"/>
        <v>2958.11</v>
      </c>
      <c r="F1061" s="1406">
        <v>2565.54</v>
      </c>
      <c r="G1061" s="1406">
        <v>2958.11</v>
      </c>
      <c r="H1061" t="b">
        <f t="shared" si="33"/>
        <v>0</v>
      </c>
    </row>
    <row r="1062" spans="1:8" ht="30">
      <c r="A1062" s="677">
        <v>43091</v>
      </c>
      <c r="B1062" s="733" t="s">
        <v>9451</v>
      </c>
      <c r="C1062" s="677" t="s">
        <v>1690</v>
      </c>
      <c r="D1062" s="738">
        <f t="shared" si="32"/>
        <v>7560.92</v>
      </c>
      <c r="F1062" s="1405">
        <v>7560.92</v>
      </c>
      <c r="G1062" s="1405">
        <v>7560.92</v>
      </c>
      <c r="H1062" t="b">
        <f t="shared" si="33"/>
        <v>1</v>
      </c>
    </row>
    <row r="1063" spans="1:8" ht="30">
      <c r="A1063" s="739">
        <v>43092</v>
      </c>
      <c r="B1063" s="740" t="s">
        <v>9452</v>
      </c>
      <c r="C1063" s="739" t="s">
        <v>1690</v>
      </c>
      <c r="D1063" s="741">
        <f t="shared" si="32"/>
        <v>10081.23</v>
      </c>
      <c r="F1063" s="1406">
        <v>10081.23</v>
      </c>
      <c r="G1063" s="1406">
        <v>10081.23</v>
      </c>
      <c r="H1063" t="b">
        <f t="shared" si="33"/>
        <v>1</v>
      </c>
    </row>
    <row r="1064" spans="1:8" ht="30">
      <c r="A1064" s="677">
        <v>43089</v>
      </c>
      <c r="B1064" s="733" t="s">
        <v>9453</v>
      </c>
      <c r="C1064" s="677" t="s">
        <v>1690</v>
      </c>
      <c r="D1064" s="738">
        <f t="shared" si="32"/>
        <v>1756.94</v>
      </c>
      <c r="F1064" s="1405">
        <v>1756.94</v>
      </c>
      <c r="G1064" s="1405">
        <v>1756.94</v>
      </c>
      <c r="H1064" t="b">
        <f t="shared" si="33"/>
        <v>1</v>
      </c>
    </row>
    <row r="1065" spans="1:8" ht="30">
      <c r="A1065" s="739">
        <v>43090</v>
      </c>
      <c r="B1065" s="740" t="s">
        <v>9454</v>
      </c>
      <c r="C1065" s="739" t="s">
        <v>1690</v>
      </c>
      <c r="D1065" s="741">
        <f t="shared" si="32"/>
        <v>3877.39</v>
      </c>
      <c r="F1065" s="1406">
        <v>3877.39</v>
      </c>
      <c r="G1065" s="1406">
        <v>3877.39</v>
      </c>
      <c r="H1065" t="b">
        <f t="shared" si="33"/>
        <v>1</v>
      </c>
    </row>
    <row r="1066" spans="1:8">
      <c r="A1066" s="677">
        <v>41967</v>
      </c>
      <c r="B1066" s="733" t="s">
        <v>9455</v>
      </c>
      <c r="C1066" s="677" t="s">
        <v>1695</v>
      </c>
      <c r="D1066" s="738">
        <f t="shared" si="32"/>
        <v>20.32</v>
      </c>
      <c r="F1066" s="1405">
        <v>20.32</v>
      </c>
      <c r="G1066" s="1405">
        <v>20.32</v>
      </c>
      <c r="H1066" t="b">
        <f t="shared" si="33"/>
        <v>1</v>
      </c>
    </row>
    <row r="1067" spans="1:8">
      <c r="A1067" s="739">
        <v>12760</v>
      </c>
      <c r="B1067" s="740" t="s">
        <v>9456</v>
      </c>
      <c r="C1067" s="739" t="s">
        <v>1692</v>
      </c>
      <c r="D1067" s="741">
        <f t="shared" si="32"/>
        <v>1453.16</v>
      </c>
      <c r="F1067" s="1406">
        <v>1453.16</v>
      </c>
      <c r="G1067" s="1406">
        <v>1453.16</v>
      </c>
      <c r="H1067" t="b">
        <f t="shared" si="33"/>
        <v>1</v>
      </c>
    </row>
    <row r="1068" spans="1:8">
      <c r="A1068" s="677">
        <v>12759</v>
      </c>
      <c r="B1068" s="733" t="s">
        <v>9457</v>
      </c>
      <c r="C1068" s="677" t="s">
        <v>1692</v>
      </c>
      <c r="D1068" s="738">
        <f t="shared" si="32"/>
        <v>968.76</v>
      </c>
      <c r="F1068" s="1405">
        <v>968.76</v>
      </c>
      <c r="G1068" s="1405">
        <v>968.76</v>
      </c>
      <c r="H1068" t="b">
        <f t="shared" si="33"/>
        <v>1</v>
      </c>
    </row>
    <row r="1069" spans="1:8" ht="30">
      <c r="A1069" s="739">
        <v>43105</v>
      </c>
      <c r="B1069" s="740" t="s">
        <v>9458</v>
      </c>
      <c r="C1069" s="739" t="s">
        <v>1694</v>
      </c>
      <c r="D1069" s="741">
        <f t="shared" si="32"/>
        <v>44.13</v>
      </c>
      <c r="F1069" s="1406">
        <v>44.13</v>
      </c>
      <c r="G1069" s="1406">
        <v>44.13</v>
      </c>
      <c r="H1069" t="b">
        <f t="shared" si="33"/>
        <v>1</v>
      </c>
    </row>
    <row r="1070" spans="1:8">
      <c r="A1070" s="677">
        <v>40424</v>
      </c>
      <c r="B1070" s="733" t="s">
        <v>9459</v>
      </c>
      <c r="C1070" s="677" t="s">
        <v>1694</v>
      </c>
      <c r="D1070" s="738">
        <f t="shared" si="32"/>
        <v>11.21</v>
      </c>
      <c r="F1070" s="1405">
        <v>11.21</v>
      </c>
      <c r="G1070" s="1405">
        <v>11.21</v>
      </c>
      <c r="H1070" t="b">
        <f t="shared" si="33"/>
        <v>1</v>
      </c>
    </row>
    <row r="1071" spans="1:8">
      <c r="A1071" s="739">
        <v>1325</v>
      </c>
      <c r="B1071" s="740" t="s">
        <v>9460</v>
      </c>
      <c r="C1071" s="739" t="s">
        <v>1694</v>
      </c>
      <c r="D1071" s="741">
        <f t="shared" si="32"/>
        <v>12.28</v>
      </c>
      <c r="F1071" s="1406">
        <v>12.28</v>
      </c>
      <c r="G1071" s="1406">
        <v>12.28</v>
      </c>
      <c r="H1071" t="b">
        <f t="shared" si="33"/>
        <v>1</v>
      </c>
    </row>
    <row r="1072" spans="1:8">
      <c r="A1072" s="677">
        <v>1327</v>
      </c>
      <c r="B1072" s="733" t="s">
        <v>9461</v>
      </c>
      <c r="C1072" s="677" t="s">
        <v>1694</v>
      </c>
      <c r="D1072" s="738">
        <f t="shared" si="32"/>
        <v>13.07</v>
      </c>
      <c r="F1072" s="1405">
        <v>13.07</v>
      </c>
      <c r="G1072" s="1405">
        <v>13.07</v>
      </c>
      <c r="H1072" t="b">
        <f t="shared" si="33"/>
        <v>1</v>
      </c>
    </row>
    <row r="1073" spans="1:8">
      <c r="A1073" s="739">
        <v>1328</v>
      </c>
      <c r="B1073" s="740" t="s">
        <v>9462</v>
      </c>
      <c r="C1073" s="739" t="s">
        <v>1694</v>
      </c>
      <c r="D1073" s="741">
        <f t="shared" si="32"/>
        <v>12.31</v>
      </c>
      <c r="F1073" s="1406">
        <v>12.31</v>
      </c>
      <c r="G1073" s="1406">
        <v>12.31</v>
      </c>
      <c r="H1073" t="b">
        <f t="shared" si="33"/>
        <v>1</v>
      </c>
    </row>
    <row r="1074" spans="1:8">
      <c r="A1074" s="677">
        <v>1321</v>
      </c>
      <c r="B1074" s="733" t="s">
        <v>9463</v>
      </c>
      <c r="C1074" s="677" t="s">
        <v>1694</v>
      </c>
      <c r="D1074" s="738">
        <f t="shared" si="32"/>
        <v>11.4</v>
      </c>
      <c r="F1074" s="1405">
        <v>11.4</v>
      </c>
      <c r="G1074" s="1405">
        <v>11.4</v>
      </c>
      <c r="H1074" t="b">
        <f t="shared" si="33"/>
        <v>1</v>
      </c>
    </row>
    <row r="1075" spans="1:8">
      <c r="A1075" s="739">
        <v>1318</v>
      </c>
      <c r="B1075" s="740" t="s">
        <v>9464</v>
      </c>
      <c r="C1075" s="739" t="s">
        <v>1694</v>
      </c>
      <c r="D1075" s="741">
        <f t="shared" si="32"/>
        <v>11.41</v>
      </c>
      <c r="F1075" s="1406">
        <v>11.41</v>
      </c>
      <c r="G1075" s="1406">
        <v>11.41</v>
      </c>
      <c r="H1075" t="b">
        <f t="shared" si="33"/>
        <v>1</v>
      </c>
    </row>
    <row r="1076" spans="1:8">
      <c r="A1076" s="677">
        <v>1322</v>
      </c>
      <c r="B1076" s="733" t="s">
        <v>9465</v>
      </c>
      <c r="C1076" s="677" t="s">
        <v>1694</v>
      </c>
      <c r="D1076" s="738">
        <f t="shared" si="32"/>
        <v>12.05</v>
      </c>
      <c r="F1076" s="1405">
        <v>12.05</v>
      </c>
      <c r="G1076" s="1405">
        <v>12.05</v>
      </c>
      <c r="H1076" t="b">
        <f t="shared" si="33"/>
        <v>1</v>
      </c>
    </row>
    <row r="1077" spans="1:8">
      <c r="A1077" s="739">
        <v>1323</v>
      </c>
      <c r="B1077" s="740" t="s">
        <v>9466</v>
      </c>
      <c r="C1077" s="739" t="s">
        <v>1694</v>
      </c>
      <c r="D1077" s="741">
        <f t="shared" si="32"/>
        <v>12.05</v>
      </c>
      <c r="F1077" s="1406">
        <v>12.05</v>
      </c>
      <c r="G1077" s="1406">
        <v>12.05</v>
      </c>
      <c r="H1077" t="b">
        <f t="shared" si="33"/>
        <v>1</v>
      </c>
    </row>
    <row r="1078" spans="1:8">
      <c r="A1078" s="677">
        <v>1319</v>
      </c>
      <c r="B1078" s="733" t="s">
        <v>9467</v>
      </c>
      <c r="C1078" s="677" t="s">
        <v>1694</v>
      </c>
      <c r="D1078" s="738">
        <f t="shared" si="32"/>
        <v>10.15</v>
      </c>
      <c r="F1078" s="1405">
        <v>10.15</v>
      </c>
      <c r="G1078" s="1405">
        <v>10.15</v>
      </c>
      <c r="H1078" t="b">
        <f t="shared" si="33"/>
        <v>1</v>
      </c>
    </row>
    <row r="1079" spans="1:8">
      <c r="A1079" s="739">
        <v>11026</v>
      </c>
      <c r="B1079" s="740" t="s">
        <v>9468</v>
      </c>
      <c r="C1079" s="739" t="s">
        <v>1694</v>
      </c>
      <c r="D1079" s="741">
        <f t="shared" si="32"/>
        <v>13.97</v>
      </c>
      <c r="F1079" s="1406">
        <v>13.97</v>
      </c>
      <c r="G1079" s="1406">
        <v>13.97</v>
      </c>
      <c r="H1079" t="b">
        <f t="shared" si="33"/>
        <v>1</v>
      </c>
    </row>
    <row r="1080" spans="1:8">
      <c r="A1080" s="677">
        <v>11027</v>
      </c>
      <c r="B1080" s="733" t="s">
        <v>9469</v>
      </c>
      <c r="C1080" s="677" t="s">
        <v>1694</v>
      </c>
      <c r="D1080" s="738">
        <f t="shared" si="32"/>
        <v>14.54</v>
      </c>
      <c r="F1080" s="1405">
        <v>14.54</v>
      </c>
      <c r="G1080" s="1405">
        <v>14.54</v>
      </c>
      <c r="H1080" t="b">
        <f t="shared" si="33"/>
        <v>1</v>
      </c>
    </row>
    <row r="1081" spans="1:8">
      <c r="A1081" s="739">
        <v>11046</v>
      </c>
      <c r="B1081" s="740" t="s">
        <v>9470</v>
      </c>
      <c r="C1081" s="739" t="s">
        <v>1694</v>
      </c>
      <c r="D1081" s="741">
        <f t="shared" si="32"/>
        <v>13.92</v>
      </c>
      <c r="F1081" s="1406">
        <v>13.92</v>
      </c>
      <c r="G1081" s="1406">
        <v>13.92</v>
      </c>
      <c r="H1081" t="b">
        <f t="shared" si="33"/>
        <v>1</v>
      </c>
    </row>
    <row r="1082" spans="1:8">
      <c r="A1082" s="677">
        <v>11047</v>
      </c>
      <c r="B1082" s="733" t="s">
        <v>9471</v>
      </c>
      <c r="C1082" s="677" t="s">
        <v>1694</v>
      </c>
      <c r="D1082" s="738">
        <f t="shared" si="32"/>
        <v>15.18</v>
      </c>
      <c r="F1082" s="1405">
        <v>15.18</v>
      </c>
      <c r="G1082" s="1405">
        <v>15.18</v>
      </c>
      <c r="H1082" t="b">
        <f t="shared" si="33"/>
        <v>1</v>
      </c>
    </row>
    <row r="1083" spans="1:8">
      <c r="A1083" s="739">
        <v>43668</v>
      </c>
      <c r="B1083" s="740" t="s">
        <v>9472</v>
      </c>
      <c r="C1083" s="739" t="s">
        <v>1694</v>
      </c>
      <c r="D1083" s="741">
        <f t="shared" si="32"/>
        <v>13.4</v>
      </c>
      <c r="F1083" s="1406">
        <v>13.4</v>
      </c>
      <c r="G1083" s="1406">
        <v>13.4</v>
      </c>
      <c r="H1083" t="b">
        <f t="shared" si="33"/>
        <v>1</v>
      </c>
    </row>
    <row r="1084" spans="1:8">
      <c r="A1084" s="677">
        <v>11049</v>
      </c>
      <c r="B1084" s="733" t="s">
        <v>9473</v>
      </c>
      <c r="C1084" s="677" t="s">
        <v>1694</v>
      </c>
      <c r="D1084" s="738">
        <f t="shared" si="32"/>
        <v>14.51</v>
      </c>
      <c r="F1084" s="1405">
        <v>14.51</v>
      </c>
      <c r="G1084" s="1405">
        <v>14.51</v>
      </c>
      <c r="H1084" t="b">
        <f t="shared" si="33"/>
        <v>1</v>
      </c>
    </row>
    <row r="1085" spans="1:8">
      <c r="A1085" s="739">
        <v>43106</v>
      </c>
      <c r="B1085" s="740" t="s">
        <v>9474</v>
      </c>
      <c r="C1085" s="739" t="s">
        <v>1694</v>
      </c>
      <c r="D1085" s="741">
        <f t="shared" si="32"/>
        <v>14.6</v>
      </c>
      <c r="F1085" s="1406">
        <v>14.6</v>
      </c>
      <c r="G1085" s="1406">
        <v>14.6</v>
      </c>
      <c r="H1085" t="b">
        <f t="shared" si="33"/>
        <v>1</v>
      </c>
    </row>
    <row r="1086" spans="1:8">
      <c r="A1086" s="677">
        <v>11051</v>
      </c>
      <c r="B1086" s="733" t="s">
        <v>9475</v>
      </c>
      <c r="C1086" s="677" t="s">
        <v>1694</v>
      </c>
      <c r="D1086" s="738">
        <f t="shared" si="32"/>
        <v>15.23</v>
      </c>
      <c r="F1086" s="1405">
        <v>15.23</v>
      </c>
      <c r="G1086" s="1405">
        <v>15.23</v>
      </c>
      <c r="H1086" t="b">
        <f t="shared" si="33"/>
        <v>1</v>
      </c>
    </row>
    <row r="1087" spans="1:8">
      <c r="A1087" s="739">
        <v>11061</v>
      </c>
      <c r="B1087" s="740" t="s">
        <v>9476</v>
      </c>
      <c r="C1087" s="739" t="s">
        <v>1694</v>
      </c>
      <c r="D1087" s="741">
        <f t="shared" si="32"/>
        <v>18.28</v>
      </c>
      <c r="F1087" s="1406">
        <v>18.28</v>
      </c>
      <c r="G1087" s="1406">
        <v>18.28</v>
      </c>
      <c r="H1087" t="b">
        <f t="shared" si="33"/>
        <v>1</v>
      </c>
    </row>
    <row r="1088" spans="1:8">
      <c r="A1088" s="677">
        <v>43667</v>
      </c>
      <c r="B1088" s="733" t="s">
        <v>9477</v>
      </c>
      <c r="C1088" s="677" t="s">
        <v>1694</v>
      </c>
      <c r="D1088" s="738">
        <f t="shared" si="32"/>
        <v>13.28</v>
      </c>
      <c r="F1088" s="1405">
        <v>13.28</v>
      </c>
      <c r="G1088" s="1405">
        <v>13.28</v>
      </c>
      <c r="H1088" t="b">
        <f t="shared" si="33"/>
        <v>1</v>
      </c>
    </row>
    <row r="1089" spans="1:8">
      <c r="A1089" s="739">
        <v>1333</v>
      </c>
      <c r="B1089" s="740" t="s">
        <v>9478</v>
      </c>
      <c r="C1089" s="739" t="s">
        <v>1694</v>
      </c>
      <c r="D1089" s="741">
        <f t="shared" si="32"/>
        <v>11.06</v>
      </c>
      <c r="F1089" s="1406">
        <v>11.06</v>
      </c>
      <c r="G1089" s="1406">
        <v>11.06</v>
      </c>
      <c r="H1089" t="b">
        <f t="shared" si="33"/>
        <v>1</v>
      </c>
    </row>
    <row r="1090" spans="1:8">
      <c r="A1090" s="677">
        <v>1330</v>
      </c>
      <c r="B1090" s="733" t="s">
        <v>9479</v>
      </c>
      <c r="C1090" s="677" t="s">
        <v>1694</v>
      </c>
      <c r="D1090" s="738">
        <f t="shared" si="32"/>
        <v>10.96</v>
      </c>
      <c r="F1090" s="1405">
        <v>10.96</v>
      </c>
      <c r="G1090" s="1405">
        <v>10.96</v>
      </c>
      <c r="H1090" t="b">
        <f t="shared" si="33"/>
        <v>1</v>
      </c>
    </row>
    <row r="1091" spans="1:8">
      <c r="A1091" s="739">
        <v>10957</v>
      </c>
      <c r="B1091" s="740" t="s">
        <v>9480</v>
      </c>
      <c r="C1091" s="739" t="s">
        <v>1694</v>
      </c>
      <c r="D1091" s="741">
        <f t="shared" ref="D1091:D1154" si="34">IF($J$2=$F$1,F1091,G1091)</f>
        <v>12.64</v>
      </c>
      <c r="F1091" s="1406">
        <v>12.64</v>
      </c>
      <c r="G1091" s="1406">
        <v>12.64</v>
      </c>
      <c r="H1091" t="b">
        <f t="shared" ref="H1091:H1154" si="35">F1091=G1091</f>
        <v>1</v>
      </c>
    </row>
    <row r="1092" spans="1:8">
      <c r="A1092" s="677">
        <v>1332</v>
      </c>
      <c r="B1092" s="733" t="s">
        <v>9481</v>
      </c>
      <c r="C1092" s="677" t="s">
        <v>1694</v>
      </c>
      <c r="D1092" s="738">
        <f t="shared" si="34"/>
        <v>11.24</v>
      </c>
      <c r="F1092" s="1405">
        <v>11.24</v>
      </c>
      <c r="G1092" s="1405">
        <v>11.24</v>
      </c>
      <c r="H1092" t="b">
        <f t="shared" si="35"/>
        <v>1</v>
      </c>
    </row>
    <row r="1093" spans="1:8">
      <c r="A1093" s="739">
        <v>1334</v>
      </c>
      <c r="B1093" s="740" t="s">
        <v>9482</v>
      </c>
      <c r="C1093" s="739" t="s">
        <v>1694</v>
      </c>
      <c r="D1093" s="741">
        <f t="shared" si="34"/>
        <v>12.46</v>
      </c>
      <c r="F1093" s="1406">
        <v>12.46</v>
      </c>
      <c r="G1093" s="1406">
        <v>12.46</v>
      </c>
      <c r="H1093" t="b">
        <f t="shared" si="35"/>
        <v>1</v>
      </c>
    </row>
    <row r="1094" spans="1:8">
      <c r="A1094" s="677">
        <v>1335</v>
      </c>
      <c r="B1094" s="733" t="s">
        <v>9483</v>
      </c>
      <c r="C1094" s="677" t="s">
        <v>1694</v>
      </c>
      <c r="D1094" s="738">
        <f t="shared" si="34"/>
        <v>12.88</v>
      </c>
      <c r="F1094" s="1405">
        <v>12.88</v>
      </c>
      <c r="G1094" s="1405">
        <v>12.88</v>
      </c>
      <c r="H1094" t="b">
        <f t="shared" si="35"/>
        <v>1</v>
      </c>
    </row>
    <row r="1095" spans="1:8">
      <c r="A1095" s="739">
        <v>40425</v>
      </c>
      <c r="B1095" s="740" t="s">
        <v>9484</v>
      </c>
      <c r="C1095" s="739" t="s">
        <v>1694</v>
      </c>
      <c r="D1095" s="741">
        <f t="shared" si="34"/>
        <v>11.02</v>
      </c>
      <c r="F1095" s="1406">
        <v>11.02</v>
      </c>
      <c r="G1095" s="1406">
        <v>11.02</v>
      </c>
      <c r="H1095" t="b">
        <f t="shared" si="35"/>
        <v>1</v>
      </c>
    </row>
    <row r="1096" spans="1:8">
      <c r="A1096" s="677">
        <v>1337</v>
      </c>
      <c r="B1096" s="733" t="s">
        <v>9485</v>
      </c>
      <c r="C1096" s="677" t="s">
        <v>1694</v>
      </c>
      <c r="D1096" s="738">
        <f t="shared" si="34"/>
        <v>12.64</v>
      </c>
      <c r="F1096" s="1405">
        <v>12.64</v>
      </c>
      <c r="G1096" s="1405">
        <v>12.64</v>
      </c>
      <c r="H1096" t="b">
        <f t="shared" si="35"/>
        <v>1</v>
      </c>
    </row>
    <row r="1097" spans="1:8">
      <c r="A1097" s="739">
        <v>1338</v>
      </c>
      <c r="B1097" s="740" t="s">
        <v>9486</v>
      </c>
      <c r="C1097" s="739" t="s">
        <v>1692</v>
      </c>
      <c r="D1097" s="741">
        <f t="shared" si="34"/>
        <v>77.7</v>
      </c>
      <c r="F1097" s="1406">
        <v>77.7</v>
      </c>
      <c r="G1097" s="1406">
        <v>77.7</v>
      </c>
      <c r="H1097" t="b">
        <f t="shared" si="35"/>
        <v>1</v>
      </c>
    </row>
    <row r="1098" spans="1:8">
      <c r="A1098" s="677">
        <v>1340</v>
      </c>
      <c r="B1098" s="733" t="s">
        <v>9487</v>
      </c>
      <c r="C1098" s="677" t="s">
        <v>1692</v>
      </c>
      <c r="D1098" s="738">
        <f t="shared" si="34"/>
        <v>89.83</v>
      </c>
      <c r="F1098" s="1405">
        <v>89.83</v>
      </c>
      <c r="G1098" s="1405">
        <v>89.83</v>
      </c>
      <c r="H1098" t="b">
        <f t="shared" si="35"/>
        <v>1</v>
      </c>
    </row>
    <row r="1099" spans="1:8">
      <c r="A1099" s="739">
        <v>1341</v>
      </c>
      <c r="B1099" s="740" t="s">
        <v>9488</v>
      </c>
      <c r="C1099" s="739" t="s">
        <v>1692</v>
      </c>
      <c r="D1099" s="741">
        <f t="shared" si="34"/>
        <v>86.52</v>
      </c>
      <c r="F1099" s="1406">
        <v>86.52</v>
      </c>
      <c r="G1099" s="1406">
        <v>86.52</v>
      </c>
      <c r="H1099" t="b">
        <f t="shared" si="35"/>
        <v>1</v>
      </c>
    </row>
    <row r="1100" spans="1:8">
      <c r="A1100" s="677">
        <v>34659</v>
      </c>
      <c r="B1100" s="733" t="s">
        <v>9489</v>
      </c>
      <c r="C1100" s="677" t="s">
        <v>1692</v>
      </c>
      <c r="D1100" s="738">
        <f t="shared" si="34"/>
        <v>38.31</v>
      </c>
      <c r="F1100" s="1405">
        <v>38.31</v>
      </c>
      <c r="G1100" s="1405">
        <v>38.31</v>
      </c>
      <c r="H1100" t="b">
        <f t="shared" si="35"/>
        <v>1</v>
      </c>
    </row>
    <row r="1101" spans="1:8">
      <c r="A1101" s="739">
        <v>34514</v>
      </c>
      <c r="B1101" s="740" t="s">
        <v>9490</v>
      </c>
      <c r="C1101" s="739" t="s">
        <v>1692</v>
      </c>
      <c r="D1101" s="741">
        <f t="shared" si="34"/>
        <v>42.44</v>
      </c>
      <c r="F1101" s="1406">
        <v>42.44</v>
      </c>
      <c r="G1101" s="1406">
        <v>42.44</v>
      </c>
      <c r="H1101" t="b">
        <f t="shared" si="35"/>
        <v>1</v>
      </c>
    </row>
    <row r="1102" spans="1:8">
      <c r="A1102" s="677">
        <v>34660</v>
      </c>
      <c r="B1102" s="733" t="s">
        <v>9491</v>
      </c>
      <c r="C1102" s="677" t="s">
        <v>1692</v>
      </c>
      <c r="D1102" s="738">
        <f t="shared" si="34"/>
        <v>53.86</v>
      </c>
      <c r="F1102" s="1405">
        <v>53.86</v>
      </c>
      <c r="G1102" s="1405">
        <v>53.86</v>
      </c>
      <c r="H1102" t="b">
        <f t="shared" si="35"/>
        <v>1</v>
      </c>
    </row>
    <row r="1103" spans="1:8">
      <c r="A1103" s="739">
        <v>34661</v>
      </c>
      <c r="B1103" s="740" t="s">
        <v>9492</v>
      </c>
      <c r="C1103" s="739" t="s">
        <v>1692</v>
      </c>
      <c r="D1103" s="741">
        <f t="shared" si="34"/>
        <v>77.36</v>
      </c>
      <c r="F1103" s="1406">
        <v>77.36</v>
      </c>
      <c r="G1103" s="1406">
        <v>77.36</v>
      </c>
      <c r="H1103" t="b">
        <f t="shared" si="35"/>
        <v>1</v>
      </c>
    </row>
    <row r="1104" spans="1:8">
      <c r="A1104" s="677">
        <v>34667</v>
      </c>
      <c r="B1104" s="733" t="s">
        <v>9493</v>
      </c>
      <c r="C1104" s="677" t="s">
        <v>1692</v>
      </c>
      <c r="D1104" s="738">
        <f t="shared" si="34"/>
        <v>28.01</v>
      </c>
      <c r="F1104" s="1405">
        <v>28.01</v>
      </c>
      <c r="G1104" s="1405">
        <v>28.01</v>
      </c>
      <c r="H1104" t="b">
        <f t="shared" si="35"/>
        <v>1</v>
      </c>
    </row>
    <row r="1105" spans="1:8">
      <c r="A1105" s="739">
        <v>34668</v>
      </c>
      <c r="B1105" s="740" t="s">
        <v>9494</v>
      </c>
      <c r="C1105" s="739" t="s">
        <v>1692</v>
      </c>
      <c r="D1105" s="741">
        <f t="shared" si="34"/>
        <v>36.61</v>
      </c>
      <c r="F1105" s="1406">
        <v>36.61</v>
      </c>
      <c r="G1105" s="1406">
        <v>36.61</v>
      </c>
      <c r="H1105" t="b">
        <f t="shared" si="35"/>
        <v>1</v>
      </c>
    </row>
    <row r="1106" spans="1:8">
      <c r="A1106" s="677">
        <v>34741</v>
      </c>
      <c r="B1106" s="733" t="s">
        <v>9495</v>
      </c>
      <c r="C1106" s="677" t="s">
        <v>1692</v>
      </c>
      <c r="D1106" s="738">
        <f t="shared" si="34"/>
        <v>40.28</v>
      </c>
      <c r="F1106" s="1405">
        <v>40.28</v>
      </c>
      <c r="G1106" s="1405">
        <v>40.28</v>
      </c>
      <c r="H1106" t="b">
        <f t="shared" si="35"/>
        <v>1</v>
      </c>
    </row>
    <row r="1107" spans="1:8">
      <c r="A1107" s="739">
        <v>34664</v>
      </c>
      <c r="B1107" s="740" t="s">
        <v>9496</v>
      </c>
      <c r="C1107" s="739" t="s">
        <v>1692</v>
      </c>
      <c r="D1107" s="741">
        <f t="shared" si="34"/>
        <v>43.95</v>
      </c>
      <c r="F1107" s="1406">
        <v>43.95</v>
      </c>
      <c r="G1107" s="1406">
        <v>43.95</v>
      </c>
      <c r="H1107" t="b">
        <f t="shared" si="35"/>
        <v>1</v>
      </c>
    </row>
    <row r="1108" spans="1:8">
      <c r="A1108" s="677">
        <v>34665</v>
      </c>
      <c r="B1108" s="733" t="s">
        <v>9497</v>
      </c>
      <c r="C1108" s="677" t="s">
        <v>1692</v>
      </c>
      <c r="D1108" s="738">
        <f t="shared" si="34"/>
        <v>54.56</v>
      </c>
      <c r="F1108" s="1405">
        <v>54.56</v>
      </c>
      <c r="G1108" s="1405">
        <v>54.56</v>
      </c>
      <c r="H1108" t="b">
        <f t="shared" si="35"/>
        <v>1</v>
      </c>
    </row>
    <row r="1109" spans="1:8">
      <c r="A1109" s="739">
        <v>34666</v>
      </c>
      <c r="B1109" s="740" t="s">
        <v>9498</v>
      </c>
      <c r="C1109" s="739" t="s">
        <v>1692</v>
      </c>
      <c r="D1109" s="741">
        <f t="shared" si="34"/>
        <v>82.42</v>
      </c>
      <c r="F1109" s="1406">
        <v>82.42</v>
      </c>
      <c r="G1109" s="1406">
        <v>82.42</v>
      </c>
      <c r="H1109" t="b">
        <f t="shared" si="35"/>
        <v>1</v>
      </c>
    </row>
    <row r="1110" spans="1:8">
      <c r="A1110" s="677">
        <v>34669</v>
      </c>
      <c r="B1110" s="733" t="s">
        <v>9499</v>
      </c>
      <c r="C1110" s="677" t="s">
        <v>1692</v>
      </c>
      <c r="D1110" s="738">
        <f t="shared" si="34"/>
        <v>30.22</v>
      </c>
      <c r="F1110" s="1405">
        <v>30.22</v>
      </c>
      <c r="G1110" s="1405">
        <v>30.22</v>
      </c>
      <c r="H1110" t="b">
        <f t="shared" si="35"/>
        <v>1</v>
      </c>
    </row>
    <row r="1111" spans="1:8">
      <c r="A1111" s="739">
        <v>34670</v>
      </c>
      <c r="B1111" s="740" t="s">
        <v>9500</v>
      </c>
      <c r="C1111" s="739" t="s">
        <v>1692</v>
      </c>
      <c r="D1111" s="741">
        <f t="shared" si="34"/>
        <v>36.96</v>
      </c>
      <c r="F1111" s="1406">
        <v>36.96</v>
      </c>
      <c r="G1111" s="1406">
        <v>36.96</v>
      </c>
      <c r="H1111" t="b">
        <f t="shared" si="35"/>
        <v>1</v>
      </c>
    </row>
    <row r="1112" spans="1:8">
      <c r="A1112" s="677">
        <v>34671</v>
      </c>
      <c r="B1112" s="733" t="s">
        <v>9501</v>
      </c>
      <c r="C1112" s="677" t="s">
        <v>1692</v>
      </c>
      <c r="D1112" s="738">
        <f t="shared" si="34"/>
        <v>30.85</v>
      </c>
      <c r="F1112" s="1405">
        <v>30.85</v>
      </c>
      <c r="G1112" s="1405">
        <v>30.85</v>
      </c>
      <c r="H1112" t="b">
        <f t="shared" si="35"/>
        <v>1</v>
      </c>
    </row>
    <row r="1113" spans="1:8">
      <c r="A1113" s="739">
        <v>34672</v>
      </c>
      <c r="B1113" s="740" t="s">
        <v>9502</v>
      </c>
      <c r="C1113" s="739" t="s">
        <v>1692</v>
      </c>
      <c r="D1113" s="741">
        <f t="shared" si="34"/>
        <v>32.53</v>
      </c>
      <c r="F1113" s="1406">
        <v>32.53</v>
      </c>
      <c r="G1113" s="1406">
        <v>32.53</v>
      </c>
      <c r="H1113" t="b">
        <f t="shared" si="35"/>
        <v>1</v>
      </c>
    </row>
    <row r="1114" spans="1:8">
      <c r="A1114" s="677">
        <v>34673</v>
      </c>
      <c r="B1114" s="733" t="s">
        <v>9503</v>
      </c>
      <c r="C1114" s="677" t="s">
        <v>1692</v>
      </c>
      <c r="D1114" s="738">
        <f t="shared" si="34"/>
        <v>39.69</v>
      </c>
      <c r="F1114" s="1405">
        <v>39.69</v>
      </c>
      <c r="G1114" s="1405">
        <v>39.69</v>
      </c>
      <c r="H1114" t="b">
        <f t="shared" si="35"/>
        <v>1</v>
      </c>
    </row>
    <row r="1115" spans="1:8">
      <c r="A1115" s="739">
        <v>34674</v>
      </c>
      <c r="B1115" s="740" t="s">
        <v>9504</v>
      </c>
      <c r="C1115" s="739" t="s">
        <v>1692</v>
      </c>
      <c r="D1115" s="741">
        <f t="shared" si="34"/>
        <v>52.77</v>
      </c>
      <c r="F1115" s="1406">
        <v>52.77</v>
      </c>
      <c r="G1115" s="1406">
        <v>52.77</v>
      </c>
      <c r="H1115" t="b">
        <f t="shared" si="35"/>
        <v>1</v>
      </c>
    </row>
    <row r="1116" spans="1:8">
      <c r="A1116" s="677">
        <v>34675</v>
      </c>
      <c r="B1116" s="733" t="s">
        <v>9505</v>
      </c>
      <c r="C1116" s="677" t="s">
        <v>1692</v>
      </c>
      <c r="D1116" s="738">
        <f t="shared" si="34"/>
        <v>64.34</v>
      </c>
      <c r="F1116" s="1405">
        <v>64.34</v>
      </c>
      <c r="G1116" s="1405">
        <v>64.34</v>
      </c>
      <c r="H1116" t="b">
        <f t="shared" si="35"/>
        <v>1</v>
      </c>
    </row>
    <row r="1117" spans="1:8">
      <c r="A1117" s="739">
        <v>34676</v>
      </c>
      <c r="B1117" s="740" t="s">
        <v>9506</v>
      </c>
      <c r="C1117" s="739" t="s">
        <v>1692</v>
      </c>
      <c r="D1117" s="741">
        <f t="shared" si="34"/>
        <v>18.52</v>
      </c>
      <c r="F1117" s="1406">
        <v>18.52</v>
      </c>
      <c r="G1117" s="1406">
        <v>18.52</v>
      </c>
      <c r="H1117" t="b">
        <f t="shared" si="35"/>
        <v>1</v>
      </c>
    </row>
    <row r="1118" spans="1:8">
      <c r="A1118" s="677">
        <v>34677</v>
      </c>
      <c r="B1118" s="733" t="s">
        <v>9507</v>
      </c>
      <c r="C1118" s="677" t="s">
        <v>1692</v>
      </c>
      <c r="D1118" s="738">
        <f t="shared" si="34"/>
        <v>24.9</v>
      </c>
      <c r="F1118" s="1405">
        <v>24.9</v>
      </c>
      <c r="G1118" s="1405">
        <v>24.9</v>
      </c>
      <c r="H1118" t="b">
        <f t="shared" si="35"/>
        <v>1</v>
      </c>
    </row>
    <row r="1119" spans="1:8" ht="30">
      <c r="A1119" s="739">
        <v>43126</v>
      </c>
      <c r="B1119" s="740" t="s">
        <v>9508</v>
      </c>
      <c r="C1119" s="739" t="s">
        <v>1692</v>
      </c>
      <c r="D1119" s="741">
        <f t="shared" si="34"/>
        <v>94.43</v>
      </c>
      <c r="F1119" s="1406">
        <v>94.43</v>
      </c>
      <c r="G1119" s="1406">
        <v>94.43</v>
      </c>
      <c r="H1119" t="b">
        <f t="shared" si="35"/>
        <v>1</v>
      </c>
    </row>
    <row r="1120" spans="1:8" ht="30">
      <c r="A1120" s="677">
        <v>43124</v>
      </c>
      <c r="B1120" s="733" t="s">
        <v>9509</v>
      </c>
      <c r="C1120" s="677" t="s">
        <v>1692</v>
      </c>
      <c r="D1120" s="738">
        <f t="shared" si="34"/>
        <v>110.26</v>
      </c>
      <c r="F1120" s="1405">
        <v>110.26</v>
      </c>
      <c r="G1120" s="1405">
        <v>110.26</v>
      </c>
      <c r="H1120" t="b">
        <f t="shared" si="35"/>
        <v>1</v>
      </c>
    </row>
    <row r="1121" spans="1:8" ht="30">
      <c r="A1121" s="739">
        <v>43125</v>
      </c>
      <c r="B1121" s="740" t="s">
        <v>9510</v>
      </c>
      <c r="C1121" s="739" t="s">
        <v>1692</v>
      </c>
      <c r="D1121" s="741">
        <f t="shared" si="34"/>
        <v>143</v>
      </c>
      <c r="F1121" s="1406">
        <v>143</v>
      </c>
      <c r="G1121" s="1406">
        <v>143</v>
      </c>
      <c r="H1121" t="b">
        <f t="shared" si="35"/>
        <v>1</v>
      </c>
    </row>
    <row r="1122" spans="1:8" ht="30">
      <c r="A1122" s="677">
        <v>40623</v>
      </c>
      <c r="B1122" s="733" t="s">
        <v>9511</v>
      </c>
      <c r="C1122" s="677" t="s">
        <v>1697</v>
      </c>
      <c r="D1122" s="738">
        <f t="shared" si="34"/>
        <v>123.07</v>
      </c>
      <c r="F1122" s="1405">
        <v>123.07</v>
      </c>
      <c r="G1122" s="1405">
        <v>123.07</v>
      </c>
      <c r="H1122" t="b">
        <f t="shared" si="35"/>
        <v>1</v>
      </c>
    </row>
    <row r="1123" spans="1:8">
      <c r="A1123" s="739">
        <v>43701</v>
      </c>
      <c r="B1123" s="740" t="s">
        <v>9512</v>
      </c>
      <c r="C1123" s="739" t="s">
        <v>1694</v>
      </c>
      <c r="D1123" s="741">
        <f t="shared" si="34"/>
        <v>32.5</v>
      </c>
      <c r="F1123" s="1406">
        <v>32.5</v>
      </c>
      <c r="G1123" s="1406">
        <v>32.5</v>
      </c>
      <c r="H1123" t="b">
        <f t="shared" si="35"/>
        <v>1</v>
      </c>
    </row>
    <row r="1124" spans="1:8" ht="30">
      <c r="A1124" s="677">
        <v>1345</v>
      </c>
      <c r="B1124" s="733" t="s">
        <v>9513</v>
      </c>
      <c r="C1124" s="677" t="s">
        <v>1692</v>
      </c>
      <c r="D1124" s="738">
        <f t="shared" si="34"/>
        <v>99.96</v>
      </c>
      <c r="F1124" s="1405">
        <v>99.96</v>
      </c>
      <c r="G1124" s="1405">
        <v>99.96</v>
      </c>
      <c r="H1124" t="b">
        <f t="shared" si="35"/>
        <v>1</v>
      </c>
    </row>
    <row r="1125" spans="1:8" ht="30">
      <c r="A1125" s="739">
        <v>1346</v>
      </c>
      <c r="B1125" s="740" t="s">
        <v>9514</v>
      </c>
      <c r="C1125" s="739" t="s">
        <v>1692</v>
      </c>
      <c r="D1125" s="741">
        <f t="shared" si="34"/>
        <v>58.14</v>
      </c>
      <c r="F1125" s="1406">
        <v>58.14</v>
      </c>
      <c r="G1125" s="1406">
        <v>58.14</v>
      </c>
      <c r="H1125" t="b">
        <f t="shared" si="35"/>
        <v>1</v>
      </c>
    </row>
    <row r="1126" spans="1:8" ht="30">
      <c r="A1126" s="677">
        <v>1347</v>
      </c>
      <c r="B1126" s="733" t="s">
        <v>9515</v>
      </c>
      <c r="C1126" s="677" t="s">
        <v>1692</v>
      </c>
      <c r="D1126" s="738">
        <f t="shared" si="34"/>
        <v>72.05</v>
      </c>
      <c r="F1126" s="1405">
        <v>72.05</v>
      </c>
      <c r="G1126" s="1405">
        <v>72.05</v>
      </c>
      <c r="H1126" t="b">
        <f t="shared" si="35"/>
        <v>1</v>
      </c>
    </row>
    <row r="1127" spans="1:8" ht="30">
      <c r="A1127" s="739">
        <v>43678</v>
      </c>
      <c r="B1127" s="740" t="s">
        <v>9516</v>
      </c>
      <c r="C1127" s="739" t="s">
        <v>1692</v>
      </c>
      <c r="D1127" s="741">
        <f t="shared" si="34"/>
        <v>83.57</v>
      </c>
      <c r="F1127" s="1406">
        <v>83.57</v>
      </c>
      <c r="G1127" s="1406">
        <v>83.57</v>
      </c>
      <c r="H1127" t="b">
        <f t="shared" si="35"/>
        <v>1</v>
      </c>
    </row>
    <row r="1128" spans="1:8" ht="30">
      <c r="A1128" s="677">
        <v>43680</v>
      </c>
      <c r="B1128" s="733" t="s">
        <v>9517</v>
      </c>
      <c r="C1128" s="677" t="s">
        <v>1692</v>
      </c>
      <c r="D1128" s="738">
        <f t="shared" si="34"/>
        <v>120.39</v>
      </c>
      <c r="F1128" s="1405">
        <v>120.39</v>
      </c>
      <c r="G1128" s="1405">
        <v>120.39</v>
      </c>
      <c r="H1128" t="b">
        <f t="shared" si="35"/>
        <v>1</v>
      </c>
    </row>
    <row r="1129" spans="1:8" ht="30">
      <c r="A1129" s="739">
        <v>43679</v>
      </c>
      <c r="B1129" s="740" t="s">
        <v>9518</v>
      </c>
      <c r="C1129" s="739" t="s">
        <v>1692</v>
      </c>
      <c r="D1129" s="741">
        <f t="shared" si="34"/>
        <v>42.25</v>
      </c>
      <c r="F1129" s="1406">
        <v>42.25</v>
      </c>
      <c r="G1129" s="1406">
        <v>42.25</v>
      </c>
      <c r="H1129" t="b">
        <f t="shared" si="35"/>
        <v>1</v>
      </c>
    </row>
    <row r="1130" spans="1:8" ht="30">
      <c r="A1130" s="677">
        <v>1355</v>
      </c>
      <c r="B1130" s="733" t="s">
        <v>9519</v>
      </c>
      <c r="C1130" s="677" t="s">
        <v>1692</v>
      </c>
      <c r="D1130" s="738">
        <f t="shared" si="34"/>
        <v>48.08</v>
      </c>
      <c r="F1130" s="1405">
        <v>48.08</v>
      </c>
      <c r="G1130" s="1405">
        <v>48.08</v>
      </c>
      <c r="H1130" t="b">
        <f t="shared" si="35"/>
        <v>1</v>
      </c>
    </row>
    <row r="1131" spans="1:8" ht="30">
      <c r="A1131" s="739">
        <v>1358</v>
      </c>
      <c r="B1131" s="740" t="s">
        <v>9520</v>
      </c>
      <c r="C1131" s="739" t="s">
        <v>1692</v>
      </c>
      <c r="D1131" s="741">
        <f t="shared" si="34"/>
        <v>59.03</v>
      </c>
      <c r="F1131" s="1406">
        <v>59.03</v>
      </c>
      <c r="G1131" s="1406">
        <v>59.03</v>
      </c>
      <c r="H1131" t="b">
        <f t="shared" si="35"/>
        <v>1</v>
      </c>
    </row>
    <row r="1132" spans="1:8" ht="30">
      <c r="A1132" s="677">
        <v>43681</v>
      </c>
      <c r="B1132" s="733" t="s">
        <v>9521</v>
      </c>
      <c r="C1132" s="677" t="s">
        <v>1692</v>
      </c>
      <c r="D1132" s="738">
        <f t="shared" si="34"/>
        <v>37.19</v>
      </c>
      <c r="F1132" s="1405">
        <v>37.19</v>
      </c>
      <c r="G1132" s="1405">
        <v>37.19</v>
      </c>
      <c r="H1132" t="b">
        <f t="shared" si="35"/>
        <v>1</v>
      </c>
    </row>
    <row r="1133" spans="1:8" ht="30">
      <c r="A1133" s="739">
        <v>43677</v>
      </c>
      <c r="B1133" s="740" t="s">
        <v>9522</v>
      </c>
      <c r="C1133" s="739" t="s">
        <v>1692</v>
      </c>
      <c r="D1133" s="741">
        <f t="shared" si="34"/>
        <v>73.23</v>
      </c>
      <c r="F1133" s="1406">
        <v>73.23</v>
      </c>
      <c r="G1133" s="1406">
        <v>73.23</v>
      </c>
      <c r="H1133" t="b">
        <f t="shared" si="35"/>
        <v>1</v>
      </c>
    </row>
    <row r="1134" spans="1:8" ht="30">
      <c r="A1134" s="677">
        <v>43682</v>
      </c>
      <c r="B1134" s="733" t="s">
        <v>9523</v>
      </c>
      <c r="C1134" s="677" t="s">
        <v>1692</v>
      </c>
      <c r="D1134" s="738">
        <f t="shared" si="34"/>
        <v>22.45</v>
      </c>
      <c r="F1134" s="1405">
        <v>22.45</v>
      </c>
      <c r="G1134" s="1405">
        <v>22.45</v>
      </c>
      <c r="H1134" t="b">
        <f t="shared" si="35"/>
        <v>1</v>
      </c>
    </row>
    <row r="1135" spans="1:8" ht="30">
      <c r="A1135" s="739">
        <v>20971</v>
      </c>
      <c r="B1135" s="740" t="s">
        <v>9524</v>
      </c>
      <c r="C1135" s="739" t="s">
        <v>1690</v>
      </c>
      <c r="D1135" s="741">
        <f t="shared" si="34"/>
        <v>17.61</v>
      </c>
      <c r="F1135" s="1406">
        <v>17.61</v>
      </c>
      <c r="G1135" s="1406">
        <v>17.61</v>
      </c>
      <c r="H1135" t="b">
        <f t="shared" si="35"/>
        <v>1</v>
      </c>
    </row>
    <row r="1136" spans="1:8">
      <c r="A1136" s="677">
        <v>39746</v>
      </c>
      <c r="B1136" s="733" t="s">
        <v>9525</v>
      </c>
      <c r="C1136" s="677" t="s">
        <v>1690</v>
      </c>
      <c r="D1136" s="738">
        <f t="shared" si="34"/>
        <v>81.22</v>
      </c>
      <c r="F1136" s="1405">
        <v>81.22</v>
      </c>
      <c r="G1136" s="1405">
        <v>81.22</v>
      </c>
      <c r="H1136" t="b">
        <f t="shared" si="35"/>
        <v>1</v>
      </c>
    </row>
    <row r="1137" spans="1:8">
      <c r="A1137" s="739">
        <v>13279</v>
      </c>
      <c r="B1137" s="740" t="s">
        <v>9526</v>
      </c>
      <c r="C1137" s="739" t="s">
        <v>1694</v>
      </c>
      <c r="D1137" s="741">
        <f t="shared" si="34"/>
        <v>20.56</v>
      </c>
      <c r="F1137" s="1406">
        <v>20.56</v>
      </c>
      <c r="G1137" s="1406">
        <v>20.56</v>
      </c>
      <c r="H1137" t="b">
        <f t="shared" si="35"/>
        <v>1</v>
      </c>
    </row>
    <row r="1138" spans="1:8">
      <c r="A1138" s="677">
        <v>11977</v>
      </c>
      <c r="B1138" s="733" t="s">
        <v>9527</v>
      </c>
      <c r="C1138" s="677" t="s">
        <v>1690</v>
      </c>
      <c r="D1138" s="738">
        <f t="shared" si="34"/>
        <v>10.65</v>
      </c>
      <c r="F1138" s="1405">
        <v>10.65</v>
      </c>
      <c r="G1138" s="1405">
        <v>10.65</v>
      </c>
      <c r="H1138" t="b">
        <f t="shared" si="35"/>
        <v>1</v>
      </c>
    </row>
    <row r="1139" spans="1:8">
      <c r="A1139" s="739">
        <v>11975</v>
      </c>
      <c r="B1139" s="740" t="s">
        <v>9528</v>
      </c>
      <c r="C1139" s="739" t="s">
        <v>1690</v>
      </c>
      <c r="D1139" s="741">
        <f t="shared" si="34"/>
        <v>23.35</v>
      </c>
      <c r="F1139" s="1406">
        <v>23.35</v>
      </c>
      <c r="G1139" s="1406">
        <v>23.35</v>
      </c>
      <c r="H1139" t="b">
        <f t="shared" si="35"/>
        <v>1</v>
      </c>
    </row>
    <row r="1140" spans="1:8">
      <c r="A1140" s="677">
        <v>11976</v>
      </c>
      <c r="B1140" s="733" t="s">
        <v>9529</v>
      </c>
      <c r="C1140" s="677" t="s">
        <v>1690</v>
      </c>
      <c r="D1140" s="738">
        <f t="shared" si="34"/>
        <v>1.19</v>
      </c>
      <c r="F1140" s="1405">
        <v>1.19</v>
      </c>
      <c r="G1140" s="1405">
        <v>1.19</v>
      </c>
      <c r="H1140" t="b">
        <f t="shared" si="35"/>
        <v>1</v>
      </c>
    </row>
    <row r="1141" spans="1:8">
      <c r="A1141" s="739">
        <v>1368</v>
      </c>
      <c r="B1141" s="740" t="s">
        <v>9530</v>
      </c>
      <c r="C1141" s="739" t="s">
        <v>1690</v>
      </c>
      <c r="D1141" s="741">
        <f t="shared" si="34"/>
        <v>89.9</v>
      </c>
      <c r="F1141" s="1406">
        <v>89.9</v>
      </c>
      <c r="G1141" s="1406">
        <v>89.9</v>
      </c>
      <c r="H1141" t="b">
        <f t="shared" si="35"/>
        <v>1</v>
      </c>
    </row>
    <row r="1142" spans="1:8">
      <c r="A1142" s="677">
        <v>1367</v>
      </c>
      <c r="B1142" s="733" t="s">
        <v>9531</v>
      </c>
      <c r="C1142" s="677" t="s">
        <v>1690</v>
      </c>
      <c r="D1142" s="738">
        <f t="shared" si="34"/>
        <v>290.8</v>
      </c>
      <c r="F1142" s="1405">
        <v>290.8</v>
      </c>
      <c r="G1142" s="1405">
        <v>290.8</v>
      </c>
      <c r="H1142" t="b">
        <f t="shared" si="35"/>
        <v>1</v>
      </c>
    </row>
    <row r="1143" spans="1:8">
      <c r="A1143" s="739">
        <v>1380</v>
      </c>
      <c r="B1143" s="740" t="s">
        <v>9532</v>
      </c>
      <c r="C1143" s="739" t="s">
        <v>1694</v>
      </c>
      <c r="D1143" s="741">
        <f t="shared" si="34"/>
        <v>5.62</v>
      </c>
      <c r="F1143" s="1406">
        <v>5.62</v>
      </c>
      <c r="G1143" s="1406">
        <v>5.62</v>
      </c>
      <c r="H1143" t="b">
        <f t="shared" si="35"/>
        <v>1</v>
      </c>
    </row>
    <row r="1144" spans="1:8">
      <c r="A1144" s="677">
        <v>1375</v>
      </c>
      <c r="B1144" s="733" t="s">
        <v>9533</v>
      </c>
      <c r="C1144" s="677" t="s">
        <v>1694</v>
      </c>
      <c r="D1144" s="738">
        <f t="shared" si="34"/>
        <v>17.12</v>
      </c>
      <c r="F1144" s="1405">
        <v>17.12</v>
      </c>
      <c r="G1144" s="1405">
        <v>17.12</v>
      </c>
      <c r="H1144" t="b">
        <f t="shared" si="35"/>
        <v>1</v>
      </c>
    </row>
    <row r="1145" spans="1:8">
      <c r="A1145" s="739">
        <v>1379</v>
      </c>
      <c r="B1145" s="740" t="s">
        <v>9534</v>
      </c>
      <c r="C1145" s="739" t="s">
        <v>1694</v>
      </c>
      <c r="D1145" s="741">
        <f t="shared" si="34"/>
        <v>0.84</v>
      </c>
      <c r="F1145" s="1406">
        <v>0.84</v>
      </c>
      <c r="G1145" s="1406">
        <v>0.84</v>
      </c>
      <c r="H1145" t="b">
        <f t="shared" si="35"/>
        <v>1</v>
      </c>
    </row>
    <row r="1146" spans="1:8">
      <c r="A1146" s="677">
        <v>13284</v>
      </c>
      <c r="B1146" s="733" t="s">
        <v>9535</v>
      </c>
      <c r="C1146" s="677" t="s">
        <v>1694</v>
      </c>
      <c r="D1146" s="738">
        <f t="shared" si="34"/>
        <v>0.76</v>
      </c>
      <c r="F1146" s="1405">
        <v>0.76</v>
      </c>
      <c r="G1146" s="1405">
        <v>0.76</v>
      </c>
      <c r="H1146" t="b">
        <f t="shared" si="35"/>
        <v>1</v>
      </c>
    </row>
    <row r="1147" spans="1:8">
      <c r="A1147" s="739">
        <v>44528</v>
      </c>
      <c r="B1147" s="740" t="s">
        <v>9536</v>
      </c>
      <c r="C1147" s="739" t="s">
        <v>1694</v>
      </c>
      <c r="D1147" s="741">
        <f t="shared" si="34"/>
        <v>4.47</v>
      </c>
      <c r="F1147" s="1406">
        <v>4.47</v>
      </c>
      <c r="G1147" s="1406">
        <v>4.47</v>
      </c>
      <c r="H1147" t="b">
        <f t="shared" si="35"/>
        <v>1</v>
      </c>
    </row>
    <row r="1148" spans="1:8">
      <c r="A1148" s="677">
        <v>34753</v>
      </c>
      <c r="B1148" s="733" t="s">
        <v>9537</v>
      </c>
      <c r="C1148" s="677" t="s">
        <v>1694</v>
      </c>
      <c r="D1148" s="738">
        <f t="shared" si="34"/>
        <v>0.81</v>
      </c>
      <c r="F1148" s="1405">
        <v>0.81</v>
      </c>
      <c r="G1148" s="1405">
        <v>0.81</v>
      </c>
      <c r="H1148" t="b">
        <f t="shared" si="35"/>
        <v>1</v>
      </c>
    </row>
    <row r="1149" spans="1:8">
      <c r="A1149" s="739">
        <v>420</v>
      </c>
      <c r="B1149" s="740" t="s">
        <v>9538</v>
      </c>
      <c r="C1149" s="739" t="s">
        <v>1690</v>
      </c>
      <c r="D1149" s="741">
        <f t="shared" si="34"/>
        <v>46.19</v>
      </c>
      <c r="F1149" s="1406">
        <v>46.19</v>
      </c>
      <c r="G1149" s="1406">
        <v>46.19</v>
      </c>
      <c r="H1149" t="b">
        <f t="shared" si="35"/>
        <v>1</v>
      </c>
    </row>
    <row r="1150" spans="1:8" ht="30">
      <c r="A1150" s="677">
        <v>12327</v>
      </c>
      <c r="B1150" s="733" t="s">
        <v>9539</v>
      </c>
      <c r="C1150" s="677" t="s">
        <v>1690</v>
      </c>
      <c r="D1150" s="738">
        <f t="shared" si="34"/>
        <v>55.03</v>
      </c>
      <c r="F1150" s="1405">
        <v>55.03</v>
      </c>
      <c r="G1150" s="1405">
        <v>55.03</v>
      </c>
      <c r="H1150" t="b">
        <f t="shared" si="35"/>
        <v>1</v>
      </c>
    </row>
    <row r="1151" spans="1:8">
      <c r="A1151" s="739">
        <v>36148</v>
      </c>
      <c r="B1151" s="740" t="s">
        <v>9540</v>
      </c>
      <c r="C1151" s="739" t="s">
        <v>1690</v>
      </c>
      <c r="D1151" s="741">
        <f t="shared" si="34"/>
        <v>84.57</v>
      </c>
      <c r="F1151" s="1406">
        <v>84.57</v>
      </c>
      <c r="G1151" s="1406">
        <v>84.57</v>
      </c>
      <c r="H1151" t="b">
        <f t="shared" si="35"/>
        <v>1</v>
      </c>
    </row>
    <row r="1152" spans="1:8">
      <c r="A1152" s="677">
        <v>12329</v>
      </c>
      <c r="B1152" s="733" t="s">
        <v>9541</v>
      </c>
      <c r="C1152" s="677" t="s">
        <v>1694</v>
      </c>
      <c r="D1152" s="738">
        <f t="shared" si="34"/>
        <v>118.52</v>
      </c>
      <c r="F1152" s="1405">
        <v>118.52</v>
      </c>
      <c r="G1152" s="1405">
        <v>118.52</v>
      </c>
      <c r="H1152" t="b">
        <f t="shared" si="35"/>
        <v>1</v>
      </c>
    </row>
    <row r="1153" spans="1:8">
      <c r="A1153" s="739">
        <v>1339</v>
      </c>
      <c r="B1153" s="740" t="s">
        <v>9542</v>
      </c>
      <c r="C1153" s="739" t="s">
        <v>1694</v>
      </c>
      <c r="D1153" s="741">
        <f t="shared" si="34"/>
        <v>77.900000000000006</v>
      </c>
      <c r="F1153" s="1406">
        <v>77.900000000000006</v>
      </c>
      <c r="G1153" s="1406">
        <v>77.900000000000006</v>
      </c>
      <c r="H1153" t="b">
        <f t="shared" si="35"/>
        <v>1</v>
      </c>
    </row>
    <row r="1154" spans="1:8">
      <c r="A1154" s="677">
        <v>44396</v>
      </c>
      <c r="B1154" s="733" t="s">
        <v>9543</v>
      </c>
      <c r="C1154" s="677" t="s">
        <v>1694</v>
      </c>
      <c r="D1154" s="738">
        <f t="shared" si="34"/>
        <v>22.74</v>
      </c>
      <c r="F1154" s="1405">
        <v>22.74</v>
      </c>
      <c r="G1154" s="1405">
        <v>22.74</v>
      </c>
      <c r="H1154" t="b">
        <f t="shared" si="35"/>
        <v>1</v>
      </c>
    </row>
    <row r="1155" spans="1:8">
      <c r="A1155" s="739">
        <v>44327</v>
      </c>
      <c r="B1155" s="740" t="s">
        <v>9544</v>
      </c>
      <c r="C1155" s="739" t="s">
        <v>1695</v>
      </c>
      <c r="D1155" s="741">
        <f t="shared" ref="D1155:D1218" si="36">IF($J$2=$F$1,F1155,G1155)</f>
        <v>77.34</v>
      </c>
      <c r="F1155" s="1406">
        <v>77.34</v>
      </c>
      <c r="G1155" s="1406">
        <v>77.34</v>
      </c>
      <c r="H1155" t="b">
        <f t="shared" ref="H1155:H1218" si="37">F1155=G1155</f>
        <v>1</v>
      </c>
    </row>
    <row r="1156" spans="1:8">
      <c r="A1156" s="677">
        <v>37418</v>
      </c>
      <c r="B1156" s="733" t="s">
        <v>9545</v>
      </c>
      <c r="C1156" s="677" t="s">
        <v>1690</v>
      </c>
      <c r="D1156" s="738">
        <f t="shared" si="36"/>
        <v>16.71</v>
      </c>
      <c r="F1156" s="1405">
        <v>16.71</v>
      </c>
      <c r="G1156" s="1405">
        <v>16.71</v>
      </c>
      <c r="H1156" t="b">
        <f t="shared" si="37"/>
        <v>1</v>
      </c>
    </row>
    <row r="1157" spans="1:8">
      <c r="A1157" s="739">
        <v>37419</v>
      </c>
      <c r="B1157" s="740" t="s">
        <v>9546</v>
      </c>
      <c r="C1157" s="739" t="s">
        <v>1690</v>
      </c>
      <c r="D1157" s="741">
        <f t="shared" si="36"/>
        <v>17.16</v>
      </c>
      <c r="F1157" s="1406">
        <v>17.16</v>
      </c>
      <c r="G1157" s="1406">
        <v>17.16</v>
      </c>
      <c r="H1157" t="b">
        <f t="shared" si="37"/>
        <v>1</v>
      </c>
    </row>
    <row r="1158" spans="1:8">
      <c r="A1158" s="677">
        <v>1427</v>
      </c>
      <c r="B1158" s="733" t="s">
        <v>9547</v>
      </c>
      <c r="C1158" s="677" t="s">
        <v>1690</v>
      </c>
      <c r="D1158" s="738">
        <f t="shared" si="36"/>
        <v>15.68</v>
      </c>
      <c r="F1158" s="1405">
        <v>15.68</v>
      </c>
      <c r="G1158" s="1405">
        <v>15.68</v>
      </c>
      <c r="H1158" t="b">
        <f t="shared" si="37"/>
        <v>1</v>
      </c>
    </row>
    <row r="1159" spans="1:8">
      <c r="A1159" s="739">
        <v>1402</v>
      </c>
      <c r="B1159" s="740" t="s">
        <v>9548</v>
      </c>
      <c r="C1159" s="739" t="s">
        <v>1690</v>
      </c>
      <c r="D1159" s="741">
        <f t="shared" si="36"/>
        <v>5.42</v>
      </c>
      <c r="F1159" s="1406">
        <v>5.42</v>
      </c>
      <c r="G1159" s="1406">
        <v>5.42</v>
      </c>
      <c r="H1159" t="b">
        <f t="shared" si="37"/>
        <v>1</v>
      </c>
    </row>
    <row r="1160" spans="1:8">
      <c r="A1160" s="677">
        <v>1420</v>
      </c>
      <c r="B1160" s="733" t="s">
        <v>9549</v>
      </c>
      <c r="C1160" s="677" t="s">
        <v>1690</v>
      </c>
      <c r="D1160" s="738">
        <f t="shared" si="36"/>
        <v>6.97</v>
      </c>
      <c r="F1160" s="1405">
        <v>6.97</v>
      </c>
      <c r="G1160" s="1405">
        <v>6.97</v>
      </c>
      <c r="H1160" t="b">
        <f t="shared" si="37"/>
        <v>1</v>
      </c>
    </row>
    <row r="1161" spans="1:8">
      <c r="A1161" s="739">
        <v>1419</v>
      </c>
      <c r="B1161" s="740" t="s">
        <v>9550</v>
      </c>
      <c r="C1161" s="739" t="s">
        <v>1690</v>
      </c>
      <c r="D1161" s="741">
        <f t="shared" si="36"/>
        <v>8.42</v>
      </c>
      <c r="F1161" s="1406">
        <v>8.42</v>
      </c>
      <c r="G1161" s="1406">
        <v>8.42</v>
      </c>
      <c r="H1161" t="b">
        <f t="shared" si="37"/>
        <v>1</v>
      </c>
    </row>
    <row r="1162" spans="1:8">
      <c r="A1162" s="677">
        <v>1414</v>
      </c>
      <c r="B1162" s="733" t="s">
        <v>9551</v>
      </c>
      <c r="C1162" s="677" t="s">
        <v>1690</v>
      </c>
      <c r="D1162" s="738">
        <f t="shared" si="36"/>
        <v>8.24</v>
      </c>
      <c r="F1162" s="1405">
        <v>8.24</v>
      </c>
      <c r="G1162" s="1405">
        <v>8.24</v>
      </c>
      <c r="H1162" t="b">
        <f t="shared" si="37"/>
        <v>1</v>
      </c>
    </row>
    <row r="1163" spans="1:8">
      <c r="A1163" s="739">
        <v>1413</v>
      </c>
      <c r="B1163" s="740" t="s">
        <v>9552</v>
      </c>
      <c r="C1163" s="739" t="s">
        <v>1690</v>
      </c>
      <c r="D1163" s="741">
        <f t="shared" si="36"/>
        <v>12.18</v>
      </c>
      <c r="F1163" s="1406">
        <v>12.18</v>
      </c>
      <c r="G1163" s="1406">
        <v>12.18</v>
      </c>
      <c r="H1163" t="b">
        <f t="shared" si="37"/>
        <v>1</v>
      </c>
    </row>
    <row r="1164" spans="1:8">
      <c r="A1164" s="677">
        <v>1412</v>
      </c>
      <c r="B1164" s="733" t="s">
        <v>9553</v>
      </c>
      <c r="C1164" s="677" t="s">
        <v>1690</v>
      </c>
      <c r="D1164" s="738">
        <f t="shared" si="36"/>
        <v>10.32</v>
      </c>
      <c r="F1164" s="1405">
        <v>10.32</v>
      </c>
      <c r="G1164" s="1405">
        <v>10.32</v>
      </c>
      <c r="H1164" t="b">
        <f t="shared" si="37"/>
        <v>1</v>
      </c>
    </row>
    <row r="1165" spans="1:8" ht="30">
      <c r="A1165" s="739">
        <v>1406</v>
      </c>
      <c r="B1165" s="740" t="s">
        <v>9554</v>
      </c>
      <c r="C1165" s="739" t="s">
        <v>1690</v>
      </c>
      <c r="D1165" s="741">
        <f t="shared" si="36"/>
        <v>12.45</v>
      </c>
      <c r="F1165" s="1406">
        <v>12.45</v>
      </c>
      <c r="G1165" s="1406">
        <v>12.45</v>
      </c>
      <c r="H1165" t="b">
        <f t="shared" si="37"/>
        <v>1</v>
      </c>
    </row>
    <row r="1166" spans="1:8" ht="30">
      <c r="A1166" s="677">
        <v>11281</v>
      </c>
      <c r="B1166" s="733" t="s">
        <v>9555</v>
      </c>
      <c r="C1166" s="677" t="s">
        <v>1690</v>
      </c>
      <c r="D1166" s="738">
        <f t="shared" si="36"/>
        <v>11459.5</v>
      </c>
      <c r="F1166" s="1405">
        <v>11459.5</v>
      </c>
      <c r="G1166" s="1405">
        <v>11459.5</v>
      </c>
      <c r="H1166" t="b">
        <f t="shared" si="37"/>
        <v>1</v>
      </c>
    </row>
    <row r="1167" spans="1:8" ht="30">
      <c r="A1167" s="739">
        <v>1442</v>
      </c>
      <c r="B1167" s="740" t="s">
        <v>9556</v>
      </c>
      <c r="C1167" s="739" t="s">
        <v>1690</v>
      </c>
      <c r="D1167" s="741">
        <f t="shared" si="36"/>
        <v>9620.16</v>
      </c>
      <c r="F1167" s="1406">
        <v>9620.16</v>
      </c>
      <c r="G1167" s="1406">
        <v>9620.16</v>
      </c>
      <c r="H1167" t="b">
        <f t="shared" si="37"/>
        <v>1</v>
      </c>
    </row>
    <row r="1168" spans="1:8" ht="45">
      <c r="A1168" s="677">
        <v>13457</v>
      </c>
      <c r="B1168" s="733" t="s">
        <v>9557</v>
      </c>
      <c r="C1168" s="677" t="s">
        <v>1690</v>
      </c>
      <c r="D1168" s="738">
        <f t="shared" si="36"/>
        <v>8303.98</v>
      </c>
      <c r="F1168" s="1405">
        <v>8303.98</v>
      </c>
      <c r="G1168" s="1405">
        <v>8303.98</v>
      </c>
      <c r="H1168" t="b">
        <f t="shared" si="37"/>
        <v>1</v>
      </c>
    </row>
    <row r="1169" spans="1:8" ht="45">
      <c r="A1169" s="739">
        <v>40699</v>
      </c>
      <c r="B1169" s="740" t="s">
        <v>9558</v>
      </c>
      <c r="C1169" s="739" t="s">
        <v>1690</v>
      </c>
      <c r="D1169" s="741">
        <f t="shared" si="36"/>
        <v>6419.29</v>
      </c>
      <c r="F1169" s="1406">
        <v>6419.29</v>
      </c>
      <c r="G1169" s="1406">
        <v>6419.29</v>
      </c>
      <c r="H1169" t="b">
        <f t="shared" si="37"/>
        <v>1</v>
      </c>
    </row>
    <row r="1170" spans="1:8" ht="45">
      <c r="A1170" s="677">
        <v>40701</v>
      </c>
      <c r="B1170" s="733" t="s">
        <v>9559</v>
      </c>
      <c r="C1170" s="677" t="s">
        <v>1690</v>
      </c>
      <c r="D1170" s="738">
        <f t="shared" si="36"/>
        <v>113501.94</v>
      </c>
      <c r="F1170" s="1405">
        <v>113501.94</v>
      </c>
      <c r="G1170" s="1405">
        <v>113501.94</v>
      </c>
      <c r="H1170" t="b">
        <f t="shared" si="37"/>
        <v>1</v>
      </c>
    </row>
    <row r="1171" spans="1:8" ht="45">
      <c r="A1171" s="739">
        <v>40700</v>
      </c>
      <c r="B1171" s="740" t="s">
        <v>9560</v>
      </c>
      <c r="C1171" s="739" t="s">
        <v>1690</v>
      </c>
      <c r="D1171" s="741">
        <f t="shared" si="36"/>
        <v>14943.28</v>
      </c>
      <c r="F1171" s="1406">
        <v>14943.28</v>
      </c>
      <c r="G1171" s="1406">
        <v>14943.28</v>
      </c>
      <c r="H1171" t="b">
        <f t="shared" si="37"/>
        <v>1</v>
      </c>
    </row>
    <row r="1172" spans="1:8">
      <c r="A1172" s="677">
        <v>13458</v>
      </c>
      <c r="B1172" s="733" t="s">
        <v>9561</v>
      </c>
      <c r="C1172" s="677" t="s">
        <v>1690</v>
      </c>
      <c r="D1172" s="738">
        <f t="shared" si="36"/>
        <v>14199.81</v>
      </c>
      <c r="F1172" s="1405">
        <v>14199.81</v>
      </c>
      <c r="G1172" s="1405">
        <v>14199.81</v>
      </c>
      <c r="H1172" t="b">
        <f t="shared" si="37"/>
        <v>1</v>
      </c>
    </row>
    <row r="1173" spans="1:8">
      <c r="A1173" s="739">
        <v>11134</v>
      </c>
      <c r="B1173" s="740" t="s">
        <v>9562</v>
      </c>
      <c r="C1173" s="739" t="s">
        <v>1692</v>
      </c>
      <c r="D1173" s="741">
        <f t="shared" si="36"/>
        <v>82.83</v>
      </c>
      <c r="F1173" s="1406">
        <v>82.83</v>
      </c>
      <c r="G1173" s="1406">
        <v>82.83</v>
      </c>
      <c r="H1173" t="b">
        <f t="shared" si="37"/>
        <v>1</v>
      </c>
    </row>
    <row r="1174" spans="1:8">
      <c r="A1174" s="677">
        <v>11135</v>
      </c>
      <c r="B1174" s="733" t="s">
        <v>9563</v>
      </c>
      <c r="C1174" s="677" t="s">
        <v>1692</v>
      </c>
      <c r="D1174" s="738">
        <f t="shared" si="36"/>
        <v>89.43</v>
      </c>
      <c r="F1174" s="1405">
        <v>89.43</v>
      </c>
      <c r="G1174" s="1405">
        <v>89.43</v>
      </c>
      <c r="H1174" t="b">
        <f t="shared" si="37"/>
        <v>1</v>
      </c>
    </row>
    <row r="1175" spans="1:8">
      <c r="A1175" s="739">
        <v>11136</v>
      </c>
      <c r="B1175" s="740" t="s">
        <v>9564</v>
      </c>
      <c r="C1175" s="739" t="s">
        <v>1692</v>
      </c>
      <c r="D1175" s="741">
        <f t="shared" si="36"/>
        <v>102.4</v>
      </c>
      <c r="F1175" s="1406">
        <v>102.4</v>
      </c>
      <c r="G1175" s="1406">
        <v>102.4</v>
      </c>
      <c r="H1175" t="b">
        <f t="shared" si="37"/>
        <v>1</v>
      </c>
    </row>
    <row r="1176" spans="1:8">
      <c r="A1176" s="677">
        <v>34743</v>
      </c>
      <c r="B1176" s="733" t="s">
        <v>9565</v>
      </c>
      <c r="C1176" s="677" t="s">
        <v>1692</v>
      </c>
      <c r="D1176" s="738">
        <f t="shared" si="36"/>
        <v>123.56</v>
      </c>
      <c r="F1176" s="1405">
        <v>123.56</v>
      </c>
      <c r="G1176" s="1405">
        <v>123.56</v>
      </c>
      <c r="H1176" t="b">
        <f t="shared" si="37"/>
        <v>1</v>
      </c>
    </row>
    <row r="1177" spans="1:8">
      <c r="A1177" s="739">
        <v>11137</v>
      </c>
      <c r="B1177" s="740" t="s">
        <v>9566</v>
      </c>
      <c r="C1177" s="739" t="s">
        <v>1692</v>
      </c>
      <c r="D1177" s="741">
        <f t="shared" si="36"/>
        <v>140.33000000000001</v>
      </c>
      <c r="F1177" s="1406">
        <v>140.33000000000001</v>
      </c>
      <c r="G1177" s="1406">
        <v>140.33000000000001</v>
      </c>
      <c r="H1177" t="b">
        <f t="shared" si="37"/>
        <v>1</v>
      </c>
    </row>
    <row r="1178" spans="1:8">
      <c r="A1178" s="677">
        <v>34745</v>
      </c>
      <c r="B1178" s="733" t="s">
        <v>9567</v>
      </c>
      <c r="C1178" s="677" t="s">
        <v>1692</v>
      </c>
      <c r="D1178" s="738">
        <f t="shared" si="36"/>
        <v>166.88</v>
      </c>
      <c r="F1178" s="1405">
        <v>166.88</v>
      </c>
      <c r="G1178" s="1405">
        <v>166.88</v>
      </c>
      <c r="H1178" t="b">
        <f t="shared" si="37"/>
        <v>1</v>
      </c>
    </row>
    <row r="1179" spans="1:8">
      <c r="A1179" s="739">
        <v>34746</v>
      </c>
      <c r="B1179" s="740" t="s">
        <v>9568</v>
      </c>
      <c r="C1179" s="739" t="s">
        <v>1692</v>
      </c>
      <c r="D1179" s="741">
        <f t="shared" si="36"/>
        <v>45.51</v>
      </c>
      <c r="F1179" s="1406">
        <v>45.51</v>
      </c>
      <c r="G1179" s="1406">
        <v>45.51</v>
      </c>
      <c r="H1179" t="b">
        <f t="shared" si="37"/>
        <v>1</v>
      </c>
    </row>
    <row r="1180" spans="1:8">
      <c r="A1180" s="677">
        <v>1360</v>
      </c>
      <c r="B1180" s="733" t="s">
        <v>9569</v>
      </c>
      <c r="C1180" s="677" t="s">
        <v>1692</v>
      </c>
      <c r="D1180" s="738">
        <f t="shared" si="36"/>
        <v>53.1</v>
      </c>
      <c r="F1180" s="1405">
        <v>53.1</v>
      </c>
      <c r="G1180" s="1405">
        <v>53.1</v>
      </c>
      <c r="H1180" t="b">
        <f t="shared" si="37"/>
        <v>1</v>
      </c>
    </row>
    <row r="1181" spans="1:8">
      <c r="A1181" s="739">
        <v>36524</v>
      </c>
      <c r="B1181" s="740" t="s">
        <v>9570</v>
      </c>
      <c r="C1181" s="739" t="s">
        <v>1690</v>
      </c>
      <c r="D1181" s="741">
        <f t="shared" si="36"/>
        <v>191367</v>
      </c>
      <c r="F1181" s="1406">
        <v>191367</v>
      </c>
      <c r="G1181" s="1406">
        <v>191367</v>
      </c>
      <c r="H1181" t="b">
        <f t="shared" si="37"/>
        <v>1</v>
      </c>
    </row>
    <row r="1182" spans="1:8">
      <c r="A1182" s="677">
        <v>36526</v>
      </c>
      <c r="B1182" s="733" t="s">
        <v>9571</v>
      </c>
      <c r="C1182" s="677" t="s">
        <v>1690</v>
      </c>
      <c r="D1182" s="738">
        <f t="shared" si="36"/>
        <v>154211.32</v>
      </c>
      <c r="F1182" s="1405">
        <v>154211.32</v>
      </c>
      <c r="G1182" s="1405">
        <v>154211.32</v>
      </c>
      <c r="H1182" t="b">
        <f t="shared" si="37"/>
        <v>1</v>
      </c>
    </row>
    <row r="1183" spans="1:8">
      <c r="A1183" s="739">
        <v>36523</v>
      </c>
      <c r="B1183" s="740" t="s">
        <v>9572</v>
      </c>
      <c r="C1183" s="739" t="s">
        <v>1690</v>
      </c>
      <c r="D1183" s="741">
        <f t="shared" si="36"/>
        <v>330145.63</v>
      </c>
      <c r="F1183" s="1406">
        <v>330145.63</v>
      </c>
      <c r="G1183" s="1406">
        <v>330145.63</v>
      </c>
      <c r="H1183" t="b">
        <f t="shared" si="37"/>
        <v>1</v>
      </c>
    </row>
    <row r="1184" spans="1:8">
      <c r="A1184" s="677">
        <v>36527</v>
      </c>
      <c r="B1184" s="733" t="s">
        <v>9573</v>
      </c>
      <c r="C1184" s="677" t="s">
        <v>1690</v>
      </c>
      <c r="D1184" s="738">
        <f t="shared" si="36"/>
        <v>358606.15</v>
      </c>
      <c r="F1184" s="1405">
        <v>358606.15</v>
      </c>
      <c r="G1184" s="1405">
        <v>358606.15</v>
      </c>
      <c r="H1184" t="b">
        <f t="shared" si="37"/>
        <v>1</v>
      </c>
    </row>
    <row r="1185" spans="1:8">
      <c r="A1185" s="739">
        <v>38642</v>
      </c>
      <c r="B1185" s="740" t="s">
        <v>9574</v>
      </c>
      <c r="C1185" s="739" t="s">
        <v>1690</v>
      </c>
      <c r="D1185" s="741">
        <f t="shared" si="36"/>
        <v>83492.710000000006</v>
      </c>
      <c r="F1185" s="1406">
        <v>83492.710000000006</v>
      </c>
      <c r="G1185" s="1406">
        <v>83492.710000000006</v>
      </c>
      <c r="H1185" t="b">
        <f t="shared" si="37"/>
        <v>1</v>
      </c>
    </row>
    <row r="1186" spans="1:8">
      <c r="A1186" s="677">
        <v>36522</v>
      </c>
      <c r="B1186" s="733" t="s">
        <v>9575</v>
      </c>
      <c r="C1186" s="677" t="s">
        <v>1690</v>
      </c>
      <c r="D1186" s="738">
        <f t="shared" si="36"/>
        <v>97101.03</v>
      </c>
      <c r="F1186" s="1405">
        <v>97101.03</v>
      </c>
      <c r="G1186" s="1405">
        <v>97101.03</v>
      </c>
      <c r="H1186" t="b">
        <f t="shared" si="37"/>
        <v>1</v>
      </c>
    </row>
    <row r="1187" spans="1:8">
      <c r="A1187" s="739">
        <v>36525</v>
      </c>
      <c r="B1187" s="740" t="s">
        <v>9576</v>
      </c>
      <c r="C1187" s="739" t="s">
        <v>1690</v>
      </c>
      <c r="D1187" s="741">
        <f t="shared" si="36"/>
        <v>130040.95</v>
      </c>
      <c r="F1187" s="1406">
        <v>130040.95</v>
      </c>
      <c r="G1187" s="1406">
        <v>130040.95</v>
      </c>
      <c r="H1187" t="b">
        <f t="shared" si="37"/>
        <v>1</v>
      </c>
    </row>
    <row r="1188" spans="1:8">
      <c r="A1188" s="677">
        <v>13803</v>
      </c>
      <c r="B1188" s="733" t="s">
        <v>9577</v>
      </c>
      <c r="C1188" s="677" t="s">
        <v>1690</v>
      </c>
      <c r="D1188" s="738">
        <f t="shared" si="36"/>
        <v>129668.86</v>
      </c>
      <c r="F1188" s="1405">
        <v>129668.86</v>
      </c>
      <c r="G1188" s="1405">
        <v>129668.86</v>
      </c>
      <c r="H1188" t="b">
        <f t="shared" si="37"/>
        <v>1</v>
      </c>
    </row>
    <row r="1189" spans="1:8">
      <c r="A1189" s="739">
        <v>34348</v>
      </c>
      <c r="B1189" s="740" t="s">
        <v>9578</v>
      </c>
      <c r="C1189" s="739" t="s">
        <v>1693</v>
      </c>
      <c r="D1189" s="741">
        <f t="shared" si="36"/>
        <v>26.71</v>
      </c>
      <c r="F1189" s="1406">
        <v>26.71</v>
      </c>
      <c r="G1189" s="1406">
        <v>26.71</v>
      </c>
      <c r="H1189" t="b">
        <f t="shared" si="37"/>
        <v>1</v>
      </c>
    </row>
    <row r="1190" spans="1:8">
      <c r="A1190" s="677">
        <v>34347</v>
      </c>
      <c r="B1190" s="733" t="s">
        <v>9579</v>
      </c>
      <c r="C1190" s="677" t="s">
        <v>1693</v>
      </c>
      <c r="D1190" s="738">
        <f t="shared" si="36"/>
        <v>19.09</v>
      </c>
      <c r="F1190" s="1405">
        <v>19.09</v>
      </c>
      <c r="G1190" s="1405">
        <v>19.09</v>
      </c>
      <c r="H1190" t="b">
        <f t="shared" si="37"/>
        <v>1</v>
      </c>
    </row>
    <row r="1191" spans="1:8" ht="30">
      <c r="A1191" s="739">
        <v>11146</v>
      </c>
      <c r="B1191" s="740" t="s">
        <v>9580</v>
      </c>
      <c r="C1191" s="739" t="s">
        <v>1691</v>
      </c>
      <c r="D1191" s="741">
        <f t="shared" si="36"/>
        <v>757.29</v>
      </c>
      <c r="F1191" s="1406">
        <v>757.29</v>
      </c>
      <c r="G1191" s="1406">
        <v>757.29</v>
      </c>
      <c r="H1191" t="b">
        <f t="shared" si="37"/>
        <v>1</v>
      </c>
    </row>
    <row r="1192" spans="1:8" ht="30">
      <c r="A1192" s="677">
        <v>11147</v>
      </c>
      <c r="B1192" s="733" t="s">
        <v>9581</v>
      </c>
      <c r="C1192" s="677" t="s">
        <v>1691</v>
      </c>
      <c r="D1192" s="738">
        <f t="shared" si="36"/>
        <v>786.93</v>
      </c>
      <c r="F1192" s="1405">
        <v>786.93</v>
      </c>
      <c r="G1192" s="1405">
        <v>786.93</v>
      </c>
      <c r="H1192" t="b">
        <f t="shared" si="37"/>
        <v>1</v>
      </c>
    </row>
    <row r="1193" spans="1:8" ht="30">
      <c r="A1193" s="739">
        <v>34872</v>
      </c>
      <c r="B1193" s="740" t="s">
        <v>9582</v>
      </c>
      <c r="C1193" s="739" t="s">
        <v>1691</v>
      </c>
      <c r="D1193" s="741">
        <f t="shared" si="36"/>
        <v>795.76</v>
      </c>
      <c r="F1193" s="1406">
        <v>795.76</v>
      </c>
      <c r="G1193" s="1406">
        <v>795.76</v>
      </c>
      <c r="H1193" t="b">
        <f t="shared" si="37"/>
        <v>1</v>
      </c>
    </row>
    <row r="1194" spans="1:8" ht="30">
      <c r="A1194" s="677">
        <v>34491</v>
      </c>
      <c r="B1194" s="733" t="s">
        <v>9583</v>
      </c>
      <c r="C1194" s="677" t="s">
        <v>1691</v>
      </c>
      <c r="D1194" s="738">
        <f t="shared" si="36"/>
        <v>818.82</v>
      </c>
      <c r="F1194" s="1405">
        <v>818.82</v>
      </c>
      <c r="G1194" s="1405">
        <v>818.82</v>
      </c>
      <c r="H1194" t="b">
        <f t="shared" si="37"/>
        <v>1</v>
      </c>
    </row>
    <row r="1195" spans="1:8" ht="30">
      <c r="A1195" s="739">
        <v>34770</v>
      </c>
      <c r="B1195" s="740" t="s">
        <v>9584</v>
      </c>
      <c r="C1195" s="739" t="s">
        <v>1700</v>
      </c>
      <c r="D1195" s="741">
        <f t="shared" si="36"/>
        <v>504.17</v>
      </c>
      <c r="F1195" s="1406">
        <v>504.17</v>
      </c>
      <c r="G1195" s="1406">
        <v>504.17</v>
      </c>
      <c r="H1195" t="b">
        <f t="shared" si="37"/>
        <v>1</v>
      </c>
    </row>
    <row r="1196" spans="1:8" ht="30">
      <c r="A1196" s="677">
        <v>1518</v>
      </c>
      <c r="B1196" s="733" t="s">
        <v>9585</v>
      </c>
      <c r="C1196" s="677" t="s">
        <v>1700</v>
      </c>
      <c r="D1196" s="738">
        <f t="shared" si="36"/>
        <v>514</v>
      </c>
      <c r="F1196" s="1405">
        <v>514</v>
      </c>
      <c r="G1196" s="1405">
        <v>514</v>
      </c>
      <c r="H1196" t="b">
        <f t="shared" si="37"/>
        <v>1</v>
      </c>
    </row>
    <row r="1197" spans="1:8" ht="30">
      <c r="A1197" s="739">
        <v>41965</v>
      </c>
      <c r="B1197" s="740" t="s">
        <v>9586</v>
      </c>
      <c r="C1197" s="739" t="s">
        <v>1700</v>
      </c>
      <c r="D1197" s="741">
        <f t="shared" si="36"/>
        <v>450.69</v>
      </c>
      <c r="F1197" s="1406">
        <v>450.69</v>
      </c>
      <c r="G1197" s="1406">
        <v>450.69</v>
      </c>
      <c r="H1197" t="b">
        <f t="shared" si="37"/>
        <v>1</v>
      </c>
    </row>
    <row r="1198" spans="1:8" ht="30">
      <c r="A1198" s="677">
        <v>1524</v>
      </c>
      <c r="B1198" s="733" t="s">
        <v>9587</v>
      </c>
      <c r="C1198" s="677" t="s">
        <v>1691</v>
      </c>
      <c r="D1198" s="738">
        <f t="shared" si="36"/>
        <v>726.56</v>
      </c>
      <c r="F1198" s="1405">
        <v>726.56</v>
      </c>
      <c r="G1198" s="1405">
        <v>726.56</v>
      </c>
      <c r="H1198" t="b">
        <f t="shared" si="37"/>
        <v>1</v>
      </c>
    </row>
    <row r="1199" spans="1:8" ht="30">
      <c r="A1199" s="739">
        <v>34492</v>
      </c>
      <c r="B1199" s="740" t="s">
        <v>9588</v>
      </c>
      <c r="C1199" s="739" t="s">
        <v>1691</v>
      </c>
      <c r="D1199" s="741">
        <f t="shared" si="36"/>
        <v>673</v>
      </c>
      <c r="F1199" s="1406">
        <v>673</v>
      </c>
      <c r="G1199" s="1406">
        <v>673</v>
      </c>
      <c r="H1199" t="b">
        <f t="shared" si="37"/>
        <v>1</v>
      </c>
    </row>
    <row r="1200" spans="1:8" ht="30">
      <c r="A1200" s="677">
        <v>38404</v>
      </c>
      <c r="B1200" s="733" t="s">
        <v>9589</v>
      </c>
      <c r="C1200" s="677" t="s">
        <v>1691</v>
      </c>
      <c r="D1200" s="738">
        <f t="shared" si="36"/>
        <v>697.1</v>
      </c>
      <c r="F1200" s="1405">
        <v>697.1</v>
      </c>
      <c r="G1200" s="1405">
        <v>697.1</v>
      </c>
      <c r="H1200" t="b">
        <f t="shared" si="37"/>
        <v>1</v>
      </c>
    </row>
    <row r="1201" spans="1:8" ht="30">
      <c r="A1201" s="739">
        <v>39849</v>
      </c>
      <c r="B1201" s="740" t="s">
        <v>9590</v>
      </c>
      <c r="C1201" s="739" t="s">
        <v>1691</v>
      </c>
      <c r="D1201" s="741">
        <f t="shared" si="36"/>
        <v>798.87</v>
      </c>
      <c r="F1201" s="1406">
        <v>798.87</v>
      </c>
      <c r="G1201" s="1406">
        <v>798.87</v>
      </c>
      <c r="H1201" t="b">
        <f t="shared" si="37"/>
        <v>1</v>
      </c>
    </row>
    <row r="1202" spans="1:8" ht="30">
      <c r="A1202" s="677">
        <v>38464</v>
      </c>
      <c r="B1202" s="733" t="s">
        <v>9591</v>
      </c>
      <c r="C1202" s="677" t="s">
        <v>1691</v>
      </c>
      <c r="D1202" s="738">
        <f t="shared" si="36"/>
        <v>810.47</v>
      </c>
      <c r="F1202" s="1405">
        <v>810.47</v>
      </c>
      <c r="G1202" s="1405">
        <v>810.47</v>
      </c>
      <c r="H1202" t="b">
        <f t="shared" si="37"/>
        <v>1</v>
      </c>
    </row>
    <row r="1203" spans="1:8" ht="30">
      <c r="A1203" s="739">
        <v>1527</v>
      </c>
      <c r="B1203" s="740" t="s">
        <v>9592</v>
      </c>
      <c r="C1203" s="739" t="s">
        <v>1691</v>
      </c>
      <c r="D1203" s="741">
        <f t="shared" si="36"/>
        <v>749.63</v>
      </c>
      <c r="F1203" s="1406">
        <v>749.63</v>
      </c>
      <c r="G1203" s="1406">
        <v>749.63</v>
      </c>
      <c r="H1203" t="b">
        <f t="shared" si="37"/>
        <v>1</v>
      </c>
    </row>
    <row r="1204" spans="1:8" ht="30">
      <c r="A1204" s="677">
        <v>34493</v>
      </c>
      <c r="B1204" s="733" t="s">
        <v>9593</v>
      </c>
      <c r="C1204" s="677" t="s">
        <v>1691</v>
      </c>
      <c r="D1204" s="738">
        <f t="shared" si="36"/>
        <v>691.97</v>
      </c>
      <c r="F1204" s="1405">
        <v>691.97</v>
      </c>
      <c r="G1204" s="1405">
        <v>691.97</v>
      </c>
      <c r="H1204" t="b">
        <f t="shared" si="37"/>
        <v>1</v>
      </c>
    </row>
    <row r="1205" spans="1:8" ht="30">
      <c r="A1205" s="739">
        <v>38405</v>
      </c>
      <c r="B1205" s="740" t="s">
        <v>9594</v>
      </c>
      <c r="C1205" s="739" t="s">
        <v>1691</v>
      </c>
      <c r="D1205" s="741">
        <f t="shared" si="36"/>
        <v>718.59</v>
      </c>
      <c r="F1205" s="1406">
        <v>718.59</v>
      </c>
      <c r="G1205" s="1406">
        <v>718.59</v>
      </c>
      <c r="H1205" t="b">
        <f t="shared" si="37"/>
        <v>1</v>
      </c>
    </row>
    <row r="1206" spans="1:8" ht="30">
      <c r="A1206" s="677">
        <v>38408</v>
      </c>
      <c r="B1206" s="733" t="s">
        <v>9595</v>
      </c>
      <c r="C1206" s="677" t="s">
        <v>1691</v>
      </c>
      <c r="D1206" s="738">
        <f t="shared" si="36"/>
        <v>795.41</v>
      </c>
      <c r="F1206" s="1405">
        <v>795.41</v>
      </c>
      <c r="G1206" s="1405">
        <v>795.41</v>
      </c>
      <c r="H1206" t="b">
        <f t="shared" si="37"/>
        <v>1</v>
      </c>
    </row>
    <row r="1207" spans="1:8" ht="30">
      <c r="A1207" s="739">
        <v>1525</v>
      </c>
      <c r="B1207" s="740" t="s">
        <v>9596</v>
      </c>
      <c r="C1207" s="739" t="s">
        <v>1691</v>
      </c>
      <c r="D1207" s="741">
        <f t="shared" si="36"/>
        <v>772.69</v>
      </c>
      <c r="F1207" s="1406">
        <v>772.69</v>
      </c>
      <c r="G1207" s="1406">
        <v>772.69</v>
      </c>
      <c r="H1207" t="b">
        <f t="shared" si="37"/>
        <v>1</v>
      </c>
    </row>
    <row r="1208" spans="1:8" ht="30">
      <c r="A1208" s="677">
        <v>34494</v>
      </c>
      <c r="B1208" s="733" t="s">
        <v>9597</v>
      </c>
      <c r="C1208" s="677" t="s">
        <v>1691</v>
      </c>
      <c r="D1208" s="738">
        <f t="shared" si="36"/>
        <v>715.03</v>
      </c>
      <c r="F1208" s="1405">
        <v>715.03</v>
      </c>
      <c r="G1208" s="1405">
        <v>715.03</v>
      </c>
      <c r="H1208" t="b">
        <f t="shared" si="37"/>
        <v>1</v>
      </c>
    </row>
    <row r="1209" spans="1:8" ht="30">
      <c r="A1209" s="739">
        <v>38406</v>
      </c>
      <c r="B1209" s="740" t="s">
        <v>9598</v>
      </c>
      <c r="C1209" s="739" t="s">
        <v>1691</v>
      </c>
      <c r="D1209" s="741">
        <f t="shared" si="36"/>
        <v>758.79</v>
      </c>
      <c r="F1209" s="1406">
        <v>758.79</v>
      </c>
      <c r="G1209" s="1406">
        <v>758.79</v>
      </c>
      <c r="H1209" t="b">
        <f t="shared" si="37"/>
        <v>1</v>
      </c>
    </row>
    <row r="1210" spans="1:8" ht="30">
      <c r="A1210" s="677">
        <v>38409</v>
      </c>
      <c r="B1210" s="733" t="s">
        <v>9599</v>
      </c>
      <c r="C1210" s="677" t="s">
        <v>1691</v>
      </c>
      <c r="D1210" s="738">
        <f t="shared" si="36"/>
        <v>800.83</v>
      </c>
      <c r="F1210" s="1405">
        <v>800.83</v>
      </c>
      <c r="G1210" s="1405">
        <v>800.83</v>
      </c>
      <c r="H1210" t="b">
        <f t="shared" si="37"/>
        <v>1</v>
      </c>
    </row>
    <row r="1211" spans="1:8" ht="30">
      <c r="A1211" s="739">
        <v>43360</v>
      </c>
      <c r="B1211" s="740" t="s">
        <v>9600</v>
      </c>
      <c r="C1211" s="739" t="s">
        <v>1691</v>
      </c>
      <c r="D1211" s="741">
        <f t="shared" si="36"/>
        <v>835.04</v>
      </c>
      <c r="F1211" s="1406">
        <v>835.04</v>
      </c>
      <c r="G1211" s="1406">
        <v>835.04</v>
      </c>
      <c r="H1211" t="b">
        <f t="shared" si="37"/>
        <v>1</v>
      </c>
    </row>
    <row r="1212" spans="1:8" ht="30">
      <c r="A1212" s="677">
        <v>11145</v>
      </c>
      <c r="B1212" s="733" t="s">
        <v>9601</v>
      </c>
      <c r="C1212" s="677" t="s">
        <v>1691</v>
      </c>
      <c r="D1212" s="738">
        <f t="shared" si="36"/>
        <v>795.76</v>
      </c>
      <c r="F1212" s="1405">
        <v>795.76</v>
      </c>
      <c r="G1212" s="1405">
        <v>795.76</v>
      </c>
      <c r="H1212" t="b">
        <f t="shared" si="37"/>
        <v>1</v>
      </c>
    </row>
    <row r="1213" spans="1:8" ht="30">
      <c r="A1213" s="739">
        <v>34495</v>
      </c>
      <c r="B1213" s="740" t="s">
        <v>9602</v>
      </c>
      <c r="C1213" s="739" t="s">
        <v>1691</v>
      </c>
      <c r="D1213" s="741">
        <f t="shared" si="36"/>
        <v>738.1</v>
      </c>
      <c r="F1213" s="1406">
        <v>738.1</v>
      </c>
      <c r="G1213" s="1406">
        <v>738.1</v>
      </c>
      <c r="H1213" t="b">
        <f t="shared" si="37"/>
        <v>1</v>
      </c>
    </row>
    <row r="1214" spans="1:8" ht="30">
      <c r="A1214" s="677">
        <v>34479</v>
      </c>
      <c r="B1214" s="733" t="s">
        <v>9603</v>
      </c>
      <c r="C1214" s="677" t="s">
        <v>1691</v>
      </c>
      <c r="D1214" s="738">
        <f t="shared" si="36"/>
        <v>818.82</v>
      </c>
      <c r="F1214" s="1405">
        <v>818.82</v>
      </c>
      <c r="G1214" s="1405">
        <v>818.82</v>
      </c>
      <c r="H1214" t="b">
        <f t="shared" si="37"/>
        <v>1</v>
      </c>
    </row>
    <row r="1215" spans="1:8" ht="30">
      <c r="A1215" s="739">
        <v>34496</v>
      </c>
      <c r="B1215" s="740" t="s">
        <v>9604</v>
      </c>
      <c r="C1215" s="739" t="s">
        <v>1691</v>
      </c>
      <c r="D1215" s="741">
        <f t="shared" si="36"/>
        <v>769.96</v>
      </c>
      <c r="F1215" s="1406">
        <v>769.96</v>
      </c>
      <c r="G1215" s="1406">
        <v>769.96</v>
      </c>
      <c r="H1215" t="b">
        <f t="shared" si="37"/>
        <v>1</v>
      </c>
    </row>
    <row r="1216" spans="1:8" ht="30">
      <c r="A1216" s="677">
        <v>34481</v>
      </c>
      <c r="B1216" s="733" t="s">
        <v>9605</v>
      </c>
      <c r="C1216" s="677" t="s">
        <v>1691</v>
      </c>
      <c r="D1216" s="738">
        <f t="shared" si="36"/>
        <v>855.57</v>
      </c>
      <c r="F1216" s="1405">
        <v>855.57</v>
      </c>
      <c r="G1216" s="1405">
        <v>855.57</v>
      </c>
      <c r="H1216" t="b">
        <f t="shared" si="37"/>
        <v>1</v>
      </c>
    </row>
    <row r="1217" spans="1:8" ht="30">
      <c r="A1217" s="739">
        <v>34483</v>
      </c>
      <c r="B1217" s="740" t="s">
        <v>9606</v>
      </c>
      <c r="C1217" s="739" t="s">
        <v>1691</v>
      </c>
      <c r="D1217" s="741">
        <f t="shared" si="36"/>
        <v>914.12</v>
      </c>
      <c r="F1217" s="1406">
        <v>914.12</v>
      </c>
      <c r="G1217" s="1406">
        <v>914.12</v>
      </c>
      <c r="H1217" t="b">
        <f t="shared" si="37"/>
        <v>1</v>
      </c>
    </row>
    <row r="1218" spans="1:8" ht="30">
      <c r="A1218" s="677">
        <v>34485</v>
      </c>
      <c r="B1218" s="733" t="s">
        <v>9607</v>
      </c>
      <c r="C1218" s="677" t="s">
        <v>1691</v>
      </c>
      <c r="D1218" s="738">
        <f t="shared" si="36"/>
        <v>977.55</v>
      </c>
      <c r="F1218" s="1405">
        <v>977.55</v>
      </c>
      <c r="G1218" s="1405">
        <v>977.55</v>
      </c>
      <c r="H1218" t="b">
        <f t="shared" si="37"/>
        <v>1</v>
      </c>
    </row>
    <row r="1219" spans="1:8" ht="30">
      <c r="A1219" s="739">
        <v>14041</v>
      </c>
      <c r="B1219" s="740" t="s">
        <v>9608</v>
      </c>
      <c r="C1219" s="739" t="s">
        <v>1691</v>
      </c>
      <c r="D1219" s="741">
        <f t="shared" ref="D1219:D1282" si="38">IF($J$2=$F$1,F1219,G1219)</f>
        <v>635.45000000000005</v>
      </c>
      <c r="F1219" s="1406">
        <v>635.45000000000005</v>
      </c>
      <c r="G1219" s="1406">
        <v>635.45000000000005</v>
      </c>
      <c r="H1219" t="b">
        <f t="shared" ref="H1219:H1282" si="39">F1219=G1219</f>
        <v>1</v>
      </c>
    </row>
    <row r="1220" spans="1:8" ht="30">
      <c r="A1220" s="677">
        <v>1523</v>
      </c>
      <c r="B1220" s="733" t="s">
        <v>9609</v>
      </c>
      <c r="C1220" s="677" t="s">
        <v>1691</v>
      </c>
      <c r="D1220" s="738">
        <f t="shared" si="38"/>
        <v>645.84</v>
      </c>
      <c r="F1220" s="1405">
        <v>645.84</v>
      </c>
      <c r="G1220" s="1405">
        <v>645.84</v>
      </c>
      <c r="H1220" t="b">
        <f t="shared" si="39"/>
        <v>1</v>
      </c>
    </row>
    <row r="1221" spans="1:8">
      <c r="A1221" s="739">
        <v>14052</v>
      </c>
      <c r="B1221" s="740" t="s">
        <v>9610</v>
      </c>
      <c r="C1221" s="739" t="s">
        <v>1690</v>
      </c>
      <c r="D1221" s="741">
        <f t="shared" si="38"/>
        <v>11.2</v>
      </c>
      <c r="F1221" s="1406">
        <v>11.2</v>
      </c>
      <c r="G1221" s="1406">
        <v>11.2</v>
      </c>
      <c r="H1221" t="b">
        <f t="shared" si="39"/>
        <v>1</v>
      </c>
    </row>
    <row r="1222" spans="1:8">
      <c r="A1222" s="677">
        <v>14054</v>
      </c>
      <c r="B1222" s="733" t="s">
        <v>9611</v>
      </c>
      <c r="C1222" s="677" t="s">
        <v>1690</v>
      </c>
      <c r="D1222" s="738">
        <f t="shared" si="38"/>
        <v>14.56</v>
      </c>
      <c r="F1222" s="1405">
        <v>14.56</v>
      </c>
      <c r="G1222" s="1405">
        <v>14.56</v>
      </c>
      <c r="H1222" t="b">
        <f t="shared" si="39"/>
        <v>1</v>
      </c>
    </row>
    <row r="1223" spans="1:8">
      <c r="A1223" s="739">
        <v>14053</v>
      </c>
      <c r="B1223" s="740" t="s">
        <v>9612</v>
      </c>
      <c r="C1223" s="739" t="s">
        <v>1690</v>
      </c>
      <c r="D1223" s="741">
        <f t="shared" si="38"/>
        <v>11.37</v>
      </c>
      <c r="F1223" s="1406">
        <v>11.37</v>
      </c>
      <c r="G1223" s="1406">
        <v>11.37</v>
      </c>
      <c r="H1223" t="b">
        <f t="shared" si="39"/>
        <v>1</v>
      </c>
    </row>
    <row r="1224" spans="1:8">
      <c r="A1224" s="677">
        <v>2558</v>
      </c>
      <c r="B1224" s="733" t="s">
        <v>9613</v>
      </c>
      <c r="C1224" s="677" t="s">
        <v>1690</v>
      </c>
      <c r="D1224" s="738">
        <f t="shared" si="38"/>
        <v>8.56</v>
      </c>
      <c r="F1224" s="1405">
        <v>8.56</v>
      </c>
      <c r="G1224" s="1405">
        <v>8.56</v>
      </c>
      <c r="H1224" t="b">
        <f t="shared" si="39"/>
        <v>1</v>
      </c>
    </row>
    <row r="1225" spans="1:8">
      <c r="A1225" s="739">
        <v>2560</v>
      </c>
      <c r="B1225" s="740" t="s">
        <v>9614</v>
      </c>
      <c r="C1225" s="739" t="s">
        <v>1690</v>
      </c>
      <c r="D1225" s="741">
        <f t="shared" si="38"/>
        <v>15.07</v>
      </c>
      <c r="F1225" s="1406">
        <v>15.07</v>
      </c>
      <c r="G1225" s="1406">
        <v>15.07</v>
      </c>
      <c r="H1225" t="b">
        <f t="shared" si="39"/>
        <v>1</v>
      </c>
    </row>
    <row r="1226" spans="1:8">
      <c r="A1226" s="677">
        <v>2559</v>
      </c>
      <c r="B1226" s="733" t="s">
        <v>9615</v>
      </c>
      <c r="C1226" s="677" t="s">
        <v>1690</v>
      </c>
      <c r="D1226" s="738">
        <f t="shared" si="38"/>
        <v>12.05</v>
      </c>
      <c r="F1226" s="1405">
        <v>12.05</v>
      </c>
      <c r="G1226" s="1405">
        <v>12.05</v>
      </c>
      <c r="H1226" t="b">
        <f t="shared" si="39"/>
        <v>1</v>
      </c>
    </row>
    <row r="1227" spans="1:8">
      <c r="A1227" s="739">
        <v>2592</v>
      </c>
      <c r="B1227" s="740" t="s">
        <v>9616</v>
      </c>
      <c r="C1227" s="739" t="s">
        <v>1690</v>
      </c>
      <c r="D1227" s="741">
        <f t="shared" si="38"/>
        <v>199.76</v>
      </c>
      <c r="F1227" s="1406">
        <v>199.76</v>
      </c>
      <c r="G1227" s="1406">
        <v>199.76</v>
      </c>
      <c r="H1227" t="b">
        <f t="shared" si="39"/>
        <v>1</v>
      </c>
    </row>
    <row r="1228" spans="1:8">
      <c r="A1228" s="677">
        <v>2566</v>
      </c>
      <c r="B1228" s="733" t="s">
        <v>9617</v>
      </c>
      <c r="C1228" s="677" t="s">
        <v>1690</v>
      </c>
      <c r="D1228" s="738">
        <f t="shared" si="38"/>
        <v>20.100000000000001</v>
      </c>
      <c r="F1228" s="1405">
        <v>20.100000000000001</v>
      </c>
      <c r="G1228" s="1405">
        <v>20.100000000000001</v>
      </c>
      <c r="H1228" t="b">
        <f t="shared" si="39"/>
        <v>1</v>
      </c>
    </row>
    <row r="1229" spans="1:8">
      <c r="A1229" s="739">
        <v>2589</v>
      </c>
      <c r="B1229" s="740" t="s">
        <v>9618</v>
      </c>
      <c r="C1229" s="739" t="s">
        <v>1690</v>
      </c>
      <c r="D1229" s="741">
        <f t="shared" si="38"/>
        <v>26.72</v>
      </c>
      <c r="F1229" s="1406">
        <v>26.72</v>
      </c>
      <c r="G1229" s="1406">
        <v>26.72</v>
      </c>
      <c r="H1229" t="b">
        <f t="shared" si="39"/>
        <v>1</v>
      </c>
    </row>
    <row r="1230" spans="1:8">
      <c r="A1230" s="677">
        <v>2591</v>
      </c>
      <c r="B1230" s="733" t="s">
        <v>9619</v>
      </c>
      <c r="C1230" s="677" t="s">
        <v>1690</v>
      </c>
      <c r="D1230" s="738">
        <f t="shared" si="38"/>
        <v>9.74</v>
      </c>
      <c r="F1230" s="1405">
        <v>9.74</v>
      </c>
      <c r="G1230" s="1405">
        <v>9.74</v>
      </c>
      <c r="H1230" t="b">
        <f t="shared" si="39"/>
        <v>1</v>
      </c>
    </row>
    <row r="1231" spans="1:8">
      <c r="A1231" s="739">
        <v>2590</v>
      </c>
      <c r="B1231" s="740" t="s">
        <v>9620</v>
      </c>
      <c r="C1231" s="739" t="s">
        <v>1690</v>
      </c>
      <c r="D1231" s="741">
        <f t="shared" si="38"/>
        <v>16.39</v>
      </c>
      <c r="F1231" s="1406">
        <v>16.39</v>
      </c>
      <c r="G1231" s="1406">
        <v>16.39</v>
      </c>
      <c r="H1231" t="b">
        <f t="shared" si="39"/>
        <v>1</v>
      </c>
    </row>
    <row r="1232" spans="1:8">
      <c r="A1232" s="677">
        <v>2567</v>
      </c>
      <c r="B1232" s="733" t="s">
        <v>9621</v>
      </c>
      <c r="C1232" s="677" t="s">
        <v>1690</v>
      </c>
      <c r="D1232" s="738">
        <f t="shared" si="38"/>
        <v>39.19</v>
      </c>
      <c r="F1232" s="1405">
        <v>39.19</v>
      </c>
      <c r="G1232" s="1405">
        <v>39.19</v>
      </c>
      <c r="H1232" t="b">
        <f t="shared" si="39"/>
        <v>1</v>
      </c>
    </row>
    <row r="1233" spans="1:8">
      <c r="A1233" s="739">
        <v>2565</v>
      </c>
      <c r="B1233" s="740" t="s">
        <v>9622</v>
      </c>
      <c r="C1233" s="739" t="s">
        <v>1690</v>
      </c>
      <c r="D1233" s="741">
        <f t="shared" si="38"/>
        <v>9.76</v>
      </c>
      <c r="F1233" s="1406">
        <v>9.76</v>
      </c>
      <c r="G1233" s="1406">
        <v>9.76</v>
      </c>
      <c r="H1233" t="b">
        <f t="shared" si="39"/>
        <v>1</v>
      </c>
    </row>
    <row r="1234" spans="1:8">
      <c r="A1234" s="677">
        <v>2568</v>
      </c>
      <c r="B1234" s="733" t="s">
        <v>9623</v>
      </c>
      <c r="C1234" s="677" t="s">
        <v>1690</v>
      </c>
      <c r="D1234" s="738">
        <f t="shared" si="38"/>
        <v>108.83</v>
      </c>
      <c r="F1234" s="1405">
        <v>108.83</v>
      </c>
      <c r="G1234" s="1405">
        <v>108.83</v>
      </c>
      <c r="H1234" t="b">
        <f t="shared" si="39"/>
        <v>1</v>
      </c>
    </row>
    <row r="1235" spans="1:8">
      <c r="A1235" s="739">
        <v>2594</v>
      </c>
      <c r="B1235" s="740" t="s">
        <v>9624</v>
      </c>
      <c r="C1235" s="739" t="s">
        <v>1690</v>
      </c>
      <c r="D1235" s="741">
        <f t="shared" si="38"/>
        <v>181.31</v>
      </c>
      <c r="F1235" s="1406">
        <v>181.31</v>
      </c>
      <c r="G1235" s="1406">
        <v>181.31</v>
      </c>
      <c r="H1235" t="b">
        <f t="shared" si="39"/>
        <v>1</v>
      </c>
    </row>
    <row r="1236" spans="1:8">
      <c r="A1236" s="677">
        <v>2587</v>
      </c>
      <c r="B1236" s="733" t="s">
        <v>9625</v>
      </c>
      <c r="C1236" s="677" t="s">
        <v>1690</v>
      </c>
      <c r="D1236" s="738">
        <f t="shared" si="38"/>
        <v>30.9</v>
      </c>
      <c r="F1236" s="1405">
        <v>30.9</v>
      </c>
      <c r="G1236" s="1405">
        <v>30.9</v>
      </c>
      <c r="H1236" t="b">
        <f t="shared" si="39"/>
        <v>1</v>
      </c>
    </row>
    <row r="1237" spans="1:8">
      <c r="A1237" s="739">
        <v>2588</v>
      </c>
      <c r="B1237" s="740" t="s">
        <v>9626</v>
      </c>
      <c r="C1237" s="739" t="s">
        <v>1690</v>
      </c>
      <c r="D1237" s="741">
        <f t="shared" si="38"/>
        <v>24.54</v>
      </c>
      <c r="F1237" s="1406">
        <v>24.54</v>
      </c>
      <c r="G1237" s="1406">
        <v>24.54</v>
      </c>
      <c r="H1237" t="b">
        <f t="shared" si="39"/>
        <v>1</v>
      </c>
    </row>
    <row r="1238" spans="1:8">
      <c r="A1238" s="677">
        <v>2569</v>
      </c>
      <c r="B1238" s="733" t="s">
        <v>9627</v>
      </c>
      <c r="C1238" s="677" t="s">
        <v>1690</v>
      </c>
      <c r="D1238" s="738">
        <f t="shared" si="38"/>
        <v>9.4600000000000009</v>
      </c>
      <c r="F1238" s="1405">
        <v>9.4600000000000009</v>
      </c>
      <c r="G1238" s="1405">
        <v>9.4600000000000009</v>
      </c>
      <c r="H1238" t="b">
        <f t="shared" si="39"/>
        <v>1</v>
      </c>
    </row>
    <row r="1239" spans="1:8">
      <c r="A1239" s="739">
        <v>2570</v>
      </c>
      <c r="B1239" s="740" t="s">
        <v>9628</v>
      </c>
      <c r="C1239" s="739" t="s">
        <v>1690</v>
      </c>
      <c r="D1239" s="741">
        <f t="shared" si="38"/>
        <v>15.85</v>
      </c>
      <c r="F1239" s="1406">
        <v>15.85</v>
      </c>
      <c r="G1239" s="1406">
        <v>15.85</v>
      </c>
      <c r="H1239" t="b">
        <f t="shared" si="39"/>
        <v>1</v>
      </c>
    </row>
    <row r="1240" spans="1:8">
      <c r="A1240" s="677">
        <v>2571</v>
      </c>
      <c r="B1240" s="733" t="s">
        <v>9629</v>
      </c>
      <c r="C1240" s="677" t="s">
        <v>1690</v>
      </c>
      <c r="D1240" s="738">
        <f t="shared" si="38"/>
        <v>47.06</v>
      </c>
      <c r="F1240" s="1405">
        <v>47.06</v>
      </c>
      <c r="G1240" s="1405">
        <v>47.06</v>
      </c>
      <c r="H1240" t="b">
        <f t="shared" si="39"/>
        <v>1</v>
      </c>
    </row>
    <row r="1241" spans="1:8">
      <c r="A1241" s="739">
        <v>2593</v>
      </c>
      <c r="B1241" s="740" t="s">
        <v>9630</v>
      </c>
      <c r="C1241" s="739" t="s">
        <v>1690</v>
      </c>
      <c r="D1241" s="741">
        <f t="shared" si="38"/>
        <v>10.08</v>
      </c>
      <c r="F1241" s="1406">
        <v>10.08</v>
      </c>
      <c r="G1241" s="1406">
        <v>10.08</v>
      </c>
      <c r="H1241" t="b">
        <f t="shared" si="39"/>
        <v>1</v>
      </c>
    </row>
    <row r="1242" spans="1:8">
      <c r="A1242" s="677">
        <v>2572</v>
      </c>
      <c r="B1242" s="733" t="s">
        <v>9631</v>
      </c>
      <c r="C1242" s="677" t="s">
        <v>1690</v>
      </c>
      <c r="D1242" s="738">
        <f t="shared" si="38"/>
        <v>139.18</v>
      </c>
      <c r="F1242" s="1405">
        <v>139.18</v>
      </c>
      <c r="G1242" s="1405">
        <v>139.18</v>
      </c>
      <c r="H1242" t="b">
        <f t="shared" si="39"/>
        <v>1</v>
      </c>
    </row>
    <row r="1243" spans="1:8">
      <c r="A1243" s="739">
        <v>2595</v>
      </c>
      <c r="B1243" s="740" t="s">
        <v>9632</v>
      </c>
      <c r="C1243" s="739" t="s">
        <v>1690</v>
      </c>
      <c r="D1243" s="741">
        <f t="shared" si="38"/>
        <v>217.15</v>
      </c>
      <c r="F1243" s="1406">
        <v>217.15</v>
      </c>
      <c r="G1243" s="1406">
        <v>217.15</v>
      </c>
      <c r="H1243" t="b">
        <f t="shared" si="39"/>
        <v>1</v>
      </c>
    </row>
    <row r="1244" spans="1:8">
      <c r="A1244" s="677">
        <v>2576</v>
      </c>
      <c r="B1244" s="733" t="s">
        <v>9633</v>
      </c>
      <c r="C1244" s="677" t="s">
        <v>1690</v>
      </c>
      <c r="D1244" s="738">
        <f t="shared" si="38"/>
        <v>37.020000000000003</v>
      </c>
      <c r="F1244" s="1405">
        <v>37.020000000000003</v>
      </c>
      <c r="G1244" s="1405">
        <v>37.020000000000003</v>
      </c>
      <c r="H1244" t="b">
        <f t="shared" si="39"/>
        <v>1</v>
      </c>
    </row>
    <row r="1245" spans="1:8">
      <c r="A1245" s="739">
        <v>2575</v>
      </c>
      <c r="B1245" s="740" t="s">
        <v>9634</v>
      </c>
      <c r="C1245" s="739" t="s">
        <v>1690</v>
      </c>
      <c r="D1245" s="741">
        <f t="shared" si="38"/>
        <v>27.83</v>
      </c>
      <c r="F1245" s="1406">
        <v>27.83</v>
      </c>
      <c r="G1245" s="1406">
        <v>27.83</v>
      </c>
      <c r="H1245" t="b">
        <f t="shared" si="39"/>
        <v>1</v>
      </c>
    </row>
    <row r="1246" spans="1:8">
      <c r="A1246" s="677">
        <v>2573</v>
      </c>
      <c r="B1246" s="733" t="s">
        <v>9635</v>
      </c>
      <c r="C1246" s="677" t="s">
        <v>1690</v>
      </c>
      <c r="D1246" s="738">
        <f t="shared" si="38"/>
        <v>11.55</v>
      </c>
      <c r="F1246" s="1405">
        <v>11.55</v>
      </c>
      <c r="G1246" s="1405">
        <v>11.55</v>
      </c>
      <c r="H1246" t="b">
        <f t="shared" si="39"/>
        <v>1</v>
      </c>
    </row>
    <row r="1247" spans="1:8">
      <c r="A1247" s="739">
        <v>2586</v>
      </c>
      <c r="B1247" s="740" t="s">
        <v>9636</v>
      </c>
      <c r="C1247" s="739" t="s">
        <v>1690</v>
      </c>
      <c r="D1247" s="741">
        <f t="shared" si="38"/>
        <v>18.73</v>
      </c>
      <c r="F1247" s="1406">
        <v>18.73</v>
      </c>
      <c r="G1247" s="1406">
        <v>18.73</v>
      </c>
      <c r="H1247" t="b">
        <f t="shared" si="39"/>
        <v>1</v>
      </c>
    </row>
    <row r="1248" spans="1:8">
      <c r="A1248" s="677">
        <v>2577</v>
      </c>
      <c r="B1248" s="733" t="s">
        <v>9637</v>
      </c>
      <c r="C1248" s="677" t="s">
        <v>1690</v>
      </c>
      <c r="D1248" s="738">
        <f t="shared" si="38"/>
        <v>50.16</v>
      </c>
      <c r="F1248" s="1405">
        <v>50.16</v>
      </c>
      <c r="G1248" s="1405">
        <v>50.16</v>
      </c>
      <c r="H1248" t="b">
        <f t="shared" si="39"/>
        <v>1</v>
      </c>
    </row>
    <row r="1249" spans="1:8">
      <c r="A1249" s="739">
        <v>2574</v>
      </c>
      <c r="B1249" s="740" t="s">
        <v>9638</v>
      </c>
      <c r="C1249" s="739" t="s">
        <v>1690</v>
      </c>
      <c r="D1249" s="741">
        <f t="shared" si="38"/>
        <v>11.63</v>
      </c>
      <c r="F1249" s="1406">
        <v>11.63</v>
      </c>
      <c r="G1249" s="1406">
        <v>11.63</v>
      </c>
      <c r="H1249" t="b">
        <f t="shared" si="39"/>
        <v>1</v>
      </c>
    </row>
    <row r="1250" spans="1:8">
      <c r="A1250" s="677">
        <v>2578</v>
      </c>
      <c r="B1250" s="733" t="s">
        <v>9639</v>
      </c>
      <c r="C1250" s="677" t="s">
        <v>1690</v>
      </c>
      <c r="D1250" s="738">
        <f t="shared" si="38"/>
        <v>156.6</v>
      </c>
      <c r="F1250" s="1405">
        <v>156.6</v>
      </c>
      <c r="G1250" s="1405">
        <v>156.6</v>
      </c>
      <c r="H1250" t="b">
        <f t="shared" si="39"/>
        <v>1</v>
      </c>
    </row>
    <row r="1251" spans="1:8">
      <c r="A1251" s="739">
        <v>2585</v>
      </c>
      <c r="B1251" s="740" t="s">
        <v>9640</v>
      </c>
      <c r="C1251" s="739" t="s">
        <v>1690</v>
      </c>
      <c r="D1251" s="741">
        <f t="shared" si="38"/>
        <v>214.9</v>
      </c>
      <c r="F1251" s="1406">
        <v>214.9</v>
      </c>
      <c r="G1251" s="1406">
        <v>214.9</v>
      </c>
      <c r="H1251" t="b">
        <f t="shared" si="39"/>
        <v>1</v>
      </c>
    </row>
    <row r="1252" spans="1:8">
      <c r="A1252" s="677">
        <v>12008</v>
      </c>
      <c r="B1252" s="733" t="s">
        <v>9641</v>
      </c>
      <c r="C1252" s="677" t="s">
        <v>1690</v>
      </c>
      <c r="D1252" s="738">
        <f t="shared" si="38"/>
        <v>115.3</v>
      </c>
      <c r="F1252" s="1405">
        <v>115.3</v>
      </c>
      <c r="G1252" s="1405">
        <v>115.3</v>
      </c>
      <c r="H1252" t="b">
        <f t="shared" si="39"/>
        <v>1</v>
      </c>
    </row>
    <row r="1253" spans="1:8">
      <c r="A1253" s="739">
        <v>2582</v>
      </c>
      <c r="B1253" s="740" t="s">
        <v>9642</v>
      </c>
      <c r="C1253" s="739" t="s">
        <v>1690</v>
      </c>
      <c r="D1253" s="741">
        <f t="shared" si="38"/>
        <v>34.33</v>
      </c>
      <c r="F1253" s="1406">
        <v>34.33</v>
      </c>
      <c r="G1253" s="1406">
        <v>34.33</v>
      </c>
      <c r="H1253" t="b">
        <f t="shared" si="39"/>
        <v>1</v>
      </c>
    </row>
    <row r="1254" spans="1:8">
      <c r="A1254" s="677">
        <v>2597</v>
      </c>
      <c r="B1254" s="733" t="s">
        <v>9643</v>
      </c>
      <c r="C1254" s="677" t="s">
        <v>1690</v>
      </c>
      <c r="D1254" s="738">
        <f t="shared" si="38"/>
        <v>29.43</v>
      </c>
      <c r="F1254" s="1405">
        <v>29.43</v>
      </c>
      <c r="G1254" s="1405">
        <v>29.43</v>
      </c>
      <c r="H1254" t="b">
        <f t="shared" si="39"/>
        <v>1</v>
      </c>
    </row>
    <row r="1255" spans="1:8">
      <c r="A1255" s="739">
        <v>2579</v>
      </c>
      <c r="B1255" s="740" t="s">
        <v>9644</v>
      </c>
      <c r="C1255" s="739" t="s">
        <v>1690</v>
      </c>
      <c r="D1255" s="741">
        <f t="shared" si="38"/>
        <v>14.01</v>
      </c>
      <c r="F1255" s="1406">
        <v>14.01</v>
      </c>
      <c r="G1255" s="1406">
        <v>14.01</v>
      </c>
      <c r="H1255" t="b">
        <f t="shared" si="39"/>
        <v>1</v>
      </c>
    </row>
    <row r="1256" spans="1:8">
      <c r="A1256" s="677">
        <v>2581</v>
      </c>
      <c r="B1256" s="733" t="s">
        <v>9645</v>
      </c>
      <c r="C1256" s="677" t="s">
        <v>1690</v>
      </c>
      <c r="D1256" s="738">
        <f t="shared" si="38"/>
        <v>17.93</v>
      </c>
      <c r="F1256" s="1405">
        <v>17.93</v>
      </c>
      <c r="G1256" s="1405">
        <v>17.93</v>
      </c>
      <c r="H1256" t="b">
        <f t="shared" si="39"/>
        <v>1</v>
      </c>
    </row>
    <row r="1257" spans="1:8">
      <c r="A1257" s="739">
        <v>2596</v>
      </c>
      <c r="B1257" s="740" t="s">
        <v>9646</v>
      </c>
      <c r="C1257" s="739" t="s">
        <v>1690</v>
      </c>
      <c r="D1257" s="741">
        <f t="shared" si="38"/>
        <v>53.02</v>
      </c>
      <c r="F1257" s="1406">
        <v>53.02</v>
      </c>
      <c r="G1257" s="1406">
        <v>53.02</v>
      </c>
      <c r="H1257" t="b">
        <f t="shared" si="39"/>
        <v>1</v>
      </c>
    </row>
    <row r="1258" spans="1:8">
      <c r="A1258" s="677">
        <v>2580</v>
      </c>
      <c r="B1258" s="733" t="s">
        <v>9647</v>
      </c>
      <c r="C1258" s="677" t="s">
        <v>1690</v>
      </c>
      <c r="D1258" s="738">
        <f t="shared" si="38"/>
        <v>15.35</v>
      </c>
      <c r="F1258" s="1405">
        <v>15.35</v>
      </c>
      <c r="G1258" s="1405">
        <v>15.35</v>
      </c>
      <c r="H1258" t="b">
        <f t="shared" si="39"/>
        <v>1</v>
      </c>
    </row>
    <row r="1259" spans="1:8">
      <c r="A1259" s="739">
        <v>2583</v>
      </c>
      <c r="B1259" s="740" t="s">
        <v>9648</v>
      </c>
      <c r="C1259" s="739" t="s">
        <v>1690</v>
      </c>
      <c r="D1259" s="741">
        <f t="shared" si="38"/>
        <v>128.96</v>
      </c>
      <c r="F1259" s="1406">
        <v>128.96</v>
      </c>
      <c r="G1259" s="1406">
        <v>128.96</v>
      </c>
      <c r="H1259" t="b">
        <f t="shared" si="39"/>
        <v>1</v>
      </c>
    </row>
    <row r="1260" spans="1:8">
      <c r="A1260" s="677">
        <v>2584</v>
      </c>
      <c r="B1260" s="733" t="s">
        <v>9649</v>
      </c>
      <c r="C1260" s="677" t="s">
        <v>1690</v>
      </c>
      <c r="D1260" s="738">
        <f t="shared" si="38"/>
        <v>214.68</v>
      </c>
      <c r="F1260" s="1405">
        <v>214.68</v>
      </c>
      <c r="G1260" s="1405">
        <v>214.68</v>
      </c>
      <c r="H1260" t="b">
        <f t="shared" si="39"/>
        <v>1</v>
      </c>
    </row>
    <row r="1261" spans="1:8">
      <c r="A1261" s="739">
        <v>12010</v>
      </c>
      <c r="B1261" s="740" t="s">
        <v>9650</v>
      </c>
      <c r="C1261" s="739" t="s">
        <v>1690</v>
      </c>
      <c r="D1261" s="741">
        <f t="shared" si="38"/>
        <v>11.02</v>
      </c>
      <c r="F1261" s="1406">
        <v>11.02</v>
      </c>
      <c r="G1261" s="1406">
        <v>11.02</v>
      </c>
      <c r="H1261" t="b">
        <f t="shared" si="39"/>
        <v>1</v>
      </c>
    </row>
    <row r="1262" spans="1:8">
      <c r="A1262" s="677">
        <v>39329</v>
      </c>
      <c r="B1262" s="733" t="s">
        <v>9651</v>
      </c>
      <c r="C1262" s="677" t="s">
        <v>1690</v>
      </c>
      <c r="D1262" s="738">
        <f t="shared" si="38"/>
        <v>11.53</v>
      </c>
      <c r="F1262" s="1405">
        <v>11.53</v>
      </c>
      <c r="G1262" s="1405">
        <v>11.53</v>
      </c>
      <c r="H1262" t="b">
        <f t="shared" si="39"/>
        <v>1</v>
      </c>
    </row>
    <row r="1263" spans="1:8">
      <c r="A1263" s="739">
        <v>39330</v>
      </c>
      <c r="B1263" s="740" t="s">
        <v>9652</v>
      </c>
      <c r="C1263" s="739" t="s">
        <v>1690</v>
      </c>
      <c r="D1263" s="741">
        <f t="shared" si="38"/>
        <v>12.13</v>
      </c>
      <c r="F1263" s="1406">
        <v>12.13</v>
      </c>
      <c r="G1263" s="1406">
        <v>12.13</v>
      </c>
      <c r="H1263" t="b">
        <f t="shared" si="39"/>
        <v>1</v>
      </c>
    </row>
    <row r="1264" spans="1:8">
      <c r="A1264" s="677">
        <v>39332</v>
      </c>
      <c r="B1264" s="733" t="s">
        <v>9653</v>
      </c>
      <c r="C1264" s="677" t="s">
        <v>1690</v>
      </c>
      <c r="D1264" s="738">
        <f t="shared" si="38"/>
        <v>13.55</v>
      </c>
      <c r="F1264" s="1405">
        <v>13.55</v>
      </c>
      <c r="G1264" s="1405">
        <v>13.55</v>
      </c>
      <c r="H1264" t="b">
        <f t="shared" si="39"/>
        <v>1</v>
      </c>
    </row>
    <row r="1265" spans="1:8">
      <c r="A1265" s="739">
        <v>39331</v>
      </c>
      <c r="B1265" s="740" t="s">
        <v>9654</v>
      </c>
      <c r="C1265" s="739" t="s">
        <v>1690</v>
      </c>
      <c r="D1265" s="741">
        <f t="shared" si="38"/>
        <v>10.79</v>
      </c>
      <c r="F1265" s="1406">
        <v>10.79</v>
      </c>
      <c r="G1265" s="1406">
        <v>10.79</v>
      </c>
      <c r="H1265" t="b">
        <f t="shared" si="39"/>
        <v>1</v>
      </c>
    </row>
    <row r="1266" spans="1:8">
      <c r="A1266" s="677">
        <v>39333</v>
      </c>
      <c r="B1266" s="733" t="s">
        <v>9655</v>
      </c>
      <c r="C1266" s="677" t="s">
        <v>1690</v>
      </c>
      <c r="D1266" s="738">
        <f t="shared" si="38"/>
        <v>10.52</v>
      </c>
      <c r="F1266" s="1405">
        <v>10.52</v>
      </c>
      <c r="G1266" s="1405">
        <v>10.52</v>
      </c>
      <c r="H1266" t="b">
        <f t="shared" si="39"/>
        <v>1</v>
      </c>
    </row>
    <row r="1267" spans="1:8">
      <c r="A1267" s="739">
        <v>39335</v>
      </c>
      <c r="B1267" s="740" t="s">
        <v>9656</v>
      </c>
      <c r="C1267" s="739" t="s">
        <v>1690</v>
      </c>
      <c r="D1267" s="741">
        <f t="shared" si="38"/>
        <v>12.17</v>
      </c>
      <c r="F1267" s="1406">
        <v>12.17</v>
      </c>
      <c r="G1267" s="1406">
        <v>12.17</v>
      </c>
      <c r="H1267" t="b">
        <f t="shared" si="39"/>
        <v>1</v>
      </c>
    </row>
    <row r="1268" spans="1:8">
      <c r="A1268" s="677">
        <v>39334</v>
      </c>
      <c r="B1268" s="733" t="s">
        <v>9657</v>
      </c>
      <c r="C1268" s="677" t="s">
        <v>1690</v>
      </c>
      <c r="D1268" s="738">
        <f t="shared" si="38"/>
        <v>9.67</v>
      </c>
      <c r="F1268" s="1405">
        <v>9.67</v>
      </c>
      <c r="G1268" s="1405">
        <v>9.67</v>
      </c>
      <c r="H1268" t="b">
        <f t="shared" si="39"/>
        <v>1</v>
      </c>
    </row>
    <row r="1269" spans="1:8">
      <c r="A1269" s="739">
        <v>12016</v>
      </c>
      <c r="B1269" s="740" t="s">
        <v>9658</v>
      </c>
      <c r="C1269" s="739" t="s">
        <v>1690</v>
      </c>
      <c r="D1269" s="741">
        <f t="shared" si="38"/>
        <v>12.14</v>
      </c>
      <c r="F1269" s="1406">
        <v>12.14</v>
      </c>
      <c r="G1269" s="1406">
        <v>12.14</v>
      </c>
      <c r="H1269" t="b">
        <f t="shared" si="39"/>
        <v>1</v>
      </c>
    </row>
    <row r="1270" spans="1:8">
      <c r="A1270" s="677">
        <v>12015</v>
      </c>
      <c r="B1270" s="733" t="s">
        <v>9659</v>
      </c>
      <c r="C1270" s="677" t="s">
        <v>1690</v>
      </c>
      <c r="D1270" s="738">
        <f t="shared" si="38"/>
        <v>14.13</v>
      </c>
      <c r="F1270" s="1405">
        <v>14.13</v>
      </c>
      <c r="G1270" s="1405">
        <v>14.13</v>
      </c>
      <c r="H1270" t="b">
        <f t="shared" si="39"/>
        <v>1</v>
      </c>
    </row>
    <row r="1271" spans="1:8">
      <c r="A1271" s="739">
        <v>12020</v>
      </c>
      <c r="B1271" s="740" t="s">
        <v>9660</v>
      </c>
      <c r="C1271" s="739" t="s">
        <v>1690</v>
      </c>
      <c r="D1271" s="741">
        <f t="shared" si="38"/>
        <v>12.14</v>
      </c>
      <c r="F1271" s="1406">
        <v>12.14</v>
      </c>
      <c r="G1271" s="1406">
        <v>12.14</v>
      </c>
      <c r="H1271" t="b">
        <f t="shared" si="39"/>
        <v>1</v>
      </c>
    </row>
    <row r="1272" spans="1:8">
      <c r="A1272" s="677">
        <v>12019</v>
      </c>
      <c r="B1272" s="733" t="s">
        <v>9661</v>
      </c>
      <c r="C1272" s="677" t="s">
        <v>1690</v>
      </c>
      <c r="D1272" s="738">
        <f t="shared" si="38"/>
        <v>14.13</v>
      </c>
      <c r="F1272" s="1405">
        <v>14.13</v>
      </c>
      <c r="G1272" s="1405">
        <v>14.13</v>
      </c>
      <c r="H1272" t="b">
        <f t="shared" si="39"/>
        <v>1</v>
      </c>
    </row>
    <row r="1273" spans="1:8">
      <c r="A1273" s="739">
        <v>39336</v>
      </c>
      <c r="B1273" s="740" t="s">
        <v>9662</v>
      </c>
      <c r="C1273" s="739" t="s">
        <v>1690</v>
      </c>
      <c r="D1273" s="741">
        <f t="shared" si="38"/>
        <v>12.13</v>
      </c>
      <c r="F1273" s="1406">
        <v>12.13</v>
      </c>
      <c r="G1273" s="1406">
        <v>12.13</v>
      </c>
      <c r="H1273" t="b">
        <f t="shared" si="39"/>
        <v>1</v>
      </c>
    </row>
    <row r="1274" spans="1:8">
      <c r="A1274" s="677">
        <v>39338</v>
      </c>
      <c r="B1274" s="733" t="s">
        <v>9663</v>
      </c>
      <c r="C1274" s="677" t="s">
        <v>1690</v>
      </c>
      <c r="D1274" s="738">
        <f t="shared" si="38"/>
        <v>13.55</v>
      </c>
      <c r="F1274" s="1405">
        <v>13.55</v>
      </c>
      <c r="G1274" s="1405">
        <v>13.55</v>
      </c>
      <c r="H1274" t="b">
        <f t="shared" si="39"/>
        <v>1</v>
      </c>
    </row>
    <row r="1275" spans="1:8">
      <c r="A1275" s="739">
        <v>39337</v>
      </c>
      <c r="B1275" s="740" t="s">
        <v>9664</v>
      </c>
      <c r="C1275" s="739" t="s">
        <v>1690</v>
      </c>
      <c r="D1275" s="741">
        <f t="shared" si="38"/>
        <v>10.79</v>
      </c>
      <c r="F1275" s="1406">
        <v>10.79</v>
      </c>
      <c r="G1275" s="1406">
        <v>10.79</v>
      </c>
      <c r="H1275" t="b">
        <f t="shared" si="39"/>
        <v>1</v>
      </c>
    </row>
    <row r="1276" spans="1:8">
      <c r="A1276" s="677">
        <v>39341</v>
      </c>
      <c r="B1276" s="733" t="s">
        <v>9665</v>
      </c>
      <c r="C1276" s="677" t="s">
        <v>1690</v>
      </c>
      <c r="D1276" s="738">
        <f t="shared" si="38"/>
        <v>17.66</v>
      </c>
      <c r="F1276" s="1405">
        <v>17.66</v>
      </c>
      <c r="G1276" s="1405">
        <v>17.66</v>
      </c>
      <c r="H1276" t="b">
        <f t="shared" si="39"/>
        <v>1</v>
      </c>
    </row>
    <row r="1277" spans="1:8">
      <c r="A1277" s="739">
        <v>39340</v>
      </c>
      <c r="B1277" s="740" t="s">
        <v>9666</v>
      </c>
      <c r="C1277" s="739" t="s">
        <v>1690</v>
      </c>
      <c r="D1277" s="741">
        <f t="shared" si="38"/>
        <v>12.97</v>
      </c>
      <c r="F1277" s="1406">
        <v>12.97</v>
      </c>
      <c r="G1277" s="1406">
        <v>12.97</v>
      </c>
      <c r="H1277" t="b">
        <f t="shared" si="39"/>
        <v>1</v>
      </c>
    </row>
    <row r="1278" spans="1:8">
      <c r="A1278" s="677">
        <v>12025</v>
      </c>
      <c r="B1278" s="733" t="s">
        <v>9667</v>
      </c>
      <c r="C1278" s="677" t="s">
        <v>1690</v>
      </c>
      <c r="D1278" s="738">
        <f t="shared" si="38"/>
        <v>13.4</v>
      </c>
      <c r="F1278" s="1405">
        <v>13.4</v>
      </c>
      <c r="G1278" s="1405">
        <v>13.4</v>
      </c>
      <c r="H1278" t="b">
        <f t="shared" si="39"/>
        <v>1</v>
      </c>
    </row>
    <row r="1279" spans="1:8">
      <c r="A1279" s="739">
        <v>39342</v>
      </c>
      <c r="B1279" s="740" t="s">
        <v>9668</v>
      </c>
      <c r="C1279" s="739" t="s">
        <v>1690</v>
      </c>
      <c r="D1279" s="741">
        <f t="shared" si="38"/>
        <v>17.66</v>
      </c>
      <c r="F1279" s="1406">
        <v>17.66</v>
      </c>
      <c r="G1279" s="1406">
        <v>17.66</v>
      </c>
      <c r="H1279" t="b">
        <f t="shared" si="39"/>
        <v>1</v>
      </c>
    </row>
    <row r="1280" spans="1:8">
      <c r="A1280" s="677">
        <v>39343</v>
      </c>
      <c r="B1280" s="733" t="s">
        <v>9669</v>
      </c>
      <c r="C1280" s="677" t="s">
        <v>1690</v>
      </c>
      <c r="D1280" s="738">
        <f t="shared" si="38"/>
        <v>14.92</v>
      </c>
      <c r="F1280" s="1405">
        <v>14.92</v>
      </c>
      <c r="G1280" s="1405">
        <v>14.92</v>
      </c>
      <c r="H1280" t="b">
        <f t="shared" si="39"/>
        <v>1</v>
      </c>
    </row>
    <row r="1281" spans="1:8">
      <c r="A1281" s="739">
        <v>39345</v>
      </c>
      <c r="B1281" s="740" t="s">
        <v>9670</v>
      </c>
      <c r="C1281" s="739" t="s">
        <v>1690</v>
      </c>
      <c r="D1281" s="741">
        <f t="shared" si="38"/>
        <v>20.190000000000001</v>
      </c>
      <c r="F1281" s="1406">
        <v>20.190000000000001</v>
      </c>
      <c r="G1281" s="1406">
        <v>20.190000000000001</v>
      </c>
      <c r="H1281" t="b">
        <f t="shared" si="39"/>
        <v>1</v>
      </c>
    </row>
    <row r="1282" spans="1:8">
      <c r="A1282" s="677">
        <v>39344</v>
      </c>
      <c r="B1282" s="733" t="s">
        <v>9671</v>
      </c>
      <c r="C1282" s="677" t="s">
        <v>1690</v>
      </c>
      <c r="D1282" s="738">
        <f t="shared" si="38"/>
        <v>14.42</v>
      </c>
      <c r="F1282" s="1405">
        <v>14.42</v>
      </c>
      <c r="G1282" s="1405">
        <v>14.42</v>
      </c>
      <c r="H1282" t="b">
        <f t="shared" si="39"/>
        <v>1</v>
      </c>
    </row>
    <row r="1283" spans="1:8">
      <c r="A1283" s="739">
        <v>12623</v>
      </c>
      <c r="B1283" s="740" t="s">
        <v>9672</v>
      </c>
      <c r="C1283" s="739" t="s">
        <v>1693</v>
      </c>
      <c r="D1283" s="741">
        <f t="shared" ref="D1283:D1346" si="40">IF($J$2=$F$1,F1283,G1283)</f>
        <v>42.56</v>
      </c>
      <c r="F1283" s="1406">
        <v>42.56</v>
      </c>
      <c r="G1283" s="1406">
        <v>42.56</v>
      </c>
      <c r="H1283" t="b">
        <f t="shared" ref="H1283:H1346" si="41">F1283=G1283</f>
        <v>1</v>
      </c>
    </row>
    <row r="1284" spans="1:8">
      <c r="A1284" s="677">
        <v>34498</v>
      </c>
      <c r="B1284" s="733" t="s">
        <v>9673</v>
      </c>
      <c r="C1284" s="677" t="s">
        <v>1690</v>
      </c>
      <c r="D1284" s="738">
        <f t="shared" si="40"/>
        <v>130.22999999999999</v>
      </c>
      <c r="F1284" s="1405">
        <v>130.22999999999999</v>
      </c>
      <c r="G1284" s="1405">
        <v>130.22999999999999</v>
      </c>
      <c r="H1284" t="b">
        <f t="shared" si="41"/>
        <v>1</v>
      </c>
    </row>
    <row r="1285" spans="1:8">
      <c r="A1285" s="739">
        <v>13244</v>
      </c>
      <c r="B1285" s="740" t="s">
        <v>9674</v>
      </c>
      <c r="C1285" s="739" t="s">
        <v>1690</v>
      </c>
      <c r="D1285" s="741">
        <f t="shared" si="40"/>
        <v>54.82</v>
      </c>
      <c r="F1285" s="1406">
        <v>54.82</v>
      </c>
      <c r="G1285" s="1406">
        <v>54.82</v>
      </c>
      <c r="H1285" t="b">
        <f t="shared" si="41"/>
        <v>1</v>
      </c>
    </row>
    <row r="1286" spans="1:8">
      <c r="A1286" s="677">
        <v>38998</v>
      </c>
      <c r="B1286" s="733" t="s">
        <v>9675</v>
      </c>
      <c r="C1286" s="677" t="s">
        <v>1690</v>
      </c>
      <c r="D1286" s="738">
        <f t="shared" si="40"/>
        <v>9.9700000000000006</v>
      </c>
      <c r="F1286" s="1405">
        <v>9.9700000000000006</v>
      </c>
      <c r="G1286" s="1405">
        <v>9.9700000000000006</v>
      </c>
      <c r="H1286" t="b">
        <f t="shared" si="41"/>
        <v>1</v>
      </c>
    </row>
    <row r="1287" spans="1:8">
      <c r="A1287" s="739">
        <v>38999</v>
      </c>
      <c r="B1287" s="740" t="s">
        <v>9676</v>
      </c>
      <c r="C1287" s="739" t="s">
        <v>1690</v>
      </c>
      <c r="D1287" s="741">
        <f t="shared" si="40"/>
        <v>25.2</v>
      </c>
      <c r="F1287" s="1406">
        <v>25.2</v>
      </c>
      <c r="G1287" s="1406">
        <v>25.2</v>
      </c>
      <c r="H1287" t="b">
        <f t="shared" si="41"/>
        <v>1</v>
      </c>
    </row>
    <row r="1288" spans="1:8">
      <c r="A1288" s="677">
        <v>38996</v>
      </c>
      <c r="B1288" s="733" t="s">
        <v>9677</v>
      </c>
      <c r="C1288" s="677" t="s">
        <v>1690</v>
      </c>
      <c r="D1288" s="738">
        <f t="shared" si="40"/>
        <v>17.809999999999999</v>
      </c>
      <c r="F1288" s="1405">
        <v>17.809999999999999</v>
      </c>
      <c r="G1288" s="1405">
        <v>17.809999999999999</v>
      </c>
      <c r="H1288" t="b">
        <f t="shared" si="41"/>
        <v>1</v>
      </c>
    </row>
    <row r="1289" spans="1:8">
      <c r="A1289" s="739">
        <v>44173</v>
      </c>
      <c r="B1289" s="740" t="s">
        <v>9678</v>
      </c>
      <c r="C1289" s="739" t="s">
        <v>1690</v>
      </c>
      <c r="D1289" s="741">
        <f t="shared" si="40"/>
        <v>17.32</v>
      </c>
      <c r="F1289" s="1406">
        <v>17.32</v>
      </c>
      <c r="G1289" s="1406">
        <v>17.32</v>
      </c>
      <c r="H1289" t="b">
        <f t="shared" si="41"/>
        <v>1</v>
      </c>
    </row>
    <row r="1290" spans="1:8">
      <c r="A1290" s="677">
        <v>44174</v>
      </c>
      <c r="B1290" s="733" t="s">
        <v>9679</v>
      </c>
      <c r="C1290" s="677" t="s">
        <v>1690</v>
      </c>
      <c r="D1290" s="738">
        <f t="shared" si="40"/>
        <v>28.36</v>
      </c>
      <c r="F1290" s="1405">
        <v>28.36</v>
      </c>
      <c r="G1290" s="1405">
        <v>28.36</v>
      </c>
      <c r="H1290" t="b">
        <f t="shared" si="41"/>
        <v>1</v>
      </c>
    </row>
    <row r="1291" spans="1:8">
      <c r="A1291" s="739">
        <v>38997</v>
      </c>
      <c r="B1291" s="740" t="s">
        <v>9680</v>
      </c>
      <c r="C1291" s="739" t="s">
        <v>1690</v>
      </c>
      <c r="D1291" s="741">
        <f t="shared" si="40"/>
        <v>25.48</v>
      </c>
      <c r="F1291" s="1406">
        <v>25.48</v>
      </c>
      <c r="G1291" s="1406">
        <v>25.48</v>
      </c>
      <c r="H1291" t="b">
        <f t="shared" si="41"/>
        <v>1</v>
      </c>
    </row>
    <row r="1292" spans="1:8">
      <c r="A1292" s="677">
        <v>39600</v>
      </c>
      <c r="B1292" s="733" t="s">
        <v>9681</v>
      </c>
      <c r="C1292" s="677" t="s">
        <v>1690</v>
      </c>
      <c r="D1292" s="738">
        <f t="shared" si="40"/>
        <v>14.57</v>
      </c>
      <c r="F1292" s="1405">
        <v>14.57</v>
      </c>
      <c r="G1292" s="1405">
        <v>14.57</v>
      </c>
      <c r="H1292" t="b">
        <f t="shared" si="41"/>
        <v>1</v>
      </c>
    </row>
    <row r="1293" spans="1:8">
      <c r="A1293" s="739">
        <v>39601</v>
      </c>
      <c r="B1293" s="740" t="s">
        <v>9682</v>
      </c>
      <c r="C1293" s="739" t="s">
        <v>1690</v>
      </c>
      <c r="D1293" s="741">
        <f t="shared" si="40"/>
        <v>30.92</v>
      </c>
      <c r="F1293" s="1406">
        <v>30.92</v>
      </c>
      <c r="G1293" s="1406">
        <v>30.92</v>
      </c>
      <c r="H1293" t="b">
        <f t="shared" si="41"/>
        <v>1</v>
      </c>
    </row>
    <row r="1294" spans="1:8">
      <c r="A1294" s="677">
        <v>39862</v>
      </c>
      <c r="B1294" s="733" t="s">
        <v>9683</v>
      </c>
      <c r="C1294" s="677" t="s">
        <v>1690</v>
      </c>
      <c r="D1294" s="738">
        <f t="shared" si="40"/>
        <v>13.09</v>
      </c>
      <c r="F1294" s="1405">
        <v>13.09</v>
      </c>
      <c r="G1294" s="1405">
        <v>13.09</v>
      </c>
      <c r="H1294" t="b">
        <f t="shared" si="41"/>
        <v>1</v>
      </c>
    </row>
    <row r="1295" spans="1:8">
      <c r="A1295" s="739">
        <v>39863</v>
      </c>
      <c r="B1295" s="740" t="s">
        <v>9684</v>
      </c>
      <c r="C1295" s="739" t="s">
        <v>1690</v>
      </c>
      <c r="D1295" s="741">
        <f t="shared" si="40"/>
        <v>13.27</v>
      </c>
      <c r="F1295" s="1406">
        <v>13.27</v>
      </c>
      <c r="G1295" s="1406">
        <v>13.27</v>
      </c>
      <c r="H1295" t="b">
        <f t="shared" si="41"/>
        <v>1</v>
      </c>
    </row>
    <row r="1296" spans="1:8">
      <c r="A1296" s="677">
        <v>39864</v>
      </c>
      <c r="B1296" s="733" t="s">
        <v>9685</v>
      </c>
      <c r="C1296" s="677" t="s">
        <v>1690</v>
      </c>
      <c r="D1296" s="738">
        <f t="shared" si="40"/>
        <v>16.47</v>
      </c>
      <c r="F1296" s="1405">
        <v>16.47</v>
      </c>
      <c r="G1296" s="1405">
        <v>16.47</v>
      </c>
      <c r="H1296" t="b">
        <f t="shared" si="41"/>
        <v>1</v>
      </c>
    </row>
    <row r="1297" spans="1:8">
      <c r="A1297" s="739">
        <v>39865</v>
      </c>
      <c r="B1297" s="740" t="s">
        <v>9686</v>
      </c>
      <c r="C1297" s="739" t="s">
        <v>1690</v>
      </c>
      <c r="D1297" s="741">
        <f t="shared" si="40"/>
        <v>23.21</v>
      </c>
      <c r="F1297" s="1406">
        <v>23.21</v>
      </c>
      <c r="G1297" s="1406">
        <v>23.21</v>
      </c>
      <c r="H1297" t="b">
        <f t="shared" si="41"/>
        <v>1</v>
      </c>
    </row>
    <row r="1298" spans="1:8" ht="30">
      <c r="A1298" s="677">
        <v>2517</v>
      </c>
      <c r="B1298" s="733" t="s">
        <v>9687</v>
      </c>
      <c r="C1298" s="677" t="s">
        <v>1690</v>
      </c>
      <c r="D1298" s="738">
        <f t="shared" si="40"/>
        <v>21.39</v>
      </c>
      <c r="F1298" s="1405">
        <v>21.39</v>
      </c>
      <c r="G1298" s="1405">
        <v>21.39</v>
      </c>
      <c r="H1298" t="b">
        <f t="shared" si="41"/>
        <v>1</v>
      </c>
    </row>
    <row r="1299" spans="1:8" ht="30">
      <c r="A1299" s="739">
        <v>2522</v>
      </c>
      <c r="B1299" s="740" t="s">
        <v>9688</v>
      </c>
      <c r="C1299" s="739" t="s">
        <v>1690</v>
      </c>
      <c r="D1299" s="741">
        <f t="shared" si="40"/>
        <v>13.82</v>
      </c>
      <c r="F1299" s="1406">
        <v>13.82</v>
      </c>
      <c r="G1299" s="1406">
        <v>13.82</v>
      </c>
      <c r="H1299" t="b">
        <f t="shared" si="41"/>
        <v>1</v>
      </c>
    </row>
    <row r="1300" spans="1:8" ht="30">
      <c r="A1300" s="677">
        <v>2548</v>
      </c>
      <c r="B1300" s="733" t="s">
        <v>9689</v>
      </c>
      <c r="C1300" s="677" t="s">
        <v>1690</v>
      </c>
      <c r="D1300" s="738">
        <f t="shared" si="40"/>
        <v>8.5</v>
      </c>
      <c r="F1300" s="1405">
        <v>8.5</v>
      </c>
      <c r="G1300" s="1405">
        <v>8.5</v>
      </c>
      <c r="H1300" t="b">
        <f t="shared" si="41"/>
        <v>1</v>
      </c>
    </row>
    <row r="1301" spans="1:8">
      <c r="A1301" s="739">
        <v>2516</v>
      </c>
      <c r="B1301" s="740" t="s">
        <v>9690</v>
      </c>
      <c r="C1301" s="739" t="s">
        <v>1690</v>
      </c>
      <c r="D1301" s="741">
        <f t="shared" si="40"/>
        <v>11.1</v>
      </c>
      <c r="F1301" s="1406">
        <v>11.1</v>
      </c>
      <c r="G1301" s="1406">
        <v>11.1</v>
      </c>
      <c r="H1301" t="b">
        <f t="shared" si="41"/>
        <v>1</v>
      </c>
    </row>
    <row r="1302" spans="1:8" ht="30">
      <c r="A1302" s="677">
        <v>2518</v>
      </c>
      <c r="B1302" s="733" t="s">
        <v>9691</v>
      </c>
      <c r="C1302" s="677" t="s">
        <v>1690</v>
      </c>
      <c r="D1302" s="738">
        <f t="shared" si="40"/>
        <v>101.81</v>
      </c>
      <c r="F1302" s="1405">
        <v>101.81</v>
      </c>
      <c r="G1302" s="1405">
        <v>101.81</v>
      </c>
      <c r="H1302" t="b">
        <f t="shared" si="41"/>
        <v>1</v>
      </c>
    </row>
    <row r="1303" spans="1:8">
      <c r="A1303" s="739">
        <v>2521</v>
      </c>
      <c r="B1303" s="740" t="s">
        <v>9692</v>
      </c>
      <c r="C1303" s="739" t="s">
        <v>1690</v>
      </c>
      <c r="D1303" s="741">
        <f t="shared" si="40"/>
        <v>43.34</v>
      </c>
      <c r="F1303" s="1406">
        <v>43.34</v>
      </c>
      <c r="G1303" s="1406">
        <v>43.34</v>
      </c>
      <c r="H1303" t="b">
        <f t="shared" si="41"/>
        <v>1</v>
      </c>
    </row>
    <row r="1304" spans="1:8" ht="30">
      <c r="A1304" s="677">
        <v>2515</v>
      </c>
      <c r="B1304" s="733" t="s">
        <v>9693</v>
      </c>
      <c r="C1304" s="677" t="s">
        <v>1690</v>
      </c>
      <c r="D1304" s="738">
        <f t="shared" si="40"/>
        <v>9.24</v>
      </c>
      <c r="F1304" s="1405">
        <v>9.24</v>
      </c>
      <c r="G1304" s="1405">
        <v>9.24</v>
      </c>
      <c r="H1304" t="b">
        <f t="shared" si="41"/>
        <v>1</v>
      </c>
    </row>
    <row r="1305" spans="1:8">
      <c r="A1305" s="739">
        <v>2519</v>
      </c>
      <c r="B1305" s="740" t="s">
        <v>9694</v>
      </c>
      <c r="C1305" s="739" t="s">
        <v>1690</v>
      </c>
      <c r="D1305" s="741">
        <f t="shared" si="40"/>
        <v>122.76</v>
      </c>
      <c r="F1305" s="1406">
        <v>122.76</v>
      </c>
      <c r="G1305" s="1406">
        <v>122.76</v>
      </c>
      <c r="H1305" t="b">
        <f t="shared" si="41"/>
        <v>1</v>
      </c>
    </row>
    <row r="1306" spans="1:8">
      <c r="A1306" s="677">
        <v>2520</v>
      </c>
      <c r="B1306" s="733" t="s">
        <v>9695</v>
      </c>
      <c r="C1306" s="677" t="s">
        <v>1690</v>
      </c>
      <c r="D1306" s="738">
        <f t="shared" si="40"/>
        <v>225.95</v>
      </c>
      <c r="F1306" s="1405">
        <v>225.95</v>
      </c>
      <c r="G1306" s="1405">
        <v>225.95</v>
      </c>
      <c r="H1306" t="b">
        <f t="shared" si="41"/>
        <v>1</v>
      </c>
    </row>
    <row r="1307" spans="1:8">
      <c r="A1307" s="739">
        <v>1602</v>
      </c>
      <c r="B1307" s="740" t="s">
        <v>9696</v>
      </c>
      <c r="C1307" s="739" t="s">
        <v>1690</v>
      </c>
      <c r="D1307" s="741">
        <f t="shared" si="40"/>
        <v>59.05</v>
      </c>
      <c r="F1307" s="1406">
        <v>59.05</v>
      </c>
      <c r="G1307" s="1406">
        <v>59.05</v>
      </c>
      <c r="H1307" t="b">
        <f t="shared" si="41"/>
        <v>1</v>
      </c>
    </row>
    <row r="1308" spans="1:8">
      <c r="A1308" s="677">
        <v>1601</v>
      </c>
      <c r="B1308" s="733" t="s">
        <v>9697</v>
      </c>
      <c r="C1308" s="677" t="s">
        <v>1690</v>
      </c>
      <c r="D1308" s="738">
        <f t="shared" si="40"/>
        <v>52.63</v>
      </c>
      <c r="F1308" s="1405">
        <v>52.63</v>
      </c>
      <c r="G1308" s="1405">
        <v>52.63</v>
      </c>
      <c r="H1308" t="b">
        <f t="shared" si="41"/>
        <v>1</v>
      </c>
    </row>
    <row r="1309" spans="1:8">
      <c r="A1309" s="739">
        <v>1598</v>
      </c>
      <c r="B1309" s="740" t="s">
        <v>9698</v>
      </c>
      <c r="C1309" s="739" t="s">
        <v>1690</v>
      </c>
      <c r="D1309" s="741">
        <f t="shared" si="40"/>
        <v>15.57</v>
      </c>
      <c r="F1309" s="1406">
        <v>15.57</v>
      </c>
      <c r="G1309" s="1406">
        <v>15.57</v>
      </c>
      <c r="H1309" t="b">
        <f t="shared" si="41"/>
        <v>1</v>
      </c>
    </row>
    <row r="1310" spans="1:8">
      <c r="A1310" s="677">
        <v>1600</v>
      </c>
      <c r="B1310" s="733" t="s">
        <v>9699</v>
      </c>
      <c r="C1310" s="677" t="s">
        <v>1690</v>
      </c>
      <c r="D1310" s="738">
        <f t="shared" si="40"/>
        <v>22.99</v>
      </c>
      <c r="F1310" s="1405">
        <v>22.99</v>
      </c>
      <c r="G1310" s="1405">
        <v>22.99</v>
      </c>
      <c r="H1310" t="b">
        <f t="shared" si="41"/>
        <v>1</v>
      </c>
    </row>
    <row r="1311" spans="1:8">
      <c r="A1311" s="739">
        <v>1603</v>
      </c>
      <c r="B1311" s="740" t="s">
        <v>9700</v>
      </c>
      <c r="C1311" s="739" t="s">
        <v>1690</v>
      </c>
      <c r="D1311" s="741">
        <f t="shared" si="40"/>
        <v>89.16</v>
      </c>
      <c r="F1311" s="1406">
        <v>89.16</v>
      </c>
      <c r="G1311" s="1406">
        <v>89.16</v>
      </c>
      <c r="H1311" t="b">
        <f t="shared" si="41"/>
        <v>1</v>
      </c>
    </row>
    <row r="1312" spans="1:8">
      <c r="A1312" s="677">
        <v>1599</v>
      </c>
      <c r="B1312" s="733" t="s">
        <v>9701</v>
      </c>
      <c r="C1312" s="677" t="s">
        <v>1690</v>
      </c>
      <c r="D1312" s="738">
        <f t="shared" si="40"/>
        <v>18.07</v>
      </c>
      <c r="F1312" s="1405">
        <v>18.07</v>
      </c>
      <c r="G1312" s="1405">
        <v>18.07</v>
      </c>
      <c r="H1312" t="b">
        <f t="shared" si="41"/>
        <v>1</v>
      </c>
    </row>
    <row r="1313" spans="1:8">
      <c r="A1313" s="739">
        <v>1597</v>
      </c>
      <c r="B1313" s="740" t="s">
        <v>9702</v>
      </c>
      <c r="C1313" s="739" t="s">
        <v>1690</v>
      </c>
      <c r="D1313" s="741">
        <f t="shared" si="40"/>
        <v>14.64</v>
      </c>
      <c r="F1313" s="1406">
        <v>14.64</v>
      </c>
      <c r="G1313" s="1406">
        <v>14.64</v>
      </c>
      <c r="H1313" t="b">
        <f t="shared" si="41"/>
        <v>1</v>
      </c>
    </row>
    <row r="1314" spans="1:8">
      <c r="A1314" s="677">
        <v>39602</v>
      </c>
      <c r="B1314" s="733" t="s">
        <v>9703</v>
      </c>
      <c r="C1314" s="677" t="s">
        <v>1690</v>
      </c>
      <c r="D1314" s="738">
        <f t="shared" si="40"/>
        <v>1.54</v>
      </c>
      <c r="F1314" s="1405">
        <v>1.54</v>
      </c>
      <c r="G1314" s="1405">
        <v>1.54</v>
      </c>
      <c r="H1314" t="b">
        <f t="shared" si="41"/>
        <v>1</v>
      </c>
    </row>
    <row r="1315" spans="1:8">
      <c r="A1315" s="739">
        <v>39603</v>
      </c>
      <c r="B1315" s="740" t="s">
        <v>9704</v>
      </c>
      <c r="C1315" s="739" t="s">
        <v>1690</v>
      </c>
      <c r="D1315" s="741">
        <f t="shared" si="40"/>
        <v>3.29</v>
      </c>
      <c r="F1315" s="1406">
        <v>3.29</v>
      </c>
      <c r="G1315" s="1406">
        <v>3.29</v>
      </c>
      <c r="H1315" t="b">
        <f t="shared" si="41"/>
        <v>1</v>
      </c>
    </row>
    <row r="1316" spans="1:8">
      <c r="A1316" s="677">
        <v>11821</v>
      </c>
      <c r="B1316" s="733" t="s">
        <v>9705</v>
      </c>
      <c r="C1316" s="677" t="s">
        <v>1690</v>
      </c>
      <c r="D1316" s="738">
        <f t="shared" si="40"/>
        <v>12.03</v>
      </c>
      <c r="F1316" s="1405">
        <v>12.03</v>
      </c>
      <c r="G1316" s="1405">
        <v>12.03</v>
      </c>
      <c r="H1316" t="b">
        <f t="shared" si="41"/>
        <v>1</v>
      </c>
    </row>
    <row r="1317" spans="1:8">
      <c r="A1317" s="739">
        <v>1562</v>
      </c>
      <c r="B1317" s="740" t="s">
        <v>9706</v>
      </c>
      <c r="C1317" s="739" t="s">
        <v>1690</v>
      </c>
      <c r="D1317" s="741">
        <f t="shared" si="40"/>
        <v>19.7</v>
      </c>
      <c r="F1317" s="1406">
        <v>19.7</v>
      </c>
      <c r="G1317" s="1406">
        <v>19.7</v>
      </c>
      <c r="H1317" t="b">
        <f t="shared" si="41"/>
        <v>1</v>
      </c>
    </row>
    <row r="1318" spans="1:8">
      <c r="A1318" s="677">
        <v>1563</v>
      </c>
      <c r="B1318" s="733" t="s">
        <v>9707</v>
      </c>
      <c r="C1318" s="677" t="s">
        <v>1690</v>
      </c>
      <c r="D1318" s="738">
        <f t="shared" si="40"/>
        <v>26.43</v>
      </c>
      <c r="F1318" s="1405">
        <v>26.43</v>
      </c>
      <c r="G1318" s="1405">
        <v>26.43</v>
      </c>
      <c r="H1318" t="b">
        <f t="shared" si="41"/>
        <v>1</v>
      </c>
    </row>
    <row r="1319" spans="1:8">
      <c r="A1319" s="739">
        <v>11856</v>
      </c>
      <c r="B1319" s="740" t="s">
        <v>9708</v>
      </c>
      <c r="C1319" s="739" t="s">
        <v>1690</v>
      </c>
      <c r="D1319" s="741">
        <f t="shared" si="40"/>
        <v>7.88</v>
      </c>
      <c r="F1319" s="1406">
        <v>7.88</v>
      </c>
      <c r="G1319" s="1406">
        <v>7.88</v>
      </c>
      <c r="H1319" t="b">
        <f t="shared" si="41"/>
        <v>1</v>
      </c>
    </row>
    <row r="1320" spans="1:8">
      <c r="A1320" s="677">
        <v>11857</v>
      </c>
      <c r="B1320" s="733" t="s">
        <v>9709</v>
      </c>
      <c r="C1320" s="677" t="s">
        <v>1690</v>
      </c>
      <c r="D1320" s="738">
        <f t="shared" si="40"/>
        <v>41.47</v>
      </c>
      <c r="F1320" s="1405">
        <v>41.47</v>
      </c>
      <c r="G1320" s="1405">
        <v>41.47</v>
      </c>
      <c r="H1320" t="b">
        <f t="shared" si="41"/>
        <v>1</v>
      </c>
    </row>
    <row r="1321" spans="1:8">
      <c r="A1321" s="739">
        <v>11858</v>
      </c>
      <c r="B1321" s="740" t="s">
        <v>9710</v>
      </c>
      <c r="C1321" s="739" t="s">
        <v>1690</v>
      </c>
      <c r="D1321" s="741">
        <f t="shared" si="40"/>
        <v>51.47</v>
      </c>
      <c r="F1321" s="1406">
        <v>51.47</v>
      </c>
      <c r="G1321" s="1406">
        <v>51.47</v>
      </c>
      <c r="H1321" t="b">
        <f t="shared" si="41"/>
        <v>1</v>
      </c>
    </row>
    <row r="1322" spans="1:8">
      <c r="A1322" s="677">
        <v>1539</v>
      </c>
      <c r="B1322" s="733" t="s">
        <v>9711</v>
      </c>
      <c r="C1322" s="677" t="s">
        <v>1690</v>
      </c>
      <c r="D1322" s="738">
        <f t="shared" si="40"/>
        <v>9.26</v>
      </c>
      <c r="F1322" s="1405">
        <v>9.26</v>
      </c>
      <c r="G1322" s="1405">
        <v>9.26</v>
      </c>
      <c r="H1322" t="b">
        <f t="shared" si="41"/>
        <v>1</v>
      </c>
    </row>
    <row r="1323" spans="1:8">
      <c r="A1323" s="739">
        <v>11859</v>
      </c>
      <c r="B1323" s="740" t="s">
        <v>9712</v>
      </c>
      <c r="C1323" s="739" t="s">
        <v>1690</v>
      </c>
      <c r="D1323" s="741">
        <f t="shared" si="40"/>
        <v>70.03</v>
      </c>
      <c r="F1323" s="1406">
        <v>70.03</v>
      </c>
      <c r="G1323" s="1406">
        <v>70.03</v>
      </c>
      <c r="H1323" t="b">
        <f t="shared" si="41"/>
        <v>1</v>
      </c>
    </row>
    <row r="1324" spans="1:8">
      <c r="A1324" s="677">
        <v>1550</v>
      </c>
      <c r="B1324" s="733" t="s">
        <v>9713</v>
      </c>
      <c r="C1324" s="677" t="s">
        <v>1690</v>
      </c>
      <c r="D1324" s="738">
        <f t="shared" si="40"/>
        <v>9.77</v>
      </c>
      <c r="F1324" s="1405">
        <v>9.77</v>
      </c>
      <c r="G1324" s="1405">
        <v>9.77</v>
      </c>
      <c r="H1324" t="b">
        <f t="shared" si="41"/>
        <v>1</v>
      </c>
    </row>
    <row r="1325" spans="1:8">
      <c r="A1325" s="739">
        <v>11854</v>
      </c>
      <c r="B1325" s="740" t="s">
        <v>9714</v>
      </c>
      <c r="C1325" s="739" t="s">
        <v>1690</v>
      </c>
      <c r="D1325" s="741">
        <f t="shared" si="40"/>
        <v>12.21</v>
      </c>
      <c r="F1325" s="1406">
        <v>12.21</v>
      </c>
      <c r="G1325" s="1406">
        <v>12.21</v>
      </c>
      <c r="H1325" t="b">
        <f t="shared" si="41"/>
        <v>1</v>
      </c>
    </row>
    <row r="1326" spans="1:8">
      <c r="A1326" s="677">
        <v>11862</v>
      </c>
      <c r="B1326" s="733" t="s">
        <v>9715</v>
      </c>
      <c r="C1326" s="677" t="s">
        <v>1690</v>
      </c>
      <c r="D1326" s="738">
        <f t="shared" si="40"/>
        <v>17.12</v>
      </c>
      <c r="F1326" s="1405">
        <v>17.12</v>
      </c>
      <c r="G1326" s="1405">
        <v>17.12</v>
      </c>
      <c r="H1326" t="b">
        <f t="shared" si="41"/>
        <v>1</v>
      </c>
    </row>
    <row r="1327" spans="1:8">
      <c r="A1327" s="739">
        <v>11863</v>
      </c>
      <c r="B1327" s="740" t="s">
        <v>9716</v>
      </c>
      <c r="C1327" s="739" t="s">
        <v>1690</v>
      </c>
      <c r="D1327" s="741">
        <f t="shared" si="40"/>
        <v>6.91</v>
      </c>
      <c r="F1327" s="1406">
        <v>6.91</v>
      </c>
      <c r="G1327" s="1406">
        <v>6.91</v>
      </c>
      <c r="H1327" t="b">
        <f t="shared" si="41"/>
        <v>1</v>
      </c>
    </row>
    <row r="1328" spans="1:8">
      <c r="A1328" s="677">
        <v>11855</v>
      </c>
      <c r="B1328" s="733" t="s">
        <v>9717</v>
      </c>
      <c r="C1328" s="677" t="s">
        <v>1690</v>
      </c>
      <c r="D1328" s="738">
        <f t="shared" si="40"/>
        <v>25.56</v>
      </c>
      <c r="F1328" s="1405">
        <v>25.56</v>
      </c>
      <c r="G1328" s="1405">
        <v>25.56</v>
      </c>
      <c r="H1328" t="b">
        <f t="shared" si="41"/>
        <v>1</v>
      </c>
    </row>
    <row r="1329" spans="1:8">
      <c r="A1329" s="739">
        <v>11864</v>
      </c>
      <c r="B1329" s="740" t="s">
        <v>9718</v>
      </c>
      <c r="C1329" s="739" t="s">
        <v>1690</v>
      </c>
      <c r="D1329" s="741">
        <f t="shared" si="40"/>
        <v>38.64</v>
      </c>
      <c r="F1329" s="1406">
        <v>38.64</v>
      </c>
      <c r="G1329" s="1406">
        <v>38.64</v>
      </c>
      <c r="H1329" t="b">
        <f t="shared" si="41"/>
        <v>1</v>
      </c>
    </row>
    <row r="1330" spans="1:8" ht="30">
      <c r="A1330" s="677">
        <v>2527</v>
      </c>
      <c r="B1330" s="733" t="s">
        <v>9719</v>
      </c>
      <c r="C1330" s="677" t="s">
        <v>1690</v>
      </c>
      <c r="D1330" s="738">
        <f t="shared" si="40"/>
        <v>7.65</v>
      </c>
      <c r="F1330" s="1405">
        <v>7.65</v>
      </c>
      <c r="G1330" s="1405">
        <v>7.65</v>
      </c>
      <c r="H1330" t="b">
        <f t="shared" si="41"/>
        <v>1</v>
      </c>
    </row>
    <row r="1331" spans="1:8" ht="30">
      <c r="A1331" s="739">
        <v>2526</v>
      </c>
      <c r="B1331" s="740" t="s">
        <v>9720</v>
      </c>
      <c r="C1331" s="739" t="s">
        <v>1690</v>
      </c>
      <c r="D1331" s="741">
        <f t="shared" si="40"/>
        <v>4.9000000000000004</v>
      </c>
      <c r="F1331" s="1406">
        <v>4.9000000000000004</v>
      </c>
      <c r="G1331" s="1406">
        <v>4.9000000000000004</v>
      </c>
      <c r="H1331" t="b">
        <f t="shared" si="41"/>
        <v>1</v>
      </c>
    </row>
    <row r="1332" spans="1:8" ht="30">
      <c r="A1332" s="677">
        <v>2487</v>
      </c>
      <c r="B1332" s="733" t="s">
        <v>9721</v>
      </c>
      <c r="C1332" s="677" t="s">
        <v>1690</v>
      </c>
      <c r="D1332" s="738">
        <f t="shared" si="40"/>
        <v>1.67</v>
      </c>
      <c r="F1332" s="1405">
        <v>1.67</v>
      </c>
      <c r="G1332" s="1405">
        <v>1.67</v>
      </c>
      <c r="H1332" t="b">
        <f t="shared" si="41"/>
        <v>1</v>
      </c>
    </row>
    <row r="1333" spans="1:8" ht="30">
      <c r="A1333" s="739">
        <v>2483</v>
      </c>
      <c r="B1333" s="740" t="s">
        <v>9722</v>
      </c>
      <c r="C1333" s="739" t="s">
        <v>1690</v>
      </c>
      <c r="D1333" s="741">
        <f t="shared" si="40"/>
        <v>3.49</v>
      </c>
      <c r="F1333" s="1406">
        <v>3.49</v>
      </c>
      <c r="G1333" s="1406">
        <v>3.49</v>
      </c>
      <c r="H1333" t="b">
        <f t="shared" si="41"/>
        <v>1</v>
      </c>
    </row>
    <row r="1334" spans="1:8" ht="30">
      <c r="A1334" s="677">
        <v>2528</v>
      </c>
      <c r="B1334" s="733" t="s">
        <v>9723</v>
      </c>
      <c r="C1334" s="677" t="s">
        <v>1690</v>
      </c>
      <c r="D1334" s="738">
        <f t="shared" si="40"/>
        <v>19.260000000000002</v>
      </c>
      <c r="F1334" s="1405">
        <v>19.260000000000002</v>
      </c>
      <c r="G1334" s="1405">
        <v>19.260000000000002</v>
      </c>
      <c r="H1334" t="b">
        <f t="shared" si="41"/>
        <v>1</v>
      </c>
    </row>
    <row r="1335" spans="1:8" ht="30">
      <c r="A1335" s="739">
        <v>2489</v>
      </c>
      <c r="B1335" s="740" t="s">
        <v>9724</v>
      </c>
      <c r="C1335" s="739" t="s">
        <v>1690</v>
      </c>
      <c r="D1335" s="741">
        <f t="shared" si="40"/>
        <v>8.48</v>
      </c>
      <c r="F1335" s="1406">
        <v>8.48</v>
      </c>
      <c r="G1335" s="1406">
        <v>8.48</v>
      </c>
      <c r="H1335" t="b">
        <f t="shared" si="41"/>
        <v>1</v>
      </c>
    </row>
    <row r="1336" spans="1:8" ht="30">
      <c r="A1336" s="677">
        <v>2488</v>
      </c>
      <c r="B1336" s="733" t="s">
        <v>9725</v>
      </c>
      <c r="C1336" s="677" t="s">
        <v>1690</v>
      </c>
      <c r="D1336" s="738">
        <f t="shared" si="40"/>
        <v>1.96</v>
      </c>
      <c r="F1336" s="1405">
        <v>1.96</v>
      </c>
      <c r="G1336" s="1405">
        <v>1.96</v>
      </c>
      <c r="H1336" t="b">
        <f t="shared" si="41"/>
        <v>1</v>
      </c>
    </row>
    <row r="1337" spans="1:8" ht="30">
      <c r="A1337" s="739">
        <v>2484</v>
      </c>
      <c r="B1337" s="740" t="s">
        <v>9726</v>
      </c>
      <c r="C1337" s="739" t="s">
        <v>1690</v>
      </c>
      <c r="D1337" s="741">
        <f t="shared" si="40"/>
        <v>27.98</v>
      </c>
      <c r="F1337" s="1406">
        <v>27.98</v>
      </c>
      <c r="G1337" s="1406">
        <v>27.98</v>
      </c>
      <c r="H1337" t="b">
        <f t="shared" si="41"/>
        <v>1</v>
      </c>
    </row>
    <row r="1338" spans="1:8" ht="30">
      <c r="A1338" s="677">
        <v>2485</v>
      </c>
      <c r="B1338" s="733" t="s">
        <v>9727</v>
      </c>
      <c r="C1338" s="677" t="s">
        <v>1690</v>
      </c>
      <c r="D1338" s="738">
        <f t="shared" si="40"/>
        <v>43.85</v>
      </c>
      <c r="F1338" s="1405">
        <v>43.85</v>
      </c>
      <c r="G1338" s="1405">
        <v>43.85</v>
      </c>
      <c r="H1338" t="b">
        <f t="shared" si="41"/>
        <v>1</v>
      </c>
    </row>
    <row r="1339" spans="1:8" ht="30">
      <c r="A1339" s="739">
        <v>39279</v>
      </c>
      <c r="B1339" s="740" t="s">
        <v>9728</v>
      </c>
      <c r="C1339" s="739" t="s">
        <v>1690</v>
      </c>
      <c r="D1339" s="741">
        <f t="shared" si="40"/>
        <v>8.35</v>
      </c>
      <c r="F1339" s="1406">
        <v>8.35</v>
      </c>
      <c r="G1339" s="1406">
        <v>8.35</v>
      </c>
      <c r="H1339" t="b">
        <f t="shared" si="41"/>
        <v>1</v>
      </c>
    </row>
    <row r="1340" spans="1:8" ht="30">
      <c r="A1340" s="677">
        <v>39280</v>
      </c>
      <c r="B1340" s="733" t="s">
        <v>9729</v>
      </c>
      <c r="C1340" s="677" t="s">
        <v>1690</v>
      </c>
      <c r="D1340" s="738">
        <f t="shared" si="40"/>
        <v>9.36</v>
      </c>
      <c r="F1340" s="1405">
        <v>9.36</v>
      </c>
      <c r="G1340" s="1405">
        <v>9.36</v>
      </c>
      <c r="H1340" t="b">
        <f t="shared" si="41"/>
        <v>1</v>
      </c>
    </row>
    <row r="1341" spans="1:8" ht="30">
      <c r="A1341" s="739">
        <v>39281</v>
      </c>
      <c r="B1341" s="740" t="s">
        <v>9730</v>
      </c>
      <c r="C1341" s="739" t="s">
        <v>1690</v>
      </c>
      <c r="D1341" s="741">
        <f t="shared" si="40"/>
        <v>12.37</v>
      </c>
      <c r="F1341" s="1406">
        <v>12.37</v>
      </c>
      <c r="G1341" s="1406">
        <v>12.37</v>
      </c>
      <c r="H1341" t="b">
        <f t="shared" si="41"/>
        <v>1</v>
      </c>
    </row>
    <row r="1342" spans="1:8" ht="30">
      <c r="A1342" s="677">
        <v>39282</v>
      </c>
      <c r="B1342" s="733" t="s">
        <v>9731</v>
      </c>
      <c r="C1342" s="677" t="s">
        <v>1690</v>
      </c>
      <c r="D1342" s="738">
        <f t="shared" si="40"/>
        <v>17.260000000000002</v>
      </c>
      <c r="F1342" s="1405">
        <v>17.260000000000002</v>
      </c>
      <c r="G1342" s="1405">
        <v>17.260000000000002</v>
      </c>
      <c r="H1342" t="b">
        <f t="shared" si="41"/>
        <v>1</v>
      </c>
    </row>
    <row r="1343" spans="1:8" ht="30">
      <c r="A1343" s="739">
        <v>38844</v>
      </c>
      <c r="B1343" s="740" t="s">
        <v>9732</v>
      </c>
      <c r="C1343" s="739" t="s">
        <v>1690</v>
      </c>
      <c r="D1343" s="741">
        <f t="shared" si="40"/>
        <v>8.4700000000000006</v>
      </c>
      <c r="F1343" s="1406">
        <v>8.4700000000000006</v>
      </c>
      <c r="G1343" s="1406">
        <v>8.4700000000000006</v>
      </c>
      <c r="H1343" t="b">
        <f t="shared" si="41"/>
        <v>1</v>
      </c>
    </row>
    <row r="1344" spans="1:8" ht="30">
      <c r="A1344" s="677">
        <v>38846</v>
      </c>
      <c r="B1344" s="733" t="s">
        <v>9733</v>
      </c>
      <c r="C1344" s="677" t="s">
        <v>1690</v>
      </c>
      <c r="D1344" s="738">
        <f t="shared" si="40"/>
        <v>8.6199999999999992</v>
      </c>
      <c r="F1344" s="1405">
        <v>8.6199999999999992</v>
      </c>
      <c r="G1344" s="1405">
        <v>8.6199999999999992</v>
      </c>
      <c r="H1344" t="b">
        <f t="shared" si="41"/>
        <v>1</v>
      </c>
    </row>
    <row r="1345" spans="1:8" ht="30">
      <c r="A1345" s="739">
        <v>38847</v>
      </c>
      <c r="B1345" s="740" t="s">
        <v>9734</v>
      </c>
      <c r="C1345" s="739" t="s">
        <v>1690</v>
      </c>
      <c r="D1345" s="741">
        <f t="shared" si="40"/>
        <v>10.09</v>
      </c>
      <c r="F1345" s="1406">
        <v>10.09</v>
      </c>
      <c r="G1345" s="1406">
        <v>10.09</v>
      </c>
      <c r="H1345" t="b">
        <f t="shared" si="41"/>
        <v>1</v>
      </c>
    </row>
    <row r="1346" spans="1:8" ht="30">
      <c r="A1346" s="677">
        <v>38850</v>
      </c>
      <c r="B1346" s="733" t="s">
        <v>9735</v>
      </c>
      <c r="C1346" s="677" t="s">
        <v>1690</v>
      </c>
      <c r="D1346" s="738">
        <f t="shared" si="40"/>
        <v>18.23</v>
      </c>
      <c r="F1346" s="1405">
        <v>18.23</v>
      </c>
      <c r="G1346" s="1405">
        <v>18.23</v>
      </c>
      <c r="H1346" t="b">
        <f t="shared" si="41"/>
        <v>1</v>
      </c>
    </row>
    <row r="1347" spans="1:8" ht="30">
      <c r="A1347" s="739">
        <v>38848</v>
      </c>
      <c r="B1347" s="740" t="s">
        <v>9736</v>
      </c>
      <c r="C1347" s="739" t="s">
        <v>1690</v>
      </c>
      <c r="D1347" s="741">
        <f t="shared" ref="D1347:D1410" si="42">IF($J$2=$F$1,F1347,G1347)</f>
        <v>11.95</v>
      </c>
      <c r="F1347" s="1406">
        <v>11.95</v>
      </c>
      <c r="G1347" s="1406">
        <v>11.95</v>
      </c>
      <c r="H1347" t="b">
        <f t="shared" ref="H1347:H1410" si="43">F1347=G1347</f>
        <v>1</v>
      </c>
    </row>
    <row r="1348" spans="1:8" ht="30">
      <c r="A1348" s="677">
        <v>38851</v>
      </c>
      <c r="B1348" s="733" t="s">
        <v>9737</v>
      </c>
      <c r="C1348" s="677" t="s">
        <v>1690</v>
      </c>
      <c r="D1348" s="738">
        <f t="shared" si="42"/>
        <v>20.61</v>
      </c>
      <c r="F1348" s="1405">
        <v>20.61</v>
      </c>
      <c r="G1348" s="1405">
        <v>20.61</v>
      </c>
      <c r="H1348" t="b">
        <f t="shared" si="43"/>
        <v>1</v>
      </c>
    </row>
    <row r="1349" spans="1:8" ht="30">
      <c r="A1349" s="739">
        <v>38854</v>
      </c>
      <c r="B1349" s="740" t="s">
        <v>9738</v>
      </c>
      <c r="C1349" s="739" t="s">
        <v>1690</v>
      </c>
      <c r="D1349" s="741">
        <f t="shared" si="42"/>
        <v>8.9499999999999993</v>
      </c>
      <c r="F1349" s="1406">
        <v>8.9499999999999993</v>
      </c>
      <c r="G1349" s="1406">
        <v>8.9499999999999993</v>
      </c>
      <c r="H1349" t="b">
        <f t="shared" si="43"/>
        <v>1</v>
      </c>
    </row>
    <row r="1350" spans="1:8">
      <c r="A1350" s="677">
        <v>44247</v>
      </c>
      <c r="B1350" s="733" t="s">
        <v>9739</v>
      </c>
      <c r="C1350" s="677" t="s">
        <v>1690</v>
      </c>
      <c r="D1350" s="738">
        <f t="shared" si="42"/>
        <v>1499.8</v>
      </c>
      <c r="F1350" s="1405">
        <v>1499.8</v>
      </c>
      <c r="G1350" s="1405">
        <v>1499.8</v>
      </c>
      <c r="H1350" t="b">
        <f t="shared" si="43"/>
        <v>1</v>
      </c>
    </row>
    <row r="1351" spans="1:8">
      <c r="A1351" s="739">
        <v>38005</v>
      </c>
      <c r="B1351" s="740" t="s">
        <v>9740</v>
      </c>
      <c r="C1351" s="739" t="s">
        <v>1690</v>
      </c>
      <c r="D1351" s="741">
        <f t="shared" si="42"/>
        <v>17.829999999999998</v>
      </c>
      <c r="F1351" s="1406">
        <v>17.829999999999998</v>
      </c>
      <c r="G1351" s="1406">
        <v>17.829999999999998</v>
      </c>
      <c r="H1351" t="b">
        <f t="shared" si="43"/>
        <v>1</v>
      </c>
    </row>
    <row r="1352" spans="1:8">
      <c r="A1352" s="677">
        <v>38006</v>
      </c>
      <c r="B1352" s="733" t="s">
        <v>9741</v>
      </c>
      <c r="C1352" s="677" t="s">
        <v>1690</v>
      </c>
      <c r="D1352" s="738">
        <f t="shared" si="42"/>
        <v>23.7</v>
      </c>
      <c r="F1352" s="1405">
        <v>23.7</v>
      </c>
      <c r="G1352" s="1405">
        <v>23.7</v>
      </c>
      <c r="H1352" t="b">
        <f t="shared" si="43"/>
        <v>1</v>
      </c>
    </row>
    <row r="1353" spans="1:8">
      <c r="A1353" s="739">
        <v>38428</v>
      </c>
      <c r="B1353" s="740" t="s">
        <v>9742</v>
      </c>
      <c r="C1353" s="739" t="s">
        <v>1690</v>
      </c>
      <c r="D1353" s="741">
        <f t="shared" si="42"/>
        <v>21.22</v>
      </c>
      <c r="F1353" s="1406">
        <v>21.22</v>
      </c>
      <c r="G1353" s="1406">
        <v>21.22</v>
      </c>
      <c r="H1353" t="b">
        <f t="shared" si="43"/>
        <v>1</v>
      </c>
    </row>
    <row r="1354" spans="1:8">
      <c r="A1354" s="677">
        <v>38007</v>
      </c>
      <c r="B1354" s="733" t="s">
        <v>9743</v>
      </c>
      <c r="C1354" s="677" t="s">
        <v>1690</v>
      </c>
      <c r="D1354" s="738">
        <f t="shared" si="42"/>
        <v>27.34</v>
      </c>
      <c r="F1354" s="1405">
        <v>27.34</v>
      </c>
      <c r="G1354" s="1405">
        <v>27.34</v>
      </c>
      <c r="H1354" t="b">
        <f t="shared" si="43"/>
        <v>1</v>
      </c>
    </row>
    <row r="1355" spans="1:8">
      <c r="A1355" s="739">
        <v>38008</v>
      </c>
      <c r="B1355" s="740" t="s">
        <v>9744</v>
      </c>
      <c r="C1355" s="739" t="s">
        <v>1690</v>
      </c>
      <c r="D1355" s="741">
        <f t="shared" si="42"/>
        <v>43.75</v>
      </c>
      <c r="F1355" s="1406">
        <v>43.75</v>
      </c>
      <c r="G1355" s="1406">
        <v>43.75</v>
      </c>
      <c r="H1355" t="b">
        <f t="shared" si="43"/>
        <v>1</v>
      </c>
    </row>
    <row r="1356" spans="1:8">
      <c r="A1356" s="677">
        <v>38009</v>
      </c>
      <c r="B1356" s="733" t="s">
        <v>9745</v>
      </c>
      <c r="C1356" s="677" t="s">
        <v>1690</v>
      </c>
      <c r="D1356" s="738">
        <f t="shared" si="42"/>
        <v>53.56</v>
      </c>
      <c r="F1356" s="1405">
        <v>53.56</v>
      </c>
      <c r="G1356" s="1405">
        <v>53.56</v>
      </c>
      <c r="H1356" t="b">
        <f t="shared" si="43"/>
        <v>1</v>
      </c>
    </row>
    <row r="1357" spans="1:8">
      <c r="A1357" s="739">
        <v>44248</v>
      </c>
      <c r="B1357" s="740" t="s">
        <v>9746</v>
      </c>
      <c r="C1357" s="739" t="s">
        <v>1690</v>
      </c>
      <c r="D1357" s="741">
        <f t="shared" si="42"/>
        <v>87.3</v>
      </c>
      <c r="F1357" s="1406">
        <v>87.3</v>
      </c>
      <c r="G1357" s="1406">
        <v>87.3</v>
      </c>
      <c r="H1357" t="b">
        <f t="shared" si="43"/>
        <v>1</v>
      </c>
    </row>
    <row r="1358" spans="1:8">
      <c r="A1358" s="677">
        <v>44249</v>
      </c>
      <c r="B1358" s="733" t="s">
        <v>9747</v>
      </c>
      <c r="C1358" s="677" t="s">
        <v>1690</v>
      </c>
      <c r="D1358" s="738">
        <f t="shared" si="42"/>
        <v>336.84</v>
      </c>
      <c r="F1358" s="1405">
        <v>336.84</v>
      </c>
      <c r="G1358" s="1405">
        <v>336.84</v>
      </c>
      <c r="H1358" t="b">
        <f t="shared" si="43"/>
        <v>1</v>
      </c>
    </row>
    <row r="1359" spans="1:8">
      <c r="A1359" s="739">
        <v>44250</v>
      </c>
      <c r="B1359" s="740" t="s">
        <v>9748</v>
      </c>
      <c r="C1359" s="739" t="s">
        <v>1690</v>
      </c>
      <c r="D1359" s="741">
        <f t="shared" si="42"/>
        <v>489.16</v>
      </c>
      <c r="F1359" s="1406">
        <v>489.16</v>
      </c>
      <c r="G1359" s="1406">
        <v>489.16</v>
      </c>
      <c r="H1359" t="b">
        <f t="shared" si="43"/>
        <v>1</v>
      </c>
    </row>
    <row r="1360" spans="1:8" ht="45">
      <c r="A1360" s="677">
        <v>3104</v>
      </c>
      <c r="B1360" s="733" t="s">
        <v>9749</v>
      </c>
      <c r="C1360" s="677" t="s">
        <v>1701</v>
      </c>
      <c r="D1360" s="738">
        <f t="shared" si="42"/>
        <v>169.38</v>
      </c>
      <c r="F1360" s="1405">
        <v>169.38</v>
      </c>
      <c r="G1360" s="1405">
        <v>169.38</v>
      </c>
      <c r="H1360" t="b">
        <f t="shared" si="43"/>
        <v>1</v>
      </c>
    </row>
    <row r="1361" spans="1:8">
      <c r="A1361" s="739">
        <v>1607</v>
      </c>
      <c r="B1361" s="740" t="s">
        <v>9750</v>
      </c>
      <c r="C1361" s="739" t="s">
        <v>1701</v>
      </c>
      <c r="D1361" s="741">
        <f t="shared" si="42"/>
        <v>0.25</v>
      </c>
      <c r="F1361" s="1406">
        <v>0.25</v>
      </c>
      <c r="G1361" s="1406">
        <v>0.25</v>
      </c>
      <c r="H1361" t="b">
        <f t="shared" si="43"/>
        <v>1</v>
      </c>
    </row>
    <row r="1362" spans="1:8" ht="30">
      <c r="A1362" s="677">
        <v>38169</v>
      </c>
      <c r="B1362" s="733" t="s">
        <v>9751</v>
      </c>
      <c r="C1362" s="677" t="s">
        <v>1701</v>
      </c>
      <c r="D1362" s="738">
        <f t="shared" si="42"/>
        <v>90.58</v>
      </c>
      <c r="F1362" s="1405">
        <v>90.58</v>
      </c>
      <c r="G1362" s="1405">
        <v>90.58</v>
      </c>
      <c r="H1362" t="b">
        <f t="shared" si="43"/>
        <v>1</v>
      </c>
    </row>
    <row r="1363" spans="1:8">
      <c r="A1363" s="739">
        <v>6142</v>
      </c>
      <c r="B1363" s="740" t="s">
        <v>9752</v>
      </c>
      <c r="C1363" s="739" t="s">
        <v>1690</v>
      </c>
      <c r="D1363" s="741">
        <f t="shared" si="42"/>
        <v>8.5</v>
      </c>
      <c r="F1363" s="1406">
        <v>8.5</v>
      </c>
      <c r="G1363" s="1406">
        <v>8.5</v>
      </c>
      <c r="H1363" t="b">
        <f t="shared" si="43"/>
        <v>1</v>
      </c>
    </row>
    <row r="1364" spans="1:8" ht="30">
      <c r="A1364" s="677">
        <v>11686</v>
      </c>
      <c r="B1364" s="733" t="s">
        <v>9753</v>
      </c>
      <c r="C1364" s="677" t="s">
        <v>1690</v>
      </c>
      <c r="D1364" s="738">
        <f t="shared" si="42"/>
        <v>11.8</v>
      </c>
      <c r="F1364" s="1405">
        <v>11.8</v>
      </c>
      <c r="G1364" s="1405">
        <v>11.8</v>
      </c>
      <c r="H1364" t="b">
        <f t="shared" si="43"/>
        <v>1</v>
      </c>
    </row>
    <row r="1365" spans="1:8">
      <c r="A1365" s="739">
        <v>37598</v>
      </c>
      <c r="B1365" s="740" t="s">
        <v>9754</v>
      </c>
      <c r="C1365" s="739" t="s">
        <v>1690</v>
      </c>
      <c r="D1365" s="741">
        <f t="shared" si="42"/>
        <v>38.11</v>
      </c>
      <c r="F1365" s="1406">
        <v>38.11</v>
      </c>
      <c r="G1365" s="1406">
        <v>38.11</v>
      </c>
      <c r="H1365" t="b">
        <f t="shared" si="43"/>
        <v>1</v>
      </c>
    </row>
    <row r="1366" spans="1:8" ht="30">
      <c r="A1366" s="677">
        <v>25398</v>
      </c>
      <c r="B1366" s="733" t="s">
        <v>9755</v>
      </c>
      <c r="C1366" s="677" t="s">
        <v>1690</v>
      </c>
      <c r="D1366" s="738">
        <f t="shared" si="42"/>
        <v>4539.57</v>
      </c>
      <c r="F1366" s="1405">
        <v>4539.57</v>
      </c>
      <c r="G1366" s="1405">
        <v>4539.57</v>
      </c>
      <c r="H1366" t="b">
        <f t="shared" si="43"/>
        <v>1</v>
      </c>
    </row>
    <row r="1367" spans="1:8" ht="30">
      <c r="A1367" s="739">
        <v>25399</v>
      </c>
      <c r="B1367" s="740" t="s">
        <v>9756</v>
      </c>
      <c r="C1367" s="739" t="s">
        <v>1690</v>
      </c>
      <c r="D1367" s="741">
        <f t="shared" si="42"/>
        <v>2755.92</v>
      </c>
      <c r="F1367" s="1406">
        <v>2755.92</v>
      </c>
      <c r="G1367" s="1406">
        <v>2755.92</v>
      </c>
      <c r="H1367" t="b">
        <f t="shared" si="43"/>
        <v>1</v>
      </c>
    </row>
    <row r="1368" spans="1:8" ht="30">
      <c r="A1368" s="677">
        <v>43440</v>
      </c>
      <c r="B1368" s="733" t="s">
        <v>9757</v>
      </c>
      <c r="C1368" s="677" t="s">
        <v>1690</v>
      </c>
      <c r="D1368" s="738">
        <f t="shared" si="42"/>
        <v>496.53</v>
      </c>
      <c r="F1368" s="1405">
        <v>496.53</v>
      </c>
      <c r="G1368" s="1405">
        <v>496.53</v>
      </c>
      <c r="H1368" t="b">
        <f t="shared" si="43"/>
        <v>1</v>
      </c>
    </row>
    <row r="1369" spans="1:8" ht="30">
      <c r="A1369" s="739">
        <v>10667</v>
      </c>
      <c r="B1369" s="740" t="s">
        <v>9758</v>
      </c>
      <c r="C1369" s="739" t="s">
        <v>1690</v>
      </c>
      <c r="D1369" s="741">
        <f t="shared" si="42"/>
        <v>19404</v>
      </c>
      <c r="F1369" s="1406">
        <v>19404</v>
      </c>
      <c r="G1369" s="1406">
        <v>19404</v>
      </c>
      <c r="H1369" t="b">
        <f t="shared" si="43"/>
        <v>1</v>
      </c>
    </row>
    <row r="1370" spans="1:8">
      <c r="A1370" s="677">
        <v>1613</v>
      </c>
      <c r="B1370" s="733" t="s">
        <v>9759</v>
      </c>
      <c r="C1370" s="677" t="s">
        <v>1690</v>
      </c>
      <c r="D1370" s="738">
        <f t="shared" si="42"/>
        <v>1402.23</v>
      </c>
      <c r="F1370" s="1405">
        <v>1402.23</v>
      </c>
      <c r="G1370" s="1405">
        <v>1402.23</v>
      </c>
      <c r="H1370" t="b">
        <f t="shared" si="43"/>
        <v>1</v>
      </c>
    </row>
    <row r="1371" spans="1:8">
      <c r="A1371" s="739">
        <v>1626</v>
      </c>
      <c r="B1371" s="740" t="s">
        <v>9760</v>
      </c>
      <c r="C1371" s="739" t="s">
        <v>1690</v>
      </c>
      <c r="D1371" s="741">
        <f t="shared" si="42"/>
        <v>2097.1999999999998</v>
      </c>
      <c r="F1371" s="1406">
        <v>2097.1999999999998</v>
      </c>
      <c r="G1371" s="1406">
        <v>2097.1999999999998</v>
      </c>
      <c r="H1371" t="b">
        <f t="shared" si="43"/>
        <v>1</v>
      </c>
    </row>
    <row r="1372" spans="1:8">
      <c r="A1372" s="677">
        <v>1625</v>
      </c>
      <c r="B1372" s="733" t="s">
        <v>9761</v>
      </c>
      <c r="C1372" s="677" t="s">
        <v>1690</v>
      </c>
      <c r="D1372" s="738">
        <f t="shared" si="42"/>
        <v>146.47999999999999</v>
      </c>
      <c r="F1372" s="1405">
        <v>146.47999999999999</v>
      </c>
      <c r="G1372" s="1405">
        <v>146.47999999999999</v>
      </c>
      <c r="H1372" t="b">
        <f t="shared" si="43"/>
        <v>1</v>
      </c>
    </row>
    <row r="1373" spans="1:8">
      <c r="A1373" s="739">
        <v>1622</v>
      </c>
      <c r="B1373" s="740" t="s">
        <v>9762</v>
      </c>
      <c r="C1373" s="739" t="s">
        <v>1690</v>
      </c>
      <c r="D1373" s="741">
        <f t="shared" si="42"/>
        <v>4732.53</v>
      </c>
      <c r="F1373" s="1406">
        <v>4732.53</v>
      </c>
      <c r="G1373" s="1406">
        <v>4732.53</v>
      </c>
      <c r="H1373" t="b">
        <f t="shared" si="43"/>
        <v>1</v>
      </c>
    </row>
    <row r="1374" spans="1:8">
      <c r="A1374" s="677">
        <v>1620</v>
      </c>
      <c r="B1374" s="733" t="s">
        <v>9763</v>
      </c>
      <c r="C1374" s="677" t="s">
        <v>1690</v>
      </c>
      <c r="D1374" s="738">
        <f t="shared" si="42"/>
        <v>308.57</v>
      </c>
      <c r="F1374" s="1405">
        <v>308.57</v>
      </c>
      <c r="G1374" s="1405">
        <v>308.57</v>
      </c>
      <c r="H1374" t="b">
        <f t="shared" si="43"/>
        <v>1</v>
      </c>
    </row>
    <row r="1375" spans="1:8">
      <c r="A1375" s="739">
        <v>1629</v>
      </c>
      <c r="B1375" s="740" t="s">
        <v>9764</v>
      </c>
      <c r="C1375" s="739" t="s">
        <v>1690</v>
      </c>
      <c r="D1375" s="741">
        <f t="shared" si="42"/>
        <v>11517.85</v>
      </c>
      <c r="F1375" s="1406">
        <v>11517.85</v>
      </c>
      <c r="G1375" s="1406">
        <v>11517.85</v>
      </c>
      <c r="H1375" t="b">
        <f t="shared" si="43"/>
        <v>1</v>
      </c>
    </row>
    <row r="1376" spans="1:8">
      <c r="A1376" s="677">
        <v>1627</v>
      </c>
      <c r="B1376" s="733" t="s">
        <v>9765</v>
      </c>
      <c r="C1376" s="677" t="s">
        <v>1690</v>
      </c>
      <c r="D1376" s="738">
        <f t="shared" si="42"/>
        <v>589.82000000000005</v>
      </c>
      <c r="F1376" s="1405">
        <v>589.82000000000005</v>
      </c>
      <c r="G1376" s="1405">
        <v>589.82000000000005</v>
      </c>
      <c r="H1376" t="b">
        <f t="shared" si="43"/>
        <v>1</v>
      </c>
    </row>
    <row r="1377" spans="1:8">
      <c r="A1377" s="739">
        <v>1623</v>
      </c>
      <c r="B1377" s="740" t="s">
        <v>9766</v>
      </c>
      <c r="C1377" s="739" t="s">
        <v>1690</v>
      </c>
      <c r="D1377" s="741">
        <f t="shared" si="42"/>
        <v>119.46</v>
      </c>
      <c r="F1377" s="1406">
        <v>119.46</v>
      </c>
      <c r="G1377" s="1406">
        <v>119.46</v>
      </c>
      <c r="H1377" t="b">
        <f t="shared" si="43"/>
        <v>1</v>
      </c>
    </row>
    <row r="1378" spans="1:8">
      <c r="A1378" s="677">
        <v>1619</v>
      </c>
      <c r="B1378" s="733" t="s">
        <v>9767</v>
      </c>
      <c r="C1378" s="677" t="s">
        <v>1690</v>
      </c>
      <c r="D1378" s="738">
        <f t="shared" si="42"/>
        <v>164.33</v>
      </c>
      <c r="F1378" s="1405">
        <v>164.33</v>
      </c>
      <c r="G1378" s="1405">
        <v>164.33</v>
      </c>
      <c r="H1378" t="b">
        <f t="shared" si="43"/>
        <v>1</v>
      </c>
    </row>
    <row r="1379" spans="1:8">
      <c r="A1379" s="739">
        <v>1630</v>
      </c>
      <c r="B1379" s="740" t="s">
        <v>9768</v>
      </c>
      <c r="C1379" s="739" t="s">
        <v>1690</v>
      </c>
      <c r="D1379" s="741">
        <f t="shared" si="42"/>
        <v>3618.12</v>
      </c>
      <c r="F1379" s="1406">
        <v>3618.12</v>
      </c>
      <c r="G1379" s="1406">
        <v>3618.12</v>
      </c>
      <c r="H1379" t="b">
        <f t="shared" si="43"/>
        <v>1</v>
      </c>
    </row>
    <row r="1380" spans="1:8">
      <c r="A1380" s="677">
        <v>1616</v>
      </c>
      <c r="B1380" s="733" t="s">
        <v>9769</v>
      </c>
      <c r="C1380" s="677" t="s">
        <v>1690</v>
      </c>
      <c r="D1380" s="738">
        <f t="shared" si="42"/>
        <v>5564.73</v>
      </c>
      <c r="F1380" s="1405">
        <v>5564.73</v>
      </c>
      <c r="G1380" s="1405">
        <v>5564.73</v>
      </c>
      <c r="H1380" t="b">
        <f t="shared" si="43"/>
        <v>1</v>
      </c>
    </row>
    <row r="1381" spans="1:8">
      <c r="A1381" s="739">
        <v>1614</v>
      </c>
      <c r="B1381" s="740" t="s">
        <v>9770</v>
      </c>
      <c r="C1381" s="739" t="s">
        <v>1690</v>
      </c>
      <c r="D1381" s="741">
        <f t="shared" si="42"/>
        <v>254.33</v>
      </c>
      <c r="F1381" s="1406">
        <v>254.33</v>
      </c>
      <c r="G1381" s="1406">
        <v>254.33</v>
      </c>
      <c r="H1381" t="b">
        <f t="shared" si="43"/>
        <v>1</v>
      </c>
    </row>
    <row r="1382" spans="1:8">
      <c r="A1382" s="677">
        <v>1617</v>
      </c>
      <c r="B1382" s="733" t="s">
        <v>9771</v>
      </c>
      <c r="C1382" s="677" t="s">
        <v>1690</v>
      </c>
      <c r="D1382" s="738">
        <f t="shared" si="42"/>
        <v>6643.08</v>
      </c>
      <c r="F1382" s="1405">
        <v>6643.08</v>
      </c>
      <c r="G1382" s="1405">
        <v>6643.08</v>
      </c>
      <c r="H1382" t="b">
        <f t="shared" si="43"/>
        <v>1</v>
      </c>
    </row>
    <row r="1383" spans="1:8">
      <c r="A1383" s="739">
        <v>1621</v>
      </c>
      <c r="B1383" s="740" t="s">
        <v>9772</v>
      </c>
      <c r="C1383" s="739" t="s">
        <v>1690</v>
      </c>
      <c r="D1383" s="741">
        <f t="shared" si="42"/>
        <v>454.86</v>
      </c>
      <c r="F1383" s="1406">
        <v>454.86</v>
      </c>
      <c r="G1383" s="1406">
        <v>454.86</v>
      </c>
      <c r="H1383" t="b">
        <f t="shared" si="43"/>
        <v>1</v>
      </c>
    </row>
    <row r="1384" spans="1:8">
      <c r="A1384" s="677">
        <v>1624</v>
      </c>
      <c r="B1384" s="733" t="s">
        <v>9773</v>
      </c>
      <c r="C1384" s="677" t="s">
        <v>1690</v>
      </c>
      <c r="D1384" s="738">
        <f t="shared" si="42"/>
        <v>16329.02</v>
      </c>
      <c r="F1384" s="1405">
        <v>16329.02</v>
      </c>
      <c r="G1384" s="1405">
        <v>16329.02</v>
      </c>
      <c r="H1384" t="b">
        <f t="shared" si="43"/>
        <v>1</v>
      </c>
    </row>
    <row r="1385" spans="1:8">
      <c r="A1385" s="739">
        <v>1615</v>
      </c>
      <c r="B1385" s="740" t="s">
        <v>9774</v>
      </c>
      <c r="C1385" s="739" t="s">
        <v>1690</v>
      </c>
      <c r="D1385" s="741">
        <f t="shared" si="42"/>
        <v>854.15</v>
      </c>
      <c r="F1385" s="1406">
        <v>854.15</v>
      </c>
      <c r="G1385" s="1406">
        <v>854.15</v>
      </c>
      <c r="H1385" t="b">
        <f t="shared" si="43"/>
        <v>1</v>
      </c>
    </row>
    <row r="1386" spans="1:8">
      <c r="A1386" s="677">
        <v>1612</v>
      </c>
      <c r="B1386" s="733" t="s">
        <v>9775</v>
      </c>
      <c r="C1386" s="677" t="s">
        <v>1690</v>
      </c>
      <c r="D1386" s="738">
        <f t="shared" si="42"/>
        <v>112.5</v>
      </c>
      <c r="F1386" s="1405">
        <v>112.5</v>
      </c>
      <c r="G1386" s="1405">
        <v>112.5</v>
      </c>
      <c r="H1386" t="b">
        <f t="shared" si="43"/>
        <v>1</v>
      </c>
    </row>
    <row r="1387" spans="1:8">
      <c r="A1387" s="739">
        <v>1618</v>
      </c>
      <c r="B1387" s="740" t="s">
        <v>9776</v>
      </c>
      <c r="C1387" s="739" t="s">
        <v>1690</v>
      </c>
      <c r="D1387" s="741">
        <f t="shared" si="42"/>
        <v>1173.73</v>
      </c>
      <c r="F1387" s="1406">
        <v>1173.73</v>
      </c>
      <c r="G1387" s="1406">
        <v>1173.73</v>
      </c>
      <c r="H1387" t="b">
        <f t="shared" si="43"/>
        <v>1</v>
      </c>
    </row>
    <row r="1388" spans="1:8">
      <c r="A1388" s="677">
        <v>14211</v>
      </c>
      <c r="B1388" s="733" t="s">
        <v>9777</v>
      </c>
      <c r="C1388" s="677" t="s">
        <v>1690</v>
      </c>
      <c r="D1388" s="738">
        <f t="shared" si="42"/>
        <v>44.49</v>
      </c>
      <c r="F1388" s="1405">
        <v>44.49</v>
      </c>
      <c r="G1388" s="1405">
        <v>44.49</v>
      </c>
      <c r="H1388" t="b">
        <f t="shared" si="43"/>
        <v>1</v>
      </c>
    </row>
    <row r="1389" spans="1:8" ht="30">
      <c r="A1389" s="739">
        <v>43657</v>
      </c>
      <c r="B1389" s="740" t="s">
        <v>9778</v>
      </c>
      <c r="C1389" s="739" t="s">
        <v>1693</v>
      </c>
      <c r="D1389" s="741">
        <f t="shared" si="42"/>
        <v>6.78</v>
      </c>
      <c r="F1389" s="1406">
        <v>6.78</v>
      </c>
      <c r="G1389" s="1406">
        <v>6.78</v>
      </c>
      <c r="H1389" t="b">
        <f t="shared" si="43"/>
        <v>1</v>
      </c>
    </row>
    <row r="1390" spans="1:8">
      <c r="A1390" s="677">
        <v>38200</v>
      </c>
      <c r="B1390" s="733" t="s">
        <v>9779</v>
      </c>
      <c r="C1390" s="677" t="s">
        <v>1702</v>
      </c>
      <c r="D1390" s="738">
        <f t="shared" si="42"/>
        <v>752.07</v>
      </c>
      <c r="F1390" s="1405">
        <v>752.07</v>
      </c>
      <c r="G1390" s="1405">
        <v>752.07</v>
      </c>
      <c r="H1390" t="b">
        <f t="shared" si="43"/>
        <v>1</v>
      </c>
    </row>
    <row r="1391" spans="1:8">
      <c r="A1391" s="739">
        <v>39269</v>
      </c>
      <c r="B1391" s="740" t="s">
        <v>9780</v>
      </c>
      <c r="C1391" s="739" t="s">
        <v>1693</v>
      </c>
      <c r="D1391" s="741">
        <f t="shared" si="42"/>
        <v>1.25</v>
      </c>
      <c r="F1391" s="1406">
        <v>1.25</v>
      </c>
      <c r="G1391" s="1406">
        <v>1.25</v>
      </c>
      <c r="H1391" t="b">
        <f t="shared" si="43"/>
        <v>1</v>
      </c>
    </row>
    <row r="1392" spans="1:8">
      <c r="A1392" s="677">
        <v>11889</v>
      </c>
      <c r="B1392" s="733" t="s">
        <v>9781</v>
      </c>
      <c r="C1392" s="677" t="s">
        <v>1693</v>
      </c>
      <c r="D1392" s="738">
        <f t="shared" si="42"/>
        <v>1.71</v>
      </c>
      <c r="F1392" s="1405">
        <v>1.71</v>
      </c>
      <c r="G1392" s="1405">
        <v>1.71</v>
      </c>
      <c r="H1392" t="b">
        <f t="shared" si="43"/>
        <v>1</v>
      </c>
    </row>
    <row r="1393" spans="1:8">
      <c r="A1393" s="739">
        <v>39270</v>
      </c>
      <c r="B1393" s="740" t="s">
        <v>9782</v>
      </c>
      <c r="C1393" s="739" t="s">
        <v>1693</v>
      </c>
      <c r="D1393" s="741">
        <f t="shared" si="42"/>
        <v>2.23</v>
      </c>
      <c r="F1393" s="1406">
        <v>2.23</v>
      </c>
      <c r="G1393" s="1406">
        <v>2.23</v>
      </c>
      <c r="H1393" t="b">
        <f t="shared" si="43"/>
        <v>1</v>
      </c>
    </row>
    <row r="1394" spans="1:8">
      <c r="A1394" s="677">
        <v>11890</v>
      </c>
      <c r="B1394" s="733" t="s">
        <v>9783</v>
      </c>
      <c r="C1394" s="677" t="s">
        <v>1693</v>
      </c>
      <c r="D1394" s="738">
        <f t="shared" si="42"/>
        <v>3.03</v>
      </c>
      <c r="F1394" s="1405">
        <v>3.03</v>
      </c>
      <c r="G1394" s="1405">
        <v>3.03</v>
      </c>
      <c r="H1394" t="b">
        <f t="shared" si="43"/>
        <v>1</v>
      </c>
    </row>
    <row r="1395" spans="1:8">
      <c r="A1395" s="739">
        <v>11891</v>
      </c>
      <c r="B1395" s="740" t="s">
        <v>9784</v>
      </c>
      <c r="C1395" s="739" t="s">
        <v>1693</v>
      </c>
      <c r="D1395" s="741">
        <f t="shared" si="42"/>
        <v>4.92</v>
      </c>
      <c r="F1395" s="1406">
        <v>4.92</v>
      </c>
      <c r="G1395" s="1406">
        <v>4.92</v>
      </c>
      <c r="H1395" t="b">
        <f t="shared" si="43"/>
        <v>1</v>
      </c>
    </row>
    <row r="1396" spans="1:8">
      <c r="A1396" s="677">
        <v>11892</v>
      </c>
      <c r="B1396" s="733" t="s">
        <v>9785</v>
      </c>
      <c r="C1396" s="677" t="s">
        <v>1693</v>
      </c>
      <c r="D1396" s="738">
        <f t="shared" si="42"/>
        <v>8.0399999999999991</v>
      </c>
      <c r="F1396" s="1405">
        <v>8.0399999999999991</v>
      </c>
      <c r="G1396" s="1405">
        <v>8.0399999999999991</v>
      </c>
      <c r="H1396" t="b">
        <f t="shared" si="43"/>
        <v>1</v>
      </c>
    </row>
    <row r="1397" spans="1:8">
      <c r="A1397" s="739">
        <v>37601</v>
      </c>
      <c r="B1397" s="740" t="s">
        <v>9786</v>
      </c>
      <c r="C1397" s="739" t="s">
        <v>1693</v>
      </c>
      <c r="D1397" s="741">
        <f t="shared" si="42"/>
        <v>8.4700000000000006</v>
      </c>
      <c r="F1397" s="1406">
        <v>8.4700000000000006</v>
      </c>
      <c r="G1397" s="1406">
        <v>8.4700000000000006</v>
      </c>
      <c r="H1397" t="b">
        <f t="shared" si="43"/>
        <v>1</v>
      </c>
    </row>
    <row r="1398" spans="1:8">
      <c r="A1398" s="677">
        <v>1634</v>
      </c>
      <c r="B1398" s="733" t="s">
        <v>9787</v>
      </c>
      <c r="C1398" s="677" t="s">
        <v>1693</v>
      </c>
      <c r="D1398" s="738">
        <f t="shared" si="42"/>
        <v>8.75</v>
      </c>
      <c r="F1398" s="1405">
        <v>8.75</v>
      </c>
      <c r="G1398" s="1405">
        <v>8.75</v>
      </c>
      <c r="H1398" t="b">
        <f t="shared" si="43"/>
        <v>1</v>
      </c>
    </row>
    <row r="1399" spans="1:8">
      <c r="A1399" s="739">
        <v>5086</v>
      </c>
      <c r="B1399" s="740" t="s">
        <v>9788</v>
      </c>
      <c r="C1399" s="739" t="s">
        <v>1694</v>
      </c>
      <c r="D1399" s="741">
        <f t="shared" si="42"/>
        <v>37.5</v>
      </c>
      <c r="F1399" s="1406">
        <v>37.5</v>
      </c>
      <c r="G1399" s="1406">
        <v>37.5</v>
      </c>
      <c r="H1399" t="b">
        <f t="shared" si="43"/>
        <v>1</v>
      </c>
    </row>
    <row r="1400" spans="1:8" ht="30">
      <c r="A1400" s="677">
        <v>11280</v>
      </c>
      <c r="B1400" s="733" t="s">
        <v>9789</v>
      </c>
      <c r="C1400" s="677" t="s">
        <v>1690</v>
      </c>
      <c r="D1400" s="738">
        <f t="shared" si="42"/>
        <v>14051.8</v>
      </c>
      <c r="F1400" s="1405">
        <v>14051.8</v>
      </c>
      <c r="G1400" s="1405">
        <v>14051.8</v>
      </c>
      <c r="H1400" t="b">
        <f t="shared" si="43"/>
        <v>1</v>
      </c>
    </row>
    <row r="1401" spans="1:8" ht="30">
      <c r="A1401" s="739">
        <v>40519</v>
      </c>
      <c r="B1401" s="740" t="s">
        <v>9790</v>
      </c>
      <c r="C1401" s="739" t="s">
        <v>1690</v>
      </c>
      <c r="D1401" s="741">
        <f t="shared" si="42"/>
        <v>115838.28</v>
      </c>
      <c r="F1401" s="1406">
        <v>115838.28</v>
      </c>
      <c r="G1401" s="1406">
        <v>115838.28</v>
      </c>
      <c r="H1401" t="b">
        <f t="shared" si="43"/>
        <v>1</v>
      </c>
    </row>
    <row r="1402" spans="1:8">
      <c r="A1402" s="677">
        <v>39869</v>
      </c>
      <c r="B1402" s="733" t="s">
        <v>9791</v>
      </c>
      <c r="C1402" s="677" t="s">
        <v>1690</v>
      </c>
      <c r="D1402" s="738">
        <f t="shared" si="42"/>
        <v>12.99</v>
      </c>
      <c r="F1402" s="1405">
        <v>12.99</v>
      </c>
      <c r="G1402" s="1405">
        <v>12.99</v>
      </c>
      <c r="H1402" t="b">
        <f t="shared" si="43"/>
        <v>1</v>
      </c>
    </row>
    <row r="1403" spans="1:8">
      <c r="A1403" s="739">
        <v>39870</v>
      </c>
      <c r="B1403" s="740" t="s">
        <v>9792</v>
      </c>
      <c r="C1403" s="739" t="s">
        <v>1690</v>
      </c>
      <c r="D1403" s="741">
        <f t="shared" si="42"/>
        <v>19.88</v>
      </c>
      <c r="F1403" s="1406">
        <v>19.88</v>
      </c>
      <c r="G1403" s="1406">
        <v>19.88</v>
      </c>
      <c r="H1403" t="b">
        <f t="shared" si="43"/>
        <v>1</v>
      </c>
    </row>
    <row r="1404" spans="1:8">
      <c r="A1404" s="677">
        <v>39871</v>
      </c>
      <c r="B1404" s="733" t="s">
        <v>9793</v>
      </c>
      <c r="C1404" s="677" t="s">
        <v>1690</v>
      </c>
      <c r="D1404" s="738">
        <f t="shared" si="42"/>
        <v>22.28</v>
      </c>
      <c r="F1404" s="1405">
        <v>22.28</v>
      </c>
      <c r="G1404" s="1405">
        <v>22.28</v>
      </c>
      <c r="H1404" t="b">
        <f t="shared" si="43"/>
        <v>1</v>
      </c>
    </row>
    <row r="1405" spans="1:8">
      <c r="A1405" s="739">
        <v>12722</v>
      </c>
      <c r="B1405" s="740" t="s">
        <v>9794</v>
      </c>
      <c r="C1405" s="739" t="s">
        <v>1690</v>
      </c>
      <c r="D1405" s="741">
        <f t="shared" si="42"/>
        <v>745.61</v>
      </c>
      <c r="F1405" s="1406">
        <v>745.61</v>
      </c>
      <c r="G1405" s="1406">
        <v>745.61</v>
      </c>
      <c r="H1405" t="b">
        <f t="shared" si="43"/>
        <v>1</v>
      </c>
    </row>
    <row r="1406" spans="1:8">
      <c r="A1406" s="677">
        <v>12714</v>
      </c>
      <c r="B1406" s="733" t="s">
        <v>9795</v>
      </c>
      <c r="C1406" s="677" t="s">
        <v>1690</v>
      </c>
      <c r="D1406" s="738">
        <f t="shared" si="42"/>
        <v>4.87</v>
      </c>
      <c r="F1406" s="1405">
        <v>4.87</v>
      </c>
      <c r="G1406" s="1405">
        <v>4.87</v>
      </c>
      <c r="H1406" t="b">
        <f t="shared" si="43"/>
        <v>1</v>
      </c>
    </row>
    <row r="1407" spans="1:8">
      <c r="A1407" s="739">
        <v>12715</v>
      </c>
      <c r="B1407" s="740" t="s">
        <v>9796</v>
      </c>
      <c r="C1407" s="739" t="s">
        <v>1690</v>
      </c>
      <c r="D1407" s="741">
        <f t="shared" si="42"/>
        <v>10.99</v>
      </c>
      <c r="F1407" s="1406">
        <v>10.99</v>
      </c>
      <c r="G1407" s="1406">
        <v>10.99</v>
      </c>
      <c r="H1407" t="b">
        <f t="shared" si="43"/>
        <v>1</v>
      </c>
    </row>
    <row r="1408" spans="1:8">
      <c r="A1408" s="677">
        <v>12716</v>
      </c>
      <c r="B1408" s="733" t="s">
        <v>9797</v>
      </c>
      <c r="C1408" s="677" t="s">
        <v>1690</v>
      </c>
      <c r="D1408" s="738">
        <f t="shared" si="42"/>
        <v>18.87</v>
      </c>
      <c r="F1408" s="1405">
        <v>18.87</v>
      </c>
      <c r="G1408" s="1405">
        <v>18.87</v>
      </c>
      <c r="H1408" t="b">
        <f t="shared" si="43"/>
        <v>1</v>
      </c>
    </row>
    <row r="1409" spans="1:8">
      <c r="A1409" s="739">
        <v>12717</v>
      </c>
      <c r="B1409" s="740" t="s">
        <v>9798</v>
      </c>
      <c r="C1409" s="739" t="s">
        <v>1690</v>
      </c>
      <c r="D1409" s="741">
        <f t="shared" si="42"/>
        <v>37.090000000000003</v>
      </c>
      <c r="F1409" s="1406">
        <v>37.090000000000003</v>
      </c>
      <c r="G1409" s="1406">
        <v>37.090000000000003</v>
      </c>
      <c r="H1409" t="b">
        <f t="shared" si="43"/>
        <v>1</v>
      </c>
    </row>
    <row r="1410" spans="1:8">
      <c r="A1410" s="677">
        <v>12718</v>
      </c>
      <c r="B1410" s="733" t="s">
        <v>9799</v>
      </c>
      <c r="C1410" s="677" t="s">
        <v>1690</v>
      </c>
      <c r="D1410" s="738">
        <f t="shared" si="42"/>
        <v>56.93</v>
      </c>
      <c r="F1410" s="1405">
        <v>56.93</v>
      </c>
      <c r="G1410" s="1405">
        <v>56.93</v>
      </c>
      <c r="H1410" t="b">
        <f t="shared" si="43"/>
        <v>1</v>
      </c>
    </row>
    <row r="1411" spans="1:8">
      <c r="A1411" s="739">
        <v>12719</v>
      </c>
      <c r="B1411" s="740" t="s">
        <v>9800</v>
      </c>
      <c r="C1411" s="739" t="s">
        <v>1690</v>
      </c>
      <c r="D1411" s="741">
        <f t="shared" ref="D1411:D1474" si="44">IF($J$2=$F$1,F1411,G1411)</f>
        <v>90.37</v>
      </c>
      <c r="F1411" s="1406">
        <v>90.37</v>
      </c>
      <c r="G1411" s="1406">
        <v>90.37</v>
      </c>
      <c r="H1411" t="b">
        <f t="shared" ref="H1411:H1474" si="45">F1411=G1411</f>
        <v>1</v>
      </c>
    </row>
    <row r="1412" spans="1:8">
      <c r="A1412" s="677">
        <v>12720</v>
      </c>
      <c r="B1412" s="733" t="s">
        <v>9801</v>
      </c>
      <c r="C1412" s="677" t="s">
        <v>1690</v>
      </c>
      <c r="D1412" s="738">
        <f t="shared" si="44"/>
        <v>314.67</v>
      </c>
      <c r="F1412" s="1405">
        <v>314.67</v>
      </c>
      <c r="G1412" s="1405">
        <v>314.67</v>
      </c>
      <c r="H1412" t="b">
        <f t="shared" si="45"/>
        <v>1</v>
      </c>
    </row>
    <row r="1413" spans="1:8">
      <c r="A1413" s="739">
        <v>12721</v>
      </c>
      <c r="B1413" s="740" t="s">
        <v>9802</v>
      </c>
      <c r="C1413" s="739" t="s">
        <v>1690</v>
      </c>
      <c r="D1413" s="741">
        <f t="shared" si="44"/>
        <v>301.74</v>
      </c>
      <c r="F1413" s="1406">
        <v>301.74</v>
      </c>
      <c r="G1413" s="1406">
        <v>301.74</v>
      </c>
      <c r="H1413" t="b">
        <f t="shared" si="45"/>
        <v>1</v>
      </c>
    </row>
    <row r="1414" spans="1:8">
      <c r="A1414" s="677">
        <v>3468</v>
      </c>
      <c r="B1414" s="733" t="s">
        <v>9803</v>
      </c>
      <c r="C1414" s="677" t="s">
        <v>1690</v>
      </c>
      <c r="D1414" s="738">
        <f t="shared" si="44"/>
        <v>34.450000000000003</v>
      </c>
      <c r="F1414" s="1405">
        <v>34.450000000000003</v>
      </c>
      <c r="G1414" s="1405">
        <v>34.450000000000003</v>
      </c>
      <c r="H1414" t="b">
        <f t="shared" si="45"/>
        <v>1</v>
      </c>
    </row>
    <row r="1415" spans="1:8">
      <c r="A1415" s="739">
        <v>3465</v>
      </c>
      <c r="B1415" s="740" t="s">
        <v>9804</v>
      </c>
      <c r="C1415" s="739" t="s">
        <v>1690</v>
      </c>
      <c r="D1415" s="741">
        <f t="shared" si="44"/>
        <v>34.43</v>
      </c>
      <c r="F1415" s="1406">
        <v>34.43</v>
      </c>
      <c r="G1415" s="1406">
        <v>34.43</v>
      </c>
      <c r="H1415" t="b">
        <f t="shared" si="45"/>
        <v>1</v>
      </c>
    </row>
    <row r="1416" spans="1:8">
      <c r="A1416" s="677">
        <v>12403</v>
      </c>
      <c r="B1416" s="733" t="s">
        <v>9805</v>
      </c>
      <c r="C1416" s="677" t="s">
        <v>1690</v>
      </c>
      <c r="D1416" s="738">
        <f t="shared" si="44"/>
        <v>24.54</v>
      </c>
      <c r="F1416" s="1405">
        <v>24.54</v>
      </c>
      <c r="G1416" s="1405">
        <v>24.54</v>
      </c>
      <c r="H1416" t="b">
        <f t="shared" si="45"/>
        <v>1</v>
      </c>
    </row>
    <row r="1417" spans="1:8">
      <c r="A1417" s="739">
        <v>3463</v>
      </c>
      <c r="B1417" s="740" t="s">
        <v>9806</v>
      </c>
      <c r="C1417" s="739" t="s">
        <v>1690</v>
      </c>
      <c r="D1417" s="741">
        <f t="shared" si="44"/>
        <v>14.34</v>
      </c>
      <c r="F1417" s="1406">
        <v>14.34</v>
      </c>
      <c r="G1417" s="1406">
        <v>14.34</v>
      </c>
      <c r="H1417" t="b">
        <f t="shared" si="45"/>
        <v>1</v>
      </c>
    </row>
    <row r="1418" spans="1:8">
      <c r="A1418" s="677">
        <v>3464</v>
      </c>
      <c r="B1418" s="733" t="s">
        <v>9807</v>
      </c>
      <c r="C1418" s="677" t="s">
        <v>1690</v>
      </c>
      <c r="D1418" s="738">
        <f t="shared" si="44"/>
        <v>14.34</v>
      </c>
      <c r="F1418" s="1405">
        <v>14.34</v>
      </c>
      <c r="G1418" s="1405">
        <v>14.34</v>
      </c>
      <c r="H1418" t="b">
        <f t="shared" si="45"/>
        <v>1</v>
      </c>
    </row>
    <row r="1419" spans="1:8">
      <c r="A1419" s="739">
        <v>3466</v>
      </c>
      <c r="B1419" s="740" t="s">
        <v>9808</v>
      </c>
      <c r="C1419" s="739" t="s">
        <v>1690</v>
      </c>
      <c r="D1419" s="741">
        <f t="shared" si="44"/>
        <v>87.46</v>
      </c>
      <c r="F1419" s="1406">
        <v>87.46</v>
      </c>
      <c r="G1419" s="1406">
        <v>87.46</v>
      </c>
      <c r="H1419" t="b">
        <f t="shared" si="45"/>
        <v>1</v>
      </c>
    </row>
    <row r="1420" spans="1:8">
      <c r="A1420" s="677">
        <v>3467</v>
      </c>
      <c r="B1420" s="733" t="s">
        <v>9809</v>
      </c>
      <c r="C1420" s="677" t="s">
        <v>1690</v>
      </c>
      <c r="D1420" s="738">
        <f t="shared" si="44"/>
        <v>49.39</v>
      </c>
      <c r="F1420" s="1405">
        <v>49.39</v>
      </c>
      <c r="G1420" s="1405">
        <v>49.39</v>
      </c>
      <c r="H1420" t="b">
        <f t="shared" si="45"/>
        <v>1</v>
      </c>
    </row>
    <row r="1421" spans="1:8">
      <c r="A1421" s="739">
        <v>3462</v>
      </c>
      <c r="B1421" s="740" t="s">
        <v>9810</v>
      </c>
      <c r="C1421" s="739" t="s">
        <v>1690</v>
      </c>
      <c r="D1421" s="741">
        <f t="shared" si="44"/>
        <v>9.4600000000000009</v>
      </c>
      <c r="F1421" s="1406">
        <v>9.4600000000000009</v>
      </c>
      <c r="G1421" s="1406">
        <v>9.4600000000000009</v>
      </c>
      <c r="H1421" t="b">
        <f t="shared" si="45"/>
        <v>1</v>
      </c>
    </row>
    <row r="1422" spans="1:8">
      <c r="A1422" s="677">
        <v>3446</v>
      </c>
      <c r="B1422" s="733" t="s">
        <v>9811</v>
      </c>
      <c r="C1422" s="677" t="s">
        <v>1690</v>
      </c>
      <c r="D1422" s="738">
        <f t="shared" si="44"/>
        <v>29.12</v>
      </c>
      <c r="F1422" s="1405">
        <v>29.12</v>
      </c>
      <c r="G1422" s="1405">
        <v>29.12</v>
      </c>
      <c r="H1422" t="b">
        <f t="shared" si="45"/>
        <v>1</v>
      </c>
    </row>
    <row r="1423" spans="1:8">
      <c r="A1423" s="739">
        <v>3445</v>
      </c>
      <c r="B1423" s="740" t="s">
        <v>9812</v>
      </c>
      <c r="C1423" s="739" t="s">
        <v>1690</v>
      </c>
      <c r="D1423" s="741">
        <f t="shared" si="44"/>
        <v>23.77</v>
      </c>
      <c r="F1423" s="1406">
        <v>23.77</v>
      </c>
      <c r="G1423" s="1406">
        <v>23.77</v>
      </c>
      <c r="H1423" t="b">
        <f t="shared" si="45"/>
        <v>1</v>
      </c>
    </row>
    <row r="1424" spans="1:8">
      <c r="A1424" s="677">
        <v>3441</v>
      </c>
      <c r="B1424" s="733" t="s">
        <v>9813</v>
      </c>
      <c r="C1424" s="677" t="s">
        <v>1690</v>
      </c>
      <c r="D1424" s="738">
        <f t="shared" si="44"/>
        <v>6.71</v>
      </c>
      <c r="F1424" s="1405">
        <v>6.71</v>
      </c>
      <c r="G1424" s="1405">
        <v>6.71</v>
      </c>
      <c r="H1424" t="b">
        <f t="shared" si="45"/>
        <v>1</v>
      </c>
    </row>
    <row r="1425" spans="1:8">
      <c r="A1425" s="739">
        <v>3444</v>
      </c>
      <c r="B1425" s="740" t="s">
        <v>9814</v>
      </c>
      <c r="C1425" s="739" t="s">
        <v>1690</v>
      </c>
      <c r="D1425" s="741">
        <f t="shared" si="44"/>
        <v>14.63</v>
      </c>
      <c r="F1425" s="1406">
        <v>14.63</v>
      </c>
      <c r="G1425" s="1406">
        <v>14.63</v>
      </c>
      <c r="H1425" t="b">
        <f t="shared" si="45"/>
        <v>1</v>
      </c>
    </row>
    <row r="1426" spans="1:8">
      <c r="A1426" s="677">
        <v>12402</v>
      </c>
      <c r="B1426" s="733" t="s">
        <v>9815</v>
      </c>
      <c r="C1426" s="677" t="s">
        <v>1690</v>
      </c>
      <c r="D1426" s="738">
        <f t="shared" si="44"/>
        <v>81.849999999999994</v>
      </c>
      <c r="F1426" s="1405">
        <v>81.849999999999994</v>
      </c>
      <c r="G1426" s="1405">
        <v>81.849999999999994</v>
      </c>
      <c r="H1426" t="b">
        <f t="shared" si="45"/>
        <v>1</v>
      </c>
    </row>
    <row r="1427" spans="1:8">
      <c r="A1427" s="739">
        <v>3447</v>
      </c>
      <c r="B1427" s="740" t="s">
        <v>9816</v>
      </c>
      <c r="C1427" s="739" t="s">
        <v>1690</v>
      </c>
      <c r="D1427" s="741">
        <f t="shared" si="44"/>
        <v>42.35</v>
      </c>
      <c r="F1427" s="1406">
        <v>42.35</v>
      </c>
      <c r="G1427" s="1406">
        <v>42.35</v>
      </c>
      <c r="H1427" t="b">
        <f t="shared" si="45"/>
        <v>1</v>
      </c>
    </row>
    <row r="1428" spans="1:8">
      <c r="A1428" s="677">
        <v>3442</v>
      </c>
      <c r="B1428" s="733" t="s">
        <v>9817</v>
      </c>
      <c r="C1428" s="677" t="s">
        <v>1690</v>
      </c>
      <c r="D1428" s="738">
        <f t="shared" si="44"/>
        <v>10.029999999999999</v>
      </c>
      <c r="F1428" s="1405">
        <v>10.029999999999999</v>
      </c>
      <c r="G1428" s="1405">
        <v>10.029999999999999</v>
      </c>
      <c r="H1428" t="b">
        <f t="shared" si="45"/>
        <v>1</v>
      </c>
    </row>
    <row r="1429" spans="1:8">
      <c r="A1429" s="739">
        <v>3448</v>
      </c>
      <c r="B1429" s="740" t="s">
        <v>9818</v>
      </c>
      <c r="C1429" s="739" t="s">
        <v>1690</v>
      </c>
      <c r="D1429" s="741">
        <f t="shared" si="44"/>
        <v>119.67</v>
      </c>
      <c r="F1429" s="1406">
        <v>119.67</v>
      </c>
      <c r="G1429" s="1406">
        <v>119.67</v>
      </c>
      <c r="H1429" t="b">
        <f t="shared" si="45"/>
        <v>1</v>
      </c>
    </row>
    <row r="1430" spans="1:8">
      <c r="A1430" s="677">
        <v>3449</v>
      </c>
      <c r="B1430" s="733" t="s">
        <v>9819</v>
      </c>
      <c r="C1430" s="677" t="s">
        <v>1690</v>
      </c>
      <c r="D1430" s="738">
        <f t="shared" si="44"/>
        <v>209.69</v>
      </c>
      <c r="F1430" s="1405">
        <v>209.69</v>
      </c>
      <c r="G1430" s="1405">
        <v>209.69</v>
      </c>
      <c r="H1430" t="b">
        <f t="shared" si="45"/>
        <v>1</v>
      </c>
    </row>
    <row r="1431" spans="1:8">
      <c r="A1431" s="739">
        <v>37438</v>
      </c>
      <c r="B1431" s="740" t="s">
        <v>9820</v>
      </c>
      <c r="C1431" s="739" t="s">
        <v>1690</v>
      </c>
      <c r="D1431" s="741">
        <f t="shared" si="44"/>
        <v>232.23</v>
      </c>
      <c r="F1431" s="1406">
        <v>232.23</v>
      </c>
      <c r="G1431" s="1406">
        <v>232.23</v>
      </c>
      <c r="H1431" t="b">
        <f t="shared" si="45"/>
        <v>1</v>
      </c>
    </row>
    <row r="1432" spans="1:8">
      <c r="A1432" s="677">
        <v>37439</v>
      </c>
      <c r="B1432" s="733" t="s">
        <v>9821</v>
      </c>
      <c r="C1432" s="677" t="s">
        <v>1690</v>
      </c>
      <c r="D1432" s="738">
        <f t="shared" si="44"/>
        <v>1518.32</v>
      </c>
      <c r="F1432" s="1405">
        <v>1518.32</v>
      </c>
      <c r="G1432" s="1405">
        <v>1518.32</v>
      </c>
      <c r="H1432" t="b">
        <f t="shared" si="45"/>
        <v>1</v>
      </c>
    </row>
    <row r="1433" spans="1:8">
      <c r="A1433" s="739">
        <v>37435</v>
      </c>
      <c r="B1433" s="740" t="s">
        <v>9822</v>
      </c>
      <c r="C1433" s="739" t="s">
        <v>1690</v>
      </c>
      <c r="D1433" s="741">
        <f t="shared" si="44"/>
        <v>27.29</v>
      </c>
      <c r="F1433" s="1406">
        <v>27.29</v>
      </c>
      <c r="G1433" s="1406">
        <v>27.29</v>
      </c>
      <c r="H1433" t="b">
        <f t="shared" si="45"/>
        <v>1</v>
      </c>
    </row>
    <row r="1434" spans="1:8">
      <c r="A1434" s="677">
        <v>37436</v>
      </c>
      <c r="B1434" s="733" t="s">
        <v>9823</v>
      </c>
      <c r="C1434" s="677" t="s">
        <v>1690</v>
      </c>
      <c r="D1434" s="738">
        <f t="shared" si="44"/>
        <v>32.21</v>
      </c>
      <c r="F1434" s="1405">
        <v>32.21</v>
      </c>
      <c r="G1434" s="1405">
        <v>32.21</v>
      </c>
      <c r="H1434" t="b">
        <f t="shared" si="45"/>
        <v>1</v>
      </c>
    </row>
    <row r="1435" spans="1:8">
      <c r="A1435" s="739">
        <v>37437</v>
      </c>
      <c r="B1435" s="740" t="s">
        <v>9824</v>
      </c>
      <c r="C1435" s="739" t="s">
        <v>1690</v>
      </c>
      <c r="D1435" s="741">
        <f t="shared" si="44"/>
        <v>46.58</v>
      </c>
      <c r="F1435" s="1406">
        <v>46.58</v>
      </c>
      <c r="G1435" s="1406">
        <v>46.58</v>
      </c>
      <c r="H1435" t="b">
        <f t="shared" si="45"/>
        <v>1</v>
      </c>
    </row>
    <row r="1436" spans="1:8">
      <c r="A1436" s="677">
        <v>3473</v>
      </c>
      <c r="B1436" s="733" t="s">
        <v>9825</v>
      </c>
      <c r="C1436" s="677" t="s">
        <v>1690</v>
      </c>
      <c r="D1436" s="738">
        <f t="shared" si="44"/>
        <v>32.92</v>
      </c>
      <c r="F1436" s="1405">
        <v>32.92</v>
      </c>
      <c r="G1436" s="1405">
        <v>32.92</v>
      </c>
      <c r="H1436" t="b">
        <f t="shared" si="45"/>
        <v>1</v>
      </c>
    </row>
    <row r="1437" spans="1:8">
      <c r="A1437" s="739">
        <v>3474</v>
      </c>
      <c r="B1437" s="740" t="s">
        <v>9826</v>
      </c>
      <c r="C1437" s="739" t="s">
        <v>1690</v>
      </c>
      <c r="D1437" s="741">
        <f t="shared" si="44"/>
        <v>27.14</v>
      </c>
      <c r="F1437" s="1406">
        <v>27.14</v>
      </c>
      <c r="G1437" s="1406">
        <v>27.14</v>
      </c>
      <c r="H1437" t="b">
        <f t="shared" si="45"/>
        <v>1</v>
      </c>
    </row>
    <row r="1438" spans="1:8">
      <c r="A1438" s="677">
        <v>3450</v>
      </c>
      <c r="B1438" s="733" t="s">
        <v>9827</v>
      </c>
      <c r="C1438" s="677" t="s">
        <v>1690</v>
      </c>
      <c r="D1438" s="738">
        <f t="shared" si="44"/>
        <v>7.86</v>
      </c>
      <c r="F1438" s="1405">
        <v>7.86</v>
      </c>
      <c r="G1438" s="1405">
        <v>7.86</v>
      </c>
      <c r="H1438" t="b">
        <f t="shared" si="45"/>
        <v>1</v>
      </c>
    </row>
    <row r="1439" spans="1:8">
      <c r="A1439" s="739">
        <v>3443</v>
      </c>
      <c r="B1439" s="740" t="s">
        <v>9828</v>
      </c>
      <c r="C1439" s="739" t="s">
        <v>1690</v>
      </c>
      <c r="D1439" s="741">
        <f t="shared" si="44"/>
        <v>16.88</v>
      </c>
      <c r="F1439" s="1406">
        <v>16.88</v>
      </c>
      <c r="G1439" s="1406">
        <v>16.88</v>
      </c>
      <c r="H1439" t="b">
        <f t="shared" si="45"/>
        <v>1</v>
      </c>
    </row>
    <row r="1440" spans="1:8">
      <c r="A1440" s="677">
        <v>3453</v>
      </c>
      <c r="B1440" s="733" t="s">
        <v>9829</v>
      </c>
      <c r="C1440" s="677" t="s">
        <v>1690</v>
      </c>
      <c r="D1440" s="738">
        <f t="shared" si="44"/>
        <v>96.1</v>
      </c>
      <c r="F1440" s="1405">
        <v>96.1</v>
      </c>
      <c r="G1440" s="1405">
        <v>96.1</v>
      </c>
      <c r="H1440" t="b">
        <f t="shared" si="45"/>
        <v>1</v>
      </c>
    </row>
    <row r="1441" spans="1:8">
      <c r="A1441" s="739">
        <v>3452</v>
      </c>
      <c r="B1441" s="740" t="s">
        <v>9830</v>
      </c>
      <c r="C1441" s="739" t="s">
        <v>1690</v>
      </c>
      <c r="D1441" s="741">
        <f t="shared" si="44"/>
        <v>47.43</v>
      </c>
      <c r="F1441" s="1406">
        <v>47.43</v>
      </c>
      <c r="G1441" s="1406">
        <v>47.43</v>
      </c>
      <c r="H1441" t="b">
        <f t="shared" si="45"/>
        <v>1</v>
      </c>
    </row>
    <row r="1442" spans="1:8">
      <c r="A1442" s="677">
        <v>3451</v>
      </c>
      <c r="B1442" s="733" t="s">
        <v>9831</v>
      </c>
      <c r="C1442" s="677" t="s">
        <v>1690</v>
      </c>
      <c r="D1442" s="738">
        <f t="shared" si="44"/>
        <v>9.41</v>
      </c>
      <c r="F1442" s="1405">
        <v>9.41</v>
      </c>
      <c r="G1442" s="1405">
        <v>9.41</v>
      </c>
      <c r="H1442" t="b">
        <f t="shared" si="45"/>
        <v>1</v>
      </c>
    </row>
    <row r="1443" spans="1:8">
      <c r="A1443" s="739">
        <v>3454</v>
      </c>
      <c r="B1443" s="740" t="s">
        <v>9832</v>
      </c>
      <c r="C1443" s="739" t="s">
        <v>1690</v>
      </c>
      <c r="D1443" s="741">
        <f t="shared" si="44"/>
        <v>146.16999999999999</v>
      </c>
      <c r="F1443" s="1406">
        <v>146.16999999999999</v>
      </c>
      <c r="G1443" s="1406">
        <v>146.16999999999999</v>
      </c>
      <c r="H1443" t="b">
        <f t="shared" si="45"/>
        <v>1</v>
      </c>
    </row>
    <row r="1444" spans="1:8">
      <c r="A1444" s="677">
        <v>3458</v>
      </c>
      <c r="B1444" s="733" t="s">
        <v>9833</v>
      </c>
      <c r="C1444" s="677" t="s">
        <v>1690</v>
      </c>
      <c r="D1444" s="738">
        <f t="shared" si="44"/>
        <v>26.39</v>
      </c>
      <c r="F1444" s="1405">
        <v>26.39</v>
      </c>
      <c r="G1444" s="1405">
        <v>26.39</v>
      </c>
      <c r="H1444" t="b">
        <f t="shared" si="45"/>
        <v>1</v>
      </c>
    </row>
    <row r="1445" spans="1:8">
      <c r="A1445" s="739">
        <v>3457</v>
      </c>
      <c r="B1445" s="740" t="s">
        <v>9834</v>
      </c>
      <c r="C1445" s="739" t="s">
        <v>1690</v>
      </c>
      <c r="D1445" s="741">
        <f t="shared" si="44"/>
        <v>19.809999999999999</v>
      </c>
      <c r="F1445" s="1406">
        <v>19.809999999999999</v>
      </c>
      <c r="G1445" s="1406">
        <v>19.809999999999999</v>
      </c>
      <c r="H1445" t="b">
        <f t="shared" si="45"/>
        <v>1</v>
      </c>
    </row>
    <row r="1446" spans="1:8">
      <c r="A1446" s="677">
        <v>3455</v>
      </c>
      <c r="B1446" s="733" t="s">
        <v>9835</v>
      </c>
      <c r="C1446" s="677" t="s">
        <v>1690</v>
      </c>
      <c r="D1446" s="738">
        <f t="shared" si="44"/>
        <v>5.62</v>
      </c>
      <c r="F1446" s="1405">
        <v>5.62</v>
      </c>
      <c r="G1446" s="1405">
        <v>5.62</v>
      </c>
      <c r="H1446" t="b">
        <f t="shared" si="45"/>
        <v>1</v>
      </c>
    </row>
    <row r="1447" spans="1:8">
      <c r="A1447" s="739">
        <v>3472</v>
      </c>
      <c r="B1447" s="740" t="s">
        <v>9836</v>
      </c>
      <c r="C1447" s="739" t="s">
        <v>1690</v>
      </c>
      <c r="D1447" s="741">
        <f t="shared" si="44"/>
        <v>12.64</v>
      </c>
      <c r="F1447" s="1406">
        <v>12.64</v>
      </c>
      <c r="G1447" s="1406">
        <v>12.64</v>
      </c>
      <c r="H1447" t="b">
        <f t="shared" si="45"/>
        <v>1</v>
      </c>
    </row>
    <row r="1448" spans="1:8">
      <c r="A1448" s="677">
        <v>3470</v>
      </c>
      <c r="B1448" s="733" t="s">
        <v>9837</v>
      </c>
      <c r="C1448" s="677" t="s">
        <v>1690</v>
      </c>
      <c r="D1448" s="738">
        <f t="shared" si="44"/>
        <v>73.69</v>
      </c>
      <c r="F1448" s="1405">
        <v>73.69</v>
      </c>
      <c r="G1448" s="1405">
        <v>73.69</v>
      </c>
      <c r="H1448" t="b">
        <f t="shared" si="45"/>
        <v>1</v>
      </c>
    </row>
    <row r="1449" spans="1:8">
      <c r="A1449" s="739">
        <v>3471</v>
      </c>
      <c r="B1449" s="740" t="s">
        <v>9838</v>
      </c>
      <c r="C1449" s="739" t="s">
        <v>1690</v>
      </c>
      <c r="D1449" s="741">
        <f t="shared" si="44"/>
        <v>40.49</v>
      </c>
      <c r="F1449" s="1406">
        <v>40.49</v>
      </c>
      <c r="G1449" s="1406">
        <v>40.49</v>
      </c>
      <c r="H1449" t="b">
        <f t="shared" si="45"/>
        <v>1</v>
      </c>
    </row>
    <row r="1450" spans="1:8">
      <c r="A1450" s="677">
        <v>3456</v>
      </c>
      <c r="B1450" s="733" t="s">
        <v>9839</v>
      </c>
      <c r="C1450" s="677" t="s">
        <v>1690</v>
      </c>
      <c r="D1450" s="738">
        <f t="shared" si="44"/>
        <v>8.42</v>
      </c>
      <c r="F1450" s="1405">
        <v>8.42</v>
      </c>
      <c r="G1450" s="1405">
        <v>8.42</v>
      </c>
      <c r="H1450" t="b">
        <f t="shared" si="45"/>
        <v>1</v>
      </c>
    </row>
    <row r="1451" spans="1:8">
      <c r="A1451" s="739">
        <v>3459</v>
      </c>
      <c r="B1451" s="740" t="s">
        <v>9840</v>
      </c>
      <c r="C1451" s="739" t="s">
        <v>1690</v>
      </c>
      <c r="D1451" s="741">
        <f t="shared" si="44"/>
        <v>103.94</v>
      </c>
      <c r="F1451" s="1406">
        <v>103.94</v>
      </c>
      <c r="G1451" s="1406">
        <v>103.94</v>
      </c>
      <c r="H1451" t="b">
        <f t="shared" si="45"/>
        <v>1</v>
      </c>
    </row>
    <row r="1452" spans="1:8">
      <c r="A1452" s="677">
        <v>3469</v>
      </c>
      <c r="B1452" s="733" t="s">
        <v>9841</v>
      </c>
      <c r="C1452" s="677" t="s">
        <v>1690</v>
      </c>
      <c r="D1452" s="738">
        <f t="shared" si="44"/>
        <v>197.67</v>
      </c>
      <c r="F1452" s="1405">
        <v>197.67</v>
      </c>
      <c r="G1452" s="1405">
        <v>197.67</v>
      </c>
      <c r="H1452" t="b">
        <f t="shared" si="45"/>
        <v>1</v>
      </c>
    </row>
    <row r="1453" spans="1:8">
      <c r="A1453" s="739">
        <v>3460</v>
      </c>
      <c r="B1453" s="740" t="s">
        <v>9842</v>
      </c>
      <c r="C1453" s="739" t="s">
        <v>1690</v>
      </c>
      <c r="D1453" s="741">
        <f t="shared" si="44"/>
        <v>288.43</v>
      </c>
      <c r="F1453" s="1406">
        <v>288.43</v>
      </c>
      <c r="G1453" s="1406">
        <v>288.43</v>
      </c>
      <c r="H1453" t="b">
        <f t="shared" si="45"/>
        <v>1</v>
      </c>
    </row>
    <row r="1454" spans="1:8">
      <c r="A1454" s="677">
        <v>3461</v>
      </c>
      <c r="B1454" s="733" t="s">
        <v>9843</v>
      </c>
      <c r="C1454" s="677" t="s">
        <v>1690</v>
      </c>
      <c r="D1454" s="738">
        <f t="shared" si="44"/>
        <v>737.21</v>
      </c>
      <c r="F1454" s="1405">
        <v>737.21</v>
      </c>
      <c r="G1454" s="1405">
        <v>737.21</v>
      </c>
      <c r="H1454" t="b">
        <f t="shared" si="45"/>
        <v>1</v>
      </c>
    </row>
    <row r="1455" spans="1:8">
      <c r="A1455" s="739">
        <v>37433</v>
      </c>
      <c r="B1455" s="740" t="s">
        <v>9844</v>
      </c>
      <c r="C1455" s="739" t="s">
        <v>1690</v>
      </c>
      <c r="D1455" s="741">
        <f t="shared" si="44"/>
        <v>232.23</v>
      </c>
      <c r="F1455" s="1406">
        <v>232.23</v>
      </c>
      <c r="G1455" s="1406">
        <v>232.23</v>
      </c>
      <c r="H1455" t="b">
        <f t="shared" si="45"/>
        <v>1</v>
      </c>
    </row>
    <row r="1456" spans="1:8">
      <c r="A1456" s="677">
        <v>37430</v>
      </c>
      <c r="B1456" s="733" t="s">
        <v>9845</v>
      </c>
      <c r="C1456" s="677" t="s">
        <v>1690</v>
      </c>
      <c r="D1456" s="738">
        <f t="shared" si="44"/>
        <v>29.1</v>
      </c>
      <c r="F1456" s="1405">
        <v>29.1</v>
      </c>
      <c r="G1456" s="1405">
        <v>29.1</v>
      </c>
      <c r="H1456" t="b">
        <f t="shared" si="45"/>
        <v>1</v>
      </c>
    </row>
    <row r="1457" spans="1:8">
      <c r="A1457" s="739">
        <v>37434</v>
      </c>
      <c r="B1457" s="740" t="s">
        <v>9846</v>
      </c>
      <c r="C1457" s="739" t="s">
        <v>1690</v>
      </c>
      <c r="D1457" s="741">
        <f t="shared" si="44"/>
        <v>2165.34</v>
      </c>
      <c r="F1457" s="1406">
        <v>2165.34</v>
      </c>
      <c r="G1457" s="1406">
        <v>2165.34</v>
      </c>
      <c r="H1457" t="b">
        <f t="shared" si="45"/>
        <v>1</v>
      </c>
    </row>
    <row r="1458" spans="1:8">
      <c r="A1458" s="677">
        <v>37431</v>
      </c>
      <c r="B1458" s="733" t="s">
        <v>9847</v>
      </c>
      <c r="C1458" s="677" t="s">
        <v>1690</v>
      </c>
      <c r="D1458" s="738">
        <f t="shared" si="44"/>
        <v>39.479999999999997</v>
      </c>
      <c r="F1458" s="1405">
        <v>39.479999999999997</v>
      </c>
      <c r="G1458" s="1405">
        <v>39.479999999999997</v>
      </c>
      <c r="H1458" t="b">
        <f t="shared" si="45"/>
        <v>1</v>
      </c>
    </row>
    <row r="1459" spans="1:8">
      <c r="A1459" s="739">
        <v>37432</v>
      </c>
      <c r="B1459" s="740" t="s">
        <v>9848</v>
      </c>
      <c r="C1459" s="739" t="s">
        <v>1690</v>
      </c>
      <c r="D1459" s="741">
        <f t="shared" si="44"/>
        <v>72.819999999999993</v>
      </c>
      <c r="F1459" s="1406">
        <v>72.819999999999993</v>
      </c>
      <c r="G1459" s="1406">
        <v>72.819999999999993</v>
      </c>
      <c r="H1459" t="b">
        <f t="shared" si="45"/>
        <v>1</v>
      </c>
    </row>
    <row r="1460" spans="1:8" ht="30">
      <c r="A1460" s="677">
        <v>37413</v>
      </c>
      <c r="B1460" s="733" t="s">
        <v>9849</v>
      </c>
      <c r="C1460" s="677" t="s">
        <v>1690</v>
      </c>
      <c r="D1460" s="738">
        <f t="shared" si="44"/>
        <v>3.83</v>
      </c>
      <c r="F1460" s="1405">
        <v>3.83</v>
      </c>
      <c r="G1460" s="1405">
        <v>3.83</v>
      </c>
      <c r="H1460" t="b">
        <f t="shared" si="45"/>
        <v>1</v>
      </c>
    </row>
    <row r="1461" spans="1:8" ht="30">
      <c r="A1461" s="739">
        <v>37414</v>
      </c>
      <c r="B1461" s="740" t="s">
        <v>9850</v>
      </c>
      <c r="C1461" s="739" t="s">
        <v>1690</v>
      </c>
      <c r="D1461" s="741">
        <f t="shared" si="44"/>
        <v>4.34</v>
      </c>
      <c r="F1461" s="1406">
        <v>4.34</v>
      </c>
      <c r="G1461" s="1406">
        <v>4.34</v>
      </c>
      <c r="H1461" t="b">
        <f t="shared" si="45"/>
        <v>1</v>
      </c>
    </row>
    <row r="1462" spans="1:8" ht="30">
      <c r="A1462" s="677">
        <v>37415</v>
      </c>
      <c r="B1462" s="733" t="s">
        <v>9851</v>
      </c>
      <c r="C1462" s="677" t="s">
        <v>1690</v>
      </c>
      <c r="D1462" s="738">
        <f t="shared" si="44"/>
        <v>7.9</v>
      </c>
      <c r="F1462" s="1405">
        <v>7.9</v>
      </c>
      <c r="G1462" s="1405">
        <v>7.9</v>
      </c>
      <c r="H1462" t="b">
        <f t="shared" si="45"/>
        <v>1</v>
      </c>
    </row>
    <row r="1463" spans="1:8">
      <c r="A1463" s="739">
        <v>37416</v>
      </c>
      <c r="B1463" s="740" t="s">
        <v>9852</v>
      </c>
      <c r="C1463" s="739" t="s">
        <v>1690</v>
      </c>
      <c r="D1463" s="741">
        <f t="shared" si="44"/>
        <v>3.58</v>
      </c>
      <c r="F1463" s="1406">
        <v>3.58</v>
      </c>
      <c r="G1463" s="1406">
        <v>3.58</v>
      </c>
      <c r="H1463" t="b">
        <f t="shared" si="45"/>
        <v>1</v>
      </c>
    </row>
    <row r="1464" spans="1:8">
      <c r="A1464" s="677">
        <v>37417</v>
      </c>
      <c r="B1464" s="733" t="s">
        <v>9853</v>
      </c>
      <c r="C1464" s="677" t="s">
        <v>1690</v>
      </c>
      <c r="D1464" s="738">
        <f t="shared" si="44"/>
        <v>5.15</v>
      </c>
      <c r="F1464" s="1405">
        <v>5.15</v>
      </c>
      <c r="G1464" s="1405">
        <v>5.15</v>
      </c>
      <c r="H1464" t="b">
        <f t="shared" si="45"/>
        <v>1</v>
      </c>
    </row>
    <row r="1465" spans="1:8" ht="30">
      <c r="A1465" s="739">
        <v>43590</v>
      </c>
      <c r="B1465" s="740" t="s">
        <v>9854</v>
      </c>
      <c r="C1465" s="739" t="s">
        <v>1690</v>
      </c>
      <c r="D1465" s="741">
        <f t="shared" si="44"/>
        <v>174.34</v>
      </c>
      <c r="F1465" s="1406">
        <v>174.34</v>
      </c>
      <c r="G1465" s="1406">
        <v>174.34</v>
      </c>
      <c r="H1465" t="b">
        <f t="shared" si="45"/>
        <v>1</v>
      </c>
    </row>
    <row r="1466" spans="1:8" ht="30">
      <c r="A1466" s="677">
        <v>43589</v>
      </c>
      <c r="B1466" s="733" t="s">
        <v>9855</v>
      </c>
      <c r="C1466" s="677" t="s">
        <v>1690</v>
      </c>
      <c r="D1466" s="738">
        <f t="shared" si="44"/>
        <v>31.54</v>
      </c>
      <c r="F1466" s="1405">
        <v>31.54</v>
      </c>
      <c r="G1466" s="1405">
        <v>31.54</v>
      </c>
      <c r="H1466" t="b">
        <f t="shared" si="45"/>
        <v>1</v>
      </c>
    </row>
    <row r="1467" spans="1:8">
      <c r="A1467" s="739">
        <v>34519</v>
      </c>
      <c r="B1467" s="740" t="s">
        <v>9856</v>
      </c>
      <c r="C1467" s="739" t="s">
        <v>1690</v>
      </c>
      <c r="D1467" s="741">
        <f t="shared" si="44"/>
        <v>80.41</v>
      </c>
      <c r="F1467" s="1406">
        <v>80.41</v>
      </c>
      <c r="G1467" s="1406">
        <v>80.41</v>
      </c>
      <c r="H1467" t="b">
        <f t="shared" si="45"/>
        <v>1</v>
      </c>
    </row>
    <row r="1468" spans="1:8">
      <c r="A1468" s="677">
        <v>1649</v>
      </c>
      <c r="B1468" s="733" t="s">
        <v>9857</v>
      </c>
      <c r="C1468" s="677" t="s">
        <v>1690</v>
      </c>
      <c r="D1468" s="738">
        <f t="shared" si="44"/>
        <v>62.23</v>
      </c>
      <c r="F1468" s="1405">
        <v>62.23</v>
      </c>
      <c r="G1468" s="1405">
        <v>62.23</v>
      </c>
      <c r="H1468" t="b">
        <f t="shared" si="45"/>
        <v>1</v>
      </c>
    </row>
    <row r="1469" spans="1:8">
      <c r="A1469" s="739">
        <v>1653</v>
      </c>
      <c r="B1469" s="740" t="s">
        <v>9858</v>
      </c>
      <c r="C1469" s="739" t="s">
        <v>1690</v>
      </c>
      <c r="D1469" s="741">
        <f t="shared" si="44"/>
        <v>48.75</v>
      </c>
      <c r="F1469" s="1406">
        <v>48.75</v>
      </c>
      <c r="G1469" s="1406">
        <v>48.75</v>
      </c>
      <c r="H1469" t="b">
        <f t="shared" si="45"/>
        <v>1</v>
      </c>
    </row>
    <row r="1470" spans="1:8">
      <c r="A1470" s="677">
        <v>1647</v>
      </c>
      <c r="B1470" s="733" t="s">
        <v>9859</v>
      </c>
      <c r="C1470" s="677" t="s">
        <v>1690</v>
      </c>
      <c r="D1470" s="738">
        <f t="shared" si="44"/>
        <v>17.45</v>
      </c>
      <c r="F1470" s="1405">
        <v>17.45</v>
      </c>
      <c r="G1470" s="1405">
        <v>17.45</v>
      </c>
      <c r="H1470" t="b">
        <f t="shared" si="45"/>
        <v>1</v>
      </c>
    </row>
    <row r="1471" spans="1:8">
      <c r="A1471" s="739">
        <v>1648</v>
      </c>
      <c r="B1471" s="740" t="s">
        <v>9860</v>
      </c>
      <c r="C1471" s="739" t="s">
        <v>1690</v>
      </c>
      <c r="D1471" s="741">
        <f t="shared" si="44"/>
        <v>33.520000000000003</v>
      </c>
      <c r="F1471" s="1406">
        <v>33.520000000000003</v>
      </c>
      <c r="G1471" s="1406">
        <v>33.520000000000003</v>
      </c>
      <c r="H1471" t="b">
        <f t="shared" si="45"/>
        <v>1</v>
      </c>
    </row>
    <row r="1472" spans="1:8">
      <c r="A1472" s="677">
        <v>1651</v>
      </c>
      <c r="B1472" s="733" t="s">
        <v>9861</v>
      </c>
      <c r="C1472" s="677" t="s">
        <v>1690</v>
      </c>
      <c r="D1472" s="738">
        <f t="shared" si="44"/>
        <v>155.49</v>
      </c>
      <c r="F1472" s="1405">
        <v>155.49</v>
      </c>
      <c r="G1472" s="1405">
        <v>155.49</v>
      </c>
      <c r="H1472" t="b">
        <f t="shared" si="45"/>
        <v>1</v>
      </c>
    </row>
    <row r="1473" spans="1:8">
      <c r="A1473" s="739">
        <v>1650</v>
      </c>
      <c r="B1473" s="740" t="s">
        <v>9862</v>
      </c>
      <c r="C1473" s="739" t="s">
        <v>1690</v>
      </c>
      <c r="D1473" s="741">
        <f t="shared" si="44"/>
        <v>85.95</v>
      </c>
      <c r="F1473" s="1406">
        <v>85.95</v>
      </c>
      <c r="G1473" s="1406">
        <v>85.95</v>
      </c>
      <c r="H1473" t="b">
        <f t="shared" si="45"/>
        <v>1</v>
      </c>
    </row>
    <row r="1474" spans="1:8">
      <c r="A1474" s="677">
        <v>1654</v>
      </c>
      <c r="B1474" s="733" t="s">
        <v>9863</v>
      </c>
      <c r="C1474" s="677" t="s">
        <v>1690</v>
      </c>
      <c r="D1474" s="738">
        <f t="shared" si="44"/>
        <v>23.96</v>
      </c>
      <c r="F1474" s="1405">
        <v>23.96</v>
      </c>
      <c r="G1474" s="1405">
        <v>23.96</v>
      </c>
      <c r="H1474" t="b">
        <f t="shared" si="45"/>
        <v>1</v>
      </c>
    </row>
    <row r="1475" spans="1:8">
      <c r="A1475" s="739">
        <v>1652</v>
      </c>
      <c r="B1475" s="740" t="s">
        <v>9864</v>
      </c>
      <c r="C1475" s="739" t="s">
        <v>1690</v>
      </c>
      <c r="D1475" s="741">
        <f t="shared" ref="D1475:D1538" si="46">IF($J$2=$F$1,F1475,G1475)</f>
        <v>223.18</v>
      </c>
      <c r="F1475" s="1406">
        <v>223.18</v>
      </c>
      <c r="G1475" s="1406">
        <v>223.18</v>
      </c>
      <c r="H1475" t="b">
        <f t="shared" ref="H1475:H1538" si="47">F1475=G1475</f>
        <v>1</v>
      </c>
    </row>
    <row r="1476" spans="1:8">
      <c r="A1476" s="677">
        <v>10510</v>
      </c>
      <c r="B1476" s="733" t="s">
        <v>9865</v>
      </c>
      <c r="C1476" s="677" t="s">
        <v>1690</v>
      </c>
      <c r="D1476" s="738">
        <f t="shared" si="46"/>
        <v>186.31</v>
      </c>
      <c r="F1476" s="1405">
        <v>186.31</v>
      </c>
      <c r="G1476" s="1405">
        <v>186.31</v>
      </c>
      <c r="H1476" t="b">
        <f t="shared" si="47"/>
        <v>1</v>
      </c>
    </row>
    <row r="1477" spans="1:8">
      <c r="A1477" s="739">
        <v>1747</v>
      </c>
      <c r="B1477" s="740" t="s">
        <v>9866</v>
      </c>
      <c r="C1477" s="739" t="s">
        <v>1690</v>
      </c>
      <c r="D1477" s="741">
        <f t="shared" si="46"/>
        <v>199.34</v>
      </c>
      <c r="F1477" s="1406">
        <v>199.34</v>
      </c>
      <c r="G1477" s="1406">
        <v>199.34</v>
      </c>
      <c r="H1477" t="b">
        <f t="shared" si="47"/>
        <v>1</v>
      </c>
    </row>
    <row r="1478" spans="1:8">
      <c r="A1478" s="677">
        <v>1744</v>
      </c>
      <c r="B1478" s="733" t="s">
        <v>9867</v>
      </c>
      <c r="C1478" s="677" t="s">
        <v>1690</v>
      </c>
      <c r="D1478" s="738">
        <f t="shared" si="46"/>
        <v>138.07</v>
      </c>
      <c r="F1478" s="1405">
        <v>138.07</v>
      </c>
      <c r="G1478" s="1405">
        <v>138.07</v>
      </c>
      <c r="H1478" t="b">
        <f t="shared" si="47"/>
        <v>1</v>
      </c>
    </row>
    <row r="1479" spans="1:8">
      <c r="A1479" s="739">
        <v>1743</v>
      </c>
      <c r="B1479" s="740" t="s">
        <v>9868</v>
      </c>
      <c r="C1479" s="739" t="s">
        <v>1690</v>
      </c>
      <c r="D1479" s="741">
        <f t="shared" si="46"/>
        <v>181.31</v>
      </c>
      <c r="F1479" s="1406">
        <v>181.31</v>
      </c>
      <c r="G1479" s="1406">
        <v>181.31</v>
      </c>
      <c r="H1479" t="b">
        <f t="shared" si="47"/>
        <v>1</v>
      </c>
    </row>
    <row r="1480" spans="1:8" ht="30">
      <c r="A1480" s="677">
        <v>39640</v>
      </c>
      <c r="B1480" s="733" t="s">
        <v>9869</v>
      </c>
      <c r="C1480" s="677" t="s">
        <v>1690</v>
      </c>
      <c r="D1480" s="738">
        <f t="shared" si="46"/>
        <v>13.31</v>
      </c>
      <c r="F1480" s="1405">
        <v>13.31</v>
      </c>
      <c r="G1480" s="1405">
        <v>13.31</v>
      </c>
      <c r="H1480" t="b">
        <f t="shared" si="47"/>
        <v>1</v>
      </c>
    </row>
    <row r="1481" spans="1:8">
      <c r="A1481" s="739">
        <v>7216</v>
      </c>
      <c r="B1481" s="740" t="s">
        <v>9870</v>
      </c>
      <c r="C1481" s="739" t="s">
        <v>1690</v>
      </c>
      <c r="D1481" s="741">
        <f t="shared" si="46"/>
        <v>71.489999999999995</v>
      </c>
      <c r="F1481" s="1406">
        <v>71.489999999999995</v>
      </c>
      <c r="G1481" s="1406">
        <v>71.489999999999995</v>
      </c>
      <c r="H1481" t="b">
        <f t="shared" si="47"/>
        <v>1</v>
      </c>
    </row>
    <row r="1482" spans="1:8">
      <c r="A1482" s="677">
        <v>20235</v>
      </c>
      <c r="B1482" s="733" t="s">
        <v>9871</v>
      </c>
      <c r="C1482" s="677" t="s">
        <v>1690</v>
      </c>
      <c r="D1482" s="738">
        <f t="shared" si="46"/>
        <v>57.48</v>
      </c>
      <c r="F1482" s="1405">
        <v>57.48</v>
      </c>
      <c r="G1482" s="1405">
        <v>57.48</v>
      </c>
      <c r="H1482" t="b">
        <f t="shared" si="47"/>
        <v>1</v>
      </c>
    </row>
    <row r="1483" spans="1:8">
      <c r="A1483" s="739">
        <v>7181</v>
      </c>
      <c r="B1483" s="740" t="s">
        <v>9872</v>
      </c>
      <c r="C1483" s="739" t="s">
        <v>1690</v>
      </c>
      <c r="D1483" s="741">
        <f t="shared" si="46"/>
        <v>5.73</v>
      </c>
      <c r="F1483" s="1406">
        <v>5.73</v>
      </c>
      <c r="G1483" s="1406">
        <v>5.73</v>
      </c>
      <c r="H1483" t="b">
        <f t="shared" si="47"/>
        <v>1</v>
      </c>
    </row>
    <row r="1484" spans="1:8">
      <c r="A1484" s="677">
        <v>40742</v>
      </c>
      <c r="B1484" s="733" t="s">
        <v>9873</v>
      </c>
      <c r="C1484" s="677" t="s">
        <v>1690</v>
      </c>
      <c r="D1484" s="738">
        <f t="shared" si="46"/>
        <v>12.27</v>
      </c>
      <c r="F1484" s="1405">
        <v>12.27</v>
      </c>
      <c r="G1484" s="1405">
        <v>12.27</v>
      </c>
      <c r="H1484" t="b">
        <f t="shared" si="47"/>
        <v>1</v>
      </c>
    </row>
    <row r="1485" spans="1:8">
      <c r="A1485" s="739">
        <v>7214</v>
      </c>
      <c r="B1485" s="740" t="s">
        <v>9874</v>
      </c>
      <c r="C1485" s="739" t="s">
        <v>1690</v>
      </c>
      <c r="D1485" s="741">
        <f t="shared" si="46"/>
        <v>69.81</v>
      </c>
      <c r="F1485" s="1406">
        <v>69.81</v>
      </c>
      <c r="G1485" s="1406">
        <v>69.81</v>
      </c>
      <c r="H1485" t="b">
        <f t="shared" si="47"/>
        <v>1</v>
      </c>
    </row>
    <row r="1486" spans="1:8" ht="30">
      <c r="A1486" s="677">
        <v>7219</v>
      </c>
      <c r="B1486" s="733" t="s">
        <v>9875</v>
      </c>
      <c r="C1486" s="677" t="s">
        <v>1690</v>
      </c>
      <c r="D1486" s="738">
        <f t="shared" si="46"/>
        <v>61.92</v>
      </c>
      <c r="F1486" s="1405">
        <v>61.92</v>
      </c>
      <c r="G1486" s="1405">
        <v>61.92</v>
      </c>
      <c r="H1486" t="b">
        <f t="shared" si="47"/>
        <v>1</v>
      </c>
    </row>
    <row r="1487" spans="1:8">
      <c r="A1487" s="739">
        <v>37971</v>
      </c>
      <c r="B1487" s="740" t="s">
        <v>9876</v>
      </c>
      <c r="C1487" s="739" t="s">
        <v>1690</v>
      </c>
      <c r="D1487" s="741">
        <f t="shared" si="46"/>
        <v>4.84</v>
      </c>
      <c r="F1487" s="1406">
        <v>4.84</v>
      </c>
      <c r="G1487" s="1406">
        <v>4.84</v>
      </c>
      <c r="H1487" t="b">
        <f t="shared" si="47"/>
        <v>1</v>
      </c>
    </row>
    <row r="1488" spans="1:8">
      <c r="A1488" s="677">
        <v>37972</v>
      </c>
      <c r="B1488" s="733" t="s">
        <v>9877</v>
      </c>
      <c r="C1488" s="677" t="s">
        <v>1690</v>
      </c>
      <c r="D1488" s="738">
        <f t="shared" si="46"/>
        <v>6.87</v>
      </c>
      <c r="F1488" s="1405">
        <v>6.87</v>
      </c>
      <c r="G1488" s="1405">
        <v>6.87</v>
      </c>
      <c r="H1488" t="b">
        <f t="shared" si="47"/>
        <v>1</v>
      </c>
    </row>
    <row r="1489" spans="1:8">
      <c r="A1489" s="739">
        <v>37973</v>
      </c>
      <c r="B1489" s="740" t="s">
        <v>9878</v>
      </c>
      <c r="C1489" s="739" t="s">
        <v>1690</v>
      </c>
      <c r="D1489" s="741">
        <f t="shared" si="46"/>
        <v>12.92</v>
      </c>
      <c r="F1489" s="1406">
        <v>12.92</v>
      </c>
      <c r="G1489" s="1406">
        <v>12.92</v>
      </c>
      <c r="H1489" t="b">
        <f t="shared" si="47"/>
        <v>1</v>
      </c>
    </row>
    <row r="1490" spans="1:8">
      <c r="A1490" s="677">
        <v>1926</v>
      </c>
      <c r="B1490" s="733" t="s">
        <v>9879</v>
      </c>
      <c r="C1490" s="677" t="s">
        <v>1690</v>
      </c>
      <c r="D1490" s="738">
        <f t="shared" si="46"/>
        <v>2.08</v>
      </c>
      <c r="F1490" s="1405">
        <v>2.08</v>
      </c>
      <c r="G1490" s="1405">
        <v>2.08</v>
      </c>
      <c r="H1490" t="b">
        <f t="shared" si="47"/>
        <v>1</v>
      </c>
    </row>
    <row r="1491" spans="1:8">
      <c r="A1491" s="739">
        <v>1927</v>
      </c>
      <c r="B1491" s="740" t="s">
        <v>9880</v>
      </c>
      <c r="C1491" s="739" t="s">
        <v>1690</v>
      </c>
      <c r="D1491" s="741">
        <f t="shared" si="46"/>
        <v>2.33</v>
      </c>
      <c r="F1491" s="1406">
        <v>2.33</v>
      </c>
      <c r="G1491" s="1406">
        <v>2.33</v>
      </c>
      <c r="H1491" t="b">
        <f t="shared" si="47"/>
        <v>1</v>
      </c>
    </row>
    <row r="1492" spans="1:8">
      <c r="A1492" s="677">
        <v>1923</v>
      </c>
      <c r="B1492" s="733" t="s">
        <v>9881</v>
      </c>
      <c r="C1492" s="677" t="s">
        <v>1690</v>
      </c>
      <c r="D1492" s="738">
        <f t="shared" si="46"/>
        <v>4.25</v>
      </c>
      <c r="F1492" s="1405">
        <v>4.25</v>
      </c>
      <c r="G1492" s="1405">
        <v>4.25</v>
      </c>
      <c r="H1492" t="b">
        <f t="shared" si="47"/>
        <v>1</v>
      </c>
    </row>
    <row r="1493" spans="1:8">
      <c r="A1493" s="739">
        <v>1929</v>
      </c>
      <c r="B1493" s="740" t="s">
        <v>9882</v>
      </c>
      <c r="C1493" s="739" t="s">
        <v>1690</v>
      </c>
      <c r="D1493" s="741">
        <f t="shared" si="46"/>
        <v>5.15</v>
      </c>
      <c r="F1493" s="1406">
        <v>5.15</v>
      </c>
      <c r="G1493" s="1406">
        <v>5.15</v>
      </c>
      <c r="H1493" t="b">
        <f t="shared" si="47"/>
        <v>1</v>
      </c>
    </row>
    <row r="1494" spans="1:8">
      <c r="A1494" s="677">
        <v>1930</v>
      </c>
      <c r="B1494" s="733" t="s">
        <v>9883</v>
      </c>
      <c r="C1494" s="677" t="s">
        <v>1690</v>
      </c>
      <c r="D1494" s="738">
        <f t="shared" si="46"/>
        <v>8.82</v>
      </c>
      <c r="F1494" s="1405">
        <v>8.82</v>
      </c>
      <c r="G1494" s="1405">
        <v>8.82</v>
      </c>
      <c r="H1494" t="b">
        <f t="shared" si="47"/>
        <v>1</v>
      </c>
    </row>
    <row r="1495" spans="1:8">
      <c r="A1495" s="739">
        <v>1924</v>
      </c>
      <c r="B1495" s="740" t="s">
        <v>9884</v>
      </c>
      <c r="C1495" s="739" t="s">
        <v>1690</v>
      </c>
      <c r="D1495" s="741">
        <f t="shared" si="46"/>
        <v>14.24</v>
      </c>
      <c r="F1495" s="1406">
        <v>14.24</v>
      </c>
      <c r="G1495" s="1406">
        <v>14.24</v>
      </c>
      <c r="H1495" t="b">
        <f t="shared" si="47"/>
        <v>1</v>
      </c>
    </row>
    <row r="1496" spans="1:8">
      <c r="A1496" s="677">
        <v>1922</v>
      </c>
      <c r="B1496" s="733" t="s">
        <v>9885</v>
      </c>
      <c r="C1496" s="677" t="s">
        <v>1690</v>
      </c>
      <c r="D1496" s="738">
        <f t="shared" si="46"/>
        <v>29.44</v>
      </c>
      <c r="F1496" s="1405">
        <v>29.44</v>
      </c>
      <c r="G1496" s="1405">
        <v>29.44</v>
      </c>
      <c r="H1496" t="b">
        <f t="shared" si="47"/>
        <v>1</v>
      </c>
    </row>
    <row r="1497" spans="1:8">
      <c r="A1497" s="739">
        <v>1953</v>
      </c>
      <c r="B1497" s="740" t="s">
        <v>9886</v>
      </c>
      <c r="C1497" s="739" t="s">
        <v>1690</v>
      </c>
      <c r="D1497" s="741">
        <f t="shared" si="46"/>
        <v>35.94</v>
      </c>
      <c r="F1497" s="1406">
        <v>35.94</v>
      </c>
      <c r="G1497" s="1406">
        <v>35.94</v>
      </c>
      <c r="H1497" t="b">
        <f t="shared" si="47"/>
        <v>1</v>
      </c>
    </row>
    <row r="1498" spans="1:8">
      <c r="A1498" s="677">
        <v>1962</v>
      </c>
      <c r="B1498" s="733" t="s">
        <v>9887</v>
      </c>
      <c r="C1498" s="677" t="s">
        <v>1690</v>
      </c>
      <c r="D1498" s="738">
        <f t="shared" si="46"/>
        <v>174.61</v>
      </c>
      <c r="F1498" s="1405">
        <v>174.61</v>
      </c>
      <c r="G1498" s="1405">
        <v>174.61</v>
      </c>
      <c r="H1498" t="b">
        <f t="shared" si="47"/>
        <v>1</v>
      </c>
    </row>
    <row r="1499" spans="1:8">
      <c r="A1499" s="739">
        <v>1955</v>
      </c>
      <c r="B1499" s="740" t="s">
        <v>9888</v>
      </c>
      <c r="C1499" s="739" t="s">
        <v>1690</v>
      </c>
      <c r="D1499" s="741">
        <f t="shared" si="46"/>
        <v>2.0099999999999998</v>
      </c>
      <c r="F1499" s="1406">
        <v>2.0099999999999998</v>
      </c>
      <c r="G1499" s="1406">
        <v>2.0099999999999998</v>
      </c>
      <c r="H1499" t="b">
        <f t="shared" si="47"/>
        <v>1</v>
      </c>
    </row>
    <row r="1500" spans="1:8">
      <c r="A1500" s="677">
        <v>1956</v>
      </c>
      <c r="B1500" s="733" t="s">
        <v>9889</v>
      </c>
      <c r="C1500" s="677" t="s">
        <v>1690</v>
      </c>
      <c r="D1500" s="738">
        <f t="shared" si="46"/>
        <v>2.84</v>
      </c>
      <c r="F1500" s="1405">
        <v>2.84</v>
      </c>
      <c r="G1500" s="1405">
        <v>2.84</v>
      </c>
      <c r="H1500" t="b">
        <f t="shared" si="47"/>
        <v>1</v>
      </c>
    </row>
    <row r="1501" spans="1:8">
      <c r="A1501" s="739">
        <v>1957</v>
      </c>
      <c r="B1501" s="740" t="s">
        <v>9890</v>
      </c>
      <c r="C1501" s="739" t="s">
        <v>1690</v>
      </c>
      <c r="D1501" s="741">
        <f t="shared" si="46"/>
        <v>6.14</v>
      </c>
      <c r="F1501" s="1406">
        <v>6.14</v>
      </c>
      <c r="G1501" s="1406">
        <v>6.14</v>
      </c>
      <c r="H1501" t="b">
        <f t="shared" si="47"/>
        <v>1</v>
      </c>
    </row>
    <row r="1502" spans="1:8">
      <c r="A1502" s="677">
        <v>1958</v>
      </c>
      <c r="B1502" s="733" t="s">
        <v>9891</v>
      </c>
      <c r="C1502" s="677" t="s">
        <v>1690</v>
      </c>
      <c r="D1502" s="738">
        <f t="shared" si="46"/>
        <v>11.43</v>
      </c>
      <c r="F1502" s="1405">
        <v>11.43</v>
      </c>
      <c r="G1502" s="1405">
        <v>11.43</v>
      </c>
      <c r="H1502" t="b">
        <f t="shared" si="47"/>
        <v>1</v>
      </c>
    </row>
    <row r="1503" spans="1:8">
      <c r="A1503" s="739">
        <v>1959</v>
      </c>
      <c r="B1503" s="740" t="s">
        <v>9892</v>
      </c>
      <c r="C1503" s="739" t="s">
        <v>1690</v>
      </c>
      <c r="D1503" s="741">
        <f t="shared" si="46"/>
        <v>12.41</v>
      </c>
      <c r="F1503" s="1406">
        <v>12.41</v>
      </c>
      <c r="G1503" s="1406">
        <v>12.41</v>
      </c>
      <c r="H1503" t="b">
        <f t="shared" si="47"/>
        <v>1</v>
      </c>
    </row>
    <row r="1504" spans="1:8">
      <c r="A1504" s="677">
        <v>1925</v>
      </c>
      <c r="B1504" s="733" t="s">
        <v>9893</v>
      </c>
      <c r="C1504" s="677" t="s">
        <v>1690</v>
      </c>
      <c r="D1504" s="738">
        <f t="shared" si="46"/>
        <v>32.43</v>
      </c>
      <c r="F1504" s="1405">
        <v>32.43</v>
      </c>
      <c r="G1504" s="1405">
        <v>32.43</v>
      </c>
      <c r="H1504" t="b">
        <f t="shared" si="47"/>
        <v>1</v>
      </c>
    </row>
    <row r="1505" spans="1:8">
      <c r="A1505" s="739">
        <v>1960</v>
      </c>
      <c r="B1505" s="740" t="s">
        <v>9894</v>
      </c>
      <c r="C1505" s="739" t="s">
        <v>1690</v>
      </c>
      <c r="D1505" s="741">
        <f t="shared" si="46"/>
        <v>49.79</v>
      </c>
      <c r="F1505" s="1406">
        <v>49.79</v>
      </c>
      <c r="G1505" s="1406">
        <v>49.79</v>
      </c>
      <c r="H1505" t="b">
        <f t="shared" si="47"/>
        <v>1</v>
      </c>
    </row>
    <row r="1506" spans="1:8">
      <c r="A1506" s="677">
        <v>1961</v>
      </c>
      <c r="B1506" s="733" t="s">
        <v>9895</v>
      </c>
      <c r="C1506" s="677" t="s">
        <v>1690</v>
      </c>
      <c r="D1506" s="738">
        <f t="shared" si="46"/>
        <v>63.79</v>
      </c>
      <c r="F1506" s="1405">
        <v>63.79</v>
      </c>
      <c r="G1506" s="1405">
        <v>63.79</v>
      </c>
      <c r="H1506" t="b">
        <f t="shared" si="47"/>
        <v>1</v>
      </c>
    </row>
    <row r="1507" spans="1:8">
      <c r="A1507" s="739">
        <v>38423</v>
      </c>
      <c r="B1507" s="740" t="s">
        <v>9896</v>
      </c>
      <c r="C1507" s="739" t="s">
        <v>1690</v>
      </c>
      <c r="D1507" s="741">
        <f t="shared" si="46"/>
        <v>34.29</v>
      </c>
      <c r="F1507" s="1406">
        <v>34.29</v>
      </c>
      <c r="G1507" s="1406">
        <v>34.29</v>
      </c>
      <c r="H1507" t="b">
        <f t="shared" si="47"/>
        <v>1</v>
      </c>
    </row>
    <row r="1508" spans="1:8">
      <c r="A1508" s="677">
        <v>39866</v>
      </c>
      <c r="B1508" s="733" t="s">
        <v>9897</v>
      </c>
      <c r="C1508" s="677" t="s">
        <v>1690</v>
      </c>
      <c r="D1508" s="738">
        <f t="shared" si="46"/>
        <v>17.21</v>
      </c>
      <c r="F1508" s="1405">
        <v>17.21</v>
      </c>
      <c r="G1508" s="1405">
        <v>17.21</v>
      </c>
      <c r="H1508" t="b">
        <f t="shared" si="47"/>
        <v>1</v>
      </c>
    </row>
    <row r="1509" spans="1:8">
      <c r="A1509" s="739">
        <v>39867</v>
      </c>
      <c r="B1509" s="740" t="s">
        <v>9898</v>
      </c>
      <c r="C1509" s="739" t="s">
        <v>1690</v>
      </c>
      <c r="D1509" s="741">
        <f t="shared" si="46"/>
        <v>38.26</v>
      </c>
      <c r="F1509" s="1406">
        <v>38.26</v>
      </c>
      <c r="G1509" s="1406">
        <v>38.26</v>
      </c>
      <c r="H1509" t="b">
        <f t="shared" si="47"/>
        <v>1</v>
      </c>
    </row>
    <row r="1510" spans="1:8">
      <c r="A1510" s="677">
        <v>39868</v>
      </c>
      <c r="B1510" s="733" t="s">
        <v>9899</v>
      </c>
      <c r="C1510" s="677" t="s">
        <v>1690</v>
      </c>
      <c r="D1510" s="738">
        <f t="shared" si="46"/>
        <v>68.94</v>
      </c>
      <c r="F1510" s="1405">
        <v>68.94</v>
      </c>
      <c r="G1510" s="1405">
        <v>68.94</v>
      </c>
      <c r="H1510" t="b">
        <f t="shared" si="47"/>
        <v>1</v>
      </c>
    </row>
    <row r="1511" spans="1:8">
      <c r="A1511" s="739">
        <v>37999</v>
      </c>
      <c r="B1511" s="740" t="s">
        <v>9900</v>
      </c>
      <c r="C1511" s="739" t="s">
        <v>1690</v>
      </c>
      <c r="D1511" s="741">
        <f t="shared" si="46"/>
        <v>8.17</v>
      </c>
      <c r="F1511" s="1406">
        <v>8.17</v>
      </c>
      <c r="G1511" s="1406">
        <v>8.17</v>
      </c>
      <c r="H1511" t="b">
        <f t="shared" si="47"/>
        <v>1</v>
      </c>
    </row>
    <row r="1512" spans="1:8">
      <c r="A1512" s="677">
        <v>38000</v>
      </c>
      <c r="B1512" s="733" t="s">
        <v>9901</v>
      </c>
      <c r="C1512" s="677" t="s">
        <v>1690</v>
      </c>
      <c r="D1512" s="738">
        <f t="shared" si="46"/>
        <v>9.5399999999999991</v>
      </c>
      <c r="F1512" s="1405">
        <v>9.5399999999999991</v>
      </c>
      <c r="G1512" s="1405">
        <v>9.5399999999999991</v>
      </c>
      <c r="H1512" t="b">
        <f t="shared" si="47"/>
        <v>1</v>
      </c>
    </row>
    <row r="1513" spans="1:8">
      <c r="A1513" s="739">
        <v>38129</v>
      </c>
      <c r="B1513" s="740" t="s">
        <v>9902</v>
      </c>
      <c r="C1513" s="739" t="s">
        <v>1690</v>
      </c>
      <c r="D1513" s="741">
        <f t="shared" si="46"/>
        <v>4.68</v>
      </c>
      <c r="F1513" s="1406">
        <v>4.68</v>
      </c>
      <c r="G1513" s="1406">
        <v>4.68</v>
      </c>
      <c r="H1513" t="b">
        <f t="shared" si="47"/>
        <v>1</v>
      </c>
    </row>
    <row r="1514" spans="1:8">
      <c r="A1514" s="677">
        <v>38025</v>
      </c>
      <c r="B1514" s="733" t="s">
        <v>9903</v>
      </c>
      <c r="C1514" s="677" t="s">
        <v>1690</v>
      </c>
      <c r="D1514" s="738">
        <f t="shared" si="46"/>
        <v>6.36</v>
      </c>
      <c r="F1514" s="1405">
        <v>6.36</v>
      </c>
      <c r="G1514" s="1405">
        <v>6.36</v>
      </c>
      <c r="H1514" t="b">
        <f t="shared" si="47"/>
        <v>1</v>
      </c>
    </row>
    <row r="1515" spans="1:8">
      <c r="A1515" s="739">
        <v>38026</v>
      </c>
      <c r="B1515" s="740" t="s">
        <v>9904</v>
      </c>
      <c r="C1515" s="739" t="s">
        <v>1690</v>
      </c>
      <c r="D1515" s="741">
        <f t="shared" si="46"/>
        <v>15.69</v>
      </c>
      <c r="F1515" s="1406">
        <v>15.69</v>
      </c>
      <c r="G1515" s="1406">
        <v>15.69</v>
      </c>
      <c r="H1515" t="b">
        <f t="shared" si="47"/>
        <v>1</v>
      </c>
    </row>
    <row r="1516" spans="1:8">
      <c r="A1516" s="677">
        <v>1858</v>
      </c>
      <c r="B1516" s="733" t="s">
        <v>9905</v>
      </c>
      <c r="C1516" s="677" t="s">
        <v>1690</v>
      </c>
      <c r="D1516" s="738">
        <f t="shared" si="46"/>
        <v>53.13</v>
      </c>
      <c r="F1516" s="1405">
        <v>53.13</v>
      </c>
      <c r="G1516" s="1405">
        <v>53.13</v>
      </c>
      <c r="H1516" t="b">
        <f t="shared" si="47"/>
        <v>1</v>
      </c>
    </row>
    <row r="1517" spans="1:8">
      <c r="A1517" s="739">
        <v>1844</v>
      </c>
      <c r="B1517" s="740" t="s">
        <v>9906</v>
      </c>
      <c r="C1517" s="739" t="s">
        <v>1690</v>
      </c>
      <c r="D1517" s="741">
        <f t="shared" si="46"/>
        <v>121.68</v>
      </c>
      <c r="F1517" s="1406">
        <v>121.68</v>
      </c>
      <c r="G1517" s="1406">
        <v>121.68</v>
      </c>
      <c r="H1517" t="b">
        <f t="shared" si="47"/>
        <v>1</v>
      </c>
    </row>
    <row r="1518" spans="1:8">
      <c r="A1518" s="677">
        <v>1863</v>
      </c>
      <c r="B1518" s="733" t="s">
        <v>9907</v>
      </c>
      <c r="C1518" s="677" t="s">
        <v>1690</v>
      </c>
      <c r="D1518" s="738">
        <f t="shared" si="46"/>
        <v>56.54</v>
      </c>
      <c r="F1518" s="1405">
        <v>56.54</v>
      </c>
      <c r="G1518" s="1405">
        <v>56.54</v>
      </c>
      <c r="H1518" t="b">
        <f t="shared" si="47"/>
        <v>1</v>
      </c>
    </row>
    <row r="1519" spans="1:8">
      <c r="A1519" s="739">
        <v>1865</v>
      </c>
      <c r="B1519" s="740" t="s">
        <v>9908</v>
      </c>
      <c r="C1519" s="739" t="s">
        <v>1690</v>
      </c>
      <c r="D1519" s="741">
        <f t="shared" si="46"/>
        <v>147.31</v>
      </c>
      <c r="F1519" s="1406">
        <v>147.31</v>
      </c>
      <c r="G1519" s="1406">
        <v>147.31</v>
      </c>
      <c r="H1519" t="b">
        <f t="shared" si="47"/>
        <v>1</v>
      </c>
    </row>
    <row r="1520" spans="1:8">
      <c r="A1520" s="677">
        <v>36355</v>
      </c>
      <c r="B1520" s="733" t="s">
        <v>9909</v>
      </c>
      <c r="C1520" s="677" t="s">
        <v>1690</v>
      </c>
      <c r="D1520" s="738">
        <f t="shared" si="46"/>
        <v>9.4600000000000009</v>
      </c>
      <c r="F1520" s="1405">
        <v>9.4600000000000009</v>
      </c>
      <c r="G1520" s="1405">
        <v>9.4600000000000009</v>
      </c>
      <c r="H1520" t="b">
        <f t="shared" si="47"/>
        <v>1</v>
      </c>
    </row>
    <row r="1521" spans="1:8">
      <c r="A1521" s="739">
        <v>36356</v>
      </c>
      <c r="B1521" s="740" t="s">
        <v>9910</v>
      </c>
      <c r="C1521" s="739" t="s">
        <v>1690</v>
      </c>
      <c r="D1521" s="741">
        <f t="shared" si="46"/>
        <v>15.22</v>
      </c>
      <c r="F1521" s="1406">
        <v>15.22</v>
      </c>
      <c r="G1521" s="1406">
        <v>15.22</v>
      </c>
      <c r="H1521" t="b">
        <f t="shared" si="47"/>
        <v>1</v>
      </c>
    </row>
    <row r="1522" spans="1:8">
      <c r="A1522" s="677">
        <v>1966</v>
      </c>
      <c r="B1522" s="733" t="s">
        <v>9911</v>
      </c>
      <c r="C1522" s="677" t="s">
        <v>1690</v>
      </c>
      <c r="D1522" s="738">
        <f t="shared" si="46"/>
        <v>22.55</v>
      </c>
      <c r="F1522" s="1405">
        <v>22.55</v>
      </c>
      <c r="G1522" s="1405">
        <v>22.55</v>
      </c>
      <c r="H1522" t="b">
        <f t="shared" si="47"/>
        <v>1</v>
      </c>
    </row>
    <row r="1523" spans="1:8">
      <c r="A1523" s="739">
        <v>1933</v>
      </c>
      <c r="B1523" s="740" t="s">
        <v>9912</v>
      </c>
      <c r="C1523" s="739" t="s">
        <v>1690</v>
      </c>
      <c r="D1523" s="741">
        <f t="shared" si="46"/>
        <v>4.8600000000000003</v>
      </c>
      <c r="F1523" s="1406">
        <v>4.8600000000000003</v>
      </c>
      <c r="G1523" s="1406">
        <v>4.8600000000000003</v>
      </c>
      <c r="H1523" t="b">
        <f t="shared" si="47"/>
        <v>1</v>
      </c>
    </row>
    <row r="1524" spans="1:8">
      <c r="A1524" s="677">
        <v>1932</v>
      </c>
      <c r="B1524" s="733" t="s">
        <v>9913</v>
      </c>
      <c r="C1524" s="677" t="s">
        <v>1690</v>
      </c>
      <c r="D1524" s="738">
        <f t="shared" si="46"/>
        <v>11.12</v>
      </c>
      <c r="F1524" s="1405">
        <v>11.12</v>
      </c>
      <c r="G1524" s="1405">
        <v>11.12</v>
      </c>
      <c r="H1524" t="b">
        <f t="shared" si="47"/>
        <v>1</v>
      </c>
    </row>
    <row r="1525" spans="1:8">
      <c r="A1525" s="739">
        <v>1951</v>
      </c>
      <c r="B1525" s="740" t="s">
        <v>9914</v>
      </c>
      <c r="C1525" s="739" t="s">
        <v>1690</v>
      </c>
      <c r="D1525" s="741">
        <f t="shared" si="46"/>
        <v>23.2</v>
      </c>
      <c r="F1525" s="1406">
        <v>23.2</v>
      </c>
      <c r="G1525" s="1406">
        <v>23.2</v>
      </c>
      <c r="H1525" t="b">
        <f t="shared" si="47"/>
        <v>1</v>
      </c>
    </row>
    <row r="1526" spans="1:8">
      <c r="A1526" s="677">
        <v>1970</v>
      </c>
      <c r="B1526" s="733" t="s">
        <v>9915</v>
      </c>
      <c r="C1526" s="677" t="s">
        <v>1690</v>
      </c>
      <c r="D1526" s="738">
        <f t="shared" si="46"/>
        <v>56.36</v>
      </c>
      <c r="F1526" s="1405">
        <v>56.36</v>
      </c>
      <c r="G1526" s="1405">
        <v>56.36</v>
      </c>
      <c r="H1526" t="b">
        <f t="shared" si="47"/>
        <v>1</v>
      </c>
    </row>
    <row r="1527" spans="1:8">
      <c r="A1527" s="739">
        <v>1967</v>
      </c>
      <c r="B1527" s="740" t="s">
        <v>9916</v>
      </c>
      <c r="C1527" s="739" t="s">
        <v>1690</v>
      </c>
      <c r="D1527" s="741">
        <f t="shared" si="46"/>
        <v>6.69</v>
      </c>
      <c r="F1527" s="1406">
        <v>6.69</v>
      </c>
      <c r="G1527" s="1406">
        <v>6.69</v>
      </c>
      <c r="H1527" t="b">
        <f t="shared" si="47"/>
        <v>1</v>
      </c>
    </row>
    <row r="1528" spans="1:8">
      <c r="A1528" s="677">
        <v>1968</v>
      </c>
      <c r="B1528" s="733" t="s">
        <v>9917</v>
      </c>
      <c r="C1528" s="677" t="s">
        <v>1690</v>
      </c>
      <c r="D1528" s="738">
        <f t="shared" si="46"/>
        <v>13.23</v>
      </c>
      <c r="F1528" s="1405">
        <v>13.23</v>
      </c>
      <c r="G1528" s="1405">
        <v>13.23</v>
      </c>
      <c r="H1528" t="b">
        <f t="shared" si="47"/>
        <v>1</v>
      </c>
    </row>
    <row r="1529" spans="1:8">
      <c r="A1529" s="739">
        <v>1969</v>
      </c>
      <c r="B1529" s="740" t="s">
        <v>9918</v>
      </c>
      <c r="C1529" s="739" t="s">
        <v>1690</v>
      </c>
      <c r="D1529" s="741">
        <f t="shared" si="46"/>
        <v>43.06</v>
      </c>
      <c r="F1529" s="1406">
        <v>43.06</v>
      </c>
      <c r="G1529" s="1406">
        <v>43.06</v>
      </c>
      <c r="H1529" t="b">
        <f t="shared" si="47"/>
        <v>1</v>
      </c>
    </row>
    <row r="1530" spans="1:8">
      <c r="A1530" s="677">
        <v>1827</v>
      </c>
      <c r="B1530" s="733" t="s">
        <v>9919</v>
      </c>
      <c r="C1530" s="677" t="s">
        <v>1690</v>
      </c>
      <c r="D1530" s="738">
        <f t="shared" si="46"/>
        <v>111.25</v>
      </c>
      <c r="F1530" s="1405">
        <v>111.25</v>
      </c>
      <c r="G1530" s="1405">
        <v>111.25</v>
      </c>
      <c r="H1530" t="b">
        <f t="shared" si="47"/>
        <v>1</v>
      </c>
    </row>
    <row r="1531" spans="1:8">
      <c r="A1531" s="739">
        <v>1831</v>
      </c>
      <c r="B1531" s="740" t="s">
        <v>9920</v>
      </c>
      <c r="C1531" s="739" t="s">
        <v>1690</v>
      </c>
      <c r="D1531" s="741">
        <f t="shared" si="46"/>
        <v>24.28</v>
      </c>
      <c r="F1531" s="1406">
        <v>24.28</v>
      </c>
      <c r="G1531" s="1406">
        <v>24.28</v>
      </c>
      <c r="H1531" t="b">
        <f t="shared" si="47"/>
        <v>1</v>
      </c>
    </row>
    <row r="1532" spans="1:8">
      <c r="A1532" s="677">
        <v>1825</v>
      </c>
      <c r="B1532" s="733" t="s">
        <v>9921</v>
      </c>
      <c r="C1532" s="677" t="s">
        <v>1690</v>
      </c>
      <c r="D1532" s="738">
        <f t="shared" si="46"/>
        <v>59.94</v>
      </c>
      <c r="F1532" s="1405">
        <v>59.94</v>
      </c>
      <c r="G1532" s="1405">
        <v>59.94</v>
      </c>
      <c r="H1532" t="b">
        <f t="shared" si="47"/>
        <v>1</v>
      </c>
    </row>
    <row r="1533" spans="1:8">
      <c r="A1533" s="739">
        <v>1828</v>
      </c>
      <c r="B1533" s="740" t="s">
        <v>9922</v>
      </c>
      <c r="C1533" s="739" t="s">
        <v>1690</v>
      </c>
      <c r="D1533" s="741">
        <f t="shared" si="46"/>
        <v>135.76</v>
      </c>
      <c r="F1533" s="1406">
        <v>135.76</v>
      </c>
      <c r="G1533" s="1406">
        <v>135.76</v>
      </c>
      <c r="H1533" t="b">
        <f t="shared" si="47"/>
        <v>1</v>
      </c>
    </row>
    <row r="1534" spans="1:8">
      <c r="A1534" s="677">
        <v>1845</v>
      </c>
      <c r="B1534" s="733" t="s">
        <v>9923</v>
      </c>
      <c r="C1534" s="677" t="s">
        <v>1690</v>
      </c>
      <c r="D1534" s="738">
        <f t="shared" si="46"/>
        <v>30.43</v>
      </c>
      <c r="F1534" s="1405">
        <v>30.43</v>
      </c>
      <c r="G1534" s="1405">
        <v>30.43</v>
      </c>
      <c r="H1534" t="b">
        <f t="shared" si="47"/>
        <v>1</v>
      </c>
    </row>
    <row r="1535" spans="1:8">
      <c r="A1535" s="739">
        <v>1824</v>
      </c>
      <c r="B1535" s="740" t="s">
        <v>9924</v>
      </c>
      <c r="C1535" s="739" t="s">
        <v>1690</v>
      </c>
      <c r="D1535" s="741">
        <f t="shared" si="46"/>
        <v>71.849999999999994</v>
      </c>
      <c r="F1535" s="1406">
        <v>71.849999999999994</v>
      </c>
      <c r="G1535" s="1406">
        <v>71.849999999999994</v>
      </c>
      <c r="H1535" t="b">
        <f t="shared" si="47"/>
        <v>1</v>
      </c>
    </row>
    <row r="1536" spans="1:8">
      <c r="A1536" s="677">
        <v>1940</v>
      </c>
      <c r="B1536" s="733" t="s">
        <v>9925</v>
      </c>
      <c r="C1536" s="677" t="s">
        <v>1690</v>
      </c>
      <c r="D1536" s="738">
        <f t="shared" si="46"/>
        <v>31.68</v>
      </c>
      <c r="F1536" s="1405">
        <v>31.68</v>
      </c>
      <c r="G1536" s="1405">
        <v>31.68</v>
      </c>
      <c r="H1536" t="b">
        <f t="shared" si="47"/>
        <v>1</v>
      </c>
    </row>
    <row r="1537" spans="1:8">
      <c r="A1537" s="739">
        <v>1937</v>
      </c>
      <c r="B1537" s="740" t="s">
        <v>9926</v>
      </c>
      <c r="C1537" s="739" t="s">
        <v>1690</v>
      </c>
      <c r="D1537" s="741">
        <f t="shared" si="46"/>
        <v>5.35</v>
      </c>
      <c r="F1537" s="1406">
        <v>5.35</v>
      </c>
      <c r="G1537" s="1406">
        <v>5.35</v>
      </c>
      <c r="H1537" t="b">
        <f t="shared" si="47"/>
        <v>1</v>
      </c>
    </row>
    <row r="1538" spans="1:8">
      <c r="A1538" s="677">
        <v>1939</v>
      </c>
      <c r="B1538" s="733" t="s">
        <v>9927</v>
      </c>
      <c r="C1538" s="677" t="s">
        <v>1690</v>
      </c>
      <c r="D1538" s="738">
        <f t="shared" si="46"/>
        <v>8.69</v>
      </c>
      <c r="F1538" s="1405">
        <v>8.69</v>
      </c>
      <c r="G1538" s="1405">
        <v>8.69</v>
      </c>
      <c r="H1538" t="b">
        <f t="shared" si="47"/>
        <v>1</v>
      </c>
    </row>
    <row r="1539" spans="1:8">
      <c r="A1539" s="739">
        <v>1938</v>
      </c>
      <c r="B1539" s="740" t="s">
        <v>9928</v>
      </c>
      <c r="C1539" s="739" t="s">
        <v>1690</v>
      </c>
      <c r="D1539" s="741">
        <f t="shared" ref="D1539:D1602" si="48">IF($J$2=$F$1,F1539,G1539)</f>
        <v>6.08</v>
      </c>
      <c r="F1539" s="1406">
        <v>6.08</v>
      </c>
      <c r="G1539" s="1406">
        <v>6.08</v>
      </c>
      <c r="H1539" t="b">
        <f t="shared" ref="H1539:H1602" si="49">F1539=G1539</f>
        <v>1</v>
      </c>
    </row>
    <row r="1540" spans="1:8">
      <c r="A1540" s="677">
        <v>42693</v>
      </c>
      <c r="B1540" s="733" t="s">
        <v>9929</v>
      </c>
      <c r="C1540" s="677" t="s">
        <v>1690</v>
      </c>
      <c r="D1540" s="738">
        <f t="shared" si="48"/>
        <v>413.83</v>
      </c>
      <c r="F1540" s="1405">
        <v>413.83</v>
      </c>
      <c r="G1540" s="1405">
        <v>413.83</v>
      </c>
      <c r="H1540" t="b">
        <f t="shared" si="49"/>
        <v>1</v>
      </c>
    </row>
    <row r="1541" spans="1:8">
      <c r="A1541" s="739">
        <v>42695</v>
      </c>
      <c r="B1541" s="740" t="s">
        <v>9930</v>
      </c>
      <c r="C1541" s="739" t="s">
        <v>1690</v>
      </c>
      <c r="D1541" s="741">
        <f t="shared" si="48"/>
        <v>289.12</v>
      </c>
      <c r="F1541" s="1406">
        <v>289.12</v>
      </c>
      <c r="G1541" s="1406">
        <v>289.12</v>
      </c>
      <c r="H1541" t="b">
        <f t="shared" si="49"/>
        <v>1</v>
      </c>
    </row>
    <row r="1542" spans="1:8">
      <c r="A1542" s="677">
        <v>42694</v>
      </c>
      <c r="B1542" s="733" t="s">
        <v>9931</v>
      </c>
      <c r="C1542" s="677" t="s">
        <v>1690</v>
      </c>
      <c r="D1542" s="738">
        <f t="shared" si="48"/>
        <v>553.79</v>
      </c>
      <c r="F1542" s="1405">
        <v>553.79</v>
      </c>
      <c r="G1542" s="1405">
        <v>553.79</v>
      </c>
      <c r="H1542" t="b">
        <f t="shared" si="49"/>
        <v>1</v>
      </c>
    </row>
    <row r="1543" spans="1:8">
      <c r="A1543" s="739">
        <v>20097</v>
      </c>
      <c r="B1543" s="740" t="s">
        <v>9932</v>
      </c>
      <c r="C1543" s="739" t="s">
        <v>1690</v>
      </c>
      <c r="D1543" s="741">
        <f t="shared" si="48"/>
        <v>24.01</v>
      </c>
      <c r="F1543" s="1406">
        <v>24.01</v>
      </c>
      <c r="G1543" s="1406">
        <v>24.01</v>
      </c>
      <c r="H1543" t="b">
        <f t="shared" si="49"/>
        <v>1</v>
      </c>
    </row>
    <row r="1544" spans="1:8">
      <c r="A1544" s="677">
        <v>20098</v>
      </c>
      <c r="B1544" s="733" t="s">
        <v>9933</v>
      </c>
      <c r="C1544" s="677" t="s">
        <v>1690</v>
      </c>
      <c r="D1544" s="738">
        <f t="shared" si="48"/>
        <v>98.14</v>
      </c>
      <c r="F1544" s="1405">
        <v>98.14</v>
      </c>
      <c r="G1544" s="1405">
        <v>98.14</v>
      </c>
      <c r="H1544" t="b">
        <f t="shared" si="49"/>
        <v>1</v>
      </c>
    </row>
    <row r="1545" spans="1:8">
      <c r="A1545" s="739">
        <v>20096</v>
      </c>
      <c r="B1545" s="740" t="s">
        <v>9934</v>
      </c>
      <c r="C1545" s="739" t="s">
        <v>1690</v>
      </c>
      <c r="D1545" s="741">
        <f t="shared" si="48"/>
        <v>24.85</v>
      </c>
      <c r="F1545" s="1406">
        <v>24.85</v>
      </c>
      <c r="G1545" s="1406">
        <v>24.85</v>
      </c>
      <c r="H1545" t="b">
        <f t="shared" si="49"/>
        <v>1</v>
      </c>
    </row>
    <row r="1546" spans="1:8">
      <c r="A1546" s="677">
        <v>1880</v>
      </c>
      <c r="B1546" s="733" t="s">
        <v>9935</v>
      </c>
      <c r="C1546" s="677" t="s">
        <v>1690</v>
      </c>
      <c r="D1546" s="738">
        <f t="shared" si="48"/>
        <v>3.6</v>
      </c>
      <c r="F1546" s="1405">
        <v>3.6</v>
      </c>
      <c r="G1546" s="1405">
        <v>3.6</v>
      </c>
      <c r="H1546" t="b">
        <f t="shared" si="49"/>
        <v>1</v>
      </c>
    </row>
    <row r="1547" spans="1:8">
      <c r="A1547" s="739">
        <v>39274</v>
      </c>
      <c r="B1547" s="740" t="s">
        <v>9936</v>
      </c>
      <c r="C1547" s="739" t="s">
        <v>1690</v>
      </c>
      <c r="D1547" s="741">
        <f t="shared" si="48"/>
        <v>2.79</v>
      </c>
      <c r="F1547" s="1406">
        <v>2.79</v>
      </c>
      <c r="G1547" s="1406">
        <v>2.79</v>
      </c>
      <c r="H1547" t="b">
        <f t="shared" si="49"/>
        <v>1</v>
      </c>
    </row>
    <row r="1548" spans="1:8">
      <c r="A1548" s="677">
        <v>2628</v>
      </c>
      <c r="B1548" s="733" t="s">
        <v>9937</v>
      </c>
      <c r="C1548" s="677" t="s">
        <v>1690</v>
      </c>
      <c r="D1548" s="738">
        <f t="shared" si="48"/>
        <v>217.34</v>
      </c>
      <c r="F1548" s="1405">
        <v>217.34</v>
      </c>
      <c r="G1548" s="1405">
        <v>217.34</v>
      </c>
      <c r="H1548" t="b">
        <f t="shared" si="49"/>
        <v>1</v>
      </c>
    </row>
    <row r="1549" spans="1:8">
      <c r="A1549" s="739">
        <v>2622</v>
      </c>
      <c r="B1549" s="740" t="s">
        <v>9938</v>
      </c>
      <c r="C1549" s="739" t="s">
        <v>1690</v>
      </c>
      <c r="D1549" s="741">
        <f t="shared" si="48"/>
        <v>5.16</v>
      </c>
      <c r="F1549" s="1406">
        <v>5.16</v>
      </c>
      <c r="G1549" s="1406">
        <v>5.16</v>
      </c>
      <c r="H1549" t="b">
        <f t="shared" si="49"/>
        <v>1</v>
      </c>
    </row>
    <row r="1550" spans="1:8">
      <c r="A1550" s="677">
        <v>2623</v>
      </c>
      <c r="B1550" s="733" t="s">
        <v>9939</v>
      </c>
      <c r="C1550" s="677" t="s">
        <v>1690</v>
      </c>
      <c r="D1550" s="738">
        <f t="shared" si="48"/>
        <v>6.21</v>
      </c>
      <c r="F1550" s="1405">
        <v>6.21</v>
      </c>
      <c r="G1550" s="1405">
        <v>6.21</v>
      </c>
      <c r="H1550" t="b">
        <f t="shared" si="49"/>
        <v>1</v>
      </c>
    </row>
    <row r="1551" spans="1:8">
      <c r="A1551" s="739">
        <v>2624</v>
      </c>
      <c r="B1551" s="740" t="s">
        <v>9940</v>
      </c>
      <c r="C1551" s="739" t="s">
        <v>1690</v>
      </c>
      <c r="D1551" s="741">
        <f t="shared" si="48"/>
        <v>9.8800000000000008</v>
      </c>
      <c r="F1551" s="1406">
        <v>9.8800000000000008</v>
      </c>
      <c r="G1551" s="1406">
        <v>9.8800000000000008</v>
      </c>
      <c r="H1551" t="b">
        <f t="shared" si="49"/>
        <v>1</v>
      </c>
    </row>
    <row r="1552" spans="1:8">
      <c r="A1552" s="677">
        <v>2625</v>
      </c>
      <c r="B1552" s="733" t="s">
        <v>9941</v>
      </c>
      <c r="C1552" s="677" t="s">
        <v>1690</v>
      </c>
      <c r="D1552" s="738">
        <f t="shared" si="48"/>
        <v>20.85</v>
      </c>
      <c r="F1552" s="1405">
        <v>20.85</v>
      </c>
      <c r="G1552" s="1405">
        <v>20.85</v>
      </c>
      <c r="H1552" t="b">
        <f t="shared" si="49"/>
        <v>1</v>
      </c>
    </row>
    <row r="1553" spans="1:8">
      <c r="A1553" s="739">
        <v>2626</v>
      </c>
      <c r="B1553" s="740" t="s">
        <v>9942</v>
      </c>
      <c r="C1553" s="739" t="s">
        <v>1690</v>
      </c>
      <c r="D1553" s="741">
        <f t="shared" si="48"/>
        <v>30.56</v>
      </c>
      <c r="F1553" s="1406">
        <v>30.56</v>
      </c>
      <c r="G1553" s="1406">
        <v>30.56</v>
      </c>
      <c r="H1553" t="b">
        <f t="shared" si="49"/>
        <v>1</v>
      </c>
    </row>
    <row r="1554" spans="1:8">
      <c r="A1554" s="677">
        <v>2630</v>
      </c>
      <c r="B1554" s="733" t="s">
        <v>9943</v>
      </c>
      <c r="C1554" s="677" t="s">
        <v>1690</v>
      </c>
      <c r="D1554" s="738">
        <f t="shared" si="48"/>
        <v>46.47</v>
      </c>
      <c r="F1554" s="1405">
        <v>46.47</v>
      </c>
      <c r="G1554" s="1405">
        <v>46.47</v>
      </c>
      <c r="H1554" t="b">
        <f t="shared" si="49"/>
        <v>1</v>
      </c>
    </row>
    <row r="1555" spans="1:8">
      <c r="A1555" s="739">
        <v>2627</v>
      </c>
      <c r="B1555" s="740" t="s">
        <v>9944</v>
      </c>
      <c r="C1555" s="739" t="s">
        <v>1690</v>
      </c>
      <c r="D1555" s="741">
        <f t="shared" si="48"/>
        <v>81.86</v>
      </c>
      <c r="F1555" s="1406">
        <v>81.86</v>
      </c>
      <c r="G1555" s="1406">
        <v>81.86</v>
      </c>
      <c r="H1555" t="b">
        <f t="shared" si="49"/>
        <v>1</v>
      </c>
    </row>
    <row r="1556" spans="1:8">
      <c r="A1556" s="677">
        <v>2629</v>
      </c>
      <c r="B1556" s="733" t="s">
        <v>9945</v>
      </c>
      <c r="C1556" s="677" t="s">
        <v>1690</v>
      </c>
      <c r="D1556" s="738">
        <f t="shared" si="48"/>
        <v>110.72</v>
      </c>
      <c r="F1556" s="1405">
        <v>110.72</v>
      </c>
      <c r="G1556" s="1405">
        <v>110.72</v>
      </c>
      <c r="H1556" t="b">
        <f t="shared" si="49"/>
        <v>1</v>
      </c>
    </row>
    <row r="1557" spans="1:8">
      <c r="A1557" s="739">
        <v>12033</v>
      </c>
      <c r="B1557" s="740" t="s">
        <v>9946</v>
      </c>
      <c r="C1557" s="739" t="s">
        <v>1690</v>
      </c>
      <c r="D1557" s="741">
        <f t="shared" si="48"/>
        <v>11.51</v>
      </c>
      <c r="F1557" s="1406">
        <v>11.51</v>
      </c>
      <c r="G1557" s="1406">
        <v>11.51</v>
      </c>
      <c r="H1557" t="b">
        <f t="shared" si="49"/>
        <v>1</v>
      </c>
    </row>
    <row r="1558" spans="1:8">
      <c r="A1558" s="677">
        <v>40408</v>
      </c>
      <c r="B1558" s="733" t="s">
        <v>9947</v>
      </c>
      <c r="C1558" s="677" t="s">
        <v>1690</v>
      </c>
      <c r="D1558" s="738">
        <f t="shared" si="48"/>
        <v>7.56</v>
      </c>
      <c r="F1558" s="1405">
        <v>7.56</v>
      </c>
      <c r="G1558" s="1405">
        <v>7.56</v>
      </c>
      <c r="H1558" t="b">
        <f t="shared" si="49"/>
        <v>1</v>
      </c>
    </row>
    <row r="1559" spans="1:8">
      <c r="A1559" s="739">
        <v>40409</v>
      </c>
      <c r="B1559" s="740" t="s">
        <v>9948</v>
      </c>
      <c r="C1559" s="739" t="s">
        <v>1690</v>
      </c>
      <c r="D1559" s="741">
        <f t="shared" si="48"/>
        <v>2.67</v>
      </c>
      <c r="F1559" s="1406">
        <v>2.67</v>
      </c>
      <c r="G1559" s="1406">
        <v>2.67</v>
      </c>
      <c r="H1559" t="b">
        <f t="shared" si="49"/>
        <v>1</v>
      </c>
    </row>
    <row r="1560" spans="1:8">
      <c r="A1560" s="677">
        <v>39276</v>
      </c>
      <c r="B1560" s="733" t="s">
        <v>9949</v>
      </c>
      <c r="C1560" s="677" t="s">
        <v>1690</v>
      </c>
      <c r="D1560" s="738">
        <f t="shared" si="48"/>
        <v>6.81</v>
      </c>
      <c r="F1560" s="1405">
        <v>6.81</v>
      </c>
      <c r="G1560" s="1405">
        <v>6.81</v>
      </c>
      <c r="H1560" t="b">
        <f t="shared" si="49"/>
        <v>1</v>
      </c>
    </row>
    <row r="1561" spans="1:8">
      <c r="A1561" s="739">
        <v>39277</v>
      </c>
      <c r="B1561" s="740" t="s">
        <v>9950</v>
      </c>
      <c r="C1561" s="739" t="s">
        <v>1690</v>
      </c>
      <c r="D1561" s="741">
        <f t="shared" si="48"/>
        <v>18.39</v>
      </c>
      <c r="F1561" s="1406">
        <v>18.39</v>
      </c>
      <c r="G1561" s="1406">
        <v>18.39</v>
      </c>
      <c r="H1561" t="b">
        <f t="shared" si="49"/>
        <v>1</v>
      </c>
    </row>
    <row r="1562" spans="1:8">
      <c r="A1562" s="677">
        <v>12034</v>
      </c>
      <c r="B1562" s="733" t="s">
        <v>9951</v>
      </c>
      <c r="C1562" s="677" t="s">
        <v>1690</v>
      </c>
      <c r="D1562" s="738">
        <f t="shared" si="48"/>
        <v>5.21</v>
      </c>
      <c r="F1562" s="1405">
        <v>5.21</v>
      </c>
      <c r="G1562" s="1405">
        <v>5.21</v>
      </c>
      <c r="H1562" t="b">
        <f t="shared" si="49"/>
        <v>1</v>
      </c>
    </row>
    <row r="1563" spans="1:8">
      <c r="A1563" s="739">
        <v>39879</v>
      </c>
      <c r="B1563" s="740" t="s">
        <v>9952</v>
      </c>
      <c r="C1563" s="739" t="s">
        <v>1690</v>
      </c>
      <c r="D1563" s="741">
        <f t="shared" si="48"/>
        <v>4.84</v>
      </c>
      <c r="F1563" s="1406">
        <v>4.84</v>
      </c>
      <c r="G1563" s="1406">
        <v>4.84</v>
      </c>
      <c r="H1563" t="b">
        <f t="shared" si="49"/>
        <v>1</v>
      </c>
    </row>
    <row r="1564" spans="1:8">
      <c r="A1564" s="677">
        <v>39880</v>
      </c>
      <c r="B1564" s="733" t="s">
        <v>9953</v>
      </c>
      <c r="C1564" s="677" t="s">
        <v>1690</v>
      </c>
      <c r="D1564" s="738">
        <f t="shared" si="48"/>
        <v>10.71</v>
      </c>
      <c r="F1564" s="1405">
        <v>10.71</v>
      </c>
      <c r="G1564" s="1405">
        <v>10.71</v>
      </c>
      <c r="H1564" t="b">
        <f t="shared" si="49"/>
        <v>1</v>
      </c>
    </row>
    <row r="1565" spans="1:8">
      <c r="A1565" s="739">
        <v>39881</v>
      </c>
      <c r="B1565" s="740" t="s">
        <v>9954</v>
      </c>
      <c r="C1565" s="739" t="s">
        <v>1690</v>
      </c>
      <c r="D1565" s="741">
        <f t="shared" si="48"/>
        <v>17.2</v>
      </c>
      <c r="F1565" s="1406">
        <v>17.2</v>
      </c>
      <c r="G1565" s="1406">
        <v>17.2</v>
      </c>
      <c r="H1565" t="b">
        <f t="shared" si="49"/>
        <v>1</v>
      </c>
    </row>
    <row r="1566" spans="1:8">
      <c r="A1566" s="677">
        <v>39882</v>
      </c>
      <c r="B1566" s="733" t="s">
        <v>9955</v>
      </c>
      <c r="C1566" s="677" t="s">
        <v>1690</v>
      </c>
      <c r="D1566" s="738">
        <f t="shared" si="48"/>
        <v>45.3</v>
      </c>
      <c r="F1566" s="1405">
        <v>45.3</v>
      </c>
      <c r="G1566" s="1405">
        <v>45.3</v>
      </c>
      <c r="H1566" t="b">
        <f t="shared" si="49"/>
        <v>1</v>
      </c>
    </row>
    <row r="1567" spans="1:8">
      <c r="A1567" s="739">
        <v>39883</v>
      </c>
      <c r="B1567" s="740" t="s">
        <v>9956</v>
      </c>
      <c r="C1567" s="739" t="s">
        <v>1690</v>
      </c>
      <c r="D1567" s="741">
        <f t="shared" si="48"/>
        <v>72.33</v>
      </c>
      <c r="F1567" s="1406">
        <v>72.33</v>
      </c>
      <c r="G1567" s="1406">
        <v>72.33</v>
      </c>
      <c r="H1567" t="b">
        <f t="shared" si="49"/>
        <v>1</v>
      </c>
    </row>
    <row r="1568" spans="1:8">
      <c r="A1568" s="677">
        <v>39884</v>
      </c>
      <c r="B1568" s="733" t="s">
        <v>9957</v>
      </c>
      <c r="C1568" s="677" t="s">
        <v>1690</v>
      </c>
      <c r="D1568" s="738">
        <f t="shared" si="48"/>
        <v>107.43</v>
      </c>
      <c r="F1568" s="1405">
        <v>107.43</v>
      </c>
      <c r="G1568" s="1405">
        <v>107.43</v>
      </c>
      <c r="H1568" t="b">
        <f t="shared" si="49"/>
        <v>1</v>
      </c>
    </row>
    <row r="1569" spans="1:8">
      <c r="A1569" s="739">
        <v>39885</v>
      </c>
      <c r="B1569" s="740" t="s">
        <v>9958</v>
      </c>
      <c r="C1569" s="739" t="s">
        <v>1690</v>
      </c>
      <c r="D1569" s="741">
        <f t="shared" si="48"/>
        <v>255.33</v>
      </c>
      <c r="F1569" s="1406">
        <v>255.33</v>
      </c>
      <c r="G1569" s="1406">
        <v>255.33</v>
      </c>
      <c r="H1569" t="b">
        <f t="shared" si="49"/>
        <v>1</v>
      </c>
    </row>
    <row r="1570" spans="1:8">
      <c r="A1570" s="677">
        <v>1777</v>
      </c>
      <c r="B1570" s="733" t="s">
        <v>9959</v>
      </c>
      <c r="C1570" s="677" t="s">
        <v>1690</v>
      </c>
      <c r="D1570" s="738">
        <f t="shared" si="48"/>
        <v>67.099999999999994</v>
      </c>
      <c r="F1570" s="1405">
        <v>67.099999999999994</v>
      </c>
      <c r="G1570" s="1405">
        <v>67.099999999999994</v>
      </c>
      <c r="H1570" t="b">
        <f t="shared" si="49"/>
        <v>1</v>
      </c>
    </row>
    <row r="1571" spans="1:8">
      <c r="A1571" s="739">
        <v>1819</v>
      </c>
      <c r="B1571" s="740" t="s">
        <v>9960</v>
      </c>
      <c r="C1571" s="739" t="s">
        <v>1690</v>
      </c>
      <c r="D1571" s="741">
        <f t="shared" si="48"/>
        <v>48.82</v>
      </c>
      <c r="F1571" s="1406">
        <v>48.82</v>
      </c>
      <c r="G1571" s="1406">
        <v>48.82</v>
      </c>
      <c r="H1571" t="b">
        <f t="shared" si="49"/>
        <v>1</v>
      </c>
    </row>
    <row r="1572" spans="1:8">
      <c r="A1572" s="677">
        <v>1775</v>
      </c>
      <c r="B1572" s="733" t="s">
        <v>9961</v>
      </c>
      <c r="C1572" s="677" t="s">
        <v>1690</v>
      </c>
      <c r="D1572" s="738">
        <f t="shared" si="48"/>
        <v>14.6</v>
      </c>
      <c r="F1572" s="1405">
        <v>14.6</v>
      </c>
      <c r="G1572" s="1405">
        <v>14.6</v>
      </c>
      <c r="H1572" t="b">
        <f t="shared" si="49"/>
        <v>1</v>
      </c>
    </row>
    <row r="1573" spans="1:8">
      <c r="A1573" s="739">
        <v>1776</v>
      </c>
      <c r="B1573" s="740" t="s">
        <v>9962</v>
      </c>
      <c r="C1573" s="739" t="s">
        <v>1690</v>
      </c>
      <c r="D1573" s="741">
        <f t="shared" si="48"/>
        <v>39.72</v>
      </c>
      <c r="F1573" s="1406">
        <v>39.72</v>
      </c>
      <c r="G1573" s="1406">
        <v>39.72</v>
      </c>
      <c r="H1573" t="b">
        <f t="shared" si="49"/>
        <v>1</v>
      </c>
    </row>
    <row r="1574" spans="1:8">
      <c r="A1574" s="677">
        <v>1778</v>
      </c>
      <c r="B1574" s="733" t="s">
        <v>9963</v>
      </c>
      <c r="C1574" s="677" t="s">
        <v>1690</v>
      </c>
      <c r="D1574" s="738">
        <f t="shared" si="48"/>
        <v>162.43</v>
      </c>
      <c r="F1574" s="1405">
        <v>162.43</v>
      </c>
      <c r="G1574" s="1405">
        <v>162.43</v>
      </c>
      <c r="H1574" t="b">
        <f t="shared" si="49"/>
        <v>1</v>
      </c>
    </row>
    <row r="1575" spans="1:8">
      <c r="A1575" s="739">
        <v>1818</v>
      </c>
      <c r="B1575" s="740" t="s">
        <v>9964</v>
      </c>
      <c r="C1575" s="739" t="s">
        <v>1690</v>
      </c>
      <c r="D1575" s="741">
        <f t="shared" si="48"/>
        <v>107.82</v>
      </c>
      <c r="F1575" s="1406">
        <v>107.82</v>
      </c>
      <c r="G1575" s="1406">
        <v>107.82</v>
      </c>
      <c r="H1575" t="b">
        <f t="shared" si="49"/>
        <v>1</v>
      </c>
    </row>
    <row r="1576" spans="1:8">
      <c r="A1576" s="677">
        <v>1820</v>
      </c>
      <c r="B1576" s="733" t="s">
        <v>9965</v>
      </c>
      <c r="C1576" s="677" t="s">
        <v>1690</v>
      </c>
      <c r="D1576" s="738">
        <f t="shared" si="48"/>
        <v>21.08</v>
      </c>
      <c r="F1576" s="1405">
        <v>21.08</v>
      </c>
      <c r="G1576" s="1405">
        <v>21.08</v>
      </c>
      <c r="H1576" t="b">
        <f t="shared" si="49"/>
        <v>1</v>
      </c>
    </row>
    <row r="1577" spans="1:8">
      <c r="A1577" s="739">
        <v>1779</v>
      </c>
      <c r="B1577" s="740" t="s">
        <v>9966</v>
      </c>
      <c r="C1577" s="739" t="s">
        <v>1690</v>
      </c>
      <c r="D1577" s="741">
        <f t="shared" si="48"/>
        <v>236.23</v>
      </c>
      <c r="F1577" s="1406">
        <v>236.23</v>
      </c>
      <c r="G1577" s="1406">
        <v>236.23</v>
      </c>
      <c r="H1577" t="b">
        <f t="shared" si="49"/>
        <v>1</v>
      </c>
    </row>
    <row r="1578" spans="1:8">
      <c r="A1578" s="677">
        <v>1780</v>
      </c>
      <c r="B1578" s="733" t="s">
        <v>9967</v>
      </c>
      <c r="C1578" s="677" t="s">
        <v>1690</v>
      </c>
      <c r="D1578" s="738">
        <f t="shared" si="48"/>
        <v>486.99</v>
      </c>
      <c r="F1578" s="1405">
        <v>486.99</v>
      </c>
      <c r="G1578" s="1405">
        <v>486.99</v>
      </c>
      <c r="H1578" t="b">
        <f t="shared" si="49"/>
        <v>1</v>
      </c>
    </row>
    <row r="1579" spans="1:8">
      <c r="A1579" s="739">
        <v>1783</v>
      </c>
      <c r="B1579" s="740" t="s">
        <v>9968</v>
      </c>
      <c r="C1579" s="739" t="s">
        <v>1690</v>
      </c>
      <c r="D1579" s="741">
        <f t="shared" si="48"/>
        <v>51.49</v>
      </c>
      <c r="F1579" s="1406">
        <v>51.49</v>
      </c>
      <c r="G1579" s="1406">
        <v>51.49</v>
      </c>
      <c r="H1579" t="b">
        <f t="shared" si="49"/>
        <v>1</v>
      </c>
    </row>
    <row r="1580" spans="1:8">
      <c r="A1580" s="677">
        <v>1782</v>
      </c>
      <c r="B1580" s="733" t="s">
        <v>9969</v>
      </c>
      <c r="C1580" s="677" t="s">
        <v>1690</v>
      </c>
      <c r="D1580" s="738">
        <f t="shared" si="48"/>
        <v>40.71</v>
      </c>
      <c r="F1580" s="1405">
        <v>40.71</v>
      </c>
      <c r="G1580" s="1405">
        <v>40.71</v>
      </c>
      <c r="H1580" t="b">
        <f t="shared" si="49"/>
        <v>1</v>
      </c>
    </row>
    <row r="1581" spans="1:8">
      <c r="A1581" s="739">
        <v>1817</v>
      </c>
      <c r="B1581" s="740" t="s">
        <v>9970</v>
      </c>
      <c r="C1581" s="739" t="s">
        <v>1690</v>
      </c>
      <c r="D1581" s="741">
        <f t="shared" si="48"/>
        <v>12.13</v>
      </c>
      <c r="F1581" s="1406">
        <v>12.13</v>
      </c>
      <c r="G1581" s="1406">
        <v>12.13</v>
      </c>
      <c r="H1581" t="b">
        <f t="shared" si="49"/>
        <v>1</v>
      </c>
    </row>
    <row r="1582" spans="1:8">
      <c r="A1582" s="677">
        <v>1781</v>
      </c>
      <c r="B1582" s="733" t="s">
        <v>9971</v>
      </c>
      <c r="C1582" s="677" t="s">
        <v>1690</v>
      </c>
      <c r="D1582" s="738">
        <f t="shared" si="48"/>
        <v>26.52</v>
      </c>
      <c r="F1582" s="1405">
        <v>26.52</v>
      </c>
      <c r="G1582" s="1405">
        <v>26.52</v>
      </c>
      <c r="H1582" t="b">
        <f t="shared" si="49"/>
        <v>1</v>
      </c>
    </row>
    <row r="1583" spans="1:8">
      <c r="A1583" s="739">
        <v>1784</v>
      </c>
      <c r="B1583" s="740" t="s">
        <v>9972</v>
      </c>
      <c r="C1583" s="739" t="s">
        <v>1690</v>
      </c>
      <c r="D1583" s="741">
        <f t="shared" si="48"/>
        <v>145.38999999999999</v>
      </c>
      <c r="F1583" s="1406">
        <v>145.38999999999999</v>
      </c>
      <c r="G1583" s="1406">
        <v>145.38999999999999</v>
      </c>
      <c r="H1583" t="b">
        <f t="shared" si="49"/>
        <v>1</v>
      </c>
    </row>
    <row r="1584" spans="1:8">
      <c r="A1584" s="677">
        <v>1810</v>
      </c>
      <c r="B1584" s="733" t="s">
        <v>9973</v>
      </c>
      <c r="C1584" s="677" t="s">
        <v>1690</v>
      </c>
      <c r="D1584" s="738">
        <f t="shared" si="48"/>
        <v>80.64</v>
      </c>
      <c r="F1584" s="1405">
        <v>80.64</v>
      </c>
      <c r="G1584" s="1405">
        <v>80.64</v>
      </c>
      <c r="H1584" t="b">
        <f t="shared" si="49"/>
        <v>1</v>
      </c>
    </row>
    <row r="1585" spans="1:8">
      <c r="A1585" s="739">
        <v>1811</v>
      </c>
      <c r="B1585" s="740" t="s">
        <v>9974</v>
      </c>
      <c r="C1585" s="739" t="s">
        <v>1690</v>
      </c>
      <c r="D1585" s="741">
        <f t="shared" si="48"/>
        <v>17.440000000000001</v>
      </c>
      <c r="F1585" s="1406">
        <v>17.440000000000001</v>
      </c>
      <c r="G1585" s="1406">
        <v>17.440000000000001</v>
      </c>
      <c r="H1585" t="b">
        <f t="shared" si="49"/>
        <v>1</v>
      </c>
    </row>
    <row r="1586" spans="1:8">
      <c r="A1586" s="677">
        <v>1812</v>
      </c>
      <c r="B1586" s="733" t="s">
        <v>9975</v>
      </c>
      <c r="C1586" s="677" t="s">
        <v>1690</v>
      </c>
      <c r="D1586" s="738">
        <f t="shared" si="48"/>
        <v>203.58</v>
      </c>
      <c r="F1586" s="1405">
        <v>203.58</v>
      </c>
      <c r="G1586" s="1405">
        <v>203.58</v>
      </c>
      <c r="H1586" t="b">
        <f t="shared" si="49"/>
        <v>1</v>
      </c>
    </row>
    <row r="1587" spans="1:8">
      <c r="A1587" s="739">
        <v>40386</v>
      </c>
      <c r="B1587" s="740" t="s">
        <v>9976</v>
      </c>
      <c r="C1587" s="739" t="s">
        <v>1690</v>
      </c>
      <c r="D1587" s="741">
        <f t="shared" si="48"/>
        <v>100.33</v>
      </c>
      <c r="F1587" s="1406">
        <v>100.33</v>
      </c>
      <c r="G1587" s="1406">
        <v>100.33</v>
      </c>
      <c r="H1587" t="b">
        <f t="shared" si="49"/>
        <v>1</v>
      </c>
    </row>
    <row r="1588" spans="1:8">
      <c r="A1588" s="677">
        <v>40384</v>
      </c>
      <c r="B1588" s="733" t="s">
        <v>9977</v>
      </c>
      <c r="C1588" s="677" t="s">
        <v>1690</v>
      </c>
      <c r="D1588" s="738">
        <f t="shared" si="48"/>
        <v>68.69</v>
      </c>
      <c r="F1588" s="1405">
        <v>68.69</v>
      </c>
      <c r="G1588" s="1405">
        <v>68.69</v>
      </c>
      <c r="H1588" t="b">
        <f t="shared" si="49"/>
        <v>1</v>
      </c>
    </row>
    <row r="1589" spans="1:8">
      <c r="A1589" s="739">
        <v>40379</v>
      </c>
      <c r="B1589" s="740" t="s">
        <v>9978</v>
      </c>
      <c r="C1589" s="739" t="s">
        <v>1690</v>
      </c>
      <c r="D1589" s="741">
        <f t="shared" si="48"/>
        <v>23.75</v>
      </c>
      <c r="F1589" s="1406">
        <v>23.75</v>
      </c>
      <c r="G1589" s="1406">
        <v>23.75</v>
      </c>
      <c r="H1589" t="b">
        <f t="shared" si="49"/>
        <v>1</v>
      </c>
    </row>
    <row r="1590" spans="1:8">
      <c r="A1590" s="677">
        <v>40423</v>
      </c>
      <c r="B1590" s="733" t="s">
        <v>9979</v>
      </c>
      <c r="C1590" s="677" t="s">
        <v>1690</v>
      </c>
      <c r="D1590" s="738">
        <f t="shared" si="48"/>
        <v>44.94</v>
      </c>
      <c r="F1590" s="1405">
        <v>44.94</v>
      </c>
      <c r="G1590" s="1405">
        <v>44.94</v>
      </c>
      <c r="H1590" t="b">
        <f t="shared" si="49"/>
        <v>1</v>
      </c>
    </row>
    <row r="1591" spans="1:8">
      <c r="A1591" s="739">
        <v>40389</v>
      </c>
      <c r="B1591" s="740" t="s">
        <v>9980</v>
      </c>
      <c r="C1591" s="739" t="s">
        <v>1690</v>
      </c>
      <c r="D1591" s="741">
        <f t="shared" si="48"/>
        <v>284.99</v>
      </c>
      <c r="F1591" s="1406">
        <v>284.99</v>
      </c>
      <c r="G1591" s="1406">
        <v>284.99</v>
      </c>
      <c r="H1591" t="b">
        <f t="shared" si="49"/>
        <v>1</v>
      </c>
    </row>
    <row r="1592" spans="1:8">
      <c r="A1592" s="677">
        <v>40388</v>
      </c>
      <c r="B1592" s="733" t="s">
        <v>9981</v>
      </c>
      <c r="C1592" s="677" t="s">
        <v>1690</v>
      </c>
      <c r="D1592" s="738">
        <f t="shared" si="48"/>
        <v>142.65</v>
      </c>
      <c r="F1592" s="1405">
        <v>142.65</v>
      </c>
      <c r="G1592" s="1405">
        <v>142.65</v>
      </c>
      <c r="H1592" t="b">
        <f t="shared" si="49"/>
        <v>1</v>
      </c>
    </row>
    <row r="1593" spans="1:8">
      <c r="A1593" s="739">
        <v>40381</v>
      </c>
      <c r="B1593" s="740" t="s">
        <v>9982</v>
      </c>
      <c r="C1593" s="739" t="s">
        <v>1690</v>
      </c>
      <c r="D1593" s="741">
        <f t="shared" si="48"/>
        <v>31.66</v>
      </c>
      <c r="F1593" s="1406">
        <v>31.66</v>
      </c>
      <c r="G1593" s="1406">
        <v>31.66</v>
      </c>
      <c r="H1593" t="b">
        <f t="shared" si="49"/>
        <v>1</v>
      </c>
    </row>
    <row r="1594" spans="1:8">
      <c r="A1594" s="677">
        <v>40391</v>
      </c>
      <c r="B1594" s="733" t="s">
        <v>9983</v>
      </c>
      <c r="C1594" s="677" t="s">
        <v>1690</v>
      </c>
      <c r="D1594" s="738">
        <f t="shared" si="48"/>
        <v>739.69</v>
      </c>
      <c r="F1594" s="1405">
        <v>739.69</v>
      </c>
      <c r="G1594" s="1405">
        <v>739.69</v>
      </c>
      <c r="H1594" t="b">
        <f t="shared" si="49"/>
        <v>1</v>
      </c>
    </row>
    <row r="1595" spans="1:8">
      <c r="A1595" s="739">
        <v>40414</v>
      </c>
      <c r="B1595" s="740" t="s">
        <v>9984</v>
      </c>
      <c r="C1595" s="739" t="s">
        <v>1690</v>
      </c>
      <c r="D1595" s="741">
        <f t="shared" si="48"/>
        <v>20.76</v>
      </c>
      <c r="F1595" s="1406">
        <v>20.76</v>
      </c>
      <c r="G1595" s="1406">
        <v>20.76</v>
      </c>
      <c r="H1595" t="b">
        <f t="shared" si="49"/>
        <v>1</v>
      </c>
    </row>
    <row r="1596" spans="1:8">
      <c r="A1596" s="677">
        <v>40416</v>
      </c>
      <c r="B1596" s="733" t="s">
        <v>9985</v>
      </c>
      <c r="C1596" s="677" t="s">
        <v>1690</v>
      </c>
      <c r="D1596" s="738">
        <f t="shared" si="48"/>
        <v>28.69</v>
      </c>
      <c r="F1596" s="1405">
        <v>28.69</v>
      </c>
      <c r="G1596" s="1405">
        <v>28.69</v>
      </c>
      <c r="H1596" t="b">
        <f t="shared" si="49"/>
        <v>1</v>
      </c>
    </row>
    <row r="1597" spans="1:8">
      <c r="A1597" s="739">
        <v>40418</v>
      </c>
      <c r="B1597" s="740" t="s">
        <v>9986</v>
      </c>
      <c r="C1597" s="739" t="s">
        <v>1690</v>
      </c>
      <c r="D1597" s="741">
        <f t="shared" si="48"/>
        <v>34.22</v>
      </c>
      <c r="F1597" s="1406">
        <v>34.22</v>
      </c>
      <c r="G1597" s="1406">
        <v>34.22</v>
      </c>
      <c r="H1597" t="b">
        <f t="shared" si="49"/>
        <v>1</v>
      </c>
    </row>
    <row r="1598" spans="1:8">
      <c r="A1598" s="677">
        <v>2609</v>
      </c>
      <c r="B1598" s="733" t="s">
        <v>9987</v>
      </c>
      <c r="C1598" s="677" t="s">
        <v>1690</v>
      </c>
      <c r="D1598" s="738">
        <f t="shared" si="48"/>
        <v>4.8499999999999996</v>
      </c>
      <c r="F1598" s="1405">
        <v>4.8499999999999996</v>
      </c>
      <c r="G1598" s="1405">
        <v>4.8499999999999996</v>
      </c>
      <c r="H1598" t="b">
        <f t="shared" si="49"/>
        <v>1</v>
      </c>
    </row>
    <row r="1599" spans="1:8">
      <c r="A1599" s="739">
        <v>2634</v>
      </c>
      <c r="B1599" s="740" t="s">
        <v>9988</v>
      </c>
      <c r="C1599" s="739" t="s">
        <v>1690</v>
      </c>
      <c r="D1599" s="741">
        <f t="shared" si="48"/>
        <v>6.37</v>
      </c>
      <c r="F1599" s="1406">
        <v>6.37</v>
      </c>
      <c r="G1599" s="1406">
        <v>6.37</v>
      </c>
      <c r="H1599" t="b">
        <f t="shared" si="49"/>
        <v>1</v>
      </c>
    </row>
    <row r="1600" spans="1:8">
      <c r="A1600" s="677">
        <v>2611</v>
      </c>
      <c r="B1600" s="733" t="s">
        <v>9989</v>
      </c>
      <c r="C1600" s="677" t="s">
        <v>1690</v>
      </c>
      <c r="D1600" s="738">
        <f t="shared" si="48"/>
        <v>17.95</v>
      </c>
      <c r="F1600" s="1405">
        <v>17.95</v>
      </c>
      <c r="G1600" s="1405">
        <v>17.95</v>
      </c>
      <c r="H1600" t="b">
        <f t="shared" si="49"/>
        <v>1</v>
      </c>
    </row>
    <row r="1601" spans="1:8">
      <c r="A1601" s="739">
        <v>34359</v>
      </c>
      <c r="B1601" s="740" t="s">
        <v>9990</v>
      </c>
      <c r="C1601" s="739" t="s">
        <v>1690</v>
      </c>
      <c r="D1601" s="741">
        <f t="shared" si="48"/>
        <v>9.33</v>
      </c>
      <c r="F1601" s="1406">
        <v>9.33</v>
      </c>
      <c r="G1601" s="1406">
        <v>9.33</v>
      </c>
      <c r="H1601" t="b">
        <f t="shared" si="49"/>
        <v>1</v>
      </c>
    </row>
    <row r="1602" spans="1:8">
      <c r="A1602" s="677">
        <v>1789</v>
      </c>
      <c r="B1602" s="733" t="s">
        <v>9991</v>
      </c>
      <c r="C1602" s="677" t="s">
        <v>1690</v>
      </c>
      <c r="D1602" s="738">
        <f t="shared" si="48"/>
        <v>64.400000000000006</v>
      </c>
      <c r="F1602" s="1405">
        <v>64.400000000000006</v>
      </c>
      <c r="G1602" s="1405">
        <v>64.400000000000006</v>
      </c>
      <c r="H1602" t="b">
        <f t="shared" si="49"/>
        <v>1</v>
      </c>
    </row>
    <row r="1603" spans="1:8">
      <c r="A1603" s="739">
        <v>1788</v>
      </c>
      <c r="B1603" s="740" t="s">
        <v>9992</v>
      </c>
      <c r="C1603" s="739" t="s">
        <v>1690</v>
      </c>
      <c r="D1603" s="741">
        <f t="shared" ref="D1603:D1666" si="50">IF($J$2=$F$1,F1603,G1603)</f>
        <v>51.62</v>
      </c>
      <c r="F1603" s="1406">
        <v>51.62</v>
      </c>
      <c r="G1603" s="1406">
        <v>51.62</v>
      </c>
      <c r="H1603" t="b">
        <f t="shared" ref="H1603:H1666" si="51">F1603=G1603</f>
        <v>1</v>
      </c>
    </row>
    <row r="1604" spans="1:8">
      <c r="A1604" s="677">
        <v>1786</v>
      </c>
      <c r="B1604" s="733" t="s">
        <v>9993</v>
      </c>
      <c r="C1604" s="677" t="s">
        <v>1690</v>
      </c>
      <c r="D1604" s="738">
        <f t="shared" si="50"/>
        <v>12.82</v>
      </c>
      <c r="F1604" s="1405">
        <v>12.82</v>
      </c>
      <c r="G1604" s="1405">
        <v>12.82</v>
      </c>
      <c r="H1604" t="b">
        <f t="shared" si="51"/>
        <v>1</v>
      </c>
    </row>
    <row r="1605" spans="1:8">
      <c r="A1605" s="739">
        <v>1787</v>
      </c>
      <c r="B1605" s="740" t="s">
        <v>9994</v>
      </c>
      <c r="C1605" s="739" t="s">
        <v>1690</v>
      </c>
      <c r="D1605" s="741">
        <f t="shared" si="50"/>
        <v>30.69</v>
      </c>
      <c r="F1605" s="1406">
        <v>30.69</v>
      </c>
      <c r="G1605" s="1406">
        <v>30.69</v>
      </c>
      <c r="H1605" t="b">
        <f t="shared" si="51"/>
        <v>1</v>
      </c>
    </row>
    <row r="1606" spans="1:8">
      <c r="A1606" s="677">
        <v>1791</v>
      </c>
      <c r="B1606" s="733" t="s">
        <v>9995</v>
      </c>
      <c r="C1606" s="677" t="s">
        <v>1690</v>
      </c>
      <c r="D1606" s="738">
        <f t="shared" si="50"/>
        <v>186.13</v>
      </c>
      <c r="F1606" s="1405">
        <v>186.13</v>
      </c>
      <c r="G1606" s="1405">
        <v>186.13</v>
      </c>
      <c r="H1606" t="b">
        <f t="shared" si="51"/>
        <v>1</v>
      </c>
    </row>
    <row r="1607" spans="1:8">
      <c r="A1607" s="739">
        <v>1790</v>
      </c>
      <c r="B1607" s="740" t="s">
        <v>9996</v>
      </c>
      <c r="C1607" s="739" t="s">
        <v>1690</v>
      </c>
      <c r="D1607" s="741">
        <f t="shared" si="50"/>
        <v>107.25</v>
      </c>
      <c r="F1607" s="1406">
        <v>107.25</v>
      </c>
      <c r="G1607" s="1406">
        <v>107.25</v>
      </c>
      <c r="H1607" t="b">
        <f t="shared" si="51"/>
        <v>1</v>
      </c>
    </row>
    <row r="1608" spans="1:8">
      <c r="A1608" s="677">
        <v>1813</v>
      </c>
      <c r="B1608" s="733" t="s">
        <v>9997</v>
      </c>
      <c r="C1608" s="677" t="s">
        <v>1690</v>
      </c>
      <c r="D1608" s="738">
        <f t="shared" si="50"/>
        <v>20.34</v>
      </c>
      <c r="F1608" s="1405">
        <v>20.34</v>
      </c>
      <c r="G1608" s="1405">
        <v>20.34</v>
      </c>
      <c r="H1608" t="b">
        <f t="shared" si="51"/>
        <v>1</v>
      </c>
    </row>
    <row r="1609" spans="1:8">
      <c r="A1609" s="739">
        <v>1792</v>
      </c>
      <c r="B1609" s="740" t="s">
        <v>9998</v>
      </c>
      <c r="C1609" s="739" t="s">
        <v>1690</v>
      </c>
      <c r="D1609" s="741">
        <f t="shared" si="50"/>
        <v>251.25</v>
      </c>
      <c r="F1609" s="1406">
        <v>251.25</v>
      </c>
      <c r="G1609" s="1406">
        <v>251.25</v>
      </c>
      <c r="H1609" t="b">
        <f t="shared" si="51"/>
        <v>1</v>
      </c>
    </row>
    <row r="1610" spans="1:8">
      <c r="A1610" s="677">
        <v>1793</v>
      </c>
      <c r="B1610" s="733" t="s">
        <v>9999</v>
      </c>
      <c r="C1610" s="677" t="s">
        <v>1690</v>
      </c>
      <c r="D1610" s="738">
        <f t="shared" si="50"/>
        <v>507.69</v>
      </c>
      <c r="F1610" s="1405">
        <v>507.69</v>
      </c>
      <c r="G1610" s="1405">
        <v>507.69</v>
      </c>
      <c r="H1610" t="b">
        <f t="shared" si="51"/>
        <v>1</v>
      </c>
    </row>
    <row r="1611" spans="1:8">
      <c r="A1611" s="739">
        <v>1809</v>
      </c>
      <c r="B1611" s="740" t="s">
        <v>10000</v>
      </c>
      <c r="C1611" s="739" t="s">
        <v>1690</v>
      </c>
      <c r="D1611" s="741">
        <f t="shared" si="50"/>
        <v>60.38</v>
      </c>
      <c r="F1611" s="1406">
        <v>60.38</v>
      </c>
      <c r="G1611" s="1406">
        <v>60.38</v>
      </c>
      <c r="H1611" t="b">
        <f t="shared" si="51"/>
        <v>1</v>
      </c>
    </row>
    <row r="1612" spans="1:8">
      <c r="A1612" s="677">
        <v>1814</v>
      </c>
      <c r="B1612" s="733" t="s">
        <v>10001</v>
      </c>
      <c r="C1612" s="677" t="s">
        <v>1690</v>
      </c>
      <c r="D1612" s="738">
        <f t="shared" si="50"/>
        <v>49.6</v>
      </c>
      <c r="F1612" s="1405">
        <v>49.6</v>
      </c>
      <c r="G1612" s="1405">
        <v>49.6</v>
      </c>
      <c r="H1612" t="b">
        <f t="shared" si="51"/>
        <v>1</v>
      </c>
    </row>
    <row r="1613" spans="1:8">
      <c r="A1613" s="739">
        <v>1803</v>
      </c>
      <c r="B1613" s="740" t="s">
        <v>10002</v>
      </c>
      <c r="C1613" s="739" t="s">
        <v>1690</v>
      </c>
      <c r="D1613" s="741">
        <f t="shared" si="50"/>
        <v>12.53</v>
      </c>
      <c r="F1613" s="1406">
        <v>12.53</v>
      </c>
      <c r="G1613" s="1406">
        <v>12.53</v>
      </c>
      <c r="H1613" t="b">
        <f t="shared" si="51"/>
        <v>1</v>
      </c>
    </row>
    <row r="1614" spans="1:8">
      <c r="A1614" s="677">
        <v>1805</v>
      </c>
      <c r="B1614" s="733" t="s">
        <v>10003</v>
      </c>
      <c r="C1614" s="677" t="s">
        <v>1690</v>
      </c>
      <c r="D1614" s="738">
        <f t="shared" si="50"/>
        <v>28.79</v>
      </c>
      <c r="F1614" s="1405">
        <v>28.79</v>
      </c>
      <c r="G1614" s="1405">
        <v>28.79</v>
      </c>
      <c r="H1614" t="b">
        <f t="shared" si="51"/>
        <v>1</v>
      </c>
    </row>
    <row r="1615" spans="1:8">
      <c r="A1615" s="739">
        <v>1821</v>
      </c>
      <c r="B1615" s="740" t="s">
        <v>10004</v>
      </c>
      <c r="C1615" s="739" t="s">
        <v>1690</v>
      </c>
      <c r="D1615" s="741">
        <f t="shared" si="50"/>
        <v>170.06</v>
      </c>
      <c r="F1615" s="1406">
        <v>170.06</v>
      </c>
      <c r="G1615" s="1406">
        <v>170.06</v>
      </c>
      <c r="H1615" t="b">
        <f t="shared" si="51"/>
        <v>1</v>
      </c>
    </row>
    <row r="1616" spans="1:8">
      <c r="A1616" s="677">
        <v>1806</v>
      </c>
      <c r="B1616" s="733" t="s">
        <v>10005</v>
      </c>
      <c r="C1616" s="677" t="s">
        <v>1690</v>
      </c>
      <c r="D1616" s="738">
        <f t="shared" si="50"/>
        <v>101.22</v>
      </c>
      <c r="F1616" s="1405">
        <v>101.22</v>
      </c>
      <c r="G1616" s="1405">
        <v>101.22</v>
      </c>
      <c r="H1616" t="b">
        <f t="shared" si="51"/>
        <v>1</v>
      </c>
    </row>
    <row r="1617" spans="1:8">
      <c r="A1617" s="739">
        <v>1804</v>
      </c>
      <c r="B1617" s="740" t="s">
        <v>10006</v>
      </c>
      <c r="C1617" s="739" t="s">
        <v>1690</v>
      </c>
      <c r="D1617" s="741">
        <f t="shared" si="50"/>
        <v>17.84</v>
      </c>
      <c r="F1617" s="1406">
        <v>17.84</v>
      </c>
      <c r="G1617" s="1406">
        <v>17.84</v>
      </c>
      <c r="H1617" t="b">
        <f t="shared" si="51"/>
        <v>1</v>
      </c>
    </row>
    <row r="1618" spans="1:8">
      <c r="A1618" s="677">
        <v>1807</v>
      </c>
      <c r="B1618" s="733" t="s">
        <v>10007</v>
      </c>
      <c r="C1618" s="677" t="s">
        <v>1690</v>
      </c>
      <c r="D1618" s="738">
        <f t="shared" si="50"/>
        <v>243.21</v>
      </c>
      <c r="F1618" s="1405">
        <v>243.21</v>
      </c>
      <c r="G1618" s="1405">
        <v>243.21</v>
      </c>
      <c r="H1618" t="b">
        <f t="shared" si="51"/>
        <v>1</v>
      </c>
    </row>
    <row r="1619" spans="1:8">
      <c r="A1619" s="739">
        <v>1808</v>
      </c>
      <c r="B1619" s="740" t="s">
        <v>10008</v>
      </c>
      <c r="C1619" s="739" t="s">
        <v>1690</v>
      </c>
      <c r="D1619" s="741">
        <f t="shared" si="50"/>
        <v>487.59</v>
      </c>
      <c r="F1619" s="1406">
        <v>487.59</v>
      </c>
      <c r="G1619" s="1406">
        <v>487.59</v>
      </c>
      <c r="H1619" t="b">
        <f t="shared" si="51"/>
        <v>1</v>
      </c>
    </row>
    <row r="1620" spans="1:8">
      <c r="A1620" s="677">
        <v>1797</v>
      </c>
      <c r="B1620" s="733" t="s">
        <v>10009</v>
      </c>
      <c r="C1620" s="677" t="s">
        <v>1690</v>
      </c>
      <c r="D1620" s="738">
        <f t="shared" si="50"/>
        <v>73.13</v>
      </c>
      <c r="F1620" s="1405">
        <v>73.13</v>
      </c>
      <c r="G1620" s="1405">
        <v>73.13</v>
      </c>
      <c r="H1620" t="b">
        <f t="shared" si="51"/>
        <v>1</v>
      </c>
    </row>
    <row r="1621" spans="1:8">
      <c r="A1621" s="739">
        <v>1796</v>
      </c>
      <c r="B1621" s="740" t="s">
        <v>10010</v>
      </c>
      <c r="C1621" s="739" t="s">
        <v>1690</v>
      </c>
      <c r="D1621" s="741">
        <f t="shared" si="50"/>
        <v>56.09</v>
      </c>
      <c r="F1621" s="1406">
        <v>56.09</v>
      </c>
      <c r="G1621" s="1406">
        <v>56.09</v>
      </c>
      <c r="H1621" t="b">
        <f t="shared" si="51"/>
        <v>1</v>
      </c>
    </row>
    <row r="1622" spans="1:8">
      <c r="A1622" s="677">
        <v>1794</v>
      </c>
      <c r="B1622" s="733" t="s">
        <v>10011</v>
      </c>
      <c r="C1622" s="677" t="s">
        <v>1690</v>
      </c>
      <c r="D1622" s="738">
        <f t="shared" si="50"/>
        <v>13.39</v>
      </c>
      <c r="F1622" s="1405">
        <v>13.39</v>
      </c>
      <c r="G1622" s="1405">
        <v>13.39</v>
      </c>
      <c r="H1622" t="b">
        <f t="shared" si="51"/>
        <v>1</v>
      </c>
    </row>
    <row r="1623" spans="1:8">
      <c r="A1623" s="739">
        <v>1816</v>
      </c>
      <c r="B1623" s="740" t="s">
        <v>10012</v>
      </c>
      <c r="C1623" s="739" t="s">
        <v>1690</v>
      </c>
      <c r="D1623" s="741">
        <f t="shared" si="50"/>
        <v>30.19</v>
      </c>
      <c r="F1623" s="1406">
        <v>30.19</v>
      </c>
      <c r="G1623" s="1406">
        <v>30.19</v>
      </c>
      <c r="H1623" t="b">
        <f t="shared" si="51"/>
        <v>1</v>
      </c>
    </row>
    <row r="1624" spans="1:8">
      <c r="A1624" s="677">
        <v>1815</v>
      </c>
      <c r="B1624" s="733" t="s">
        <v>10013</v>
      </c>
      <c r="C1624" s="677" t="s">
        <v>1690</v>
      </c>
      <c r="D1624" s="738">
        <f t="shared" si="50"/>
        <v>231.87</v>
      </c>
      <c r="F1624" s="1405">
        <v>231.87</v>
      </c>
      <c r="G1624" s="1405">
        <v>231.87</v>
      </c>
      <c r="H1624" t="b">
        <f t="shared" si="51"/>
        <v>1</v>
      </c>
    </row>
    <row r="1625" spans="1:8">
      <c r="A1625" s="739">
        <v>1798</v>
      </c>
      <c r="B1625" s="740" t="s">
        <v>10014</v>
      </c>
      <c r="C1625" s="739" t="s">
        <v>1690</v>
      </c>
      <c r="D1625" s="741">
        <f t="shared" si="50"/>
        <v>103.75</v>
      </c>
      <c r="F1625" s="1406">
        <v>103.75</v>
      </c>
      <c r="G1625" s="1406">
        <v>103.75</v>
      </c>
      <c r="H1625" t="b">
        <f t="shared" si="51"/>
        <v>1</v>
      </c>
    </row>
    <row r="1626" spans="1:8">
      <c r="A1626" s="677">
        <v>1795</v>
      </c>
      <c r="B1626" s="733" t="s">
        <v>10015</v>
      </c>
      <c r="C1626" s="677" t="s">
        <v>1690</v>
      </c>
      <c r="D1626" s="738">
        <f t="shared" si="50"/>
        <v>18.55</v>
      </c>
      <c r="F1626" s="1405">
        <v>18.55</v>
      </c>
      <c r="G1626" s="1405">
        <v>18.55</v>
      </c>
      <c r="H1626" t="b">
        <f t="shared" si="51"/>
        <v>1</v>
      </c>
    </row>
    <row r="1627" spans="1:8">
      <c r="A1627" s="739">
        <v>1799</v>
      </c>
      <c r="B1627" s="740" t="s">
        <v>10016</v>
      </c>
      <c r="C1627" s="739" t="s">
        <v>1690</v>
      </c>
      <c r="D1627" s="741">
        <f t="shared" si="50"/>
        <v>301.99</v>
      </c>
      <c r="F1627" s="1406">
        <v>301.99</v>
      </c>
      <c r="G1627" s="1406">
        <v>301.99</v>
      </c>
      <c r="H1627" t="b">
        <f t="shared" si="51"/>
        <v>1</v>
      </c>
    </row>
    <row r="1628" spans="1:8">
      <c r="A1628" s="677">
        <v>1800</v>
      </c>
      <c r="B1628" s="733" t="s">
        <v>10017</v>
      </c>
      <c r="C1628" s="677" t="s">
        <v>1690</v>
      </c>
      <c r="D1628" s="738">
        <f t="shared" si="50"/>
        <v>576.54999999999995</v>
      </c>
      <c r="F1628" s="1405">
        <v>576.54999999999995</v>
      </c>
      <c r="G1628" s="1405">
        <v>576.54999999999995</v>
      </c>
      <c r="H1628" t="b">
        <f t="shared" si="51"/>
        <v>1</v>
      </c>
    </row>
    <row r="1629" spans="1:8">
      <c r="A1629" s="739">
        <v>1802</v>
      </c>
      <c r="B1629" s="740" t="s">
        <v>10018</v>
      </c>
      <c r="C1629" s="739" t="s">
        <v>1690</v>
      </c>
      <c r="D1629" s="741">
        <f t="shared" si="50"/>
        <v>1442.18</v>
      </c>
      <c r="F1629" s="1406">
        <v>1442.18</v>
      </c>
      <c r="G1629" s="1406">
        <v>1442.18</v>
      </c>
      <c r="H1629" t="b">
        <f t="shared" si="51"/>
        <v>1</v>
      </c>
    </row>
    <row r="1630" spans="1:8">
      <c r="A1630" s="677">
        <v>40385</v>
      </c>
      <c r="B1630" s="733" t="s">
        <v>10019</v>
      </c>
      <c r="C1630" s="677" t="s">
        <v>1690</v>
      </c>
      <c r="D1630" s="738">
        <f t="shared" si="50"/>
        <v>100.33</v>
      </c>
      <c r="F1630" s="1405">
        <v>100.33</v>
      </c>
      <c r="G1630" s="1405">
        <v>100.33</v>
      </c>
      <c r="H1630" t="b">
        <f t="shared" si="51"/>
        <v>1</v>
      </c>
    </row>
    <row r="1631" spans="1:8">
      <c r="A1631" s="739">
        <v>40383</v>
      </c>
      <c r="B1631" s="740" t="s">
        <v>10020</v>
      </c>
      <c r="C1631" s="739" t="s">
        <v>1690</v>
      </c>
      <c r="D1631" s="741">
        <f t="shared" si="50"/>
        <v>68.69</v>
      </c>
      <c r="F1631" s="1406">
        <v>68.69</v>
      </c>
      <c r="G1631" s="1406">
        <v>68.69</v>
      </c>
      <c r="H1631" t="b">
        <f t="shared" si="51"/>
        <v>1</v>
      </c>
    </row>
    <row r="1632" spans="1:8">
      <c r="A1632" s="677">
        <v>40378</v>
      </c>
      <c r="B1632" s="733" t="s">
        <v>10021</v>
      </c>
      <c r="C1632" s="677" t="s">
        <v>1690</v>
      </c>
      <c r="D1632" s="738">
        <f t="shared" si="50"/>
        <v>23.75</v>
      </c>
      <c r="F1632" s="1405">
        <v>23.75</v>
      </c>
      <c r="G1632" s="1405">
        <v>23.75</v>
      </c>
      <c r="H1632" t="b">
        <f t="shared" si="51"/>
        <v>1</v>
      </c>
    </row>
    <row r="1633" spans="1:8">
      <c r="A1633" s="739">
        <v>40382</v>
      </c>
      <c r="B1633" s="740" t="s">
        <v>10022</v>
      </c>
      <c r="C1633" s="739" t="s">
        <v>1690</v>
      </c>
      <c r="D1633" s="741">
        <f t="shared" si="50"/>
        <v>44.94</v>
      </c>
      <c r="F1633" s="1406">
        <v>44.94</v>
      </c>
      <c r="G1633" s="1406">
        <v>44.94</v>
      </c>
      <c r="H1633" t="b">
        <f t="shared" si="51"/>
        <v>1</v>
      </c>
    </row>
    <row r="1634" spans="1:8">
      <c r="A1634" s="677">
        <v>40422</v>
      </c>
      <c r="B1634" s="733" t="s">
        <v>10023</v>
      </c>
      <c r="C1634" s="677" t="s">
        <v>1690</v>
      </c>
      <c r="D1634" s="738">
        <f t="shared" si="50"/>
        <v>306.14</v>
      </c>
      <c r="F1634" s="1405">
        <v>306.14</v>
      </c>
      <c r="G1634" s="1405">
        <v>306.14</v>
      </c>
      <c r="H1634" t="b">
        <f t="shared" si="51"/>
        <v>1</v>
      </c>
    </row>
    <row r="1635" spans="1:8">
      <c r="A1635" s="739">
        <v>40387</v>
      </c>
      <c r="B1635" s="740" t="s">
        <v>10024</v>
      </c>
      <c r="C1635" s="739" t="s">
        <v>1690</v>
      </c>
      <c r="D1635" s="741">
        <f t="shared" si="50"/>
        <v>155.88</v>
      </c>
      <c r="F1635" s="1406">
        <v>155.88</v>
      </c>
      <c r="G1635" s="1406">
        <v>155.88</v>
      </c>
      <c r="H1635" t="b">
        <f t="shared" si="51"/>
        <v>1</v>
      </c>
    </row>
    <row r="1636" spans="1:8">
      <c r="A1636" s="677">
        <v>40380</v>
      </c>
      <c r="B1636" s="733" t="s">
        <v>10025</v>
      </c>
      <c r="C1636" s="677" t="s">
        <v>1690</v>
      </c>
      <c r="D1636" s="738">
        <f t="shared" si="50"/>
        <v>31.66</v>
      </c>
      <c r="F1636" s="1405">
        <v>31.66</v>
      </c>
      <c r="G1636" s="1405">
        <v>31.66</v>
      </c>
      <c r="H1636" t="b">
        <f t="shared" si="51"/>
        <v>1</v>
      </c>
    </row>
    <row r="1637" spans="1:8">
      <c r="A1637" s="739">
        <v>40390</v>
      </c>
      <c r="B1637" s="740" t="s">
        <v>10026</v>
      </c>
      <c r="C1637" s="739" t="s">
        <v>1690</v>
      </c>
      <c r="D1637" s="741">
        <f t="shared" si="50"/>
        <v>644.77</v>
      </c>
      <c r="F1637" s="1406">
        <v>644.77</v>
      </c>
      <c r="G1637" s="1406">
        <v>644.77</v>
      </c>
      <c r="H1637" t="b">
        <f t="shared" si="51"/>
        <v>1</v>
      </c>
    </row>
    <row r="1638" spans="1:8">
      <c r="A1638" s="677">
        <v>40413</v>
      </c>
      <c r="B1638" s="733" t="s">
        <v>10027</v>
      </c>
      <c r="C1638" s="677" t="s">
        <v>1690</v>
      </c>
      <c r="D1638" s="738">
        <f t="shared" si="50"/>
        <v>22.55</v>
      </c>
      <c r="F1638" s="1405">
        <v>22.55</v>
      </c>
      <c r="G1638" s="1405">
        <v>22.55</v>
      </c>
      <c r="H1638" t="b">
        <f t="shared" si="51"/>
        <v>1</v>
      </c>
    </row>
    <row r="1639" spans="1:8">
      <c r="A1639" s="739">
        <v>40415</v>
      </c>
      <c r="B1639" s="740" t="s">
        <v>10028</v>
      </c>
      <c r="C1639" s="739" t="s">
        <v>1690</v>
      </c>
      <c r="D1639" s="741">
        <f t="shared" si="50"/>
        <v>32.130000000000003</v>
      </c>
      <c r="F1639" s="1406">
        <v>32.130000000000003</v>
      </c>
      <c r="G1639" s="1406">
        <v>32.130000000000003</v>
      </c>
      <c r="H1639" t="b">
        <f t="shared" si="51"/>
        <v>1</v>
      </c>
    </row>
    <row r="1640" spans="1:8">
      <c r="A1640" s="677">
        <v>40417</v>
      </c>
      <c r="B1640" s="733" t="s">
        <v>10029</v>
      </c>
      <c r="C1640" s="677" t="s">
        <v>1690</v>
      </c>
      <c r="D1640" s="738">
        <f t="shared" si="50"/>
        <v>37.9</v>
      </c>
      <c r="F1640" s="1405">
        <v>37.9</v>
      </c>
      <c r="G1640" s="1405">
        <v>37.9</v>
      </c>
      <c r="H1640" t="b">
        <f t="shared" si="51"/>
        <v>1</v>
      </c>
    </row>
    <row r="1641" spans="1:8">
      <c r="A1641" s="739">
        <v>39271</v>
      </c>
      <c r="B1641" s="740" t="s">
        <v>10030</v>
      </c>
      <c r="C1641" s="739" t="s">
        <v>1690</v>
      </c>
      <c r="D1641" s="741">
        <f t="shared" si="50"/>
        <v>2.3199999999999998</v>
      </c>
      <c r="F1641" s="1406">
        <v>2.3199999999999998</v>
      </c>
      <c r="G1641" s="1406">
        <v>2.3199999999999998</v>
      </c>
      <c r="H1641" t="b">
        <f t="shared" si="51"/>
        <v>1</v>
      </c>
    </row>
    <row r="1642" spans="1:8">
      <c r="A1642" s="677">
        <v>39273</v>
      </c>
      <c r="B1642" s="733" t="s">
        <v>10031</v>
      </c>
      <c r="C1642" s="677" t="s">
        <v>1690</v>
      </c>
      <c r="D1642" s="738">
        <f t="shared" si="50"/>
        <v>3.93</v>
      </c>
      <c r="F1642" s="1405">
        <v>3.93</v>
      </c>
      <c r="G1642" s="1405">
        <v>3.93</v>
      </c>
      <c r="H1642" t="b">
        <f t="shared" si="51"/>
        <v>1</v>
      </c>
    </row>
    <row r="1643" spans="1:8">
      <c r="A1643" s="739">
        <v>39272</v>
      </c>
      <c r="B1643" s="740" t="s">
        <v>10032</v>
      </c>
      <c r="C1643" s="739" t="s">
        <v>1690</v>
      </c>
      <c r="D1643" s="741">
        <f t="shared" si="50"/>
        <v>2.85</v>
      </c>
      <c r="F1643" s="1406">
        <v>2.85</v>
      </c>
      <c r="G1643" s="1406">
        <v>2.85</v>
      </c>
      <c r="H1643" t="b">
        <f t="shared" si="51"/>
        <v>1</v>
      </c>
    </row>
    <row r="1644" spans="1:8">
      <c r="A1644" s="677">
        <v>1875</v>
      </c>
      <c r="B1644" s="733" t="s">
        <v>10033</v>
      </c>
      <c r="C1644" s="677" t="s">
        <v>1690</v>
      </c>
      <c r="D1644" s="738">
        <f t="shared" si="50"/>
        <v>6.29</v>
      </c>
      <c r="F1644" s="1405">
        <v>6.29</v>
      </c>
      <c r="G1644" s="1405">
        <v>6.29</v>
      </c>
      <c r="H1644" t="b">
        <f t="shared" si="51"/>
        <v>1</v>
      </c>
    </row>
    <row r="1645" spans="1:8">
      <c r="A1645" s="739">
        <v>1874</v>
      </c>
      <c r="B1645" s="740" t="s">
        <v>10034</v>
      </c>
      <c r="C1645" s="739" t="s">
        <v>1690</v>
      </c>
      <c r="D1645" s="741">
        <f t="shared" si="50"/>
        <v>5.19</v>
      </c>
      <c r="F1645" s="1406">
        <v>5.19</v>
      </c>
      <c r="G1645" s="1406">
        <v>5.19</v>
      </c>
      <c r="H1645" t="b">
        <f t="shared" si="51"/>
        <v>1</v>
      </c>
    </row>
    <row r="1646" spans="1:8">
      <c r="A1646" s="677">
        <v>1870</v>
      </c>
      <c r="B1646" s="733" t="s">
        <v>10035</v>
      </c>
      <c r="C1646" s="677" t="s">
        <v>1690</v>
      </c>
      <c r="D1646" s="738">
        <f t="shared" si="50"/>
        <v>3</v>
      </c>
      <c r="F1646" s="1405">
        <v>3</v>
      </c>
      <c r="G1646" s="1405">
        <v>3</v>
      </c>
      <c r="H1646" t="b">
        <f t="shared" si="51"/>
        <v>1</v>
      </c>
    </row>
    <row r="1647" spans="1:8">
      <c r="A1647" s="739">
        <v>1884</v>
      </c>
      <c r="B1647" s="740" t="s">
        <v>10036</v>
      </c>
      <c r="C1647" s="739" t="s">
        <v>1690</v>
      </c>
      <c r="D1647" s="741">
        <f t="shared" si="50"/>
        <v>4.5999999999999996</v>
      </c>
      <c r="F1647" s="1406">
        <v>4.5999999999999996</v>
      </c>
      <c r="G1647" s="1406">
        <v>4.5999999999999996</v>
      </c>
      <c r="H1647" t="b">
        <f t="shared" si="51"/>
        <v>1</v>
      </c>
    </row>
    <row r="1648" spans="1:8">
      <c r="A1648" s="677">
        <v>1887</v>
      </c>
      <c r="B1648" s="733" t="s">
        <v>10037</v>
      </c>
      <c r="C1648" s="677" t="s">
        <v>1690</v>
      </c>
      <c r="D1648" s="738">
        <f t="shared" si="50"/>
        <v>26.08</v>
      </c>
      <c r="F1648" s="1405">
        <v>26.08</v>
      </c>
      <c r="G1648" s="1405">
        <v>26.08</v>
      </c>
      <c r="H1648" t="b">
        <f t="shared" si="51"/>
        <v>1</v>
      </c>
    </row>
    <row r="1649" spans="1:8">
      <c r="A1649" s="739">
        <v>1876</v>
      </c>
      <c r="B1649" s="740" t="s">
        <v>10038</v>
      </c>
      <c r="C1649" s="739" t="s">
        <v>1690</v>
      </c>
      <c r="D1649" s="741">
        <f t="shared" si="50"/>
        <v>10.220000000000001</v>
      </c>
      <c r="F1649" s="1406">
        <v>10.220000000000001</v>
      </c>
      <c r="G1649" s="1406">
        <v>10.220000000000001</v>
      </c>
      <c r="H1649" t="b">
        <f t="shared" si="51"/>
        <v>1</v>
      </c>
    </row>
    <row r="1650" spans="1:8">
      <c r="A1650" s="677">
        <v>1879</v>
      </c>
      <c r="B1650" s="733" t="s">
        <v>10039</v>
      </c>
      <c r="C1650" s="677" t="s">
        <v>1690</v>
      </c>
      <c r="D1650" s="738">
        <f t="shared" si="50"/>
        <v>3.04</v>
      </c>
      <c r="F1650" s="1405">
        <v>3.04</v>
      </c>
      <c r="G1650" s="1405">
        <v>3.04</v>
      </c>
      <c r="H1650" t="b">
        <f t="shared" si="51"/>
        <v>1</v>
      </c>
    </row>
    <row r="1651" spans="1:8">
      <c r="A1651" s="739">
        <v>1877</v>
      </c>
      <c r="B1651" s="740" t="s">
        <v>10040</v>
      </c>
      <c r="C1651" s="739" t="s">
        <v>1690</v>
      </c>
      <c r="D1651" s="741">
        <f t="shared" si="50"/>
        <v>26.12</v>
      </c>
      <c r="F1651" s="1406">
        <v>26.12</v>
      </c>
      <c r="G1651" s="1406">
        <v>26.12</v>
      </c>
      <c r="H1651" t="b">
        <f t="shared" si="51"/>
        <v>1</v>
      </c>
    </row>
    <row r="1652" spans="1:8">
      <c r="A1652" s="677">
        <v>1878</v>
      </c>
      <c r="B1652" s="733" t="s">
        <v>10041</v>
      </c>
      <c r="C1652" s="677" t="s">
        <v>1690</v>
      </c>
      <c r="D1652" s="738">
        <f t="shared" si="50"/>
        <v>52.47</v>
      </c>
      <c r="F1652" s="1405">
        <v>52.47</v>
      </c>
      <c r="G1652" s="1405">
        <v>52.47</v>
      </c>
      <c r="H1652" t="b">
        <f t="shared" si="51"/>
        <v>1</v>
      </c>
    </row>
    <row r="1653" spans="1:8">
      <c r="A1653" s="739">
        <v>2621</v>
      </c>
      <c r="B1653" s="740" t="s">
        <v>10042</v>
      </c>
      <c r="C1653" s="739" t="s">
        <v>1690</v>
      </c>
      <c r="D1653" s="741">
        <f t="shared" si="50"/>
        <v>153.56</v>
      </c>
      <c r="F1653" s="1406">
        <v>153.56</v>
      </c>
      <c r="G1653" s="1406">
        <v>153.56</v>
      </c>
      <c r="H1653" t="b">
        <f t="shared" si="51"/>
        <v>1</v>
      </c>
    </row>
    <row r="1654" spans="1:8">
      <c r="A1654" s="677">
        <v>2616</v>
      </c>
      <c r="B1654" s="733" t="s">
        <v>10043</v>
      </c>
      <c r="C1654" s="677" t="s">
        <v>1690</v>
      </c>
      <c r="D1654" s="738">
        <f t="shared" si="50"/>
        <v>4.34</v>
      </c>
      <c r="F1654" s="1405">
        <v>4.34</v>
      </c>
      <c r="G1654" s="1405">
        <v>4.34</v>
      </c>
      <c r="H1654" t="b">
        <f t="shared" si="51"/>
        <v>1</v>
      </c>
    </row>
    <row r="1655" spans="1:8">
      <c r="A1655" s="739">
        <v>2633</v>
      </c>
      <c r="B1655" s="740" t="s">
        <v>10044</v>
      </c>
      <c r="C1655" s="739" t="s">
        <v>1690</v>
      </c>
      <c r="D1655" s="741">
        <f t="shared" si="50"/>
        <v>4.91</v>
      </c>
      <c r="F1655" s="1406">
        <v>4.91</v>
      </c>
      <c r="G1655" s="1406">
        <v>4.91</v>
      </c>
      <c r="H1655" t="b">
        <f t="shared" si="51"/>
        <v>1</v>
      </c>
    </row>
    <row r="1656" spans="1:8">
      <c r="A1656" s="677">
        <v>2617</v>
      </c>
      <c r="B1656" s="733" t="s">
        <v>10045</v>
      </c>
      <c r="C1656" s="677" t="s">
        <v>1690</v>
      </c>
      <c r="D1656" s="738">
        <f t="shared" si="50"/>
        <v>6.68</v>
      </c>
      <c r="F1656" s="1405">
        <v>6.68</v>
      </c>
      <c r="G1656" s="1405">
        <v>6.68</v>
      </c>
      <c r="H1656" t="b">
        <f t="shared" si="51"/>
        <v>1</v>
      </c>
    </row>
    <row r="1657" spans="1:8">
      <c r="A1657" s="739">
        <v>2618</v>
      </c>
      <c r="B1657" s="740" t="s">
        <v>10046</v>
      </c>
      <c r="C1657" s="739" t="s">
        <v>1690</v>
      </c>
      <c r="D1657" s="741">
        <f t="shared" si="50"/>
        <v>15.21</v>
      </c>
      <c r="F1657" s="1406">
        <v>15.21</v>
      </c>
      <c r="G1657" s="1406">
        <v>15.21</v>
      </c>
      <c r="H1657" t="b">
        <f t="shared" si="51"/>
        <v>1</v>
      </c>
    </row>
    <row r="1658" spans="1:8">
      <c r="A1658" s="677">
        <v>2632</v>
      </c>
      <c r="B1658" s="733" t="s">
        <v>10047</v>
      </c>
      <c r="C1658" s="677" t="s">
        <v>1690</v>
      </c>
      <c r="D1658" s="738">
        <f t="shared" si="50"/>
        <v>18.55</v>
      </c>
      <c r="F1658" s="1405">
        <v>18.55</v>
      </c>
      <c r="G1658" s="1405">
        <v>18.55</v>
      </c>
      <c r="H1658" t="b">
        <f t="shared" si="51"/>
        <v>1</v>
      </c>
    </row>
    <row r="1659" spans="1:8">
      <c r="A1659" s="739">
        <v>2631</v>
      </c>
      <c r="B1659" s="740" t="s">
        <v>10048</v>
      </c>
      <c r="C1659" s="739" t="s">
        <v>1690</v>
      </c>
      <c r="D1659" s="741">
        <f t="shared" si="50"/>
        <v>27.24</v>
      </c>
      <c r="F1659" s="1406">
        <v>27.24</v>
      </c>
      <c r="G1659" s="1406">
        <v>27.24</v>
      </c>
      <c r="H1659" t="b">
        <f t="shared" si="51"/>
        <v>1</v>
      </c>
    </row>
    <row r="1660" spans="1:8">
      <c r="A1660" s="677">
        <v>2619</v>
      </c>
      <c r="B1660" s="733" t="s">
        <v>10049</v>
      </c>
      <c r="C1660" s="677" t="s">
        <v>1690</v>
      </c>
      <c r="D1660" s="738">
        <f t="shared" si="50"/>
        <v>68.959999999999994</v>
      </c>
      <c r="F1660" s="1405">
        <v>68.959999999999994</v>
      </c>
      <c r="G1660" s="1405">
        <v>68.959999999999994</v>
      </c>
      <c r="H1660" t="b">
        <f t="shared" si="51"/>
        <v>1</v>
      </c>
    </row>
    <row r="1661" spans="1:8">
      <c r="A1661" s="739">
        <v>2620</v>
      </c>
      <c r="B1661" s="740" t="s">
        <v>10050</v>
      </c>
      <c r="C1661" s="739" t="s">
        <v>1690</v>
      </c>
      <c r="D1661" s="741">
        <f t="shared" si="50"/>
        <v>90.54</v>
      </c>
      <c r="F1661" s="1406">
        <v>90.54</v>
      </c>
      <c r="G1661" s="1406">
        <v>90.54</v>
      </c>
      <c r="H1661" t="b">
        <f t="shared" si="51"/>
        <v>1</v>
      </c>
    </row>
    <row r="1662" spans="1:8">
      <c r="A1662" s="677">
        <v>44472</v>
      </c>
      <c r="B1662" s="733" t="s">
        <v>10051</v>
      </c>
      <c r="C1662" s="677" t="s">
        <v>1690</v>
      </c>
      <c r="D1662" s="738">
        <f t="shared" si="50"/>
        <v>48.87</v>
      </c>
      <c r="F1662" s="1405">
        <v>48.87</v>
      </c>
      <c r="G1662" s="1405">
        <v>48.87</v>
      </c>
      <c r="H1662" t="b">
        <f t="shared" si="51"/>
        <v>1</v>
      </c>
    </row>
    <row r="1663" spans="1:8">
      <c r="A1663" s="739">
        <v>38369</v>
      </c>
      <c r="B1663" s="740" t="s">
        <v>10052</v>
      </c>
      <c r="C1663" s="739" t="s">
        <v>1690</v>
      </c>
      <c r="D1663" s="741">
        <f t="shared" si="50"/>
        <v>31.18</v>
      </c>
      <c r="F1663" s="1406">
        <v>31.18</v>
      </c>
      <c r="G1663" s="1406">
        <v>31.18</v>
      </c>
      <c r="H1663" t="b">
        <f t="shared" si="51"/>
        <v>1</v>
      </c>
    </row>
    <row r="1664" spans="1:8">
      <c r="A1664" s="677">
        <v>38370</v>
      </c>
      <c r="B1664" s="733" t="s">
        <v>10053</v>
      </c>
      <c r="C1664" s="677" t="s">
        <v>1690</v>
      </c>
      <c r="D1664" s="738">
        <f t="shared" si="50"/>
        <v>31.18</v>
      </c>
      <c r="F1664" s="1405">
        <v>31.18</v>
      </c>
      <c r="G1664" s="1405">
        <v>31.18</v>
      </c>
      <c r="H1664" t="b">
        <f t="shared" si="51"/>
        <v>1</v>
      </c>
    </row>
    <row r="1665" spans="1:8">
      <c r="A1665" s="739">
        <v>38372</v>
      </c>
      <c r="B1665" s="740" t="s">
        <v>10054</v>
      </c>
      <c r="C1665" s="739" t="s">
        <v>1690</v>
      </c>
      <c r="D1665" s="741">
        <f t="shared" si="50"/>
        <v>24.04</v>
      </c>
      <c r="F1665" s="1406">
        <v>24.04</v>
      </c>
      <c r="G1665" s="1406">
        <v>24.04</v>
      </c>
      <c r="H1665" t="b">
        <f t="shared" si="51"/>
        <v>1</v>
      </c>
    </row>
    <row r="1666" spans="1:8">
      <c r="A1666" s="677">
        <v>2357</v>
      </c>
      <c r="B1666" s="733" t="s">
        <v>10055</v>
      </c>
      <c r="C1666" s="677" t="s">
        <v>1689</v>
      </c>
      <c r="D1666" s="738">
        <f t="shared" si="50"/>
        <v>8.6999999999999993</v>
      </c>
      <c r="F1666" s="1405">
        <v>7.56</v>
      </c>
      <c r="G1666" s="1405">
        <v>8.6999999999999993</v>
      </c>
      <c r="H1666" t="b">
        <f t="shared" si="51"/>
        <v>0</v>
      </c>
    </row>
    <row r="1667" spans="1:8">
      <c r="A1667" s="739">
        <v>40806</v>
      </c>
      <c r="B1667" s="740" t="s">
        <v>10056</v>
      </c>
      <c r="C1667" s="739" t="s">
        <v>1696</v>
      </c>
      <c r="D1667" s="741">
        <f t="shared" ref="D1667:D1730" si="52">IF($J$2=$F$1,F1667,G1667)</f>
        <v>1534.39</v>
      </c>
      <c r="F1667" s="1406">
        <v>1330.77</v>
      </c>
      <c r="G1667" s="1406">
        <v>1534.39</v>
      </c>
      <c r="H1667" t="b">
        <f t="shared" ref="H1667:H1730" si="53">F1667=G1667</f>
        <v>0</v>
      </c>
    </row>
    <row r="1668" spans="1:8">
      <c r="A1668" s="677">
        <v>2355</v>
      </c>
      <c r="B1668" s="733" t="s">
        <v>10057</v>
      </c>
      <c r="C1668" s="677" t="s">
        <v>1689</v>
      </c>
      <c r="D1668" s="738">
        <f t="shared" si="52"/>
        <v>18.760000000000002</v>
      </c>
      <c r="F1668" s="1405">
        <v>16.29</v>
      </c>
      <c r="G1668" s="1405">
        <v>18.760000000000002</v>
      </c>
      <c r="H1668" t="b">
        <f t="shared" si="53"/>
        <v>0</v>
      </c>
    </row>
    <row r="1669" spans="1:8">
      <c r="A1669" s="739">
        <v>40805</v>
      </c>
      <c r="B1669" s="740" t="s">
        <v>10058</v>
      </c>
      <c r="C1669" s="739" t="s">
        <v>1696</v>
      </c>
      <c r="D1669" s="741">
        <f t="shared" si="52"/>
        <v>3302.4</v>
      </c>
      <c r="F1669" s="1406">
        <v>2864.15</v>
      </c>
      <c r="G1669" s="1406">
        <v>3302.4</v>
      </c>
      <c r="H1669" t="b">
        <f t="shared" si="53"/>
        <v>0</v>
      </c>
    </row>
    <row r="1670" spans="1:8">
      <c r="A1670" s="677">
        <v>2358</v>
      </c>
      <c r="B1670" s="733" t="s">
        <v>10059</v>
      </c>
      <c r="C1670" s="677" t="s">
        <v>1689</v>
      </c>
      <c r="D1670" s="738">
        <f t="shared" si="52"/>
        <v>20.27</v>
      </c>
      <c r="F1670" s="1405">
        <v>17.600000000000001</v>
      </c>
      <c r="G1670" s="1405">
        <v>20.27</v>
      </c>
      <c r="H1670" t="b">
        <f t="shared" si="53"/>
        <v>0</v>
      </c>
    </row>
    <row r="1671" spans="1:8">
      <c r="A1671" s="739">
        <v>40807</v>
      </c>
      <c r="B1671" s="740" t="s">
        <v>10060</v>
      </c>
      <c r="C1671" s="739" t="s">
        <v>1696</v>
      </c>
      <c r="D1671" s="741">
        <f t="shared" si="52"/>
        <v>3568.73</v>
      </c>
      <c r="F1671" s="1406">
        <v>3095.13</v>
      </c>
      <c r="G1671" s="1406">
        <v>3568.73</v>
      </c>
      <c r="H1671" t="b">
        <f t="shared" si="53"/>
        <v>0</v>
      </c>
    </row>
    <row r="1672" spans="1:8">
      <c r="A1672" s="677">
        <v>2359</v>
      </c>
      <c r="B1672" s="733" t="s">
        <v>10061</v>
      </c>
      <c r="C1672" s="677" t="s">
        <v>1689</v>
      </c>
      <c r="D1672" s="738">
        <f t="shared" si="52"/>
        <v>12.78</v>
      </c>
      <c r="F1672" s="1405">
        <v>11.1</v>
      </c>
      <c r="G1672" s="1405">
        <v>12.78</v>
      </c>
      <c r="H1672" t="b">
        <f t="shared" si="53"/>
        <v>0</v>
      </c>
    </row>
    <row r="1673" spans="1:8">
      <c r="A1673" s="739">
        <v>40808</v>
      </c>
      <c r="B1673" s="740" t="s">
        <v>10062</v>
      </c>
      <c r="C1673" s="739" t="s">
        <v>1696</v>
      </c>
      <c r="D1673" s="741">
        <f t="shared" si="52"/>
        <v>2251.1999999999998</v>
      </c>
      <c r="F1673" s="1406">
        <v>1952.45</v>
      </c>
      <c r="G1673" s="1406">
        <v>2251.1999999999998</v>
      </c>
      <c r="H1673" t="b">
        <f t="shared" si="53"/>
        <v>0</v>
      </c>
    </row>
    <row r="1674" spans="1:8">
      <c r="A1674" s="677">
        <v>44330</v>
      </c>
      <c r="B1674" s="733" t="s">
        <v>10063</v>
      </c>
      <c r="C1674" s="677" t="s">
        <v>1695</v>
      </c>
      <c r="D1674" s="738">
        <f t="shared" si="52"/>
        <v>9.19</v>
      </c>
      <c r="F1674" s="1405">
        <v>9.19</v>
      </c>
      <c r="G1674" s="1405">
        <v>9.19</v>
      </c>
      <c r="H1674" t="b">
        <f t="shared" si="53"/>
        <v>1</v>
      </c>
    </row>
    <row r="1675" spans="1:8">
      <c r="A1675" s="739">
        <v>43144</v>
      </c>
      <c r="B1675" s="740" t="s">
        <v>10064</v>
      </c>
      <c r="C1675" s="739" t="s">
        <v>1694</v>
      </c>
      <c r="D1675" s="741">
        <f t="shared" si="52"/>
        <v>37.99</v>
      </c>
      <c r="F1675" s="1406">
        <v>37.99</v>
      </c>
      <c r="G1675" s="1406">
        <v>37.99</v>
      </c>
      <c r="H1675" t="b">
        <f t="shared" si="53"/>
        <v>1</v>
      </c>
    </row>
    <row r="1676" spans="1:8">
      <c r="A1676" s="677">
        <v>39397</v>
      </c>
      <c r="B1676" s="733" t="s">
        <v>10065</v>
      </c>
      <c r="C1676" s="677" t="s">
        <v>1695</v>
      </c>
      <c r="D1676" s="738">
        <f t="shared" si="52"/>
        <v>17.309999999999999</v>
      </c>
      <c r="F1676" s="1405">
        <v>17.309999999999999</v>
      </c>
      <c r="G1676" s="1405">
        <v>17.309999999999999</v>
      </c>
      <c r="H1676" t="b">
        <f t="shared" si="53"/>
        <v>1</v>
      </c>
    </row>
    <row r="1677" spans="1:8">
      <c r="A1677" s="739">
        <v>2692</v>
      </c>
      <c r="B1677" s="740" t="s">
        <v>10066</v>
      </c>
      <c r="C1677" s="739" t="s">
        <v>1695</v>
      </c>
      <c r="D1677" s="741">
        <f t="shared" si="52"/>
        <v>6.98</v>
      </c>
      <c r="F1677" s="1406">
        <v>6.98</v>
      </c>
      <c r="G1677" s="1406">
        <v>6.98</v>
      </c>
      <c r="H1677" t="b">
        <f t="shared" si="53"/>
        <v>1</v>
      </c>
    </row>
    <row r="1678" spans="1:8">
      <c r="A1678" s="677">
        <v>44329</v>
      </c>
      <c r="B1678" s="733" t="s">
        <v>10067</v>
      </c>
      <c r="C1678" s="677" t="s">
        <v>1695</v>
      </c>
      <c r="D1678" s="738">
        <f t="shared" si="52"/>
        <v>12.04</v>
      </c>
      <c r="F1678" s="1405">
        <v>12.04</v>
      </c>
      <c r="G1678" s="1405">
        <v>12.04</v>
      </c>
      <c r="H1678" t="b">
        <f t="shared" si="53"/>
        <v>1</v>
      </c>
    </row>
    <row r="1679" spans="1:8">
      <c r="A1679" s="739">
        <v>5318</v>
      </c>
      <c r="B1679" s="740" t="s">
        <v>10068</v>
      </c>
      <c r="C1679" s="739" t="s">
        <v>1695</v>
      </c>
      <c r="D1679" s="741">
        <f t="shared" si="52"/>
        <v>19.47</v>
      </c>
      <c r="F1679" s="1406">
        <v>19.47</v>
      </c>
      <c r="G1679" s="1406">
        <v>19.47</v>
      </c>
      <c r="H1679" t="b">
        <f t="shared" si="53"/>
        <v>1</v>
      </c>
    </row>
    <row r="1680" spans="1:8">
      <c r="A1680" s="677">
        <v>5330</v>
      </c>
      <c r="B1680" s="733" t="s">
        <v>10069</v>
      </c>
      <c r="C1680" s="677" t="s">
        <v>1695</v>
      </c>
      <c r="D1680" s="738">
        <f t="shared" si="52"/>
        <v>44.38</v>
      </c>
      <c r="F1680" s="1405">
        <v>44.38</v>
      </c>
      <c r="G1680" s="1405">
        <v>44.38</v>
      </c>
      <c r="H1680" t="b">
        <f t="shared" si="53"/>
        <v>1</v>
      </c>
    </row>
    <row r="1681" spans="1:8">
      <c r="A1681" s="739">
        <v>44532</v>
      </c>
      <c r="B1681" s="740" t="s">
        <v>10070</v>
      </c>
      <c r="C1681" s="739" t="s">
        <v>1690</v>
      </c>
      <c r="D1681" s="741">
        <f t="shared" si="52"/>
        <v>49.17</v>
      </c>
      <c r="F1681" s="1406">
        <v>49.17</v>
      </c>
      <c r="G1681" s="1406">
        <v>49.17</v>
      </c>
      <c r="H1681" t="b">
        <f t="shared" si="53"/>
        <v>1</v>
      </c>
    </row>
    <row r="1682" spans="1:8">
      <c r="A1682" s="677">
        <v>44531</v>
      </c>
      <c r="B1682" s="733" t="s">
        <v>10071</v>
      </c>
      <c r="C1682" s="677" t="s">
        <v>1690</v>
      </c>
      <c r="D1682" s="738">
        <f t="shared" si="52"/>
        <v>156.28</v>
      </c>
      <c r="F1682" s="1405">
        <v>156.28</v>
      </c>
      <c r="G1682" s="1405">
        <v>156.28</v>
      </c>
      <c r="H1682" t="b">
        <f t="shared" si="53"/>
        <v>1</v>
      </c>
    </row>
    <row r="1683" spans="1:8">
      <c r="A1683" s="739">
        <v>38140</v>
      </c>
      <c r="B1683" s="740" t="s">
        <v>10072</v>
      </c>
      <c r="C1683" s="739" t="s">
        <v>1690</v>
      </c>
      <c r="D1683" s="741">
        <f t="shared" si="52"/>
        <v>37.9</v>
      </c>
      <c r="F1683" s="1406">
        <v>37.9</v>
      </c>
      <c r="G1683" s="1406">
        <v>37.9</v>
      </c>
      <c r="H1683" t="b">
        <f t="shared" si="53"/>
        <v>1</v>
      </c>
    </row>
    <row r="1684" spans="1:8">
      <c r="A1684" s="677">
        <v>13887</v>
      </c>
      <c r="B1684" s="733" t="s">
        <v>10073</v>
      </c>
      <c r="C1684" s="677" t="s">
        <v>1690</v>
      </c>
      <c r="D1684" s="738">
        <f t="shared" si="52"/>
        <v>897.31</v>
      </c>
      <c r="F1684" s="1405">
        <v>897.31</v>
      </c>
      <c r="G1684" s="1405">
        <v>897.31</v>
      </c>
      <c r="H1684" t="b">
        <f t="shared" si="53"/>
        <v>1</v>
      </c>
    </row>
    <row r="1685" spans="1:8">
      <c r="A1685" s="739">
        <v>44495</v>
      </c>
      <c r="B1685" s="740" t="s">
        <v>10074</v>
      </c>
      <c r="C1685" s="739" t="s">
        <v>1690</v>
      </c>
      <c r="D1685" s="741">
        <f t="shared" si="52"/>
        <v>39.94</v>
      </c>
      <c r="F1685" s="1406">
        <v>39.94</v>
      </c>
      <c r="G1685" s="1406">
        <v>39.94</v>
      </c>
      <c r="H1685" t="b">
        <f t="shared" si="53"/>
        <v>1</v>
      </c>
    </row>
    <row r="1686" spans="1:8">
      <c r="A1686" s="677">
        <v>44533</v>
      </c>
      <c r="B1686" s="733" t="s">
        <v>10075</v>
      </c>
      <c r="C1686" s="677" t="s">
        <v>1690</v>
      </c>
      <c r="D1686" s="738">
        <f t="shared" si="52"/>
        <v>37.72</v>
      </c>
      <c r="F1686" s="1405">
        <v>37.72</v>
      </c>
      <c r="G1686" s="1405">
        <v>37.72</v>
      </c>
      <c r="H1686" t="b">
        <f t="shared" si="53"/>
        <v>1</v>
      </c>
    </row>
    <row r="1687" spans="1:8">
      <c r="A1687" s="739">
        <v>44534</v>
      </c>
      <c r="B1687" s="740" t="s">
        <v>10076</v>
      </c>
      <c r="C1687" s="739" t="s">
        <v>1690</v>
      </c>
      <c r="D1687" s="741">
        <f t="shared" si="52"/>
        <v>9.83</v>
      </c>
      <c r="F1687" s="1406">
        <v>9.83</v>
      </c>
      <c r="G1687" s="1406">
        <v>9.83</v>
      </c>
      <c r="H1687" t="b">
        <f t="shared" si="53"/>
        <v>1</v>
      </c>
    </row>
    <row r="1688" spans="1:8">
      <c r="A1688" s="677">
        <v>34544</v>
      </c>
      <c r="B1688" s="733" t="s">
        <v>10077</v>
      </c>
      <c r="C1688" s="677" t="s">
        <v>1690</v>
      </c>
      <c r="D1688" s="738">
        <f t="shared" si="52"/>
        <v>1340.59</v>
      </c>
      <c r="F1688" s="1405">
        <v>1340.59</v>
      </c>
      <c r="G1688" s="1405">
        <v>1340.59</v>
      </c>
      <c r="H1688" t="b">
        <f t="shared" si="53"/>
        <v>1</v>
      </c>
    </row>
    <row r="1689" spans="1:8">
      <c r="A1689" s="739">
        <v>34729</v>
      </c>
      <c r="B1689" s="740" t="s">
        <v>10078</v>
      </c>
      <c r="C1689" s="739" t="s">
        <v>1690</v>
      </c>
      <c r="D1689" s="741">
        <f t="shared" si="52"/>
        <v>1054.58</v>
      </c>
      <c r="F1689" s="1406">
        <v>1054.58</v>
      </c>
      <c r="G1689" s="1406">
        <v>1054.58</v>
      </c>
      <c r="H1689" t="b">
        <f t="shared" si="53"/>
        <v>1</v>
      </c>
    </row>
    <row r="1690" spans="1:8">
      <c r="A1690" s="677">
        <v>34734</v>
      </c>
      <c r="B1690" s="733" t="s">
        <v>10079</v>
      </c>
      <c r="C1690" s="677" t="s">
        <v>1690</v>
      </c>
      <c r="D1690" s="738">
        <f t="shared" si="52"/>
        <v>1632.83</v>
      </c>
      <c r="F1690" s="1405">
        <v>1632.83</v>
      </c>
      <c r="G1690" s="1405">
        <v>1632.83</v>
      </c>
      <c r="H1690" t="b">
        <f t="shared" si="53"/>
        <v>1</v>
      </c>
    </row>
    <row r="1691" spans="1:8">
      <c r="A1691" s="739">
        <v>34738</v>
      </c>
      <c r="B1691" s="740" t="s">
        <v>10080</v>
      </c>
      <c r="C1691" s="739" t="s">
        <v>1690</v>
      </c>
      <c r="D1691" s="741">
        <f t="shared" si="52"/>
        <v>3814.81</v>
      </c>
      <c r="F1691" s="1406">
        <v>3814.81</v>
      </c>
      <c r="G1691" s="1406">
        <v>3814.81</v>
      </c>
      <c r="H1691" t="b">
        <f t="shared" si="53"/>
        <v>1</v>
      </c>
    </row>
    <row r="1692" spans="1:8">
      <c r="A1692" s="677">
        <v>34623</v>
      </c>
      <c r="B1692" s="733" t="s">
        <v>10081</v>
      </c>
      <c r="C1692" s="677" t="s">
        <v>1690</v>
      </c>
      <c r="D1692" s="738">
        <f t="shared" si="52"/>
        <v>45.71</v>
      </c>
      <c r="F1692" s="1405">
        <v>45.71</v>
      </c>
      <c r="G1692" s="1405">
        <v>45.71</v>
      </c>
      <c r="H1692" t="b">
        <f t="shared" si="53"/>
        <v>1</v>
      </c>
    </row>
    <row r="1693" spans="1:8">
      <c r="A1693" s="739">
        <v>34616</v>
      </c>
      <c r="B1693" s="740" t="s">
        <v>10082</v>
      </c>
      <c r="C1693" s="739" t="s">
        <v>1690</v>
      </c>
      <c r="D1693" s="741">
        <f t="shared" si="52"/>
        <v>46.42</v>
      </c>
      <c r="F1693" s="1406">
        <v>46.42</v>
      </c>
      <c r="G1693" s="1406">
        <v>46.42</v>
      </c>
      <c r="H1693" t="b">
        <f t="shared" si="53"/>
        <v>1</v>
      </c>
    </row>
    <row r="1694" spans="1:8">
      <c r="A1694" s="677">
        <v>34628</v>
      </c>
      <c r="B1694" s="733" t="s">
        <v>10083</v>
      </c>
      <c r="C1694" s="677" t="s">
        <v>1690</v>
      </c>
      <c r="D1694" s="738">
        <f t="shared" si="52"/>
        <v>65.48</v>
      </c>
      <c r="F1694" s="1405">
        <v>65.48</v>
      </c>
      <c r="G1694" s="1405">
        <v>65.48</v>
      </c>
      <c r="H1694" t="b">
        <f t="shared" si="53"/>
        <v>1</v>
      </c>
    </row>
    <row r="1695" spans="1:8">
      <c r="A1695" s="739">
        <v>34686</v>
      </c>
      <c r="B1695" s="740" t="s">
        <v>10084</v>
      </c>
      <c r="C1695" s="739" t="s">
        <v>1690</v>
      </c>
      <c r="D1695" s="741">
        <f t="shared" si="52"/>
        <v>12.01</v>
      </c>
      <c r="F1695" s="1406">
        <v>12.01</v>
      </c>
      <c r="G1695" s="1406">
        <v>12.01</v>
      </c>
      <c r="H1695" t="b">
        <f t="shared" si="53"/>
        <v>1</v>
      </c>
    </row>
    <row r="1696" spans="1:8">
      <c r="A1696" s="677">
        <v>34653</v>
      </c>
      <c r="B1696" s="733" t="s">
        <v>10085</v>
      </c>
      <c r="C1696" s="677" t="s">
        <v>1690</v>
      </c>
      <c r="D1696" s="738">
        <f t="shared" si="52"/>
        <v>8.1</v>
      </c>
      <c r="F1696" s="1405">
        <v>8.1</v>
      </c>
      <c r="G1696" s="1405">
        <v>8.1</v>
      </c>
      <c r="H1696" t="b">
        <f t="shared" si="53"/>
        <v>1</v>
      </c>
    </row>
    <row r="1697" spans="1:8">
      <c r="A1697" s="739">
        <v>34688</v>
      </c>
      <c r="B1697" s="740" t="s">
        <v>10086</v>
      </c>
      <c r="C1697" s="739" t="s">
        <v>1690</v>
      </c>
      <c r="D1697" s="741">
        <f t="shared" si="52"/>
        <v>14.68</v>
      </c>
      <c r="F1697" s="1406">
        <v>14.68</v>
      </c>
      <c r="G1697" s="1406">
        <v>14.68</v>
      </c>
      <c r="H1697" t="b">
        <f t="shared" si="53"/>
        <v>1</v>
      </c>
    </row>
    <row r="1698" spans="1:8">
      <c r="A1698" s="677">
        <v>34709</v>
      </c>
      <c r="B1698" s="733" t="s">
        <v>10087</v>
      </c>
      <c r="C1698" s="677" t="s">
        <v>1690</v>
      </c>
      <c r="D1698" s="738">
        <f t="shared" si="52"/>
        <v>56.88</v>
      </c>
      <c r="F1698" s="1405">
        <v>56.88</v>
      </c>
      <c r="G1698" s="1405">
        <v>56.88</v>
      </c>
      <c r="H1698" t="b">
        <f t="shared" si="53"/>
        <v>1</v>
      </c>
    </row>
    <row r="1699" spans="1:8">
      <c r="A1699" s="739">
        <v>34714</v>
      </c>
      <c r="B1699" s="740" t="s">
        <v>10088</v>
      </c>
      <c r="C1699" s="739" t="s">
        <v>1690</v>
      </c>
      <c r="D1699" s="741">
        <f t="shared" si="52"/>
        <v>67.94</v>
      </c>
      <c r="F1699" s="1406">
        <v>67.94</v>
      </c>
      <c r="G1699" s="1406">
        <v>67.94</v>
      </c>
      <c r="H1699" t="b">
        <f t="shared" si="53"/>
        <v>1</v>
      </c>
    </row>
    <row r="1700" spans="1:8">
      <c r="A1700" s="677">
        <v>2391</v>
      </c>
      <c r="B1700" s="733" t="s">
        <v>10089</v>
      </c>
      <c r="C1700" s="677" t="s">
        <v>1690</v>
      </c>
      <c r="D1700" s="738">
        <f t="shared" si="52"/>
        <v>310.27</v>
      </c>
      <c r="F1700" s="1405">
        <v>310.27</v>
      </c>
      <c r="G1700" s="1405">
        <v>310.27</v>
      </c>
      <c r="H1700" t="b">
        <f t="shared" si="53"/>
        <v>1</v>
      </c>
    </row>
    <row r="1701" spans="1:8">
      <c r="A1701" s="739">
        <v>2374</v>
      </c>
      <c r="B1701" s="740" t="s">
        <v>10090</v>
      </c>
      <c r="C1701" s="739" t="s">
        <v>1690</v>
      </c>
      <c r="D1701" s="741">
        <f t="shared" si="52"/>
        <v>351.99</v>
      </c>
      <c r="F1701" s="1406">
        <v>351.99</v>
      </c>
      <c r="G1701" s="1406">
        <v>351.99</v>
      </c>
      <c r="H1701" t="b">
        <f t="shared" si="53"/>
        <v>1</v>
      </c>
    </row>
    <row r="1702" spans="1:8">
      <c r="A1702" s="677">
        <v>2377</v>
      </c>
      <c r="B1702" s="733" t="s">
        <v>10091</v>
      </c>
      <c r="C1702" s="677" t="s">
        <v>1690</v>
      </c>
      <c r="D1702" s="738">
        <f t="shared" si="52"/>
        <v>493.98</v>
      </c>
      <c r="F1702" s="1405">
        <v>493.98</v>
      </c>
      <c r="G1702" s="1405">
        <v>493.98</v>
      </c>
      <c r="H1702" t="b">
        <f t="shared" si="53"/>
        <v>1</v>
      </c>
    </row>
    <row r="1703" spans="1:8">
      <c r="A1703" s="739">
        <v>2393</v>
      </c>
      <c r="B1703" s="740" t="s">
        <v>10092</v>
      </c>
      <c r="C1703" s="739" t="s">
        <v>1690</v>
      </c>
      <c r="D1703" s="741">
        <f t="shared" si="52"/>
        <v>827.24</v>
      </c>
      <c r="F1703" s="1406">
        <v>827.24</v>
      </c>
      <c r="G1703" s="1406">
        <v>827.24</v>
      </c>
      <c r="H1703" t="b">
        <f t="shared" si="53"/>
        <v>1</v>
      </c>
    </row>
    <row r="1704" spans="1:8">
      <c r="A1704" s="677">
        <v>34705</v>
      </c>
      <c r="B1704" s="733" t="s">
        <v>10093</v>
      </c>
      <c r="C1704" s="677" t="s">
        <v>1690</v>
      </c>
      <c r="D1704" s="738">
        <f t="shared" si="52"/>
        <v>723.54</v>
      </c>
      <c r="F1704" s="1405">
        <v>723.54</v>
      </c>
      <c r="G1704" s="1405">
        <v>723.54</v>
      </c>
      <c r="H1704" t="b">
        <f t="shared" si="53"/>
        <v>1</v>
      </c>
    </row>
    <row r="1705" spans="1:8">
      <c r="A1705" s="739">
        <v>34707</v>
      </c>
      <c r="B1705" s="740" t="s">
        <v>10094</v>
      </c>
      <c r="C1705" s="739" t="s">
        <v>1690</v>
      </c>
      <c r="D1705" s="741">
        <f t="shared" si="52"/>
        <v>1340.73</v>
      </c>
      <c r="F1705" s="1406">
        <v>1340.73</v>
      </c>
      <c r="G1705" s="1406">
        <v>1340.73</v>
      </c>
      <c r="H1705" t="b">
        <f t="shared" si="53"/>
        <v>1</v>
      </c>
    </row>
    <row r="1706" spans="1:8">
      <c r="A1706" s="677">
        <v>2378</v>
      </c>
      <c r="B1706" s="733" t="s">
        <v>10095</v>
      </c>
      <c r="C1706" s="677" t="s">
        <v>1690</v>
      </c>
      <c r="D1706" s="738">
        <f t="shared" si="52"/>
        <v>1136.32</v>
      </c>
      <c r="F1706" s="1405">
        <v>1136.32</v>
      </c>
      <c r="G1706" s="1405">
        <v>1136.32</v>
      </c>
      <c r="H1706" t="b">
        <f t="shared" si="53"/>
        <v>1</v>
      </c>
    </row>
    <row r="1707" spans="1:8">
      <c r="A1707" s="739">
        <v>2379</v>
      </c>
      <c r="B1707" s="740" t="s">
        <v>10096</v>
      </c>
      <c r="C1707" s="739" t="s">
        <v>1690</v>
      </c>
      <c r="D1707" s="741">
        <f t="shared" si="52"/>
        <v>1136.32</v>
      </c>
      <c r="F1707" s="1406">
        <v>1136.32</v>
      </c>
      <c r="G1707" s="1406">
        <v>1136.32</v>
      </c>
      <c r="H1707" t="b">
        <f t="shared" si="53"/>
        <v>1</v>
      </c>
    </row>
    <row r="1708" spans="1:8">
      <c r="A1708" s="677">
        <v>2376</v>
      </c>
      <c r="B1708" s="733" t="s">
        <v>10097</v>
      </c>
      <c r="C1708" s="677" t="s">
        <v>1690</v>
      </c>
      <c r="D1708" s="738">
        <f t="shared" si="52"/>
        <v>1871.52</v>
      </c>
      <c r="F1708" s="1405">
        <v>1871.52</v>
      </c>
      <c r="G1708" s="1405">
        <v>1871.52</v>
      </c>
      <c r="H1708" t="b">
        <f t="shared" si="53"/>
        <v>1</v>
      </c>
    </row>
    <row r="1709" spans="1:8">
      <c r="A1709" s="739">
        <v>2394</v>
      </c>
      <c r="B1709" s="740" t="s">
        <v>10098</v>
      </c>
      <c r="C1709" s="739" t="s">
        <v>1690</v>
      </c>
      <c r="D1709" s="741">
        <f t="shared" si="52"/>
        <v>4000.97</v>
      </c>
      <c r="F1709" s="1406">
        <v>4000.97</v>
      </c>
      <c r="G1709" s="1406">
        <v>4000.97</v>
      </c>
      <c r="H1709" t="b">
        <f t="shared" si="53"/>
        <v>1</v>
      </c>
    </row>
    <row r="1710" spans="1:8">
      <c r="A1710" s="677">
        <v>2388</v>
      </c>
      <c r="B1710" s="733" t="s">
        <v>10099</v>
      </c>
      <c r="C1710" s="677" t="s">
        <v>1690</v>
      </c>
      <c r="D1710" s="738">
        <f t="shared" si="52"/>
        <v>56.45</v>
      </c>
      <c r="F1710" s="1405">
        <v>56.45</v>
      </c>
      <c r="G1710" s="1405">
        <v>56.45</v>
      </c>
      <c r="H1710" t="b">
        <f t="shared" si="53"/>
        <v>1</v>
      </c>
    </row>
    <row r="1711" spans="1:8">
      <c r="A1711" s="739">
        <v>34606</v>
      </c>
      <c r="B1711" s="740" t="s">
        <v>10100</v>
      </c>
      <c r="C1711" s="739" t="s">
        <v>1690</v>
      </c>
      <c r="D1711" s="741">
        <f t="shared" si="52"/>
        <v>86.6</v>
      </c>
      <c r="F1711" s="1406">
        <v>86.6</v>
      </c>
      <c r="G1711" s="1406">
        <v>86.6</v>
      </c>
      <c r="H1711" t="b">
        <f t="shared" si="53"/>
        <v>1</v>
      </c>
    </row>
    <row r="1712" spans="1:8">
      <c r="A1712" s="677">
        <v>34689</v>
      </c>
      <c r="B1712" s="733" t="s">
        <v>10101</v>
      </c>
      <c r="C1712" s="677" t="s">
        <v>1690</v>
      </c>
      <c r="D1712" s="738">
        <f t="shared" si="52"/>
        <v>27.57</v>
      </c>
      <c r="F1712" s="1405">
        <v>27.57</v>
      </c>
      <c r="G1712" s="1405">
        <v>27.57</v>
      </c>
      <c r="H1712" t="b">
        <f t="shared" si="53"/>
        <v>1</v>
      </c>
    </row>
    <row r="1713" spans="1:8">
      <c r="A1713" s="739">
        <v>2370</v>
      </c>
      <c r="B1713" s="740" t="s">
        <v>10102</v>
      </c>
      <c r="C1713" s="739" t="s">
        <v>1690</v>
      </c>
      <c r="D1713" s="741">
        <f t="shared" si="52"/>
        <v>10.49</v>
      </c>
      <c r="F1713" s="1406">
        <v>10.49</v>
      </c>
      <c r="G1713" s="1406">
        <v>10.49</v>
      </c>
      <c r="H1713" t="b">
        <f t="shared" si="53"/>
        <v>1</v>
      </c>
    </row>
    <row r="1714" spans="1:8">
      <c r="A1714" s="677">
        <v>2386</v>
      </c>
      <c r="B1714" s="733" t="s">
        <v>10103</v>
      </c>
      <c r="C1714" s="677" t="s">
        <v>1690</v>
      </c>
      <c r="D1714" s="738">
        <f t="shared" si="52"/>
        <v>17.59</v>
      </c>
      <c r="F1714" s="1405">
        <v>17.59</v>
      </c>
      <c r="G1714" s="1405">
        <v>17.59</v>
      </c>
      <c r="H1714" t="b">
        <f t="shared" si="53"/>
        <v>1</v>
      </c>
    </row>
    <row r="1715" spans="1:8">
      <c r="A1715" s="739">
        <v>2392</v>
      </c>
      <c r="B1715" s="740" t="s">
        <v>10104</v>
      </c>
      <c r="C1715" s="739" t="s">
        <v>1690</v>
      </c>
      <c r="D1715" s="741">
        <f t="shared" si="52"/>
        <v>70.41</v>
      </c>
      <c r="F1715" s="1406">
        <v>70.41</v>
      </c>
      <c r="G1715" s="1406">
        <v>70.41</v>
      </c>
      <c r="H1715" t="b">
        <f t="shared" si="53"/>
        <v>1</v>
      </c>
    </row>
    <row r="1716" spans="1:8">
      <c r="A1716" s="677">
        <v>2373</v>
      </c>
      <c r="B1716" s="733" t="s">
        <v>10105</v>
      </c>
      <c r="C1716" s="677" t="s">
        <v>1690</v>
      </c>
      <c r="D1716" s="738">
        <f t="shared" si="52"/>
        <v>99.21</v>
      </c>
      <c r="F1716" s="1405">
        <v>99.21</v>
      </c>
      <c r="G1716" s="1405">
        <v>99.21</v>
      </c>
      <c r="H1716" t="b">
        <f t="shared" si="53"/>
        <v>1</v>
      </c>
    </row>
    <row r="1717" spans="1:8">
      <c r="A1717" s="739">
        <v>39465</v>
      </c>
      <c r="B1717" s="740" t="s">
        <v>10106</v>
      </c>
      <c r="C1717" s="739" t="s">
        <v>1690</v>
      </c>
      <c r="D1717" s="741">
        <f t="shared" si="52"/>
        <v>60.6</v>
      </c>
      <c r="F1717" s="1406">
        <v>60.6</v>
      </c>
      <c r="G1717" s="1406">
        <v>60.6</v>
      </c>
      <c r="H1717" t="b">
        <f t="shared" si="53"/>
        <v>1</v>
      </c>
    </row>
    <row r="1718" spans="1:8">
      <c r="A1718" s="677">
        <v>39466</v>
      </c>
      <c r="B1718" s="733" t="s">
        <v>10107</v>
      </c>
      <c r="C1718" s="677" t="s">
        <v>1690</v>
      </c>
      <c r="D1718" s="738">
        <f t="shared" si="52"/>
        <v>68.180000000000007</v>
      </c>
      <c r="F1718" s="1405">
        <v>68.180000000000007</v>
      </c>
      <c r="G1718" s="1405">
        <v>68.180000000000007</v>
      </c>
      <c r="H1718" t="b">
        <f t="shared" si="53"/>
        <v>1</v>
      </c>
    </row>
    <row r="1719" spans="1:8">
      <c r="A1719" s="739">
        <v>39467</v>
      </c>
      <c r="B1719" s="740" t="s">
        <v>10108</v>
      </c>
      <c r="C1719" s="739" t="s">
        <v>1690</v>
      </c>
      <c r="D1719" s="741">
        <f t="shared" si="52"/>
        <v>87.21</v>
      </c>
      <c r="F1719" s="1406">
        <v>87.21</v>
      </c>
      <c r="G1719" s="1406">
        <v>87.21</v>
      </c>
      <c r="H1719" t="b">
        <f t="shared" si="53"/>
        <v>1</v>
      </c>
    </row>
    <row r="1720" spans="1:8">
      <c r="A1720" s="677">
        <v>39468</v>
      </c>
      <c r="B1720" s="733" t="s">
        <v>10109</v>
      </c>
      <c r="C1720" s="677" t="s">
        <v>1690</v>
      </c>
      <c r="D1720" s="738">
        <f t="shared" si="52"/>
        <v>155.02000000000001</v>
      </c>
      <c r="F1720" s="1405">
        <v>155.02000000000001</v>
      </c>
      <c r="G1720" s="1405">
        <v>155.02000000000001</v>
      </c>
      <c r="H1720" t="b">
        <f t="shared" si="53"/>
        <v>1</v>
      </c>
    </row>
    <row r="1721" spans="1:8">
      <c r="A1721" s="739">
        <v>39469</v>
      </c>
      <c r="B1721" s="740" t="s">
        <v>10110</v>
      </c>
      <c r="C1721" s="739" t="s">
        <v>1690</v>
      </c>
      <c r="D1721" s="741">
        <f t="shared" si="52"/>
        <v>63.14</v>
      </c>
      <c r="F1721" s="1406">
        <v>63.14</v>
      </c>
      <c r="G1721" s="1406">
        <v>63.14</v>
      </c>
      <c r="H1721" t="b">
        <f t="shared" si="53"/>
        <v>1</v>
      </c>
    </row>
    <row r="1722" spans="1:8">
      <c r="A1722" s="677">
        <v>39470</v>
      </c>
      <c r="B1722" s="733" t="s">
        <v>10111</v>
      </c>
      <c r="C1722" s="677" t="s">
        <v>1690</v>
      </c>
      <c r="D1722" s="738">
        <f t="shared" si="52"/>
        <v>77.59</v>
      </c>
      <c r="F1722" s="1405">
        <v>77.59</v>
      </c>
      <c r="G1722" s="1405">
        <v>77.59</v>
      </c>
      <c r="H1722" t="b">
        <f t="shared" si="53"/>
        <v>1</v>
      </c>
    </row>
    <row r="1723" spans="1:8">
      <c r="A1723" s="739">
        <v>39471</v>
      </c>
      <c r="B1723" s="740" t="s">
        <v>10112</v>
      </c>
      <c r="C1723" s="739" t="s">
        <v>1690</v>
      </c>
      <c r="D1723" s="741">
        <f t="shared" si="52"/>
        <v>93.24</v>
      </c>
      <c r="F1723" s="1406">
        <v>93.24</v>
      </c>
      <c r="G1723" s="1406">
        <v>93.24</v>
      </c>
      <c r="H1723" t="b">
        <f t="shared" si="53"/>
        <v>1</v>
      </c>
    </row>
    <row r="1724" spans="1:8">
      <c r="A1724" s="677">
        <v>39472</v>
      </c>
      <c r="B1724" s="733" t="s">
        <v>10113</v>
      </c>
      <c r="C1724" s="677" t="s">
        <v>1690</v>
      </c>
      <c r="D1724" s="738">
        <f t="shared" si="52"/>
        <v>162.01</v>
      </c>
      <c r="F1724" s="1405">
        <v>162.01</v>
      </c>
      <c r="G1724" s="1405">
        <v>162.01</v>
      </c>
      <c r="H1724" t="b">
        <f t="shared" si="53"/>
        <v>1</v>
      </c>
    </row>
    <row r="1725" spans="1:8">
      <c r="A1725" s="739">
        <v>39473</v>
      </c>
      <c r="B1725" s="740" t="s">
        <v>10114</v>
      </c>
      <c r="C1725" s="739" t="s">
        <v>1690</v>
      </c>
      <c r="D1725" s="741">
        <f t="shared" si="52"/>
        <v>104.66</v>
      </c>
      <c r="F1725" s="1406">
        <v>104.66</v>
      </c>
      <c r="G1725" s="1406">
        <v>104.66</v>
      </c>
      <c r="H1725" t="b">
        <f t="shared" si="53"/>
        <v>1</v>
      </c>
    </row>
    <row r="1726" spans="1:8">
      <c r="A1726" s="677">
        <v>39474</v>
      </c>
      <c r="B1726" s="733" t="s">
        <v>10115</v>
      </c>
      <c r="C1726" s="677" t="s">
        <v>1690</v>
      </c>
      <c r="D1726" s="738">
        <f t="shared" si="52"/>
        <v>111.57</v>
      </c>
      <c r="F1726" s="1405">
        <v>111.57</v>
      </c>
      <c r="G1726" s="1405">
        <v>111.57</v>
      </c>
      <c r="H1726" t="b">
        <f t="shared" si="53"/>
        <v>1</v>
      </c>
    </row>
    <row r="1727" spans="1:8">
      <c r="A1727" s="739">
        <v>39475</v>
      </c>
      <c r="B1727" s="740" t="s">
        <v>10116</v>
      </c>
      <c r="C1727" s="739" t="s">
        <v>1690</v>
      </c>
      <c r="D1727" s="741">
        <f t="shared" si="52"/>
        <v>126.59</v>
      </c>
      <c r="F1727" s="1406">
        <v>126.59</v>
      </c>
      <c r="G1727" s="1406">
        <v>126.59</v>
      </c>
      <c r="H1727" t="b">
        <f t="shared" si="53"/>
        <v>1</v>
      </c>
    </row>
    <row r="1728" spans="1:8">
      <c r="A1728" s="677">
        <v>39476</v>
      </c>
      <c r="B1728" s="733" t="s">
        <v>10117</v>
      </c>
      <c r="C1728" s="677" t="s">
        <v>1690</v>
      </c>
      <c r="D1728" s="738">
        <f t="shared" si="52"/>
        <v>238.29</v>
      </c>
      <c r="F1728" s="1405">
        <v>238.29</v>
      </c>
      <c r="G1728" s="1405">
        <v>238.29</v>
      </c>
      <c r="H1728" t="b">
        <f t="shared" si="53"/>
        <v>1</v>
      </c>
    </row>
    <row r="1729" spans="1:8">
      <c r="A1729" s="739">
        <v>39477</v>
      </c>
      <c r="B1729" s="740" t="s">
        <v>10118</v>
      </c>
      <c r="C1729" s="739" t="s">
        <v>1690</v>
      </c>
      <c r="D1729" s="741">
        <f t="shared" si="52"/>
        <v>116.75</v>
      </c>
      <c r="F1729" s="1406">
        <v>116.75</v>
      </c>
      <c r="G1729" s="1406">
        <v>116.75</v>
      </c>
      <c r="H1729" t="b">
        <f t="shared" si="53"/>
        <v>1</v>
      </c>
    </row>
    <row r="1730" spans="1:8">
      <c r="A1730" s="677">
        <v>39478</v>
      </c>
      <c r="B1730" s="733" t="s">
        <v>10119</v>
      </c>
      <c r="C1730" s="677" t="s">
        <v>1690</v>
      </c>
      <c r="D1730" s="738">
        <f t="shared" si="52"/>
        <v>120.37</v>
      </c>
      <c r="F1730" s="1405">
        <v>120.37</v>
      </c>
      <c r="G1730" s="1405">
        <v>120.37</v>
      </c>
      <c r="H1730" t="b">
        <f t="shared" si="53"/>
        <v>1</v>
      </c>
    </row>
    <row r="1731" spans="1:8">
      <c r="A1731" s="739">
        <v>39479</v>
      </c>
      <c r="B1731" s="740" t="s">
        <v>10120</v>
      </c>
      <c r="C1731" s="739" t="s">
        <v>1690</v>
      </c>
      <c r="D1731" s="741">
        <f t="shared" ref="D1731:D1794" si="54">IF($J$2=$F$1,F1731,G1731)</f>
        <v>141.82</v>
      </c>
      <c r="F1731" s="1406">
        <v>141.82</v>
      </c>
      <c r="G1731" s="1406">
        <v>141.82</v>
      </c>
      <c r="H1731" t="b">
        <f t="shared" ref="H1731:H1794" si="55">F1731=G1731</f>
        <v>1</v>
      </c>
    </row>
    <row r="1732" spans="1:8">
      <c r="A1732" s="677">
        <v>39480</v>
      </c>
      <c r="B1732" s="733" t="s">
        <v>10121</v>
      </c>
      <c r="C1732" s="677" t="s">
        <v>1690</v>
      </c>
      <c r="D1732" s="738">
        <f t="shared" si="54"/>
        <v>292.64</v>
      </c>
      <c r="F1732" s="1405">
        <v>292.64</v>
      </c>
      <c r="G1732" s="1405">
        <v>292.64</v>
      </c>
      <c r="H1732" t="b">
        <f t="shared" si="55"/>
        <v>1</v>
      </c>
    </row>
    <row r="1733" spans="1:8">
      <c r="A1733" s="739">
        <v>39459</v>
      </c>
      <c r="B1733" s="740" t="s">
        <v>10122</v>
      </c>
      <c r="C1733" s="739" t="s">
        <v>1690</v>
      </c>
      <c r="D1733" s="741">
        <f t="shared" si="54"/>
        <v>248.38</v>
      </c>
      <c r="F1733" s="1406">
        <v>248.38</v>
      </c>
      <c r="G1733" s="1406">
        <v>248.38</v>
      </c>
      <c r="H1733" t="b">
        <f t="shared" si="55"/>
        <v>1</v>
      </c>
    </row>
    <row r="1734" spans="1:8">
      <c r="A1734" s="677">
        <v>39445</v>
      </c>
      <c r="B1734" s="733" t="s">
        <v>10123</v>
      </c>
      <c r="C1734" s="677" t="s">
        <v>1690</v>
      </c>
      <c r="D1734" s="738">
        <f t="shared" si="54"/>
        <v>124.71</v>
      </c>
      <c r="F1734" s="1405">
        <v>124.71</v>
      </c>
      <c r="G1734" s="1405">
        <v>124.71</v>
      </c>
      <c r="H1734" t="b">
        <f t="shared" si="55"/>
        <v>1</v>
      </c>
    </row>
    <row r="1735" spans="1:8">
      <c r="A1735" s="739">
        <v>39446</v>
      </c>
      <c r="B1735" s="740" t="s">
        <v>10124</v>
      </c>
      <c r="C1735" s="739" t="s">
        <v>1690</v>
      </c>
      <c r="D1735" s="741">
        <f t="shared" si="54"/>
        <v>126.93</v>
      </c>
      <c r="F1735" s="1406">
        <v>126.93</v>
      </c>
      <c r="G1735" s="1406">
        <v>126.93</v>
      </c>
      <c r="H1735" t="b">
        <f t="shared" si="55"/>
        <v>1</v>
      </c>
    </row>
    <row r="1736" spans="1:8">
      <c r="A1736" s="677">
        <v>39447</v>
      </c>
      <c r="B1736" s="733" t="s">
        <v>10125</v>
      </c>
      <c r="C1736" s="677" t="s">
        <v>1690</v>
      </c>
      <c r="D1736" s="738">
        <f t="shared" si="54"/>
        <v>135.74</v>
      </c>
      <c r="F1736" s="1405">
        <v>135.74</v>
      </c>
      <c r="G1736" s="1405">
        <v>135.74</v>
      </c>
      <c r="H1736" t="b">
        <f t="shared" si="55"/>
        <v>1</v>
      </c>
    </row>
    <row r="1737" spans="1:8">
      <c r="A1737" s="739">
        <v>39448</v>
      </c>
      <c r="B1737" s="740" t="s">
        <v>10126</v>
      </c>
      <c r="C1737" s="739" t="s">
        <v>1690</v>
      </c>
      <c r="D1737" s="741">
        <f t="shared" si="54"/>
        <v>231.46</v>
      </c>
      <c r="F1737" s="1406">
        <v>231.46</v>
      </c>
      <c r="G1737" s="1406">
        <v>231.46</v>
      </c>
      <c r="H1737" t="b">
        <f t="shared" si="55"/>
        <v>1</v>
      </c>
    </row>
    <row r="1738" spans="1:8">
      <c r="A1738" s="677">
        <v>39450</v>
      </c>
      <c r="B1738" s="733" t="s">
        <v>10127</v>
      </c>
      <c r="C1738" s="677" t="s">
        <v>1690</v>
      </c>
      <c r="D1738" s="738">
        <f t="shared" si="54"/>
        <v>141.21</v>
      </c>
      <c r="F1738" s="1405">
        <v>141.21</v>
      </c>
      <c r="G1738" s="1405">
        <v>141.21</v>
      </c>
      <c r="H1738" t="b">
        <f t="shared" si="55"/>
        <v>1</v>
      </c>
    </row>
    <row r="1739" spans="1:8">
      <c r="A1739" s="739">
        <v>39451</v>
      </c>
      <c r="B1739" s="740" t="s">
        <v>10128</v>
      </c>
      <c r="C1739" s="739" t="s">
        <v>1690</v>
      </c>
      <c r="D1739" s="741">
        <f t="shared" si="54"/>
        <v>154.02000000000001</v>
      </c>
      <c r="F1739" s="1406">
        <v>154.02000000000001</v>
      </c>
      <c r="G1739" s="1406">
        <v>154.02000000000001</v>
      </c>
      <c r="H1739" t="b">
        <f t="shared" si="55"/>
        <v>1</v>
      </c>
    </row>
    <row r="1740" spans="1:8">
      <c r="A1740" s="677">
        <v>39452</v>
      </c>
      <c r="B1740" s="733" t="s">
        <v>10129</v>
      </c>
      <c r="C1740" s="677" t="s">
        <v>1690</v>
      </c>
      <c r="D1740" s="738">
        <f t="shared" si="54"/>
        <v>154.94</v>
      </c>
      <c r="F1740" s="1405">
        <v>154.94</v>
      </c>
      <c r="G1740" s="1405">
        <v>154.94</v>
      </c>
      <c r="H1740" t="b">
        <f t="shared" si="55"/>
        <v>1</v>
      </c>
    </row>
    <row r="1741" spans="1:8">
      <c r="A1741" s="739">
        <v>39523</v>
      </c>
      <c r="B1741" s="740" t="s">
        <v>10130</v>
      </c>
      <c r="C1741" s="739" t="s">
        <v>1690</v>
      </c>
      <c r="D1741" s="741">
        <f t="shared" si="54"/>
        <v>259.3</v>
      </c>
      <c r="F1741" s="1406">
        <v>259.3</v>
      </c>
      <c r="G1741" s="1406">
        <v>259.3</v>
      </c>
      <c r="H1741" t="b">
        <f t="shared" si="55"/>
        <v>1</v>
      </c>
    </row>
    <row r="1742" spans="1:8">
      <c r="A1742" s="677">
        <v>39449</v>
      </c>
      <c r="B1742" s="733" t="s">
        <v>10131</v>
      </c>
      <c r="C1742" s="677" t="s">
        <v>1690</v>
      </c>
      <c r="D1742" s="738">
        <f t="shared" si="54"/>
        <v>287.14999999999998</v>
      </c>
      <c r="F1742" s="1405">
        <v>287.14999999999998</v>
      </c>
      <c r="G1742" s="1405">
        <v>287.14999999999998</v>
      </c>
      <c r="H1742" t="b">
        <f t="shared" si="55"/>
        <v>1</v>
      </c>
    </row>
    <row r="1743" spans="1:8">
      <c r="A1743" s="739">
        <v>39455</v>
      </c>
      <c r="B1743" s="740" t="s">
        <v>10132</v>
      </c>
      <c r="C1743" s="739" t="s">
        <v>1690</v>
      </c>
      <c r="D1743" s="741">
        <f t="shared" si="54"/>
        <v>142.09</v>
      </c>
      <c r="F1743" s="1406">
        <v>142.09</v>
      </c>
      <c r="G1743" s="1406">
        <v>142.09</v>
      </c>
      <c r="H1743" t="b">
        <f t="shared" si="55"/>
        <v>1</v>
      </c>
    </row>
    <row r="1744" spans="1:8">
      <c r="A1744" s="677">
        <v>39456</v>
      </c>
      <c r="B1744" s="733" t="s">
        <v>10133</v>
      </c>
      <c r="C1744" s="677" t="s">
        <v>1690</v>
      </c>
      <c r="D1744" s="738">
        <f t="shared" si="54"/>
        <v>142.19</v>
      </c>
      <c r="F1744" s="1405">
        <v>142.19</v>
      </c>
      <c r="G1744" s="1405">
        <v>142.19</v>
      </c>
      <c r="H1744" t="b">
        <f t="shared" si="55"/>
        <v>1</v>
      </c>
    </row>
    <row r="1745" spans="1:8">
      <c r="A1745" s="739">
        <v>39457</v>
      </c>
      <c r="B1745" s="740" t="s">
        <v>10134</v>
      </c>
      <c r="C1745" s="739" t="s">
        <v>1690</v>
      </c>
      <c r="D1745" s="741">
        <f t="shared" si="54"/>
        <v>155.01</v>
      </c>
      <c r="F1745" s="1406">
        <v>155.01</v>
      </c>
      <c r="G1745" s="1406">
        <v>155.01</v>
      </c>
      <c r="H1745" t="b">
        <f t="shared" si="55"/>
        <v>1</v>
      </c>
    </row>
    <row r="1746" spans="1:8">
      <c r="A1746" s="677">
        <v>39458</v>
      </c>
      <c r="B1746" s="733" t="s">
        <v>10135</v>
      </c>
      <c r="C1746" s="677" t="s">
        <v>1690</v>
      </c>
      <c r="D1746" s="738">
        <f t="shared" si="54"/>
        <v>289.27</v>
      </c>
      <c r="F1746" s="1405">
        <v>289.27</v>
      </c>
      <c r="G1746" s="1405">
        <v>289.27</v>
      </c>
      <c r="H1746" t="b">
        <f t="shared" si="55"/>
        <v>1</v>
      </c>
    </row>
    <row r="1747" spans="1:8">
      <c r="A1747" s="739">
        <v>39464</v>
      </c>
      <c r="B1747" s="740" t="s">
        <v>10136</v>
      </c>
      <c r="C1747" s="739" t="s">
        <v>1690</v>
      </c>
      <c r="D1747" s="741">
        <f t="shared" si="54"/>
        <v>465.17</v>
      </c>
      <c r="F1747" s="1406">
        <v>465.17</v>
      </c>
      <c r="G1747" s="1406">
        <v>465.17</v>
      </c>
      <c r="H1747" t="b">
        <f t="shared" si="55"/>
        <v>1</v>
      </c>
    </row>
    <row r="1748" spans="1:8">
      <c r="A1748" s="677">
        <v>39460</v>
      </c>
      <c r="B1748" s="733" t="s">
        <v>10137</v>
      </c>
      <c r="C1748" s="677" t="s">
        <v>1690</v>
      </c>
      <c r="D1748" s="738">
        <f t="shared" si="54"/>
        <v>176.43</v>
      </c>
      <c r="F1748" s="1405">
        <v>176.43</v>
      </c>
      <c r="G1748" s="1405">
        <v>176.43</v>
      </c>
      <c r="H1748" t="b">
        <f t="shared" si="55"/>
        <v>1</v>
      </c>
    </row>
    <row r="1749" spans="1:8">
      <c r="A1749" s="739">
        <v>39461</v>
      </c>
      <c r="B1749" s="740" t="s">
        <v>10138</v>
      </c>
      <c r="C1749" s="739" t="s">
        <v>1690</v>
      </c>
      <c r="D1749" s="741">
        <f t="shared" si="54"/>
        <v>206.73</v>
      </c>
      <c r="F1749" s="1406">
        <v>206.73</v>
      </c>
      <c r="G1749" s="1406">
        <v>206.73</v>
      </c>
      <c r="H1749" t="b">
        <f t="shared" si="55"/>
        <v>1</v>
      </c>
    </row>
    <row r="1750" spans="1:8">
      <c r="A1750" s="677">
        <v>39462</v>
      </c>
      <c r="B1750" s="733" t="s">
        <v>10139</v>
      </c>
      <c r="C1750" s="677" t="s">
        <v>1690</v>
      </c>
      <c r="D1750" s="738">
        <f t="shared" si="54"/>
        <v>199.24</v>
      </c>
      <c r="F1750" s="1405">
        <v>199.24</v>
      </c>
      <c r="G1750" s="1405">
        <v>199.24</v>
      </c>
      <c r="H1750" t="b">
        <f t="shared" si="55"/>
        <v>1</v>
      </c>
    </row>
    <row r="1751" spans="1:8">
      <c r="A1751" s="739">
        <v>39463</v>
      </c>
      <c r="B1751" s="740" t="s">
        <v>10140</v>
      </c>
      <c r="C1751" s="739" t="s">
        <v>1690</v>
      </c>
      <c r="D1751" s="741">
        <f t="shared" si="54"/>
        <v>461.56</v>
      </c>
      <c r="F1751" s="1406">
        <v>461.56</v>
      </c>
      <c r="G1751" s="1406">
        <v>461.56</v>
      </c>
      <c r="H1751" t="b">
        <f t="shared" si="55"/>
        <v>1</v>
      </c>
    </row>
    <row r="1752" spans="1:8">
      <c r="A1752" s="677">
        <v>26039</v>
      </c>
      <c r="B1752" s="733" t="s">
        <v>10141</v>
      </c>
      <c r="C1752" s="677" t="s">
        <v>1690</v>
      </c>
      <c r="D1752" s="738">
        <f t="shared" si="54"/>
        <v>391246.87</v>
      </c>
      <c r="F1752" s="1405">
        <v>391246.87</v>
      </c>
      <c r="G1752" s="1405">
        <v>391246.87</v>
      </c>
      <c r="H1752" t="b">
        <f t="shared" si="55"/>
        <v>1</v>
      </c>
    </row>
    <row r="1753" spans="1:8">
      <c r="A1753" s="739">
        <v>2401</v>
      </c>
      <c r="B1753" s="740" t="s">
        <v>10142</v>
      </c>
      <c r="C1753" s="739" t="s">
        <v>1690</v>
      </c>
      <c r="D1753" s="741">
        <f t="shared" si="54"/>
        <v>89991.11</v>
      </c>
      <c r="F1753" s="1406">
        <v>89991.11</v>
      </c>
      <c r="G1753" s="1406">
        <v>89991.11</v>
      </c>
      <c r="H1753" t="b">
        <f t="shared" si="55"/>
        <v>1</v>
      </c>
    </row>
    <row r="1754" spans="1:8" ht="30">
      <c r="A1754" s="677">
        <v>38870</v>
      </c>
      <c r="B1754" s="733" t="s">
        <v>10143</v>
      </c>
      <c r="C1754" s="677" t="s">
        <v>1690</v>
      </c>
      <c r="D1754" s="738">
        <f t="shared" si="54"/>
        <v>29.51</v>
      </c>
      <c r="F1754" s="1405">
        <v>29.51</v>
      </c>
      <c r="G1754" s="1405">
        <v>29.51</v>
      </c>
      <c r="H1754" t="b">
        <f t="shared" si="55"/>
        <v>1</v>
      </c>
    </row>
    <row r="1755" spans="1:8" ht="30">
      <c r="A1755" s="739">
        <v>38869</v>
      </c>
      <c r="B1755" s="740" t="s">
        <v>10144</v>
      </c>
      <c r="C1755" s="739" t="s">
        <v>1690</v>
      </c>
      <c r="D1755" s="741">
        <f t="shared" si="54"/>
        <v>19.91</v>
      </c>
      <c r="F1755" s="1406">
        <v>19.91</v>
      </c>
      <c r="G1755" s="1406">
        <v>19.91</v>
      </c>
      <c r="H1755" t="b">
        <f t="shared" si="55"/>
        <v>1</v>
      </c>
    </row>
    <row r="1756" spans="1:8" ht="30">
      <c r="A1756" s="677">
        <v>38872</v>
      </c>
      <c r="B1756" s="733" t="s">
        <v>10145</v>
      </c>
      <c r="C1756" s="677" t="s">
        <v>1690</v>
      </c>
      <c r="D1756" s="738">
        <f t="shared" si="54"/>
        <v>37.590000000000003</v>
      </c>
      <c r="F1756" s="1405">
        <v>37.590000000000003</v>
      </c>
      <c r="G1756" s="1405">
        <v>37.590000000000003</v>
      </c>
      <c r="H1756" t="b">
        <f t="shared" si="55"/>
        <v>1</v>
      </c>
    </row>
    <row r="1757" spans="1:8" ht="30">
      <c r="A1757" s="739">
        <v>38871</v>
      </c>
      <c r="B1757" s="740" t="s">
        <v>10146</v>
      </c>
      <c r="C1757" s="739" t="s">
        <v>1690</v>
      </c>
      <c r="D1757" s="741">
        <f t="shared" si="54"/>
        <v>25.99</v>
      </c>
      <c r="F1757" s="1406">
        <v>25.99</v>
      </c>
      <c r="G1757" s="1406">
        <v>25.99</v>
      </c>
      <c r="H1757" t="b">
        <f t="shared" si="55"/>
        <v>1</v>
      </c>
    </row>
    <row r="1758" spans="1:8" ht="30">
      <c r="A1758" s="677">
        <v>39283</v>
      </c>
      <c r="B1758" s="733" t="s">
        <v>10147</v>
      </c>
      <c r="C1758" s="677" t="s">
        <v>1690</v>
      </c>
      <c r="D1758" s="738">
        <f t="shared" si="54"/>
        <v>121.76</v>
      </c>
      <c r="F1758" s="1405">
        <v>121.76</v>
      </c>
      <c r="G1758" s="1405">
        <v>121.76</v>
      </c>
      <c r="H1758" t="b">
        <f t="shared" si="55"/>
        <v>1</v>
      </c>
    </row>
    <row r="1759" spans="1:8" ht="30">
      <c r="A1759" s="739">
        <v>39285</v>
      </c>
      <c r="B1759" s="740" t="s">
        <v>10148</v>
      </c>
      <c r="C1759" s="739" t="s">
        <v>1690</v>
      </c>
      <c r="D1759" s="741">
        <f t="shared" si="54"/>
        <v>139.16</v>
      </c>
      <c r="F1759" s="1406">
        <v>139.16</v>
      </c>
      <c r="G1759" s="1406">
        <v>139.16</v>
      </c>
      <c r="H1759" t="b">
        <f t="shared" si="55"/>
        <v>1</v>
      </c>
    </row>
    <row r="1760" spans="1:8" ht="30">
      <c r="A1760" s="677">
        <v>39286</v>
      </c>
      <c r="B1760" s="733" t="s">
        <v>10149</v>
      </c>
      <c r="C1760" s="677" t="s">
        <v>1690</v>
      </c>
      <c r="D1760" s="738">
        <f t="shared" si="54"/>
        <v>133.37</v>
      </c>
      <c r="F1760" s="1405">
        <v>133.37</v>
      </c>
      <c r="G1760" s="1405">
        <v>133.37</v>
      </c>
      <c r="H1760" t="b">
        <f t="shared" si="55"/>
        <v>1</v>
      </c>
    </row>
    <row r="1761" spans="1:8" ht="30">
      <c r="A1761" s="739">
        <v>39288</v>
      </c>
      <c r="B1761" s="740" t="s">
        <v>10150</v>
      </c>
      <c r="C1761" s="739" t="s">
        <v>1690</v>
      </c>
      <c r="D1761" s="741">
        <f t="shared" si="54"/>
        <v>162.34</v>
      </c>
      <c r="F1761" s="1406">
        <v>162.34</v>
      </c>
      <c r="G1761" s="1406">
        <v>162.34</v>
      </c>
      <c r="H1761" t="b">
        <f t="shared" si="55"/>
        <v>1</v>
      </c>
    </row>
    <row r="1762" spans="1:8" ht="30">
      <c r="A1762" s="677">
        <v>44476</v>
      </c>
      <c r="B1762" s="733" t="s">
        <v>10151</v>
      </c>
      <c r="C1762" s="677" t="s">
        <v>1692</v>
      </c>
      <c r="D1762" s="738">
        <f t="shared" si="54"/>
        <v>699.29</v>
      </c>
      <c r="F1762" s="1405">
        <v>699.29</v>
      </c>
      <c r="G1762" s="1405">
        <v>699.29</v>
      </c>
      <c r="H1762" t="b">
        <f t="shared" si="55"/>
        <v>1</v>
      </c>
    </row>
    <row r="1763" spans="1:8">
      <c r="A1763" s="739">
        <v>10629</v>
      </c>
      <c r="B1763" s="740" t="s">
        <v>10152</v>
      </c>
      <c r="C1763" s="739" t="s">
        <v>1692</v>
      </c>
      <c r="D1763" s="741">
        <f t="shared" si="54"/>
        <v>609.72</v>
      </c>
      <c r="F1763" s="1406">
        <v>609.72</v>
      </c>
      <c r="G1763" s="1406">
        <v>609.72</v>
      </c>
      <c r="H1763" t="b">
        <f t="shared" si="55"/>
        <v>1</v>
      </c>
    </row>
    <row r="1764" spans="1:8">
      <c r="A1764" s="677">
        <v>10698</v>
      </c>
      <c r="B1764" s="733" t="s">
        <v>10153</v>
      </c>
      <c r="C1764" s="677" t="s">
        <v>1692</v>
      </c>
      <c r="D1764" s="738">
        <f t="shared" si="54"/>
        <v>229.56</v>
      </c>
      <c r="F1764" s="1405">
        <v>229.56</v>
      </c>
      <c r="G1764" s="1405">
        <v>229.56</v>
      </c>
      <c r="H1764" t="b">
        <f t="shared" si="55"/>
        <v>1</v>
      </c>
    </row>
    <row r="1765" spans="1:8" ht="30">
      <c r="A1765" s="739">
        <v>40521</v>
      </c>
      <c r="B1765" s="740" t="s">
        <v>10154</v>
      </c>
      <c r="C1765" s="739" t="s">
        <v>1690</v>
      </c>
      <c r="D1765" s="741">
        <f t="shared" si="54"/>
        <v>122769.95</v>
      </c>
      <c r="F1765" s="1406">
        <v>122769.95</v>
      </c>
      <c r="G1765" s="1406">
        <v>122769.95</v>
      </c>
      <c r="H1765" t="b">
        <f t="shared" si="55"/>
        <v>1</v>
      </c>
    </row>
    <row r="1766" spans="1:8">
      <c r="A1766" s="677">
        <v>2432</v>
      </c>
      <c r="B1766" s="733" t="s">
        <v>10155</v>
      </c>
      <c r="C1766" s="677" t="s">
        <v>1690</v>
      </c>
      <c r="D1766" s="738">
        <f t="shared" si="54"/>
        <v>21.51</v>
      </c>
      <c r="F1766" s="1405">
        <v>21.51</v>
      </c>
      <c r="G1766" s="1405">
        <v>21.51</v>
      </c>
      <c r="H1766" t="b">
        <f t="shared" si="55"/>
        <v>1</v>
      </c>
    </row>
    <row r="1767" spans="1:8">
      <c r="A1767" s="739">
        <v>2433</v>
      </c>
      <c r="B1767" s="740" t="s">
        <v>10156</v>
      </c>
      <c r="C1767" s="739" t="s">
        <v>1690</v>
      </c>
      <c r="D1767" s="741">
        <f t="shared" si="54"/>
        <v>7.29</v>
      </c>
      <c r="F1767" s="1406">
        <v>7.29</v>
      </c>
      <c r="G1767" s="1406">
        <v>7.29</v>
      </c>
      <c r="H1767" t="b">
        <f t="shared" si="55"/>
        <v>1</v>
      </c>
    </row>
    <row r="1768" spans="1:8">
      <c r="A1768" s="677">
        <v>2418</v>
      </c>
      <c r="B1768" s="733" t="s">
        <v>10157</v>
      </c>
      <c r="C1768" s="677" t="s">
        <v>1690</v>
      </c>
      <c r="D1768" s="738">
        <f t="shared" si="54"/>
        <v>9.98</v>
      </c>
      <c r="F1768" s="1405">
        <v>9.98</v>
      </c>
      <c r="G1768" s="1405">
        <v>9.98</v>
      </c>
      <c r="H1768" t="b">
        <f t="shared" si="55"/>
        <v>1</v>
      </c>
    </row>
    <row r="1769" spans="1:8">
      <c r="A1769" s="739">
        <v>2420</v>
      </c>
      <c r="B1769" s="740" t="s">
        <v>10158</v>
      </c>
      <c r="C1769" s="739" t="s">
        <v>1690</v>
      </c>
      <c r="D1769" s="741">
        <f t="shared" si="54"/>
        <v>12.51</v>
      </c>
      <c r="F1769" s="1406">
        <v>12.51</v>
      </c>
      <c r="G1769" s="1406">
        <v>12.51</v>
      </c>
      <c r="H1769" t="b">
        <f t="shared" si="55"/>
        <v>1</v>
      </c>
    </row>
    <row r="1770" spans="1:8">
      <c r="A1770" s="677">
        <v>11447</v>
      </c>
      <c r="B1770" s="733" t="s">
        <v>10159</v>
      </c>
      <c r="C1770" s="677" t="s">
        <v>1690</v>
      </c>
      <c r="D1770" s="738">
        <f t="shared" si="54"/>
        <v>24.73</v>
      </c>
      <c r="F1770" s="1405">
        <v>24.73</v>
      </c>
      <c r="G1770" s="1405">
        <v>24.73</v>
      </c>
      <c r="H1770" t="b">
        <f t="shared" si="55"/>
        <v>1</v>
      </c>
    </row>
    <row r="1771" spans="1:8">
      <c r="A1771" s="739">
        <v>11451</v>
      </c>
      <c r="B1771" s="740" t="s">
        <v>10160</v>
      </c>
      <c r="C1771" s="739" t="s">
        <v>1690</v>
      </c>
      <c r="D1771" s="741">
        <f t="shared" si="54"/>
        <v>66.31</v>
      </c>
      <c r="F1771" s="1406">
        <v>66.31</v>
      </c>
      <c r="G1771" s="1406">
        <v>66.31</v>
      </c>
      <c r="H1771" t="b">
        <f t="shared" si="55"/>
        <v>1</v>
      </c>
    </row>
    <row r="1772" spans="1:8">
      <c r="A1772" s="677">
        <v>11116</v>
      </c>
      <c r="B1772" s="733" t="s">
        <v>10161</v>
      </c>
      <c r="C1772" s="677" t="s">
        <v>1690</v>
      </c>
      <c r="D1772" s="738">
        <f t="shared" si="54"/>
        <v>805.43</v>
      </c>
      <c r="F1772" s="1405">
        <v>805.43</v>
      </c>
      <c r="G1772" s="1405">
        <v>805.43</v>
      </c>
      <c r="H1772" t="b">
        <f t="shared" si="55"/>
        <v>1</v>
      </c>
    </row>
    <row r="1773" spans="1:8">
      <c r="A1773" s="739">
        <v>38411</v>
      </c>
      <c r="B1773" s="740" t="s">
        <v>10162</v>
      </c>
      <c r="C1773" s="739" t="s">
        <v>1690</v>
      </c>
      <c r="D1773" s="741">
        <f t="shared" si="54"/>
        <v>1840.05</v>
      </c>
      <c r="F1773" s="1406">
        <v>1840.05</v>
      </c>
      <c r="G1773" s="1406">
        <v>1840.05</v>
      </c>
      <c r="H1773" t="b">
        <f t="shared" si="55"/>
        <v>1</v>
      </c>
    </row>
    <row r="1774" spans="1:8">
      <c r="A1774" s="677">
        <v>38189</v>
      </c>
      <c r="B1774" s="733" t="s">
        <v>10163</v>
      </c>
      <c r="C1774" s="677" t="s">
        <v>1690</v>
      </c>
      <c r="D1774" s="738">
        <f t="shared" si="54"/>
        <v>185.8</v>
      </c>
      <c r="F1774" s="1405">
        <v>185.8</v>
      </c>
      <c r="G1774" s="1405">
        <v>185.8</v>
      </c>
      <c r="H1774" t="b">
        <f t="shared" si="55"/>
        <v>1</v>
      </c>
    </row>
    <row r="1775" spans="1:8">
      <c r="A1775" s="739">
        <v>38190</v>
      </c>
      <c r="B1775" s="740" t="s">
        <v>10164</v>
      </c>
      <c r="C1775" s="739" t="s">
        <v>1690</v>
      </c>
      <c r="D1775" s="741">
        <f t="shared" si="54"/>
        <v>391.42</v>
      </c>
      <c r="F1775" s="1406">
        <v>391.42</v>
      </c>
      <c r="G1775" s="1406">
        <v>391.42</v>
      </c>
      <c r="H1775" t="b">
        <f t="shared" si="55"/>
        <v>1</v>
      </c>
    </row>
    <row r="1776" spans="1:8">
      <c r="A1776" s="677">
        <v>7608</v>
      </c>
      <c r="B1776" s="733" t="s">
        <v>10165</v>
      </c>
      <c r="C1776" s="677" t="s">
        <v>1690</v>
      </c>
      <c r="D1776" s="738">
        <f t="shared" si="54"/>
        <v>12</v>
      </c>
      <c r="F1776" s="1405">
        <v>12</v>
      </c>
      <c r="G1776" s="1405">
        <v>12</v>
      </c>
      <c r="H1776" t="b">
        <f t="shared" si="55"/>
        <v>1</v>
      </c>
    </row>
    <row r="1777" spans="1:8">
      <c r="A1777" s="739">
        <v>1370</v>
      </c>
      <c r="B1777" s="740" t="s">
        <v>10166</v>
      </c>
      <c r="C1777" s="739" t="s">
        <v>1690</v>
      </c>
      <c r="D1777" s="741">
        <f t="shared" si="54"/>
        <v>122.42</v>
      </c>
      <c r="F1777" s="1406">
        <v>122.42</v>
      </c>
      <c r="G1777" s="1406">
        <v>122.42</v>
      </c>
      <c r="H1777" t="b">
        <f t="shared" si="55"/>
        <v>1</v>
      </c>
    </row>
    <row r="1778" spans="1:8">
      <c r="A1778" s="677">
        <v>36516</v>
      </c>
      <c r="B1778" s="733" t="s">
        <v>10167</v>
      </c>
      <c r="C1778" s="677" t="s">
        <v>1690</v>
      </c>
      <c r="D1778" s="738">
        <f t="shared" si="54"/>
        <v>135491.73000000001</v>
      </c>
      <c r="F1778" s="1405">
        <v>135491.73000000001</v>
      </c>
      <c r="G1778" s="1405">
        <v>135491.73000000001</v>
      </c>
      <c r="H1778" t="b">
        <f t="shared" si="55"/>
        <v>1</v>
      </c>
    </row>
    <row r="1779" spans="1:8">
      <c r="A1779" s="739">
        <v>34777</v>
      </c>
      <c r="B1779" s="740" t="s">
        <v>10168</v>
      </c>
      <c r="C1779" s="739" t="s">
        <v>1690</v>
      </c>
      <c r="D1779" s="741">
        <f t="shared" si="54"/>
        <v>3.54</v>
      </c>
      <c r="F1779" s="1406">
        <v>3.54</v>
      </c>
      <c r="G1779" s="1406">
        <v>3.54</v>
      </c>
      <c r="H1779" t="b">
        <f t="shared" si="55"/>
        <v>1</v>
      </c>
    </row>
    <row r="1780" spans="1:8">
      <c r="A1780" s="677">
        <v>7272</v>
      </c>
      <c r="B1780" s="733" t="s">
        <v>10169</v>
      </c>
      <c r="C1780" s="677" t="s">
        <v>1690</v>
      </c>
      <c r="D1780" s="738">
        <f t="shared" si="54"/>
        <v>2.99</v>
      </c>
      <c r="F1780" s="1405">
        <v>2.99</v>
      </c>
      <c r="G1780" s="1405">
        <v>2.99</v>
      </c>
      <c r="H1780" t="b">
        <f t="shared" si="55"/>
        <v>1</v>
      </c>
    </row>
    <row r="1781" spans="1:8">
      <c r="A1781" s="739">
        <v>10605</v>
      </c>
      <c r="B1781" s="740" t="s">
        <v>10170</v>
      </c>
      <c r="C1781" s="739" t="s">
        <v>1690</v>
      </c>
      <c r="D1781" s="741">
        <f t="shared" si="54"/>
        <v>5.74</v>
      </c>
      <c r="F1781" s="1406">
        <v>5.74</v>
      </c>
      <c r="G1781" s="1406">
        <v>5.74</v>
      </c>
      <c r="H1781" t="b">
        <f t="shared" si="55"/>
        <v>1</v>
      </c>
    </row>
    <row r="1782" spans="1:8">
      <c r="A1782" s="677">
        <v>10604</v>
      </c>
      <c r="B1782" s="733" t="s">
        <v>10171</v>
      </c>
      <c r="C1782" s="677" t="s">
        <v>1690</v>
      </c>
      <c r="D1782" s="738">
        <f t="shared" si="54"/>
        <v>13.38</v>
      </c>
      <c r="F1782" s="1405">
        <v>13.38</v>
      </c>
      <c r="G1782" s="1405">
        <v>13.38</v>
      </c>
      <c r="H1782" t="b">
        <f t="shared" si="55"/>
        <v>1</v>
      </c>
    </row>
    <row r="1783" spans="1:8">
      <c r="A1783" s="739">
        <v>672</v>
      </c>
      <c r="B1783" s="740" t="s">
        <v>10172</v>
      </c>
      <c r="C1783" s="739" t="s">
        <v>1690</v>
      </c>
      <c r="D1783" s="741">
        <f t="shared" si="54"/>
        <v>18.399999999999999</v>
      </c>
      <c r="F1783" s="1406">
        <v>18.399999999999999</v>
      </c>
      <c r="G1783" s="1406">
        <v>18.399999999999999</v>
      </c>
      <c r="H1783" t="b">
        <f t="shared" si="55"/>
        <v>1</v>
      </c>
    </row>
    <row r="1784" spans="1:8">
      <c r="A1784" s="677">
        <v>668</v>
      </c>
      <c r="B1784" s="733" t="s">
        <v>10173</v>
      </c>
      <c r="C1784" s="677" t="s">
        <v>1690</v>
      </c>
      <c r="D1784" s="738">
        <f t="shared" si="54"/>
        <v>22.22</v>
      </c>
      <c r="F1784" s="1405">
        <v>22.22</v>
      </c>
      <c r="G1784" s="1405">
        <v>22.22</v>
      </c>
      <c r="H1784" t="b">
        <f t="shared" si="55"/>
        <v>1</v>
      </c>
    </row>
    <row r="1785" spans="1:8">
      <c r="A1785" s="739">
        <v>10578</v>
      </c>
      <c r="B1785" s="740" t="s">
        <v>10174</v>
      </c>
      <c r="C1785" s="739" t="s">
        <v>1690</v>
      </c>
      <c r="D1785" s="741">
        <f t="shared" si="54"/>
        <v>25.88</v>
      </c>
      <c r="F1785" s="1406">
        <v>25.88</v>
      </c>
      <c r="G1785" s="1406">
        <v>25.88</v>
      </c>
      <c r="H1785" t="b">
        <f t="shared" si="55"/>
        <v>1</v>
      </c>
    </row>
    <row r="1786" spans="1:8">
      <c r="A1786" s="677">
        <v>666</v>
      </c>
      <c r="B1786" s="733" t="s">
        <v>10175</v>
      </c>
      <c r="C1786" s="677" t="s">
        <v>1690</v>
      </c>
      <c r="D1786" s="738">
        <f t="shared" si="54"/>
        <v>28.78</v>
      </c>
      <c r="F1786" s="1405">
        <v>28.78</v>
      </c>
      <c r="G1786" s="1405">
        <v>28.78</v>
      </c>
      <c r="H1786" t="b">
        <f t="shared" si="55"/>
        <v>1</v>
      </c>
    </row>
    <row r="1787" spans="1:8">
      <c r="A1787" s="739">
        <v>665</v>
      </c>
      <c r="B1787" s="740" t="s">
        <v>10176</v>
      </c>
      <c r="C1787" s="739" t="s">
        <v>1690</v>
      </c>
      <c r="D1787" s="741">
        <f t="shared" si="54"/>
        <v>38.479999999999997</v>
      </c>
      <c r="F1787" s="1406">
        <v>38.479999999999997</v>
      </c>
      <c r="G1787" s="1406">
        <v>38.479999999999997</v>
      </c>
      <c r="H1787" t="b">
        <f t="shared" si="55"/>
        <v>1</v>
      </c>
    </row>
    <row r="1788" spans="1:8">
      <c r="A1788" s="677">
        <v>10577</v>
      </c>
      <c r="B1788" s="733" t="s">
        <v>10177</v>
      </c>
      <c r="C1788" s="677" t="s">
        <v>1690</v>
      </c>
      <c r="D1788" s="738">
        <f t="shared" si="54"/>
        <v>34.130000000000003</v>
      </c>
      <c r="F1788" s="1405">
        <v>34.130000000000003</v>
      </c>
      <c r="G1788" s="1405">
        <v>34.130000000000003</v>
      </c>
      <c r="H1788" t="b">
        <f t="shared" si="55"/>
        <v>1</v>
      </c>
    </row>
    <row r="1789" spans="1:8">
      <c r="A1789" s="739">
        <v>10583</v>
      </c>
      <c r="B1789" s="740" t="s">
        <v>10178</v>
      </c>
      <c r="C1789" s="739" t="s">
        <v>1690</v>
      </c>
      <c r="D1789" s="741">
        <f t="shared" si="54"/>
        <v>17.73</v>
      </c>
      <c r="F1789" s="1406">
        <v>17.73</v>
      </c>
      <c r="G1789" s="1406">
        <v>17.73</v>
      </c>
      <c r="H1789" t="b">
        <f t="shared" si="55"/>
        <v>1</v>
      </c>
    </row>
    <row r="1790" spans="1:8">
      <c r="A1790" s="677">
        <v>10579</v>
      </c>
      <c r="B1790" s="733" t="s">
        <v>10179</v>
      </c>
      <c r="C1790" s="677" t="s">
        <v>1690</v>
      </c>
      <c r="D1790" s="738">
        <f t="shared" si="54"/>
        <v>30.91</v>
      </c>
      <c r="F1790" s="1405">
        <v>30.91</v>
      </c>
      <c r="G1790" s="1405">
        <v>30.91</v>
      </c>
      <c r="H1790" t="b">
        <f t="shared" si="55"/>
        <v>1</v>
      </c>
    </row>
    <row r="1791" spans="1:8">
      <c r="A1791" s="739">
        <v>10582</v>
      </c>
      <c r="B1791" s="740" t="s">
        <v>10180</v>
      </c>
      <c r="C1791" s="739" t="s">
        <v>1690</v>
      </c>
      <c r="D1791" s="741">
        <f t="shared" si="54"/>
        <v>15.61</v>
      </c>
      <c r="F1791" s="1406">
        <v>15.61</v>
      </c>
      <c r="G1791" s="1406">
        <v>15.61</v>
      </c>
      <c r="H1791" t="b">
        <f t="shared" si="55"/>
        <v>1</v>
      </c>
    </row>
    <row r="1792" spans="1:8">
      <c r="A1792" s="677">
        <v>2436</v>
      </c>
      <c r="B1792" s="733" t="s">
        <v>10181</v>
      </c>
      <c r="C1792" s="677" t="s">
        <v>1689</v>
      </c>
      <c r="D1792" s="738">
        <f t="shared" si="54"/>
        <v>20.47</v>
      </c>
      <c r="F1792" s="1405">
        <v>17.78</v>
      </c>
      <c r="G1792" s="1405">
        <v>20.47</v>
      </c>
      <c r="H1792" t="b">
        <f t="shared" si="55"/>
        <v>0</v>
      </c>
    </row>
    <row r="1793" spans="1:8">
      <c r="A1793" s="739">
        <v>40918</v>
      </c>
      <c r="B1793" s="740" t="s">
        <v>10182</v>
      </c>
      <c r="C1793" s="739" t="s">
        <v>1696</v>
      </c>
      <c r="D1793" s="741">
        <f t="shared" si="54"/>
        <v>3602.41</v>
      </c>
      <c r="F1793" s="1406">
        <v>3124.34</v>
      </c>
      <c r="G1793" s="1406">
        <v>3602.41</v>
      </c>
      <c r="H1793" t="b">
        <f t="shared" si="55"/>
        <v>0</v>
      </c>
    </row>
    <row r="1794" spans="1:8">
      <c r="A1794" s="677">
        <v>2439</v>
      </c>
      <c r="B1794" s="733" t="s">
        <v>10183</v>
      </c>
      <c r="C1794" s="677" t="s">
        <v>1689</v>
      </c>
      <c r="D1794" s="738">
        <f t="shared" si="54"/>
        <v>20.47</v>
      </c>
      <c r="F1794" s="1405">
        <v>17.78</v>
      </c>
      <c r="G1794" s="1405">
        <v>20.47</v>
      </c>
      <c r="H1794" t="b">
        <f t="shared" si="55"/>
        <v>0</v>
      </c>
    </row>
    <row r="1795" spans="1:8">
      <c r="A1795" s="739">
        <v>40923</v>
      </c>
      <c r="B1795" s="740" t="s">
        <v>10184</v>
      </c>
      <c r="C1795" s="739" t="s">
        <v>1696</v>
      </c>
      <c r="D1795" s="741">
        <f t="shared" ref="D1795:D1858" si="56">IF($J$2=$F$1,F1795,G1795)</f>
        <v>3602.41</v>
      </c>
      <c r="F1795" s="1406">
        <v>3124.34</v>
      </c>
      <c r="G1795" s="1406">
        <v>3602.41</v>
      </c>
      <c r="H1795" t="b">
        <f t="shared" ref="H1795:H1858" si="57">F1795=G1795</f>
        <v>0</v>
      </c>
    </row>
    <row r="1796" spans="1:8">
      <c r="A1796" s="677">
        <v>10998</v>
      </c>
      <c r="B1796" s="733" t="s">
        <v>10185</v>
      </c>
      <c r="C1796" s="677" t="s">
        <v>1694</v>
      </c>
      <c r="D1796" s="738">
        <f t="shared" si="56"/>
        <v>35.950000000000003</v>
      </c>
      <c r="F1796" s="1405">
        <v>35.950000000000003</v>
      </c>
      <c r="G1796" s="1405">
        <v>35.950000000000003</v>
      </c>
      <c r="H1796" t="b">
        <f t="shared" si="57"/>
        <v>1</v>
      </c>
    </row>
    <row r="1797" spans="1:8">
      <c r="A1797" s="739">
        <v>11002</v>
      </c>
      <c r="B1797" s="740" t="s">
        <v>10186</v>
      </c>
      <c r="C1797" s="739" t="s">
        <v>1694</v>
      </c>
      <c r="D1797" s="741">
        <f t="shared" si="56"/>
        <v>32.94</v>
      </c>
      <c r="F1797" s="1406">
        <v>32.94</v>
      </c>
      <c r="G1797" s="1406">
        <v>32.94</v>
      </c>
      <c r="H1797" t="b">
        <f t="shared" si="57"/>
        <v>1</v>
      </c>
    </row>
    <row r="1798" spans="1:8">
      <c r="A1798" s="677">
        <v>10999</v>
      </c>
      <c r="B1798" s="733" t="s">
        <v>10187</v>
      </c>
      <c r="C1798" s="677" t="s">
        <v>1694</v>
      </c>
      <c r="D1798" s="738">
        <f t="shared" si="56"/>
        <v>31.64</v>
      </c>
      <c r="F1798" s="1405">
        <v>31.64</v>
      </c>
      <c r="G1798" s="1405">
        <v>31.64</v>
      </c>
      <c r="H1798" t="b">
        <f t="shared" si="57"/>
        <v>1</v>
      </c>
    </row>
    <row r="1799" spans="1:8">
      <c r="A1799" s="739">
        <v>10997</v>
      </c>
      <c r="B1799" s="740" t="s">
        <v>10188</v>
      </c>
      <c r="C1799" s="739" t="s">
        <v>1694</v>
      </c>
      <c r="D1799" s="741">
        <f t="shared" si="56"/>
        <v>34.299999999999997</v>
      </c>
      <c r="F1799" s="1406">
        <v>34.299999999999997</v>
      </c>
      <c r="G1799" s="1406">
        <v>34.299999999999997</v>
      </c>
      <c r="H1799" t="b">
        <f t="shared" si="57"/>
        <v>1</v>
      </c>
    </row>
    <row r="1800" spans="1:8">
      <c r="A1800" s="677">
        <v>2685</v>
      </c>
      <c r="B1800" s="733" t="s">
        <v>10189</v>
      </c>
      <c r="C1800" s="677" t="s">
        <v>1693</v>
      </c>
      <c r="D1800" s="738">
        <f t="shared" si="56"/>
        <v>8.4</v>
      </c>
      <c r="F1800" s="1405">
        <v>8.4</v>
      </c>
      <c r="G1800" s="1405">
        <v>8.4</v>
      </c>
      <c r="H1800" t="b">
        <f t="shared" si="57"/>
        <v>1</v>
      </c>
    </row>
    <row r="1801" spans="1:8">
      <c r="A1801" s="739">
        <v>2680</v>
      </c>
      <c r="B1801" s="740" t="s">
        <v>10190</v>
      </c>
      <c r="C1801" s="739" t="s">
        <v>1693</v>
      </c>
      <c r="D1801" s="741">
        <f t="shared" si="56"/>
        <v>12.3</v>
      </c>
      <c r="F1801" s="1406">
        <v>12.3</v>
      </c>
      <c r="G1801" s="1406">
        <v>12.3</v>
      </c>
      <c r="H1801" t="b">
        <f t="shared" si="57"/>
        <v>1</v>
      </c>
    </row>
    <row r="1802" spans="1:8">
      <c r="A1802" s="677">
        <v>2684</v>
      </c>
      <c r="B1802" s="733" t="s">
        <v>10191</v>
      </c>
      <c r="C1802" s="677" t="s">
        <v>1693</v>
      </c>
      <c r="D1802" s="738">
        <f t="shared" si="56"/>
        <v>11.19</v>
      </c>
      <c r="F1802" s="1405">
        <v>11.19</v>
      </c>
      <c r="G1802" s="1405">
        <v>11.19</v>
      </c>
      <c r="H1802" t="b">
        <f t="shared" si="57"/>
        <v>1</v>
      </c>
    </row>
    <row r="1803" spans="1:8">
      <c r="A1803" s="739">
        <v>2673</v>
      </c>
      <c r="B1803" s="740" t="s">
        <v>10192</v>
      </c>
      <c r="C1803" s="739" t="s">
        <v>1693</v>
      </c>
      <c r="D1803" s="741">
        <f t="shared" si="56"/>
        <v>4.32</v>
      </c>
      <c r="F1803" s="1406">
        <v>4.32</v>
      </c>
      <c r="G1803" s="1406">
        <v>4.32</v>
      </c>
      <c r="H1803" t="b">
        <f t="shared" si="57"/>
        <v>1</v>
      </c>
    </row>
    <row r="1804" spans="1:8">
      <c r="A1804" s="677">
        <v>2681</v>
      </c>
      <c r="B1804" s="733" t="s">
        <v>10193</v>
      </c>
      <c r="C1804" s="677" t="s">
        <v>1693</v>
      </c>
      <c r="D1804" s="738">
        <f t="shared" si="56"/>
        <v>20.100000000000001</v>
      </c>
      <c r="F1804" s="1405">
        <v>20.100000000000001</v>
      </c>
      <c r="G1804" s="1405">
        <v>20.100000000000001</v>
      </c>
      <c r="H1804" t="b">
        <f t="shared" si="57"/>
        <v>1</v>
      </c>
    </row>
    <row r="1805" spans="1:8">
      <c r="A1805" s="739">
        <v>2682</v>
      </c>
      <c r="B1805" s="740" t="s">
        <v>10194</v>
      </c>
      <c r="C1805" s="739" t="s">
        <v>1693</v>
      </c>
      <c r="D1805" s="741">
        <f t="shared" si="56"/>
        <v>29.33</v>
      </c>
      <c r="F1805" s="1406">
        <v>29.33</v>
      </c>
      <c r="G1805" s="1406">
        <v>29.33</v>
      </c>
      <c r="H1805" t="b">
        <f t="shared" si="57"/>
        <v>1</v>
      </c>
    </row>
    <row r="1806" spans="1:8">
      <c r="A1806" s="677">
        <v>2686</v>
      </c>
      <c r="B1806" s="733" t="s">
        <v>10195</v>
      </c>
      <c r="C1806" s="677" t="s">
        <v>1693</v>
      </c>
      <c r="D1806" s="738">
        <f t="shared" si="56"/>
        <v>36.78</v>
      </c>
      <c r="F1806" s="1405">
        <v>36.78</v>
      </c>
      <c r="G1806" s="1405">
        <v>36.78</v>
      </c>
      <c r="H1806" t="b">
        <f t="shared" si="57"/>
        <v>1</v>
      </c>
    </row>
    <row r="1807" spans="1:8">
      <c r="A1807" s="739">
        <v>2674</v>
      </c>
      <c r="B1807" s="740" t="s">
        <v>10196</v>
      </c>
      <c r="C1807" s="739" t="s">
        <v>1693</v>
      </c>
      <c r="D1807" s="741">
        <f t="shared" si="56"/>
        <v>5.38</v>
      </c>
      <c r="F1807" s="1406">
        <v>5.38</v>
      </c>
      <c r="G1807" s="1406">
        <v>5.38</v>
      </c>
      <c r="H1807" t="b">
        <f t="shared" si="57"/>
        <v>1</v>
      </c>
    </row>
    <row r="1808" spans="1:8">
      <c r="A1808" s="677">
        <v>2683</v>
      </c>
      <c r="B1808" s="733" t="s">
        <v>10197</v>
      </c>
      <c r="C1808" s="677" t="s">
        <v>1693</v>
      </c>
      <c r="D1808" s="738">
        <f t="shared" si="56"/>
        <v>57.95</v>
      </c>
      <c r="F1808" s="1405">
        <v>57.95</v>
      </c>
      <c r="G1808" s="1405">
        <v>57.95</v>
      </c>
      <c r="H1808" t="b">
        <f t="shared" si="57"/>
        <v>1</v>
      </c>
    </row>
    <row r="1809" spans="1:8">
      <c r="A1809" s="739">
        <v>2676</v>
      </c>
      <c r="B1809" s="740" t="s">
        <v>10198</v>
      </c>
      <c r="C1809" s="739" t="s">
        <v>1693</v>
      </c>
      <c r="D1809" s="741">
        <f t="shared" si="56"/>
        <v>2.5099999999999998</v>
      </c>
      <c r="F1809" s="1406">
        <v>2.5099999999999998</v>
      </c>
      <c r="G1809" s="1406">
        <v>2.5099999999999998</v>
      </c>
      <c r="H1809" t="b">
        <f t="shared" si="57"/>
        <v>1</v>
      </c>
    </row>
    <row r="1810" spans="1:8">
      <c r="A1810" s="677">
        <v>2678</v>
      </c>
      <c r="B1810" s="733" t="s">
        <v>10199</v>
      </c>
      <c r="C1810" s="677" t="s">
        <v>1693</v>
      </c>
      <c r="D1810" s="738">
        <f t="shared" si="56"/>
        <v>3.14</v>
      </c>
      <c r="F1810" s="1405">
        <v>3.14</v>
      </c>
      <c r="G1810" s="1405">
        <v>3.14</v>
      </c>
      <c r="H1810" t="b">
        <f t="shared" si="57"/>
        <v>1</v>
      </c>
    </row>
    <row r="1811" spans="1:8">
      <c r="A1811" s="739">
        <v>2679</v>
      </c>
      <c r="B1811" s="740" t="s">
        <v>10200</v>
      </c>
      <c r="C1811" s="739" t="s">
        <v>1693</v>
      </c>
      <c r="D1811" s="741">
        <f t="shared" si="56"/>
        <v>4.8499999999999996</v>
      </c>
      <c r="F1811" s="1406">
        <v>4.8499999999999996</v>
      </c>
      <c r="G1811" s="1406">
        <v>4.8499999999999996</v>
      </c>
      <c r="H1811" t="b">
        <f t="shared" si="57"/>
        <v>1</v>
      </c>
    </row>
    <row r="1812" spans="1:8">
      <c r="A1812" s="677">
        <v>12070</v>
      </c>
      <c r="B1812" s="733" t="s">
        <v>10201</v>
      </c>
      <c r="C1812" s="677" t="s">
        <v>1693</v>
      </c>
      <c r="D1812" s="738">
        <f t="shared" si="56"/>
        <v>6.75</v>
      </c>
      <c r="F1812" s="1405">
        <v>6.75</v>
      </c>
      <c r="G1812" s="1405">
        <v>6.75</v>
      </c>
      <c r="H1812" t="b">
        <f t="shared" si="57"/>
        <v>1</v>
      </c>
    </row>
    <row r="1813" spans="1:8">
      <c r="A1813" s="739">
        <v>2675</v>
      </c>
      <c r="B1813" s="740" t="s">
        <v>10202</v>
      </c>
      <c r="C1813" s="739" t="s">
        <v>1693</v>
      </c>
      <c r="D1813" s="741">
        <f t="shared" si="56"/>
        <v>8.77</v>
      </c>
      <c r="F1813" s="1406">
        <v>8.77</v>
      </c>
      <c r="G1813" s="1406">
        <v>8.77</v>
      </c>
      <c r="H1813" t="b">
        <f t="shared" si="57"/>
        <v>1</v>
      </c>
    </row>
    <row r="1814" spans="1:8">
      <c r="A1814" s="677">
        <v>12067</v>
      </c>
      <c r="B1814" s="733" t="s">
        <v>10203</v>
      </c>
      <c r="C1814" s="677" t="s">
        <v>1693</v>
      </c>
      <c r="D1814" s="738">
        <f t="shared" si="56"/>
        <v>11.9</v>
      </c>
      <c r="F1814" s="1405">
        <v>11.9</v>
      </c>
      <c r="G1814" s="1405">
        <v>11.9</v>
      </c>
      <c r="H1814" t="b">
        <f t="shared" si="57"/>
        <v>1</v>
      </c>
    </row>
    <row r="1815" spans="1:8">
      <c r="A1815" s="739">
        <v>21136</v>
      </c>
      <c r="B1815" s="740" t="s">
        <v>10204</v>
      </c>
      <c r="C1815" s="739" t="s">
        <v>1693</v>
      </c>
      <c r="D1815" s="741">
        <f t="shared" si="56"/>
        <v>13</v>
      </c>
      <c r="F1815" s="1406">
        <v>13</v>
      </c>
      <c r="G1815" s="1406">
        <v>13</v>
      </c>
      <c r="H1815" t="b">
        <f t="shared" si="57"/>
        <v>1</v>
      </c>
    </row>
    <row r="1816" spans="1:8">
      <c r="A1816" s="677">
        <v>21128</v>
      </c>
      <c r="B1816" s="733" t="s">
        <v>10205</v>
      </c>
      <c r="C1816" s="677" t="s">
        <v>1693</v>
      </c>
      <c r="D1816" s="738">
        <f t="shared" si="56"/>
        <v>10.06</v>
      </c>
      <c r="F1816" s="1405">
        <v>10.06</v>
      </c>
      <c r="G1816" s="1405">
        <v>10.06</v>
      </c>
      <c r="H1816" t="b">
        <f t="shared" si="57"/>
        <v>1</v>
      </c>
    </row>
    <row r="1817" spans="1:8">
      <c r="A1817" s="739">
        <v>21130</v>
      </c>
      <c r="B1817" s="740" t="s">
        <v>10206</v>
      </c>
      <c r="C1817" s="739" t="s">
        <v>1693</v>
      </c>
      <c r="D1817" s="741">
        <f t="shared" si="56"/>
        <v>25.41</v>
      </c>
      <c r="F1817" s="1406">
        <v>25.41</v>
      </c>
      <c r="G1817" s="1406">
        <v>25.41</v>
      </c>
      <c r="H1817" t="b">
        <f t="shared" si="57"/>
        <v>1</v>
      </c>
    </row>
    <row r="1818" spans="1:8">
      <c r="A1818" s="677">
        <v>21135</v>
      </c>
      <c r="B1818" s="733" t="s">
        <v>10207</v>
      </c>
      <c r="C1818" s="677" t="s">
        <v>1693</v>
      </c>
      <c r="D1818" s="738">
        <f t="shared" si="56"/>
        <v>25.01</v>
      </c>
      <c r="F1818" s="1405">
        <v>25.01</v>
      </c>
      <c r="G1818" s="1405">
        <v>25.01</v>
      </c>
      <c r="H1818" t="b">
        <f t="shared" si="57"/>
        <v>1</v>
      </c>
    </row>
    <row r="1819" spans="1:8">
      <c r="A1819" s="739">
        <v>40401</v>
      </c>
      <c r="B1819" s="740" t="s">
        <v>10208</v>
      </c>
      <c r="C1819" s="739" t="s">
        <v>1693</v>
      </c>
      <c r="D1819" s="741">
        <f t="shared" si="56"/>
        <v>2.2200000000000002</v>
      </c>
      <c r="F1819" s="1406">
        <v>2.2200000000000002</v>
      </c>
      <c r="G1819" s="1406">
        <v>2.2200000000000002</v>
      </c>
      <c r="H1819" t="b">
        <f t="shared" si="57"/>
        <v>1</v>
      </c>
    </row>
    <row r="1820" spans="1:8">
      <c r="A1820" s="677">
        <v>40402</v>
      </c>
      <c r="B1820" s="733" t="s">
        <v>10209</v>
      </c>
      <c r="C1820" s="677" t="s">
        <v>1693</v>
      </c>
      <c r="D1820" s="738">
        <f t="shared" si="56"/>
        <v>2.85</v>
      </c>
      <c r="F1820" s="1405">
        <v>2.85</v>
      </c>
      <c r="G1820" s="1405">
        <v>2.85</v>
      </c>
      <c r="H1820" t="b">
        <f t="shared" si="57"/>
        <v>1</v>
      </c>
    </row>
    <row r="1821" spans="1:8">
      <c r="A1821" s="739">
        <v>40400</v>
      </c>
      <c r="B1821" s="740" t="s">
        <v>10210</v>
      </c>
      <c r="C1821" s="739" t="s">
        <v>1693</v>
      </c>
      <c r="D1821" s="741">
        <f t="shared" si="56"/>
        <v>1.51</v>
      </c>
      <c r="F1821" s="1406">
        <v>1.51</v>
      </c>
      <c r="G1821" s="1406">
        <v>1.51</v>
      </c>
      <c r="H1821" t="b">
        <f t="shared" si="57"/>
        <v>1</v>
      </c>
    </row>
    <row r="1822" spans="1:8" ht="30">
      <c r="A1822" s="677">
        <v>2504</v>
      </c>
      <c r="B1822" s="733" t="s">
        <v>10211</v>
      </c>
      <c r="C1822" s="677" t="s">
        <v>1693</v>
      </c>
      <c r="D1822" s="738">
        <f t="shared" si="56"/>
        <v>11.16</v>
      </c>
      <c r="F1822" s="1405">
        <v>11.16</v>
      </c>
      <c r="G1822" s="1405">
        <v>11.16</v>
      </c>
      <c r="H1822" t="b">
        <f t="shared" si="57"/>
        <v>1</v>
      </c>
    </row>
    <row r="1823" spans="1:8" ht="30">
      <c r="A1823" s="739">
        <v>2501</v>
      </c>
      <c r="B1823" s="740" t="s">
        <v>10212</v>
      </c>
      <c r="C1823" s="739" t="s">
        <v>1693</v>
      </c>
      <c r="D1823" s="741">
        <f t="shared" si="56"/>
        <v>14.64</v>
      </c>
      <c r="F1823" s="1406">
        <v>14.64</v>
      </c>
      <c r="G1823" s="1406">
        <v>14.64</v>
      </c>
      <c r="H1823" t="b">
        <f t="shared" si="57"/>
        <v>1</v>
      </c>
    </row>
    <row r="1824" spans="1:8" ht="30">
      <c r="A1824" s="677">
        <v>2502</v>
      </c>
      <c r="B1824" s="733" t="s">
        <v>10213</v>
      </c>
      <c r="C1824" s="677" t="s">
        <v>1693</v>
      </c>
      <c r="D1824" s="738">
        <f t="shared" si="56"/>
        <v>22.09</v>
      </c>
      <c r="F1824" s="1405">
        <v>22.09</v>
      </c>
      <c r="G1824" s="1405">
        <v>22.09</v>
      </c>
      <c r="H1824" t="b">
        <f t="shared" si="57"/>
        <v>1</v>
      </c>
    </row>
    <row r="1825" spans="1:8" ht="30">
      <c r="A1825" s="739">
        <v>2503</v>
      </c>
      <c r="B1825" s="740" t="s">
        <v>10214</v>
      </c>
      <c r="C1825" s="739" t="s">
        <v>1693</v>
      </c>
      <c r="D1825" s="741">
        <f t="shared" si="56"/>
        <v>28.42</v>
      </c>
      <c r="F1825" s="1406">
        <v>28.42</v>
      </c>
      <c r="G1825" s="1406">
        <v>28.42</v>
      </c>
      <c r="H1825" t="b">
        <f t="shared" si="57"/>
        <v>1</v>
      </c>
    </row>
    <row r="1826" spans="1:8" ht="30">
      <c r="A1826" s="677">
        <v>2500</v>
      </c>
      <c r="B1826" s="733" t="s">
        <v>10215</v>
      </c>
      <c r="C1826" s="677" t="s">
        <v>1693</v>
      </c>
      <c r="D1826" s="738">
        <f t="shared" si="56"/>
        <v>37.86</v>
      </c>
      <c r="F1826" s="1405">
        <v>37.86</v>
      </c>
      <c r="G1826" s="1405">
        <v>37.86</v>
      </c>
      <c r="H1826" t="b">
        <f t="shared" si="57"/>
        <v>1</v>
      </c>
    </row>
    <row r="1827" spans="1:8" ht="30">
      <c r="A1827" s="739">
        <v>2505</v>
      </c>
      <c r="B1827" s="740" t="s">
        <v>10216</v>
      </c>
      <c r="C1827" s="739" t="s">
        <v>1693</v>
      </c>
      <c r="D1827" s="741">
        <f t="shared" si="56"/>
        <v>59.01</v>
      </c>
      <c r="F1827" s="1406">
        <v>59.01</v>
      </c>
      <c r="G1827" s="1406">
        <v>59.01</v>
      </c>
      <c r="H1827" t="b">
        <f t="shared" si="57"/>
        <v>1</v>
      </c>
    </row>
    <row r="1828" spans="1:8">
      <c r="A1828" s="677">
        <v>12056</v>
      </c>
      <c r="B1828" s="733" t="s">
        <v>10217</v>
      </c>
      <c r="C1828" s="677" t="s">
        <v>1693</v>
      </c>
      <c r="D1828" s="738">
        <f t="shared" si="56"/>
        <v>23.84</v>
      </c>
      <c r="F1828" s="1405">
        <v>23.84</v>
      </c>
      <c r="G1828" s="1405">
        <v>23.84</v>
      </c>
      <c r="H1828" t="b">
        <f t="shared" si="57"/>
        <v>1</v>
      </c>
    </row>
    <row r="1829" spans="1:8">
      <c r="A1829" s="739">
        <v>12057</v>
      </c>
      <c r="B1829" s="740" t="s">
        <v>10218</v>
      </c>
      <c r="C1829" s="739" t="s">
        <v>1693</v>
      </c>
      <c r="D1829" s="741">
        <f t="shared" si="56"/>
        <v>20.25</v>
      </c>
      <c r="F1829" s="1406">
        <v>20.25</v>
      </c>
      <c r="G1829" s="1406">
        <v>20.25</v>
      </c>
      <c r="H1829" t="b">
        <f t="shared" si="57"/>
        <v>1</v>
      </c>
    </row>
    <row r="1830" spans="1:8">
      <c r="A1830" s="677">
        <v>12059</v>
      </c>
      <c r="B1830" s="733" t="s">
        <v>10219</v>
      </c>
      <c r="C1830" s="677" t="s">
        <v>1693</v>
      </c>
      <c r="D1830" s="738">
        <f t="shared" si="56"/>
        <v>7.1</v>
      </c>
      <c r="F1830" s="1405">
        <v>7.1</v>
      </c>
      <c r="G1830" s="1405">
        <v>7.1</v>
      </c>
      <c r="H1830" t="b">
        <f t="shared" si="57"/>
        <v>1</v>
      </c>
    </row>
    <row r="1831" spans="1:8">
      <c r="A1831" s="739">
        <v>12058</v>
      </c>
      <c r="B1831" s="740" t="s">
        <v>10220</v>
      </c>
      <c r="C1831" s="739" t="s">
        <v>1693</v>
      </c>
      <c r="D1831" s="741">
        <f t="shared" si="56"/>
        <v>12.62</v>
      </c>
      <c r="F1831" s="1406">
        <v>12.62</v>
      </c>
      <c r="G1831" s="1406">
        <v>12.62</v>
      </c>
      <c r="H1831" t="b">
        <f t="shared" si="57"/>
        <v>1</v>
      </c>
    </row>
    <row r="1832" spans="1:8">
      <c r="A1832" s="677">
        <v>12060</v>
      </c>
      <c r="B1832" s="733" t="s">
        <v>10221</v>
      </c>
      <c r="C1832" s="677" t="s">
        <v>1693</v>
      </c>
      <c r="D1832" s="738">
        <f t="shared" si="56"/>
        <v>52.62</v>
      </c>
      <c r="F1832" s="1405">
        <v>52.62</v>
      </c>
      <c r="G1832" s="1405">
        <v>52.62</v>
      </c>
      <c r="H1832" t="b">
        <f t="shared" si="57"/>
        <v>1</v>
      </c>
    </row>
    <row r="1833" spans="1:8">
      <c r="A1833" s="739">
        <v>12061</v>
      </c>
      <c r="B1833" s="740" t="s">
        <v>10222</v>
      </c>
      <c r="C1833" s="739" t="s">
        <v>1693</v>
      </c>
      <c r="D1833" s="741">
        <f t="shared" si="56"/>
        <v>32.130000000000003</v>
      </c>
      <c r="F1833" s="1406">
        <v>32.130000000000003</v>
      </c>
      <c r="G1833" s="1406">
        <v>32.130000000000003</v>
      </c>
      <c r="H1833" t="b">
        <f t="shared" si="57"/>
        <v>1</v>
      </c>
    </row>
    <row r="1834" spans="1:8">
      <c r="A1834" s="677">
        <v>12062</v>
      </c>
      <c r="B1834" s="733" t="s">
        <v>10223</v>
      </c>
      <c r="C1834" s="677" t="s">
        <v>1693</v>
      </c>
      <c r="D1834" s="738">
        <f t="shared" si="56"/>
        <v>59.25</v>
      </c>
      <c r="F1834" s="1405">
        <v>59.25</v>
      </c>
      <c r="G1834" s="1405">
        <v>59.25</v>
      </c>
      <c r="H1834" t="b">
        <f t="shared" si="57"/>
        <v>1</v>
      </c>
    </row>
    <row r="1835" spans="1:8">
      <c r="A1835" s="739">
        <v>21137</v>
      </c>
      <c r="B1835" s="740" t="s">
        <v>10224</v>
      </c>
      <c r="C1835" s="739" t="s">
        <v>1693</v>
      </c>
      <c r="D1835" s="741">
        <f t="shared" si="56"/>
        <v>10.3</v>
      </c>
      <c r="F1835" s="1406">
        <v>10.3</v>
      </c>
      <c r="G1835" s="1406">
        <v>10.3</v>
      </c>
      <c r="H1835" t="b">
        <f t="shared" si="57"/>
        <v>1</v>
      </c>
    </row>
    <row r="1836" spans="1:8">
      <c r="A1836" s="677">
        <v>2687</v>
      </c>
      <c r="B1836" s="733" t="s">
        <v>10225</v>
      </c>
      <c r="C1836" s="677" t="s">
        <v>1693</v>
      </c>
      <c r="D1836" s="738">
        <f t="shared" si="56"/>
        <v>2.19</v>
      </c>
      <c r="F1836" s="1405">
        <v>2.19</v>
      </c>
      <c r="G1836" s="1405">
        <v>2.19</v>
      </c>
      <c r="H1836" t="b">
        <f t="shared" si="57"/>
        <v>1</v>
      </c>
    </row>
    <row r="1837" spans="1:8">
      <c r="A1837" s="739">
        <v>2689</v>
      </c>
      <c r="B1837" s="740" t="s">
        <v>10226</v>
      </c>
      <c r="C1837" s="739" t="s">
        <v>1693</v>
      </c>
      <c r="D1837" s="741">
        <f t="shared" si="56"/>
        <v>2.61</v>
      </c>
      <c r="F1837" s="1406">
        <v>2.61</v>
      </c>
      <c r="G1837" s="1406">
        <v>2.61</v>
      </c>
      <c r="H1837" t="b">
        <f t="shared" si="57"/>
        <v>1</v>
      </c>
    </row>
    <row r="1838" spans="1:8">
      <c r="A1838" s="677">
        <v>2688</v>
      </c>
      <c r="B1838" s="733" t="s">
        <v>10227</v>
      </c>
      <c r="C1838" s="677" t="s">
        <v>1693</v>
      </c>
      <c r="D1838" s="738">
        <f t="shared" si="56"/>
        <v>2.83</v>
      </c>
      <c r="F1838" s="1405">
        <v>2.83</v>
      </c>
      <c r="G1838" s="1405">
        <v>2.83</v>
      </c>
      <c r="H1838" t="b">
        <f t="shared" si="57"/>
        <v>1</v>
      </c>
    </row>
    <row r="1839" spans="1:8">
      <c r="A1839" s="739">
        <v>2690</v>
      </c>
      <c r="B1839" s="740" t="s">
        <v>10228</v>
      </c>
      <c r="C1839" s="739" t="s">
        <v>1693</v>
      </c>
      <c r="D1839" s="741">
        <f t="shared" si="56"/>
        <v>4.84</v>
      </c>
      <c r="F1839" s="1406">
        <v>4.84</v>
      </c>
      <c r="G1839" s="1406">
        <v>4.84</v>
      </c>
      <c r="H1839" t="b">
        <f t="shared" si="57"/>
        <v>1</v>
      </c>
    </row>
    <row r="1840" spans="1:8">
      <c r="A1840" s="677">
        <v>39243</v>
      </c>
      <c r="B1840" s="733" t="s">
        <v>10229</v>
      </c>
      <c r="C1840" s="677" t="s">
        <v>1693</v>
      </c>
      <c r="D1840" s="738">
        <f t="shared" si="56"/>
        <v>3.19</v>
      </c>
      <c r="F1840" s="1405">
        <v>3.19</v>
      </c>
      <c r="G1840" s="1405">
        <v>3.19</v>
      </c>
      <c r="H1840" t="b">
        <f t="shared" si="57"/>
        <v>1</v>
      </c>
    </row>
    <row r="1841" spans="1:8">
      <c r="A1841" s="739">
        <v>39244</v>
      </c>
      <c r="B1841" s="740" t="s">
        <v>10230</v>
      </c>
      <c r="C1841" s="739" t="s">
        <v>1693</v>
      </c>
      <c r="D1841" s="741">
        <f t="shared" si="56"/>
        <v>4.3099999999999996</v>
      </c>
      <c r="F1841" s="1406">
        <v>4.3099999999999996</v>
      </c>
      <c r="G1841" s="1406">
        <v>4.3099999999999996</v>
      </c>
      <c r="H1841" t="b">
        <f t="shared" si="57"/>
        <v>1</v>
      </c>
    </row>
    <row r="1842" spans="1:8">
      <c r="A1842" s="677">
        <v>39245</v>
      </c>
      <c r="B1842" s="733" t="s">
        <v>10231</v>
      </c>
      <c r="C1842" s="677" t="s">
        <v>1693</v>
      </c>
      <c r="D1842" s="738">
        <f t="shared" si="56"/>
        <v>8.2899999999999991</v>
      </c>
      <c r="F1842" s="1405">
        <v>8.2899999999999991</v>
      </c>
      <c r="G1842" s="1405">
        <v>8.2899999999999991</v>
      </c>
      <c r="H1842" t="b">
        <f t="shared" si="57"/>
        <v>1</v>
      </c>
    </row>
    <row r="1843" spans="1:8">
      <c r="A1843" s="739">
        <v>39254</v>
      </c>
      <c r="B1843" s="740" t="s">
        <v>10232</v>
      </c>
      <c r="C1843" s="739" t="s">
        <v>1693</v>
      </c>
      <c r="D1843" s="741">
        <f t="shared" si="56"/>
        <v>12.41</v>
      </c>
      <c r="F1843" s="1406">
        <v>12.41</v>
      </c>
      <c r="G1843" s="1406">
        <v>12.41</v>
      </c>
      <c r="H1843" t="b">
        <f t="shared" si="57"/>
        <v>1</v>
      </c>
    </row>
    <row r="1844" spans="1:8">
      <c r="A1844" s="677">
        <v>39255</v>
      </c>
      <c r="B1844" s="733" t="s">
        <v>10233</v>
      </c>
      <c r="C1844" s="677" t="s">
        <v>1693</v>
      </c>
      <c r="D1844" s="738">
        <f t="shared" si="56"/>
        <v>22.96</v>
      </c>
      <c r="F1844" s="1405">
        <v>22.96</v>
      </c>
      <c r="G1844" s="1405">
        <v>22.96</v>
      </c>
      <c r="H1844" t="b">
        <f t="shared" si="57"/>
        <v>1</v>
      </c>
    </row>
    <row r="1845" spans="1:8">
      <c r="A1845" s="739">
        <v>39253</v>
      </c>
      <c r="B1845" s="740" t="s">
        <v>10234</v>
      </c>
      <c r="C1845" s="739" t="s">
        <v>1693</v>
      </c>
      <c r="D1845" s="741">
        <f t="shared" si="56"/>
        <v>15.81</v>
      </c>
      <c r="F1845" s="1406">
        <v>15.81</v>
      </c>
      <c r="G1845" s="1406">
        <v>15.81</v>
      </c>
      <c r="H1845" t="b">
        <f t="shared" si="57"/>
        <v>1</v>
      </c>
    </row>
    <row r="1846" spans="1:8" ht="30">
      <c r="A1846" s="677">
        <v>39246</v>
      </c>
      <c r="B1846" s="733" t="s">
        <v>10235</v>
      </c>
      <c r="C1846" s="677" t="s">
        <v>1693</v>
      </c>
      <c r="D1846" s="738">
        <f t="shared" si="56"/>
        <v>3.86</v>
      </c>
      <c r="F1846" s="1405">
        <v>3.86</v>
      </c>
      <c r="G1846" s="1405">
        <v>3.86</v>
      </c>
      <c r="H1846" t="b">
        <f t="shared" si="57"/>
        <v>1</v>
      </c>
    </row>
    <row r="1847" spans="1:8" ht="30">
      <c r="A1847" s="739">
        <v>39247</v>
      </c>
      <c r="B1847" s="740" t="s">
        <v>10236</v>
      </c>
      <c r="C1847" s="739" t="s">
        <v>1693</v>
      </c>
      <c r="D1847" s="741">
        <f t="shared" si="56"/>
        <v>3.37</v>
      </c>
      <c r="F1847" s="1406">
        <v>3.37</v>
      </c>
      <c r="G1847" s="1406">
        <v>3.37</v>
      </c>
      <c r="H1847" t="b">
        <f t="shared" si="57"/>
        <v>1</v>
      </c>
    </row>
    <row r="1848" spans="1:8" ht="30">
      <c r="A1848" s="677">
        <v>2446</v>
      </c>
      <c r="B1848" s="733" t="s">
        <v>10237</v>
      </c>
      <c r="C1848" s="677" t="s">
        <v>1693</v>
      </c>
      <c r="D1848" s="738">
        <f t="shared" si="56"/>
        <v>5.55</v>
      </c>
      <c r="F1848" s="1405">
        <v>5.55</v>
      </c>
      <c r="G1848" s="1405">
        <v>5.55</v>
      </c>
      <c r="H1848" t="b">
        <f t="shared" si="57"/>
        <v>1</v>
      </c>
    </row>
    <row r="1849" spans="1:8" ht="30">
      <c r="A1849" s="739">
        <v>2442</v>
      </c>
      <c r="B1849" s="740" t="s">
        <v>10238</v>
      </c>
      <c r="C1849" s="739" t="s">
        <v>1693</v>
      </c>
      <c r="D1849" s="741">
        <f t="shared" si="56"/>
        <v>7.77</v>
      </c>
      <c r="F1849" s="1406">
        <v>7.77</v>
      </c>
      <c r="G1849" s="1406">
        <v>7.77</v>
      </c>
      <c r="H1849" t="b">
        <f t="shared" si="57"/>
        <v>1</v>
      </c>
    </row>
    <row r="1850" spans="1:8" ht="30">
      <c r="A1850" s="677">
        <v>39248</v>
      </c>
      <c r="B1850" s="733" t="s">
        <v>10239</v>
      </c>
      <c r="C1850" s="677" t="s">
        <v>1693</v>
      </c>
      <c r="D1850" s="738">
        <f t="shared" si="56"/>
        <v>10.83</v>
      </c>
      <c r="F1850" s="1405">
        <v>10.83</v>
      </c>
      <c r="G1850" s="1405">
        <v>10.83</v>
      </c>
      <c r="H1850" t="b">
        <f t="shared" si="57"/>
        <v>1</v>
      </c>
    </row>
    <row r="1851" spans="1:8">
      <c r="A1851" s="739">
        <v>2438</v>
      </c>
      <c r="B1851" s="740" t="s">
        <v>10240</v>
      </c>
      <c r="C1851" s="739" t="s">
        <v>1689</v>
      </c>
      <c r="D1851" s="741">
        <f t="shared" si="56"/>
        <v>26.57</v>
      </c>
      <c r="F1851" s="1406">
        <v>23.08</v>
      </c>
      <c r="G1851" s="1406">
        <v>26.57</v>
      </c>
      <c r="H1851" t="b">
        <f t="shared" si="57"/>
        <v>0</v>
      </c>
    </row>
    <row r="1852" spans="1:8">
      <c r="A1852" s="677">
        <v>40922</v>
      </c>
      <c r="B1852" s="733" t="s">
        <v>10241</v>
      </c>
      <c r="C1852" s="677" t="s">
        <v>1696</v>
      </c>
      <c r="D1852" s="738">
        <f t="shared" si="56"/>
        <v>4676.58</v>
      </c>
      <c r="F1852" s="1405">
        <v>4055.96</v>
      </c>
      <c r="G1852" s="1405">
        <v>4676.58</v>
      </c>
      <c r="H1852" t="b">
        <f t="shared" si="57"/>
        <v>0</v>
      </c>
    </row>
    <row r="1853" spans="1:8" ht="30">
      <c r="A1853" s="739">
        <v>36486</v>
      </c>
      <c r="B1853" s="740" t="s">
        <v>10242</v>
      </c>
      <c r="C1853" s="739" t="s">
        <v>1690</v>
      </c>
      <c r="D1853" s="741">
        <f t="shared" si="56"/>
        <v>70127.199999999997</v>
      </c>
      <c r="F1853" s="1406">
        <v>70127.199999999997</v>
      </c>
      <c r="G1853" s="1406">
        <v>70127.199999999997</v>
      </c>
      <c r="H1853" t="b">
        <f t="shared" si="57"/>
        <v>1</v>
      </c>
    </row>
    <row r="1854" spans="1:8" ht="30">
      <c r="A1854" s="677">
        <v>37777</v>
      </c>
      <c r="B1854" s="733" t="s">
        <v>10243</v>
      </c>
      <c r="C1854" s="677" t="s">
        <v>1690</v>
      </c>
      <c r="D1854" s="738">
        <f t="shared" si="56"/>
        <v>330157.49</v>
      </c>
      <c r="F1854" s="1405">
        <v>330157.49</v>
      </c>
      <c r="G1854" s="1405">
        <v>330157.49</v>
      </c>
      <c r="H1854" t="b">
        <f t="shared" si="57"/>
        <v>1</v>
      </c>
    </row>
    <row r="1855" spans="1:8">
      <c r="A1855" s="739">
        <v>12624</v>
      </c>
      <c r="B1855" s="740" t="s">
        <v>10244</v>
      </c>
      <c r="C1855" s="739" t="s">
        <v>1690</v>
      </c>
      <c r="D1855" s="741">
        <f t="shared" si="56"/>
        <v>31</v>
      </c>
      <c r="F1855" s="1406">
        <v>31</v>
      </c>
      <c r="G1855" s="1406">
        <v>31</v>
      </c>
      <c r="H1855" t="b">
        <f t="shared" si="57"/>
        <v>1</v>
      </c>
    </row>
    <row r="1856" spans="1:8">
      <c r="A1856" s="677">
        <v>517</v>
      </c>
      <c r="B1856" s="733" t="s">
        <v>10245</v>
      </c>
      <c r="C1856" s="677" t="s">
        <v>1695</v>
      </c>
      <c r="D1856" s="738">
        <f t="shared" si="56"/>
        <v>13.08</v>
      </c>
      <c r="F1856" s="1405">
        <v>13.08</v>
      </c>
      <c r="G1856" s="1405">
        <v>13.08</v>
      </c>
      <c r="H1856" t="b">
        <f t="shared" si="57"/>
        <v>1</v>
      </c>
    </row>
    <row r="1857" spans="1:8">
      <c r="A1857" s="739">
        <v>37534</v>
      </c>
      <c r="B1857" s="740" t="s">
        <v>10246</v>
      </c>
      <c r="C1857" s="739" t="s">
        <v>1694</v>
      </c>
      <c r="D1857" s="741">
        <f t="shared" si="56"/>
        <v>20.98</v>
      </c>
      <c r="F1857" s="1406">
        <v>20.98</v>
      </c>
      <c r="G1857" s="1406">
        <v>20.98</v>
      </c>
      <c r="H1857" t="b">
        <f t="shared" si="57"/>
        <v>1</v>
      </c>
    </row>
    <row r="1858" spans="1:8">
      <c r="A1858" s="677">
        <v>37535</v>
      </c>
      <c r="B1858" s="733" t="s">
        <v>10247</v>
      </c>
      <c r="C1858" s="677" t="s">
        <v>1694</v>
      </c>
      <c r="D1858" s="738">
        <f t="shared" si="56"/>
        <v>20.98</v>
      </c>
      <c r="F1858" s="1405">
        <v>20.98</v>
      </c>
      <c r="G1858" s="1405">
        <v>20.98</v>
      </c>
      <c r="H1858" t="b">
        <f t="shared" si="57"/>
        <v>1</v>
      </c>
    </row>
    <row r="1859" spans="1:8">
      <c r="A1859" s="739">
        <v>37533</v>
      </c>
      <c r="B1859" s="740" t="s">
        <v>10248</v>
      </c>
      <c r="C1859" s="739" t="s">
        <v>1694</v>
      </c>
      <c r="D1859" s="741">
        <f t="shared" ref="D1859:D1922" si="58">IF($J$2=$F$1,F1859,G1859)</f>
        <v>20.98</v>
      </c>
      <c r="F1859" s="1406">
        <v>20.98</v>
      </c>
      <c r="G1859" s="1406">
        <v>20.98</v>
      </c>
      <c r="H1859" t="b">
        <f t="shared" ref="H1859:H1922" si="59">F1859=G1859</f>
        <v>1</v>
      </c>
    </row>
    <row r="1860" spans="1:8">
      <c r="A1860" s="677">
        <v>37537</v>
      </c>
      <c r="B1860" s="733" t="s">
        <v>10249</v>
      </c>
      <c r="C1860" s="677" t="s">
        <v>1694</v>
      </c>
      <c r="D1860" s="738">
        <f t="shared" si="58"/>
        <v>15.88</v>
      </c>
      <c r="F1860" s="1405">
        <v>15.88</v>
      </c>
      <c r="G1860" s="1405">
        <v>15.88</v>
      </c>
      <c r="H1860" t="b">
        <f t="shared" si="59"/>
        <v>1</v>
      </c>
    </row>
    <row r="1861" spans="1:8">
      <c r="A1861" s="739">
        <v>37536</v>
      </c>
      <c r="B1861" s="740" t="s">
        <v>10250</v>
      </c>
      <c r="C1861" s="739" t="s">
        <v>1694</v>
      </c>
      <c r="D1861" s="741">
        <f t="shared" si="58"/>
        <v>15.88</v>
      </c>
      <c r="F1861" s="1406">
        <v>15.88</v>
      </c>
      <c r="G1861" s="1406">
        <v>15.88</v>
      </c>
      <c r="H1861" t="b">
        <f t="shared" si="59"/>
        <v>1</v>
      </c>
    </row>
    <row r="1862" spans="1:8">
      <c r="A1862" s="677">
        <v>37532</v>
      </c>
      <c r="B1862" s="733" t="s">
        <v>10251</v>
      </c>
      <c r="C1862" s="677" t="s">
        <v>1694</v>
      </c>
      <c r="D1862" s="738">
        <f t="shared" si="58"/>
        <v>15.88</v>
      </c>
      <c r="F1862" s="1405">
        <v>15.88</v>
      </c>
      <c r="G1862" s="1405">
        <v>15.88</v>
      </c>
      <c r="H1862" t="b">
        <f t="shared" si="59"/>
        <v>1</v>
      </c>
    </row>
    <row r="1863" spans="1:8">
      <c r="A1863" s="739">
        <v>2696</v>
      </c>
      <c r="B1863" s="740" t="s">
        <v>10252</v>
      </c>
      <c r="C1863" s="739" t="s">
        <v>1689</v>
      </c>
      <c r="D1863" s="741">
        <f t="shared" si="58"/>
        <v>20.47</v>
      </c>
      <c r="F1863" s="1406">
        <v>17.78</v>
      </c>
      <c r="G1863" s="1406">
        <v>20.47</v>
      </c>
      <c r="H1863" t="b">
        <f t="shared" si="59"/>
        <v>0</v>
      </c>
    </row>
    <row r="1864" spans="1:8">
      <c r="A1864" s="677">
        <v>40928</v>
      </c>
      <c r="B1864" s="733" t="s">
        <v>10253</v>
      </c>
      <c r="C1864" s="677" t="s">
        <v>1696</v>
      </c>
      <c r="D1864" s="738">
        <f t="shared" si="58"/>
        <v>3602.41</v>
      </c>
      <c r="F1864" s="1405">
        <v>3124.34</v>
      </c>
      <c r="G1864" s="1405">
        <v>3602.41</v>
      </c>
      <c r="H1864" t="b">
        <f t="shared" si="59"/>
        <v>0</v>
      </c>
    </row>
    <row r="1865" spans="1:8">
      <c r="A1865" s="739">
        <v>4083</v>
      </c>
      <c r="B1865" s="740" t="s">
        <v>10254</v>
      </c>
      <c r="C1865" s="739" t="s">
        <v>1689</v>
      </c>
      <c r="D1865" s="741">
        <f t="shared" si="58"/>
        <v>26.47</v>
      </c>
      <c r="F1865" s="1406">
        <v>22.99</v>
      </c>
      <c r="G1865" s="1406">
        <v>26.47</v>
      </c>
      <c r="H1865" t="b">
        <f t="shared" si="59"/>
        <v>0</v>
      </c>
    </row>
    <row r="1866" spans="1:8">
      <c r="A1866" s="677">
        <v>40818</v>
      </c>
      <c r="B1866" s="733" t="s">
        <v>10255</v>
      </c>
      <c r="C1866" s="677" t="s">
        <v>1696</v>
      </c>
      <c r="D1866" s="738">
        <f t="shared" si="58"/>
        <v>4657.66</v>
      </c>
      <c r="F1866" s="1405">
        <v>4039.55</v>
      </c>
      <c r="G1866" s="1405">
        <v>4657.66</v>
      </c>
      <c r="H1866" t="b">
        <f t="shared" si="59"/>
        <v>0</v>
      </c>
    </row>
    <row r="1867" spans="1:8">
      <c r="A1867" s="739">
        <v>43146</v>
      </c>
      <c r="B1867" s="740" t="s">
        <v>10256</v>
      </c>
      <c r="C1867" s="739" t="s">
        <v>1694</v>
      </c>
      <c r="D1867" s="741">
        <f t="shared" si="58"/>
        <v>8.9499999999999993</v>
      </c>
      <c r="F1867" s="1406">
        <v>8.9499999999999993</v>
      </c>
      <c r="G1867" s="1406">
        <v>8.9499999999999993</v>
      </c>
      <c r="H1867" t="b">
        <f t="shared" si="59"/>
        <v>1</v>
      </c>
    </row>
    <row r="1868" spans="1:8">
      <c r="A1868" s="677">
        <v>2705</v>
      </c>
      <c r="B1868" s="733" t="s">
        <v>10257</v>
      </c>
      <c r="C1868" s="677" t="s">
        <v>5538</v>
      </c>
      <c r="D1868" s="738">
        <f t="shared" si="58"/>
        <v>1.07</v>
      </c>
      <c r="F1868" s="1405">
        <v>1.07</v>
      </c>
      <c r="G1868" s="1405">
        <v>1.07</v>
      </c>
      <c r="H1868" t="b">
        <f t="shared" si="59"/>
        <v>1</v>
      </c>
    </row>
    <row r="1869" spans="1:8">
      <c r="A1869" s="739">
        <v>14250</v>
      </c>
      <c r="B1869" s="740" t="s">
        <v>10258</v>
      </c>
      <c r="C1869" s="739" t="s">
        <v>5538</v>
      </c>
      <c r="D1869" s="741">
        <f t="shared" si="58"/>
        <v>1.0900000000000001</v>
      </c>
      <c r="F1869" s="1406">
        <v>1.0900000000000001</v>
      </c>
      <c r="G1869" s="1406">
        <v>1.0900000000000001</v>
      </c>
      <c r="H1869" t="b">
        <f t="shared" si="59"/>
        <v>1</v>
      </c>
    </row>
    <row r="1870" spans="1:8">
      <c r="A1870" s="677">
        <v>11683</v>
      </c>
      <c r="B1870" s="733" t="s">
        <v>10259</v>
      </c>
      <c r="C1870" s="677" t="s">
        <v>1690</v>
      </c>
      <c r="D1870" s="738">
        <f t="shared" si="58"/>
        <v>44.02</v>
      </c>
      <c r="F1870" s="1405">
        <v>44.02</v>
      </c>
      <c r="G1870" s="1405">
        <v>44.02</v>
      </c>
      <c r="H1870" t="b">
        <f t="shared" si="59"/>
        <v>1</v>
      </c>
    </row>
    <row r="1871" spans="1:8">
      <c r="A1871" s="739">
        <v>11684</v>
      </c>
      <c r="B1871" s="740" t="s">
        <v>10260</v>
      </c>
      <c r="C1871" s="739" t="s">
        <v>1690</v>
      </c>
      <c r="D1871" s="741">
        <f t="shared" si="58"/>
        <v>48.19</v>
      </c>
      <c r="F1871" s="1406">
        <v>48.19</v>
      </c>
      <c r="G1871" s="1406">
        <v>48.19</v>
      </c>
      <c r="H1871" t="b">
        <f t="shared" si="59"/>
        <v>1</v>
      </c>
    </row>
    <row r="1872" spans="1:8">
      <c r="A1872" s="677">
        <v>6141</v>
      </c>
      <c r="B1872" s="733" t="s">
        <v>10261</v>
      </c>
      <c r="C1872" s="677" t="s">
        <v>1690</v>
      </c>
      <c r="D1872" s="738">
        <f t="shared" si="58"/>
        <v>7.86</v>
      </c>
      <c r="F1872" s="1405">
        <v>7.86</v>
      </c>
      <c r="G1872" s="1405">
        <v>7.86</v>
      </c>
      <c r="H1872" t="b">
        <f t="shared" si="59"/>
        <v>1</v>
      </c>
    </row>
    <row r="1873" spans="1:8">
      <c r="A1873" s="739">
        <v>11681</v>
      </c>
      <c r="B1873" s="740" t="s">
        <v>10262</v>
      </c>
      <c r="C1873" s="739" t="s">
        <v>1690</v>
      </c>
      <c r="D1873" s="741">
        <f t="shared" si="58"/>
        <v>9.91</v>
      </c>
      <c r="F1873" s="1406">
        <v>9.91</v>
      </c>
      <c r="G1873" s="1406">
        <v>9.91</v>
      </c>
      <c r="H1873" t="b">
        <f t="shared" si="59"/>
        <v>1</v>
      </c>
    </row>
    <row r="1874" spans="1:8">
      <c r="A1874" s="677">
        <v>2706</v>
      </c>
      <c r="B1874" s="733" t="s">
        <v>10263</v>
      </c>
      <c r="C1874" s="677" t="s">
        <v>1689</v>
      </c>
      <c r="D1874" s="738">
        <f t="shared" si="58"/>
        <v>112.83</v>
      </c>
      <c r="F1874" s="1405">
        <v>97.99</v>
      </c>
      <c r="G1874" s="1405">
        <v>112.83</v>
      </c>
      <c r="H1874" t="b">
        <f t="shared" si="59"/>
        <v>0</v>
      </c>
    </row>
    <row r="1875" spans="1:8">
      <c r="A1875" s="739">
        <v>40811</v>
      </c>
      <c r="B1875" s="740" t="s">
        <v>10264</v>
      </c>
      <c r="C1875" s="739" t="s">
        <v>1696</v>
      </c>
      <c r="D1875" s="741">
        <f t="shared" si="58"/>
        <v>19849.650000000001</v>
      </c>
      <c r="F1875" s="1406">
        <v>17215.43</v>
      </c>
      <c r="G1875" s="1406">
        <v>19849.650000000001</v>
      </c>
      <c r="H1875" t="b">
        <f t="shared" si="59"/>
        <v>0</v>
      </c>
    </row>
    <row r="1876" spans="1:8">
      <c r="A1876" s="677">
        <v>2707</v>
      </c>
      <c r="B1876" s="733" t="s">
        <v>10265</v>
      </c>
      <c r="C1876" s="677" t="s">
        <v>1689</v>
      </c>
      <c r="D1876" s="738">
        <f t="shared" si="58"/>
        <v>119.11</v>
      </c>
      <c r="F1876" s="1405">
        <v>103.46</v>
      </c>
      <c r="G1876" s="1405">
        <v>119.11</v>
      </c>
      <c r="H1876" t="b">
        <f t="shared" si="59"/>
        <v>0</v>
      </c>
    </row>
    <row r="1877" spans="1:8">
      <c r="A1877" s="739">
        <v>40813</v>
      </c>
      <c r="B1877" s="740" t="s">
        <v>10266</v>
      </c>
      <c r="C1877" s="739" t="s">
        <v>1696</v>
      </c>
      <c r="D1877" s="741">
        <f t="shared" si="58"/>
        <v>20956.8</v>
      </c>
      <c r="F1877" s="1406">
        <v>18175.66</v>
      </c>
      <c r="G1877" s="1406">
        <v>20956.8</v>
      </c>
      <c r="H1877" t="b">
        <f t="shared" si="59"/>
        <v>0</v>
      </c>
    </row>
    <row r="1878" spans="1:8">
      <c r="A1878" s="677">
        <v>2708</v>
      </c>
      <c r="B1878" s="733" t="s">
        <v>10267</v>
      </c>
      <c r="C1878" s="677" t="s">
        <v>1689</v>
      </c>
      <c r="D1878" s="738">
        <f t="shared" si="58"/>
        <v>142.05000000000001</v>
      </c>
      <c r="F1878" s="1405">
        <v>123.38</v>
      </c>
      <c r="G1878" s="1405">
        <v>142.05000000000001</v>
      </c>
      <c r="H1878" t="b">
        <f t="shared" si="59"/>
        <v>0</v>
      </c>
    </row>
    <row r="1879" spans="1:8">
      <c r="A1879" s="739">
        <v>40814</v>
      </c>
      <c r="B1879" s="740" t="s">
        <v>10268</v>
      </c>
      <c r="C1879" s="739" t="s">
        <v>1696</v>
      </c>
      <c r="D1879" s="741">
        <f t="shared" si="58"/>
        <v>24992.91</v>
      </c>
      <c r="F1879" s="1406">
        <v>21676.14</v>
      </c>
      <c r="G1879" s="1406">
        <v>24992.91</v>
      </c>
      <c r="H1879" t="b">
        <f t="shared" si="59"/>
        <v>0</v>
      </c>
    </row>
    <row r="1880" spans="1:8">
      <c r="A1880" s="677">
        <v>38403</v>
      </c>
      <c r="B1880" s="733" t="s">
        <v>10269</v>
      </c>
      <c r="C1880" s="677" t="s">
        <v>1690</v>
      </c>
      <c r="D1880" s="738">
        <f t="shared" si="58"/>
        <v>77.17</v>
      </c>
      <c r="F1880" s="1405">
        <v>77.17</v>
      </c>
      <c r="G1880" s="1405">
        <v>77.17</v>
      </c>
      <c r="H1880" t="b">
        <f t="shared" si="59"/>
        <v>1</v>
      </c>
    </row>
    <row r="1881" spans="1:8">
      <c r="A1881" s="739">
        <v>43482</v>
      </c>
      <c r="B1881" s="740" t="s">
        <v>10270</v>
      </c>
      <c r="C1881" s="739" t="s">
        <v>1689</v>
      </c>
      <c r="D1881" s="741">
        <f t="shared" si="58"/>
        <v>0.79</v>
      </c>
      <c r="F1881" s="1406">
        <v>0.79</v>
      </c>
      <c r="G1881" s="1406">
        <v>0.79</v>
      </c>
      <c r="H1881" t="b">
        <f t="shared" si="59"/>
        <v>1</v>
      </c>
    </row>
    <row r="1882" spans="1:8">
      <c r="A1882" s="677">
        <v>43494</v>
      </c>
      <c r="B1882" s="733" t="s">
        <v>10271</v>
      </c>
      <c r="C1882" s="677" t="s">
        <v>1696</v>
      </c>
      <c r="D1882" s="738">
        <f t="shared" si="58"/>
        <v>148.04</v>
      </c>
      <c r="F1882" s="1405">
        <v>148.04</v>
      </c>
      <c r="G1882" s="1405">
        <v>148.04</v>
      </c>
      <c r="H1882" t="b">
        <f t="shared" si="59"/>
        <v>1</v>
      </c>
    </row>
    <row r="1883" spans="1:8">
      <c r="A1883" s="739">
        <v>43483</v>
      </c>
      <c r="B1883" s="740" t="s">
        <v>10272</v>
      </c>
      <c r="C1883" s="739" t="s">
        <v>1689</v>
      </c>
      <c r="D1883" s="741">
        <f t="shared" si="58"/>
        <v>1.43</v>
      </c>
      <c r="F1883" s="1406">
        <v>1.43</v>
      </c>
      <c r="G1883" s="1406">
        <v>1.43</v>
      </c>
      <c r="H1883" t="b">
        <f t="shared" si="59"/>
        <v>1</v>
      </c>
    </row>
    <row r="1884" spans="1:8">
      <c r="A1884" s="677">
        <v>43495</v>
      </c>
      <c r="B1884" s="733" t="s">
        <v>10273</v>
      </c>
      <c r="C1884" s="677" t="s">
        <v>1696</v>
      </c>
      <c r="D1884" s="738">
        <f t="shared" si="58"/>
        <v>269.97000000000003</v>
      </c>
      <c r="F1884" s="1405">
        <v>269.97000000000003</v>
      </c>
      <c r="G1884" s="1405">
        <v>269.97000000000003</v>
      </c>
      <c r="H1884" t="b">
        <f t="shared" si="59"/>
        <v>1</v>
      </c>
    </row>
    <row r="1885" spans="1:8">
      <c r="A1885" s="739">
        <v>43484</v>
      </c>
      <c r="B1885" s="740" t="s">
        <v>10274</v>
      </c>
      <c r="C1885" s="739" t="s">
        <v>1689</v>
      </c>
      <c r="D1885" s="741">
        <f t="shared" si="58"/>
        <v>1.2</v>
      </c>
      <c r="F1885" s="1406">
        <v>1.2</v>
      </c>
      <c r="G1885" s="1406">
        <v>1.2</v>
      </c>
      <c r="H1885" t="b">
        <f t="shared" si="59"/>
        <v>1</v>
      </c>
    </row>
    <row r="1886" spans="1:8">
      <c r="A1886" s="677">
        <v>43496</v>
      </c>
      <c r="B1886" s="733" t="s">
        <v>10275</v>
      </c>
      <c r="C1886" s="677" t="s">
        <v>1696</v>
      </c>
      <c r="D1886" s="738">
        <f t="shared" si="58"/>
        <v>226.41</v>
      </c>
      <c r="F1886" s="1405">
        <v>226.41</v>
      </c>
      <c r="G1886" s="1405">
        <v>226.41</v>
      </c>
      <c r="H1886" t="b">
        <f t="shared" si="59"/>
        <v>1</v>
      </c>
    </row>
    <row r="1887" spans="1:8">
      <c r="A1887" s="739">
        <v>43485</v>
      </c>
      <c r="B1887" s="740" t="s">
        <v>10276</v>
      </c>
      <c r="C1887" s="739" t="s">
        <v>1689</v>
      </c>
      <c r="D1887" s="741">
        <f t="shared" si="58"/>
        <v>1.06</v>
      </c>
      <c r="F1887" s="1406">
        <v>1.06</v>
      </c>
      <c r="G1887" s="1406">
        <v>1.06</v>
      </c>
      <c r="H1887" t="b">
        <f t="shared" si="59"/>
        <v>1</v>
      </c>
    </row>
    <row r="1888" spans="1:8">
      <c r="A1888" s="677">
        <v>43497</v>
      </c>
      <c r="B1888" s="733" t="s">
        <v>10277</v>
      </c>
      <c r="C1888" s="677" t="s">
        <v>1696</v>
      </c>
      <c r="D1888" s="738">
        <f t="shared" si="58"/>
        <v>199.2</v>
      </c>
      <c r="F1888" s="1405">
        <v>199.2</v>
      </c>
      <c r="G1888" s="1405">
        <v>199.2</v>
      </c>
      <c r="H1888" t="b">
        <f t="shared" si="59"/>
        <v>1</v>
      </c>
    </row>
    <row r="1889" spans="1:8">
      <c r="A1889" s="739">
        <v>43487</v>
      </c>
      <c r="B1889" s="740" t="s">
        <v>10278</v>
      </c>
      <c r="C1889" s="739" t="s">
        <v>1689</v>
      </c>
      <c r="D1889" s="741">
        <f t="shared" si="58"/>
        <v>1.25</v>
      </c>
      <c r="F1889" s="1406">
        <v>1.25</v>
      </c>
      <c r="G1889" s="1406">
        <v>1.25</v>
      </c>
      <c r="H1889" t="b">
        <f t="shared" si="59"/>
        <v>1</v>
      </c>
    </row>
    <row r="1890" spans="1:8">
      <c r="A1890" s="677">
        <v>43499</v>
      </c>
      <c r="B1890" s="733" t="s">
        <v>10279</v>
      </c>
      <c r="C1890" s="677" t="s">
        <v>1696</v>
      </c>
      <c r="D1890" s="738">
        <f t="shared" si="58"/>
        <v>236.16</v>
      </c>
      <c r="F1890" s="1405">
        <v>236.16</v>
      </c>
      <c r="G1890" s="1405">
        <v>236.16</v>
      </c>
      <c r="H1890" t="b">
        <f t="shared" si="59"/>
        <v>1</v>
      </c>
    </row>
    <row r="1891" spans="1:8">
      <c r="A1891" s="739">
        <v>43486</v>
      </c>
      <c r="B1891" s="740" t="s">
        <v>10280</v>
      </c>
      <c r="C1891" s="739" t="s">
        <v>1689</v>
      </c>
      <c r="D1891" s="741">
        <f t="shared" si="58"/>
        <v>0.74</v>
      </c>
      <c r="F1891" s="1406">
        <v>0.74</v>
      </c>
      <c r="G1891" s="1406">
        <v>0.74</v>
      </c>
      <c r="H1891" t="b">
        <f t="shared" si="59"/>
        <v>1</v>
      </c>
    </row>
    <row r="1892" spans="1:8">
      <c r="A1892" s="677">
        <v>43498</v>
      </c>
      <c r="B1892" s="733" t="s">
        <v>10281</v>
      </c>
      <c r="C1892" s="677" t="s">
        <v>1696</v>
      </c>
      <c r="D1892" s="738">
        <f t="shared" si="58"/>
        <v>140.22999999999999</v>
      </c>
      <c r="F1892" s="1405">
        <v>140.22999999999999</v>
      </c>
      <c r="G1892" s="1405">
        <v>140.22999999999999</v>
      </c>
      <c r="H1892" t="b">
        <f t="shared" si="59"/>
        <v>1</v>
      </c>
    </row>
    <row r="1893" spans="1:8">
      <c r="A1893" s="739">
        <v>43488</v>
      </c>
      <c r="B1893" s="740" t="s">
        <v>10282</v>
      </c>
      <c r="C1893" s="739" t="s">
        <v>1689</v>
      </c>
      <c r="D1893" s="741">
        <f t="shared" si="58"/>
        <v>0.86</v>
      </c>
      <c r="F1893" s="1406">
        <v>0.86</v>
      </c>
      <c r="G1893" s="1406">
        <v>0.86</v>
      </c>
      <c r="H1893" t="b">
        <f t="shared" si="59"/>
        <v>1</v>
      </c>
    </row>
    <row r="1894" spans="1:8">
      <c r="A1894" s="677">
        <v>43500</v>
      </c>
      <c r="B1894" s="733" t="s">
        <v>10283</v>
      </c>
      <c r="C1894" s="677" t="s">
        <v>1696</v>
      </c>
      <c r="D1894" s="738">
        <f t="shared" si="58"/>
        <v>162.97</v>
      </c>
      <c r="F1894" s="1405">
        <v>162.97</v>
      </c>
      <c r="G1894" s="1405">
        <v>162.97</v>
      </c>
      <c r="H1894" t="b">
        <f t="shared" si="59"/>
        <v>1</v>
      </c>
    </row>
    <row r="1895" spans="1:8">
      <c r="A1895" s="739">
        <v>43489</v>
      </c>
      <c r="B1895" s="740" t="s">
        <v>10284</v>
      </c>
      <c r="C1895" s="739" t="s">
        <v>1689</v>
      </c>
      <c r="D1895" s="741">
        <f t="shared" si="58"/>
        <v>1.24</v>
      </c>
      <c r="F1895" s="1406">
        <v>1.24</v>
      </c>
      <c r="G1895" s="1406">
        <v>1.24</v>
      </c>
      <c r="H1895" t="b">
        <f t="shared" si="59"/>
        <v>1</v>
      </c>
    </row>
    <row r="1896" spans="1:8">
      <c r="A1896" s="677">
        <v>43501</v>
      </c>
      <c r="B1896" s="733" t="s">
        <v>10285</v>
      </c>
      <c r="C1896" s="677" t="s">
        <v>1696</v>
      </c>
      <c r="D1896" s="738">
        <f t="shared" si="58"/>
        <v>233.35</v>
      </c>
      <c r="F1896" s="1405">
        <v>233.35</v>
      </c>
      <c r="G1896" s="1405">
        <v>233.35</v>
      </c>
      <c r="H1896" t="b">
        <f t="shared" si="59"/>
        <v>1</v>
      </c>
    </row>
    <row r="1897" spans="1:8">
      <c r="A1897" s="739">
        <v>43490</v>
      </c>
      <c r="B1897" s="740" t="s">
        <v>10286</v>
      </c>
      <c r="C1897" s="739" t="s">
        <v>1689</v>
      </c>
      <c r="D1897" s="741">
        <f t="shared" si="58"/>
        <v>1.73</v>
      </c>
      <c r="F1897" s="1406">
        <v>1.73</v>
      </c>
      <c r="G1897" s="1406">
        <v>1.73</v>
      </c>
      <c r="H1897" t="b">
        <f t="shared" si="59"/>
        <v>1</v>
      </c>
    </row>
    <row r="1898" spans="1:8">
      <c r="A1898" s="677">
        <v>43502</v>
      </c>
      <c r="B1898" s="733" t="s">
        <v>10287</v>
      </c>
      <c r="C1898" s="677" t="s">
        <v>1696</v>
      </c>
      <c r="D1898" s="738">
        <f t="shared" si="58"/>
        <v>325.51</v>
      </c>
      <c r="F1898" s="1405">
        <v>325.51</v>
      </c>
      <c r="G1898" s="1405">
        <v>325.51</v>
      </c>
      <c r="H1898" t="b">
        <f t="shared" si="59"/>
        <v>1</v>
      </c>
    </row>
    <row r="1899" spans="1:8">
      <c r="A1899" s="739">
        <v>43491</v>
      </c>
      <c r="B1899" s="740" t="s">
        <v>10288</v>
      </c>
      <c r="C1899" s="739" t="s">
        <v>1689</v>
      </c>
      <c r="D1899" s="741">
        <f t="shared" si="58"/>
        <v>1.33</v>
      </c>
      <c r="F1899" s="1406">
        <v>1.33</v>
      </c>
      <c r="G1899" s="1406">
        <v>1.33</v>
      </c>
      <c r="H1899" t="b">
        <f t="shared" si="59"/>
        <v>1</v>
      </c>
    </row>
    <row r="1900" spans="1:8">
      <c r="A1900" s="677">
        <v>43503</v>
      </c>
      <c r="B1900" s="733" t="s">
        <v>10289</v>
      </c>
      <c r="C1900" s="677" t="s">
        <v>1696</v>
      </c>
      <c r="D1900" s="738">
        <f t="shared" si="58"/>
        <v>250.24</v>
      </c>
      <c r="F1900" s="1405">
        <v>250.24</v>
      </c>
      <c r="G1900" s="1405">
        <v>250.24</v>
      </c>
      <c r="H1900" t="b">
        <f t="shared" si="59"/>
        <v>1</v>
      </c>
    </row>
    <row r="1901" spans="1:8">
      <c r="A1901" s="739">
        <v>43492</v>
      </c>
      <c r="B1901" s="740" t="s">
        <v>10290</v>
      </c>
      <c r="C1901" s="739" t="s">
        <v>1689</v>
      </c>
      <c r="D1901" s="741">
        <f t="shared" si="58"/>
        <v>1.79</v>
      </c>
      <c r="F1901" s="1406">
        <v>1.79</v>
      </c>
      <c r="G1901" s="1406">
        <v>1.79</v>
      </c>
      <c r="H1901" t="b">
        <f t="shared" si="59"/>
        <v>1</v>
      </c>
    </row>
    <row r="1902" spans="1:8">
      <c r="A1902" s="677">
        <v>43504</v>
      </c>
      <c r="B1902" s="733" t="s">
        <v>10291</v>
      </c>
      <c r="C1902" s="677" t="s">
        <v>1696</v>
      </c>
      <c r="D1902" s="738">
        <f t="shared" si="58"/>
        <v>337.87</v>
      </c>
      <c r="F1902" s="1405">
        <v>337.87</v>
      </c>
      <c r="G1902" s="1405">
        <v>337.87</v>
      </c>
      <c r="H1902" t="b">
        <f t="shared" si="59"/>
        <v>1</v>
      </c>
    </row>
    <row r="1903" spans="1:8">
      <c r="A1903" s="739">
        <v>43493</v>
      </c>
      <c r="B1903" s="740" t="s">
        <v>10292</v>
      </c>
      <c r="C1903" s="739" t="s">
        <v>1689</v>
      </c>
      <c r="D1903" s="741">
        <f t="shared" si="58"/>
        <v>0.71</v>
      </c>
      <c r="F1903" s="1406">
        <v>0.71</v>
      </c>
      <c r="G1903" s="1406">
        <v>0.71</v>
      </c>
      <c r="H1903" t="b">
        <f t="shared" si="59"/>
        <v>1</v>
      </c>
    </row>
    <row r="1904" spans="1:8">
      <c r="A1904" s="677">
        <v>43505</v>
      </c>
      <c r="B1904" s="733" t="s">
        <v>10293</v>
      </c>
      <c r="C1904" s="677" t="s">
        <v>1696</v>
      </c>
      <c r="D1904" s="738">
        <f t="shared" si="58"/>
        <v>132.94</v>
      </c>
      <c r="F1904" s="1405">
        <v>132.94</v>
      </c>
      <c r="G1904" s="1405">
        <v>132.94</v>
      </c>
      <c r="H1904" t="b">
        <f t="shared" si="59"/>
        <v>1</v>
      </c>
    </row>
    <row r="1905" spans="1:8" ht="30">
      <c r="A1905" s="739">
        <v>37774</v>
      </c>
      <c r="B1905" s="740" t="s">
        <v>10294</v>
      </c>
      <c r="C1905" s="739" t="s">
        <v>1690</v>
      </c>
      <c r="D1905" s="741">
        <f t="shared" si="58"/>
        <v>565124.71</v>
      </c>
      <c r="F1905" s="1406">
        <v>565124.71</v>
      </c>
      <c r="G1905" s="1406">
        <v>565124.71</v>
      </c>
      <c r="H1905" t="b">
        <f t="shared" si="59"/>
        <v>1</v>
      </c>
    </row>
    <row r="1906" spans="1:8" ht="45">
      <c r="A1906" s="677">
        <v>38629</v>
      </c>
      <c r="B1906" s="733" t="s">
        <v>10295</v>
      </c>
      <c r="C1906" s="677" t="s">
        <v>1690</v>
      </c>
      <c r="D1906" s="738">
        <f t="shared" si="58"/>
        <v>2602792.96</v>
      </c>
      <c r="F1906" s="1405">
        <v>2602792.96</v>
      </c>
      <c r="G1906" s="1405">
        <v>2602792.96</v>
      </c>
      <c r="H1906" t="b">
        <f t="shared" si="59"/>
        <v>1</v>
      </c>
    </row>
    <row r="1907" spans="1:8" ht="30">
      <c r="A1907" s="739">
        <v>38630</v>
      </c>
      <c r="B1907" s="740" t="s">
        <v>10296</v>
      </c>
      <c r="C1907" s="739" t="s">
        <v>1690</v>
      </c>
      <c r="D1907" s="741">
        <f t="shared" si="58"/>
        <v>1748542.96</v>
      </c>
      <c r="F1907" s="1406">
        <v>1748542.96</v>
      </c>
      <c r="G1907" s="1406">
        <v>1748542.96</v>
      </c>
      <c r="H1907" t="b">
        <f t="shared" si="59"/>
        <v>1</v>
      </c>
    </row>
    <row r="1908" spans="1:8">
      <c r="A1908" s="677">
        <v>38476</v>
      </c>
      <c r="B1908" s="733" t="s">
        <v>10297</v>
      </c>
      <c r="C1908" s="677" t="s">
        <v>1690</v>
      </c>
      <c r="D1908" s="738">
        <f t="shared" si="58"/>
        <v>580</v>
      </c>
      <c r="F1908" s="1405">
        <v>580</v>
      </c>
      <c r="G1908" s="1405">
        <v>580</v>
      </c>
      <c r="H1908" t="b">
        <f t="shared" si="59"/>
        <v>1</v>
      </c>
    </row>
    <row r="1909" spans="1:8">
      <c r="A1909" s="739">
        <v>38477</v>
      </c>
      <c r="B1909" s="740" t="s">
        <v>10298</v>
      </c>
      <c r="C1909" s="739" t="s">
        <v>1690</v>
      </c>
      <c r="D1909" s="741">
        <f t="shared" si="58"/>
        <v>1642.57</v>
      </c>
      <c r="F1909" s="1406">
        <v>1642.57</v>
      </c>
      <c r="G1909" s="1406">
        <v>1642.57</v>
      </c>
      <c r="H1909" t="b">
        <f t="shared" si="59"/>
        <v>1</v>
      </c>
    </row>
    <row r="1910" spans="1:8" ht="30">
      <c r="A1910" s="677">
        <v>40635</v>
      </c>
      <c r="B1910" s="733" t="s">
        <v>10299</v>
      </c>
      <c r="C1910" s="677" t="s">
        <v>1690</v>
      </c>
      <c r="D1910" s="738">
        <f t="shared" si="58"/>
        <v>960591.47</v>
      </c>
      <c r="F1910" s="1405">
        <v>960591.47</v>
      </c>
      <c r="G1910" s="1405">
        <v>960591.47</v>
      </c>
      <c r="H1910" t="b">
        <f t="shared" si="59"/>
        <v>1</v>
      </c>
    </row>
    <row r="1911" spans="1:8">
      <c r="A1911" s="739">
        <v>36483</v>
      </c>
      <c r="B1911" s="740" t="s">
        <v>10300</v>
      </c>
      <c r="C1911" s="739" t="s">
        <v>1690</v>
      </c>
      <c r="D1911" s="741">
        <f t="shared" si="58"/>
        <v>870449.74</v>
      </c>
      <c r="F1911" s="1406">
        <v>870449.74</v>
      </c>
      <c r="G1911" s="1406">
        <v>870449.74</v>
      </c>
      <c r="H1911" t="b">
        <f t="shared" si="59"/>
        <v>1</v>
      </c>
    </row>
    <row r="1912" spans="1:8">
      <c r="A1912" s="677">
        <v>14525</v>
      </c>
      <c r="B1912" s="733" t="s">
        <v>10301</v>
      </c>
      <c r="C1912" s="677" t="s">
        <v>1690</v>
      </c>
      <c r="D1912" s="738">
        <f t="shared" si="58"/>
        <v>911412.08</v>
      </c>
      <c r="F1912" s="1405">
        <v>911412.08</v>
      </c>
      <c r="G1912" s="1405">
        <v>911412.08</v>
      </c>
      <c r="H1912" t="b">
        <f t="shared" si="59"/>
        <v>1</v>
      </c>
    </row>
    <row r="1913" spans="1:8">
      <c r="A1913" s="739">
        <v>36482</v>
      </c>
      <c r="B1913" s="740" t="s">
        <v>10302</v>
      </c>
      <c r="C1913" s="739" t="s">
        <v>1690</v>
      </c>
      <c r="D1913" s="741">
        <f t="shared" si="58"/>
        <v>781662.8</v>
      </c>
      <c r="F1913" s="1406">
        <v>781662.8</v>
      </c>
      <c r="G1913" s="1406">
        <v>781662.8</v>
      </c>
      <c r="H1913" t="b">
        <f t="shared" si="59"/>
        <v>1</v>
      </c>
    </row>
    <row r="1914" spans="1:8">
      <c r="A1914" s="677">
        <v>36408</v>
      </c>
      <c r="B1914" s="733" t="s">
        <v>10303</v>
      </c>
      <c r="C1914" s="677" t="s">
        <v>1690</v>
      </c>
      <c r="D1914" s="738">
        <f t="shared" si="58"/>
        <v>933941.37</v>
      </c>
      <c r="F1914" s="1405">
        <v>933941.37</v>
      </c>
      <c r="G1914" s="1405">
        <v>933941.37</v>
      </c>
      <c r="H1914" t="b">
        <f t="shared" si="59"/>
        <v>1</v>
      </c>
    </row>
    <row r="1915" spans="1:8">
      <c r="A1915" s="739">
        <v>2723</v>
      </c>
      <c r="B1915" s="740" t="s">
        <v>10304</v>
      </c>
      <c r="C1915" s="739" t="s">
        <v>1690</v>
      </c>
      <c r="D1915" s="741">
        <f t="shared" si="58"/>
        <v>716840.95999999996</v>
      </c>
      <c r="F1915" s="1406">
        <v>716840.95999999996</v>
      </c>
      <c r="G1915" s="1406">
        <v>716840.95999999996</v>
      </c>
      <c r="H1915" t="b">
        <f t="shared" si="59"/>
        <v>1</v>
      </c>
    </row>
    <row r="1916" spans="1:8">
      <c r="A1916" s="677">
        <v>36481</v>
      </c>
      <c r="B1916" s="733" t="s">
        <v>10305</v>
      </c>
      <c r="C1916" s="677" t="s">
        <v>1690</v>
      </c>
      <c r="D1916" s="738">
        <f t="shared" si="58"/>
        <v>855088.86</v>
      </c>
      <c r="F1916" s="1405">
        <v>855088.86</v>
      </c>
      <c r="G1916" s="1405">
        <v>855088.86</v>
      </c>
      <c r="H1916" t="b">
        <f t="shared" si="59"/>
        <v>1</v>
      </c>
    </row>
    <row r="1917" spans="1:8">
      <c r="A1917" s="739">
        <v>10685</v>
      </c>
      <c r="B1917" s="740" t="s">
        <v>10306</v>
      </c>
      <c r="C1917" s="739" t="s">
        <v>1690</v>
      </c>
      <c r="D1917" s="741">
        <f t="shared" si="58"/>
        <v>819246.82</v>
      </c>
      <c r="F1917" s="1406">
        <v>819246.82</v>
      </c>
      <c r="G1917" s="1406">
        <v>819246.82</v>
      </c>
      <c r="H1917" t="b">
        <f t="shared" si="59"/>
        <v>1</v>
      </c>
    </row>
    <row r="1918" spans="1:8" ht="30">
      <c r="A1918" s="677">
        <v>40636</v>
      </c>
      <c r="B1918" s="733" t="s">
        <v>10307</v>
      </c>
      <c r="C1918" s="677" t="s">
        <v>1690</v>
      </c>
      <c r="D1918" s="738">
        <f t="shared" si="58"/>
        <v>924749.42</v>
      </c>
      <c r="F1918" s="1405">
        <v>924749.42</v>
      </c>
      <c r="G1918" s="1405">
        <v>924749.42</v>
      </c>
      <c r="H1918" t="b">
        <f t="shared" si="59"/>
        <v>1</v>
      </c>
    </row>
    <row r="1919" spans="1:8">
      <c r="A1919" s="739">
        <v>4111</v>
      </c>
      <c r="B1919" s="740" t="s">
        <v>10308</v>
      </c>
      <c r="C1919" s="739" t="s">
        <v>1690</v>
      </c>
      <c r="D1919" s="741">
        <f t="shared" si="58"/>
        <v>61.87</v>
      </c>
      <c r="F1919" s="1406">
        <v>61.87</v>
      </c>
      <c r="G1919" s="1406">
        <v>61.87</v>
      </c>
      <c r="H1919" t="b">
        <f t="shared" si="59"/>
        <v>1</v>
      </c>
    </row>
    <row r="1920" spans="1:8">
      <c r="A1920" s="677">
        <v>44538</v>
      </c>
      <c r="B1920" s="733" t="s">
        <v>10309</v>
      </c>
      <c r="C1920" s="677" t="s">
        <v>1690</v>
      </c>
      <c r="D1920" s="738">
        <f t="shared" si="58"/>
        <v>90.8</v>
      </c>
      <c r="F1920" s="1405">
        <v>90.8</v>
      </c>
      <c r="G1920" s="1405">
        <v>90.8</v>
      </c>
      <c r="H1920" t="b">
        <f t="shared" si="59"/>
        <v>1</v>
      </c>
    </row>
    <row r="1921" spans="1:8">
      <c r="A1921" s="739">
        <v>12</v>
      </c>
      <c r="B1921" s="740" t="s">
        <v>10310</v>
      </c>
      <c r="C1921" s="739" t="s">
        <v>1690</v>
      </c>
      <c r="D1921" s="741">
        <f t="shared" si="58"/>
        <v>19.89</v>
      </c>
      <c r="F1921" s="1406">
        <v>19.89</v>
      </c>
      <c r="G1921" s="1406">
        <v>19.89</v>
      </c>
      <c r="H1921" t="b">
        <f t="shared" si="59"/>
        <v>1</v>
      </c>
    </row>
    <row r="1922" spans="1:8">
      <c r="A1922" s="677">
        <v>37554</v>
      </c>
      <c r="B1922" s="733" t="s">
        <v>10311</v>
      </c>
      <c r="C1922" s="677" t="s">
        <v>1690</v>
      </c>
      <c r="D1922" s="738">
        <f t="shared" si="58"/>
        <v>217.26</v>
      </c>
      <c r="F1922" s="1405">
        <v>217.26</v>
      </c>
      <c r="G1922" s="1405">
        <v>217.26</v>
      </c>
      <c r="H1922" t="b">
        <f t="shared" si="59"/>
        <v>1</v>
      </c>
    </row>
    <row r="1923" spans="1:8">
      <c r="A1923" s="739">
        <v>37555</v>
      </c>
      <c r="B1923" s="740" t="s">
        <v>10312</v>
      </c>
      <c r="C1923" s="739" t="s">
        <v>1690</v>
      </c>
      <c r="D1923" s="741">
        <f t="shared" ref="D1923:D1986" si="60">IF($J$2=$F$1,F1923,G1923)</f>
        <v>264.27999999999997</v>
      </c>
      <c r="F1923" s="1406">
        <v>264.27999999999997</v>
      </c>
      <c r="G1923" s="1406">
        <v>264.27999999999997</v>
      </c>
      <c r="H1923" t="b">
        <f t="shared" ref="H1923:H1986" si="61">F1923=G1923</f>
        <v>1</v>
      </c>
    </row>
    <row r="1924" spans="1:8" ht="30">
      <c r="A1924" s="677">
        <v>10902</v>
      </c>
      <c r="B1924" s="733" t="s">
        <v>10313</v>
      </c>
      <c r="C1924" s="677" t="s">
        <v>1690</v>
      </c>
      <c r="D1924" s="738">
        <f t="shared" si="60"/>
        <v>66.31</v>
      </c>
      <c r="F1924" s="1405">
        <v>66.31</v>
      </c>
      <c r="G1924" s="1405">
        <v>66.31</v>
      </c>
      <c r="H1924" t="b">
        <f t="shared" si="61"/>
        <v>1</v>
      </c>
    </row>
    <row r="1925" spans="1:8" ht="30">
      <c r="A1925" s="739">
        <v>20965</v>
      </c>
      <c r="B1925" s="740" t="s">
        <v>10314</v>
      </c>
      <c r="C1925" s="739" t="s">
        <v>1690</v>
      </c>
      <c r="D1925" s="741">
        <f t="shared" si="60"/>
        <v>66.930000000000007</v>
      </c>
      <c r="F1925" s="1406">
        <v>66.930000000000007</v>
      </c>
      <c r="G1925" s="1406">
        <v>66.930000000000007</v>
      </c>
      <c r="H1925" t="b">
        <f t="shared" si="61"/>
        <v>1</v>
      </c>
    </row>
    <row r="1926" spans="1:8" ht="30">
      <c r="A1926" s="677">
        <v>20966</v>
      </c>
      <c r="B1926" s="733" t="s">
        <v>10315</v>
      </c>
      <c r="C1926" s="677" t="s">
        <v>1690</v>
      </c>
      <c r="D1926" s="738">
        <f t="shared" si="60"/>
        <v>72.069999999999993</v>
      </c>
      <c r="F1926" s="1405">
        <v>72.069999999999993</v>
      </c>
      <c r="G1926" s="1405">
        <v>72.069999999999993</v>
      </c>
      <c r="H1926" t="b">
        <f t="shared" si="61"/>
        <v>1</v>
      </c>
    </row>
    <row r="1927" spans="1:8" ht="30">
      <c r="A1927" s="739">
        <v>10903</v>
      </c>
      <c r="B1927" s="740" t="s">
        <v>10316</v>
      </c>
      <c r="C1927" s="739" t="s">
        <v>1690</v>
      </c>
      <c r="D1927" s="741">
        <f t="shared" si="60"/>
        <v>109.23</v>
      </c>
      <c r="F1927" s="1406">
        <v>109.23</v>
      </c>
      <c r="G1927" s="1406">
        <v>109.23</v>
      </c>
      <c r="H1927" t="b">
        <f t="shared" si="61"/>
        <v>1</v>
      </c>
    </row>
    <row r="1928" spans="1:8" ht="30">
      <c r="A1928" s="677">
        <v>20967</v>
      </c>
      <c r="B1928" s="733" t="s">
        <v>10317</v>
      </c>
      <c r="C1928" s="677" t="s">
        <v>1690</v>
      </c>
      <c r="D1928" s="738">
        <f t="shared" si="60"/>
        <v>109.23</v>
      </c>
      <c r="F1928" s="1405">
        <v>109.23</v>
      </c>
      <c r="G1928" s="1405">
        <v>109.23</v>
      </c>
      <c r="H1928" t="b">
        <f t="shared" si="61"/>
        <v>1</v>
      </c>
    </row>
    <row r="1929" spans="1:8" ht="30">
      <c r="A1929" s="739">
        <v>20968</v>
      </c>
      <c r="B1929" s="740" t="s">
        <v>10318</v>
      </c>
      <c r="C1929" s="739" t="s">
        <v>1690</v>
      </c>
      <c r="D1929" s="741">
        <f t="shared" si="60"/>
        <v>119.8</v>
      </c>
      <c r="F1929" s="1406">
        <v>119.8</v>
      </c>
      <c r="G1929" s="1406">
        <v>119.8</v>
      </c>
      <c r="H1929" t="b">
        <f t="shared" si="61"/>
        <v>1</v>
      </c>
    </row>
    <row r="1930" spans="1:8">
      <c r="A1930" s="677">
        <v>11359</v>
      </c>
      <c r="B1930" s="733" t="s">
        <v>10319</v>
      </c>
      <c r="C1930" s="677" t="s">
        <v>1690</v>
      </c>
      <c r="D1930" s="738">
        <f t="shared" si="60"/>
        <v>1017.1</v>
      </c>
      <c r="F1930" s="1405">
        <v>1017.1</v>
      </c>
      <c r="G1930" s="1405">
        <v>1017.1</v>
      </c>
      <c r="H1930" t="b">
        <f t="shared" si="61"/>
        <v>1</v>
      </c>
    </row>
    <row r="1931" spans="1:8" ht="30">
      <c r="A1931" s="739">
        <v>39017</v>
      </c>
      <c r="B1931" s="740" t="s">
        <v>10320</v>
      </c>
      <c r="C1931" s="739" t="s">
        <v>1690</v>
      </c>
      <c r="D1931" s="741">
        <f t="shared" si="60"/>
        <v>0.22</v>
      </c>
      <c r="F1931" s="1406">
        <v>0.22</v>
      </c>
      <c r="G1931" s="1406">
        <v>0.22</v>
      </c>
      <c r="H1931" t="b">
        <f t="shared" si="61"/>
        <v>1</v>
      </c>
    </row>
    <row r="1932" spans="1:8" ht="30">
      <c r="A1932" s="677">
        <v>39315</v>
      </c>
      <c r="B1932" s="733" t="s">
        <v>10321</v>
      </c>
      <c r="C1932" s="677" t="s">
        <v>1690</v>
      </c>
      <c r="D1932" s="738">
        <f t="shared" si="60"/>
        <v>0.35</v>
      </c>
      <c r="F1932" s="1405">
        <v>0.35</v>
      </c>
      <c r="G1932" s="1405">
        <v>0.35</v>
      </c>
      <c r="H1932" t="b">
        <f t="shared" si="61"/>
        <v>1</v>
      </c>
    </row>
    <row r="1933" spans="1:8">
      <c r="A1933" s="739">
        <v>39016</v>
      </c>
      <c r="B1933" s="740" t="s">
        <v>10322</v>
      </c>
      <c r="C1933" s="739" t="s">
        <v>1690</v>
      </c>
      <c r="D1933" s="741">
        <f t="shared" si="60"/>
        <v>0.36</v>
      </c>
      <c r="F1933" s="1406">
        <v>0.36</v>
      </c>
      <c r="G1933" s="1406">
        <v>0.36</v>
      </c>
      <c r="H1933" t="b">
        <f t="shared" si="61"/>
        <v>1</v>
      </c>
    </row>
    <row r="1934" spans="1:8" ht="30">
      <c r="A1934" s="677">
        <v>39481</v>
      </c>
      <c r="B1934" s="733" t="s">
        <v>10323</v>
      </c>
      <c r="C1934" s="677" t="s">
        <v>1690</v>
      </c>
      <c r="D1934" s="738">
        <f t="shared" si="60"/>
        <v>1.74</v>
      </c>
      <c r="F1934" s="1405">
        <v>1.74</v>
      </c>
      <c r="G1934" s="1405">
        <v>1.74</v>
      </c>
      <c r="H1934" t="b">
        <f t="shared" si="61"/>
        <v>1</v>
      </c>
    </row>
    <row r="1935" spans="1:8" ht="30">
      <c r="A1935" s="739">
        <v>39013</v>
      </c>
      <c r="B1935" s="740" t="s">
        <v>10324</v>
      </c>
      <c r="C1935" s="739" t="s">
        <v>1690</v>
      </c>
      <c r="D1935" s="741">
        <f t="shared" si="60"/>
        <v>1.48</v>
      </c>
      <c r="F1935" s="1406">
        <v>1.48</v>
      </c>
      <c r="G1935" s="1406">
        <v>1.48</v>
      </c>
      <c r="H1935" t="b">
        <f t="shared" si="61"/>
        <v>1</v>
      </c>
    </row>
    <row r="1936" spans="1:8" ht="30">
      <c r="A1936" s="677">
        <v>44919</v>
      </c>
      <c r="B1936" s="733" t="s">
        <v>10325</v>
      </c>
      <c r="C1936" s="677" t="s">
        <v>1690</v>
      </c>
      <c r="D1936" s="738">
        <f t="shared" si="60"/>
        <v>2.77</v>
      </c>
      <c r="F1936" s="1405">
        <v>2.77</v>
      </c>
      <c r="G1936" s="1405">
        <v>2.77</v>
      </c>
      <c r="H1936" t="b">
        <f t="shared" si="61"/>
        <v>1</v>
      </c>
    </row>
    <row r="1937" spans="1:8">
      <c r="A1937" s="739">
        <v>40433</v>
      </c>
      <c r="B1937" s="740" t="s">
        <v>10326</v>
      </c>
      <c r="C1937" s="739" t="s">
        <v>1690</v>
      </c>
      <c r="D1937" s="741">
        <f t="shared" si="60"/>
        <v>1.53</v>
      </c>
      <c r="F1937" s="1406">
        <v>1.53</v>
      </c>
      <c r="G1937" s="1406">
        <v>1.53</v>
      </c>
      <c r="H1937" t="b">
        <f t="shared" si="61"/>
        <v>1</v>
      </c>
    </row>
    <row r="1938" spans="1:8">
      <c r="A1938" s="677">
        <v>20219</v>
      </c>
      <c r="B1938" s="733" t="s">
        <v>10327</v>
      </c>
      <c r="C1938" s="677" t="s">
        <v>1690</v>
      </c>
      <c r="D1938" s="738">
        <f t="shared" si="60"/>
        <v>116000</v>
      </c>
      <c r="F1938" s="1405">
        <v>116000</v>
      </c>
      <c r="G1938" s="1405">
        <v>116000</v>
      </c>
      <c r="H1938" t="b">
        <f t="shared" si="61"/>
        <v>1</v>
      </c>
    </row>
    <row r="1939" spans="1:8" ht="30">
      <c r="A1939" s="739">
        <v>36484</v>
      </c>
      <c r="B1939" s="740" t="s">
        <v>10328</v>
      </c>
      <c r="C1939" s="739" t="s">
        <v>1690</v>
      </c>
      <c r="D1939" s="741">
        <f t="shared" si="60"/>
        <v>246246.87</v>
      </c>
      <c r="F1939" s="1406">
        <v>246246.87</v>
      </c>
      <c r="G1939" s="1406">
        <v>246246.87</v>
      </c>
      <c r="H1939" t="b">
        <f t="shared" si="61"/>
        <v>1</v>
      </c>
    </row>
    <row r="1940" spans="1:8">
      <c r="A1940" s="677">
        <v>38367</v>
      </c>
      <c r="B1940" s="733" t="s">
        <v>10329</v>
      </c>
      <c r="C1940" s="677" t="s">
        <v>1690</v>
      </c>
      <c r="D1940" s="738">
        <f t="shared" si="60"/>
        <v>31.16</v>
      </c>
      <c r="F1940" s="1405">
        <v>31.16</v>
      </c>
      <c r="G1940" s="1405">
        <v>31.16</v>
      </c>
      <c r="H1940" t="b">
        <f t="shared" si="61"/>
        <v>1</v>
      </c>
    </row>
    <row r="1941" spans="1:8">
      <c r="A1941" s="739">
        <v>38368</v>
      </c>
      <c r="B1941" s="740" t="s">
        <v>10330</v>
      </c>
      <c r="C1941" s="739" t="s">
        <v>1690</v>
      </c>
      <c r="D1941" s="741">
        <f t="shared" si="60"/>
        <v>9.35</v>
      </c>
      <c r="F1941" s="1406">
        <v>9.35</v>
      </c>
      <c r="G1941" s="1406">
        <v>9.35</v>
      </c>
      <c r="H1941" t="b">
        <f t="shared" si="61"/>
        <v>1</v>
      </c>
    </row>
    <row r="1942" spans="1:8">
      <c r="A1942" s="677">
        <v>38091</v>
      </c>
      <c r="B1942" s="733" t="s">
        <v>10331</v>
      </c>
      <c r="C1942" s="677" t="s">
        <v>1690</v>
      </c>
      <c r="D1942" s="738">
        <f t="shared" si="60"/>
        <v>2.21</v>
      </c>
      <c r="F1942" s="1405">
        <v>2.21</v>
      </c>
      <c r="G1942" s="1405">
        <v>2.21</v>
      </c>
      <c r="H1942" t="b">
        <f t="shared" si="61"/>
        <v>1</v>
      </c>
    </row>
    <row r="1943" spans="1:8">
      <c r="A1943" s="739">
        <v>38095</v>
      </c>
      <c r="B1943" s="740" t="s">
        <v>10332</v>
      </c>
      <c r="C1943" s="739" t="s">
        <v>1690</v>
      </c>
      <c r="D1943" s="741">
        <f t="shared" si="60"/>
        <v>4.6900000000000004</v>
      </c>
      <c r="F1943" s="1406">
        <v>4.6900000000000004</v>
      </c>
      <c r="G1943" s="1406">
        <v>4.6900000000000004</v>
      </c>
      <c r="H1943" t="b">
        <f t="shared" si="61"/>
        <v>1</v>
      </c>
    </row>
    <row r="1944" spans="1:8">
      <c r="A1944" s="677">
        <v>38092</v>
      </c>
      <c r="B1944" s="733" t="s">
        <v>10333</v>
      </c>
      <c r="C1944" s="677" t="s">
        <v>1690</v>
      </c>
      <c r="D1944" s="738">
        <f t="shared" si="60"/>
        <v>2.1</v>
      </c>
      <c r="F1944" s="1405">
        <v>2.1</v>
      </c>
      <c r="G1944" s="1405">
        <v>2.1</v>
      </c>
      <c r="H1944" t="b">
        <f t="shared" si="61"/>
        <v>1</v>
      </c>
    </row>
    <row r="1945" spans="1:8">
      <c r="A1945" s="739">
        <v>38093</v>
      </c>
      <c r="B1945" s="740" t="s">
        <v>10334</v>
      </c>
      <c r="C1945" s="739" t="s">
        <v>1690</v>
      </c>
      <c r="D1945" s="741">
        <f t="shared" si="60"/>
        <v>2.17</v>
      </c>
      <c r="F1945" s="1406">
        <v>2.17</v>
      </c>
      <c r="G1945" s="1406">
        <v>2.17</v>
      </c>
      <c r="H1945" t="b">
        <f t="shared" si="61"/>
        <v>1</v>
      </c>
    </row>
    <row r="1946" spans="1:8">
      <c r="A1946" s="677">
        <v>38096</v>
      </c>
      <c r="B1946" s="733" t="s">
        <v>10335</v>
      </c>
      <c r="C1946" s="677" t="s">
        <v>1690</v>
      </c>
      <c r="D1946" s="738">
        <f t="shared" si="60"/>
        <v>5.04</v>
      </c>
      <c r="F1946" s="1405">
        <v>5.04</v>
      </c>
      <c r="G1946" s="1405">
        <v>5.04</v>
      </c>
      <c r="H1946" t="b">
        <f t="shared" si="61"/>
        <v>1</v>
      </c>
    </row>
    <row r="1947" spans="1:8">
      <c r="A1947" s="739">
        <v>38094</v>
      </c>
      <c r="B1947" s="740" t="s">
        <v>10336</v>
      </c>
      <c r="C1947" s="739" t="s">
        <v>1690</v>
      </c>
      <c r="D1947" s="741">
        <f t="shared" si="60"/>
        <v>2.66</v>
      </c>
      <c r="F1947" s="1406">
        <v>2.66</v>
      </c>
      <c r="G1947" s="1406">
        <v>2.66</v>
      </c>
      <c r="H1947" t="b">
        <f t="shared" si="61"/>
        <v>1</v>
      </c>
    </row>
    <row r="1948" spans="1:8">
      <c r="A1948" s="677">
        <v>38097</v>
      </c>
      <c r="B1948" s="733" t="s">
        <v>10337</v>
      </c>
      <c r="C1948" s="677" t="s">
        <v>1690</v>
      </c>
      <c r="D1948" s="738">
        <f t="shared" si="60"/>
        <v>5.4</v>
      </c>
      <c r="F1948" s="1405">
        <v>5.4</v>
      </c>
      <c r="G1948" s="1405">
        <v>5.4</v>
      </c>
      <c r="H1948" t="b">
        <f t="shared" si="61"/>
        <v>1</v>
      </c>
    </row>
    <row r="1949" spans="1:8">
      <c r="A1949" s="739">
        <v>38098</v>
      </c>
      <c r="B1949" s="740" t="s">
        <v>10338</v>
      </c>
      <c r="C1949" s="739" t="s">
        <v>1690</v>
      </c>
      <c r="D1949" s="741">
        <f t="shared" si="60"/>
        <v>5.4</v>
      </c>
      <c r="F1949" s="1406">
        <v>5.4</v>
      </c>
      <c r="G1949" s="1406">
        <v>5.4</v>
      </c>
      <c r="H1949" t="b">
        <f t="shared" si="61"/>
        <v>1</v>
      </c>
    </row>
    <row r="1950" spans="1:8">
      <c r="A1950" s="677">
        <v>11186</v>
      </c>
      <c r="B1950" s="733" t="s">
        <v>10339</v>
      </c>
      <c r="C1950" s="677" t="s">
        <v>1692</v>
      </c>
      <c r="D1950" s="738">
        <f t="shared" si="60"/>
        <v>544.66</v>
      </c>
      <c r="F1950" s="1405">
        <v>544.66</v>
      </c>
      <c r="G1950" s="1405">
        <v>544.66</v>
      </c>
      <c r="H1950" t="b">
        <f t="shared" si="61"/>
        <v>1</v>
      </c>
    </row>
    <row r="1951" spans="1:8" ht="30">
      <c r="A1951" s="739">
        <v>11558</v>
      </c>
      <c r="B1951" s="740" t="s">
        <v>10340</v>
      </c>
      <c r="C1951" s="739" t="s">
        <v>1697</v>
      </c>
      <c r="D1951" s="741">
        <f t="shared" si="60"/>
        <v>16.43</v>
      </c>
      <c r="F1951" s="1406">
        <v>16.43</v>
      </c>
      <c r="G1951" s="1406">
        <v>16.43</v>
      </c>
      <c r="H1951" t="b">
        <f t="shared" si="61"/>
        <v>1</v>
      </c>
    </row>
    <row r="1952" spans="1:8" ht="30">
      <c r="A1952" s="677">
        <v>11557</v>
      </c>
      <c r="B1952" s="733" t="s">
        <v>10341</v>
      </c>
      <c r="C1952" s="677" t="s">
        <v>1697</v>
      </c>
      <c r="D1952" s="738">
        <f t="shared" si="60"/>
        <v>41.59</v>
      </c>
      <c r="F1952" s="1405">
        <v>41.59</v>
      </c>
      <c r="G1952" s="1405">
        <v>41.59</v>
      </c>
      <c r="H1952" t="b">
        <f t="shared" si="61"/>
        <v>1</v>
      </c>
    </row>
    <row r="1953" spans="1:8">
      <c r="A1953" s="739">
        <v>2759</v>
      </c>
      <c r="B1953" s="740" t="s">
        <v>10342</v>
      </c>
      <c r="C1953" s="739" t="s">
        <v>1690</v>
      </c>
      <c r="D1953" s="741">
        <f t="shared" si="60"/>
        <v>9.68</v>
      </c>
      <c r="F1953" s="1406">
        <v>9.68</v>
      </c>
      <c r="G1953" s="1406">
        <v>9.68</v>
      </c>
      <c r="H1953" t="b">
        <f t="shared" si="61"/>
        <v>1</v>
      </c>
    </row>
    <row r="1954" spans="1:8">
      <c r="A1954" s="677">
        <v>38124</v>
      </c>
      <c r="B1954" s="733" t="s">
        <v>10343</v>
      </c>
      <c r="C1954" s="677" t="s">
        <v>1690</v>
      </c>
      <c r="D1954" s="738">
        <f t="shared" si="60"/>
        <v>40.450000000000003</v>
      </c>
      <c r="F1954" s="1405">
        <v>40.450000000000003</v>
      </c>
      <c r="G1954" s="1405">
        <v>40.450000000000003</v>
      </c>
      <c r="H1954" t="b">
        <f t="shared" si="61"/>
        <v>1</v>
      </c>
    </row>
    <row r="1955" spans="1:8">
      <c r="A1955" s="739">
        <v>38380</v>
      </c>
      <c r="B1955" s="740" t="s">
        <v>10344</v>
      </c>
      <c r="C1955" s="739" t="s">
        <v>1690</v>
      </c>
      <c r="D1955" s="741">
        <f t="shared" si="60"/>
        <v>49.51</v>
      </c>
      <c r="F1955" s="1406">
        <v>49.51</v>
      </c>
      <c r="G1955" s="1406">
        <v>49.51</v>
      </c>
      <c r="H1955" t="b">
        <f t="shared" si="61"/>
        <v>1</v>
      </c>
    </row>
    <row r="1956" spans="1:8" ht="30">
      <c r="A1956" s="677">
        <v>42429</v>
      </c>
      <c r="B1956" s="733" t="s">
        <v>10345</v>
      </c>
      <c r="C1956" s="677" t="s">
        <v>1690</v>
      </c>
      <c r="D1956" s="738">
        <f t="shared" si="60"/>
        <v>6025.1</v>
      </c>
      <c r="F1956" s="1405">
        <v>6025.1</v>
      </c>
      <c r="G1956" s="1405">
        <v>6025.1</v>
      </c>
      <c r="H1956" t="b">
        <f t="shared" si="61"/>
        <v>1</v>
      </c>
    </row>
    <row r="1957" spans="1:8">
      <c r="A1957" s="739">
        <v>39616</v>
      </c>
      <c r="B1957" s="740" t="s">
        <v>10346</v>
      </c>
      <c r="C1957" s="739" t="s">
        <v>1690</v>
      </c>
      <c r="D1957" s="741">
        <f t="shared" si="60"/>
        <v>465.78</v>
      </c>
      <c r="F1957" s="1406">
        <v>465.78</v>
      </c>
      <c r="G1957" s="1406">
        <v>465.78</v>
      </c>
      <c r="H1957" t="b">
        <f t="shared" si="61"/>
        <v>1</v>
      </c>
    </row>
    <row r="1958" spans="1:8">
      <c r="A1958" s="677">
        <v>39618</v>
      </c>
      <c r="B1958" s="733" t="s">
        <v>10347</v>
      </c>
      <c r="C1958" s="677" t="s">
        <v>1690</v>
      </c>
      <c r="D1958" s="738">
        <f t="shared" si="60"/>
        <v>844.85</v>
      </c>
      <c r="F1958" s="1405">
        <v>844.85</v>
      </c>
      <c r="G1958" s="1405">
        <v>844.85</v>
      </c>
      <c r="H1958" t="b">
        <f t="shared" si="61"/>
        <v>1</v>
      </c>
    </row>
    <row r="1959" spans="1:8">
      <c r="A1959" s="739">
        <v>39619</v>
      </c>
      <c r="B1959" s="740" t="s">
        <v>10348</v>
      </c>
      <c r="C1959" s="739" t="s">
        <v>1690</v>
      </c>
      <c r="D1959" s="741">
        <f t="shared" si="60"/>
        <v>1157.0899999999999</v>
      </c>
      <c r="F1959" s="1406">
        <v>1157.0899999999999</v>
      </c>
      <c r="G1959" s="1406">
        <v>1157.0899999999999</v>
      </c>
      <c r="H1959" t="b">
        <f t="shared" si="61"/>
        <v>1</v>
      </c>
    </row>
    <row r="1960" spans="1:8">
      <c r="A1960" s="677">
        <v>39613</v>
      </c>
      <c r="B1960" s="733" t="s">
        <v>10349</v>
      </c>
      <c r="C1960" s="677" t="s">
        <v>1690</v>
      </c>
      <c r="D1960" s="738">
        <f t="shared" si="60"/>
        <v>185.02</v>
      </c>
      <c r="F1960" s="1405">
        <v>185.02</v>
      </c>
      <c r="G1960" s="1405">
        <v>185.02</v>
      </c>
      <c r="H1960" t="b">
        <f t="shared" si="61"/>
        <v>1</v>
      </c>
    </row>
    <row r="1961" spans="1:8">
      <c r="A1961" s="739">
        <v>39614</v>
      </c>
      <c r="B1961" s="740" t="s">
        <v>10350</v>
      </c>
      <c r="C1961" s="739" t="s">
        <v>1690</v>
      </c>
      <c r="D1961" s="741">
        <f t="shared" si="60"/>
        <v>269.92</v>
      </c>
      <c r="F1961" s="1406">
        <v>269.92</v>
      </c>
      <c r="G1961" s="1406">
        <v>269.92</v>
      </c>
      <c r="H1961" t="b">
        <f t="shared" si="61"/>
        <v>1</v>
      </c>
    </row>
    <row r="1962" spans="1:8" ht="30">
      <c r="A1962" s="677">
        <v>38538</v>
      </c>
      <c r="B1962" s="733" t="s">
        <v>10351</v>
      </c>
      <c r="C1962" s="677" t="s">
        <v>1693</v>
      </c>
      <c r="D1962" s="738">
        <f t="shared" si="60"/>
        <v>77.599999999999994</v>
      </c>
      <c r="F1962" s="1405">
        <v>77.599999999999994</v>
      </c>
      <c r="G1962" s="1405">
        <v>77.599999999999994</v>
      </c>
      <c r="H1962" t="b">
        <f t="shared" si="61"/>
        <v>1</v>
      </c>
    </row>
    <row r="1963" spans="1:8" ht="30">
      <c r="A1963" s="739">
        <v>38539</v>
      </c>
      <c r="B1963" s="740" t="s">
        <v>10352</v>
      </c>
      <c r="C1963" s="739" t="s">
        <v>1693</v>
      </c>
      <c r="D1963" s="741">
        <f t="shared" si="60"/>
        <v>105.52</v>
      </c>
      <c r="F1963" s="1406">
        <v>105.52</v>
      </c>
      <c r="G1963" s="1406">
        <v>105.52</v>
      </c>
      <c r="H1963" t="b">
        <f t="shared" si="61"/>
        <v>1</v>
      </c>
    </row>
    <row r="1964" spans="1:8" ht="30">
      <c r="A1964" s="677">
        <v>38540</v>
      </c>
      <c r="B1964" s="733" t="s">
        <v>10353</v>
      </c>
      <c r="C1964" s="677" t="s">
        <v>1693</v>
      </c>
      <c r="D1964" s="738">
        <f t="shared" si="60"/>
        <v>270.44</v>
      </c>
      <c r="F1964" s="1405">
        <v>270.44</v>
      </c>
      <c r="G1964" s="1405">
        <v>270.44</v>
      </c>
      <c r="H1964" t="b">
        <f t="shared" si="61"/>
        <v>1</v>
      </c>
    </row>
    <row r="1965" spans="1:8">
      <c r="A1965" s="739">
        <v>38384</v>
      </c>
      <c r="B1965" s="740" t="s">
        <v>10354</v>
      </c>
      <c r="C1965" s="739" t="s">
        <v>1690</v>
      </c>
      <c r="D1965" s="741">
        <f t="shared" si="60"/>
        <v>24.22</v>
      </c>
      <c r="F1965" s="1406">
        <v>24.22</v>
      </c>
      <c r="G1965" s="1406">
        <v>24.22</v>
      </c>
      <c r="H1965" t="b">
        <f t="shared" si="61"/>
        <v>1</v>
      </c>
    </row>
    <row r="1966" spans="1:8">
      <c r="A1966" s="677">
        <v>13</v>
      </c>
      <c r="B1966" s="733" t="s">
        <v>10355</v>
      </c>
      <c r="C1966" s="677" t="s">
        <v>1694</v>
      </c>
      <c r="D1966" s="738">
        <f t="shared" si="60"/>
        <v>30.62</v>
      </c>
      <c r="F1966" s="1405">
        <v>30.62</v>
      </c>
      <c r="G1966" s="1405">
        <v>30.62</v>
      </c>
      <c r="H1966" t="b">
        <f t="shared" si="61"/>
        <v>1</v>
      </c>
    </row>
    <row r="1967" spans="1:8">
      <c r="A1967" s="739">
        <v>2762</v>
      </c>
      <c r="B1967" s="740" t="s">
        <v>10356</v>
      </c>
      <c r="C1967" s="739" t="s">
        <v>1693</v>
      </c>
      <c r="D1967" s="741">
        <f t="shared" si="60"/>
        <v>12.1</v>
      </c>
      <c r="F1967" s="1406">
        <v>12.1</v>
      </c>
      <c r="G1967" s="1406">
        <v>12.1</v>
      </c>
      <c r="H1967" t="b">
        <f t="shared" si="61"/>
        <v>1</v>
      </c>
    </row>
    <row r="1968" spans="1:8">
      <c r="A1968" s="677">
        <v>21142</v>
      </c>
      <c r="B1968" s="733" t="s">
        <v>10357</v>
      </c>
      <c r="C1968" s="677" t="s">
        <v>1690</v>
      </c>
      <c r="D1968" s="738">
        <f t="shared" si="60"/>
        <v>31.82</v>
      </c>
      <c r="F1968" s="1405">
        <v>31.82</v>
      </c>
      <c r="G1968" s="1405">
        <v>31.82</v>
      </c>
      <c r="H1968" t="b">
        <f t="shared" si="61"/>
        <v>1</v>
      </c>
    </row>
    <row r="1969" spans="1:8">
      <c r="A1969" s="739">
        <v>4223</v>
      </c>
      <c r="B1969" s="740" t="s">
        <v>10358</v>
      </c>
      <c r="C1969" s="739" t="s">
        <v>1695</v>
      </c>
      <c r="D1969" s="741">
        <f t="shared" si="60"/>
        <v>2.97</v>
      </c>
      <c r="F1969" s="1406">
        <v>2.97</v>
      </c>
      <c r="G1969" s="1406">
        <v>2.97</v>
      </c>
      <c r="H1969" t="b">
        <f t="shared" si="61"/>
        <v>1</v>
      </c>
    </row>
    <row r="1970" spans="1:8">
      <c r="A1970" s="677">
        <v>37372</v>
      </c>
      <c r="B1970" s="733" t="s">
        <v>10359</v>
      </c>
      <c r="C1970" s="677" t="s">
        <v>1689</v>
      </c>
      <c r="D1970" s="738">
        <f t="shared" si="60"/>
        <v>1.34</v>
      </c>
      <c r="F1970" s="1405">
        <v>1.34</v>
      </c>
      <c r="G1970" s="1405">
        <v>1.34</v>
      </c>
      <c r="H1970" t="b">
        <f t="shared" si="61"/>
        <v>1</v>
      </c>
    </row>
    <row r="1971" spans="1:8">
      <c r="A1971" s="739">
        <v>40863</v>
      </c>
      <c r="B1971" s="740" t="s">
        <v>10360</v>
      </c>
      <c r="C1971" s="739" t="s">
        <v>1696</v>
      </c>
      <c r="D1971" s="741">
        <f t="shared" si="60"/>
        <v>252.08</v>
      </c>
      <c r="F1971" s="1406">
        <v>252.08</v>
      </c>
      <c r="G1971" s="1406">
        <v>252.08</v>
      </c>
      <c r="H1971" t="b">
        <f t="shared" si="61"/>
        <v>1</v>
      </c>
    </row>
    <row r="1972" spans="1:8">
      <c r="A1972" s="677">
        <v>38475</v>
      </c>
      <c r="B1972" s="733" t="s">
        <v>10361</v>
      </c>
      <c r="C1972" s="677" t="s">
        <v>1690</v>
      </c>
      <c r="D1972" s="738">
        <f t="shared" si="60"/>
        <v>34.61</v>
      </c>
      <c r="F1972" s="1405">
        <v>34.61</v>
      </c>
      <c r="G1972" s="1405">
        <v>34.61</v>
      </c>
      <c r="H1972" t="b">
        <f t="shared" si="61"/>
        <v>1</v>
      </c>
    </row>
    <row r="1973" spans="1:8">
      <c r="A1973" s="739">
        <v>38474</v>
      </c>
      <c r="B1973" s="740" t="s">
        <v>10362</v>
      </c>
      <c r="C1973" s="739" t="s">
        <v>1690</v>
      </c>
      <c r="D1973" s="741">
        <f t="shared" si="60"/>
        <v>42.79</v>
      </c>
      <c r="F1973" s="1406">
        <v>42.79</v>
      </c>
      <c r="G1973" s="1406">
        <v>42.79</v>
      </c>
      <c r="H1973" t="b">
        <f t="shared" si="61"/>
        <v>1</v>
      </c>
    </row>
    <row r="1974" spans="1:8">
      <c r="A1974" s="677">
        <v>10886</v>
      </c>
      <c r="B1974" s="733" t="s">
        <v>10363</v>
      </c>
      <c r="C1974" s="677" t="s">
        <v>1690</v>
      </c>
      <c r="D1974" s="738">
        <f t="shared" si="60"/>
        <v>236.25</v>
      </c>
      <c r="F1974" s="1405">
        <v>236.25</v>
      </c>
      <c r="G1974" s="1405">
        <v>236.25</v>
      </c>
      <c r="H1974" t="b">
        <f t="shared" si="61"/>
        <v>1</v>
      </c>
    </row>
    <row r="1975" spans="1:8">
      <c r="A1975" s="739">
        <v>10888</v>
      </c>
      <c r="B1975" s="740" t="s">
        <v>10364</v>
      </c>
      <c r="C1975" s="739" t="s">
        <v>1690</v>
      </c>
      <c r="D1975" s="741">
        <f t="shared" si="60"/>
        <v>747.69</v>
      </c>
      <c r="F1975" s="1406">
        <v>747.69</v>
      </c>
      <c r="G1975" s="1406">
        <v>747.69</v>
      </c>
      <c r="H1975" t="b">
        <f t="shared" si="61"/>
        <v>1</v>
      </c>
    </row>
    <row r="1976" spans="1:8">
      <c r="A1976" s="677">
        <v>10889</v>
      </c>
      <c r="B1976" s="733" t="s">
        <v>10365</v>
      </c>
      <c r="C1976" s="677" t="s">
        <v>1690</v>
      </c>
      <c r="D1976" s="738">
        <f t="shared" si="60"/>
        <v>810</v>
      </c>
      <c r="F1976" s="1405">
        <v>810</v>
      </c>
      <c r="G1976" s="1405">
        <v>810</v>
      </c>
      <c r="H1976" t="b">
        <f t="shared" si="61"/>
        <v>1</v>
      </c>
    </row>
    <row r="1977" spans="1:8">
      <c r="A1977" s="739">
        <v>10890</v>
      </c>
      <c r="B1977" s="740" t="s">
        <v>10366</v>
      </c>
      <c r="C1977" s="739" t="s">
        <v>1690</v>
      </c>
      <c r="D1977" s="741">
        <f t="shared" si="60"/>
        <v>373.84</v>
      </c>
      <c r="F1977" s="1406">
        <v>373.84</v>
      </c>
      <c r="G1977" s="1406">
        <v>373.84</v>
      </c>
      <c r="H1977" t="b">
        <f t="shared" si="61"/>
        <v>1</v>
      </c>
    </row>
    <row r="1978" spans="1:8">
      <c r="A1978" s="677">
        <v>10891</v>
      </c>
      <c r="B1978" s="733" t="s">
        <v>10367</v>
      </c>
      <c r="C1978" s="677" t="s">
        <v>1690</v>
      </c>
      <c r="D1978" s="738">
        <f t="shared" si="60"/>
        <v>228.46</v>
      </c>
      <c r="F1978" s="1405">
        <v>228.46</v>
      </c>
      <c r="G1978" s="1405">
        <v>228.46</v>
      </c>
      <c r="H1978" t="b">
        <f t="shared" si="61"/>
        <v>1</v>
      </c>
    </row>
    <row r="1979" spans="1:8">
      <c r="A1979" s="739">
        <v>10892</v>
      </c>
      <c r="B1979" s="740" t="s">
        <v>10368</v>
      </c>
      <c r="C1979" s="739" t="s">
        <v>1690</v>
      </c>
      <c r="D1979" s="741">
        <f t="shared" si="60"/>
        <v>270</v>
      </c>
      <c r="F1979" s="1406">
        <v>270</v>
      </c>
      <c r="G1979" s="1406">
        <v>270</v>
      </c>
      <c r="H1979" t="b">
        <f t="shared" si="61"/>
        <v>1</v>
      </c>
    </row>
    <row r="1980" spans="1:8">
      <c r="A1980" s="677">
        <v>20977</v>
      </c>
      <c r="B1980" s="733" t="s">
        <v>10369</v>
      </c>
      <c r="C1980" s="677" t="s">
        <v>1690</v>
      </c>
      <c r="D1980" s="738">
        <f t="shared" si="60"/>
        <v>321.92</v>
      </c>
      <c r="F1980" s="1405">
        <v>321.92</v>
      </c>
      <c r="G1980" s="1405">
        <v>321.92</v>
      </c>
      <c r="H1980" t="b">
        <f t="shared" si="61"/>
        <v>1</v>
      </c>
    </row>
    <row r="1981" spans="1:8">
      <c r="A1981" s="739">
        <v>3073</v>
      </c>
      <c r="B1981" s="740" t="s">
        <v>10370</v>
      </c>
      <c r="C1981" s="739" t="s">
        <v>1690</v>
      </c>
      <c r="D1981" s="741">
        <f t="shared" si="60"/>
        <v>163.63</v>
      </c>
      <c r="F1981" s="1406">
        <v>163.63</v>
      </c>
      <c r="G1981" s="1406">
        <v>163.63</v>
      </c>
      <c r="H1981" t="b">
        <f t="shared" si="61"/>
        <v>1</v>
      </c>
    </row>
    <row r="1982" spans="1:8">
      <c r="A1982" s="677">
        <v>3074</v>
      </c>
      <c r="B1982" s="733" t="s">
        <v>10371</v>
      </c>
      <c r="C1982" s="677" t="s">
        <v>1690</v>
      </c>
      <c r="D1982" s="738">
        <f t="shared" si="60"/>
        <v>103.3</v>
      </c>
      <c r="F1982" s="1405">
        <v>103.3</v>
      </c>
      <c r="G1982" s="1405">
        <v>103.3</v>
      </c>
      <c r="H1982" t="b">
        <f t="shared" si="61"/>
        <v>1</v>
      </c>
    </row>
    <row r="1983" spans="1:8">
      <c r="A1983" s="739">
        <v>3076</v>
      </c>
      <c r="B1983" s="740" t="s">
        <v>10372</v>
      </c>
      <c r="C1983" s="739" t="s">
        <v>1690</v>
      </c>
      <c r="D1983" s="741">
        <f t="shared" si="60"/>
        <v>134.52000000000001</v>
      </c>
      <c r="F1983" s="1406">
        <v>134.52000000000001</v>
      </c>
      <c r="G1983" s="1406">
        <v>134.52000000000001</v>
      </c>
      <c r="H1983" t="b">
        <f t="shared" si="61"/>
        <v>1</v>
      </c>
    </row>
    <row r="1984" spans="1:8">
      <c r="A1984" s="677">
        <v>3075</v>
      </c>
      <c r="B1984" s="733" t="s">
        <v>10373</v>
      </c>
      <c r="C1984" s="677" t="s">
        <v>1690</v>
      </c>
      <c r="D1984" s="738">
        <f t="shared" si="60"/>
        <v>85.01</v>
      </c>
      <c r="F1984" s="1405">
        <v>85.01</v>
      </c>
      <c r="G1984" s="1405">
        <v>85.01</v>
      </c>
      <c r="H1984" t="b">
        <f t="shared" si="61"/>
        <v>1</v>
      </c>
    </row>
    <row r="1985" spans="1:8">
      <c r="A1985" s="739">
        <v>10781</v>
      </c>
      <c r="B1985" s="740" t="s">
        <v>10374</v>
      </c>
      <c r="C1985" s="739" t="s">
        <v>1690</v>
      </c>
      <c r="D1985" s="741">
        <f t="shared" si="60"/>
        <v>11.53</v>
      </c>
      <c r="F1985" s="1406">
        <v>11.53</v>
      </c>
      <c r="G1985" s="1406">
        <v>11.53</v>
      </c>
      <c r="H1985" t="b">
        <f t="shared" si="61"/>
        <v>1</v>
      </c>
    </row>
    <row r="1986" spans="1:8" ht="30">
      <c r="A1986" s="677">
        <v>43612</v>
      </c>
      <c r="B1986" s="733" t="s">
        <v>10375</v>
      </c>
      <c r="C1986" s="677" t="s">
        <v>1701</v>
      </c>
      <c r="D1986" s="738">
        <f t="shared" si="60"/>
        <v>106.99</v>
      </c>
      <c r="F1986" s="1405">
        <v>106.99</v>
      </c>
      <c r="G1986" s="1405">
        <v>106.99</v>
      </c>
      <c r="H1986" t="b">
        <f t="shared" si="61"/>
        <v>1</v>
      </c>
    </row>
    <row r="1987" spans="1:8" ht="30">
      <c r="A1987" s="739">
        <v>43613</v>
      </c>
      <c r="B1987" s="740" t="s">
        <v>10376</v>
      </c>
      <c r="C1987" s="739" t="s">
        <v>1701</v>
      </c>
      <c r="D1987" s="741">
        <f t="shared" ref="D1987:D2050" si="62">IF($J$2=$F$1,F1987,G1987)</f>
        <v>88.57</v>
      </c>
      <c r="F1987" s="1406">
        <v>88.57</v>
      </c>
      <c r="G1987" s="1406">
        <v>88.57</v>
      </c>
      <c r="H1987" t="b">
        <f t="shared" ref="H1987:H2050" si="63">F1987=G1987</f>
        <v>1</v>
      </c>
    </row>
    <row r="1988" spans="1:8" ht="30">
      <c r="A1988" s="677">
        <v>11480</v>
      </c>
      <c r="B1988" s="733" t="s">
        <v>10377</v>
      </c>
      <c r="C1988" s="677" t="s">
        <v>1701</v>
      </c>
      <c r="D1988" s="738">
        <f t="shared" si="62"/>
        <v>135.93</v>
      </c>
      <c r="F1988" s="1405">
        <v>135.93</v>
      </c>
      <c r="G1988" s="1405">
        <v>135.93</v>
      </c>
      <c r="H1988" t="b">
        <f t="shared" si="63"/>
        <v>1</v>
      </c>
    </row>
    <row r="1989" spans="1:8" ht="30">
      <c r="A1989" s="739">
        <v>11469</v>
      </c>
      <c r="B1989" s="740" t="s">
        <v>10378</v>
      </c>
      <c r="C1989" s="739" t="s">
        <v>1690</v>
      </c>
      <c r="D1989" s="741">
        <f t="shared" si="62"/>
        <v>14.51</v>
      </c>
      <c r="F1989" s="1406">
        <v>14.51</v>
      </c>
      <c r="G1989" s="1406">
        <v>14.51</v>
      </c>
      <c r="H1989" t="b">
        <f t="shared" si="63"/>
        <v>1</v>
      </c>
    </row>
    <row r="1990" spans="1:8" ht="30">
      <c r="A1990" s="677">
        <v>11468</v>
      </c>
      <c r="B1990" s="733" t="s">
        <v>10379</v>
      </c>
      <c r="C1990" s="677" t="s">
        <v>1690</v>
      </c>
      <c r="D1990" s="738">
        <f t="shared" si="62"/>
        <v>14.52</v>
      </c>
      <c r="F1990" s="1405">
        <v>14.52</v>
      </c>
      <c r="G1990" s="1405">
        <v>14.52</v>
      </c>
      <c r="H1990" t="b">
        <f t="shared" si="63"/>
        <v>1</v>
      </c>
    </row>
    <row r="1991" spans="1:8" ht="30">
      <c r="A1991" s="739">
        <v>11484</v>
      </c>
      <c r="B1991" s="740" t="s">
        <v>10380</v>
      </c>
      <c r="C1991" s="739" t="s">
        <v>1690</v>
      </c>
      <c r="D1991" s="741">
        <f t="shared" si="62"/>
        <v>63.77</v>
      </c>
      <c r="F1991" s="1406">
        <v>63.77</v>
      </c>
      <c r="G1991" s="1406">
        <v>63.77</v>
      </c>
      <c r="H1991" t="b">
        <f t="shared" si="63"/>
        <v>1</v>
      </c>
    </row>
    <row r="1992" spans="1:8" ht="30">
      <c r="A1992" s="677">
        <v>38155</v>
      </c>
      <c r="B1992" s="733" t="s">
        <v>10381</v>
      </c>
      <c r="C1992" s="677" t="s">
        <v>1690</v>
      </c>
      <c r="D1992" s="738">
        <f t="shared" si="62"/>
        <v>99</v>
      </c>
      <c r="F1992" s="1405">
        <v>99</v>
      </c>
      <c r="G1992" s="1405">
        <v>99</v>
      </c>
      <c r="H1992" t="b">
        <f t="shared" si="63"/>
        <v>1</v>
      </c>
    </row>
    <row r="1993" spans="1:8" ht="30">
      <c r="A1993" s="739">
        <v>11467</v>
      </c>
      <c r="B1993" s="740" t="s">
        <v>10382</v>
      </c>
      <c r="C1993" s="739" t="s">
        <v>1690</v>
      </c>
      <c r="D1993" s="741">
        <f t="shared" si="62"/>
        <v>22.62</v>
      </c>
      <c r="F1993" s="1406">
        <v>22.62</v>
      </c>
      <c r="G1993" s="1406">
        <v>22.62</v>
      </c>
      <c r="H1993" t="b">
        <f t="shared" si="63"/>
        <v>1</v>
      </c>
    </row>
    <row r="1994" spans="1:8" ht="30">
      <c r="A1994" s="677">
        <v>38153</v>
      </c>
      <c r="B1994" s="733" t="s">
        <v>10383</v>
      </c>
      <c r="C1994" s="677" t="s">
        <v>1701</v>
      </c>
      <c r="D1994" s="738">
        <f t="shared" si="62"/>
        <v>57.79</v>
      </c>
      <c r="F1994" s="1405">
        <v>57.79</v>
      </c>
      <c r="G1994" s="1405">
        <v>57.79</v>
      </c>
      <c r="H1994" t="b">
        <f t="shared" si="63"/>
        <v>1</v>
      </c>
    </row>
    <row r="1995" spans="1:8" ht="45">
      <c r="A1995" s="739">
        <v>43607</v>
      </c>
      <c r="B1995" s="740" t="s">
        <v>10384</v>
      </c>
      <c r="C1995" s="739" t="s">
        <v>1701</v>
      </c>
      <c r="D1995" s="741">
        <f t="shared" si="62"/>
        <v>109.3</v>
      </c>
      <c r="F1995" s="1406">
        <v>109.3</v>
      </c>
      <c r="G1995" s="1406">
        <v>109.3</v>
      </c>
      <c r="H1995" t="b">
        <f t="shared" si="63"/>
        <v>1</v>
      </c>
    </row>
    <row r="1996" spans="1:8" ht="30">
      <c r="A1996" s="677">
        <v>3080</v>
      </c>
      <c r="B1996" s="733" t="s">
        <v>10385</v>
      </c>
      <c r="C1996" s="677" t="s">
        <v>1701</v>
      </c>
      <c r="D1996" s="738">
        <f t="shared" si="62"/>
        <v>73.489999999999995</v>
      </c>
      <c r="F1996" s="1405">
        <v>73.489999999999995</v>
      </c>
      <c r="G1996" s="1405">
        <v>73.489999999999995</v>
      </c>
      <c r="H1996" t="b">
        <f t="shared" si="63"/>
        <v>1</v>
      </c>
    </row>
    <row r="1997" spans="1:8" ht="30">
      <c r="A1997" s="739">
        <v>3081</v>
      </c>
      <c r="B1997" s="740" t="s">
        <v>10386</v>
      </c>
      <c r="C1997" s="739" t="s">
        <v>1701</v>
      </c>
      <c r="D1997" s="741">
        <f t="shared" si="62"/>
        <v>145.4</v>
      </c>
      <c r="F1997" s="1406">
        <v>145.4</v>
      </c>
      <c r="G1997" s="1406">
        <v>145.4</v>
      </c>
      <c r="H1997" t="b">
        <f t="shared" si="63"/>
        <v>1</v>
      </c>
    </row>
    <row r="1998" spans="1:8" ht="30">
      <c r="A1998" s="677">
        <v>3090</v>
      </c>
      <c r="B1998" s="733" t="s">
        <v>10387</v>
      </c>
      <c r="C1998" s="677" t="s">
        <v>1701</v>
      </c>
      <c r="D1998" s="738">
        <f t="shared" si="62"/>
        <v>65.59</v>
      </c>
      <c r="F1998" s="1405">
        <v>65.59</v>
      </c>
      <c r="G1998" s="1405">
        <v>65.59</v>
      </c>
      <c r="H1998" t="b">
        <f t="shared" si="63"/>
        <v>1</v>
      </c>
    </row>
    <row r="1999" spans="1:8" ht="30">
      <c r="A1999" s="739">
        <v>43611</v>
      </c>
      <c r="B1999" s="740" t="s">
        <v>10388</v>
      </c>
      <c r="C1999" s="739" t="s">
        <v>1701</v>
      </c>
      <c r="D1999" s="741">
        <f t="shared" si="62"/>
        <v>108.84</v>
      </c>
      <c r="F1999" s="1406">
        <v>108.84</v>
      </c>
      <c r="G1999" s="1406">
        <v>108.84</v>
      </c>
      <c r="H1999" t="b">
        <f t="shared" si="63"/>
        <v>1</v>
      </c>
    </row>
    <row r="2000" spans="1:8" ht="30">
      <c r="A2000" s="677">
        <v>3103</v>
      </c>
      <c r="B2000" s="733" t="s">
        <v>10389</v>
      </c>
      <c r="C2000" s="677" t="s">
        <v>1690</v>
      </c>
      <c r="D2000" s="738">
        <f t="shared" si="62"/>
        <v>54.38</v>
      </c>
      <c r="F2000" s="1405">
        <v>54.38</v>
      </c>
      <c r="G2000" s="1405">
        <v>54.38</v>
      </c>
      <c r="H2000" t="b">
        <f t="shared" si="63"/>
        <v>1</v>
      </c>
    </row>
    <row r="2001" spans="1:8" ht="30">
      <c r="A2001" s="739">
        <v>3097</v>
      </c>
      <c r="B2001" s="740" t="s">
        <v>10390</v>
      </c>
      <c r="C2001" s="739" t="s">
        <v>1701</v>
      </c>
      <c r="D2001" s="741">
        <f t="shared" si="62"/>
        <v>82.28</v>
      </c>
      <c r="F2001" s="1406">
        <v>82.28</v>
      </c>
      <c r="G2001" s="1406">
        <v>82.28</v>
      </c>
      <c r="H2001" t="b">
        <f t="shared" si="63"/>
        <v>1</v>
      </c>
    </row>
    <row r="2002" spans="1:8" ht="30">
      <c r="A2002" s="677">
        <v>3099</v>
      </c>
      <c r="B2002" s="733" t="s">
        <v>10391</v>
      </c>
      <c r="C2002" s="677" t="s">
        <v>1701</v>
      </c>
      <c r="D2002" s="738">
        <f t="shared" si="62"/>
        <v>131.75</v>
      </c>
      <c r="F2002" s="1405">
        <v>131.75</v>
      </c>
      <c r="G2002" s="1405">
        <v>131.75</v>
      </c>
      <c r="H2002" t="b">
        <f t="shared" si="63"/>
        <v>1</v>
      </c>
    </row>
    <row r="2003" spans="1:8" ht="30">
      <c r="A2003" s="739">
        <v>38151</v>
      </c>
      <c r="B2003" s="740" t="s">
        <v>10392</v>
      </c>
      <c r="C2003" s="739" t="s">
        <v>1701</v>
      </c>
      <c r="D2003" s="741">
        <f t="shared" si="62"/>
        <v>95.51</v>
      </c>
      <c r="F2003" s="1406">
        <v>95.51</v>
      </c>
      <c r="G2003" s="1406">
        <v>95.51</v>
      </c>
      <c r="H2003" t="b">
        <f t="shared" si="63"/>
        <v>1</v>
      </c>
    </row>
    <row r="2004" spans="1:8" ht="30">
      <c r="A2004" s="677">
        <v>38152</v>
      </c>
      <c r="B2004" s="733" t="s">
        <v>10393</v>
      </c>
      <c r="C2004" s="677" t="s">
        <v>1701</v>
      </c>
      <c r="D2004" s="738">
        <f t="shared" si="62"/>
        <v>154.08000000000001</v>
      </c>
      <c r="F2004" s="1405">
        <v>154.08000000000001</v>
      </c>
      <c r="G2004" s="1405">
        <v>154.08000000000001</v>
      </c>
      <c r="H2004" t="b">
        <f t="shared" si="63"/>
        <v>1</v>
      </c>
    </row>
    <row r="2005" spans="1:8" ht="45">
      <c r="A2005" s="739">
        <v>43610</v>
      </c>
      <c r="B2005" s="740" t="s">
        <v>10394</v>
      </c>
      <c r="C2005" s="739" t="s">
        <v>1701</v>
      </c>
      <c r="D2005" s="741">
        <f t="shared" si="62"/>
        <v>81.64</v>
      </c>
      <c r="F2005" s="1406">
        <v>81.64</v>
      </c>
      <c r="G2005" s="1406">
        <v>81.64</v>
      </c>
      <c r="H2005" t="b">
        <f t="shared" si="63"/>
        <v>1</v>
      </c>
    </row>
    <row r="2006" spans="1:8" ht="30">
      <c r="A2006" s="677">
        <v>3093</v>
      </c>
      <c r="B2006" s="733" t="s">
        <v>10395</v>
      </c>
      <c r="C2006" s="677" t="s">
        <v>1701</v>
      </c>
      <c r="D2006" s="738">
        <f t="shared" si="62"/>
        <v>131.75</v>
      </c>
      <c r="F2006" s="1405">
        <v>131.75</v>
      </c>
      <c r="G2006" s="1405">
        <v>131.75</v>
      </c>
      <c r="H2006" t="b">
        <f t="shared" si="63"/>
        <v>1</v>
      </c>
    </row>
    <row r="2007" spans="1:8" ht="30">
      <c r="A2007" s="739">
        <v>38165</v>
      </c>
      <c r="B2007" s="740" t="s">
        <v>10396</v>
      </c>
      <c r="C2007" s="739" t="s">
        <v>1701</v>
      </c>
      <c r="D2007" s="741">
        <f t="shared" si="62"/>
        <v>79.040000000000006</v>
      </c>
      <c r="F2007" s="1406">
        <v>79.040000000000006</v>
      </c>
      <c r="G2007" s="1406">
        <v>79.040000000000006</v>
      </c>
      <c r="H2007" t="b">
        <f t="shared" si="63"/>
        <v>1</v>
      </c>
    </row>
    <row r="2008" spans="1:8">
      <c r="A2008" s="677">
        <v>38177</v>
      </c>
      <c r="B2008" s="733" t="s">
        <v>10397</v>
      </c>
      <c r="C2008" s="677" t="s">
        <v>1690</v>
      </c>
      <c r="D2008" s="738">
        <f t="shared" si="62"/>
        <v>23.48</v>
      </c>
      <c r="F2008" s="1405">
        <v>23.48</v>
      </c>
      <c r="G2008" s="1405">
        <v>23.48</v>
      </c>
      <c r="H2008" t="b">
        <f t="shared" si="63"/>
        <v>1</v>
      </c>
    </row>
    <row r="2009" spans="1:8">
      <c r="A2009" s="739">
        <v>11458</v>
      </c>
      <c r="B2009" s="740" t="s">
        <v>10398</v>
      </c>
      <c r="C2009" s="739" t="s">
        <v>1690</v>
      </c>
      <c r="D2009" s="741">
        <f t="shared" si="62"/>
        <v>28.04</v>
      </c>
      <c r="F2009" s="1406">
        <v>28.04</v>
      </c>
      <c r="G2009" s="1406">
        <v>28.04</v>
      </c>
      <c r="H2009" t="b">
        <f t="shared" si="63"/>
        <v>1</v>
      </c>
    </row>
    <row r="2010" spans="1:8" ht="30">
      <c r="A2010" s="677">
        <v>3108</v>
      </c>
      <c r="B2010" s="733" t="s">
        <v>10399</v>
      </c>
      <c r="C2010" s="677" t="s">
        <v>1690</v>
      </c>
      <c r="D2010" s="738">
        <f t="shared" si="62"/>
        <v>119.2</v>
      </c>
      <c r="F2010" s="1405">
        <v>119.2</v>
      </c>
      <c r="G2010" s="1405">
        <v>119.2</v>
      </c>
      <c r="H2010" t="b">
        <f t="shared" si="63"/>
        <v>1</v>
      </c>
    </row>
    <row r="2011" spans="1:8" ht="30">
      <c r="A2011" s="739">
        <v>3105</v>
      </c>
      <c r="B2011" s="740" t="s">
        <v>10400</v>
      </c>
      <c r="C2011" s="739" t="s">
        <v>1690</v>
      </c>
      <c r="D2011" s="741">
        <f t="shared" si="62"/>
        <v>155.9</v>
      </c>
      <c r="F2011" s="1406">
        <v>155.9</v>
      </c>
      <c r="G2011" s="1406">
        <v>155.9</v>
      </c>
      <c r="H2011" t="b">
        <f t="shared" si="63"/>
        <v>1</v>
      </c>
    </row>
    <row r="2012" spans="1:8" ht="30">
      <c r="A2012" s="677">
        <v>38178</v>
      </c>
      <c r="B2012" s="733" t="s">
        <v>10401</v>
      </c>
      <c r="C2012" s="677" t="s">
        <v>1690</v>
      </c>
      <c r="D2012" s="738">
        <f t="shared" si="62"/>
        <v>25.84</v>
      </c>
      <c r="F2012" s="1405">
        <v>25.84</v>
      </c>
      <c r="G2012" s="1405">
        <v>25.84</v>
      </c>
      <c r="H2012" t="b">
        <f t="shared" si="63"/>
        <v>1</v>
      </c>
    </row>
    <row r="2013" spans="1:8" ht="30">
      <c r="A2013" s="739">
        <v>43575</v>
      </c>
      <c r="B2013" s="740" t="s">
        <v>10402</v>
      </c>
      <c r="C2013" s="739" t="s">
        <v>1690</v>
      </c>
      <c r="D2013" s="741">
        <f t="shared" si="62"/>
        <v>55.99</v>
      </c>
      <c r="F2013" s="1406">
        <v>55.99</v>
      </c>
      <c r="G2013" s="1406">
        <v>55.99</v>
      </c>
      <c r="H2013" t="b">
        <f t="shared" si="63"/>
        <v>1</v>
      </c>
    </row>
    <row r="2014" spans="1:8" ht="30">
      <c r="A2014" s="677">
        <v>43577</v>
      </c>
      <c r="B2014" s="733" t="s">
        <v>10403</v>
      </c>
      <c r="C2014" s="677" t="s">
        <v>1690</v>
      </c>
      <c r="D2014" s="738">
        <f t="shared" si="62"/>
        <v>97.35</v>
      </c>
      <c r="F2014" s="1405">
        <v>97.35</v>
      </c>
      <c r="G2014" s="1405">
        <v>97.35</v>
      </c>
      <c r="H2014" t="b">
        <f t="shared" si="63"/>
        <v>1</v>
      </c>
    </row>
    <row r="2015" spans="1:8">
      <c r="A2015" s="739">
        <v>43458</v>
      </c>
      <c r="B2015" s="740" t="s">
        <v>10404</v>
      </c>
      <c r="C2015" s="739" t="s">
        <v>1689</v>
      </c>
      <c r="D2015" s="741">
        <f t="shared" si="62"/>
        <v>0.06</v>
      </c>
      <c r="F2015" s="1406">
        <v>0.06</v>
      </c>
      <c r="G2015" s="1406">
        <v>0.06</v>
      </c>
      <c r="H2015" t="b">
        <f t="shared" si="63"/>
        <v>1</v>
      </c>
    </row>
    <row r="2016" spans="1:8">
      <c r="A2016" s="677">
        <v>43470</v>
      </c>
      <c r="B2016" s="733" t="s">
        <v>10405</v>
      </c>
      <c r="C2016" s="677" t="s">
        <v>1696</v>
      </c>
      <c r="D2016" s="738">
        <f t="shared" si="62"/>
        <v>10.89</v>
      </c>
      <c r="F2016" s="1405">
        <v>10.89</v>
      </c>
      <c r="G2016" s="1405">
        <v>10.89</v>
      </c>
      <c r="H2016" t="b">
        <f t="shared" si="63"/>
        <v>1</v>
      </c>
    </row>
    <row r="2017" spans="1:8">
      <c r="A2017" s="739">
        <v>43459</v>
      </c>
      <c r="B2017" s="740" t="s">
        <v>10406</v>
      </c>
      <c r="C2017" s="739" t="s">
        <v>1689</v>
      </c>
      <c r="D2017" s="741">
        <f t="shared" si="62"/>
        <v>0.49</v>
      </c>
      <c r="F2017" s="1406">
        <v>0.49</v>
      </c>
      <c r="G2017" s="1406">
        <v>0.49</v>
      </c>
      <c r="H2017" t="b">
        <f t="shared" si="63"/>
        <v>1</v>
      </c>
    </row>
    <row r="2018" spans="1:8">
      <c r="A2018" s="677">
        <v>43471</v>
      </c>
      <c r="B2018" s="733" t="s">
        <v>10407</v>
      </c>
      <c r="C2018" s="677" t="s">
        <v>1696</v>
      </c>
      <c r="D2018" s="738">
        <f t="shared" si="62"/>
        <v>92.26</v>
      </c>
      <c r="F2018" s="1405">
        <v>92.26</v>
      </c>
      <c r="G2018" s="1405">
        <v>92.26</v>
      </c>
      <c r="H2018" t="b">
        <f t="shared" si="63"/>
        <v>1</v>
      </c>
    </row>
    <row r="2019" spans="1:8">
      <c r="A2019" s="739">
        <v>43460</v>
      </c>
      <c r="B2019" s="740" t="s">
        <v>10408</v>
      </c>
      <c r="C2019" s="739" t="s">
        <v>1689</v>
      </c>
      <c r="D2019" s="741">
        <f t="shared" si="62"/>
        <v>0.85</v>
      </c>
      <c r="F2019" s="1406">
        <v>0.85</v>
      </c>
      <c r="G2019" s="1406">
        <v>0.85</v>
      </c>
      <c r="H2019" t="b">
        <f t="shared" si="63"/>
        <v>1</v>
      </c>
    </row>
    <row r="2020" spans="1:8">
      <c r="A2020" s="677">
        <v>43472</v>
      </c>
      <c r="B2020" s="733" t="s">
        <v>10409</v>
      </c>
      <c r="C2020" s="677" t="s">
        <v>1696</v>
      </c>
      <c r="D2020" s="738">
        <f t="shared" si="62"/>
        <v>159.72999999999999</v>
      </c>
      <c r="F2020" s="1405">
        <v>159.72999999999999</v>
      </c>
      <c r="G2020" s="1405">
        <v>159.72999999999999</v>
      </c>
      <c r="H2020" t="b">
        <f t="shared" si="63"/>
        <v>1</v>
      </c>
    </row>
    <row r="2021" spans="1:8">
      <c r="A2021" s="739">
        <v>43461</v>
      </c>
      <c r="B2021" s="740" t="s">
        <v>10410</v>
      </c>
      <c r="C2021" s="739" t="s">
        <v>1689</v>
      </c>
      <c r="D2021" s="741">
        <f t="shared" si="62"/>
        <v>0.31</v>
      </c>
      <c r="F2021" s="1406">
        <v>0.31</v>
      </c>
      <c r="G2021" s="1406">
        <v>0.31</v>
      </c>
      <c r="H2021" t="b">
        <f t="shared" si="63"/>
        <v>1</v>
      </c>
    </row>
    <row r="2022" spans="1:8">
      <c r="A2022" s="677">
        <v>43473</v>
      </c>
      <c r="B2022" s="733" t="s">
        <v>10411</v>
      </c>
      <c r="C2022" s="677" t="s">
        <v>1696</v>
      </c>
      <c r="D2022" s="738">
        <f t="shared" si="62"/>
        <v>59.28</v>
      </c>
      <c r="F2022" s="1405">
        <v>59.28</v>
      </c>
      <c r="G2022" s="1405">
        <v>59.28</v>
      </c>
      <c r="H2022" t="b">
        <f t="shared" si="63"/>
        <v>1</v>
      </c>
    </row>
    <row r="2023" spans="1:8">
      <c r="A2023" s="739">
        <v>43463</v>
      </c>
      <c r="B2023" s="740" t="s">
        <v>10412</v>
      </c>
      <c r="C2023" s="739" t="s">
        <v>1689</v>
      </c>
      <c r="D2023" s="741">
        <f t="shared" si="62"/>
        <v>0.1</v>
      </c>
      <c r="F2023" s="1406">
        <v>0.1</v>
      </c>
      <c r="G2023" s="1406">
        <v>0.1</v>
      </c>
      <c r="H2023" t="b">
        <f t="shared" si="63"/>
        <v>1</v>
      </c>
    </row>
    <row r="2024" spans="1:8">
      <c r="A2024" s="677">
        <v>43475</v>
      </c>
      <c r="B2024" s="733" t="s">
        <v>10413</v>
      </c>
      <c r="C2024" s="677" t="s">
        <v>1696</v>
      </c>
      <c r="D2024" s="738">
        <f t="shared" si="62"/>
        <v>18.73</v>
      </c>
      <c r="F2024" s="1405">
        <v>18.73</v>
      </c>
      <c r="G2024" s="1405">
        <v>18.73</v>
      </c>
      <c r="H2024" t="b">
        <f t="shared" si="63"/>
        <v>1</v>
      </c>
    </row>
    <row r="2025" spans="1:8">
      <c r="A2025" s="739">
        <v>43462</v>
      </c>
      <c r="B2025" s="740" t="s">
        <v>10414</v>
      </c>
      <c r="C2025" s="739" t="s">
        <v>1689</v>
      </c>
      <c r="D2025" s="741">
        <f t="shared" si="62"/>
        <v>0.01</v>
      </c>
      <c r="F2025" s="1406">
        <v>0.01</v>
      </c>
      <c r="G2025" s="1406">
        <v>0.01</v>
      </c>
      <c r="H2025" t="b">
        <f t="shared" si="63"/>
        <v>1</v>
      </c>
    </row>
    <row r="2026" spans="1:8">
      <c r="A2026" s="677">
        <v>43474</v>
      </c>
      <c r="B2026" s="733" t="s">
        <v>10415</v>
      </c>
      <c r="C2026" s="677" t="s">
        <v>1696</v>
      </c>
      <c r="D2026" s="738">
        <f t="shared" si="62"/>
        <v>2.29</v>
      </c>
      <c r="F2026" s="1405">
        <v>2.29</v>
      </c>
      <c r="G2026" s="1405">
        <v>2.29</v>
      </c>
      <c r="H2026" t="b">
        <f t="shared" si="63"/>
        <v>1</v>
      </c>
    </row>
    <row r="2027" spans="1:8">
      <c r="A2027" s="739">
        <v>43464</v>
      </c>
      <c r="B2027" s="740" t="s">
        <v>10416</v>
      </c>
      <c r="C2027" s="739" t="s">
        <v>1689</v>
      </c>
      <c r="D2027" s="741">
        <f t="shared" si="62"/>
        <v>0.01</v>
      </c>
      <c r="F2027" s="1406">
        <v>0.01</v>
      </c>
      <c r="G2027" s="1406">
        <v>0.01</v>
      </c>
      <c r="H2027" t="b">
        <f t="shared" si="63"/>
        <v>1</v>
      </c>
    </row>
    <row r="2028" spans="1:8">
      <c r="A2028" s="677">
        <v>43476</v>
      </c>
      <c r="B2028" s="733" t="s">
        <v>10417</v>
      </c>
      <c r="C2028" s="677" t="s">
        <v>1696</v>
      </c>
      <c r="D2028" s="738">
        <f t="shared" si="62"/>
        <v>0.01</v>
      </c>
      <c r="F2028" s="1405">
        <v>0.01</v>
      </c>
      <c r="G2028" s="1405">
        <v>0.01</v>
      </c>
      <c r="H2028" t="b">
        <f t="shared" si="63"/>
        <v>1</v>
      </c>
    </row>
    <row r="2029" spans="1:8">
      <c r="A2029" s="739">
        <v>43465</v>
      </c>
      <c r="B2029" s="740" t="s">
        <v>10418</v>
      </c>
      <c r="C2029" s="739" t="s">
        <v>1689</v>
      </c>
      <c r="D2029" s="741">
        <f t="shared" si="62"/>
        <v>0.82</v>
      </c>
      <c r="F2029" s="1406">
        <v>0.82</v>
      </c>
      <c r="G2029" s="1406">
        <v>0.82</v>
      </c>
      <c r="H2029" t="b">
        <f t="shared" si="63"/>
        <v>1</v>
      </c>
    </row>
    <row r="2030" spans="1:8">
      <c r="A2030" s="677">
        <v>43477</v>
      </c>
      <c r="B2030" s="733" t="s">
        <v>10419</v>
      </c>
      <c r="C2030" s="677" t="s">
        <v>1696</v>
      </c>
      <c r="D2030" s="738">
        <f t="shared" si="62"/>
        <v>155.21</v>
      </c>
      <c r="F2030" s="1405">
        <v>155.21</v>
      </c>
      <c r="G2030" s="1405">
        <v>155.21</v>
      </c>
      <c r="H2030" t="b">
        <f t="shared" si="63"/>
        <v>1</v>
      </c>
    </row>
    <row r="2031" spans="1:8">
      <c r="A2031" s="739">
        <v>43466</v>
      </c>
      <c r="B2031" s="740" t="s">
        <v>10420</v>
      </c>
      <c r="C2031" s="739" t="s">
        <v>1689</v>
      </c>
      <c r="D2031" s="741">
        <f t="shared" si="62"/>
        <v>1.97</v>
      </c>
      <c r="F2031" s="1406">
        <v>1.97</v>
      </c>
      <c r="G2031" s="1406">
        <v>1.97</v>
      </c>
      <c r="H2031" t="b">
        <f t="shared" si="63"/>
        <v>1</v>
      </c>
    </row>
    <row r="2032" spans="1:8">
      <c r="A2032" s="677">
        <v>43478</v>
      </c>
      <c r="B2032" s="733" t="s">
        <v>10421</v>
      </c>
      <c r="C2032" s="677" t="s">
        <v>1696</v>
      </c>
      <c r="D2032" s="738">
        <f t="shared" si="62"/>
        <v>371.21</v>
      </c>
      <c r="F2032" s="1405">
        <v>371.21</v>
      </c>
      <c r="G2032" s="1405">
        <v>371.21</v>
      </c>
      <c r="H2032" t="b">
        <f t="shared" si="63"/>
        <v>1</v>
      </c>
    </row>
    <row r="2033" spans="1:8">
      <c r="A2033" s="739">
        <v>43467</v>
      </c>
      <c r="B2033" s="740" t="s">
        <v>10422</v>
      </c>
      <c r="C2033" s="739" t="s">
        <v>1689</v>
      </c>
      <c r="D2033" s="741">
        <f t="shared" si="62"/>
        <v>0.61</v>
      </c>
      <c r="F2033" s="1406">
        <v>0.61</v>
      </c>
      <c r="G2033" s="1406">
        <v>0.61</v>
      </c>
      <c r="H2033" t="b">
        <f t="shared" si="63"/>
        <v>1</v>
      </c>
    </row>
    <row r="2034" spans="1:8">
      <c r="A2034" s="677">
        <v>43479</v>
      </c>
      <c r="B2034" s="733" t="s">
        <v>10423</v>
      </c>
      <c r="C2034" s="677" t="s">
        <v>1696</v>
      </c>
      <c r="D2034" s="738">
        <f t="shared" si="62"/>
        <v>114.72</v>
      </c>
      <c r="F2034" s="1405">
        <v>114.72</v>
      </c>
      <c r="G2034" s="1405">
        <v>114.72</v>
      </c>
      <c r="H2034" t="b">
        <f t="shared" si="63"/>
        <v>1</v>
      </c>
    </row>
    <row r="2035" spans="1:8">
      <c r="A2035" s="739">
        <v>43468</v>
      </c>
      <c r="B2035" s="740" t="s">
        <v>10424</v>
      </c>
      <c r="C2035" s="739" t="s">
        <v>1689</v>
      </c>
      <c r="D2035" s="741">
        <f t="shared" si="62"/>
        <v>1.23</v>
      </c>
      <c r="F2035" s="1406">
        <v>1.23</v>
      </c>
      <c r="G2035" s="1406">
        <v>1.23</v>
      </c>
      <c r="H2035" t="b">
        <f t="shared" si="63"/>
        <v>1</v>
      </c>
    </row>
    <row r="2036" spans="1:8">
      <c r="A2036" s="677">
        <v>43480</v>
      </c>
      <c r="B2036" s="733" t="s">
        <v>10425</v>
      </c>
      <c r="C2036" s="677" t="s">
        <v>1696</v>
      </c>
      <c r="D2036" s="738">
        <f t="shared" si="62"/>
        <v>232.31</v>
      </c>
      <c r="F2036" s="1405">
        <v>232.31</v>
      </c>
      <c r="G2036" s="1405">
        <v>232.31</v>
      </c>
      <c r="H2036" t="b">
        <f t="shared" si="63"/>
        <v>1</v>
      </c>
    </row>
    <row r="2037" spans="1:8">
      <c r="A2037" s="739">
        <v>43469</v>
      </c>
      <c r="B2037" s="740" t="s">
        <v>10426</v>
      </c>
      <c r="C2037" s="739" t="s">
        <v>1689</v>
      </c>
      <c r="D2037" s="741">
        <f t="shared" si="62"/>
        <v>7.0000000000000007E-2</v>
      </c>
      <c r="F2037" s="1406">
        <v>7.0000000000000007E-2</v>
      </c>
      <c r="G2037" s="1406">
        <v>7.0000000000000007E-2</v>
      </c>
      <c r="H2037" t="b">
        <f t="shared" si="63"/>
        <v>1</v>
      </c>
    </row>
    <row r="2038" spans="1:8">
      <c r="A2038" s="677">
        <v>43481</v>
      </c>
      <c r="B2038" s="733" t="s">
        <v>10427</v>
      </c>
      <c r="C2038" s="677" t="s">
        <v>1696</v>
      </c>
      <c r="D2038" s="738">
        <f t="shared" si="62"/>
        <v>12.77</v>
      </c>
      <c r="F2038" s="1405">
        <v>12.77</v>
      </c>
      <c r="G2038" s="1405">
        <v>12.77</v>
      </c>
      <c r="H2038" t="b">
        <f t="shared" si="63"/>
        <v>1</v>
      </c>
    </row>
    <row r="2039" spans="1:8" ht="30">
      <c r="A2039" s="739">
        <v>3119</v>
      </c>
      <c r="B2039" s="740" t="s">
        <v>10428</v>
      </c>
      <c r="C2039" s="739" t="s">
        <v>1690</v>
      </c>
      <c r="D2039" s="741">
        <f t="shared" si="62"/>
        <v>3.03</v>
      </c>
      <c r="F2039" s="1406">
        <v>3.03</v>
      </c>
      <c r="G2039" s="1406">
        <v>3.03</v>
      </c>
      <c r="H2039" t="b">
        <f t="shared" si="63"/>
        <v>1</v>
      </c>
    </row>
    <row r="2040" spans="1:8" ht="30">
      <c r="A2040" s="677">
        <v>3122</v>
      </c>
      <c r="B2040" s="733" t="s">
        <v>10429</v>
      </c>
      <c r="C2040" s="677" t="s">
        <v>1690</v>
      </c>
      <c r="D2040" s="738">
        <f t="shared" si="62"/>
        <v>6.17</v>
      </c>
      <c r="F2040" s="1405">
        <v>6.17</v>
      </c>
      <c r="G2040" s="1405">
        <v>6.17</v>
      </c>
      <c r="H2040" t="b">
        <f t="shared" si="63"/>
        <v>1</v>
      </c>
    </row>
    <row r="2041" spans="1:8" ht="30">
      <c r="A2041" s="739">
        <v>3121</v>
      </c>
      <c r="B2041" s="740" t="s">
        <v>10430</v>
      </c>
      <c r="C2041" s="739" t="s">
        <v>1690</v>
      </c>
      <c r="D2041" s="741">
        <f t="shared" si="62"/>
        <v>7</v>
      </c>
      <c r="F2041" s="1406">
        <v>7</v>
      </c>
      <c r="G2041" s="1406">
        <v>7</v>
      </c>
      <c r="H2041" t="b">
        <f t="shared" si="63"/>
        <v>1</v>
      </c>
    </row>
    <row r="2042" spans="1:8" ht="30">
      <c r="A2042" s="677">
        <v>3120</v>
      </c>
      <c r="B2042" s="733" t="s">
        <v>10431</v>
      </c>
      <c r="C2042" s="677" t="s">
        <v>1690</v>
      </c>
      <c r="D2042" s="738">
        <f t="shared" si="62"/>
        <v>13.27</v>
      </c>
      <c r="F2042" s="1405">
        <v>13.27</v>
      </c>
      <c r="G2042" s="1405">
        <v>13.27</v>
      </c>
      <c r="H2042" t="b">
        <f t="shared" si="63"/>
        <v>1</v>
      </c>
    </row>
    <row r="2043" spans="1:8" ht="30">
      <c r="A2043" s="739">
        <v>11455</v>
      </c>
      <c r="B2043" s="740" t="s">
        <v>10432</v>
      </c>
      <c r="C2043" s="739" t="s">
        <v>1690</v>
      </c>
      <c r="D2043" s="741">
        <f t="shared" si="62"/>
        <v>19.190000000000001</v>
      </c>
      <c r="F2043" s="1406">
        <v>19.190000000000001</v>
      </c>
      <c r="G2043" s="1406">
        <v>19.190000000000001</v>
      </c>
      <c r="H2043" t="b">
        <f t="shared" si="63"/>
        <v>1</v>
      </c>
    </row>
    <row r="2044" spans="1:8" ht="30">
      <c r="A2044" s="677">
        <v>11456</v>
      </c>
      <c r="B2044" s="733" t="s">
        <v>10433</v>
      </c>
      <c r="C2044" s="677" t="s">
        <v>1690</v>
      </c>
      <c r="D2044" s="738">
        <f t="shared" si="62"/>
        <v>22.94</v>
      </c>
      <c r="F2044" s="1405">
        <v>22.94</v>
      </c>
      <c r="G2044" s="1405">
        <v>22.94</v>
      </c>
      <c r="H2044" t="b">
        <f t="shared" si="63"/>
        <v>1</v>
      </c>
    </row>
    <row r="2045" spans="1:8" ht="30">
      <c r="A2045" s="739">
        <v>3107</v>
      </c>
      <c r="B2045" s="740" t="s">
        <v>10434</v>
      </c>
      <c r="C2045" s="739" t="s">
        <v>1690</v>
      </c>
      <c r="D2045" s="741">
        <f t="shared" si="62"/>
        <v>9.68</v>
      </c>
      <c r="F2045" s="1406">
        <v>9.68</v>
      </c>
      <c r="G2045" s="1406">
        <v>9.68</v>
      </c>
      <c r="H2045" t="b">
        <f t="shared" si="63"/>
        <v>1</v>
      </c>
    </row>
    <row r="2046" spans="1:8" ht="30">
      <c r="A2046" s="677">
        <v>43583</v>
      </c>
      <c r="B2046" s="733" t="s">
        <v>10435</v>
      </c>
      <c r="C2046" s="677" t="s">
        <v>1690</v>
      </c>
      <c r="D2046" s="738">
        <f t="shared" si="62"/>
        <v>10.92</v>
      </c>
      <c r="F2046" s="1405">
        <v>10.92</v>
      </c>
      <c r="G2046" s="1405">
        <v>10.92</v>
      </c>
      <c r="H2046" t="b">
        <f t="shared" si="63"/>
        <v>1</v>
      </c>
    </row>
    <row r="2047" spans="1:8" ht="30">
      <c r="A2047" s="739">
        <v>43586</v>
      </c>
      <c r="B2047" s="740" t="s">
        <v>10436</v>
      </c>
      <c r="C2047" s="739" t="s">
        <v>1690</v>
      </c>
      <c r="D2047" s="741">
        <f t="shared" si="62"/>
        <v>11.19</v>
      </c>
      <c r="F2047" s="1406">
        <v>11.19</v>
      </c>
      <c r="G2047" s="1406">
        <v>11.19</v>
      </c>
      <c r="H2047" t="b">
        <f t="shared" si="63"/>
        <v>1</v>
      </c>
    </row>
    <row r="2048" spans="1:8" ht="30">
      <c r="A2048" s="677">
        <v>11461</v>
      </c>
      <c r="B2048" s="733" t="s">
        <v>10437</v>
      </c>
      <c r="C2048" s="677" t="s">
        <v>1690</v>
      </c>
      <c r="D2048" s="738">
        <f t="shared" si="62"/>
        <v>12.19</v>
      </c>
      <c r="F2048" s="1405">
        <v>12.19</v>
      </c>
      <c r="G2048" s="1405">
        <v>12.19</v>
      </c>
      <c r="H2048" t="b">
        <f t="shared" si="63"/>
        <v>1</v>
      </c>
    </row>
    <row r="2049" spans="1:8" ht="30">
      <c r="A2049" s="739">
        <v>43587</v>
      </c>
      <c r="B2049" s="740" t="s">
        <v>10438</v>
      </c>
      <c r="C2049" s="739" t="s">
        <v>1690</v>
      </c>
      <c r="D2049" s="741">
        <f t="shared" si="62"/>
        <v>14.06</v>
      </c>
      <c r="F2049" s="1406">
        <v>14.06</v>
      </c>
      <c r="G2049" s="1406">
        <v>14.06</v>
      </c>
      <c r="H2049" t="b">
        <f t="shared" si="63"/>
        <v>1</v>
      </c>
    </row>
    <row r="2050" spans="1:8" ht="30">
      <c r="A2050" s="677">
        <v>3106</v>
      </c>
      <c r="B2050" s="733" t="s">
        <v>10439</v>
      </c>
      <c r="C2050" s="677" t="s">
        <v>1690</v>
      </c>
      <c r="D2050" s="738">
        <f t="shared" si="62"/>
        <v>17.84</v>
      </c>
      <c r="F2050" s="1405">
        <v>17.84</v>
      </c>
      <c r="G2050" s="1405">
        <v>17.84</v>
      </c>
      <c r="H2050" t="b">
        <f t="shared" si="63"/>
        <v>1</v>
      </c>
    </row>
    <row r="2051" spans="1:8">
      <c r="A2051" s="739">
        <v>44539</v>
      </c>
      <c r="B2051" s="740" t="s">
        <v>10440</v>
      </c>
      <c r="C2051" s="739" t="s">
        <v>1694</v>
      </c>
      <c r="D2051" s="741">
        <f t="shared" ref="D2051:D2114" si="64">IF($J$2=$F$1,F2051,G2051)</f>
        <v>3.22</v>
      </c>
      <c r="F2051" s="1406">
        <v>3.22</v>
      </c>
      <c r="G2051" s="1406">
        <v>3.22</v>
      </c>
      <c r="H2051" t="b">
        <f t="shared" ref="H2051:H2114" si="65">F2051=G2051</f>
        <v>1</v>
      </c>
    </row>
    <row r="2052" spans="1:8">
      <c r="A2052" s="677">
        <v>3123</v>
      </c>
      <c r="B2052" s="733" t="s">
        <v>10441</v>
      </c>
      <c r="C2052" s="677" t="s">
        <v>1694</v>
      </c>
      <c r="D2052" s="738">
        <f t="shared" si="64"/>
        <v>3</v>
      </c>
      <c r="F2052" s="1405">
        <v>3</v>
      </c>
      <c r="G2052" s="1405">
        <v>3</v>
      </c>
      <c r="H2052" t="b">
        <f t="shared" si="65"/>
        <v>1</v>
      </c>
    </row>
    <row r="2053" spans="1:8">
      <c r="A2053" s="739">
        <v>38125</v>
      </c>
      <c r="B2053" s="740" t="s">
        <v>10442</v>
      </c>
      <c r="C2053" s="739" t="s">
        <v>1694</v>
      </c>
      <c r="D2053" s="741">
        <f t="shared" si="64"/>
        <v>1.1399999999999999</v>
      </c>
      <c r="F2053" s="1406">
        <v>1.1399999999999999</v>
      </c>
      <c r="G2053" s="1406">
        <v>1.1399999999999999</v>
      </c>
      <c r="H2053" t="b">
        <f t="shared" si="65"/>
        <v>1</v>
      </c>
    </row>
    <row r="2054" spans="1:8" ht="30">
      <c r="A2054" s="677">
        <v>39014</v>
      </c>
      <c r="B2054" s="733" t="s">
        <v>10443</v>
      </c>
      <c r="C2054" s="677" t="s">
        <v>1694</v>
      </c>
      <c r="D2054" s="738">
        <f t="shared" si="64"/>
        <v>9.36</v>
      </c>
      <c r="F2054" s="1405">
        <v>9.36</v>
      </c>
      <c r="G2054" s="1405">
        <v>9.36</v>
      </c>
      <c r="H2054" t="b">
        <f t="shared" si="65"/>
        <v>1</v>
      </c>
    </row>
    <row r="2055" spans="1:8">
      <c r="A2055" s="739">
        <v>39365</v>
      </c>
      <c r="B2055" s="740" t="s">
        <v>10444</v>
      </c>
      <c r="C2055" s="739" t="s">
        <v>1690</v>
      </c>
      <c r="D2055" s="741">
        <f t="shared" si="64"/>
        <v>1725.8</v>
      </c>
      <c r="F2055" s="1406">
        <v>1725.8</v>
      </c>
      <c r="G2055" s="1406">
        <v>1725.8</v>
      </c>
      <c r="H2055" t="b">
        <f t="shared" si="65"/>
        <v>1</v>
      </c>
    </row>
    <row r="2056" spans="1:8">
      <c r="A2056" s="677">
        <v>39366</v>
      </c>
      <c r="B2056" s="733" t="s">
        <v>10445</v>
      </c>
      <c r="C2056" s="677" t="s">
        <v>1690</v>
      </c>
      <c r="D2056" s="738">
        <f t="shared" si="64"/>
        <v>2618.33</v>
      </c>
      <c r="F2056" s="1405">
        <v>2618.33</v>
      </c>
      <c r="G2056" s="1405">
        <v>2618.33</v>
      </c>
      <c r="H2056" t="b">
        <f t="shared" si="65"/>
        <v>1</v>
      </c>
    </row>
    <row r="2057" spans="1:8">
      <c r="A2057" s="739">
        <v>39367</v>
      </c>
      <c r="B2057" s="740" t="s">
        <v>10446</v>
      </c>
      <c r="C2057" s="739" t="s">
        <v>1690</v>
      </c>
      <c r="D2057" s="741">
        <f t="shared" si="64"/>
        <v>4486.33</v>
      </c>
      <c r="F2057" s="1406">
        <v>4486.33</v>
      </c>
      <c r="G2057" s="1406">
        <v>4486.33</v>
      </c>
      <c r="H2057" t="b">
        <f t="shared" si="65"/>
        <v>1</v>
      </c>
    </row>
    <row r="2058" spans="1:8">
      <c r="A2058" s="677">
        <v>37394</v>
      </c>
      <c r="B2058" s="733" t="s">
        <v>10447</v>
      </c>
      <c r="C2058" s="677" t="s">
        <v>1703</v>
      </c>
      <c r="D2058" s="738">
        <f t="shared" si="64"/>
        <v>42.47</v>
      </c>
      <c r="F2058" s="1405">
        <v>42.47</v>
      </c>
      <c r="G2058" s="1405">
        <v>42.47</v>
      </c>
      <c r="H2058" t="b">
        <f t="shared" si="65"/>
        <v>1</v>
      </c>
    </row>
    <row r="2059" spans="1:8">
      <c r="A2059" s="739">
        <v>14146</v>
      </c>
      <c r="B2059" s="740" t="s">
        <v>10448</v>
      </c>
      <c r="C2059" s="739" t="s">
        <v>1703</v>
      </c>
      <c r="D2059" s="741">
        <f t="shared" si="64"/>
        <v>68.3</v>
      </c>
      <c r="F2059" s="1406">
        <v>68.3</v>
      </c>
      <c r="G2059" s="1406">
        <v>68.3</v>
      </c>
      <c r="H2059" t="b">
        <f t="shared" si="65"/>
        <v>1</v>
      </c>
    </row>
    <row r="2060" spans="1:8">
      <c r="A2060" s="677">
        <v>938</v>
      </c>
      <c r="B2060" s="733" t="s">
        <v>10449</v>
      </c>
      <c r="C2060" s="677" t="s">
        <v>1693</v>
      </c>
      <c r="D2060" s="738">
        <f t="shared" si="64"/>
        <v>1.43</v>
      </c>
      <c r="F2060" s="1405">
        <v>1.43</v>
      </c>
      <c r="G2060" s="1405">
        <v>1.43</v>
      </c>
      <c r="H2060" t="b">
        <f t="shared" si="65"/>
        <v>1</v>
      </c>
    </row>
    <row r="2061" spans="1:8">
      <c r="A2061" s="739">
        <v>937</v>
      </c>
      <c r="B2061" s="740" t="s">
        <v>10450</v>
      </c>
      <c r="C2061" s="739" t="s">
        <v>1693</v>
      </c>
      <c r="D2061" s="741">
        <f t="shared" si="64"/>
        <v>8.3699999999999992</v>
      </c>
      <c r="F2061" s="1406">
        <v>8.3699999999999992</v>
      </c>
      <c r="G2061" s="1406">
        <v>8.3699999999999992</v>
      </c>
      <c r="H2061" t="b">
        <f t="shared" si="65"/>
        <v>1</v>
      </c>
    </row>
    <row r="2062" spans="1:8">
      <c r="A2062" s="677">
        <v>939</v>
      </c>
      <c r="B2062" s="733" t="s">
        <v>10451</v>
      </c>
      <c r="C2062" s="677" t="s">
        <v>1693</v>
      </c>
      <c r="D2062" s="738">
        <f t="shared" si="64"/>
        <v>2.3199999999999998</v>
      </c>
      <c r="F2062" s="1405">
        <v>2.3199999999999998</v>
      </c>
      <c r="G2062" s="1405">
        <v>2.3199999999999998</v>
      </c>
      <c r="H2062" t="b">
        <f t="shared" si="65"/>
        <v>1</v>
      </c>
    </row>
    <row r="2063" spans="1:8">
      <c r="A2063" s="739">
        <v>944</v>
      </c>
      <c r="B2063" s="740" t="s">
        <v>10452</v>
      </c>
      <c r="C2063" s="739" t="s">
        <v>1693</v>
      </c>
      <c r="D2063" s="741">
        <f t="shared" si="64"/>
        <v>3.67</v>
      </c>
      <c r="F2063" s="1406">
        <v>3.67</v>
      </c>
      <c r="G2063" s="1406">
        <v>3.67</v>
      </c>
      <c r="H2063" t="b">
        <f t="shared" si="65"/>
        <v>1</v>
      </c>
    </row>
    <row r="2064" spans="1:8">
      <c r="A2064" s="677">
        <v>940</v>
      </c>
      <c r="B2064" s="733" t="s">
        <v>10453</v>
      </c>
      <c r="C2064" s="677" t="s">
        <v>1693</v>
      </c>
      <c r="D2064" s="738">
        <f t="shared" si="64"/>
        <v>5.3</v>
      </c>
      <c r="F2064" s="1405">
        <v>5.3</v>
      </c>
      <c r="G2064" s="1405">
        <v>5.3</v>
      </c>
      <c r="H2064" t="b">
        <f t="shared" si="65"/>
        <v>1</v>
      </c>
    </row>
    <row r="2065" spans="1:8">
      <c r="A2065" s="739">
        <v>44397</v>
      </c>
      <c r="B2065" s="740" t="s">
        <v>10454</v>
      </c>
      <c r="C2065" s="739" t="s">
        <v>1693</v>
      </c>
      <c r="D2065" s="741">
        <f t="shared" si="64"/>
        <v>2</v>
      </c>
      <c r="F2065" s="1406">
        <v>2</v>
      </c>
      <c r="G2065" s="1406">
        <v>2</v>
      </c>
      <c r="H2065" t="b">
        <f t="shared" si="65"/>
        <v>1</v>
      </c>
    </row>
    <row r="2066" spans="1:8">
      <c r="A2066" s="677">
        <v>406</v>
      </c>
      <c r="B2066" s="733" t="s">
        <v>10455</v>
      </c>
      <c r="C2066" s="677" t="s">
        <v>1690</v>
      </c>
      <c r="D2066" s="738">
        <f t="shared" si="64"/>
        <v>86.14</v>
      </c>
      <c r="F2066" s="1405">
        <v>86.14</v>
      </c>
      <c r="G2066" s="1405">
        <v>86.14</v>
      </c>
      <c r="H2066" t="b">
        <f t="shared" si="65"/>
        <v>1</v>
      </c>
    </row>
    <row r="2067" spans="1:8">
      <c r="A2067" s="739">
        <v>42529</v>
      </c>
      <c r="B2067" s="740" t="s">
        <v>10456</v>
      </c>
      <c r="C2067" s="739" t="s">
        <v>1693</v>
      </c>
      <c r="D2067" s="741">
        <f t="shared" si="64"/>
        <v>1.35</v>
      </c>
      <c r="F2067" s="1406">
        <v>1.35</v>
      </c>
      <c r="G2067" s="1406">
        <v>1.35</v>
      </c>
      <c r="H2067" t="b">
        <f t="shared" si="65"/>
        <v>1</v>
      </c>
    </row>
    <row r="2068" spans="1:8">
      <c r="A2068" s="677">
        <v>39634</v>
      </c>
      <c r="B2068" s="733" t="s">
        <v>10457</v>
      </c>
      <c r="C2068" s="677" t="s">
        <v>1693</v>
      </c>
      <c r="D2068" s="738">
        <f t="shared" si="64"/>
        <v>7.64</v>
      </c>
      <c r="F2068" s="1405">
        <v>7.64</v>
      </c>
      <c r="G2068" s="1405">
        <v>7.64</v>
      </c>
      <c r="H2068" t="b">
        <f t="shared" si="65"/>
        <v>1</v>
      </c>
    </row>
    <row r="2069" spans="1:8">
      <c r="A2069" s="739">
        <v>39701</v>
      </c>
      <c r="B2069" s="740" t="s">
        <v>10458</v>
      </c>
      <c r="C2069" s="739" t="s">
        <v>1690</v>
      </c>
      <c r="D2069" s="741">
        <f t="shared" si="64"/>
        <v>111.39</v>
      </c>
      <c r="F2069" s="1406">
        <v>111.39</v>
      </c>
      <c r="G2069" s="1406">
        <v>111.39</v>
      </c>
      <c r="H2069" t="b">
        <f t="shared" si="65"/>
        <v>1</v>
      </c>
    </row>
    <row r="2070" spans="1:8">
      <c r="A2070" s="677">
        <v>12815</v>
      </c>
      <c r="B2070" s="733" t="s">
        <v>10459</v>
      </c>
      <c r="C2070" s="677" t="s">
        <v>1690</v>
      </c>
      <c r="D2070" s="738">
        <f t="shared" si="64"/>
        <v>10.66</v>
      </c>
      <c r="F2070" s="1405">
        <v>10.66</v>
      </c>
      <c r="G2070" s="1405">
        <v>10.66</v>
      </c>
      <c r="H2070" t="b">
        <f t="shared" si="65"/>
        <v>1</v>
      </c>
    </row>
    <row r="2071" spans="1:8">
      <c r="A2071" s="739">
        <v>39431</v>
      </c>
      <c r="B2071" s="740" t="s">
        <v>10460</v>
      </c>
      <c r="C2071" s="739" t="s">
        <v>1693</v>
      </c>
      <c r="D2071" s="741">
        <f t="shared" si="64"/>
        <v>0.38</v>
      </c>
      <c r="F2071" s="1406">
        <v>0.38</v>
      </c>
      <c r="G2071" s="1406">
        <v>0.38</v>
      </c>
      <c r="H2071" t="b">
        <f t="shared" si="65"/>
        <v>1</v>
      </c>
    </row>
    <row r="2072" spans="1:8">
      <c r="A2072" s="677">
        <v>39432</v>
      </c>
      <c r="B2072" s="733" t="s">
        <v>10461</v>
      </c>
      <c r="C2072" s="677" t="s">
        <v>1693</v>
      </c>
      <c r="D2072" s="738">
        <f t="shared" si="64"/>
        <v>3.39</v>
      </c>
      <c r="F2072" s="1405">
        <v>3.39</v>
      </c>
      <c r="G2072" s="1405">
        <v>3.39</v>
      </c>
      <c r="H2072" t="b">
        <f t="shared" si="65"/>
        <v>1</v>
      </c>
    </row>
    <row r="2073" spans="1:8">
      <c r="A2073" s="739">
        <v>20111</v>
      </c>
      <c r="B2073" s="740" t="s">
        <v>10462</v>
      </c>
      <c r="C2073" s="739" t="s">
        <v>1690</v>
      </c>
      <c r="D2073" s="741">
        <f t="shared" si="64"/>
        <v>13</v>
      </c>
      <c r="F2073" s="1406">
        <v>13</v>
      </c>
      <c r="G2073" s="1406">
        <v>13</v>
      </c>
      <c r="H2073" t="b">
        <f t="shared" si="65"/>
        <v>1</v>
      </c>
    </row>
    <row r="2074" spans="1:8">
      <c r="A2074" s="677">
        <v>21127</v>
      </c>
      <c r="B2074" s="733" t="s">
        <v>10463</v>
      </c>
      <c r="C2074" s="677" t="s">
        <v>1690</v>
      </c>
      <c r="D2074" s="738">
        <f t="shared" si="64"/>
        <v>4.91</v>
      </c>
      <c r="F2074" s="1405">
        <v>4.91</v>
      </c>
      <c r="G2074" s="1405">
        <v>4.91</v>
      </c>
      <c r="H2074" t="b">
        <f t="shared" si="65"/>
        <v>1</v>
      </c>
    </row>
    <row r="2075" spans="1:8">
      <c r="A2075" s="739">
        <v>404</v>
      </c>
      <c r="B2075" s="740" t="s">
        <v>10464</v>
      </c>
      <c r="C2075" s="739" t="s">
        <v>1693</v>
      </c>
      <c r="D2075" s="741">
        <f t="shared" si="64"/>
        <v>1.77</v>
      </c>
      <c r="F2075" s="1406">
        <v>1.77</v>
      </c>
      <c r="G2075" s="1406">
        <v>1.77</v>
      </c>
      <c r="H2075" t="b">
        <f t="shared" si="65"/>
        <v>1</v>
      </c>
    </row>
    <row r="2076" spans="1:8">
      <c r="A2076" s="677">
        <v>14151</v>
      </c>
      <c r="B2076" s="733" t="s">
        <v>10465</v>
      </c>
      <c r="C2076" s="677" t="s">
        <v>1690</v>
      </c>
      <c r="D2076" s="738">
        <f t="shared" si="64"/>
        <v>49.09</v>
      </c>
      <c r="F2076" s="1405">
        <v>49.09</v>
      </c>
      <c r="G2076" s="1405">
        <v>49.09</v>
      </c>
      <c r="H2076" t="b">
        <f t="shared" si="65"/>
        <v>1</v>
      </c>
    </row>
    <row r="2077" spans="1:8">
      <c r="A2077" s="739">
        <v>14153</v>
      </c>
      <c r="B2077" s="740" t="s">
        <v>10466</v>
      </c>
      <c r="C2077" s="739" t="s">
        <v>1690</v>
      </c>
      <c r="D2077" s="741">
        <f t="shared" si="64"/>
        <v>55.49</v>
      </c>
      <c r="F2077" s="1406">
        <v>55.49</v>
      </c>
      <c r="G2077" s="1406">
        <v>55.49</v>
      </c>
      <c r="H2077" t="b">
        <f t="shared" si="65"/>
        <v>1</v>
      </c>
    </row>
    <row r="2078" spans="1:8">
      <c r="A2078" s="677">
        <v>14152</v>
      </c>
      <c r="B2078" s="733" t="s">
        <v>10467</v>
      </c>
      <c r="C2078" s="677" t="s">
        <v>1690</v>
      </c>
      <c r="D2078" s="738">
        <f t="shared" si="64"/>
        <v>42.6</v>
      </c>
      <c r="F2078" s="1405">
        <v>42.6</v>
      </c>
      <c r="G2078" s="1405">
        <v>42.6</v>
      </c>
      <c r="H2078" t="b">
        <f t="shared" si="65"/>
        <v>1</v>
      </c>
    </row>
    <row r="2079" spans="1:8">
      <c r="A2079" s="739">
        <v>14154</v>
      </c>
      <c r="B2079" s="740" t="s">
        <v>10468</v>
      </c>
      <c r="C2079" s="739" t="s">
        <v>1690</v>
      </c>
      <c r="D2079" s="741">
        <f t="shared" si="64"/>
        <v>149.1</v>
      </c>
      <c r="F2079" s="1406">
        <v>149.1</v>
      </c>
      <c r="G2079" s="1406">
        <v>149.1</v>
      </c>
      <c r="H2079" t="b">
        <f t="shared" si="65"/>
        <v>1</v>
      </c>
    </row>
    <row r="2080" spans="1:8">
      <c r="A2080" s="677">
        <v>3146</v>
      </c>
      <c r="B2080" s="733" t="s">
        <v>10469</v>
      </c>
      <c r="C2080" s="677" t="s">
        <v>1690</v>
      </c>
      <c r="D2080" s="738">
        <f t="shared" si="64"/>
        <v>3.92</v>
      </c>
      <c r="F2080" s="1405">
        <v>3.92</v>
      </c>
      <c r="G2080" s="1405">
        <v>3.92</v>
      </c>
      <c r="H2080" t="b">
        <f t="shared" si="65"/>
        <v>1</v>
      </c>
    </row>
    <row r="2081" spans="1:8">
      <c r="A2081" s="739">
        <v>3143</v>
      </c>
      <c r="B2081" s="740" t="s">
        <v>10470</v>
      </c>
      <c r="C2081" s="739" t="s">
        <v>1690</v>
      </c>
      <c r="D2081" s="741">
        <f t="shared" si="64"/>
        <v>8.91</v>
      </c>
      <c r="F2081" s="1406">
        <v>8.91</v>
      </c>
      <c r="G2081" s="1406">
        <v>8.91</v>
      </c>
      <c r="H2081" t="b">
        <f t="shared" si="65"/>
        <v>1</v>
      </c>
    </row>
    <row r="2082" spans="1:8">
      <c r="A2082" s="677">
        <v>3148</v>
      </c>
      <c r="B2082" s="733" t="s">
        <v>10471</v>
      </c>
      <c r="C2082" s="677" t="s">
        <v>1690</v>
      </c>
      <c r="D2082" s="738">
        <f t="shared" si="64"/>
        <v>14.45</v>
      </c>
      <c r="F2082" s="1405">
        <v>14.45</v>
      </c>
      <c r="G2082" s="1405">
        <v>14.45</v>
      </c>
      <c r="H2082" t="b">
        <f t="shared" si="65"/>
        <v>1</v>
      </c>
    </row>
    <row r="2083" spans="1:8">
      <c r="A2083" s="739">
        <v>4310</v>
      </c>
      <c r="B2083" s="740" t="s">
        <v>10472</v>
      </c>
      <c r="C2083" s="739" t="s">
        <v>1690</v>
      </c>
      <c r="D2083" s="741">
        <f t="shared" si="64"/>
        <v>3.04</v>
      </c>
      <c r="F2083" s="1406">
        <v>3.04</v>
      </c>
      <c r="G2083" s="1406">
        <v>3.04</v>
      </c>
      <c r="H2083" t="b">
        <f t="shared" si="65"/>
        <v>1</v>
      </c>
    </row>
    <row r="2084" spans="1:8">
      <c r="A2084" s="677">
        <v>4311</v>
      </c>
      <c r="B2084" s="733" t="s">
        <v>10473</v>
      </c>
      <c r="C2084" s="677" t="s">
        <v>1690</v>
      </c>
      <c r="D2084" s="738">
        <f t="shared" si="64"/>
        <v>2.14</v>
      </c>
      <c r="F2084" s="1405">
        <v>2.14</v>
      </c>
      <c r="G2084" s="1405">
        <v>2.14</v>
      </c>
      <c r="H2084" t="b">
        <f t="shared" si="65"/>
        <v>1</v>
      </c>
    </row>
    <row r="2085" spans="1:8">
      <c r="A2085" s="739">
        <v>4312</v>
      </c>
      <c r="B2085" s="740" t="s">
        <v>10474</v>
      </c>
      <c r="C2085" s="739" t="s">
        <v>1690</v>
      </c>
      <c r="D2085" s="741">
        <f t="shared" si="64"/>
        <v>2.99</v>
      </c>
      <c r="F2085" s="1406">
        <v>2.99</v>
      </c>
      <c r="G2085" s="1406">
        <v>2.99</v>
      </c>
      <c r="H2085" t="b">
        <f t="shared" si="65"/>
        <v>1</v>
      </c>
    </row>
    <row r="2086" spans="1:8">
      <c r="A2086" s="677">
        <v>13261</v>
      </c>
      <c r="B2086" s="733" t="s">
        <v>10475</v>
      </c>
      <c r="C2086" s="677" t="s">
        <v>1690</v>
      </c>
      <c r="D2086" s="738">
        <f t="shared" si="64"/>
        <v>4.71</v>
      </c>
      <c r="F2086" s="1405">
        <v>4.71</v>
      </c>
      <c r="G2086" s="1405">
        <v>4.71</v>
      </c>
      <c r="H2086" t="b">
        <f t="shared" si="65"/>
        <v>1</v>
      </c>
    </row>
    <row r="2087" spans="1:8">
      <c r="A2087" s="739">
        <v>3272</v>
      </c>
      <c r="B2087" s="740" t="s">
        <v>10476</v>
      </c>
      <c r="C2087" s="739" t="s">
        <v>1690</v>
      </c>
      <c r="D2087" s="741">
        <f t="shared" si="64"/>
        <v>42.91</v>
      </c>
      <c r="F2087" s="1406">
        <v>42.91</v>
      </c>
      <c r="G2087" s="1406">
        <v>42.91</v>
      </c>
      <c r="H2087" t="b">
        <f t="shared" si="65"/>
        <v>1</v>
      </c>
    </row>
    <row r="2088" spans="1:8">
      <c r="A2088" s="677">
        <v>3265</v>
      </c>
      <c r="B2088" s="733" t="s">
        <v>10477</v>
      </c>
      <c r="C2088" s="677" t="s">
        <v>1690</v>
      </c>
      <c r="D2088" s="738">
        <f t="shared" si="64"/>
        <v>34.090000000000003</v>
      </c>
      <c r="F2088" s="1405">
        <v>34.090000000000003</v>
      </c>
      <c r="G2088" s="1405">
        <v>34.090000000000003</v>
      </c>
      <c r="H2088" t="b">
        <f t="shared" si="65"/>
        <v>1</v>
      </c>
    </row>
    <row r="2089" spans="1:8">
      <c r="A2089" s="739">
        <v>3262</v>
      </c>
      <c r="B2089" s="740" t="s">
        <v>10478</v>
      </c>
      <c r="C2089" s="739" t="s">
        <v>1690</v>
      </c>
      <c r="D2089" s="741">
        <f t="shared" si="64"/>
        <v>14.92</v>
      </c>
      <c r="F2089" s="1406">
        <v>14.92</v>
      </c>
      <c r="G2089" s="1406">
        <v>14.92</v>
      </c>
      <c r="H2089" t="b">
        <f t="shared" si="65"/>
        <v>1</v>
      </c>
    </row>
    <row r="2090" spans="1:8">
      <c r="A2090" s="677">
        <v>3264</v>
      </c>
      <c r="B2090" s="733" t="s">
        <v>10479</v>
      </c>
      <c r="C2090" s="677" t="s">
        <v>1690</v>
      </c>
      <c r="D2090" s="738">
        <f t="shared" si="64"/>
        <v>24.51</v>
      </c>
      <c r="F2090" s="1405">
        <v>24.51</v>
      </c>
      <c r="G2090" s="1405">
        <v>24.51</v>
      </c>
      <c r="H2090" t="b">
        <f t="shared" si="65"/>
        <v>1</v>
      </c>
    </row>
    <row r="2091" spans="1:8">
      <c r="A2091" s="739">
        <v>3267</v>
      </c>
      <c r="B2091" s="740" t="s">
        <v>10480</v>
      </c>
      <c r="C2091" s="739" t="s">
        <v>1690</v>
      </c>
      <c r="D2091" s="741">
        <f t="shared" si="64"/>
        <v>80.06</v>
      </c>
      <c r="F2091" s="1406">
        <v>80.06</v>
      </c>
      <c r="G2091" s="1406">
        <v>80.06</v>
      </c>
      <c r="H2091" t="b">
        <f t="shared" si="65"/>
        <v>1</v>
      </c>
    </row>
    <row r="2092" spans="1:8">
      <c r="A2092" s="677">
        <v>3266</v>
      </c>
      <c r="B2092" s="733" t="s">
        <v>10481</v>
      </c>
      <c r="C2092" s="677" t="s">
        <v>1690</v>
      </c>
      <c r="D2092" s="738">
        <f t="shared" si="64"/>
        <v>50.94</v>
      </c>
      <c r="F2092" s="1405">
        <v>50.94</v>
      </c>
      <c r="G2092" s="1405">
        <v>50.94</v>
      </c>
      <c r="H2092" t="b">
        <f t="shared" si="65"/>
        <v>1</v>
      </c>
    </row>
    <row r="2093" spans="1:8">
      <c r="A2093" s="739">
        <v>3263</v>
      </c>
      <c r="B2093" s="740" t="s">
        <v>10482</v>
      </c>
      <c r="C2093" s="739" t="s">
        <v>1690</v>
      </c>
      <c r="D2093" s="741">
        <f t="shared" si="64"/>
        <v>20.38</v>
      </c>
      <c r="F2093" s="1406">
        <v>20.38</v>
      </c>
      <c r="G2093" s="1406">
        <v>20.38</v>
      </c>
      <c r="H2093" t="b">
        <f t="shared" si="65"/>
        <v>1</v>
      </c>
    </row>
    <row r="2094" spans="1:8">
      <c r="A2094" s="677">
        <v>3268</v>
      </c>
      <c r="B2094" s="733" t="s">
        <v>10483</v>
      </c>
      <c r="C2094" s="677" t="s">
        <v>1690</v>
      </c>
      <c r="D2094" s="738">
        <f t="shared" si="64"/>
        <v>108.24</v>
      </c>
      <c r="F2094" s="1405">
        <v>108.24</v>
      </c>
      <c r="G2094" s="1405">
        <v>108.24</v>
      </c>
      <c r="H2094" t="b">
        <f t="shared" si="65"/>
        <v>1</v>
      </c>
    </row>
    <row r="2095" spans="1:8">
      <c r="A2095" s="739">
        <v>3271</v>
      </c>
      <c r="B2095" s="740" t="s">
        <v>10484</v>
      </c>
      <c r="C2095" s="739" t="s">
        <v>1690</v>
      </c>
      <c r="D2095" s="741">
        <f t="shared" si="64"/>
        <v>160.03</v>
      </c>
      <c r="F2095" s="1406">
        <v>160.03</v>
      </c>
      <c r="G2095" s="1406">
        <v>160.03</v>
      </c>
      <c r="H2095" t="b">
        <f t="shared" si="65"/>
        <v>1</v>
      </c>
    </row>
    <row r="2096" spans="1:8">
      <c r="A2096" s="677">
        <v>3270</v>
      </c>
      <c r="B2096" s="733" t="s">
        <v>10485</v>
      </c>
      <c r="C2096" s="677" t="s">
        <v>1690</v>
      </c>
      <c r="D2096" s="738">
        <f t="shared" si="64"/>
        <v>268.86</v>
      </c>
      <c r="F2096" s="1405">
        <v>268.86</v>
      </c>
      <c r="G2096" s="1405">
        <v>268.86</v>
      </c>
      <c r="H2096" t="b">
        <f t="shared" si="65"/>
        <v>1</v>
      </c>
    </row>
    <row r="2097" spans="1:8" ht="30">
      <c r="A2097" s="739">
        <v>3275</v>
      </c>
      <c r="B2097" s="740" t="s">
        <v>10486</v>
      </c>
      <c r="C2097" s="739" t="s">
        <v>1692</v>
      </c>
      <c r="D2097" s="741">
        <f t="shared" si="64"/>
        <v>131.93</v>
      </c>
      <c r="F2097" s="1406">
        <v>131.93</v>
      </c>
      <c r="G2097" s="1406">
        <v>131.93</v>
      </c>
      <c r="H2097" t="b">
        <f t="shared" si="65"/>
        <v>1</v>
      </c>
    </row>
    <row r="2098" spans="1:8" ht="30">
      <c r="A2098" s="677">
        <v>39512</v>
      </c>
      <c r="B2098" s="733" t="s">
        <v>10487</v>
      </c>
      <c r="C2098" s="677" t="s">
        <v>1692</v>
      </c>
      <c r="D2098" s="738">
        <f t="shared" si="64"/>
        <v>112.98</v>
      </c>
      <c r="F2098" s="1405">
        <v>112.98</v>
      </c>
      <c r="G2098" s="1405">
        <v>112.98</v>
      </c>
      <c r="H2098" t="b">
        <f t="shared" si="65"/>
        <v>1</v>
      </c>
    </row>
    <row r="2099" spans="1:8" ht="30">
      <c r="A2099" s="739">
        <v>39511</v>
      </c>
      <c r="B2099" s="740" t="s">
        <v>10488</v>
      </c>
      <c r="C2099" s="739" t="s">
        <v>1692</v>
      </c>
      <c r="D2099" s="741">
        <f t="shared" si="64"/>
        <v>123.23</v>
      </c>
      <c r="F2099" s="1406">
        <v>123.23</v>
      </c>
      <c r="G2099" s="1406">
        <v>123.23</v>
      </c>
      <c r="H2099" t="b">
        <f t="shared" si="65"/>
        <v>1</v>
      </c>
    </row>
    <row r="2100" spans="1:8" ht="30">
      <c r="A2100" s="677">
        <v>39513</v>
      </c>
      <c r="B2100" s="733" t="s">
        <v>10489</v>
      </c>
      <c r="C2100" s="677" t="s">
        <v>1692</v>
      </c>
      <c r="D2100" s="738">
        <f t="shared" si="64"/>
        <v>132.16999999999999</v>
      </c>
      <c r="F2100" s="1405">
        <v>132.16999999999999</v>
      </c>
      <c r="G2100" s="1405">
        <v>132.16999999999999</v>
      </c>
      <c r="H2100" t="b">
        <f t="shared" si="65"/>
        <v>1</v>
      </c>
    </row>
    <row r="2101" spans="1:8">
      <c r="A2101" s="739">
        <v>3286</v>
      </c>
      <c r="B2101" s="740" t="s">
        <v>10490</v>
      </c>
      <c r="C2101" s="739" t="s">
        <v>1692</v>
      </c>
      <c r="D2101" s="741">
        <f t="shared" si="64"/>
        <v>79.41</v>
      </c>
      <c r="F2101" s="1406">
        <v>79.41</v>
      </c>
      <c r="G2101" s="1406">
        <v>79.41</v>
      </c>
      <c r="H2101" t="b">
        <f t="shared" si="65"/>
        <v>1</v>
      </c>
    </row>
    <row r="2102" spans="1:8" ht="30">
      <c r="A2102" s="677">
        <v>3287</v>
      </c>
      <c r="B2102" s="733" t="s">
        <v>10491</v>
      </c>
      <c r="C2102" s="677" t="s">
        <v>1692</v>
      </c>
      <c r="D2102" s="738">
        <f t="shared" si="64"/>
        <v>120</v>
      </c>
      <c r="F2102" s="1405">
        <v>120</v>
      </c>
      <c r="G2102" s="1405">
        <v>120</v>
      </c>
      <c r="H2102" t="b">
        <f t="shared" si="65"/>
        <v>1</v>
      </c>
    </row>
    <row r="2103" spans="1:8">
      <c r="A2103" s="739">
        <v>3283</v>
      </c>
      <c r="B2103" s="740" t="s">
        <v>10492</v>
      </c>
      <c r="C2103" s="739" t="s">
        <v>1692</v>
      </c>
      <c r="D2103" s="741">
        <f t="shared" si="64"/>
        <v>25.2</v>
      </c>
      <c r="F2103" s="1406">
        <v>25.2</v>
      </c>
      <c r="G2103" s="1406">
        <v>25.2</v>
      </c>
      <c r="H2103" t="b">
        <f t="shared" si="65"/>
        <v>1</v>
      </c>
    </row>
    <row r="2104" spans="1:8">
      <c r="A2104" s="677">
        <v>11587</v>
      </c>
      <c r="B2104" s="733" t="s">
        <v>10493</v>
      </c>
      <c r="C2104" s="677" t="s">
        <v>1692</v>
      </c>
      <c r="D2104" s="738">
        <f t="shared" si="64"/>
        <v>90.47</v>
      </c>
      <c r="F2104" s="1405">
        <v>90.47</v>
      </c>
      <c r="G2104" s="1405">
        <v>90.47</v>
      </c>
      <c r="H2104" t="b">
        <f t="shared" si="65"/>
        <v>1</v>
      </c>
    </row>
    <row r="2105" spans="1:8">
      <c r="A2105" s="739">
        <v>36225</v>
      </c>
      <c r="B2105" s="740" t="s">
        <v>10494</v>
      </c>
      <c r="C2105" s="739" t="s">
        <v>1692</v>
      </c>
      <c r="D2105" s="741">
        <f t="shared" si="64"/>
        <v>36.75</v>
      </c>
      <c r="F2105" s="1406">
        <v>36.75</v>
      </c>
      <c r="G2105" s="1406">
        <v>36.75</v>
      </c>
      <c r="H2105" t="b">
        <f t="shared" si="65"/>
        <v>1</v>
      </c>
    </row>
    <row r="2106" spans="1:8">
      <c r="A2106" s="677">
        <v>36230</v>
      </c>
      <c r="B2106" s="733" t="s">
        <v>10495</v>
      </c>
      <c r="C2106" s="677" t="s">
        <v>1692</v>
      </c>
      <c r="D2106" s="738">
        <f t="shared" si="64"/>
        <v>27</v>
      </c>
      <c r="F2106" s="1405">
        <v>27</v>
      </c>
      <c r="G2106" s="1405">
        <v>27</v>
      </c>
      <c r="H2106" t="b">
        <f t="shared" si="65"/>
        <v>1</v>
      </c>
    </row>
    <row r="2107" spans="1:8">
      <c r="A2107" s="739">
        <v>36238</v>
      </c>
      <c r="B2107" s="740" t="s">
        <v>10496</v>
      </c>
      <c r="C2107" s="739" t="s">
        <v>1692</v>
      </c>
      <c r="D2107" s="741">
        <f t="shared" si="64"/>
        <v>26.38</v>
      </c>
      <c r="F2107" s="1406">
        <v>26.38</v>
      </c>
      <c r="G2107" s="1406">
        <v>26.38</v>
      </c>
      <c r="H2107" t="b">
        <f t="shared" si="65"/>
        <v>1</v>
      </c>
    </row>
    <row r="2108" spans="1:8" ht="30">
      <c r="A2108" s="677">
        <v>39363</v>
      </c>
      <c r="B2108" s="733" t="s">
        <v>10497</v>
      </c>
      <c r="C2108" s="677" t="s">
        <v>1690</v>
      </c>
      <c r="D2108" s="738">
        <f t="shared" si="64"/>
        <v>5087.09</v>
      </c>
      <c r="F2108" s="1405">
        <v>5087.09</v>
      </c>
      <c r="G2108" s="1405">
        <v>5087.09</v>
      </c>
      <c r="H2108" t="b">
        <f t="shared" si="65"/>
        <v>1</v>
      </c>
    </row>
    <row r="2109" spans="1:8" ht="30">
      <c r="A2109" s="739">
        <v>39361</v>
      </c>
      <c r="B2109" s="740" t="s">
        <v>10498</v>
      </c>
      <c r="C2109" s="739" t="s">
        <v>1690</v>
      </c>
      <c r="D2109" s="741">
        <f t="shared" si="64"/>
        <v>1554.14</v>
      </c>
      <c r="F2109" s="1406">
        <v>1554.14</v>
      </c>
      <c r="G2109" s="1406">
        <v>1554.14</v>
      </c>
      <c r="H2109" t="b">
        <f t="shared" si="65"/>
        <v>1</v>
      </c>
    </row>
    <row r="2110" spans="1:8" ht="30">
      <c r="A2110" s="677">
        <v>39362</v>
      </c>
      <c r="B2110" s="733" t="s">
        <v>10499</v>
      </c>
      <c r="C2110" s="677" t="s">
        <v>1690</v>
      </c>
      <c r="D2110" s="738">
        <f t="shared" si="64"/>
        <v>2745.47</v>
      </c>
      <c r="F2110" s="1405">
        <v>2745.47</v>
      </c>
      <c r="G2110" s="1405">
        <v>2745.47</v>
      </c>
      <c r="H2110" t="b">
        <f t="shared" si="65"/>
        <v>1</v>
      </c>
    </row>
    <row r="2111" spans="1:8" ht="30">
      <c r="A2111" s="739">
        <v>39364</v>
      </c>
      <c r="B2111" s="740" t="s">
        <v>10500</v>
      </c>
      <c r="C2111" s="739" t="s">
        <v>1690</v>
      </c>
      <c r="D2111" s="741">
        <f t="shared" si="64"/>
        <v>10730.01</v>
      </c>
      <c r="F2111" s="1406">
        <v>10730.01</v>
      </c>
      <c r="G2111" s="1406">
        <v>10730.01</v>
      </c>
      <c r="H2111" t="b">
        <f t="shared" si="65"/>
        <v>1</v>
      </c>
    </row>
    <row r="2112" spans="1:8">
      <c r="A2112" s="677">
        <v>14576</v>
      </c>
      <c r="B2112" s="733" t="s">
        <v>10501</v>
      </c>
      <c r="C2112" s="677" t="s">
        <v>1690</v>
      </c>
      <c r="D2112" s="738">
        <f t="shared" si="64"/>
        <v>5349878.32</v>
      </c>
      <c r="F2112" s="1405">
        <v>5349878.32</v>
      </c>
      <c r="G2112" s="1405">
        <v>5349878.32</v>
      </c>
      <c r="H2112" t="b">
        <f t="shared" si="65"/>
        <v>1</v>
      </c>
    </row>
    <row r="2113" spans="1:8">
      <c r="A2113" s="739">
        <v>13877</v>
      </c>
      <c r="B2113" s="740" t="s">
        <v>10502</v>
      </c>
      <c r="C2113" s="739" t="s">
        <v>1690</v>
      </c>
      <c r="D2113" s="741">
        <f t="shared" si="64"/>
        <v>2290203.11</v>
      </c>
      <c r="F2113" s="1406">
        <v>2290203.11</v>
      </c>
      <c r="G2113" s="1406">
        <v>2290203.11</v>
      </c>
      <c r="H2113" t="b">
        <f t="shared" si="65"/>
        <v>1</v>
      </c>
    </row>
    <row r="2114" spans="1:8">
      <c r="A2114" s="677">
        <v>7307</v>
      </c>
      <c r="B2114" s="733" t="s">
        <v>10503</v>
      </c>
      <c r="C2114" s="677" t="s">
        <v>1695</v>
      </c>
      <c r="D2114" s="738">
        <f t="shared" si="64"/>
        <v>35.950000000000003</v>
      </c>
      <c r="F2114" s="1405">
        <v>35.950000000000003</v>
      </c>
      <c r="G2114" s="1405">
        <v>35.950000000000003</v>
      </c>
      <c r="H2114" t="b">
        <f t="shared" si="65"/>
        <v>1</v>
      </c>
    </row>
    <row r="2115" spans="1:8">
      <c r="A2115" s="739">
        <v>38122</v>
      </c>
      <c r="B2115" s="740" t="s">
        <v>10504</v>
      </c>
      <c r="C2115" s="739" t="s">
        <v>1695</v>
      </c>
      <c r="D2115" s="741">
        <f t="shared" ref="D2115:D2178" si="66">IF($J$2=$F$1,F2115,G2115)</f>
        <v>10.45</v>
      </c>
      <c r="F2115" s="1406">
        <v>10.45</v>
      </c>
      <c r="G2115" s="1406">
        <v>10.45</v>
      </c>
      <c r="H2115" t="b">
        <f t="shared" ref="H2115:H2178" si="67">F2115=G2115</f>
        <v>1</v>
      </c>
    </row>
    <row r="2116" spans="1:8">
      <c r="A2116" s="677">
        <v>43653</v>
      </c>
      <c r="B2116" s="733" t="s">
        <v>10505</v>
      </c>
      <c r="C2116" s="677" t="s">
        <v>1695</v>
      </c>
      <c r="D2116" s="738">
        <f t="shared" si="66"/>
        <v>33.74</v>
      </c>
      <c r="F2116" s="1405">
        <v>33.74</v>
      </c>
      <c r="G2116" s="1405">
        <v>33.74</v>
      </c>
      <c r="H2116" t="b">
        <f t="shared" si="67"/>
        <v>1</v>
      </c>
    </row>
    <row r="2117" spans="1:8">
      <c r="A2117" s="739">
        <v>38633</v>
      </c>
      <c r="B2117" s="740" t="s">
        <v>10506</v>
      </c>
      <c r="C2117" s="739" t="s">
        <v>1690</v>
      </c>
      <c r="D2117" s="741">
        <f t="shared" si="66"/>
        <v>21.32</v>
      </c>
      <c r="F2117" s="1406">
        <v>21.32</v>
      </c>
      <c r="G2117" s="1406">
        <v>21.32</v>
      </c>
      <c r="H2117" t="b">
        <f t="shared" si="67"/>
        <v>1</v>
      </c>
    </row>
    <row r="2118" spans="1:8">
      <c r="A2118" s="677">
        <v>12344</v>
      </c>
      <c r="B2118" s="733" t="s">
        <v>10507</v>
      </c>
      <c r="C2118" s="677" t="s">
        <v>1690</v>
      </c>
      <c r="D2118" s="738">
        <f t="shared" si="66"/>
        <v>6.81</v>
      </c>
      <c r="F2118" s="1405">
        <v>6.81</v>
      </c>
      <c r="G2118" s="1405">
        <v>6.81</v>
      </c>
      <c r="H2118" t="b">
        <f t="shared" si="67"/>
        <v>1</v>
      </c>
    </row>
    <row r="2119" spans="1:8">
      <c r="A2119" s="739">
        <v>12343</v>
      </c>
      <c r="B2119" s="740" t="s">
        <v>10508</v>
      </c>
      <c r="C2119" s="739" t="s">
        <v>1690</v>
      </c>
      <c r="D2119" s="741">
        <f t="shared" si="66"/>
        <v>10.56</v>
      </c>
      <c r="F2119" s="1406">
        <v>10.56</v>
      </c>
      <c r="G2119" s="1406">
        <v>10.56</v>
      </c>
      <c r="H2119" t="b">
        <f t="shared" si="67"/>
        <v>1</v>
      </c>
    </row>
    <row r="2120" spans="1:8">
      <c r="A2120" s="677">
        <v>3295</v>
      </c>
      <c r="B2120" s="733" t="s">
        <v>10509</v>
      </c>
      <c r="C2120" s="677" t="s">
        <v>1690</v>
      </c>
      <c r="D2120" s="738">
        <f t="shared" si="66"/>
        <v>36.869999999999997</v>
      </c>
      <c r="F2120" s="1405">
        <v>36.869999999999997</v>
      </c>
      <c r="G2120" s="1405">
        <v>36.869999999999997</v>
      </c>
      <c r="H2120" t="b">
        <f t="shared" si="67"/>
        <v>1</v>
      </c>
    </row>
    <row r="2121" spans="1:8">
      <c r="A2121" s="739">
        <v>3302</v>
      </c>
      <c r="B2121" s="740" t="s">
        <v>10510</v>
      </c>
      <c r="C2121" s="739" t="s">
        <v>1690</v>
      </c>
      <c r="D2121" s="741">
        <f t="shared" si="66"/>
        <v>38.549999999999997</v>
      </c>
      <c r="F2121" s="1406">
        <v>38.549999999999997</v>
      </c>
      <c r="G2121" s="1406">
        <v>38.549999999999997</v>
      </c>
      <c r="H2121" t="b">
        <f t="shared" si="67"/>
        <v>1</v>
      </c>
    </row>
    <row r="2122" spans="1:8">
      <c r="A2122" s="677">
        <v>3297</v>
      </c>
      <c r="B2122" s="733" t="s">
        <v>10511</v>
      </c>
      <c r="C2122" s="677" t="s">
        <v>1690</v>
      </c>
      <c r="D2122" s="738">
        <f t="shared" si="66"/>
        <v>41.15</v>
      </c>
      <c r="F2122" s="1405">
        <v>41.15</v>
      </c>
      <c r="G2122" s="1405">
        <v>41.15</v>
      </c>
      <c r="H2122" t="b">
        <f t="shared" si="67"/>
        <v>1</v>
      </c>
    </row>
    <row r="2123" spans="1:8">
      <c r="A2123" s="739">
        <v>3294</v>
      </c>
      <c r="B2123" s="740" t="s">
        <v>10512</v>
      </c>
      <c r="C2123" s="739" t="s">
        <v>1690</v>
      </c>
      <c r="D2123" s="741">
        <f t="shared" si="66"/>
        <v>41.78</v>
      </c>
      <c r="F2123" s="1406">
        <v>41.78</v>
      </c>
      <c r="G2123" s="1406">
        <v>41.78</v>
      </c>
      <c r="H2123" t="b">
        <f t="shared" si="67"/>
        <v>1</v>
      </c>
    </row>
    <row r="2124" spans="1:8">
      <c r="A2124" s="677">
        <v>3292</v>
      </c>
      <c r="B2124" s="733" t="s">
        <v>10513</v>
      </c>
      <c r="C2124" s="677" t="s">
        <v>1690</v>
      </c>
      <c r="D2124" s="738">
        <f t="shared" si="66"/>
        <v>39.25</v>
      </c>
      <c r="F2124" s="1405">
        <v>39.25</v>
      </c>
      <c r="G2124" s="1405">
        <v>39.25</v>
      </c>
      <c r="H2124" t="b">
        <f t="shared" si="67"/>
        <v>1</v>
      </c>
    </row>
    <row r="2125" spans="1:8">
      <c r="A2125" s="739">
        <v>3298</v>
      </c>
      <c r="B2125" s="740" t="s">
        <v>10514</v>
      </c>
      <c r="C2125" s="739" t="s">
        <v>1690</v>
      </c>
      <c r="D2125" s="741">
        <f t="shared" si="66"/>
        <v>91.99</v>
      </c>
      <c r="F2125" s="1406">
        <v>91.99</v>
      </c>
      <c r="G2125" s="1406">
        <v>91.99</v>
      </c>
      <c r="H2125" t="b">
        <f t="shared" si="67"/>
        <v>1</v>
      </c>
    </row>
    <row r="2126" spans="1:8">
      <c r="A2126" s="677">
        <v>11596</v>
      </c>
      <c r="B2126" s="733" t="s">
        <v>10515</v>
      </c>
      <c r="C2126" s="677" t="s">
        <v>1690</v>
      </c>
      <c r="D2126" s="738">
        <f t="shared" si="66"/>
        <v>541.36</v>
      </c>
      <c r="F2126" s="1405">
        <v>541.36</v>
      </c>
      <c r="G2126" s="1405">
        <v>541.36</v>
      </c>
      <c r="H2126" t="b">
        <f t="shared" si="67"/>
        <v>1</v>
      </c>
    </row>
    <row r="2127" spans="1:8" ht="30">
      <c r="A2127" s="739">
        <v>34802</v>
      </c>
      <c r="B2127" s="740" t="s">
        <v>10516</v>
      </c>
      <c r="C2127" s="739" t="s">
        <v>1690</v>
      </c>
      <c r="D2127" s="741">
        <f t="shared" si="66"/>
        <v>1486.76</v>
      </c>
      <c r="F2127" s="1406">
        <v>1486.76</v>
      </c>
      <c r="G2127" s="1406">
        <v>1486.76</v>
      </c>
      <c r="H2127" t="b">
        <f t="shared" si="67"/>
        <v>1</v>
      </c>
    </row>
    <row r="2128" spans="1:8" ht="30">
      <c r="A2128" s="677">
        <v>11588</v>
      </c>
      <c r="B2128" s="733" t="s">
        <v>10517</v>
      </c>
      <c r="C2128" s="677" t="s">
        <v>1690</v>
      </c>
      <c r="D2128" s="738">
        <f t="shared" si="66"/>
        <v>1603.97</v>
      </c>
      <c r="F2128" s="1405">
        <v>1603.97</v>
      </c>
      <c r="G2128" s="1405">
        <v>1603.97</v>
      </c>
      <c r="H2128" t="b">
        <f t="shared" si="67"/>
        <v>1</v>
      </c>
    </row>
    <row r="2129" spans="1:8" ht="30">
      <c r="A2129" s="739">
        <v>34383</v>
      </c>
      <c r="B2129" s="740" t="s">
        <v>10518</v>
      </c>
      <c r="C2129" s="739" t="s">
        <v>1690</v>
      </c>
      <c r="D2129" s="741">
        <f t="shared" si="66"/>
        <v>1764.49</v>
      </c>
      <c r="F2129" s="1406">
        <v>1764.49</v>
      </c>
      <c r="G2129" s="1406">
        <v>1764.49</v>
      </c>
      <c r="H2129" t="b">
        <f t="shared" si="67"/>
        <v>1</v>
      </c>
    </row>
    <row r="2130" spans="1:8" ht="30">
      <c r="A2130" s="677">
        <v>40451</v>
      </c>
      <c r="B2130" s="733" t="s">
        <v>10519</v>
      </c>
      <c r="C2130" s="677" t="s">
        <v>1692</v>
      </c>
      <c r="D2130" s="738">
        <f t="shared" si="66"/>
        <v>142.63</v>
      </c>
      <c r="F2130" s="1405">
        <v>142.63</v>
      </c>
      <c r="G2130" s="1405">
        <v>142.63</v>
      </c>
      <c r="H2130" t="b">
        <f t="shared" si="67"/>
        <v>1</v>
      </c>
    </row>
    <row r="2131" spans="1:8" ht="30">
      <c r="A2131" s="739">
        <v>40453</v>
      </c>
      <c r="B2131" s="740" t="s">
        <v>10520</v>
      </c>
      <c r="C2131" s="739" t="s">
        <v>1692</v>
      </c>
      <c r="D2131" s="741">
        <f t="shared" si="66"/>
        <v>154.32</v>
      </c>
      <c r="F2131" s="1406">
        <v>154.32</v>
      </c>
      <c r="G2131" s="1406">
        <v>154.32</v>
      </c>
      <c r="H2131" t="b">
        <f t="shared" si="67"/>
        <v>1</v>
      </c>
    </row>
    <row r="2132" spans="1:8" ht="30">
      <c r="A2132" s="677">
        <v>40452</v>
      </c>
      <c r="B2132" s="733" t="s">
        <v>10521</v>
      </c>
      <c r="C2132" s="677" t="s">
        <v>1692</v>
      </c>
      <c r="D2132" s="738">
        <f t="shared" si="66"/>
        <v>169.27</v>
      </c>
      <c r="F2132" s="1405">
        <v>169.27</v>
      </c>
      <c r="G2132" s="1405">
        <v>169.27</v>
      </c>
      <c r="H2132" t="b">
        <f t="shared" si="67"/>
        <v>1</v>
      </c>
    </row>
    <row r="2133" spans="1:8">
      <c r="A2133" s="739">
        <v>11594</v>
      </c>
      <c r="B2133" s="740" t="s">
        <v>10522</v>
      </c>
      <c r="C2133" s="739" t="s">
        <v>1690</v>
      </c>
      <c r="D2133" s="741">
        <f t="shared" si="66"/>
        <v>511.23</v>
      </c>
      <c r="F2133" s="1406">
        <v>511.23</v>
      </c>
      <c r="G2133" s="1406">
        <v>511.23</v>
      </c>
      <c r="H2133" t="b">
        <f t="shared" si="67"/>
        <v>1</v>
      </c>
    </row>
    <row r="2134" spans="1:8">
      <c r="A2134" s="677">
        <v>3311</v>
      </c>
      <c r="B2134" s="733" t="s">
        <v>10523</v>
      </c>
      <c r="C2134" s="677" t="s">
        <v>1691</v>
      </c>
      <c r="D2134" s="738">
        <f t="shared" si="66"/>
        <v>511.23</v>
      </c>
      <c r="F2134" s="1405">
        <v>511.23</v>
      </c>
      <c r="G2134" s="1405">
        <v>511.23</v>
      </c>
      <c r="H2134" t="b">
        <f t="shared" si="67"/>
        <v>1</v>
      </c>
    </row>
    <row r="2135" spans="1:8">
      <c r="A2135" s="739">
        <v>11599</v>
      </c>
      <c r="B2135" s="740" t="s">
        <v>10524</v>
      </c>
      <c r="C2135" s="739" t="s">
        <v>1690</v>
      </c>
      <c r="D2135" s="741">
        <f t="shared" si="66"/>
        <v>679.88</v>
      </c>
      <c r="F2135" s="1406">
        <v>679.88</v>
      </c>
      <c r="G2135" s="1406">
        <v>679.88</v>
      </c>
      <c r="H2135" t="b">
        <f t="shared" si="67"/>
        <v>1</v>
      </c>
    </row>
    <row r="2136" spans="1:8" ht="30">
      <c r="A2136" s="677">
        <v>11593</v>
      </c>
      <c r="B2136" s="733" t="s">
        <v>10525</v>
      </c>
      <c r="C2136" s="677" t="s">
        <v>1690</v>
      </c>
      <c r="D2136" s="738">
        <f t="shared" si="66"/>
        <v>953.15</v>
      </c>
      <c r="F2136" s="1405">
        <v>953.15</v>
      </c>
      <c r="G2136" s="1405">
        <v>953.15</v>
      </c>
      <c r="H2136" t="b">
        <f t="shared" si="67"/>
        <v>1</v>
      </c>
    </row>
    <row r="2137" spans="1:8">
      <c r="A2137" s="739">
        <v>3314</v>
      </c>
      <c r="B2137" s="740" t="s">
        <v>10526</v>
      </c>
      <c r="C2137" s="739" t="s">
        <v>1691</v>
      </c>
      <c r="D2137" s="741">
        <f t="shared" si="66"/>
        <v>681.7</v>
      </c>
      <c r="F2137" s="1406">
        <v>681.7</v>
      </c>
      <c r="G2137" s="1406">
        <v>681.7</v>
      </c>
      <c r="H2137" t="b">
        <f t="shared" si="67"/>
        <v>1</v>
      </c>
    </row>
    <row r="2138" spans="1:8">
      <c r="A2138" s="677">
        <v>11597</v>
      </c>
      <c r="B2138" s="733" t="s">
        <v>10527</v>
      </c>
      <c r="C2138" s="677" t="s">
        <v>1690</v>
      </c>
      <c r="D2138" s="738">
        <f t="shared" si="66"/>
        <v>792.73</v>
      </c>
      <c r="F2138" s="1405">
        <v>792.73</v>
      </c>
      <c r="G2138" s="1405">
        <v>792.73</v>
      </c>
      <c r="H2138" t="b">
        <f t="shared" si="67"/>
        <v>1</v>
      </c>
    </row>
    <row r="2139" spans="1:8">
      <c r="A2139" s="739">
        <v>3309</v>
      </c>
      <c r="B2139" s="740" t="s">
        <v>10528</v>
      </c>
      <c r="C2139" s="739" t="s">
        <v>1691</v>
      </c>
      <c r="D2139" s="741">
        <f t="shared" si="66"/>
        <v>541.36</v>
      </c>
      <c r="F2139" s="1406">
        <v>541.36</v>
      </c>
      <c r="G2139" s="1406">
        <v>541.36</v>
      </c>
      <c r="H2139" t="b">
        <f t="shared" si="67"/>
        <v>1</v>
      </c>
    </row>
    <row r="2140" spans="1:8" ht="30">
      <c r="A2140" s="677">
        <v>34612</v>
      </c>
      <c r="B2140" s="733" t="s">
        <v>10529</v>
      </c>
      <c r="C2140" s="677" t="s">
        <v>1690</v>
      </c>
      <c r="D2140" s="738">
        <f t="shared" si="66"/>
        <v>980.47</v>
      </c>
      <c r="F2140" s="1405">
        <v>980.47</v>
      </c>
      <c r="G2140" s="1405">
        <v>980.47</v>
      </c>
      <c r="H2140" t="b">
        <f t="shared" si="67"/>
        <v>1</v>
      </c>
    </row>
    <row r="2141" spans="1:8" ht="30">
      <c r="A2141" s="739">
        <v>34635</v>
      </c>
      <c r="B2141" s="740" t="s">
        <v>10530</v>
      </c>
      <c r="C2141" s="739" t="s">
        <v>1690</v>
      </c>
      <c r="D2141" s="741">
        <f t="shared" si="66"/>
        <v>1260.83</v>
      </c>
      <c r="F2141" s="1406">
        <v>1260.83</v>
      </c>
      <c r="G2141" s="1406">
        <v>1260.83</v>
      </c>
      <c r="H2141" t="b">
        <f t="shared" si="67"/>
        <v>1</v>
      </c>
    </row>
    <row r="2142" spans="1:8" ht="30">
      <c r="A2142" s="677">
        <v>34633</v>
      </c>
      <c r="B2142" s="733" t="s">
        <v>10531</v>
      </c>
      <c r="C2142" s="677" t="s">
        <v>1690</v>
      </c>
      <c r="D2142" s="738">
        <f t="shared" si="66"/>
        <v>1389.77</v>
      </c>
      <c r="F2142" s="1405">
        <v>1389.77</v>
      </c>
      <c r="G2142" s="1405">
        <v>1389.77</v>
      </c>
      <c r="H2142" t="b">
        <f t="shared" si="67"/>
        <v>1</v>
      </c>
    </row>
    <row r="2143" spans="1:8" ht="30">
      <c r="A2143" s="739">
        <v>40440</v>
      </c>
      <c r="B2143" s="740" t="s">
        <v>10532</v>
      </c>
      <c r="C2143" s="739" t="s">
        <v>1691</v>
      </c>
      <c r="D2143" s="741">
        <f t="shared" si="66"/>
        <v>710.05</v>
      </c>
      <c r="F2143" s="1406">
        <v>710.05</v>
      </c>
      <c r="G2143" s="1406">
        <v>710.05</v>
      </c>
      <c r="H2143" t="b">
        <f t="shared" si="67"/>
        <v>1</v>
      </c>
    </row>
    <row r="2144" spans="1:8" ht="30">
      <c r="A2144" s="677">
        <v>40441</v>
      </c>
      <c r="B2144" s="733" t="s">
        <v>10533</v>
      </c>
      <c r="C2144" s="677" t="s">
        <v>1691</v>
      </c>
      <c r="D2144" s="738">
        <f t="shared" si="66"/>
        <v>453.33</v>
      </c>
      <c r="F2144" s="1405">
        <v>453.33</v>
      </c>
      <c r="G2144" s="1405">
        <v>453.33</v>
      </c>
      <c r="H2144" t="b">
        <f t="shared" si="67"/>
        <v>1</v>
      </c>
    </row>
    <row r="2145" spans="1:8" ht="30">
      <c r="A2145" s="739">
        <v>40449</v>
      </c>
      <c r="B2145" s="740" t="s">
        <v>10534</v>
      </c>
      <c r="C2145" s="739" t="s">
        <v>1691</v>
      </c>
      <c r="D2145" s="741">
        <f t="shared" si="66"/>
        <v>381.1</v>
      </c>
      <c r="F2145" s="1406">
        <v>381.1</v>
      </c>
      <c r="G2145" s="1406">
        <v>381.1</v>
      </c>
      <c r="H2145" t="b">
        <f t="shared" si="67"/>
        <v>1</v>
      </c>
    </row>
    <row r="2146" spans="1:8" ht="30">
      <c r="A2146" s="677">
        <v>34800</v>
      </c>
      <c r="B2146" s="733" t="s">
        <v>10535</v>
      </c>
      <c r="C2146" s="677" t="s">
        <v>1691</v>
      </c>
      <c r="D2146" s="738">
        <f t="shared" si="66"/>
        <v>476.57</v>
      </c>
      <c r="F2146" s="1405">
        <v>476.57</v>
      </c>
      <c r="G2146" s="1405">
        <v>476.57</v>
      </c>
      <c r="H2146" t="b">
        <f t="shared" si="67"/>
        <v>1</v>
      </c>
    </row>
    <row r="2147" spans="1:8" ht="30">
      <c r="A2147" s="739">
        <v>11592</v>
      </c>
      <c r="B2147" s="740" t="s">
        <v>10536</v>
      </c>
      <c r="C2147" s="739" t="s">
        <v>1690</v>
      </c>
      <c r="D2147" s="741">
        <f t="shared" si="66"/>
        <v>681.7</v>
      </c>
      <c r="F2147" s="1406">
        <v>681.7</v>
      </c>
      <c r="G2147" s="1406">
        <v>681.7</v>
      </c>
      <c r="H2147" t="b">
        <f t="shared" si="67"/>
        <v>1</v>
      </c>
    </row>
    <row r="2148" spans="1:8">
      <c r="A2148" s="677">
        <v>40438</v>
      </c>
      <c r="B2148" s="733" t="s">
        <v>10537</v>
      </c>
      <c r="C2148" s="677" t="s">
        <v>1691</v>
      </c>
      <c r="D2148" s="738">
        <f t="shared" si="66"/>
        <v>317.5</v>
      </c>
      <c r="F2148" s="1405">
        <v>317.5</v>
      </c>
      <c r="G2148" s="1405">
        <v>317.5</v>
      </c>
      <c r="H2148" t="b">
        <f t="shared" si="67"/>
        <v>1</v>
      </c>
    </row>
    <row r="2149" spans="1:8">
      <c r="A2149" s="739">
        <v>40436</v>
      </c>
      <c r="B2149" s="740" t="s">
        <v>10538</v>
      </c>
      <c r="C2149" s="739" t="s">
        <v>1691</v>
      </c>
      <c r="D2149" s="741">
        <f t="shared" si="66"/>
        <v>395.9</v>
      </c>
      <c r="F2149" s="1406">
        <v>395.9</v>
      </c>
      <c r="G2149" s="1406">
        <v>395.9</v>
      </c>
      <c r="H2149" t="b">
        <f t="shared" si="67"/>
        <v>1</v>
      </c>
    </row>
    <row r="2150" spans="1:8" ht="30">
      <c r="A2150" s="677">
        <v>4315</v>
      </c>
      <c r="B2150" s="733" t="s">
        <v>10539</v>
      </c>
      <c r="C2150" s="677" t="s">
        <v>1690</v>
      </c>
      <c r="D2150" s="738">
        <f t="shared" si="66"/>
        <v>2.2000000000000002</v>
      </c>
      <c r="F2150" s="1405">
        <v>2.2000000000000002</v>
      </c>
      <c r="G2150" s="1405">
        <v>2.2000000000000002</v>
      </c>
      <c r="H2150" t="b">
        <f t="shared" si="67"/>
        <v>1</v>
      </c>
    </row>
    <row r="2151" spans="1:8">
      <c r="A2151" s="739">
        <v>402</v>
      </c>
      <c r="B2151" s="740" t="s">
        <v>10540</v>
      </c>
      <c r="C2151" s="739" t="s">
        <v>1690</v>
      </c>
      <c r="D2151" s="741">
        <f t="shared" si="66"/>
        <v>20.57</v>
      </c>
      <c r="F2151" s="1406">
        <v>20.57</v>
      </c>
      <c r="G2151" s="1406">
        <v>20.57</v>
      </c>
      <c r="H2151" t="b">
        <f t="shared" si="67"/>
        <v>1</v>
      </c>
    </row>
    <row r="2152" spans="1:8">
      <c r="A2152" s="677">
        <v>4226</v>
      </c>
      <c r="B2152" s="733" t="s">
        <v>10541</v>
      </c>
      <c r="C2152" s="677" t="s">
        <v>1694</v>
      </c>
      <c r="D2152" s="738">
        <f t="shared" si="66"/>
        <v>8.6999999999999993</v>
      </c>
      <c r="F2152" s="1405">
        <v>8.6999999999999993</v>
      </c>
      <c r="G2152" s="1405">
        <v>8.6999999999999993</v>
      </c>
      <c r="H2152" t="b">
        <f t="shared" si="67"/>
        <v>1</v>
      </c>
    </row>
    <row r="2153" spans="1:8">
      <c r="A2153" s="739">
        <v>4222</v>
      </c>
      <c r="B2153" s="740" t="s">
        <v>10542</v>
      </c>
      <c r="C2153" s="739" t="s">
        <v>1695</v>
      </c>
      <c r="D2153" s="741">
        <f t="shared" si="66"/>
        <v>5.57</v>
      </c>
      <c r="F2153" s="1406">
        <v>5.57</v>
      </c>
      <c r="G2153" s="1406">
        <v>5.57</v>
      </c>
      <c r="H2153" t="b">
        <f t="shared" si="67"/>
        <v>1</v>
      </c>
    </row>
    <row r="2154" spans="1:8" ht="30">
      <c r="A2154" s="677">
        <v>34804</v>
      </c>
      <c r="B2154" s="733" t="s">
        <v>10543</v>
      </c>
      <c r="C2154" s="677" t="s">
        <v>1692</v>
      </c>
      <c r="D2154" s="738">
        <f t="shared" si="66"/>
        <v>57.55</v>
      </c>
      <c r="F2154" s="1405">
        <v>57.55</v>
      </c>
      <c r="G2154" s="1405">
        <v>57.55</v>
      </c>
      <c r="H2154" t="b">
        <f t="shared" si="67"/>
        <v>1</v>
      </c>
    </row>
    <row r="2155" spans="1:8">
      <c r="A2155" s="739">
        <v>4013</v>
      </c>
      <c r="B2155" s="740" t="s">
        <v>10544</v>
      </c>
      <c r="C2155" s="739" t="s">
        <v>1692</v>
      </c>
      <c r="D2155" s="741">
        <f t="shared" si="66"/>
        <v>7.86</v>
      </c>
      <c r="F2155" s="1406">
        <v>7.86</v>
      </c>
      <c r="G2155" s="1406">
        <v>7.86</v>
      </c>
      <c r="H2155" t="b">
        <f t="shared" si="67"/>
        <v>1</v>
      </c>
    </row>
    <row r="2156" spans="1:8">
      <c r="A2156" s="677">
        <v>4011</v>
      </c>
      <c r="B2156" s="733" t="s">
        <v>10545</v>
      </c>
      <c r="C2156" s="677" t="s">
        <v>1692</v>
      </c>
      <c r="D2156" s="738">
        <f t="shared" si="66"/>
        <v>8.77</v>
      </c>
      <c r="F2156" s="1405">
        <v>8.77</v>
      </c>
      <c r="G2156" s="1405">
        <v>8.77</v>
      </c>
      <c r="H2156" t="b">
        <f t="shared" si="67"/>
        <v>1</v>
      </c>
    </row>
    <row r="2157" spans="1:8">
      <c r="A2157" s="739">
        <v>4021</v>
      </c>
      <c r="B2157" s="740" t="s">
        <v>10546</v>
      </c>
      <c r="C2157" s="739" t="s">
        <v>1692</v>
      </c>
      <c r="D2157" s="741">
        <f t="shared" si="66"/>
        <v>10.94</v>
      </c>
      <c r="F2157" s="1406">
        <v>10.94</v>
      </c>
      <c r="G2157" s="1406">
        <v>10.94</v>
      </c>
      <c r="H2157" t="b">
        <f t="shared" si="67"/>
        <v>1</v>
      </c>
    </row>
    <row r="2158" spans="1:8">
      <c r="A2158" s="677">
        <v>4019</v>
      </c>
      <c r="B2158" s="733" t="s">
        <v>10547</v>
      </c>
      <c r="C2158" s="677" t="s">
        <v>1692</v>
      </c>
      <c r="D2158" s="738">
        <f t="shared" si="66"/>
        <v>13.14</v>
      </c>
      <c r="F2158" s="1405">
        <v>13.14</v>
      </c>
      <c r="G2158" s="1405">
        <v>13.14</v>
      </c>
      <c r="H2158" t="b">
        <f t="shared" si="67"/>
        <v>1</v>
      </c>
    </row>
    <row r="2159" spans="1:8">
      <c r="A2159" s="739">
        <v>4012</v>
      </c>
      <c r="B2159" s="740" t="s">
        <v>10548</v>
      </c>
      <c r="C2159" s="739" t="s">
        <v>1692</v>
      </c>
      <c r="D2159" s="741">
        <f t="shared" si="66"/>
        <v>17.600000000000001</v>
      </c>
      <c r="F2159" s="1406">
        <v>17.600000000000001</v>
      </c>
      <c r="G2159" s="1406">
        <v>17.600000000000001</v>
      </c>
      <c r="H2159" t="b">
        <f t="shared" si="67"/>
        <v>1</v>
      </c>
    </row>
    <row r="2160" spans="1:8">
      <c r="A2160" s="677">
        <v>4020</v>
      </c>
      <c r="B2160" s="733" t="s">
        <v>10549</v>
      </c>
      <c r="C2160" s="677" t="s">
        <v>1692</v>
      </c>
      <c r="D2160" s="738">
        <f t="shared" si="66"/>
        <v>22.04</v>
      </c>
      <c r="F2160" s="1405">
        <v>22.04</v>
      </c>
      <c r="G2160" s="1405">
        <v>22.04</v>
      </c>
      <c r="H2160" t="b">
        <f t="shared" si="67"/>
        <v>1</v>
      </c>
    </row>
    <row r="2161" spans="1:8">
      <c r="A2161" s="739">
        <v>4018</v>
      </c>
      <c r="B2161" s="740" t="s">
        <v>10550</v>
      </c>
      <c r="C2161" s="739" t="s">
        <v>1692</v>
      </c>
      <c r="D2161" s="741">
        <f t="shared" si="66"/>
        <v>26.41</v>
      </c>
      <c r="F2161" s="1406">
        <v>26.41</v>
      </c>
      <c r="G2161" s="1406">
        <v>26.41</v>
      </c>
      <c r="H2161" t="b">
        <f t="shared" si="67"/>
        <v>1</v>
      </c>
    </row>
    <row r="2162" spans="1:8">
      <c r="A2162" s="677">
        <v>36498</v>
      </c>
      <c r="B2162" s="733" t="s">
        <v>10551</v>
      </c>
      <c r="C2162" s="677" t="s">
        <v>1690</v>
      </c>
      <c r="D2162" s="738">
        <f t="shared" si="66"/>
        <v>8600.61</v>
      </c>
      <c r="F2162" s="1405">
        <v>8600.61</v>
      </c>
      <c r="G2162" s="1405">
        <v>8600.61</v>
      </c>
      <c r="H2162" t="b">
        <f t="shared" si="67"/>
        <v>1</v>
      </c>
    </row>
    <row r="2163" spans="1:8">
      <c r="A2163" s="739">
        <v>12872</v>
      </c>
      <c r="B2163" s="740" t="s">
        <v>10552</v>
      </c>
      <c r="C2163" s="739" t="s">
        <v>1689</v>
      </c>
      <c r="D2163" s="741">
        <f t="shared" si="66"/>
        <v>18.899999999999999</v>
      </c>
      <c r="F2163" s="1406">
        <v>16.420000000000002</v>
      </c>
      <c r="G2163" s="1406">
        <v>18.899999999999999</v>
      </c>
      <c r="H2163" t="b">
        <f t="shared" si="67"/>
        <v>0</v>
      </c>
    </row>
    <row r="2164" spans="1:8">
      <c r="A2164" s="677">
        <v>41075</v>
      </c>
      <c r="B2164" s="733" t="s">
        <v>10553</v>
      </c>
      <c r="C2164" s="677" t="s">
        <v>1696</v>
      </c>
      <c r="D2164" s="738">
        <f t="shared" si="66"/>
        <v>3328.54</v>
      </c>
      <c r="F2164" s="1405">
        <v>2886.81</v>
      </c>
      <c r="G2164" s="1405">
        <v>3328.54</v>
      </c>
      <c r="H2164" t="b">
        <f t="shared" si="67"/>
        <v>0</v>
      </c>
    </row>
    <row r="2165" spans="1:8">
      <c r="A2165" s="739">
        <v>44324</v>
      </c>
      <c r="B2165" s="740" t="s">
        <v>10554</v>
      </c>
      <c r="C2165" s="739" t="s">
        <v>1694</v>
      </c>
      <c r="D2165" s="741">
        <f t="shared" si="66"/>
        <v>3.36</v>
      </c>
      <c r="F2165" s="1406">
        <v>3.36</v>
      </c>
      <c r="G2165" s="1406">
        <v>3.36</v>
      </c>
      <c r="H2165" t="b">
        <f t="shared" si="67"/>
        <v>1</v>
      </c>
    </row>
    <row r="2166" spans="1:8">
      <c r="A2166" s="677">
        <v>3315</v>
      </c>
      <c r="B2166" s="733" t="s">
        <v>10555</v>
      </c>
      <c r="C2166" s="677" t="s">
        <v>1694</v>
      </c>
      <c r="D2166" s="738">
        <f t="shared" si="66"/>
        <v>0.97</v>
      </c>
      <c r="F2166" s="1405">
        <v>0.97</v>
      </c>
      <c r="G2166" s="1405">
        <v>0.97</v>
      </c>
      <c r="H2166" t="b">
        <f t="shared" si="67"/>
        <v>1</v>
      </c>
    </row>
    <row r="2167" spans="1:8">
      <c r="A2167" s="739">
        <v>36870</v>
      </c>
      <c r="B2167" s="740" t="s">
        <v>10556</v>
      </c>
      <c r="C2167" s="739" t="s">
        <v>1694</v>
      </c>
      <c r="D2167" s="741">
        <f t="shared" si="66"/>
        <v>0.75</v>
      </c>
      <c r="F2167" s="1406">
        <v>0.75</v>
      </c>
      <c r="G2167" s="1406">
        <v>0.75</v>
      </c>
      <c r="H2167" t="b">
        <f t="shared" si="67"/>
        <v>1</v>
      </c>
    </row>
    <row r="2168" spans="1:8" ht="30">
      <c r="A2168" s="677">
        <v>5092</v>
      </c>
      <c r="B2168" s="733" t="s">
        <v>10557</v>
      </c>
      <c r="C2168" s="677" t="s">
        <v>1697</v>
      </c>
      <c r="D2168" s="738">
        <f t="shared" si="66"/>
        <v>20.11</v>
      </c>
      <c r="F2168" s="1405">
        <v>20.11</v>
      </c>
      <c r="G2168" s="1405">
        <v>20.11</v>
      </c>
      <c r="H2168" t="b">
        <f t="shared" si="67"/>
        <v>1</v>
      </c>
    </row>
    <row r="2169" spans="1:8">
      <c r="A2169" s="739">
        <v>11462</v>
      </c>
      <c r="B2169" s="740" t="s">
        <v>10558</v>
      </c>
      <c r="C2169" s="739" t="s">
        <v>1697</v>
      </c>
      <c r="D2169" s="741">
        <f t="shared" si="66"/>
        <v>20.56</v>
      </c>
      <c r="F2169" s="1406">
        <v>20.56</v>
      </c>
      <c r="G2169" s="1406">
        <v>20.56</v>
      </c>
      <c r="H2169" t="b">
        <f t="shared" si="67"/>
        <v>1</v>
      </c>
    </row>
    <row r="2170" spans="1:8">
      <c r="A2170" s="677">
        <v>36529</v>
      </c>
      <c r="B2170" s="733" t="s">
        <v>10559</v>
      </c>
      <c r="C2170" s="677" t="s">
        <v>1690</v>
      </c>
      <c r="D2170" s="738">
        <f t="shared" si="66"/>
        <v>65051.02</v>
      </c>
      <c r="F2170" s="1405">
        <v>65051.02</v>
      </c>
      <c r="G2170" s="1405">
        <v>65051.02</v>
      </c>
      <c r="H2170" t="b">
        <f t="shared" si="67"/>
        <v>1</v>
      </c>
    </row>
    <row r="2171" spans="1:8">
      <c r="A2171" s="739">
        <v>3318</v>
      </c>
      <c r="B2171" s="740" t="s">
        <v>10560</v>
      </c>
      <c r="C2171" s="739" t="s">
        <v>1690</v>
      </c>
      <c r="D2171" s="741">
        <f t="shared" si="66"/>
        <v>51000</v>
      </c>
      <c r="F2171" s="1406">
        <v>51000</v>
      </c>
      <c r="G2171" s="1406">
        <v>51000</v>
      </c>
      <c r="H2171" t="b">
        <f t="shared" si="67"/>
        <v>1</v>
      </c>
    </row>
    <row r="2172" spans="1:8">
      <c r="A2172" s="677">
        <v>3324</v>
      </c>
      <c r="B2172" s="733" t="s">
        <v>10561</v>
      </c>
      <c r="C2172" s="677" t="s">
        <v>1692</v>
      </c>
      <c r="D2172" s="738">
        <f t="shared" si="66"/>
        <v>11.42</v>
      </c>
      <c r="F2172" s="1405">
        <v>11.42</v>
      </c>
      <c r="G2172" s="1405">
        <v>11.42</v>
      </c>
      <c r="H2172" t="b">
        <f t="shared" si="67"/>
        <v>1</v>
      </c>
    </row>
    <row r="2173" spans="1:8">
      <c r="A2173" s="739">
        <v>3322</v>
      </c>
      <c r="B2173" s="740" t="s">
        <v>10562</v>
      </c>
      <c r="C2173" s="739" t="s">
        <v>1692</v>
      </c>
      <c r="D2173" s="741">
        <f t="shared" si="66"/>
        <v>16</v>
      </c>
      <c r="F2173" s="1406">
        <v>16</v>
      </c>
      <c r="G2173" s="1406">
        <v>16</v>
      </c>
      <c r="H2173" t="b">
        <f t="shared" si="67"/>
        <v>1</v>
      </c>
    </row>
    <row r="2174" spans="1:8">
      <c r="A2174" s="677">
        <v>5076</v>
      </c>
      <c r="B2174" s="733" t="s">
        <v>10563</v>
      </c>
      <c r="C2174" s="677" t="s">
        <v>1694</v>
      </c>
      <c r="D2174" s="738">
        <f t="shared" si="66"/>
        <v>19.420000000000002</v>
      </c>
      <c r="F2174" s="1405">
        <v>19.420000000000002</v>
      </c>
      <c r="G2174" s="1405">
        <v>19.420000000000002</v>
      </c>
      <c r="H2174" t="b">
        <f t="shared" si="67"/>
        <v>1</v>
      </c>
    </row>
    <row r="2175" spans="1:8">
      <c r="A2175" s="739">
        <v>5077</v>
      </c>
      <c r="B2175" s="740" t="s">
        <v>10564</v>
      </c>
      <c r="C2175" s="739" t="s">
        <v>1694</v>
      </c>
      <c r="D2175" s="741">
        <f t="shared" si="66"/>
        <v>21.46</v>
      </c>
      <c r="F2175" s="1406">
        <v>21.46</v>
      </c>
      <c r="G2175" s="1406">
        <v>21.46</v>
      </c>
      <c r="H2175" t="b">
        <f t="shared" si="67"/>
        <v>1</v>
      </c>
    </row>
    <row r="2176" spans="1:8" ht="30">
      <c r="A2176" s="677">
        <v>11837</v>
      </c>
      <c r="B2176" s="733" t="s">
        <v>10565</v>
      </c>
      <c r="C2176" s="677" t="s">
        <v>1690</v>
      </c>
      <c r="D2176" s="738">
        <f t="shared" si="66"/>
        <v>67.099999999999994</v>
      </c>
      <c r="F2176" s="1405">
        <v>67.099999999999994</v>
      </c>
      <c r="G2176" s="1405">
        <v>67.099999999999994</v>
      </c>
      <c r="H2176" t="b">
        <f t="shared" si="67"/>
        <v>1</v>
      </c>
    </row>
    <row r="2177" spans="1:8">
      <c r="A2177" s="739">
        <v>38055</v>
      </c>
      <c r="B2177" s="740" t="s">
        <v>10566</v>
      </c>
      <c r="C2177" s="739" t="s">
        <v>1690</v>
      </c>
      <c r="D2177" s="741">
        <f t="shared" si="66"/>
        <v>6.09</v>
      </c>
      <c r="F2177" s="1406">
        <v>6.09</v>
      </c>
      <c r="G2177" s="1406">
        <v>6.09</v>
      </c>
      <c r="H2177" t="b">
        <f t="shared" si="67"/>
        <v>1</v>
      </c>
    </row>
    <row r="2178" spans="1:8">
      <c r="A2178" s="677">
        <v>415</v>
      </c>
      <c r="B2178" s="733" t="s">
        <v>10567</v>
      </c>
      <c r="C2178" s="677" t="s">
        <v>1690</v>
      </c>
      <c r="D2178" s="738">
        <f t="shared" si="66"/>
        <v>27.51</v>
      </c>
      <c r="F2178" s="1405">
        <v>27.51</v>
      </c>
      <c r="G2178" s="1405">
        <v>27.51</v>
      </c>
      <c r="H2178" t="b">
        <f t="shared" si="67"/>
        <v>1</v>
      </c>
    </row>
    <row r="2179" spans="1:8">
      <c r="A2179" s="739">
        <v>416</v>
      </c>
      <c r="B2179" s="740" t="s">
        <v>10568</v>
      </c>
      <c r="C2179" s="739" t="s">
        <v>1690</v>
      </c>
      <c r="D2179" s="741">
        <f t="shared" ref="D2179:D2242" si="68">IF($J$2=$F$1,F2179,G2179)</f>
        <v>10.07</v>
      </c>
      <c r="F2179" s="1406">
        <v>10.07</v>
      </c>
      <c r="G2179" s="1406">
        <v>10.07</v>
      </c>
      <c r="H2179" t="b">
        <f t="shared" ref="H2179:H2242" si="69">F2179=G2179</f>
        <v>1</v>
      </c>
    </row>
    <row r="2180" spans="1:8">
      <c r="A2180" s="677">
        <v>425</v>
      </c>
      <c r="B2180" s="733" t="s">
        <v>10569</v>
      </c>
      <c r="C2180" s="677" t="s">
        <v>1690</v>
      </c>
      <c r="D2180" s="738">
        <f t="shared" si="68"/>
        <v>6.24</v>
      </c>
      <c r="F2180" s="1405">
        <v>6.24</v>
      </c>
      <c r="G2180" s="1405">
        <v>6.24</v>
      </c>
      <c r="H2180" t="b">
        <f t="shared" si="69"/>
        <v>1</v>
      </c>
    </row>
    <row r="2181" spans="1:8">
      <c r="A2181" s="739">
        <v>426</v>
      </c>
      <c r="B2181" s="740" t="s">
        <v>10570</v>
      </c>
      <c r="C2181" s="739" t="s">
        <v>1690</v>
      </c>
      <c r="D2181" s="741">
        <f t="shared" si="68"/>
        <v>34.39</v>
      </c>
      <c r="F2181" s="1406">
        <v>34.39</v>
      </c>
      <c r="G2181" s="1406">
        <v>34.39</v>
      </c>
      <c r="H2181" t="b">
        <f t="shared" si="69"/>
        <v>1</v>
      </c>
    </row>
    <row r="2182" spans="1:8">
      <c r="A2182" s="677">
        <v>38056</v>
      </c>
      <c r="B2182" s="733" t="s">
        <v>10571</v>
      </c>
      <c r="C2182" s="677" t="s">
        <v>1690</v>
      </c>
      <c r="D2182" s="738">
        <f t="shared" si="68"/>
        <v>33.58</v>
      </c>
      <c r="F2182" s="1405">
        <v>33.58</v>
      </c>
      <c r="G2182" s="1405">
        <v>33.58</v>
      </c>
      <c r="H2182" t="b">
        <f t="shared" si="69"/>
        <v>1</v>
      </c>
    </row>
    <row r="2183" spans="1:8">
      <c r="A2183" s="739">
        <v>1564</v>
      </c>
      <c r="B2183" s="740" t="s">
        <v>10572</v>
      </c>
      <c r="C2183" s="739" t="s">
        <v>1690</v>
      </c>
      <c r="D2183" s="741">
        <f t="shared" si="68"/>
        <v>12.81</v>
      </c>
      <c r="F2183" s="1406">
        <v>12.81</v>
      </c>
      <c r="G2183" s="1406">
        <v>12.81</v>
      </c>
      <c r="H2183" t="b">
        <f t="shared" si="69"/>
        <v>1</v>
      </c>
    </row>
    <row r="2184" spans="1:8">
      <c r="A2184" s="677">
        <v>11032</v>
      </c>
      <c r="B2184" s="733" t="s">
        <v>10573</v>
      </c>
      <c r="C2184" s="677" t="s">
        <v>1690</v>
      </c>
      <c r="D2184" s="738">
        <f t="shared" si="68"/>
        <v>12.42</v>
      </c>
      <c r="F2184" s="1405">
        <v>12.42</v>
      </c>
      <c r="G2184" s="1405">
        <v>12.42</v>
      </c>
      <c r="H2184" t="b">
        <f t="shared" si="69"/>
        <v>1</v>
      </c>
    </row>
    <row r="2185" spans="1:8">
      <c r="A2185" s="739">
        <v>36786</v>
      </c>
      <c r="B2185" s="740" t="s">
        <v>10574</v>
      </c>
      <c r="C2185" s="739" t="s">
        <v>150</v>
      </c>
      <c r="D2185" s="741">
        <f t="shared" si="68"/>
        <v>159.07</v>
      </c>
      <c r="F2185" s="1406">
        <v>159.07</v>
      </c>
      <c r="G2185" s="1406">
        <v>159.07</v>
      </c>
      <c r="H2185" t="b">
        <f t="shared" si="69"/>
        <v>1</v>
      </c>
    </row>
    <row r="2186" spans="1:8">
      <c r="A2186" s="677">
        <v>36785</v>
      </c>
      <c r="B2186" s="733" t="s">
        <v>10575</v>
      </c>
      <c r="C2186" s="677" t="s">
        <v>150</v>
      </c>
      <c r="D2186" s="738">
        <f t="shared" si="68"/>
        <v>138.22</v>
      </c>
      <c r="F2186" s="1405">
        <v>138.22</v>
      </c>
      <c r="G2186" s="1405">
        <v>138.22</v>
      </c>
      <c r="H2186" t="b">
        <f t="shared" si="69"/>
        <v>1</v>
      </c>
    </row>
    <row r="2187" spans="1:8">
      <c r="A2187" s="739">
        <v>36782</v>
      </c>
      <c r="B2187" s="740" t="s">
        <v>10576</v>
      </c>
      <c r="C2187" s="739" t="s">
        <v>150</v>
      </c>
      <c r="D2187" s="741">
        <f t="shared" si="68"/>
        <v>164.99</v>
      </c>
      <c r="F2187" s="1406">
        <v>164.99</v>
      </c>
      <c r="G2187" s="1406">
        <v>164.99</v>
      </c>
      <c r="H2187" t="b">
        <f t="shared" si="69"/>
        <v>1</v>
      </c>
    </row>
    <row r="2188" spans="1:8">
      <c r="A2188" s="677">
        <v>44481</v>
      </c>
      <c r="B2188" s="733" t="s">
        <v>10577</v>
      </c>
      <c r="C2188" s="677" t="s">
        <v>150</v>
      </c>
      <c r="D2188" s="738">
        <f t="shared" si="68"/>
        <v>185.85</v>
      </c>
      <c r="F2188" s="1405">
        <v>185.85</v>
      </c>
      <c r="G2188" s="1405">
        <v>185.85</v>
      </c>
      <c r="H2188" t="b">
        <f t="shared" si="69"/>
        <v>1</v>
      </c>
    </row>
    <row r="2189" spans="1:8">
      <c r="A2189" s="739">
        <v>4824</v>
      </c>
      <c r="B2189" s="740" t="s">
        <v>10578</v>
      </c>
      <c r="C2189" s="739" t="s">
        <v>1694</v>
      </c>
      <c r="D2189" s="741">
        <f t="shared" si="68"/>
        <v>0.56000000000000005</v>
      </c>
      <c r="F2189" s="1406">
        <v>0.56000000000000005</v>
      </c>
      <c r="G2189" s="1406">
        <v>0.56000000000000005</v>
      </c>
      <c r="H2189" t="b">
        <f t="shared" si="69"/>
        <v>1</v>
      </c>
    </row>
    <row r="2190" spans="1:8" ht="30">
      <c r="A2190" s="677">
        <v>11795</v>
      </c>
      <c r="B2190" s="733" t="s">
        <v>10579</v>
      </c>
      <c r="C2190" s="677" t="s">
        <v>1692</v>
      </c>
      <c r="D2190" s="738">
        <f t="shared" si="68"/>
        <v>630.94000000000005</v>
      </c>
      <c r="F2190" s="1405">
        <v>630.94000000000005</v>
      </c>
      <c r="G2190" s="1405">
        <v>630.94000000000005</v>
      </c>
      <c r="H2190" t="b">
        <f t="shared" si="69"/>
        <v>1</v>
      </c>
    </row>
    <row r="2191" spans="1:8">
      <c r="A2191" s="739">
        <v>134</v>
      </c>
      <c r="B2191" s="740" t="s">
        <v>10580</v>
      </c>
      <c r="C2191" s="739" t="s">
        <v>1694</v>
      </c>
      <c r="D2191" s="741">
        <f t="shared" si="68"/>
        <v>1.71</v>
      </c>
      <c r="F2191" s="1406">
        <v>1.71</v>
      </c>
      <c r="G2191" s="1406">
        <v>1.71</v>
      </c>
      <c r="H2191" t="b">
        <f t="shared" si="69"/>
        <v>1</v>
      </c>
    </row>
    <row r="2192" spans="1:8" ht="30">
      <c r="A2192" s="677">
        <v>4229</v>
      </c>
      <c r="B2192" s="733" t="s">
        <v>10581</v>
      </c>
      <c r="C2192" s="677" t="s">
        <v>1694</v>
      </c>
      <c r="D2192" s="738">
        <f t="shared" si="68"/>
        <v>43.87</v>
      </c>
      <c r="F2192" s="1405">
        <v>43.87</v>
      </c>
      <c r="G2192" s="1405">
        <v>43.87</v>
      </c>
      <c r="H2192" t="b">
        <f t="shared" si="69"/>
        <v>1</v>
      </c>
    </row>
    <row r="2193" spans="1:8">
      <c r="A2193" s="739">
        <v>11731</v>
      </c>
      <c r="B2193" s="740" t="s">
        <v>10582</v>
      </c>
      <c r="C2193" s="739" t="s">
        <v>1690</v>
      </c>
      <c r="D2193" s="741">
        <f t="shared" si="68"/>
        <v>10.02</v>
      </c>
      <c r="F2193" s="1406">
        <v>10.02</v>
      </c>
      <c r="G2193" s="1406">
        <v>10.02</v>
      </c>
      <c r="H2193" t="b">
        <f t="shared" si="69"/>
        <v>1</v>
      </c>
    </row>
    <row r="2194" spans="1:8">
      <c r="A2194" s="677">
        <v>11732</v>
      </c>
      <c r="B2194" s="733" t="s">
        <v>10583</v>
      </c>
      <c r="C2194" s="677" t="s">
        <v>1690</v>
      </c>
      <c r="D2194" s="738">
        <f t="shared" si="68"/>
        <v>26.26</v>
      </c>
      <c r="F2194" s="1405">
        <v>26.26</v>
      </c>
      <c r="G2194" s="1405">
        <v>26.26</v>
      </c>
      <c r="H2194" t="b">
        <f t="shared" si="69"/>
        <v>1</v>
      </c>
    </row>
    <row r="2195" spans="1:8">
      <c r="A2195" s="739">
        <v>11244</v>
      </c>
      <c r="B2195" s="740" t="s">
        <v>10584</v>
      </c>
      <c r="C2195" s="739" t="s">
        <v>1690</v>
      </c>
      <c r="D2195" s="741">
        <f t="shared" si="68"/>
        <v>282.8</v>
      </c>
      <c r="F2195" s="1406">
        <v>282.8</v>
      </c>
      <c r="G2195" s="1406">
        <v>282.8</v>
      </c>
      <c r="H2195" t="b">
        <f t="shared" si="69"/>
        <v>1</v>
      </c>
    </row>
    <row r="2196" spans="1:8" ht="30">
      <c r="A2196" s="677">
        <v>11245</v>
      </c>
      <c r="B2196" s="733" t="s">
        <v>10585</v>
      </c>
      <c r="C2196" s="677" t="s">
        <v>1690</v>
      </c>
      <c r="D2196" s="738">
        <f t="shared" si="68"/>
        <v>391.16</v>
      </c>
      <c r="F2196" s="1405">
        <v>391.16</v>
      </c>
      <c r="G2196" s="1405">
        <v>391.16</v>
      </c>
      <c r="H2196" t="b">
        <f t="shared" si="69"/>
        <v>1</v>
      </c>
    </row>
    <row r="2197" spans="1:8">
      <c r="A2197" s="739">
        <v>11235</v>
      </c>
      <c r="B2197" s="740" t="s">
        <v>10586</v>
      </c>
      <c r="C2197" s="739" t="s">
        <v>1690</v>
      </c>
      <c r="D2197" s="741">
        <f t="shared" si="68"/>
        <v>215.81</v>
      </c>
      <c r="F2197" s="1406">
        <v>215.81</v>
      </c>
      <c r="G2197" s="1406">
        <v>215.81</v>
      </c>
      <c r="H2197" t="b">
        <f t="shared" si="69"/>
        <v>1</v>
      </c>
    </row>
    <row r="2198" spans="1:8">
      <c r="A2198" s="677">
        <v>11236</v>
      </c>
      <c r="B2198" s="733" t="s">
        <v>10587</v>
      </c>
      <c r="C2198" s="677" t="s">
        <v>1690</v>
      </c>
      <c r="D2198" s="738">
        <f t="shared" si="68"/>
        <v>274.26</v>
      </c>
      <c r="F2198" s="1405">
        <v>274.26</v>
      </c>
      <c r="G2198" s="1405">
        <v>274.26</v>
      </c>
      <c r="H2198" t="b">
        <f t="shared" si="69"/>
        <v>1</v>
      </c>
    </row>
    <row r="2199" spans="1:8">
      <c r="A2199" s="739">
        <v>36494</v>
      </c>
      <c r="B2199" s="740" t="s">
        <v>10588</v>
      </c>
      <c r="C2199" s="739" t="s">
        <v>1690</v>
      </c>
      <c r="D2199" s="741">
        <f t="shared" si="68"/>
        <v>719505.07</v>
      </c>
      <c r="F2199" s="1406">
        <v>719505.07</v>
      </c>
      <c r="G2199" s="1406">
        <v>719505.07</v>
      </c>
      <c r="H2199" t="b">
        <f t="shared" si="69"/>
        <v>1</v>
      </c>
    </row>
    <row r="2200" spans="1:8">
      <c r="A2200" s="677">
        <v>36493</v>
      </c>
      <c r="B2200" s="733" t="s">
        <v>10589</v>
      </c>
      <c r="C2200" s="677" t="s">
        <v>1690</v>
      </c>
      <c r="D2200" s="738">
        <f t="shared" si="68"/>
        <v>815170.02</v>
      </c>
      <c r="F2200" s="1405">
        <v>815170.02</v>
      </c>
      <c r="G2200" s="1405">
        <v>815170.02</v>
      </c>
      <c r="H2200" t="b">
        <f t="shared" si="69"/>
        <v>1</v>
      </c>
    </row>
    <row r="2201" spans="1:8">
      <c r="A2201" s="739">
        <v>36492</v>
      </c>
      <c r="B2201" s="740" t="s">
        <v>10590</v>
      </c>
      <c r="C2201" s="739" t="s">
        <v>1690</v>
      </c>
      <c r="D2201" s="741">
        <f t="shared" si="68"/>
        <v>1514276.75</v>
      </c>
      <c r="F2201" s="1406">
        <v>1514276.75</v>
      </c>
      <c r="G2201" s="1406">
        <v>1514276.75</v>
      </c>
      <c r="H2201" t="b">
        <f t="shared" si="69"/>
        <v>1</v>
      </c>
    </row>
    <row r="2202" spans="1:8">
      <c r="A2202" s="677">
        <v>36499</v>
      </c>
      <c r="B2202" s="733" t="s">
        <v>10591</v>
      </c>
      <c r="C2202" s="677" t="s">
        <v>1690</v>
      </c>
      <c r="D2202" s="738">
        <f t="shared" si="68"/>
        <v>4644.33</v>
      </c>
      <c r="F2202" s="1405">
        <v>4644.33</v>
      </c>
      <c r="G2202" s="1405">
        <v>4644.33</v>
      </c>
      <c r="H2202" t="b">
        <f t="shared" si="69"/>
        <v>1</v>
      </c>
    </row>
    <row r="2203" spans="1:8" ht="30">
      <c r="A2203" s="739">
        <v>13533</v>
      </c>
      <c r="B2203" s="740" t="s">
        <v>10592</v>
      </c>
      <c r="C2203" s="739" t="s">
        <v>1690</v>
      </c>
      <c r="D2203" s="741">
        <f t="shared" si="68"/>
        <v>212898.11</v>
      </c>
      <c r="F2203" s="1406">
        <v>212898.11</v>
      </c>
      <c r="G2203" s="1406">
        <v>212898.11</v>
      </c>
      <c r="H2203" t="b">
        <f t="shared" si="69"/>
        <v>1</v>
      </c>
    </row>
    <row r="2204" spans="1:8" ht="30">
      <c r="A2204" s="677">
        <v>13333</v>
      </c>
      <c r="B2204" s="733" t="s">
        <v>10593</v>
      </c>
      <c r="C2204" s="677" t="s">
        <v>1690</v>
      </c>
      <c r="D2204" s="738">
        <f t="shared" si="68"/>
        <v>238170.66</v>
      </c>
      <c r="F2204" s="1405">
        <v>238170.66</v>
      </c>
      <c r="G2204" s="1405">
        <v>238170.66</v>
      </c>
      <c r="H2204" t="b">
        <f t="shared" si="69"/>
        <v>1</v>
      </c>
    </row>
    <row r="2205" spans="1:8" ht="30">
      <c r="A2205" s="739">
        <v>39585</v>
      </c>
      <c r="B2205" s="740" t="s">
        <v>10594</v>
      </c>
      <c r="C2205" s="739" t="s">
        <v>1690</v>
      </c>
      <c r="D2205" s="741">
        <f t="shared" si="68"/>
        <v>153786.79</v>
      </c>
      <c r="F2205" s="1406">
        <v>153786.79</v>
      </c>
      <c r="G2205" s="1406">
        <v>153786.79</v>
      </c>
      <c r="H2205" t="b">
        <f t="shared" si="69"/>
        <v>1</v>
      </c>
    </row>
    <row r="2206" spans="1:8" ht="30">
      <c r="A2206" s="677">
        <v>39586</v>
      </c>
      <c r="B2206" s="733" t="s">
        <v>10595</v>
      </c>
      <c r="C2206" s="677" t="s">
        <v>1690</v>
      </c>
      <c r="D2206" s="738">
        <f t="shared" si="68"/>
        <v>180381.49</v>
      </c>
      <c r="F2206" s="1405">
        <v>180381.49</v>
      </c>
      <c r="G2206" s="1405">
        <v>180381.49</v>
      </c>
      <c r="H2206" t="b">
        <f t="shared" si="69"/>
        <v>1</v>
      </c>
    </row>
    <row r="2207" spans="1:8" ht="30">
      <c r="A2207" s="739">
        <v>39587</v>
      </c>
      <c r="B2207" s="740" t="s">
        <v>10596</v>
      </c>
      <c r="C2207" s="739" t="s">
        <v>1690</v>
      </c>
      <c r="D2207" s="741">
        <f t="shared" si="68"/>
        <v>219695.42</v>
      </c>
      <c r="F2207" s="1406">
        <v>219695.42</v>
      </c>
      <c r="G2207" s="1406">
        <v>219695.42</v>
      </c>
      <c r="H2207" t="b">
        <f t="shared" si="69"/>
        <v>1</v>
      </c>
    </row>
    <row r="2208" spans="1:8" ht="30">
      <c r="A2208" s="677">
        <v>39588</v>
      </c>
      <c r="B2208" s="733" t="s">
        <v>10597</v>
      </c>
      <c r="C2208" s="677" t="s">
        <v>1690</v>
      </c>
      <c r="D2208" s="738">
        <f t="shared" si="68"/>
        <v>254384.16</v>
      </c>
      <c r="F2208" s="1405">
        <v>254384.16</v>
      </c>
      <c r="G2208" s="1405">
        <v>254384.16</v>
      </c>
      <c r="H2208" t="b">
        <f t="shared" si="69"/>
        <v>1</v>
      </c>
    </row>
    <row r="2209" spans="1:8" ht="30">
      <c r="A2209" s="739">
        <v>39584</v>
      </c>
      <c r="B2209" s="740" t="s">
        <v>10598</v>
      </c>
      <c r="C2209" s="739" t="s">
        <v>1690</v>
      </c>
      <c r="D2209" s="741">
        <f t="shared" si="68"/>
        <v>136951.18</v>
      </c>
      <c r="F2209" s="1406">
        <v>136951.18</v>
      </c>
      <c r="G2209" s="1406">
        <v>136951.18</v>
      </c>
      <c r="H2209" t="b">
        <f t="shared" si="69"/>
        <v>1</v>
      </c>
    </row>
    <row r="2210" spans="1:8" ht="30">
      <c r="A2210" s="677">
        <v>39590</v>
      </c>
      <c r="B2210" s="733" t="s">
        <v>10599</v>
      </c>
      <c r="C2210" s="677" t="s">
        <v>1690</v>
      </c>
      <c r="D2210" s="738">
        <f t="shared" si="68"/>
        <v>133667.32</v>
      </c>
      <c r="F2210" s="1405">
        <v>133667.32</v>
      </c>
      <c r="G2210" s="1405">
        <v>133667.32</v>
      </c>
      <c r="H2210" t="b">
        <f t="shared" si="69"/>
        <v>1</v>
      </c>
    </row>
    <row r="2211" spans="1:8" ht="30">
      <c r="A2211" s="739">
        <v>39592</v>
      </c>
      <c r="B2211" s="740" t="s">
        <v>10600</v>
      </c>
      <c r="C2211" s="739" t="s">
        <v>1690</v>
      </c>
      <c r="D2211" s="741">
        <f t="shared" si="68"/>
        <v>192083.16</v>
      </c>
      <c r="F2211" s="1406">
        <v>192083.16</v>
      </c>
      <c r="G2211" s="1406">
        <v>192083.16</v>
      </c>
      <c r="H2211" t="b">
        <f t="shared" si="69"/>
        <v>1</v>
      </c>
    </row>
    <row r="2212" spans="1:8" ht="30">
      <c r="A2212" s="677">
        <v>39593</v>
      </c>
      <c r="B2212" s="733" t="s">
        <v>10601</v>
      </c>
      <c r="C2212" s="677" t="s">
        <v>1690</v>
      </c>
      <c r="D2212" s="738">
        <f t="shared" si="68"/>
        <v>219695.42</v>
      </c>
      <c r="F2212" s="1405">
        <v>219695.42</v>
      </c>
      <c r="G2212" s="1405">
        <v>219695.42</v>
      </c>
      <c r="H2212" t="b">
        <f t="shared" si="69"/>
        <v>1</v>
      </c>
    </row>
    <row r="2213" spans="1:8" ht="30">
      <c r="A2213" s="739">
        <v>14254</v>
      </c>
      <c r="B2213" s="740" t="s">
        <v>10602</v>
      </c>
      <c r="C2213" s="739" t="s">
        <v>1690</v>
      </c>
      <c r="D2213" s="741">
        <f t="shared" si="68"/>
        <v>124879.5</v>
      </c>
      <c r="F2213" s="1406">
        <v>124879.5</v>
      </c>
      <c r="G2213" s="1406">
        <v>124879.5</v>
      </c>
      <c r="H2213" t="b">
        <f t="shared" si="69"/>
        <v>1</v>
      </c>
    </row>
    <row r="2214" spans="1:8">
      <c r="A2214" s="677">
        <v>44494</v>
      </c>
      <c r="B2214" s="733" t="s">
        <v>10603</v>
      </c>
      <c r="C2214" s="677" t="s">
        <v>1690</v>
      </c>
      <c r="D2214" s="738">
        <f t="shared" si="68"/>
        <v>104284.34</v>
      </c>
      <c r="F2214" s="1405">
        <v>104284.34</v>
      </c>
      <c r="G2214" s="1405">
        <v>104284.34</v>
      </c>
      <c r="H2214" t="b">
        <f t="shared" si="69"/>
        <v>1</v>
      </c>
    </row>
    <row r="2215" spans="1:8">
      <c r="A2215" s="739">
        <v>25019</v>
      </c>
      <c r="B2215" s="740" t="s">
        <v>10604</v>
      </c>
      <c r="C2215" s="739" t="s">
        <v>1690</v>
      </c>
      <c r="D2215" s="741">
        <f t="shared" si="68"/>
        <v>178755.02</v>
      </c>
      <c r="F2215" s="1406">
        <v>178755.02</v>
      </c>
      <c r="G2215" s="1406">
        <v>178755.02</v>
      </c>
      <c r="H2215" t="b">
        <f t="shared" si="69"/>
        <v>1</v>
      </c>
    </row>
    <row r="2216" spans="1:8">
      <c r="A2216" s="677">
        <v>36501</v>
      </c>
      <c r="B2216" s="733" t="s">
        <v>10605</v>
      </c>
      <c r="C2216" s="677" t="s">
        <v>1690</v>
      </c>
      <c r="D2216" s="738">
        <f t="shared" si="68"/>
        <v>159153.57</v>
      </c>
      <c r="F2216" s="1405">
        <v>159153.57</v>
      </c>
      <c r="G2216" s="1405">
        <v>159153.57</v>
      </c>
      <c r="H2216" t="b">
        <f t="shared" si="69"/>
        <v>1</v>
      </c>
    </row>
    <row r="2217" spans="1:8">
      <c r="A2217" s="739">
        <v>44493</v>
      </c>
      <c r="B2217" s="740" t="s">
        <v>10606</v>
      </c>
      <c r="C2217" s="739" t="s">
        <v>1690</v>
      </c>
      <c r="D2217" s="741">
        <f t="shared" si="68"/>
        <v>191333.08</v>
      </c>
      <c r="F2217" s="1406">
        <v>191333.08</v>
      </c>
      <c r="G2217" s="1406">
        <v>191333.08</v>
      </c>
      <c r="H2217" t="b">
        <f t="shared" si="69"/>
        <v>1</v>
      </c>
    </row>
    <row r="2218" spans="1:8">
      <c r="A2218" s="677">
        <v>36500</v>
      </c>
      <c r="B2218" s="733" t="s">
        <v>10607</v>
      </c>
      <c r="C2218" s="677" t="s">
        <v>1690</v>
      </c>
      <c r="D2218" s="738">
        <f t="shared" si="68"/>
        <v>112469.48</v>
      </c>
      <c r="F2218" s="1405">
        <v>112469.48</v>
      </c>
      <c r="G2218" s="1405">
        <v>112469.48</v>
      </c>
      <c r="H2218" t="b">
        <f t="shared" si="69"/>
        <v>1</v>
      </c>
    </row>
    <row r="2219" spans="1:8" ht="30">
      <c r="A2219" s="739">
        <v>20017</v>
      </c>
      <c r="B2219" s="740" t="s">
        <v>10608</v>
      </c>
      <c r="C2219" s="739" t="s">
        <v>1693</v>
      </c>
      <c r="D2219" s="741">
        <f t="shared" si="68"/>
        <v>9.0299999999999994</v>
      </c>
      <c r="F2219" s="1406">
        <v>9.0299999999999994</v>
      </c>
      <c r="G2219" s="1406">
        <v>9.0299999999999994</v>
      </c>
      <c r="H2219" t="b">
        <f t="shared" si="69"/>
        <v>1</v>
      </c>
    </row>
    <row r="2220" spans="1:8" ht="30">
      <c r="A2220" s="677">
        <v>20007</v>
      </c>
      <c r="B2220" s="733" t="s">
        <v>10609</v>
      </c>
      <c r="C2220" s="677" t="s">
        <v>1693</v>
      </c>
      <c r="D2220" s="738">
        <f t="shared" si="68"/>
        <v>5.39</v>
      </c>
      <c r="F2220" s="1405">
        <v>5.39</v>
      </c>
      <c r="G2220" s="1405">
        <v>5.39</v>
      </c>
      <c r="H2220" t="b">
        <f t="shared" si="69"/>
        <v>1</v>
      </c>
    </row>
    <row r="2221" spans="1:8">
      <c r="A2221" s="739">
        <v>39831</v>
      </c>
      <c r="B2221" s="740" t="s">
        <v>10610</v>
      </c>
      <c r="C2221" s="739" t="s">
        <v>1698</v>
      </c>
      <c r="D2221" s="741">
        <f t="shared" si="68"/>
        <v>420.14</v>
      </c>
      <c r="F2221" s="1406">
        <v>420.14</v>
      </c>
      <c r="G2221" s="1406">
        <v>420.14</v>
      </c>
      <c r="H2221" t="b">
        <f t="shared" si="69"/>
        <v>1</v>
      </c>
    </row>
    <row r="2222" spans="1:8" ht="30">
      <c r="A2222" s="677">
        <v>36888</v>
      </c>
      <c r="B2222" s="733" t="s">
        <v>10611</v>
      </c>
      <c r="C2222" s="677" t="s">
        <v>1693</v>
      </c>
      <c r="D2222" s="738">
        <f t="shared" si="68"/>
        <v>25.84</v>
      </c>
      <c r="F2222" s="1405">
        <v>25.84</v>
      </c>
      <c r="G2222" s="1405">
        <v>25.84</v>
      </c>
      <c r="H2222" t="b">
        <f t="shared" si="69"/>
        <v>1</v>
      </c>
    </row>
    <row r="2223" spans="1:8" ht="30">
      <c r="A2223" s="739">
        <v>39836</v>
      </c>
      <c r="B2223" s="740" t="s">
        <v>10612</v>
      </c>
      <c r="C2223" s="739" t="s">
        <v>1698</v>
      </c>
      <c r="D2223" s="741">
        <f t="shared" si="68"/>
        <v>369.17</v>
      </c>
      <c r="F2223" s="1406">
        <v>369.17</v>
      </c>
      <c r="G2223" s="1406">
        <v>369.17</v>
      </c>
      <c r="H2223" t="b">
        <f t="shared" si="69"/>
        <v>1</v>
      </c>
    </row>
    <row r="2224" spans="1:8">
      <c r="A2224" s="677">
        <v>39830</v>
      </c>
      <c r="B2224" s="733" t="s">
        <v>10613</v>
      </c>
      <c r="C2224" s="677" t="s">
        <v>1698</v>
      </c>
      <c r="D2224" s="738">
        <f t="shared" si="68"/>
        <v>421.03</v>
      </c>
      <c r="F2224" s="1405">
        <v>421.03</v>
      </c>
      <c r="G2224" s="1405">
        <v>421.03</v>
      </c>
      <c r="H2224" t="b">
        <f t="shared" si="69"/>
        <v>1</v>
      </c>
    </row>
    <row r="2225" spans="1:8">
      <c r="A2225" s="739">
        <v>40527</v>
      </c>
      <c r="B2225" s="740" t="s">
        <v>10614</v>
      </c>
      <c r="C2225" s="739" t="s">
        <v>1690</v>
      </c>
      <c r="D2225" s="741">
        <f t="shared" si="68"/>
        <v>2253.5100000000002</v>
      </c>
      <c r="F2225" s="1406">
        <v>2253.5100000000002</v>
      </c>
      <c r="G2225" s="1406">
        <v>2253.5100000000002</v>
      </c>
      <c r="H2225" t="b">
        <f t="shared" si="69"/>
        <v>1</v>
      </c>
    </row>
    <row r="2226" spans="1:8">
      <c r="A2226" s="677">
        <v>36497</v>
      </c>
      <c r="B2226" s="733" t="s">
        <v>10615</v>
      </c>
      <c r="C2226" s="677" t="s">
        <v>1690</v>
      </c>
      <c r="D2226" s="738">
        <f t="shared" si="68"/>
        <v>2572.63</v>
      </c>
      <c r="F2226" s="1405">
        <v>2572.63</v>
      </c>
      <c r="G2226" s="1405">
        <v>2572.63</v>
      </c>
      <c r="H2226" t="b">
        <f t="shared" si="69"/>
        <v>1</v>
      </c>
    </row>
    <row r="2227" spans="1:8">
      <c r="A2227" s="739">
        <v>36487</v>
      </c>
      <c r="B2227" s="740" t="s">
        <v>10616</v>
      </c>
      <c r="C2227" s="739" t="s">
        <v>1690</v>
      </c>
      <c r="D2227" s="741">
        <f t="shared" si="68"/>
        <v>4479.3500000000004</v>
      </c>
      <c r="F2227" s="1406">
        <v>4479.3500000000004</v>
      </c>
      <c r="G2227" s="1406">
        <v>4479.3500000000004</v>
      </c>
      <c r="H2227" t="b">
        <f t="shared" si="69"/>
        <v>1</v>
      </c>
    </row>
    <row r="2228" spans="1:8" ht="30">
      <c r="A2228" s="677">
        <v>44475</v>
      </c>
      <c r="B2228" s="733" t="s">
        <v>10617</v>
      </c>
      <c r="C2228" s="677" t="s">
        <v>1690</v>
      </c>
      <c r="D2228" s="738">
        <f t="shared" si="68"/>
        <v>1258165.24</v>
      </c>
      <c r="F2228" s="1405">
        <v>1258165.24</v>
      </c>
      <c r="G2228" s="1405">
        <v>1258165.24</v>
      </c>
      <c r="H2228" t="b">
        <f t="shared" si="69"/>
        <v>1</v>
      </c>
    </row>
    <row r="2229" spans="1:8" ht="30">
      <c r="A2229" s="739">
        <v>44474</v>
      </c>
      <c r="B2229" s="740" t="s">
        <v>10618</v>
      </c>
      <c r="C2229" s="739" t="s">
        <v>1690</v>
      </c>
      <c r="D2229" s="741">
        <f t="shared" si="68"/>
        <v>2419548.54</v>
      </c>
      <c r="F2229" s="1406">
        <v>2419548.54</v>
      </c>
      <c r="G2229" s="1406">
        <v>2419548.54</v>
      </c>
      <c r="H2229" t="b">
        <f t="shared" si="69"/>
        <v>1</v>
      </c>
    </row>
    <row r="2230" spans="1:8" ht="30">
      <c r="A2230" s="677">
        <v>44490</v>
      </c>
      <c r="B2230" s="733" t="s">
        <v>10619</v>
      </c>
      <c r="C2230" s="677" t="s">
        <v>1690</v>
      </c>
      <c r="D2230" s="738">
        <f t="shared" si="68"/>
        <v>4113232.5</v>
      </c>
      <c r="F2230" s="1405">
        <v>4113232.5</v>
      </c>
      <c r="G2230" s="1405">
        <v>4113232.5</v>
      </c>
      <c r="H2230" t="b">
        <f t="shared" si="69"/>
        <v>1</v>
      </c>
    </row>
    <row r="2231" spans="1:8" ht="45">
      <c r="A2231" s="739">
        <v>37776</v>
      </c>
      <c r="B2231" s="740" t="s">
        <v>10620</v>
      </c>
      <c r="C2231" s="739" t="s">
        <v>1690</v>
      </c>
      <c r="D2231" s="741">
        <f t="shared" si="68"/>
        <v>252088.58</v>
      </c>
      <c r="F2231" s="1406">
        <v>252088.58</v>
      </c>
      <c r="G2231" s="1406">
        <v>252088.58</v>
      </c>
      <c r="H2231" t="b">
        <f t="shared" si="69"/>
        <v>1</v>
      </c>
    </row>
    <row r="2232" spans="1:8" ht="45">
      <c r="A2232" s="677">
        <v>37775</v>
      </c>
      <c r="B2232" s="733" t="s">
        <v>10621</v>
      </c>
      <c r="C2232" s="677" t="s">
        <v>1690</v>
      </c>
      <c r="D2232" s="738">
        <f t="shared" si="68"/>
        <v>397058.59</v>
      </c>
      <c r="F2232" s="1405">
        <v>397058.59</v>
      </c>
      <c r="G2232" s="1405">
        <v>397058.59</v>
      </c>
      <c r="H2232" t="b">
        <f t="shared" si="69"/>
        <v>1</v>
      </c>
    </row>
    <row r="2233" spans="1:8" ht="45">
      <c r="A2233" s="739">
        <v>36491</v>
      </c>
      <c r="B2233" s="740" t="s">
        <v>10622</v>
      </c>
      <c r="C2233" s="739" t="s">
        <v>1690</v>
      </c>
      <c r="D2233" s="741">
        <f t="shared" si="68"/>
        <v>1470425.78</v>
      </c>
      <c r="F2233" s="1406">
        <v>1470425.78</v>
      </c>
      <c r="G2233" s="1406">
        <v>1470425.78</v>
      </c>
      <c r="H2233" t="b">
        <f t="shared" si="69"/>
        <v>1</v>
      </c>
    </row>
    <row r="2234" spans="1:8" ht="45">
      <c r="A2234" s="677">
        <v>10712</v>
      </c>
      <c r="B2234" s="733" t="s">
        <v>10623</v>
      </c>
      <c r="C2234" s="677" t="s">
        <v>1690</v>
      </c>
      <c r="D2234" s="738">
        <f t="shared" si="68"/>
        <v>99264.639999999999</v>
      </c>
      <c r="F2234" s="1405">
        <v>99264.639999999999</v>
      </c>
      <c r="G2234" s="1405">
        <v>99264.639999999999</v>
      </c>
      <c r="H2234" t="b">
        <f t="shared" si="69"/>
        <v>1</v>
      </c>
    </row>
    <row r="2235" spans="1:8" ht="45">
      <c r="A2235" s="739">
        <v>3363</v>
      </c>
      <c r="B2235" s="740" t="s">
        <v>10624</v>
      </c>
      <c r="C2235" s="739" t="s">
        <v>1690</v>
      </c>
      <c r="D2235" s="741">
        <f t="shared" si="68"/>
        <v>139625</v>
      </c>
      <c r="F2235" s="1406">
        <v>139625</v>
      </c>
      <c r="G2235" s="1406">
        <v>139625</v>
      </c>
      <c r="H2235" t="b">
        <f t="shared" si="69"/>
        <v>1</v>
      </c>
    </row>
    <row r="2236" spans="1:8" ht="45">
      <c r="A2236" s="677">
        <v>3365</v>
      </c>
      <c r="B2236" s="733" t="s">
        <v>10625</v>
      </c>
      <c r="C2236" s="677" t="s">
        <v>1690</v>
      </c>
      <c r="D2236" s="738">
        <f t="shared" si="68"/>
        <v>326373.43</v>
      </c>
      <c r="F2236" s="1405">
        <v>326373.43</v>
      </c>
      <c r="G2236" s="1405">
        <v>326373.43</v>
      </c>
      <c r="H2236" t="b">
        <f t="shared" si="69"/>
        <v>1</v>
      </c>
    </row>
    <row r="2237" spans="1:8">
      <c r="A2237" s="739">
        <v>7569</v>
      </c>
      <c r="B2237" s="740" t="s">
        <v>10626</v>
      </c>
      <c r="C2237" s="739" t="s">
        <v>1690</v>
      </c>
      <c r="D2237" s="741">
        <f t="shared" si="68"/>
        <v>96.08</v>
      </c>
      <c r="F2237" s="1406">
        <v>96.08</v>
      </c>
      <c r="G2237" s="1406">
        <v>96.08</v>
      </c>
      <c r="H2237" t="b">
        <f t="shared" si="69"/>
        <v>1</v>
      </c>
    </row>
    <row r="2238" spans="1:8">
      <c r="A2238" s="677">
        <v>34349</v>
      </c>
      <c r="B2238" s="733" t="s">
        <v>10627</v>
      </c>
      <c r="C2238" s="677" t="s">
        <v>1690</v>
      </c>
      <c r="D2238" s="738">
        <f t="shared" si="68"/>
        <v>32.69</v>
      </c>
      <c r="F2238" s="1405">
        <v>32.69</v>
      </c>
      <c r="G2238" s="1405">
        <v>32.69</v>
      </c>
      <c r="H2238" t="b">
        <f t="shared" si="69"/>
        <v>1</v>
      </c>
    </row>
    <row r="2239" spans="1:8" ht="30">
      <c r="A2239" s="739">
        <v>3378</v>
      </c>
      <c r="B2239" s="740" t="s">
        <v>10628</v>
      </c>
      <c r="C2239" s="739" t="s">
        <v>1690</v>
      </c>
      <c r="D2239" s="741">
        <f t="shared" si="68"/>
        <v>97.39</v>
      </c>
      <c r="F2239" s="1406">
        <v>97.39</v>
      </c>
      <c r="G2239" s="1406">
        <v>97.39</v>
      </c>
      <c r="H2239" t="b">
        <f t="shared" si="69"/>
        <v>1</v>
      </c>
    </row>
    <row r="2240" spans="1:8" ht="30">
      <c r="A2240" s="677">
        <v>3380</v>
      </c>
      <c r="B2240" s="733" t="s">
        <v>10629</v>
      </c>
      <c r="C2240" s="677" t="s">
        <v>1690</v>
      </c>
      <c r="D2240" s="738">
        <f t="shared" si="68"/>
        <v>68.180000000000007</v>
      </c>
      <c r="F2240" s="1405">
        <v>68.180000000000007</v>
      </c>
      <c r="G2240" s="1405">
        <v>68.180000000000007</v>
      </c>
      <c r="H2240" t="b">
        <f t="shared" si="69"/>
        <v>1</v>
      </c>
    </row>
    <row r="2241" spans="1:8" ht="30">
      <c r="A2241" s="739">
        <v>3379</v>
      </c>
      <c r="B2241" s="740" t="s">
        <v>10630</v>
      </c>
      <c r="C2241" s="739" t="s">
        <v>1690</v>
      </c>
      <c r="D2241" s="741">
        <f t="shared" si="68"/>
        <v>65.819999999999993</v>
      </c>
      <c r="F2241" s="1406">
        <v>65.819999999999993</v>
      </c>
      <c r="G2241" s="1406">
        <v>65.819999999999993</v>
      </c>
      <c r="H2241" t="b">
        <f t="shared" si="69"/>
        <v>1</v>
      </c>
    </row>
    <row r="2242" spans="1:8">
      <c r="A2242" s="677">
        <v>11991</v>
      </c>
      <c r="B2242" s="733" t="s">
        <v>10631</v>
      </c>
      <c r="C2242" s="677" t="s">
        <v>1690</v>
      </c>
      <c r="D2242" s="738">
        <f t="shared" si="68"/>
        <v>76.430000000000007</v>
      </c>
      <c r="F2242" s="1405">
        <v>76.430000000000007</v>
      </c>
      <c r="G2242" s="1405">
        <v>76.430000000000007</v>
      </c>
      <c r="H2242" t="b">
        <f t="shared" si="69"/>
        <v>1</v>
      </c>
    </row>
    <row r="2243" spans="1:8" ht="30">
      <c r="A2243" s="739">
        <v>11029</v>
      </c>
      <c r="B2243" s="740" t="s">
        <v>10632</v>
      </c>
      <c r="C2243" s="739" t="s">
        <v>1701</v>
      </c>
      <c r="D2243" s="741">
        <f t="shared" ref="D2243:D2306" si="70">IF($J$2=$F$1,F2243,G2243)</f>
        <v>1.9</v>
      </c>
      <c r="F2243" s="1406">
        <v>1.9</v>
      </c>
      <c r="G2243" s="1406">
        <v>1.9</v>
      </c>
      <c r="H2243" t="b">
        <f t="shared" ref="H2243:H2306" si="71">F2243=G2243</f>
        <v>1</v>
      </c>
    </row>
    <row r="2244" spans="1:8" ht="30">
      <c r="A2244" s="677">
        <v>4316</v>
      </c>
      <c r="B2244" s="733" t="s">
        <v>10633</v>
      </c>
      <c r="C2244" s="677" t="s">
        <v>1690</v>
      </c>
      <c r="D2244" s="738">
        <f t="shared" si="70"/>
        <v>1.92</v>
      </c>
      <c r="F2244" s="1405">
        <v>1.92</v>
      </c>
      <c r="G2244" s="1405">
        <v>1.92</v>
      </c>
      <c r="H2244" t="b">
        <f t="shared" si="71"/>
        <v>1</v>
      </c>
    </row>
    <row r="2245" spans="1:8" ht="30">
      <c r="A2245" s="739">
        <v>4313</v>
      </c>
      <c r="B2245" s="740" t="s">
        <v>10634</v>
      </c>
      <c r="C2245" s="739" t="s">
        <v>1701</v>
      </c>
      <c r="D2245" s="741">
        <f t="shared" si="70"/>
        <v>2.76</v>
      </c>
      <c r="F2245" s="1406">
        <v>2.76</v>
      </c>
      <c r="G2245" s="1406">
        <v>2.76</v>
      </c>
      <c r="H2245" t="b">
        <f t="shared" si="71"/>
        <v>1</v>
      </c>
    </row>
    <row r="2246" spans="1:8" ht="30">
      <c r="A2246" s="677">
        <v>4317</v>
      </c>
      <c r="B2246" s="733" t="s">
        <v>10635</v>
      </c>
      <c r="C2246" s="677" t="s">
        <v>1690</v>
      </c>
      <c r="D2246" s="738">
        <f t="shared" si="70"/>
        <v>3.14</v>
      </c>
      <c r="F2246" s="1405">
        <v>3.14</v>
      </c>
      <c r="G2246" s="1405">
        <v>3.14</v>
      </c>
      <c r="H2246" t="b">
        <f t="shared" si="71"/>
        <v>1</v>
      </c>
    </row>
    <row r="2247" spans="1:8" ht="30">
      <c r="A2247" s="739">
        <v>4314</v>
      </c>
      <c r="B2247" s="740" t="s">
        <v>10636</v>
      </c>
      <c r="C2247" s="739" t="s">
        <v>1701</v>
      </c>
      <c r="D2247" s="741">
        <f t="shared" si="70"/>
        <v>3.68</v>
      </c>
      <c r="F2247" s="1406">
        <v>3.68</v>
      </c>
      <c r="G2247" s="1406">
        <v>3.68</v>
      </c>
      <c r="H2247" t="b">
        <f t="shared" si="71"/>
        <v>1</v>
      </c>
    </row>
    <row r="2248" spans="1:8" ht="30">
      <c r="A2248" s="677">
        <v>10921</v>
      </c>
      <c r="B2248" s="733" t="s">
        <v>10637</v>
      </c>
      <c r="C2248" s="677" t="s">
        <v>1690</v>
      </c>
      <c r="D2248" s="738">
        <f t="shared" si="70"/>
        <v>5970</v>
      </c>
      <c r="F2248" s="1405">
        <v>5970</v>
      </c>
      <c r="G2248" s="1405">
        <v>5970</v>
      </c>
      <c r="H2248" t="b">
        <f t="shared" si="71"/>
        <v>1</v>
      </c>
    </row>
    <row r="2249" spans="1:8" ht="30">
      <c r="A2249" s="739">
        <v>10922</v>
      </c>
      <c r="B2249" s="740" t="s">
        <v>10638</v>
      </c>
      <c r="C2249" s="739" t="s">
        <v>1690</v>
      </c>
      <c r="D2249" s="741">
        <f t="shared" si="70"/>
        <v>5407.47</v>
      </c>
      <c r="F2249" s="1406">
        <v>5407.47</v>
      </c>
      <c r="G2249" s="1406">
        <v>5407.47</v>
      </c>
      <c r="H2249" t="b">
        <f t="shared" si="71"/>
        <v>1</v>
      </c>
    </row>
    <row r="2250" spans="1:8">
      <c r="A2250" s="677">
        <v>10923</v>
      </c>
      <c r="B2250" s="733" t="s">
        <v>10639</v>
      </c>
      <c r="C2250" s="677" t="s">
        <v>1690</v>
      </c>
      <c r="D2250" s="738">
        <f t="shared" si="70"/>
        <v>3196.05</v>
      </c>
      <c r="F2250" s="1405">
        <v>3196.05</v>
      </c>
      <c r="G2250" s="1405">
        <v>3196.05</v>
      </c>
      <c r="H2250" t="b">
        <f t="shared" si="71"/>
        <v>1</v>
      </c>
    </row>
    <row r="2251" spans="1:8">
      <c r="A2251" s="739">
        <v>10924</v>
      </c>
      <c r="B2251" s="740" t="s">
        <v>10640</v>
      </c>
      <c r="C2251" s="739" t="s">
        <v>1690</v>
      </c>
      <c r="D2251" s="741">
        <f t="shared" si="70"/>
        <v>3366.06</v>
      </c>
      <c r="F2251" s="1406">
        <v>3366.06</v>
      </c>
      <c r="G2251" s="1406">
        <v>3366.06</v>
      </c>
      <c r="H2251" t="b">
        <f t="shared" si="71"/>
        <v>1</v>
      </c>
    </row>
    <row r="2252" spans="1:8" ht="30">
      <c r="A2252" s="677">
        <v>37772</v>
      </c>
      <c r="B2252" s="733" t="s">
        <v>10641</v>
      </c>
      <c r="C2252" s="677" t="s">
        <v>1690</v>
      </c>
      <c r="D2252" s="738">
        <f t="shared" si="70"/>
        <v>342998.8</v>
      </c>
      <c r="F2252" s="1405">
        <v>342998.8</v>
      </c>
      <c r="G2252" s="1405">
        <v>342998.8</v>
      </c>
      <c r="H2252" t="b">
        <f t="shared" si="71"/>
        <v>1</v>
      </c>
    </row>
    <row r="2253" spans="1:8" ht="30">
      <c r="A2253" s="739">
        <v>37771</v>
      </c>
      <c r="B2253" s="740" t="s">
        <v>10642</v>
      </c>
      <c r="C2253" s="739" t="s">
        <v>1690</v>
      </c>
      <c r="D2253" s="741">
        <f t="shared" si="70"/>
        <v>364896.09</v>
      </c>
      <c r="F2253" s="1406">
        <v>364896.09</v>
      </c>
      <c r="G2253" s="1406">
        <v>364896.09</v>
      </c>
      <c r="H2253" t="b">
        <f t="shared" si="71"/>
        <v>1</v>
      </c>
    </row>
    <row r="2254" spans="1:8" ht="30">
      <c r="A2254" s="677">
        <v>12772</v>
      </c>
      <c r="B2254" s="733" t="s">
        <v>10643</v>
      </c>
      <c r="C2254" s="677" t="s">
        <v>1690</v>
      </c>
      <c r="D2254" s="738">
        <f t="shared" si="70"/>
        <v>815.58</v>
      </c>
      <c r="F2254" s="1405">
        <v>815.58</v>
      </c>
      <c r="G2254" s="1405">
        <v>815.58</v>
      </c>
      <c r="H2254" t="b">
        <f t="shared" si="71"/>
        <v>1</v>
      </c>
    </row>
    <row r="2255" spans="1:8" ht="30">
      <c r="A2255" s="739">
        <v>12770</v>
      </c>
      <c r="B2255" s="740" t="s">
        <v>10644</v>
      </c>
      <c r="C2255" s="739" t="s">
        <v>1690</v>
      </c>
      <c r="D2255" s="741">
        <f t="shared" si="70"/>
        <v>490.73</v>
      </c>
      <c r="F2255" s="1406">
        <v>490.73</v>
      </c>
      <c r="G2255" s="1406">
        <v>490.73</v>
      </c>
      <c r="H2255" t="b">
        <f t="shared" si="71"/>
        <v>1</v>
      </c>
    </row>
    <row r="2256" spans="1:8" ht="30">
      <c r="A2256" s="677">
        <v>12775</v>
      </c>
      <c r="B2256" s="733" t="s">
        <v>10645</v>
      </c>
      <c r="C2256" s="677" t="s">
        <v>1690</v>
      </c>
      <c r="D2256" s="738">
        <f t="shared" si="70"/>
        <v>359.41</v>
      </c>
      <c r="F2256" s="1405">
        <v>359.41</v>
      </c>
      <c r="G2256" s="1405">
        <v>359.41</v>
      </c>
      <c r="H2256" t="b">
        <f t="shared" si="71"/>
        <v>1</v>
      </c>
    </row>
    <row r="2257" spans="1:8" ht="30">
      <c r="A2257" s="739">
        <v>12768</v>
      </c>
      <c r="B2257" s="740" t="s">
        <v>10646</v>
      </c>
      <c r="C2257" s="739" t="s">
        <v>1690</v>
      </c>
      <c r="D2257" s="741">
        <f t="shared" si="70"/>
        <v>1147.3499999999999</v>
      </c>
      <c r="F2257" s="1406">
        <v>1147.3499999999999</v>
      </c>
      <c r="G2257" s="1406">
        <v>1147.3499999999999</v>
      </c>
      <c r="H2257" t="b">
        <f t="shared" si="71"/>
        <v>1</v>
      </c>
    </row>
    <row r="2258" spans="1:8" ht="30">
      <c r="A2258" s="677">
        <v>12769</v>
      </c>
      <c r="B2258" s="733" t="s">
        <v>10647</v>
      </c>
      <c r="C2258" s="677" t="s">
        <v>1690</v>
      </c>
      <c r="D2258" s="738">
        <f t="shared" si="70"/>
        <v>94</v>
      </c>
      <c r="F2258" s="1405">
        <v>94</v>
      </c>
      <c r="G2258" s="1405">
        <v>94</v>
      </c>
      <c r="H2258" t="b">
        <f t="shared" si="71"/>
        <v>1</v>
      </c>
    </row>
    <row r="2259" spans="1:8" ht="30">
      <c r="A2259" s="739">
        <v>12773</v>
      </c>
      <c r="B2259" s="740" t="s">
        <v>10648</v>
      </c>
      <c r="C2259" s="739" t="s">
        <v>1690</v>
      </c>
      <c r="D2259" s="741">
        <f t="shared" si="70"/>
        <v>100.91</v>
      </c>
      <c r="F2259" s="1406">
        <v>100.91</v>
      </c>
      <c r="G2259" s="1406">
        <v>100.91</v>
      </c>
      <c r="H2259" t="b">
        <f t="shared" si="71"/>
        <v>1</v>
      </c>
    </row>
    <row r="2260" spans="1:8" ht="30">
      <c r="A2260" s="677">
        <v>12774</v>
      </c>
      <c r="B2260" s="733" t="s">
        <v>10649</v>
      </c>
      <c r="C2260" s="677" t="s">
        <v>1690</v>
      </c>
      <c r="D2260" s="738">
        <f t="shared" si="70"/>
        <v>124.41</v>
      </c>
      <c r="F2260" s="1405">
        <v>124.41</v>
      </c>
      <c r="G2260" s="1405">
        <v>124.41</v>
      </c>
      <c r="H2260" t="b">
        <f t="shared" si="71"/>
        <v>1</v>
      </c>
    </row>
    <row r="2261" spans="1:8" ht="30">
      <c r="A2261" s="739">
        <v>12776</v>
      </c>
      <c r="B2261" s="740" t="s">
        <v>10650</v>
      </c>
      <c r="C2261" s="739" t="s">
        <v>1690</v>
      </c>
      <c r="D2261" s="741">
        <f t="shared" si="70"/>
        <v>1852.35</v>
      </c>
      <c r="F2261" s="1406">
        <v>1852.35</v>
      </c>
      <c r="G2261" s="1406">
        <v>1852.35</v>
      </c>
      <c r="H2261" t="b">
        <f t="shared" si="71"/>
        <v>1</v>
      </c>
    </row>
    <row r="2262" spans="1:8" ht="30">
      <c r="A2262" s="677">
        <v>12777</v>
      </c>
      <c r="B2262" s="733" t="s">
        <v>10651</v>
      </c>
      <c r="C2262" s="677" t="s">
        <v>1690</v>
      </c>
      <c r="D2262" s="738">
        <f t="shared" si="70"/>
        <v>2419.11</v>
      </c>
      <c r="F2262" s="1405">
        <v>2419.11</v>
      </c>
      <c r="G2262" s="1405">
        <v>2419.11</v>
      </c>
      <c r="H2262" t="b">
        <f t="shared" si="71"/>
        <v>1</v>
      </c>
    </row>
    <row r="2263" spans="1:8">
      <c r="A2263" s="739">
        <v>3391</v>
      </c>
      <c r="B2263" s="740" t="s">
        <v>10652</v>
      </c>
      <c r="C2263" s="739" t="s">
        <v>1690</v>
      </c>
      <c r="D2263" s="741">
        <f t="shared" si="70"/>
        <v>41.56</v>
      </c>
      <c r="F2263" s="1406">
        <v>41.56</v>
      </c>
      <c r="G2263" s="1406">
        <v>41.56</v>
      </c>
      <c r="H2263" t="b">
        <f t="shared" si="71"/>
        <v>1</v>
      </c>
    </row>
    <row r="2264" spans="1:8">
      <c r="A2264" s="677">
        <v>3389</v>
      </c>
      <c r="B2264" s="733" t="s">
        <v>10653</v>
      </c>
      <c r="C2264" s="677" t="s">
        <v>1690</v>
      </c>
      <c r="D2264" s="738">
        <f t="shared" si="70"/>
        <v>21.56</v>
      </c>
      <c r="F2264" s="1405">
        <v>21.56</v>
      </c>
      <c r="G2264" s="1405">
        <v>21.56</v>
      </c>
      <c r="H2264" t="b">
        <f t="shared" si="71"/>
        <v>1</v>
      </c>
    </row>
    <row r="2265" spans="1:8">
      <c r="A2265" s="739">
        <v>3390</v>
      </c>
      <c r="B2265" s="740" t="s">
        <v>10654</v>
      </c>
      <c r="C2265" s="739" t="s">
        <v>1690</v>
      </c>
      <c r="D2265" s="741">
        <f t="shared" si="70"/>
        <v>24.26</v>
      </c>
      <c r="F2265" s="1406">
        <v>24.26</v>
      </c>
      <c r="G2265" s="1406">
        <v>24.26</v>
      </c>
      <c r="H2265" t="b">
        <f t="shared" si="71"/>
        <v>1</v>
      </c>
    </row>
    <row r="2266" spans="1:8">
      <c r="A2266" s="677">
        <v>12873</v>
      </c>
      <c r="B2266" s="733" t="s">
        <v>10655</v>
      </c>
      <c r="C2266" s="677" t="s">
        <v>1689</v>
      </c>
      <c r="D2266" s="738">
        <f t="shared" si="70"/>
        <v>17.37</v>
      </c>
      <c r="F2266" s="1405">
        <v>15.09</v>
      </c>
      <c r="G2266" s="1405">
        <v>17.37</v>
      </c>
      <c r="H2266" t="b">
        <f t="shared" si="71"/>
        <v>0</v>
      </c>
    </row>
    <row r="2267" spans="1:8">
      <c r="A2267" s="739">
        <v>41076</v>
      </c>
      <c r="B2267" s="740" t="s">
        <v>10656</v>
      </c>
      <c r="C2267" s="739" t="s">
        <v>1696</v>
      </c>
      <c r="D2267" s="741">
        <f t="shared" si="70"/>
        <v>3057.63</v>
      </c>
      <c r="F2267" s="1406">
        <v>2651.85</v>
      </c>
      <c r="G2267" s="1406">
        <v>3057.63</v>
      </c>
      <c r="H2267" t="b">
        <f t="shared" si="71"/>
        <v>0</v>
      </c>
    </row>
    <row r="2268" spans="1:8">
      <c r="A2268" s="677">
        <v>140</v>
      </c>
      <c r="B2268" s="733" t="s">
        <v>10657</v>
      </c>
      <c r="C2268" s="677" t="s">
        <v>1694</v>
      </c>
      <c r="D2268" s="738">
        <f t="shared" si="70"/>
        <v>19.11</v>
      </c>
      <c r="F2268" s="1405">
        <v>19.11</v>
      </c>
      <c r="G2268" s="1405">
        <v>19.11</v>
      </c>
      <c r="H2268" t="b">
        <f t="shared" si="71"/>
        <v>1</v>
      </c>
    </row>
    <row r="2269" spans="1:8">
      <c r="A2269" s="739">
        <v>151</v>
      </c>
      <c r="B2269" s="740" t="s">
        <v>10658</v>
      </c>
      <c r="C2269" s="739" t="s">
        <v>1695</v>
      </c>
      <c r="D2269" s="741">
        <f t="shared" si="70"/>
        <v>28.21</v>
      </c>
      <c r="F2269" s="1406">
        <v>28.21</v>
      </c>
      <c r="G2269" s="1406">
        <v>28.21</v>
      </c>
      <c r="H2269" t="b">
        <f t="shared" si="71"/>
        <v>1</v>
      </c>
    </row>
    <row r="2270" spans="1:8">
      <c r="A2270" s="677">
        <v>7340</v>
      </c>
      <c r="B2270" s="733" t="s">
        <v>10659</v>
      </c>
      <c r="C2270" s="677" t="s">
        <v>1695</v>
      </c>
      <c r="D2270" s="738">
        <f t="shared" si="70"/>
        <v>33.32</v>
      </c>
      <c r="F2270" s="1405">
        <v>33.32</v>
      </c>
      <c r="G2270" s="1405">
        <v>33.32</v>
      </c>
      <c r="H2270" t="b">
        <f t="shared" si="71"/>
        <v>1</v>
      </c>
    </row>
    <row r="2271" spans="1:8">
      <c r="A2271" s="739">
        <v>40929</v>
      </c>
      <c r="B2271" s="740" t="s">
        <v>10660</v>
      </c>
      <c r="C2271" s="739" t="s">
        <v>1696</v>
      </c>
      <c r="D2271" s="741">
        <f t="shared" si="70"/>
        <v>2030.61</v>
      </c>
      <c r="F2271" s="1406">
        <v>1761.13</v>
      </c>
      <c r="G2271" s="1406">
        <v>2030.61</v>
      </c>
      <c r="H2271" t="b">
        <f t="shared" si="71"/>
        <v>0</v>
      </c>
    </row>
    <row r="2272" spans="1:8">
      <c r="A2272" s="677">
        <v>2701</v>
      </c>
      <c r="B2272" s="733" t="s">
        <v>10661</v>
      </c>
      <c r="C2272" s="677" t="s">
        <v>1689</v>
      </c>
      <c r="D2272" s="738">
        <f t="shared" si="70"/>
        <v>11.54</v>
      </c>
      <c r="F2272" s="1405">
        <v>10.02</v>
      </c>
      <c r="G2272" s="1405">
        <v>11.54</v>
      </c>
      <c r="H2272" t="b">
        <f t="shared" si="71"/>
        <v>0</v>
      </c>
    </row>
    <row r="2273" spans="1:8">
      <c r="A2273" s="739">
        <v>38114</v>
      </c>
      <c r="B2273" s="740" t="s">
        <v>10662</v>
      </c>
      <c r="C2273" s="739" t="s">
        <v>1690</v>
      </c>
      <c r="D2273" s="741">
        <f t="shared" si="70"/>
        <v>16.27</v>
      </c>
      <c r="F2273" s="1406">
        <v>16.27</v>
      </c>
      <c r="G2273" s="1406">
        <v>16.27</v>
      </c>
      <c r="H2273" t="b">
        <f t="shared" si="71"/>
        <v>1</v>
      </c>
    </row>
    <row r="2274" spans="1:8">
      <c r="A2274" s="677">
        <v>38064</v>
      </c>
      <c r="B2274" s="733" t="s">
        <v>10663</v>
      </c>
      <c r="C2274" s="677" t="s">
        <v>1690</v>
      </c>
      <c r="D2274" s="738">
        <f t="shared" si="70"/>
        <v>18.2</v>
      </c>
      <c r="F2274" s="1405">
        <v>18.2</v>
      </c>
      <c r="G2274" s="1405">
        <v>18.2</v>
      </c>
      <c r="H2274" t="b">
        <f t="shared" si="71"/>
        <v>1</v>
      </c>
    </row>
    <row r="2275" spans="1:8">
      <c r="A2275" s="739">
        <v>38115</v>
      </c>
      <c r="B2275" s="740" t="s">
        <v>10664</v>
      </c>
      <c r="C2275" s="739" t="s">
        <v>1690</v>
      </c>
      <c r="D2275" s="741">
        <f t="shared" si="70"/>
        <v>17.38</v>
      </c>
      <c r="F2275" s="1406">
        <v>17.38</v>
      </c>
      <c r="G2275" s="1406">
        <v>17.38</v>
      </c>
      <c r="H2275" t="b">
        <f t="shared" si="71"/>
        <v>1</v>
      </c>
    </row>
    <row r="2276" spans="1:8">
      <c r="A2276" s="677">
        <v>38065</v>
      </c>
      <c r="B2276" s="733" t="s">
        <v>10665</v>
      </c>
      <c r="C2276" s="677" t="s">
        <v>1690</v>
      </c>
      <c r="D2276" s="738">
        <f t="shared" si="70"/>
        <v>25.82</v>
      </c>
      <c r="F2276" s="1405">
        <v>25.82</v>
      </c>
      <c r="G2276" s="1405">
        <v>25.82</v>
      </c>
      <c r="H2276" t="b">
        <f t="shared" si="71"/>
        <v>1</v>
      </c>
    </row>
    <row r="2277" spans="1:8">
      <c r="A2277" s="739">
        <v>38078</v>
      </c>
      <c r="B2277" s="740" t="s">
        <v>10666</v>
      </c>
      <c r="C2277" s="739" t="s">
        <v>1690</v>
      </c>
      <c r="D2277" s="741">
        <f t="shared" si="70"/>
        <v>15.06</v>
      </c>
      <c r="F2277" s="1406">
        <v>15.06</v>
      </c>
      <c r="G2277" s="1406">
        <v>15.06</v>
      </c>
      <c r="H2277" t="b">
        <f t="shared" si="71"/>
        <v>1</v>
      </c>
    </row>
    <row r="2278" spans="1:8">
      <c r="A2278" s="677">
        <v>38113</v>
      </c>
      <c r="B2278" s="733" t="s">
        <v>10667</v>
      </c>
      <c r="C2278" s="677" t="s">
        <v>1690</v>
      </c>
      <c r="D2278" s="738">
        <f t="shared" si="70"/>
        <v>8.18</v>
      </c>
      <c r="F2278" s="1405">
        <v>8.18</v>
      </c>
      <c r="G2278" s="1405">
        <v>8.18</v>
      </c>
      <c r="H2278" t="b">
        <f t="shared" si="71"/>
        <v>1</v>
      </c>
    </row>
    <row r="2279" spans="1:8">
      <c r="A2279" s="739">
        <v>38063</v>
      </c>
      <c r="B2279" s="740" t="s">
        <v>10668</v>
      </c>
      <c r="C2279" s="739" t="s">
        <v>1690</v>
      </c>
      <c r="D2279" s="741">
        <f t="shared" si="70"/>
        <v>8.7799999999999994</v>
      </c>
      <c r="F2279" s="1406">
        <v>8.7799999999999994</v>
      </c>
      <c r="G2279" s="1406">
        <v>8.7799999999999994</v>
      </c>
      <c r="H2279" t="b">
        <f t="shared" si="71"/>
        <v>1</v>
      </c>
    </row>
    <row r="2280" spans="1:8" ht="30">
      <c r="A2280" s="677">
        <v>38080</v>
      </c>
      <c r="B2280" s="733" t="s">
        <v>10669</v>
      </c>
      <c r="C2280" s="677" t="s">
        <v>1690</v>
      </c>
      <c r="D2280" s="738">
        <f t="shared" si="70"/>
        <v>26.16</v>
      </c>
      <c r="F2280" s="1405">
        <v>26.16</v>
      </c>
      <c r="G2280" s="1405">
        <v>26.16</v>
      </c>
      <c r="H2280" t="b">
        <f t="shared" si="71"/>
        <v>1</v>
      </c>
    </row>
    <row r="2281" spans="1:8" ht="30">
      <c r="A2281" s="739">
        <v>38069</v>
      </c>
      <c r="B2281" s="740" t="s">
        <v>10670</v>
      </c>
      <c r="C2281" s="739" t="s">
        <v>1690</v>
      </c>
      <c r="D2281" s="741">
        <f t="shared" si="70"/>
        <v>14.31</v>
      </c>
      <c r="F2281" s="1406">
        <v>14.31</v>
      </c>
      <c r="G2281" s="1406">
        <v>14.31</v>
      </c>
      <c r="H2281" t="b">
        <f t="shared" si="71"/>
        <v>1</v>
      </c>
    </row>
    <row r="2282" spans="1:8">
      <c r="A2282" s="677">
        <v>38077</v>
      </c>
      <c r="B2282" s="733" t="s">
        <v>10671</v>
      </c>
      <c r="C2282" s="677" t="s">
        <v>1690</v>
      </c>
      <c r="D2282" s="738">
        <f t="shared" si="70"/>
        <v>13.98</v>
      </c>
      <c r="F2282" s="1405">
        <v>13.98</v>
      </c>
      <c r="G2282" s="1405">
        <v>13.98</v>
      </c>
      <c r="H2282" t="b">
        <f t="shared" si="71"/>
        <v>1</v>
      </c>
    </row>
    <row r="2283" spans="1:8" ht="30">
      <c r="A2283" s="739">
        <v>38073</v>
      </c>
      <c r="B2283" s="740" t="s">
        <v>10672</v>
      </c>
      <c r="C2283" s="739" t="s">
        <v>1690</v>
      </c>
      <c r="D2283" s="741">
        <f t="shared" si="70"/>
        <v>21.3</v>
      </c>
      <c r="F2283" s="1406">
        <v>21.3</v>
      </c>
      <c r="G2283" s="1406">
        <v>21.3</v>
      </c>
      <c r="H2283" t="b">
        <f t="shared" si="71"/>
        <v>1</v>
      </c>
    </row>
    <row r="2284" spans="1:8">
      <c r="A2284" s="677">
        <v>38112</v>
      </c>
      <c r="B2284" s="733" t="s">
        <v>10673</v>
      </c>
      <c r="C2284" s="677" t="s">
        <v>1690</v>
      </c>
      <c r="D2284" s="738">
        <f t="shared" si="70"/>
        <v>6.28</v>
      </c>
      <c r="F2284" s="1405">
        <v>6.28</v>
      </c>
      <c r="G2284" s="1405">
        <v>6.28</v>
      </c>
      <c r="H2284" t="b">
        <f t="shared" si="71"/>
        <v>1</v>
      </c>
    </row>
    <row r="2285" spans="1:8">
      <c r="A2285" s="739">
        <v>38062</v>
      </c>
      <c r="B2285" s="740" t="s">
        <v>10674</v>
      </c>
      <c r="C2285" s="739" t="s">
        <v>1690</v>
      </c>
      <c r="D2285" s="741">
        <f t="shared" si="70"/>
        <v>6.45</v>
      </c>
      <c r="F2285" s="1406">
        <v>6.45</v>
      </c>
      <c r="G2285" s="1406">
        <v>6.45</v>
      </c>
      <c r="H2285" t="b">
        <f t="shared" si="71"/>
        <v>1</v>
      </c>
    </row>
    <row r="2286" spans="1:8">
      <c r="A2286" s="677">
        <v>12128</v>
      </c>
      <c r="B2286" s="733" t="s">
        <v>10675</v>
      </c>
      <c r="C2286" s="677" t="s">
        <v>1690</v>
      </c>
      <c r="D2286" s="738">
        <f t="shared" si="70"/>
        <v>8.6199999999999992</v>
      </c>
      <c r="F2286" s="1405">
        <v>8.6199999999999992</v>
      </c>
      <c r="G2286" s="1405">
        <v>8.6199999999999992</v>
      </c>
      <c r="H2286" t="b">
        <f t="shared" si="71"/>
        <v>1</v>
      </c>
    </row>
    <row r="2287" spans="1:8">
      <c r="A2287" s="739">
        <v>12129</v>
      </c>
      <c r="B2287" s="740" t="s">
        <v>10676</v>
      </c>
      <c r="C2287" s="739" t="s">
        <v>1690</v>
      </c>
      <c r="D2287" s="741">
        <f t="shared" si="70"/>
        <v>11.39</v>
      </c>
      <c r="F2287" s="1406">
        <v>11.39</v>
      </c>
      <c r="G2287" s="1406">
        <v>11.39</v>
      </c>
      <c r="H2287" t="b">
        <f t="shared" si="71"/>
        <v>1</v>
      </c>
    </row>
    <row r="2288" spans="1:8" ht="30">
      <c r="A2288" s="677">
        <v>38081</v>
      </c>
      <c r="B2288" s="733" t="s">
        <v>10677</v>
      </c>
      <c r="C2288" s="677" t="s">
        <v>1690</v>
      </c>
      <c r="D2288" s="738">
        <f t="shared" si="70"/>
        <v>22.19</v>
      </c>
      <c r="F2288" s="1405">
        <v>22.19</v>
      </c>
      <c r="G2288" s="1405">
        <v>22.19</v>
      </c>
      <c r="H2288" t="b">
        <f t="shared" si="71"/>
        <v>1</v>
      </c>
    </row>
    <row r="2289" spans="1:8">
      <c r="A2289" s="739">
        <v>38070</v>
      </c>
      <c r="B2289" s="740" t="s">
        <v>10678</v>
      </c>
      <c r="C2289" s="739" t="s">
        <v>1690</v>
      </c>
      <c r="D2289" s="741">
        <f t="shared" si="70"/>
        <v>15.29</v>
      </c>
      <c r="F2289" s="1406">
        <v>15.29</v>
      </c>
      <c r="G2289" s="1406">
        <v>15.29</v>
      </c>
      <c r="H2289" t="b">
        <f t="shared" si="71"/>
        <v>1</v>
      </c>
    </row>
    <row r="2290" spans="1:8">
      <c r="A2290" s="677">
        <v>38074</v>
      </c>
      <c r="B2290" s="733" t="s">
        <v>10679</v>
      </c>
      <c r="C2290" s="677" t="s">
        <v>1690</v>
      </c>
      <c r="D2290" s="738">
        <f t="shared" si="70"/>
        <v>23.25</v>
      </c>
      <c r="F2290" s="1405">
        <v>23.25</v>
      </c>
      <c r="G2290" s="1405">
        <v>23.25</v>
      </c>
      <c r="H2290" t="b">
        <f t="shared" si="71"/>
        <v>1</v>
      </c>
    </row>
    <row r="2291" spans="1:8" ht="30">
      <c r="A2291" s="739">
        <v>38079</v>
      </c>
      <c r="B2291" s="740" t="s">
        <v>10680</v>
      </c>
      <c r="C2291" s="739" t="s">
        <v>1690</v>
      </c>
      <c r="D2291" s="741">
        <f t="shared" si="70"/>
        <v>19.95</v>
      </c>
      <c r="F2291" s="1406">
        <v>19.95</v>
      </c>
      <c r="G2291" s="1406">
        <v>19.95</v>
      </c>
      <c r="H2291" t="b">
        <f t="shared" si="71"/>
        <v>1</v>
      </c>
    </row>
    <row r="2292" spans="1:8" ht="30">
      <c r="A2292" s="677">
        <v>38072</v>
      </c>
      <c r="B2292" s="733" t="s">
        <v>10681</v>
      </c>
      <c r="C2292" s="677" t="s">
        <v>1690</v>
      </c>
      <c r="D2292" s="738">
        <f t="shared" si="70"/>
        <v>19.170000000000002</v>
      </c>
      <c r="F2292" s="1405">
        <v>19.170000000000002</v>
      </c>
      <c r="G2292" s="1405">
        <v>19.170000000000002</v>
      </c>
      <c r="H2292" t="b">
        <f t="shared" si="71"/>
        <v>1</v>
      </c>
    </row>
    <row r="2293" spans="1:8">
      <c r="A2293" s="739">
        <v>38068</v>
      </c>
      <c r="B2293" s="740" t="s">
        <v>10682</v>
      </c>
      <c r="C2293" s="739" t="s">
        <v>1690</v>
      </c>
      <c r="D2293" s="741">
        <f t="shared" si="70"/>
        <v>13.24</v>
      </c>
      <c r="F2293" s="1406">
        <v>13.24</v>
      </c>
      <c r="G2293" s="1406">
        <v>13.24</v>
      </c>
      <c r="H2293" t="b">
        <f t="shared" si="71"/>
        <v>1</v>
      </c>
    </row>
    <row r="2294" spans="1:8">
      <c r="A2294" s="677">
        <v>38071</v>
      </c>
      <c r="B2294" s="733" t="s">
        <v>10683</v>
      </c>
      <c r="C2294" s="677" t="s">
        <v>1690</v>
      </c>
      <c r="D2294" s="738">
        <f t="shared" si="70"/>
        <v>15.82</v>
      </c>
      <c r="F2294" s="1405">
        <v>15.82</v>
      </c>
      <c r="G2294" s="1405">
        <v>15.82</v>
      </c>
      <c r="H2294" t="b">
        <f t="shared" si="71"/>
        <v>1</v>
      </c>
    </row>
    <row r="2295" spans="1:8" ht="30">
      <c r="A2295" s="739">
        <v>38412</v>
      </c>
      <c r="B2295" s="740" t="s">
        <v>10684</v>
      </c>
      <c r="C2295" s="739" t="s">
        <v>1690</v>
      </c>
      <c r="D2295" s="741">
        <f t="shared" si="70"/>
        <v>1255.56</v>
      </c>
      <c r="F2295" s="1406">
        <v>1255.56</v>
      </c>
      <c r="G2295" s="1406">
        <v>1255.56</v>
      </c>
      <c r="H2295" t="b">
        <f t="shared" si="71"/>
        <v>1</v>
      </c>
    </row>
    <row r="2296" spans="1:8">
      <c r="A2296" s="677">
        <v>3405</v>
      </c>
      <c r="B2296" s="733" t="s">
        <v>10685</v>
      </c>
      <c r="C2296" s="677" t="s">
        <v>1690</v>
      </c>
      <c r="D2296" s="738">
        <f t="shared" si="70"/>
        <v>101.83</v>
      </c>
      <c r="F2296" s="1405">
        <v>101.83</v>
      </c>
      <c r="G2296" s="1405">
        <v>101.83</v>
      </c>
      <c r="H2296" t="b">
        <f t="shared" si="71"/>
        <v>1</v>
      </c>
    </row>
    <row r="2297" spans="1:8">
      <c r="A2297" s="739">
        <v>3394</v>
      </c>
      <c r="B2297" s="740" t="s">
        <v>10686</v>
      </c>
      <c r="C2297" s="739" t="s">
        <v>1690</v>
      </c>
      <c r="D2297" s="741">
        <f t="shared" si="70"/>
        <v>537.54</v>
      </c>
      <c r="F2297" s="1406">
        <v>537.54</v>
      </c>
      <c r="G2297" s="1406">
        <v>537.54</v>
      </c>
      <c r="H2297" t="b">
        <f t="shared" si="71"/>
        <v>1</v>
      </c>
    </row>
    <row r="2298" spans="1:8">
      <c r="A2298" s="677">
        <v>3393</v>
      </c>
      <c r="B2298" s="733" t="s">
        <v>10687</v>
      </c>
      <c r="C2298" s="677" t="s">
        <v>1690</v>
      </c>
      <c r="D2298" s="738">
        <f t="shared" si="70"/>
        <v>915.22</v>
      </c>
      <c r="F2298" s="1405">
        <v>915.22</v>
      </c>
      <c r="G2298" s="1405">
        <v>915.22</v>
      </c>
      <c r="H2298" t="b">
        <f t="shared" si="71"/>
        <v>1</v>
      </c>
    </row>
    <row r="2299" spans="1:8">
      <c r="A2299" s="739">
        <v>3406</v>
      </c>
      <c r="B2299" s="740" t="s">
        <v>10688</v>
      </c>
      <c r="C2299" s="739" t="s">
        <v>1690</v>
      </c>
      <c r="D2299" s="741">
        <f t="shared" si="70"/>
        <v>31.17</v>
      </c>
      <c r="F2299" s="1406">
        <v>31.17</v>
      </c>
      <c r="G2299" s="1406">
        <v>31.17</v>
      </c>
      <c r="H2299" t="b">
        <f t="shared" si="71"/>
        <v>1</v>
      </c>
    </row>
    <row r="2300" spans="1:8">
      <c r="A2300" s="677">
        <v>3395</v>
      </c>
      <c r="B2300" s="733" t="s">
        <v>10689</v>
      </c>
      <c r="C2300" s="677" t="s">
        <v>1690</v>
      </c>
      <c r="D2300" s="738">
        <f t="shared" si="70"/>
        <v>131.49</v>
      </c>
      <c r="F2300" s="1405">
        <v>131.49</v>
      </c>
      <c r="G2300" s="1405">
        <v>131.49</v>
      </c>
      <c r="H2300" t="b">
        <f t="shared" si="71"/>
        <v>1</v>
      </c>
    </row>
    <row r="2301" spans="1:8">
      <c r="A2301" s="739">
        <v>3398</v>
      </c>
      <c r="B2301" s="740" t="s">
        <v>10690</v>
      </c>
      <c r="C2301" s="739" t="s">
        <v>1690</v>
      </c>
      <c r="D2301" s="741">
        <f t="shared" si="70"/>
        <v>6.25</v>
      </c>
      <c r="F2301" s="1406">
        <v>6.25</v>
      </c>
      <c r="G2301" s="1406">
        <v>6.25</v>
      </c>
      <c r="H2301" t="b">
        <f t="shared" si="71"/>
        <v>1</v>
      </c>
    </row>
    <row r="2302" spans="1:8" ht="45">
      <c r="A2302" s="677">
        <v>40662</v>
      </c>
      <c r="B2302" s="733" t="s">
        <v>10691</v>
      </c>
      <c r="C2302" s="677" t="s">
        <v>1690</v>
      </c>
      <c r="D2302" s="738">
        <f t="shared" si="70"/>
        <v>348.79</v>
      </c>
      <c r="F2302" s="1405">
        <v>348.79</v>
      </c>
      <c r="G2302" s="1405">
        <v>348.79</v>
      </c>
      <c r="H2302" t="b">
        <f t="shared" si="71"/>
        <v>1</v>
      </c>
    </row>
    <row r="2303" spans="1:8" ht="30">
      <c r="A2303" s="739">
        <v>3437</v>
      </c>
      <c r="B2303" s="740" t="s">
        <v>10692</v>
      </c>
      <c r="C2303" s="739" t="s">
        <v>1692</v>
      </c>
      <c r="D2303" s="741">
        <f t="shared" si="70"/>
        <v>968.87</v>
      </c>
      <c r="F2303" s="1406">
        <v>968.87</v>
      </c>
      <c r="G2303" s="1406">
        <v>968.87</v>
      </c>
      <c r="H2303" t="b">
        <f t="shared" si="71"/>
        <v>1</v>
      </c>
    </row>
    <row r="2304" spans="1:8">
      <c r="A2304" s="677">
        <v>11190</v>
      </c>
      <c r="B2304" s="733" t="s">
        <v>10693</v>
      </c>
      <c r="C2304" s="677" t="s">
        <v>1690</v>
      </c>
      <c r="D2304" s="738">
        <f t="shared" si="70"/>
        <v>161.44999999999999</v>
      </c>
      <c r="F2304" s="1405">
        <v>161.44999999999999</v>
      </c>
      <c r="G2304" s="1405">
        <v>161.44999999999999</v>
      </c>
      <c r="H2304" t="b">
        <f t="shared" si="71"/>
        <v>1</v>
      </c>
    </row>
    <row r="2305" spans="1:8" ht="30">
      <c r="A2305" s="739">
        <v>34377</v>
      </c>
      <c r="B2305" s="740" t="s">
        <v>10694</v>
      </c>
      <c r="C2305" s="739" t="s">
        <v>1690</v>
      </c>
      <c r="D2305" s="741">
        <f t="shared" si="70"/>
        <v>181.95</v>
      </c>
      <c r="F2305" s="1406">
        <v>181.95</v>
      </c>
      <c r="G2305" s="1406">
        <v>181.95</v>
      </c>
      <c r="H2305" t="b">
        <f t="shared" si="71"/>
        <v>1</v>
      </c>
    </row>
    <row r="2306" spans="1:8" ht="45">
      <c r="A2306" s="677">
        <v>3428</v>
      </c>
      <c r="B2306" s="733" t="s">
        <v>10695</v>
      </c>
      <c r="C2306" s="677" t="s">
        <v>1692</v>
      </c>
      <c r="D2306" s="738">
        <f t="shared" si="70"/>
        <v>1437.16</v>
      </c>
      <c r="F2306" s="1405">
        <v>1437.16</v>
      </c>
      <c r="G2306" s="1405">
        <v>1437.16</v>
      </c>
      <c r="H2306" t="b">
        <f t="shared" si="71"/>
        <v>1</v>
      </c>
    </row>
    <row r="2307" spans="1:8" ht="45">
      <c r="A2307" s="739">
        <v>3429</v>
      </c>
      <c r="B2307" s="740" t="s">
        <v>10696</v>
      </c>
      <c r="C2307" s="739" t="s">
        <v>1692</v>
      </c>
      <c r="D2307" s="741">
        <f t="shared" ref="D2307:D2370" si="72">IF($J$2=$F$1,F2307,G2307)</f>
        <v>821.11</v>
      </c>
      <c r="F2307" s="1406">
        <v>821.11</v>
      </c>
      <c r="G2307" s="1406">
        <v>821.11</v>
      </c>
      <c r="H2307" t="b">
        <f t="shared" ref="H2307:H2370" si="73">F2307=G2307</f>
        <v>1</v>
      </c>
    </row>
    <row r="2308" spans="1:8" ht="30">
      <c r="A2308" s="677">
        <v>11199</v>
      </c>
      <c r="B2308" s="733" t="s">
        <v>10697</v>
      </c>
      <c r="C2308" s="677" t="s">
        <v>1690</v>
      </c>
      <c r="D2308" s="738">
        <f t="shared" si="72"/>
        <v>891.66</v>
      </c>
      <c r="F2308" s="1405">
        <v>891.66</v>
      </c>
      <c r="G2308" s="1405">
        <v>891.66</v>
      </c>
      <c r="H2308" t="b">
        <f t="shared" si="73"/>
        <v>1</v>
      </c>
    </row>
    <row r="2309" spans="1:8" ht="30">
      <c r="A2309" s="739">
        <v>34369</v>
      </c>
      <c r="B2309" s="740" t="s">
        <v>10698</v>
      </c>
      <c r="C2309" s="739" t="s">
        <v>1690</v>
      </c>
      <c r="D2309" s="741">
        <f t="shared" si="72"/>
        <v>632.84</v>
      </c>
      <c r="F2309" s="1406">
        <v>632.84</v>
      </c>
      <c r="G2309" s="1406">
        <v>632.84</v>
      </c>
      <c r="H2309" t="b">
        <f t="shared" si="73"/>
        <v>1</v>
      </c>
    </row>
    <row r="2310" spans="1:8" ht="30">
      <c r="A2310" s="677">
        <v>36896</v>
      </c>
      <c r="B2310" s="733" t="s">
        <v>10699</v>
      </c>
      <c r="C2310" s="677" t="s">
        <v>1690</v>
      </c>
      <c r="D2310" s="738">
        <f t="shared" si="72"/>
        <v>352.4</v>
      </c>
      <c r="F2310" s="1405">
        <v>352.4</v>
      </c>
      <c r="G2310" s="1405">
        <v>352.4</v>
      </c>
      <c r="H2310" t="b">
        <f t="shared" si="73"/>
        <v>1</v>
      </c>
    </row>
    <row r="2311" spans="1:8" ht="30">
      <c r="A2311" s="739">
        <v>34367</v>
      </c>
      <c r="B2311" s="740" t="s">
        <v>10700</v>
      </c>
      <c r="C2311" s="739" t="s">
        <v>1690</v>
      </c>
      <c r="D2311" s="741">
        <f t="shared" si="72"/>
        <v>454.19</v>
      </c>
      <c r="F2311" s="1406">
        <v>454.19</v>
      </c>
      <c r="G2311" s="1406">
        <v>454.19</v>
      </c>
      <c r="H2311" t="b">
        <f t="shared" si="73"/>
        <v>1</v>
      </c>
    </row>
    <row r="2312" spans="1:8" ht="30">
      <c r="A2312" s="677">
        <v>36897</v>
      </c>
      <c r="B2312" s="733" t="s">
        <v>10701</v>
      </c>
      <c r="C2312" s="677" t="s">
        <v>1690</v>
      </c>
      <c r="D2312" s="738">
        <f t="shared" si="72"/>
        <v>549.91</v>
      </c>
      <c r="F2312" s="1405">
        <v>549.91</v>
      </c>
      <c r="G2312" s="1405">
        <v>549.91</v>
      </c>
      <c r="H2312" t="b">
        <f t="shared" si="73"/>
        <v>1</v>
      </c>
    </row>
    <row r="2313" spans="1:8" ht="30">
      <c r="A2313" s="739">
        <v>34364</v>
      </c>
      <c r="B2313" s="740" t="s">
        <v>10702</v>
      </c>
      <c r="C2313" s="739" t="s">
        <v>1690</v>
      </c>
      <c r="D2313" s="741">
        <f t="shared" si="72"/>
        <v>597.02</v>
      </c>
      <c r="F2313" s="1406">
        <v>597.02</v>
      </c>
      <c r="G2313" s="1406">
        <v>597.02</v>
      </c>
      <c r="H2313" t="b">
        <f t="shared" si="73"/>
        <v>1</v>
      </c>
    </row>
    <row r="2314" spans="1:8" ht="45">
      <c r="A2314" s="677">
        <v>40659</v>
      </c>
      <c r="B2314" s="733" t="s">
        <v>10703</v>
      </c>
      <c r="C2314" s="677" t="s">
        <v>1692</v>
      </c>
      <c r="D2314" s="738">
        <f t="shared" si="72"/>
        <v>1370.82</v>
      </c>
      <c r="F2314" s="1405">
        <v>1370.82</v>
      </c>
      <c r="G2314" s="1405">
        <v>1370.82</v>
      </c>
      <c r="H2314" t="b">
        <f t="shared" si="73"/>
        <v>1</v>
      </c>
    </row>
    <row r="2315" spans="1:8" ht="45">
      <c r="A2315" s="739">
        <v>40660</v>
      </c>
      <c r="B2315" s="740" t="s">
        <v>10704</v>
      </c>
      <c r="C2315" s="739" t="s">
        <v>1692</v>
      </c>
      <c r="D2315" s="741">
        <f t="shared" si="72"/>
        <v>1737.35</v>
      </c>
      <c r="F2315" s="1406">
        <v>1737.35</v>
      </c>
      <c r="G2315" s="1406">
        <v>1737.35</v>
      </c>
      <c r="H2315" t="b">
        <f t="shared" si="73"/>
        <v>1</v>
      </c>
    </row>
    <row r="2316" spans="1:8" ht="45">
      <c r="A2316" s="677">
        <v>40661</v>
      </c>
      <c r="B2316" s="733" t="s">
        <v>10705</v>
      </c>
      <c r="C2316" s="677" t="s">
        <v>1692</v>
      </c>
      <c r="D2316" s="738">
        <f t="shared" si="72"/>
        <v>1068.17</v>
      </c>
      <c r="F2316" s="1405">
        <v>1068.17</v>
      </c>
      <c r="G2316" s="1405">
        <v>1068.17</v>
      </c>
      <c r="H2316" t="b">
        <f t="shared" si="73"/>
        <v>1</v>
      </c>
    </row>
    <row r="2317" spans="1:8" ht="45">
      <c r="A2317" s="739">
        <v>3421</v>
      </c>
      <c r="B2317" s="740" t="s">
        <v>10706</v>
      </c>
      <c r="C2317" s="739" t="s">
        <v>1692</v>
      </c>
      <c r="D2317" s="741">
        <f t="shared" si="72"/>
        <v>1076.3399999999999</v>
      </c>
      <c r="F2317" s="1406">
        <v>1076.3399999999999</v>
      </c>
      <c r="G2317" s="1406">
        <v>1076.3399999999999</v>
      </c>
      <c r="H2317" t="b">
        <f t="shared" si="73"/>
        <v>1</v>
      </c>
    </row>
    <row r="2318" spans="1:8" ht="30">
      <c r="A2318" s="677">
        <v>599</v>
      </c>
      <c r="B2318" s="733" t="s">
        <v>10707</v>
      </c>
      <c r="C2318" s="677" t="s">
        <v>1692</v>
      </c>
      <c r="D2318" s="738">
        <f t="shared" si="72"/>
        <v>642.70000000000005</v>
      </c>
      <c r="F2318" s="1405">
        <v>642.70000000000005</v>
      </c>
      <c r="G2318" s="1405">
        <v>642.70000000000005</v>
      </c>
      <c r="H2318" t="b">
        <f t="shared" si="73"/>
        <v>1</v>
      </c>
    </row>
    <row r="2319" spans="1:8" ht="30">
      <c r="A2319" s="739">
        <v>44053</v>
      </c>
      <c r="B2319" s="740" t="s">
        <v>10708</v>
      </c>
      <c r="C2319" s="739" t="s">
        <v>1690</v>
      </c>
      <c r="D2319" s="741">
        <f t="shared" si="72"/>
        <v>1426.49</v>
      </c>
      <c r="F2319" s="1406">
        <v>1426.49</v>
      </c>
      <c r="G2319" s="1406">
        <v>1426.49</v>
      </c>
      <c r="H2319" t="b">
        <f t="shared" si="73"/>
        <v>1</v>
      </c>
    </row>
    <row r="2320" spans="1:8" ht="30">
      <c r="A2320" s="677">
        <v>3423</v>
      </c>
      <c r="B2320" s="733" t="s">
        <v>10709</v>
      </c>
      <c r="C2320" s="677" t="s">
        <v>1692</v>
      </c>
      <c r="D2320" s="738">
        <f t="shared" si="72"/>
        <v>1517.9</v>
      </c>
      <c r="F2320" s="1405">
        <v>1517.9</v>
      </c>
      <c r="G2320" s="1405">
        <v>1517.9</v>
      </c>
      <c r="H2320" t="b">
        <f t="shared" si="73"/>
        <v>1</v>
      </c>
    </row>
    <row r="2321" spans="1:8" ht="30">
      <c r="A2321" s="739">
        <v>34381</v>
      </c>
      <c r="B2321" s="740" t="s">
        <v>10710</v>
      </c>
      <c r="C2321" s="739" t="s">
        <v>1690</v>
      </c>
      <c r="D2321" s="741">
        <f t="shared" si="72"/>
        <v>259.51</v>
      </c>
      <c r="F2321" s="1406">
        <v>259.51</v>
      </c>
      <c r="G2321" s="1406">
        <v>259.51</v>
      </c>
      <c r="H2321" t="b">
        <f t="shared" si="73"/>
        <v>1</v>
      </c>
    </row>
    <row r="2322" spans="1:8" ht="30">
      <c r="A2322" s="677">
        <v>34797</v>
      </c>
      <c r="B2322" s="733" t="s">
        <v>10711</v>
      </c>
      <c r="C2322" s="677" t="s">
        <v>1690</v>
      </c>
      <c r="D2322" s="738">
        <f t="shared" si="72"/>
        <v>351.66</v>
      </c>
      <c r="F2322" s="1405">
        <v>351.66</v>
      </c>
      <c r="G2322" s="1405">
        <v>351.66</v>
      </c>
      <c r="H2322" t="b">
        <f t="shared" si="73"/>
        <v>1</v>
      </c>
    </row>
    <row r="2323" spans="1:8" ht="30">
      <c r="A2323" s="739">
        <v>44054</v>
      </c>
      <c r="B2323" s="740" t="s">
        <v>10712</v>
      </c>
      <c r="C2323" s="739" t="s">
        <v>1690</v>
      </c>
      <c r="D2323" s="741">
        <f t="shared" si="72"/>
        <v>511.74</v>
      </c>
      <c r="F2323" s="1406">
        <v>511.74</v>
      </c>
      <c r="G2323" s="1406">
        <v>511.74</v>
      </c>
      <c r="H2323" t="b">
        <f t="shared" si="73"/>
        <v>1</v>
      </c>
    </row>
    <row r="2324" spans="1:8" ht="30">
      <c r="A2324" s="677">
        <v>44399</v>
      </c>
      <c r="B2324" s="733" t="s">
        <v>10713</v>
      </c>
      <c r="C2324" s="677" t="s">
        <v>1690</v>
      </c>
      <c r="D2324" s="738">
        <f t="shared" si="72"/>
        <v>699.2</v>
      </c>
      <c r="F2324" s="1405">
        <v>699.2</v>
      </c>
      <c r="G2324" s="1405">
        <v>699.2</v>
      </c>
      <c r="H2324" t="b">
        <f t="shared" si="73"/>
        <v>1</v>
      </c>
    </row>
    <row r="2325" spans="1:8">
      <c r="A2325" s="739">
        <v>44503</v>
      </c>
      <c r="B2325" s="740" t="s">
        <v>10714</v>
      </c>
      <c r="C2325" s="739" t="s">
        <v>1689</v>
      </c>
      <c r="D2325" s="741">
        <f t="shared" si="72"/>
        <v>15.67</v>
      </c>
      <c r="F2325" s="1406">
        <v>13.61</v>
      </c>
      <c r="G2325" s="1406">
        <v>15.67</v>
      </c>
      <c r="H2325" t="b">
        <f t="shared" si="73"/>
        <v>0</v>
      </c>
    </row>
    <row r="2326" spans="1:8">
      <c r="A2326" s="677">
        <v>41077</v>
      </c>
      <c r="B2326" s="733" t="s">
        <v>10715</v>
      </c>
      <c r="C2326" s="677" t="s">
        <v>1696</v>
      </c>
      <c r="D2326" s="738">
        <f t="shared" si="72"/>
        <v>2760.9</v>
      </c>
      <c r="F2326" s="1405">
        <v>2394.5100000000002</v>
      </c>
      <c r="G2326" s="1405">
        <v>2760.9</v>
      </c>
      <c r="H2326" t="b">
        <f t="shared" si="73"/>
        <v>0</v>
      </c>
    </row>
    <row r="2327" spans="1:8">
      <c r="A2327" s="739">
        <v>37963</v>
      </c>
      <c r="B2327" s="740" t="s">
        <v>10716</v>
      </c>
      <c r="C2327" s="739" t="s">
        <v>1690</v>
      </c>
      <c r="D2327" s="741">
        <f t="shared" si="72"/>
        <v>4.2300000000000004</v>
      </c>
      <c r="F2327" s="1406">
        <v>4.2300000000000004</v>
      </c>
      <c r="G2327" s="1406">
        <v>4.2300000000000004</v>
      </c>
      <c r="H2327" t="b">
        <f t="shared" si="73"/>
        <v>1</v>
      </c>
    </row>
    <row r="2328" spans="1:8">
      <c r="A2328" s="677">
        <v>37964</v>
      </c>
      <c r="B2328" s="733" t="s">
        <v>10717</v>
      </c>
      <c r="C2328" s="677" t="s">
        <v>1690</v>
      </c>
      <c r="D2328" s="738">
        <f t="shared" si="72"/>
        <v>5.66</v>
      </c>
      <c r="F2328" s="1405">
        <v>5.66</v>
      </c>
      <c r="G2328" s="1405">
        <v>5.66</v>
      </c>
      <c r="H2328" t="b">
        <f t="shared" si="73"/>
        <v>1</v>
      </c>
    </row>
    <row r="2329" spans="1:8">
      <c r="A2329" s="739">
        <v>37965</v>
      </c>
      <c r="B2329" s="740" t="s">
        <v>10718</v>
      </c>
      <c r="C2329" s="739" t="s">
        <v>1690</v>
      </c>
      <c r="D2329" s="741">
        <f t="shared" si="72"/>
        <v>8.16</v>
      </c>
      <c r="F2329" s="1406">
        <v>8.16</v>
      </c>
      <c r="G2329" s="1406">
        <v>8.16</v>
      </c>
      <c r="H2329" t="b">
        <f t="shared" si="73"/>
        <v>1</v>
      </c>
    </row>
    <row r="2330" spans="1:8">
      <c r="A2330" s="677">
        <v>37966</v>
      </c>
      <c r="B2330" s="733" t="s">
        <v>10719</v>
      </c>
      <c r="C2330" s="677" t="s">
        <v>1690</v>
      </c>
      <c r="D2330" s="738">
        <f t="shared" si="72"/>
        <v>14.33</v>
      </c>
      <c r="F2330" s="1405">
        <v>14.33</v>
      </c>
      <c r="G2330" s="1405">
        <v>14.33</v>
      </c>
      <c r="H2330" t="b">
        <f t="shared" si="73"/>
        <v>1</v>
      </c>
    </row>
    <row r="2331" spans="1:8">
      <c r="A2331" s="739">
        <v>37967</v>
      </c>
      <c r="B2331" s="740" t="s">
        <v>10720</v>
      </c>
      <c r="C2331" s="739" t="s">
        <v>1690</v>
      </c>
      <c r="D2331" s="741">
        <f t="shared" si="72"/>
        <v>24.08</v>
      </c>
      <c r="F2331" s="1406">
        <v>24.08</v>
      </c>
      <c r="G2331" s="1406">
        <v>24.08</v>
      </c>
      <c r="H2331" t="b">
        <f t="shared" si="73"/>
        <v>1</v>
      </c>
    </row>
    <row r="2332" spans="1:8">
      <c r="A2332" s="677">
        <v>37968</v>
      </c>
      <c r="B2332" s="733" t="s">
        <v>10721</v>
      </c>
      <c r="C2332" s="677" t="s">
        <v>1690</v>
      </c>
      <c r="D2332" s="738">
        <f t="shared" si="72"/>
        <v>51.13</v>
      </c>
      <c r="F2332" s="1405">
        <v>51.13</v>
      </c>
      <c r="G2332" s="1405">
        <v>51.13</v>
      </c>
      <c r="H2332" t="b">
        <f t="shared" si="73"/>
        <v>1</v>
      </c>
    </row>
    <row r="2333" spans="1:8">
      <c r="A2333" s="739">
        <v>37969</v>
      </c>
      <c r="B2333" s="740" t="s">
        <v>10722</v>
      </c>
      <c r="C2333" s="739" t="s">
        <v>1690</v>
      </c>
      <c r="D2333" s="741">
        <f t="shared" si="72"/>
        <v>129.19999999999999</v>
      </c>
      <c r="F2333" s="1406">
        <v>129.19999999999999</v>
      </c>
      <c r="G2333" s="1406">
        <v>129.19999999999999</v>
      </c>
      <c r="H2333" t="b">
        <f t="shared" si="73"/>
        <v>1</v>
      </c>
    </row>
    <row r="2334" spans="1:8">
      <c r="A2334" s="677">
        <v>37970</v>
      </c>
      <c r="B2334" s="733" t="s">
        <v>10723</v>
      </c>
      <c r="C2334" s="677" t="s">
        <v>1690</v>
      </c>
      <c r="D2334" s="738">
        <f t="shared" si="72"/>
        <v>186.92</v>
      </c>
      <c r="F2334" s="1405">
        <v>186.92</v>
      </c>
      <c r="G2334" s="1405">
        <v>186.92</v>
      </c>
      <c r="H2334" t="b">
        <f t="shared" si="73"/>
        <v>1</v>
      </c>
    </row>
    <row r="2335" spans="1:8">
      <c r="A2335" s="739">
        <v>44251</v>
      </c>
      <c r="B2335" s="740" t="s">
        <v>10724</v>
      </c>
      <c r="C2335" s="739" t="s">
        <v>1690</v>
      </c>
      <c r="D2335" s="741">
        <f t="shared" si="72"/>
        <v>215.9</v>
      </c>
      <c r="F2335" s="1406">
        <v>215.9</v>
      </c>
      <c r="G2335" s="1406">
        <v>215.9</v>
      </c>
      <c r="H2335" t="b">
        <f t="shared" si="73"/>
        <v>1</v>
      </c>
    </row>
    <row r="2336" spans="1:8">
      <c r="A2336" s="677">
        <v>21118</v>
      </c>
      <c r="B2336" s="733" t="s">
        <v>10725</v>
      </c>
      <c r="C2336" s="677" t="s">
        <v>1690</v>
      </c>
      <c r="D2336" s="738">
        <f t="shared" si="72"/>
        <v>3.36</v>
      </c>
      <c r="F2336" s="1405">
        <v>3.36</v>
      </c>
      <c r="G2336" s="1405">
        <v>3.36</v>
      </c>
      <c r="H2336" t="b">
        <f t="shared" si="73"/>
        <v>1</v>
      </c>
    </row>
    <row r="2337" spans="1:8">
      <c r="A2337" s="739">
        <v>37956</v>
      </c>
      <c r="B2337" s="740" t="s">
        <v>10726</v>
      </c>
      <c r="C2337" s="739" t="s">
        <v>1690</v>
      </c>
      <c r="D2337" s="741">
        <f t="shared" si="72"/>
        <v>4.13</v>
      </c>
      <c r="F2337" s="1406">
        <v>4.13</v>
      </c>
      <c r="G2337" s="1406">
        <v>4.13</v>
      </c>
      <c r="H2337" t="b">
        <f t="shared" si="73"/>
        <v>1</v>
      </c>
    </row>
    <row r="2338" spans="1:8">
      <c r="A2338" s="677">
        <v>37957</v>
      </c>
      <c r="B2338" s="733" t="s">
        <v>10727</v>
      </c>
      <c r="C2338" s="677" t="s">
        <v>1690</v>
      </c>
      <c r="D2338" s="738">
        <f t="shared" si="72"/>
        <v>8.7899999999999991</v>
      </c>
      <c r="F2338" s="1405">
        <v>8.7899999999999991</v>
      </c>
      <c r="G2338" s="1405">
        <v>8.7899999999999991</v>
      </c>
      <c r="H2338" t="b">
        <f t="shared" si="73"/>
        <v>1</v>
      </c>
    </row>
    <row r="2339" spans="1:8">
      <c r="A2339" s="739">
        <v>37958</v>
      </c>
      <c r="B2339" s="740" t="s">
        <v>10728</v>
      </c>
      <c r="C2339" s="739" t="s">
        <v>1690</v>
      </c>
      <c r="D2339" s="741">
        <f t="shared" si="72"/>
        <v>15.89</v>
      </c>
      <c r="F2339" s="1406">
        <v>15.89</v>
      </c>
      <c r="G2339" s="1406">
        <v>15.89</v>
      </c>
      <c r="H2339" t="b">
        <f t="shared" si="73"/>
        <v>1</v>
      </c>
    </row>
    <row r="2340" spans="1:8">
      <c r="A2340" s="677">
        <v>37959</v>
      </c>
      <c r="B2340" s="733" t="s">
        <v>10729</v>
      </c>
      <c r="C2340" s="677" t="s">
        <v>1690</v>
      </c>
      <c r="D2340" s="738">
        <f t="shared" si="72"/>
        <v>24.46</v>
      </c>
      <c r="F2340" s="1405">
        <v>24.46</v>
      </c>
      <c r="G2340" s="1405">
        <v>24.46</v>
      </c>
      <c r="H2340" t="b">
        <f t="shared" si="73"/>
        <v>1</v>
      </c>
    </row>
    <row r="2341" spans="1:8">
      <c r="A2341" s="739">
        <v>37960</v>
      </c>
      <c r="B2341" s="740" t="s">
        <v>10730</v>
      </c>
      <c r="C2341" s="739" t="s">
        <v>1690</v>
      </c>
      <c r="D2341" s="741">
        <f t="shared" si="72"/>
        <v>62.51</v>
      </c>
      <c r="F2341" s="1406">
        <v>62.51</v>
      </c>
      <c r="G2341" s="1406">
        <v>62.51</v>
      </c>
      <c r="H2341" t="b">
        <f t="shared" si="73"/>
        <v>1</v>
      </c>
    </row>
    <row r="2342" spans="1:8">
      <c r="A2342" s="677">
        <v>37961</v>
      </c>
      <c r="B2342" s="733" t="s">
        <v>10731</v>
      </c>
      <c r="C2342" s="677" t="s">
        <v>1690</v>
      </c>
      <c r="D2342" s="738">
        <f t="shared" si="72"/>
        <v>134.35</v>
      </c>
      <c r="F2342" s="1405">
        <v>134.35</v>
      </c>
      <c r="G2342" s="1405">
        <v>134.35</v>
      </c>
      <c r="H2342" t="b">
        <f t="shared" si="73"/>
        <v>1</v>
      </c>
    </row>
    <row r="2343" spans="1:8">
      <c r="A2343" s="739">
        <v>37962</v>
      </c>
      <c r="B2343" s="740" t="s">
        <v>10732</v>
      </c>
      <c r="C2343" s="739" t="s">
        <v>1690</v>
      </c>
      <c r="D2343" s="741">
        <f t="shared" si="72"/>
        <v>154.88</v>
      </c>
      <c r="F2343" s="1406">
        <v>154.88</v>
      </c>
      <c r="G2343" s="1406">
        <v>154.88</v>
      </c>
      <c r="H2343" t="b">
        <f t="shared" si="73"/>
        <v>1</v>
      </c>
    </row>
    <row r="2344" spans="1:8">
      <c r="A2344" s="677">
        <v>3533</v>
      </c>
      <c r="B2344" s="733" t="s">
        <v>10733</v>
      </c>
      <c r="C2344" s="677" t="s">
        <v>1690</v>
      </c>
      <c r="D2344" s="738">
        <f t="shared" si="72"/>
        <v>2.6</v>
      </c>
      <c r="F2344" s="1405">
        <v>2.6</v>
      </c>
      <c r="G2344" s="1405">
        <v>2.6</v>
      </c>
      <c r="H2344" t="b">
        <f t="shared" si="73"/>
        <v>1</v>
      </c>
    </row>
    <row r="2345" spans="1:8">
      <c r="A2345" s="739">
        <v>3538</v>
      </c>
      <c r="B2345" s="740" t="s">
        <v>10734</v>
      </c>
      <c r="C2345" s="739" t="s">
        <v>1690</v>
      </c>
      <c r="D2345" s="741">
        <f t="shared" si="72"/>
        <v>4.92</v>
      </c>
      <c r="F2345" s="1406">
        <v>4.92</v>
      </c>
      <c r="G2345" s="1406">
        <v>4.92</v>
      </c>
      <c r="H2345" t="b">
        <f t="shared" si="73"/>
        <v>1</v>
      </c>
    </row>
    <row r="2346" spans="1:8">
      <c r="A2346" s="677">
        <v>3498</v>
      </c>
      <c r="B2346" s="733" t="s">
        <v>10735</v>
      </c>
      <c r="C2346" s="677" t="s">
        <v>1690</v>
      </c>
      <c r="D2346" s="738">
        <f t="shared" si="72"/>
        <v>4.78</v>
      </c>
      <c r="F2346" s="1405">
        <v>4.78</v>
      </c>
      <c r="G2346" s="1405">
        <v>4.78</v>
      </c>
      <c r="H2346" t="b">
        <f t="shared" si="73"/>
        <v>1</v>
      </c>
    </row>
    <row r="2347" spans="1:8">
      <c r="A2347" s="739">
        <v>3496</v>
      </c>
      <c r="B2347" s="740" t="s">
        <v>10736</v>
      </c>
      <c r="C2347" s="739" t="s">
        <v>1690</v>
      </c>
      <c r="D2347" s="741">
        <f t="shared" si="72"/>
        <v>3.2</v>
      </c>
      <c r="F2347" s="1406">
        <v>3.2</v>
      </c>
      <c r="G2347" s="1406">
        <v>3.2</v>
      </c>
      <c r="H2347" t="b">
        <f t="shared" si="73"/>
        <v>1</v>
      </c>
    </row>
    <row r="2348" spans="1:8">
      <c r="A2348" s="677">
        <v>38429</v>
      </c>
      <c r="B2348" s="733" t="s">
        <v>10737</v>
      </c>
      <c r="C2348" s="677" t="s">
        <v>1690</v>
      </c>
      <c r="D2348" s="738">
        <f t="shared" si="72"/>
        <v>11.44</v>
      </c>
      <c r="F2348" s="1405">
        <v>11.44</v>
      </c>
      <c r="G2348" s="1405">
        <v>11.44</v>
      </c>
      <c r="H2348" t="b">
        <f t="shared" si="73"/>
        <v>1</v>
      </c>
    </row>
    <row r="2349" spans="1:8">
      <c r="A2349" s="739">
        <v>38431</v>
      </c>
      <c r="B2349" s="740" t="s">
        <v>10738</v>
      </c>
      <c r="C2349" s="739" t="s">
        <v>1690</v>
      </c>
      <c r="D2349" s="741">
        <f t="shared" si="72"/>
        <v>14.35</v>
      </c>
      <c r="F2349" s="1406">
        <v>14.35</v>
      </c>
      <c r="G2349" s="1406">
        <v>14.35</v>
      </c>
      <c r="H2349" t="b">
        <f t="shared" si="73"/>
        <v>1</v>
      </c>
    </row>
    <row r="2350" spans="1:8">
      <c r="A2350" s="677">
        <v>38430</v>
      </c>
      <c r="B2350" s="733" t="s">
        <v>10739</v>
      </c>
      <c r="C2350" s="677" t="s">
        <v>1690</v>
      </c>
      <c r="D2350" s="738">
        <f t="shared" si="72"/>
        <v>22.25</v>
      </c>
      <c r="F2350" s="1405">
        <v>22.25</v>
      </c>
      <c r="G2350" s="1405">
        <v>22.25</v>
      </c>
      <c r="H2350" t="b">
        <f t="shared" si="73"/>
        <v>1</v>
      </c>
    </row>
    <row r="2351" spans="1:8">
      <c r="A2351" s="739">
        <v>36348</v>
      </c>
      <c r="B2351" s="740" t="s">
        <v>10740</v>
      </c>
      <c r="C2351" s="739" t="s">
        <v>1690</v>
      </c>
      <c r="D2351" s="741">
        <f t="shared" si="72"/>
        <v>1.96</v>
      </c>
      <c r="F2351" s="1406">
        <v>1.96</v>
      </c>
      <c r="G2351" s="1406">
        <v>1.96</v>
      </c>
      <c r="H2351" t="b">
        <f t="shared" si="73"/>
        <v>1</v>
      </c>
    </row>
    <row r="2352" spans="1:8">
      <c r="A2352" s="677">
        <v>36349</v>
      </c>
      <c r="B2352" s="733" t="s">
        <v>10741</v>
      </c>
      <c r="C2352" s="677" t="s">
        <v>1690</v>
      </c>
      <c r="D2352" s="738">
        <f t="shared" si="72"/>
        <v>2.7</v>
      </c>
      <c r="F2352" s="1405">
        <v>2.7</v>
      </c>
      <c r="G2352" s="1405">
        <v>2.7</v>
      </c>
      <c r="H2352" t="b">
        <f t="shared" si="73"/>
        <v>1</v>
      </c>
    </row>
    <row r="2353" spans="1:8">
      <c r="A2353" s="739">
        <v>38987</v>
      </c>
      <c r="B2353" s="740" t="s">
        <v>10742</v>
      </c>
      <c r="C2353" s="739" t="s">
        <v>1690</v>
      </c>
      <c r="D2353" s="741">
        <f t="shared" si="72"/>
        <v>12.98</v>
      </c>
      <c r="F2353" s="1406">
        <v>12.98</v>
      </c>
      <c r="G2353" s="1406">
        <v>12.98</v>
      </c>
      <c r="H2353" t="b">
        <f t="shared" si="73"/>
        <v>1</v>
      </c>
    </row>
    <row r="2354" spans="1:8">
      <c r="A2354" s="677">
        <v>38988</v>
      </c>
      <c r="B2354" s="733" t="s">
        <v>10743</v>
      </c>
      <c r="C2354" s="677" t="s">
        <v>1690</v>
      </c>
      <c r="D2354" s="738">
        <f t="shared" si="72"/>
        <v>21.15</v>
      </c>
      <c r="F2354" s="1405">
        <v>21.15</v>
      </c>
      <c r="G2354" s="1405">
        <v>21.15</v>
      </c>
      <c r="H2354" t="b">
        <f t="shared" si="73"/>
        <v>1</v>
      </c>
    </row>
    <row r="2355" spans="1:8">
      <c r="A2355" s="739">
        <v>38989</v>
      </c>
      <c r="B2355" s="740" t="s">
        <v>10744</v>
      </c>
      <c r="C2355" s="739" t="s">
        <v>1690</v>
      </c>
      <c r="D2355" s="741">
        <f t="shared" si="72"/>
        <v>35.590000000000003</v>
      </c>
      <c r="F2355" s="1406">
        <v>35.590000000000003</v>
      </c>
      <c r="G2355" s="1406">
        <v>35.590000000000003</v>
      </c>
      <c r="H2355" t="b">
        <f t="shared" si="73"/>
        <v>1</v>
      </c>
    </row>
    <row r="2356" spans="1:8">
      <c r="A2356" s="677">
        <v>38990</v>
      </c>
      <c r="B2356" s="733" t="s">
        <v>10745</v>
      </c>
      <c r="C2356" s="677" t="s">
        <v>1690</v>
      </c>
      <c r="D2356" s="738">
        <f t="shared" si="72"/>
        <v>71.12</v>
      </c>
      <c r="F2356" s="1405">
        <v>71.12</v>
      </c>
      <c r="G2356" s="1405">
        <v>71.12</v>
      </c>
      <c r="H2356" t="b">
        <f t="shared" si="73"/>
        <v>1</v>
      </c>
    </row>
    <row r="2357" spans="1:8">
      <c r="A2357" s="739">
        <v>38991</v>
      </c>
      <c r="B2357" s="740" t="s">
        <v>10746</v>
      </c>
      <c r="C2357" s="739" t="s">
        <v>1690</v>
      </c>
      <c r="D2357" s="741">
        <f t="shared" si="72"/>
        <v>127.97</v>
      </c>
      <c r="F2357" s="1406">
        <v>127.97</v>
      </c>
      <c r="G2357" s="1406">
        <v>127.97</v>
      </c>
      <c r="H2357" t="b">
        <f t="shared" si="73"/>
        <v>1</v>
      </c>
    </row>
    <row r="2358" spans="1:8">
      <c r="A2358" s="677">
        <v>38433</v>
      </c>
      <c r="B2358" s="733" t="s">
        <v>10747</v>
      </c>
      <c r="C2358" s="677" t="s">
        <v>1690</v>
      </c>
      <c r="D2358" s="738">
        <f t="shared" si="72"/>
        <v>6.61</v>
      </c>
      <c r="F2358" s="1405">
        <v>6.61</v>
      </c>
      <c r="G2358" s="1405">
        <v>6.61</v>
      </c>
      <c r="H2358" t="b">
        <f t="shared" si="73"/>
        <v>1</v>
      </c>
    </row>
    <row r="2359" spans="1:8">
      <c r="A2359" s="739">
        <v>38440</v>
      </c>
      <c r="B2359" s="740" t="s">
        <v>10748</v>
      </c>
      <c r="C2359" s="739" t="s">
        <v>1690</v>
      </c>
      <c r="D2359" s="741">
        <f t="shared" si="72"/>
        <v>278.89999999999998</v>
      </c>
      <c r="F2359" s="1406">
        <v>278.89999999999998</v>
      </c>
      <c r="G2359" s="1406">
        <v>278.89999999999998</v>
      </c>
      <c r="H2359" t="b">
        <f t="shared" si="73"/>
        <v>1</v>
      </c>
    </row>
    <row r="2360" spans="1:8">
      <c r="A2360" s="677">
        <v>36359</v>
      </c>
      <c r="B2360" s="733" t="s">
        <v>10749</v>
      </c>
      <c r="C2360" s="677" t="s">
        <v>1690</v>
      </c>
      <c r="D2360" s="738">
        <f t="shared" si="72"/>
        <v>1.74</v>
      </c>
      <c r="F2360" s="1405">
        <v>1.74</v>
      </c>
      <c r="G2360" s="1405">
        <v>1.74</v>
      </c>
      <c r="H2360" t="b">
        <f t="shared" si="73"/>
        <v>1</v>
      </c>
    </row>
    <row r="2361" spans="1:8">
      <c r="A2361" s="739">
        <v>36360</v>
      </c>
      <c r="B2361" s="740" t="s">
        <v>10750</v>
      </c>
      <c r="C2361" s="739" t="s">
        <v>1690</v>
      </c>
      <c r="D2361" s="741">
        <f t="shared" si="72"/>
        <v>2.34</v>
      </c>
      <c r="F2361" s="1406">
        <v>2.34</v>
      </c>
      <c r="G2361" s="1406">
        <v>2.34</v>
      </c>
      <c r="H2361" t="b">
        <f t="shared" si="73"/>
        <v>1</v>
      </c>
    </row>
    <row r="2362" spans="1:8">
      <c r="A2362" s="677">
        <v>38434</v>
      </c>
      <c r="B2362" s="733" t="s">
        <v>10751</v>
      </c>
      <c r="C2362" s="677" t="s">
        <v>1690</v>
      </c>
      <c r="D2362" s="738">
        <f t="shared" si="72"/>
        <v>3.56</v>
      </c>
      <c r="F2362" s="1405">
        <v>3.56</v>
      </c>
      <c r="G2362" s="1405">
        <v>3.56</v>
      </c>
      <c r="H2362" t="b">
        <f t="shared" si="73"/>
        <v>1</v>
      </c>
    </row>
    <row r="2363" spans="1:8">
      <c r="A2363" s="739">
        <v>38435</v>
      </c>
      <c r="B2363" s="740" t="s">
        <v>10752</v>
      </c>
      <c r="C2363" s="739" t="s">
        <v>1690</v>
      </c>
      <c r="D2363" s="741">
        <f t="shared" si="72"/>
        <v>8.02</v>
      </c>
      <c r="F2363" s="1406">
        <v>8.02</v>
      </c>
      <c r="G2363" s="1406">
        <v>8.02</v>
      </c>
      <c r="H2363" t="b">
        <f t="shared" si="73"/>
        <v>1</v>
      </c>
    </row>
    <row r="2364" spans="1:8">
      <c r="A2364" s="677">
        <v>38436</v>
      </c>
      <c r="B2364" s="733" t="s">
        <v>10753</v>
      </c>
      <c r="C2364" s="677" t="s">
        <v>1690</v>
      </c>
      <c r="D2364" s="738">
        <f t="shared" si="72"/>
        <v>13.3</v>
      </c>
      <c r="F2364" s="1405">
        <v>13.3</v>
      </c>
      <c r="G2364" s="1405">
        <v>13.3</v>
      </c>
      <c r="H2364" t="b">
        <f t="shared" si="73"/>
        <v>1</v>
      </c>
    </row>
    <row r="2365" spans="1:8">
      <c r="A2365" s="739">
        <v>38437</v>
      </c>
      <c r="B2365" s="740" t="s">
        <v>10754</v>
      </c>
      <c r="C2365" s="739" t="s">
        <v>1690</v>
      </c>
      <c r="D2365" s="741">
        <f t="shared" si="72"/>
        <v>21.57</v>
      </c>
      <c r="F2365" s="1406">
        <v>21.57</v>
      </c>
      <c r="G2365" s="1406">
        <v>21.57</v>
      </c>
      <c r="H2365" t="b">
        <f t="shared" si="73"/>
        <v>1</v>
      </c>
    </row>
    <row r="2366" spans="1:8">
      <c r="A2366" s="677">
        <v>38438</v>
      </c>
      <c r="B2366" s="733" t="s">
        <v>10755</v>
      </c>
      <c r="C2366" s="677" t="s">
        <v>1690</v>
      </c>
      <c r="D2366" s="738">
        <f t="shared" si="72"/>
        <v>62.57</v>
      </c>
      <c r="F2366" s="1405">
        <v>62.57</v>
      </c>
      <c r="G2366" s="1405">
        <v>62.57</v>
      </c>
      <c r="H2366" t="b">
        <f t="shared" si="73"/>
        <v>1</v>
      </c>
    </row>
    <row r="2367" spans="1:8">
      <c r="A2367" s="739">
        <v>38439</v>
      </c>
      <c r="B2367" s="740" t="s">
        <v>10756</v>
      </c>
      <c r="C2367" s="739" t="s">
        <v>1690</v>
      </c>
      <c r="D2367" s="741">
        <f t="shared" si="72"/>
        <v>79.5</v>
      </c>
      <c r="F2367" s="1406">
        <v>79.5</v>
      </c>
      <c r="G2367" s="1406">
        <v>79.5</v>
      </c>
      <c r="H2367" t="b">
        <f t="shared" si="73"/>
        <v>1</v>
      </c>
    </row>
    <row r="2368" spans="1:8">
      <c r="A2368" s="677">
        <v>10836</v>
      </c>
      <c r="B2368" s="733" t="s">
        <v>10757</v>
      </c>
      <c r="C2368" s="677" t="s">
        <v>1690</v>
      </c>
      <c r="D2368" s="738">
        <f t="shared" si="72"/>
        <v>19.63</v>
      </c>
      <c r="F2368" s="1405">
        <v>19.63</v>
      </c>
      <c r="G2368" s="1405">
        <v>19.63</v>
      </c>
      <c r="H2368" t="b">
        <f t="shared" si="73"/>
        <v>1</v>
      </c>
    </row>
    <row r="2369" spans="1:8">
      <c r="A2369" s="739">
        <v>10835</v>
      </c>
      <c r="B2369" s="740" t="s">
        <v>10758</v>
      </c>
      <c r="C2369" s="739" t="s">
        <v>1690</v>
      </c>
      <c r="D2369" s="741">
        <f t="shared" si="72"/>
        <v>5.48</v>
      </c>
      <c r="F2369" s="1406">
        <v>5.48</v>
      </c>
      <c r="G2369" s="1406">
        <v>5.48</v>
      </c>
      <c r="H2369" t="b">
        <f t="shared" si="73"/>
        <v>1</v>
      </c>
    </row>
    <row r="2370" spans="1:8">
      <c r="A2370" s="677">
        <v>3475</v>
      </c>
      <c r="B2370" s="733" t="s">
        <v>10759</v>
      </c>
      <c r="C2370" s="677" t="s">
        <v>1690</v>
      </c>
      <c r="D2370" s="738">
        <f t="shared" si="72"/>
        <v>4.5599999999999996</v>
      </c>
      <c r="F2370" s="1405">
        <v>4.5599999999999996</v>
      </c>
      <c r="G2370" s="1405">
        <v>4.5599999999999996</v>
      </c>
      <c r="H2370" t="b">
        <f t="shared" si="73"/>
        <v>1</v>
      </c>
    </row>
    <row r="2371" spans="1:8">
      <c r="A2371" s="739">
        <v>3485</v>
      </c>
      <c r="B2371" s="740" t="s">
        <v>10760</v>
      </c>
      <c r="C2371" s="739" t="s">
        <v>1690</v>
      </c>
      <c r="D2371" s="741">
        <f t="shared" ref="D2371:D2434" si="74">IF($J$2=$F$1,F2371,G2371)</f>
        <v>12.6</v>
      </c>
      <c r="F2371" s="1406">
        <v>12.6</v>
      </c>
      <c r="G2371" s="1406">
        <v>12.6</v>
      </c>
      <c r="H2371" t="b">
        <f t="shared" ref="H2371:H2434" si="75">F2371=G2371</f>
        <v>1</v>
      </c>
    </row>
    <row r="2372" spans="1:8">
      <c r="A2372" s="677">
        <v>3534</v>
      </c>
      <c r="B2372" s="733" t="s">
        <v>10761</v>
      </c>
      <c r="C2372" s="677" t="s">
        <v>1690</v>
      </c>
      <c r="D2372" s="738">
        <f t="shared" si="74"/>
        <v>7.23</v>
      </c>
      <c r="F2372" s="1405">
        <v>7.23</v>
      </c>
      <c r="G2372" s="1405">
        <v>7.23</v>
      </c>
      <c r="H2372" t="b">
        <f t="shared" si="75"/>
        <v>1</v>
      </c>
    </row>
    <row r="2373" spans="1:8">
      <c r="A2373" s="739">
        <v>3543</v>
      </c>
      <c r="B2373" s="740" t="s">
        <v>10762</v>
      </c>
      <c r="C2373" s="739" t="s">
        <v>1690</v>
      </c>
      <c r="D2373" s="741">
        <f t="shared" si="74"/>
        <v>1.68</v>
      </c>
      <c r="F2373" s="1406">
        <v>1.68</v>
      </c>
      <c r="G2373" s="1406">
        <v>1.68</v>
      </c>
      <c r="H2373" t="b">
        <f t="shared" si="75"/>
        <v>1</v>
      </c>
    </row>
    <row r="2374" spans="1:8">
      <c r="A2374" s="677">
        <v>3482</v>
      </c>
      <c r="B2374" s="733" t="s">
        <v>10763</v>
      </c>
      <c r="C2374" s="677" t="s">
        <v>1690</v>
      </c>
      <c r="D2374" s="738">
        <f t="shared" si="74"/>
        <v>5.17</v>
      </c>
      <c r="F2374" s="1405">
        <v>5.17</v>
      </c>
      <c r="G2374" s="1405">
        <v>5.17</v>
      </c>
      <c r="H2374" t="b">
        <f t="shared" si="75"/>
        <v>1</v>
      </c>
    </row>
    <row r="2375" spans="1:8">
      <c r="A2375" s="739">
        <v>3505</v>
      </c>
      <c r="B2375" s="740" t="s">
        <v>10764</v>
      </c>
      <c r="C2375" s="739" t="s">
        <v>1690</v>
      </c>
      <c r="D2375" s="741">
        <f t="shared" si="74"/>
        <v>2.4900000000000002</v>
      </c>
      <c r="F2375" s="1406">
        <v>2.4900000000000002</v>
      </c>
      <c r="G2375" s="1406">
        <v>2.4900000000000002</v>
      </c>
      <c r="H2375" t="b">
        <f t="shared" si="75"/>
        <v>1</v>
      </c>
    </row>
    <row r="2376" spans="1:8">
      <c r="A2376" s="677">
        <v>3521</v>
      </c>
      <c r="B2376" s="733" t="s">
        <v>10765</v>
      </c>
      <c r="C2376" s="677" t="s">
        <v>1690</v>
      </c>
      <c r="D2376" s="738">
        <f t="shared" si="74"/>
        <v>1.88</v>
      </c>
      <c r="F2376" s="1405">
        <v>1.88</v>
      </c>
      <c r="G2376" s="1405">
        <v>1.88</v>
      </c>
      <c r="H2376" t="b">
        <f t="shared" si="75"/>
        <v>1</v>
      </c>
    </row>
    <row r="2377" spans="1:8">
      <c r="A2377" s="739">
        <v>3531</v>
      </c>
      <c r="B2377" s="740" t="s">
        <v>10766</v>
      </c>
      <c r="C2377" s="739" t="s">
        <v>1690</v>
      </c>
      <c r="D2377" s="741">
        <f t="shared" si="74"/>
        <v>3.58</v>
      </c>
      <c r="F2377" s="1406">
        <v>3.58</v>
      </c>
      <c r="G2377" s="1406">
        <v>3.58</v>
      </c>
      <c r="H2377" t="b">
        <f t="shared" si="75"/>
        <v>1</v>
      </c>
    </row>
    <row r="2378" spans="1:8">
      <c r="A2378" s="677">
        <v>3522</v>
      </c>
      <c r="B2378" s="733" t="s">
        <v>10767</v>
      </c>
      <c r="C2378" s="677" t="s">
        <v>1690</v>
      </c>
      <c r="D2378" s="738">
        <f t="shared" si="74"/>
        <v>2.31</v>
      </c>
      <c r="F2378" s="1405">
        <v>2.31</v>
      </c>
      <c r="G2378" s="1405">
        <v>2.31</v>
      </c>
      <c r="H2378" t="b">
        <f t="shared" si="75"/>
        <v>1</v>
      </c>
    </row>
    <row r="2379" spans="1:8">
      <c r="A2379" s="739">
        <v>3527</v>
      </c>
      <c r="B2379" s="740" t="s">
        <v>10768</v>
      </c>
      <c r="C2379" s="739" t="s">
        <v>1690</v>
      </c>
      <c r="D2379" s="741">
        <f t="shared" si="74"/>
        <v>12.15</v>
      </c>
      <c r="F2379" s="1406">
        <v>12.15</v>
      </c>
      <c r="G2379" s="1406">
        <v>12.15</v>
      </c>
      <c r="H2379" t="b">
        <f t="shared" si="75"/>
        <v>1</v>
      </c>
    </row>
    <row r="2380" spans="1:8">
      <c r="A2380" s="677">
        <v>3516</v>
      </c>
      <c r="B2380" s="733" t="s">
        <v>10769</v>
      </c>
      <c r="C2380" s="677" t="s">
        <v>1690</v>
      </c>
      <c r="D2380" s="738">
        <f t="shared" si="74"/>
        <v>2.2599999999999998</v>
      </c>
      <c r="F2380" s="1405">
        <v>2.2599999999999998</v>
      </c>
      <c r="G2380" s="1405">
        <v>2.2599999999999998</v>
      </c>
      <c r="H2380" t="b">
        <f t="shared" si="75"/>
        <v>1</v>
      </c>
    </row>
    <row r="2381" spans="1:8">
      <c r="A2381" s="739">
        <v>3517</v>
      </c>
      <c r="B2381" s="740" t="s">
        <v>10770</v>
      </c>
      <c r="C2381" s="739" t="s">
        <v>1690</v>
      </c>
      <c r="D2381" s="741">
        <f t="shared" si="74"/>
        <v>2.04</v>
      </c>
      <c r="F2381" s="1406">
        <v>2.04</v>
      </c>
      <c r="G2381" s="1406">
        <v>2.04</v>
      </c>
      <c r="H2381" t="b">
        <f t="shared" si="75"/>
        <v>1</v>
      </c>
    </row>
    <row r="2382" spans="1:8">
      <c r="A2382" s="677">
        <v>3515</v>
      </c>
      <c r="B2382" s="733" t="s">
        <v>10771</v>
      </c>
      <c r="C2382" s="677" t="s">
        <v>1690</v>
      </c>
      <c r="D2382" s="738">
        <f t="shared" si="74"/>
        <v>6.19</v>
      </c>
      <c r="F2382" s="1405">
        <v>6.19</v>
      </c>
      <c r="G2382" s="1405">
        <v>6.19</v>
      </c>
      <c r="H2382" t="b">
        <f t="shared" si="75"/>
        <v>1</v>
      </c>
    </row>
    <row r="2383" spans="1:8">
      <c r="A2383" s="739">
        <v>20147</v>
      </c>
      <c r="B2383" s="740" t="s">
        <v>10772</v>
      </c>
      <c r="C2383" s="739" t="s">
        <v>1690</v>
      </c>
      <c r="D2383" s="741">
        <f t="shared" si="74"/>
        <v>5.09</v>
      </c>
      <c r="F2383" s="1406">
        <v>5.09</v>
      </c>
      <c r="G2383" s="1406">
        <v>5.09</v>
      </c>
      <c r="H2383" t="b">
        <f t="shared" si="75"/>
        <v>1</v>
      </c>
    </row>
    <row r="2384" spans="1:8">
      <c r="A2384" s="677">
        <v>3524</v>
      </c>
      <c r="B2384" s="733" t="s">
        <v>10773</v>
      </c>
      <c r="C2384" s="677" t="s">
        <v>1690</v>
      </c>
      <c r="D2384" s="738">
        <f t="shared" si="74"/>
        <v>7.67</v>
      </c>
      <c r="F2384" s="1405">
        <v>7.67</v>
      </c>
      <c r="G2384" s="1405">
        <v>7.67</v>
      </c>
      <c r="H2384" t="b">
        <f t="shared" si="75"/>
        <v>1</v>
      </c>
    </row>
    <row r="2385" spans="1:8">
      <c r="A2385" s="739">
        <v>3532</v>
      </c>
      <c r="B2385" s="740" t="s">
        <v>10774</v>
      </c>
      <c r="C2385" s="739" t="s">
        <v>1690</v>
      </c>
      <c r="D2385" s="741">
        <f t="shared" si="74"/>
        <v>17.72</v>
      </c>
      <c r="F2385" s="1406">
        <v>17.72</v>
      </c>
      <c r="G2385" s="1406">
        <v>17.72</v>
      </c>
      <c r="H2385" t="b">
        <f t="shared" si="75"/>
        <v>1</v>
      </c>
    </row>
    <row r="2386" spans="1:8">
      <c r="A2386" s="677">
        <v>3528</v>
      </c>
      <c r="B2386" s="733" t="s">
        <v>10775</v>
      </c>
      <c r="C2386" s="677" t="s">
        <v>1690</v>
      </c>
      <c r="D2386" s="738">
        <f t="shared" si="74"/>
        <v>8.84</v>
      </c>
      <c r="F2386" s="1405">
        <v>8.84</v>
      </c>
      <c r="G2386" s="1405">
        <v>8.84</v>
      </c>
      <c r="H2386" t="b">
        <f t="shared" si="75"/>
        <v>1</v>
      </c>
    </row>
    <row r="2387" spans="1:8">
      <c r="A2387" s="739">
        <v>37952</v>
      </c>
      <c r="B2387" s="740" t="s">
        <v>10776</v>
      </c>
      <c r="C2387" s="739" t="s">
        <v>1690</v>
      </c>
      <c r="D2387" s="741">
        <f t="shared" si="74"/>
        <v>63.35</v>
      </c>
      <c r="F2387" s="1406">
        <v>63.35</v>
      </c>
      <c r="G2387" s="1406">
        <v>63.35</v>
      </c>
      <c r="H2387" t="b">
        <f t="shared" si="75"/>
        <v>1</v>
      </c>
    </row>
    <row r="2388" spans="1:8">
      <c r="A2388" s="677">
        <v>37951</v>
      </c>
      <c r="B2388" s="733" t="s">
        <v>10777</v>
      </c>
      <c r="C2388" s="677" t="s">
        <v>1690</v>
      </c>
      <c r="D2388" s="738">
        <f t="shared" si="74"/>
        <v>2.38</v>
      </c>
      <c r="F2388" s="1405">
        <v>2.38</v>
      </c>
      <c r="G2388" s="1405">
        <v>2.38</v>
      </c>
      <c r="H2388" t="b">
        <f t="shared" si="75"/>
        <v>1</v>
      </c>
    </row>
    <row r="2389" spans="1:8">
      <c r="A2389" s="739">
        <v>3518</v>
      </c>
      <c r="B2389" s="740" t="s">
        <v>10778</v>
      </c>
      <c r="C2389" s="739" t="s">
        <v>1690</v>
      </c>
      <c r="D2389" s="741">
        <f t="shared" si="74"/>
        <v>3.66</v>
      </c>
      <c r="F2389" s="1406">
        <v>3.66</v>
      </c>
      <c r="G2389" s="1406">
        <v>3.66</v>
      </c>
      <c r="H2389" t="b">
        <f t="shared" si="75"/>
        <v>1</v>
      </c>
    </row>
    <row r="2390" spans="1:8">
      <c r="A2390" s="677">
        <v>3519</v>
      </c>
      <c r="B2390" s="733" t="s">
        <v>10779</v>
      </c>
      <c r="C2390" s="677" t="s">
        <v>1690</v>
      </c>
      <c r="D2390" s="738">
        <f t="shared" si="74"/>
        <v>7.66</v>
      </c>
      <c r="F2390" s="1405">
        <v>7.66</v>
      </c>
      <c r="G2390" s="1405">
        <v>7.66</v>
      </c>
      <c r="H2390" t="b">
        <f t="shared" si="75"/>
        <v>1</v>
      </c>
    </row>
    <row r="2391" spans="1:8">
      <c r="A2391" s="739">
        <v>3520</v>
      </c>
      <c r="B2391" s="740" t="s">
        <v>10780</v>
      </c>
      <c r="C2391" s="739" t="s">
        <v>1690</v>
      </c>
      <c r="D2391" s="741">
        <f t="shared" si="74"/>
        <v>8.0299999999999994</v>
      </c>
      <c r="F2391" s="1406">
        <v>8.0299999999999994</v>
      </c>
      <c r="G2391" s="1406">
        <v>8.0299999999999994</v>
      </c>
      <c r="H2391" t="b">
        <f t="shared" si="75"/>
        <v>1</v>
      </c>
    </row>
    <row r="2392" spans="1:8">
      <c r="A2392" s="677">
        <v>37950</v>
      </c>
      <c r="B2392" s="733" t="s">
        <v>10781</v>
      </c>
      <c r="C2392" s="677" t="s">
        <v>1690</v>
      </c>
      <c r="D2392" s="738">
        <f t="shared" si="74"/>
        <v>58.32</v>
      </c>
      <c r="F2392" s="1405">
        <v>58.32</v>
      </c>
      <c r="G2392" s="1405">
        <v>58.32</v>
      </c>
      <c r="H2392" t="b">
        <f t="shared" si="75"/>
        <v>1</v>
      </c>
    </row>
    <row r="2393" spans="1:8">
      <c r="A2393" s="739">
        <v>37949</v>
      </c>
      <c r="B2393" s="740" t="s">
        <v>10782</v>
      </c>
      <c r="C2393" s="739" t="s">
        <v>1690</v>
      </c>
      <c r="D2393" s="741">
        <f t="shared" si="74"/>
        <v>2.15</v>
      </c>
      <c r="F2393" s="1406">
        <v>2.15</v>
      </c>
      <c r="G2393" s="1406">
        <v>2.15</v>
      </c>
      <c r="H2393" t="b">
        <f t="shared" si="75"/>
        <v>1</v>
      </c>
    </row>
    <row r="2394" spans="1:8">
      <c r="A2394" s="677">
        <v>3526</v>
      </c>
      <c r="B2394" s="733" t="s">
        <v>10783</v>
      </c>
      <c r="C2394" s="677" t="s">
        <v>1690</v>
      </c>
      <c r="D2394" s="738">
        <f t="shared" si="74"/>
        <v>2.96</v>
      </c>
      <c r="F2394" s="1405">
        <v>2.96</v>
      </c>
      <c r="G2394" s="1405">
        <v>2.96</v>
      </c>
      <c r="H2394" t="b">
        <f t="shared" si="75"/>
        <v>1</v>
      </c>
    </row>
    <row r="2395" spans="1:8">
      <c r="A2395" s="739">
        <v>3509</v>
      </c>
      <c r="B2395" s="740" t="s">
        <v>10784</v>
      </c>
      <c r="C2395" s="739" t="s">
        <v>1690</v>
      </c>
      <c r="D2395" s="741">
        <f t="shared" si="74"/>
        <v>6.72</v>
      </c>
      <c r="F2395" s="1406">
        <v>6.72</v>
      </c>
      <c r="G2395" s="1406">
        <v>6.72</v>
      </c>
      <c r="H2395" t="b">
        <f t="shared" si="75"/>
        <v>1</v>
      </c>
    </row>
    <row r="2396" spans="1:8">
      <c r="A2396" s="677">
        <v>3530</v>
      </c>
      <c r="B2396" s="733" t="s">
        <v>10785</v>
      </c>
      <c r="C2396" s="677" t="s">
        <v>1690</v>
      </c>
      <c r="D2396" s="738">
        <f t="shared" si="74"/>
        <v>196.71</v>
      </c>
      <c r="F2396" s="1405">
        <v>196.71</v>
      </c>
      <c r="G2396" s="1405">
        <v>196.71</v>
      </c>
      <c r="H2396" t="b">
        <f t="shared" si="75"/>
        <v>1</v>
      </c>
    </row>
    <row r="2397" spans="1:8">
      <c r="A2397" s="739">
        <v>3542</v>
      </c>
      <c r="B2397" s="740" t="s">
        <v>10786</v>
      </c>
      <c r="C2397" s="739" t="s">
        <v>1690</v>
      </c>
      <c r="D2397" s="741">
        <f t="shared" si="74"/>
        <v>0.56000000000000005</v>
      </c>
      <c r="F2397" s="1406">
        <v>0.56000000000000005</v>
      </c>
      <c r="G2397" s="1406">
        <v>0.56000000000000005</v>
      </c>
      <c r="H2397" t="b">
        <f t="shared" si="75"/>
        <v>1</v>
      </c>
    </row>
    <row r="2398" spans="1:8">
      <c r="A2398" s="677">
        <v>3529</v>
      </c>
      <c r="B2398" s="733" t="s">
        <v>10787</v>
      </c>
      <c r="C2398" s="677" t="s">
        <v>1690</v>
      </c>
      <c r="D2398" s="738">
        <f t="shared" si="74"/>
        <v>0.69</v>
      </c>
      <c r="F2398" s="1405">
        <v>0.69</v>
      </c>
      <c r="G2398" s="1405">
        <v>0.69</v>
      </c>
      <c r="H2398" t="b">
        <f t="shared" si="75"/>
        <v>1</v>
      </c>
    </row>
    <row r="2399" spans="1:8">
      <c r="A2399" s="739">
        <v>3536</v>
      </c>
      <c r="B2399" s="740" t="s">
        <v>10788</v>
      </c>
      <c r="C2399" s="739" t="s">
        <v>1690</v>
      </c>
      <c r="D2399" s="741">
        <f t="shared" si="74"/>
        <v>2.2999999999999998</v>
      </c>
      <c r="F2399" s="1406">
        <v>2.2999999999999998</v>
      </c>
      <c r="G2399" s="1406">
        <v>2.2999999999999998</v>
      </c>
      <c r="H2399" t="b">
        <f t="shared" si="75"/>
        <v>1</v>
      </c>
    </row>
    <row r="2400" spans="1:8">
      <c r="A2400" s="677">
        <v>3535</v>
      </c>
      <c r="B2400" s="733" t="s">
        <v>10789</v>
      </c>
      <c r="C2400" s="677" t="s">
        <v>1690</v>
      </c>
      <c r="D2400" s="738">
        <f t="shared" si="74"/>
        <v>5.61</v>
      </c>
      <c r="F2400" s="1405">
        <v>5.61</v>
      </c>
      <c r="G2400" s="1405">
        <v>5.61</v>
      </c>
      <c r="H2400" t="b">
        <f t="shared" si="75"/>
        <v>1</v>
      </c>
    </row>
    <row r="2401" spans="1:8">
      <c r="A2401" s="739">
        <v>3540</v>
      </c>
      <c r="B2401" s="740" t="s">
        <v>10790</v>
      </c>
      <c r="C2401" s="739" t="s">
        <v>1690</v>
      </c>
      <c r="D2401" s="741">
        <f t="shared" si="74"/>
        <v>4.75</v>
      </c>
      <c r="F2401" s="1406">
        <v>4.75</v>
      </c>
      <c r="G2401" s="1406">
        <v>4.75</v>
      </c>
      <c r="H2401" t="b">
        <f t="shared" si="75"/>
        <v>1</v>
      </c>
    </row>
    <row r="2402" spans="1:8">
      <c r="A2402" s="677">
        <v>3539</v>
      </c>
      <c r="B2402" s="733" t="s">
        <v>10791</v>
      </c>
      <c r="C2402" s="677" t="s">
        <v>1690</v>
      </c>
      <c r="D2402" s="738">
        <f t="shared" si="74"/>
        <v>27.53</v>
      </c>
      <c r="F2402" s="1405">
        <v>27.53</v>
      </c>
      <c r="G2402" s="1405">
        <v>27.53</v>
      </c>
      <c r="H2402" t="b">
        <f t="shared" si="75"/>
        <v>1</v>
      </c>
    </row>
    <row r="2403" spans="1:8">
      <c r="A2403" s="739">
        <v>3513</v>
      </c>
      <c r="B2403" s="740" t="s">
        <v>10792</v>
      </c>
      <c r="C2403" s="739" t="s">
        <v>1690</v>
      </c>
      <c r="D2403" s="741">
        <f t="shared" si="74"/>
        <v>97.08</v>
      </c>
      <c r="F2403" s="1406">
        <v>97.08</v>
      </c>
      <c r="G2403" s="1406">
        <v>97.08</v>
      </c>
      <c r="H2403" t="b">
        <f t="shared" si="75"/>
        <v>1</v>
      </c>
    </row>
    <row r="2404" spans="1:8">
      <c r="A2404" s="677">
        <v>3510</v>
      </c>
      <c r="B2404" s="733" t="s">
        <v>10793</v>
      </c>
      <c r="C2404" s="677" t="s">
        <v>1690</v>
      </c>
      <c r="D2404" s="738">
        <f t="shared" si="74"/>
        <v>11.99</v>
      </c>
      <c r="F2404" s="1405">
        <v>11.99</v>
      </c>
      <c r="G2404" s="1405">
        <v>11.99</v>
      </c>
      <c r="H2404" t="b">
        <f t="shared" si="75"/>
        <v>1</v>
      </c>
    </row>
    <row r="2405" spans="1:8" ht="30">
      <c r="A2405" s="739">
        <v>38913</v>
      </c>
      <c r="B2405" s="740" t="s">
        <v>10794</v>
      </c>
      <c r="C2405" s="739" t="s">
        <v>1690</v>
      </c>
      <c r="D2405" s="741">
        <f t="shared" si="74"/>
        <v>9.42</v>
      </c>
      <c r="F2405" s="1406">
        <v>9.42</v>
      </c>
      <c r="G2405" s="1406">
        <v>9.42</v>
      </c>
      <c r="H2405" t="b">
        <f t="shared" si="75"/>
        <v>1</v>
      </c>
    </row>
    <row r="2406" spans="1:8" ht="30">
      <c r="A2406" s="677">
        <v>38914</v>
      </c>
      <c r="B2406" s="733" t="s">
        <v>10795</v>
      </c>
      <c r="C2406" s="677" t="s">
        <v>1690</v>
      </c>
      <c r="D2406" s="738">
        <f t="shared" si="74"/>
        <v>11.57</v>
      </c>
      <c r="F2406" s="1405">
        <v>11.57</v>
      </c>
      <c r="G2406" s="1405">
        <v>11.57</v>
      </c>
      <c r="H2406" t="b">
        <f t="shared" si="75"/>
        <v>1</v>
      </c>
    </row>
    <row r="2407" spans="1:8" ht="30">
      <c r="A2407" s="739">
        <v>38915</v>
      </c>
      <c r="B2407" s="740" t="s">
        <v>10796</v>
      </c>
      <c r="C2407" s="739" t="s">
        <v>1690</v>
      </c>
      <c r="D2407" s="741">
        <f t="shared" si="74"/>
        <v>22.29</v>
      </c>
      <c r="F2407" s="1406">
        <v>22.29</v>
      </c>
      <c r="G2407" s="1406">
        <v>22.29</v>
      </c>
      <c r="H2407" t="b">
        <f t="shared" si="75"/>
        <v>1</v>
      </c>
    </row>
    <row r="2408" spans="1:8" ht="30">
      <c r="A2408" s="677">
        <v>38916</v>
      </c>
      <c r="B2408" s="733" t="s">
        <v>10797</v>
      </c>
      <c r="C2408" s="677" t="s">
        <v>1690</v>
      </c>
      <c r="D2408" s="738">
        <f t="shared" si="74"/>
        <v>30.85</v>
      </c>
      <c r="F2408" s="1405">
        <v>30.85</v>
      </c>
      <c r="G2408" s="1405">
        <v>30.85</v>
      </c>
      <c r="H2408" t="b">
        <f t="shared" si="75"/>
        <v>1</v>
      </c>
    </row>
    <row r="2409" spans="1:8" ht="30">
      <c r="A2409" s="739">
        <v>39300</v>
      </c>
      <c r="B2409" s="740" t="s">
        <v>10798</v>
      </c>
      <c r="C2409" s="739" t="s">
        <v>1690</v>
      </c>
      <c r="D2409" s="741">
        <f t="shared" si="74"/>
        <v>8.41</v>
      </c>
      <c r="F2409" s="1406">
        <v>8.41</v>
      </c>
      <c r="G2409" s="1406">
        <v>8.41</v>
      </c>
      <c r="H2409" t="b">
        <f t="shared" si="75"/>
        <v>1</v>
      </c>
    </row>
    <row r="2410" spans="1:8" ht="30">
      <c r="A2410" s="677">
        <v>39301</v>
      </c>
      <c r="B2410" s="733" t="s">
        <v>10799</v>
      </c>
      <c r="C2410" s="677" t="s">
        <v>1690</v>
      </c>
      <c r="D2410" s="738">
        <f t="shared" si="74"/>
        <v>11.26</v>
      </c>
      <c r="F2410" s="1405">
        <v>11.26</v>
      </c>
      <c r="G2410" s="1405">
        <v>11.26</v>
      </c>
      <c r="H2410" t="b">
        <f t="shared" si="75"/>
        <v>1</v>
      </c>
    </row>
    <row r="2411" spans="1:8" ht="30">
      <c r="A2411" s="739">
        <v>39302</v>
      </c>
      <c r="B2411" s="740" t="s">
        <v>10800</v>
      </c>
      <c r="C2411" s="739" t="s">
        <v>1690</v>
      </c>
      <c r="D2411" s="741">
        <f t="shared" si="74"/>
        <v>20.47</v>
      </c>
      <c r="F2411" s="1406">
        <v>20.47</v>
      </c>
      <c r="G2411" s="1406">
        <v>20.47</v>
      </c>
      <c r="H2411" t="b">
        <f t="shared" si="75"/>
        <v>1</v>
      </c>
    </row>
    <row r="2412" spans="1:8" ht="30">
      <c r="A2412" s="677">
        <v>38923</v>
      </c>
      <c r="B2412" s="733" t="s">
        <v>10801</v>
      </c>
      <c r="C2412" s="677" t="s">
        <v>1690</v>
      </c>
      <c r="D2412" s="738">
        <f t="shared" si="74"/>
        <v>10.08</v>
      </c>
      <c r="F2412" s="1405">
        <v>10.08</v>
      </c>
      <c r="G2412" s="1405">
        <v>10.08</v>
      </c>
      <c r="H2412" t="b">
        <f t="shared" si="75"/>
        <v>1</v>
      </c>
    </row>
    <row r="2413" spans="1:8" ht="30">
      <c r="A2413" s="739">
        <v>38925</v>
      </c>
      <c r="B2413" s="740" t="s">
        <v>10802</v>
      </c>
      <c r="C2413" s="739" t="s">
        <v>1690</v>
      </c>
      <c r="D2413" s="741">
        <f t="shared" si="74"/>
        <v>11.7</v>
      </c>
      <c r="F2413" s="1406">
        <v>11.7</v>
      </c>
      <c r="G2413" s="1406">
        <v>11.7</v>
      </c>
      <c r="H2413" t="b">
        <f t="shared" si="75"/>
        <v>1</v>
      </c>
    </row>
    <row r="2414" spans="1:8" ht="30">
      <c r="A2414" s="677">
        <v>38926</v>
      </c>
      <c r="B2414" s="733" t="s">
        <v>10803</v>
      </c>
      <c r="C2414" s="677" t="s">
        <v>1690</v>
      </c>
      <c r="D2414" s="738">
        <f t="shared" si="74"/>
        <v>13.87</v>
      </c>
      <c r="F2414" s="1405">
        <v>13.87</v>
      </c>
      <c r="G2414" s="1405">
        <v>13.87</v>
      </c>
      <c r="H2414" t="b">
        <f t="shared" si="75"/>
        <v>1</v>
      </c>
    </row>
    <row r="2415" spans="1:8" ht="30">
      <c r="A2415" s="739">
        <v>38927</v>
      </c>
      <c r="B2415" s="740" t="s">
        <v>10804</v>
      </c>
      <c r="C2415" s="739" t="s">
        <v>1690</v>
      </c>
      <c r="D2415" s="741">
        <f t="shared" si="74"/>
        <v>17.52</v>
      </c>
      <c r="F2415" s="1406">
        <v>17.52</v>
      </c>
      <c r="G2415" s="1406">
        <v>17.52</v>
      </c>
      <c r="H2415" t="b">
        <f t="shared" si="75"/>
        <v>1</v>
      </c>
    </row>
    <row r="2416" spans="1:8" ht="30">
      <c r="A2416" s="677">
        <v>39304</v>
      </c>
      <c r="B2416" s="733" t="s">
        <v>10805</v>
      </c>
      <c r="C2416" s="677" t="s">
        <v>1690</v>
      </c>
      <c r="D2416" s="738">
        <f t="shared" si="74"/>
        <v>9.9499999999999993</v>
      </c>
      <c r="F2416" s="1405">
        <v>9.9499999999999993</v>
      </c>
      <c r="G2416" s="1405">
        <v>9.9499999999999993</v>
      </c>
      <c r="H2416" t="b">
        <f t="shared" si="75"/>
        <v>1</v>
      </c>
    </row>
    <row r="2417" spans="1:8" ht="30">
      <c r="A2417" s="739">
        <v>39305</v>
      </c>
      <c r="B2417" s="740" t="s">
        <v>10806</v>
      </c>
      <c r="C2417" s="739" t="s">
        <v>1690</v>
      </c>
      <c r="D2417" s="741">
        <f t="shared" si="74"/>
        <v>10.91</v>
      </c>
      <c r="F2417" s="1406">
        <v>10.91</v>
      </c>
      <c r="G2417" s="1406">
        <v>10.91</v>
      </c>
      <c r="H2417" t="b">
        <f t="shared" si="75"/>
        <v>1</v>
      </c>
    </row>
    <row r="2418" spans="1:8" ht="30">
      <c r="A2418" s="677">
        <v>39306</v>
      </c>
      <c r="B2418" s="733" t="s">
        <v>10807</v>
      </c>
      <c r="C2418" s="677" t="s">
        <v>1690</v>
      </c>
      <c r="D2418" s="738">
        <f t="shared" si="74"/>
        <v>14.67</v>
      </c>
      <c r="F2418" s="1405">
        <v>14.67</v>
      </c>
      <c r="G2418" s="1405">
        <v>14.67</v>
      </c>
      <c r="H2418" t="b">
        <f t="shared" si="75"/>
        <v>1</v>
      </c>
    </row>
    <row r="2419" spans="1:8" ht="30">
      <c r="A2419" s="739">
        <v>38928</v>
      </c>
      <c r="B2419" s="740" t="s">
        <v>10808</v>
      </c>
      <c r="C2419" s="739" t="s">
        <v>1690</v>
      </c>
      <c r="D2419" s="741">
        <f t="shared" si="74"/>
        <v>19.39</v>
      </c>
      <c r="F2419" s="1406">
        <v>19.39</v>
      </c>
      <c r="G2419" s="1406">
        <v>19.39</v>
      </c>
      <c r="H2419" t="b">
        <f t="shared" si="75"/>
        <v>1</v>
      </c>
    </row>
    <row r="2420" spans="1:8" ht="30">
      <c r="A2420" s="677">
        <v>38941</v>
      </c>
      <c r="B2420" s="733" t="s">
        <v>10809</v>
      </c>
      <c r="C2420" s="677" t="s">
        <v>1690</v>
      </c>
      <c r="D2420" s="738">
        <f t="shared" si="74"/>
        <v>15.2</v>
      </c>
      <c r="F2420" s="1405">
        <v>15.2</v>
      </c>
      <c r="G2420" s="1405">
        <v>15.2</v>
      </c>
      <c r="H2420" t="b">
        <f t="shared" si="75"/>
        <v>1</v>
      </c>
    </row>
    <row r="2421" spans="1:8" ht="30">
      <c r="A2421" s="739">
        <v>38917</v>
      </c>
      <c r="B2421" s="740" t="s">
        <v>10810</v>
      </c>
      <c r="C2421" s="739" t="s">
        <v>1690</v>
      </c>
      <c r="D2421" s="741">
        <f t="shared" si="74"/>
        <v>10.84</v>
      </c>
      <c r="F2421" s="1406">
        <v>10.84</v>
      </c>
      <c r="G2421" s="1406">
        <v>10.84</v>
      </c>
      <c r="H2421" t="b">
        <f t="shared" si="75"/>
        <v>1</v>
      </c>
    </row>
    <row r="2422" spans="1:8" ht="30">
      <c r="A2422" s="677">
        <v>38919</v>
      </c>
      <c r="B2422" s="733" t="s">
        <v>10811</v>
      </c>
      <c r="C2422" s="677" t="s">
        <v>1690</v>
      </c>
      <c r="D2422" s="738">
        <f t="shared" si="74"/>
        <v>12.72</v>
      </c>
      <c r="F2422" s="1405">
        <v>12.72</v>
      </c>
      <c r="G2422" s="1405">
        <v>12.72</v>
      </c>
      <c r="H2422" t="b">
        <f t="shared" si="75"/>
        <v>1</v>
      </c>
    </row>
    <row r="2423" spans="1:8" ht="30">
      <c r="A2423" s="739">
        <v>38922</v>
      </c>
      <c r="B2423" s="740" t="s">
        <v>10812</v>
      </c>
      <c r="C2423" s="739" t="s">
        <v>1690</v>
      </c>
      <c r="D2423" s="741">
        <f t="shared" si="74"/>
        <v>17.07</v>
      </c>
      <c r="F2423" s="1406">
        <v>17.07</v>
      </c>
      <c r="G2423" s="1406">
        <v>17.07</v>
      </c>
      <c r="H2423" t="b">
        <f t="shared" si="75"/>
        <v>1</v>
      </c>
    </row>
    <row r="2424" spans="1:8">
      <c r="A2424" s="677">
        <v>20151</v>
      </c>
      <c r="B2424" s="733" t="s">
        <v>10813</v>
      </c>
      <c r="C2424" s="677" t="s">
        <v>1690</v>
      </c>
      <c r="D2424" s="738">
        <f t="shared" si="74"/>
        <v>19.75</v>
      </c>
      <c r="F2424" s="1405">
        <v>19.75</v>
      </c>
      <c r="G2424" s="1405">
        <v>19.75</v>
      </c>
      <c r="H2424" t="b">
        <f t="shared" si="75"/>
        <v>1</v>
      </c>
    </row>
    <row r="2425" spans="1:8">
      <c r="A2425" s="739">
        <v>20152</v>
      </c>
      <c r="B2425" s="740" t="s">
        <v>10814</v>
      </c>
      <c r="C2425" s="739" t="s">
        <v>1690</v>
      </c>
      <c r="D2425" s="741">
        <f t="shared" si="74"/>
        <v>71.48</v>
      </c>
      <c r="F2425" s="1406">
        <v>71.48</v>
      </c>
      <c r="G2425" s="1406">
        <v>71.48</v>
      </c>
      <c r="H2425" t="b">
        <f t="shared" si="75"/>
        <v>1</v>
      </c>
    </row>
    <row r="2426" spans="1:8">
      <c r="A2426" s="677">
        <v>20148</v>
      </c>
      <c r="B2426" s="733" t="s">
        <v>10815</v>
      </c>
      <c r="C2426" s="677" t="s">
        <v>1690</v>
      </c>
      <c r="D2426" s="738">
        <f t="shared" si="74"/>
        <v>3.88</v>
      </c>
      <c r="F2426" s="1405">
        <v>3.88</v>
      </c>
      <c r="G2426" s="1405">
        <v>3.88</v>
      </c>
      <c r="H2426" t="b">
        <f t="shared" si="75"/>
        <v>1</v>
      </c>
    </row>
    <row r="2427" spans="1:8">
      <c r="A2427" s="739">
        <v>20149</v>
      </c>
      <c r="B2427" s="740" t="s">
        <v>10816</v>
      </c>
      <c r="C2427" s="739" t="s">
        <v>1690</v>
      </c>
      <c r="D2427" s="741">
        <f t="shared" si="74"/>
        <v>6.49</v>
      </c>
      <c r="F2427" s="1406">
        <v>6.49</v>
      </c>
      <c r="G2427" s="1406">
        <v>6.49</v>
      </c>
      <c r="H2427" t="b">
        <f t="shared" si="75"/>
        <v>1</v>
      </c>
    </row>
    <row r="2428" spans="1:8">
      <c r="A2428" s="677">
        <v>20150</v>
      </c>
      <c r="B2428" s="733" t="s">
        <v>10817</v>
      </c>
      <c r="C2428" s="677" t="s">
        <v>1690</v>
      </c>
      <c r="D2428" s="738">
        <f t="shared" si="74"/>
        <v>16.72</v>
      </c>
      <c r="F2428" s="1405">
        <v>16.72</v>
      </c>
      <c r="G2428" s="1405">
        <v>16.72</v>
      </c>
      <c r="H2428" t="b">
        <f t="shared" si="75"/>
        <v>1</v>
      </c>
    </row>
    <row r="2429" spans="1:8">
      <c r="A2429" s="739">
        <v>20157</v>
      </c>
      <c r="B2429" s="740" t="s">
        <v>10818</v>
      </c>
      <c r="C2429" s="739" t="s">
        <v>1690</v>
      </c>
      <c r="D2429" s="741">
        <f t="shared" si="74"/>
        <v>18.760000000000002</v>
      </c>
      <c r="F2429" s="1406">
        <v>18.760000000000002</v>
      </c>
      <c r="G2429" s="1406">
        <v>18.760000000000002</v>
      </c>
      <c r="H2429" t="b">
        <f t="shared" si="75"/>
        <v>1</v>
      </c>
    </row>
    <row r="2430" spans="1:8">
      <c r="A2430" s="677">
        <v>20158</v>
      </c>
      <c r="B2430" s="733" t="s">
        <v>10819</v>
      </c>
      <c r="C2430" s="677" t="s">
        <v>1690</v>
      </c>
      <c r="D2430" s="738">
        <f t="shared" si="74"/>
        <v>74.52</v>
      </c>
      <c r="F2430" s="1405">
        <v>74.52</v>
      </c>
      <c r="G2430" s="1405">
        <v>74.52</v>
      </c>
      <c r="H2430" t="b">
        <f t="shared" si="75"/>
        <v>1</v>
      </c>
    </row>
    <row r="2431" spans="1:8">
      <c r="A2431" s="739">
        <v>20154</v>
      </c>
      <c r="B2431" s="740" t="s">
        <v>10820</v>
      </c>
      <c r="C2431" s="739" t="s">
        <v>1690</v>
      </c>
      <c r="D2431" s="741">
        <f t="shared" si="74"/>
        <v>3.8</v>
      </c>
      <c r="F2431" s="1406">
        <v>3.8</v>
      </c>
      <c r="G2431" s="1406">
        <v>3.8</v>
      </c>
      <c r="H2431" t="b">
        <f t="shared" si="75"/>
        <v>1</v>
      </c>
    </row>
    <row r="2432" spans="1:8">
      <c r="A2432" s="677">
        <v>20155</v>
      </c>
      <c r="B2432" s="733" t="s">
        <v>10821</v>
      </c>
      <c r="C2432" s="677" t="s">
        <v>1690</v>
      </c>
      <c r="D2432" s="738">
        <f t="shared" si="74"/>
        <v>5.79</v>
      </c>
      <c r="F2432" s="1405">
        <v>5.79</v>
      </c>
      <c r="G2432" s="1405">
        <v>5.79</v>
      </c>
      <c r="H2432" t="b">
        <f t="shared" si="75"/>
        <v>1</v>
      </c>
    </row>
    <row r="2433" spans="1:8">
      <c r="A2433" s="739">
        <v>20156</v>
      </c>
      <c r="B2433" s="740" t="s">
        <v>10822</v>
      </c>
      <c r="C2433" s="739" t="s">
        <v>1690</v>
      </c>
      <c r="D2433" s="741">
        <f t="shared" si="74"/>
        <v>16.28</v>
      </c>
      <c r="F2433" s="1406">
        <v>16.28</v>
      </c>
      <c r="G2433" s="1406">
        <v>16.28</v>
      </c>
      <c r="H2433" t="b">
        <f t="shared" si="75"/>
        <v>1</v>
      </c>
    </row>
    <row r="2434" spans="1:8">
      <c r="A2434" s="677">
        <v>3499</v>
      </c>
      <c r="B2434" s="733" t="s">
        <v>10823</v>
      </c>
      <c r="C2434" s="677" t="s">
        <v>1690</v>
      </c>
      <c r="D2434" s="738">
        <f t="shared" si="74"/>
        <v>1.08</v>
      </c>
      <c r="F2434" s="1405">
        <v>1.08</v>
      </c>
      <c r="G2434" s="1405">
        <v>1.08</v>
      </c>
      <c r="H2434" t="b">
        <f t="shared" si="75"/>
        <v>1</v>
      </c>
    </row>
    <row r="2435" spans="1:8">
      <c r="A2435" s="739">
        <v>3500</v>
      </c>
      <c r="B2435" s="740" t="s">
        <v>10824</v>
      </c>
      <c r="C2435" s="739" t="s">
        <v>1690</v>
      </c>
      <c r="D2435" s="741">
        <f t="shared" ref="D2435:D2498" si="76">IF($J$2=$F$1,F2435,G2435)</f>
        <v>1.43</v>
      </c>
      <c r="F2435" s="1406">
        <v>1.43</v>
      </c>
      <c r="G2435" s="1406">
        <v>1.43</v>
      </c>
      <c r="H2435" t="b">
        <f t="shared" ref="H2435:H2498" si="77">F2435=G2435</f>
        <v>1</v>
      </c>
    </row>
    <row r="2436" spans="1:8">
      <c r="A2436" s="677">
        <v>3501</v>
      </c>
      <c r="B2436" s="733" t="s">
        <v>10825</v>
      </c>
      <c r="C2436" s="677" t="s">
        <v>1690</v>
      </c>
      <c r="D2436" s="738">
        <f t="shared" si="76"/>
        <v>3.94</v>
      </c>
      <c r="F2436" s="1405">
        <v>3.94</v>
      </c>
      <c r="G2436" s="1405">
        <v>3.94</v>
      </c>
      <c r="H2436" t="b">
        <f t="shared" si="77"/>
        <v>1</v>
      </c>
    </row>
    <row r="2437" spans="1:8">
      <c r="A2437" s="739">
        <v>3502</v>
      </c>
      <c r="B2437" s="740" t="s">
        <v>10826</v>
      </c>
      <c r="C2437" s="739" t="s">
        <v>1690</v>
      </c>
      <c r="D2437" s="741">
        <f t="shared" si="76"/>
        <v>5.67</v>
      </c>
      <c r="F2437" s="1406">
        <v>5.67</v>
      </c>
      <c r="G2437" s="1406">
        <v>5.67</v>
      </c>
      <c r="H2437" t="b">
        <f t="shared" si="77"/>
        <v>1</v>
      </c>
    </row>
    <row r="2438" spans="1:8">
      <c r="A2438" s="677">
        <v>3503</v>
      </c>
      <c r="B2438" s="733" t="s">
        <v>10827</v>
      </c>
      <c r="C2438" s="677" t="s">
        <v>1690</v>
      </c>
      <c r="D2438" s="738">
        <f t="shared" si="76"/>
        <v>7.12</v>
      </c>
      <c r="F2438" s="1405">
        <v>7.12</v>
      </c>
      <c r="G2438" s="1405">
        <v>7.12</v>
      </c>
      <c r="H2438" t="b">
        <f t="shared" si="77"/>
        <v>1</v>
      </c>
    </row>
    <row r="2439" spans="1:8">
      <c r="A2439" s="739">
        <v>3477</v>
      </c>
      <c r="B2439" s="740" t="s">
        <v>10828</v>
      </c>
      <c r="C2439" s="739" t="s">
        <v>1690</v>
      </c>
      <c r="D2439" s="741">
        <f t="shared" si="76"/>
        <v>25.87</v>
      </c>
      <c r="F2439" s="1406">
        <v>25.87</v>
      </c>
      <c r="G2439" s="1406">
        <v>25.87</v>
      </c>
      <c r="H2439" t="b">
        <f t="shared" si="77"/>
        <v>1</v>
      </c>
    </row>
    <row r="2440" spans="1:8">
      <c r="A2440" s="677">
        <v>3478</v>
      </c>
      <c r="B2440" s="733" t="s">
        <v>10829</v>
      </c>
      <c r="C2440" s="677" t="s">
        <v>1690</v>
      </c>
      <c r="D2440" s="738">
        <f t="shared" si="76"/>
        <v>62.03</v>
      </c>
      <c r="F2440" s="1405">
        <v>62.03</v>
      </c>
      <c r="G2440" s="1405">
        <v>62.03</v>
      </c>
      <c r="H2440" t="b">
        <f t="shared" si="77"/>
        <v>1</v>
      </c>
    </row>
    <row r="2441" spans="1:8">
      <c r="A2441" s="739">
        <v>3525</v>
      </c>
      <c r="B2441" s="740" t="s">
        <v>10830</v>
      </c>
      <c r="C2441" s="739" t="s">
        <v>1690</v>
      </c>
      <c r="D2441" s="741">
        <f t="shared" si="76"/>
        <v>76.55</v>
      </c>
      <c r="F2441" s="1406">
        <v>76.55</v>
      </c>
      <c r="G2441" s="1406">
        <v>76.55</v>
      </c>
      <c r="H2441" t="b">
        <f t="shared" si="77"/>
        <v>1</v>
      </c>
    </row>
    <row r="2442" spans="1:8">
      <c r="A2442" s="677">
        <v>3511</v>
      </c>
      <c r="B2442" s="733" t="s">
        <v>10831</v>
      </c>
      <c r="C2442" s="677" t="s">
        <v>1690</v>
      </c>
      <c r="D2442" s="738">
        <f t="shared" si="76"/>
        <v>81.2</v>
      </c>
      <c r="F2442" s="1405">
        <v>81.2</v>
      </c>
      <c r="G2442" s="1405">
        <v>81.2</v>
      </c>
      <c r="H2442" t="b">
        <f t="shared" si="77"/>
        <v>1</v>
      </c>
    </row>
    <row r="2443" spans="1:8" ht="30">
      <c r="A2443" s="739">
        <v>12032</v>
      </c>
      <c r="B2443" s="740" t="s">
        <v>10832</v>
      </c>
      <c r="C2443" s="739" t="s">
        <v>1698</v>
      </c>
      <c r="D2443" s="741">
        <f t="shared" si="76"/>
        <v>62.59</v>
      </c>
      <c r="F2443" s="1406">
        <v>62.59</v>
      </c>
      <c r="G2443" s="1406">
        <v>62.59</v>
      </c>
      <c r="H2443" t="b">
        <f t="shared" si="77"/>
        <v>1</v>
      </c>
    </row>
    <row r="2444" spans="1:8" ht="30">
      <c r="A2444" s="677">
        <v>12030</v>
      </c>
      <c r="B2444" s="733" t="s">
        <v>10833</v>
      </c>
      <c r="C2444" s="677" t="s">
        <v>1698</v>
      </c>
      <c r="D2444" s="738">
        <f t="shared" si="76"/>
        <v>58.81</v>
      </c>
      <c r="F2444" s="1405">
        <v>58.81</v>
      </c>
      <c r="G2444" s="1405">
        <v>58.81</v>
      </c>
      <c r="H2444" t="b">
        <f t="shared" si="77"/>
        <v>1</v>
      </c>
    </row>
    <row r="2445" spans="1:8">
      <c r="A2445" s="739">
        <v>10908</v>
      </c>
      <c r="B2445" s="740" t="s">
        <v>10834</v>
      </c>
      <c r="C2445" s="739" t="s">
        <v>1690</v>
      </c>
      <c r="D2445" s="741">
        <f t="shared" si="76"/>
        <v>18.440000000000001</v>
      </c>
      <c r="F2445" s="1406">
        <v>18.440000000000001</v>
      </c>
      <c r="G2445" s="1406">
        <v>18.440000000000001</v>
      </c>
      <c r="H2445" t="b">
        <f t="shared" si="77"/>
        <v>1</v>
      </c>
    </row>
    <row r="2446" spans="1:8">
      <c r="A2446" s="677">
        <v>10909</v>
      </c>
      <c r="B2446" s="733" t="s">
        <v>10835</v>
      </c>
      <c r="C2446" s="677" t="s">
        <v>1690</v>
      </c>
      <c r="D2446" s="738">
        <f t="shared" si="76"/>
        <v>21.46</v>
      </c>
      <c r="F2446" s="1405">
        <v>21.46</v>
      </c>
      <c r="G2446" s="1405">
        <v>21.46</v>
      </c>
      <c r="H2446" t="b">
        <f t="shared" si="77"/>
        <v>1</v>
      </c>
    </row>
    <row r="2447" spans="1:8">
      <c r="A2447" s="739">
        <v>3669</v>
      </c>
      <c r="B2447" s="740" t="s">
        <v>10836</v>
      </c>
      <c r="C2447" s="739" t="s">
        <v>1690</v>
      </c>
      <c r="D2447" s="741">
        <f t="shared" si="76"/>
        <v>13.18</v>
      </c>
      <c r="F2447" s="1406">
        <v>13.18</v>
      </c>
      <c r="G2447" s="1406">
        <v>13.18</v>
      </c>
      <c r="H2447" t="b">
        <f t="shared" si="77"/>
        <v>1</v>
      </c>
    </row>
    <row r="2448" spans="1:8">
      <c r="A2448" s="677">
        <v>20139</v>
      </c>
      <c r="B2448" s="733" t="s">
        <v>10837</v>
      </c>
      <c r="C2448" s="677" t="s">
        <v>1690</v>
      </c>
      <c r="D2448" s="738">
        <f t="shared" si="76"/>
        <v>113.37</v>
      </c>
      <c r="F2448" s="1405">
        <v>113.37</v>
      </c>
      <c r="G2448" s="1405">
        <v>113.37</v>
      </c>
      <c r="H2448" t="b">
        <f t="shared" si="77"/>
        <v>1</v>
      </c>
    </row>
    <row r="2449" spans="1:8">
      <c r="A2449" s="739">
        <v>3668</v>
      </c>
      <c r="B2449" s="740" t="s">
        <v>10838</v>
      </c>
      <c r="C2449" s="739" t="s">
        <v>1690</v>
      </c>
      <c r="D2449" s="741">
        <f t="shared" si="76"/>
        <v>40.5</v>
      </c>
      <c r="F2449" s="1406">
        <v>40.5</v>
      </c>
      <c r="G2449" s="1406">
        <v>40.5</v>
      </c>
      <c r="H2449" t="b">
        <f t="shared" si="77"/>
        <v>1</v>
      </c>
    </row>
    <row r="2450" spans="1:8">
      <c r="A2450" s="677">
        <v>10911</v>
      </c>
      <c r="B2450" s="733" t="s">
        <v>10839</v>
      </c>
      <c r="C2450" s="677" t="s">
        <v>1690</v>
      </c>
      <c r="D2450" s="738">
        <f t="shared" si="76"/>
        <v>17.75</v>
      </c>
      <c r="F2450" s="1405">
        <v>17.75</v>
      </c>
      <c r="G2450" s="1405">
        <v>17.75</v>
      </c>
      <c r="H2450" t="b">
        <f t="shared" si="77"/>
        <v>1</v>
      </c>
    </row>
    <row r="2451" spans="1:8">
      <c r="A2451" s="739">
        <v>3659</v>
      </c>
      <c r="B2451" s="740" t="s">
        <v>10840</v>
      </c>
      <c r="C2451" s="739" t="s">
        <v>1690</v>
      </c>
      <c r="D2451" s="741">
        <f t="shared" si="76"/>
        <v>18.09</v>
      </c>
      <c r="F2451" s="1406">
        <v>18.09</v>
      </c>
      <c r="G2451" s="1406">
        <v>18.09</v>
      </c>
      <c r="H2451" t="b">
        <f t="shared" si="77"/>
        <v>1</v>
      </c>
    </row>
    <row r="2452" spans="1:8">
      <c r="A2452" s="677">
        <v>3660</v>
      </c>
      <c r="B2452" s="733" t="s">
        <v>10841</v>
      </c>
      <c r="C2452" s="677" t="s">
        <v>1690</v>
      </c>
      <c r="D2452" s="738">
        <f t="shared" si="76"/>
        <v>23.39</v>
      </c>
      <c r="F2452" s="1405">
        <v>23.39</v>
      </c>
      <c r="G2452" s="1405">
        <v>23.39</v>
      </c>
      <c r="H2452" t="b">
        <f t="shared" si="77"/>
        <v>1</v>
      </c>
    </row>
    <row r="2453" spans="1:8">
      <c r="A2453" s="739">
        <v>20144</v>
      </c>
      <c r="B2453" s="740" t="s">
        <v>10842</v>
      </c>
      <c r="C2453" s="739" t="s">
        <v>1690</v>
      </c>
      <c r="D2453" s="741">
        <f t="shared" si="76"/>
        <v>52.38</v>
      </c>
      <c r="F2453" s="1406">
        <v>52.38</v>
      </c>
      <c r="G2453" s="1406">
        <v>52.38</v>
      </c>
      <c r="H2453" t="b">
        <f t="shared" si="77"/>
        <v>1</v>
      </c>
    </row>
    <row r="2454" spans="1:8">
      <c r="A2454" s="677">
        <v>20143</v>
      </c>
      <c r="B2454" s="733" t="s">
        <v>10843</v>
      </c>
      <c r="C2454" s="677" t="s">
        <v>1690</v>
      </c>
      <c r="D2454" s="738">
        <f t="shared" si="76"/>
        <v>67.02</v>
      </c>
      <c r="F2454" s="1405">
        <v>67.02</v>
      </c>
      <c r="G2454" s="1405">
        <v>67.02</v>
      </c>
      <c r="H2454" t="b">
        <f t="shared" si="77"/>
        <v>1</v>
      </c>
    </row>
    <row r="2455" spans="1:8">
      <c r="A2455" s="739">
        <v>20145</v>
      </c>
      <c r="B2455" s="740" t="s">
        <v>10844</v>
      </c>
      <c r="C2455" s="739" t="s">
        <v>1690</v>
      </c>
      <c r="D2455" s="741">
        <f t="shared" si="76"/>
        <v>129.27000000000001</v>
      </c>
      <c r="F2455" s="1406">
        <v>129.27000000000001</v>
      </c>
      <c r="G2455" s="1406">
        <v>129.27000000000001</v>
      </c>
      <c r="H2455" t="b">
        <f t="shared" si="77"/>
        <v>1</v>
      </c>
    </row>
    <row r="2456" spans="1:8">
      <c r="A2456" s="677">
        <v>20146</v>
      </c>
      <c r="B2456" s="733" t="s">
        <v>10845</v>
      </c>
      <c r="C2456" s="677" t="s">
        <v>1690</v>
      </c>
      <c r="D2456" s="738">
        <f t="shared" si="76"/>
        <v>176.71</v>
      </c>
      <c r="F2456" s="1405">
        <v>176.71</v>
      </c>
      <c r="G2456" s="1405">
        <v>176.71</v>
      </c>
      <c r="H2456" t="b">
        <f t="shared" si="77"/>
        <v>1</v>
      </c>
    </row>
    <row r="2457" spans="1:8">
      <c r="A2457" s="739">
        <v>20140</v>
      </c>
      <c r="B2457" s="740" t="s">
        <v>10846</v>
      </c>
      <c r="C2457" s="739" t="s">
        <v>1690</v>
      </c>
      <c r="D2457" s="741">
        <f t="shared" si="76"/>
        <v>8.2899999999999991</v>
      </c>
      <c r="F2457" s="1406">
        <v>8.2899999999999991</v>
      </c>
      <c r="G2457" s="1406">
        <v>8.2899999999999991</v>
      </c>
      <c r="H2457" t="b">
        <f t="shared" si="77"/>
        <v>1</v>
      </c>
    </row>
    <row r="2458" spans="1:8">
      <c r="A2458" s="677">
        <v>20141</v>
      </c>
      <c r="B2458" s="733" t="s">
        <v>10847</v>
      </c>
      <c r="C2458" s="677" t="s">
        <v>1690</v>
      </c>
      <c r="D2458" s="738">
        <f t="shared" si="76"/>
        <v>20.3</v>
      </c>
      <c r="F2458" s="1405">
        <v>20.3</v>
      </c>
      <c r="G2458" s="1405">
        <v>20.3</v>
      </c>
      <c r="H2458" t="b">
        <f t="shared" si="77"/>
        <v>1</v>
      </c>
    </row>
    <row r="2459" spans="1:8">
      <c r="A2459" s="739">
        <v>20142</v>
      </c>
      <c r="B2459" s="740" t="s">
        <v>10848</v>
      </c>
      <c r="C2459" s="739" t="s">
        <v>1690</v>
      </c>
      <c r="D2459" s="741">
        <f t="shared" si="76"/>
        <v>35.72</v>
      </c>
      <c r="F2459" s="1406">
        <v>35.72</v>
      </c>
      <c r="G2459" s="1406">
        <v>35.72</v>
      </c>
      <c r="H2459" t="b">
        <f t="shared" si="77"/>
        <v>1</v>
      </c>
    </row>
    <row r="2460" spans="1:8">
      <c r="A2460" s="677">
        <v>3670</v>
      </c>
      <c r="B2460" s="733" t="s">
        <v>10849</v>
      </c>
      <c r="C2460" s="677" t="s">
        <v>1690</v>
      </c>
      <c r="D2460" s="738">
        <f t="shared" si="76"/>
        <v>23.22</v>
      </c>
      <c r="F2460" s="1405">
        <v>23.22</v>
      </c>
      <c r="G2460" s="1405">
        <v>23.22</v>
      </c>
      <c r="H2460" t="b">
        <f t="shared" si="77"/>
        <v>1</v>
      </c>
    </row>
    <row r="2461" spans="1:8">
      <c r="A2461" s="739">
        <v>3666</v>
      </c>
      <c r="B2461" s="740" t="s">
        <v>10850</v>
      </c>
      <c r="C2461" s="739" t="s">
        <v>1690</v>
      </c>
      <c r="D2461" s="741">
        <f t="shared" si="76"/>
        <v>3.65</v>
      </c>
      <c r="F2461" s="1406">
        <v>3.65</v>
      </c>
      <c r="G2461" s="1406">
        <v>3.65</v>
      </c>
      <c r="H2461" t="b">
        <f t="shared" si="77"/>
        <v>1</v>
      </c>
    </row>
    <row r="2462" spans="1:8">
      <c r="A2462" s="677">
        <v>3662</v>
      </c>
      <c r="B2462" s="733" t="s">
        <v>10851</v>
      </c>
      <c r="C2462" s="677" t="s">
        <v>1690</v>
      </c>
      <c r="D2462" s="738">
        <f t="shared" si="76"/>
        <v>9.5299999999999994</v>
      </c>
      <c r="F2462" s="1405">
        <v>9.5299999999999994</v>
      </c>
      <c r="G2462" s="1405">
        <v>9.5299999999999994</v>
      </c>
      <c r="H2462" t="b">
        <f t="shared" si="77"/>
        <v>1</v>
      </c>
    </row>
    <row r="2463" spans="1:8">
      <c r="A2463" s="739">
        <v>3658</v>
      </c>
      <c r="B2463" s="740" t="s">
        <v>10852</v>
      </c>
      <c r="C2463" s="739" t="s">
        <v>1690</v>
      </c>
      <c r="D2463" s="741">
        <f t="shared" si="76"/>
        <v>18.059999999999999</v>
      </c>
      <c r="F2463" s="1406">
        <v>18.059999999999999</v>
      </c>
      <c r="G2463" s="1406">
        <v>18.059999999999999</v>
      </c>
      <c r="H2463" t="b">
        <f t="shared" si="77"/>
        <v>1</v>
      </c>
    </row>
    <row r="2464" spans="1:8">
      <c r="A2464" s="677">
        <v>14157</v>
      </c>
      <c r="B2464" s="733" t="s">
        <v>10853</v>
      </c>
      <c r="C2464" s="677" t="s">
        <v>1690</v>
      </c>
      <c r="D2464" s="738">
        <f t="shared" si="76"/>
        <v>1.27</v>
      </c>
      <c r="F2464" s="1405">
        <v>1.27</v>
      </c>
      <c r="G2464" s="1405">
        <v>1.27</v>
      </c>
      <c r="H2464" t="b">
        <f t="shared" si="77"/>
        <v>1</v>
      </c>
    </row>
    <row r="2465" spans="1:8">
      <c r="A2465" s="739">
        <v>42696</v>
      </c>
      <c r="B2465" s="740" t="s">
        <v>10854</v>
      </c>
      <c r="C2465" s="739" t="s">
        <v>1690</v>
      </c>
      <c r="D2465" s="741">
        <f t="shared" si="76"/>
        <v>143.19</v>
      </c>
      <c r="F2465" s="1406">
        <v>143.19</v>
      </c>
      <c r="G2465" s="1406">
        <v>143.19</v>
      </c>
      <c r="H2465" t="b">
        <f t="shared" si="77"/>
        <v>1</v>
      </c>
    </row>
    <row r="2466" spans="1:8">
      <c r="A2466" s="677">
        <v>39875</v>
      </c>
      <c r="B2466" s="733" t="s">
        <v>10855</v>
      </c>
      <c r="C2466" s="677" t="s">
        <v>1690</v>
      </c>
      <c r="D2466" s="738">
        <f t="shared" si="76"/>
        <v>612.03</v>
      </c>
      <c r="F2466" s="1405">
        <v>612.03</v>
      </c>
      <c r="G2466" s="1405">
        <v>612.03</v>
      </c>
      <c r="H2466" t="b">
        <f t="shared" si="77"/>
        <v>1</v>
      </c>
    </row>
    <row r="2467" spans="1:8">
      <c r="A2467" s="739">
        <v>39876</v>
      </c>
      <c r="B2467" s="740" t="s">
        <v>10856</v>
      </c>
      <c r="C2467" s="739" t="s">
        <v>1690</v>
      </c>
      <c r="D2467" s="741">
        <f t="shared" si="76"/>
        <v>766.26</v>
      </c>
      <c r="F2467" s="1406">
        <v>766.26</v>
      </c>
      <c r="G2467" s="1406">
        <v>766.26</v>
      </c>
      <c r="H2467" t="b">
        <f t="shared" si="77"/>
        <v>1</v>
      </c>
    </row>
    <row r="2468" spans="1:8">
      <c r="A2468" s="677">
        <v>39877</v>
      </c>
      <c r="B2468" s="733" t="s">
        <v>10857</v>
      </c>
      <c r="C2468" s="677" t="s">
        <v>1690</v>
      </c>
      <c r="D2468" s="738">
        <f t="shared" si="76"/>
        <v>1062.78</v>
      </c>
      <c r="F2468" s="1405">
        <v>1062.78</v>
      </c>
      <c r="G2468" s="1405">
        <v>1062.78</v>
      </c>
      <c r="H2468" t="b">
        <f t="shared" si="77"/>
        <v>1</v>
      </c>
    </row>
    <row r="2469" spans="1:8">
      <c r="A2469" s="739">
        <v>39878</v>
      </c>
      <c r="B2469" s="740" t="s">
        <v>10858</v>
      </c>
      <c r="C2469" s="739" t="s">
        <v>1690</v>
      </c>
      <c r="D2469" s="741">
        <f t="shared" si="76"/>
        <v>1403.75</v>
      </c>
      <c r="F2469" s="1406">
        <v>1403.75</v>
      </c>
      <c r="G2469" s="1406">
        <v>1403.75</v>
      </c>
      <c r="H2469" t="b">
        <f t="shared" si="77"/>
        <v>1</v>
      </c>
    </row>
    <row r="2470" spans="1:8">
      <c r="A2470" s="677">
        <v>39872</v>
      </c>
      <c r="B2470" s="733" t="s">
        <v>10859</v>
      </c>
      <c r="C2470" s="677" t="s">
        <v>1690</v>
      </c>
      <c r="D2470" s="738">
        <f t="shared" si="76"/>
        <v>419.72</v>
      </c>
      <c r="F2470" s="1405">
        <v>419.72</v>
      </c>
      <c r="G2470" s="1405">
        <v>419.72</v>
      </c>
      <c r="H2470" t="b">
        <f t="shared" si="77"/>
        <v>1</v>
      </c>
    </row>
    <row r="2471" spans="1:8">
      <c r="A2471" s="739">
        <v>39873</v>
      </c>
      <c r="B2471" s="740" t="s">
        <v>10860</v>
      </c>
      <c r="C2471" s="739" t="s">
        <v>1690</v>
      </c>
      <c r="D2471" s="741">
        <f t="shared" si="76"/>
        <v>486.85</v>
      </c>
      <c r="F2471" s="1406">
        <v>486.85</v>
      </c>
      <c r="G2471" s="1406">
        <v>486.85</v>
      </c>
      <c r="H2471" t="b">
        <f t="shared" si="77"/>
        <v>1</v>
      </c>
    </row>
    <row r="2472" spans="1:8">
      <c r="A2472" s="677">
        <v>39874</v>
      </c>
      <c r="B2472" s="733" t="s">
        <v>10861</v>
      </c>
      <c r="C2472" s="677" t="s">
        <v>1690</v>
      </c>
      <c r="D2472" s="738">
        <f t="shared" si="76"/>
        <v>534.74</v>
      </c>
      <c r="F2472" s="1405">
        <v>534.74</v>
      </c>
      <c r="G2472" s="1405">
        <v>534.74</v>
      </c>
      <c r="H2472" t="b">
        <f t="shared" si="77"/>
        <v>1</v>
      </c>
    </row>
    <row r="2473" spans="1:8">
      <c r="A2473" s="739">
        <v>3674</v>
      </c>
      <c r="B2473" s="740" t="s">
        <v>10862</v>
      </c>
      <c r="C2473" s="739" t="s">
        <v>1693</v>
      </c>
      <c r="D2473" s="741">
        <f t="shared" si="76"/>
        <v>86.56</v>
      </c>
      <c r="F2473" s="1406">
        <v>86.56</v>
      </c>
      <c r="G2473" s="1406">
        <v>86.56</v>
      </c>
      <c r="H2473" t="b">
        <f t="shared" si="77"/>
        <v>1</v>
      </c>
    </row>
    <row r="2474" spans="1:8">
      <c r="A2474" s="677">
        <v>3681</v>
      </c>
      <c r="B2474" s="733" t="s">
        <v>10863</v>
      </c>
      <c r="C2474" s="677" t="s">
        <v>1693</v>
      </c>
      <c r="D2474" s="738">
        <f t="shared" si="76"/>
        <v>128.78</v>
      </c>
      <c r="F2474" s="1405">
        <v>128.78</v>
      </c>
      <c r="G2474" s="1405">
        <v>128.78</v>
      </c>
      <c r="H2474" t="b">
        <f t="shared" si="77"/>
        <v>1</v>
      </c>
    </row>
    <row r="2475" spans="1:8">
      <c r="A2475" s="739">
        <v>3676</v>
      </c>
      <c r="B2475" s="740" t="s">
        <v>10864</v>
      </c>
      <c r="C2475" s="739" t="s">
        <v>1693</v>
      </c>
      <c r="D2475" s="741">
        <f t="shared" si="76"/>
        <v>484.67</v>
      </c>
      <c r="F2475" s="1406">
        <v>484.67</v>
      </c>
      <c r="G2475" s="1406">
        <v>484.67</v>
      </c>
      <c r="H2475" t="b">
        <f t="shared" si="77"/>
        <v>1</v>
      </c>
    </row>
    <row r="2476" spans="1:8">
      <c r="A2476" s="677">
        <v>3679</v>
      </c>
      <c r="B2476" s="733" t="s">
        <v>10865</v>
      </c>
      <c r="C2476" s="677" t="s">
        <v>1693</v>
      </c>
      <c r="D2476" s="738">
        <f t="shared" si="76"/>
        <v>400.97</v>
      </c>
      <c r="F2476" s="1405">
        <v>400.97</v>
      </c>
      <c r="G2476" s="1405">
        <v>400.97</v>
      </c>
      <c r="H2476" t="b">
        <f t="shared" si="77"/>
        <v>1</v>
      </c>
    </row>
    <row r="2477" spans="1:8">
      <c r="A2477" s="739">
        <v>3672</v>
      </c>
      <c r="B2477" s="740" t="s">
        <v>10866</v>
      </c>
      <c r="C2477" s="739" t="s">
        <v>1693</v>
      </c>
      <c r="D2477" s="741">
        <f t="shared" si="76"/>
        <v>1.36</v>
      </c>
      <c r="F2477" s="1406">
        <v>1.36</v>
      </c>
      <c r="G2477" s="1406">
        <v>1.36</v>
      </c>
      <c r="H2477" t="b">
        <f t="shared" si="77"/>
        <v>1</v>
      </c>
    </row>
    <row r="2478" spans="1:8">
      <c r="A2478" s="677">
        <v>3671</v>
      </c>
      <c r="B2478" s="733" t="s">
        <v>10867</v>
      </c>
      <c r="C2478" s="677" t="s">
        <v>1693</v>
      </c>
      <c r="D2478" s="738">
        <f t="shared" si="76"/>
        <v>1.29</v>
      </c>
      <c r="F2478" s="1405">
        <v>1.29</v>
      </c>
      <c r="G2478" s="1405">
        <v>1.29</v>
      </c>
      <c r="H2478" t="b">
        <f t="shared" si="77"/>
        <v>1</v>
      </c>
    </row>
    <row r="2479" spans="1:8">
      <c r="A2479" s="739">
        <v>3673</v>
      </c>
      <c r="B2479" s="740" t="s">
        <v>10868</v>
      </c>
      <c r="C2479" s="739" t="s">
        <v>1693</v>
      </c>
      <c r="D2479" s="741">
        <f t="shared" si="76"/>
        <v>2.02</v>
      </c>
      <c r="F2479" s="1406">
        <v>2.02</v>
      </c>
      <c r="G2479" s="1406">
        <v>2.02</v>
      </c>
      <c r="H2479" t="b">
        <f t="shared" si="77"/>
        <v>1</v>
      </c>
    </row>
    <row r="2480" spans="1:8">
      <c r="A2480" s="677">
        <v>38394</v>
      </c>
      <c r="B2480" s="733" t="s">
        <v>10869</v>
      </c>
      <c r="C2480" s="677" t="s">
        <v>1690</v>
      </c>
      <c r="D2480" s="738">
        <f t="shared" si="76"/>
        <v>382.25</v>
      </c>
      <c r="F2480" s="1405">
        <v>382.25</v>
      </c>
      <c r="G2480" s="1405">
        <v>382.25</v>
      </c>
      <c r="H2480" t="b">
        <f t="shared" si="77"/>
        <v>1</v>
      </c>
    </row>
    <row r="2481" spans="1:8">
      <c r="A2481" s="739">
        <v>3729</v>
      </c>
      <c r="B2481" s="740" t="s">
        <v>10870</v>
      </c>
      <c r="C2481" s="739" t="s">
        <v>1690</v>
      </c>
      <c r="D2481" s="741">
        <f t="shared" si="76"/>
        <v>131.88999999999999</v>
      </c>
      <c r="F2481" s="1406">
        <v>131.88999999999999</v>
      </c>
      <c r="G2481" s="1406">
        <v>131.88999999999999</v>
      </c>
      <c r="H2481" t="b">
        <f t="shared" si="77"/>
        <v>1</v>
      </c>
    </row>
    <row r="2482" spans="1:8" ht="45">
      <c r="A2482" s="677">
        <v>39357</v>
      </c>
      <c r="B2482" s="733" t="s">
        <v>10871</v>
      </c>
      <c r="C2482" s="677" t="s">
        <v>1690</v>
      </c>
      <c r="D2482" s="738">
        <f t="shared" si="76"/>
        <v>52.21</v>
      </c>
      <c r="F2482" s="1405">
        <v>52.21</v>
      </c>
      <c r="G2482" s="1405">
        <v>52.21</v>
      </c>
      <c r="H2482" t="b">
        <f t="shared" si="77"/>
        <v>1</v>
      </c>
    </row>
    <row r="2483" spans="1:8" ht="45">
      <c r="A2483" s="739">
        <v>39358</v>
      </c>
      <c r="B2483" s="740" t="s">
        <v>10872</v>
      </c>
      <c r="C2483" s="739" t="s">
        <v>1690</v>
      </c>
      <c r="D2483" s="741">
        <f t="shared" si="76"/>
        <v>52.21</v>
      </c>
      <c r="F2483" s="1406">
        <v>52.21</v>
      </c>
      <c r="G2483" s="1406">
        <v>52.21</v>
      </c>
      <c r="H2483" t="b">
        <f t="shared" si="77"/>
        <v>1</v>
      </c>
    </row>
    <row r="2484" spans="1:8" ht="45">
      <c r="A2484" s="677">
        <v>39355</v>
      </c>
      <c r="B2484" s="733" t="s">
        <v>10873</v>
      </c>
      <c r="C2484" s="677" t="s">
        <v>1690</v>
      </c>
      <c r="D2484" s="738">
        <f t="shared" si="76"/>
        <v>76.069999999999993</v>
      </c>
      <c r="F2484" s="1405">
        <v>76.069999999999993</v>
      </c>
      <c r="G2484" s="1405">
        <v>76.069999999999993</v>
      </c>
      <c r="H2484" t="b">
        <f t="shared" si="77"/>
        <v>1</v>
      </c>
    </row>
    <row r="2485" spans="1:8" ht="45">
      <c r="A2485" s="739">
        <v>39356</v>
      </c>
      <c r="B2485" s="740" t="s">
        <v>10874</v>
      </c>
      <c r="C2485" s="739" t="s">
        <v>1690</v>
      </c>
      <c r="D2485" s="741">
        <f t="shared" si="76"/>
        <v>72.599999999999994</v>
      </c>
      <c r="F2485" s="1406">
        <v>72.599999999999994</v>
      </c>
      <c r="G2485" s="1406">
        <v>72.599999999999994</v>
      </c>
      <c r="H2485" t="b">
        <f t="shared" si="77"/>
        <v>1</v>
      </c>
    </row>
    <row r="2486" spans="1:8" ht="30">
      <c r="A2486" s="677">
        <v>39353</v>
      </c>
      <c r="B2486" s="733" t="s">
        <v>10875</v>
      </c>
      <c r="C2486" s="677" t="s">
        <v>1690</v>
      </c>
      <c r="D2486" s="738">
        <f t="shared" si="76"/>
        <v>166.66</v>
      </c>
      <c r="F2486" s="1405">
        <v>166.66</v>
      </c>
      <c r="G2486" s="1405">
        <v>166.66</v>
      </c>
      <c r="H2486" t="b">
        <f t="shared" si="77"/>
        <v>1</v>
      </c>
    </row>
    <row r="2487" spans="1:8" ht="30">
      <c r="A2487" s="739">
        <v>39354</v>
      </c>
      <c r="B2487" s="740" t="s">
        <v>10876</v>
      </c>
      <c r="C2487" s="739" t="s">
        <v>1690</v>
      </c>
      <c r="D2487" s="741">
        <f t="shared" si="76"/>
        <v>351.63</v>
      </c>
      <c r="F2487" s="1406">
        <v>351.63</v>
      </c>
      <c r="G2487" s="1406">
        <v>351.63</v>
      </c>
      <c r="H2487" t="b">
        <f t="shared" si="77"/>
        <v>1</v>
      </c>
    </row>
    <row r="2488" spans="1:8">
      <c r="A2488" s="677">
        <v>39398</v>
      </c>
      <c r="B2488" s="733" t="s">
        <v>10877</v>
      </c>
      <c r="C2488" s="677" t="s">
        <v>1690</v>
      </c>
      <c r="D2488" s="738">
        <f t="shared" si="76"/>
        <v>79.06</v>
      </c>
      <c r="F2488" s="1405">
        <v>79.06</v>
      </c>
      <c r="G2488" s="1405">
        <v>79.06</v>
      </c>
      <c r="H2488" t="b">
        <f t="shared" si="77"/>
        <v>1</v>
      </c>
    </row>
    <row r="2489" spans="1:8" ht="30">
      <c r="A2489" s="739">
        <v>13343</v>
      </c>
      <c r="B2489" s="740" t="s">
        <v>10878</v>
      </c>
      <c r="C2489" s="739" t="s">
        <v>1690</v>
      </c>
      <c r="D2489" s="741">
        <f t="shared" si="76"/>
        <v>44.3</v>
      </c>
      <c r="F2489" s="1406">
        <v>44.3</v>
      </c>
      <c r="G2489" s="1406">
        <v>44.3</v>
      </c>
      <c r="H2489" t="b">
        <f t="shared" si="77"/>
        <v>1</v>
      </c>
    </row>
    <row r="2490" spans="1:8">
      <c r="A2490" s="677">
        <v>12118</v>
      </c>
      <c r="B2490" s="733" t="s">
        <v>10879</v>
      </c>
      <c r="C2490" s="677" t="s">
        <v>1690</v>
      </c>
      <c r="D2490" s="738">
        <f t="shared" si="76"/>
        <v>20.68</v>
      </c>
      <c r="F2490" s="1405">
        <v>20.68</v>
      </c>
      <c r="G2490" s="1405">
        <v>20.68</v>
      </c>
      <c r="H2490" t="b">
        <f t="shared" si="77"/>
        <v>1</v>
      </c>
    </row>
    <row r="2491" spans="1:8" ht="45">
      <c r="A2491" s="739">
        <v>39482</v>
      </c>
      <c r="B2491" s="740" t="s">
        <v>10880</v>
      </c>
      <c r="C2491" s="739" t="s">
        <v>1690</v>
      </c>
      <c r="D2491" s="741">
        <f t="shared" si="76"/>
        <v>687.44</v>
      </c>
      <c r="F2491" s="1406">
        <v>687.44</v>
      </c>
      <c r="G2491" s="1406">
        <v>687.44</v>
      </c>
      <c r="H2491" t="b">
        <f t="shared" si="77"/>
        <v>1</v>
      </c>
    </row>
    <row r="2492" spans="1:8" ht="45">
      <c r="A2492" s="677">
        <v>39486</v>
      </c>
      <c r="B2492" s="733" t="s">
        <v>10881</v>
      </c>
      <c r="C2492" s="677" t="s">
        <v>1690</v>
      </c>
      <c r="D2492" s="738">
        <f t="shared" si="76"/>
        <v>561.04999999999995</v>
      </c>
      <c r="F2492" s="1405">
        <v>561.04999999999995</v>
      </c>
      <c r="G2492" s="1405">
        <v>561.04999999999995</v>
      </c>
      <c r="H2492" t="b">
        <f t="shared" si="77"/>
        <v>1</v>
      </c>
    </row>
    <row r="2493" spans="1:8" ht="45">
      <c r="A2493" s="739">
        <v>39484</v>
      </c>
      <c r="B2493" s="740" t="s">
        <v>10882</v>
      </c>
      <c r="C2493" s="739" t="s">
        <v>1690</v>
      </c>
      <c r="D2493" s="741">
        <f t="shared" si="76"/>
        <v>687.44</v>
      </c>
      <c r="F2493" s="1406">
        <v>687.44</v>
      </c>
      <c r="G2493" s="1406">
        <v>687.44</v>
      </c>
      <c r="H2493" t="b">
        <f t="shared" si="77"/>
        <v>1</v>
      </c>
    </row>
    <row r="2494" spans="1:8" ht="45">
      <c r="A2494" s="677">
        <v>39488</v>
      </c>
      <c r="B2494" s="733" t="s">
        <v>10883</v>
      </c>
      <c r="C2494" s="677" t="s">
        <v>1690</v>
      </c>
      <c r="D2494" s="738">
        <f t="shared" si="76"/>
        <v>570.24</v>
      </c>
      <c r="F2494" s="1405">
        <v>570.24</v>
      </c>
      <c r="G2494" s="1405">
        <v>570.24</v>
      </c>
      <c r="H2494" t="b">
        <f t="shared" si="77"/>
        <v>1</v>
      </c>
    </row>
    <row r="2495" spans="1:8" ht="45">
      <c r="A2495" s="739">
        <v>39485</v>
      </c>
      <c r="B2495" s="740" t="s">
        <v>10884</v>
      </c>
      <c r="C2495" s="739" t="s">
        <v>1690</v>
      </c>
      <c r="D2495" s="741">
        <f t="shared" si="76"/>
        <v>687.44</v>
      </c>
      <c r="F2495" s="1406">
        <v>687.44</v>
      </c>
      <c r="G2495" s="1406">
        <v>687.44</v>
      </c>
      <c r="H2495" t="b">
        <f t="shared" si="77"/>
        <v>1</v>
      </c>
    </row>
    <row r="2496" spans="1:8" ht="45">
      <c r="A2496" s="677">
        <v>39489</v>
      </c>
      <c r="B2496" s="733" t="s">
        <v>10885</v>
      </c>
      <c r="C2496" s="677" t="s">
        <v>1690</v>
      </c>
      <c r="D2496" s="738">
        <f t="shared" si="76"/>
        <v>579.9</v>
      </c>
      <c r="F2496" s="1405">
        <v>579.9</v>
      </c>
      <c r="G2496" s="1405">
        <v>579.9</v>
      </c>
      <c r="H2496" t="b">
        <f t="shared" si="77"/>
        <v>1</v>
      </c>
    </row>
    <row r="2497" spans="1:8" ht="45">
      <c r="A2497" s="739">
        <v>39490</v>
      </c>
      <c r="B2497" s="740" t="s">
        <v>10886</v>
      </c>
      <c r="C2497" s="739" t="s">
        <v>1690</v>
      </c>
      <c r="D2497" s="741">
        <f t="shared" si="76"/>
        <v>864.13</v>
      </c>
      <c r="F2497" s="1406">
        <v>864.13</v>
      </c>
      <c r="G2497" s="1406">
        <v>864.13</v>
      </c>
      <c r="H2497" t="b">
        <f t="shared" si="77"/>
        <v>1</v>
      </c>
    </row>
    <row r="2498" spans="1:8" ht="45">
      <c r="A2498" s="677">
        <v>39494</v>
      </c>
      <c r="B2498" s="733" t="s">
        <v>10887</v>
      </c>
      <c r="C2498" s="677" t="s">
        <v>1690</v>
      </c>
      <c r="D2498" s="738">
        <f t="shared" si="76"/>
        <v>620.52</v>
      </c>
      <c r="F2498" s="1405">
        <v>620.52</v>
      </c>
      <c r="G2498" s="1405">
        <v>620.52</v>
      </c>
      <c r="H2498" t="b">
        <f t="shared" si="77"/>
        <v>1</v>
      </c>
    </row>
    <row r="2499" spans="1:8" ht="45">
      <c r="A2499" s="739">
        <v>39495</v>
      </c>
      <c r="B2499" s="740" t="s">
        <v>10888</v>
      </c>
      <c r="C2499" s="739" t="s">
        <v>1690</v>
      </c>
      <c r="D2499" s="741">
        <f t="shared" ref="D2499:D2562" si="78">IF($J$2=$F$1,F2499,G2499)</f>
        <v>699.24</v>
      </c>
      <c r="F2499" s="1406">
        <v>699.24</v>
      </c>
      <c r="G2499" s="1406">
        <v>699.24</v>
      </c>
      <c r="H2499" t="b">
        <f t="shared" ref="H2499:H2562" si="79">F2499=G2499</f>
        <v>1</v>
      </c>
    </row>
    <row r="2500" spans="1:8" ht="45">
      <c r="A2500" s="677">
        <v>39496</v>
      </c>
      <c r="B2500" s="733" t="s">
        <v>10889</v>
      </c>
      <c r="C2500" s="677" t="s">
        <v>1690</v>
      </c>
      <c r="D2500" s="738">
        <f t="shared" si="78"/>
        <v>769.16</v>
      </c>
      <c r="F2500" s="1405">
        <v>769.16</v>
      </c>
      <c r="G2500" s="1405">
        <v>769.16</v>
      </c>
      <c r="H2500" t="b">
        <f t="shared" si="79"/>
        <v>1</v>
      </c>
    </row>
    <row r="2501" spans="1:8" ht="45">
      <c r="A2501" s="739">
        <v>39492</v>
      </c>
      <c r="B2501" s="740" t="s">
        <v>10890</v>
      </c>
      <c r="C2501" s="739" t="s">
        <v>1690</v>
      </c>
      <c r="D2501" s="741">
        <f t="shared" si="78"/>
        <v>890.48</v>
      </c>
      <c r="F2501" s="1406">
        <v>890.48</v>
      </c>
      <c r="G2501" s="1406">
        <v>890.48</v>
      </c>
      <c r="H2501" t="b">
        <f t="shared" si="79"/>
        <v>1</v>
      </c>
    </row>
    <row r="2502" spans="1:8" ht="45">
      <c r="A2502" s="677">
        <v>39497</v>
      </c>
      <c r="B2502" s="733" t="s">
        <v>10891</v>
      </c>
      <c r="C2502" s="677" t="s">
        <v>1690</v>
      </c>
      <c r="D2502" s="738">
        <f t="shared" si="78"/>
        <v>804.34</v>
      </c>
      <c r="F2502" s="1405">
        <v>804.34</v>
      </c>
      <c r="G2502" s="1405">
        <v>804.34</v>
      </c>
      <c r="H2502" t="b">
        <f t="shared" si="79"/>
        <v>1</v>
      </c>
    </row>
    <row r="2503" spans="1:8" ht="45">
      <c r="A2503" s="739">
        <v>39493</v>
      </c>
      <c r="B2503" s="740" t="s">
        <v>10892</v>
      </c>
      <c r="C2503" s="739" t="s">
        <v>1690</v>
      </c>
      <c r="D2503" s="741">
        <f t="shared" si="78"/>
        <v>955.13</v>
      </c>
      <c r="F2503" s="1406">
        <v>955.13</v>
      </c>
      <c r="G2503" s="1406">
        <v>955.13</v>
      </c>
      <c r="H2503" t="b">
        <f t="shared" si="79"/>
        <v>1</v>
      </c>
    </row>
    <row r="2504" spans="1:8" ht="30">
      <c r="A2504" s="677">
        <v>39500</v>
      </c>
      <c r="B2504" s="733" t="s">
        <v>10893</v>
      </c>
      <c r="C2504" s="677" t="s">
        <v>1690</v>
      </c>
      <c r="D2504" s="738">
        <f t="shared" si="78"/>
        <v>1042.1199999999999</v>
      </c>
      <c r="F2504" s="1405">
        <v>1042.1199999999999</v>
      </c>
      <c r="G2504" s="1405">
        <v>1042.1199999999999</v>
      </c>
      <c r="H2504" t="b">
        <f t="shared" si="79"/>
        <v>1</v>
      </c>
    </row>
    <row r="2505" spans="1:8" ht="45">
      <c r="A2505" s="739">
        <v>39498</v>
      </c>
      <c r="B2505" s="740" t="s">
        <v>10894</v>
      </c>
      <c r="C2505" s="739" t="s">
        <v>1690</v>
      </c>
      <c r="D2505" s="741">
        <f t="shared" si="78"/>
        <v>1285.28</v>
      </c>
      <c r="F2505" s="1406">
        <v>1285.28</v>
      </c>
      <c r="G2505" s="1406">
        <v>1285.28</v>
      </c>
      <c r="H2505" t="b">
        <f t="shared" si="79"/>
        <v>1</v>
      </c>
    </row>
    <row r="2506" spans="1:8" ht="45">
      <c r="A2506" s="677">
        <v>43628</v>
      </c>
      <c r="B2506" s="733" t="s">
        <v>10895</v>
      </c>
      <c r="C2506" s="677" t="s">
        <v>1690</v>
      </c>
      <c r="D2506" s="738">
        <f t="shared" si="78"/>
        <v>1013.08</v>
      </c>
      <c r="F2506" s="1405">
        <v>1013.08</v>
      </c>
      <c r="G2506" s="1405">
        <v>1013.08</v>
      </c>
      <c r="H2506" t="b">
        <f t="shared" si="79"/>
        <v>1</v>
      </c>
    </row>
    <row r="2507" spans="1:8" ht="30">
      <c r="A2507" s="739">
        <v>39501</v>
      </c>
      <c r="B2507" s="740" t="s">
        <v>10896</v>
      </c>
      <c r="C2507" s="739" t="s">
        <v>1690</v>
      </c>
      <c r="D2507" s="741">
        <f t="shared" si="78"/>
        <v>1070.3399999999999</v>
      </c>
      <c r="F2507" s="1406">
        <v>1070.3399999999999</v>
      </c>
      <c r="G2507" s="1406">
        <v>1070.3399999999999</v>
      </c>
      <c r="H2507" t="b">
        <f t="shared" si="79"/>
        <v>1</v>
      </c>
    </row>
    <row r="2508" spans="1:8" ht="45">
      <c r="A2508" s="677">
        <v>39499</v>
      </c>
      <c r="B2508" s="733" t="s">
        <v>10897</v>
      </c>
      <c r="C2508" s="677" t="s">
        <v>1690</v>
      </c>
      <c r="D2508" s="738">
        <f t="shared" si="78"/>
        <v>1303.53</v>
      </c>
      <c r="F2508" s="1405">
        <v>1303.53</v>
      </c>
      <c r="G2508" s="1405">
        <v>1303.53</v>
      </c>
      <c r="H2508" t="b">
        <f t="shared" si="79"/>
        <v>1</v>
      </c>
    </row>
    <row r="2509" spans="1:8" ht="45">
      <c r="A2509" s="739">
        <v>43621</v>
      </c>
      <c r="B2509" s="740" t="s">
        <v>10898</v>
      </c>
      <c r="C2509" s="739" t="s">
        <v>1690</v>
      </c>
      <c r="D2509" s="741">
        <f t="shared" si="78"/>
        <v>1076.3900000000001</v>
      </c>
      <c r="F2509" s="1406">
        <v>1076.3900000000001</v>
      </c>
      <c r="G2509" s="1406">
        <v>1076.3900000000001</v>
      </c>
      <c r="H2509" t="b">
        <f t="shared" si="79"/>
        <v>1</v>
      </c>
    </row>
    <row r="2510" spans="1:8">
      <c r="A2510" s="677">
        <v>3733</v>
      </c>
      <c r="B2510" s="733" t="s">
        <v>10899</v>
      </c>
      <c r="C2510" s="677" t="s">
        <v>1692</v>
      </c>
      <c r="D2510" s="738">
        <f t="shared" si="78"/>
        <v>70.02</v>
      </c>
      <c r="F2510" s="1405">
        <v>70.02</v>
      </c>
      <c r="G2510" s="1405">
        <v>70.02</v>
      </c>
      <c r="H2510" t="b">
        <f t="shared" si="79"/>
        <v>1</v>
      </c>
    </row>
    <row r="2511" spans="1:8">
      <c r="A2511" s="739">
        <v>3731</v>
      </c>
      <c r="B2511" s="740" t="s">
        <v>10900</v>
      </c>
      <c r="C2511" s="739" t="s">
        <v>1692</v>
      </c>
      <c r="D2511" s="741">
        <f t="shared" si="78"/>
        <v>65</v>
      </c>
      <c r="F2511" s="1406">
        <v>65</v>
      </c>
      <c r="G2511" s="1406">
        <v>65</v>
      </c>
      <c r="H2511" t="b">
        <f t="shared" si="79"/>
        <v>1</v>
      </c>
    </row>
    <row r="2512" spans="1:8">
      <c r="A2512" s="677">
        <v>38137</v>
      </c>
      <c r="B2512" s="733" t="s">
        <v>10901</v>
      </c>
      <c r="C2512" s="677" t="s">
        <v>1692</v>
      </c>
      <c r="D2512" s="738">
        <f t="shared" si="78"/>
        <v>65.38</v>
      </c>
      <c r="F2512" s="1405">
        <v>65.38</v>
      </c>
      <c r="G2512" s="1405">
        <v>65.38</v>
      </c>
      <c r="H2512" t="b">
        <f t="shared" si="79"/>
        <v>1</v>
      </c>
    </row>
    <row r="2513" spans="1:8">
      <c r="A2513" s="739">
        <v>38135</v>
      </c>
      <c r="B2513" s="740" t="s">
        <v>10902</v>
      </c>
      <c r="C2513" s="739" t="s">
        <v>1692</v>
      </c>
      <c r="D2513" s="741">
        <f t="shared" si="78"/>
        <v>82.88</v>
      </c>
      <c r="F2513" s="1406">
        <v>82.88</v>
      </c>
      <c r="G2513" s="1406">
        <v>82.88</v>
      </c>
      <c r="H2513" t="b">
        <f t="shared" si="79"/>
        <v>1</v>
      </c>
    </row>
    <row r="2514" spans="1:8">
      <c r="A2514" s="677">
        <v>38138</v>
      </c>
      <c r="B2514" s="733" t="s">
        <v>10903</v>
      </c>
      <c r="C2514" s="677" t="s">
        <v>1692</v>
      </c>
      <c r="D2514" s="738">
        <f t="shared" si="78"/>
        <v>64.2</v>
      </c>
      <c r="F2514" s="1405">
        <v>64.2</v>
      </c>
      <c r="G2514" s="1405">
        <v>64.2</v>
      </c>
      <c r="H2514" t="b">
        <f t="shared" si="79"/>
        <v>1</v>
      </c>
    </row>
    <row r="2515" spans="1:8" ht="30">
      <c r="A2515" s="739">
        <v>3736</v>
      </c>
      <c r="B2515" s="740" t="s">
        <v>10904</v>
      </c>
      <c r="C2515" s="739" t="s">
        <v>1692</v>
      </c>
      <c r="D2515" s="741">
        <f t="shared" si="78"/>
        <v>56.7</v>
      </c>
      <c r="F2515" s="1406">
        <v>56.7</v>
      </c>
      <c r="G2515" s="1406">
        <v>56.7</v>
      </c>
      <c r="H2515" t="b">
        <f t="shared" si="79"/>
        <v>1</v>
      </c>
    </row>
    <row r="2516" spans="1:8" ht="30">
      <c r="A2516" s="677">
        <v>3741</v>
      </c>
      <c r="B2516" s="733" t="s">
        <v>10905</v>
      </c>
      <c r="C2516" s="677" t="s">
        <v>1692</v>
      </c>
      <c r="D2516" s="738">
        <f t="shared" si="78"/>
        <v>59.1</v>
      </c>
      <c r="F2516" s="1405">
        <v>59.1</v>
      </c>
      <c r="G2516" s="1405">
        <v>59.1</v>
      </c>
      <c r="H2516" t="b">
        <f t="shared" si="79"/>
        <v>1</v>
      </c>
    </row>
    <row r="2517" spans="1:8" ht="30">
      <c r="A2517" s="739">
        <v>3745</v>
      </c>
      <c r="B2517" s="740" t="s">
        <v>10906</v>
      </c>
      <c r="C2517" s="739" t="s">
        <v>1692</v>
      </c>
      <c r="D2517" s="741">
        <f t="shared" si="78"/>
        <v>63.73</v>
      </c>
      <c r="F2517" s="1406">
        <v>63.73</v>
      </c>
      <c r="G2517" s="1406">
        <v>63.73</v>
      </c>
      <c r="H2517" t="b">
        <f t="shared" si="79"/>
        <v>1</v>
      </c>
    </row>
    <row r="2518" spans="1:8" ht="30">
      <c r="A2518" s="677">
        <v>3743</v>
      </c>
      <c r="B2518" s="733" t="s">
        <v>10907</v>
      </c>
      <c r="C2518" s="677" t="s">
        <v>1692</v>
      </c>
      <c r="D2518" s="738">
        <f t="shared" si="78"/>
        <v>58.89</v>
      </c>
      <c r="F2518" s="1405">
        <v>58.89</v>
      </c>
      <c r="G2518" s="1405">
        <v>58.89</v>
      </c>
      <c r="H2518" t="b">
        <f t="shared" si="79"/>
        <v>1</v>
      </c>
    </row>
    <row r="2519" spans="1:8" ht="30">
      <c r="A2519" s="739">
        <v>3744</v>
      </c>
      <c r="B2519" s="740" t="s">
        <v>10908</v>
      </c>
      <c r="C2519" s="739" t="s">
        <v>1692</v>
      </c>
      <c r="D2519" s="741">
        <f t="shared" si="78"/>
        <v>64.83</v>
      </c>
      <c r="F2519" s="1406">
        <v>64.83</v>
      </c>
      <c r="G2519" s="1406">
        <v>64.83</v>
      </c>
      <c r="H2519" t="b">
        <f t="shared" si="79"/>
        <v>1</v>
      </c>
    </row>
    <row r="2520" spans="1:8" ht="30">
      <c r="A2520" s="677">
        <v>3739</v>
      </c>
      <c r="B2520" s="733" t="s">
        <v>10909</v>
      </c>
      <c r="C2520" s="677" t="s">
        <v>1692</v>
      </c>
      <c r="D2520" s="738">
        <f t="shared" si="78"/>
        <v>68.12</v>
      </c>
      <c r="F2520" s="1405">
        <v>68.12</v>
      </c>
      <c r="G2520" s="1405">
        <v>68.12</v>
      </c>
      <c r="H2520" t="b">
        <f t="shared" si="79"/>
        <v>1</v>
      </c>
    </row>
    <row r="2521" spans="1:8" ht="30">
      <c r="A2521" s="739">
        <v>3737</v>
      </c>
      <c r="B2521" s="740" t="s">
        <v>10910</v>
      </c>
      <c r="C2521" s="739" t="s">
        <v>1692</v>
      </c>
      <c r="D2521" s="741">
        <f t="shared" si="78"/>
        <v>71.42</v>
      </c>
      <c r="F2521" s="1406">
        <v>71.42</v>
      </c>
      <c r="G2521" s="1406">
        <v>71.42</v>
      </c>
      <c r="H2521" t="b">
        <f t="shared" si="79"/>
        <v>1</v>
      </c>
    </row>
    <row r="2522" spans="1:8" ht="30">
      <c r="A2522" s="677">
        <v>3738</v>
      </c>
      <c r="B2522" s="733" t="s">
        <v>10911</v>
      </c>
      <c r="C2522" s="677" t="s">
        <v>1692</v>
      </c>
      <c r="D2522" s="738">
        <f t="shared" si="78"/>
        <v>82.41</v>
      </c>
      <c r="F2522" s="1405">
        <v>82.41</v>
      </c>
      <c r="G2522" s="1405">
        <v>82.41</v>
      </c>
      <c r="H2522" t="b">
        <f t="shared" si="79"/>
        <v>1</v>
      </c>
    </row>
    <row r="2523" spans="1:8" ht="30">
      <c r="A2523" s="739">
        <v>3747</v>
      </c>
      <c r="B2523" s="740" t="s">
        <v>10912</v>
      </c>
      <c r="C2523" s="739" t="s">
        <v>1692</v>
      </c>
      <c r="D2523" s="741">
        <f t="shared" si="78"/>
        <v>64.83</v>
      </c>
      <c r="F2523" s="1406">
        <v>64.83</v>
      </c>
      <c r="G2523" s="1406">
        <v>64.83</v>
      </c>
      <c r="H2523" t="b">
        <f t="shared" si="79"/>
        <v>1</v>
      </c>
    </row>
    <row r="2524" spans="1:8" ht="30">
      <c r="A2524" s="677">
        <v>11649</v>
      </c>
      <c r="B2524" s="733" t="s">
        <v>10913</v>
      </c>
      <c r="C2524" s="677" t="s">
        <v>1690</v>
      </c>
      <c r="D2524" s="738">
        <f t="shared" si="78"/>
        <v>470.3</v>
      </c>
      <c r="F2524" s="1405">
        <v>470.3</v>
      </c>
      <c r="G2524" s="1405">
        <v>470.3</v>
      </c>
      <c r="H2524" t="b">
        <f t="shared" si="79"/>
        <v>1</v>
      </c>
    </row>
    <row r="2525" spans="1:8" ht="30">
      <c r="A2525" s="739">
        <v>11650</v>
      </c>
      <c r="B2525" s="740" t="s">
        <v>10914</v>
      </c>
      <c r="C2525" s="739" t="s">
        <v>1690</v>
      </c>
      <c r="D2525" s="741">
        <f t="shared" si="78"/>
        <v>801.6</v>
      </c>
      <c r="F2525" s="1406">
        <v>801.6</v>
      </c>
      <c r="G2525" s="1406">
        <v>801.6</v>
      </c>
      <c r="H2525" t="b">
        <f t="shared" si="79"/>
        <v>1</v>
      </c>
    </row>
    <row r="2526" spans="1:8" ht="30">
      <c r="A2526" s="677">
        <v>3742</v>
      </c>
      <c r="B2526" s="733" t="s">
        <v>10915</v>
      </c>
      <c r="C2526" s="677" t="s">
        <v>1692</v>
      </c>
      <c r="D2526" s="738">
        <f t="shared" si="78"/>
        <v>85.48</v>
      </c>
      <c r="F2526" s="1405">
        <v>85.48</v>
      </c>
      <c r="G2526" s="1405">
        <v>85.48</v>
      </c>
      <c r="H2526" t="b">
        <f t="shared" si="79"/>
        <v>1</v>
      </c>
    </row>
    <row r="2527" spans="1:8" ht="30">
      <c r="A2527" s="739">
        <v>3746</v>
      </c>
      <c r="B2527" s="740" t="s">
        <v>10916</v>
      </c>
      <c r="C2527" s="739" t="s">
        <v>1692</v>
      </c>
      <c r="D2527" s="741">
        <f t="shared" si="78"/>
        <v>99.81</v>
      </c>
      <c r="F2527" s="1406">
        <v>99.81</v>
      </c>
      <c r="G2527" s="1406">
        <v>99.81</v>
      </c>
      <c r="H2527" t="b">
        <f t="shared" si="79"/>
        <v>1</v>
      </c>
    </row>
    <row r="2528" spans="1:8" ht="30">
      <c r="A2528" s="677">
        <v>21106</v>
      </c>
      <c r="B2528" s="733" t="s">
        <v>10917</v>
      </c>
      <c r="C2528" s="677" t="s">
        <v>1694</v>
      </c>
      <c r="D2528" s="738">
        <f t="shared" si="78"/>
        <v>32.119999999999997</v>
      </c>
      <c r="F2528" s="1405">
        <v>32.119999999999997</v>
      </c>
      <c r="G2528" s="1405">
        <v>32.119999999999997</v>
      </c>
      <c r="H2528" t="b">
        <f t="shared" si="79"/>
        <v>1</v>
      </c>
    </row>
    <row r="2529" spans="1:8">
      <c r="A2529" s="739">
        <v>39377</v>
      </c>
      <c r="B2529" s="740" t="s">
        <v>10918</v>
      </c>
      <c r="C2529" s="739" t="s">
        <v>1690</v>
      </c>
      <c r="D2529" s="741">
        <f t="shared" si="78"/>
        <v>122.59</v>
      </c>
      <c r="F2529" s="1406">
        <v>122.59</v>
      </c>
      <c r="G2529" s="1406">
        <v>122.59</v>
      </c>
      <c r="H2529" t="b">
        <f t="shared" si="79"/>
        <v>1</v>
      </c>
    </row>
    <row r="2530" spans="1:8">
      <c r="A2530" s="677">
        <v>38191</v>
      </c>
      <c r="B2530" s="733" t="s">
        <v>10919</v>
      </c>
      <c r="C2530" s="677" t="s">
        <v>1690</v>
      </c>
      <c r="D2530" s="738">
        <f t="shared" si="78"/>
        <v>9.1199999999999992</v>
      </c>
      <c r="F2530" s="1405">
        <v>9.1199999999999992</v>
      </c>
      <c r="G2530" s="1405">
        <v>9.1199999999999992</v>
      </c>
      <c r="H2530" t="b">
        <f t="shared" si="79"/>
        <v>1</v>
      </c>
    </row>
    <row r="2531" spans="1:8">
      <c r="A2531" s="739">
        <v>39381</v>
      </c>
      <c r="B2531" s="740" t="s">
        <v>10920</v>
      </c>
      <c r="C2531" s="739" t="s">
        <v>1690</v>
      </c>
      <c r="D2531" s="741">
        <f t="shared" si="78"/>
        <v>8.51</v>
      </c>
      <c r="F2531" s="1406">
        <v>8.51</v>
      </c>
      <c r="G2531" s="1406">
        <v>8.51</v>
      </c>
      <c r="H2531" t="b">
        <f t="shared" si="79"/>
        <v>1</v>
      </c>
    </row>
    <row r="2532" spans="1:8">
      <c r="A2532" s="677">
        <v>38780</v>
      </c>
      <c r="B2532" s="733" t="s">
        <v>10921</v>
      </c>
      <c r="C2532" s="677" t="s">
        <v>1690</v>
      </c>
      <c r="D2532" s="738">
        <f t="shared" si="78"/>
        <v>10.41</v>
      </c>
      <c r="F2532" s="1405">
        <v>10.41</v>
      </c>
      <c r="G2532" s="1405">
        <v>10.41</v>
      </c>
      <c r="H2532" t="b">
        <f t="shared" si="79"/>
        <v>1</v>
      </c>
    </row>
    <row r="2533" spans="1:8">
      <c r="A2533" s="739">
        <v>38781</v>
      </c>
      <c r="B2533" s="740" t="s">
        <v>10922</v>
      </c>
      <c r="C2533" s="739" t="s">
        <v>1690</v>
      </c>
      <c r="D2533" s="741">
        <f t="shared" si="78"/>
        <v>35.159999999999997</v>
      </c>
      <c r="F2533" s="1406">
        <v>35.159999999999997</v>
      </c>
      <c r="G2533" s="1406">
        <v>35.159999999999997</v>
      </c>
      <c r="H2533" t="b">
        <f t="shared" si="79"/>
        <v>1</v>
      </c>
    </row>
    <row r="2534" spans="1:8">
      <c r="A2534" s="677">
        <v>38192</v>
      </c>
      <c r="B2534" s="733" t="s">
        <v>10923</v>
      </c>
      <c r="C2534" s="677" t="s">
        <v>1690</v>
      </c>
      <c r="D2534" s="738">
        <f t="shared" si="78"/>
        <v>63.62</v>
      </c>
      <c r="F2534" s="1405">
        <v>63.62</v>
      </c>
      <c r="G2534" s="1405">
        <v>63.62</v>
      </c>
      <c r="H2534" t="b">
        <f t="shared" si="79"/>
        <v>1</v>
      </c>
    </row>
    <row r="2535" spans="1:8">
      <c r="A2535" s="739">
        <v>3753</v>
      </c>
      <c r="B2535" s="740" t="s">
        <v>10924</v>
      </c>
      <c r="C2535" s="739" t="s">
        <v>1690</v>
      </c>
      <c r="D2535" s="741">
        <f t="shared" si="78"/>
        <v>5.57</v>
      </c>
      <c r="F2535" s="1406">
        <v>5.57</v>
      </c>
      <c r="G2535" s="1406">
        <v>5.57</v>
      </c>
      <c r="H2535" t="b">
        <f t="shared" si="79"/>
        <v>1</v>
      </c>
    </row>
    <row r="2536" spans="1:8">
      <c r="A2536" s="677">
        <v>38782</v>
      </c>
      <c r="B2536" s="733" t="s">
        <v>10925</v>
      </c>
      <c r="C2536" s="677" t="s">
        <v>1690</v>
      </c>
      <c r="D2536" s="738">
        <f t="shared" si="78"/>
        <v>7.25</v>
      </c>
      <c r="F2536" s="1405">
        <v>7.25</v>
      </c>
      <c r="G2536" s="1405">
        <v>7.25</v>
      </c>
      <c r="H2536" t="b">
        <f t="shared" si="79"/>
        <v>1</v>
      </c>
    </row>
    <row r="2537" spans="1:8">
      <c r="A2537" s="739">
        <v>38778</v>
      </c>
      <c r="B2537" s="740" t="s">
        <v>10926</v>
      </c>
      <c r="C2537" s="739" t="s">
        <v>1690</v>
      </c>
      <c r="D2537" s="741">
        <f t="shared" si="78"/>
        <v>5.44</v>
      </c>
      <c r="F2537" s="1406">
        <v>5.44</v>
      </c>
      <c r="G2537" s="1406">
        <v>5.44</v>
      </c>
      <c r="H2537" t="b">
        <f t="shared" si="79"/>
        <v>1</v>
      </c>
    </row>
    <row r="2538" spans="1:8">
      <c r="A2538" s="677">
        <v>38779</v>
      </c>
      <c r="B2538" s="733" t="s">
        <v>10927</v>
      </c>
      <c r="C2538" s="677" t="s">
        <v>1690</v>
      </c>
      <c r="D2538" s="738">
        <f t="shared" si="78"/>
        <v>5.77</v>
      </c>
      <c r="F2538" s="1405">
        <v>5.77</v>
      </c>
      <c r="G2538" s="1405">
        <v>5.77</v>
      </c>
      <c r="H2538" t="b">
        <f t="shared" si="79"/>
        <v>1</v>
      </c>
    </row>
    <row r="2539" spans="1:8">
      <c r="A2539" s="739">
        <v>39388</v>
      </c>
      <c r="B2539" s="740" t="s">
        <v>10928</v>
      </c>
      <c r="C2539" s="739" t="s">
        <v>1690</v>
      </c>
      <c r="D2539" s="741">
        <f t="shared" si="78"/>
        <v>5.52</v>
      </c>
      <c r="F2539" s="1406">
        <v>5.52</v>
      </c>
      <c r="G2539" s="1406">
        <v>5.52</v>
      </c>
      <c r="H2539" t="b">
        <f t="shared" si="79"/>
        <v>1</v>
      </c>
    </row>
    <row r="2540" spans="1:8">
      <c r="A2540" s="677">
        <v>39387</v>
      </c>
      <c r="B2540" s="733" t="s">
        <v>10929</v>
      </c>
      <c r="C2540" s="677" t="s">
        <v>1690</v>
      </c>
      <c r="D2540" s="738">
        <f t="shared" si="78"/>
        <v>8.6</v>
      </c>
      <c r="F2540" s="1405">
        <v>8.6</v>
      </c>
      <c r="G2540" s="1405">
        <v>8.6</v>
      </c>
      <c r="H2540" t="b">
        <f t="shared" si="79"/>
        <v>1</v>
      </c>
    </row>
    <row r="2541" spans="1:8">
      <c r="A2541" s="739">
        <v>39386</v>
      </c>
      <c r="B2541" s="740" t="s">
        <v>10930</v>
      </c>
      <c r="C2541" s="739" t="s">
        <v>1690</v>
      </c>
      <c r="D2541" s="741">
        <f t="shared" si="78"/>
        <v>6</v>
      </c>
      <c r="F2541" s="1406">
        <v>6</v>
      </c>
      <c r="G2541" s="1406">
        <v>6</v>
      </c>
      <c r="H2541" t="b">
        <f t="shared" si="79"/>
        <v>1</v>
      </c>
    </row>
    <row r="2542" spans="1:8">
      <c r="A2542" s="677">
        <v>38194</v>
      </c>
      <c r="B2542" s="733" t="s">
        <v>10931</v>
      </c>
      <c r="C2542" s="677" t="s">
        <v>1690</v>
      </c>
      <c r="D2542" s="738">
        <f t="shared" si="78"/>
        <v>4.49</v>
      </c>
      <c r="F2542" s="1405">
        <v>4.49</v>
      </c>
      <c r="G2542" s="1405">
        <v>4.49</v>
      </c>
      <c r="H2542" t="b">
        <f t="shared" si="79"/>
        <v>1</v>
      </c>
    </row>
    <row r="2543" spans="1:8">
      <c r="A2543" s="739">
        <v>38193</v>
      </c>
      <c r="B2543" s="740" t="s">
        <v>10932</v>
      </c>
      <c r="C2543" s="739" t="s">
        <v>1690</v>
      </c>
      <c r="D2543" s="741">
        <f t="shared" si="78"/>
        <v>3.9</v>
      </c>
      <c r="F2543" s="1406">
        <v>3.9</v>
      </c>
      <c r="G2543" s="1406">
        <v>3.9</v>
      </c>
      <c r="H2543" t="b">
        <f t="shared" si="79"/>
        <v>1</v>
      </c>
    </row>
    <row r="2544" spans="1:8">
      <c r="A2544" s="677">
        <v>12216</v>
      </c>
      <c r="B2544" s="733" t="s">
        <v>10933</v>
      </c>
      <c r="C2544" s="677" t="s">
        <v>1690</v>
      </c>
      <c r="D2544" s="738">
        <f t="shared" si="78"/>
        <v>31.81</v>
      </c>
      <c r="F2544" s="1405">
        <v>31.81</v>
      </c>
      <c r="G2544" s="1405">
        <v>31.81</v>
      </c>
      <c r="H2544" t="b">
        <f t="shared" si="79"/>
        <v>1</v>
      </c>
    </row>
    <row r="2545" spans="1:8">
      <c r="A2545" s="739">
        <v>3757</v>
      </c>
      <c r="B2545" s="740" t="s">
        <v>10934</v>
      </c>
      <c r="C2545" s="739" t="s">
        <v>1690</v>
      </c>
      <c r="D2545" s="741">
        <f t="shared" si="78"/>
        <v>36.79</v>
      </c>
      <c r="F2545" s="1406">
        <v>36.79</v>
      </c>
      <c r="G2545" s="1406">
        <v>36.79</v>
      </c>
      <c r="H2545" t="b">
        <f t="shared" si="79"/>
        <v>1</v>
      </c>
    </row>
    <row r="2546" spans="1:8">
      <c r="A2546" s="677">
        <v>3758</v>
      </c>
      <c r="B2546" s="733" t="s">
        <v>10935</v>
      </c>
      <c r="C2546" s="677" t="s">
        <v>1690</v>
      </c>
      <c r="D2546" s="738">
        <f t="shared" si="78"/>
        <v>42.89</v>
      </c>
      <c r="F2546" s="1405">
        <v>42.89</v>
      </c>
      <c r="G2546" s="1405">
        <v>42.89</v>
      </c>
      <c r="H2546" t="b">
        <f t="shared" si="79"/>
        <v>1</v>
      </c>
    </row>
    <row r="2547" spans="1:8">
      <c r="A2547" s="739">
        <v>12214</v>
      </c>
      <c r="B2547" s="740" t="s">
        <v>10936</v>
      </c>
      <c r="C2547" s="739" t="s">
        <v>1690</v>
      </c>
      <c r="D2547" s="741">
        <f t="shared" si="78"/>
        <v>14.69</v>
      </c>
      <c r="F2547" s="1406">
        <v>14.69</v>
      </c>
      <c r="G2547" s="1406">
        <v>14.69</v>
      </c>
      <c r="H2547" t="b">
        <f t="shared" si="79"/>
        <v>1</v>
      </c>
    </row>
    <row r="2548" spans="1:8">
      <c r="A2548" s="677">
        <v>3749</v>
      </c>
      <c r="B2548" s="733" t="s">
        <v>10937</v>
      </c>
      <c r="C2548" s="677" t="s">
        <v>1690</v>
      </c>
      <c r="D2548" s="738">
        <f t="shared" si="78"/>
        <v>26.18</v>
      </c>
      <c r="F2548" s="1405">
        <v>26.18</v>
      </c>
      <c r="G2548" s="1405">
        <v>26.18</v>
      </c>
      <c r="H2548" t="b">
        <f t="shared" si="79"/>
        <v>1</v>
      </c>
    </row>
    <row r="2549" spans="1:8">
      <c r="A2549" s="739">
        <v>3751</v>
      </c>
      <c r="B2549" s="740" t="s">
        <v>10938</v>
      </c>
      <c r="C2549" s="739" t="s">
        <v>1690</v>
      </c>
      <c r="D2549" s="741">
        <f t="shared" si="78"/>
        <v>35.729999999999997</v>
      </c>
      <c r="F2549" s="1406">
        <v>35.729999999999997</v>
      </c>
      <c r="G2549" s="1406">
        <v>35.729999999999997</v>
      </c>
      <c r="H2549" t="b">
        <f t="shared" si="79"/>
        <v>1</v>
      </c>
    </row>
    <row r="2550" spans="1:8">
      <c r="A2550" s="677">
        <v>39376</v>
      </c>
      <c r="B2550" s="733" t="s">
        <v>10939</v>
      </c>
      <c r="C2550" s="677" t="s">
        <v>1690</v>
      </c>
      <c r="D2550" s="738">
        <f t="shared" si="78"/>
        <v>30.12</v>
      </c>
      <c r="F2550" s="1405">
        <v>30.12</v>
      </c>
      <c r="G2550" s="1405">
        <v>30.12</v>
      </c>
      <c r="H2550" t="b">
        <f t="shared" si="79"/>
        <v>1</v>
      </c>
    </row>
    <row r="2551" spans="1:8">
      <c r="A2551" s="739">
        <v>3752</v>
      </c>
      <c r="B2551" s="740" t="s">
        <v>10940</v>
      </c>
      <c r="C2551" s="739" t="s">
        <v>1690</v>
      </c>
      <c r="D2551" s="741">
        <f t="shared" si="78"/>
        <v>58.94</v>
      </c>
      <c r="F2551" s="1406">
        <v>58.94</v>
      </c>
      <c r="G2551" s="1406">
        <v>58.94</v>
      </c>
      <c r="H2551" t="b">
        <f t="shared" si="79"/>
        <v>1</v>
      </c>
    </row>
    <row r="2552" spans="1:8" ht="30">
      <c r="A2552" s="677">
        <v>746</v>
      </c>
      <c r="B2552" s="733" t="s">
        <v>10941</v>
      </c>
      <c r="C2552" s="677" t="s">
        <v>1690</v>
      </c>
      <c r="D2552" s="738">
        <f t="shared" si="78"/>
        <v>2970</v>
      </c>
      <c r="F2552" s="1405">
        <v>2970</v>
      </c>
      <c r="G2552" s="1405">
        <v>2970</v>
      </c>
      <c r="H2552" t="b">
        <f t="shared" si="79"/>
        <v>1</v>
      </c>
    </row>
    <row r="2553" spans="1:8">
      <c r="A2553" s="739">
        <v>20269</v>
      </c>
      <c r="B2553" s="740" t="s">
        <v>10942</v>
      </c>
      <c r="C2553" s="739" t="s">
        <v>1690</v>
      </c>
      <c r="D2553" s="741">
        <f t="shared" si="78"/>
        <v>92.89</v>
      </c>
      <c r="F2553" s="1406">
        <v>92.89</v>
      </c>
      <c r="G2553" s="1406">
        <v>92.89</v>
      </c>
      <c r="H2553" t="b">
        <f t="shared" si="79"/>
        <v>1</v>
      </c>
    </row>
    <row r="2554" spans="1:8">
      <c r="A2554" s="677">
        <v>20270</v>
      </c>
      <c r="B2554" s="733" t="s">
        <v>10943</v>
      </c>
      <c r="C2554" s="677" t="s">
        <v>1690</v>
      </c>
      <c r="D2554" s="738">
        <f t="shared" si="78"/>
        <v>102.64</v>
      </c>
      <c r="F2554" s="1405">
        <v>102.64</v>
      </c>
      <c r="G2554" s="1405">
        <v>102.64</v>
      </c>
      <c r="H2554" t="b">
        <f t="shared" si="79"/>
        <v>1</v>
      </c>
    </row>
    <row r="2555" spans="1:8">
      <c r="A2555" s="739">
        <v>11696</v>
      </c>
      <c r="B2555" s="740" t="s">
        <v>10944</v>
      </c>
      <c r="C2555" s="739" t="s">
        <v>1690</v>
      </c>
      <c r="D2555" s="741">
        <f t="shared" si="78"/>
        <v>164.3</v>
      </c>
      <c r="F2555" s="1406">
        <v>164.3</v>
      </c>
      <c r="G2555" s="1406">
        <v>164.3</v>
      </c>
      <c r="H2555" t="b">
        <f t="shared" si="79"/>
        <v>1</v>
      </c>
    </row>
    <row r="2556" spans="1:8">
      <c r="A2556" s="677">
        <v>10427</v>
      </c>
      <c r="B2556" s="733" t="s">
        <v>10945</v>
      </c>
      <c r="C2556" s="677" t="s">
        <v>1690</v>
      </c>
      <c r="D2556" s="738">
        <f t="shared" si="78"/>
        <v>459.8</v>
      </c>
      <c r="F2556" s="1405">
        <v>459.8</v>
      </c>
      <c r="G2556" s="1405">
        <v>459.8</v>
      </c>
      <c r="H2556" t="b">
        <f t="shared" si="79"/>
        <v>1</v>
      </c>
    </row>
    <row r="2557" spans="1:8">
      <c r="A2557" s="739">
        <v>10428</v>
      </c>
      <c r="B2557" s="740" t="s">
        <v>10946</v>
      </c>
      <c r="C2557" s="739" t="s">
        <v>1690</v>
      </c>
      <c r="D2557" s="741">
        <f t="shared" si="78"/>
        <v>473.74</v>
      </c>
      <c r="F2557" s="1406">
        <v>473.74</v>
      </c>
      <c r="G2557" s="1406">
        <v>473.74</v>
      </c>
      <c r="H2557" t="b">
        <f t="shared" si="79"/>
        <v>1</v>
      </c>
    </row>
    <row r="2558" spans="1:8">
      <c r="A2558" s="677">
        <v>36521</v>
      </c>
      <c r="B2558" s="733" t="s">
        <v>10947</v>
      </c>
      <c r="C2558" s="677" t="s">
        <v>1690</v>
      </c>
      <c r="D2558" s="738">
        <f t="shared" si="78"/>
        <v>147.81</v>
      </c>
      <c r="F2558" s="1405">
        <v>147.81</v>
      </c>
      <c r="G2558" s="1405">
        <v>147.81</v>
      </c>
      <c r="H2558" t="b">
        <f t="shared" si="79"/>
        <v>1</v>
      </c>
    </row>
    <row r="2559" spans="1:8">
      <c r="A2559" s="739">
        <v>36794</v>
      </c>
      <c r="B2559" s="740" t="s">
        <v>10948</v>
      </c>
      <c r="C2559" s="739" t="s">
        <v>1690</v>
      </c>
      <c r="D2559" s="741">
        <f t="shared" si="78"/>
        <v>157.36000000000001</v>
      </c>
      <c r="F2559" s="1406">
        <v>157.36000000000001</v>
      </c>
      <c r="G2559" s="1406">
        <v>157.36000000000001</v>
      </c>
      <c r="H2559" t="b">
        <f t="shared" si="79"/>
        <v>1</v>
      </c>
    </row>
    <row r="2560" spans="1:8">
      <c r="A2560" s="677">
        <v>10426</v>
      </c>
      <c r="B2560" s="733" t="s">
        <v>10949</v>
      </c>
      <c r="C2560" s="677" t="s">
        <v>1690</v>
      </c>
      <c r="D2560" s="738">
        <f t="shared" si="78"/>
        <v>176.21</v>
      </c>
      <c r="F2560" s="1405">
        <v>176.21</v>
      </c>
      <c r="G2560" s="1405">
        <v>176.21</v>
      </c>
      <c r="H2560" t="b">
        <f t="shared" si="79"/>
        <v>1</v>
      </c>
    </row>
    <row r="2561" spans="1:8">
      <c r="A2561" s="739">
        <v>10425</v>
      </c>
      <c r="B2561" s="740" t="s">
        <v>10950</v>
      </c>
      <c r="C2561" s="739" t="s">
        <v>1690</v>
      </c>
      <c r="D2561" s="741">
        <f t="shared" si="78"/>
        <v>89.39</v>
      </c>
      <c r="F2561" s="1406">
        <v>89.39</v>
      </c>
      <c r="G2561" s="1406">
        <v>89.39</v>
      </c>
      <c r="H2561" t="b">
        <f t="shared" si="79"/>
        <v>1</v>
      </c>
    </row>
    <row r="2562" spans="1:8">
      <c r="A2562" s="677">
        <v>10431</v>
      </c>
      <c r="B2562" s="733" t="s">
        <v>10951</v>
      </c>
      <c r="C2562" s="677" t="s">
        <v>1690</v>
      </c>
      <c r="D2562" s="738">
        <f t="shared" si="78"/>
        <v>306.05</v>
      </c>
      <c r="F2562" s="1405">
        <v>306.05</v>
      </c>
      <c r="G2562" s="1405">
        <v>306.05</v>
      </c>
      <c r="H2562" t="b">
        <f t="shared" si="79"/>
        <v>1</v>
      </c>
    </row>
    <row r="2563" spans="1:8">
      <c r="A2563" s="739">
        <v>10429</v>
      </c>
      <c r="B2563" s="740" t="s">
        <v>10952</v>
      </c>
      <c r="C2563" s="739" t="s">
        <v>1690</v>
      </c>
      <c r="D2563" s="741">
        <f t="shared" ref="D2563:D2626" si="80">IF($J$2=$F$1,F2563,G2563)</f>
        <v>150.97999999999999</v>
      </c>
      <c r="F2563" s="1406">
        <v>150.97999999999999</v>
      </c>
      <c r="G2563" s="1406">
        <v>150.97999999999999</v>
      </c>
      <c r="H2563" t="b">
        <f t="shared" ref="H2563:H2626" si="81">F2563=G2563</f>
        <v>1</v>
      </c>
    </row>
    <row r="2564" spans="1:8">
      <c r="A2564" s="677">
        <v>2354</v>
      </c>
      <c r="B2564" s="733" t="s">
        <v>10953</v>
      </c>
      <c r="C2564" s="677" t="s">
        <v>1689</v>
      </c>
      <c r="D2564" s="738">
        <f t="shared" si="80"/>
        <v>15.78</v>
      </c>
      <c r="F2564" s="1405">
        <v>13.7</v>
      </c>
      <c r="G2564" s="1405">
        <v>15.78</v>
      </c>
      <c r="H2564" t="b">
        <f t="shared" si="81"/>
        <v>0</v>
      </c>
    </row>
    <row r="2565" spans="1:8">
      <c r="A2565" s="739">
        <v>40932</v>
      </c>
      <c r="B2565" s="740" t="s">
        <v>10954</v>
      </c>
      <c r="C2565" s="739" t="s">
        <v>1696</v>
      </c>
      <c r="D2565" s="741">
        <f t="shared" si="80"/>
        <v>2777.01</v>
      </c>
      <c r="F2565" s="1406">
        <v>2408.48</v>
      </c>
      <c r="G2565" s="1406">
        <v>2777.01</v>
      </c>
      <c r="H2565" t="b">
        <f t="shared" si="81"/>
        <v>0</v>
      </c>
    </row>
    <row r="2566" spans="1:8">
      <c r="A2566" s="677">
        <v>10853</v>
      </c>
      <c r="B2566" s="733" t="s">
        <v>10955</v>
      </c>
      <c r="C2566" s="677" t="s">
        <v>1690</v>
      </c>
      <c r="D2566" s="738">
        <f t="shared" si="80"/>
        <v>101.79</v>
      </c>
      <c r="F2566" s="1405">
        <v>101.79</v>
      </c>
      <c r="G2566" s="1405">
        <v>101.79</v>
      </c>
      <c r="H2566" t="b">
        <f t="shared" si="81"/>
        <v>1</v>
      </c>
    </row>
    <row r="2567" spans="1:8">
      <c r="A2567" s="739">
        <v>5093</v>
      </c>
      <c r="B2567" s="740" t="s">
        <v>10956</v>
      </c>
      <c r="C2567" s="739" t="s">
        <v>1697</v>
      </c>
      <c r="D2567" s="741">
        <f t="shared" si="80"/>
        <v>19.89</v>
      </c>
      <c r="F2567" s="1406">
        <v>19.89</v>
      </c>
      <c r="G2567" s="1406">
        <v>19.89</v>
      </c>
      <c r="H2567" t="b">
        <f t="shared" si="81"/>
        <v>1</v>
      </c>
    </row>
    <row r="2568" spans="1:8">
      <c r="A2568" s="677">
        <v>44331</v>
      </c>
      <c r="B2568" s="733" t="s">
        <v>10957</v>
      </c>
      <c r="C2568" s="677" t="s">
        <v>1695</v>
      </c>
      <c r="D2568" s="738">
        <f t="shared" si="80"/>
        <v>47.96</v>
      </c>
      <c r="F2568" s="1405">
        <v>47.96</v>
      </c>
      <c r="G2568" s="1405">
        <v>47.96</v>
      </c>
      <c r="H2568" t="b">
        <f t="shared" si="81"/>
        <v>1</v>
      </c>
    </row>
    <row r="2569" spans="1:8" ht="30">
      <c r="A2569" s="739">
        <v>37768</v>
      </c>
      <c r="B2569" s="740" t="s">
        <v>10958</v>
      </c>
      <c r="C2569" s="739" t="s">
        <v>1690</v>
      </c>
      <c r="D2569" s="741">
        <f t="shared" si="80"/>
        <v>295000</v>
      </c>
      <c r="F2569" s="1406">
        <v>295000</v>
      </c>
      <c r="G2569" s="1406">
        <v>295000</v>
      </c>
      <c r="H2569" t="b">
        <f t="shared" si="81"/>
        <v>1</v>
      </c>
    </row>
    <row r="2570" spans="1:8">
      <c r="A2570" s="677">
        <v>37773</v>
      </c>
      <c r="B2570" s="733" t="s">
        <v>10959</v>
      </c>
      <c r="C2570" s="677" t="s">
        <v>1690</v>
      </c>
      <c r="D2570" s="738">
        <f t="shared" si="80"/>
        <v>250504.73</v>
      </c>
      <c r="F2570" s="1405">
        <v>250504.73</v>
      </c>
      <c r="G2570" s="1405">
        <v>250504.73</v>
      </c>
      <c r="H2570" t="b">
        <f t="shared" si="81"/>
        <v>1</v>
      </c>
    </row>
    <row r="2571" spans="1:8">
      <c r="A2571" s="739">
        <v>37769</v>
      </c>
      <c r="B2571" s="740" t="s">
        <v>10960</v>
      </c>
      <c r="C2571" s="739" t="s">
        <v>1690</v>
      </c>
      <c r="D2571" s="741">
        <f t="shared" si="80"/>
        <v>419376.48</v>
      </c>
      <c r="F2571" s="1406">
        <v>419376.48</v>
      </c>
      <c r="G2571" s="1406">
        <v>419376.48</v>
      </c>
      <c r="H2571" t="b">
        <f t="shared" si="81"/>
        <v>1</v>
      </c>
    </row>
    <row r="2572" spans="1:8">
      <c r="A2572" s="677">
        <v>37770</v>
      </c>
      <c r="B2572" s="733" t="s">
        <v>10961</v>
      </c>
      <c r="C2572" s="677" t="s">
        <v>1690</v>
      </c>
      <c r="D2572" s="738">
        <f t="shared" si="80"/>
        <v>711748.8</v>
      </c>
      <c r="F2572" s="1405">
        <v>711748.8</v>
      </c>
      <c r="G2572" s="1405">
        <v>711748.8</v>
      </c>
      <c r="H2572" t="b">
        <f t="shared" si="81"/>
        <v>1</v>
      </c>
    </row>
    <row r="2573" spans="1:8">
      <c r="A2573" s="739">
        <v>38382</v>
      </c>
      <c r="B2573" s="740" t="s">
        <v>10962</v>
      </c>
      <c r="C2573" s="739" t="s">
        <v>1690</v>
      </c>
      <c r="D2573" s="741">
        <f t="shared" si="80"/>
        <v>13.91</v>
      </c>
      <c r="F2573" s="1406">
        <v>13.91</v>
      </c>
      <c r="G2573" s="1406">
        <v>13.91</v>
      </c>
      <c r="H2573" t="b">
        <f t="shared" si="81"/>
        <v>1</v>
      </c>
    </row>
    <row r="2574" spans="1:8">
      <c r="A2574" s="677">
        <v>38383</v>
      </c>
      <c r="B2574" s="733" t="s">
        <v>10963</v>
      </c>
      <c r="C2574" s="677" t="s">
        <v>1690</v>
      </c>
      <c r="D2574" s="738">
        <f t="shared" si="80"/>
        <v>2.6</v>
      </c>
      <c r="F2574" s="1405">
        <v>2.6</v>
      </c>
      <c r="G2574" s="1405">
        <v>2.6</v>
      </c>
      <c r="H2574" t="b">
        <f t="shared" si="81"/>
        <v>1</v>
      </c>
    </row>
    <row r="2575" spans="1:8">
      <c r="A2575" s="739">
        <v>3768</v>
      </c>
      <c r="B2575" s="740" t="s">
        <v>10964</v>
      </c>
      <c r="C2575" s="739" t="s">
        <v>1690</v>
      </c>
      <c r="D2575" s="741">
        <f t="shared" si="80"/>
        <v>3.46</v>
      </c>
      <c r="F2575" s="1406">
        <v>3.46</v>
      </c>
      <c r="G2575" s="1406">
        <v>3.46</v>
      </c>
      <c r="H2575" t="b">
        <f t="shared" si="81"/>
        <v>1</v>
      </c>
    </row>
    <row r="2576" spans="1:8">
      <c r="A2576" s="677">
        <v>3767</v>
      </c>
      <c r="B2576" s="733" t="s">
        <v>10965</v>
      </c>
      <c r="C2576" s="677" t="s">
        <v>1690</v>
      </c>
      <c r="D2576" s="738">
        <f t="shared" si="80"/>
        <v>1.1599999999999999</v>
      </c>
      <c r="F2576" s="1405">
        <v>1.1599999999999999</v>
      </c>
      <c r="G2576" s="1405">
        <v>1.1599999999999999</v>
      </c>
      <c r="H2576" t="b">
        <f t="shared" si="81"/>
        <v>1</v>
      </c>
    </row>
    <row r="2577" spans="1:8">
      <c r="A2577" s="739">
        <v>13192</v>
      </c>
      <c r="B2577" s="740" t="s">
        <v>10966</v>
      </c>
      <c r="C2577" s="739" t="s">
        <v>1690</v>
      </c>
      <c r="D2577" s="741">
        <f t="shared" si="80"/>
        <v>6340.47</v>
      </c>
      <c r="F2577" s="1406">
        <v>6340.47</v>
      </c>
      <c r="G2577" s="1406">
        <v>6340.47</v>
      </c>
      <c r="H2577" t="b">
        <f t="shared" si="81"/>
        <v>1</v>
      </c>
    </row>
    <row r="2578" spans="1:8">
      <c r="A2578" s="677">
        <v>38413</v>
      </c>
      <c r="B2578" s="733" t="s">
        <v>10967</v>
      </c>
      <c r="C2578" s="677" t="s">
        <v>1690</v>
      </c>
      <c r="D2578" s="738">
        <f t="shared" si="80"/>
        <v>1048.6199999999999</v>
      </c>
      <c r="F2578" s="1405">
        <v>1048.6199999999999</v>
      </c>
      <c r="G2578" s="1405">
        <v>1048.6199999999999</v>
      </c>
      <c r="H2578" t="b">
        <f t="shared" si="81"/>
        <v>1</v>
      </c>
    </row>
    <row r="2579" spans="1:8" ht="30">
      <c r="A2579" s="739">
        <v>42440</v>
      </c>
      <c r="B2579" s="740" t="s">
        <v>10968</v>
      </c>
      <c r="C2579" s="739" t="s">
        <v>1690</v>
      </c>
      <c r="D2579" s="741">
        <f t="shared" si="80"/>
        <v>1235.9100000000001</v>
      </c>
      <c r="F2579" s="1406">
        <v>1235.9100000000001</v>
      </c>
      <c r="G2579" s="1406">
        <v>1235.9100000000001</v>
      </c>
      <c r="H2579" t="b">
        <f t="shared" si="81"/>
        <v>1</v>
      </c>
    </row>
    <row r="2580" spans="1:8" ht="45">
      <c r="A2580" s="677">
        <v>20193</v>
      </c>
      <c r="B2580" s="733" t="s">
        <v>10969</v>
      </c>
      <c r="C2580" s="677" t="s">
        <v>2166</v>
      </c>
      <c r="D2580" s="738">
        <f t="shared" si="80"/>
        <v>22.5</v>
      </c>
      <c r="F2580" s="1405">
        <v>22.5</v>
      </c>
      <c r="G2580" s="1405">
        <v>22.5</v>
      </c>
      <c r="H2580" t="b">
        <f t="shared" si="81"/>
        <v>1</v>
      </c>
    </row>
    <row r="2581" spans="1:8" ht="45">
      <c r="A2581" s="739">
        <v>10527</v>
      </c>
      <c r="B2581" s="740" t="s">
        <v>10970</v>
      </c>
      <c r="C2581" s="739" t="s">
        <v>2167</v>
      </c>
      <c r="D2581" s="741">
        <f t="shared" si="80"/>
        <v>30</v>
      </c>
      <c r="F2581" s="1406">
        <v>30</v>
      </c>
      <c r="G2581" s="1406">
        <v>30</v>
      </c>
      <c r="H2581" t="b">
        <f t="shared" si="81"/>
        <v>1</v>
      </c>
    </row>
    <row r="2582" spans="1:8" ht="30">
      <c r="A2582" s="677">
        <v>41805</v>
      </c>
      <c r="B2582" s="733" t="s">
        <v>10971</v>
      </c>
      <c r="C2582" s="677" t="s">
        <v>1696</v>
      </c>
      <c r="D2582" s="738">
        <f t="shared" si="80"/>
        <v>862.5</v>
      </c>
      <c r="F2582" s="1405">
        <v>862.5</v>
      </c>
      <c r="G2582" s="1405">
        <v>862.5</v>
      </c>
      <c r="H2582" t="b">
        <f t="shared" si="81"/>
        <v>1</v>
      </c>
    </row>
    <row r="2583" spans="1:8">
      <c r="A2583" s="739">
        <v>40271</v>
      </c>
      <c r="B2583" s="740" t="s">
        <v>10972</v>
      </c>
      <c r="C2583" s="739" t="s">
        <v>5883</v>
      </c>
      <c r="D2583" s="741">
        <f t="shared" si="80"/>
        <v>22.96</v>
      </c>
      <c r="F2583" s="1406">
        <v>22.96</v>
      </c>
      <c r="G2583" s="1406">
        <v>22.96</v>
      </c>
      <c r="H2583" t="b">
        <f t="shared" si="81"/>
        <v>1</v>
      </c>
    </row>
    <row r="2584" spans="1:8">
      <c r="A2584" s="677">
        <v>40287</v>
      </c>
      <c r="B2584" s="733" t="s">
        <v>10973</v>
      </c>
      <c r="C2584" s="677" t="s">
        <v>1696</v>
      </c>
      <c r="D2584" s="738">
        <f t="shared" si="80"/>
        <v>8.84</v>
      </c>
      <c r="F2584" s="1405">
        <v>8.84</v>
      </c>
      <c r="G2584" s="1405">
        <v>8.84</v>
      </c>
      <c r="H2584" t="b">
        <f t="shared" si="81"/>
        <v>1</v>
      </c>
    </row>
    <row r="2585" spans="1:8" ht="45">
      <c r="A2585" s="739">
        <v>4084</v>
      </c>
      <c r="B2585" s="740" t="s">
        <v>10974</v>
      </c>
      <c r="C2585" s="739" t="s">
        <v>1689</v>
      </c>
      <c r="D2585" s="741">
        <f t="shared" si="80"/>
        <v>2.36</v>
      </c>
      <c r="F2585" s="1406">
        <v>2.36</v>
      </c>
      <c r="G2585" s="1406">
        <v>2.36</v>
      </c>
      <c r="H2585" t="b">
        <f t="shared" si="81"/>
        <v>1</v>
      </c>
    </row>
    <row r="2586" spans="1:8" ht="45">
      <c r="A2586" s="677">
        <v>743</v>
      </c>
      <c r="B2586" s="733" t="s">
        <v>10975</v>
      </c>
      <c r="C2586" s="677" t="s">
        <v>1689</v>
      </c>
      <c r="D2586" s="738">
        <f t="shared" si="80"/>
        <v>2.36</v>
      </c>
      <c r="F2586" s="1405">
        <v>2.36</v>
      </c>
      <c r="G2586" s="1405">
        <v>2.36</v>
      </c>
      <c r="H2586" t="b">
        <f t="shared" si="81"/>
        <v>1</v>
      </c>
    </row>
    <row r="2587" spans="1:8" ht="45">
      <c r="A2587" s="739">
        <v>40293</v>
      </c>
      <c r="B2587" s="740" t="s">
        <v>10976</v>
      </c>
      <c r="C2587" s="739" t="s">
        <v>1689</v>
      </c>
      <c r="D2587" s="741">
        <f t="shared" si="80"/>
        <v>2.83</v>
      </c>
      <c r="F2587" s="1406">
        <v>2.83</v>
      </c>
      <c r="G2587" s="1406">
        <v>2.83</v>
      </c>
      <c r="H2587" t="b">
        <f t="shared" si="81"/>
        <v>1</v>
      </c>
    </row>
    <row r="2588" spans="1:8" ht="45">
      <c r="A2588" s="677">
        <v>40294</v>
      </c>
      <c r="B2588" s="733" t="s">
        <v>10977</v>
      </c>
      <c r="C2588" s="677" t="s">
        <v>1689</v>
      </c>
      <c r="D2588" s="738">
        <f t="shared" si="80"/>
        <v>2.36</v>
      </c>
      <c r="F2588" s="1405">
        <v>2.36</v>
      </c>
      <c r="G2588" s="1405">
        <v>2.36</v>
      </c>
      <c r="H2588" t="b">
        <f t="shared" si="81"/>
        <v>1</v>
      </c>
    </row>
    <row r="2589" spans="1:8" ht="45">
      <c r="A2589" s="739">
        <v>4085</v>
      </c>
      <c r="B2589" s="740" t="s">
        <v>10978</v>
      </c>
      <c r="C2589" s="739" t="s">
        <v>1689</v>
      </c>
      <c r="D2589" s="741">
        <f t="shared" si="80"/>
        <v>3.3</v>
      </c>
      <c r="F2589" s="1406">
        <v>3.3</v>
      </c>
      <c r="G2589" s="1406">
        <v>3.3</v>
      </c>
      <c r="H2589" t="b">
        <f t="shared" si="81"/>
        <v>1</v>
      </c>
    </row>
    <row r="2590" spans="1:8" ht="30">
      <c r="A2590" s="677">
        <v>10779</v>
      </c>
      <c r="B2590" s="733" t="s">
        <v>10979</v>
      </c>
      <c r="C2590" s="677" t="s">
        <v>1696</v>
      </c>
      <c r="D2590" s="738">
        <f t="shared" si="80"/>
        <v>1078.1199999999999</v>
      </c>
      <c r="F2590" s="1405">
        <v>1078.1199999999999</v>
      </c>
      <c r="G2590" s="1405">
        <v>1078.1199999999999</v>
      </c>
      <c r="H2590" t="b">
        <f t="shared" si="81"/>
        <v>1</v>
      </c>
    </row>
    <row r="2591" spans="1:8" ht="30">
      <c r="A2591" s="739">
        <v>10777</v>
      </c>
      <c r="B2591" s="740" t="s">
        <v>10980</v>
      </c>
      <c r="C2591" s="739" t="s">
        <v>1696</v>
      </c>
      <c r="D2591" s="741">
        <f t="shared" si="80"/>
        <v>979.29</v>
      </c>
      <c r="F2591" s="1406">
        <v>979.29</v>
      </c>
      <c r="G2591" s="1406">
        <v>979.29</v>
      </c>
      <c r="H2591" t="b">
        <f t="shared" si="81"/>
        <v>1</v>
      </c>
    </row>
    <row r="2592" spans="1:8" ht="30">
      <c r="A2592" s="677">
        <v>10775</v>
      </c>
      <c r="B2592" s="733" t="s">
        <v>10981</v>
      </c>
      <c r="C2592" s="677" t="s">
        <v>1696</v>
      </c>
      <c r="D2592" s="738">
        <f t="shared" si="80"/>
        <v>862.5</v>
      </c>
      <c r="F2592" s="1405">
        <v>862.5</v>
      </c>
      <c r="G2592" s="1405">
        <v>862.5</v>
      </c>
      <c r="H2592" t="b">
        <f t="shared" si="81"/>
        <v>1</v>
      </c>
    </row>
    <row r="2593" spans="1:8" ht="30">
      <c r="A2593" s="739">
        <v>10776</v>
      </c>
      <c r="B2593" s="740" t="s">
        <v>10982</v>
      </c>
      <c r="C2593" s="739" t="s">
        <v>1696</v>
      </c>
      <c r="D2593" s="741">
        <f t="shared" si="80"/>
        <v>673.82</v>
      </c>
      <c r="F2593" s="1406">
        <v>673.82</v>
      </c>
      <c r="G2593" s="1406">
        <v>673.82</v>
      </c>
      <c r="H2593" t="b">
        <f t="shared" si="81"/>
        <v>1</v>
      </c>
    </row>
    <row r="2594" spans="1:8" ht="30">
      <c r="A2594" s="677">
        <v>10778</v>
      </c>
      <c r="B2594" s="733" t="s">
        <v>10983</v>
      </c>
      <c r="C2594" s="677" t="s">
        <v>1696</v>
      </c>
      <c r="D2594" s="738">
        <f t="shared" si="80"/>
        <v>1078.1199999999999</v>
      </c>
      <c r="F2594" s="1405">
        <v>1078.1199999999999</v>
      </c>
      <c r="G2594" s="1405">
        <v>1078.1199999999999</v>
      </c>
      <c r="H2594" t="b">
        <f t="shared" si="81"/>
        <v>1</v>
      </c>
    </row>
    <row r="2595" spans="1:8" ht="30">
      <c r="A2595" s="739">
        <v>40339</v>
      </c>
      <c r="B2595" s="740" t="s">
        <v>10984</v>
      </c>
      <c r="C2595" s="739" t="s">
        <v>5883</v>
      </c>
      <c r="D2595" s="741">
        <f t="shared" si="80"/>
        <v>8.0500000000000007</v>
      </c>
      <c r="F2595" s="1406">
        <v>8.0500000000000007</v>
      </c>
      <c r="G2595" s="1406">
        <v>8.0500000000000007</v>
      </c>
      <c r="H2595" t="b">
        <f t="shared" si="81"/>
        <v>1</v>
      </c>
    </row>
    <row r="2596" spans="1:8" ht="30">
      <c r="A2596" s="677">
        <v>10749</v>
      </c>
      <c r="B2596" s="733" t="s">
        <v>10985</v>
      </c>
      <c r="C2596" s="677" t="s">
        <v>5883</v>
      </c>
      <c r="D2596" s="738">
        <f t="shared" si="80"/>
        <v>26.62</v>
      </c>
      <c r="F2596" s="1405">
        <v>26.62</v>
      </c>
      <c r="G2596" s="1405">
        <v>26.62</v>
      </c>
      <c r="H2596" t="b">
        <f t="shared" si="81"/>
        <v>1</v>
      </c>
    </row>
    <row r="2597" spans="1:8">
      <c r="A2597" s="739">
        <v>40290</v>
      </c>
      <c r="B2597" s="740" t="s">
        <v>10986</v>
      </c>
      <c r="C2597" s="739" t="s">
        <v>5883</v>
      </c>
      <c r="D2597" s="741">
        <f t="shared" si="80"/>
        <v>14.4</v>
      </c>
      <c r="F2597" s="1406">
        <v>14.4</v>
      </c>
      <c r="G2597" s="1406">
        <v>14.4</v>
      </c>
      <c r="H2597" t="b">
        <f t="shared" si="81"/>
        <v>1</v>
      </c>
    </row>
    <row r="2598" spans="1:8">
      <c r="A2598" s="677">
        <v>3346</v>
      </c>
      <c r="B2598" s="733" t="s">
        <v>10987</v>
      </c>
      <c r="C2598" s="677" t="s">
        <v>1689</v>
      </c>
      <c r="D2598" s="738">
        <f t="shared" si="80"/>
        <v>17.5</v>
      </c>
      <c r="F2598" s="1405">
        <v>17.5</v>
      </c>
      <c r="G2598" s="1405">
        <v>17.5</v>
      </c>
      <c r="H2598" t="b">
        <f t="shared" si="81"/>
        <v>1</v>
      </c>
    </row>
    <row r="2599" spans="1:8">
      <c r="A2599" s="739">
        <v>3348</v>
      </c>
      <c r="B2599" s="740" t="s">
        <v>10988</v>
      </c>
      <c r="C2599" s="739" t="s">
        <v>1689</v>
      </c>
      <c r="D2599" s="741">
        <f t="shared" si="80"/>
        <v>20.93</v>
      </c>
      <c r="F2599" s="1406">
        <v>20.93</v>
      </c>
      <c r="G2599" s="1406">
        <v>20.93</v>
      </c>
      <c r="H2599" t="b">
        <f t="shared" si="81"/>
        <v>1</v>
      </c>
    </row>
    <row r="2600" spans="1:8">
      <c r="A2600" s="677">
        <v>39833</v>
      </c>
      <c r="B2600" s="733" t="s">
        <v>10989</v>
      </c>
      <c r="C2600" s="677" t="s">
        <v>1689</v>
      </c>
      <c r="D2600" s="738">
        <f t="shared" si="80"/>
        <v>28.67</v>
      </c>
      <c r="F2600" s="1405">
        <v>28.67</v>
      </c>
      <c r="G2600" s="1405">
        <v>28.67</v>
      </c>
      <c r="H2600" t="b">
        <f t="shared" si="81"/>
        <v>1</v>
      </c>
    </row>
    <row r="2601" spans="1:8">
      <c r="A2601" s="739">
        <v>7252</v>
      </c>
      <c r="B2601" s="740" t="s">
        <v>10990</v>
      </c>
      <c r="C2601" s="739" t="s">
        <v>1689</v>
      </c>
      <c r="D2601" s="741">
        <f t="shared" si="80"/>
        <v>2.34</v>
      </c>
      <c r="F2601" s="1406">
        <v>2.34</v>
      </c>
      <c r="G2601" s="1406">
        <v>2.34</v>
      </c>
      <c r="H2601" t="b">
        <f t="shared" si="81"/>
        <v>1</v>
      </c>
    </row>
    <row r="2602" spans="1:8">
      <c r="A2602" s="677">
        <v>7247</v>
      </c>
      <c r="B2602" s="733" t="s">
        <v>10991</v>
      </c>
      <c r="C2602" s="677" t="s">
        <v>1689</v>
      </c>
      <c r="D2602" s="738">
        <f t="shared" si="80"/>
        <v>2.34</v>
      </c>
      <c r="F2602" s="1405">
        <v>2.34</v>
      </c>
      <c r="G2602" s="1405">
        <v>2.34</v>
      </c>
      <c r="H2602" t="b">
        <f t="shared" si="81"/>
        <v>1</v>
      </c>
    </row>
    <row r="2603" spans="1:8" ht="30">
      <c r="A2603" s="739">
        <v>40291</v>
      </c>
      <c r="B2603" s="740" t="s">
        <v>10992</v>
      </c>
      <c r="C2603" s="739" t="s">
        <v>5883</v>
      </c>
      <c r="D2603" s="741">
        <f t="shared" si="80"/>
        <v>750</v>
      </c>
      <c r="F2603" s="1406">
        <v>750</v>
      </c>
      <c r="G2603" s="1406">
        <v>750</v>
      </c>
      <c r="H2603" t="b">
        <f t="shared" si="81"/>
        <v>1</v>
      </c>
    </row>
    <row r="2604" spans="1:8" ht="30">
      <c r="A2604" s="677">
        <v>40275</v>
      </c>
      <c r="B2604" s="733" t="s">
        <v>10993</v>
      </c>
      <c r="C2604" s="677" t="s">
        <v>5883</v>
      </c>
      <c r="D2604" s="738">
        <f t="shared" si="80"/>
        <v>24</v>
      </c>
      <c r="F2604" s="1405">
        <v>24</v>
      </c>
      <c r="G2604" s="1405">
        <v>24</v>
      </c>
      <c r="H2604" t="b">
        <f t="shared" si="81"/>
        <v>1</v>
      </c>
    </row>
    <row r="2605" spans="1:8">
      <c r="A2605" s="739">
        <v>42408</v>
      </c>
      <c r="B2605" s="740" t="s">
        <v>10994</v>
      </c>
      <c r="C2605" s="739" t="s">
        <v>1692</v>
      </c>
      <c r="D2605" s="741">
        <f t="shared" si="80"/>
        <v>1.8</v>
      </c>
      <c r="F2605" s="1406">
        <v>1.8</v>
      </c>
      <c r="G2605" s="1406">
        <v>1.8</v>
      </c>
      <c r="H2605" t="b">
        <f t="shared" si="81"/>
        <v>1</v>
      </c>
    </row>
    <row r="2606" spans="1:8">
      <c r="A2606" s="677">
        <v>3777</v>
      </c>
      <c r="B2606" s="733" t="s">
        <v>10995</v>
      </c>
      <c r="C2606" s="677" t="s">
        <v>1692</v>
      </c>
      <c r="D2606" s="738">
        <f t="shared" si="80"/>
        <v>1.3</v>
      </c>
      <c r="F2606" s="1405">
        <v>1.3</v>
      </c>
      <c r="G2606" s="1405">
        <v>1.3</v>
      </c>
      <c r="H2606" t="b">
        <f t="shared" si="81"/>
        <v>1</v>
      </c>
    </row>
    <row r="2607" spans="1:8">
      <c r="A2607" s="739">
        <v>44699</v>
      </c>
      <c r="B2607" s="740" t="s">
        <v>10996</v>
      </c>
      <c r="C2607" s="739" t="s">
        <v>1694</v>
      </c>
      <c r="D2607" s="741">
        <f t="shared" si="80"/>
        <v>47.03</v>
      </c>
      <c r="F2607" s="1406">
        <v>47.03</v>
      </c>
      <c r="G2607" s="1406">
        <v>47.03</v>
      </c>
      <c r="H2607" t="b">
        <f t="shared" si="81"/>
        <v>1</v>
      </c>
    </row>
    <row r="2608" spans="1:8">
      <c r="A2608" s="677">
        <v>3798</v>
      </c>
      <c r="B2608" s="733" t="s">
        <v>10997</v>
      </c>
      <c r="C2608" s="677" t="s">
        <v>1690</v>
      </c>
      <c r="D2608" s="738">
        <f t="shared" si="80"/>
        <v>87.77</v>
      </c>
      <c r="F2608" s="1405">
        <v>87.77</v>
      </c>
      <c r="G2608" s="1405">
        <v>87.77</v>
      </c>
      <c r="H2608" t="b">
        <f t="shared" si="81"/>
        <v>1</v>
      </c>
    </row>
    <row r="2609" spans="1:8" ht="30">
      <c r="A2609" s="739">
        <v>38769</v>
      </c>
      <c r="B2609" s="740" t="s">
        <v>10998</v>
      </c>
      <c r="C2609" s="739" t="s">
        <v>1690</v>
      </c>
      <c r="D2609" s="741">
        <f t="shared" si="80"/>
        <v>68.540000000000006</v>
      </c>
      <c r="F2609" s="1406">
        <v>68.540000000000006</v>
      </c>
      <c r="G2609" s="1406">
        <v>68.540000000000006</v>
      </c>
      <c r="H2609" t="b">
        <f t="shared" si="81"/>
        <v>1</v>
      </c>
    </row>
    <row r="2610" spans="1:8" ht="30">
      <c r="A2610" s="677">
        <v>39510</v>
      </c>
      <c r="B2610" s="733" t="s">
        <v>10999</v>
      </c>
      <c r="C2610" s="677" t="s">
        <v>1690</v>
      </c>
      <c r="D2610" s="738">
        <f t="shared" si="80"/>
        <v>277.42</v>
      </c>
      <c r="F2610" s="1405">
        <v>277.42</v>
      </c>
      <c r="G2610" s="1405">
        <v>277.42</v>
      </c>
      <c r="H2610" t="b">
        <f t="shared" si="81"/>
        <v>1</v>
      </c>
    </row>
    <row r="2611" spans="1:8" ht="30">
      <c r="A2611" s="739">
        <v>38776</v>
      </c>
      <c r="B2611" s="740" t="s">
        <v>11000</v>
      </c>
      <c r="C2611" s="739" t="s">
        <v>1690</v>
      </c>
      <c r="D2611" s="741">
        <f t="shared" si="80"/>
        <v>294.42</v>
      </c>
      <c r="F2611" s="1406">
        <v>294.42</v>
      </c>
      <c r="G2611" s="1406">
        <v>294.42</v>
      </c>
      <c r="H2611" t="b">
        <f t="shared" si="81"/>
        <v>1</v>
      </c>
    </row>
    <row r="2612" spans="1:8">
      <c r="A2612" s="677">
        <v>38774</v>
      </c>
      <c r="B2612" s="733" t="s">
        <v>11001</v>
      </c>
      <c r="C2612" s="677" t="s">
        <v>1690</v>
      </c>
      <c r="D2612" s="738">
        <f t="shared" si="80"/>
        <v>11.28</v>
      </c>
      <c r="F2612" s="1405">
        <v>11.28</v>
      </c>
      <c r="G2612" s="1405">
        <v>11.28</v>
      </c>
      <c r="H2612" t="b">
        <f t="shared" si="81"/>
        <v>1</v>
      </c>
    </row>
    <row r="2613" spans="1:8">
      <c r="A2613" s="739">
        <v>42247</v>
      </c>
      <c r="B2613" s="740" t="s">
        <v>11002</v>
      </c>
      <c r="C2613" s="739" t="s">
        <v>1690</v>
      </c>
      <c r="D2613" s="741">
        <f t="shared" si="80"/>
        <v>385.01</v>
      </c>
      <c r="F2613" s="1406">
        <v>385.01</v>
      </c>
      <c r="G2613" s="1406">
        <v>385.01</v>
      </c>
      <c r="H2613" t="b">
        <f t="shared" si="81"/>
        <v>1</v>
      </c>
    </row>
    <row r="2614" spans="1:8">
      <c r="A2614" s="677">
        <v>42248</v>
      </c>
      <c r="B2614" s="733" t="s">
        <v>11003</v>
      </c>
      <c r="C2614" s="677" t="s">
        <v>1690</v>
      </c>
      <c r="D2614" s="738">
        <f t="shared" si="80"/>
        <v>447.22</v>
      </c>
      <c r="F2614" s="1405">
        <v>447.22</v>
      </c>
      <c r="G2614" s="1405">
        <v>447.22</v>
      </c>
      <c r="H2614" t="b">
        <f t="shared" si="81"/>
        <v>1</v>
      </c>
    </row>
    <row r="2615" spans="1:8">
      <c r="A2615" s="739">
        <v>42249</v>
      </c>
      <c r="B2615" s="740" t="s">
        <v>11004</v>
      </c>
      <c r="C2615" s="739" t="s">
        <v>1690</v>
      </c>
      <c r="D2615" s="741">
        <f t="shared" si="80"/>
        <v>740.88</v>
      </c>
      <c r="F2615" s="1406">
        <v>740.88</v>
      </c>
      <c r="G2615" s="1406">
        <v>740.88</v>
      </c>
      <c r="H2615" t="b">
        <f t="shared" si="81"/>
        <v>1</v>
      </c>
    </row>
    <row r="2616" spans="1:8">
      <c r="A2616" s="677">
        <v>42244</v>
      </c>
      <c r="B2616" s="733" t="s">
        <v>11005</v>
      </c>
      <c r="C2616" s="677" t="s">
        <v>1690</v>
      </c>
      <c r="D2616" s="738">
        <f t="shared" si="80"/>
        <v>115.7</v>
      </c>
      <c r="F2616" s="1405">
        <v>115.7</v>
      </c>
      <c r="G2616" s="1405">
        <v>115.7</v>
      </c>
      <c r="H2616" t="b">
        <f t="shared" si="81"/>
        <v>1</v>
      </c>
    </row>
    <row r="2617" spans="1:8">
      <c r="A2617" s="739">
        <v>42245</v>
      </c>
      <c r="B2617" s="740" t="s">
        <v>11006</v>
      </c>
      <c r="C2617" s="739" t="s">
        <v>1690</v>
      </c>
      <c r="D2617" s="741">
        <f t="shared" si="80"/>
        <v>213.51</v>
      </c>
      <c r="F2617" s="1406">
        <v>213.51</v>
      </c>
      <c r="G2617" s="1406">
        <v>213.51</v>
      </c>
      <c r="H2617" t="b">
        <f t="shared" si="81"/>
        <v>1</v>
      </c>
    </row>
    <row r="2618" spans="1:8">
      <c r="A2618" s="677">
        <v>42246</v>
      </c>
      <c r="B2618" s="733" t="s">
        <v>11007</v>
      </c>
      <c r="C2618" s="677" t="s">
        <v>1690</v>
      </c>
      <c r="D2618" s="738">
        <f t="shared" si="80"/>
        <v>236.34</v>
      </c>
      <c r="F2618" s="1405">
        <v>236.34</v>
      </c>
      <c r="G2618" s="1405">
        <v>236.34</v>
      </c>
      <c r="H2618" t="b">
        <f t="shared" si="81"/>
        <v>1</v>
      </c>
    </row>
    <row r="2619" spans="1:8">
      <c r="A2619" s="739">
        <v>42243</v>
      </c>
      <c r="B2619" s="740" t="s">
        <v>11008</v>
      </c>
      <c r="C2619" s="739" t="s">
        <v>1690</v>
      </c>
      <c r="D2619" s="741">
        <f t="shared" si="80"/>
        <v>284.99</v>
      </c>
      <c r="F2619" s="1406">
        <v>284.99</v>
      </c>
      <c r="G2619" s="1406">
        <v>284.99</v>
      </c>
      <c r="H2619" t="b">
        <f t="shared" si="81"/>
        <v>1</v>
      </c>
    </row>
    <row r="2620" spans="1:8" ht="30">
      <c r="A2620" s="677">
        <v>38889</v>
      </c>
      <c r="B2620" s="733" t="s">
        <v>11009</v>
      </c>
      <c r="C2620" s="677" t="s">
        <v>1690</v>
      </c>
      <c r="D2620" s="738">
        <f t="shared" si="80"/>
        <v>52.54</v>
      </c>
      <c r="F2620" s="1405">
        <v>52.54</v>
      </c>
      <c r="G2620" s="1405">
        <v>52.54</v>
      </c>
      <c r="H2620" t="b">
        <f t="shared" si="81"/>
        <v>1</v>
      </c>
    </row>
    <row r="2621" spans="1:8" ht="30">
      <c r="A2621" s="739">
        <v>38784</v>
      </c>
      <c r="B2621" s="740" t="s">
        <v>11010</v>
      </c>
      <c r="C2621" s="739" t="s">
        <v>1690</v>
      </c>
      <c r="D2621" s="741">
        <f t="shared" si="80"/>
        <v>70.290000000000006</v>
      </c>
      <c r="F2621" s="1406">
        <v>70.290000000000006</v>
      </c>
      <c r="G2621" s="1406">
        <v>70.290000000000006</v>
      </c>
      <c r="H2621" t="b">
        <f t="shared" si="81"/>
        <v>1</v>
      </c>
    </row>
    <row r="2622" spans="1:8" ht="30">
      <c r="A2622" s="677">
        <v>3788</v>
      </c>
      <c r="B2622" s="733" t="s">
        <v>11011</v>
      </c>
      <c r="C2622" s="677" t="s">
        <v>1690</v>
      </c>
      <c r="D2622" s="738">
        <f t="shared" si="80"/>
        <v>73.25</v>
      </c>
      <c r="F2622" s="1405">
        <v>73.25</v>
      </c>
      <c r="G2622" s="1405">
        <v>73.25</v>
      </c>
      <c r="H2622" t="b">
        <f t="shared" si="81"/>
        <v>1</v>
      </c>
    </row>
    <row r="2623" spans="1:8" ht="30">
      <c r="A2623" s="739">
        <v>12230</v>
      </c>
      <c r="B2623" s="740" t="s">
        <v>11012</v>
      </c>
      <c r="C2623" s="739" t="s">
        <v>1690</v>
      </c>
      <c r="D2623" s="741">
        <f t="shared" si="80"/>
        <v>18.84</v>
      </c>
      <c r="F2623" s="1406">
        <v>18.84</v>
      </c>
      <c r="G2623" s="1406">
        <v>18.84</v>
      </c>
      <c r="H2623" t="b">
        <f t="shared" si="81"/>
        <v>1</v>
      </c>
    </row>
    <row r="2624" spans="1:8" ht="30">
      <c r="A2624" s="677">
        <v>3780</v>
      </c>
      <c r="B2624" s="733" t="s">
        <v>11013</v>
      </c>
      <c r="C2624" s="677" t="s">
        <v>1690</v>
      </c>
      <c r="D2624" s="738">
        <f t="shared" si="80"/>
        <v>108.07</v>
      </c>
      <c r="F2624" s="1405">
        <v>108.07</v>
      </c>
      <c r="G2624" s="1405">
        <v>108.07</v>
      </c>
      <c r="H2624" t="b">
        <f t="shared" si="81"/>
        <v>1</v>
      </c>
    </row>
    <row r="2625" spans="1:8" ht="30">
      <c r="A2625" s="739">
        <v>12231</v>
      </c>
      <c r="B2625" s="740" t="s">
        <v>11014</v>
      </c>
      <c r="C2625" s="739" t="s">
        <v>1690</v>
      </c>
      <c r="D2625" s="741">
        <f t="shared" si="80"/>
        <v>31.33</v>
      </c>
      <c r="F2625" s="1406">
        <v>31.33</v>
      </c>
      <c r="G2625" s="1406">
        <v>31.33</v>
      </c>
      <c r="H2625" t="b">
        <f t="shared" si="81"/>
        <v>1</v>
      </c>
    </row>
    <row r="2626" spans="1:8" ht="30">
      <c r="A2626" s="677">
        <v>3811</v>
      </c>
      <c r="B2626" s="733" t="s">
        <v>11015</v>
      </c>
      <c r="C2626" s="677" t="s">
        <v>1690</v>
      </c>
      <c r="D2626" s="738">
        <f t="shared" si="80"/>
        <v>101.51</v>
      </c>
      <c r="F2626" s="1405">
        <v>101.51</v>
      </c>
      <c r="G2626" s="1405">
        <v>101.51</v>
      </c>
      <c r="H2626" t="b">
        <f t="shared" si="81"/>
        <v>1</v>
      </c>
    </row>
    <row r="2627" spans="1:8" ht="30">
      <c r="A2627" s="739">
        <v>12232</v>
      </c>
      <c r="B2627" s="740" t="s">
        <v>11016</v>
      </c>
      <c r="C2627" s="739" t="s">
        <v>1690</v>
      </c>
      <c r="D2627" s="741">
        <f t="shared" ref="D2627:D2690" si="82">IF($J$2=$F$1,F2627,G2627)</f>
        <v>32.82</v>
      </c>
      <c r="F2627" s="1406">
        <v>32.82</v>
      </c>
      <c r="G2627" s="1406">
        <v>32.82</v>
      </c>
      <c r="H2627" t="b">
        <f t="shared" ref="H2627:H2690" si="83">F2627=G2627</f>
        <v>1</v>
      </c>
    </row>
    <row r="2628" spans="1:8" ht="30">
      <c r="A2628" s="677">
        <v>3799</v>
      </c>
      <c r="B2628" s="733" t="s">
        <v>11017</v>
      </c>
      <c r="C2628" s="677" t="s">
        <v>1690</v>
      </c>
      <c r="D2628" s="738">
        <f t="shared" si="82"/>
        <v>143.56</v>
      </c>
      <c r="F2628" s="1405">
        <v>143.56</v>
      </c>
      <c r="G2628" s="1405">
        <v>143.56</v>
      </c>
      <c r="H2628" t="b">
        <f t="shared" si="83"/>
        <v>1</v>
      </c>
    </row>
    <row r="2629" spans="1:8" ht="30">
      <c r="A2629" s="739">
        <v>12239</v>
      </c>
      <c r="B2629" s="740" t="s">
        <v>11018</v>
      </c>
      <c r="C2629" s="739" t="s">
        <v>1690</v>
      </c>
      <c r="D2629" s="741">
        <f t="shared" si="82"/>
        <v>42.97</v>
      </c>
      <c r="F2629" s="1406">
        <v>42.97</v>
      </c>
      <c r="G2629" s="1406">
        <v>42.97</v>
      </c>
      <c r="H2629" t="b">
        <f t="shared" si="83"/>
        <v>1</v>
      </c>
    </row>
    <row r="2630" spans="1:8">
      <c r="A2630" s="677">
        <v>38773</v>
      </c>
      <c r="B2630" s="733" t="s">
        <v>11019</v>
      </c>
      <c r="C2630" s="677" t="s">
        <v>1690</v>
      </c>
      <c r="D2630" s="738">
        <f t="shared" si="82"/>
        <v>6.89</v>
      </c>
      <c r="F2630" s="1405">
        <v>6.89</v>
      </c>
      <c r="G2630" s="1405">
        <v>6.89</v>
      </c>
      <c r="H2630" t="b">
        <f t="shared" si="83"/>
        <v>1</v>
      </c>
    </row>
    <row r="2631" spans="1:8">
      <c r="A2631" s="739">
        <v>12271</v>
      </c>
      <c r="B2631" s="740" t="s">
        <v>11020</v>
      </c>
      <c r="C2631" s="739" t="s">
        <v>1690</v>
      </c>
      <c r="D2631" s="741">
        <f t="shared" si="82"/>
        <v>384.38</v>
      </c>
      <c r="F2631" s="1406">
        <v>384.38</v>
      </c>
      <c r="G2631" s="1406">
        <v>384.38</v>
      </c>
      <c r="H2631" t="b">
        <f t="shared" si="83"/>
        <v>1</v>
      </c>
    </row>
    <row r="2632" spans="1:8">
      <c r="A2632" s="677">
        <v>13382</v>
      </c>
      <c r="B2632" s="733" t="s">
        <v>11021</v>
      </c>
      <c r="C2632" s="677" t="s">
        <v>1690</v>
      </c>
      <c r="D2632" s="738">
        <f t="shared" si="82"/>
        <v>409.59</v>
      </c>
      <c r="F2632" s="1405">
        <v>409.59</v>
      </c>
      <c r="G2632" s="1405">
        <v>409.59</v>
      </c>
      <c r="H2632" t="b">
        <f t="shared" si="83"/>
        <v>1</v>
      </c>
    </row>
    <row r="2633" spans="1:8">
      <c r="A2633" s="739">
        <v>38785</v>
      </c>
      <c r="B2633" s="740" t="s">
        <v>11022</v>
      </c>
      <c r="C2633" s="739" t="s">
        <v>1690</v>
      </c>
      <c r="D2633" s="741">
        <f t="shared" si="82"/>
        <v>181.98</v>
      </c>
      <c r="F2633" s="1406">
        <v>181.98</v>
      </c>
      <c r="G2633" s="1406">
        <v>181.98</v>
      </c>
      <c r="H2633" t="b">
        <f t="shared" si="83"/>
        <v>1</v>
      </c>
    </row>
    <row r="2634" spans="1:8">
      <c r="A2634" s="677">
        <v>38786</v>
      </c>
      <c r="B2634" s="733" t="s">
        <v>11023</v>
      </c>
      <c r="C2634" s="677" t="s">
        <v>1690</v>
      </c>
      <c r="D2634" s="738">
        <f t="shared" si="82"/>
        <v>224.16</v>
      </c>
      <c r="F2634" s="1405">
        <v>224.16</v>
      </c>
      <c r="G2634" s="1405">
        <v>224.16</v>
      </c>
      <c r="H2634" t="b">
        <f t="shared" si="83"/>
        <v>1</v>
      </c>
    </row>
    <row r="2635" spans="1:8">
      <c r="A2635" s="739">
        <v>39385</v>
      </c>
      <c r="B2635" s="740" t="s">
        <v>11024</v>
      </c>
      <c r="C2635" s="739" t="s">
        <v>1690</v>
      </c>
      <c r="D2635" s="741">
        <f t="shared" si="82"/>
        <v>10.31</v>
      </c>
      <c r="F2635" s="1406">
        <v>10.31</v>
      </c>
      <c r="G2635" s="1406">
        <v>10.31</v>
      </c>
      <c r="H2635" t="b">
        <f t="shared" si="83"/>
        <v>1</v>
      </c>
    </row>
    <row r="2636" spans="1:8">
      <c r="A2636" s="677">
        <v>39389</v>
      </c>
      <c r="B2636" s="733" t="s">
        <v>11025</v>
      </c>
      <c r="C2636" s="677" t="s">
        <v>1690</v>
      </c>
      <c r="D2636" s="738">
        <f t="shared" si="82"/>
        <v>11.19</v>
      </c>
      <c r="F2636" s="1405">
        <v>11.19</v>
      </c>
      <c r="G2636" s="1405">
        <v>11.19</v>
      </c>
      <c r="H2636" t="b">
        <f t="shared" si="83"/>
        <v>1</v>
      </c>
    </row>
    <row r="2637" spans="1:8">
      <c r="A2637" s="739">
        <v>39390</v>
      </c>
      <c r="B2637" s="740" t="s">
        <v>11026</v>
      </c>
      <c r="C2637" s="739" t="s">
        <v>1690</v>
      </c>
      <c r="D2637" s="741">
        <f t="shared" si="82"/>
        <v>23.46</v>
      </c>
      <c r="F2637" s="1406">
        <v>23.46</v>
      </c>
      <c r="G2637" s="1406">
        <v>23.46</v>
      </c>
      <c r="H2637" t="b">
        <f t="shared" si="83"/>
        <v>1</v>
      </c>
    </row>
    <row r="2638" spans="1:8">
      <c r="A2638" s="677">
        <v>39391</v>
      </c>
      <c r="B2638" s="733" t="s">
        <v>11027</v>
      </c>
      <c r="C2638" s="677" t="s">
        <v>1690</v>
      </c>
      <c r="D2638" s="738">
        <f t="shared" si="82"/>
        <v>26.34</v>
      </c>
      <c r="F2638" s="1405">
        <v>26.34</v>
      </c>
      <c r="G2638" s="1405">
        <v>26.34</v>
      </c>
      <c r="H2638" t="b">
        <f t="shared" si="83"/>
        <v>1</v>
      </c>
    </row>
    <row r="2639" spans="1:8" ht="30">
      <c r="A2639" s="739">
        <v>3803</v>
      </c>
      <c r="B2639" s="740" t="s">
        <v>11028</v>
      </c>
      <c r="C2639" s="739" t="s">
        <v>1690</v>
      </c>
      <c r="D2639" s="741">
        <f t="shared" si="82"/>
        <v>65</v>
      </c>
      <c r="F2639" s="1406">
        <v>65</v>
      </c>
      <c r="G2639" s="1406">
        <v>65</v>
      </c>
      <c r="H2639" t="b">
        <f t="shared" si="83"/>
        <v>1</v>
      </c>
    </row>
    <row r="2640" spans="1:8" ht="30">
      <c r="A2640" s="677">
        <v>38770</v>
      </c>
      <c r="B2640" s="733" t="s">
        <v>11029</v>
      </c>
      <c r="C2640" s="677" t="s">
        <v>1690</v>
      </c>
      <c r="D2640" s="738">
        <f t="shared" si="82"/>
        <v>75.260000000000005</v>
      </c>
      <c r="F2640" s="1405">
        <v>75.260000000000005</v>
      </c>
      <c r="G2640" s="1405">
        <v>75.260000000000005</v>
      </c>
      <c r="H2640" t="b">
        <f t="shared" si="83"/>
        <v>1</v>
      </c>
    </row>
    <row r="2641" spans="1:8">
      <c r="A2641" s="739">
        <v>12267</v>
      </c>
      <c r="B2641" s="740" t="s">
        <v>11030</v>
      </c>
      <c r="C2641" s="739" t="s">
        <v>1690</v>
      </c>
      <c r="D2641" s="741">
        <f t="shared" si="82"/>
        <v>220.55</v>
      </c>
      <c r="F2641" s="1406">
        <v>220.55</v>
      </c>
      <c r="G2641" s="1406">
        <v>220.55</v>
      </c>
      <c r="H2641" t="b">
        <f t="shared" si="83"/>
        <v>1</v>
      </c>
    </row>
    <row r="2642" spans="1:8" ht="45">
      <c r="A2642" s="677">
        <v>43265</v>
      </c>
      <c r="B2642" s="733" t="s">
        <v>11031</v>
      </c>
      <c r="C2642" s="677" t="s">
        <v>1690</v>
      </c>
      <c r="D2642" s="738">
        <f t="shared" si="82"/>
        <v>32.26</v>
      </c>
      <c r="F2642" s="1405">
        <v>32.26</v>
      </c>
      <c r="G2642" s="1405">
        <v>32.26</v>
      </c>
      <c r="H2642" t="b">
        <f t="shared" si="83"/>
        <v>1</v>
      </c>
    </row>
    <row r="2643" spans="1:8" ht="30">
      <c r="A2643" s="739">
        <v>12266</v>
      </c>
      <c r="B2643" s="740" t="s">
        <v>11032</v>
      </c>
      <c r="C2643" s="739" t="s">
        <v>1690</v>
      </c>
      <c r="D2643" s="741">
        <f t="shared" si="82"/>
        <v>112.88</v>
      </c>
      <c r="F2643" s="1406">
        <v>112.88</v>
      </c>
      <c r="G2643" s="1406">
        <v>112.88</v>
      </c>
      <c r="H2643" t="b">
        <f t="shared" si="83"/>
        <v>1</v>
      </c>
    </row>
    <row r="2644" spans="1:8" ht="30">
      <c r="A2644" s="677">
        <v>39378</v>
      </c>
      <c r="B2644" s="733" t="s">
        <v>11033</v>
      </c>
      <c r="C2644" s="677" t="s">
        <v>1690</v>
      </c>
      <c r="D2644" s="738">
        <f t="shared" si="82"/>
        <v>80.03</v>
      </c>
      <c r="F2644" s="1405">
        <v>80.03</v>
      </c>
      <c r="G2644" s="1405">
        <v>80.03</v>
      </c>
      <c r="H2644" t="b">
        <f t="shared" si="83"/>
        <v>1</v>
      </c>
    </row>
    <row r="2645" spans="1:8" ht="30">
      <c r="A2645" s="739">
        <v>43543</v>
      </c>
      <c r="B2645" s="740" t="s">
        <v>11034</v>
      </c>
      <c r="C2645" s="739" t="s">
        <v>1690</v>
      </c>
      <c r="D2645" s="741">
        <f t="shared" si="82"/>
        <v>166.73</v>
      </c>
      <c r="F2645" s="1406">
        <v>166.73</v>
      </c>
      <c r="G2645" s="1406">
        <v>166.73</v>
      </c>
      <c r="H2645" t="b">
        <f t="shared" si="83"/>
        <v>1</v>
      </c>
    </row>
    <row r="2646" spans="1:8" ht="30">
      <c r="A2646" s="677">
        <v>38775</v>
      </c>
      <c r="B2646" s="733" t="s">
        <v>11035</v>
      </c>
      <c r="C2646" s="677" t="s">
        <v>1690</v>
      </c>
      <c r="D2646" s="738">
        <f t="shared" si="82"/>
        <v>84.85</v>
      </c>
      <c r="F2646" s="1405">
        <v>84.85</v>
      </c>
      <c r="G2646" s="1405">
        <v>84.85</v>
      </c>
      <c r="H2646" t="b">
        <f t="shared" si="83"/>
        <v>1</v>
      </c>
    </row>
    <row r="2647" spans="1:8">
      <c r="A2647" s="739">
        <v>44252</v>
      </c>
      <c r="B2647" s="740" t="s">
        <v>11036</v>
      </c>
      <c r="C2647" s="739" t="s">
        <v>1690</v>
      </c>
      <c r="D2647" s="741">
        <f t="shared" si="82"/>
        <v>176.7</v>
      </c>
      <c r="F2647" s="1406">
        <v>176.7</v>
      </c>
      <c r="G2647" s="1406">
        <v>176.7</v>
      </c>
      <c r="H2647" t="b">
        <f t="shared" si="83"/>
        <v>1</v>
      </c>
    </row>
    <row r="2648" spans="1:8">
      <c r="A2648" s="677">
        <v>21119</v>
      </c>
      <c r="B2648" s="733" t="s">
        <v>11037</v>
      </c>
      <c r="C2648" s="677" t="s">
        <v>1690</v>
      </c>
      <c r="D2648" s="738">
        <f t="shared" si="82"/>
        <v>1.77</v>
      </c>
      <c r="F2648" s="1405">
        <v>1.77</v>
      </c>
      <c r="G2648" s="1405">
        <v>1.77</v>
      </c>
      <c r="H2648" t="b">
        <f t="shared" si="83"/>
        <v>1</v>
      </c>
    </row>
    <row r="2649" spans="1:8">
      <c r="A2649" s="739">
        <v>37974</v>
      </c>
      <c r="B2649" s="740" t="s">
        <v>11038</v>
      </c>
      <c r="C2649" s="739" t="s">
        <v>1690</v>
      </c>
      <c r="D2649" s="741">
        <f t="shared" si="82"/>
        <v>2.29</v>
      </c>
      <c r="F2649" s="1406">
        <v>2.29</v>
      </c>
      <c r="G2649" s="1406">
        <v>2.29</v>
      </c>
      <c r="H2649" t="b">
        <f t="shared" si="83"/>
        <v>1</v>
      </c>
    </row>
    <row r="2650" spans="1:8">
      <c r="A2650" s="677">
        <v>37975</v>
      </c>
      <c r="B2650" s="733" t="s">
        <v>11039</v>
      </c>
      <c r="C2650" s="677" t="s">
        <v>1690</v>
      </c>
      <c r="D2650" s="738">
        <f t="shared" si="82"/>
        <v>5.0999999999999996</v>
      </c>
      <c r="F2650" s="1405">
        <v>5.0999999999999996</v>
      </c>
      <c r="G2650" s="1405">
        <v>5.0999999999999996</v>
      </c>
      <c r="H2650" t="b">
        <f t="shared" si="83"/>
        <v>1</v>
      </c>
    </row>
    <row r="2651" spans="1:8">
      <c r="A2651" s="739">
        <v>37976</v>
      </c>
      <c r="B2651" s="740" t="s">
        <v>11040</v>
      </c>
      <c r="C2651" s="739" t="s">
        <v>1690</v>
      </c>
      <c r="D2651" s="741">
        <f t="shared" si="82"/>
        <v>11.36</v>
      </c>
      <c r="F2651" s="1406">
        <v>11.36</v>
      </c>
      <c r="G2651" s="1406">
        <v>11.36</v>
      </c>
      <c r="H2651" t="b">
        <f t="shared" si="83"/>
        <v>1</v>
      </c>
    </row>
    <row r="2652" spans="1:8">
      <c r="A2652" s="677">
        <v>37977</v>
      </c>
      <c r="B2652" s="733" t="s">
        <v>11041</v>
      </c>
      <c r="C2652" s="677" t="s">
        <v>1690</v>
      </c>
      <c r="D2652" s="738">
        <f t="shared" si="82"/>
        <v>15.72</v>
      </c>
      <c r="F2652" s="1405">
        <v>15.72</v>
      </c>
      <c r="G2652" s="1405">
        <v>15.72</v>
      </c>
      <c r="H2652" t="b">
        <f t="shared" si="83"/>
        <v>1</v>
      </c>
    </row>
    <row r="2653" spans="1:8">
      <c r="A2653" s="739">
        <v>37978</v>
      </c>
      <c r="B2653" s="740" t="s">
        <v>11042</v>
      </c>
      <c r="C2653" s="739" t="s">
        <v>1690</v>
      </c>
      <c r="D2653" s="741">
        <f t="shared" si="82"/>
        <v>31.17</v>
      </c>
      <c r="F2653" s="1406">
        <v>31.17</v>
      </c>
      <c r="G2653" s="1406">
        <v>31.17</v>
      </c>
      <c r="H2653" t="b">
        <f t="shared" si="83"/>
        <v>1</v>
      </c>
    </row>
    <row r="2654" spans="1:8">
      <c r="A2654" s="677">
        <v>37979</v>
      </c>
      <c r="B2654" s="733" t="s">
        <v>11043</v>
      </c>
      <c r="C2654" s="677" t="s">
        <v>1690</v>
      </c>
      <c r="D2654" s="738">
        <f t="shared" si="82"/>
        <v>132.29</v>
      </c>
      <c r="F2654" s="1405">
        <v>132.29</v>
      </c>
      <c r="G2654" s="1405">
        <v>132.29</v>
      </c>
      <c r="H2654" t="b">
        <f t="shared" si="83"/>
        <v>1</v>
      </c>
    </row>
    <row r="2655" spans="1:8">
      <c r="A2655" s="739">
        <v>37980</v>
      </c>
      <c r="B2655" s="740" t="s">
        <v>11044</v>
      </c>
      <c r="C2655" s="739" t="s">
        <v>1690</v>
      </c>
      <c r="D2655" s="741">
        <f t="shared" si="82"/>
        <v>151.96</v>
      </c>
      <c r="F2655" s="1406">
        <v>151.96</v>
      </c>
      <c r="G2655" s="1406">
        <v>151.96</v>
      </c>
      <c r="H2655" t="b">
        <f t="shared" si="83"/>
        <v>1</v>
      </c>
    </row>
    <row r="2656" spans="1:8">
      <c r="A2656" s="677">
        <v>36147</v>
      </c>
      <c r="B2656" s="733" t="s">
        <v>11045</v>
      </c>
      <c r="C2656" s="677" t="s">
        <v>1697</v>
      </c>
      <c r="D2656" s="738">
        <f t="shared" si="82"/>
        <v>455.94</v>
      </c>
      <c r="F2656" s="1405">
        <v>455.94</v>
      </c>
      <c r="G2656" s="1405">
        <v>455.94</v>
      </c>
      <c r="H2656" t="b">
        <f t="shared" si="83"/>
        <v>1</v>
      </c>
    </row>
    <row r="2657" spans="1:8">
      <c r="A2657" s="739">
        <v>12731</v>
      </c>
      <c r="B2657" s="740" t="s">
        <v>11046</v>
      </c>
      <c r="C2657" s="739" t="s">
        <v>1690</v>
      </c>
      <c r="D2657" s="741">
        <f t="shared" si="82"/>
        <v>349.28</v>
      </c>
      <c r="F2657" s="1406">
        <v>349.28</v>
      </c>
      <c r="G2657" s="1406">
        <v>349.28</v>
      </c>
      <c r="H2657" t="b">
        <f t="shared" si="83"/>
        <v>1</v>
      </c>
    </row>
    <row r="2658" spans="1:8">
      <c r="A2658" s="677">
        <v>12723</v>
      </c>
      <c r="B2658" s="733" t="s">
        <v>11047</v>
      </c>
      <c r="C2658" s="677" t="s">
        <v>1690</v>
      </c>
      <c r="D2658" s="738">
        <f t="shared" si="82"/>
        <v>2.7</v>
      </c>
      <c r="F2658" s="1405">
        <v>2.7</v>
      </c>
      <c r="G2658" s="1405">
        <v>2.7</v>
      </c>
      <c r="H2658" t="b">
        <f t="shared" si="83"/>
        <v>1</v>
      </c>
    </row>
    <row r="2659" spans="1:8">
      <c r="A2659" s="739">
        <v>12724</v>
      </c>
      <c r="B2659" s="740" t="s">
        <v>11048</v>
      </c>
      <c r="C2659" s="739" t="s">
        <v>1690</v>
      </c>
      <c r="D2659" s="741">
        <f t="shared" si="82"/>
        <v>5.2</v>
      </c>
      <c r="F2659" s="1406">
        <v>5.2</v>
      </c>
      <c r="G2659" s="1406">
        <v>5.2</v>
      </c>
      <c r="H2659" t="b">
        <f t="shared" si="83"/>
        <v>1</v>
      </c>
    </row>
    <row r="2660" spans="1:8">
      <c r="A2660" s="677">
        <v>12725</v>
      </c>
      <c r="B2660" s="733" t="s">
        <v>11049</v>
      </c>
      <c r="C2660" s="677" t="s">
        <v>1690</v>
      </c>
      <c r="D2660" s="738">
        <f t="shared" si="82"/>
        <v>10.44</v>
      </c>
      <c r="F2660" s="1405">
        <v>10.44</v>
      </c>
      <c r="G2660" s="1405">
        <v>10.44</v>
      </c>
      <c r="H2660" t="b">
        <f t="shared" si="83"/>
        <v>1</v>
      </c>
    </row>
    <row r="2661" spans="1:8">
      <c r="A2661" s="739">
        <v>12726</v>
      </c>
      <c r="B2661" s="740" t="s">
        <v>11050</v>
      </c>
      <c r="C2661" s="739" t="s">
        <v>1690</v>
      </c>
      <c r="D2661" s="741">
        <f t="shared" si="82"/>
        <v>23.04</v>
      </c>
      <c r="F2661" s="1406">
        <v>23.04</v>
      </c>
      <c r="G2661" s="1406">
        <v>23.04</v>
      </c>
      <c r="H2661" t="b">
        <f t="shared" si="83"/>
        <v>1</v>
      </c>
    </row>
    <row r="2662" spans="1:8">
      <c r="A2662" s="677">
        <v>12727</v>
      </c>
      <c r="B2662" s="733" t="s">
        <v>11051</v>
      </c>
      <c r="C2662" s="677" t="s">
        <v>1690</v>
      </c>
      <c r="D2662" s="738">
        <f t="shared" si="82"/>
        <v>29.22</v>
      </c>
      <c r="F2662" s="1405">
        <v>29.22</v>
      </c>
      <c r="G2662" s="1405">
        <v>29.22</v>
      </c>
      <c r="H2662" t="b">
        <f t="shared" si="83"/>
        <v>1</v>
      </c>
    </row>
    <row r="2663" spans="1:8">
      <c r="A2663" s="739">
        <v>12728</v>
      </c>
      <c r="B2663" s="740" t="s">
        <v>11052</v>
      </c>
      <c r="C2663" s="739" t="s">
        <v>1690</v>
      </c>
      <c r="D2663" s="741">
        <f t="shared" si="82"/>
        <v>47.73</v>
      </c>
      <c r="F2663" s="1406">
        <v>47.73</v>
      </c>
      <c r="G2663" s="1406">
        <v>47.73</v>
      </c>
      <c r="H2663" t="b">
        <f t="shared" si="83"/>
        <v>1</v>
      </c>
    </row>
    <row r="2664" spans="1:8">
      <c r="A2664" s="677">
        <v>12729</v>
      </c>
      <c r="B2664" s="733" t="s">
        <v>11053</v>
      </c>
      <c r="C2664" s="677" t="s">
        <v>1690</v>
      </c>
      <c r="D2664" s="738">
        <f t="shared" si="82"/>
        <v>156.44999999999999</v>
      </c>
      <c r="F2664" s="1405">
        <v>156.44999999999999</v>
      </c>
      <c r="G2664" s="1405">
        <v>156.44999999999999</v>
      </c>
      <c r="H2664" t="b">
        <f t="shared" si="83"/>
        <v>1</v>
      </c>
    </row>
    <row r="2665" spans="1:8">
      <c r="A2665" s="739">
        <v>12730</v>
      </c>
      <c r="B2665" s="740" t="s">
        <v>11054</v>
      </c>
      <c r="C2665" s="739" t="s">
        <v>1690</v>
      </c>
      <c r="D2665" s="741">
        <f t="shared" si="82"/>
        <v>239.53</v>
      </c>
      <c r="F2665" s="1406">
        <v>239.53</v>
      </c>
      <c r="G2665" s="1406">
        <v>239.53</v>
      </c>
      <c r="H2665" t="b">
        <f t="shared" si="83"/>
        <v>1</v>
      </c>
    </row>
    <row r="2666" spans="1:8">
      <c r="A2666" s="677">
        <v>3840</v>
      </c>
      <c r="B2666" s="733" t="s">
        <v>11055</v>
      </c>
      <c r="C2666" s="677" t="s">
        <v>1690</v>
      </c>
      <c r="D2666" s="738">
        <f t="shared" si="82"/>
        <v>43.01</v>
      </c>
      <c r="F2666" s="1405">
        <v>43.01</v>
      </c>
      <c r="G2666" s="1405">
        <v>43.01</v>
      </c>
      <c r="H2666" t="b">
        <f t="shared" si="83"/>
        <v>1</v>
      </c>
    </row>
    <row r="2667" spans="1:8">
      <c r="A2667" s="739">
        <v>3838</v>
      </c>
      <c r="B2667" s="740" t="s">
        <v>11056</v>
      </c>
      <c r="C2667" s="739" t="s">
        <v>1690</v>
      </c>
      <c r="D2667" s="741">
        <f t="shared" si="82"/>
        <v>94.93</v>
      </c>
      <c r="F2667" s="1406">
        <v>94.93</v>
      </c>
      <c r="G2667" s="1406">
        <v>94.93</v>
      </c>
      <c r="H2667" t="b">
        <f t="shared" si="83"/>
        <v>1</v>
      </c>
    </row>
    <row r="2668" spans="1:8">
      <c r="A2668" s="677">
        <v>3844</v>
      </c>
      <c r="B2668" s="733" t="s">
        <v>11057</v>
      </c>
      <c r="C2668" s="677" t="s">
        <v>1690</v>
      </c>
      <c r="D2668" s="738">
        <f t="shared" si="82"/>
        <v>169.34</v>
      </c>
      <c r="F2668" s="1405">
        <v>169.34</v>
      </c>
      <c r="G2668" s="1405">
        <v>169.34</v>
      </c>
      <c r="H2668" t="b">
        <f t="shared" si="83"/>
        <v>1</v>
      </c>
    </row>
    <row r="2669" spans="1:8">
      <c r="A2669" s="739">
        <v>3839</v>
      </c>
      <c r="B2669" s="740" t="s">
        <v>11058</v>
      </c>
      <c r="C2669" s="739" t="s">
        <v>1690</v>
      </c>
      <c r="D2669" s="741">
        <f t="shared" si="82"/>
        <v>308.44</v>
      </c>
      <c r="F2669" s="1406">
        <v>308.44</v>
      </c>
      <c r="G2669" s="1406">
        <v>308.44</v>
      </c>
      <c r="H2669" t="b">
        <f t="shared" si="83"/>
        <v>1</v>
      </c>
    </row>
    <row r="2670" spans="1:8">
      <c r="A2670" s="677">
        <v>3843</v>
      </c>
      <c r="B2670" s="733" t="s">
        <v>11059</v>
      </c>
      <c r="C2670" s="677" t="s">
        <v>1690</v>
      </c>
      <c r="D2670" s="738">
        <f t="shared" si="82"/>
        <v>423.34</v>
      </c>
      <c r="F2670" s="1405">
        <v>423.34</v>
      </c>
      <c r="G2670" s="1405">
        <v>423.34</v>
      </c>
      <c r="H2670" t="b">
        <f t="shared" si="83"/>
        <v>1</v>
      </c>
    </row>
    <row r="2671" spans="1:8">
      <c r="A2671" s="739">
        <v>3900</v>
      </c>
      <c r="B2671" s="740" t="s">
        <v>11060</v>
      </c>
      <c r="C2671" s="739" t="s">
        <v>1690</v>
      </c>
      <c r="D2671" s="741">
        <f t="shared" si="82"/>
        <v>44.35</v>
      </c>
      <c r="F2671" s="1406">
        <v>44.35</v>
      </c>
      <c r="G2671" s="1406">
        <v>44.35</v>
      </c>
      <c r="H2671" t="b">
        <f t="shared" si="83"/>
        <v>1</v>
      </c>
    </row>
    <row r="2672" spans="1:8">
      <c r="A2672" s="677">
        <v>3846</v>
      </c>
      <c r="B2672" s="733" t="s">
        <v>11061</v>
      </c>
      <c r="C2672" s="677" t="s">
        <v>1690</v>
      </c>
      <c r="D2672" s="738">
        <f t="shared" si="82"/>
        <v>13.32</v>
      </c>
      <c r="F2672" s="1405">
        <v>13.32</v>
      </c>
      <c r="G2672" s="1405">
        <v>13.32</v>
      </c>
      <c r="H2672" t="b">
        <f t="shared" si="83"/>
        <v>1</v>
      </c>
    </row>
    <row r="2673" spans="1:8">
      <c r="A2673" s="739">
        <v>3886</v>
      </c>
      <c r="B2673" s="740" t="s">
        <v>11062</v>
      </c>
      <c r="C2673" s="739" t="s">
        <v>1690</v>
      </c>
      <c r="D2673" s="741">
        <f t="shared" si="82"/>
        <v>17.690000000000001</v>
      </c>
      <c r="F2673" s="1406">
        <v>17.690000000000001</v>
      </c>
      <c r="G2673" s="1406">
        <v>17.690000000000001</v>
      </c>
      <c r="H2673" t="b">
        <f t="shared" si="83"/>
        <v>1</v>
      </c>
    </row>
    <row r="2674" spans="1:8">
      <c r="A2674" s="677">
        <v>3854</v>
      </c>
      <c r="B2674" s="733" t="s">
        <v>11063</v>
      </c>
      <c r="C2674" s="677" t="s">
        <v>1690</v>
      </c>
      <c r="D2674" s="738">
        <f t="shared" si="82"/>
        <v>10.08</v>
      </c>
      <c r="F2674" s="1405">
        <v>10.08</v>
      </c>
      <c r="G2674" s="1405">
        <v>10.08</v>
      </c>
      <c r="H2674" t="b">
        <f t="shared" si="83"/>
        <v>1</v>
      </c>
    </row>
    <row r="2675" spans="1:8">
      <c r="A2675" s="739">
        <v>3873</v>
      </c>
      <c r="B2675" s="740" t="s">
        <v>11064</v>
      </c>
      <c r="C2675" s="739" t="s">
        <v>1690</v>
      </c>
      <c r="D2675" s="741">
        <f t="shared" si="82"/>
        <v>11.74</v>
      </c>
      <c r="F2675" s="1406">
        <v>11.74</v>
      </c>
      <c r="G2675" s="1406">
        <v>11.74</v>
      </c>
      <c r="H2675" t="b">
        <f t="shared" si="83"/>
        <v>1</v>
      </c>
    </row>
    <row r="2676" spans="1:8">
      <c r="A2676" s="677">
        <v>38021</v>
      </c>
      <c r="B2676" s="733" t="s">
        <v>11065</v>
      </c>
      <c r="C2676" s="677" t="s">
        <v>1690</v>
      </c>
      <c r="D2676" s="738">
        <f t="shared" si="82"/>
        <v>20.84</v>
      </c>
      <c r="F2676" s="1405">
        <v>20.84</v>
      </c>
      <c r="G2676" s="1405">
        <v>20.84</v>
      </c>
      <c r="H2676" t="b">
        <f t="shared" si="83"/>
        <v>1</v>
      </c>
    </row>
    <row r="2677" spans="1:8">
      <c r="A2677" s="739">
        <v>43838</v>
      </c>
      <c r="B2677" s="740" t="s">
        <v>11066</v>
      </c>
      <c r="C2677" s="739" t="s">
        <v>1690</v>
      </c>
      <c r="D2677" s="741">
        <f t="shared" si="82"/>
        <v>26.94</v>
      </c>
      <c r="F2677" s="1406">
        <v>26.94</v>
      </c>
      <c r="G2677" s="1406">
        <v>26.94</v>
      </c>
      <c r="H2677" t="b">
        <f t="shared" si="83"/>
        <v>1</v>
      </c>
    </row>
    <row r="2678" spans="1:8">
      <c r="A2678" s="677">
        <v>3847</v>
      </c>
      <c r="B2678" s="733" t="s">
        <v>11067</v>
      </c>
      <c r="C2678" s="677" t="s">
        <v>1690</v>
      </c>
      <c r="D2678" s="738">
        <f t="shared" si="82"/>
        <v>27.16</v>
      </c>
      <c r="F2678" s="1405">
        <v>27.16</v>
      </c>
      <c r="G2678" s="1405">
        <v>27.16</v>
      </c>
      <c r="H2678" t="b">
        <f t="shared" si="83"/>
        <v>1</v>
      </c>
    </row>
    <row r="2679" spans="1:8">
      <c r="A2679" s="739">
        <v>38022</v>
      </c>
      <c r="B2679" s="740" t="s">
        <v>11068</v>
      </c>
      <c r="C2679" s="739" t="s">
        <v>1690</v>
      </c>
      <c r="D2679" s="741">
        <f t="shared" si="82"/>
        <v>37.33</v>
      </c>
      <c r="F2679" s="1406">
        <v>37.33</v>
      </c>
      <c r="G2679" s="1406">
        <v>37.33</v>
      </c>
      <c r="H2679" t="b">
        <f t="shared" si="83"/>
        <v>1</v>
      </c>
    </row>
    <row r="2680" spans="1:8">
      <c r="A2680" s="677">
        <v>3830</v>
      </c>
      <c r="B2680" s="733" t="s">
        <v>11069</v>
      </c>
      <c r="C2680" s="677" t="s">
        <v>1690</v>
      </c>
      <c r="D2680" s="738">
        <f t="shared" si="82"/>
        <v>191.13</v>
      </c>
      <c r="F2680" s="1405">
        <v>191.13</v>
      </c>
      <c r="G2680" s="1405">
        <v>191.13</v>
      </c>
      <c r="H2680" t="b">
        <f t="shared" si="83"/>
        <v>1</v>
      </c>
    </row>
    <row r="2681" spans="1:8">
      <c r="A2681" s="739">
        <v>37981</v>
      </c>
      <c r="B2681" s="740" t="s">
        <v>11070</v>
      </c>
      <c r="C2681" s="739" t="s">
        <v>1690</v>
      </c>
      <c r="D2681" s="741">
        <f t="shared" si="82"/>
        <v>6.62</v>
      </c>
      <c r="F2681" s="1406">
        <v>6.62</v>
      </c>
      <c r="G2681" s="1406">
        <v>6.62</v>
      </c>
      <c r="H2681" t="b">
        <f t="shared" si="83"/>
        <v>1</v>
      </c>
    </row>
    <row r="2682" spans="1:8">
      <c r="A2682" s="677">
        <v>37982</v>
      </c>
      <c r="B2682" s="733" t="s">
        <v>11071</v>
      </c>
      <c r="C2682" s="677" t="s">
        <v>1690</v>
      </c>
      <c r="D2682" s="738">
        <f t="shared" si="82"/>
        <v>9.6</v>
      </c>
      <c r="F2682" s="1405">
        <v>9.6</v>
      </c>
      <c r="G2682" s="1405">
        <v>9.6</v>
      </c>
      <c r="H2682" t="b">
        <f t="shared" si="83"/>
        <v>1</v>
      </c>
    </row>
    <row r="2683" spans="1:8">
      <c r="A2683" s="739">
        <v>37983</v>
      </c>
      <c r="B2683" s="740" t="s">
        <v>11072</v>
      </c>
      <c r="C2683" s="739" t="s">
        <v>1690</v>
      </c>
      <c r="D2683" s="741">
        <f t="shared" si="82"/>
        <v>14.2</v>
      </c>
      <c r="F2683" s="1406">
        <v>14.2</v>
      </c>
      <c r="G2683" s="1406">
        <v>14.2</v>
      </c>
      <c r="H2683" t="b">
        <f t="shared" si="83"/>
        <v>1</v>
      </c>
    </row>
    <row r="2684" spans="1:8">
      <c r="A2684" s="677">
        <v>37984</v>
      </c>
      <c r="B2684" s="733" t="s">
        <v>11073</v>
      </c>
      <c r="C2684" s="677" t="s">
        <v>1690</v>
      </c>
      <c r="D2684" s="738">
        <f t="shared" si="82"/>
        <v>19.940000000000001</v>
      </c>
      <c r="F2684" s="1405">
        <v>19.940000000000001</v>
      </c>
      <c r="G2684" s="1405">
        <v>19.940000000000001</v>
      </c>
      <c r="H2684" t="b">
        <f t="shared" si="83"/>
        <v>1</v>
      </c>
    </row>
    <row r="2685" spans="1:8">
      <c r="A2685" s="739">
        <v>37985</v>
      </c>
      <c r="B2685" s="740" t="s">
        <v>11074</v>
      </c>
      <c r="C2685" s="739" t="s">
        <v>1690</v>
      </c>
      <c r="D2685" s="741">
        <f t="shared" si="82"/>
        <v>28.34</v>
      </c>
      <c r="F2685" s="1406">
        <v>28.34</v>
      </c>
      <c r="G2685" s="1406">
        <v>28.34</v>
      </c>
      <c r="H2685" t="b">
        <f t="shared" si="83"/>
        <v>1</v>
      </c>
    </row>
    <row r="2686" spans="1:8">
      <c r="A2686" s="677">
        <v>3826</v>
      </c>
      <c r="B2686" s="733" t="s">
        <v>11075</v>
      </c>
      <c r="C2686" s="677" t="s">
        <v>1690</v>
      </c>
      <c r="D2686" s="738">
        <f t="shared" si="82"/>
        <v>42.68</v>
      </c>
      <c r="F2686" s="1405">
        <v>42.68</v>
      </c>
      <c r="G2686" s="1405">
        <v>42.68</v>
      </c>
      <c r="H2686" t="b">
        <f t="shared" si="83"/>
        <v>1</v>
      </c>
    </row>
    <row r="2687" spans="1:8">
      <c r="A2687" s="739">
        <v>3825</v>
      </c>
      <c r="B2687" s="740" t="s">
        <v>11076</v>
      </c>
      <c r="C2687" s="739" t="s">
        <v>1690</v>
      </c>
      <c r="D2687" s="741">
        <f t="shared" si="82"/>
        <v>12.27</v>
      </c>
      <c r="F2687" s="1406">
        <v>12.27</v>
      </c>
      <c r="G2687" s="1406">
        <v>12.27</v>
      </c>
      <c r="H2687" t="b">
        <f t="shared" si="83"/>
        <v>1</v>
      </c>
    </row>
    <row r="2688" spans="1:8">
      <c r="A2688" s="677">
        <v>3827</v>
      </c>
      <c r="B2688" s="733" t="s">
        <v>11077</v>
      </c>
      <c r="C2688" s="677" t="s">
        <v>1690</v>
      </c>
      <c r="D2688" s="738">
        <f t="shared" si="82"/>
        <v>26.82</v>
      </c>
      <c r="F2688" s="1405">
        <v>26.82</v>
      </c>
      <c r="G2688" s="1405">
        <v>26.82</v>
      </c>
      <c r="H2688" t="b">
        <f t="shared" si="83"/>
        <v>1</v>
      </c>
    </row>
    <row r="2689" spans="1:8">
      <c r="A2689" s="739">
        <v>20165</v>
      </c>
      <c r="B2689" s="740" t="s">
        <v>11078</v>
      </c>
      <c r="C2689" s="739" t="s">
        <v>1690</v>
      </c>
      <c r="D2689" s="741">
        <f t="shared" si="82"/>
        <v>23.69</v>
      </c>
      <c r="F2689" s="1406">
        <v>23.69</v>
      </c>
      <c r="G2689" s="1406">
        <v>23.69</v>
      </c>
      <c r="H2689" t="b">
        <f t="shared" si="83"/>
        <v>1</v>
      </c>
    </row>
    <row r="2690" spans="1:8">
      <c r="A2690" s="677">
        <v>20166</v>
      </c>
      <c r="B2690" s="733" t="s">
        <v>11079</v>
      </c>
      <c r="C2690" s="677" t="s">
        <v>1690</v>
      </c>
      <c r="D2690" s="738">
        <f t="shared" si="82"/>
        <v>72.36</v>
      </c>
      <c r="F2690" s="1405">
        <v>72.36</v>
      </c>
      <c r="G2690" s="1405">
        <v>72.36</v>
      </c>
      <c r="H2690" t="b">
        <f t="shared" si="83"/>
        <v>1</v>
      </c>
    </row>
    <row r="2691" spans="1:8">
      <c r="A2691" s="739">
        <v>20164</v>
      </c>
      <c r="B2691" s="740" t="s">
        <v>11080</v>
      </c>
      <c r="C2691" s="739" t="s">
        <v>1690</v>
      </c>
      <c r="D2691" s="741">
        <f t="shared" ref="D2691:D2754" si="84">IF($J$2=$F$1,F2691,G2691)</f>
        <v>11.38</v>
      </c>
      <c r="F2691" s="1406">
        <v>11.38</v>
      </c>
      <c r="G2691" s="1406">
        <v>11.38</v>
      </c>
      <c r="H2691" t="b">
        <f t="shared" ref="H2691:H2754" si="85">F2691=G2691</f>
        <v>1</v>
      </c>
    </row>
    <row r="2692" spans="1:8">
      <c r="A2692" s="677">
        <v>3893</v>
      </c>
      <c r="B2692" s="733" t="s">
        <v>11081</v>
      </c>
      <c r="C2692" s="677" t="s">
        <v>1690</v>
      </c>
      <c r="D2692" s="738">
        <f t="shared" si="84"/>
        <v>17.84</v>
      </c>
      <c r="F2692" s="1405">
        <v>17.84</v>
      </c>
      <c r="G2692" s="1405">
        <v>17.84</v>
      </c>
      <c r="H2692" t="b">
        <f t="shared" si="85"/>
        <v>1</v>
      </c>
    </row>
    <row r="2693" spans="1:8">
      <c r="A2693" s="739">
        <v>3848</v>
      </c>
      <c r="B2693" s="740" t="s">
        <v>11082</v>
      </c>
      <c r="C2693" s="739" t="s">
        <v>1690</v>
      </c>
      <c r="D2693" s="741">
        <f t="shared" si="84"/>
        <v>10.88</v>
      </c>
      <c r="F2693" s="1406">
        <v>10.88</v>
      </c>
      <c r="G2693" s="1406">
        <v>10.88</v>
      </c>
      <c r="H2693" t="b">
        <f t="shared" si="85"/>
        <v>1</v>
      </c>
    </row>
    <row r="2694" spans="1:8">
      <c r="A2694" s="677">
        <v>3895</v>
      </c>
      <c r="B2694" s="733" t="s">
        <v>11083</v>
      </c>
      <c r="C2694" s="677" t="s">
        <v>1690</v>
      </c>
      <c r="D2694" s="738">
        <f t="shared" si="84"/>
        <v>12.08</v>
      </c>
      <c r="F2694" s="1405">
        <v>12.08</v>
      </c>
      <c r="G2694" s="1405">
        <v>12.08</v>
      </c>
      <c r="H2694" t="b">
        <f t="shared" si="85"/>
        <v>1</v>
      </c>
    </row>
    <row r="2695" spans="1:8">
      <c r="A2695" s="739">
        <v>12404</v>
      </c>
      <c r="B2695" s="740" t="s">
        <v>11084</v>
      </c>
      <c r="C2695" s="739" t="s">
        <v>1690</v>
      </c>
      <c r="D2695" s="741">
        <f t="shared" si="84"/>
        <v>9.0299999999999994</v>
      </c>
      <c r="F2695" s="1406">
        <v>9.0299999999999994</v>
      </c>
      <c r="G2695" s="1406">
        <v>9.0299999999999994</v>
      </c>
      <c r="H2695" t="b">
        <f t="shared" si="85"/>
        <v>1</v>
      </c>
    </row>
    <row r="2696" spans="1:8">
      <c r="A2696" s="677">
        <v>3939</v>
      </c>
      <c r="B2696" s="733" t="s">
        <v>11085</v>
      </c>
      <c r="C2696" s="677" t="s">
        <v>1690</v>
      </c>
      <c r="D2696" s="738">
        <f t="shared" si="84"/>
        <v>18.61</v>
      </c>
      <c r="F2696" s="1405">
        <v>18.61</v>
      </c>
      <c r="G2696" s="1405">
        <v>18.61</v>
      </c>
      <c r="H2696" t="b">
        <f t="shared" si="85"/>
        <v>1</v>
      </c>
    </row>
    <row r="2697" spans="1:8">
      <c r="A2697" s="739">
        <v>3911</v>
      </c>
      <c r="B2697" s="740" t="s">
        <v>11086</v>
      </c>
      <c r="C2697" s="739" t="s">
        <v>1690</v>
      </c>
      <c r="D2697" s="741">
        <f t="shared" si="84"/>
        <v>15.2</v>
      </c>
      <c r="F2697" s="1406">
        <v>15.2</v>
      </c>
      <c r="G2697" s="1406">
        <v>15.2</v>
      </c>
      <c r="H2697" t="b">
        <f t="shared" si="85"/>
        <v>1</v>
      </c>
    </row>
    <row r="2698" spans="1:8">
      <c r="A2698" s="677">
        <v>3908</v>
      </c>
      <c r="B2698" s="733" t="s">
        <v>11087</v>
      </c>
      <c r="C2698" s="677" t="s">
        <v>1690</v>
      </c>
      <c r="D2698" s="738">
        <f t="shared" si="84"/>
        <v>4.91</v>
      </c>
      <c r="F2698" s="1405">
        <v>4.91</v>
      </c>
      <c r="G2698" s="1405">
        <v>4.91</v>
      </c>
      <c r="H2698" t="b">
        <f t="shared" si="85"/>
        <v>1</v>
      </c>
    </row>
    <row r="2699" spans="1:8">
      <c r="A2699" s="739">
        <v>3910</v>
      </c>
      <c r="B2699" s="740" t="s">
        <v>11088</v>
      </c>
      <c r="C2699" s="739" t="s">
        <v>1690</v>
      </c>
      <c r="D2699" s="741">
        <f t="shared" si="84"/>
        <v>10.88</v>
      </c>
      <c r="F2699" s="1406">
        <v>10.88</v>
      </c>
      <c r="G2699" s="1406">
        <v>10.88</v>
      </c>
      <c r="H2699" t="b">
        <f t="shared" si="85"/>
        <v>1</v>
      </c>
    </row>
    <row r="2700" spans="1:8">
      <c r="A2700" s="677">
        <v>3913</v>
      </c>
      <c r="B2700" s="733" t="s">
        <v>11089</v>
      </c>
      <c r="C2700" s="677" t="s">
        <v>1690</v>
      </c>
      <c r="D2700" s="738">
        <f t="shared" si="84"/>
        <v>52</v>
      </c>
      <c r="F2700" s="1405">
        <v>52</v>
      </c>
      <c r="G2700" s="1405">
        <v>52</v>
      </c>
      <c r="H2700" t="b">
        <f t="shared" si="85"/>
        <v>1</v>
      </c>
    </row>
    <row r="2701" spans="1:8">
      <c r="A2701" s="739">
        <v>3912</v>
      </c>
      <c r="B2701" s="740" t="s">
        <v>11090</v>
      </c>
      <c r="C2701" s="739" t="s">
        <v>1690</v>
      </c>
      <c r="D2701" s="741">
        <f t="shared" si="84"/>
        <v>28.5</v>
      </c>
      <c r="F2701" s="1406">
        <v>28.5</v>
      </c>
      <c r="G2701" s="1406">
        <v>28.5</v>
      </c>
      <c r="H2701" t="b">
        <f t="shared" si="85"/>
        <v>1</v>
      </c>
    </row>
    <row r="2702" spans="1:8">
      <c r="A2702" s="677">
        <v>3909</v>
      </c>
      <c r="B2702" s="733" t="s">
        <v>11091</v>
      </c>
      <c r="C2702" s="677" t="s">
        <v>1690</v>
      </c>
      <c r="D2702" s="738">
        <f t="shared" si="84"/>
        <v>6.69</v>
      </c>
      <c r="F2702" s="1405">
        <v>6.69</v>
      </c>
      <c r="G2702" s="1405">
        <v>6.69</v>
      </c>
      <c r="H2702" t="b">
        <f t="shared" si="85"/>
        <v>1</v>
      </c>
    </row>
    <row r="2703" spans="1:8">
      <c r="A2703" s="739">
        <v>3914</v>
      </c>
      <c r="B2703" s="740" t="s">
        <v>11092</v>
      </c>
      <c r="C2703" s="739" t="s">
        <v>1690</v>
      </c>
      <c r="D2703" s="741">
        <f t="shared" si="84"/>
        <v>78.44</v>
      </c>
      <c r="F2703" s="1406">
        <v>78.44</v>
      </c>
      <c r="G2703" s="1406">
        <v>78.44</v>
      </c>
      <c r="H2703" t="b">
        <f t="shared" si="85"/>
        <v>1</v>
      </c>
    </row>
    <row r="2704" spans="1:8">
      <c r="A2704" s="677">
        <v>3915</v>
      </c>
      <c r="B2704" s="733" t="s">
        <v>11093</v>
      </c>
      <c r="C2704" s="677" t="s">
        <v>1690</v>
      </c>
      <c r="D2704" s="738">
        <f t="shared" si="84"/>
        <v>123.7</v>
      </c>
      <c r="F2704" s="1405">
        <v>123.7</v>
      </c>
      <c r="G2704" s="1405">
        <v>123.7</v>
      </c>
      <c r="H2704" t="b">
        <f t="shared" si="85"/>
        <v>1</v>
      </c>
    </row>
    <row r="2705" spans="1:8">
      <c r="A2705" s="739">
        <v>3916</v>
      </c>
      <c r="B2705" s="740" t="s">
        <v>11094</v>
      </c>
      <c r="C2705" s="739" t="s">
        <v>1690</v>
      </c>
      <c r="D2705" s="741">
        <f t="shared" si="84"/>
        <v>225.36</v>
      </c>
      <c r="F2705" s="1406">
        <v>225.36</v>
      </c>
      <c r="G2705" s="1406">
        <v>225.36</v>
      </c>
      <c r="H2705" t="b">
        <f t="shared" si="85"/>
        <v>1</v>
      </c>
    </row>
    <row r="2706" spans="1:8">
      <c r="A2706" s="677">
        <v>3917</v>
      </c>
      <c r="B2706" s="733" t="s">
        <v>11095</v>
      </c>
      <c r="C2706" s="677" t="s">
        <v>1690</v>
      </c>
      <c r="D2706" s="738">
        <f t="shared" si="84"/>
        <v>371.71</v>
      </c>
      <c r="F2706" s="1405">
        <v>371.71</v>
      </c>
      <c r="G2706" s="1405">
        <v>371.71</v>
      </c>
      <c r="H2706" t="b">
        <f t="shared" si="85"/>
        <v>1</v>
      </c>
    </row>
    <row r="2707" spans="1:8">
      <c r="A2707" s="739">
        <v>1904</v>
      </c>
      <c r="B2707" s="740" t="s">
        <v>11096</v>
      </c>
      <c r="C2707" s="739" t="s">
        <v>1690</v>
      </c>
      <c r="D2707" s="741">
        <f t="shared" si="84"/>
        <v>1.04</v>
      </c>
      <c r="F2707" s="1406">
        <v>1.04</v>
      </c>
      <c r="G2707" s="1406">
        <v>1.04</v>
      </c>
      <c r="H2707" t="b">
        <f t="shared" si="85"/>
        <v>1</v>
      </c>
    </row>
    <row r="2708" spans="1:8">
      <c r="A2708" s="677">
        <v>1899</v>
      </c>
      <c r="B2708" s="733" t="s">
        <v>11097</v>
      </c>
      <c r="C2708" s="677" t="s">
        <v>1690</v>
      </c>
      <c r="D2708" s="738">
        <f t="shared" si="84"/>
        <v>1.18</v>
      </c>
      <c r="F2708" s="1405">
        <v>1.18</v>
      </c>
      <c r="G2708" s="1405">
        <v>1.18</v>
      </c>
      <c r="H2708" t="b">
        <f t="shared" si="85"/>
        <v>1</v>
      </c>
    </row>
    <row r="2709" spans="1:8">
      <c r="A2709" s="739">
        <v>1900</v>
      </c>
      <c r="B2709" s="740" t="s">
        <v>11098</v>
      </c>
      <c r="C2709" s="739" t="s">
        <v>1690</v>
      </c>
      <c r="D2709" s="741">
        <f t="shared" si="84"/>
        <v>1.91</v>
      </c>
      <c r="F2709" s="1406">
        <v>1.91</v>
      </c>
      <c r="G2709" s="1406">
        <v>1.91</v>
      </c>
      <c r="H2709" t="b">
        <f t="shared" si="85"/>
        <v>1</v>
      </c>
    </row>
    <row r="2710" spans="1:8">
      <c r="A2710" s="677">
        <v>12407</v>
      </c>
      <c r="B2710" s="733" t="s">
        <v>11099</v>
      </c>
      <c r="C2710" s="677" t="s">
        <v>1690</v>
      </c>
      <c r="D2710" s="738">
        <f t="shared" si="84"/>
        <v>28.14</v>
      </c>
      <c r="F2710" s="1405">
        <v>28.14</v>
      </c>
      <c r="G2710" s="1405">
        <v>28.14</v>
      </c>
      <c r="H2710" t="b">
        <f t="shared" si="85"/>
        <v>1</v>
      </c>
    </row>
    <row r="2711" spans="1:8">
      <c r="A2711" s="739">
        <v>12408</v>
      </c>
      <c r="B2711" s="740" t="s">
        <v>11100</v>
      </c>
      <c r="C2711" s="739" t="s">
        <v>1690</v>
      </c>
      <c r="D2711" s="741">
        <f t="shared" si="84"/>
        <v>15.88</v>
      </c>
      <c r="F2711" s="1406">
        <v>15.88</v>
      </c>
      <c r="G2711" s="1406">
        <v>15.88</v>
      </c>
      <c r="H2711" t="b">
        <f t="shared" si="85"/>
        <v>1</v>
      </c>
    </row>
    <row r="2712" spans="1:8">
      <c r="A2712" s="677">
        <v>12409</v>
      </c>
      <c r="B2712" s="733" t="s">
        <v>11101</v>
      </c>
      <c r="C2712" s="677" t="s">
        <v>1690</v>
      </c>
      <c r="D2712" s="738">
        <f t="shared" si="84"/>
        <v>15.88</v>
      </c>
      <c r="F2712" s="1405">
        <v>15.88</v>
      </c>
      <c r="G2712" s="1405">
        <v>15.88</v>
      </c>
      <c r="H2712" t="b">
        <f t="shared" si="85"/>
        <v>1</v>
      </c>
    </row>
    <row r="2713" spans="1:8">
      <c r="A2713" s="739">
        <v>12410</v>
      </c>
      <c r="B2713" s="740" t="s">
        <v>11102</v>
      </c>
      <c r="C2713" s="739" t="s">
        <v>1690</v>
      </c>
      <c r="D2713" s="741">
        <f t="shared" si="84"/>
        <v>10.94</v>
      </c>
      <c r="F2713" s="1406">
        <v>10.94</v>
      </c>
      <c r="G2713" s="1406">
        <v>10.94</v>
      </c>
      <c r="H2713" t="b">
        <f t="shared" si="85"/>
        <v>1</v>
      </c>
    </row>
    <row r="2714" spans="1:8">
      <c r="A2714" s="677">
        <v>3936</v>
      </c>
      <c r="B2714" s="733" t="s">
        <v>11103</v>
      </c>
      <c r="C2714" s="677" t="s">
        <v>1690</v>
      </c>
      <c r="D2714" s="738">
        <f t="shared" si="84"/>
        <v>19.77</v>
      </c>
      <c r="F2714" s="1405">
        <v>19.77</v>
      </c>
      <c r="G2714" s="1405">
        <v>19.77</v>
      </c>
      <c r="H2714" t="b">
        <f t="shared" si="85"/>
        <v>1</v>
      </c>
    </row>
    <row r="2715" spans="1:8">
      <c r="A2715" s="739">
        <v>3922</v>
      </c>
      <c r="B2715" s="740" t="s">
        <v>11104</v>
      </c>
      <c r="C2715" s="739" t="s">
        <v>1690</v>
      </c>
      <c r="D2715" s="741">
        <f t="shared" si="84"/>
        <v>18.18</v>
      </c>
      <c r="F2715" s="1406">
        <v>18.18</v>
      </c>
      <c r="G2715" s="1406">
        <v>18.18</v>
      </c>
      <c r="H2715" t="b">
        <f t="shared" si="85"/>
        <v>1</v>
      </c>
    </row>
    <row r="2716" spans="1:8">
      <c r="A2716" s="677">
        <v>3924</v>
      </c>
      <c r="B2716" s="733" t="s">
        <v>11105</v>
      </c>
      <c r="C2716" s="677" t="s">
        <v>1690</v>
      </c>
      <c r="D2716" s="738">
        <f t="shared" si="84"/>
        <v>19.77</v>
      </c>
      <c r="F2716" s="1405">
        <v>19.77</v>
      </c>
      <c r="G2716" s="1405">
        <v>19.77</v>
      </c>
      <c r="H2716" t="b">
        <f t="shared" si="85"/>
        <v>1</v>
      </c>
    </row>
    <row r="2717" spans="1:8">
      <c r="A2717" s="739">
        <v>3923</v>
      </c>
      <c r="B2717" s="740" t="s">
        <v>11106</v>
      </c>
      <c r="C2717" s="739" t="s">
        <v>1690</v>
      </c>
      <c r="D2717" s="741">
        <f t="shared" si="84"/>
        <v>19.77</v>
      </c>
      <c r="F2717" s="1406">
        <v>19.77</v>
      </c>
      <c r="G2717" s="1406">
        <v>19.77</v>
      </c>
      <c r="H2717" t="b">
        <f t="shared" si="85"/>
        <v>1</v>
      </c>
    </row>
    <row r="2718" spans="1:8">
      <c r="A2718" s="677">
        <v>3937</v>
      </c>
      <c r="B2718" s="733" t="s">
        <v>11107</v>
      </c>
      <c r="C2718" s="677" t="s">
        <v>1690</v>
      </c>
      <c r="D2718" s="738">
        <f t="shared" si="84"/>
        <v>16.309999999999999</v>
      </c>
      <c r="F2718" s="1405">
        <v>16.309999999999999</v>
      </c>
      <c r="G2718" s="1405">
        <v>16.309999999999999</v>
      </c>
      <c r="H2718" t="b">
        <f t="shared" si="85"/>
        <v>1</v>
      </c>
    </row>
    <row r="2719" spans="1:8">
      <c r="A2719" s="739">
        <v>3921</v>
      </c>
      <c r="B2719" s="740" t="s">
        <v>11108</v>
      </c>
      <c r="C2719" s="739" t="s">
        <v>1690</v>
      </c>
      <c r="D2719" s="741">
        <f t="shared" si="84"/>
        <v>16.32</v>
      </c>
      <c r="F2719" s="1406">
        <v>16.32</v>
      </c>
      <c r="G2719" s="1406">
        <v>16.32</v>
      </c>
      <c r="H2719" t="b">
        <f t="shared" si="85"/>
        <v>1</v>
      </c>
    </row>
    <row r="2720" spans="1:8">
      <c r="A2720" s="677">
        <v>3920</v>
      </c>
      <c r="B2720" s="733" t="s">
        <v>11109</v>
      </c>
      <c r="C2720" s="677" t="s">
        <v>1690</v>
      </c>
      <c r="D2720" s="738">
        <f t="shared" si="84"/>
        <v>16.309999999999999</v>
      </c>
      <c r="F2720" s="1405">
        <v>16.309999999999999</v>
      </c>
      <c r="G2720" s="1405">
        <v>16.309999999999999</v>
      </c>
      <c r="H2720" t="b">
        <f t="shared" si="85"/>
        <v>1</v>
      </c>
    </row>
    <row r="2721" spans="1:8">
      <c r="A2721" s="739">
        <v>3938</v>
      </c>
      <c r="B2721" s="740" t="s">
        <v>11110</v>
      </c>
      <c r="C2721" s="739" t="s">
        <v>1690</v>
      </c>
      <c r="D2721" s="741">
        <f t="shared" si="84"/>
        <v>10.75</v>
      </c>
      <c r="F2721" s="1406">
        <v>10.75</v>
      </c>
      <c r="G2721" s="1406">
        <v>10.75</v>
      </c>
      <c r="H2721" t="b">
        <f t="shared" si="85"/>
        <v>1</v>
      </c>
    </row>
    <row r="2722" spans="1:8">
      <c r="A2722" s="677">
        <v>3919</v>
      </c>
      <c r="B2722" s="733" t="s">
        <v>11111</v>
      </c>
      <c r="C2722" s="677" t="s">
        <v>1690</v>
      </c>
      <c r="D2722" s="738">
        <f t="shared" si="84"/>
        <v>10.96</v>
      </c>
      <c r="F2722" s="1405">
        <v>10.96</v>
      </c>
      <c r="G2722" s="1405">
        <v>10.96</v>
      </c>
      <c r="H2722" t="b">
        <f t="shared" si="85"/>
        <v>1</v>
      </c>
    </row>
    <row r="2723" spans="1:8">
      <c r="A2723" s="739">
        <v>3927</v>
      </c>
      <c r="B2723" s="740" t="s">
        <v>11112</v>
      </c>
      <c r="C2723" s="739" t="s">
        <v>1690</v>
      </c>
      <c r="D2723" s="741">
        <f t="shared" si="84"/>
        <v>55.52</v>
      </c>
      <c r="F2723" s="1406">
        <v>55.52</v>
      </c>
      <c r="G2723" s="1406">
        <v>55.52</v>
      </c>
      <c r="H2723" t="b">
        <f t="shared" si="85"/>
        <v>1</v>
      </c>
    </row>
    <row r="2724" spans="1:8">
      <c r="A2724" s="677">
        <v>3928</v>
      </c>
      <c r="B2724" s="733" t="s">
        <v>11113</v>
      </c>
      <c r="C2724" s="677" t="s">
        <v>1690</v>
      </c>
      <c r="D2724" s="738">
        <f t="shared" si="84"/>
        <v>55.52</v>
      </c>
      <c r="F2724" s="1405">
        <v>55.52</v>
      </c>
      <c r="G2724" s="1405">
        <v>55.52</v>
      </c>
      <c r="H2724" t="b">
        <f t="shared" si="85"/>
        <v>1</v>
      </c>
    </row>
    <row r="2725" spans="1:8">
      <c r="A2725" s="739">
        <v>3926</v>
      </c>
      <c r="B2725" s="740" t="s">
        <v>11114</v>
      </c>
      <c r="C2725" s="739" t="s">
        <v>1690</v>
      </c>
      <c r="D2725" s="741">
        <f t="shared" si="84"/>
        <v>31.65</v>
      </c>
      <c r="F2725" s="1406">
        <v>31.65</v>
      </c>
      <c r="G2725" s="1406">
        <v>31.65</v>
      </c>
      <c r="H2725" t="b">
        <f t="shared" si="85"/>
        <v>1</v>
      </c>
    </row>
    <row r="2726" spans="1:8">
      <c r="A2726" s="677">
        <v>3935</v>
      </c>
      <c r="B2726" s="733" t="s">
        <v>11115</v>
      </c>
      <c r="C2726" s="677" t="s">
        <v>1690</v>
      </c>
      <c r="D2726" s="738">
        <f t="shared" si="84"/>
        <v>31.65</v>
      </c>
      <c r="F2726" s="1405">
        <v>31.65</v>
      </c>
      <c r="G2726" s="1405">
        <v>31.65</v>
      </c>
      <c r="H2726" t="b">
        <f t="shared" si="85"/>
        <v>1</v>
      </c>
    </row>
    <row r="2727" spans="1:8">
      <c r="A2727" s="739">
        <v>3925</v>
      </c>
      <c r="B2727" s="740" t="s">
        <v>11116</v>
      </c>
      <c r="C2727" s="739" t="s">
        <v>1690</v>
      </c>
      <c r="D2727" s="741">
        <f t="shared" si="84"/>
        <v>31.65</v>
      </c>
      <c r="F2727" s="1406">
        <v>31.65</v>
      </c>
      <c r="G2727" s="1406">
        <v>31.65</v>
      </c>
      <c r="H2727" t="b">
        <f t="shared" si="85"/>
        <v>1</v>
      </c>
    </row>
    <row r="2728" spans="1:8">
      <c r="A2728" s="677">
        <v>12406</v>
      </c>
      <c r="B2728" s="733" t="s">
        <v>11117</v>
      </c>
      <c r="C2728" s="677" t="s">
        <v>1690</v>
      </c>
      <c r="D2728" s="738">
        <f t="shared" si="84"/>
        <v>7.77</v>
      </c>
      <c r="F2728" s="1405">
        <v>7.77</v>
      </c>
      <c r="G2728" s="1405">
        <v>7.77</v>
      </c>
      <c r="H2728" t="b">
        <f t="shared" si="85"/>
        <v>1</v>
      </c>
    </row>
    <row r="2729" spans="1:8">
      <c r="A2729" s="739">
        <v>3929</v>
      </c>
      <c r="B2729" s="740" t="s">
        <v>11118</v>
      </c>
      <c r="C2729" s="739" t="s">
        <v>1690</v>
      </c>
      <c r="D2729" s="741">
        <f t="shared" si="84"/>
        <v>84.59</v>
      </c>
      <c r="F2729" s="1406">
        <v>84.59</v>
      </c>
      <c r="G2729" s="1406">
        <v>84.59</v>
      </c>
      <c r="H2729" t="b">
        <f t="shared" si="85"/>
        <v>1</v>
      </c>
    </row>
    <row r="2730" spans="1:8">
      <c r="A2730" s="677">
        <v>3931</v>
      </c>
      <c r="B2730" s="733" t="s">
        <v>11119</v>
      </c>
      <c r="C2730" s="677" t="s">
        <v>1690</v>
      </c>
      <c r="D2730" s="738">
        <f t="shared" si="84"/>
        <v>84.59</v>
      </c>
      <c r="F2730" s="1405">
        <v>84.59</v>
      </c>
      <c r="G2730" s="1405">
        <v>84.59</v>
      </c>
      <c r="H2730" t="b">
        <f t="shared" si="85"/>
        <v>1</v>
      </c>
    </row>
    <row r="2731" spans="1:8">
      <c r="A2731" s="739">
        <v>3930</v>
      </c>
      <c r="B2731" s="740" t="s">
        <v>11120</v>
      </c>
      <c r="C2731" s="739" t="s">
        <v>1690</v>
      </c>
      <c r="D2731" s="741">
        <f t="shared" si="84"/>
        <v>84.59</v>
      </c>
      <c r="F2731" s="1406">
        <v>84.59</v>
      </c>
      <c r="G2731" s="1406">
        <v>84.59</v>
      </c>
      <c r="H2731" t="b">
        <f t="shared" si="85"/>
        <v>1</v>
      </c>
    </row>
    <row r="2732" spans="1:8">
      <c r="A2732" s="677">
        <v>3932</v>
      </c>
      <c r="B2732" s="733" t="s">
        <v>11121</v>
      </c>
      <c r="C2732" s="677" t="s">
        <v>1690</v>
      </c>
      <c r="D2732" s="738">
        <f t="shared" si="84"/>
        <v>146.07</v>
      </c>
      <c r="F2732" s="1405">
        <v>146.07</v>
      </c>
      <c r="G2732" s="1405">
        <v>146.07</v>
      </c>
      <c r="H2732" t="b">
        <f t="shared" si="85"/>
        <v>1</v>
      </c>
    </row>
    <row r="2733" spans="1:8">
      <c r="A2733" s="739">
        <v>3933</v>
      </c>
      <c r="B2733" s="740" t="s">
        <v>11122</v>
      </c>
      <c r="C2733" s="739" t="s">
        <v>1690</v>
      </c>
      <c r="D2733" s="741">
        <f t="shared" si="84"/>
        <v>146.07</v>
      </c>
      <c r="F2733" s="1406">
        <v>146.07</v>
      </c>
      <c r="G2733" s="1406">
        <v>146.07</v>
      </c>
      <c r="H2733" t="b">
        <f t="shared" si="85"/>
        <v>1</v>
      </c>
    </row>
    <row r="2734" spans="1:8">
      <c r="A2734" s="677">
        <v>3934</v>
      </c>
      <c r="B2734" s="733" t="s">
        <v>11123</v>
      </c>
      <c r="C2734" s="677" t="s">
        <v>1690</v>
      </c>
      <c r="D2734" s="738">
        <f t="shared" si="84"/>
        <v>146.07</v>
      </c>
      <c r="F2734" s="1405">
        <v>146.07</v>
      </c>
      <c r="G2734" s="1405">
        <v>146.07</v>
      </c>
      <c r="H2734" t="b">
        <f t="shared" si="85"/>
        <v>1</v>
      </c>
    </row>
    <row r="2735" spans="1:8">
      <c r="A2735" s="739">
        <v>40355</v>
      </c>
      <c r="B2735" s="740" t="s">
        <v>11124</v>
      </c>
      <c r="C2735" s="739" t="s">
        <v>1690</v>
      </c>
      <c r="D2735" s="741">
        <f t="shared" si="84"/>
        <v>14.23</v>
      </c>
      <c r="F2735" s="1406">
        <v>14.23</v>
      </c>
      <c r="G2735" s="1406">
        <v>14.23</v>
      </c>
      <c r="H2735" t="b">
        <f t="shared" si="85"/>
        <v>1</v>
      </c>
    </row>
    <row r="2736" spans="1:8">
      <c r="A2736" s="677">
        <v>40364</v>
      </c>
      <c r="B2736" s="733" t="s">
        <v>11125</v>
      </c>
      <c r="C2736" s="677" t="s">
        <v>1690</v>
      </c>
      <c r="D2736" s="738">
        <f t="shared" si="84"/>
        <v>66.64</v>
      </c>
      <c r="F2736" s="1405">
        <v>66.64</v>
      </c>
      <c r="G2736" s="1405">
        <v>66.64</v>
      </c>
      <c r="H2736" t="b">
        <f t="shared" si="85"/>
        <v>1</v>
      </c>
    </row>
    <row r="2737" spans="1:8">
      <c r="A2737" s="739">
        <v>40361</v>
      </c>
      <c r="B2737" s="740" t="s">
        <v>11126</v>
      </c>
      <c r="C2737" s="739" t="s">
        <v>1690</v>
      </c>
      <c r="D2737" s="741">
        <f t="shared" si="84"/>
        <v>52.11</v>
      </c>
      <c r="F2737" s="1406">
        <v>52.11</v>
      </c>
      <c r="G2737" s="1406">
        <v>52.11</v>
      </c>
      <c r="H2737" t="b">
        <f t="shared" si="85"/>
        <v>1</v>
      </c>
    </row>
    <row r="2738" spans="1:8">
      <c r="A2738" s="677">
        <v>40358</v>
      </c>
      <c r="B2738" s="733" t="s">
        <v>11127</v>
      </c>
      <c r="C2738" s="677" t="s">
        <v>1690</v>
      </c>
      <c r="D2738" s="738">
        <f t="shared" si="84"/>
        <v>19.86</v>
      </c>
      <c r="F2738" s="1405">
        <v>19.86</v>
      </c>
      <c r="G2738" s="1405">
        <v>19.86</v>
      </c>
      <c r="H2738" t="b">
        <f t="shared" si="85"/>
        <v>1</v>
      </c>
    </row>
    <row r="2739" spans="1:8">
      <c r="A2739" s="739">
        <v>40370</v>
      </c>
      <c r="B2739" s="740" t="s">
        <v>11128</v>
      </c>
      <c r="C2739" s="739" t="s">
        <v>1690</v>
      </c>
      <c r="D2739" s="741">
        <f t="shared" si="84"/>
        <v>211.44</v>
      </c>
      <c r="F2739" s="1406">
        <v>211.44</v>
      </c>
      <c r="G2739" s="1406">
        <v>211.44</v>
      </c>
      <c r="H2739" t="b">
        <f t="shared" si="85"/>
        <v>1</v>
      </c>
    </row>
    <row r="2740" spans="1:8">
      <c r="A2740" s="677">
        <v>40367</v>
      </c>
      <c r="B2740" s="733" t="s">
        <v>11129</v>
      </c>
      <c r="C2740" s="677" t="s">
        <v>1690</v>
      </c>
      <c r="D2740" s="738">
        <f t="shared" si="84"/>
        <v>105.09</v>
      </c>
      <c r="F2740" s="1405">
        <v>105.09</v>
      </c>
      <c r="G2740" s="1405">
        <v>105.09</v>
      </c>
      <c r="H2740" t="b">
        <f t="shared" si="85"/>
        <v>1</v>
      </c>
    </row>
    <row r="2741" spans="1:8">
      <c r="A2741" s="739">
        <v>40373</v>
      </c>
      <c r="B2741" s="740" t="s">
        <v>11130</v>
      </c>
      <c r="C2741" s="739" t="s">
        <v>1690</v>
      </c>
      <c r="D2741" s="741">
        <f t="shared" si="84"/>
        <v>285.93</v>
      </c>
      <c r="F2741" s="1406">
        <v>285.93</v>
      </c>
      <c r="G2741" s="1406">
        <v>285.93</v>
      </c>
      <c r="H2741" t="b">
        <f t="shared" si="85"/>
        <v>1</v>
      </c>
    </row>
    <row r="2742" spans="1:8">
      <c r="A2742" s="677">
        <v>3907</v>
      </c>
      <c r="B2742" s="733" t="s">
        <v>11131</v>
      </c>
      <c r="C2742" s="677" t="s">
        <v>1690</v>
      </c>
      <c r="D2742" s="738">
        <f t="shared" si="84"/>
        <v>5.1100000000000003</v>
      </c>
      <c r="F2742" s="1405">
        <v>5.1100000000000003</v>
      </c>
      <c r="G2742" s="1405">
        <v>5.1100000000000003</v>
      </c>
      <c r="H2742" t="b">
        <f t="shared" si="85"/>
        <v>1</v>
      </c>
    </row>
    <row r="2743" spans="1:8">
      <c r="A2743" s="739">
        <v>3889</v>
      </c>
      <c r="B2743" s="740" t="s">
        <v>11132</v>
      </c>
      <c r="C2743" s="739" t="s">
        <v>1690</v>
      </c>
      <c r="D2743" s="741">
        <f t="shared" si="84"/>
        <v>3.63</v>
      </c>
      <c r="F2743" s="1406">
        <v>3.63</v>
      </c>
      <c r="G2743" s="1406">
        <v>3.63</v>
      </c>
      <c r="H2743" t="b">
        <f t="shared" si="85"/>
        <v>1</v>
      </c>
    </row>
    <row r="2744" spans="1:8">
      <c r="A2744" s="677">
        <v>3868</v>
      </c>
      <c r="B2744" s="733" t="s">
        <v>11133</v>
      </c>
      <c r="C2744" s="677" t="s">
        <v>1690</v>
      </c>
      <c r="D2744" s="738">
        <f t="shared" si="84"/>
        <v>1.33</v>
      </c>
      <c r="F2744" s="1405">
        <v>1.33</v>
      </c>
      <c r="G2744" s="1405">
        <v>1.33</v>
      </c>
      <c r="H2744" t="b">
        <f t="shared" si="85"/>
        <v>1</v>
      </c>
    </row>
    <row r="2745" spans="1:8">
      <c r="A2745" s="739">
        <v>3869</v>
      </c>
      <c r="B2745" s="740" t="s">
        <v>11134</v>
      </c>
      <c r="C2745" s="739" t="s">
        <v>1690</v>
      </c>
      <c r="D2745" s="741">
        <f t="shared" si="84"/>
        <v>2.95</v>
      </c>
      <c r="F2745" s="1406">
        <v>2.95</v>
      </c>
      <c r="G2745" s="1406">
        <v>2.95</v>
      </c>
      <c r="H2745" t="b">
        <f t="shared" si="85"/>
        <v>1</v>
      </c>
    </row>
    <row r="2746" spans="1:8">
      <c r="A2746" s="677">
        <v>3872</v>
      </c>
      <c r="B2746" s="733" t="s">
        <v>11135</v>
      </c>
      <c r="C2746" s="677" t="s">
        <v>1690</v>
      </c>
      <c r="D2746" s="738">
        <f t="shared" si="84"/>
        <v>5.04</v>
      </c>
      <c r="F2746" s="1405">
        <v>5.04</v>
      </c>
      <c r="G2746" s="1405">
        <v>5.04</v>
      </c>
      <c r="H2746" t="b">
        <f t="shared" si="85"/>
        <v>1</v>
      </c>
    </row>
    <row r="2747" spans="1:8">
      <c r="A2747" s="739">
        <v>3850</v>
      </c>
      <c r="B2747" s="740" t="s">
        <v>11136</v>
      </c>
      <c r="C2747" s="739" t="s">
        <v>1690</v>
      </c>
      <c r="D2747" s="741">
        <f t="shared" si="84"/>
        <v>11.63</v>
      </c>
      <c r="F2747" s="1406">
        <v>11.63</v>
      </c>
      <c r="G2747" s="1406">
        <v>11.63</v>
      </c>
      <c r="H2747" t="b">
        <f t="shared" si="85"/>
        <v>1</v>
      </c>
    </row>
    <row r="2748" spans="1:8">
      <c r="A2748" s="677">
        <v>38023</v>
      </c>
      <c r="B2748" s="733" t="s">
        <v>11137</v>
      </c>
      <c r="C2748" s="677" t="s">
        <v>1690</v>
      </c>
      <c r="D2748" s="738">
        <f t="shared" si="84"/>
        <v>5.92</v>
      </c>
      <c r="F2748" s="1405">
        <v>5.92</v>
      </c>
      <c r="G2748" s="1405">
        <v>5.92</v>
      </c>
      <c r="H2748" t="b">
        <f t="shared" si="85"/>
        <v>1</v>
      </c>
    </row>
    <row r="2749" spans="1:8">
      <c r="A2749" s="739">
        <v>37986</v>
      </c>
      <c r="B2749" s="740" t="s">
        <v>11138</v>
      </c>
      <c r="C2749" s="739" t="s">
        <v>1690</v>
      </c>
      <c r="D2749" s="741">
        <f t="shared" si="84"/>
        <v>2.2599999999999998</v>
      </c>
      <c r="F2749" s="1406">
        <v>2.2599999999999998</v>
      </c>
      <c r="G2749" s="1406">
        <v>2.2599999999999998</v>
      </c>
      <c r="H2749" t="b">
        <f t="shared" si="85"/>
        <v>1</v>
      </c>
    </row>
    <row r="2750" spans="1:8">
      <c r="A2750" s="677">
        <v>37987</v>
      </c>
      <c r="B2750" s="733" t="s">
        <v>11139</v>
      </c>
      <c r="C2750" s="677" t="s">
        <v>1690</v>
      </c>
      <c r="D2750" s="738">
        <f t="shared" si="84"/>
        <v>112.72</v>
      </c>
      <c r="F2750" s="1405">
        <v>112.72</v>
      </c>
      <c r="G2750" s="1405">
        <v>112.72</v>
      </c>
      <c r="H2750" t="b">
        <f t="shared" si="85"/>
        <v>1</v>
      </c>
    </row>
    <row r="2751" spans="1:8">
      <c r="A2751" s="739">
        <v>37988</v>
      </c>
      <c r="B2751" s="740" t="s">
        <v>11140</v>
      </c>
      <c r="C2751" s="739" t="s">
        <v>1690</v>
      </c>
      <c r="D2751" s="741">
        <f t="shared" si="84"/>
        <v>179.12</v>
      </c>
      <c r="F2751" s="1406">
        <v>179.12</v>
      </c>
      <c r="G2751" s="1406">
        <v>179.12</v>
      </c>
      <c r="H2751" t="b">
        <f t="shared" si="85"/>
        <v>1</v>
      </c>
    </row>
    <row r="2752" spans="1:8">
      <c r="A2752" s="677">
        <v>21120</v>
      </c>
      <c r="B2752" s="733" t="s">
        <v>11141</v>
      </c>
      <c r="C2752" s="677" t="s">
        <v>1690</v>
      </c>
      <c r="D2752" s="738">
        <f t="shared" si="84"/>
        <v>11.53</v>
      </c>
      <c r="F2752" s="1405">
        <v>11.53</v>
      </c>
      <c r="G2752" s="1405">
        <v>11.53</v>
      </c>
      <c r="H2752" t="b">
        <f t="shared" si="85"/>
        <v>1</v>
      </c>
    </row>
    <row r="2753" spans="1:8">
      <c r="A2753" s="739">
        <v>39318</v>
      </c>
      <c r="B2753" s="740" t="s">
        <v>11142</v>
      </c>
      <c r="C2753" s="739" t="s">
        <v>1690</v>
      </c>
      <c r="D2753" s="741">
        <f t="shared" si="84"/>
        <v>10.72</v>
      </c>
      <c r="F2753" s="1406">
        <v>10.72</v>
      </c>
      <c r="G2753" s="1406">
        <v>10.72</v>
      </c>
      <c r="H2753" t="b">
        <f t="shared" si="85"/>
        <v>1</v>
      </c>
    </row>
    <row r="2754" spans="1:8">
      <c r="A2754" s="677">
        <v>40366</v>
      </c>
      <c r="B2754" s="733" t="s">
        <v>11143</v>
      </c>
      <c r="C2754" s="677" t="s">
        <v>1690</v>
      </c>
      <c r="D2754" s="738">
        <f t="shared" si="84"/>
        <v>51.98</v>
      </c>
      <c r="F2754" s="1405">
        <v>51.98</v>
      </c>
      <c r="G2754" s="1405">
        <v>51.98</v>
      </c>
      <c r="H2754" t="b">
        <f t="shared" si="85"/>
        <v>1</v>
      </c>
    </row>
    <row r="2755" spans="1:8">
      <c r="A2755" s="739">
        <v>40363</v>
      </c>
      <c r="B2755" s="740" t="s">
        <v>11144</v>
      </c>
      <c r="C2755" s="739" t="s">
        <v>1690</v>
      </c>
      <c r="D2755" s="741">
        <f t="shared" ref="D2755:D2818" si="86">IF($J$2=$F$1,F2755,G2755)</f>
        <v>40.659999999999997</v>
      </c>
      <c r="F2755" s="1406">
        <v>40.659999999999997</v>
      </c>
      <c r="G2755" s="1406">
        <v>40.659999999999997</v>
      </c>
      <c r="H2755" t="b">
        <f t="shared" ref="H2755:H2818" si="87">F2755=G2755</f>
        <v>1</v>
      </c>
    </row>
    <row r="2756" spans="1:8">
      <c r="A2756" s="677">
        <v>40354</v>
      </c>
      <c r="B2756" s="733" t="s">
        <v>11145</v>
      </c>
      <c r="C2756" s="677" t="s">
        <v>1690</v>
      </c>
      <c r="D2756" s="738">
        <f t="shared" si="86"/>
        <v>17.7</v>
      </c>
      <c r="F2756" s="1405">
        <v>17.7</v>
      </c>
      <c r="G2756" s="1405">
        <v>17.7</v>
      </c>
      <c r="H2756" t="b">
        <f t="shared" si="87"/>
        <v>1</v>
      </c>
    </row>
    <row r="2757" spans="1:8">
      <c r="A2757" s="739">
        <v>40360</v>
      </c>
      <c r="B2757" s="740" t="s">
        <v>11146</v>
      </c>
      <c r="C2757" s="739" t="s">
        <v>1690</v>
      </c>
      <c r="D2757" s="741">
        <f t="shared" si="86"/>
        <v>26.65</v>
      </c>
      <c r="F2757" s="1406">
        <v>26.65</v>
      </c>
      <c r="G2757" s="1406">
        <v>26.65</v>
      </c>
      <c r="H2757" t="b">
        <f t="shared" si="87"/>
        <v>1</v>
      </c>
    </row>
    <row r="2758" spans="1:8">
      <c r="A2758" s="677">
        <v>40372</v>
      </c>
      <c r="B2758" s="733" t="s">
        <v>11147</v>
      </c>
      <c r="C2758" s="677" t="s">
        <v>1690</v>
      </c>
      <c r="D2758" s="738">
        <f t="shared" si="86"/>
        <v>164.59</v>
      </c>
      <c r="F2758" s="1405">
        <v>164.59</v>
      </c>
      <c r="G2758" s="1405">
        <v>164.59</v>
      </c>
      <c r="H2758" t="b">
        <f t="shared" si="87"/>
        <v>1</v>
      </c>
    </row>
    <row r="2759" spans="1:8">
      <c r="A2759" s="739">
        <v>40369</v>
      </c>
      <c r="B2759" s="740" t="s">
        <v>11148</v>
      </c>
      <c r="C2759" s="739" t="s">
        <v>1690</v>
      </c>
      <c r="D2759" s="741">
        <f t="shared" si="86"/>
        <v>81.92</v>
      </c>
      <c r="F2759" s="1406">
        <v>81.92</v>
      </c>
      <c r="G2759" s="1406">
        <v>81.92</v>
      </c>
      <c r="H2759" t="b">
        <f t="shared" si="87"/>
        <v>1</v>
      </c>
    </row>
    <row r="2760" spans="1:8">
      <c r="A2760" s="677">
        <v>40357</v>
      </c>
      <c r="B2760" s="733" t="s">
        <v>11149</v>
      </c>
      <c r="C2760" s="677" t="s">
        <v>1690</v>
      </c>
      <c r="D2760" s="738">
        <f t="shared" si="86"/>
        <v>19.86</v>
      </c>
      <c r="F2760" s="1405">
        <v>19.86</v>
      </c>
      <c r="G2760" s="1405">
        <v>19.86</v>
      </c>
      <c r="H2760" t="b">
        <f t="shared" si="87"/>
        <v>1</v>
      </c>
    </row>
    <row r="2761" spans="1:8">
      <c r="A2761" s="739">
        <v>40375</v>
      </c>
      <c r="B2761" s="740" t="s">
        <v>11150</v>
      </c>
      <c r="C2761" s="739" t="s">
        <v>1690</v>
      </c>
      <c r="D2761" s="741">
        <f t="shared" si="86"/>
        <v>222.82</v>
      </c>
      <c r="F2761" s="1406">
        <v>222.82</v>
      </c>
      <c r="G2761" s="1406">
        <v>222.82</v>
      </c>
      <c r="H2761" t="b">
        <f t="shared" si="87"/>
        <v>1</v>
      </c>
    </row>
    <row r="2762" spans="1:8">
      <c r="A2762" s="677">
        <v>1893</v>
      </c>
      <c r="B2762" s="733" t="s">
        <v>11151</v>
      </c>
      <c r="C2762" s="677" t="s">
        <v>1690</v>
      </c>
      <c r="D2762" s="738">
        <f t="shared" si="86"/>
        <v>3.93</v>
      </c>
      <c r="F2762" s="1405">
        <v>3.93</v>
      </c>
      <c r="G2762" s="1405">
        <v>3.93</v>
      </c>
      <c r="H2762" t="b">
        <f t="shared" si="87"/>
        <v>1</v>
      </c>
    </row>
    <row r="2763" spans="1:8">
      <c r="A2763" s="739">
        <v>1902</v>
      </c>
      <c r="B2763" s="740" t="s">
        <v>11152</v>
      </c>
      <c r="C2763" s="739" t="s">
        <v>1690</v>
      </c>
      <c r="D2763" s="741">
        <f t="shared" si="86"/>
        <v>2.86</v>
      </c>
      <c r="F2763" s="1406">
        <v>2.86</v>
      </c>
      <c r="G2763" s="1406">
        <v>2.86</v>
      </c>
      <c r="H2763" t="b">
        <f t="shared" si="87"/>
        <v>1</v>
      </c>
    </row>
    <row r="2764" spans="1:8">
      <c r="A2764" s="677">
        <v>1901</v>
      </c>
      <c r="B2764" s="733" t="s">
        <v>11153</v>
      </c>
      <c r="C2764" s="677" t="s">
        <v>1690</v>
      </c>
      <c r="D2764" s="738">
        <f t="shared" si="86"/>
        <v>0.89</v>
      </c>
      <c r="F2764" s="1405">
        <v>0.89</v>
      </c>
      <c r="G2764" s="1405">
        <v>0.89</v>
      </c>
      <c r="H2764" t="b">
        <f t="shared" si="87"/>
        <v>1</v>
      </c>
    </row>
    <row r="2765" spans="1:8">
      <c r="A2765" s="739">
        <v>1892</v>
      </c>
      <c r="B2765" s="740" t="s">
        <v>11154</v>
      </c>
      <c r="C2765" s="739" t="s">
        <v>1690</v>
      </c>
      <c r="D2765" s="741">
        <f t="shared" si="86"/>
        <v>1.84</v>
      </c>
      <c r="F2765" s="1406">
        <v>1.84</v>
      </c>
      <c r="G2765" s="1406">
        <v>1.84</v>
      </c>
      <c r="H2765" t="b">
        <f t="shared" si="87"/>
        <v>1</v>
      </c>
    </row>
    <row r="2766" spans="1:8">
      <c r="A2766" s="677">
        <v>1907</v>
      </c>
      <c r="B2766" s="733" t="s">
        <v>11155</v>
      </c>
      <c r="C2766" s="677" t="s">
        <v>1690</v>
      </c>
      <c r="D2766" s="738">
        <f t="shared" si="86"/>
        <v>12.64</v>
      </c>
      <c r="F2766" s="1405">
        <v>12.64</v>
      </c>
      <c r="G2766" s="1405">
        <v>12.64</v>
      </c>
      <c r="H2766" t="b">
        <f t="shared" si="87"/>
        <v>1</v>
      </c>
    </row>
    <row r="2767" spans="1:8">
      <c r="A2767" s="739">
        <v>1894</v>
      </c>
      <c r="B2767" s="740" t="s">
        <v>11156</v>
      </c>
      <c r="C2767" s="739" t="s">
        <v>1690</v>
      </c>
      <c r="D2767" s="741">
        <f t="shared" si="86"/>
        <v>5.68</v>
      </c>
      <c r="F2767" s="1406">
        <v>5.68</v>
      </c>
      <c r="G2767" s="1406">
        <v>5.68</v>
      </c>
      <c r="H2767" t="b">
        <f t="shared" si="87"/>
        <v>1</v>
      </c>
    </row>
    <row r="2768" spans="1:8">
      <c r="A2768" s="677">
        <v>1891</v>
      </c>
      <c r="B2768" s="733" t="s">
        <v>11157</v>
      </c>
      <c r="C2768" s="677" t="s">
        <v>1690</v>
      </c>
      <c r="D2768" s="738">
        <f t="shared" si="86"/>
        <v>1.32</v>
      </c>
      <c r="F2768" s="1405">
        <v>1.32</v>
      </c>
      <c r="G2768" s="1405">
        <v>1.32</v>
      </c>
      <c r="H2768" t="b">
        <f t="shared" si="87"/>
        <v>1</v>
      </c>
    </row>
    <row r="2769" spans="1:8">
      <c r="A2769" s="739">
        <v>1896</v>
      </c>
      <c r="B2769" s="740" t="s">
        <v>11158</v>
      </c>
      <c r="C2769" s="739" t="s">
        <v>1690</v>
      </c>
      <c r="D2769" s="741">
        <f t="shared" si="86"/>
        <v>16.97</v>
      </c>
      <c r="F2769" s="1406">
        <v>16.97</v>
      </c>
      <c r="G2769" s="1406">
        <v>16.97</v>
      </c>
      <c r="H2769" t="b">
        <f t="shared" si="87"/>
        <v>1</v>
      </c>
    </row>
    <row r="2770" spans="1:8">
      <c r="A2770" s="677">
        <v>1895</v>
      </c>
      <c r="B2770" s="733" t="s">
        <v>11159</v>
      </c>
      <c r="C2770" s="677" t="s">
        <v>1690</v>
      </c>
      <c r="D2770" s="738">
        <f t="shared" si="86"/>
        <v>29.82</v>
      </c>
      <c r="F2770" s="1405">
        <v>29.82</v>
      </c>
      <c r="G2770" s="1405">
        <v>29.82</v>
      </c>
      <c r="H2770" t="b">
        <f t="shared" si="87"/>
        <v>1</v>
      </c>
    </row>
    <row r="2771" spans="1:8">
      <c r="A2771" s="739">
        <v>2641</v>
      </c>
      <c r="B2771" s="740" t="s">
        <v>11160</v>
      </c>
      <c r="C2771" s="739" t="s">
        <v>1690</v>
      </c>
      <c r="D2771" s="741">
        <f t="shared" si="86"/>
        <v>27.03</v>
      </c>
      <c r="F2771" s="1406">
        <v>27.03</v>
      </c>
      <c r="G2771" s="1406">
        <v>27.03</v>
      </c>
      <c r="H2771" t="b">
        <f t="shared" si="87"/>
        <v>1</v>
      </c>
    </row>
    <row r="2772" spans="1:8">
      <c r="A2772" s="677">
        <v>2636</v>
      </c>
      <c r="B2772" s="733" t="s">
        <v>11161</v>
      </c>
      <c r="C2772" s="677" t="s">
        <v>1690</v>
      </c>
      <c r="D2772" s="738">
        <f t="shared" si="86"/>
        <v>1.74</v>
      </c>
      <c r="F2772" s="1405">
        <v>1.74</v>
      </c>
      <c r="G2772" s="1405">
        <v>1.74</v>
      </c>
      <c r="H2772" t="b">
        <f t="shared" si="87"/>
        <v>1</v>
      </c>
    </row>
    <row r="2773" spans="1:8">
      <c r="A2773" s="739">
        <v>2637</v>
      </c>
      <c r="B2773" s="740" t="s">
        <v>11162</v>
      </c>
      <c r="C2773" s="739" t="s">
        <v>1690</v>
      </c>
      <c r="D2773" s="741">
        <f t="shared" si="86"/>
        <v>1.85</v>
      </c>
      <c r="F2773" s="1406">
        <v>1.85</v>
      </c>
      <c r="G2773" s="1406">
        <v>1.85</v>
      </c>
      <c r="H2773" t="b">
        <f t="shared" si="87"/>
        <v>1</v>
      </c>
    </row>
    <row r="2774" spans="1:8">
      <c r="A2774" s="677">
        <v>2638</v>
      </c>
      <c r="B2774" s="733" t="s">
        <v>11163</v>
      </c>
      <c r="C2774" s="677" t="s">
        <v>1690</v>
      </c>
      <c r="D2774" s="738">
        <f t="shared" si="86"/>
        <v>2.15</v>
      </c>
      <c r="F2774" s="1405">
        <v>2.15</v>
      </c>
      <c r="G2774" s="1405">
        <v>2.15</v>
      </c>
      <c r="H2774" t="b">
        <f t="shared" si="87"/>
        <v>1</v>
      </c>
    </row>
    <row r="2775" spans="1:8">
      <c r="A2775" s="739">
        <v>2639</v>
      </c>
      <c r="B2775" s="740" t="s">
        <v>11164</v>
      </c>
      <c r="C2775" s="739" t="s">
        <v>1690</v>
      </c>
      <c r="D2775" s="741">
        <f t="shared" si="86"/>
        <v>3.82</v>
      </c>
      <c r="F2775" s="1406">
        <v>3.82</v>
      </c>
      <c r="G2775" s="1406">
        <v>3.82</v>
      </c>
      <c r="H2775" t="b">
        <f t="shared" si="87"/>
        <v>1</v>
      </c>
    </row>
    <row r="2776" spans="1:8">
      <c r="A2776" s="677">
        <v>2644</v>
      </c>
      <c r="B2776" s="733" t="s">
        <v>11165</v>
      </c>
      <c r="C2776" s="677" t="s">
        <v>1690</v>
      </c>
      <c r="D2776" s="738">
        <f t="shared" si="86"/>
        <v>5.53</v>
      </c>
      <c r="F2776" s="1405">
        <v>5.53</v>
      </c>
      <c r="G2776" s="1405">
        <v>5.53</v>
      </c>
      <c r="H2776" t="b">
        <f t="shared" si="87"/>
        <v>1</v>
      </c>
    </row>
    <row r="2777" spans="1:8">
      <c r="A2777" s="739">
        <v>2643</v>
      </c>
      <c r="B2777" s="740" t="s">
        <v>11166</v>
      </c>
      <c r="C2777" s="739" t="s">
        <v>1690</v>
      </c>
      <c r="D2777" s="741">
        <f t="shared" si="86"/>
        <v>7.71</v>
      </c>
      <c r="F2777" s="1406">
        <v>7.71</v>
      </c>
      <c r="G2777" s="1406">
        <v>7.71</v>
      </c>
      <c r="H2777" t="b">
        <f t="shared" si="87"/>
        <v>1</v>
      </c>
    </row>
    <row r="2778" spans="1:8">
      <c r="A2778" s="677">
        <v>2640</v>
      </c>
      <c r="B2778" s="733" t="s">
        <v>11167</v>
      </c>
      <c r="C2778" s="677" t="s">
        <v>1690</v>
      </c>
      <c r="D2778" s="738">
        <f t="shared" si="86"/>
        <v>11.25</v>
      </c>
      <c r="F2778" s="1405">
        <v>11.25</v>
      </c>
      <c r="G2778" s="1405">
        <v>11.25</v>
      </c>
      <c r="H2778" t="b">
        <f t="shared" si="87"/>
        <v>1</v>
      </c>
    </row>
    <row r="2779" spans="1:8">
      <c r="A2779" s="739">
        <v>2642</v>
      </c>
      <c r="B2779" s="740" t="s">
        <v>11168</v>
      </c>
      <c r="C2779" s="739" t="s">
        <v>1690</v>
      </c>
      <c r="D2779" s="741">
        <f t="shared" si="86"/>
        <v>17.13</v>
      </c>
      <c r="F2779" s="1406">
        <v>17.13</v>
      </c>
      <c r="G2779" s="1406">
        <v>17.13</v>
      </c>
      <c r="H2779" t="b">
        <f t="shared" si="87"/>
        <v>1</v>
      </c>
    </row>
    <row r="2780" spans="1:8">
      <c r="A2780" s="677">
        <v>39855</v>
      </c>
      <c r="B2780" s="733" t="s">
        <v>11169</v>
      </c>
      <c r="C2780" s="677" t="s">
        <v>1690</v>
      </c>
      <c r="D2780" s="738">
        <f t="shared" si="86"/>
        <v>2.73</v>
      </c>
      <c r="F2780" s="1405">
        <v>2.73</v>
      </c>
      <c r="G2780" s="1405">
        <v>2.73</v>
      </c>
      <c r="H2780" t="b">
        <f t="shared" si="87"/>
        <v>1</v>
      </c>
    </row>
    <row r="2781" spans="1:8">
      <c r="A2781" s="739">
        <v>39856</v>
      </c>
      <c r="B2781" s="740" t="s">
        <v>11170</v>
      </c>
      <c r="C2781" s="739" t="s">
        <v>1690</v>
      </c>
      <c r="D2781" s="741">
        <f t="shared" si="86"/>
        <v>6.45</v>
      </c>
      <c r="F2781" s="1406">
        <v>6.45</v>
      </c>
      <c r="G2781" s="1406">
        <v>6.45</v>
      </c>
      <c r="H2781" t="b">
        <f t="shared" si="87"/>
        <v>1</v>
      </c>
    </row>
    <row r="2782" spans="1:8">
      <c r="A2782" s="677">
        <v>39857</v>
      </c>
      <c r="B2782" s="733" t="s">
        <v>11171</v>
      </c>
      <c r="C2782" s="677" t="s">
        <v>1690</v>
      </c>
      <c r="D2782" s="738">
        <f t="shared" si="86"/>
        <v>10.44</v>
      </c>
      <c r="F2782" s="1405">
        <v>10.44</v>
      </c>
      <c r="G2782" s="1405">
        <v>10.44</v>
      </c>
      <c r="H2782" t="b">
        <f t="shared" si="87"/>
        <v>1</v>
      </c>
    </row>
    <row r="2783" spans="1:8">
      <c r="A2783" s="739">
        <v>39858</v>
      </c>
      <c r="B2783" s="740" t="s">
        <v>11172</v>
      </c>
      <c r="C2783" s="739" t="s">
        <v>1690</v>
      </c>
      <c r="D2783" s="741">
        <f t="shared" si="86"/>
        <v>23.16</v>
      </c>
      <c r="F2783" s="1406">
        <v>23.16</v>
      </c>
      <c r="G2783" s="1406">
        <v>23.16</v>
      </c>
      <c r="H2783" t="b">
        <f t="shared" si="87"/>
        <v>1</v>
      </c>
    </row>
    <row r="2784" spans="1:8">
      <c r="A2784" s="677">
        <v>39859</v>
      </c>
      <c r="B2784" s="733" t="s">
        <v>11173</v>
      </c>
      <c r="C2784" s="677" t="s">
        <v>1690</v>
      </c>
      <c r="D2784" s="738">
        <f t="shared" si="86"/>
        <v>35.71</v>
      </c>
      <c r="F2784" s="1405">
        <v>35.71</v>
      </c>
      <c r="G2784" s="1405">
        <v>35.71</v>
      </c>
      <c r="H2784" t="b">
        <f t="shared" si="87"/>
        <v>1</v>
      </c>
    </row>
    <row r="2785" spans="1:8">
      <c r="A2785" s="739">
        <v>39860</v>
      </c>
      <c r="B2785" s="740" t="s">
        <v>11174</v>
      </c>
      <c r="C2785" s="739" t="s">
        <v>1690</v>
      </c>
      <c r="D2785" s="741">
        <f t="shared" si="86"/>
        <v>54.79</v>
      </c>
      <c r="F2785" s="1406">
        <v>54.79</v>
      </c>
      <c r="G2785" s="1406">
        <v>54.79</v>
      </c>
      <c r="H2785" t="b">
        <f t="shared" si="87"/>
        <v>1</v>
      </c>
    </row>
    <row r="2786" spans="1:8">
      <c r="A2786" s="677">
        <v>39861</v>
      </c>
      <c r="B2786" s="733" t="s">
        <v>11175</v>
      </c>
      <c r="C2786" s="677" t="s">
        <v>1690</v>
      </c>
      <c r="D2786" s="738">
        <f t="shared" si="86"/>
        <v>156.44999999999999</v>
      </c>
      <c r="F2786" s="1405">
        <v>156.44999999999999</v>
      </c>
      <c r="G2786" s="1405">
        <v>156.44999999999999</v>
      </c>
      <c r="H2786" t="b">
        <f t="shared" si="87"/>
        <v>1</v>
      </c>
    </row>
    <row r="2787" spans="1:8">
      <c r="A2787" s="739">
        <v>3867</v>
      </c>
      <c r="B2787" s="740" t="s">
        <v>11176</v>
      </c>
      <c r="C2787" s="739" t="s">
        <v>1690</v>
      </c>
      <c r="D2787" s="741">
        <f t="shared" si="86"/>
        <v>70.819999999999993</v>
      </c>
      <c r="F2787" s="1406">
        <v>70.819999999999993</v>
      </c>
      <c r="G2787" s="1406">
        <v>70.819999999999993</v>
      </c>
      <c r="H2787" t="b">
        <f t="shared" si="87"/>
        <v>1</v>
      </c>
    </row>
    <row r="2788" spans="1:8">
      <c r="A2788" s="677">
        <v>3861</v>
      </c>
      <c r="B2788" s="733" t="s">
        <v>11177</v>
      </c>
      <c r="C2788" s="677" t="s">
        <v>1690</v>
      </c>
      <c r="D2788" s="738">
        <f t="shared" si="86"/>
        <v>0.73</v>
      </c>
      <c r="F2788" s="1405">
        <v>0.73</v>
      </c>
      <c r="G2788" s="1405">
        <v>0.73</v>
      </c>
      <c r="H2788" t="b">
        <f t="shared" si="87"/>
        <v>1</v>
      </c>
    </row>
    <row r="2789" spans="1:8">
      <c r="A2789" s="739">
        <v>3904</v>
      </c>
      <c r="B2789" s="740" t="s">
        <v>11178</v>
      </c>
      <c r="C2789" s="739" t="s">
        <v>1690</v>
      </c>
      <c r="D2789" s="741">
        <f t="shared" si="86"/>
        <v>0.78</v>
      </c>
      <c r="F2789" s="1406">
        <v>0.78</v>
      </c>
      <c r="G2789" s="1406">
        <v>0.78</v>
      </c>
      <c r="H2789" t="b">
        <f t="shared" si="87"/>
        <v>1</v>
      </c>
    </row>
    <row r="2790" spans="1:8">
      <c r="A2790" s="677">
        <v>3903</v>
      </c>
      <c r="B2790" s="733" t="s">
        <v>11179</v>
      </c>
      <c r="C2790" s="677" t="s">
        <v>1690</v>
      </c>
      <c r="D2790" s="738">
        <f t="shared" si="86"/>
        <v>1.9</v>
      </c>
      <c r="F2790" s="1405">
        <v>1.9</v>
      </c>
      <c r="G2790" s="1405">
        <v>1.9</v>
      </c>
      <c r="H2790" t="b">
        <f t="shared" si="87"/>
        <v>1</v>
      </c>
    </row>
    <row r="2791" spans="1:8">
      <c r="A2791" s="739">
        <v>3862</v>
      </c>
      <c r="B2791" s="740" t="s">
        <v>11180</v>
      </c>
      <c r="C2791" s="739" t="s">
        <v>1690</v>
      </c>
      <c r="D2791" s="741">
        <f t="shared" si="86"/>
        <v>4.05</v>
      </c>
      <c r="F2791" s="1406">
        <v>4.05</v>
      </c>
      <c r="G2791" s="1406">
        <v>4.05</v>
      </c>
      <c r="H2791" t="b">
        <f t="shared" si="87"/>
        <v>1</v>
      </c>
    </row>
    <row r="2792" spans="1:8">
      <c r="A2792" s="677">
        <v>3863</v>
      </c>
      <c r="B2792" s="733" t="s">
        <v>11181</v>
      </c>
      <c r="C2792" s="677" t="s">
        <v>1690</v>
      </c>
      <c r="D2792" s="738">
        <f t="shared" si="86"/>
        <v>4.1500000000000004</v>
      </c>
      <c r="F2792" s="1405">
        <v>4.1500000000000004</v>
      </c>
      <c r="G2792" s="1405">
        <v>4.1500000000000004</v>
      </c>
      <c r="H2792" t="b">
        <f t="shared" si="87"/>
        <v>1</v>
      </c>
    </row>
    <row r="2793" spans="1:8">
      <c r="A2793" s="739">
        <v>3864</v>
      </c>
      <c r="B2793" s="740" t="s">
        <v>11182</v>
      </c>
      <c r="C2793" s="739" t="s">
        <v>1690</v>
      </c>
      <c r="D2793" s="741">
        <f t="shared" si="86"/>
        <v>12.7</v>
      </c>
      <c r="F2793" s="1406">
        <v>12.7</v>
      </c>
      <c r="G2793" s="1406">
        <v>12.7</v>
      </c>
      <c r="H2793" t="b">
        <f t="shared" si="87"/>
        <v>1</v>
      </c>
    </row>
    <row r="2794" spans="1:8">
      <c r="A2794" s="677">
        <v>3865</v>
      </c>
      <c r="B2794" s="733" t="s">
        <v>11183</v>
      </c>
      <c r="C2794" s="677" t="s">
        <v>1690</v>
      </c>
      <c r="D2794" s="738">
        <f t="shared" si="86"/>
        <v>18.579999999999998</v>
      </c>
      <c r="F2794" s="1405">
        <v>18.579999999999998</v>
      </c>
      <c r="G2794" s="1405">
        <v>18.579999999999998</v>
      </c>
      <c r="H2794" t="b">
        <f t="shared" si="87"/>
        <v>1</v>
      </c>
    </row>
    <row r="2795" spans="1:8">
      <c r="A2795" s="739">
        <v>3866</v>
      </c>
      <c r="B2795" s="740" t="s">
        <v>11184</v>
      </c>
      <c r="C2795" s="739" t="s">
        <v>1690</v>
      </c>
      <c r="D2795" s="741">
        <f t="shared" si="86"/>
        <v>41.71</v>
      </c>
      <c r="F2795" s="1406">
        <v>41.71</v>
      </c>
      <c r="G2795" s="1406">
        <v>41.71</v>
      </c>
      <c r="H2795" t="b">
        <f t="shared" si="87"/>
        <v>1</v>
      </c>
    </row>
    <row r="2796" spans="1:8">
      <c r="A2796" s="677">
        <v>3878</v>
      </c>
      <c r="B2796" s="733" t="s">
        <v>11185</v>
      </c>
      <c r="C2796" s="677" t="s">
        <v>1690</v>
      </c>
      <c r="D2796" s="738">
        <f t="shared" si="86"/>
        <v>11.37</v>
      </c>
      <c r="F2796" s="1405">
        <v>11.37</v>
      </c>
      <c r="G2796" s="1405">
        <v>11.37</v>
      </c>
      <c r="H2796" t="b">
        <f t="shared" si="87"/>
        <v>1</v>
      </c>
    </row>
    <row r="2797" spans="1:8">
      <c r="A2797" s="739">
        <v>3883</v>
      </c>
      <c r="B2797" s="740" t="s">
        <v>11186</v>
      </c>
      <c r="C2797" s="739" t="s">
        <v>1690</v>
      </c>
      <c r="D2797" s="741">
        <f t="shared" si="86"/>
        <v>1.45</v>
      </c>
      <c r="F2797" s="1406">
        <v>1.45</v>
      </c>
      <c r="G2797" s="1406">
        <v>1.45</v>
      </c>
      <c r="H2797" t="b">
        <f t="shared" si="87"/>
        <v>1</v>
      </c>
    </row>
    <row r="2798" spans="1:8">
      <c r="A2798" s="677">
        <v>3876</v>
      </c>
      <c r="B2798" s="733" t="s">
        <v>11187</v>
      </c>
      <c r="C2798" s="677" t="s">
        <v>1690</v>
      </c>
      <c r="D2798" s="738">
        <f t="shared" si="86"/>
        <v>4.53</v>
      </c>
      <c r="F2798" s="1405">
        <v>4.53</v>
      </c>
      <c r="G2798" s="1405">
        <v>4.53</v>
      </c>
      <c r="H2798" t="b">
        <f t="shared" si="87"/>
        <v>1</v>
      </c>
    </row>
    <row r="2799" spans="1:8">
      <c r="A2799" s="739">
        <v>3884</v>
      </c>
      <c r="B2799" s="740" t="s">
        <v>11188</v>
      </c>
      <c r="C2799" s="739" t="s">
        <v>1690</v>
      </c>
      <c r="D2799" s="741">
        <f t="shared" si="86"/>
        <v>2.2999999999999998</v>
      </c>
      <c r="F2799" s="1406">
        <v>2.2999999999999998</v>
      </c>
      <c r="G2799" s="1406">
        <v>2.2999999999999998</v>
      </c>
      <c r="H2799" t="b">
        <f t="shared" si="87"/>
        <v>1</v>
      </c>
    </row>
    <row r="2800" spans="1:8">
      <c r="A2800" s="677">
        <v>12892</v>
      </c>
      <c r="B2800" s="733" t="s">
        <v>11189</v>
      </c>
      <c r="C2800" s="677" t="s">
        <v>1697</v>
      </c>
      <c r="D2800" s="738">
        <f t="shared" si="86"/>
        <v>15.85</v>
      </c>
      <c r="F2800" s="1405">
        <v>15.85</v>
      </c>
      <c r="G2800" s="1405">
        <v>15.85</v>
      </c>
      <c r="H2800" t="b">
        <f t="shared" si="87"/>
        <v>1</v>
      </c>
    </row>
    <row r="2801" spans="1:8">
      <c r="A2801" s="739">
        <v>38447</v>
      </c>
      <c r="B2801" s="740" t="s">
        <v>11190</v>
      </c>
      <c r="C2801" s="739" t="s">
        <v>1690</v>
      </c>
      <c r="D2801" s="741">
        <f t="shared" si="86"/>
        <v>81.650000000000006</v>
      </c>
      <c r="F2801" s="1406">
        <v>81.650000000000006</v>
      </c>
      <c r="G2801" s="1406">
        <v>81.650000000000006</v>
      </c>
      <c r="H2801" t="b">
        <f t="shared" si="87"/>
        <v>1</v>
      </c>
    </row>
    <row r="2802" spans="1:8">
      <c r="A2802" s="677">
        <v>36320</v>
      </c>
      <c r="B2802" s="733" t="s">
        <v>11191</v>
      </c>
      <c r="C2802" s="677" t="s">
        <v>1690</v>
      </c>
      <c r="D2802" s="738">
        <f t="shared" si="86"/>
        <v>2.19</v>
      </c>
      <c r="F2802" s="1405">
        <v>2.19</v>
      </c>
      <c r="G2802" s="1405">
        <v>2.19</v>
      </c>
      <c r="H2802" t="b">
        <f t="shared" si="87"/>
        <v>1</v>
      </c>
    </row>
    <row r="2803" spans="1:8">
      <c r="A2803" s="739">
        <v>36324</v>
      </c>
      <c r="B2803" s="740" t="s">
        <v>11192</v>
      </c>
      <c r="C2803" s="739" t="s">
        <v>1690</v>
      </c>
      <c r="D2803" s="741">
        <f t="shared" si="86"/>
        <v>2</v>
      </c>
      <c r="F2803" s="1406">
        <v>2</v>
      </c>
      <c r="G2803" s="1406">
        <v>2</v>
      </c>
      <c r="H2803" t="b">
        <f t="shared" si="87"/>
        <v>1</v>
      </c>
    </row>
    <row r="2804" spans="1:8">
      <c r="A2804" s="677">
        <v>38441</v>
      </c>
      <c r="B2804" s="733" t="s">
        <v>11193</v>
      </c>
      <c r="C2804" s="677" t="s">
        <v>1690</v>
      </c>
      <c r="D2804" s="738">
        <f t="shared" si="86"/>
        <v>3.59</v>
      </c>
      <c r="F2804" s="1405">
        <v>3.59</v>
      </c>
      <c r="G2804" s="1405">
        <v>3.59</v>
      </c>
      <c r="H2804" t="b">
        <f t="shared" si="87"/>
        <v>1</v>
      </c>
    </row>
    <row r="2805" spans="1:8">
      <c r="A2805" s="739">
        <v>38442</v>
      </c>
      <c r="B2805" s="740" t="s">
        <v>11194</v>
      </c>
      <c r="C2805" s="739" t="s">
        <v>1690</v>
      </c>
      <c r="D2805" s="741">
        <f t="shared" si="86"/>
        <v>10.199999999999999</v>
      </c>
      <c r="F2805" s="1406">
        <v>10.199999999999999</v>
      </c>
      <c r="G2805" s="1406">
        <v>10.199999999999999</v>
      </c>
      <c r="H2805" t="b">
        <f t="shared" si="87"/>
        <v>1</v>
      </c>
    </row>
    <row r="2806" spans="1:8">
      <c r="A2806" s="677">
        <v>38443</v>
      </c>
      <c r="B2806" s="733" t="s">
        <v>11195</v>
      </c>
      <c r="C2806" s="677" t="s">
        <v>1690</v>
      </c>
      <c r="D2806" s="738">
        <f t="shared" si="86"/>
        <v>12.38</v>
      </c>
      <c r="F2806" s="1405">
        <v>12.38</v>
      </c>
      <c r="G2806" s="1405">
        <v>12.38</v>
      </c>
      <c r="H2806" t="b">
        <f t="shared" si="87"/>
        <v>1</v>
      </c>
    </row>
    <row r="2807" spans="1:8">
      <c r="A2807" s="739">
        <v>38444</v>
      </c>
      <c r="B2807" s="740" t="s">
        <v>11196</v>
      </c>
      <c r="C2807" s="739" t="s">
        <v>1690</v>
      </c>
      <c r="D2807" s="741">
        <f t="shared" si="86"/>
        <v>20.79</v>
      </c>
      <c r="F2807" s="1406">
        <v>20.79</v>
      </c>
      <c r="G2807" s="1406">
        <v>20.79</v>
      </c>
      <c r="H2807" t="b">
        <f t="shared" si="87"/>
        <v>1</v>
      </c>
    </row>
    <row r="2808" spans="1:8">
      <c r="A2808" s="677">
        <v>38445</v>
      </c>
      <c r="B2808" s="733" t="s">
        <v>11197</v>
      </c>
      <c r="C2808" s="677" t="s">
        <v>1690</v>
      </c>
      <c r="D2808" s="738">
        <f t="shared" si="86"/>
        <v>38.54</v>
      </c>
      <c r="F2808" s="1405">
        <v>38.54</v>
      </c>
      <c r="G2808" s="1405">
        <v>38.54</v>
      </c>
      <c r="H2808" t="b">
        <f t="shared" si="87"/>
        <v>1</v>
      </c>
    </row>
    <row r="2809" spans="1:8">
      <c r="A2809" s="739">
        <v>38446</v>
      </c>
      <c r="B2809" s="740" t="s">
        <v>11198</v>
      </c>
      <c r="C2809" s="739" t="s">
        <v>1690</v>
      </c>
      <c r="D2809" s="741">
        <f t="shared" si="86"/>
        <v>63.08</v>
      </c>
      <c r="F2809" s="1406">
        <v>63.08</v>
      </c>
      <c r="G2809" s="1406">
        <v>63.08</v>
      </c>
      <c r="H2809" t="b">
        <f t="shared" si="87"/>
        <v>1</v>
      </c>
    </row>
    <row r="2810" spans="1:8">
      <c r="A2810" s="677">
        <v>3837</v>
      </c>
      <c r="B2810" s="733" t="s">
        <v>11199</v>
      </c>
      <c r="C2810" s="677" t="s">
        <v>1690</v>
      </c>
      <c r="D2810" s="738">
        <f t="shared" si="86"/>
        <v>37.049999999999997</v>
      </c>
      <c r="F2810" s="1405">
        <v>37.049999999999997</v>
      </c>
      <c r="G2810" s="1405">
        <v>37.049999999999997</v>
      </c>
      <c r="H2810" t="b">
        <f t="shared" si="87"/>
        <v>1</v>
      </c>
    </row>
    <row r="2811" spans="1:8">
      <c r="A2811" s="739">
        <v>3845</v>
      </c>
      <c r="B2811" s="740" t="s">
        <v>11200</v>
      </c>
      <c r="C2811" s="739" t="s">
        <v>1690</v>
      </c>
      <c r="D2811" s="741">
        <f t="shared" si="86"/>
        <v>13.53</v>
      </c>
      <c r="F2811" s="1406">
        <v>13.53</v>
      </c>
      <c r="G2811" s="1406">
        <v>13.53</v>
      </c>
      <c r="H2811" t="b">
        <f t="shared" si="87"/>
        <v>1</v>
      </c>
    </row>
    <row r="2812" spans="1:8">
      <c r="A2812" s="677">
        <v>11045</v>
      </c>
      <c r="B2812" s="733" t="s">
        <v>11201</v>
      </c>
      <c r="C2812" s="677" t="s">
        <v>1690</v>
      </c>
      <c r="D2812" s="738">
        <f t="shared" si="86"/>
        <v>26.11</v>
      </c>
      <c r="F2812" s="1405">
        <v>26.11</v>
      </c>
      <c r="G2812" s="1405">
        <v>26.11</v>
      </c>
      <c r="H2812" t="b">
        <f t="shared" si="87"/>
        <v>1</v>
      </c>
    </row>
    <row r="2813" spans="1:8">
      <c r="A2813" s="739">
        <v>20170</v>
      </c>
      <c r="B2813" s="740" t="s">
        <v>11202</v>
      </c>
      <c r="C2813" s="739" t="s">
        <v>1690</v>
      </c>
      <c r="D2813" s="741">
        <f t="shared" si="86"/>
        <v>13.12</v>
      </c>
      <c r="F2813" s="1406">
        <v>13.12</v>
      </c>
      <c r="G2813" s="1406">
        <v>13.12</v>
      </c>
      <c r="H2813" t="b">
        <f t="shared" si="87"/>
        <v>1</v>
      </c>
    </row>
    <row r="2814" spans="1:8">
      <c r="A2814" s="677">
        <v>20171</v>
      </c>
      <c r="B2814" s="733" t="s">
        <v>11203</v>
      </c>
      <c r="C2814" s="677" t="s">
        <v>1690</v>
      </c>
      <c r="D2814" s="738">
        <f t="shared" si="86"/>
        <v>37.840000000000003</v>
      </c>
      <c r="F2814" s="1405">
        <v>37.840000000000003</v>
      </c>
      <c r="G2814" s="1405">
        <v>37.840000000000003</v>
      </c>
      <c r="H2814" t="b">
        <f t="shared" si="87"/>
        <v>1</v>
      </c>
    </row>
    <row r="2815" spans="1:8">
      <c r="A2815" s="739">
        <v>20167</v>
      </c>
      <c r="B2815" s="740" t="s">
        <v>11204</v>
      </c>
      <c r="C2815" s="739" t="s">
        <v>1690</v>
      </c>
      <c r="D2815" s="741">
        <f t="shared" si="86"/>
        <v>4.76</v>
      </c>
      <c r="F2815" s="1406">
        <v>4.76</v>
      </c>
      <c r="G2815" s="1406">
        <v>4.76</v>
      </c>
      <c r="H2815" t="b">
        <f t="shared" si="87"/>
        <v>1</v>
      </c>
    </row>
    <row r="2816" spans="1:8">
      <c r="A2816" s="677">
        <v>20168</v>
      </c>
      <c r="B2816" s="733" t="s">
        <v>11205</v>
      </c>
      <c r="C2816" s="677" t="s">
        <v>1690</v>
      </c>
      <c r="D2816" s="738">
        <f t="shared" si="86"/>
        <v>9.7899999999999991</v>
      </c>
      <c r="F2816" s="1405">
        <v>9.7899999999999991</v>
      </c>
      <c r="G2816" s="1405">
        <v>9.7899999999999991</v>
      </c>
      <c r="H2816" t="b">
        <f t="shared" si="87"/>
        <v>1</v>
      </c>
    </row>
    <row r="2817" spans="1:8">
      <c r="A2817" s="739">
        <v>20169</v>
      </c>
      <c r="B2817" s="740" t="s">
        <v>11206</v>
      </c>
      <c r="C2817" s="739" t="s">
        <v>1690</v>
      </c>
      <c r="D2817" s="741">
        <f t="shared" si="86"/>
        <v>11.43</v>
      </c>
      <c r="F2817" s="1406">
        <v>11.43</v>
      </c>
      <c r="G2817" s="1406">
        <v>11.43</v>
      </c>
      <c r="H2817" t="b">
        <f t="shared" si="87"/>
        <v>1</v>
      </c>
    </row>
    <row r="2818" spans="1:8">
      <c r="A2818" s="677">
        <v>3899</v>
      </c>
      <c r="B2818" s="733" t="s">
        <v>11207</v>
      </c>
      <c r="C2818" s="677" t="s">
        <v>1690</v>
      </c>
      <c r="D2818" s="738">
        <f t="shared" si="86"/>
        <v>6.34</v>
      </c>
      <c r="F2818" s="1405">
        <v>6.34</v>
      </c>
      <c r="G2818" s="1405">
        <v>6.34</v>
      </c>
      <c r="H2818" t="b">
        <f t="shared" si="87"/>
        <v>1</v>
      </c>
    </row>
    <row r="2819" spans="1:8">
      <c r="A2819" s="739">
        <v>38676</v>
      </c>
      <c r="B2819" s="740" t="s">
        <v>11208</v>
      </c>
      <c r="C2819" s="739" t="s">
        <v>1690</v>
      </c>
      <c r="D2819" s="741">
        <f t="shared" ref="D2819:D2882" si="88">IF($J$2=$F$1,F2819,G2819)</f>
        <v>31.71</v>
      </c>
      <c r="F2819" s="1406">
        <v>31.71</v>
      </c>
      <c r="G2819" s="1406">
        <v>31.71</v>
      </c>
      <c r="H2819" t="b">
        <f t="shared" ref="H2819:H2882" si="89">F2819=G2819</f>
        <v>1</v>
      </c>
    </row>
    <row r="2820" spans="1:8">
      <c r="A2820" s="677">
        <v>3897</v>
      </c>
      <c r="B2820" s="733" t="s">
        <v>11209</v>
      </c>
      <c r="C2820" s="677" t="s">
        <v>1690</v>
      </c>
      <c r="D2820" s="738">
        <f t="shared" si="88"/>
        <v>1.55</v>
      </c>
      <c r="F2820" s="1405">
        <v>1.55</v>
      </c>
      <c r="G2820" s="1405">
        <v>1.55</v>
      </c>
      <c r="H2820" t="b">
        <f t="shared" si="89"/>
        <v>1</v>
      </c>
    </row>
    <row r="2821" spans="1:8">
      <c r="A2821" s="739">
        <v>3875</v>
      </c>
      <c r="B2821" s="740" t="s">
        <v>11210</v>
      </c>
      <c r="C2821" s="739" t="s">
        <v>1690</v>
      </c>
      <c r="D2821" s="741">
        <f t="shared" si="88"/>
        <v>3.2</v>
      </c>
      <c r="F2821" s="1406">
        <v>3.2</v>
      </c>
      <c r="G2821" s="1406">
        <v>3.2</v>
      </c>
      <c r="H2821" t="b">
        <f t="shared" si="89"/>
        <v>1</v>
      </c>
    </row>
    <row r="2822" spans="1:8">
      <c r="A2822" s="677">
        <v>3898</v>
      </c>
      <c r="B2822" s="733" t="s">
        <v>11211</v>
      </c>
      <c r="C2822" s="677" t="s">
        <v>1690</v>
      </c>
      <c r="D2822" s="738">
        <f t="shared" si="88"/>
        <v>6.49</v>
      </c>
      <c r="F2822" s="1405">
        <v>6.49</v>
      </c>
      <c r="G2822" s="1405">
        <v>6.49</v>
      </c>
      <c r="H2822" t="b">
        <f t="shared" si="89"/>
        <v>1</v>
      </c>
    </row>
    <row r="2823" spans="1:8">
      <c r="A2823" s="739">
        <v>3855</v>
      </c>
      <c r="B2823" s="740" t="s">
        <v>11212</v>
      </c>
      <c r="C2823" s="739" t="s">
        <v>1690</v>
      </c>
      <c r="D2823" s="741">
        <f t="shared" si="88"/>
        <v>4.91</v>
      </c>
      <c r="F2823" s="1406">
        <v>4.91</v>
      </c>
      <c r="G2823" s="1406">
        <v>4.91</v>
      </c>
      <c r="H2823" t="b">
        <f t="shared" si="89"/>
        <v>1</v>
      </c>
    </row>
    <row r="2824" spans="1:8">
      <c r="A2824" s="677">
        <v>3874</v>
      </c>
      <c r="B2824" s="733" t="s">
        <v>11213</v>
      </c>
      <c r="C2824" s="677" t="s">
        <v>1690</v>
      </c>
      <c r="D2824" s="738">
        <f t="shared" si="88"/>
        <v>5.69</v>
      </c>
      <c r="F2824" s="1405">
        <v>5.69</v>
      </c>
      <c r="G2824" s="1405">
        <v>5.69</v>
      </c>
      <c r="H2824" t="b">
        <f t="shared" si="89"/>
        <v>1</v>
      </c>
    </row>
    <row r="2825" spans="1:8">
      <c r="A2825" s="739">
        <v>3870</v>
      </c>
      <c r="B2825" s="740" t="s">
        <v>11214</v>
      </c>
      <c r="C2825" s="739" t="s">
        <v>1690</v>
      </c>
      <c r="D2825" s="741">
        <f t="shared" si="88"/>
        <v>6.24</v>
      </c>
      <c r="F2825" s="1406">
        <v>6.24</v>
      </c>
      <c r="G2825" s="1406">
        <v>6.24</v>
      </c>
      <c r="H2825" t="b">
        <f t="shared" si="89"/>
        <v>1</v>
      </c>
    </row>
    <row r="2826" spans="1:8">
      <c r="A2826" s="677">
        <v>38678</v>
      </c>
      <c r="B2826" s="733" t="s">
        <v>11215</v>
      </c>
      <c r="C2826" s="677" t="s">
        <v>1690</v>
      </c>
      <c r="D2826" s="738">
        <f t="shared" si="88"/>
        <v>16.52</v>
      </c>
      <c r="F2826" s="1405">
        <v>16.52</v>
      </c>
      <c r="G2826" s="1405">
        <v>16.52</v>
      </c>
      <c r="H2826" t="b">
        <f t="shared" si="89"/>
        <v>1</v>
      </c>
    </row>
    <row r="2827" spans="1:8">
      <c r="A2827" s="739">
        <v>3859</v>
      </c>
      <c r="B2827" s="740" t="s">
        <v>11216</v>
      </c>
      <c r="C2827" s="739" t="s">
        <v>1690</v>
      </c>
      <c r="D2827" s="741">
        <f t="shared" si="88"/>
        <v>1.26</v>
      </c>
      <c r="F2827" s="1406">
        <v>1.26</v>
      </c>
      <c r="G2827" s="1406">
        <v>1.26</v>
      </c>
      <c r="H2827" t="b">
        <f t="shared" si="89"/>
        <v>1</v>
      </c>
    </row>
    <row r="2828" spans="1:8">
      <c r="A2828" s="677">
        <v>3856</v>
      </c>
      <c r="B2828" s="733" t="s">
        <v>11217</v>
      </c>
      <c r="C2828" s="677" t="s">
        <v>1690</v>
      </c>
      <c r="D2828" s="738">
        <f t="shared" si="88"/>
        <v>1.74</v>
      </c>
      <c r="F2828" s="1405">
        <v>1.74</v>
      </c>
      <c r="G2828" s="1405">
        <v>1.74</v>
      </c>
      <c r="H2828" t="b">
        <f t="shared" si="89"/>
        <v>1</v>
      </c>
    </row>
    <row r="2829" spans="1:8">
      <c r="A2829" s="739">
        <v>3906</v>
      </c>
      <c r="B2829" s="740" t="s">
        <v>11218</v>
      </c>
      <c r="C2829" s="739" t="s">
        <v>1690</v>
      </c>
      <c r="D2829" s="741">
        <f t="shared" si="88"/>
        <v>1.44</v>
      </c>
      <c r="F2829" s="1406">
        <v>1.44</v>
      </c>
      <c r="G2829" s="1406">
        <v>1.44</v>
      </c>
      <c r="H2829" t="b">
        <f t="shared" si="89"/>
        <v>1</v>
      </c>
    </row>
    <row r="2830" spans="1:8">
      <c r="A2830" s="677">
        <v>3860</v>
      </c>
      <c r="B2830" s="733" t="s">
        <v>11219</v>
      </c>
      <c r="C2830" s="677" t="s">
        <v>1690</v>
      </c>
      <c r="D2830" s="738">
        <f t="shared" si="88"/>
        <v>4.28</v>
      </c>
      <c r="F2830" s="1405">
        <v>4.28</v>
      </c>
      <c r="G2830" s="1405">
        <v>4.28</v>
      </c>
      <c r="H2830" t="b">
        <f t="shared" si="89"/>
        <v>1</v>
      </c>
    </row>
    <row r="2831" spans="1:8">
      <c r="A2831" s="739">
        <v>3905</v>
      </c>
      <c r="B2831" s="740" t="s">
        <v>11220</v>
      </c>
      <c r="C2831" s="739" t="s">
        <v>1690</v>
      </c>
      <c r="D2831" s="741">
        <f t="shared" si="88"/>
        <v>9.82</v>
      </c>
      <c r="F2831" s="1406">
        <v>9.82</v>
      </c>
      <c r="G2831" s="1406">
        <v>9.82</v>
      </c>
      <c r="H2831" t="b">
        <f t="shared" si="89"/>
        <v>1</v>
      </c>
    </row>
    <row r="2832" spans="1:8">
      <c r="A2832" s="677">
        <v>3871</v>
      </c>
      <c r="B2832" s="733" t="s">
        <v>11221</v>
      </c>
      <c r="C2832" s="677" t="s">
        <v>1690</v>
      </c>
      <c r="D2832" s="738">
        <f t="shared" si="88"/>
        <v>17.38</v>
      </c>
      <c r="F2832" s="1405">
        <v>17.38</v>
      </c>
      <c r="G2832" s="1405">
        <v>17.38</v>
      </c>
      <c r="H2832" t="b">
        <f t="shared" si="89"/>
        <v>1</v>
      </c>
    </row>
    <row r="2833" spans="1:8" ht="30">
      <c r="A2833" s="739">
        <v>39292</v>
      </c>
      <c r="B2833" s="740" t="s">
        <v>11222</v>
      </c>
      <c r="C2833" s="739" t="s">
        <v>1690</v>
      </c>
      <c r="D2833" s="741">
        <f t="shared" si="88"/>
        <v>7.58</v>
      </c>
      <c r="F2833" s="1406">
        <v>7.58</v>
      </c>
      <c r="G2833" s="1406">
        <v>7.58</v>
      </c>
      <c r="H2833" t="b">
        <f t="shared" si="89"/>
        <v>1</v>
      </c>
    </row>
    <row r="2834" spans="1:8" ht="30">
      <c r="A2834" s="677">
        <v>39293</v>
      </c>
      <c r="B2834" s="733" t="s">
        <v>11223</v>
      </c>
      <c r="C2834" s="677" t="s">
        <v>1690</v>
      </c>
      <c r="D2834" s="738">
        <f t="shared" si="88"/>
        <v>11.78</v>
      </c>
      <c r="F2834" s="1405">
        <v>11.78</v>
      </c>
      <c r="G2834" s="1405">
        <v>11.78</v>
      </c>
      <c r="H2834" t="b">
        <f t="shared" si="89"/>
        <v>1</v>
      </c>
    </row>
    <row r="2835" spans="1:8" ht="30">
      <c r="A2835" s="739">
        <v>39294</v>
      </c>
      <c r="B2835" s="740" t="s">
        <v>11224</v>
      </c>
      <c r="C2835" s="739" t="s">
        <v>1690</v>
      </c>
      <c r="D2835" s="741">
        <f t="shared" si="88"/>
        <v>12.59</v>
      </c>
      <c r="F2835" s="1406">
        <v>12.59</v>
      </c>
      <c r="G2835" s="1406">
        <v>12.59</v>
      </c>
      <c r="H2835" t="b">
        <f t="shared" si="89"/>
        <v>1</v>
      </c>
    </row>
    <row r="2836" spans="1:8" ht="30">
      <c r="A2836" s="677">
        <v>39295</v>
      </c>
      <c r="B2836" s="733" t="s">
        <v>11225</v>
      </c>
      <c r="C2836" s="677" t="s">
        <v>1690</v>
      </c>
      <c r="D2836" s="738">
        <f t="shared" si="88"/>
        <v>17.32</v>
      </c>
      <c r="F2836" s="1405">
        <v>17.32</v>
      </c>
      <c r="G2836" s="1405">
        <v>17.32</v>
      </c>
      <c r="H2836" t="b">
        <f t="shared" si="89"/>
        <v>1</v>
      </c>
    </row>
    <row r="2837" spans="1:8" ht="30">
      <c r="A2837" s="739">
        <v>39312</v>
      </c>
      <c r="B2837" s="740" t="s">
        <v>11226</v>
      </c>
      <c r="C2837" s="739" t="s">
        <v>1690</v>
      </c>
      <c r="D2837" s="741">
        <f t="shared" si="88"/>
        <v>11.62</v>
      </c>
      <c r="F2837" s="1406">
        <v>11.62</v>
      </c>
      <c r="G2837" s="1406">
        <v>11.62</v>
      </c>
      <c r="H2837" t="b">
        <f t="shared" si="89"/>
        <v>1</v>
      </c>
    </row>
    <row r="2838" spans="1:8" ht="30">
      <c r="A2838" s="677">
        <v>39313</v>
      </c>
      <c r="B2838" s="733" t="s">
        <v>11227</v>
      </c>
      <c r="C2838" s="677" t="s">
        <v>1690</v>
      </c>
      <c r="D2838" s="738">
        <f t="shared" si="88"/>
        <v>15.61</v>
      </c>
      <c r="F2838" s="1405">
        <v>15.61</v>
      </c>
      <c r="G2838" s="1405">
        <v>15.61</v>
      </c>
      <c r="H2838" t="b">
        <f t="shared" si="89"/>
        <v>1</v>
      </c>
    </row>
    <row r="2839" spans="1:8" ht="30">
      <c r="A2839" s="739">
        <v>39314</v>
      </c>
      <c r="B2839" s="740" t="s">
        <v>11228</v>
      </c>
      <c r="C2839" s="739" t="s">
        <v>1690</v>
      </c>
      <c r="D2839" s="741">
        <f t="shared" si="88"/>
        <v>22.97</v>
      </c>
      <c r="F2839" s="1406">
        <v>22.97</v>
      </c>
      <c r="G2839" s="1406">
        <v>22.97</v>
      </c>
      <c r="H2839" t="b">
        <f t="shared" si="89"/>
        <v>1</v>
      </c>
    </row>
    <row r="2840" spans="1:8">
      <c r="A2840" s="677">
        <v>39296</v>
      </c>
      <c r="B2840" s="733" t="s">
        <v>11229</v>
      </c>
      <c r="C2840" s="677" t="s">
        <v>1690</v>
      </c>
      <c r="D2840" s="738">
        <f t="shared" si="88"/>
        <v>6.91</v>
      </c>
      <c r="F2840" s="1405">
        <v>6.91</v>
      </c>
      <c r="G2840" s="1405">
        <v>6.91</v>
      </c>
      <c r="H2840" t="b">
        <f t="shared" si="89"/>
        <v>1</v>
      </c>
    </row>
    <row r="2841" spans="1:8">
      <c r="A2841" s="739">
        <v>39297</v>
      </c>
      <c r="B2841" s="740" t="s">
        <v>11230</v>
      </c>
      <c r="C2841" s="739" t="s">
        <v>1690</v>
      </c>
      <c r="D2841" s="741">
        <f t="shared" si="88"/>
        <v>9.3699999999999992</v>
      </c>
      <c r="F2841" s="1406">
        <v>9.3699999999999992</v>
      </c>
      <c r="G2841" s="1406">
        <v>9.3699999999999992</v>
      </c>
      <c r="H2841" t="b">
        <f t="shared" si="89"/>
        <v>1</v>
      </c>
    </row>
    <row r="2842" spans="1:8">
      <c r="A2842" s="677">
        <v>39298</v>
      </c>
      <c r="B2842" s="733" t="s">
        <v>11231</v>
      </c>
      <c r="C2842" s="677" t="s">
        <v>1690</v>
      </c>
      <c r="D2842" s="738">
        <f t="shared" si="88"/>
        <v>17.989999999999998</v>
      </c>
      <c r="F2842" s="1405">
        <v>17.989999999999998</v>
      </c>
      <c r="G2842" s="1405">
        <v>17.989999999999998</v>
      </c>
      <c r="H2842" t="b">
        <f t="shared" si="89"/>
        <v>1</v>
      </c>
    </row>
    <row r="2843" spans="1:8">
      <c r="A2843" s="739">
        <v>39299</v>
      </c>
      <c r="B2843" s="740" t="s">
        <v>11232</v>
      </c>
      <c r="C2843" s="739" t="s">
        <v>1690</v>
      </c>
      <c r="D2843" s="741">
        <f t="shared" si="88"/>
        <v>21.32</v>
      </c>
      <c r="F2843" s="1406">
        <v>21.32</v>
      </c>
      <c r="G2843" s="1406">
        <v>21.32</v>
      </c>
      <c r="H2843" t="b">
        <f t="shared" si="89"/>
        <v>1</v>
      </c>
    </row>
    <row r="2844" spans="1:8">
      <c r="A2844" s="677">
        <v>39308</v>
      </c>
      <c r="B2844" s="733" t="s">
        <v>11233</v>
      </c>
      <c r="C2844" s="677" t="s">
        <v>1690</v>
      </c>
      <c r="D2844" s="738">
        <f t="shared" si="88"/>
        <v>5.76</v>
      </c>
      <c r="F2844" s="1405">
        <v>5.76</v>
      </c>
      <c r="G2844" s="1405">
        <v>5.76</v>
      </c>
      <c r="H2844" t="b">
        <f t="shared" si="89"/>
        <v>1</v>
      </c>
    </row>
    <row r="2845" spans="1:8">
      <c r="A2845" s="739">
        <v>39309</v>
      </c>
      <c r="B2845" s="740" t="s">
        <v>11234</v>
      </c>
      <c r="C2845" s="739" t="s">
        <v>1690</v>
      </c>
      <c r="D2845" s="741">
        <f t="shared" si="88"/>
        <v>6.57</v>
      </c>
      <c r="F2845" s="1406">
        <v>6.57</v>
      </c>
      <c r="G2845" s="1406">
        <v>6.57</v>
      </c>
      <c r="H2845" t="b">
        <f t="shared" si="89"/>
        <v>1</v>
      </c>
    </row>
    <row r="2846" spans="1:8">
      <c r="A2846" s="677">
        <v>39310</v>
      </c>
      <c r="B2846" s="733" t="s">
        <v>11235</v>
      </c>
      <c r="C2846" s="677" t="s">
        <v>1690</v>
      </c>
      <c r="D2846" s="738">
        <f t="shared" si="88"/>
        <v>12.27</v>
      </c>
      <c r="F2846" s="1405">
        <v>12.27</v>
      </c>
      <c r="G2846" s="1405">
        <v>12.27</v>
      </c>
      <c r="H2846" t="b">
        <f t="shared" si="89"/>
        <v>1</v>
      </c>
    </row>
    <row r="2847" spans="1:8">
      <c r="A2847" s="739">
        <v>39311</v>
      </c>
      <c r="B2847" s="740" t="s">
        <v>11236</v>
      </c>
      <c r="C2847" s="739" t="s">
        <v>1690</v>
      </c>
      <c r="D2847" s="741">
        <f t="shared" si="88"/>
        <v>17.37</v>
      </c>
      <c r="F2847" s="1406">
        <v>17.37</v>
      </c>
      <c r="G2847" s="1406">
        <v>17.37</v>
      </c>
      <c r="H2847" t="b">
        <f t="shared" si="89"/>
        <v>1</v>
      </c>
    </row>
    <row r="2848" spans="1:8">
      <c r="A2848" s="677">
        <v>37429</v>
      </c>
      <c r="B2848" s="733" t="s">
        <v>11237</v>
      </c>
      <c r="C2848" s="677" t="s">
        <v>1690</v>
      </c>
      <c r="D2848" s="738">
        <f t="shared" si="88"/>
        <v>2665.96</v>
      </c>
      <c r="F2848" s="1405">
        <v>2665.96</v>
      </c>
      <c r="G2848" s="1405">
        <v>2665.96</v>
      </c>
      <c r="H2848" t="b">
        <f t="shared" si="89"/>
        <v>1</v>
      </c>
    </row>
    <row r="2849" spans="1:8">
      <c r="A2849" s="739">
        <v>37426</v>
      </c>
      <c r="B2849" s="740" t="s">
        <v>11238</v>
      </c>
      <c r="C2849" s="739" t="s">
        <v>1690</v>
      </c>
      <c r="D2849" s="741">
        <f t="shared" si="88"/>
        <v>25.64</v>
      </c>
      <c r="F2849" s="1406">
        <v>25.64</v>
      </c>
      <c r="G2849" s="1406">
        <v>25.64</v>
      </c>
      <c r="H2849" t="b">
        <f t="shared" si="89"/>
        <v>1</v>
      </c>
    </row>
    <row r="2850" spans="1:8">
      <c r="A2850" s="677">
        <v>37427</v>
      </c>
      <c r="B2850" s="733" t="s">
        <v>11239</v>
      </c>
      <c r="C2850" s="677" t="s">
        <v>1690</v>
      </c>
      <c r="D2850" s="738">
        <f t="shared" si="88"/>
        <v>61.17</v>
      </c>
      <c r="F2850" s="1405">
        <v>61.17</v>
      </c>
      <c r="G2850" s="1405">
        <v>61.17</v>
      </c>
      <c r="H2850" t="b">
        <f t="shared" si="89"/>
        <v>1</v>
      </c>
    </row>
    <row r="2851" spans="1:8">
      <c r="A2851" s="739">
        <v>37424</v>
      </c>
      <c r="B2851" s="740" t="s">
        <v>11240</v>
      </c>
      <c r="C2851" s="739" t="s">
        <v>1690</v>
      </c>
      <c r="D2851" s="741">
        <f t="shared" si="88"/>
        <v>11.78</v>
      </c>
      <c r="F2851" s="1406">
        <v>11.78</v>
      </c>
      <c r="G2851" s="1406">
        <v>11.78</v>
      </c>
      <c r="H2851" t="b">
        <f t="shared" si="89"/>
        <v>1</v>
      </c>
    </row>
    <row r="2852" spans="1:8">
      <c r="A2852" s="677">
        <v>37428</v>
      </c>
      <c r="B2852" s="733" t="s">
        <v>11241</v>
      </c>
      <c r="C2852" s="677" t="s">
        <v>1690</v>
      </c>
      <c r="D2852" s="738">
        <f t="shared" si="88"/>
        <v>210.82</v>
      </c>
      <c r="F2852" s="1405">
        <v>210.82</v>
      </c>
      <c r="G2852" s="1405">
        <v>210.82</v>
      </c>
      <c r="H2852" t="b">
        <f t="shared" si="89"/>
        <v>1</v>
      </c>
    </row>
    <row r="2853" spans="1:8">
      <c r="A2853" s="739">
        <v>37425</v>
      </c>
      <c r="B2853" s="740" t="s">
        <v>11242</v>
      </c>
      <c r="C2853" s="739" t="s">
        <v>1690</v>
      </c>
      <c r="D2853" s="741">
        <f t="shared" si="88"/>
        <v>12.7</v>
      </c>
      <c r="F2853" s="1406">
        <v>12.7</v>
      </c>
      <c r="G2853" s="1406">
        <v>12.7</v>
      </c>
      <c r="H2853" t="b">
        <f t="shared" si="89"/>
        <v>1</v>
      </c>
    </row>
    <row r="2854" spans="1:8">
      <c r="A2854" s="677">
        <v>11519</v>
      </c>
      <c r="B2854" s="733" t="s">
        <v>11243</v>
      </c>
      <c r="C2854" s="677" t="s">
        <v>1697</v>
      </c>
      <c r="D2854" s="738">
        <f t="shared" si="88"/>
        <v>55</v>
      </c>
      <c r="F2854" s="1405">
        <v>55</v>
      </c>
      <c r="G2854" s="1405">
        <v>55</v>
      </c>
      <c r="H2854" t="b">
        <f t="shared" si="89"/>
        <v>1</v>
      </c>
    </row>
    <row r="2855" spans="1:8" ht="30">
      <c r="A2855" s="739">
        <v>11520</v>
      </c>
      <c r="B2855" s="740" t="s">
        <v>11244</v>
      </c>
      <c r="C2855" s="739" t="s">
        <v>1697</v>
      </c>
      <c r="D2855" s="741">
        <f t="shared" si="88"/>
        <v>25.43</v>
      </c>
      <c r="F2855" s="1406">
        <v>25.43</v>
      </c>
      <c r="G2855" s="1406">
        <v>25.43</v>
      </c>
      <c r="H2855" t="b">
        <f t="shared" si="89"/>
        <v>1</v>
      </c>
    </row>
    <row r="2856" spans="1:8">
      <c r="A2856" s="677">
        <v>11518</v>
      </c>
      <c r="B2856" s="733" t="s">
        <v>11245</v>
      </c>
      <c r="C2856" s="677" t="s">
        <v>1697</v>
      </c>
      <c r="D2856" s="738">
        <f t="shared" si="88"/>
        <v>92.45</v>
      </c>
      <c r="F2856" s="1405">
        <v>92.45</v>
      </c>
      <c r="G2856" s="1405">
        <v>92.45</v>
      </c>
      <c r="H2856" t="b">
        <f t="shared" si="89"/>
        <v>1</v>
      </c>
    </row>
    <row r="2857" spans="1:8">
      <c r="A2857" s="739">
        <v>38473</v>
      </c>
      <c r="B2857" s="740" t="s">
        <v>11246</v>
      </c>
      <c r="C2857" s="739" t="s">
        <v>1690</v>
      </c>
      <c r="D2857" s="741">
        <f t="shared" si="88"/>
        <v>144.02000000000001</v>
      </c>
      <c r="F2857" s="1406">
        <v>144.02000000000001</v>
      </c>
      <c r="G2857" s="1406">
        <v>144.02000000000001</v>
      </c>
      <c r="H2857" t="b">
        <f t="shared" si="89"/>
        <v>1</v>
      </c>
    </row>
    <row r="2858" spans="1:8">
      <c r="A2858" s="677">
        <v>4244</v>
      </c>
      <c r="B2858" s="733" t="s">
        <v>11247</v>
      </c>
      <c r="C2858" s="677" t="s">
        <v>1689</v>
      </c>
      <c r="D2858" s="738">
        <f t="shared" si="88"/>
        <v>19.27</v>
      </c>
      <c r="F2858" s="1405">
        <v>16.739999999999998</v>
      </c>
      <c r="G2858" s="1405">
        <v>19.27</v>
      </c>
      <c r="H2858" t="b">
        <f t="shared" si="89"/>
        <v>0</v>
      </c>
    </row>
    <row r="2859" spans="1:8">
      <c r="A2859" s="739">
        <v>40977</v>
      </c>
      <c r="B2859" s="740" t="s">
        <v>11248</v>
      </c>
      <c r="C2859" s="739" t="s">
        <v>1696</v>
      </c>
      <c r="D2859" s="741">
        <f t="shared" si="88"/>
        <v>3394.7</v>
      </c>
      <c r="F2859" s="1406">
        <v>2944.19</v>
      </c>
      <c r="G2859" s="1406">
        <v>3394.7</v>
      </c>
      <c r="H2859" t="b">
        <f t="shared" si="89"/>
        <v>0</v>
      </c>
    </row>
    <row r="2860" spans="1:8">
      <c r="A2860" s="677">
        <v>4115</v>
      </c>
      <c r="B2860" s="733" t="s">
        <v>11249</v>
      </c>
      <c r="C2860" s="677" t="s">
        <v>1693</v>
      </c>
      <c r="D2860" s="738">
        <f t="shared" si="88"/>
        <v>35.21</v>
      </c>
      <c r="F2860" s="1405">
        <v>35.21</v>
      </c>
      <c r="G2860" s="1405">
        <v>35.21</v>
      </c>
      <c r="H2860" t="b">
        <f t="shared" si="89"/>
        <v>1</v>
      </c>
    </row>
    <row r="2861" spans="1:8">
      <c r="A2861" s="739">
        <v>4119</v>
      </c>
      <c r="B2861" s="740" t="s">
        <v>11250</v>
      </c>
      <c r="C2861" s="739" t="s">
        <v>1693</v>
      </c>
      <c r="D2861" s="741">
        <f t="shared" si="88"/>
        <v>71.11</v>
      </c>
      <c r="F2861" s="1406">
        <v>71.11</v>
      </c>
      <c r="G2861" s="1406">
        <v>71.11</v>
      </c>
      <c r="H2861" t="b">
        <f t="shared" si="89"/>
        <v>1</v>
      </c>
    </row>
    <row r="2862" spans="1:8">
      <c r="A2862" s="677">
        <v>2794</v>
      </c>
      <c r="B2862" s="733" t="s">
        <v>11251</v>
      </c>
      <c r="C2862" s="677" t="s">
        <v>1693</v>
      </c>
      <c r="D2862" s="738">
        <f t="shared" si="88"/>
        <v>188.64</v>
      </c>
      <c r="F2862" s="1405">
        <v>188.64</v>
      </c>
      <c r="G2862" s="1405">
        <v>188.64</v>
      </c>
      <c r="H2862" t="b">
        <f t="shared" si="89"/>
        <v>1</v>
      </c>
    </row>
    <row r="2863" spans="1:8">
      <c r="A2863" s="739">
        <v>2788</v>
      </c>
      <c r="B2863" s="740" t="s">
        <v>11252</v>
      </c>
      <c r="C2863" s="739" t="s">
        <v>1693</v>
      </c>
      <c r="D2863" s="741">
        <f t="shared" si="88"/>
        <v>274.8</v>
      </c>
      <c r="F2863" s="1406">
        <v>274.8</v>
      </c>
      <c r="G2863" s="1406">
        <v>274.8</v>
      </c>
      <c r="H2863" t="b">
        <f t="shared" si="89"/>
        <v>1</v>
      </c>
    </row>
    <row r="2864" spans="1:8">
      <c r="A2864" s="677">
        <v>4006</v>
      </c>
      <c r="B2864" s="733" t="s">
        <v>11253</v>
      </c>
      <c r="C2864" s="677" t="s">
        <v>1691</v>
      </c>
      <c r="D2864" s="738">
        <f t="shared" si="88"/>
        <v>2520.73</v>
      </c>
      <c r="F2864" s="1405">
        <v>2520.73</v>
      </c>
      <c r="G2864" s="1405">
        <v>2520.73</v>
      </c>
      <c r="H2864" t="b">
        <f t="shared" si="89"/>
        <v>1</v>
      </c>
    </row>
    <row r="2865" spans="1:8">
      <c r="A2865" s="739">
        <v>36151</v>
      </c>
      <c r="B2865" s="740" t="s">
        <v>11254</v>
      </c>
      <c r="C2865" s="739" t="s">
        <v>1690</v>
      </c>
      <c r="D2865" s="741">
        <f t="shared" si="88"/>
        <v>35.24</v>
      </c>
      <c r="F2865" s="1406">
        <v>35.24</v>
      </c>
      <c r="G2865" s="1406">
        <v>35.24</v>
      </c>
      <c r="H2865" t="b">
        <f t="shared" si="89"/>
        <v>1</v>
      </c>
    </row>
    <row r="2866" spans="1:8">
      <c r="A2866" s="677">
        <v>37457</v>
      </c>
      <c r="B2866" s="733" t="s">
        <v>11255</v>
      </c>
      <c r="C2866" s="677" t="s">
        <v>1693</v>
      </c>
      <c r="D2866" s="738">
        <f t="shared" si="88"/>
        <v>3.52</v>
      </c>
      <c r="F2866" s="1405">
        <v>3.52</v>
      </c>
      <c r="G2866" s="1405">
        <v>3.52</v>
      </c>
      <c r="H2866" t="b">
        <f t="shared" si="89"/>
        <v>1</v>
      </c>
    </row>
    <row r="2867" spans="1:8">
      <c r="A2867" s="739">
        <v>37456</v>
      </c>
      <c r="B2867" s="740" t="s">
        <v>11256</v>
      </c>
      <c r="C2867" s="739" t="s">
        <v>1693</v>
      </c>
      <c r="D2867" s="741">
        <f t="shared" si="88"/>
        <v>1.86</v>
      </c>
      <c r="F2867" s="1406">
        <v>1.86</v>
      </c>
      <c r="G2867" s="1406">
        <v>1.86</v>
      </c>
      <c r="H2867" t="b">
        <f t="shared" si="89"/>
        <v>1</v>
      </c>
    </row>
    <row r="2868" spans="1:8">
      <c r="A2868" s="677">
        <v>37461</v>
      </c>
      <c r="B2868" s="733" t="s">
        <v>11257</v>
      </c>
      <c r="C2868" s="677" t="s">
        <v>1693</v>
      </c>
      <c r="D2868" s="738">
        <f t="shared" si="88"/>
        <v>13.09</v>
      </c>
      <c r="F2868" s="1405">
        <v>13.09</v>
      </c>
      <c r="G2868" s="1405">
        <v>13.09</v>
      </c>
      <c r="H2868" t="b">
        <f t="shared" si="89"/>
        <v>1</v>
      </c>
    </row>
    <row r="2869" spans="1:8">
      <c r="A2869" s="739">
        <v>37460</v>
      </c>
      <c r="B2869" s="740" t="s">
        <v>11258</v>
      </c>
      <c r="C2869" s="739" t="s">
        <v>1693</v>
      </c>
      <c r="D2869" s="741">
        <f t="shared" si="88"/>
        <v>17.88</v>
      </c>
      <c r="F2869" s="1406">
        <v>17.88</v>
      </c>
      <c r="G2869" s="1406">
        <v>17.88</v>
      </c>
      <c r="H2869" t="b">
        <f t="shared" si="89"/>
        <v>1</v>
      </c>
    </row>
    <row r="2870" spans="1:8">
      <c r="A2870" s="677">
        <v>37458</v>
      </c>
      <c r="B2870" s="733" t="s">
        <v>11259</v>
      </c>
      <c r="C2870" s="677" t="s">
        <v>1693</v>
      </c>
      <c r="D2870" s="738">
        <f t="shared" si="88"/>
        <v>5.24</v>
      </c>
      <c r="F2870" s="1405">
        <v>5.24</v>
      </c>
      <c r="G2870" s="1405">
        <v>5.24</v>
      </c>
      <c r="H2870" t="b">
        <f t="shared" si="89"/>
        <v>1</v>
      </c>
    </row>
    <row r="2871" spans="1:8">
      <c r="A2871" s="739">
        <v>37454</v>
      </c>
      <c r="B2871" s="740" t="s">
        <v>11260</v>
      </c>
      <c r="C2871" s="739" t="s">
        <v>1693</v>
      </c>
      <c r="D2871" s="741">
        <f t="shared" si="88"/>
        <v>1.37</v>
      </c>
      <c r="F2871" s="1406">
        <v>1.37</v>
      </c>
      <c r="G2871" s="1406">
        <v>1.37</v>
      </c>
      <c r="H2871" t="b">
        <f t="shared" si="89"/>
        <v>1</v>
      </c>
    </row>
    <row r="2872" spans="1:8">
      <c r="A2872" s="677">
        <v>37455</v>
      </c>
      <c r="B2872" s="733" t="s">
        <v>11261</v>
      </c>
      <c r="C2872" s="677" t="s">
        <v>1693</v>
      </c>
      <c r="D2872" s="738">
        <f t="shared" si="88"/>
        <v>2.31</v>
      </c>
      <c r="F2872" s="1405">
        <v>2.31</v>
      </c>
      <c r="G2872" s="1405">
        <v>2.31</v>
      </c>
      <c r="H2872" t="b">
        <f t="shared" si="89"/>
        <v>1</v>
      </c>
    </row>
    <row r="2873" spans="1:8">
      <c r="A2873" s="739">
        <v>37459</v>
      </c>
      <c r="B2873" s="740" t="s">
        <v>11262</v>
      </c>
      <c r="C2873" s="739" t="s">
        <v>1693</v>
      </c>
      <c r="D2873" s="741">
        <f t="shared" si="88"/>
        <v>7.36</v>
      </c>
      <c r="F2873" s="1406">
        <v>7.36</v>
      </c>
      <c r="G2873" s="1406">
        <v>7.36</v>
      </c>
      <c r="H2873" t="b">
        <f t="shared" si="89"/>
        <v>1</v>
      </c>
    </row>
    <row r="2874" spans="1:8" ht="30">
      <c r="A2874" s="677">
        <v>21029</v>
      </c>
      <c r="B2874" s="733" t="s">
        <v>11263</v>
      </c>
      <c r="C2874" s="677" t="s">
        <v>1690</v>
      </c>
      <c r="D2874" s="738">
        <f t="shared" si="88"/>
        <v>443.54</v>
      </c>
      <c r="F2874" s="1405">
        <v>443.54</v>
      </c>
      <c r="G2874" s="1405">
        <v>443.54</v>
      </c>
      <c r="H2874" t="b">
        <f t="shared" si="89"/>
        <v>1</v>
      </c>
    </row>
    <row r="2875" spans="1:8" ht="30">
      <c r="A2875" s="739">
        <v>21030</v>
      </c>
      <c r="B2875" s="740" t="s">
        <v>11264</v>
      </c>
      <c r="C2875" s="739" t="s">
        <v>1690</v>
      </c>
      <c r="D2875" s="741">
        <f t="shared" si="88"/>
        <v>546.73</v>
      </c>
      <c r="F2875" s="1406">
        <v>546.73</v>
      </c>
      <c r="G2875" s="1406">
        <v>546.73</v>
      </c>
      <c r="H2875" t="b">
        <f t="shared" si="89"/>
        <v>1</v>
      </c>
    </row>
    <row r="2876" spans="1:8" ht="30">
      <c r="A2876" s="677">
        <v>21031</v>
      </c>
      <c r="B2876" s="733" t="s">
        <v>11265</v>
      </c>
      <c r="C2876" s="677" t="s">
        <v>1690</v>
      </c>
      <c r="D2876" s="738">
        <f t="shared" si="88"/>
        <v>680.68</v>
      </c>
      <c r="F2876" s="1405">
        <v>680.68</v>
      </c>
      <c r="G2876" s="1405">
        <v>680.68</v>
      </c>
      <c r="H2876" t="b">
        <f t="shared" si="89"/>
        <v>1</v>
      </c>
    </row>
    <row r="2877" spans="1:8" ht="30">
      <c r="A2877" s="739">
        <v>21032</v>
      </c>
      <c r="B2877" s="740" t="s">
        <v>11266</v>
      </c>
      <c r="C2877" s="739" t="s">
        <v>1690</v>
      </c>
      <c r="D2877" s="741">
        <f t="shared" si="88"/>
        <v>726.79</v>
      </c>
      <c r="F2877" s="1406">
        <v>726.79</v>
      </c>
      <c r="G2877" s="1406">
        <v>726.79</v>
      </c>
      <c r="H2877" t="b">
        <f t="shared" si="89"/>
        <v>1</v>
      </c>
    </row>
    <row r="2878" spans="1:8" ht="30">
      <c r="A2878" s="677">
        <v>37527</v>
      </c>
      <c r="B2878" s="733" t="s">
        <v>11267</v>
      </c>
      <c r="C2878" s="677" t="s">
        <v>1690</v>
      </c>
      <c r="D2878" s="738">
        <f t="shared" si="88"/>
        <v>656.52</v>
      </c>
      <c r="F2878" s="1405">
        <v>656.52</v>
      </c>
      <c r="G2878" s="1405">
        <v>656.52</v>
      </c>
      <c r="H2878" t="b">
        <f t="shared" si="89"/>
        <v>1</v>
      </c>
    </row>
    <row r="2879" spans="1:8" ht="30">
      <c r="A2879" s="739">
        <v>37528</v>
      </c>
      <c r="B2879" s="740" t="s">
        <v>11268</v>
      </c>
      <c r="C2879" s="739" t="s">
        <v>1690</v>
      </c>
      <c r="D2879" s="741">
        <f t="shared" si="88"/>
        <v>782.78</v>
      </c>
      <c r="F2879" s="1406">
        <v>782.78</v>
      </c>
      <c r="G2879" s="1406">
        <v>782.78</v>
      </c>
      <c r="H2879" t="b">
        <f t="shared" si="89"/>
        <v>1</v>
      </c>
    </row>
    <row r="2880" spans="1:8" ht="30">
      <c r="A2880" s="677">
        <v>37529</v>
      </c>
      <c r="B2880" s="733" t="s">
        <v>11269</v>
      </c>
      <c r="C2880" s="677" t="s">
        <v>1690</v>
      </c>
      <c r="D2880" s="738">
        <f t="shared" si="88"/>
        <v>790.46</v>
      </c>
      <c r="F2880" s="1405">
        <v>790.46</v>
      </c>
      <c r="G2880" s="1405">
        <v>790.46</v>
      </c>
      <c r="H2880" t="b">
        <f t="shared" si="89"/>
        <v>1</v>
      </c>
    </row>
    <row r="2881" spans="1:8" ht="30">
      <c r="A2881" s="739">
        <v>37530</v>
      </c>
      <c r="B2881" s="740" t="s">
        <v>11270</v>
      </c>
      <c r="C2881" s="739" t="s">
        <v>1690</v>
      </c>
      <c r="D2881" s="741">
        <f t="shared" si="88"/>
        <v>1031.99</v>
      </c>
      <c r="F2881" s="1406">
        <v>1031.99</v>
      </c>
      <c r="G2881" s="1406">
        <v>1031.99</v>
      </c>
      <c r="H2881" t="b">
        <f t="shared" si="89"/>
        <v>1</v>
      </c>
    </row>
    <row r="2882" spans="1:8" ht="30">
      <c r="A2882" s="677">
        <v>21034</v>
      </c>
      <c r="B2882" s="733" t="s">
        <v>11271</v>
      </c>
      <c r="C2882" s="677" t="s">
        <v>1690</v>
      </c>
      <c r="D2882" s="738">
        <f t="shared" si="88"/>
        <v>880.49</v>
      </c>
      <c r="F2882" s="1405">
        <v>880.49</v>
      </c>
      <c r="G2882" s="1405">
        <v>880.49</v>
      </c>
      <c r="H2882" t="b">
        <f t="shared" si="89"/>
        <v>1</v>
      </c>
    </row>
    <row r="2883" spans="1:8" ht="30">
      <c r="A2883" s="739">
        <v>37531</v>
      </c>
      <c r="B2883" s="740" t="s">
        <v>11272</v>
      </c>
      <c r="C2883" s="739" t="s">
        <v>1690</v>
      </c>
      <c r="D2883" s="741">
        <f t="shared" ref="D2883:D2946" si="90">IF($J$2=$F$1,F2883,G2883)</f>
        <v>1108.8499999999999</v>
      </c>
      <c r="F2883" s="1406">
        <v>1108.8499999999999</v>
      </c>
      <c r="G2883" s="1406">
        <v>1108.8499999999999</v>
      </c>
      <c r="H2883" t="b">
        <f t="shared" ref="H2883:H2946" si="91">F2883=G2883</f>
        <v>1</v>
      </c>
    </row>
    <row r="2884" spans="1:8" ht="30">
      <c r="A2884" s="677">
        <v>21036</v>
      </c>
      <c r="B2884" s="733" t="s">
        <v>11273</v>
      </c>
      <c r="C2884" s="677" t="s">
        <v>1690</v>
      </c>
      <c r="D2884" s="738">
        <f t="shared" si="90"/>
        <v>1348.18</v>
      </c>
      <c r="F2884" s="1405">
        <v>1348.18</v>
      </c>
      <c r="G2884" s="1405">
        <v>1348.18</v>
      </c>
      <c r="H2884" t="b">
        <f t="shared" si="91"/>
        <v>1</v>
      </c>
    </row>
    <row r="2885" spans="1:8" ht="30">
      <c r="A2885" s="739">
        <v>21037</v>
      </c>
      <c r="B2885" s="740" t="s">
        <v>11274</v>
      </c>
      <c r="C2885" s="739" t="s">
        <v>1690</v>
      </c>
      <c r="D2885" s="741">
        <f t="shared" si="90"/>
        <v>1537.01</v>
      </c>
      <c r="F2885" s="1406">
        <v>1537.01</v>
      </c>
      <c r="G2885" s="1406">
        <v>1537.01</v>
      </c>
      <c r="H2885" t="b">
        <f t="shared" si="91"/>
        <v>1</v>
      </c>
    </row>
    <row r="2886" spans="1:8" ht="30">
      <c r="A2886" s="677">
        <v>20185</v>
      </c>
      <c r="B2886" s="733" t="s">
        <v>11275</v>
      </c>
      <c r="C2886" s="677" t="s">
        <v>1693</v>
      </c>
      <c r="D2886" s="738">
        <f t="shared" si="90"/>
        <v>21.28</v>
      </c>
      <c r="F2886" s="1405">
        <v>21.28</v>
      </c>
      <c r="G2886" s="1405">
        <v>21.28</v>
      </c>
      <c r="H2886" t="b">
        <f t="shared" si="91"/>
        <v>1</v>
      </c>
    </row>
    <row r="2887" spans="1:8">
      <c r="A2887" s="739">
        <v>20260</v>
      </c>
      <c r="B2887" s="740" t="s">
        <v>11276</v>
      </c>
      <c r="C2887" s="739" t="s">
        <v>1690</v>
      </c>
      <c r="D2887" s="741">
        <f t="shared" si="90"/>
        <v>17.11</v>
      </c>
      <c r="F2887" s="1406">
        <v>17.11</v>
      </c>
      <c r="G2887" s="1406">
        <v>17.11</v>
      </c>
      <c r="H2887" t="b">
        <f t="shared" si="91"/>
        <v>1</v>
      </c>
    </row>
    <row r="2888" spans="1:8">
      <c r="A2888" s="677">
        <v>37523</v>
      </c>
      <c r="B2888" s="733" t="s">
        <v>11277</v>
      </c>
      <c r="C2888" s="677" t="s">
        <v>1690</v>
      </c>
      <c r="D2888" s="738">
        <f t="shared" si="90"/>
        <v>579269.27</v>
      </c>
      <c r="F2888" s="1405">
        <v>579269.27</v>
      </c>
      <c r="G2888" s="1405">
        <v>579269.27</v>
      </c>
      <c r="H2888" t="b">
        <f t="shared" si="91"/>
        <v>1</v>
      </c>
    </row>
    <row r="2889" spans="1:8">
      <c r="A2889" s="739">
        <v>37515</v>
      </c>
      <c r="B2889" s="740" t="s">
        <v>11278</v>
      </c>
      <c r="C2889" s="739" t="s">
        <v>1690</v>
      </c>
      <c r="D2889" s="741">
        <f t="shared" si="90"/>
        <v>515000</v>
      </c>
      <c r="F2889" s="1406">
        <v>515000</v>
      </c>
      <c r="G2889" s="1406">
        <v>515000</v>
      </c>
      <c r="H2889" t="b">
        <f t="shared" si="91"/>
        <v>1</v>
      </c>
    </row>
    <row r="2890" spans="1:8" ht="30">
      <c r="A2890" s="677">
        <v>12899</v>
      </c>
      <c r="B2890" s="733" t="s">
        <v>11279</v>
      </c>
      <c r="C2890" s="677" t="s">
        <v>1690</v>
      </c>
      <c r="D2890" s="738">
        <f t="shared" si="90"/>
        <v>104.89</v>
      </c>
      <c r="F2890" s="1405">
        <v>104.89</v>
      </c>
      <c r="G2890" s="1405">
        <v>104.89</v>
      </c>
      <c r="H2890" t="b">
        <f t="shared" si="91"/>
        <v>1</v>
      </c>
    </row>
    <row r="2891" spans="1:8">
      <c r="A2891" s="739">
        <v>12898</v>
      </c>
      <c r="B2891" s="740" t="s">
        <v>11280</v>
      </c>
      <c r="C2891" s="739" t="s">
        <v>1690</v>
      </c>
      <c r="D2891" s="741">
        <f t="shared" si="90"/>
        <v>166.38</v>
      </c>
      <c r="F2891" s="1406">
        <v>166.38</v>
      </c>
      <c r="G2891" s="1406">
        <v>166.38</v>
      </c>
      <c r="H2891" t="b">
        <f t="shared" si="91"/>
        <v>1</v>
      </c>
    </row>
    <row r="2892" spans="1:8">
      <c r="A2892" s="677">
        <v>39699</v>
      </c>
      <c r="B2892" s="733" t="s">
        <v>11281</v>
      </c>
      <c r="C2892" s="677" t="s">
        <v>1692</v>
      </c>
      <c r="D2892" s="738">
        <f t="shared" si="90"/>
        <v>17.29</v>
      </c>
      <c r="F2892" s="1405">
        <v>17.29</v>
      </c>
      <c r="G2892" s="1405">
        <v>17.29</v>
      </c>
      <c r="H2892" t="b">
        <f t="shared" si="91"/>
        <v>1</v>
      </c>
    </row>
    <row r="2893" spans="1:8">
      <c r="A2893" s="739">
        <v>42528</v>
      </c>
      <c r="B2893" s="740" t="s">
        <v>11282</v>
      </c>
      <c r="C2893" s="739" t="s">
        <v>1692</v>
      </c>
      <c r="D2893" s="741">
        <f t="shared" si="90"/>
        <v>9.1</v>
      </c>
      <c r="F2893" s="1406">
        <v>9.1</v>
      </c>
      <c r="G2893" s="1406">
        <v>9.1</v>
      </c>
      <c r="H2893" t="b">
        <f t="shared" si="91"/>
        <v>1</v>
      </c>
    </row>
    <row r="2894" spans="1:8">
      <c r="A2894" s="677">
        <v>39696</v>
      </c>
      <c r="B2894" s="733" t="s">
        <v>11283</v>
      </c>
      <c r="C2894" s="677" t="s">
        <v>1692</v>
      </c>
      <c r="D2894" s="738">
        <f t="shared" si="90"/>
        <v>6.4</v>
      </c>
      <c r="F2894" s="1405">
        <v>6.4</v>
      </c>
      <c r="G2894" s="1405">
        <v>6.4</v>
      </c>
      <c r="H2894" t="b">
        <f t="shared" si="91"/>
        <v>1</v>
      </c>
    </row>
    <row r="2895" spans="1:8">
      <c r="A2895" s="739">
        <v>39700</v>
      </c>
      <c r="B2895" s="740" t="s">
        <v>11284</v>
      </c>
      <c r="C2895" s="739" t="s">
        <v>1692</v>
      </c>
      <c r="D2895" s="741">
        <f t="shared" si="90"/>
        <v>30.18</v>
      </c>
      <c r="F2895" s="1406">
        <v>30.18</v>
      </c>
      <c r="G2895" s="1406">
        <v>30.18</v>
      </c>
      <c r="H2895" t="b">
        <f t="shared" si="91"/>
        <v>1</v>
      </c>
    </row>
    <row r="2896" spans="1:8">
      <c r="A2896" s="677">
        <v>11621</v>
      </c>
      <c r="B2896" s="733" t="s">
        <v>11285</v>
      </c>
      <c r="C2896" s="677" t="s">
        <v>1692</v>
      </c>
      <c r="D2896" s="738">
        <f t="shared" si="90"/>
        <v>60.05</v>
      </c>
      <c r="F2896" s="1405">
        <v>60.05</v>
      </c>
      <c r="G2896" s="1405">
        <v>60.05</v>
      </c>
      <c r="H2896" t="b">
        <f t="shared" si="91"/>
        <v>1</v>
      </c>
    </row>
    <row r="2897" spans="1:8">
      <c r="A2897" s="739">
        <v>4014</v>
      </c>
      <c r="B2897" s="740" t="s">
        <v>11286</v>
      </c>
      <c r="C2897" s="739" t="s">
        <v>1692</v>
      </c>
      <c r="D2897" s="741">
        <f t="shared" si="90"/>
        <v>62.13</v>
      </c>
      <c r="F2897" s="1406">
        <v>62.13</v>
      </c>
      <c r="G2897" s="1406">
        <v>62.13</v>
      </c>
      <c r="H2897" t="b">
        <f t="shared" si="91"/>
        <v>1</v>
      </c>
    </row>
    <row r="2898" spans="1:8">
      <c r="A2898" s="677">
        <v>4015</v>
      </c>
      <c r="B2898" s="733" t="s">
        <v>11287</v>
      </c>
      <c r="C2898" s="677" t="s">
        <v>1692</v>
      </c>
      <c r="D2898" s="738">
        <f t="shared" si="90"/>
        <v>76.3</v>
      </c>
      <c r="F2898" s="1405">
        <v>76.3</v>
      </c>
      <c r="G2898" s="1405">
        <v>76.3</v>
      </c>
      <c r="H2898" t="b">
        <f t="shared" si="91"/>
        <v>1</v>
      </c>
    </row>
    <row r="2899" spans="1:8">
      <c r="A2899" s="739">
        <v>4017</v>
      </c>
      <c r="B2899" s="740" t="s">
        <v>11288</v>
      </c>
      <c r="C2899" s="739" t="s">
        <v>1692</v>
      </c>
      <c r="D2899" s="741">
        <f t="shared" si="90"/>
        <v>111.02</v>
      </c>
      <c r="F2899" s="1406">
        <v>111.02</v>
      </c>
      <c r="G2899" s="1406">
        <v>111.02</v>
      </c>
      <c r="H2899" t="b">
        <f t="shared" si="91"/>
        <v>1</v>
      </c>
    </row>
    <row r="2900" spans="1:8">
      <c r="A2900" s="677">
        <v>4016</v>
      </c>
      <c r="B2900" s="733" t="s">
        <v>11289</v>
      </c>
      <c r="C2900" s="677" t="s">
        <v>1692</v>
      </c>
      <c r="D2900" s="738">
        <f t="shared" si="90"/>
        <v>43.85</v>
      </c>
      <c r="F2900" s="1405">
        <v>43.85</v>
      </c>
      <c r="G2900" s="1405">
        <v>43.85</v>
      </c>
      <c r="H2900" t="b">
        <f t="shared" si="91"/>
        <v>1</v>
      </c>
    </row>
    <row r="2901" spans="1:8">
      <c r="A2901" s="739">
        <v>38544</v>
      </c>
      <c r="B2901" s="740" t="s">
        <v>11290</v>
      </c>
      <c r="C2901" s="739" t="s">
        <v>1692</v>
      </c>
      <c r="D2901" s="741">
        <f t="shared" si="90"/>
        <v>11.25</v>
      </c>
      <c r="F2901" s="1406">
        <v>11.25</v>
      </c>
      <c r="G2901" s="1406">
        <v>11.25</v>
      </c>
      <c r="H2901" t="b">
        <f t="shared" si="91"/>
        <v>1</v>
      </c>
    </row>
    <row r="2902" spans="1:8">
      <c r="A2902" s="677">
        <v>38545</v>
      </c>
      <c r="B2902" s="733" t="s">
        <v>11291</v>
      </c>
      <c r="C2902" s="677" t="s">
        <v>1692</v>
      </c>
      <c r="D2902" s="738">
        <f t="shared" si="90"/>
        <v>7.23</v>
      </c>
      <c r="F2902" s="1405">
        <v>7.23</v>
      </c>
      <c r="G2902" s="1405">
        <v>7.23</v>
      </c>
      <c r="H2902" t="b">
        <f t="shared" si="91"/>
        <v>1</v>
      </c>
    </row>
    <row r="2903" spans="1:8">
      <c r="A2903" s="739">
        <v>42527</v>
      </c>
      <c r="B2903" s="740" t="s">
        <v>11292</v>
      </c>
      <c r="C2903" s="739" t="s">
        <v>1692</v>
      </c>
      <c r="D2903" s="741">
        <f t="shared" si="90"/>
        <v>24.05</v>
      </c>
      <c r="F2903" s="1406">
        <v>24.05</v>
      </c>
      <c r="G2903" s="1406">
        <v>24.05</v>
      </c>
      <c r="H2903" t="b">
        <f t="shared" si="91"/>
        <v>1</v>
      </c>
    </row>
    <row r="2904" spans="1:8">
      <c r="A2904" s="677">
        <v>39323</v>
      </c>
      <c r="B2904" s="733" t="s">
        <v>11293</v>
      </c>
      <c r="C2904" s="677" t="s">
        <v>1692</v>
      </c>
      <c r="D2904" s="738">
        <f t="shared" si="90"/>
        <v>27.58</v>
      </c>
      <c r="F2904" s="1405">
        <v>27.58</v>
      </c>
      <c r="G2904" s="1405">
        <v>27.58</v>
      </c>
      <c r="H2904" t="b">
        <f t="shared" si="91"/>
        <v>1</v>
      </c>
    </row>
    <row r="2905" spans="1:8" ht="30">
      <c r="A2905" s="739">
        <v>626</v>
      </c>
      <c r="B2905" s="740" t="s">
        <v>11294</v>
      </c>
      <c r="C2905" s="739" t="s">
        <v>1694</v>
      </c>
      <c r="D2905" s="741">
        <f t="shared" si="90"/>
        <v>22.04</v>
      </c>
      <c r="F2905" s="1406">
        <v>22.04</v>
      </c>
      <c r="G2905" s="1406">
        <v>22.04</v>
      </c>
      <c r="H2905" t="b">
        <f t="shared" si="91"/>
        <v>1</v>
      </c>
    </row>
    <row r="2906" spans="1:8">
      <c r="A2906" s="677">
        <v>44504</v>
      </c>
      <c r="B2906" s="733" t="s">
        <v>11295</v>
      </c>
      <c r="C2906" s="677" t="s">
        <v>1692</v>
      </c>
      <c r="D2906" s="738">
        <f t="shared" si="90"/>
        <v>13.45</v>
      </c>
      <c r="F2906" s="1405">
        <v>13.45</v>
      </c>
      <c r="G2906" s="1405">
        <v>13.45</v>
      </c>
      <c r="H2906" t="b">
        <f t="shared" si="91"/>
        <v>1</v>
      </c>
    </row>
    <row r="2907" spans="1:8">
      <c r="A2907" s="739">
        <v>44505</v>
      </c>
      <c r="B2907" s="740" t="s">
        <v>11296</v>
      </c>
      <c r="C2907" s="739" t="s">
        <v>1692</v>
      </c>
      <c r="D2907" s="741">
        <f t="shared" si="90"/>
        <v>20.3</v>
      </c>
      <c r="F2907" s="1406">
        <v>20.3</v>
      </c>
      <c r="G2907" s="1406">
        <v>20.3</v>
      </c>
      <c r="H2907" t="b">
        <f t="shared" si="91"/>
        <v>1</v>
      </c>
    </row>
    <row r="2908" spans="1:8">
      <c r="A2908" s="677">
        <v>44506</v>
      </c>
      <c r="B2908" s="733" t="s">
        <v>11297</v>
      </c>
      <c r="C2908" s="677" t="s">
        <v>1692</v>
      </c>
      <c r="D2908" s="738">
        <f t="shared" si="90"/>
        <v>21.55</v>
      </c>
      <c r="F2908" s="1405">
        <v>21.55</v>
      </c>
      <c r="G2908" s="1405">
        <v>21.55</v>
      </c>
      <c r="H2908" t="b">
        <f t="shared" si="91"/>
        <v>1</v>
      </c>
    </row>
    <row r="2909" spans="1:8">
      <c r="A2909" s="739">
        <v>44507</v>
      </c>
      <c r="B2909" s="740" t="s">
        <v>11298</v>
      </c>
      <c r="C2909" s="739" t="s">
        <v>1692</v>
      </c>
      <c r="D2909" s="741">
        <f t="shared" si="90"/>
        <v>26.94</v>
      </c>
      <c r="F2909" s="1406">
        <v>26.94</v>
      </c>
      <c r="G2909" s="1406">
        <v>26.94</v>
      </c>
      <c r="H2909" t="b">
        <f t="shared" si="91"/>
        <v>1</v>
      </c>
    </row>
    <row r="2910" spans="1:8">
      <c r="A2910" s="677">
        <v>44508</v>
      </c>
      <c r="B2910" s="733" t="s">
        <v>11299</v>
      </c>
      <c r="C2910" s="677" t="s">
        <v>1692</v>
      </c>
      <c r="D2910" s="738">
        <f t="shared" si="90"/>
        <v>40.39</v>
      </c>
      <c r="F2910" s="1405">
        <v>40.39</v>
      </c>
      <c r="G2910" s="1405">
        <v>40.39</v>
      </c>
      <c r="H2910" t="b">
        <f t="shared" si="91"/>
        <v>1</v>
      </c>
    </row>
    <row r="2911" spans="1:8">
      <c r="A2911" s="739">
        <v>44509</v>
      </c>
      <c r="B2911" s="740" t="s">
        <v>11300</v>
      </c>
      <c r="C2911" s="739" t="s">
        <v>1692</v>
      </c>
      <c r="D2911" s="741">
        <f t="shared" si="90"/>
        <v>54.11</v>
      </c>
      <c r="F2911" s="1406">
        <v>54.11</v>
      </c>
      <c r="G2911" s="1406">
        <v>54.11</v>
      </c>
      <c r="H2911" t="b">
        <f t="shared" si="91"/>
        <v>1</v>
      </c>
    </row>
    <row r="2912" spans="1:8">
      <c r="A2912" s="677">
        <v>44510</v>
      </c>
      <c r="B2912" s="733" t="s">
        <v>11301</v>
      </c>
      <c r="C2912" s="677" t="s">
        <v>1692</v>
      </c>
      <c r="D2912" s="738">
        <f t="shared" si="90"/>
        <v>67.19</v>
      </c>
      <c r="F2912" s="1405">
        <v>67.19</v>
      </c>
      <c r="G2912" s="1405">
        <v>67.19</v>
      </c>
      <c r="H2912" t="b">
        <f t="shared" si="91"/>
        <v>1</v>
      </c>
    </row>
    <row r="2913" spans="1:8">
      <c r="A2913" s="739">
        <v>44512</v>
      </c>
      <c r="B2913" s="740" t="s">
        <v>11302</v>
      </c>
      <c r="C2913" s="739" t="s">
        <v>1692</v>
      </c>
      <c r="D2913" s="741">
        <f t="shared" si="90"/>
        <v>14.99</v>
      </c>
      <c r="F2913" s="1406">
        <v>14.99</v>
      </c>
      <c r="G2913" s="1406">
        <v>14.99</v>
      </c>
      <c r="H2913" t="b">
        <f t="shared" si="91"/>
        <v>1</v>
      </c>
    </row>
    <row r="2914" spans="1:8">
      <c r="A2914" s="677">
        <v>44513</v>
      </c>
      <c r="B2914" s="733" t="s">
        <v>11303</v>
      </c>
      <c r="C2914" s="677" t="s">
        <v>1692</v>
      </c>
      <c r="D2914" s="738">
        <f t="shared" si="90"/>
        <v>21.17</v>
      </c>
      <c r="F2914" s="1405">
        <v>21.17</v>
      </c>
      <c r="G2914" s="1405">
        <v>21.17</v>
      </c>
      <c r="H2914" t="b">
        <f t="shared" si="91"/>
        <v>1</v>
      </c>
    </row>
    <row r="2915" spans="1:8">
      <c r="A2915" s="739">
        <v>44514</v>
      </c>
      <c r="B2915" s="740" t="s">
        <v>11304</v>
      </c>
      <c r="C2915" s="739" t="s">
        <v>1692</v>
      </c>
      <c r="D2915" s="741">
        <f t="shared" si="90"/>
        <v>23.99</v>
      </c>
      <c r="F2915" s="1406">
        <v>23.99</v>
      </c>
      <c r="G2915" s="1406">
        <v>23.99</v>
      </c>
      <c r="H2915" t="b">
        <f t="shared" si="91"/>
        <v>1</v>
      </c>
    </row>
    <row r="2916" spans="1:8">
      <c r="A2916" s="677">
        <v>44515</v>
      </c>
      <c r="B2916" s="733" t="s">
        <v>11305</v>
      </c>
      <c r="C2916" s="677" t="s">
        <v>1692</v>
      </c>
      <c r="D2916" s="738">
        <f t="shared" si="90"/>
        <v>29.47</v>
      </c>
      <c r="F2916" s="1405">
        <v>29.47</v>
      </c>
      <c r="G2916" s="1405">
        <v>29.47</v>
      </c>
      <c r="H2916" t="b">
        <f t="shared" si="91"/>
        <v>1</v>
      </c>
    </row>
    <row r="2917" spans="1:8">
      <c r="A2917" s="739">
        <v>44511</v>
      </c>
      <c r="B2917" s="740" t="s">
        <v>11306</v>
      </c>
      <c r="C2917" s="739" t="s">
        <v>1692</v>
      </c>
      <c r="D2917" s="741">
        <f t="shared" si="90"/>
        <v>43.62</v>
      </c>
      <c r="F2917" s="1406">
        <v>43.62</v>
      </c>
      <c r="G2917" s="1406">
        <v>43.62</v>
      </c>
      <c r="H2917" t="b">
        <f t="shared" si="91"/>
        <v>1</v>
      </c>
    </row>
    <row r="2918" spans="1:8">
      <c r="A2918" s="677">
        <v>44516</v>
      </c>
      <c r="B2918" s="733" t="s">
        <v>11307</v>
      </c>
      <c r="C2918" s="677" t="s">
        <v>1692</v>
      </c>
      <c r="D2918" s="738">
        <f t="shared" si="90"/>
        <v>58.95</v>
      </c>
      <c r="F2918" s="1405">
        <v>58.95</v>
      </c>
      <c r="G2918" s="1405">
        <v>58.95</v>
      </c>
      <c r="H2918" t="b">
        <f t="shared" si="91"/>
        <v>1</v>
      </c>
    </row>
    <row r="2919" spans="1:8">
      <c r="A2919" s="739">
        <v>44517</v>
      </c>
      <c r="B2919" s="740" t="s">
        <v>11308</v>
      </c>
      <c r="C2919" s="739" t="s">
        <v>1692</v>
      </c>
      <c r="D2919" s="741">
        <f t="shared" si="90"/>
        <v>73.52</v>
      </c>
      <c r="F2919" s="1406">
        <v>73.52</v>
      </c>
      <c r="G2919" s="1406">
        <v>73.52</v>
      </c>
      <c r="H2919" t="b">
        <f t="shared" si="91"/>
        <v>1</v>
      </c>
    </row>
    <row r="2920" spans="1:8">
      <c r="A2920" s="677">
        <v>11479</v>
      </c>
      <c r="B2920" s="733" t="s">
        <v>11309</v>
      </c>
      <c r="C2920" s="677" t="s">
        <v>1690</v>
      </c>
      <c r="D2920" s="738">
        <f t="shared" si="90"/>
        <v>38.619999999999997</v>
      </c>
      <c r="F2920" s="1405">
        <v>38.619999999999997</v>
      </c>
      <c r="G2920" s="1405">
        <v>38.619999999999997</v>
      </c>
      <c r="H2920" t="b">
        <f t="shared" si="91"/>
        <v>1</v>
      </c>
    </row>
    <row r="2921" spans="1:8">
      <c r="A2921" s="739">
        <v>11481</v>
      </c>
      <c r="B2921" s="740" t="s">
        <v>11310</v>
      </c>
      <c r="C2921" s="739" t="s">
        <v>1690</v>
      </c>
      <c r="D2921" s="741">
        <f t="shared" si="90"/>
        <v>34.93</v>
      </c>
      <c r="F2921" s="1406">
        <v>34.93</v>
      </c>
      <c r="G2921" s="1406">
        <v>34.93</v>
      </c>
      <c r="H2921" t="b">
        <f t="shared" si="91"/>
        <v>1</v>
      </c>
    </row>
    <row r="2922" spans="1:8">
      <c r="A2922" s="677">
        <v>43609</v>
      </c>
      <c r="B2922" s="733" t="s">
        <v>11311</v>
      </c>
      <c r="C2922" s="677" t="s">
        <v>1690</v>
      </c>
      <c r="D2922" s="738">
        <f t="shared" si="90"/>
        <v>34.93</v>
      </c>
      <c r="F2922" s="1405">
        <v>34.93</v>
      </c>
      <c r="G2922" s="1405">
        <v>34.93</v>
      </c>
      <c r="H2922" t="b">
        <f t="shared" si="91"/>
        <v>1</v>
      </c>
    </row>
    <row r="2923" spans="1:8">
      <c r="A2923" s="739">
        <v>11478</v>
      </c>
      <c r="B2923" s="740" t="s">
        <v>11312</v>
      </c>
      <c r="C2923" s="739" t="s">
        <v>1690</v>
      </c>
      <c r="D2923" s="741">
        <f t="shared" si="90"/>
        <v>66.260000000000005</v>
      </c>
      <c r="F2923" s="1406">
        <v>66.260000000000005</v>
      </c>
      <c r="G2923" s="1406">
        <v>66.260000000000005</v>
      </c>
      <c r="H2923" t="b">
        <f t="shared" si="91"/>
        <v>1</v>
      </c>
    </row>
    <row r="2924" spans="1:8">
      <c r="A2924" s="677">
        <v>43608</v>
      </c>
      <c r="B2924" s="733" t="s">
        <v>11313</v>
      </c>
      <c r="C2924" s="677" t="s">
        <v>1690</v>
      </c>
      <c r="D2924" s="738">
        <f t="shared" si="90"/>
        <v>50.56</v>
      </c>
      <c r="F2924" s="1405">
        <v>50.56</v>
      </c>
      <c r="G2924" s="1405">
        <v>50.56</v>
      </c>
      <c r="H2924" t="b">
        <f t="shared" si="91"/>
        <v>1</v>
      </c>
    </row>
    <row r="2925" spans="1:8">
      <c r="A2925" s="739">
        <v>11476</v>
      </c>
      <c r="B2925" s="740" t="s">
        <v>11314</v>
      </c>
      <c r="C2925" s="739" t="s">
        <v>1690</v>
      </c>
      <c r="D2925" s="741">
        <f t="shared" si="90"/>
        <v>50.56</v>
      </c>
      <c r="F2925" s="1406">
        <v>50.56</v>
      </c>
      <c r="G2925" s="1406">
        <v>50.56</v>
      </c>
      <c r="H2925" t="b">
        <f t="shared" si="91"/>
        <v>1</v>
      </c>
    </row>
    <row r="2926" spans="1:8">
      <c r="A2926" s="677">
        <v>40637</v>
      </c>
      <c r="B2926" s="733" t="s">
        <v>11315</v>
      </c>
      <c r="C2926" s="677" t="s">
        <v>1690</v>
      </c>
      <c r="D2926" s="738">
        <f t="shared" si="90"/>
        <v>793072.01</v>
      </c>
      <c r="F2926" s="1405">
        <v>793072.01</v>
      </c>
      <c r="G2926" s="1405">
        <v>793072.01</v>
      </c>
      <c r="H2926" t="b">
        <f t="shared" si="91"/>
        <v>1</v>
      </c>
    </row>
    <row r="2927" spans="1:8">
      <c r="A2927" s="739">
        <v>13836</v>
      </c>
      <c r="B2927" s="740" t="s">
        <v>11316</v>
      </c>
      <c r="C2927" s="739" t="s">
        <v>1690</v>
      </c>
      <c r="D2927" s="741">
        <f t="shared" si="90"/>
        <v>67315.72</v>
      </c>
      <c r="F2927" s="1406">
        <v>67315.72</v>
      </c>
      <c r="G2927" s="1406">
        <v>67315.72</v>
      </c>
      <c r="H2927" t="b">
        <f t="shared" si="91"/>
        <v>1</v>
      </c>
    </row>
    <row r="2928" spans="1:8" ht="30">
      <c r="A2928" s="677">
        <v>14534</v>
      </c>
      <c r="B2928" s="733" t="s">
        <v>11317</v>
      </c>
      <c r="C2928" s="677" t="s">
        <v>1690</v>
      </c>
      <c r="D2928" s="738">
        <f t="shared" si="90"/>
        <v>28180.14</v>
      </c>
      <c r="F2928" s="1405">
        <v>28180.14</v>
      </c>
      <c r="G2928" s="1405">
        <v>28180.14</v>
      </c>
      <c r="H2928" t="b">
        <f t="shared" si="91"/>
        <v>1</v>
      </c>
    </row>
    <row r="2929" spans="1:8">
      <c r="A2929" s="739">
        <v>14619</v>
      </c>
      <c r="B2929" s="740" t="s">
        <v>11318</v>
      </c>
      <c r="C2929" s="739" t="s">
        <v>1690</v>
      </c>
      <c r="D2929" s="741">
        <f t="shared" si="90"/>
        <v>17922.77</v>
      </c>
      <c r="F2929" s="1406">
        <v>17922.77</v>
      </c>
      <c r="G2929" s="1406">
        <v>17922.77</v>
      </c>
      <c r="H2929" t="b">
        <f t="shared" si="91"/>
        <v>1</v>
      </c>
    </row>
    <row r="2930" spans="1:8" ht="30">
      <c r="A2930" s="677">
        <v>14535</v>
      </c>
      <c r="B2930" s="733" t="s">
        <v>11319</v>
      </c>
      <c r="C2930" s="677" t="s">
        <v>1690</v>
      </c>
      <c r="D2930" s="738">
        <f t="shared" si="90"/>
        <v>279690.59000000003</v>
      </c>
      <c r="F2930" s="1405">
        <v>279690.59000000003</v>
      </c>
      <c r="G2930" s="1405">
        <v>279690.59000000003</v>
      </c>
      <c r="H2930" t="b">
        <f t="shared" si="91"/>
        <v>1</v>
      </c>
    </row>
    <row r="2931" spans="1:8" ht="45">
      <c r="A2931" s="739">
        <v>39813</v>
      </c>
      <c r="B2931" s="740" t="s">
        <v>11320</v>
      </c>
      <c r="C2931" s="739" t="s">
        <v>1690</v>
      </c>
      <c r="D2931" s="741">
        <f t="shared" si="90"/>
        <v>38352.75</v>
      </c>
      <c r="F2931" s="1406">
        <v>38352.75</v>
      </c>
      <c r="G2931" s="1406">
        <v>38352.75</v>
      </c>
      <c r="H2931" t="b">
        <f t="shared" si="91"/>
        <v>1</v>
      </c>
    </row>
    <row r="2932" spans="1:8" ht="30">
      <c r="A2932" s="677">
        <v>40403</v>
      </c>
      <c r="B2932" s="733" t="s">
        <v>11321</v>
      </c>
      <c r="C2932" s="677" t="s">
        <v>1690</v>
      </c>
      <c r="D2932" s="738">
        <f t="shared" si="90"/>
        <v>609.37</v>
      </c>
      <c r="F2932" s="1405">
        <v>609.37</v>
      </c>
      <c r="G2932" s="1405">
        <v>609.37</v>
      </c>
      <c r="H2932" t="b">
        <f t="shared" si="91"/>
        <v>1</v>
      </c>
    </row>
    <row r="2933" spans="1:8">
      <c r="A2933" s="739">
        <v>12868</v>
      </c>
      <c r="B2933" s="740" t="s">
        <v>11322</v>
      </c>
      <c r="C2933" s="739" t="s">
        <v>1689</v>
      </c>
      <c r="D2933" s="741">
        <f t="shared" si="90"/>
        <v>18.32</v>
      </c>
      <c r="F2933" s="1406">
        <v>15.91</v>
      </c>
      <c r="G2933" s="1406">
        <v>18.32</v>
      </c>
      <c r="H2933" t="b">
        <f t="shared" si="91"/>
        <v>0</v>
      </c>
    </row>
    <row r="2934" spans="1:8">
      <c r="A2934" s="677">
        <v>40916</v>
      </c>
      <c r="B2934" s="733" t="s">
        <v>11323</v>
      </c>
      <c r="C2934" s="677" t="s">
        <v>1696</v>
      </c>
      <c r="D2934" s="738">
        <f t="shared" si="90"/>
        <v>3227.38</v>
      </c>
      <c r="F2934" s="1405">
        <v>2799.08</v>
      </c>
      <c r="G2934" s="1405">
        <v>3227.38</v>
      </c>
      <c r="H2934" t="b">
        <f t="shared" si="91"/>
        <v>0</v>
      </c>
    </row>
    <row r="2935" spans="1:8">
      <c r="A2935" s="739">
        <v>4755</v>
      </c>
      <c r="B2935" s="740" t="s">
        <v>11324</v>
      </c>
      <c r="C2935" s="739" t="s">
        <v>1689</v>
      </c>
      <c r="D2935" s="741">
        <f t="shared" si="90"/>
        <v>19.79</v>
      </c>
      <c r="F2935" s="1406">
        <v>17.190000000000001</v>
      </c>
      <c r="G2935" s="1406">
        <v>19.79</v>
      </c>
      <c r="H2935" t="b">
        <f t="shared" si="91"/>
        <v>0</v>
      </c>
    </row>
    <row r="2936" spans="1:8">
      <c r="A2936" s="677">
        <v>41067</v>
      </c>
      <c r="B2936" s="733" t="s">
        <v>11325</v>
      </c>
      <c r="C2936" s="677" t="s">
        <v>1696</v>
      </c>
      <c r="D2936" s="738">
        <f t="shared" si="90"/>
        <v>3482.33</v>
      </c>
      <c r="F2936" s="1405">
        <v>3020.19</v>
      </c>
      <c r="G2936" s="1405">
        <v>3482.33</v>
      </c>
      <c r="H2936" t="b">
        <f t="shared" si="91"/>
        <v>0</v>
      </c>
    </row>
    <row r="2937" spans="1:8">
      <c r="A2937" s="739">
        <v>38463</v>
      </c>
      <c r="B2937" s="740" t="s">
        <v>11326</v>
      </c>
      <c r="C2937" s="739" t="s">
        <v>1690</v>
      </c>
      <c r="D2937" s="741">
        <f t="shared" si="90"/>
        <v>34.979999999999997</v>
      </c>
      <c r="F2937" s="1406">
        <v>34.979999999999997</v>
      </c>
      <c r="G2937" s="1406">
        <v>34.979999999999997</v>
      </c>
      <c r="H2937" t="b">
        <f t="shared" si="91"/>
        <v>1</v>
      </c>
    </row>
    <row r="2938" spans="1:8" ht="30">
      <c r="A2938" s="677">
        <v>40703</v>
      </c>
      <c r="B2938" s="733" t="s">
        <v>11327</v>
      </c>
      <c r="C2938" s="677" t="s">
        <v>1690</v>
      </c>
      <c r="D2938" s="738">
        <f t="shared" si="90"/>
        <v>11135.06</v>
      </c>
      <c r="F2938" s="1405">
        <v>11135.06</v>
      </c>
      <c r="G2938" s="1405">
        <v>11135.06</v>
      </c>
      <c r="H2938" t="b">
        <f t="shared" si="91"/>
        <v>1</v>
      </c>
    </row>
    <row r="2939" spans="1:8">
      <c r="A2939" s="739">
        <v>14531</v>
      </c>
      <c r="B2939" s="740" t="s">
        <v>11328</v>
      </c>
      <c r="C2939" s="739" t="s">
        <v>1690</v>
      </c>
      <c r="D2939" s="741">
        <f t="shared" si="90"/>
        <v>20759.95</v>
      </c>
      <c r="F2939" s="1406">
        <v>20759.95</v>
      </c>
      <c r="G2939" s="1406">
        <v>20759.95</v>
      </c>
      <c r="H2939" t="b">
        <f t="shared" si="91"/>
        <v>1</v>
      </c>
    </row>
    <row r="2940" spans="1:8">
      <c r="A2940" s="677">
        <v>36533</v>
      </c>
      <c r="B2940" s="733" t="s">
        <v>11329</v>
      </c>
      <c r="C2940" s="677" t="s">
        <v>1690</v>
      </c>
      <c r="D2940" s="738">
        <f t="shared" si="90"/>
        <v>23889.39</v>
      </c>
      <c r="F2940" s="1405">
        <v>23889.39</v>
      </c>
      <c r="G2940" s="1405">
        <v>23889.39</v>
      </c>
      <c r="H2940" t="b">
        <f t="shared" si="91"/>
        <v>1</v>
      </c>
    </row>
    <row r="2941" spans="1:8">
      <c r="A2941" s="739">
        <v>11616</v>
      </c>
      <c r="B2941" s="740" t="s">
        <v>11330</v>
      </c>
      <c r="C2941" s="739" t="s">
        <v>1690</v>
      </c>
      <c r="D2941" s="741">
        <f t="shared" si="90"/>
        <v>22563.17</v>
      </c>
      <c r="F2941" s="1406">
        <v>22563.17</v>
      </c>
      <c r="G2941" s="1406">
        <v>22563.17</v>
      </c>
      <c r="H2941" t="b">
        <f t="shared" si="91"/>
        <v>1</v>
      </c>
    </row>
    <row r="2942" spans="1:8">
      <c r="A2942" s="677">
        <v>41898</v>
      </c>
      <c r="B2942" s="733" t="s">
        <v>11331</v>
      </c>
      <c r="C2942" s="677" t="s">
        <v>1690</v>
      </c>
      <c r="D2942" s="738">
        <f t="shared" si="90"/>
        <v>25386.639999999999</v>
      </c>
      <c r="F2942" s="1405">
        <v>25386.639999999999</v>
      </c>
      <c r="G2942" s="1405">
        <v>25386.639999999999</v>
      </c>
      <c r="H2942" t="b">
        <f t="shared" si="91"/>
        <v>1</v>
      </c>
    </row>
    <row r="2943" spans="1:8">
      <c r="A2943" s="739">
        <v>13447</v>
      </c>
      <c r="B2943" s="740" t="s">
        <v>11332</v>
      </c>
      <c r="C2943" s="739" t="s">
        <v>1690</v>
      </c>
      <c r="D2943" s="741">
        <f t="shared" si="90"/>
        <v>46713.16</v>
      </c>
      <c r="F2943" s="1406">
        <v>46713.16</v>
      </c>
      <c r="G2943" s="1406">
        <v>46713.16</v>
      </c>
      <c r="H2943" t="b">
        <f t="shared" si="91"/>
        <v>1</v>
      </c>
    </row>
    <row r="2944" spans="1:8">
      <c r="A2944" s="677">
        <v>14529</v>
      </c>
      <c r="B2944" s="733" t="s">
        <v>11333</v>
      </c>
      <c r="C2944" s="677" t="s">
        <v>1690</v>
      </c>
      <c r="D2944" s="738">
        <f t="shared" si="90"/>
        <v>26125.49</v>
      </c>
      <c r="F2944" s="1405">
        <v>26125.49</v>
      </c>
      <c r="G2944" s="1405">
        <v>26125.49</v>
      </c>
      <c r="H2944" t="b">
        <f t="shared" si="91"/>
        <v>1</v>
      </c>
    </row>
    <row r="2945" spans="1:8">
      <c r="A2945" s="739">
        <v>10747</v>
      </c>
      <c r="B2945" s="740" t="s">
        <v>11334</v>
      </c>
      <c r="C2945" s="739" t="s">
        <v>1690</v>
      </c>
      <c r="D2945" s="741">
        <f t="shared" si="90"/>
        <v>25633.09</v>
      </c>
      <c r="F2945" s="1406">
        <v>25633.09</v>
      </c>
      <c r="G2945" s="1406">
        <v>25633.09</v>
      </c>
      <c r="H2945" t="b">
        <f t="shared" si="91"/>
        <v>1</v>
      </c>
    </row>
    <row r="2946" spans="1:8">
      <c r="A2946" s="677">
        <v>36141</v>
      </c>
      <c r="B2946" s="733" t="s">
        <v>11335</v>
      </c>
      <c r="C2946" s="677" t="s">
        <v>1690</v>
      </c>
      <c r="D2946" s="738">
        <f t="shared" si="90"/>
        <v>47.57</v>
      </c>
      <c r="F2946" s="1405">
        <v>47.57</v>
      </c>
      <c r="G2946" s="1405">
        <v>47.57</v>
      </c>
      <c r="H2946" t="b">
        <f t="shared" si="91"/>
        <v>1</v>
      </c>
    </row>
    <row r="2947" spans="1:8">
      <c r="A2947" s="739">
        <v>43651</v>
      </c>
      <c r="B2947" s="740" t="s">
        <v>11336</v>
      </c>
      <c r="C2947" s="739" t="s">
        <v>1694</v>
      </c>
      <c r="D2947" s="741">
        <f t="shared" ref="D2947:D3010" si="92">IF($J$2=$F$1,F2947,G2947)</f>
        <v>6.17</v>
      </c>
      <c r="F2947" s="1406">
        <v>6.17</v>
      </c>
      <c r="G2947" s="1406">
        <v>6.17</v>
      </c>
      <c r="H2947" t="b">
        <f t="shared" ref="H2947:H3010" si="93">F2947=G2947</f>
        <v>1</v>
      </c>
    </row>
    <row r="2948" spans="1:8">
      <c r="A2948" s="677">
        <v>43626</v>
      </c>
      <c r="B2948" s="733" t="s">
        <v>11337</v>
      </c>
      <c r="C2948" s="677" t="s">
        <v>1694</v>
      </c>
      <c r="D2948" s="738">
        <f t="shared" si="92"/>
        <v>3.43</v>
      </c>
      <c r="F2948" s="1405">
        <v>3.43</v>
      </c>
      <c r="G2948" s="1405">
        <v>3.43</v>
      </c>
      <c r="H2948" t="b">
        <f t="shared" si="93"/>
        <v>1</v>
      </c>
    </row>
    <row r="2949" spans="1:8" ht="30">
      <c r="A2949" s="739">
        <v>39434</v>
      </c>
      <c r="B2949" s="740" t="s">
        <v>11338</v>
      </c>
      <c r="C2949" s="739" t="s">
        <v>1694</v>
      </c>
      <c r="D2949" s="741">
        <f t="shared" si="92"/>
        <v>4.24</v>
      </c>
      <c r="F2949" s="1406">
        <v>4.24</v>
      </c>
      <c r="G2949" s="1406">
        <v>4.24</v>
      </c>
      <c r="H2949" t="b">
        <f t="shared" si="93"/>
        <v>1</v>
      </c>
    </row>
    <row r="2950" spans="1:8">
      <c r="A2950" s="677">
        <v>39433</v>
      </c>
      <c r="B2950" s="733" t="s">
        <v>11339</v>
      </c>
      <c r="C2950" s="677" t="s">
        <v>1694</v>
      </c>
      <c r="D2950" s="738">
        <f t="shared" si="92"/>
        <v>3.37</v>
      </c>
      <c r="F2950" s="1405">
        <v>3.37</v>
      </c>
      <c r="G2950" s="1405">
        <v>3.37</v>
      </c>
      <c r="H2950" t="b">
        <f t="shared" si="93"/>
        <v>1</v>
      </c>
    </row>
    <row r="2951" spans="1:8">
      <c r="A2951" s="739">
        <v>4049</v>
      </c>
      <c r="B2951" s="740" t="s">
        <v>11340</v>
      </c>
      <c r="C2951" s="739" t="s">
        <v>1695</v>
      </c>
      <c r="D2951" s="741">
        <f t="shared" si="92"/>
        <v>68.84</v>
      </c>
      <c r="F2951" s="1406">
        <v>68.84</v>
      </c>
      <c r="G2951" s="1406">
        <v>68.84</v>
      </c>
      <c r="H2951" t="b">
        <f t="shared" si="93"/>
        <v>1</v>
      </c>
    </row>
    <row r="2952" spans="1:8">
      <c r="A2952" s="677">
        <v>38120</v>
      </c>
      <c r="B2952" s="733" t="s">
        <v>11341</v>
      </c>
      <c r="C2952" s="677" t="s">
        <v>1694</v>
      </c>
      <c r="D2952" s="738">
        <f t="shared" si="92"/>
        <v>156.85</v>
      </c>
      <c r="F2952" s="1405">
        <v>156.85</v>
      </c>
      <c r="G2952" s="1405">
        <v>156.85</v>
      </c>
      <c r="H2952" t="b">
        <f t="shared" si="93"/>
        <v>1</v>
      </c>
    </row>
    <row r="2953" spans="1:8">
      <c r="A2953" s="739">
        <v>43652</v>
      </c>
      <c r="B2953" s="740" t="s">
        <v>11342</v>
      </c>
      <c r="C2953" s="739" t="s">
        <v>1694</v>
      </c>
      <c r="D2953" s="741">
        <f t="shared" si="92"/>
        <v>13.82</v>
      </c>
      <c r="F2953" s="1406">
        <v>13.82</v>
      </c>
      <c r="G2953" s="1406">
        <v>13.82</v>
      </c>
      <c r="H2953" t="b">
        <f t="shared" si="93"/>
        <v>1</v>
      </c>
    </row>
    <row r="2954" spans="1:8">
      <c r="A2954" s="677">
        <v>10498</v>
      </c>
      <c r="B2954" s="733" t="s">
        <v>11343</v>
      </c>
      <c r="C2954" s="677" t="s">
        <v>1694</v>
      </c>
      <c r="D2954" s="738">
        <f t="shared" si="92"/>
        <v>12.09</v>
      </c>
      <c r="F2954" s="1405">
        <v>12.09</v>
      </c>
      <c r="G2954" s="1405">
        <v>12.09</v>
      </c>
      <c r="H2954" t="b">
        <f t="shared" si="93"/>
        <v>1</v>
      </c>
    </row>
    <row r="2955" spans="1:8">
      <c r="A2955" s="739">
        <v>4823</v>
      </c>
      <c r="B2955" s="740" t="s">
        <v>11344</v>
      </c>
      <c r="C2955" s="739" t="s">
        <v>1694</v>
      </c>
      <c r="D2955" s="741">
        <f t="shared" si="92"/>
        <v>51.66</v>
      </c>
      <c r="F2955" s="1406">
        <v>51.66</v>
      </c>
      <c r="G2955" s="1406">
        <v>51.66</v>
      </c>
      <c r="H2955" t="b">
        <f t="shared" si="93"/>
        <v>1</v>
      </c>
    </row>
    <row r="2956" spans="1:8">
      <c r="A2956" s="677">
        <v>38877</v>
      </c>
      <c r="B2956" s="733" t="s">
        <v>11345</v>
      </c>
      <c r="C2956" s="677" t="s">
        <v>1694</v>
      </c>
      <c r="D2956" s="738">
        <f t="shared" si="92"/>
        <v>6.41</v>
      </c>
      <c r="F2956" s="1405">
        <v>6.41</v>
      </c>
      <c r="G2956" s="1405">
        <v>6.41</v>
      </c>
      <c r="H2956" t="b">
        <f t="shared" si="93"/>
        <v>1</v>
      </c>
    </row>
    <row r="2957" spans="1:8">
      <c r="A2957" s="739">
        <v>34546</v>
      </c>
      <c r="B2957" s="740" t="s">
        <v>11346</v>
      </c>
      <c r="C2957" s="739" t="s">
        <v>1694</v>
      </c>
      <c r="D2957" s="741">
        <f t="shared" si="92"/>
        <v>6.59</v>
      </c>
      <c r="F2957" s="1406">
        <v>6.59</v>
      </c>
      <c r="G2957" s="1406">
        <v>6.59</v>
      </c>
      <c r="H2957" t="b">
        <f t="shared" si="93"/>
        <v>1</v>
      </c>
    </row>
    <row r="2958" spans="1:8">
      <c r="A2958" s="677">
        <v>41387</v>
      </c>
      <c r="B2958" s="733" t="s">
        <v>11347</v>
      </c>
      <c r="C2958" s="677" t="s">
        <v>1693</v>
      </c>
      <c r="D2958" s="738">
        <f t="shared" si="92"/>
        <v>62.43</v>
      </c>
      <c r="F2958" s="1405">
        <v>62.43</v>
      </c>
      <c r="G2958" s="1405">
        <v>62.43</v>
      </c>
      <c r="H2958" t="b">
        <f t="shared" si="93"/>
        <v>1</v>
      </c>
    </row>
    <row r="2959" spans="1:8">
      <c r="A2959" s="739">
        <v>41388</v>
      </c>
      <c r="B2959" s="740" t="s">
        <v>11348</v>
      </c>
      <c r="C2959" s="739" t="s">
        <v>1693</v>
      </c>
      <c r="D2959" s="741">
        <f t="shared" si="92"/>
        <v>74.91</v>
      </c>
      <c r="F2959" s="1406">
        <v>74.91</v>
      </c>
      <c r="G2959" s="1406">
        <v>74.91</v>
      </c>
      <c r="H2959" t="b">
        <f t="shared" si="93"/>
        <v>1</v>
      </c>
    </row>
    <row r="2960" spans="1:8">
      <c r="A2960" s="677">
        <v>41380</v>
      </c>
      <c r="B2960" s="733" t="s">
        <v>11349</v>
      </c>
      <c r="C2960" s="677" t="s">
        <v>1690</v>
      </c>
      <c r="D2960" s="738">
        <f t="shared" si="92"/>
        <v>498.38</v>
      </c>
      <c r="F2960" s="1405">
        <v>498.38</v>
      </c>
      <c r="G2960" s="1405">
        <v>498.38</v>
      </c>
      <c r="H2960" t="b">
        <f t="shared" si="93"/>
        <v>1</v>
      </c>
    </row>
    <row r="2961" spans="1:8">
      <c r="A2961" s="739">
        <v>41381</v>
      </c>
      <c r="B2961" s="740" t="s">
        <v>11350</v>
      </c>
      <c r="C2961" s="739" t="s">
        <v>1690</v>
      </c>
      <c r="D2961" s="741">
        <f t="shared" si="92"/>
        <v>522.12</v>
      </c>
      <c r="F2961" s="1406">
        <v>522.12</v>
      </c>
      <c r="G2961" s="1406">
        <v>522.12</v>
      </c>
      <c r="H2961" t="b">
        <f t="shared" si="93"/>
        <v>1</v>
      </c>
    </row>
    <row r="2962" spans="1:8">
      <c r="A2962" s="677">
        <v>41382</v>
      </c>
      <c r="B2962" s="733" t="s">
        <v>11351</v>
      </c>
      <c r="C2962" s="677" t="s">
        <v>1690</v>
      </c>
      <c r="D2962" s="738">
        <f t="shared" si="92"/>
        <v>505.38</v>
      </c>
      <c r="F2962" s="1405">
        <v>505.38</v>
      </c>
      <c r="G2962" s="1405">
        <v>505.38</v>
      </c>
      <c r="H2962" t="b">
        <f t="shared" si="93"/>
        <v>1</v>
      </c>
    </row>
    <row r="2963" spans="1:8">
      <c r="A2963" s="739">
        <v>41383</v>
      </c>
      <c r="B2963" s="740" t="s">
        <v>11352</v>
      </c>
      <c r="C2963" s="739" t="s">
        <v>1690</v>
      </c>
      <c r="D2963" s="741">
        <f t="shared" si="92"/>
        <v>685.95</v>
      </c>
      <c r="F2963" s="1406">
        <v>685.95</v>
      </c>
      <c r="G2963" s="1406">
        <v>685.95</v>
      </c>
      <c r="H2963" t="b">
        <f t="shared" si="93"/>
        <v>1</v>
      </c>
    </row>
    <row r="2964" spans="1:8">
      <c r="A2964" s="677">
        <v>41385</v>
      </c>
      <c r="B2964" s="733" t="s">
        <v>11353</v>
      </c>
      <c r="C2964" s="677" t="s">
        <v>1690</v>
      </c>
      <c r="D2964" s="738">
        <f t="shared" si="92"/>
        <v>853.58</v>
      </c>
      <c r="F2964" s="1405">
        <v>853.58</v>
      </c>
      <c r="G2964" s="1405">
        <v>853.58</v>
      </c>
      <c r="H2964" t="b">
        <f t="shared" si="93"/>
        <v>1</v>
      </c>
    </row>
    <row r="2965" spans="1:8">
      <c r="A2965" s="739">
        <v>11079</v>
      </c>
      <c r="B2965" s="740" t="s">
        <v>11354</v>
      </c>
      <c r="C2965" s="739" t="s">
        <v>1691</v>
      </c>
      <c r="D2965" s="741">
        <f t="shared" si="92"/>
        <v>3004.29</v>
      </c>
      <c r="F2965" s="1406">
        <v>3004.29</v>
      </c>
      <c r="G2965" s="1406">
        <v>3004.29</v>
      </c>
      <c r="H2965" t="b">
        <f t="shared" si="93"/>
        <v>1</v>
      </c>
    </row>
    <row r="2966" spans="1:8">
      <c r="A2966" s="677">
        <v>11082</v>
      </c>
      <c r="B2966" s="733" t="s">
        <v>11355</v>
      </c>
      <c r="C2966" s="677" t="s">
        <v>1691</v>
      </c>
      <c r="D2966" s="738">
        <f t="shared" si="92"/>
        <v>3004.29</v>
      </c>
      <c r="F2966" s="1405">
        <v>3004.29</v>
      </c>
      <c r="G2966" s="1405">
        <v>3004.29</v>
      </c>
      <c r="H2966" t="b">
        <f t="shared" si="93"/>
        <v>1</v>
      </c>
    </row>
    <row r="2967" spans="1:8">
      <c r="A2967" s="739">
        <v>4058</v>
      </c>
      <c r="B2967" s="740" t="s">
        <v>11356</v>
      </c>
      <c r="C2967" s="739" t="s">
        <v>1689</v>
      </c>
      <c r="D2967" s="741">
        <f t="shared" si="92"/>
        <v>26.02</v>
      </c>
      <c r="F2967" s="1406">
        <v>22.59</v>
      </c>
      <c r="G2967" s="1406">
        <v>26.02</v>
      </c>
      <c r="H2967" t="b">
        <f t="shared" si="93"/>
        <v>0</v>
      </c>
    </row>
    <row r="2968" spans="1:8">
      <c r="A2968" s="677">
        <v>40974</v>
      </c>
      <c r="B2968" s="733" t="s">
        <v>11357</v>
      </c>
      <c r="C2968" s="677" t="s">
        <v>1696</v>
      </c>
      <c r="D2968" s="738">
        <f t="shared" si="92"/>
        <v>4578.18</v>
      </c>
      <c r="F2968" s="1405">
        <v>3970.62</v>
      </c>
      <c r="G2968" s="1405">
        <v>4578.18</v>
      </c>
      <c r="H2968" t="b">
        <f t="shared" si="93"/>
        <v>0</v>
      </c>
    </row>
    <row r="2969" spans="1:8">
      <c r="A2969" s="739">
        <v>34794</v>
      </c>
      <c r="B2969" s="740" t="s">
        <v>11358</v>
      </c>
      <c r="C2969" s="739" t="s">
        <v>1689</v>
      </c>
      <c r="D2969" s="741">
        <f t="shared" si="92"/>
        <v>21.8</v>
      </c>
      <c r="F2969" s="1406">
        <v>18.93</v>
      </c>
      <c r="G2969" s="1406">
        <v>21.8</v>
      </c>
      <c r="H2969" t="b">
        <f t="shared" si="93"/>
        <v>0</v>
      </c>
    </row>
    <row r="2970" spans="1:8">
      <c r="A2970" s="677">
        <v>40925</v>
      </c>
      <c r="B2970" s="733" t="s">
        <v>11359</v>
      </c>
      <c r="C2970" s="677" t="s">
        <v>1696</v>
      </c>
      <c r="D2970" s="738">
        <f t="shared" si="92"/>
        <v>3836.5</v>
      </c>
      <c r="F2970" s="1405">
        <v>3327.36</v>
      </c>
      <c r="G2970" s="1405">
        <v>3836.5</v>
      </c>
      <c r="H2970" t="b">
        <f t="shared" si="93"/>
        <v>0</v>
      </c>
    </row>
    <row r="2971" spans="1:8">
      <c r="A2971" s="739">
        <v>13741</v>
      </c>
      <c r="B2971" s="740" t="s">
        <v>11360</v>
      </c>
      <c r="C2971" s="739" t="s">
        <v>1690</v>
      </c>
      <c r="D2971" s="741">
        <f t="shared" si="92"/>
        <v>2973.86</v>
      </c>
      <c r="F2971" s="1406">
        <v>2973.86</v>
      </c>
      <c r="G2971" s="1406">
        <v>2973.86</v>
      </c>
      <c r="H2971" t="b">
        <f t="shared" si="93"/>
        <v>1</v>
      </c>
    </row>
    <row r="2972" spans="1:8">
      <c r="A2972" s="677">
        <v>3288</v>
      </c>
      <c r="B2972" s="733" t="s">
        <v>11361</v>
      </c>
      <c r="C2972" s="677" t="s">
        <v>1693</v>
      </c>
      <c r="D2972" s="738">
        <f t="shared" si="92"/>
        <v>6</v>
      </c>
      <c r="F2972" s="1405">
        <v>6</v>
      </c>
      <c r="G2972" s="1405">
        <v>6</v>
      </c>
      <c r="H2972" t="b">
        <f t="shared" si="93"/>
        <v>1</v>
      </c>
    </row>
    <row r="2973" spans="1:8">
      <c r="A2973" s="739">
        <v>13587</v>
      </c>
      <c r="B2973" s="740" t="s">
        <v>11362</v>
      </c>
      <c r="C2973" s="739" t="s">
        <v>1693</v>
      </c>
      <c r="D2973" s="741">
        <f t="shared" si="92"/>
        <v>3.62</v>
      </c>
      <c r="F2973" s="1406">
        <v>3.62</v>
      </c>
      <c r="G2973" s="1406">
        <v>3.62</v>
      </c>
      <c r="H2973" t="b">
        <f t="shared" si="93"/>
        <v>1</v>
      </c>
    </row>
    <row r="2974" spans="1:8">
      <c r="A2974" s="677">
        <v>38598</v>
      </c>
      <c r="B2974" s="733" t="s">
        <v>11363</v>
      </c>
      <c r="C2974" s="677" t="s">
        <v>1690</v>
      </c>
      <c r="D2974" s="738">
        <f t="shared" si="92"/>
        <v>3.72</v>
      </c>
      <c r="F2974" s="1405">
        <v>3.72</v>
      </c>
      <c r="G2974" s="1405">
        <v>3.72</v>
      </c>
      <c r="H2974" t="b">
        <f t="shared" si="93"/>
        <v>1</v>
      </c>
    </row>
    <row r="2975" spans="1:8">
      <c r="A2975" s="739">
        <v>38595</v>
      </c>
      <c r="B2975" s="740" t="s">
        <v>11364</v>
      </c>
      <c r="C2975" s="739" t="s">
        <v>1690</v>
      </c>
      <c r="D2975" s="741">
        <f t="shared" si="92"/>
        <v>3.15</v>
      </c>
      <c r="F2975" s="1406">
        <v>3.15</v>
      </c>
      <c r="G2975" s="1406">
        <v>3.15</v>
      </c>
      <c r="H2975" t="b">
        <f t="shared" si="93"/>
        <v>1</v>
      </c>
    </row>
    <row r="2976" spans="1:8">
      <c r="A2976" s="677">
        <v>38592</v>
      </c>
      <c r="B2976" s="733" t="s">
        <v>11365</v>
      </c>
      <c r="C2976" s="677" t="s">
        <v>1690</v>
      </c>
      <c r="D2976" s="738">
        <f t="shared" si="92"/>
        <v>3.19</v>
      </c>
      <c r="F2976" s="1405">
        <v>3.19</v>
      </c>
      <c r="G2976" s="1405">
        <v>3.19</v>
      </c>
      <c r="H2976" t="b">
        <f t="shared" si="93"/>
        <v>1</v>
      </c>
    </row>
    <row r="2977" spans="1:8">
      <c r="A2977" s="739">
        <v>38588</v>
      </c>
      <c r="B2977" s="740" t="s">
        <v>11366</v>
      </c>
      <c r="C2977" s="739" t="s">
        <v>1690</v>
      </c>
      <c r="D2977" s="741">
        <f t="shared" si="92"/>
        <v>2.5499999999999998</v>
      </c>
      <c r="F2977" s="1406">
        <v>2.5499999999999998</v>
      </c>
      <c r="G2977" s="1406">
        <v>2.5499999999999998</v>
      </c>
      <c r="H2977" t="b">
        <f t="shared" si="93"/>
        <v>1</v>
      </c>
    </row>
    <row r="2978" spans="1:8">
      <c r="A2978" s="677">
        <v>38593</v>
      </c>
      <c r="B2978" s="733" t="s">
        <v>11367</v>
      </c>
      <c r="C2978" s="677" t="s">
        <v>1690</v>
      </c>
      <c r="D2978" s="738">
        <f t="shared" si="92"/>
        <v>3.52</v>
      </c>
      <c r="F2978" s="1405">
        <v>3.52</v>
      </c>
      <c r="G2978" s="1405">
        <v>3.52</v>
      </c>
      <c r="H2978" t="b">
        <f t="shared" si="93"/>
        <v>1</v>
      </c>
    </row>
    <row r="2979" spans="1:8">
      <c r="A2979" s="739">
        <v>38589</v>
      </c>
      <c r="B2979" s="740" t="s">
        <v>11368</v>
      </c>
      <c r="C2979" s="739" t="s">
        <v>1690</v>
      </c>
      <c r="D2979" s="741">
        <f t="shared" si="92"/>
        <v>2.67</v>
      </c>
      <c r="F2979" s="1406">
        <v>2.67</v>
      </c>
      <c r="G2979" s="1406">
        <v>2.67</v>
      </c>
      <c r="H2979" t="b">
        <f t="shared" si="93"/>
        <v>1</v>
      </c>
    </row>
    <row r="2980" spans="1:8">
      <c r="A2980" s="677">
        <v>38594</v>
      </c>
      <c r="B2980" s="733" t="s">
        <v>11369</v>
      </c>
      <c r="C2980" s="677" t="s">
        <v>1690</v>
      </c>
      <c r="D2980" s="738">
        <f t="shared" si="92"/>
        <v>5.55</v>
      </c>
      <c r="F2980" s="1405">
        <v>5.55</v>
      </c>
      <c r="G2980" s="1405">
        <v>5.55</v>
      </c>
      <c r="H2980" t="b">
        <f t="shared" si="93"/>
        <v>1</v>
      </c>
    </row>
    <row r="2981" spans="1:8">
      <c r="A2981" s="739">
        <v>34773</v>
      </c>
      <c r="B2981" s="740" t="s">
        <v>11370</v>
      </c>
      <c r="C2981" s="739" t="s">
        <v>1690</v>
      </c>
      <c r="D2981" s="741">
        <f t="shared" si="92"/>
        <v>2.63</v>
      </c>
      <c r="F2981" s="1406">
        <v>2.63</v>
      </c>
      <c r="G2981" s="1406">
        <v>2.63</v>
      </c>
      <c r="H2981" t="b">
        <f t="shared" si="93"/>
        <v>1</v>
      </c>
    </row>
    <row r="2982" spans="1:8">
      <c r="A2982" s="677">
        <v>34769</v>
      </c>
      <c r="B2982" s="733" t="s">
        <v>11371</v>
      </c>
      <c r="C2982" s="677" t="s">
        <v>1690</v>
      </c>
      <c r="D2982" s="738">
        <f t="shared" si="92"/>
        <v>3.25</v>
      </c>
      <c r="F2982" s="1405">
        <v>3.25</v>
      </c>
      <c r="G2982" s="1405">
        <v>3.25</v>
      </c>
      <c r="H2982" t="b">
        <f t="shared" si="93"/>
        <v>1</v>
      </c>
    </row>
    <row r="2983" spans="1:8">
      <c r="A2983" s="739">
        <v>34763</v>
      </c>
      <c r="B2983" s="740" t="s">
        <v>11372</v>
      </c>
      <c r="C2983" s="739" t="s">
        <v>1690</v>
      </c>
      <c r="D2983" s="741">
        <f t="shared" si="92"/>
        <v>2</v>
      </c>
      <c r="F2983" s="1406">
        <v>2</v>
      </c>
      <c r="G2983" s="1406">
        <v>2</v>
      </c>
      <c r="H2983" t="b">
        <f t="shared" si="93"/>
        <v>1</v>
      </c>
    </row>
    <row r="2984" spans="1:8">
      <c r="A2984" s="677">
        <v>34774</v>
      </c>
      <c r="B2984" s="733" t="s">
        <v>11373</v>
      </c>
      <c r="C2984" s="677" t="s">
        <v>1690</v>
      </c>
      <c r="D2984" s="738">
        <f t="shared" si="92"/>
        <v>2.4900000000000002</v>
      </c>
      <c r="F2984" s="1405">
        <v>2.4900000000000002</v>
      </c>
      <c r="G2984" s="1405">
        <v>2.4900000000000002</v>
      </c>
      <c r="H2984" t="b">
        <f t="shared" si="93"/>
        <v>1</v>
      </c>
    </row>
    <row r="2985" spans="1:8">
      <c r="A2985" s="739">
        <v>34771</v>
      </c>
      <c r="B2985" s="740" t="s">
        <v>11374</v>
      </c>
      <c r="C2985" s="739" t="s">
        <v>1690</v>
      </c>
      <c r="D2985" s="741">
        <f t="shared" si="92"/>
        <v>3.01</v>
      </c>
      <c r="F2985" s="1406">
        <v>3.01</v>
      </c>
      <c r="G2985" s="1406">
        <v>3.01</v>
      </c>
      <c r="H2985" t="b">
        <f t="shared" si="93"/>
        <v>1</v>
      </c>
    </row>
    <row r="2986" spans="1:8">
      <c r="A2986" s="677">
        <v>34764</v>
      </c>
      <c r="B2986" s="733" t="s">
        <v>11375</v>
      </c>
      <c r="C2986" s="677" t="s">
        <v>1690</v>
      </c>
      <c r="D2986" s="738">
        <f t="shared" si="92"/>
        <v>1.97</v>
      </c>
      <c r="F2986" s="1405">
        <v>1.97</v>
      </c>
      <c r="G2986" s="1405">
        <v>1.97</v>
      </c>
      <c r="H2986" t="b">
        <f t="shared" si="93"/>
        <v>1</v>
      </c>
    </row>
    <row r="2987" spans="1:8">
      <c r="A2987" s="739">
        <v>34788</v>
      </c>
      <c r="B2987" s="740" t="s">
        <v>11376</v>
      </c>
      <c r="C2987" s="739" t="s">
        <v>1690</v>
      </c>
      <c r="D2987" s="741">
        <f t="shared" si="92"/>
        <v>1.75</v>
      </c>
      <c r="F2987" s="1406">
        <v>1.75</v>
      </c>
      <c r="G2987" s="1406">
        <v>1.75</v>
      </c>
      <c r="H2987" t="b">
        <f t="shared" si="93"/>
        <v>1</v>
      </c>
    </row>
    <row r="2988" spans="1:8">
      <c r="A2988" s="677">
        <v>34781</v>
      </c>
      <c r="B2988" s="733" t="s">
        <v>11377</v>
      </c>
      <c r="C2988" s="677" t="s">
        <v>1690</v>
      </c>
      <c r="D2988" s="738">
        <f t="shared" si="92"/>
        <v>1.99</v>
      </c>
      <c r="F2988" s="1405">
        <v>1.99</v>
      </c>
      <c r="G2988" s="1405">
        <v>1.99</v>
      </c>
      <c r="H2988" t="b">
        <f t="shared" si="93"/>
        <v>1</v>
      </c>
    </row>
    <row r="2989" spans="1:8">
      <c r="A2989" s="739">
        <v>41682</v>
      </c>
      <c r="B2989" s="740" t="s">
        <v>11378</v>
      </c>
      <c r="C2989" s="739" t="s">
        <v>1690</v>
      </c>
      <c r="D2989" s="741">
        <f t="shared" si="92"/>
        <v>38.32</v>
      </c>
      <c r="F2989" s="1406">
        <v>38.32</v>
      </c>
      <c r="G2989" s="1406">
        <v>38.32</v>
      </c>
      <c r="H2989" t="b">
        <f t="shared" si="93"/>
        <v>1</v>
      </c>
    </row>
    <row r="2990" spans="1:8">
      <c r="A2990" s="677">
        <v>41683</v>
      </c>
      <c r="B2990" s="733" t="s">
        <v>11379</v>
      </c>
      <c r="C2990" s="677" t="s">
        <v>1690</v>
      </c>
      <c r="D2990" s="738">
        <f t="shared" si="92"/>
        <v>28.19</v>
      </c>
      <c r="F2990" s="1405">
        <v>28.19</v>
      </c>
      <c r="G2990" s="1405">
        <v>28.19</v>
      </c>
      <c r="H2990" t="b">
        <f t="shared" si="93"/>
        <v>1</v>
      </c>
    </row>
    <row r="2991" spans="1:8">
      <c r="A2991" s="739">
        <v>41680</v>
      </c>
      <c r="B2991" s="740" t="s">
        <v>11380</v>
      </c>
      <c r="C2991" s="739" t="s">
        <v>1690</v>
      </c>
      <c r="D2991" s="741">
        <f t="shared" si="92"/>
        <v>15.18</v>
      </c>
      <c r="F2991" s="1406">
        <v>15.18</v>
      </c>
      <c r="G2991" s="1406">
        <v>15.18</v>
      </c>
      <c r="H2991" t="b">
        <f t="shared" si="93"/>
        <v>1</v>
      </c>
    </row>
    <row r="2992" spans="1:8">
      <c r="A2992" s="677">
        <v>41679</v>
      </c>
      <c r="B2992" s="733" t="s">
        <v>11381</v>
      </c>
      <c r="C2992" s="677" t="s">
        <v>1690</v>
      </c>
      <c r="D2992" s="738">
        <f t="shared" si="92"/>
        <v>34.69</v>
      </c>
      <c r="F2992" s="1405">
        <v>34.69</v>
      </c>
      <c r="G2992" s="1405">
        <v>34.69</v>
      </c>
      <c r="H2992" t="b">
        <f t="shared" si="93"/>
        <v>1</v>
      </c>
    </row>
    <row r="2993" spans="1:8">
      <c r="A2993" s="739">
        <v>41681</v>
      </c>
      <c r="B2993" s="740" t="s">
        <v>11382</v>
      </c>
      <c r="C2993" s="739" t="s">
        <v>1690</v>
      </c>
      <c r="D2993" s="741">
        <f t="shared" si="92"/>
        <v>23.74</v>
      </c>
      <c r="F2993" s="1406">
        <v>23.74</v>
      </c>
      <c r="G2993" s="1406">
        <v>23.74</v>
      </c>
      <c r="H2993" t="b">
        <f t="shared" si="93"/>
        <v>1</v>
      </c>
    </row>
    <row r="2994" spans="1:8">
      <c r="A2994" s="677">
        <v>43386</v>
      </c>
      <c r="B2994" s="733" t="s">
        <v>11383</v>
      </c>
      <c r="C2994" s="677" t="s">
        <v>1690</v>
      </c>
      <c r="D2994" s="738">
        <f t="shared" si="92"/>
        <v>54.21</v>
      </c>
      <c r="F2994" s="1405">
        <v>54.21</v>
      </c>
      <c r="G2994" s="1405">
        <v>54.21</v>
      </c>
      <c r="H2994" t="b">
        <f t="shared" si="93"/>
        <v>1</v>
      </c>
    </row>
    <row r="2995" spans="1:8">
      <c r="A2995" s="739">
        <v>4059</v>
      </c>
      <c r="B2995" s="740" t="s">
        <v>11384</v>
      </c>
      <c r="C2995" s="739" t="s">
        <v>1693</v>
      </c>
      <c r="D2995" s="741">
        <f t="shared" si="92"/>
        <v>38.32</v>
      </c>
      <c r="F2995" s="1406">
        <v>38.32</v>
      </c>
      <c r="G2995" s="1406">
        <v>38.32</v>
      </c>
      <c r="H2995" t="b">
        <f t="shared" si="93"/>
        <v>1</v>
      </c>
    </row>
    <row r="2996" spans="1:8">
      <c r="A2996" s="677">
        <v>4062</v>
      </c>
      <c r="B2996" s="733" t="s">
        <v>11385</v>
      </c>
      <c r="C2996" s="677" t="s">
        <v>1690</v>
      </c>
      <c r="D2996" s="738">
        <f t="shared" si="92"/>
        <v>38.32</v>
      </c>
      <c r="F2996" s="1405">
        <v>38.32</v>
      </c>
      <c r="G2996" s="1405">
        <v>38.32</v>
      </c>
      <c r="H2996" t="b">
        <f t="shared" si="93"/>
        <v>1</v>
      </c>
    </row>
    <row r="2997" spans="1:8">
      <c r="A2997" s="739">
        <v>4061</v>
      </c>
      <c r="B2997" s="740" t="s">
        <v>11386</v>
      </c>
      <c r="C2997" s="739" t="s">
        <v>1690</v>
      </c>
      <c r="D2997" s="741">
        <f t="shared" si="92"/>
        <v>47.71</v>
      </c>
      <c r="F2997" s="1406">
        <v>47.71</v>
      </c>
      <c r="G2997" s="1406">
        <v>47.71</v>
      </c>
      <c r="H2997" t="b">
        <f t="shared" si="93"/>
        <v>1</v>
      </c>
    </row>
    <row r="2998" spans="1:8">
      <c r="A2998" s="677">
        <v>41315</v>
      </c>
      <c r="B2998" s="733" t="s">
        <v>11387</v>
      </c>
      <c r="C2998" s="677" t="s">
        <v>1694</v>
      </c>
      <c r="D2998" s="738">
        <f t="shared" si="92"/>
        <v>89.09</v>
      </c>
      <c r="F2998" s="1405">
        <v>89.09</v>
      </c>
      <c r="G2998" s="1405">
        <v>89.09</v>
      </c>
      <c r="H2998" t="b">
        <f t="shared" si="93"/>
        <v>1</v>
      </c>
    </row>
    <row r="2999" spans="1:8">
      <c r="A2999" s="739">
        <v>43148</v>
      </c>
      <c r="B2999" s="740" t="s">
        <v>11388</v>
      </c>
      <c r="C2999" s="739" t="s">
        <v>1694</v>
      </c>
      <c r="D2999" s="741">
        <f t="shared" si="92"/>
        <v>60.47</v>
      </c>
      <c r="F2999" s="1406">
        <v>60.47</v>
      </c>
      <c r="G2999" s="1406">
        <v>60.47</v>
      </c>
      <c r="H2999" t="b">
        <f t="shared" si="93"/>
        <v>1</v>
      </c>
    </row>
    <row r="3000" spans="1:8">
      <c r="A3000" s="677">
        <v>43147</v>
      </c>
      <c r="B3000" s="733" t="s">
        <v>11389</v>
      </c>
      <c r="C3000" s="677" t="s">
        <v>1694</v>
      </c>
      <c r="D3000" s="738">
        <f t="shared" si="92"/>
        <v>23.42</v>
      </c>
      <c r="F3000" s="1405">
        <v>23.42</v>
      </c>
      <c r="G3000" s="1405">
        <v>23.42</v>
      </c>
      <c r="H3000" t="b">
        <f t="shared" si="93"/>
        <v>1</v>
      </c>
    </row>
    <row r="3001" spans="1:8">
      <c r="A3001" s="739">
        <v>10608</v>
      </c>
      <c r="B3001" s="740" t="s">
        <v>11390</v>
      </c>
      <c r="C3001" s="739" t="s">
        <v>1690</v>
      </c>
      <c r="D3001" s="741">
        <f t="shared" si="92"/>
        <v>9629.7999999999993</v>
      </c>
      <c r="F3001" s="1406">
        <v>9629.7999999999993</v>
      </c>
      <c r="G3001" s="1406">
        <v>9629.7999999999993</v>
      </c>
      <c r="H3001" t="b">
        <f t="shared" si="93"/>
        <v>1</v>
      </c>
    </row>
    <row r="3002" spans="1:8">
      <c r="A3002" s="677">
        <v>4069</v>
      </c>
      <c r="B3002" s="733" t="s">
        <v>11391</v>
      </c>
      <c r="C3002" s="677" t="s">
        <v>1689</v>
      </c>
      <c r="D3002" s="738">
        <f t="shared" si="92"/>
        <v>57.12</v>
      </c>
      <c r="F3002" s="1405">
        <v>49.61</v>
      </c>
      <c r="G3002" s="1405">
        <v>57.12</v>
      </c>
      <c r="H3002" t="b">
        <f t="shared" si="93"/>
        <v>0</v>
      </c>
    </row>
    <row r="3003" spans="1:8">
      <c r="A3003" s="739">
        <v>40819</v>
      </c>
      <c r="B3003" s="740" t="s">
        <v>11392</v>
      </c>
      <c r="C3003" s="739" t="s">
        <v>1696</v>
      </c>
      <c r="D3003" s="741">
        <f t="shared" si="92"/>
        <v>10052.56</v>
      </c>
      <c r="F3003" s="1406">
        <v>8718.5</v>
      </c>
      <c r="G3003" s="1406">
        <v>10052.56</v>
      </c>
      <c r="H3003" t="b">
        <f t="shared" si="93"/>
        <v>0</v>
      </c>
    </row>
    <row r="3004" spans="1:8">
      <c r="A3004" s="677">
        <v>34361</v>
      </c>
      <c r="B3004" s="733" t="s">
        <v>11393</v>
      </c>
      <c r="C3004" s="677" t="s">
        <v>1694</v>
      </c>
      <c r="D3004" s="738">
        <f t="shared" si="92"/>
        <v>17.05</v>
      </c>
      <c r="F3004" s="1405">
        <v>17.05</v>
      </c>
      <c r="G3004" s="1405">
        <v>17.05</v>
      </c>
      <c r="H3004" t="b">
        <f t="shared" si="93"/>
        <v>1</v>
      </c>
    </row>
    <row r="3005" spans="1:8">
      <c r="A3005" s="739">
        <v>36512</v>
      </c>
      <c r="B3005" s="740" t="s">
        <v>11394</v>
      </c>
      <c r="C3005" s="739" t="s">
        <v>1690</v>
      </c>
      <c r="D3005" s="741">
        <f t="shared" si="92"/>
        <v>20023.98</v>
      </c>
      <c r="F3005" s="1406">
        <v>20023.98</v>
      </c>
      <c r="G3005" s="1406">
        <v>20023.98</v>
      </c>
      <c r="H3005" t="b">
        <f t="shared" si="93"/>
        <v>1</v>
      </c>
    </row>
    <row r="3006" spans="1:8">
      <c r="A3006" s="677">
        <v>44478</v>
      </c>
      <c r="B3006" s="733" t="s">
        <v>11395</v>
      </c>
      <c r="C3006" s="677" t="s">
        <v>1694</v>
      </c>
      <c r="D3006" s="738">
        <f t="shared" si="92"/>
        <v>15.83</v>
      </c>
      <c r="F3006" s="1405">
        <v>15.83</v>
      </c>
      <c r="G3006" s="1405">
        <v>15.83</v>
      </c>
      <c r="H3006" t="b">
        <f t="shared" si="93"/>
        <v>1</v>
      </c>
    </row>
    <row r="3007" spans="1:8">
      <c r="A3007" s="739">
        <v>44477</v>
      </c>
      <c r="B3007" s="740" t="s">
        <v>11396</v>
      </c>
      <c r="C3007" s="739" t="s">
        <v>1694</v>
      </c>
      <c r="D3007" s="741">
        <f t="shared" si="92"/>
        <v>15.83</v>
      </c>
      <c r="F3007" s="1406">
        <v>15.83</v>
      </c>
      <c r="G3007" s="1406">
        <v>15.83</v>
      </c>
      <c r="H3007" t="b">
        <f t="shared" si="93"/>
        <v>1</v>
      </c>
    </row>
    <row r="3008" spans="1:8">
      <c r="A3008" s="677">
        <v>11697</v>
      </c>
      <c r="B3008" s="733" t="s">
        <v>11397</v>
      </c>
      <c r="C3008" s="677" t="s">
        <v>1690</v>
      </c>
      <c r="D3008" s="738">
        <f t="shared" si="92"/>
        <v>696.44</v>
      </c>
      <c r="F3008" s="1405">
        <v>696.44</v>
      </c>
      <c r="G3008" s="1405">
        <v>696.44</v>
      </c>
      <c r="H3008" t="b">
        <f t="shared" si="93"/>
        <v>1</v>
      </c>
    </row>
    <row r="3009" spans="1:8">
      <c r="A3009" s="739">
        <v>11698</v>
      </c>
      <c r="B3009" s="740" t="s">
        <v>11398</v>
      </c>
      <c r="C3009" s="739" t="s">
        <v>1690</v>
      </c>
      <c r="D3009" s="741">
        <f t="shared" si="92"/>
        <v>830.82</v>
      </c>
      <c r="F3009" s="1406">
        <v>830.82</v>
      </c>
      <c r="G3009" s="1406">
        <v>830.82</v>
      </c>
      <c r="H3009" t="b">
        <f t="shared" si="93"/>
        <v>1</v>
      </c>
    </row>
    <row r="3010" spans="1:8">
      <c r="A3010" s="677">
        <v>11699</v>
      </c>
      <c r="B3010" s="733" t="s">
        <v>11399</v>
      </c>
      <c r="C3010" s="677" t="s">
        <v>1690</v>
      </c>
      <c r="D3010" s="738">
        <f t="shared" si="92"/>
        <v>918.25</v>
      </c>
      <c r="F3010" s="1405">
        <v>918.25</v>
      </c>
      <c r="G3010" s="1405">
        <v>918.25</v>
      </c>
      <c r="H3010" t="b">
        <f t="shared" si="93"/>
        <v>1</v>
      </c>
    </row>
    <row r="3011" spans="1:8">
      <c r="A3011" s="739">
        <v>10432</v>
      </c>
      <c r="B3011" s="740" t="s">
        <v>11400</v>
      </c>
      <c r="C3011" s="739" t="s">
        <v>1690</v>
      </c>
      <c r="D3011" s="741">
        <f t="shared" ref="D3011:D3074" si="94">IF($J$2=$F$1,F3011,G3011)</f>
        <v>343.77</v>
      </c>
      <c r="F3011" s="1406">
        <v>343.77</v>
      </c>
      <c r="G3011" s="1406">
        <v>343.77</v>
      </c>
      <c r="H3011" t="b">
        <f t="shared" ref="H3011:H3074" si="95">F3011=G3011</f>
        <v>1</v>
      </c>
    </row>
    <row r="3012" spans="1:8">
      <c r="A3012" s="677">
        <v>44020</v>
      </c>
      <c r="B3012" s="733" t="s">
        <v>11401</v>
      </c>
      <c r="C3012" s="677" t="s">
        <v>1690</v>
      </c>
      <c r="D3012" s="738">
        <f t="shared" si="94"/>
        <v>848.13</v>
      </c>
      <c r="F3012" s="1405">
        <v>848.13</v>
      </c>
      <c r="G3012" s="1405">
        <v>848.13</v>
      </c>
      <c r="H3012" t="b">
        <f t="shared" si="95"/>
        <v>1</v>
      </c>
    </row>
    <row r="3013" spans="1:8">
      <c r="A3013" s="739">
        <v>41420</v>
      </c>
      <c r="B3013" s="740" t="s">
        <v>11402</v>
      </c>
      <c r="C3013" s="739" t="s">
        <v>1690</v>
      </c>
      <c r="D3013" s="741">
        <f t="shared" si="94"/>
        <v>12.71</v>
      </c>
      <c r="F3013" s="1406">
        <v>12.71</v>
      </c>
      <c r="G3013" s="1406">
        <v>12.71</v>
      </c>
      <c r="H3013" t="b">
        <f t="shared" si="95"/>
        <v>1</v>
      </c>
    </row>
    <row r="3014" spans="1:8">
      <c r="A3014" s="677">
        <v>41422</v>
      </c>
      <c r="B3014" s="733" t="s">
        <v>11403</v>
      </c>
      <c r="C3014" s="677" t="s">
        <v>1690</v>
      </c>
      <c r="D3014" s="738">
        <f t="shared" si="94"/>
        <v>17.350000000000001</v>
      </c>
      <c r="F3014" s="1405">
        <v>17.350000000000001</v>
      </c>
      <c r="G3014" s="1405">
        <v>17.350000000000001</v>
      </c>
      <c r="H3014" t="b">
        <f t="shared" si="95"/>
        <v>1</v>
      </c>
    </row>
    <row r="3015" spans="1:8">
      <c r="A3015" s="739">
        <v>41425</v>
      </c>
      <c r="B3015" s="740" t="s">
        <v>11404</v>
      </c>
      <c r="C3015" s="739" t="s">
        <v>1690</v>
      </c>
      <c r="D3015" s="741">
        <f t="shared" si="94"/>
        <v>8.8800000000000008</v>
      </c>
      <c r="F3015" s="1406">
        <v>8.8800000000000008</v>
      </c>
      <c r="G3015" s="1406">
        <v>8.8800000000000008</v>
      </c>
      <c r="H3015" t="b">
        <f t="shared" si="95"/>
        <v>1</v>
      </c>
    </row>
    <row r="3016" spans="1:8">
      <c r="A3016" s="677">
        <v>41426</v>
      </c>
      <c r="B3016" s="733" t="s">
        <v>11405</v>
      </c>
      <c r="C3016" s="677" t="s">
        <v>1690</v>
      </c>
      <c r="D3016" s="738">
        <f t="shared" si="94"/>
        <v>16.010000000000002</v>
      </c>
      <c r="F3016" s="1405">
        <v>16.010000000000002</v>
      </c>
      <c r="G3016" s="1405">
        <v>16.010000000000002</v>
      </c>
      <c r="H3016" t="b">
        <f t="shared" si="95"/>
        <v>1</v>
      </c>
    </row>
    <row r="3017" spans="1:8">
      <c r="A3017" s="739">
        <v>41419</v>
      </c>
      <c r="B3017" s="740" t="s">
        <v>11406</v>
      </c>
      <c r="C3017" s="739" t="s">
        <v>1690</v>
      </c>
      <c r="D3017" s="741">
        <f t="shared" si="94"/>
        <v>9.34</v>
      </c>
      <c r="F3017" s="1406">
        <v>9.34</v>
      </c>
      <c r="G3017" s="1406">
        <v>9.34</v>
      </c>
      <c r="H3017" t="b">
        <f t="shared" si="95"/>
        <v>1</v>
      </c>
    </row>
    <row r="3018" spans="1:8">
      <c r="A3018" s="677">
        <v>41421</v>
      </c>
      <c r="B3018" s="733" t="s">
        <v>11407</v>
      </c>
      <c r="C3018" s="677" t="s">
        <v>1690</v>
      </c>
      <c r="D3018" s="738">
        <f t="shared" si="94"/>
        <v>12.67</v>
      </c>
      <c r="F3018" s="1405">
        <v>12.67</v>
      </c>
      <c r="G3018" s="1405">
        <v>12.67</v>
      </c>
      <c r="H3018" t="b">
        <f t="shared" si="95"/>
        <v>1</v>
      </c>
    </row>
    <row r="3019" spans="1:8">
      <c r="A3019" s="739">
        <v>41414</v>
      </c>
      <c r="B3019" s="740" t="s">
        <v>11408</v>
      </c>
      <c r="C3019" s="739" t="s">
        <v>1690</v>
      </c>
      <c r="D3019" s="741">
        <f t="shared" si="94"/>
        <v>29.38</v>
      </c>
      <c r="F3019" s="1406">
        <v>29.38</v>
      </c>
      <c r="G3019" s="1406">
        <v>29.38</v>
      </c>
      <c r="H3019" t="b">
        <f t="shared" si="95"/>
        <v>1</v>
      </c>
    </row>
    <row r="3020" spans="1:8">
      <c r="A3020" s="677">
        <v>41415</v>
      </c>
      <c r="B3020" s="733" t="s">
        <v>11409</v>
      </c>
      <c r="C3020" s="677" t="s">
        <v>1690</v>
      </c>
      <c r="D3020" s="738">
        <f t="shared" si="94"/>
        <v>34.22</v>
      </c>
      <c r="F3020" s="1405">
        <v>34.22</v>
      </c>
      <c r="G3020" s="1405">
        <v>34.22</v>
      </c>
      <c r="H3020" t="b">
        <f t="shared" si="95"/>
        <v>1</v>
      </c>
    </row>
    <row r="3021" spans="1:8">
      <c r="A3021" s="739">
        <v>37514</v>
      </c>
      <c r="B3021" s="740" t="s">
        <v>11410</v>
      </c>
      <c r="C3021" s="739" t="s">
        <v>1690</v>
      </c>
      <c r="D3021" s="741">
        <f t="shared" si="94"/>
        <v>320000</v>
      </c>
      <c r="F3021" s="1406">
        <v>320000</v>
      </c>
      <c r="G3021" s="1406">
        <v>320000</v>
      </c>
      <c r="H3021" t="b">
        <f t="shared" si="95"/>
        <v>1</v>
      </c>
    </row>
    <row r="3022" spans="1:8">
      <c r="A3022" s="677">
        <v>37519</v>
      </c>
      <c r="B3022" s="733" t="s">
        <v>11411</v>
      </c>
      <c r="C3022" s="677" t="s">
        <v>1690</v>
      </c>
      <c r="D3022" s="738">
        <f t="shared" si="94"/>
        <v>493853.88</v>
      </c>
      <c r="F3022" s="1405">
        <v>493853.88</v>
      </c>
      <c r="G3022" s="1405">
        <v>493853.88</v>
      </c>
      <c r="H3022" t="b">
        <f t="shared" si="95"/>
        <v>1</v>
      </c>
    </row>
    <row r="3023" spans="1:8">
      <c r="A3023" s="739">
        <v>37520</v>
      </c>
      <c r="B3023" s="740" t="s">
        <v>11412</v>
      </c>
      <c r="C3023" s="739" t="s">
        <v>1690</v>
      </c>
      <c r="D3023" s="741">
        <f t="shared" si="94"/>
        <v>485757.92</v>
      </c>
      <c r="F3023" s="1406">
        <v>485757.92</v>
      </c>
      <c r="G3023" s="1406">
        <v>485757.92</v>
      </c>
      <c r="H3023" t="b">
        <f t="shared" si="95"/>
        <v>1</v>
      </c>
    </row>
    <row r="3024" spans="1:8">
      <c r="A3024" s="677">
        <v>37521</v>
      </c>
      <c r="B3024" s="733" t="s">
        <v>11413</v>
      </c>
      <c r="C3024" s="677" t="s">
        <v>1690</v>
      </c>
      <c r="D3024" s="738">
        <f t="shared" si="94"/>
        <v>592624.67000000004</v>
      </c>
      <c r="F3024" s="1405">
        <v>592624.67000000004</v>
      </c>
      <c r="G3024" s="1405">
        <v>592624.67000000004</v>
      </c>
      <c r="H3024" t="b">
        <f t="shared" si="95"/>
        <v>1</v>
      </c>
    </row>
    <row r="3025" spans="1:8">
      <c r="A3025" s="739">
        <v>37522</v>
      </c>
      <c r="B3025" s="740" t="s">
        <v>11414</v>
      </c>
      <c r="C3025" s="739" t="s">
        <v>1690</v>
      </c>
      <c r="D3025" s="741">
        <f t="shared" si="94"/>
        <v>610454.24</v>
      </c>
      <c r="F3025" s="1406">
        <v>610454.24</v>
      </c>
      <c r="G3025" s="1406">
        <v>610454.24</v>
      </c>
      <c r="H3025" t="b">
        <f t="shared" si="95"/>
        <v>1</v>
      </c>
    </row>
    <row r="3026" spans="1:8" ht="30">
      <c r="A3026" s="677">
        <v>21109</v>
      </c>
      <c r="B3026" s="733" t="s">
        <v>11415</v>
      </c>
      <c r="C3026" s="677" t="s">
        <v>1690</v>
      </c>
      <c r="D3026" s="738">
        <f t="shared" si="94"/>
        <v>56.04</v>
      </c>
      <c r="F3026" s="1405">
        <v>56.04</v>
      </c>
      <c r="G3026" s="1405">
        <v>56.04</v>
      </c>
      <c r="H3026" t="b">
        <f t="shared" si="95"/>
        <v>1</v>
      </c>
    </row>
    <row r="3027" spans="1:8" ht="30">
      <c r="A3027" s="739">
        <v>37546</v>
      </c>
      <c r="B3027" s="740" t="s">
        <v>11416</v>
      </c>
      <c r="C3027" s="739" t="s">
        <v>1690</v>
      </c>
      <c r="D3027" s="741">
        <f t="shared" si="94"/>
        <v>13917.86</v>
      </c>
      <c r="F3027" s="1406">
        <v>13917.86</v>
      </c>
      <c r="G3027" s="1406">
        <v>13917.86</v>
      </c>
      <c r="H3027" t="b">
        <f t="shared" si="95"/>
        <v>1</v>
      </c>
    </row>
    <row r="3028" spans="1:8" ht="30">
      <c r="A3028" s="677">
        <v>37544</v>
      </c>
      <c r="B3028" s="733" t="s">
        <v>11417</v>
      </c>
      <c r="C3028" s="677" t="s">
        <v>1690</v>
      </c>
      <c r="D3028" s="738">
        <f t="shared" si="94"/>
        <v>14720.47</v>
      </c>
      <c r="F3028" s="1405">
        <v>14720.47</v>
      </c>
      <c r="G3028" s="1405">
        <v>14720.47</v>
      </c>
      <c r="H3028" t="b">
        <f t="shared" si="95"/>
        <v>1</v>
      </c>
    </row>
    <row r="3029" spans="1:8" ht="30">
      <c r="A3029" s="739">
        <v>37545</v>
      </c>
      <c r="B3029" s="740" t="s">
        <v>11418</v>
      </c>
      <c r="C3029" s="739" t="s">
        <v>1690</v>
      </c>
      <c r="D3029" s="741">
        <f t="shared" si="94"/>
        <v>17515.39</v>
      </c>
      <c r="F3029" s="1406">
        <v>17515.39</v>
      </c>
      <c r="G3029" s="1406">
        <v>17515.39</v>
      </c>
      <c r="H3029" t="b">
        <f t="shared" si="95"/>
        <v>1</v>
      </c>
    </row>
    <row r="3030" spans="1:8">
      <c r="A3030" s="677">
        <v>36793</v>
      </c>
      <c r="B3030" s="733" t="s">
        <v>11419</v>
      </c>
      <c r="C3030" s="677" t="s">
        <v>1690</v>
      </c>
      <c r="D3030" s="738">
        <f t="shared" si="94"/>
        <v>946.03</v>
      </c>
      <c r="F3030" s="1405">
        <v>946.03</v>
      </c>
      <c r="G3030" s="1405">
        <v>946.03</v>
      </c>
      <c r="H3030" t="b">
        <f t="shared" si="95"/>
        <v>1</v>
      </c>
    </row>
    <row r="3031" spans="1:8">
      <c r="A3031" s="739">
        <v>11769</v>
      </c>
      <c r="B3031" s="740" t="s">
        <v>11420</v>
      </c>
      <c r="C3031" s="739" t="s">
        <v>1690</v>
      </c>
      <c r="D3031" s="741">
        <f t="shared" si="94"/>
        <v>418.07</v>
      </c>
      <c r="F3031" s="1406">
        <v>418.07</v>
      </c>
      <c r="G3031" s="1406">
        <v>418.07</v>
      </c>
      <c r="H3031" t="b">
        <f t="shared" si="95"/>
        <v>1</v>
      </c>
    </row>
    <row r="3032" spans="1:8">
      <c r="A3032" s="677">
        <v>11771</v>
      </c>
      <c r="B3032" s="733" t="s">
        <v>11421</v>
      </c>
      <c r="C3032" s="677" t="s">
        <v>1690</v>
      </c>
      <c r="D3032" s="738">
        <f t="shared" si="94"/>
        <v>512.08000000000004</v>
      </c>
      <c r="F3032" s="1405">
        <v>512.08000000000004</v>
      </c>
      <c r="G3032" s="1405">
        <v>512.08000000000004</v>
      </c>
      <c r="H3032" t="b">
        <f t="shared" si="95"/>
        <v>1</v>
      </c>
    </row>
    <row r="3033" spans="1:8" ht="30">
      <c r="A3033" s="739">
        <v>39919</v>
      </c>
      <c r="B3033" s="740" t="s">
        <v>11422</v>
      </c>
      <c r="C3033" s="739" t="s">
        <v>1690</v>
      </c>
      <c r="D3033" s="741">
        <f t="shared" si="94"/>
        <v>69666.570000000007</v>
      </c>
      <c r="F3033" s="1406">
        <v>69666.570000000007</v>
      </c>
      <c r="G3033" s="1406">
        <v>69666.570000000007</v>
      </c>
      <c r="H3033" t="b">
        <f t="shared" si="95"/>
        <v>1</v>
      </c>
    </row>
    <row r="3034" spans="1:8">
      <c r="A3034" s="677">
        <v>38385</v>
      </c>
      <c r="B3034" s="733" t="s">
        <v>11423</v>
      </c>
      <c r="C3034" s="677" t="s">
        <v>1690</v>
      </c>
      <c r="D3034" s="738">
        <f t="shared" si="94"/>
        <v>57.01</v>
      </c>
      <c r="F3034" s="1405">
        <v>57.01</v>
      </c>
      <c r="G3034" s="1405">
        <v>57.01</v>
      </c>
      <c r="H3034" t="b">
        <f t="shared" si="95"/>
        <v>1</v>
      </c>
    </row>
    <row r="3035" spans="1:8">
      <c r="A3035" s="739">
        <v>36800</v>
      </c>
      <c r="B3035" s="740" t="s">
        <v>11424</v>
      </c>
      <c r="C3035" s="739" t="s">
        <v>1690</v>
      </c>
      <c r="D3035" s="741">
        <f t="shared" si="94"/>
        <v>251.21</v>
      </c>
      <c r="F3035" s="1406">
        <v>251.21</v>
      </c>
      <c r="G3035" s="1406">
        <v>251.21</v>
      </c>
      <c r="H3035" t="b">
        <f t="shared" si="95"/>
        <v>1</v>
      </c>
    </row>
    <row r="3036" spans="1:8">
      <c r="A3036" s="677">
        <v>37587</v>
      </c>
      <c r="B3036" s="733" t="s">
        <v>11425</v>
      </c>
      <c r="C3036" s="677" t="s">
        <v>1690</v>
      </c>
      <c r="D3036" s="738">
        <f t="shared" si="94"/>
        <v>551.91</v>
      </c>
      <c r="F3036" s="1405">
        <v>551.91</v>
      </c>
      <c r="G3036" s="1405">
        <v>551.91</v>
      </c>
      <c r="H3036" t="b">
        <f t="shared" si="95"/>
        <v>1</v>
      </c>
    </row>
    <row r="3037" spans="1:8" ht="30">
      <c r="A3037" s="739">
        <v>11561</v>
      </c>
      <c r="B3037" s="740" t="s">
        <v>11426</v>
      </c>
      <c r="C3037" s="739" t="s">
        <v>1690</v>
      </c>
      <c r="D3037" s="741">
        <f t="shared" si="94"/>
        <v>265.39999999999998</v>
      </c>
      <c r="F3037" s="1406">
        <v>265.39999999999998</v>
      </c>
      <c r="G3037" s="1406">
        <v>265.39999999999998</v>
      </c>
      <c r="H3037" t="b">
        <f t="shared" si="95"/>
        <v>1</v>
      </c>
    </row>
    <row r="3038" spans="1:8" ht="30">
      <c r="A3038" s="677">
        <v>43604</v>
      </c>
      <c r="B3038" s="733" t="s">
        <v>11427</v>
      </c>
      <c r="C3038" s="677" t="s">
        <v>1690</v>
      </c>
      <c r="D3038" s="738">
        <f t="shared" si="94"/>
        <v>141.49</v>
      </c>
      <c r="F3038" s="1405">
        <v>141.49</v>
      </c>
      <c r="G3038" s="1405">
        <v>141.49</v>
      </c>
      <c r="H3038" t="b">
        <f t="shared" si="95"/>
        <v>1</v>
      </c>
    </row>
    <row r="3039" spans="1:8" ht="30">
      <c r="A3039" s="739">
        <v>11560</v>
      </c>
      <c r="B3039" s="740" t="s">
        <v>11428</v>
      </c>
      <c r="C3039" s="739" t="s">
        <v>1690</v>
      </c>
      <c r="D3039" s="741">
        <f t="shared" si="94"/>
        <v>204.85</v>
      </c>
      <c r="F3039" s="1406">
        <v>204.85</v>
      </c>
      <c r="G3039" s="1406">
        <v>204.85</v>
      </c>
      <c r="H3039" t="b">
        <f t="shared" si="95"/>
        <v>1</v>
      </c>
    </row>
    <row r="3040" spans="1:8">
      <c r="A3040" s="677">
        <v>11499</v>
      </c>
      <c r="B3040" s="733" t="s">
        <v>11429</v>
      </c>
      <c r="C3040" s="677" t="s">
        <v>1690</v>
      </c>
      <c r="D3040" s="738">
        <f t="shared" si="94"/>
        <v>912.82</v>
      </c>
      <c r="F3040" s="1405">
        <v>912.82</v>
      </c>
      <c r="G3040" s="1405">
        <v>912.82</v>
      </c>
      <c r="H3040" t="b">
        <f t="shared" si="95"/>
        <v>1</v>
      </c>
    </row>
    <row r="3041" spans="1:8">
      <c r="A3041" s="739">
        <v>34761</v>
      </c>
      <c r="B3041" s="740" t="s">
        <v>11430</v>
      </c>
      <c r="C3041" s="739" t="s">
        <v>1689</v>
      </c>
      <c r="D3041" s="741">
        <f t="shared" si="94"/>
        <v>17.329999999999998</v>
      </c>
      <c r="F3041" s="1406">
        <v>15.05</v>
      </c>
      <c r="G3041" s="1406">
        <v>17.329999999999998</v>
      </c>
      <c r="H3041" t="b">
        <f t="shared" si="95"/>
        <v>0</v>
      </c>
    </row>
    <row r="3042" spans="1:8">
      <c r="A3042" s="677">
        <v>40924</v>
      </c>
      <c r="B3042" s="733" t="s">
        <v>11431</v>
      </c>
      <c r="C3042" s="677" t="s">
        <v>1696</v>
      </c>
      <c r="D3042" s="738">
        <f t="shared" si="94"/>
        <v>3050.88</v>
      </c>
      <c r="F3042" s="1405">
        <v>2646</v>
      </c>
      <c r="G3042" s="1405">
        <v>3050.88</v>
      </c>
      <c r="H3042" t="b">
        <f t="shared" si="95"/>
        <v>0</v>
      </c>
    </row>
    <row r="3043" spans="1:8">
      <c r="A3043" s="739">
        <v>40983</v>
      </c>
      <c r="B3043" s="740" t="s">
        <v>11432</v>
      </c>
      <c r="C3043" s="739" t="s">
        <v>1696</v>
      </c>
      <c r="D3043" s="741">
        <f t="shared" si="94"/>
        <v>3177</v>
      </c>
      <c r="F3043" s="1406">
        <v>2755.38</v>
      </c>
      <c r="G3043" s="1406">
        <v>3177</v>
      </c>
      <c r="H3043" t="b">
        <f t="shared" si="95"/>
        <v>0</v>
      </c>
    </row>
    <row r="3044" spans="1:8">
      <c r="A3044" s="677">
        <v>44497</v>
      </c>
      <c r="B3044" s="733" t="s">
        <v>11433</v>
      </c>
      <c r="C3044" s="677" t="s">
        <v>1689</v>
      </c>
      <c r="D3044" s="738">
        <f t="shared" si="94"/>
        <v>18.05</v>
      </c>
      <c r="F3044" s="1405">
        <v>15.68</v>
      </c>
      <c r="G3044" s="1405">
        <v>18.05</v>
      </c>
      <c r="H3044" t="b">
        <f t="shared" si="95"/>
        <v>0</v>
      </c>
    </row>
    <row r="3045" spans="1:8">
      <c r="A3045" s="739">
        <v>2437</v>
      </c>
      <c r="B3045" s="740" t="s">
        <v>11434</v>
      </c>
      <c r="C3045" s="739" t="s">
        <v>1689</v>
      </c>
      <c r="D3045" s="741">
        <f t="shared" si="94"/>
        <v>13.52</v>
      </c>
      <c r="F3045" s="1406">
        <v>11.74</v>
      </c>
      <c r="G3045" s="1406">
        <v>13.52</v>
      </c>
      <c r="H3045" t="b">
        <f t="shared" si="95"/>
        <v>0</v>
      </c>
    </row>
    <row r="3046" spans="1:8">
      <c r="A3046" s="677">
        <v>40921</v>
      </c>
      <c r="B3046" s="733" t="s">
        <v>11435</v>
      </c>
      <c r="C3046" s="677" t="s">
        <v>1696</v>
      </c>
      <c r="D3046" s="738">
        <f t="shared" si="94"/>
        <v>2380.65</v>
      </c>
      <c r="F3046" s="1405">
        <v>2064.71</v>
      </c>
      <c r="G3046" s="1405">
        <v>2380.65</v>
      </c>
      <c r="H3046" t="b">
        <f t="shared" si="95"/>
        <v>0</v>
      </c>
    </row>
    <row r="3047" spans="1:8" ht="30">
      <c r="A3047" s="739">
        <v>14252</v>
      </c>
      <c r="B3047" s="740" t="s">
        <v>11436</v>
      </c>
      <c r="C3047" s="739" t="s">
        <v>1690</v>
      </c>
      <c r="D3047" s="741">
        <f t="shared" si="94"/>
        <v>2495.5500000000002</v>
      </c>
      <c r="F3047" s="1406">
        <v>2495.5500000000002</v>
      </c>
      <c r="G3047" s="1406">
        <v>2495.5500000000002</v>
      </c>
      <c r="H3047" t="b">
        <f t="shared" si="95"/>
        <v>1</v>
      </c>
    </row>
    <row r="3048" spans="1:8" ht="30">
      <c r="A3048" s="677">
        <v>730</v>
      </c>
      <c r="B3048" s="733" t="s">
        <v>11437</v>
      </c>
      <c r="C3048" s="677" t="s">
        <v>1690</v>
      </c>
      <c r="D3048" s="738">
        <f t="shared" si="94"/>
        <v>6667.63</v>
      </c>
      <c r="F3048" s="1405">
        <v>6667.63</v>
      </c>
      <c r="G3048" s="1405">
        <v>6667.63</v>
      </c>
      <c r="H3048" t="b">
        <f t="shared" si="95"/>
        <v>1</v>
      </c>
    </row>
    <row r="3049" spans="1:8" ht="30">
      <c r="A3049" s="739">
        <v>723</v>
      </c>
      <c r="B3049" s="740" t="s">
        <v>11438</v>
      </c>
      <c r="C3049" s="739" t="s">
        <v>1690</v>
      </c>
      <c r="D3049" s="741">
        <f t="shared" si="94"/>
        <v>3314.05</v>
      </c>
      <c r="F3049" s="1406">
        <v>3314.05</v>
      </c>
      <c r="G3049" s="1406">
        <v>3314.05</v>
      </c>
      <c r="H3049" t="b">
        <f t="shared" si="95"/>
        <v>1</v>
      </c>
    </row>
    <row r="3050" spans="1:8" ht="30">
      <c r="A3050" s="677">
        <v>36502</v>
      </c>
      <c r="B3050" s="733" t="s">
        <v>11439</v>
      </c>
      <c r="C3050" s="677" t="s">
        <v>1690</v>
      </c>
      <c r="D3050" s="738">
        <f t="shared" si="94"/>
        <v>3114.81</v>
      </c>
      <c r="F3050" s="1405">
        <v>3114.81</v>
      </c>
      <c r="G3050" s="1405">
        <v>3114.81</v>
      </c>
      <c r="H3050" t="b">
        <f t="shared" si="95"/>
        <v>1</v>
      </c>
    </row>
    <row r="3051" spans="1:8" ht="30">
      <c r="A3051" s="739">
        <v>36503</v>
      </c>
      <c r="B3051" s="740" t="s">
        <v>11440</v>
      </c>
      <c r="C3051" s="739" t="s">
        <v>1690</v>
      </c>
      <c r="D3051" s="741">
        <f t="shared" si="94"/>
        <v>3840.93</v>
      </c>
      <c r="F3051" s="1406">
        <v>3840.93</v>
      </c>
      <c r="G3051" s="1406">
        <v>3840.93</v>
      </c>
      <c r="H3051" t="b">
        <f t="shared" si="95"/>
        <v>1</v>
      </c>
    </row>
    <row r="3052" spans="1:8">
      <c r="A3052" s="677">
        <v>4090</v>
      </c>
      <c r="B3052" s="733" t="s">
        <v>11441</v>
      </c>
      <c r="C3052" s="677" t="s">
        <v>1690</v>
      </c>
      <c r="D3052" s="738">
        <f t="shared" si="94"/>
        <v>1110000</v>
      </c>
      <c r="F3052" s="1405">
        <v>1110000</v>
      </c>
      <c r="G3052" s="1405">
        <v>1110000</v>
      </c>
      <c r="H3052" t="b">
        <f t="shared" si="95"/>
        <v>1</v>
      </c>
    </row>
    <row r="3053" spans="1:8">
      <c r="A3053" s="739">
        <v>13227</v>
      </c>
      <c r="B3053" s="740" t="s">
        <v>11442</v>
      </c>
      <c r="C3053" s="739" t="s">
        <v>1690</v>
      </c>
      <c r="D3053" s="741">
        <f t="shared" si="94"/>
        <v>1379313.41</v>
      </c>
      <c r="F3053" s="1406">
        <v>1379313.41</v>
      </c>
      <c r="G3053" s="1406">
        <v>1379313.41</v>
      </c>
      <c r="H3053" t="b">
        <f t="shared" si="95"/>
        <v>1</v>
      </c>
    </row>
    <row r="3054" spans="1:8">
      <c r="A3054" s="677">
        <v>10597</v>
      </c>
      <c r="B3054" s="733" t="s">
        <v>11443</v>
      </c>
      <c r="C3054" s="677" t="s">
        <v>1690</v>
      </c>
      <c r="D3054" s="738">
        <f t="shared" si="94"/>
        <v>1451905.3</v>
      </c>
      <c r="F3054" s="1405">
        <v>1451905.3</v>
      </c>
      <c r="G3054" s="1405">
        <v>1451905.3</v>
      </c>
      <c r="H3054" t="b">
        <f t="shared" si="95"/>
        <v>1</v>
      </c>
    </row>
    <row r="3055" spans="1:8">
      <c r="A3055" s="739">
        <v>39628</v>
      </c>
      <c r="B3055" s="740" t="s">
        <v>11444</v>
      </c>
      <c r="C3055" s="739" t="s">
        <v>1690</v>
      </c>
      <c r="D3055" s="741">
        <f t="shared" si="94"/>
        <v>4176.5</v>
      </c>
      <c r="F3055" s="1406">
        <v>4176.5</v>
      </c>
      <c r="G3055" s="1406">
        <v>4176.5</v>
      </c>
      <c r="H3055" t="b">
        <f t="shared" si="95"/>
        <v>1</v>
      </c>
    </row>
    <row r="3056" spans="1:8">
      <c r="A3056" s="677">
        <v>39404</v>
      </c>
      <c r="B3056" s="733" t="s">
        <v>11445</v>
      </c>
      <c r="C3056" s="677" t="s">
        <v>1690</v>
      </c>
      <c r="D3056" s="738">
        <f t="shared" si="94"/>
        <v>2070.9899999999998</v>
      </c>
      <c r="F3056" s="1405">
        <v>2070.9899999999998</v>
      </c>
      <c r="G3056" s="1405">
        <v>2070.9899999999998</v>
      </c>
      <c r="H3056" t="b">
        <f t="shared" si="95"/>
        <v>1</v>
      </c>
    </row>
    <row r="3057" spans="1:8">
      <c r="A3057" s="739">
        <v>39402</v>
      </c>
      <c r="B3057" s="740" t="s">
        <v>11446</v>
      </c>
      <c r="C3057" s="739" t="s">
        <v>1690</v>
      </c>
      <c r="D3057" s="741">
        <f t="shared" si="94"/>
        <v>1706.1</v>
      </c>
      <c r="F3057" s="1406">
        <v>1706.1</v>
      </c>
      <c r="G3057" s="1406">
        <v>1706.1</v>
      </c>
      <c r="H3057" t="b">
        <f t="shared" si="95"/>
        <v>1</v>
      </c>
    </row>
    <row r="3058" spans="1:8">
      <c r="A3058" s="677">
        <v>39403</v>
      </c>
      <c r="B3058" s="733" t="s">
        <v>11447</v>
      </c>
      <c r="C3058" s="677" t="s">
        <v>1690</v>
      </c>
      <c r="D3058" s="738">
        <f t="shared" si="94"/>
        <v>1668.99</v>
      </c>
      <c r="F3058" s="1405">
        <v>1668.99</v>
      </c>
      <c r="G3058" s="1405">
        <v>1668.99</v>
      </c>
      <c r="H3058" t="b">
        <f t="shared" si="95"/>
        <v>1</v>
      </c>
    </row>
    <row r="3059" spans="1:8">
      <c r="A3059" s="739">
        <v>4093</v>
      </c>
      <c r="B3059" s="740" t="s">
        <v>11448</v>
      </c>
      <c r="C3059" s="739" t="s">
        <v>1689</v>
      </c>
      <c r="D3059" s="741">
        <f t="shared" si="94"/>
        <v>25.54</v>
      </c>
      <c r="F3059" s="1406">
        <v>22.18</v>
      </c>
      <c r="G3059" s="1406">
        <v>25.54</v>
      </c>
      <c r="H3059" t="b">
        <f t="shared" si="95"/>
        <v>0</v>
      </c>
    </row>
    <row r="3060" spans="1:8">
      <c r="A3060" s="677">
        <v>10512</v>
      </c>
      <c r="B3060" s="733" t="s">
        <v>11449</v>
      </c>
      <c r="C3060" s="677" t="s">
        <v>1696</v>
      </c>
      <c r="D3060" s="738">
        <f t="shared" si="94"/>
        <v>4493.91</v>
      </c>
      <c r="F3060" s="1405">
        <v>3897.53</v>
      </c>
      <c r="G3060" s="1405">
        <v>4493.91</v>
      </c>
      <c r="H3060" t="b">
        <f t="shared" si="95"/>
        <v>0</v>
      </c>
    </row>
    <row r="3061" spans="1:8">
      <c r="A3061" s="739">
        <v>4243</v>
      </c>
      <c r="B3061" s="740" t="s">
        <v>11450</v>
      </c>
      <c r="C3061" s="739" t="s">
        <v>1689</v>
      </c>
      <c r="D3061" s="741">
        <f t="shared" si="94"/>
        <v>17.059999999999999</v>
      </c>
      <c r="F3061" s="1406">
        <v>14.82</v>
      </c>
      <c r="G3061" s="1406">
        <v>17.059999999999999</v>
      </c>
      <c r="H3061" t="b">
        <f t="shared" si="95"/>
        <v>0</v>
      </c>
    </row>
    <row r="3062" spans="1:8">
      <c r="A3062" s="677">
        <v>20020</v>
      </c>
      <c r="B3062" s="733" t="s">
        <v>11451</v>
      </c>
      <c r="C3062" s="677" t="s">
        <v>1689</v>
      </c>
      <c r="D3062" s="738">
        <f t="shared" si="94"/>
        <v>26.53</v>
      </c>
      <c r="F3062" s="1405">
        <v>23.04</v>
      </c>
      <c r="G3062" s="1405">
        <v>26.53</v>
      </c>
      <c r="H3062" t="b">
        <f t="shared" si="95"/>
        <v>0</v>
      </c>
    </row>
    <row r="3063" spans="1:8">
      <c r="A3063" s="739">
        <v>41038</v>
      </c>
      <c r="B3063" s="740" t="s">
        <v>11452</v>
      </c>
      <c r="C3063" s="739" t="s">
        <v>1696</v>
      </c>
      <c r="D3063" s="741">
        <f t="shared" si="94"/>
        <v>4670.1000000000004</v>
      </c>
      <c r="F3063" s="1406">
        <v>4050.33</v>
      </c>
      <c r="G3063" s="1406">
        <v>4670.1000000000004</v>
      </c>
      <c r="H3063" t="b">
        <f t="shared" si="95"/>
        <v>0</v>
      </c>
    </row>
    <row r="3064" spans="1:8">
      <c r="A3064" s="677">
        <v>4094</v>
      </c>
      <c r="B3064" s="733" t="s">
        <v>11453</v>
      </c>
      <c r="C3064" s="677" t="s">
        <v>1689</v>
      </c>
      <c r="D3064" s="738">
        <f t="shared" si="94"/>
        <v>31.77</v>
      </c>
      <c r="F3064" s="1405">
        <v>27.59</v>
      </c>
      <c r="G3064" s="1405">
        <v>31.77</v>
      </c>
      <c r="H3064" t="b">
        <f t="shared" si="95"/>
        <v>0</v>
      </c>
    </row>
    <row r="3065" spans="1:8">
      <c r="A3065" s="739">
        <v>40988</v>
      </c>
      <c r="B3065" s="740" t="s">
        <v>11454</v>
      </c>
      <c r="C3065" s="739" t="s">
        <v>1696</v>
      </c>
      <c r="D3065" s="741">
        <f t="shared" si="94"/>
        <v>5589.62</v>
      </c>
      <c r="F3065" s="1406">
        <v>4847.83</v>
      </c>
      <c r="G3065" s="1406">
        <v>5589.62</v>
      </c>
      <c r="H3065" t="b">
        <f t="shared" si="95"/>
        <v>0</v>
      </c>
    </row>
    <row r="3066" spans="1:8">
      <c r="A3066" s="677">
        <v>4095</v>
      </c>
      <c r="B3066" s="733" t="s">
        <v>11455</v>
      </c>
      <c r="C3066" s="677" t="s">
        <v>1689</v>
      </c>
      <c r="D3066" s="738">
        <f t="shared" si="94"/>
        <v>21.26</v>
      </c>
      <c r="F3066" s="1405">
        <v>18.46</v>
      </c>
      <c r="G3066" s="1405">
        <v>21.26</v>
      </c>
      <c r="H3066" t="b">
        <f t="shared" si="95"/>
        <v>0</v>
      </c>
    </row>
    <row r="3067" spans="1:8">
      <c r="A3067" s="739">
        <v>40990</v>
      </c>
      <c r="B3067" s="740" t="s">
        <v>11456</v>
      </c>
      <c r="C3067" s="739" t="s">
        <v>1696</v>
      </c>
      <c r="D3067" s="741">
        <f t="shared" si="94"/>
        <v>3743.31</v>
      </c>
      <c r="F3067" s="1406">
        <v>3246.54</v>
      </c>
      <c r="G3067" s="1406">
        <v>3743.31</v>
      </c>
      <c r="H3067" t="b">
        <f t="shared" si="95"/>
        <v>0</v>
      </c>
    </row>
    <row r="3068" spans="1:8">
      <c r="A3068" s="677">
        <v>4096</v>
      </c>
      <c r="B3068" s="733" t="s">
        <v>11457</v>
      </c>
      <c r="C3068" s="677" t="s">
        <v>1689</v>
      </c>
      <c r="D3068" s="738">
        <f t="shared" si="94"/>
        <v>28.75</v>
      </c>
      <c r="F3068" s="1405">
        <v>24.97</v>
      </c>
      <c r="G3068" s="1405">
        <v>28.75</v>
      </c>
      <c r="H3068" t="b">
        <f t="shared" si="95"/>
        <v>0</v>
      </c>
    </row>
    <row r="3069" spans="1:8">
      <c r="A3069" s="739">
        <v>40992</v>
      </c>
      <c r="B3069" s="740" t="s">
        <v>11458</v>
      </c>
      <c r="C3069" s="739" t="s">
        <v>1696</v>
      </c>
      <c r="D3069" s="741">
        <f t="shared" si="94"/>
        <v>5059.66</v>
      </c>
      <c r="F3069" s="1406">
        <v>4388.2</v>
      </c>
      <c r="G3069" s="1406">
        <v>5059.66</v>
      </c>
      <c r="H3069" t="b">
        <f t="shared" si="95"/>
        <v>0</v>
      </c>
    </row>
    <row r="3070" spans="1:8">
      <c r="A3070" s="677">
        <v>4114</v>
      </c>
      <c r="B3070" s="733" t="s">
        <v>11459</v>
      </c>
      <c r="C3070" s="677" t="s">
        <v>1690</v>
      </c>
      <c r="D3070" s="738">
        <f t="shared" si="94"/>
        <v>87.83</v>
      </c>
      <c r="F3070" s="1405">
        <v>87.83</v>
      </c>
      <c r="G3070" s="1405">
        <v>87.83</v>
      </c>
      <c r="H3070" t="b">
        <f t="shared" si="95"/>
        <v>1</v>
      </c>
    </row>
    <row r="3071" spans="1:8">
      <c r="A3071" s="739">
        <v>36797</v>
      </c>
      <c r="B3071" s="740" t="s">
        <v>11460</v>
      </c>
      <c r="C3071" s="739" t="s">
        <v>1690</v>
      </c>
      <c r="D3071" s="741">
        <f t="shared" si="94"/>
        <v>78.2</v>
      </c>
      <c r="F3071" s="1406">
        <v>78.2</v>
      </c>
      <c r="G3071" s="1406">
        <v>78.2</v>
      </c>
      <c r="H3071" t="b">
        <f t="shared" si="95"/>
        <v>1</v>
      </c>
    </row>
    <row r="3072" spans="1:8">
      <c r="A3072" s="677">
        <v>4107</v>
      </c>
      <c r="B3072" s="733" t="s">
        <v>11461</v>
      </c>
      <c r="C3072" s="677" t="s">
        <v>1690</v>
      </c>
      <c r="D3072" s="738">
        <f t="shared" si="94"/>
        <v>73.73</v>
      </c>
      <c r="F3072" s="1405">
        <v>73.73</v>
      </c>
      <c r="G3072" s="1405">
        <v>73.73</v>
      </c>
      <c r="H3072" t="b">
        <f t="shared" si="95"/>
        <v>1</v>
      </c>
    </row>
    <row r="3073" spans="1:8">
      <c r="A3073" s="739">
        <v>4102</v>
      </c>
      <c r="B3073" s="740" t="s">
        <v>11462</v>
      </c>
      <c r="C3073" s="739" t="s">
        <v>1690</v>
      </c>
      <c r="D3073" s="741">
        <f t="shared" si="94"/>
        <v>90</v>
      </c>
      <c r="F3073" s="1406">
        <v>90</v>
      </c>
      <c r="G3073" s="1406">
        <v>90</v>
      </c>
      <c r="H3073" t="b">
        <f t="shared" si="95"/>
        <v>1</v>
      </c>
    </row>
    <row r="3074" spans="1:8">
      <c r="A3074" s="677">
        <v>36799</v>
      </c>
      <c r="B3074" s="733" t="s">
        <v>11463</v>
      </c>
      <c r="C3074" s="677" t="s">
        <v>1690</v>
      </c>
      <c r="D3074" s="738">
        <f t="shared" si="94"/>
        <v>75.900000000000006</v>
      </c>
      <c r="F3074" s="1405">
        <v>75.900000000000006</v>
      </c>
      <c r="G3074" s="1405">
        <v>75.900000000000006</v>
      </c>
      <c r="H3074" t="b">
        <f t="shared" si="95"/>
        <v>1</v>
      </c>
    </row>
    <row r="3075" spans="1:8">
      <c r="A3075" s="739">
        <v>2747</v>
      </c>
      <c r="B3075" s="740" t="s">
        <v>11464</v>
      </c>
      <c r="C3075" s="739" t="s">
        <v>1693</v>
      </c>
      <c r="D3075" s="741">
        <f t="shared" ref="D3075:D3138" si="96">IF($J$2=$F$1,F3075,G3075)</f>
        <v>39.9</v>
      </c>
      <c r="F3075" s="1406">
        <v>39.9</v>
      </c>
      <c r="G3075" s="1406">
        <v>39.9</v>
      </c>
      <c r="H3075" t="b">
        <f t="shared" ref="H3075:H3138" si="97">F3075=G3075</f>
        <v>1</v>
      </c>
    </row>
    <row r="3076" spans="1:8">
      <c r="A3076" s="677">
        <v>21138</v>
      </c>
      <c r="B3076" s="733" t="s">
        <v>11465</v>
      </c>
      <c r="C3076" s="677" t="s">
        <v>1693</v>
      </c>
      <c r="D3076" s="738">
        <f t="shared" si="96"/>
        <v>12.65</v>
      </c>
      <c r="F3076" s="1405">
        <v>12.65</v>
      </c>
      <c r="G3076" s="1405">
        <v>12.65</v>
      </c>
      <c r="H3076" t="b">
        <f t="shared" si="97"/>
        <v>1</v>
      </c>
    </row>
    <row r="3077" spans="1:8">
      <c r="A3077" s="739">
        <v>10826</v>
      </c>
      <c r="B3077" s="740" t="s">
        <v>11466</v>
      </c>
      <c r="C3077" s="739" t="s">
        <v>1690</v>
      </c>
      <c r="D3077" s="741">
        <f t="shared" si="96"/>
        <v>114.94</v>
      </c>
      <c r="F3077" s="1406">
        <v>114.94</v>
      </c>
      <c r="G3077" s="1406">
        <v>114.94</v>
      </c>
      <c r="H3077" t="b">
        <f t="shared" si="97"/>
        <v>1</v>
      </c>
    </row>
    <row r="3078" spans="1:8">
      <c r="A3078" s="677">
        <v>365</v>
      </c>
      <c r="B3078" s="733" t="s">
        <v>11467</v>
      </c>
      <c r="C3078" s="677" t="s">
        <v>1690</v>
      </c>
      <c r="D3078" s="738">
        <f t="shared" si="96"/>
        <v>71.260000000000005</v>
      </c>
      <c r="F3078" s="1405">
        <v>71.260000000000005</v>
      </c>
      <c r="G3078" s="1405">
        <v>71.260000000000005</v>
      </c>
      <c r="H3078" t="b">
        <f t="shared" si="97"/>
        <v>1</v>
      </c>
    </row>
    <row r="3079" spans="1:8">
      <c r="A3079" s="739">
        <v>38639</v>
      </c>
      <c r="B3079" s="740" t="s">
        <v>11468</v>
      </c>
      <c r="C3079" s="739" t="s">
        <v>1690</v>
      </c>
      <c r="D3079" s="741">
        <f t="shared" si="96"/>
        <v>275.86</v>
      </c>
      <c r="F3079" s="1406">
        <v>275.86</v>
      </c>
      <c r="G3079" s="1406">
        <v>275.86</v>
      </c>
      <c r="H3079" t="b">
        <f t="shared" si="97"/>
        <v>1</v>
      </c>
    </row>
    <row r="3080" spans="1:8">
      <c r="A3080" s="677">
        <v>38640</v>
      </c>
      <c r="B3080" s="733" t="s">
        <v>11469</v>
      </c>
      <c r="C3080" s="677" t="s">
        <v>1690</v>
      </c>
      <c r="D3080" s="738">
        <f t="shared" si="96"/>
        <v>4.13</v>
      </c>
      <c r="F3080" s="1405">
        <v>4.13</v>
      </c>
      <c r="G3080" s="1405">
        <v>4.13</v>
      </c>
      <c r="H3080" t="b">
        <f t="shared" si="97"/>
        <v>1</v>
      </c>
    </row>
    <row r="3081" spans="1:8">
      <c r="A3081" s="739">
        <v>358</v>
      </c>
      <c r="B3081" s="740" t="s">
        <v>11470</v>
      </c>
      <c r="C3081" s="739" t="s">
        <v>1690</v>
      </c>
      <c r="D3081" s="741">
        <f t="shared" si="96"/>
        <v>85.05</v>
      </c>
      <c r="F3081" s="1406">
        <v>85.05</v>
      </c>
      <c r="G3081" s="1406">
        <v>85.05</v>
      </c>
      <c r="H3081" t="b">
        <f t="shared" si="97"/>
        <v>1</v>
      </c>
    </row>
    <row r="3082" spans="1:8">
      <c r="A3082" s="677">
        <v>359</v>
      </c>
      <c r="B3082" s="733" t="s">
        <v>11471</v>
      </c>
      <c r="C3082" s="677" t="s">
        <v>1690</v>
      </c>
      <c r="D3082" s="738">
        <f t="shared" si="96"/>
        <v>174.71</v>
      </c>
      <c r="F3082" s="1405">
        <v>174.71</v>
      </c>
      <c r="G3082" s="1405">
        <v>174.71</v>
      </c>
      <c r="H3082" t="b">
        <f t="shared" si="97"/>
        <v>1</v>
      </c>
    </row>
    <row r="3083" spans="1:8">
      <c r="A3083" s="739">
        <v>38641</v>
      </c>
      <c r="B3083" s="740" t="s">
        <v>11472</v>
      </c>
      <c r="C3083" s="739" t="s">
        <v>1690</v>
      </c>
      <c r="D3083" s="741">
        <f t="shared" si="96"/>
        <v>172.41</v>
      </c>
      <c r="F3083" s="1406">
        <v>172.41</v>
      </c>
      <c r="G3083" s="1406">
        <v>172.41</v>
      </c>
      <c r="H3083" t="b">
        <f t="shared" si="97"/>
        <v>1</v>
      </c>
    </row>
    <row r="3084" spans="1:8">
      <c r="A3084" s="677">
        <v>360</v>
      </c>
      <c r="B3084" s="733" t="s">
        <v>11473</v>
      </c>
      <c r="C3084" s="677" t="s">
        <v>1690</v>
      </c>
      <c r="D3084" s="738">
        <f t="shared" si="96"/>
        <v>4</v>
      </c>
      <c r="F3084" s="1405">
        <v>4</v>
      </c>
      <c r="G3084" s="1405">
        <v>4</v>
      </c>
      <c r="H3084" t="b">
        <f t="shared" si="97"/>
        <v>1</v>
      </c>
    </row>
    <row r="3085" spans="1:8" ht="30">
      <c r="A3085" s="739">
        <v>42430</v>
      </c>
      <c r="B3085" s="740" t="s">
        <v>11474</v>
      </c>
      <c r="C3085" s="739" t="s">
        <v>1690</v>
      </c>
      <c r="D3085" s="741">
        <f t="shared" si="96"/>
        <v>6434.22</v>
      </c>
      <c r="F3085" s="1406">
        <v>6434.22</v>
      </c>
      <c r="G3085" s="1406">
        <v>6434.22</v>
      </c>
      <c r="H3085" t="b">
        <f t="shared" si="97"/>
        <v>1</v>
      </c>
    </row>
    <row r="3086" spans="1:8">
      <c r="A3086" s="677">
        <v>4209</v>
      </c>
      <c r="B3086" s="733" t="s">
        <v>11475</v>
      </c>
      <c r="C3086" s="677" t="s">
        <v>1690</v>
      </c>
      <c r="D3086" s="738">
        <f t="shared" si="96"/>
        <v>18.34</v>
      </c>
      <c r="F3086" s="1405">
        <v>18.34</v>
      </c>
      <c r="G3086" s="1405">
        <v>18.34</v>
      </c>
      <c r="H3086" t="b">
        <f t="shared" si="97"/>
        <v>1</v>
      </c>
    </row>
    <row r="3087" spans="1:8">
      <c r="A3087" s="739">
        <v>4180</v>
      </c>
      <c r="B3087" s="740" t="s">
        <v>11476</v>
      </c>
      <c r="C3087" s="739" t="s">
        <v>1690</v>
      </c>
      <c r="D3087" s="741">
        <f t="shared" si="96"/>
        <v>13.81</v>
      </c>
      <c r="F3087" s="1406">
        <v>13.81</v>
      </c>
      <c r="G3087" s="1406">
        <v>13.81</v>
      </c>
      <c r="H3087" t="b">
        <f t="shared" si="97"/>
        <v>1</v>
      </c>
    </row>
    <row r="3088" spans="1:8">
      <c r="A3088" s="677">
        <v>4177</v>
      </c>
      <c r="B3088" s="733" t="s">
        <v>11477</v>
      </c>
      <c r="C3088" s="677" t="s">
        <v>1690</v>
      </c>
      <c r="D3088" s="738">
        <f t="shared" si="96"/>
        <v>4.58</v>
      </c>
      <c r="F3088" s="1405">
        <v>4.58</v>
      </c>
      <c r="G3088" s="1405">
        <v>4.58</v>
      </c>
      <c r="H3088" t="b">
        <f t="shared" si="97"/>
        <v>1</v>
      </c>
    </row>
    <row r="3089" spans="1:8">
      <c r="A3089" s="739">
        <v>4179</v>
      </c>
      <c r="B3089" s="740" t="s">
        <v>11478</v>
      </c>
      <c r="C3089" s="739" t="s">
        <v>1690</v>
      </c>
      <c r="D3089" s="741">
        <f t="shared" si="96"/>
        <v>9.3800000000000008</v>
      </c>
      <c r="F3089" s="1406">
        <v>9.3800000000000008</v>
      </c>
      <c r="G3089" s="1406">
        <v>9.3800000000000008</v>
      </c>
      <c r="H3089" t="b">
        <f t="shared" si="97"/>
        <v>1</v>
      </c>
    </row>
    <row r="3090" spans="1:8">
      <c r="A3090" s="677">
        <v>4208</v>
      </c>
      <c r="B3090" s="733" t="s">
        <v>11479</v>
      </c>
      <c r="C3090" s="677" t="s">
        <v>1690</v>
      </c>
      <c r="D3090" s="738">
        <f t="shared" si="96"/>
        <v>43.66</v>
      </c>
      <c r="F3090" s="1405">
        <v>43.66</v>
      </c>
      <c r="G3090" s="1405">
        <v>43.66</v>
      </c>
      <c r="H3090" t="b">
        <f t="shared" si="97"/>
        <v>1</v>
      </c>
    </row>
    <row r="3091" spans="1:8">
      <c r="A3091" s="739">
        <v>4181</v>
      </c>
      <c r="B3091" s="740" t="s">
        <v>11480</v>
      </c>
      <c r="C3091" s="739" t="s">
        <v>1690</v>
      </c>
      <c r="D3091" s="741">
        <f t="shared" si="96"/>
        <v>28.52</v>
      </c>
      <c r="F3091" s="1406">
        <v>28.52</v>
      </c>
      <c r="G3091" s="1406">
        <v>28.52</v>
      </c>
      <c r="H3091" t="b">
        <f t="shared" si="97"/>
        <v>1</v>
      </c>
    </row>
    <row r="3092" spans="1:8">
      <c r="A3092" s="677">
        <v>4178</v>
      </c>
      <c r="B3092" s="733" t="s">
        <v>11481</v>
      </c>
      <c r="C3092" s="677" t="s">
        <v>1690</v>
      </c>
      <c r="D3092" s="738">
        <f t="shared" si="96"/>
        <v>6.35</v>
      </c>
      <c r="F3092" s="1405">
        <v>6.35</v>
      </c>
      <c r="G3092" s="1405">
        <v>6.35</v>
      </c>
      <c r="H3092" t="b">
        <f t="shared" si="97"/>
        <v>1</v>
      </c>
    </row>
    <row r="3093" spans="1:8">
      <c r="A3093" s="739">
        <v>4182</v>
      </c>
      <c r="B3093" s="740" t="s">
        <v>11482</v>
      </c>
      <c r="C3093" s="739" t="s">
        <v>1690</v>
      </c>
      <c r="D3093" s="741">
        <f t="shared" si="96"/>
        <v>71.02</v>
      </c>
      <c r="F3093" s="1406">
        <v>71.02</v>
      </c>
      <c r="G3093" s="1406">
        <v>71.02</v>
      </c>
      <c r="H3093" t="b">
        <f t="shared" si="97"/>
        <v>1</v>
      </c>
    </row>
    <row r="3094" spans="1:8">
      <c r="A3094" s="677">
        <v>4183</v>
      </c>
      <c r="B3094" s="733" t="s">
        <v>11483</v>
      </c>
      <c r="C3094" s="677" t="s">
        <v>1690</v>
      </c>
      <c r="D3094" s="738">
        <f t="shared" si="96"/>
        <v>114.34</v>
      </c>
      <c r="F3094" s="1405">
        <v>114.34</v>
      </c>
      <c r="G3094" s="1405">
        <v>114.34</v>
      </c>
      <c r="H3094" t="b">
        <f t="shared" si="97"/>
        <v>1</v>
      </c>
    </row>
    <row r="3095" spans="1:8">
      <c r="A3095" s="739">
        <v>4184</v>
      </c>
      <c r="B3095" s="740" t="s">
        <v>11484</v>
      </c>
      <c r="C3095" s="739" t="s">
        <v>1690</v>
      </c>
      <c r="D3095" s="741">
        <f t="shared" si="96"/>
        <v>252.4</v>
      </c>
      <c r="F3095" s="1406">
        <v>252.4</v>
      </c>
      <c r="G3095" s="1406">
        <v>252.4</v>
      </c>
      <c r="H3095" t="b">
        <f t="shared" si="97"/>
        <v>1</v>
      </c>
    </row>
    <row r="3096" spans="1:8">
      <c r="A3096" s="677">
        <v>4185</v>
      </c>
      <c r="B3096" s="733" t="s">
        <v>11485</v>
      </c>
      <c r="C3096" s="677" t="s">
        <v>1690</v>
      </c>
      <c r="D3096" s="738">
        <f t="shared" si="96"/>
        <v>419.38</v>
      </c>
      <c r="F3096" s="1405">
        <v>419.38</v>
      </c>
      <c r="G3096" s="1405">
        <v>419.38</v>
      </c>
      <c r="H3096" t="b">
        <f t="shared" si="97"/>
        <v>1</v>
      </c>
    </row>
    <row r="3097" spans="1:8">
      <c r="A3097" s="739">
        <v>4205</v>
      </c>
      <c r="B3097" s="740" t="s">
        <v>11486</v>
      </c>
      <c r="C3097" s="739" t="s">
        <v>1690</v>
      </c>
      <c r="D3097" s="741">
        <f t="shared" si="96"/>
        <v>24.22</v>
      </c>
      <c r="F3097" s="1406">
        <v>24.22</v>
      </c>
      <c r="G3097" s="1406">
        <v>24.22</v>
      </c>
      <c r="H3097" t="b">
        <f t="shared" si="97"/>
        <v>1</v>
      </c>
    </row>
    <row r="3098" spans="1:8">
      <c r="A3098" s="677">
        <v>4192</v>
      </c>
      <c r="B3098" s="733" t="s">
        <v>11487</v>
      </c>
      <c r="C3098" s="677" t="s">
        <v>1690</v>
      </c>
      <c r="D3098" s="738">
        <f t="shared" si="96"/>
        <v>24.22</v>
      </c>
      <c r="F3098" s="1405">
        <v>24.22</v>
      </c>
      <c r="G3098" s="1405">
        <v>24.22</v>
      </c>
      <c r="H3098" t="b">
        <f t="shared" si="97"/>
        <v>1</v>
      </c>
    </row>
    <row r="3099" spans="1:8">
      <c r="A3099" s="739">
        <v>4191</v>
      </c>
      <c r="B3099" s="740" t="s">
        <v>11488</v>
      </c>
      <c r="C3099" s="739" t="s">
        <v>1690</v>
      </c>
      <c r="D3099" s="741">
        <f t="shared" si="96"/>
        <v>24.22</v>
      </c>
      <c r="F3099" s="1406">
        <v>24.22</v>
      </c>
      <c r="G3099" s="1406">
        <v>24.22</v>
      </c>
      <c r="H3099" t="b">
        <f t="shared" si="97"/>
        <v>1</v>
      </c>
    </row>
    <row r="3100" spans="1:8">
      <c r="A3100" s="677">
        <v>4207</v>
      </c>
      <c r="B3100" s="733" t="s">
        <v>11489</v>
      </c>
      <c r="C3100" s="677" t="s">
        <v>1690</v>
      </c>
      <c r="D3100" s="738">
        <f t="shared" si="96"/>
        <v>19.489999999999998</v>
      </c>
      <c r="F3100" s="1405">
        <v>19.489999999999998</v>
      </c>
      <c r="G3100" s="1405">
        <v>19.489999999999998</v>
      </c>
      <c r="H3100" t="b">
        <f t="shared" si="97"/>
        <v>1</v>
      </c>
    </row>
    <row r="3101" spans="1:8">
      <c r="A3101" s="739">
        <v>4206</v>
      </c>
      <c r="B3101" s="740" t="s">
        <v>11490</v>
      </c>
      <c r="C3101" s="739" t="s">
        <v>1690</v>
      </c>
      <c r="D3101" s="741">
        <f t="shared" si="96"/>
        <v>18.920000000000002</v>
      </c>
      <c r="F3101" s="1406">
        <v>18.920000000000002</v>
      </c>
      <c r="G3101" s="1406">
        <v>18.920000000000002</v>
      </c>
      <c r="H3101" t="b">
        <f t="shared" si="97"/>
        <v>1</v>
      </c>
    </row>
    <row r="3102" spans="1:8">
      <c r="A3102" s="677">
        <v>4190</v>
      </c>
      <c r="B3102" s="733" t="s">
        <v>11491</v>
      </c>
      <c r="C3102" s="677" t="s">
        <v>1690</v>
      </c>
      <c r="D3102" s="738">
        <f t="shared" si="96"/>
        <v>18.920000000000002</v>
      </c>
      <c r="F3102" s="1405">
        <v>18.920000000000002</v>
      </c>
      <c r="G3102" s="1405">
        <v>18.920000000000002</v>
      </c>
      <c r="H3102" t="b">
        <f t="shared" si="97"/>
        <v>1</v>
      </c>
    </row>
    <row r="3103" spans="1:8">
      <c r="A3103" s="739">
        <v>4186</v>
      </c>
      <c r="B3103" s="740" t="s">
        <v>11492</v>
      </c>
      <c r="C3103" s="739" t="s">
        <v>1690</v>
      </c>
      <c r="D3103" s="741">
        <f t="shared" si="96"/>
        <v>5.59</v>
      </c>
      <c r="F3103" s="1406">
        <v>5.59</v>
      </c>
      <c r="G3103" s="1406">
        <v>5.59</v>
      </c>
      <c r="H3103" t="b">
        <f t="shared" si="97"/>
        <v>1</v>
      </c>
    </row>
    <row r="3104" spans="1:8">
      <c r="A3104" s="677">
        <v>4188</v>
      </c>
      <c r="B3104" s="733" t="s">
        <v>11493</v>
      </c>
      <c r="C3104" s="677" t="s">
        <v>1690</v>
      </c>
      <c r="D3104" s="738">
        <f t="shared" si="96"/>
        <v>11.42</v>
      </c>
      <c r="F3104" s="1405">
        <v>11.42</v>
      </c>
      <c r="G3104" s="1405">
        <v>11.42</v>
      </c>
      <c r="H3104" t="b">
        <f t="shared" si="97"/>
        <v>1</v>
      </c>
    </row>
    <row r="3105" spans="1:8">
      <c r="A3105" s="739">
        <v>4189</v>
      </c>
      <c r="B3105" s="740" t="s">
        <v>11494</v>
      </c>
      <c r="C3105" s="739" t="s">
        <v>1690</v>
      </c>
      <c r="D3105" s="741">
        <f t="shared" si="96"/>
        <v>11.42</v>
      </c>
      <c r="F3105" s="1406">
        <v>11.42</v>
      </c>
      <c r="G3105" s="1406">
        <v>11.42</v>
      </c>
      <c r="H3105" t="b">
        <f t="shared" si="97"/>
        <v>1</v>
      </c>
    </row>
    <row r="3106" spans="1:8">
      <c r="A3106" s="677">
        <v>4197</v>
      </c>
      <c r="B3106" s="733" t="s">
        <v>11495</v>
      </c>
      <c r="C3106" s="677" t="s">
        <v>1690</v>
      </c>
      <c r="D3106" s="738">
        <f t="shared" si="96"/>
        <v>60.47</v>
      </c>
      <c r="F3106" s="1405">
        <v>60.47</v>
      </c>
      <c r="G3106" s="1405">
        <v>60.47</v>
      </c>
      <c r="H3106" t="b">
        <f t="shared" si="97"/>
        <v>1</v>
      </c>
    </row>
    <row r="3107" spans="1:8">
      <c r="A3107" s="739">
        <v>4194</v>
      </c>
      <c r="B3107" s="740" t="s">
        <v>11496</v>
      </c>
      <c r="C3107" s="739" t="s">
        <v>1690</v>
      </c>
      <c r="D3107" s="741">
        <f t="shared" si="96"/>
        <v>36.54</v>
      </c>
      <c r="F3107" s="1406">
        <v>36.54</v>
      </c>
      <c r="G3107" s="1406">
        <v>36.54</v>
      </c>
      <c r="H3107" t="b">
        <f t="shared" si="97"/>
        <v>1</v>
      </c>
    </row>
    <row r="3108" spans="1:8">
      <c r="A3108" s="677">
        <v>4193</v>
      </c>
      <c r="B3108" s="733" t="s">
        <v>11497</v>
      </c>
      <c r="C3108" s="677" t="s">
        <v>1690</v>
      </c>
      <c r="D3108" s="738">
        <f t="shared" si="96"/>
        <v>36.54</v>
      </c>
      <c r="F3108" s="1405">
        <v>36.54</v>
      </c>
      <c r="G3108" s="1405">
        <v>36.54</v>
      </c>
      <c r="H3108" t="b">
        <f t="shared" si="97"/>
        <v>1</v>
      </c>
    </row>
    <row r="3109" spans="1:8">
      <c r="A3109" s="739">
        <v>4204</v>
      </c>
      <c r="B3109" s="740" t="s">
        <v>11498</v>
      </c>
      <c r="C3109" s="739" t="s">
        <v>1690</v>
      </c>
      <c r="D3109" s="741">
        <f t="shared" si="96"/>
        <v>36.54</v>
      </c>
      <c r="F3109" s="1406">
        <v>36.54</v>
      </c>
      <c r="G3109" s="1406">
        <v>36.54</v>
      </c>
      <c r="H3109" t="b">
        <f t="shared" si="97"/>
        <v>1</v>
      </c>
    </row>
    <row r="3110" spans="1:8">
      <c r="A3110" s="677">
        <v>4187</v>
      </c>
      <c r="B3110" s="733" t="s">
        <v>11499</v>
      </c>
      <c r="C3110" s="677" t="s">
        <v>1690</v>
      </c>
      <c r="D3110" s="738">
        <f t="shared" si="96"/>
        <v>7.28</v>
      </c>
      <c r="F3110" s="1405">
        <v>7.28</v>
      </c>
      <c r="G3110" s="1405">
        <v>7.28</v>
      </c>
      <c r="H3110" t="b">
        <f t="shared" si="97"/>
        <v>1</v>
      </c>
    </row>
    <row r="3111" spans="1:8">
      <c r="A3111" s="739">
        <v>4202</v>
      </c>
      <c r="B3111" s="740" t="s">
        <v>11500</v>
      </c>
      <c r="C3111" s="739" t="s">
        <v>1690</v>
      </c>
      <c r="D3111" s="741">
        <f t="shared" si="96"/>
        <v>110.44</v>
      </c>
      <c r="F3111" s="1406">
        <v>110.44</v>
      </c>
      <c r="G3111" s="1406">
        <v>110.44</v>
      </c>
      <c r="H3111" t="b">
        <f t="shared" si="97"/>
        <v>1</v>
      </c>
    </row>
    <row r="3112" spans="1:8">
      <c r="A3112" s="677">
        <v>4203</v>
      </c>
      <c r="B3112" s="733" t="s">
        <v>11501</v>
      </c>
      <c r="C3112" s="677" t="s">
        <v>1690</v>
      </c>
      <c r="D3112" s="738">
        <f t="shared" si="96"/>
        <v>97.54</v>
      </c>
      <c r="F3112" s="1405">
        <v>97.54</v>
      </c>
      <c r="G3112" s="1405">
        <v>97.54</v>
      </c>
      <c r="H3112" t="b">
        <f t="shared" si="97"/>
        <v>1</v>
      </c>
    </row>
    <row r="3113" spans="1:8">
      <c r="A3113" s="739">
        <v>40368</v>
      </c>
      <c r="B3113" s="740" t="s">
        <v>11502</v>
      </c>
      <c r="C3113" s="739" t="s">
        <v>1690</v>
      </c>
      <c r="D3113" s="741">
        <f t="shared" si="96"/>
        <v>63.68</v>
      </c>
      <c r="F3113" s="1406">
        <v>63.68</v>
      </c>
      <c r="G3113" s="1406">
        <v>63.68</v>
      </c>
      <c r="H3113" t="b">
        <f t="shared" si="97"/>
        <v>1</v>
      </c>
    </row>
    <row r="3114" spans="1:8">
      <c r="A3114" s="677">
        <v>40365</v>
      </c>
      <c r="B3114" s="733" t="s">
        <v>11503</v>
      </c>
      <c r="C3114" s="677" t="s">
        <v>1690</v>
      </c>
      <c r="D3114" s="738">
        <f t="shared" si="96"/>
        <v>42.96</v>
      </c>
      <c r="F3114" s="1405">
        <v>42.96</v>
      </c>
      <c r="G3114" s="1405">
        <v>42.96</v>
      </c>
      <c r="H3114" t="b">
        <f t="shared" si="97"/>
        <v>1</v>
      </c>
    </row>
    <row r="3115" spans="1:8">
      <c r="A3115" s="739">
        <v>40356</v>
      </c>
      <c r="B3115" s="740" t="s">
        <v>11504</v>
      </c>
      <c r="C3115" s="739" t="s">
        <v>1690</v>
      </c>
      <c r="D3115" s="741">
        <f t="shared" si="96"/>
        <v>14.68</v>
      </c>
      <c r="F3115" s="1406">
        <v>14.68</v>
      </c>
      <c r="G3115" s="1406">
        <v>14.68</v>
      </c>
      <c r="H3115" t="b">
        <f t="shared" si="97"/>
        <v>1</v>
      </c>
    </row>
    <row r="3116" spans="1:8">
      <c r="A3116" s="677">
        <v>40362</v>
      </c>
      <c r="B3116" s="733" t="s">
        <v>11505</v>
      </c>
      <c r="C3116" s="677" t="s">
        <v>1690</v>
      </c>
      <c r="D3116" s="738">
        <f t="shared" si="96"/>
        <v>28.46</v>
      </c>
      <c r="F3116" s="1405">
        <v>28.46</v>
      </c>
      <c r="G3116" s="1405">
        <v>28.46</v>
      </c>
      <c r="H3116" t="b">
        <f t="shared" si="97"/>
        <v>1</v>
      </c>
    </row>
    <row r="3117" spans="1:8">
      <c r="A3117" s="739">
        <v>40374</v>
      </c>
      <c r="B3117" s="740" t="s">
        <v>11506</v>
      </c>
      <c r="C3117" s="739" t="s">
        <v>1690</v>
      </c>
      <c r="D3117" s="741">
        <f t="shared" si="96"/>
        <v>166.44</v>
      </c>
      <c r="F3117" s="1406">
        <v>166.44</v>
      </c>
      <c r="G3117" s="1406">
        <v>166.44</v>
      </c>
      <c r="H3117" t="b">
        <f t="shared" si="97"/>
        <v>1</v>
      </c>
    </row>
    <row r="3118" spans="1:8">
      <c r="A3118" s="677">
        <v>40371</v>
      </c>
      <c r="B3118" s="733" t="s">
        <v>11507</v>
      </c>
      <c r="C3118" s="677" t="s">
        <v>1690</v>
      </c>
      <c r="D3118" s="738">
        <f t="shared" si="96"/>
        <v>104.77</v>
      </c>
      <c r="F3118" s="1405">
        <v>104.77</v>
      </c>
      <c r="G3118" s="1405">
        <v>104.77</v>
      </c>
      <c r="H3118" t="b">
        <f t="shared" si="97"/>
        <v>1</v>
      </c>
    </row>
    <row r="3119" spans="1:8">
      <c r="A3119" s="739">
        <v>40359</v>
      </c>
      <c r="B3119" s="740" t="s">
        <v>11508</v>
      </c>
      <c r="C3119" s="739" t="s">
        <v>1690</v>
      </c>
      <c r="D3119" s="741">
        <f t="shared" si="96"/>
        <v>18.96</v>
      </c>
      <c r="F3119" s="1406">
        <v>18.96</v>
      </c>
      <c r="G3119" s="1406">
        <v>18.96</v>
      </c>
      <c r="H3119" t="b">
        <f t="shared" si="97"/>
        <v>1</v>
      </c>
    </row>
    <row r="3120" spans="1:8">
      <c r="A3120" s="677">
        <v>7595</v>
      </c>
      <c r="B3120" s="733" t="s">
        <v>11509</v>
      </c>
      <c r="C3120" s="677" t="s">
        <v>1689</v>
      </c>
      <c r="D3120" s="738">
        <f t="shared" si="96"/>
        <v>15.94</v>
      </c>
      <c r="F3120" s="1405">
        <v>13.85</v>
      </c>
      <c r="G3120" s="1405">
        <v>15.94</v>
      </c>
      <c r="H3120" t="b">
        <f t="shared" si="97"/>
        <v>0</v>
      </c>
    </row>
    <row r="3121" spans="1:8">
      <c r="A3121" s="739">
        <v>41094</v>
      </c>
      <c r="B3121" s="740" t="s">
        <v>11510</v>
      </c>
      <c r="C3121" s="739" t="s">
        <v>1696</v>
      </c>
      <c r="D3121" s="741">
        <f t="shared" si="96"/>
        <v>2806.93</v>
      </c>
      <c r="F3121" s="1406">
        <v>2434.4299999999998</v>
      </c>
      <c r="G3121" s="1406">
        <v>2806.93</v>
      </c>
      <c r="H3121" t="b">
        <f t="shared" si="97"/>
        <v>0</v>
      </c>
    </row>
    <row r="3122" spans="1:8">
      <c r="A3122" s="677">
        <v>39609</v>
      </c>
      <c r="B3122" s="733" t="s">
        <v>11511</v>
      </c>
      <c r="C3122" s="677" t="s">
        <v>1690</v>
      </c>
      <c r="D3122" s="738">
        <f t="shared" si="96"/>
        <v>64515.83</v>
      </c>
      <c r="F3122" s="1405">
        <v>64515.83</v>
      </c>
      <c r="G3122" s="1405">
        <v>64515.83</v>
      </c>
      <c r="H3122" t="b">
        <f t="shared" si="97"/>
        <v>1</v>
      </c>
    </row>
    <row r="3123" spans="1:8">
      <c r="A3123" s="739">
        <v>39610</v>
      </c>
      <c r="B3123" s="740" t="s">
        <v>11512</v>
      </c>
      <c r="C3123" s="739" t="s">
        <v>1690</v>
      </c>
      <c r="D3123" s="741">
        <f t="shared" si="96"/>
        <v>94172.99</v>
      </c>
      <c r="F3123" s="1406">
        <v>94172.99</v>
      </c>
      <c r="G3123" s="1406">
        <v>94172.99</v>
      </c>
      <c r="H3123" t="b">
        <f t="shared" si="97"/>
        <v>1</v>
      </c>
    </row>
    <row r="3124" spans="1:8">
      <c r="A3124" s="677">
        <v>39611</v>
      </c>
      <c r="B3124" s="733" t="s">
        <v>11513</v>
      </c>
      <c r="C3124" s="677" t="s">
        <v>1690</v>
      </c>
      <c r="D3124" s="738">
        <f t="shared" si="96"/>
        <v>113964.74</v>
      </c>
      <c r="F3124" s="1405">
        <v>113964.74</v>
      </c>
      <c r="G3124" s="1405">
        <v>113964.74</v>
      </c>
      <c r="H3124" t="b">
        <f t="shared" si="97"/>
        <v>1</v>
      </c>
    </row>
    <row r="3125" spans="1:8">
      <c r="A3125" s="739">
        <v>39612</v>
      </c>
      <c r="B3125" s="740" t="s">
        <v>11514</v>
      </c>
      <c r="C3125" s="739" t="s">
        <v>1690</v>
      </c>
      <c r="D3125" s="741">
        <f t="shared" si="96"/>
        <v>178528.33</v>
      </c>
      <c r="F3125" s="1406">
        <v>178528.33</v>
      </c>
      <c r="G3125" s="1406">
        <v>178528.33</v>
      </c>
      <c r="H3125" t="b">
        <f t="shared" si="97"/>
        <v>1</v>
      </c>
    </row>
    <row r="3126" spans="1:8">
      <c r="A3126" s="677">
        <v>39608</v>
      </c>
      <c r="B3126" s="733" t="s">
        <v>11515</v>
      </c>
      <c r="C3126" s="677" t="s">
        <v>1690</v>
      </c>
      <c r="D3126" s="738">
        <f t="shared" si="96"/>
        <v>51586.18</v>
      </c>
      <c r="F3126" s="1405">
        <v>51586.18</v>
      </c>
      <c r="G3126" s="1405">
        <v>51586.18</v>
      </c>
      <c r="H3126" t="b">
        <f t="shared" si="97"/>
        <v>1</v>
      </c>
    </row>
    <row r="3127" spans="1:8">
      <c r="A3127" s="739">
        <v>38175</v>
      </c>
      <c r="B3127" s="740" t="s">
        <v>11516</v>
      </c>
      <c r="C3127" s="739" t="s">
        <v>1690</v>
      </c>
      <c r="D3127" s="741">
        <f t="shared" si="96"/>
        <v>5.32</v>
      </c>
      <c r="F3127" s="1406">
        <v>5.32</v>
      </c>
      <c r="G3127" s="1406">
        <v>5.32</v>
      </c>
      <c r="H3127" t="b">
        <f t="shared" si="97"/>
        <v>1</v>
      </c>
    </row>
    <row r="3128" spans="1:8">
      <c r="A3128" s="677">
        <v>38176</v>
      </c>
      <c r="B3128" s="733" t="s">
        <v>11517</v>
      </c>
      <c r="C3128" s="677" t="s">
        <v>1690</v>
      </c>
      <c r="D3128" s="738">
        <f t="shared" si="96"/>
        <v>15.66</v>
      </c>
      <c r="F3128" s="1405">
        <v>15.66</v>
      </c>
      <c r="G3128" s="1405">
        <v>15.66</v>
      </c>
      <c r="H3128" t="b">
        <f t="shared" si="97"/>
        <v>1</v>
      </c>
    </row>
    <row r="3129" spans="1:8">
      <c r="A3129" s="739">
        <v>36152</v>
      </c>
      <c r="B3129" s="740" t="s">
        <v>11518</v>
      </c>
      <c r="C3129" s="739" t="s">
        <v>1690</v>
      </c>
      <c r="D3129" s="741">
        <f t="shared" si="96"/>
        <v>6.87</v>
      </c>
      <c r="F3129" s="1406">
        <v>6.87</v>
      </c>
      <c r="G3129" s="1406">
        <v>6.87</v>
      </c>
      <c r="H3129" t="b">
        <f t="shared" si="97"/>
        <v>1</v>
      </c>
    </row>
    <row r="3130" spans="1:8">
      <c r="A3130" s="677">
        <v>4221</v>
      </c>
      <c r="B3130" s="733" t="s">
        <v>11519</v>
      </c>
      <c r="C3130" s="677" t="s">
        <v>1695</v>
      </c>
      <c r="D3130" s="738">
        <f t="shared" si="96"/>
        <v>5.89</v>
      </c>
      <c r="F3130" s="1405">
        <v>5.89</v>
      </c>
      <c r="G3130" s="1405">
        <v>5.89</v>
      </c>
      <c r="H3130" t="b">
        <f t="shared" si="97"/>
        <v>1</v>
      </c>
    </row>
    <row r="3131" spans="1:8" ht="30">
      <c r="A3131" s="739">
        <v>4227</v>
      </c>
      <c r="B3131" s="740" t="s">
        <v>11520</v>
      </c>
      <c r="C3131" s="739" t="s">
        <v>1695</v>
      </c>
      <c r="D3131" s="741">
        <f t="shared" si="96"/>
        <v>27.46</v>
      </c>
      <c r="F3131" s="1406">
        <v>27.46</v>
      </c>
      <c r="G3131" s="1406">
        <v>27.46</v>
      </c>
      <c r="H3131" t="b">
        <f t="shared" si="97"/>
        <v>1</v>
      </c>
    </row>
    <row r="3132" spans="1:8" ht="30">
      <c r="A3132" s="677">
        <v>38170</v>
      </c>
      <c r="B3132" s="733" t="s">
        <v>11521</v>
      </c>
      <c r="C3132" s="677" t="s">
        <v>1690</v>
      </c>
      <c r="D3132" s="738">
        <f t="shared" si="96"/>
        <v>23.26</v>
      </c>
      <c r="F3132" s="1405">
        <v>23.26</v>
      </c>
      <c r="G3132" s="1405">
        <v>23.26</v>
      </c>
      <c r="H3132" t="b">
        <f t="shared" si="97"/>
        <v>1</v>
      </c>
    </row>
    <row r="3133" spans="1:8">
      <c r="A3133" s="739">
        <v>4252</v>
      </c>
      <c r="B3133" s="740" t="s">
        <v>11522</v>
      </c>
      <c r="C3133" s="739" t="s">
        <v>1689</v>
      </c>
      <c r="D3133" s="741">
        <f t="shared" si="96"/>
        <v>16.38</v>
      </c>
      <c r="F3133" s="1406">
        <v>14.22</v>
      </c>
      <c r="G3133" s="1406">
        <v>16.38</v>
      </c>
      <c r="H3133" t="b">
        <f t="shared" si="97"/>
        <v>0</v>
      </c>
    </row>
    <row r="3134" spans="1:8">
      <c r="A3134" s="677">
        <v>40980</v>
      </c>
      <c r="B3134" s="733" t="s">
        <v>11523</v>
      </c>
      <c r="C3134" s="677" t="s">
        <v>1696</v>
      </c>
      <c r="D3134" s="738">
        <f t="shared" si="96"/>
        <v>2885.02</v>
      </c>
      <c r="F3134" s="1405">
        <v>2502.15</v>
      </c>
      <c r="G3134" s="1405">
        <v>2885.02</v>
      </c>
      <c r="H3134" t="b">
        <f t="shared" si="97"/>
        <v>0</v>
      </c>
    </row>
    <row r="3135" spans="1:8">
      <c r="A3135" s="739">
        <v>41031</v>
      </c>
      <c r="B3135" s="740" t="s">
        <v>11524</v>
      </c>
      <c r="C3135" s="739" t="s">
        <v>1696</v>
      </c>
      <c r="D3135" s="741">
        <f t="shared" si="96"/>
        <v>3004.82</v>
      </c>
      <c r="F3135" s="1406">
        <v>2606.0500000000002</v>
      </c>
      <c r="G3135" s="1406">
        <v>3004.82</v>
      </c>
      <c r="H3135" t="b">
        <f t="shared" si="97"/>
        <v>0</v>
      </c>
    </row>
    <row r="3136" spans="1:8">
      <c r="A3136" s="677">
        <v>37666</v>
      </c>
      <c r="B3136" s="733" t="s">
        <v>11525</v>
      </c>
      <c r="C3136" s="677" t="s">
        <v>1689</v>
      </c>
      <c r="D3136" s="738">
        <f t="shared" si="96"/>
        <v>15.3</v>
      </c>
      <c r="F3136" s="1405">
        <v>13.29</v>
      </c>
      <c r="G3136" s="1405">
        <v>15.3</v>
      </c>
      <c r="H3136" t="b">
        <f t="shared" si="97"/>
        <v>0</v>
      </c>
    </row>
    <row r="3137" spans="1:8">
      <c r="A3137" s="739">
        <v>40986</v>
      </c>
      <c r="B3137" s="740" t="s">
        <v>11526</v>
      </c>
      <c r="C3137" s="739" t="s">
        <v>1696</v>
      </c>
      <c r="D3137" s="741">
        <f t="shared" si="96"/>
        <v>2695.93</v>
      </c>
      <c r="F3137" s="1406">
        <v>2338.16</v>
      </c>
      <c r="G3137" s="1406">
        <v>2695.93</v>
      </c>
      <c r="H3137" t="b">
        <f t="shared" si="97"/>
        <v>0</v>
      </c>
    </row>
    <row r="3138" spans="1:8">
      <c r="A3138" s="677">
        <v>4250</v>
      </c>
      <c r="B3138" s="733" t="s">
        <v>11527</v>
      </c>
      <c r="C3138" s="677" t="s">
        <v>1689</v>
      </c>
      <c r="D3138" s="738">
        <f t="shared" si="96"/>
        <v>16.89</v>
      </c>
      <c r="F3138" s="1405">
        <v>14.67</v>
      </c>
      <c r="G3138" s="1405">
        <v>16.89</v>
      </c>
      <c r="H3138" t="b">
        <f t="shared" si="97"/>
        <v>0</v>
      </c>
    </row>
    <row r="3139" spans="1:8">
      <c r="A3139" s="739">
        <v>40978</v>
      </c>
      <c r="B3139" s="740" t="s">
        <v>11528</v>
      </c>
      <c r="C3139" s="739" t="s">
        <v>1696</v>
      </c>
      <c r="D3139" s="741">
        <f t="shared" ref="D3139:D3202" si="98">IF($J$2=$F$1,F3139,G3139)</f>
        <v>2975.82</v>
      </c>
      <c r="F3139" s="1406">
        <v>2580.9</v>
      </c>
      <c r="G3139" s="1406">
        <v>2975.82</v>
      </c>
      <c r="H3139" t="b">
        <f t="shared" ref="H3139:H3202" si="99">F3139=G3139</f>
        <v>0</v>
      </c>
    </row>
    <row r="3140" spans="1:8">
      <c r="A3140" s="677">
        <v>44501</v>
      </c>
      <c r="B3140" s="733" t="s">
        <v>11529</v>
      </c>
      <c r="C3140" s="677" t="s">
        <v>1689</v>
      </c>
      <c r="D3140" s="738">
        <f t="shared" si="98"/>
        <v>17.059999999999999</v>
      </c>
      <c r="F3140" s="1405">
        <v>14.82</v>
      </c>
      <c r="G3140" s="1405">
        <v>17.059999999999999</v>
      </c>
      <c r="H3140" t="b">
        <f t="shared" si="99"/>
        <v>0</v>
      </c>
    </row>
    <row r="3141" spans="1:8">
      <c r="A3141" s="739">
        <v>41043</v>
      </c>
      <c r="B3141" s="740" t="s">
        <v>11530</v>
      </c>
      <c r="C3141" s="739" t="s">
        <v>1696</v>
      </c>
      <c r="D3141" s="741">
        <f t="shared" si="98"/>
        <v>3004.82</v>
      </c>
      <c r="F3141" s="1406">
        <v>2606.0500000000002</v>
      </c>
      <c r="G3141" s="1406">
        <v>3004.82</v>
      </c>
      <c r="H3141" t="b">
        <f t="shared" si="99"/>
        <v>0</v>
      </c>
    </row>
    <row r="3142" spans="1:8">
      <c r="A3142" s="677">
        <v>4234</v>
      </c>
      <c r="B3142" s="733" t="s">
        <v>11531</v>
      </c>
      <c r="C3142" s="677" t="s">
        <v>1689</v>
      </c>
      <c r="D3142" s="738">
        <f t="shared" si="98"/>
        <v>19.79</v>
      </c>
      <c r="F3142" s="1405">
        <v>17.190000000000001</v>
      </c>
      <c r="G3142" s="1405">
        <v>19.79</v>
      </c>
      <c r="H3142" t="b">
        <f t="shared" si="99"/>
        <v>0</v>
      </c>
    </row>
    <row r="3143" spans="1:8">
      <c r="A3143" s="739">
        <v>40987</v>
      </c>
      <c r="B3143" s="740" t="s">
        <v>11532</v>
      </c>
      <c r="C3143" s="739" t="s">
        <v>1696</v>
      </c>
      <c r="D3143" s="741">
        <f t="shared" si="98"/>
        <v>3482.33</v>
      </c>
      <c r="F3143" s="1406">
        <v>3020.19</v>
      </c>
      <c r="G3143" s="1406">
        <v>3482.33</v>
      </c>
      <c r="H3143" t="b">
        <f t="shared" si="99"/>
        <v>0</v>
      </c>
    </row>
    <row r="3144" spans="1:8">
      <c r="A3144" s="677">
        <v>4253</v>
      </c>
      <c r="B3144" s="733" t="s">
        <v>11533</v>
      </c>
      <c r="C3144" s="677" t="s">
        <v>1689</v>
      </c>
      <c r="D3144" s="738">
        <f t="shared" si="98"/>
        <v>16.52</v>
      </c>
      <c r="F3144" s="1405">
        <v>14.35</v>
      </c>
      <c r="G3144" s="1405">
        <v>16.52</v>
      </c>
      <c r="H3144" t="b">
        <f t="shared" si="99"/>
        <v>0</v>
      </c>
    </row>
    <row r="3145" spans="1:8">
      <c r="A3145" s="739">
        <v>40981</v>
      </c>
      <c r="B3145" s="740" t="s">
        <v>11534</v>
      </c>
      <c r="C3145" s="739" t="s">
        <v>1696</v>
      </c>
      <c r="D3145" s="741">
        <f t="shared" si="98"/>
        <v>2909.36</v>
      </c>
      <c r="F3145" s="1406">
        <v>2523.27</v>
      </c>
      <c r="G3145" s="1406">
        <v>2909.36</v>
      </c>
      <c r="H3145" t="b">
        <f t="shared" si="99"/>
        <v>0</v>
      </c>
    </row>
    <row r="3146" spans="1:8">
      <c r="A3146" s="677">
        <v>4254</v>
      </c>
      <c r="B3146" s="733" t="s">
        <v>11535</v>
      </c>
      <c r="C3146" s="677" t="s">
        <v>1689</v>
      </c>
      <c r="D3146" s="738">
        <f t="shared" si="98"/>
        <v>20.53</v>
      </c>
      <c r="F3146" s="1405">
        <v>17.829999999999998</v>
      </c>
      <c r="G3146" s="1405">
        <v>20.53</v>
      </c>
      <c r="H3146" t="b">
        <f t="shared" si="99"/>
        <v>0</v>
      </c>
    </row>
    <row r="3147" spans="1:8">
      <c r="A3147" s="739">
        <v>41036</v>
      </c>
      <c r="B3147" s="740" t="s">
        <v>11536</v>
      </c>
      <c r="C3147" s="739" t="s">
        <v>1696</v>
      </c>
      <c r="D3147" s="741">
        <f t="shared" si="98"/>
        <v>3613.55</v>
      </c>
      <c r="F3147" s="1406">
        <v>3134</v>
      </c>
      <c r="G3147" s="1406">
        <v>3613.55</v>
      </c>
      <c r="H3147" t="b">
        <f t="shared" si="99"/>
        <v>0</v>
      </c>
    </row>
    <row r="3148" spans="1:8">
      <c r="A3148" s="677">
        <v>4251</v>
      </c>
      <c r="B3148" s="733" t="s">
        <v>11537</v>
      </c>
      <c r="C3148" s="677" t="s">
        <v>1689</v>
      </c>
      <c r="D3148" s="738">
        <f t="shared" si="98"/>
        <v>14.43</v>
      </c>
      <c r="F3148" s="1405">
        <v>12.53</v>
      </c>
      <c r="G3148" s="1405">
        <v>14.43</v>
      </c>
      <c r="H3148" t="b">
        <f t="shared" si="99"/>
        <v>0</v>
      </c>
    </row>
    <row r="3149" spans="1:8">
      <c r="A3149" s="739">
        <v>40979</v>
      </c>
      <c r="B3149" s="740" t="s">
        <v>11538</v>
      </c>
      <c r="C3149" s="739" t="s">
        <v>1696</v>
      </c>
      <c r="D3149" s="741">
        <f t="shared" si="98"/>
        <v>2540.1799999999998</v>
      </c>
      <c r="F3149" s="1406">
        <v>2203.0700000000002</v>
      </c>
      <c r="G3149" s="1406">
        <v>2540.1799999999998</v>
      </c>
      <c r="H3149" t="b">
        <f t="shared" si="99"/>
        <v>0</v>
      </c>
    </row>
    <row r="3150" spans="1:8">
      <c r="A3150" s="677">
        <v>4230</v>
      </c>
      <c r="B3150" s="733" t="s">
        <v>11539</v>
      </c>
      <c r="C3150" s="677" t="s">
        <v>1689</v>
      </c>
      <c r="D3150" s="738">
        <f t="shared" si="98"/>
        <v>17.329999999999998</v>
      </c>
      <c r="F3150" s="1405">
        <v>15.05</v>
      </c>
      <c r="G3150" s="1405">
        <v>17.329999999999998</v>
      </c>
      <c r="H3150" t="b">
        <f t="shared" si="99"/>
        <v>0</v>
      </c>
    </row>
    <row r="3151" spans="1:8">
      <c r="A3151" s="739">
        <v>40998</v>
      </c>
      <c r="B3151" s="740" t="s">
        <v>11540</v>
      </c>
      <c r="C3151" s="739" t="s">
        <v>1696</v>
      </c>
      <c r="D3151" s="741">
        <f t="shared" si="98"/>
        <v>3052.12</v>
      </c>
      <c r="F3151" s="1406">
        <v>2647.08</v>
      </c>
      <c r="G3151" s="1406">
        <v>3052.12</v>
      </c>
      <c r="H3151" t="b">
        <f t="shared" si="99"/>
        <v>0</v>
      </c>
    </row>
    <row r="3152" spans="1:8">
      <c r="A3152" s="677">
        <v>4257</v>
      </c>
      <c r="B3152" s="733" t="s">
        <v>11541</v>
      </c>
      <c r="C3152" s="677" t="s">
        <v>1689</v>
      </c>
      <c r="D3152" s="738">
        <f t="shared" si="98"/>
        <v>14.8</v>
      </c>
      <c r="F3152" s="1405">
        <v>12.86</v>
      </c>
      <c r="G3152" s="1405">
        <v>14.8</v>
      </c>
      <c r="H3152" t="b">
        <f t="shared" si="99"/>
        <v>0</v>
      </c>
    </row>
    <row r="3153" spans="1:8">
      <c r="A3153" s="739">
        <v>40982</v>
      </c>
      <c r="B3153" s="740" t="s">
        <v>11542</v>
      </c>
      <c r="C3153" s="739" t="s">
        <v>1696</v>
      </c>
      <c r="D3153" s="741">
        <f t="shared" si="98"/>
        <v>2605.9699999999998</v>
      </c>
      <c r="F3153" s="1406">
        <v>2260.14</v>
      </c>
      <c r="G3153" s="1406">
        <v>2605.9699999999998</v>
      </c>
      <c r="H3153" t="b">
        <f t="shared" si="99"/>
        <v>0</v>
      </c>
    </row>
    <row r="3154" spans="1:8">
      <c r="A3154" s="677">
        <v>4240</v>
      </c>
      <c r="B3154" s="733" t="s">
        <v>11543</v>
      </c>
      <c r="C3154" s="677" t="s">
        <v>1689</v>
      </c>
      <c r="D3154" s="738">
        <f t="shared" si="98"/>
        <v>24.4</v>
      </c>
      <c r="F3154" s="1405">
        <v>21.19</v>
      </c>
      <c r="G3154" s="1405">
        <v>24.4</v>
      </c>
      <c r="H3154" t="b">
        <f t="shared" si="99"/>
        <v>0</v>
      </c>
    </row>
    <row r="3155" spans="1:8">
      <c r="A3155" s="739">
        <v>41026</v>
      </c>
      <c r="B3155" s="740" t="s">
        <v>11544</v>
      </c>
      <c r="C3155" s="739" t="s">
        <v>1696</v>
      </c>
      <c r="D3155" s="741">
        <f t="shared" si="98"/>
        <v>4293.8500000000004</v>
      </c>
      <c r="F3155" s="1406">
        <v>3724.01</v>
      </c>
      <c r="G3155" s="1406">
        <v>4293.8500000000004</v>
      </c>
      <c r="H3155" t="b">
        <f t="shared" si="99"/>
        <v>0</v>
      </c>
    </row>
    <row r="3156" spans="1:8">
      <c r="A3156" s="677">
        <v>4239</v>
      </c>
      <c r="B3156" s="733" t="s">
        <v>11545</v>
      </c>
      <c r="C3156" s="677" t="s">
        <v>1689</v>
      </c>
      <c r="D3156" s="738">
        <f t="shared" si="98"/>
        <v>24.4</v>
      </c>
      <c r="F3156" s="1405">
        <v>21.19</v>
      </c>
      <c r="G3156" s="1405">
        <v>24.4</v>
      </c>
      <c r="H3156" t="b">
        <f t="shared" si="99"/>
        <v>0</v>
      </c>
    </row>
    <row r="3157" spans="1:8">
      <c r="A3157" s="739">
        <v>41024</v>
      </c>
      <c r="B3157" s="740" t="s">
        <v>11546</v>
      </c>
      <c r="C3157" s="739" t="s">
        <v>1696</v>
      </c>
      <c r="D3157" s="741">
        <f t="shared" si="98"/>
        <v>4293.8500000000004</v>
      </c>
      <c r="F3157" s="1406">
        <v>3724.01</v>
      </c>
      <c r="G3157" s="1406">
        <v>4293.8500000000004</v>
      </c>
      <c r="H3157" t="b">
        <f t="shared" si="99"/>
        <v>0</v>
      </c>
    </row>
    <row r="3158" spans="1:8">
      <c r="A3158" s="677">
        <v>4248</v>
      </c>
      <c r="B3158" s="733" t="s">
        <v>11547</v>
      </c>
      <c r="C3158" s="677" t="s">
        <v>1689</v>
      </c>
      <c r="D3158" s="738">
        <f t="shared" si="98"/>
        <v>17.059999999999999</v>
      </c>
      <c r="F3158" s="1405">
        <v>14.82</v>
      </c>
      <c r="G3158" s="1405">
        <v>17.059999999999999</v>
      </c>
      <c r="H3158" t="b">
        <f t="shared" si="99"/>
        <v>0</v>
      </c>
    </row>
    <row r="3159" spans="1:8">
      <c r="A3159" s="739">
        <v>41033</v>
      </c>
      <c r="B3159" s="740" t="s">
        <v>11548</v>
      </c>
      <c r="C3159" s="739" t="s">
        <v>1696</v>
      </c>
      <c r="D3159" s="741">
        <f t="shared" si="98"/>
        <v>3004.82</v>
      </c>
      <c r="F3159" s="1406">
        <v>2606.0500000000002</v>
      </c>
      <c r="G3159" s="1406">
        <v>3004.82</v>
      </c>
      <c r="H3159" t="b">
        <f t="shared" si="99"/>
        <v>0</v>
      </c>
    </row>
    <row r="3160" spans="1:8">
      <c r="A3160" s="677">
        <v>44500</v>
      </c>
      <c r="B3160" s="733" t="s">
        <v>11549</v>
      </c>
      <c r="C3160" s="677" t="s">
        <v>1689</v>
      </c>
      <c r="D3160" s="738">
        <f t="shared" si="98"/>
        <v>17.059999999999999</v>
      </c>
      <c r="F3160" s="1405">
        <v>14.82</v>
      </c>
      <c r="G3160" s="1405">
        <v>17.059999999999999</v>
      </c>
      <c r="H3160" t="b">
        <f t="shared" si="99"/>
        <v>0</v>
      </c>
    </row>
    <row r="3161" spans="1:8">
      <c r="A3161" s="739">
        <v>41040</v>
      </c>
      <c r="B3161" s="740" t="s">
        <v>11550</v>
      </c>
      <c r="C3161" s="739" t="s">
        <v>1696</v>
      </c>
      <c r="D3161" s="741">
        <f t="shared" si="98"/>
        <v>3004.82</v>
      </c>
      <c r="F3161" s="1406">
        <v>2606.0500000000002</v>
      </c>
      <c r="G3161" s="1406">
        <v>3004.82</v>
      </c>
      <c r="H3161" t="b">
        <f t="shared" si="99"/>
        <v>0</v>
      </c>
    </row>
    <row r="3162" spans="1:8">
      <c r="A3162" s="677">
        <v>4238</v>
      </c>
      <c r="B3162" s="733" t="s">
        <v>11551</v>
      </c>
      <c r="C3162" s="677" t="s">
        <v>1689</v>
      </c>
      <c r="D3162" s="738">
        <f t="shared" si="98"/>
        <v>16.89</v>
      </c>
      <c r="F3162" s="1405">
        <v>14.67</v>
      </c>
      <c r="G3162" s="1405">
        <v>16.89</v>
      </c>
      <c r="H3162" t="b">
        <f t="shared" si="99"/>
        <v>0</v>
      </c>
    </row>
    <row r="3163" spans="1:8">
      <c r="A3163" s="739">
        <v>41012</v>
      </c>
      <c r="B3163" s="740" t="s">
        <v>11552</v>
      </c>
      <c r="C3163" s="739" t="s">
        <v>1696</v>
      </c>
      <c r="D3163" s="741">
        <f t="shared" si="98"/>
        <v>2975.82</v>
      </c>
      <c r="F3163" s="1406">
        <v>2580.9</v>
      </c>
      <c r="G3163" s="1406">
        <v>2975.82</v>
      </c>
      <c r="H3163" t="b">
        <f t="shared" si="99"/>
        <v>0</v>
      </c>
    </row>
    <row r="3164" spans="1:8">
      <c r="A3164" s="677">
        <v>4233</v>
      </c>
      <c r="B3164" s="733" t="s">
        <v>11553</v>
      </c>
      <c r="C3164" s="677" t="s">
        <v>1689</v>
      </c>
      <c r="D3164" s="738">
        <f t="shared" si="98"/>
        <v>24.4</v>
      </c>
      <c r="F3164" s="1405">
        <v>21.19</v>
      </c>
      <c r="G3164" s="1405">
        <v>24.4</v>
      </c>
      <c r="H3164" t="b">
        <f t="shared" si="99"/>
        <v>0</v>
      </c>
    </row>
    <row r="3165" spans="1:8">
      <c r="A3165" s="739">
        <v>41001</v>
      </c>
      <c r="B3165" s="740" t="s">
        <v>11554</v>
      </c>
      <c r="C3165" s="739" t="s">
        <v>1696</v>
      </c>
      <c r="D3165" s="741">
        <f t="shared" si="98"/>
        <v>4293.8500000000004</v>
      </c>
      <c r="F3165" s="1406">
        <v>3724.01</v>
      </c>
      <c r="G3165" s="1406">
        <v>4293.8500000000004</v>
      </c>
      <c r="H3165" t="b">
        <f t="shared" si="99"/>
        <v>0</v>
      </c>
    </row>
    <row r="3166" spans="1:8">
      <c r="A3166" s="677">
        <v>2</v>
      </c>
      <c r="B3166" s="733" t="s">
        <v>11555</v>
      </c>
      <c r="C3166" s="677" t="s">
        <v>1691</v>
      </c>
      <c r="D3166" s="738">
        <f t="shared" si="98"/>
        <v>28.49</v>
      </c>
      <c r="F3166" s="1405">
        <v>28.49</v>
      </c>
      <c r="G3166" s="1405">
        <v>28.49</v>
      </c>
      <c r="H3166" t="b">
        <f t="shared" si="99"/>
        <v>1</v>
      </c>
    </row>
    <row r="3167" spans="1:8" ht="30">
      <c r="A3167" s="739">
        <v>36517</v>
      </c>
      <c r="B3167" s="740" t="s">
        <v>11556</v>
      </c>
      <c r="C3167" s="739" t="s">
        <v>1690</v>
      </c>
      <c r="D3167" s="741">
        <f t="shared" si="98"/>
        <v>568320</v>
      </c>
      <c r="F3167" s="1406">
        <v>568320</v>
      </c>
      <c r="G3167" s="1406">
        <v>568320</v>
      </c>
      <c r="H3167" t="b">
        <f t="shared" si="99"/>
        <v>1</v>
      </c>
    </row>
    <row r="3168" spans="1:8" ht="30">
      <c r="A3168" s="677">
        <v>4262</v>
      </c>
      <c r="B3168" s="733" t="s">
        <v>11557</v>
      </c>
      <c r="C3168" s="677" t="s">
        <v>1690</v>
      </c>
      <c r="D3168" s="738">
        <f t="shared" si="98"/>
        <v>640000</v>
      </c>
      <c r="F3168" s="1405">
        <v>640000</v>
      </c>
      <c r="G3168" s="1405">
        <v>640000</v>
      </c>
      <c r="H3168" t="b">
        <f t="shared" si="99"/>
        <v>1</v>
      </c>
    </row>
    <row r="3169" spans="1:8" ht="30">
      <c r="A3169" s="739">
        <v>4263</v>
      </c>
      <c r="B3169" s="740" t="s">
        <v>11558</v>
      </c>
      <c r="C3169" s="739" t="s">
        <v>1690</v>
      </c>
      <c r="D3169" s="741">
        <f t="shared" si="98"/>
        <v>887466.62</v>
      </c>
      <c r="F3169" s="1406">
        <v>887466.62</v>
      </c>
      <c r="G3169" s="1406">
        <v>887466.62</v>
      </c>
      <c r="H3169" t="b">
        <f t="shared" si="99"/>
        <v>1</v>
      </c>
    </row>
    <row r="3170" spans="1:8" ht="30">
      <c r="A3170" s="677">
        <v>36518</v>
      </c>
      <c r="B3170" s="733" t="s">
        <v>11559</v>
      </c>
      <c r="C3170" s="677" t="s">
        <v>1690</v>
      </c>
      <c r="D3170" s="738">
        <f t="shared" si="98"/>
        <v>1010346.62</v>
      </c>
      <c r="F3170" s="1405">
        <v>1010346.62</v>
      </c>
      <c r="G3170" s="1405">
        <v>1010346.62</v>
      </c>
      <c r="H3170" t="b">
        <f t="shared" si="99"/>
        <v>1</v>
      </c>
    </row>
    <row r="3171" spans="1:8" ht="30">
      <c r="A3171" s="739">
        <v>14221</v>
      </c>
      <c r="B3171" s="740" t="s">
        <v>11560</v>
      </c>
      <c r="C3171" s="739" t="s">
        <v>1690</v>
      </c>
      <c r="D3171" s="741">
        <f t="shared" si="98"/>
        <v>589653.31000000006</v>
      </c>
      <c r="F3171" s="1406">
        <v>589653.31000000006</v>
      </c>
      <c r="G3171" s="1406">
        <v>589653.31000000006</v>
      </c>
      <c r="H3171" t="b">
        <f t="shared" si="99"/>
        <v>1</v>
      </c>
    </row>
    <row r="3172" spans="1:8">
      <c r="A3172" s="677">
        <v>38402</v>
      </c>
      <c r="B3172" s="733" t="s">
        <v>11561</v>
      </c>
      <c r="C3172" s="677" t="s">
        <v>1690</v>
      </c>
      <c r="D3172" s="738">
        <f t="shared" si="98"/>
        <v>19.260000000000002</v>
      </c>
      <c r="F3172" s="1405">
        <v>19.260000000000002</v>
      </c>
      <c r="G3172" s="1405">
        <v>19.260000000000002</v>
      </c>
      <c r="H3172" t="b">
        <f t="shared" si="99"/>
        <v>1</v>
      </c>
    </row>
    <row r="3173" spans="1:8">
      <c r="A3173" s="739">
        <v>3412</v>
      </c>
      <c r="B3173" s="740" t="s">
        <v>11562</v>
      </c>
      <c r="C3173" s="739" t="s">
        <v>1692</v>
      </c>
      <c r="D3173" s="741">
        <f t="shared" si="98"/>
        <v>27.18</v>
      </c>
      <c r="F3173" s="1406">
        <v>27.18</v>
      </c>
      <c r="G3173" s="1406">
        <v>27.18</v>
      </c>
      <c r="H3173" t="b">
        <f t="shared" si="99"/>
        <v>1</v>
      </c>
    </row>
    <row r="3174" spans="1:8">
      <c r="A3174" s="677">
        <v>3413</v>
      </c>
      <c r="B3174" s="733" t="s">
        <v>11563</v>
      </c>
      <c r="C3174" s="677" t="s">
        <v>1692</v>
      </c>
      <c r="D3174" s="738">
        <f t="shared" si="98"/>
        <v>61.18</v>
      </c>
      <c r="F3174" s="1405">
        <v>61.18</v>
      </c>
      <c r="G3174" s="1405">
        <v>61.18</v>
      </c>
      <c r="H3174" t="b">
        <f t="shared" si="99"/>
        <v>1</v>
      </c>
    </row>
    <row r="3175" spans="1:8">
      <c r="A3175" s="739">
        <v>39744</v>
      </c>
      <c r="B3175" s="740" t="s">
        <v>11564</v>
      </c>
      <c r="C3175" s="739" t="s">
        <v>1692</v>
      </c>
      <c r="D3175" s="741">
        <f t="shared" si="98"/>
        <v>47.5</v>
      </c>
      <c r="F3175" s="1406">
        <v>47.5</v>
      </c>
      <c r="G3175" s="1406">
        <v>47.5</v>
      </c>
      <c r="H3175" t="b">
        <f t="shared" si="99"/>
        <v>1</v>
      </c>
    </row>
    <row r="3176" spans="1:8">
      <c r="A3176" s="677">
        <v>39745</v>
      </c>
      <c r="B3176" s="733" t="s">
        <v>11565</v>
      </c>
      <c r="C3176" s="677" t="s">
        <v>1692</v>
      </c>
      <c r="D3176" s="738">
        <f t="shared" si="98"/>
        <v>100.26</v>
      </c>
      <c r="F3176" s="1405">
        <v>100.26</v>
      </c>
      <c r="G3176" s="1405">
        <v>100.26</v>
      </c>
      <c r="H3176" t="b">
        <f t="shared" si="99"/>
        <v>1</v>
      </c>
    </row>
    <row r="3177" spans="1:8">
      <c r="A3177" s="739">
        <v>39637</v>
      </c>
      <c r="B3177" s="740" t="s">
        <v>11566</v>
      </c>
      <c r="C3177" s="739" t="s">
        <v>1692</v>
      </c>
      <c r="D3177" s="741">
        <f t="shared" si="98"/>
        <v>102.03</v>
      </c>
      <c r="F3177" s="1406">
        <v>102.03</v>
      </c>
      <c r="G3177" s="1406">
        <v>102.03</v>
      </c>
      <c r="H3177" t="b">
        <f t="shared" si="99"/>
        <v>1</v>
      </c>
    </row>
    <row r="3178" spans="1:8">
      <c r="A3178" s="677">
        <v>39638</v>
      </c>
      <c r="B3178" s="733" t="s">
        <v>11567</v>
      </c>
      <c r="C3178" s="677" t="s">
        <v>1692</v>
      </c>
      <c r="D3178" s="738">
        <f t="shared" si="98"/>
        <v>115.45</v>
      </c>
      <c r="F3178" s="1405">
        <v>115.45</v>
      </c>
      <c r="G3178" s="1405">
        <v>115.45</v>
      </c>
      <c r="H3178" t="b">
        <f t="shared" si="99"/>
        <v>1</v>
      </c>
    </row>
    <row r="3179" spans="1:8">
      <c r="A3179" s="739">
        <v>39639</v>
      </c>
      <c r="B3179" s="740" t="s">
        <v>11568</v>
      </c>
      <c r="C3179" s="739" t="s">
        <v>1692</v>
      </c>
      <c r="D3179" s="741">
        <f t="shared" si="98"/>
        <v>174.2</v>
      </c>
      <c r="F3179" s="1406">
        <v>174.2</v>
      </c>
      <c r="G3179" s="1406">
        <v>174.2</v>
      </c>
      <c r="H3179" t="b">
        <f t="shared" si="99"/>
        <v>1</v>
      </c>
    </row>
    <row r="3180" spans="1:8" ht="45">
      <c r="A3180" s="677">
        <v>39517</v>
      </c>
      <c r="B3180" s="733" t="s">
        <v>11569</v>
      </c>
      <c r="C3180" s="677" t="s">
        <v>1692</v>
      </c>
      <c r="D3180" s="738">
        <f t="shared" si="98"/>
        <v>207.91</v>
      </c>
      <c r="F3180" s="1405">
        <v>207.91</v>
      </c>
      <c r="G3180" s="1405">
        <v>207.91</v>
      </c>
      <c r="H3180" t="b">
        <f t="shared" si="99"/>
        <v>1</v>
      </c>
    </row>
    <row r="3181" spans="1:8" ht="45">
      <c r="A3181" s="739">
        <v>39518</v>
      </c>
      <c r="B3181" s="740" t="s">
        <v>11570</v>
      </c>
      <c r="C3181" s="739" t="s">
        <v>1692</v>
      </c>
      <c r="D3181" s="741">
        <f t="shared" si="98"/>
        <v>246.48</v>
      </c>
      <c r="F3181" s="1406">
        <v>246.48</v>
      </c>
      <c r="G3181" s="1406">
        <v>246.48</v>
      </c>
      <c r="H3181" t="b">
        <f t="shared" si="99"/>
        <v>1</v>
      </c>
    </row>
    <row r="3182" spans="1:8">
      <c r="A3182" s="677">
        <v>38366</v>
      </c>
      <c r="B3182" s="733" t="s">
        <v>11571</v>
      </c>
      <c r="C3182" s="677" t="s">
        <v>1692</v>
      </c>
      <c r="D3182" s="738">
        <f t="shared" si="98"/>
        <v>6.37</v>
      </c>
      <c r="F3182" s="1405">
        <v>6.37</v>
      </c>
      <c r="G3182" s="1405">
        <v>6.37</v>
      </c>
      <c r="H3182" t="b">
        <f t="shared" si="99"/>
        <v>1</v>
      </c>
    </row>
    <row r="3183" spans="1:8">
      <c r="A3183" s="739">
        <v>11703</v>
      </c>
      <c r="B3183" s="740" t="s">
        <v>11572</v>
      </c>
      <c r="C3183" s="739" t="s">
        <v>1690</v>
      </c>
      <c r="D3183" s="741">
        <f t="shared" si="98"/>
        <v>30.76</v>
      </c>
      <c r="F3183" s="1406">
        <v>30.76</v>
      </c>
      <c r="G3183" s="1406">
        <v>30.76</v>
      </c>
      <c r="H3183" t="b">
        <f t="shared" si="99"/>
        <v>1</v>
      </c>
    </row>
    <row r="3184" spans="1:8">
      <c r="A3184" s="677">
        <v>37400</v>
      </c>
      <c r="B3184" s="733" t="s">
        <v>11573</v>
      </c>
      <c r="C3184" s="677" t="s">
        <v>1690</v>
      </c>
      <c r="D3184" s="738">
        <f t="shared" si="98"/>
        <v>64.489999999999995</v>
      </c>
      <c r="F3184" s="1405">
        <v>64.489999999999995</v>
      </c>
      <c r="G3184" s="1405">
        <v>64.489999999999995</v>
      </c>
      <c r="H3184" t="b">
        <f t="shared" si="99"/>
        <v>1</v>
      </c>
    </row>
    <row r="3185" spans="1:8" ht="30">
      <c r="A3185" s="739">
        <v>25400</v>
      </c>
      <c r="B3185" s="740" t="s">
        <v>11574</v>
      </c>
      <c r="C3185" s="739" t="s">
        <v>1690</v>
      </c>
      <c r="D3185" s="741">
        <f t="shared" si="98"/>
        <v>3631.52</v>
      </c>
      <c r="F3185" s="1406">
        <v>3631.52</v>
      </c>
      <c r="G3185" s="1406">
        <v>3631.52</v>
      </c>
      <c r="H3185" t="b">
        <f t="shared" si="99"/>
        <v>1</v>
      </c>
    </row>
    <row r="3186" spans="1:8">
      <c r="A3186" s="677">
        <v>4276</v>
      </c>
      <c r="B3186" s="733" t="s">
        <v>11575</v>
      </c>
      <c r="C3186" s="677" t="s">
        <v>1690</v>
      </c>
      <c r="D3186" s="738">
        <f t="shared" si="98"/>
        <v>236.5</v>
      </c>
      <c r="F3186" s="1405">
        <v>236.5</v>
      </c>
      <c r="G3186" s="1405">
        <v>236.5</v>
      </c>
      <c r="H3186" t="b">
        <f t="shared" si="99"/>
        <v>1</v>
      </c>
    </row>
    <row r="3187" spans="1:8">
      <c r="A3187" s="739">
        <v>4273</v>
      </c>
      <c r="B3187" s="740" t="s">
        <v>11576</v>
      </c>
      <c r="C3187" s="739" t="s">
        <v>1690</v>
      </c>
      <c r="D3187" s="741">
        <f t="shared" si="98"/>
        <v>429.39</v>
      </c>
      <c r="F3187" s="1406">
        <v>429.39</v>
      </c>
      <c r="G3187" s="1406">
        <v>429.39</v>
      </c>
      <c r="H3187" t="b">
        <f t="shared" si="99"/>
        <v>1</v>
      </c>
    </row>
    <row r="3188" spans="1:8" ht="30">
      <c r="A3188" s="677">
        <v>4274</v>
      </c>
      <c r="B3188" s="733" t="s">
        <v>11577</v>
      </c>
      <c r="C3188" s="677" t="s">
        <v>1690</v>
      </c>
      <c r="D3188" s="738">
        <f t="shared" si="98"/>
        <v>157.09</v>
      </c>
      <c r="F3188" s="1405">
        <v>157.09</v>
      </c>
      <c r="G3188" s="1405">
        <v>157.09</v>
      </c>
      <c r="H3188" t="b">
        <f t="shared" si="99"/>
        <v>1</v>
      </c>
    </row>
    <row r="3189" spans="1:8" ht="30">
      <c r="A3189" s="739">
        <v>39438</v>
      </c>
      <c r="B3189" s="740" t="s">
        <v>11578</v>
      </c>
      <c r="C3189" s="739" t="s">
        <v>1690</v>
      </c>
      <c r="D3189" s="741">
        <f t="shared" si="98"/>
        <v>0.26</v>
      </c>
      <c r="F3189" s="1406">
        <v>0.26</v>
      </c>
      <c r="G3189" s="1406">
        <v>0.26</v>
      </c>
      <c r="H3189" t="b">
        <f t="shared" si="99"/>
        <v>1</v>
      </c>
    </row>
    <row r="3190" spans="1:8">
      <c r="A3190" s="677">
        <v>11963</v>
      </c>
      <c r="B3190" s="733" t="s">
        <v>11579</v>
      </c>
      <c r="C3190" s="677" t="s">
        <v>1690</v>
      </c>
      <c r="D3190" s="738">
        <f t="shared" si="98"/>
        <v>9.4</v>
      </c>
      <c r="F3190" s="1405">
        <v>9.4</v>
      </c>
      <c r="G3190" s="1405">
        <v>9.4</v>
      </c>
      <c r="H3190" t="b">
        <f t="shared" si="99"/>
        <v>1</v>
      </c>
    </row>
    <row r="3191" spans="1:8">
      <c r="A3191" s="739">
        <v>11964</v>
      </c>
      <c r="B3191" s="740" t="s">
        <v>11580</v>
      </c>
      <c r="C3191" s="739" t="s">
        <v>1690</v>
      </c>
      <c r="D3191" s="741">
        <f t="shared" si="98"/>
        <v>2.37</v>
      </c>
      <c r="F3191" s="1406">
        <v>2.37</v>
      </c>
      <c r="G3191" s="1406">
        <v>2.37</v>
      </c>
      <c r="H3191" t="b">
        <f t="shared" si="99"/>
        <v>1</v>
      </c>
    </row>
    <row r="3192" spans="1:8" ht="30">
      <c r="A3192" s="677">
        <v>4379</v>
      </c>
      <c r="B3192" s="733" t="s">
        <v>11581</v>
      </c>
      <c r="C3192" s="677" t="s">
        <v>1690</v>
      </c>
      <c r="D3192" s="738">
        <f t="shared" si="98"/>
        <v>0.05</v>
      </c>
      <c r="F3192" s="1405">
        <v>0.05</v>
      </c>
      <c r="G3192" s="1405">
        <v>0.05</v>
      </c>
      <c r="H3192" t="b">
        <f t="shared" si="99"/>
        <v>1</v>
      </c>
    </row>
    <row r="3193" spans="1:8">
      <c r="A3193" s="739">
        <v>4377</v>
      </c>
      <c r="B3193" s="740" t="s">
        <v>11582</v>
      </c>
      <c r="C3193" s="739" t="s">
        <v>1690</v>
      </c>
      <c r="D3193" s="741">
        <f t="shared" si="98"/>
        <v>0.18</v>
      </c>
      <c r="F3193" s="1406">
        <v>0.18</v>
      </c>
      <c r="G3193" s="1406">
        <v>0.18</v>
      </c>
      <c r="H3193" t="b">
        <f t="shared" si="99"/>
        <v>1</v>
      </c>
    </row>
    <row r="3194" spans="1:8">
      <c r="A3194" s="677">
        <v>4356</v>
      </c>
      <c r="B3194" s="733" t="s">
        <v>11583</v>
      </c>
      <c r="C3194" s="677" t="s">
        <v>1690</v>
      </c>
      <c r="D3194" s="738">
        <f t="shared" si="98"/>
        <v>0.26</v>
      </c>
      <c r="F3194" s="1405">
        <v>0.26</v>
      </c>
      <c r="G3194" s="1405">
        <v>0.26</v>
      </c>
      <c r="H3194" t="b">
        <f t="shared" si="99"/>
        <v>1</v>
      </c>
    </row>
    <row r="3195" spans="1:8" ht="30">
      <c r="A3195" s="739">
        <v>13246</v>
      </c>
      <c r="B3195" s="740" t="s">
        <v>11584</v>
      </c>
      <c r="C3195" s="739" t="s">
        <v>1690</v>
      </c>
      <c r="D3195" s="741">
        <f t="shared" si="98"/>
        <v>0.44</v>
      </c>
      <c r="F3195" s="1406">
        <v>0.44</v>
      </c>
      <c r="G3195" s="1406">
        <v>0.44</v>
      </c>
      <c r="H3195" t="b">
        <f t="shared" si="99"/>
        <v>1</v>
      </c>
    </row>
    <row r="3196" spans="1:8" ht="30">
      <c r="A3196" s="677">
        <v>4346</v>
      </c>
      <c r="B3196" s="733" t="s">
        <v>11585</v>
      </c>
      <c r="C3196" s="677" t="s">
        <v>1690</v>
      </c>
      <c r="D3196" s="738">
        <f t="shared" si="98"/>
        <v>10.07</v>
      </c>
      <c r="F3196" s="1405">
        <v>10.07</v>
      </c>
      <c r="G3196" s="1405">
        <v>10.07</v>
      </c>
      <c r="H3196" t="b">
        <f t="shared" si="99"/>
        <v>1</v>
      </c>
    </row>
    <row r="3197" spans="1:8" ht="30">
      <c r="A3197" s="739">
        <v>11955</v>
      </c>
      <c r="B3197" s="740" t="s">
        <v>11586</v>
      </c>
      <c r="C3197" s="739" t="s">
        <v>1690</v>
      </c>
      <c r="D3197" s="741">
        <f t="shared" si="98"/>
        <v>4.41</v>
      </c>
      <c r="F3197" s="1406">
        <v>4.41</v>
      </c>
      <c r="G3197" s="1406">
        <v>4.41</v>
      </c>
      <c r="H3197" t="b">
        <f t="shared" si="99"/>
        <v>1</v>
      </c>
    </row>
    <row r="3198" spans="1:8">
      <c r="A3198" s="677">
        <v>11960</v>
      </c>
      <c r="B3198" s="733" t="s">
        <v>11587</v>
      </c>
      <c r="C3198" s="677" t="s">
        <v>1690</v>
      </c>
      <c r="D3198" s="738">
        <f t="shared" si="98"/>
        <v>0.14000000000000001</v>
      </c>
      <c r="F3198" s="1405">
        <v>0.14000000000000001</v>
      </c>
      <c r="G3198" s="1405">
        <v>0.14000000000000001</v>
      </c>
      <c r="H3198" t="b">
        <f t="shared" si="99"/>
        <v>1</v>
      </c>
    </row>
    <row r="3199" spans="1:8">
      <c r="A3199" s="739">
        <v>4333</v>
      </c>
      <c r="B3199" s="740" t="s">
        <v>11588</v>
      </c>
      <c r="C3199" s="739" t="s">
        <v>1690</v>
      </c>
      <c r="D3199" s="741">
        <f t="shared" si="98"/>
        <v>0.26</v>
      </c>
      <c r="F3199" s="1406">
        <v>0.26</v>
      </c>
      <c r="G3199" s="1406">
        <v>0.26</v>
      </c>
      <c r="H3199" t="b">
        <f t="shared" si="99"/>
        <v>1</v>
      </c>
    </row>
    <row r="3200" spans="1:8">
      <c r="A3200" s="677">
        <v>4358</v>
      </c>
      <c r="B3200" s="733" t="s">
        <v>11589</v>
      </c>
      <c r="C3200" s="677" t="s">
        <v>1690</v>
      </c>
      <c r="D3200" s="738">
        <f t="shared" si="98"/>
        <v>2.0099999999999998</v>
      </c>
      <c r="F3200" s="1405">
        <v>2.0099999999999998</v>
      </c>
      <c r="G3200" s="1405">
        <v>2.0099999999999998</v>
      </c>
      <c r="H3200" t="b">
        <f t="shared" si="99"/>
        <v>1</v>
      </c>
    </row>
    <row r="3201" spans="1:8">
      <c r="A3201" s="739">
        <v>39435</v>
      </c>
      <c r="B3201" s="740" t="s">
        <v>11590</v>
      </c>
      <c r="C3201" s="739" t="s">
        <v>1690</v>
      </c>
      <c r="D3201" s="741">
        <f t="shared" si="98"/>
        <v>0.1</v>
      </c>
      <c r="F3201" s="1406">
        <v>0.1</v>
      </c>
      <c r="G3201" s="1406">
        <v>0.1</v>
      </c>
      <c r="H3201" t="b">
        <f t="shared" si="99"/>
        <v>1</v>
      </c>
    </row>
    <row r="3202" spans="1:8">
      <c r="A3202" s="677">
        <v>39436</v>
      </c>
      <c r="B3202" s="733" t="s">
        <v>11591</v>
      </c>
      <c r="C3202" s="677" t="s">
        <v>1690</v>
      </c>
      <c r="D3202" s="738">
        <f t="shared" si="98"/>
        <v>0.17</v>
      </c>
      <c r="F3202" s="1405">
        <v>0.17</v>
      </c>
      <c r="G3202" s="1405">
        <v>0.17</v>
      </c>
      <c r="H3202" t="b">
        <f t="shared" si="99"/>
        <v>1</v>
      </c>
    </row>
    <row r="3203" spans="1:8">
      <c r="A3203" s="739">
        <v>39437</v>
      </c>
      <c r="B3203" s="740" t="s">
        <v>11592</v>
      </c>
      <c r="C3203" s="739" t="s">
        <v>1690</v>
      </c>
      <c r="D3203" s="741">
        <f t="shared" ref="D3203:D3266" si="100">IF($J$2=$F$1,F3203,G3203)</f>
        <v>0.22</v>
      </c>
      <c r="F3203" s="1406">
        <v>0.22</v>
      </c>
      <c r="G3203" s="1406">
        <v>0.22</v>
      </c>
      <c r="H3203" t="b">
        <f t="shared" ref="H3203:H3266" si="101">F3203=G3203</f>
        <v>1</v>
      </c>
    </row>
    <row r="3204" spans="1:8">
      <c r="A3204" s="677">
        <v>39439</v>
      </c>
      <c r="B3204" s="733" t="s">
        <v>11593</v>
      </c>
      <c r="C3204" s="677" t="s">
        <v>1690</v>
      </c>
      <c r="D3204" s="738">
        <f t="shared" si="100"/>
        <v>0.15</v>
      </c>
      <c r="F3204" s="1405">
        <v>0.15</v>
      </c>
      <c r="G3204" s="1405">
        <v>0.15</v>
      </c>
      <c r="H3204" t="b">
        <f t="shared" si="101"/>
        <v>1</v>
      </c>
    </row>
    <row r="3205" spans="1:8">
      <c r="A3205" s="739">
        <v>39440</v>
      </c>
      <c r="B3205" s="740" t="s">
        <v>11594</v>
      </c>
      <c r="C3205" s="739" t="s">
        <v>1690</v>
      </c>
      <c r="D3205" s="741">
        <f t="shared" si="100"/>
        <v>0.2</v>
      </c>
      <c r="F3205" s="1406">
        <v>0.2</v>
      </c>
      <c r="G3205" s="1406">
        <v>0.2</v>
      </c>
      <c r="H3205" t="b">
        <f t="shared" si="101"/>
        <v>1</v>
      </c>
    </row>
    <row r="3206" spans="1:8">
      <c r="A3206" s="677">
        <v>39441</v>
      </c>
      <c r="B3206" s="733" t="s">
        <v>11595</v>
      </c>
      <c r="C3206" s="677" t="s">
        <v>1690</v>
      </c>
      <c r="D3206" s="738">
        <f t="shared" si="100"/>
        <v>0.25</v>
      </c>
      <c r="F3206" s="1405">
        <v>0.25</v>
      </c>
      <c r="G3206" s="1405">
        <v>0.25</v>
      </c>
      <c r="H3206" t="b">
        <f t="shared" si="101"/>
        <v>1</v>
      </c>
    </row>
    <row r="3207" spans="1:8">
      <c r="A3207" s="739">
        <v>39442</v>
      </c>
      <c r="B3207" s="740" t="s">
        <v>11596</v>
      </c>
      <c r="C3207" s="739" t="s">
        <v>1690</v>
      </c>
      <c r="D3207" s="741">
        <f t="shared" si="100"/>
        <v>0.18</v>
      </c>
      <c r="F3207" s="1406">
        <v>0.18</v>
      </c>
      <c r="G3207" s="1406">
        <v>0.18</v>
      </c>
      <c r="H3207" t="b">
        <f t="shared" si="101"/>
        <v>1</v>
      </c>
    </row>
    <row r="3208" spans="1:8">
      <c r="A3208" s="677">
        <v>39443</v>
      </c>
      <c r="B3208" s="733" t="s">
        <v>11597</v>
      </c>
      <c r="C3208" s="677" t="s">
        <v>1690</v>
      </c>
      <c r="D3208" s="738">
        <f t="shared" si="100"/>
        <v>0.24</v>
      </c>
      <c r="F3208" s="1405">
        <v>0.24</v>
      </c>
      <c r="G3208" s="1405">
        <v>0.24</v>
      </c>
      <c r="H3208" t="b">
        <f t="shared" si="101"/>
        <v>1</v>
      </c>
    </row>
    <row r="3209" spans="1:8">
      <c r="A3209" s="739">
        <v>4329</v>
      </c>
      <c r="B3209" s="740" t="s">
        <v>11598</v>
      </c>
      <c r="C3209" s="739" t="s">
        <v>1690</v>
      </c>
      <c r="D3209" s="741">
        <f t="shared" si="100"/>
        <v>2.15</v>
      </c>
      <c r="F3209" s="1406">
        <v>2.15</v>
      </c>
      <c r="G3209" s="1406">
        <v>2.15</v>
      </c>
      <c r="H3209" t="b">
        <f t="shared" si="101"/>
        <v>1</v>
      </c>
    </row>
    <row r="3210" spans="1:8" ht="30">
      <c r="A3210" s="677">
        <v>4383</v>
      </c>
      <c r="B3210" s="733" t="s">
        <v>11599</v>
      </c>
      <c r="C3210" s="677" t="s">
        <v>1690</v>
      </c>
      <c r="D3210" s="738">
        <f t="shared" si="100"/>
        <v>19.440000000000001</v>
      </c>
      <c r="F3210" s="1405">
        <v>19.440000000000001</v>
      </c>
      <c r="G3210" s="1405">
        <v>19.440000000000001</v>
      </c>
      <c r="H3210" t="b">
        <f t="shared" si="101"/>
        <v>1</v>
      </c>
    </row>
    <row r="3211" spans="1:8" ht="30">
      <c r="A3211" s="739">
        <v>4344</v>
      </c>
      <c r="B3211" s="740" t="s">
        <v>11600</v>
      </c>
      <c r="C3211" s="739" t="s">
        <v>1690</v>
      </c>
      <c r="D3211" s="741">
        <f t="shared" si="100"/>
        <v>20.37</v>
      </c>
      <c r="F3211" s="1406">
        <v>20.37</v>
      </c>
      <c r="G3211" s="1406">
        <v>20.37</v>
      </c>
      <c r="H3211" t="b">
        <f t="shared" si="101"/>
        <v>1</v>
      </c>
    </row>
    <row r="3212" spans="1:8">
      <c r="A3212" s="677">
        <v>436</v>
      </c>
      <c r="B3212" s="733" t="s">
        <v>11601</v>
      </c>
      <c r="C3212" s="677" t="s">
        <v>1690</v>
      </c>
      <c r="D3212" s="738">
        <f t="shared" si="100"/>
        <v>13.25</v>
      </c>
      <c r="F3212" s="1405">
        <v>13.25</v>
      </c>
      <c r="G3212" s="1405">
        <v>13.25</v>
      </c>
      <c r="H3212" t="b">
        <f t="shared" si="101"/>
        <v>1</v>
      </c>
    </row>
    <row r="3213" spans="1:8">
      <c r="A3213" s="739">
        <v>442</v>
      </c>
      <c r="B3213" s="740" t="s">
        <v>11602</v>
      </c>
      <c r="C3213" s="739" t="s">
        <v>1690</v>
      </c>
      <c r="D3213" s="741">
        <f t="shared" si="100"/>
        <v>7.83</v>
      </c>
      <c r="F3213" s="1406">
        <v>7.83</v>
      </c>
      <c r="G3213" s="1406">
        <v>7.83</v>
      </c>
      <c r="H3213" t="b">
        <f t="shared" si="101"/>
        <v>1</v>
      </c>
    </row>
    <row r="3214" spans="1:8">
      <c r="A3214" s="677">
        <v>11953</v>
      </c>
      <c r="B3214" s="733" t="s">
        <v>11603</v>
      </c>
      <c r="C3214" s="677" t="s">
        <v>1690</v>
      </c>
      <c r="D3214" s="738">
        <f t="shared" si="100"/>
        <v>3.23</v>
      </c>
      <c r="F3214" s="1405">
        <v>3.23</v>
      </c>
      <c r="G3214" s="1405">
        <v>3.23</v>
      </c>
      <c r="H3214" t="b">
        <f t="shared" si="101"/>
        <v>1</v>
      </c>
    </row>
    <row r="3215" spans="1:8">
      <c r="A3215" s="739">
        <v>4335</v>
      </c>
      <c r="B3215" s="740" t="s">
        <v>11604</v>
      </c>
      <c r="C3215" s="739" t="s">
        <v>1690</v>
      </c>
      <c r="D3215" s="741">
        <f t="shared" si="100"/>
        <v>13.68</v>
      </c>
      <c r="F3215" s="1406">
        <v>13.68</v>
      </c>
      <c r="G3215" s="1406">
        <v>13.68</v>
      </c>
      <c r="H3215" t="b">
        <f t="shared" si="101"/>
        <v>1</v>
      </c>
    </row>
    <row r="3216" spans="1:8">
      <c r="A3216" s="677">
        <v>4334</v>
      </c>
      <c r="B3216" s="733" t="s">
        <v>11605</v>
      </c>
      <c r="C3216" s="677" t="s">
        <v>1690</v>
      </c>
      <c r="D3216" s="738">
        <f t="shared" si="100"/>
        <v>18.77</v>
      </c>
      <c r="F3216" s="1405">
        <v>18.77</v>
      </c>
      <c r="G3216" s="1405">
        <v>18.77</v>
      </c>
      <c r="H3216" t="b">
        <f t="shared" si="101"/>
        <v>1</v>
      </c>
    </row>
    <row r="3217" spans="1:8">
      <c r="A3217" s="739">
        <v>4343</v>
      </c>
      <c r="B3217" s="740" t="s">
        <v>11606</v>
      </c>
      <c r="C3217" s="739" t="s">
        <v>1690</v>
      </c>
      <c r="D3217" s="741">
        <f t="shared" si="100"/>
        <v>4.6100000000000003</v>
      </c>
      <c r="F3217" s="1406">
        <v>4.6100000000000003</v>
      </c>
      <c r="G3217" s="1406">
        <v>4.6100000000000003</v>
      </c>
      <c r="H3217" t="b">
        <f t="shared" si="101"/>
        <v>1</v>
      </c>
    </row>
    <row r="3218" spans="1:8">
      <c r="A3218" s="677">
        <v>430</v>
      </c>
      <c r="B3218" s="733" t="s">
        <v>11607</v>
      </c>
      <c r="C3218" s="677" t="s">
        <v>1690</v>
      </c>
      <c r="D3218" s="738">
        <f t="shared" si="100"/>
        <v>11.85</v>
      </c>
      <c r="F3218" s="1405">
        <v>11.85</v>
      </c>
      <c r="G3218" s="1405">
        <v>11.85</v>
      </c>
      <c r="H3218" t="b">
        <f t="shared" si="101"/>
        <v>1</v>
      </c>
    </row>
    <row r="3219" spans="1:8">
      <c r="A3219" s="739">
        <v>441</v>
      </c>
      <c r="B3219" s="740" t="s">
        <v>11608</v>
      </c>
      <c r="C3219" s="739" t="s">
        <v>1690</v>
      </c>
      <c r="D3219" s="741">
        <f t="shared" si="100"/>
        <v>13.05</v>
      </c>
      <c r="F3219" s="1406">
        <v>13.05</v>
      </c>
      <c r="G3219" s="1406">
        <v>13.05</v>
      </c>
      <c r="H3219" t="b">
        <f t="shared" si="101"/>
        <v>1</v>
      </c>
    </row>
    <row r="3220" spans="1:8">
      <c r="A3220" s="677">
        <v>431</v>
      </c>
      <c r="B3220" s="733" t="s">
        <v>11609</v>
      </c>
      <c r="C3220" s="677" t="s">
        <v>1690</v>
      </c>
      <c r="D3220" s="738">
        <f t="shared" si="100"/>
        <v>15.75</v>
      </c>
      <c r="F3220" s="1405">
        <v>15.75</v>
      </c>
      <c r="G3220" s="1405">
        <v>15.75</v>
      </c>
      <c r="H3220" t="b">
        <f t="shared" si="101"/>
        <v>1</v>
      </c>
    </row>
    <row r="3221" spans="1:8">
      <c r="A3221" s="739">
        <v>432</v>
      </c>
      <c r="B3221" s="740" t="s">
        <v>11610</v>
      </c>
      <c r="C3221" s="739" t="s">
        <v>1690</v>
      </c>
      <c r="D3221" s="741">
        <f t="shared" si="100"/>
        <v>17.38</v>
      </c>
      <c r="F3221" s="1406">
        <v>17.38</v>
      </c>
      <c r="G3221" s="1406">
        <v>17.38</v>
      </c>
      <c r="H3221" t="b">
        <f t="shared" si="101"/>
        <v>1</v>
      </c>
    </row>
    <row r="3222" spans="1:8">
      <c r="A3222" s="677">
        <v>429</v>
      </c>
      <c r="B3222" s="733" t="s">
        <v>11611</v>
      </c>
      <c r="C3222" s="677" t="s">
        <v>1690</v>
      </c>
      <c r="D3222" s="738">
        <f t="shared" si="100"/>
        <v>23.43</v>
      </c>
      <c r="F3222" s="1405">
        <v>23.43</v>
      </c>
      <c r="G3222" s="1405">
        <v>23.43</v>
      </c>
      <c r="H3222" t="b">
        <f t="shared" si="101"/>
        <v>1</v>
      </c>
    </row>
    <row r="3223" spans="1:8">
      <c r="A3223" s="739">
        <v>439</v>
      </c>
      <c r="B3223" s="740" t="s">
        <v>11612</v>
      </c>
      <c r="C3223" s="739" t="s">
        <v>1690</v>
      </c>
      <c r="D3223" s="741">
        <f t="shared" si="100"/>
        <v>19.97</v>
      </c>
      <c r="F3223" s="1406">
        <v>19.97</v>
      </c>
      <c r="G3223" s="1406">
        <v>19.97</v>
      </c>
      <c r="H3223" t="b">
        <f t="shared" si="101"/>
        <v>1</v>
      </c>
    </row>
    <row r="3224" spans="1:8">
      <c r="A3224" s="677">
        <v>433</v>
      </c>
      <c r="B3224" s="733" t="s">
        <v>11613</v>
      </c>
      <c r="C3224" s="677" t="s">
        <v>1690</v>
      </c>
      <c r="D3224" s="738">
        <f t="shared" si="100"/>
        <v>23.31</v>
      </c>
      <c r="F3224" s="1405">
        <v>23.31</v>
      </c>
      <c r="G3224" s="1405">
        <v>23.31</v>
      </c>
      <c r="H3224" t="b">
        <f t="shared" si="101"/>
        <v>1</v>
      </c>
    </row>
    <row r="3225" spans="1:8">
      <c r="A3225" s="739">
        <v>437</v>
      </c>
      <c r="B3225" s="740" t="s">
        <v>11614</v>
      </c>
      <c r="C3225" s="739" t="s">
        <v>1690</v>
      </c>
      <c r="D3225" s="741">
        <f t="shared" si="100"/>
        <v>30.97</v>
      </c>
      <c r="F3225" s="1406">
        <v>30.97</v>
      </c>
      <c r="G3225" s="1406">
        <v>30.97</v>
      </c>
      <c r="H3225" t="b">
        <f t="shared" si="101"/>
        <v>1</v>
      </c>
    </row>
    <row r="3226" spans="1:8">
      <c r="A3226" s="677">
        <v>11790</v>
      </c>
      <c r="B3226" s="733" t="s">
        <v>11615</v>
      </c>
      <c r="C3226" s="677" t="s">
        <v>1690</v>
      </c>
      <c r="D3226" s="738">
        <f t="shared" si="100"/>
        <v>35.130000000000003</v>
      </c>
      <c r="F3226" s="1405">
        <v>35.130000000000003</v>
      </c>
      <c r="G3226" s="1405">
        <v>35.130000000000003</v>
      </c>
      <c r="H3226" t="b">
        <f t="shared" si="101"/>
        <v>1</v>
      </c>
    </row>
    <row r="3227" spans="1:8" ht="30">
      <c r="A3227" s="739">
        <v>428</v>
      </c>
      <c r="B3227" s="740" t="s">
        <v>11616</v>
      </c>
      <c r="C3227" s="739" t="s">
        <v>1690</v>
      </c>
      <c r="D3227" s="741">
        <f t="shared" si="100"/>
        <v>38.200000000000003</v>
      </c>
      <c r="F3227" s="1406">
        <v>38.200000000000003</v>
      </c>
      <c r="G3227" s="1406">
        <v>38.200000000000003</v>
      </c>
      <c r="H3227" t="b">
        <f t="shared" si="101"/>
        <v>1</v>
      </c>
    </row>
    <row r="3228" spans="1:8" ht="30">
      <c r="A3228" s="677">
        <v>4384</v>
      </c>
      <c r="B3228" s="733" t="s">
        <v>11617</v>
      </c>
      <c r="C3228" s="677" t="s">
        <v>1690</v>
      </c>
      <c r="D3228" s="738">
        <f t="shared" si="100"/>
        <v>22.34</v>
      </c>
      <c r="F3228" s="1405">
        <v>22.34</v>
      </c>
      <c r="G3228" s="1405">
        <v>22.34</v>
      </c>
      <c r="H3228" t="b">
        <f t="shared" si="101"/>
        <v>1</v>
      </c>
    </row>
    <row r="3229" spans="1:8" ht="30">
      <c r="A3229" s="739">
        <v>4351</v>
      </c>
      <c r="B3229" s="740" t="s">
        <v>11618</v>
      </c>
      <c r="C3229" s="739" t="s">
        <v>1690</v>
      </c>
      <c r="D3229" s="741">
        <f t="shared" si="100"/>
        <v>16.559999999999999</v>
      </c>
      <c r="F3229" s="1406">
        <v>16.559999999999999</v>
      </c>
      <c r="G3229" s="1406">
        <v>16.559999999999999</v>
      </c>
      <c r="H3229" t="b">
        <f t="shared" si="101"/>
        <v>1</v>
      </c>
    </row>
    <row r="3230" spans="1:8">
      <c r="A3230" s="677">
        <v>11054</v>
      </c>
      <c r="B3230" s="733" t="s">
        <v>11619</v>
      </c>
      <c r="C3230" s="677" t="s">
        <v>1690</v>
      </c>
      <c r="D3230" s="738">
        <f t="shared" si="100"/>
        <v>0.04</v>
      </c>
      <c r="F3230" s="1405">
        <v>0.04</v>
      </c>
      <c r="G3230" s="1405">
        <v>0.04</v>
      </c>
      <c r="H3230" t="b">
        <f t="shared" si="101"/>
        <v>1</v>
      </c>
    </row>
    <row r="3231" spans="1:8">
      <c r="A3231" s="739">
        <v>11055</v>
      </c>
      <c r="B3231" s="740" t="s">
        <v>11620</v>
      </c>
      <c r="C3231" s="739" t="s">
        <v>1690</v>
      </c>
      <c r="D3231" s="741">
        <f t="shared" si="100"/>
        <v>7.0000000000000007E-2</v>
      </c>
      <c r="F3231" s="1406">
        <v>7.0000000000000007E-2</v>
      </c>
      <c r="G3231" s="1406">
        <v>7.0000000000000007E-2</v>
      </c>
      <c r="H3231" t="b">
        <f t="shared" si="101"/>
        <v>1</v>
      </c>
    </row>
    <row r="3232" spans="1:8">
      <c r="A3232" s="677">
        <v>11056</v>
      </c>
      <c r="B3232" s="733" t="s">
        <v>11621</v>
      </c>
      <c r="C3232" s="677" t="s">
        <v>1690</v>
      </c>
      <c r="D3232" s="738">
        <f t="shared" si="100"/>
        <v>0.08</v>
      </c>
      <c r="F3232" s="1405">
        <v>0.08</v>
      </c>
      <c r="G3232" s="1405">
        <v>0.08</v>
      </c>
      <c r="H3232" t="b">
        <f t="shared" si="101"/>
        <v>1</v>
      </c>
    </row>
    <row r="3233" spans="1:8">
      <c r="A3233" s="739">
        <v>11057</v>
      </c>
      <c r="B3233" s="740" t="s">
        <v>11622</v>
      </c>
      <c r="C3233" s="739" t="s">
        <v>1690</v>
      </c>
      <c r="D3233" s="741">
        <f t="shared" si="100"/>
        <v>0.17</v>
      </c>
      <c r="F3233" s="1406">
        <v>0.17</v>
      </c>
      <c r="G3233" s="1406">
        <v>0.17</v>
      </c>
      <c r="H3233" t="b">
        <f t="shared" si="101"/>
        <v>1</v>
      </c>
    </row>
    <row r="3234" spans="1:8">
      <c r="A3234" s="677">
        <v>11059</v>
      </c>
      <c r="B3234" s="733" t="s">
        <v>11623</v>
      </c>
      <c r="C3234" s="677" t="s">
        <v>1690</v>
      </c>
      <c r="D3234" s="738">
        <f t="shared" si="100"/>
        <v>0.33</v>
      </c>
      <c r="F3234" s="1405">
        <v>0.33</v>
      </c>
      <c r="G3234" s="1405">
        <v>0.33</v>
      </c>
      <c r="H3234" t="b">
        <f t="shared" si="101"/>
        <v>1</v>
      </c>
    </row>
    <row r="3235" spans="1:8">
      <c r="A3235" s="739">
        <v>11058</v>
      </c>
      <c r="B3235" s="740" t="s">
        <v>11624</v>
      </c>
      <c r="C3235" s="739" t="s">
        <v>1690</v>
      </c>
      <c r="D3235" s="741">
        <f t="shared" si="100"/>
        <v>0.42</v>
      </c>
      <c r="F3235" s="1406">
        <v>0.42</v>
      </c>
      <c r="G3235" s="1406">
        <v>0.42</v>
      </c>
      <c r="H3235" t="b">
        <f t="shared" si="101"/>
        <v>1</v>
      </c>
    </row>
    <row r="3236" spans="1:8">
      <c r="A3236" s="677">
        <v>4380</v>
      </c>
      <c r="B3236" s="733" t="s">
        <v>11625</v>
      </c>
      <c r="C3236" s="677" t="s">
        <v>1690</v>
      </c>
      <c r="D3236" s="738">
        <f t="shared" si="100"/>
        <v>1.43</v>
      </c>
      <c r="F3236" s="1405">
        <v>1.43</v>
      </c>
      <c r="G3236" s="1405">
        <v>1.43</v>
      </c>
      <c r="H3236" t="b">
        <f t="shared" si="101"/>
        <v>1</v>
      </c>
    </row>
    <row r="3237" spans="1:8">
      <c r="A3237" s="739">
        <v>4299</v>
      </c>
      <c r="B3237" s="740" t="s">
        <v>11626</v>
      </c>
      <c r="C3237" s="739" t="s">
        <v>1690</v>
      </c>
      <c r="D3237" s="741">
        <f t="shared" si="100"/>
        <v>1.35</v>
      </c>
      <c r="F3237" s="1406">
        <v>1.35</v>
      </c>
      <c r="G3237" s="1406">
        <v>1.35</v>
      </c>
      <c r="H3237" t="b">
        <f t="shared" si="101"/>
        <v>1</v>
      </c>
    </row>
    <row r="3238" spans="1:8">
      <c r="A3238" s="677">
        <v>4304</v>
      </c>
      <c r="B3238" s="733" t="s">
        <v>11627</v>
      </c>
      <c r="C3238" s="677" t="s">
        <v>1690</v>
      </c>
      <c r="D3238" s="738">
        <f t="shared" si="100"/>
        <v>1.84</v>
      </c>
      <c r="F3238" s="1405">
        <v>1.84</v>
      </c>
      <c r="G3238" s="1405">
        <v>1.84</v>
      </c>
      <c r="H3238" t="b">
        <f t="shared" si="101"/>
        <v>1</v>
      </c>
    </row>
    <row r="3239" spans="1:8">
      <c r="A3239" s="739">
        <v>4305</v>
      </c>
      <c r="B3239" s="740" t="s">
        <v>11628</v>
      </c>
      <c r="C3239" s="739" t="s">
        <v>1690</v>
      </c>
      <c r="D3239" s="741">
        <f t="shared" si="100"/>
        <v>2.14</v>
      </c>
      <c r="F3239" s="1406">
        <v>2.14</v>
      </c>
      <c r="G3239" s="1406">
        <v>2.14</v>
      </c>
      <c r="H3239" t="b">
        <f t="shared" si="101"/>
        <v>1</v>
      </c>
    </row>
    <row r="3240" spans="1:8">
      <c r="A3240" s="677">
        <v>4306</v>
      </c>
      <c r="B3240" s="733" t="s">
        <v>11629</v>
      </c>
      <c r="C3240" s="677" t="s">
        <v>1690</v>
      </c>
      <c r="D3240" s="738">
        <f t="shared" si="100"/>
        <v>2.48</v>
      </c>
      <c r="F3240" s="1405">
        <v>2.48</v>
      </c>
      <c r="G3240" s="1405">
        <v>2.48</v>
      </c>
      <c r="H3240" t="b">
        <f t="shared" si="101"/>
        <v>1</v>
      </c>
    </row>
    <row r="3241" spans="1:8">
      <c r="A3241" s="739">
        <v>4308</v>
      </c>
      <c r="B3241" s="740" t="s">
        <v>11630</v>
      </c>
      <c r="C3241" s="739" t="s">
        <v>1690</v>
      </c>
      <c r="D3241" s="741">
        <f t="shared" si="100"/>
        <v>5.14</v>
      </c>
      <c r="F3241" s="1406">
        <v>5.14</v>
      </c>
      <c r="G3241" s="1406">
        <v>5.14</v>
      </c>
      <c r="H3241" t="b">
        <f t="shared" si="101"/>
        <v>1</v>
      </c>
    </row>
    <row r="3242" spans="1:8">
      <c r="A3242" s="677">
        <v>4302</v>
      </c>
      <c r="B3242" s="733" t="s">
        <v>11631</v>
      </c>
      <c r="C3242" s="677" t="s">
        <v>1690</v>
      </c>
      <c r="D3242" s="738">
        <f t="shared" si="100"/>
        <v>3.85</v>
      </c>
      <c r="F3242" s="1405">
        <v>3.85</v>
      </c>
      <c r="G3242" s="1405">
        <v>3.85</v>
      </c>
      <c r="H3242" t="b">
        <f t="shared" si="101"/>
        <v>1</v>
      </c>
    </row>
    <row r="3243" spans="1:8">
      <c r="A3243" s="739">
        <v>4300</v>
      </c>
      <c r="B3243" s="740" t="s">
        <v>11632</v>
      </c>
      <c r="C3243" s="739" t="s">
        <v>1690</v>
      </c>
      <c r="D3243" s="741">
        <f t="shared" si="100"/>
        <v>0.92</v>
      </c>
      <c r="F3243" s="1406">
        <v>0.92</v>
      </c>
      <c r="G3243" s="1406">
        <v>0.92</v>
      </c>
      <c r="H3243" t="b">
        <f t="shared" si="101"/>
        <v>1</v>
      </c>
    </row>
    <row r="3244" spans="1:8">
      <c r="A3244" s="677">
        <v>4301</v>
      </c>
      <c r="B3244" s="733" t="s">
        <v>11633</v>
      </c>
      <c r="C3244" s="677" t="s">
        <v>1690</v>
      </c>
      <c r="D3244" s="738">
        <f t="shared" si="100"/>
        <v>1.1200000000000001</v>
      </c>
      <c r="F3244" s="1405">
        <v>1.1200000000000001</v>
      </c>
      <c r="G3244" s="1405">
        <v>1.1200000000000001</v>
      </c>
      <c r="H3244" t="b">
        <f t="shared" si="101"/>
        <v>1</v>
      </c>
    </row>
    <row r="3245" spans="1:8">
      <c r="A3245" s="739">
        <v>4320</v>
      </c>
      <c r="B3245" s="740" t="s">
        <v>11634</v>
      </c>
      <c r="C3245" s="739" t="s">
        <v>1690</v>
      </c>
      <c r="D3245" s="741">
        <f t="shared" si="100"/>
        <v>3.4</v>
      </c>
      <c r="F3245" s="1406">
        <v>3.4</v>
      </c>
      <c r="G3245" s="1406">
        <v>3.4</v>
      </c>
      <c r="H3245" t="b">
        <f t="shared" si="101"/>
        <v>1</v>
      </c>
    </row>
    <row r="3246" spans="1:8">
      <c r="A3246" s="677">
        <v>4318</v>
      </c>
      <c r="B3246" s="733" t="s">
        <v>11635</v>
      </c>
      <c r="C3246" s="677" t="s">
        <v>1690</v>
      </c>
      <c r="D3246" s="738">
        <f t="shared" si="100"/>
        <v>1.66</v>
      </c>
      <c r="F3246" s="1405">
        <v>1.66</v>
      </c>
      <c r="G3246" s="1405">
        <v>1.66</v>
      </c>
      <c r="H3246" t="b">
        <f t="shared" si="101"/>
        <v>1</v>
      </c>
    </row>
    <row r="3247" spans="1:8">
      <c r="A3247" s="739">
        <v>40547</v>
      </c>
      <c r="B3247" s="740" t="s">
        <v>11636</v>
      </c>
      <c r="C3247" s="739" t="s">
        <v>1703</v>
      </c>
      <c r="D3247" s="741">
        <f t="shared" si="100"/>
        <v>27.14</v>
      </c>
      <c r="F3247" s="1406">
        <v>27.14</v>
      </c>
      <c r="G3247" s="1406">
        <v>27.14</v>
      </c>
      <c r="H3247" t="b">
        <f t="shared" si="101"/>
        <v>1</v>
      </c>
    </row>
    <row r="3248" spans="1:8">
      <c r="A3248" s="677">
        <v>11962</v>
      </c>
      <c r="B3248" s="733" t="s">
        <v>11637</v>
      </c>
      <c r="C3248" s="677" t="s">
        <v>1690</v>
      </c>
      <c r="D3248" s="738">
        <f t="shared" si="100"/>
        <v>0.22</v>
      </c>
      <c r="F3248" s="1405">
        <v>0.22</v>
      </c>
      <c r="G3248" s="1405">
        <v>0.22</v>
      </c>
      <c r="H3248" t="b">
        <f t="shared" si="101"/>
        <v>1</v>
      </c>
    </row>
    <row r="3249" spans="1:8">
      <c r="A3249" s="739">
        <v>4332</v>
      </c>
      <c r="B3249" s="740" t="s">
        <v>11638</v>
      </c>
      <c r="C3249" s="739" t="s">
        <v>1690</v>
      </c>
      <c r="D3249" s="741">
        <f t="shared" si="100"/>
        <v>1.08</v>
      </c>
      <c r="F3249" s="1406">
        <v>1.08</v>
      </c>
      <c r="G3249" s="1406">
        <v>1.08</v>
      </c>
      <c r="H3249" t="b">
        <f t="shared" si="101"/>
        <v>1</v>
      </c>
    </row>
    <row r="3250" spans="1:8">
      <c r="A3250" s="677">
        <v>4331</v>
      </c>
      <c r="B3250" s="733" t="s">
        <v>11639</v>
      </c>
      <c r="C3250" s="677" t="s">
        <v>1690</v>
      </c>
      <c r="D3250" s="738">
        <f t="shared" si="100"/>
        <v>4.07</v>
      </c>
      <c r="F3250" s="1405">
        <v>4.07</v>
      </c>
      <c r="G3250" s="1405">
        <v>4.07</v>
      </c>
      <c r="H3250" t="b">
        <f t="shared" si="101"/>
        <v>1</v>
      </c>
    </row>
    <row r="3251" spans="1:8" ht="30">
      <c r="A3251" s="739">
        <v>4336</v>
      </c>
      <c r="B3251" s="740" t="s">
        <v>11640</v>
      </c>
      <c r="C3251" s="739" t="s">
        <v>1690</v>
      </c>
      <c r="D3251" s="741">
        <f t="shared" si="100"/>
        <v>5.21</v>
      </c>
      <c r="F3251" s="1406">
        <v>5.21</v>
      </c>
      <c r="G3251" s="1406">
        <v>5.21</v>
      </c>
      <c r="H3251" t="b">
        <f t="shared" si="101"/>
        <v>1</v>
      </c>
    </row>
    <row r="3252" spans="1:8">
      <c r="A3252" s="677">
        <v>13294</v>
      </c>
      <c r="B3252" s="733" t="s">
        <v>11641</v>
      </c>
      <c r="C3252" s="677" t="s">
        <v>1690</v>
      </c>
      <c r="D3252" s="738">
        <f t="shared" si="100"/>
        <v>1.49</v>
      </c>
      <c r="F3252" s="1405">
        <v>1.49</v>
      </c>
      <c r="G3252" s="1405">
        <v>1.49</v>
      </c>
      <c r="H3252" t="b">
        <f t="shared" si="101"/>
        <v>1</v>
      </c>
    </row>
    <row r="3253" spans="1:8">
      <c r="A3253" s="739">
        <v>11948</v>
      </c>
      <c r="B3253" s="740" t="s">
        <v>11642</v>
      </c>
      <c r="C3253" s="739" t="s">
        <v>1690</v>
      </c>
      <c r="D3253" s="741">
        <f t="shared" si="100"/>
        <v>0.67</v>
      </c>
      <c r="F3253" s="1406">
        <v>0.67</v>
      </c>
      <c r="G3253" s="1406">
        <v>0.67</v>
      </c>
      <c r="H3253" t="b">
        <f t="shared" si="101"/>
        <v>1</v>
      </c>
    </row>
    <row r="3254" spans="1:8">
      <c r="A3254" s="677">
        <v>4382</v>
      </c>
      <c r="B3254" s="733" t="s">
        <v>11643</v>
      </c>
      <c r="C3254" s="677" t="s">
        <v>1690</v>
      </c>
      <c r="D3254" s="738">
        <f t="shared" si="100"/>
        <v>1.1200000000000001</v>
      </c>
      <c r="F3254" s="1405">
        <v>1.1200000000000001</v>
      </c>
      <c r="G3254" s="1405">
        <v>1.1200000000000001</v>
      </c>
      <c r="H3254" t="b">
        <f t="shared" si="101"/>
        <v>1</v>
      </c>
    </row>
    <row r="3255" spans="1:8">
      <c r="A3255" s="739">
        <v>4354</v>
      </c>
      <c r="B3255" s="740" t="s">
        <v>11644</v>
      </c>
      <c r="C3255" s="739" t="s">
        <v>1690</v>
      </c>
      <c r="D3255" s="741">
        <f t="shared" si="100"/>
        <v>46.73</v>
      </c>
      <c r="F3255" s="1406">
        <v>46.73</v>
      </c>
      <c r="G3255" s="1406">
        <v>46.73</v>
      </c>
      <c r="H3255" t="b">
        <f t="shared" si="101"/>
        <v>1</v>
      </c>
    </row>
    <row r="3256" spans="1:8">
      <c r="A3256" s="677">
        <v>40839</v>
      </c>
      <c r="B3256" s="733" t="s">
        <v>11645</v>
      </c>
      <c r="C3256" s="677" t="s">
        <v>1703</v>
      </c>
      <c r="D3256" s="738">
        <f t="shared" si="100"/>
        <v>112.46</v>
      </c>
      <c r="F3256" s="1405">
        <v>112.46</v>
      </c>
      <c r="G3256" s="1405">
        <v>112.46</v>
      </c>
      <c r="H3256" t="b">
        <f t="shared" si="101"/>
        <v>1</v>
      </c>
    </row>
    <row r="3257" spans="1:8">
      <c r="A3257" s="739">
        <v>40552</v>
      </c>
      <c r="B3257" s="740" t="s">
        <v>11646</v>
      </c>
      <c r="C3257" s="739" t="s">
        <v>1703</v>
      </c>
      <c r="D3257" s="741">
        <f t="shared" si="100"/>
        <v>46.53</v>
      </c>
      <c r="F3257" s="1406">
        <v>46.53</v>
      </c>
      <c r="G3257" s="1406">
        <v>46.53</v>
      </c>
      <c r="H3257" t="b">
        <f t="shared" si="101"/>
        <v>1</v>
      </c>
    </row>
    <row r="3258" spans="1:8">
      <c r="A3258" s="677">
        <v>40549</v>
      </c>
      <c r="B3258" s="733" t="s">
        <v>11647</v>
      </c>
      <c r="C3258" s="677" t="s">
        <v>1703</v>
      </c>
      <c r="D3258" s="738">
        <f t="shared" si="100"/>
        <v>184.2</v>
      </c>
      <c r="F3258" s="1405">
        <v>184.2</v>
      </c>
      <c r="G3258" s="1405">
        <v>184.2</v>
      </c>
      <c r="H3258" t="b">
        <f t="shared" si="101"/>
        <v>1</v>
      </c>
    </row>
    <row r="3259" spans="1:8">
      <c r="A3259" s="739">
        <v>4385</v>
      </c>
      <c r="B3259" s="740" t="s">
        <v>11648</v>
      </c>
      <c r="C3259" s="739" t="s">
        <v>1699</v>
      </c>
      <c r="D3259" s="741">
        <f t="shared" si="100"/>
        <v>7068.75</v>
      </c>
      <c r="F3259" s="1406">
        <v>7068.75</v>
      </c>
      <c r="G3259" s="1406">
        <v>7068.75</v>
      </c>
      <c r="H3259" t="b">
        <f t="shared" si="101"/>
        <v>1</v>
      </c>
    </row>
    <row r="3260" spans="1:8" ht="30">
      <c r="A3260" s="677">
        <v>20078</v>
      </c>
      <c r="B3260" s="733" t="s">
        <v>11649</v>
      </c>
      <c r="C3260" s="677" t="s">
        <v>1690</v>
      </c>
      <c r="D3260" s="738">
        <f t="shared" si="100"/>
        <v>31.69</v>
      </c>
      <c r="F3260" s="1405">
        <v>31.69</v>
      </c>
      <c r="G3260" s="1405">
        <v>31.69</v>
      </c>
      <c r="H3260" t="b">
        <f t="shared" si="101"/>
        <v>1</v>
      </c>
    </row>
    <row r="3261" spans="1:8">
      <c r="A3261" s="739">
        <v>39897</v>
      </c>
      <c r="B3261" s="740" t="s">
        <v>11650</v>
      </c>
      <c r="C3261" s="739" t="s">
        <v>1690</v>
      </c>
      <c r="D3261" s="741">
        <f t="shared" si="100"/>
        <v>50.23</v>
      </c>
      <c r="F3261" s="1406">
        <v>50.23</v>
      </c>
      <c r="G3261" s="1406">
        <v>50.23</v>
      </c>
      <c r="H3261" t="b">
        <f t="shared" si="101"/>
        <v>1</v>
      </c>
    </row>
    <row r="3262" spans="1:8">
      <c r="A3262" s="677">
        <v>118</v>
      </c>
      <c r="B3262" s="733" t="s">
        <v>11651</v>
      </c>
      <c r="C3262" s="677" t="s">
        <v>1690</v>
      </c>
      <c r="D3262" s="738">
        <f t="shared" si="100"/>
        <v>67</v>
      </c>
      <c r="F3262" s="1405">
        <v>67</v>
      </c>
      <c r="G3262" s="1405">
        <v>67</v>
      </c>
      <c r="H3262" t="b">
        <f t="shared" si="101"/>
        <v>1</v>
      </c>
    </row>
    <row r="3263" spans="1:8" ht="30">
      <c r="A3263" s="739">
        <v>4396</v>
      </c>
      <c r="B3263" s="740" t="s">
        <v>11652</v>
      </c>
      <c r="C3263" s="739" t="s">
        <v>1692</v>
      </c>
      <c r="D3263" s="741">
        <f t="shared" si="100"/>
        <v>214.43</v>
      </c>
      <c r="F3263" s="1406">
        <v>214.43</v>
      </c>
      <c r="G3263" s="1406">
        <v>214.43</v>
      </c>
      <c r="H3263" t="b">
        <f t="shared" si="101"/>
        <v>1</v>
      </c>
    </row>
    <row r="3264" spans="1:8" ht="30">
      <c r="A3264" s="677">
        <v>36881</v>
      </c>
      <c r="B3264" s="733" t="s">
        <v>11653</v>
      </c>
      <c r="C3264" s="677" t="s">
        <v>1692</v>
      </c>
      <c r="D3264" s="738">
        <f t="shared" si="100"/>
        <v>138.1</v>
      </c>
      <c r="F3264" s="1405">
        <v>138.1</v>
      </c>
      <c r="G3264" s="1405">
        <v>138.1</v>
      </c>
      <c r="H3264" t="b">
        <f t="shared" si="101"/>
        <v>1</v>
      </c>
    </row>
    <row r="3265" spans="1:8" ht="30">
      <c r="A3265" s="739">
        <v>4397</v>
      </c>
      <c r="B3265" s="740" t="s">
        <v>11654</v>
      </c>
      <c r="C3265" s="739" t="s">
        <v>1692</v>
      </c>
      <c r="D3265" s="741">
        <f t="shared" si="100"/>
        <v>233.26</v>
      </c>
      <c r="F3265" s="1406">
        <v>233.26</v>
      </c>
      <c r="G3265" s="1406">
        <v>233.26</v>
      </c>
      <c r="H3265" t="b">
        <f t="shared" si="101"/>
        <v>1</v>
      </c>
    </row>
    <row r="3266" spans="1:8" ht="30">
      <c r="A3266" s="677">
        <v>36882</v>
      </c>
      <c r="B3266" s="733" t="s">
        <v>11655</v>
      </c>
      <c r="C3266" s="677" t="s">
        <v>1692</v>
      </c>
      <c r="D3266" s="738">
        <f t="shared" si="100"/>
        <v>165.14</v>
      </c>
      <c r="F3266" s="1405">
        <v>165.14</v>
      </c>
      <c r="G3266" s="1405">
        <v>165.14</v>
      </c>
      <c r="H3266" t="b">
        <f t="shared" si="101"/>
        <v>1</v>
      </c>
    </row>
    <row r="3267" spans="1:8">
      <c r="A3267" s="739">
        <v>4751</v>
      </c>
      <c r="B3267" s="740" t="s">
        <v>11656</v>
      </c>
      <c r="C3267" s="739" t="s">
        <v>1689</v>
      </c>
      <c r="D3267" s="741">
        <f t="shared" ref="D3267:D3330" si="102">IF($J$2=$F$1,F3267,G3267)</f>
        <v>19.79</v>
      </c>
      <c r="F3267" s="1406">
        <v>17.190000000000001</v>
      </c>
      <c r="G3267" s="1406">
        <v>19.79</v>
      </c>
      <c r="H3267" t="b">
        <f t="shared" ref="H3267:H3330" si="103">F3267=G3267</f>
        <v>0</v>
      </c>
    </row>
    <row r="3268" spans="1:8">
      <c r="A3268" s="677">
        <v>41066</v>
      </c>
      <c r="B3268" s="733" t="s">
        <v>11657</v>
      </c>
      <c r="C3268" s="677" t="s">
        <v>1696</v>
      </c>
      <c r="D3268" s="738">
        <f t="shared" si="102"/>
        <v>3482.33</v>
      </c>
      <c r="F3268" s="1405">
        <v>3020.19</v>
      </c>
      <c r="G3268" s="1405">
        <v>3482.33</v>
      </c>
      <c r="H3268" t="b">
        <f t="shared" si="103"/>
        <v>0</v>
      </c>
    </row>
    <row r="3269" spans="1:8">
      <c r="A3269" s="739">
        <v>39604</v>
      </c>
      <c r="B3269" s="740" t="s">
        <v>11658</v>
      </c>
      <c r="C3269" s="739" t="s">
        <v>1690</v>
      </c>
      <c r="D3269" s="741">
        <f t="shared" si="102"/>
        <v>12.32</v>
      </c>
      <c r="F3269" s="1406">
        <v>12.32</v>
      </c>
      <c r="G3269" s="1406">
        <v>12.32</v>
      </c>
      <c r="H3269" t="b">
        <f t="shared" si="103"/>
        <v>1</v>
      </c>
    </row>
    <row r="3270" spans="1:8">
      <c r="A3270" s="677">
        <v>39605</v>
      </c>
      <c r="B3270" s="733" t="s">
        <v>11659</v>
      </c>
      <c r="C3270" s="677" t="s">
        <v>1690</v>
      </c>
      <c r="D3270" s="738">
        <f t="shared" si="102"/>
        <v>13.38</v>
      </c>
      <c r="F3270" s="1405">
        <v>13.38</v>
      </c>
      <c r="G3270" s="1405">
        <v>13.38</v>
      </c>
      <c r="H3270" t="b">
        <f t="shared" si="103"/>
        <v>1</v>
      </c>
    </row>
    <row r="3271" spans="1:8">
      <c r="A3271" s="739">
        <v>39606</v>
      </c>
      <c r="B3271" s="740" t="s">
        <v>11660</v>
      </c>
      <c r="C3271" s="739" t="s">
        <v>1690</v>
      </c>
      <c r="D3271" s="741">
        <f t="shared" si="102"/>
        <v>23.43</v>
      </c>
      <c r="F3271" s="1406">
        <v>23.43</v>
      </c>
      <c r="G3271" s="1406">
        <v>23.43</v>
      </c>
      <c r="H3271" t="b">
        <f t="shared" si="103"/>
        <v>1</v>
      </c>
    </row>
    <row r="3272" spans="1:8">
      <c r="A3272" s="677">
        <v>39607</v>
      </c>
      <c r="B3272" s="733" t="s">
        <v>11661</v>
      </c>
      <c r="C3272" s="677" t="s">
        <v>1690</v>
      </c>
      <c r="D3272" s="738">
        <f t="shared" si="102"/>
        <v>31.7</v>
      </c>
      <c r="F3272" s="1405">
        <v>31.7</v>
      </c>
      <c r="G3272" s="1405">
        <v>31.7</v>
      </c>
      <c r="H3272" t="b">
        <f t="shared" si="103"/>
        <v>1</v>
      </c>
    </row>
    <row r="3273" spans="1:8">
      <c r="A3273" s="739">
        <v>39594</v>
      </c>
      <c r="B3273" s="740" t="s">
        <v>11662</v>
      </c>
      <c r="C3273" s="739" t="s">
        <v>1690</v>
      </c>
      <c r="D3273" s="741">
        <f t="shared" si="102"/>
        <v>290</v>
      </c>
      <c r="F3273" s="1406">
        <v>290</v>
      </c>
      <c r="G3273" s="1406">
        <v>290</v>
      </c>
      <c r="H3273" t="b">
        <f t="shared" si="103"/>
        <v>1</v>
      </c>
    </row>
    <row r="3274" spans="1:8">
      <c r="A3274" s="677">
        <v>39596</v>
      </c>
      <c r="B3274" s="733" t="s">
        <v>11663</v>
      </c>
      <c r="C3274" s="677" t="s">
        <v>1690</v>
      </c>
      <c r="D3274" s="738">
        <f t="shared" si="102"/>
        <v>776.64</v>
      </c>
      <c r="F3274" s="1405">
        <v>776.64</v>
      </c>
      <c r="G3274" s="1405">
        <v>776.64</v>
      </c>
      <c r="H3274" t="b">
        <f t="shared" si="103"/>
        <v>1</v>
      </c>
    </row>
    <row r="3275" spans="1:8">
      <c r="A3275" s="739">
        <v>39595</v>
      </c>
      <c r="B3275" s="740" t="s">
        <v>11664</v>
      </c>
      <c r="C3275" s="739" t="s">
        <v>1690</v>
      </c>
      <c r="D3275" s="741">
        <f t="shared" si="102"/>
        <v>1745.01</v>
      </c>
      <c r="F3275" s="1406">
        <v>1745.01</v>
      </c>
      <c r="G3275" s="1406">
        <v>1745.01</v>
      </c>
      <c r="H3275" t="b">
        <f t="shared" si="103"/>
        <v>1</v>
      </c>
    </row>
    <row r="3276" spans="1:8">
      <c r="A3276" s="677">
        <v>39597</v>
      </c>
      <c r="B3276" s="733" t="s">
        <v>11665</v>
      </c>
      <c r="C3276" s="677" t="s">
        <v>1690</v>
      </c>
      <c r="D3276" s="738">
        <f t="shared" si="102"/>
        <v>2737.28</v>
      </c>
      <c r="F3276" s="1405">
        <v>2737.28</v>
      </c>
      <c r="G3276" s="1405">
        <v>2737.28</v>
      </c>
      <c r="H3276" t="b">
        <f t="shared" si="103"/>
        <v>1</v>
      </c>
    </row>
    <row r="3277" spans="1:8">
      <c r="A3277" s="739">
        <v>10731</v>
      </c>
      <c r="B3277" s="740" t="s">
        <v>11666</v>
      </c>
      <c r="C3277" s="739" t="s">
        <v>1692</v>
      </c>
      <c r="D3277" s="741">
        <f t="shared" si="102"/>
        <v>40</v>
      </c>
      <c r="F3277" s="1406">
        <v>40</v>
      </c>
      <c r="G3277" s="1406">
        <v>40</v>
      </c>
      <c r="H3277" t="b">
        <f t="shared" si="103"/>
        <v>1</v>
      </c>
    </row>
    <row r="3278" spans="1:8">
      <c r="A3278" s="677">
        <v>4704</v>
      </c>
      <c r="B3278" s="733" t="s">
        <v>11667</v>
      </c>
      <c r="C3278" s="677" t="s">
        <v>1692</v>
      </c>
      <c r="D3278" s="738">
        <f t="shared" si="102"/>
        <v>36.090000000000003</v>
      </c>
      <c r="F3278" s="1405">
        <v>36.090000000000003</v>
      </c>
      <c r="G3278" s="1405">
        <v>36.090000000000003</v>
      </c>
      <c r="H3278" t="b">
        <f t="shared" si="103"/>
        <v>1</v>
      </c>
    </row>
    <row r="3279" spans="1:8">
      <c r="A3279" s="739">
        <v>10730</v>
      </c>
      <c r="B3279" s="740" t="s">
        <v>11668</v>
      </c>
      <c r="C3279" s="739" t="s">
        <v>1692</v>
      </c>
      <c r="D3279" s="741">
        <f t="shared" si="102"/>
        <v>38.67</v>
      </c>
      <c r="F3279" s="1406">
        <v>38.67</v>
      </c>
      <c r="G3279" s="1406">
        <v>38.67</v>
      </c>
      <c r="H3279" t="b">
        <f t="shared" si="103"/>
        <v>1</v>
      </c>
    </row>
    <row r="3280" spans="1:8">
      <c r="A3280" s="677">
        <v>4729</v>
      </c>
      <c r="B3280" s="733" t="s">
        <v>11669</v>
      </c>
      <c r="C3280" s="677" t="s">
        <v>1691</v>
      </c>
      <c r="D3280" s="738">
        <f t="shared" si="102"/>
        <v>145.33000000000001</v>
      </c>
      <c r="F3280" s="1405">
        <v>145.33000000000001</v>
      </c>
      <c r="G3280" s="1405">
        <v>145.33000000000001</v>
      </c>
      <c r="H3280" t="b">
        <f t="shared" si="103"/>
        <v>1</v>
      </c>
    </row>
    <row r="3281" spans="1:8">
      <c r="A3281" s="739">
        <v>4720</v>
      </c>
      <c r="B3281" s="740" t="s">
        <v>11670</v>
      </c>
      <c r="C3281" s="739" t="s">
        <v>1691</v>
      </c>
      <c r="D3281" s="741">
        <f t="shared" si="102"/>
        <v>166.53</v>
      </c>
      <c r="F3281" s="1406">
        <v>166.53</v>
      </c>
      <c r="G3281" s="1406">
        <v>166.53</v>
      </c>
      <c r="H3281" t="b">
        <f t="shared" si="103"/>
        <v>1</v>
      </c>
    </row>
    <row r="3282" spans="1:8">
      <c r="A3282" s="677">
        <v>4721</v>
      </c>
      <c r="B3282" s="733" t="s">
        <v>11671</v>
      </c>
      <c r="C3282" s="677" t="s">
        <v>1691</v>
      </c>
      <c r="D3282" s="738">
        <f t="shared" si="102"/>
        <v>144.24</v>
      </c>
      <c r="F3282" s="1405">
        <v>144.24</v>
      </c>
      <c r="G3282" s="1405">
        <v>144.24</v>
      </c>
      <c r="H3282" t="b">
        <f t="shared" si="103"/>
        <v>1</v>
      </c>
    </row>
    <row r="3283" spans="1:8">
      <c r="A3283" s="739">
        <v>4718</v>
      </c>
      <c r="B3283" s="740" t="s">
        <v>11672</v>
      </c>
      <c r="C3283" s="739" t="s">
        <v>1691</v>
      </c>
      <c r="D3283" s="741">
        <f t="shared" si="102"/>
        <v>145</v>
      </c>
      <c r="F3283" s="1406">
        <v>145</v>
      </c>
      <c r="G3283" s="1406">
        <v>145</v>
      </c>
      <c r="H3283" t="b">
        <f t="shared" si="103"/>
        <v>1</v>
      </c>
    </row>
    <row r="3284" spans="1:8">
      <c r="A3284" s="677">
        <v>4722</v>
      </c>
      <c r="B3284" s="733" t="s">
        <v>11673</v>
      </c>
      <c r="C3284" s="677" t="s">
        <v>1691</v>
      </c>
      <c r="D3284" s="738">
        <f t="shared" si="102"/>
        <v>136.25</v>
      </c>
      <c r="F3284" s="1405">
        <v>136.25</v>
      </c>
      <c r="G3284" s="1405">
        <v>136.25</v>
      </c>
      <c r="H3284" t="b">
        <f t="shared" si="103"/>
        <v>1</v>
      </c>
    </row>
    <row r="3285" spans="1:8">
      <c r="A3285" s="739">
        <v>4723</v>
      </c>
      <c r="B3285" s="740" t="s">
        <v>11674</v>
      </c>
      <c r="C3285" s="739" t="s">
        <v>1691</v>
      </c>
      <c r="D3285" s="741">
        <f t="shared" si="102"/>
        <v>135.07</v>
      </c>
      <c r="F3285" s="1406">
        <v>135.07</v>
      </c>
      <c r="G3285" s="1406">
        <v>135.07</v>
      </c>
      <c r="H3285" t="b">
        <f t="shared" si="103"/>
        <v>1</v>
      </c>
    </row>
    <row r="3286" spans="1:8">
      <c r="A3286" s="677">
        <v>4727</v>
      </c>
      <c r="B3286" s="733" t="s">
        <v>11675</v>
      </c>
      <c r="C3286" s="677" t="s">
        <v>1691</v>
      </c>
      <c r="D3286" s="738">
        <f t="shared" si="102"/>
        <v>123.63</v>
      </c>
      <c r="F3286" s="1405">
        <v>123.63</v>
      </c>
      <c r="G3286" s="1405">
        <v>123.63</v>
      </c>
      <c r="H3286" t="b">
        <f t="shared" si="103"/>
        <v>1</v>
      </c>
    </row>
    <row r="3287" spans="1:8">
      <c r="A3287" s="739">
        <v>4748</v>
      </c>
      <c r="B3287" s="740" t="s">
        <v>11676</v>
      </c>
      <c r="C3287" s="739" t="s">
        <v>1691</v>
      </c>
      <c r="D3287" s="741">
        <f t="shared" si="102"/>
        <v>133.22</v>
      </c>
      <c r="F3287" s="1406">
        <v>133.22</v>
      </c>
      <c r="G3287" s="1406">
        <v>133.22</v>
      </c>
      <c r="H3287" t="b">
        <f t="shared" si="103"/>
        <v>1</v>
      </c>
    </row>
    <row r="3288" spans="1:8">
      <c r="A3288" s="677">
        <v>4730</v>
      </c>
      <c r="B3288" s="733" t="s">
        <v>11677</v>
      </c>
      <c r="C3288" s="677" t="s">
        <v>1691</v>
      </c>
      <c r="D3288" s="738">
        <f t="shared" si="102"/>
        <v>135.58000000000001</v>
      </c>
      <c r="F3288" s="1405">
        <v>135.58000000000001</v>
      </c>
      <c r="G3288" s="1405">
        <v>135.58000000000001</v>
      </c>
      <c r="H3288" t="b">
        <f t="shared" si="103"/>
        <v>1</v>
      </c>
    </row>
    <row r="3289" spans="1:8" ht="30">
      <c r="A3289" s="739">
        <v>13186</v>
      </c>
      <c r="B3289" s="740" t="s">
        <v>11678</v>
      </c>
      <c r="C3289" s="739" t="s">
        <v>1691</v>
      </c>
      <c r="D3289" s="741">
        <f t="shared" si="102"/>
        <v>156.43</v>
      </c>
      <c r="F3289" s="1406">
        <v>156.43</v>
      </c>
      <c r="G3289" s="1406">
        <v>156.43</v>
      </c>
      <c r="H3289" t="b">
        <f t="shared" si="103"/>
        <v>1</v>
      </c>
    </row>
    <row r="3290" spans="1:8" ht="30">
      <c r="A3290" s="677">
        <v>10737</v>
      </c>
      <c r="B3290" s="733" t="s">
        <v>11679</v>
      </c>
      <c r="C3290" s="677" t="s">
        <v>1692</v>
      </c>
      <c r="D3290" s="738">
        <f t="shared" si="102"/>
        <v>125.7</v>
      </c>
      <c r="F3290" s="1405">
        <v>125.7</v>
      </c>
      <c r="G3290" s="1405">
        <v>125.7</v>
      </c>
      <c r="H3290" t="b">
        <f t="shared" si="103"/>
        <v>1</v>
      </c>
    </row>
    <row r="3291" spans="1:8" ht="30">
      <c r="A3291" s="739">
        <v>10734</v>
      </c>
      <c r="B3291" s="740" t="s">
        <v>11680</v>
      </c>
      <c r="C3291" s="739" t="s">
        <v>1692</v>
      </c>
      <c r="D3291" s="741">
        <f t="shared" si="102"/>
        <v>74.77</v>
      </c>
      <c r="F3291" s="1406">
        <v>74.77</v>
      </c>
      <c r="G3291" s="1406">
        <v>74.77</v>
      </c>
      <c r="H3291" t="b">
        <f t="shared" si="103"/>
        <v>1</v>
      </c>
    </row>
    <row r="3292" spans="1:8">
      <c r="A3292" s="677">
        <v>4708</v>
      </c>
      <c r="B3292" s="733" t="s">
        <v>11681</v>
      </c>
      <c r="C3292" s="677" t="s">
        <v>1692</v>
      </c>
      <c r="D3292" s="738">
        <f t="shared" si="102"/>
        <v>145.04</v>
      </c>
      <c r="F3292" s="1405">
        <v>145.04</v>
      </c>
      <c r="G3292" s="1405">
        <v>145.04</v>
      </c>
      <c r="H3292" t="b">
        <f t="shared" si="103"/>
        <v>1</v>
      </c>
    </row>
    <row r="3293" spans="1:8" ht="30">
      <c r="A3293" s="739">
        <v>4712</v>
      </c>
      <c r="B3293" s="740" t="s">
        <v>11682</v>
      </c>
      <c r="C3293" s="739" t="s">
        <v>1692</v>
      </c>
      <c r="D3293" s="741">
        <f t="shared" si="102"/>
        <v>70.91</v>
      </c>
      <c r="F3293" s="1406">
        <v>70.91</v>
      </c>
      <c r="G3293" s="1406">
        <v>70.91</v>
      </c>
      <c r="H3293" t="b">
        <f t="shared" si="103"/>
        <v>1</v>
      </c>
    </row>
    <row r="3294" spans="1:8" ht="30">
      <c r="A3294" s="677">
        <v>4710</v>
      </c>
      <c r="B3294" s="733" t="s">
        <v>11683</v>
      </c>
      <c r="C3294" s="677" t="s">
        <v>1692</v>
      </c>
      <c r="D3294" s="738">
        <f t="shared" si="102"/>
        <v>227.39</v>
      </c>
      <c r="F3294" s="1405">
        <v>227.39</v>
      </c>
      <c r="G3294" s="1405">
        <v>227.39</v>
      </c>
      <c r="H3294" t="b">
        <f t="shared" si="103"/>
        <v>1</v>
      </c>
    </row>
    <row r="3295" spans="1:8">
      <c r="A3295" s="739">
        <v>4746</v>
      </c>
      <c r="B3295" s="740" t="s">
        <v>11684</v>
      </c>
      <c r="C3295" s="739" t="s">
        <v>1691</v>
      </c>
      <c r="D3295" s="741">
        <f t="shared" si="102"/>
        <v>101.26</v>
      </c>
      <c r="F3295" s="1406">
        <v>101.26</v>
      </c>
      <c r="G3295" s="1406">
        <v>101.26</v>
      </c>
      <c r="H3295" t="b">
        <f t="shared" si="103"/>
        <v>1</v>
      </c>
    </row>
    <row r="3296" spans="1:8">
      <c r="A3296" s="677">
        <v>4750</v>
      </c>
      <c r="B3296" s="733" t="s">
        <v>11685</v>
      </c>
      <c r="C3296" s="677" t="s">
        <v>1689</v>
      </c>
      <c r="D3296" s="738">
        <f t="shared" si="102"/>
        <v>19.79</v>
      </c>
      <c r="F3296" s="1405">
        <v>17.190000000000001</v>
      </c>
      <c r="G3296" s="1405">
        <v>19.79</v>
      </c>
      <c r="H3296" t="b">
        <f t="shared" si="103"/>
        <v>0</v>
      </c>
    </row>
    <row r="3297" spans="1:8">
      <c r="A3297" s="739">
        <v>41065</v>
      </c>
      <c r="B3297" s="740" t="s">
        <v>11686</v>
      </c>
      <c r="C3297" s="739" t="s">
        <v>1696</v>
      </c>
      <c r="D3297" s="741">
        <f t="shared" si="102"/>
        <v>3482.33</v>
      </c>
      <c r="F3297" s="1406">
        <v>3020.19</v>
      </c>
      <c r="G3297" s="1406">
        <v>3482.33</v>
      </c>
      <c r="H3297" t="b">
        <f t="shared" si="103"/>
        <v>0</v>
      </c>
    </row>
    <row r="3298" spans="1:8">
      <c r="A3298" s="677">
        <v>34747</v>
      </c>
      <c r="B3298" s="733" t="s">
        <v>11687</v>
      </c>
      <c r="C3298" s="677" t="s">
        <v>1693</v>
      </c>
      <c r="D3298" s="738">
        <f t="shared" si="102"/>
        <v>94.46</v>
      </c>
      <c r="F3298" s="1405">
        <v>94.46</v>
      </c>
      <c r="G3298" s="1405">
        <v>94.46</v>
      </c>
      <c r="H3298" t="b">
        <f t="shared" si="103"/>
        <v>1</v>
      </c>
    </row>
    <row r="3299" spans="1:8">
      <c r="A3299" s="739">
        <v>4826</v>
      </c>
      <c r="B3299" s="740" t="s">
        <v>11688</v>
      </c>
      <c r="C3299" s="739" t="s">
        <v>1693</v>
      </c>
      <c r="D3299" s="741">
        <f t="shared" si="102"/>
        <v>101.57</v>
      </c>
      <c r="F3299" s="1406">
        <v>101.57</v>
      </c>
      <c r="G3299" s="1406">
        <v>101.57</v>
      </c>
      <c r="H3299" t="b">
        <f t="shared" si="103"/>
        <v>1</v>
      </c>
    </row>
    <row r="3300" spans="1:8">
      <c r="A3300" s="677">
        <v>41975</v>
      </c>
      <c r="B3300" s="733" t="s">
        <v>11689</v>
      </c>
      <c r="C3300" s="677" t="s">
        <v>1692</v>
      </c>
      <c r="D3300" s="738">
        <f t="shared" si="102"/>
        <v>104.34</v>
      </c>
      <c r="F3300" s="1405">
        <v>104.34</v>
      </c>
      <c r="G3300" s="1405">
        <v>104.34</v>
      </c>
      <c r="H3300" t="b">
        <f t="shared" si="103"/>
        <v>1</v>
      </c>
    </row>
    <row r="3301" spans="1:8">
      <c r="A3301" s="739">
        <v>4825</v>
      </c>
      <c r="B3301" s="740" t="s">
        <v>11690</v>
      </c>
      <c r="C3301" s="739" t="s">
        <v>1693</v>
      </c>
      <c r="D3301" s="741">
        <f t="shared" si="102"/>
        <v>140.59</v>
      </c>
      <c r="F3301" s="1406">
        <v>140.59</v>
      </c>
      <c r="G3301" s="1406">
        <v>140.59</v>
      </c>
      <c r="H3301" t="b">
        <f t="shared" si="103"/>
        <v>1</v>
      </c>
    </row>
    <row r="3302" spans="1:8">
      <c r="A3302" s="677">
        <v>34744</v>
      </c>
      <c r="B3302" s="733" t="s">
        <v>11691</v>
      </c>
      <c r="C3302" s="677" t="s">
        <v>1692</v>
      </c>
      <c r="D3302" s="738">
        <f t="shared" si="102"/>
        <v>23.25</v>
      </c>
      <c r="F3302" s="1405">
        <v>23.25</v>
      </c>
      <c r="G3302" s="1405">
        <v>23.25</v>
      </c>
      <c r="H3302" t="b">
        <f t="shared" si="103"/>
        <v>1</v>
      </c>
    </row>
    <row r="3303" spans="1:8" ht="30">
      <c r="A3303" s="739">
        <v>39430</v>
      </c>
      <c r="B3303" s="740" t="s">
        <v>11692</v>
      </c>
      <c r="C3303" s="739" t="s">
        <v>1690</v>
      </c>
      <c r="D3303" s="741">
        <f t="shared" si="102"/>
        <v>1.68</v>
      </c>
      <c r="F3303" s="1406">
        <v>1.68</v>
      </c>
      <c r="G3303" s="1406">
        <v>1.68</v>
      </c>
      <c r="H3303" t="b">
        <f t="shared" si="103"/>
        <v>1</v>
      </c>
    </row>
    <row r="3304" spans="1:8">
      <c r="A3304" s="677">
        <v>39573</v>
      </c>
      <c r="B3304" s="733" t="s">
        <v>11693</v>
      </c>
      <c r="C3304" s="677" t="s">
        <v>1690</v>
      </c>
      <c r="D3304" s="738">
        <f t="shared" si="102"/>
        <v>1.65</v>
      </c>
      <c r="F3304" s="1405">
        <v>1.65</v>
      </c>
      <c r="G3304" s="1405">
        <v>1.65</v>
      </c>
      <c r="H3304" t="b">
        <f t="shared" si="103"/>
        <v>1</v>
      </c>
    </row>
    <row r="3305" spans="1:8">
      <c r="A3305" s="739">
        <v>38410</v>
      </c>
      <c r="B3305" s="740" t="s">
        <v>11694</v>
      </c>
      <c r="C3305" s="739" t="s">
        <v>1690</v>
      </c>
      <c r="D3305" s="741">
        <f t="shared" si="102"/>
        <v>16297.61</v>
      </c>
      <c r="F3305" s="1406">
        <v>16297.61</v>
      </c>
      <c r="G3305" s="1406">
        <v>16297.61</v>
      </c>
      <c r="H3305" t="b">
        <f t="shared" si="103"/>
        <v>1</v>
      </c>
    </row>
    <row r="3306" spans="1:8">
      <c r="A3306" s="677">
        <v>4766</v>
      </c>
      <c r="B3306" s="733" t="s">
        <v>11695</v>
      </c>
      <c r="C3306" s="677" t="s">
        <v>1694</v>
      </c>
      <c r="D3306" s="738">
        <f t="shared" si="102"/>
        <v>8.59</v>
      </c>
      <c r="F3306" s="1405">
        <v>8.59</v>
      </c>
      <c r="G3306" s="1405">
        <v>8.59</v>
      </c>
      <c r="H3306" t="b">
        <f t="shared" si="103"/>
        <v>1</v>
      </c>
    </row>
    <row r="3307" spans="1:8">
      <c r="A3307" s="739">
        <v>43082</v>
      </c>
      <c r="B3307" s="740" t="s">
        <v>14627</v>
      </c>
      <c r="C3307" s="739" t="s">
        <v>1694</v>
      </c>
      <c r="D3307" s="741">
        <f t="shared" si="102"/>
        <v>10</v>
      </c>
      <c r="F3307" s="1406">
        <v>10</v>
      </c>
      <c r="G3307" s="1406">
        <v>10</v>
      </c>
      <c r="H3307" t="b">
        <f t="shared" si="103"/>
        <v>1</v>
      </c>
    </row>
    <row r="3308" spans="1:8">
      <c r="A3308" s="677">
        <v>43664</v>
      </c>
      <c r="B3308" s="733" t="s">
        <v>14628</v>
      </c>
      <c r="C3308" s="677" t="s">
        <v>1694</v>
      </c>
      <c r="D3308" s="738">
        <f t="shared" si="102"/>
        <v>9.17</v>
      </c>
      <c r="F3308" s="1405">
        <v>9.17</v>
      </c>
      <c r="G3308" s="1405">
        <v>9.17</v>
      </c>
      <c r="H3308" t="b">
        <f t="shared" si="103"/>
        <v>1</v>
      </c>
    </row>
    <row r="3309" spans="1:8">
      <c r="A3309" s="739">
        <v>43663</v>
      </c>
      <c r="B3309" s="740" t="s">
        <v>14629</v>
      </c>
      <c r="C3309" s="739" t="s">
        <v>1694</v>
      </c>
      <c r="D3309" s="741">
        <f t="shared" si="102"/>
        <v>9.1199999999999992</v>
      </c>
      <c r="F3309" s="1406">
        <v>9.1199999999999992</v>
      </c>
      <c r="G3309" s="1406">
        <v>9.1199999999999992</v>
      </c>
      <c r="H3309" t="b">
        <f t="shared" si="103"/>
        <v>1</v>
      </c>
    </row>
    <row r="3310" spans="1:8">
      <c r="A3310" s="677">
        <v>43083</v>
      </c>
      <c r="B3310" s="733" t="s">
        <v>14630</v>
      </c>
      <c r="C3310" s="677" t="s">
        <v>1694</v>
      </c>
      <c r="D3310" s="738">
        <f t="shared" si="102"/>
        <v>8.66</v>
      </c>
      <c r="F3310" s="1405">
        <v>8.66</v>
      </c>
      <c r="G3310" s="1405">
        <v>8.66</v>
      </c>
      <c r="H3310" t="b">
        <f t="shared" si="103"/>
        <v>1</v>
      </c>
    </row>
    <row r="3311" spans="1:8">
      <c r="A3311" s="739">
        <v>40535</v>
      </c>
      <c r="B3311" s="740" t="s">
        <v>14631</v>
      </c>
      <c r="C3311" s="739" t="s">
        <v>1694</v>
      </c>
      <c r="D3311" s="741">
        <f t="shared" si="102"/>
        <v>8.66</v>
      </c>
      <c r="F3311" s="1406">
        <v>8.66</v>
      </c>
      <c r="G3311" s="1406">
        <v>8.66</v>
      </c>
      <c r="H3311" t="b">
        <f t="shared" si="103"/>
        <v>1</v>
      </c>
    </row>
    <row r="3312" spans="1:8">
      <c r="A3312" s="677">
        <v>40598</v>
      </c>
      <c r="B3312" s="733" t="s">
        <v>14632</v>
      </c>
      <c r="C3312" s="677" t="s">
        <v>1694</v>
      </c>
      <c r="D3312" s="738">
        <f t="shared" si="102"/>
        <v>8.4499999999999993</v>
      </c>
      <c r="F3312" s="1405">
        <v>8.4499999999999993</v>
      </c>
      <c r="G3312" s="1405">
        <v>8.4499999999999993</v>
      </c>
      <c r="H3312" t="b">
        <f t="shared" si="103"/>
        <v>1</v>
      </c>
    </row>
    <row r="3313" spans="1:8">
      <c r="A3313" s="739">
        <v>43692</v>
      </c>
      <c r="B3313" s="740" t="s">
        <v>14633</v>
      </c>
      <c r="C3313" s="739" t="s">
        <v>1694</v>
      </c>
      <c r="D3313" s="741">
        <f t="shared" si="102"/>
        <v>9.1199999999999992</v>
      </c>
      <c r="F3313" s="1406">
        <v>9.1199999999999992</v>
      </c>
      <c r="G3313" s="1406">
        <v>9.1199999999999992</v>
      </c>
      <c r="H3313" t="b">
        <f t="shared" si="103"/>
        <v>1</v>
      </c>
    </row>
    <row r="3314" spans="1:8">
      <c r="A3314" s="677">
        <v>43665</v>
      </c>
      <c r="B3314" s="733" t="s">
        <v>14634</v>
      </c>
      <c r="C3314" s="677" t="s">
        <v>1694</v>
      </c>
      <c r="D3314" s="738">
        <f t="shared" si="102"/>
        <v>8.59</v>
      </c>
      <c r="F3314" s="1405">
        <v>8.59</v>
      </c>
      <c r="G3314" s="1405">
        <v>8.59</v>
      </c>
      <c r="H3314" t="b">
        <f t="shared" si="103"/>
        <v>1</v>
      </c>
    </row>
    <row r="3315" spans="1:8">
      <c r="A3315" s="739">
        <v>10966</v>
      </c>
      <c r="B3315" s="740" t="s">
        <v>14635</v>
      </c>
      <c r="C3315" s="739" t="s">
        <v>1694</v>
      </c>
      <c r="D3315" s="741">
        <f t="shared" si="102"/>
        <v>9.1199999999999992</v>
      </c>
      <c r="F3315" s="1406">
        <v>9.1199999999999992</v>
      </c>
      <c r="G3315" s="1406">
        <v>9.1199999999999992</v>
      </c>
      <c r="H3315" t="b">
        <f t="shared" si="103"/>
        <v>1</v>
      </c>
    </row>
    <row r="3316" spans="1:8">
      <c r="A3316" s="677">
        <v>41594</v>
      </c>
      <c r="B3316" s="733" t="s">
        <v>14636</v>
      </c>
      <c r="C3316" s="677" t="s">
        <v>1694</v>
      </c>
      <c r="D3316" s="738">
        <f t="shared" si="102"/>
        <v>11.08</v>
      </c>
      <c r="F3316" s="1405">
        <v>11.08</v>
      </c>
      <c r="G3316" s="1405">
        <v>11.08</v>
      </c>
      <c r="H3316" t="b">
        <f t="shared" si="103"/>
        <v>1</v>
      </c>
    </row>
    <row r="3317" spans="1:8">
      <c r="A3317" s="739">
        <v>41596</v>
      </c>
      <c r="B3317" s="740" t="s">
        <v>14637</v>
      </c>
      <c r="C3317" s="739" t="s">
        <v>1694</v>
      </c>
      <c r="D3317" s="741">
        <f t="shared" si="102"/>
        <v>10.9</v>
      </c>
      <c r="F3317" s="1406">
        <v>10.9</v>
      </c>
      <c r="G3317" s="1406">
        <v>10.9</v>
      </c>
      <c r="H3317" t="b">
        <f t="shared" si="103"/>
        <v>1</v>
      </c>
    </row>
    <row r="3318" spans="1:8">
      <c r="A3318" s="677">
        <v>41598</v>
      </c>
      <c r="B3318" s="733" t="s">
        <v>14638</v>
      </c>
      <c r="C3318" s="677" t="s">
        <v>1694</v>
      </c>
      <c r="D3318" s="738">
        <f t="shared" si="102"/>
        <v>10.9</v>
      </c>
      <c r="F3318" s="1405">
        <v>10.9</v>
      </c>
      <c r="G3318" s="1405">
        <v>10.9</v>
      </c>
      <c r="H3318" t="b">
        <f t="shared" si="103"/>
        <v>1</v>
      </c>
    </row>
    <row r="3319" spans="1:8" ht="30">
      <c r="A3319" s="739">
        <v>39427</v>
      </c>
      <c r="B3319" s="740" t="s">
        <v>11696</v>
      </c>
      <c r="C3319" s="739" t="s">
        <v>1693</v>
      </c>
      <c r="D3319" s="741">
        <f t="shared" si="102"/>
        <v>4.47</v>
      </c>
      <c r="F3319" s="1406">
        <v>4.47</v>
      </c>
      <c r="G3319" s="1406">
        <v>4.47</v>
      </c>
      <c r="H3319" t="b">
        <f t="shared" si="103"/>
        <v>1</v>
      </c>
    </row>
    <row r="3320" spans="1:8">
      <c r="A3320" s="677">
        <v>39424</v>
      </c>
      <c r="B3320" s="733" t="s">
        <v>11697</v>
      </c>
      <c r="C3320" s="677" t="s">
        <v>1693</v>
      </c>
      <c r="D3320" s="738">
        <f t="shared" si="102"/>
        <v>2.65</v>
      </c>
      <c r="F3320" s="1405">
        <v>2.65</v>
      </c>
      <c r="G3320" s="1405">
        <v>2.65</v>
      </c>
      <c r="H3320" t="b">
        <f t="shared" si="103"/>
        <v>1</v>
      </c>
    </row>
    <row r="3321" spans="1:8">
      <c r="A3321" s="739">
        <v>39425</v>
      </c>
      <c r="B3321" s="740" t="s">
        <v>11698</v>
      </c>
      <c r="C3321" s="739" t="s">
        <v>1693</v>
      </c>
      <c r="D3321" s="741">
        <f t="shared" si="102"/>
        <v>2.62</v>
      </c>
      <c r="F3321" s="1406">
        <v>2.62</v>
      </c>
      <c r="G3321" s="1406">
        <v>2.62</v>
      </c>
      <c r="H3321" t="b">
        <f t="shared" si="103"/>
        <v>1</v>
      </c>
    </row>
    <row r="3322" spans="1:8">
      <c r="A3322" s="677">
        <v>40664</v>
      </c>
      <c r="B3322" s="733" t="s">
        <v>11699</v>
      </c>
      <c r="C3322" s="677" t="s">
        <v>1694</v>
      </c>
      <c r="D3322" s="738">
        <f t="shared" si="102"/>
        <v>17.77</v>
      </c>
      <c r="F3322" s="1405">
        <v>17.77</v>
      </c>
      <c r="G3322" s="1405">
        <v>17.77</v>
      </c>
      <c r="H3322" t="b">
        <f t="shared" si="103"/>
        <v>1</v>
      </c>
    </row>
    <row r="3323" spans="1:8">
      <c r="A3323" s="739">
        <v>34360</v>
      </c>
      <c r="B3323" s="740" t="s">
        <v>11700</v>
      </c>
      <c r="C3323" s="739" t="s">
        <v>1694</v>
      </c>
      <c r="D3323" s="741">
        <f t="shared" si="102"/>
        <v>36.72</v>
      </c>
      <c r="F3323" s="1406">
        <v>36.72</v>
      </c>
      <c r="G3323" s="1406">
        <v>36.72</v>
      </c>
      <c r="H3323" t="b">
        <f t="shared" si="103"/>
        <v>1</v>
      </c>
    </row>
    <row r="3324" spans="1:8">
      <c r="A3324" s="677">
        <v>20259</v>
      </c>
      <c r="B3324" s="733" t="s">
        <v>11701</v>
      </c>
      <c r="C3324" s="677" t="s">
        <v>1693</v>
      </c>
      <c r="D3324" s="738">
        <f t="shared" si="102"/>
        <v>12.9</v>
      </c>
      <c r="F3324" s="1405">
        <v>12.9</v>
      </c>
      <c r="G3324" s="1405">
        <v>12.9</v>
      </c>
      <c r="H3324" t="b">
        <f t="shared" si="103"/>
        <v>1</v>
      </c>
    </row>
    <row r="3325" spans="1:8" ht="30">
      <c r="A3325" s="739">
        <v>14077</v>
      </c>
      <c r="B3325" s="740" t="s">
        <v>11702</v>
      </c>
      <c r="C3325" s="739" t="s">
        <v>1693</v>
      </c>
      <c r="D3325" s="741">
        <f t="shared" si="102"/>
        <v>197.44</v>
      </c>
      <c r="F3325" s="1406">
        <v>197.44</v>
      </c>
      <c r="G3325" s="1406">
        <v>197.44</v>
      </c>
      <c r="H3325" t="b">
        <f t="shared" si="103"/>
        <v>1</v>
      </c>
    </row>
    <row r="3326" spans="1:8" ht="30">
      <c r="A3326" s="677">
        <v>3678</v>
      </c>
      <c r="B3326" s="733" t="s">
        <v>11703</v>
      </c>
      <c r="C3326" s="677" t="s">
        <v>1693</v>
      </c>
      <c r="D3326" s="738">
        <f t="shared" si="102"/>
        <v>89.24</v>
      </c>
      <c r="F3326" s="1405">
        <v>89.24</v>
      </c>
      <c r="G3326" s="1405">
        <v>89.24</v>
      </c>
      <c r="H3326" t="b">
        <f t="shared" si="103"/>
        <v>1</v>
      </c>
    </row>
    <row r="3327" spans="1:8" ht="30">
      <c r="A3327" s="739">
        <v>585</v>
      </c>
      <c r="B3327" s="740" t="s">
        <v>11704</v>
      </c>
      <c r="C3327" s="739" t="s">
        <v>1694</v>
      </c>
      <c r="D3327" s="741">
        <f t="shared" si="102"/>
        <v>29.38</v>
      </c>
      <c r="F3327" s="1406">
        <v>29.38</v>
      </c>
      <c r="G3327" s="1406">
        <v>29.38</v>
      </c>
      <c r="H3327" t="b">
        <f t="shared" si="103"/>
        <v>1</v>
      </c>
    </row>
    <row r="3328" spans="1:8">
      <c r="A3328" s="677">
        <v>39418</v>
      </c>
      <c r="B3328" s="733" t="s">
        <v>11705</v>
      </c>
      <c r="C3328" s="677" t="s">
        <v>1693</v>
      </c>
      <c r="D3328" s="738">
        <f t="shared" si="102"/>
        <v>4.9800000000000004</v>
      </c>
      <c r="F3328" s="1405">
        <v>4.9800000000000004</v>
      </c>
      <c r="G3328" s="1405">
        <v>4.9800000000000004</v>
      </c>
      <c r="H3328" t="b">
        <f t="shared" si="103"/>
        <v>1</v>
      </c>
    </row>
    <row r="3329" spans="1:8">
      <c r="A3329" s="739">
        <v>39419</v>
      </c>
      <c r="B3329" s="740" t="s">
        <v>11706</v>
      </c>
      <c r="C3329" s="739" t="s">
        <v>1693</v>
      </c>
      <c r="D3329" s="741">
        <f t="shared" si="102"/>
        <v>6.07</v>
      </c>
      <c r="F3329" s="1406">
        <v>6.07</v>
      </c>
      <c r="G3329" s="1406">
        <v>6.07</v>
      </c>
      <c r="H3329" t="b">
        <f t="shared" si="103"/>
        <v>1</v>
      </c>
    </row>
    <row r="3330" spans="1:8">
      <c r="A3330" s="677">
        <v>39420</v>
      </c>
      <c r="B3330" s="733" t="s">
        <v>11707</v>
      </c>
      <c r="C3330" s="677" t="s">
        <v>1693</v>
      </c>
      <c r="D3330" s="738">
        <f t="shared" si="102"/>
        <v>6.7</v>
      </c>
      <c r="F3330" s="1405">
        <v>6.7</v>
      </c>
      <c r="G3330" s="1405">
        <v>6.7</v>
      </c>
      <c r="H3330" t="b">
        <f t="shared" si="103"/>
        <v>1</v>
      </c>
    </row>
    <row r="3331" spans="1:8" ht="30">
      <c r="A3331" s="739">
        <v>39571</v>
      </c>
      <c r="B3331" s="740" t="s">
        <v>11708</v>
      </c>
      <c r="C3331" s="739" t="s">
        <v>1693</v>
      </c>
      <c r="D3331" s="741">
        <f t="shared" ref="D3331:D3394" si="104">IF($J$2=$F$1,F3331,G3331)</f>
        <v>4.05</v>
      </c>
      <c r="F3331" s="1406">
        <v>4.05</v>
      </c>
      <c r="G3331" s="1406">
        <v>4.05</v>
      </c>
      <c r="H3331" t="b">
        <f t="shared" ref="H3331:H3394" si="105">F3331=G3331</f>
        <v>1</v>
      </c>
    </row>
    <row r="3332" spans="1:8">
      <c r="A3332" s="677">
        <v>39421</v>
      </c>
      <c r="B3332" s="733" t="s">
        <v>11709</v>
      </c>
      <c r="C3332" s="677" t="s">
        <v>1693</v>
      </c>
      <c r="D3332" s="738">
        <f t="shared" si="104"/>
        <v>5.9</v>
      </c>
      <c r="F3332" s="1405">
        <v>5.9</v>
      </c>
      <c r="G3332" s="1405">
        <v>5.9</v>
      </c>
      <c r="H3332" t="b">
        <f t="shared" si="105"/>
        <v>1</v>
      </c>
    </row>
    <row r="3333" spans="1:8">
      <c r="A3333" s="739">
        <v>39422</v>
      </c>
      <c r="B3333" s="740" t="s">
        <v>11710</v>
      </c>
      <c r="C3333" s="739" t="s">
        <v>1693</v>
      </c>
      <c r="D3333" s="741">
        <f t="shared" si="104"/>
        <v>6.89</v>
      </c>
      <c r="F3333" s="1406">
        <v>6.89</v>
      </c>
      <c r="G3333" s="1406">
        <v>6.89</v>
      </c>
      <c r="H3333" t="b">
        <f t="shared" si="105"/>
        <v>1</v>
      </c>
    </row>
    <row r="3334" spans="1:8">
      <c r="A3334" s="677">
        <v>39423</v>
      </c>
      <c r="B3334" s="733" t="s">
        <v>11711</v>
      </c>
      <c r="C3334" s="677" t="s">
        <v>1693</v>
      </c>
      <c r="D3334" s="738">
        <f t="shared" si="104"/>
        <v>8</v>
      </c>
      <c r="F3334" s="1405">
        <v>8</v>
      </c>
      <c r="G3334" s="1405">
        <v>8</v>
      </c>
      <c r="H3334" t="b">
        <f t="shared" si="105"/>
        <v>1</v>
      </c>
    </row>
    <row r="3335" spans="1:8" ht="30">
      <c r="A3335" s="739">
        <v>39426</v>
      </c>
      <c r="B3335" s="740" t="s">
        <v>11712</v>
      </c>
      <c r="C3335" s="739" t="s">
        <v>1693</v>
      </c>
      <c r="D3335" s="741">
        <f t="shared" si="104"/>
        <v>17.98</v>
      </c>
      <c r="F3335" s="1406">
        <v>17.98</v>
      </c>
      <c r="G3335" s="1406">
        <v>17.98</v>
      </c>
      <c r="H3335" t="b">
        <f t="shared" si="105"/>
        <v>1</v>
      </c>
    </row>
    <row r="3336" spans="1:8" ht="30">
      <c r="A3336" s="677">
        <v>39429</v>
      </c>
      <c r="B3336" s="733" t="s">
        <v>11713</v>
      </c>
      <c r="C3336" s="677" t="s">
        <v>1693</v>
      </c>
      <c r="D3336" s="738">
        <f t="shared" si="104"/>
        <v>5.67</v>
      </c>
      <c r="F3336" s="1405">
        <v>5.67</v>
      </c>
      <c r="G3336" s="1405">
        <v>5.67</v>
      </c>
      <c r="H3336" t="b">
        <f t="shared" si="105"/>
        <v>1</v>
      </c>
    </row>
    <row r="3337" spans="1:8" ht="30">
      <c r="A3337" s="739">
        <v>39428</v>
      </c>
      <c r="B3337" s="740" t="s">
        <v>11714</v>
      </c>
      <c r="C3337" s="739" t="s">
        <v>1693</v>
      </c>
      <c r="D3337" s="741">
        <f t="shared" si="104"/>
        <v>4.33</v>
      </c>
      <c r="F3337" s="1406">
        <v>4.33</v>
      </c>
      <c r="G3337" s="1406">
        <v>4.33</v>
      </c>
      <c r="H3337" t="b">
        <f t="shared" si="105"/>
        <v>1</v>
      </c>
    </row>
    <row r="3338" spans="1:8">
      <c r="A3338" s="677">
        <v>39572</v>
      </c>
      <c r="B3338" s="733" t="s">
        <v>11715</v>
      </c>
      <c r="C3338" s="677" t="s">
        <v>1693</v>
      </c>
      <c r="D3338" s="738">
        <f t="shared" si="104"/>
        <v>3.75</v>
      </c>
      <c r="F3338" s="1405">
        <v>3.75</v>
      </c>
      <c r="G3338" s="1405">
        <v>3.75</v>
      </c>
      <c r="H3338" t="b">
        <f t="shared" si="105"/>
        <v>1</v>
      </c>
    </row>
    <row r="3339" spans="1:8">
      <c r="A3339" s="739">
        <v>39570</v>
      </c>
      <c r="B3339" s="740" t="s">
        <v>11716</v>
      </c>
      <c r="C3339" s="739" t="s">
        <v>1693</v>
      </c>
      <c r="D3339" s="741">
        <f t="shared" si="104"/>
        <v>3.98</v>
      </c>
      <c r="F3339" s="1406">
        <v>3.98</v>
      </c>
      <c r="G3339" s="1406">
        <v>3.98</v>
      </c>
      <c r="H3339" t="b">
        <f t="shared" si="105"/>
        <v>1</v>
      </c>
    </row>
    <row r="3340" spans="1:8">
      <c r="A3340" s="677">
        <v>39569</v>
      </c>
      <c r="B3340" s="733" t="s">
        <v>11717</v>
      </c>
      <c r="C3340" s="677" t="s">
        <v>1693</v>
      </c>
      <c r="D3340" s="738">
        <f t="shared" si="104"/>
        <v>3.93</v>
      </c>
      <c r="F3340" s="1405">
        <v>3.93</v>
      </c>
      <c r="G3340" s="1405">
        <v>3.93</v>
      </c>
      <c r="H3340" t="b">
        <f t="shared" si="105"/>
        <v>1</v>
      </c>
    </row>
    <row r="3341" spans="1:8">
      <c r="A3341" s="739">
        <v>11552</v>
      </c>
      <c r="B3341" s="740" t="s">
        <v>11718</v>
      </c>
      <c r="C3341" s="739" t="s">
        <v>1693</v>
      </c>
      <c r="D3341" s="741">
        <f t="shared" si="104"/>
        <v>8.2100000000000009</v>
      </c>
      <c r="F3341" s="1406">
        <v>8.2100000000000009</v>
      </c>
      <c r="G3341" s="1406">
        <v>8.2100000000000009</v>
      </c>
      <c r="H3341" t="b">
        <f t="shared" si="105"/>
        <v>1</v>
      </c>
    </row>
    <row r="3342" spans="1:8">
      <c r="A3342" s="677">
        <v>39029</v>
      </c>
      <c r="B3342" s="733" t="s">
        <v>11719</v>
      </c>
      <c r="C3342" s="677" t="s">
        <v>1693</v>
      </c>
      <c r="D3342" s="738">
        <f t="shared" si="104"/>
        <v>12.69</v>
      </c>
      <c r="F3342" s="1405">
        <v>12.69</v>
      </c>
      <c r="G3342" s="1405">
        <v>12.69</v>
      </c>
      <c r="H3342" t="b">
        <f t="shared" si="105"/>
        <v>1</v>
      </c>
    </row>
    <row r="3343" spans="1:8">
      <c r="A3343" s="739">
        <v>39028</v>
      </c>
      <c r="B3343" s="740" t="s">
        <v>11720</v>
      </c>
      <c r="C3343" s="739" t="s">
        <v>1693</v>
      </c>
      <c r="D3343" s="741">
        <f t="shared" si="104"/>
        <v>7.39</v>
      </c>
      <c r="F3343" s="1406">
        <v>7.39</v>
      </c>
      <c r="G3343" s="1406">
        <v>7.39</v>
      </c>
      <c r="H3343" t="b">
        <f t="shared" si="105"/>
        <v>1</v>
      </c>
    </row>
    <row r="3344" spans="1:8">
      <c r="A3344" s="677">
        <v>39328</v>
      </c>
      <c r="B3344" s="733" t="s">
        <v>11721</v>
      </c>
      <c r="C3344" s="677" t="s">
        <v>1693</v>
      </c>
      <c r="D3344" s="738">
        <f t="shared" si="104"/>
        <v>4.0599999999999996</v>
      </c>
      <c r="F3344" s="1405">
        <v>4.0599999999999996</v>
      </c>
      <c r="G3344" s="1405">
        <v>4.0599999999999996</v>
      </c>
      <c r="H3344" t="b">
        <f t="shared" si="105"/>
        <v>1</v>
      </c>
    </row>
    <row r="3345" spans="1:8" ht="30">
      <c r="A3345" s="739">
        <v>38541</v>
      </c>
      <c r="B3345" s="740" t="s">
        <v>11722</v>
      </c>
      <c r="C3345" s="739" t="s">
        <v>1690</v>
      </c>
      <c r="D3345" s="741">
        <f t="shared" si="104"/>
        <v>4020777.12</v>
      </c>
      <c r="F3345" s="1406">
        <v>4020777.12</v>
      </c>
      <c r="G3345" s="1406">
        <v>4020777.12</v>
      </c>
      <c r="H3345" t="b">
        <f t="shared" si="105"/>
        <v>1</v>
      </c>
    </row>
    <row r="3346" spans="1:8" ht="30">
      <c r="A3346" s="677">
        <v>38542</v>
      </c>
      <c r="B3346" s="733" t="s">
        <v>11723</v>
      </c>
      <c r="C3346" s="677" t="s">
        <v>1690</v>
      </c>
      <c r="D3346" s="738">
        <f t="shared" si="104"/>
        <v>6252146.7400000002</v>
      </c>
      <c r="F3346" s="1405">
        <v>6252146.7400000002</v>
      </c>
      <c r="G3346" s="1405">
        <v>6252146.7400000002</v>
      </c>
      <c r="H3346" t="b">
        <f t="shared" si="105"/>
        <v>1</v>
      </c>
    </row>
    <row r="3347" spans="1:8" ht="30">
      <c r="A3347" s="739">
        <v>38543</v>
      </c>
      <c r="B3347" s="740" t="s">
        <v>11724</v>
      </c>
      <c r="C3347" s="739" t="s">
        <v>1690</v>
      </c>
      <c r="D3347" s="741">
        <f t="shared" si="104"/>
        <v>1530698.04</v>
      </c>
      <c r="F3347" s="1406">
        <v>1530698.04</v>
      </c>
      <c r="G3347" s="1406">
        <v>1530698.04</v>
      </c>
      <c r="H3347" t="b">
        <f t="shared" si="105"/>
        <v>1</v>
      </c>
    </row>
    <row r="3348" spans="1:8" ht="30">
      <c r="A3348" s="677">
        <v>40406</v>
      </c>
      <c r="B3348" s="733" t="s">
        <v>11725</v>
      </c>
      <c r="C3348" s="677" t="s">
        <v>1690</v>
      </c>
      <c r="D3348" s="738">
        <f t="shared" si="104"/>
        <v>74986.09</v>
      </c>
      <c r="F3348" s="1405">
        <v>74986.09</v>
      </c>
      <c r="G3348" s="1405">
        <v>74986.09</v>
      </c>
      <c r="H3348" t="b">
        <f t="shared" si="105"/>
        <v>1</v>
      </c>
    </row>
    <row r="3349" spans="1:8">
      <c r="A3349" s="739">
        <v>40789</v>
      </c>
      <c r="B3349" s="740" t="s">
        <v>11726</v>
      </c>
      <c r="C3349" s="739" t="s">
        <v>1690</v>
      </c>
      <c r="D3349" s="741">
        <f t="shared" si="104"/>
        <v>10806.26</v>
      </c>
      <c r="F3349" s="1406">
        <v>10806.26</v>
      </c>
      <c r="G3349" s="1406">
        <v>10806.26</v>
      </c>
      <c r="H3349" t="b">
        <f t="shared" si="105"/>
        <v>1</v>
      </c>
    </row>
    <row r="3350" spans="1:8" ht="30">
      <c r="A3350" s="677">
        <v>40791</v>
      </c>
      <c r="B3350" s="733" t="s">
        <v>11727</v>
      </c>
      <c r="C3350" s="677" t="s">
        <v>1690</v>
      </c>
      <c r="D3350" s="738">
        <f t="shared" si="104"/>
        <v>33828.31</v>
      </c>
      <c r="F3350" s="1405">
        <v>33828.31</v>
      </c>
      <c r="G3350" s="1405">
        <v>33828.31</v>
      </c>
      <c r="H3350" t="b">
        <f t="shared" si="105"/>
        <v>1</v>
      </c>
    </row>
    <row r="3351" spans="1:8">
      <c r="A3351" s="739">
        <v>11651</v>
      </c>
      <c r="B3351" s="740" t="s">
        <v>11728</v>
      </c>
      <c r="C3351" s="739" t="s">
        <v>1690</v>
      </c>
      <c r="D3351" s="741">
        <f t="shared" si="104"/>
        <v>18501.18</v>
      </c>
      <c r="F3351" s="1406">
        <v>18501.18</v>
      </c>
      <c r="G3351" s="1406">
        <v>18501.18</v>
      </c>
      <c r="H3351" t="b">
        <f t="shared" si="105"/>
        <v>1</v>
      </c>
    </row>
    <row r="3352" spans="1:8">
      <c r="A3352" s="677">
        <v>40435</v>
      </c>
      <c r="B3352" s="733" t="s">
        <v>11729</v>
      </c>
      <c r="C3352" s="677" t="s">
        <v>1690</v>
      </c>
      <c r="D3352" s="738">
        <f t="shared" si="104"/>
        <v>839727.99</v>
      </c>
      <c r="F3352" s="1405">
        <v>839727.99</v>
      </c>
      <c r="G3352" s="1405">
        <v>839727.99</v>
      </c>
      <c r="H3352" t="b">
        <f t="shared" si="105"/>
        <v>1</v>
      </c>
    </row>
    <row r="3353" spans="1:8">
      <c r="A3353" s="739">
        <v>39012</v>
      </c>
      <c r="B3353" s="740" t="s">
        <v>11730</v>
      </c>
      <c r="C3353" s="739" t="s">
        <v>1690</v>
      </c>
      <c r="D3353" s="741">
        <f t="shared" si="104"/>
        <v>876140.07</v>
      </c>
      <c r="F3353" s="1406">
        <v>876140.07</v>
      </c>
      <c r="G3353" s="1406">
        <v>876140.07</v>
      </c>
      <c r="H3353" t="b">
        <f t="shared" si="105"/>
        <v>1</v>
      </c>
    </row>
    <row r="3354" spans="1:8">
      <c r="A3354" s="677">
        <v>13617</v>
      </c>
      <c r="B3354" s="733" t="s">
        <v>11731</v>
      </c>
      <c r="C3354" s="677" t="s">
        <v>1690</v>
      </c>
      <c r="D3354" s="738">
        <f t="shared" si="104"/>
        <v>100386.9</v>
      </c>
      <c r="F3354" s="1405">
        <v>100386.9</v>
      </c>
      <c r="G3354" s="1405">
        <v>100386.9</v>
      </c>
      <c r="H3354" t="b">
        <f t="shared" si="105"/>
        <v>1</v>
      </c>
    </row>
    <row r="3355" spans="1:8" ht="30">
      <c r="A3355" s="739">
        <v>35274</v>
      </c>
      <c r="B3355" s="740" t="s">
        <v>11732</v>
      </c>
      <c r="C3355" s="739" t="s">
        <v>1693</v>
      </c>
      <c r="D3355" s="741">
        <f t="shared" si="104"/>
        <v>42.85</v>
      </c>
      <c r="F3355" s="1406">
        <v>42.85</v>
      </c>
      <c r="G3355" s="1406">
        <v>42.85</v>
      </c>
      <c r="H3355" t="b">
        <f t="shared" si="105"/>
        <v>1</v>
      </c>
    </row>
    <row r="3356" spans="1:8" ht="30">
      <c r="A3356" s="677">
        <v>35275</v>
      </c>
      <c r="B3356" s="733" t="s">
        <v>11733</v>
      </c>
      <c r="C3356" s="677" t="s">
        <v>1693</v>
      </c>
      <c r="D3356" s="738">
        <f t="shared" si="104"/>
        <v>90.96</v>
      </c>
      <c r="F3356" s="1405">
        <v>90.96</v>
      </c>
      <c r="G3356" s="1405">
        <v>90.96</v>
      </c>
      <c r="H3356" t="b">
        <f t="shared" si="105"/>
        <v>1</v>
      </c>
    </row>
    <row r="3357" spans="1:8" ht="30">
      <c r="A3357" s="739">
        <v>35276</v>
      </c>
      <c r="B3357" s="740" t="s">
        <v>11734</v>
      </c>
      <c r="C3357" s="739" t="s">
        <v>1693</v>
      </c>
      <c r="D3357" s="741">
        <f t="shared" si="104"/>
        <v>158.27000000000001</v>
      </c>
      <c r="F3357" s="1406">
        <v>158.27000000000001</v>
      </c>
      <c r="G3357" s="1406">
        <v>158.27000000000001</v>
      </c>
      <c r="H3357" t="b">
        <f t="shared" si="105"/>
        <v>1</v>
      </c>
    </row>
    <row r="3358" spans="1:8">
      <c r="A3358" s="677">
        <v>38386</v>
      </c>
      <c r="B3358" s="733" t="s">
        <v>11735</v>
      </c>
      <c r="C3358" s="677" t="s">
        <v>1690</v>
      </c>
      <c r="D3358" s="738">
        <f t="shared" si="104"/>
        <v>6.12</v>
      </c>
      <c r="F3358" s="1405">
        <v>6.12</v>
      </c>
      <c r="G3358" s="1405">
        <v>6.12</v>
      </c>
      <c r="H3358" t="b">
        <f t="shared" si="105"/>
        <v>1</v>
      </c>
    </row>
    <row r="3359" spans="1:8">
      <c r="A3359" s="739">
        <v>11091</v>
      </c>
      <c r="B3359" s="740" t="s">
        <v>11736</v>
      </c>
      <c r="C3359" s="739" t="s">
        <v>1690</v>
      </c>
      <c r="D3359" s="741">
        <f t="shared" si="104"/>
        <v>1.64</v>
      </c>
      <c r="F3359" s="1406">
        <v>1.64</v>
      </c>
      <c r="G3359" s="1406">
        <v>1.64</v>
      </c>
      <c r="H3359" t="b">
        <f t="shared" si="105"/>
        <v>1</v>
      </c>
    </row>
    <row r="3360" spans="1:8">
      <c r="A3360" s="677">
        <v>37586</v>
      </c>
      <c r="B3360" s="733" t="s">
        <v>11737</v>
      </c>
      <c r="C3360" s="677" t="s">
        <v>1703</v>
      </c>
      <c r="D3360" s="738">
        <f t="shared" si="104"/>
        <v>46.91</v>
      </c>
      <c r="F3360" s="1405">
        <v>46.91</v>
      </c>
      <c r="G3360" s="1405">
        <v>46.91</v>
      </c>
      <c r="H3360" t="b">
        <f t="shared" si="105"/>
        <v>1</v>
      </c>
    </row>
    <row r="3361" spans="1:8">
      <c r="A3361" s="739">
        <v>37395</v>
      </c>
      <c r="B3361" s="740" t="s">
        <v>11738</v>
      </c>
      <c r="C3361" s="739" t="s">
        <v>1703</v>
      </c>
      <c r="D3361" s="741">
        <f t="shared" si="104"/>
        <v>40.33</v>
      </c>
      <c r="F3361" s="1406">
        <v>40.33</v>
      </c>
      <c r="G3361" s="1406">
        <v>40.33</v>
      </c>
      <c r="H3361" t="b">
        <f t="shared" si="105"/>
        <v>1</v>
      </c>
    </row>
    <row r="3362" spans="1:8">
      <c r="A3362" s="677">
        <v>14147</v>
      </c>
      <c r="B3362" s="733" t="s">
        <v>11739</v>
      </c>
      <c r="C3362" s="677" t="s">
        <v>1703</v>
      </c>
      <c r="D3362" s="738">
        <f t="shared" si="104"/>
        <v>53.5</v>
      </c>
      <c r="F3362" s="1405">
        <v>53.5</v>
      </c>
      <c r="G3362" s="1405">
        <v>53.5</v>
      </c>
      <c r="H3362" t="b">
        <f t="shared" si="105"/>
        <v>1</v>
      </c>
    </row>
    <row r="3363" spans="1:8">
      <c r="A3363" s="739">
        <v>37396</v>
      </c>
      <c r="B3363" s="740" t="s">
        <v>11740</v>
      </c>
      <c r="C3363" s="739" t="s">
        <v>1703</v>
      </c>
      <c r="D3363" s="741">
        <f t="shared" si="104"/>
        <v>33</v>
      </c>
      <c r="F3363" s="1406">
        <v>33</v>
      </c>
      <c r="G3363" s="1406">
        <v>33</v>
      </c>
      <c r="H3363" t="b">
        <f t="shared" si="105"/>
        <v>1</v>
      </c>
    </row>
    <row r="3364" spans="1:8">
      <c r="A3364" s="677">
        <v>37397</v>
      </c>
      <c r="B3364" s="733" t="s">
        <v>11741</v>
      </c>
      <c r="C3364" s="677" t="s">
        <v>1703</v>
      </c>
      <c r="D3364" s="738">
        <f t="shared" si="104"/>
        <v>34.57</v>
      </c>
      <c r="F3364" s="1405">
        <v>34.57</v>
      </c>
      <c r="G3364" s="1405">
        <v>34.57</v>
      </c>
      <c r="H3364" t="b">
        <f t="shared" si="105"/>
        <v>1</v>
      </c>
    </row>
    <row r="3365" spans="1:8">
      <c r="A3365" s="739">
        <v>43606</v>
      </c>
      <c r="B3365" s="740" t="s">
        <v>11742</v>
      </c>
      <c r="C3365" s="739" t="s">
        <v>1690</v>
      </c>
      <c r="D3365" s="741">
        <f t="shared" si="104"/>
        <v>9.84</v>
      </c>
      <c r="F3365" s="1406">
        <v>9.84</v>
      </c>
      <c r="G3365" s="1406">
        <v>9.84</v>
      </c>
      <c r="H3365" t="b">
        <f t="shared" si="105"/>
        <v>1</v>
      </c>
    </row>
    <row r="3366" spans="1:8">
      <c r="A3366" s="677">
        <v>444</v>
      </c>
      <c r="B3366" s="733" t="s">
        <v>11743</v>
      </c>
      <c r="C3366" s="677" t="s">
        <v>1690</v>
      </c>
      <c r="D3366" s="738">
        <f t="shared" si="104"/>
        <v>40.75</v>
      </c>
      <c r="F3366" s="1405">
        <v>40.75</v>
      </c>
      <c r="G3366" s="1405">
        <v>40.75</v>
      </c>
      <c r="H3366" t="b">
        <f t="shared" si="105"/>
        <v>1</v>
      </c>
    </row>
    <row r="3367" spans="1:8">
      <c r="A3367" s="739">
        <v>445</v>
      </c>
      <c r="B3367" s="740" t="s">
        <v>11744</v>
      </c>
      <c r="C3367" s="739" t="s">
        <v>1690</v>
      </c>
      <c r="D3367" s="741">
        <f t="shared" si="104"/>
        <v>55.78</v>
      </c>
      <c r="F3367" s="1406">
        <v>55.78</v>
      </c>
      <c r="G3367" s="1406">
        <v>55.78</v>
      </c>
      <c r="H3367" t="b">
        <f t="shared" si="105"/>
        <v>1</v>
      </c>
    </row>
    <row r="3368" spans="1:8">
      <c r="A3368" s="677">
        <v>4783</v>
      </c>
      <c r="B3368" s="733" t="s">
        <v>11745</v>
      </c>
      <c r="C3368" s="677" t="s">
        <v>1689</v>
      </c>
      <c r="D3368" s="738">
        <f t="shared" si="104"/>
        <v>19.79</v>
      </c>
      <c r="F3368" s="1405">
        <v>17.190000000000001</v>
      </c>
      <c r="G3368" s="1405">
        <v>19.79</v>
      </c>
      <c r="H3368" t="b">
        <f t="shared" si="105"/>
        <v>0</v>
      </c>
    </row>
    <row r="3369" spans="1:8">
      <c r="A3369" s="739">
        <v>41079</v>
      </c>
      <c r="B3369" s="740" t="s">
        <v>11746</v>
      </c>
      <c r="C3369" s="739" t="s">
        <v>1696</v>
      </c>
      <c r="D3369" s="741">
        <f t="shared" si="104"/>
        <v>3482.33</v>
      </c>
      <c r="F3369" s="1406">
        <v>3020.19</v>
      </c>
      <c r="G3369" s="1406">
        <v>3482.33</v>
      </c>
      <c r="H3369" t="b">
        <f t="shared" si="105"/>
        <v>0</v>
      </c>
    </row>
    <row r="3370" spans="1:8">
      <c r="A3370" s="677">
        <v>12874</v>
      </c>
      <c r="B3370" s="733" t="s">
        <v>11747</v>
      </c>
      <c r="C3370" s="677" t="s">
        <v>1689</v>
      </c>
      <c r="D3370" s="738">
        <f t="shared" si="104"/>
        <v>19.21</v>
      </c>
      <c r="F3370" s="1405">
        <v>16.68</v>
      </c>
      <c r="G3370" s="1405">
        <v>19.21</v>
      </c>
      <c r="H3370" t="b">
        <f t="shared" si="105"/>
        <v>0</v>
      </c>
    </row>
    <row r="3371" spans="1:8">
      <c r="A3371" s="739">
        <v>41082</v>
      </c>
      <c r="B3371" s="740" t="s">
        <v>11748</v>
      </c>
      <c r="C3371" s="739" t="s">
        <v>1696</v>
      </c>
      <c r="D3371" s="741">
        <f t="shared" si="104"/>
        <v>3381.56</v>
      </c>
      <c r="F3371" s="1406">
        <v>2932.8</v>
      </c>
      <c r="G3371" s="1406">
        <v>3381.56</v>
      </c>
      <c r="H3371" t="b">
        <f t="shared" si="105"/>
        <v>0</v>
      </c>
    </row>
    <row r="3372" spans="1:8">
      <c r="A3372" s="677">
        <v>4785</v>
      </c>
      <c r="B3372" s="733" t="s">
        <v>11749</v>
      </c>
      <c r="C3372" s="677" t="s">
        <v>1689</v>
      </c>
      <c r="D3372" s="738">
        <f t="shared" si="104"/>
        <v>19.79</v>
      </c>
      <c r="F3372" s="1405">
        <v>17.190000000000001</v>
      </c>
      <c r="G3372" s="1405">
        <v>19.79</v>
      </c>
      <c r="H3372" t="b">
        <f t="shared" si="105"/>
        <v>0</v>
      </c>
    </row>
    <row r="3373" spans="1:8">
      <c r="A3373" s="739">
        <v>41081</v>
      </c>
      <c r="B3373" s="740" t="s">
        <v>11750</v>
      </c>
      <c r="C3373" s="739" t="s">
        <v>1696</v>
      </c>
      <c r="D3373" s="741">
        <f t="shared" si="104"/>
        <v>3482.33</v>
      </c>
      <c r="F3373" s="1406">
        <v>3020.19</v>
      </c>
      <c r="G3373" s="1406">
        <v>3482.33</v>
      </c>
      <c r="H3373" t="b">
        <f t="shared" si="105"/>
        <v>0</v>
      </c>
    </row>
    <row r="3374" spans="1:8">
      <c r="A3374" s="677">
        <v>4801</v>
      </c>
      <c r="B3374" s="733" t="s">
        <v>11751</v>
      </c>
      <c r="C3374" s="677" t="s">
        <v>1692</v>
      </c>
      <c r="D3374" s="738">
        <f t="shared" si="104"/>
        <v>82.42</v>
      </c>
      <c r="F3374" s="1405">
        <v>82.42</v>
      </c>
      <c r="G3374" s="1405">
        <v>82.42</v>
      </c>
      <c r="H3374" t="b">
        <f t="shared" si="105"/>
        <v>1</v>
      </c>
    </row>
    <row r="3375" spans="1:8">
      <c r="A3375" s="739">
        <v>4794</v>
      </c>
      <c r="B3375" s="740" t="s">
        <v>11752</v>
      </c>
      <c r="C3375" s="739" t="s">
        <v>1692</v>
      </c>
      <c r="D3375" s="741">
        <f t="shared" si="104"/>
        <v>375.38</v>
      </c>
      <c r="F3375" s="1406">
        <v>375.38</v>
      </c>
      <c r="G3375" s="1406">
        <v>375.38</v>
      </c>
      <c r="H3375" t="b">
        <f t="shared" si="105"/>
        <v>1</v>
      </c>
    </row>
    <row r="3376" spans="1:8">
      <c r="A3376" s="677">
        <v>4796</v>
      </c>
      <c r="B3376" s="733" t="s">
        <v>11753</v>
      </c>
      <c r="C3376" s="677" t="s">
        <v>1692</v>
      </c>
      <c r="D3376" s="738">
        <f t="shared" si="104"/>
        <v>228</v>
      </c>
      <c r="F3376" s="1405">
        <v>228</v>
      </c>
      <c r="G3376" s="1405">
        <v>228</v>
      </c>
      <c r="H3376" t="b">
        <f t="shared" si="105"/>
        <v>1</v>
      </c>
    </row>
    <row r="3377" spans="1:8">
      <c r="A3377" s="739">
        <v>4800</v>
      </c>
      <c r="B3377" s="740" t="s">
        <v>11754</v>
      </c>
      <c r="C3377" s="739" t="s">
        <v>1692</v>
      </c>
      <c r="D3377" s="741">
        <f t="shared" si="104"/>
        <v>62.7</v>
      </c>
      <c r="F3377" s="1406">
        <v>62.7</v>
      </c>
      <c r="G3377" s="1406">
        <v>62.7</v>
      </c>
      <c r="H3377" t="b">
        <f t="shared" si="105"/>
        <v>1</v>
      </c>
    </row>
    <row r="3378" spans="1:8">
      <c r="A3378" s="677">
        <v>4795</v>
      </c>
      <c r="B3378" s="733" t="s">
        <v>11755</v>
      </c>
      <c r="C3378" s="677" t="s">
        <v>1692</v>
      </c>
      <c r="D3378" s="738">
        <f t="shared" si="104"/>
        <v>365.41</v>
      </c>
      <c r="F3378" s="1405">
        <v>365.41</v>
      </c>
      <c r="G3378" s="1405">
        <v>365.41</v>
      </c>
      <c r="H3378" t="b">
        <f t="shared" si="105"/>
        <v>1</v>
      </c>
    </row>
    <row r="3379" spans="1:8" ht="30">
      <c r="A3379" s="739">
        <v>39694</v>
      </c>
      <c r="B3379" s="740" t="s">
        <v>11756</v>
      </c>
      <c r="C3379" s="739" t="s">
        <v>1692</v>
      </c>
      <c r="D3379" s="741">
        <f t="shared" si="104"/>
        <v>424.08</v>
      </c>
      <c r="F3379" s="1406">
        <v>424.08</v>
      </c>
      <c r="G3379" s="1406">
        <v>424.08</v>
      </c>
      <c r="H3379" t="b">
        <f t="shared" si="105"/>
        <v>1</v>
      </c>
    </row>
    <row r="3380" spans="1:8">
      <c r="A3380" s="677">
        <v>1292</v>
      </c>
      <c r="B3380" s="733" t="s">
        <v>14010</v>
      </c>
      <c r="C3380" s="677" t="s">
        <v>1692</v>
      </c>
      <c r="D3380" s="738">
        <f t="shared" si="104"/>
        <v>67.25</v>
      </c>
      <c r="F3380" s="1405">
        <v>67.25</v>
      </c>
      <c r="G3380" s="1405">
        <v>67.25</v>
      </c>
      <c r="H3380" t="b">
        <f t="shared" si="105"/>
        <v>1</v>
      </c>
    </row>
    <row r="3381" spans="1:8">
      <c r="A3381" s="739">
        <v>1287</v>
      </c>
      <c r="B3381" s="740" t="s">
        <v>14011</v>
      </c>
      <c r="C3381" s="739" t="s">
        <v>1692</v>
      </c>
      <c r="D3381" s="741">
        <f t="shared" si="104"/>
        <v>32.99</v>
      </c>
      <c r="F3381" s="1406">
        <v>32.99</v>
      </c>
      <c r="G3381" s="1406">
        <v>32.99</v>
      </c>
      <c r="H3381" t="b">
        <f t="shared" si="105"/>
        <v>1</v>
      </c>
    </row>
    <row r="3382" spans="1:8" ht="30">
      <c r="A3382" s="677">
        <v>1297</v>
      </c>
      <c r="B3382" s="733" t="s">
        <v>14012</v>
      </c>
      <c r="C3382" s="677" t="s">
        <v>1692</v>
      </c>
      <c r="D3382" s="738">
        <f t="shared" si="104"/>
        <v>27.36</v>
      </c>
      <c r="F3382" s="1405">
        <v>27.36</v>
      </c>
      <c r="G3382" s="1405">
        <v>27.36</v>
      </c>
      <c r="H3382" t="b">
        <f t="shared" si="105"/>
        <v>1</v>
      </c>
    </row>
    <row r="3383" spans="1:8" ht="30">
      <c r="A3383" s="739">
        <v>4786</v>
      </c>
      <c r="B3383" s="740" t="s">
        <v>11757</v>
      </c>
      <c r="C3383" s="739" t="s">
        <v>1692</v>
      </c>
      <c r="D3383" s="741">
        <f t="shared" si="104"/>
        <v>120</v>
      </c>
      <c r="F3383" s="1406">
        <v>120</v>
      </c>
      <c r="G3383" s="1406">
        <v>120</v>
      </c>
      <c r="H3383" t="b">
        <f t="shared" si="105"/>
        <v>1</v>
      </c>
    </row>
    <row r="3384" spans="1:8" ht="30">
      <c r="A3384" s="677">
        <v>10840</v>
      </c>
      <c r="B3384" s="733" t="s">
        <v>11758</v>
      </c>
      <c r="C3384" s="677" t="s">
        <v>1692</v>
      </c>
      <c r="D3384" s="738">
        <f t="shared" si="104"/>
        <v>418</v>
      </c>
      <c r="F3384" s="1405">
        <v>418</v>
      </c>
      <c r="G3384" s="1405">
        <v>418</v>
      </c>
      <c r="H3384" t="b">
        <f t="shared" si="105"/>
        <v>1</v>
      </c>
    </row>
    <row r="3385" spans="1:8" ht="30">
      <c r="A3385" s="739">
        <v>10841</v>
      </c>
      <c r="B3385" s="740" t="s">
        <v>11759</v>
      </c>
      <c r="C3385" s="739" t="s">
        <v>1692</v>
      </c>
      <c r="D3385" s="741">
        <f t="shared" si="104"/>
        <v>315.47000000000003</v>
      </c>
      <c r="F3385" s="1406">
        <v>315.47000000000003</v>
      </c>
      <c r="G3385" s="1406">
        <v>315.47000000000003</v>
      </c>
      <c r="H3385" t="b">
        <f t="shared" si="105"/>
        <v>1</v>
      </c>
    </row>
    <row r="3386" spans="1:8" ht="30">
      <c r="A3386" s="677">
        <v>44540</v>
      </c>
      <c r="B3386" s="733" t="s">
        <v>11760</v>
      </c>
      <c r="C3386" s="677" t="s">
        <v>1692</v>
      </c>
      <c r="D3386" s="738">
        <f t="shared" si="104"/>
        <v>403.1</v>
      </c>
      <c r="F3386" s="1405">
        <v>403.1</v>
      </c>
      <c r="G3386" s="1405">
        <v>403.1</v>
      </c>
      <c r="H3386" t="b">
        <f t="shared" si="105"/>
        <v>1</v>
      </c>
    </row>
    <row r="3387" spans="1:8" ht="30">
      <c r="A3387" s="739">
        <v>10842</v>
      </c>
      <c r="B3387" s="740" t="s">
        <v>11761</v>
      </c>
      <c r="C3387" s="739" t="s">
        <v>1692</v>
      </c>
      <c r="D3387" s="741">
        <f t="shared" si="104"/>
        <v>455.68</v>
      </c>
      <c r="F3387" s="1406">
        <v>455.68</v>
      </c>
      <c r="G3387" s="1406">
        <v>455.68</v>
      </c>
      <c r="H3387" t="b">
        <f t="shared" si="105"/>
        <v>1</v>
      </c>
    </row>
    <row r="3388" spans="1:8">
      <c r="A3388" s="677">
        <v>21108</v>
      </c>
      <c r="B3388" s="733" t="s">
        <v>14013</v>
      </c>
      <c r="C3388" s="677" t="s">
        <v>1692</v>
      </c>
      <c r="D3388" s="738">
        <f t="shared" si="104"/>
        <v>89.63</v>
      </c>
      <c r="F3388" s="1405">
        <v>89.63</v>
      </c>
      <c r="G3388" s="1405">
        <v>89.63</v>
      </c>
      <c r="H3388" t="b">
        <f t="shared" si="105"/>
        <v>1</v>
      </c>
    </row>
    <row r="3389" spans="1:8">
      <c r="A3389" s="739">
        <v>38195</v>
      </c>
      <c r="B3389" s="740" t="s">
        <v>14014</v>
      </c>
      <c r="C3389" s="739" t="s">
        <v>1692</v>
      </c>
      <c r="D3389" s="741">
        <f t="shared" si="104"/>
        <v>105.86</v>
      </c>
      <c r="F3389" s="1406">
        <v>105.86</v>
      </c>
      <c r="G3389" s="1406">
        <v>105.86</v>
      </c>
      <c r="H3389" t="b">
        <f t="shared" si="105"/>
        <v>1</v>
      </c>
    </row>
    <row r="3390" spans="1:8">
      <c r="A3390" s="677">
        <v>38180</v>
      </c>
      <c r="B3390" s="733" t="s">
        <v>11762</v>
      </c>
      <c r="C3390" s="677" t="s">
        <v>1692</v>
      </c>
      <c r="D3390" s="738">
        <f t="shared" si="104"/>
        <v>183.57</v>
      </c>
      <c r="F3390" s="1405">
        <v>183.57</v>
      </c>
      <c r="G3390" s="1405">
        <v>183.57</v>
      </c>
      <c r="H3390" t="b">
        <f t="shared" si="105"/>
        <v>1</v>
      </c>
    </row>
    <row r="3391" spans="1:8">
      <c r="A3391" s="739">
        <v>40648</v>
      </c>
      <c r="B3391" s="740" t="s">
        <v>11763</v>
      </c>
      <c r="C3391" s="739" t="s">
        <v>1692</v>
      </c>
      <c r="D3391" s="741">
        <f t="shared" si="104"/>
        <v>230.4</v>
      </c>
      <c r="F3391" s="1406">
        <v>230.4</v>
      </c>
      <c r="G3391" s="1406">
        <v>230.4</v>
      </c>
      <c r="H3391" t="b">
        <f t="shared" si="105"/>
        <v>1</v>
      </c>
    </row>
    <row r="3392" spans="1:8">
      <c r="A3392" s="677">
        <v>40649</v>
      </c>
      <c r="B3392" s="733" t="s">
        <v>11764</v>
      </c>
      <c r="C3392" s="677" t="s">
        <v>1692</v>
      </c>
      <c r="D3392" s="738">
        <f t="shared" si="104"/>
        <v>134.19999999999999</v>
      </c>
      <c r="F3392" s="1405">
        <v>134.19999999999999</v>
      </c>
      <c r="G3392" s="1405">
        <v>134.19999999999999</v>
      </c>
      <c r="H3392" t="b">
        <f t="shared" si="105"/>
        <v>1</v>
      </c>
    </row>
    <row r="3393" spans="1:8">
      <c r="A3393" s="739">
        <v>40650</v>
      </c>
      <c r="B3393" s="740" t="s">
        <v>11765</v>
      </c>
      <c r="C3393" s="739" t="s">
        <v>1692</v>
      </c>
      <c r="D3393" s="741">
        <f t="shared" si="104"/>
        <v>172.8</v>
      </c>
      <c r="F3393" s="1406">
        <v>172.8</v>
      </c>
      <c r="G3393" s="1406">
        <v>172.8</v>
      </c>
      <c r="H3393" t="b">
        <f t="shared" si="105"/>
        <v>1</v>
      </c>
    </row>
    <row r="3394" spans="1:8">
      <c r="A3394" s="677">
        <v>40651</v>
      </c>
      <c r="B3394" s="733" t="s">
        <v>11766</v>
      </c>
      <c r="C3394" s="677" t="s">
        <v>1692</v>
      </c>
      <c r="D3394" s="738">
        <f t="shared" si="104"/>
        <v>318.72000000000003</v>
      </c>
      <c r="F3394" s="1405">
        <v>318.72000000000003</v>
      </c>
      <c r="G3394" s="1405">
        <v>318.72000000000003</v>
      </c>
      <c r="H3394" t="b">
        <f t="shared" si="105"/>
        <v>1</v>
      </c>
    </row>
    <row r="3395" spans="1:8">
      <c r="A3395" s="739">
        <v>40652</v>
      </c>
      <c r="B3395" s="740" t="s">
        <v>11767</v>
      </c>
      <c r="C3395" s="739" t="s">
        <v>1692</v>
      </c>
      <c r="D3395" s="741">
        <f t="shared" ref="D3395:D3458" si="106">IF($J$2=$F$1,F3395,G3395)</f>
        <v>170.88</v>
      </c>
      <c r="F3395" s="1406">
        <v>170.88</v>
      </c>
      <c r="G3395" s="1406">
        <v>170.88</v>
      </c>
      <c r="H3395" t="b">
        <f t="shared" ref="H3395:H3458" si="107">F3395=G3395</f>
        <v>1</v>
      </c>
    </row>
    <row r="3396" spans="1:8" ht="30">
      <c r="A3396" s="677">
        <v>40647</v>
      </c>
      <c r="B3396" s="733" t="s">
        <v>11768</v>
      </c>
      <c r="C3396" s="677" t="s">
        <v>1692</v>
      </c>
      <c r="D3396" s="738">
        <f t="shared" si="106"/>
        <v>188.16</v>
      </c>
      <c r="F3396" s="1405">
        <v>188.16</v>
      </c>
      <c r="G3396" s="1405">
        <v>188.16</v>
      </c>
      <c r="H3396" t="b">
        <f t="shared" si="107"/>
        <v>1</v>
      </c>
    </row>
    <row r="3397" spans="1:8">
      <c r="A3397" s="739">
        <v>40653</v>
      </c>
      <c r="B3397" s="740" t="s">
        <v>11769</v>
      </c>
      <c r="C3397" s="739" t="s">
        <v>1692</v>
      </c>
      <c r="D3397" s="741">
        <f t="shared" si="106"/>
        <v>144</v>
      </c>
      <c r="F3397" s="1406">
        <v>144</v>
      </c>
      <c r="G3397" s="1406">
        <v>144</v>
      </c>
      <c r="H3397" t="b">
        <f t="shared" si="107"/>
        <v>1</v>
      </c>
    </row>
    <row r="3398" spans="1:8">
      <c r="A3398" s="677">
        <v>36178</v>
      </c>
      <c r="B3398" s="733" t="s">
        <v>11770</v>
      </c>
      <c r="C3398" s="677" t="s">
        <v>1690</v>
      </c>
      <c r="D3398" s="738">
        <f t="shared" si="106"/>
        <v>17.82</v>
      </c>
      <c r="F3398" s="1405">
        <v>17.82</v>
      </c>
      <c r="G3398" s="1405">
        <v>17.82</v>
      </c>
      <c r="H3398" t="b">
        <f t="shared" si="107"/>
        <v>1</v>
      </c>
    </row>
    <row r="3399" spans="1:8">
      <c r="A3399" s="739">
        <v>38181</v>
      </c>
      <c r="B3399" s="740" t="s">
        <v>11771</v>
      </c>
      <c r="C3399" s="739" t="s">
        <v>1692</v>
      </c>
      <c r="D3399" s="741">
        <f t="shared" si="106"/>
        <v>250.6</v>
      </c>
      <c r="F3399" s="1406">
        <v>250.6</v>
      </c>
      <c r="G3399" s="1406">
        <v>250.6</v>
      </c>
      <c r="H3399" t="b">
        <f t="shared" si="107"/>
        <v>1</v>
      </c>
    </row>
    <row r="3400" spans="1:8">
      <c r="A3400" s="677">
        <v>38182</v>
      </c>
      <c r="B3400" s="733" t="s">
        <v>11772</v>
      </c>
      <c r="C3400" s="677" t="s">
        <v>1692</v>
      </c>
      <c r="D3400" s="738">
        <f t="shared" si="106"/>
        <v>238.71</v>
      </c>
      <c r="F3400" s="1405">
        <v>238.71</v>
      </c>
      <c r="G3400" s="1405">
        <v>238.71</v>
      </c>
      <c r="H3400" t="b">
        <f t="shared" si="107"/>
        <v>1</v>
      </c>
    </row>
    <row r="3401" spans="1:8">
      <c r="A3401" s="739">
        <v>38186</v>
      </c>
      <c r="B3401" s="740" t="s">
        <v>11773</v>
      </c>
      <c r="C3401" s="739" t="s">
        <v>1692</v>
      </c>
      <c r="D3401" s="741">
        <f t="shared" si="106"/>
        <v>620.48</v>
      </c>
      <c r="F3401" s="1406">
        <v>620.48</v>
      </c>
      <c r="G3401" s="1406">
        <v>620.48</v>
      </c>
      <c r="H3401" t="b">
        <f t="shared" si="107"/>
        <v>1</v>
      </c>
    </row>
    <row r="3402" spans="1:8">
      <c r="A3402" s="677">
        <v>38185</v>
      </c>
      <c r="B3402" s="733" t="s">
        <v>11774</v>
      </c>
      <c r="C3402" s="677" t="s">
        <v>1692</v>
      </c>
      <c r="D3402" s="738">
        <f t="shared" si="106"/>
        <v>552.45000000000005</v>
      </c>
      <c r="F3402" s="1405">
        <v>552.45000000000005</v>
      </c>
      <c r="G3402" s="1405">
        <v>552.45000000000005</v>
      </c>
      <c r="H3402" t="b">
        <f t="shared" si="107"/>
        <v>1</v>
      </c>
    </row>
    <row r="3403" spans="1:8">
      <c r="A3403" s="739">
        <v>40654</v>
      </c>
      <c r="B3403" s="740" t="s">
        <v>11775</v>
      </c>
      <c r="C3403" s="739" t="s">
        <v>1692</v>
      </c>
      <c r="D3403" s="741">
        <f t="shared" si="106"/>
        <v>223.68</v>
      </c>
      <c r="F3403" s="1406">
        <v>223.68</v>
      </c>
      <c r="G3403" s="1406">
        <v>223.68</v>
      </c>
      <c r="H3403" t="b">
        <f t="shared" si="107"/>
        <v>1</v>
      </c>
    </row>
    <row r="3404" spans="1:8" ht="30">
      <c r="A3404" s="677">
        <v>44541</v>
      </c>
      <c r="B3404" s="733" t="s">
        <v>11776</v>
      </c>
      <c r="C3404" s="677" t="s">
        <v>1692</v>
      </c>
      <c r="D3404" s="738">
        <f t="shared" si="106"/>
        <v>332.99</v>
      </c>
      <c r="F3404" s="1405">
        <v>332.99</v>
      </c>
      <c r="G3404" s="1405">
        <v>332.99</v>
      </c>
      <c r="H3404" t="b">
        <f t="shared" si="107"/>
        <v>1</v>
      </c>
    </row>
    <row r="3405" spans="1:8">
      <c r="A3405" s="739">
        <v>4822</v>
      </c>
      <c r="B3405" s="740" t="s">
        <v>11777</v>
      </c>
      <c r="C3405" s="739" t="s">
        <v>1692</v>
      </c>
      <c r="D3405" s="741">
        <f t="shared" si="106"/>
        <v>389.16</v>
      </c>
      <c r="F3405" s="1406">
        <v>389.16</v>
      </c>
      <c r="G3405" s="1406">
        <v>389.16</v>
      </c>
      <c r="H3405" t="b">
        <f t="shared" si="107"/>
        <v>1</v>
      </c>
    </row>
    <row r="3406" spans="1:8">
      <c r="A3406" s="677">
        <v>4818</v>
      </c>
      <c r="B3406" s="733" t="s">
        <v>11778</v>
      </c>
      <c r="C3406" s="677" t="s">
        <v>1692</v>
      </c>
      <c r="D3406" s="738">
        <f t="shared" si="106"/>
        <v>400</v>
      </c>
      <c r="F3406" s="1405">
        <v>400</v>
      </c>
      <c r="G3406" s="1405">
        <v>400</v>
      </c>
      <c r="H3406" t="b">
        <f t="shared" si="107"/>
        <v>1</v>
      </c>
    </row>
    <row r="3407" spans="1:8" ht="30">
      <c r="A3407" s="739">
        <v>39567</v>
      </c>
      <c r="B3407" s="740" t="s">
        <v>11779</v>
      </c>
      <c r="C3407" s="739" t="s">
        <v>1692</v>
      </c>
      <c r="D3407" s="741">
        <f t="shared" si="106"/>
        <v>51.33</v>
      </c>
      <c r="F3407" s="1406">
        <v>51.33</v>
      </c>
      <c r="G3407" s="1406">
        <v>51.33</v>
      </c>
      <c r="H3407" t="b">
        <f t="shared" si="107"/>
        <v>1</v>
      </c>
    </row>
    <row r="3408" spans="1:8" ht="30">
      <c r="A3408" s="677">
        <v>39566</v>
      </c>
      <c r="B3408" s="733" t="s">
        <v>11780</v>
      </c>
      <c r="C3408" s="677" t="s">
        <v>1692</v>
      </c>
      <c r="D3408" s="738">
        <f t="shared" si="106"/>
        <v>54.33</v>
      </c>
      <c r="F3408" s="1405">
        <v>54.33</v>
      </c>
      <c r="G3408" s="1405">
        <v>54.33</v>
      </c>
      <c r="H3408" t="b">
        <f t="shared" si="107"/>
        <v>1</v>
      </c>
    </row>
    <row r="3409" spans="1:8">
      <c r="A3409" s="739">
        <v>39416</v>
      </c>
      <c r="B3409" s="740" t="s">
        <v>11781</v>
      </c>
      <c r="C3409" s="739" t="s">
        <v>1692</v>
      </c>
      <c r="D3409" s="741">
        <f t="shared" si="106"/>
        <v>33.11</v>
      </c>
      <c r="F3409" s="1406">
        <v>33.11</v>
      </c>
      <c r="G3409" s="1406">
        <v>33.11</v>
      </c>
      <c r="H3409" t="b">
        <f t="shared" si="107"/>
        <v>1</v>
      </c>
    </row>
    <row r="3410" spans="1:8">
      <c r="A3410" s="677">
        <v>39417</v>
      </c>
      <c r="B3410" s="733" t="s">
        <v>11782</v>
      </c>
      <c r="C3410" s="677" t="s">
        <v>1692</v>
      </c>
      <c r="D3410" s="738">
        <f t="shared" si="106"/>
        <v>32.299999999999997</v>
      </c>
      <c r="F3410" s="1405">
        <v>32.299999999999997</v>
      </c>
      <c r="G3410" s="1405">
        <v>32.299999999999997</v>
      </c>
      <c r="H3410" t="b">
        <f t="shared" si="107"/>
        <v>1</v>
      </c>
    </row>
    <row r="3411" spans="1:8">
      <c r="A3411" s="739">
        <v>43742</v>
      </c>
      <c r="B3411" s="740" t="s">
        <v>11783</v>
      </c>
      <c r="C3411" s="739" t="s">
        <v>1692</v>
      </c>
      <c r="D3411" s="741">
        <f t="shared" si="106"/>
        <v>34.840000000000003</v>
      </c>
      <c r="F3411" s="1406">
        <v>34.840000000000003</v>
      </c>
      <c r="G3411" s="1406">
        <v>34.840000000000003</v>
      </c>
      <c r="H3411" t="b">
        <f t="shared" si="107"/>
        <v>1</v>
      </c>
    </row>
    <row r="3412" spans="1:8">
      <c r="A3412" s="677">
        <v>39414</v>
      </c>
      <c r="B3412" s="733" t="s">
        <v>11784</v>
      </c>
      <c r="C3412" s="677" t="s">
        <v>1692</v>
      </c>
      <c r="D3412" s="738">
        <f t="shared" si="106"/>
        <v>31.36</v>
      </c>
      <c r="F3412" s="1405">
        <v>31.36</v>
      </c>
      <c r="G3412" s="1405">
        <v>31.36</v>
      </c>
      <c r="H3412" t="b">
        <f t="shared" si="107"/>
        <v>1</v>
      </c>
    </row>
    <row r="3413" spans="1:8">
      <c r="A3413" s="739">
        <v>39415</v>
      </c>
      <c r="B3413" s="740" t="s">
        <v>11785</v>
      </c>
      <c r="C3413" s="739" t="s">
        <v>1692</v>
      </c>
      <c r="D3413" s="741">
        <f t="shared" si="106"/>
        <v>27.03</v>
      </c>
      <c r="F3413" s="1406">
        <v>27.03</v>
      </c>
      <c r="G3413" s="1406">
        <v>27.03</v>
      </c>
      <c r="H3413" t="b">
        <f t="shared" si="107"/>
        <v>1</v>
      </c>
    </row>
    <row r="3414" spans="1:8">
      <c r="A3414" s="677">
        <v>43740</v>
      </c>
      <c r="B3414" s="733" t="s">
        <v>11786</v>
      </c>
      <c r="C3414" s="677" t="s">
        <v>1692</v>
      </c>
      <c r="D3414" s="738">
        <f t="shared" si="106"/>
        <v>33.01</v>
      </c>
      <c r="F3414" s="1405">
        <v>33.01</v>
      </c>
      <c r="G3414" s="1405">
        <v>33.01</v>
      </c>
      <c r="H3414" t="b">
        <f t="shared" si="107"/>
        <v>1</v>
      </c>
    </row>
    <row r="3415" spans="1:8">
      <c r="A3415" s="739">
        <v>39412</v>
      </c>
      <c r="B3415" s="740" t="s">
        <v>11787</v>
      </c>
      <c r="C3415" s="739" t="s">
        <v>1692</v>
      </c>
      <c r="D3415" s="741">
        <f t="shared" si="106"/>
        <v>22.64</v>
      </c>
      <c r="F3415" s="1406">
        <v>22.64</v>
      </c>
      <c r="G3415" s="1406">
        <v>22.64</v>
      </c>
      <c r="H3415" t="b">
        <f t="shared" si="107"/>
        <v>1</v>
      </c>
    </row>
    <row r="3416" spans="1:8">
      <c r="A3416" s="677">
        <v>39413</v>
      </c>
      <c r="B3416" s="733" t="s">
        <v>11788</v>
      </c>
      <c r="C3416" s="677" t="s">
        <v>1692</v>
      </c>
      <c r="D3416" s="738">
        <f t="shared" si="106"/>
        <v>24.48</v>
      </c>
      <c r="F3416" s="1405">
        <v>24.48</v>
      </c>
      <c r="G3416" s="1405">
        <v>24.48</v>
      </c>
      <c r="H3416" t="b">
        <f t="shared" si="107"/>
        <v>1</v>
      </c>
    </row>
    <row r="3417" spans="1:8">
      <c r="A3417" s="739">
        <v>43741</v>
      </c>
      <c r="B3417" s="740" t="s">
        <v>11789</v>
      </c>
      <c r="C3417" s="739" t="s">
        <v>1692</v>
      </c>
      <c r="D3417" s="741">
        <f t="shared" si="106"/>
        <v>26.1</v>
      </c>
      <c r="F3417" s="1406">
        <v>26.1</v>
      </c>
      <c r="G3417" s="1406">
        <v>26.1</v>
      </c>
      <c r="H3417" t="b">
        <f t="shared" si="107"/>
        <v>1</v>
      </c>
    </row>
    <row r="3418" spans="1:8">
      <c r="A3418" s="677">
        <v>11062</v>
      </c>
      <c r="B3418" s="733" t="s">
        <v>11790</v>
      </c>
      <c r="C3418" s="677" t="s">
        <v>1692</v>
      </c>
      <c r="D3418" s="738">
        <f t="shared" si="106"/>
        <v>53.1</v>
      </c>
      <c r="F3418" s="1405">
        <v>53.1</v>
      </c>
      <c r="G3418" s="1405">
        <v>53.1</v>
      </c>
      <c r="H3418" t="b">
        <f t="shared" si="107"/>
        <v>1</v>
      </c>
    </row>
    <row r="3419" spans="1:8">
      <c r="A3419" s="739">
        <v>11063</v>
      </c>
      <c r="B3419" s="740" t="s">
        <v>11791</v>
      </c>
      <c r="C3419" s="739" t="s">
        <v>1692</v>
      </c>
      <c r="D3419" s="741">
        <f t="shared" si="106"/>
        <v>32.5</v>
      </c>
      <c r="F3419" s="1406">
        <v>32.5</v>
      </c>
      <c r="G3419" s="1406">
        <v>32.5</v>
      </c>
      <c r="H3419" t="b">
        <f t="shared" si="107"/>
        <v>1</v>
      </c>
    </row>
    <row r="3420" spans="1:8">
      <c r="A3420" s="677">
        <v>13521</v>
      </c>
      <c r="B3420" s="733" t="s">
        <v>11792</v>
      </c>
      <c r="C3420" s="677" t="s">
        <v>1690</v>
      </c>
      <c r="D3420" s="738">
        <f t="shared" si="106"/>
        <v>82.5</v>
      </c>
      <c r="F3420" s="1405">
        <v>82.5</v>
      </c>
      <c r="G3420" s="1405">
        <v>82.5</v>
      </c>
      <c r="H3420" t="b">
        <f t="shared" si="107"/>
        <v>1</v>
      </c>
    </row>
    <row r="3421" spans="1:8" ht="30">
      <c r="A3421" s="739">
        <v>10851</v>
      </c>
      <c r="B3421" s="740" t="s">
        <v>11793</v>
      </c>
      <c r="C3421" s="739" t="s">
        <v>1690</v>
      </c>
      <c r="D3421" s="741">
        <f t="shared" si="106"/>
        <v>79.34</v>
      </c>
      <c r="F3421" s="1406">
        <v>79.34</v>
      </c>
      <c r="G3421" s="1406">
        <v>79.34</v>
      </c>
      <c r="H3421" t="b">
        <f t="shared" si="107"/>
        <v>1</v>
      </c>
    </row>
    <row r="3422" spans="1:8">
      <c r="A3422" s="677">
        <v>39515</v>
      </c>
      <c r="B3422" s="733" t="s">
        <v>11794</v>
      </c>
      <c r="C3422" s="677" t="s">
        <v>1690</v>
      </c>
      <c r="D3422" s="738">
        <f t="shared" si="106"/>
        <v>52.33</v>
      </c>
      <c r="F3422" s="1405">
        <v>52.33</v>
      </c>
      <c r="G3422" s="1405">
        <v>52.33</v>
      </c>
      <c r="H3422" t="b">
        <f t="shared" si="107"/>
        <v>1</v>
      </c>
    </row>
    <row r="3423" spans="1:8" ht="30">
      <c r="A3423" s="739">
        <v>39516</v>
      </c>
      <c r="B3423" s="740" t="s">
        <v>11795</v>
      </c>
      <c r="C3423" s="739" t="s">
        <v>1690</v>
      </c>
      <c r="D3423" s="741">
        <f t="shared" si="106"/>
        <v>44.12</v>
      </c>
      <c r="F3423" s="1406">
        <v>44.12</v>
      </c>
      <c r="G3423" s="1406">
        <v>44.12</v>
      </c>
      <c r="H3423" t="b">
        <f t="shared" si="107"/>
        <v>1</v>
      </c>
    </row>
    <row r="3424" spans="1:8">
      <c r="A3424" s="677">
        <v>39514</v>
      </c>
      <c r="B3424" s="733" t="s">
        <v>11796</v>
      </c>
      <c r="C3424" s="677" t="s">
        <v>1690</v>
      </c>
      <c r="D3424" s="738">
        <f t="shared" si="106"/>
        <v>27.45</v>
      </c>
      <c r="F3424" s="1405">
        <v>27.45</v>
      </c>
      <c r="G3424" s="1405">
        <v>27.45</v>
      </c>
      <c r="H3424" t="b">
        <f t="shared" si="107"/>
        <v>1</v>
      </c>
    </row>
    <row r="3425" spans="1:8">
      <c r="A3425" s="739">
        <v>4812</v>
      </c>
      <c r="B3425" s="740" t="s">
        <v>11797</v>
      </c>
      <c r="C3425" s="739" t="s">
        <v>1692</v>
      </c>
      <c r="D3425" s="741">
        <f t="shared" si="106"/>
        <v>13.58</v>
      </c>
      <c r="F3425" s="1406">
        <v>13.58</v>
      </c>
      <c r="G3425" s="1406">
        <v>13.58</v>
      </c>
      <c r="H3425" t="b">
        <f t="shared" si="107"/>
        <v>1</v>
      </c>
    </row>
    <row r="3426" spans="1:8">
      <c r="A3426" s="677">
        <v>10849</v>
      </c>
      <c r="B3426" s="733" t="s">
        <v>11798</v>
      </c>
      <c r="C3426" s="677" t="s">
        <v>1690</v>
      </c>
      <c r="D3426" s="738">
        <f t="shared" si="106"/>
        <v>1200.01</v>
      </c>
      <c r="F3426" s="1405">
        <v>1200.01</v>
      </c>
      <c r="G3426" s="1405">
        <v>1200.01</v>
      </c>
      <c r="H3426" t="b">
        <f t="shared" si="107"/>
        <v>1</v>
      </c>
    </row>
    <row r="3427" spans="1:8">
      <c r="A3427" s="739">
        <v>10848</v>
      </c>
      <c r="B3427" s="740" t="s">
        <v>11799</v>
      </c>
      <c r="C3427" s="739" t="s">
        <v>1690</v>
      </c>
      <c r="D3427" s="741">
        <f t="shared" si="106"/>
        <v>753.75</v>
      </c>
      <c r="F3427" s="1406">
        <v>753.75</v>
      </c>
      <c r="G3427" s="1406">
        <v>753.75</v>
      </c>
      <c r="H3427" t="b">
        <f t="shared" si="107"/>
        <v>1</v>
      </c>
    </row>
    <row r="3428" spans="1:8" ht="30">
      <c r="A3428" s="677">
        <v>4813</v>
      </c>
      <c r="B3428" s="733" t="s">
        <v>11800</v>
      </c>
      <c r="C3428" s="677" t="s">
        <v>1692</v>
      </c>
      <c r="D3428" s="738">
        <f t="shared" si="106"/>
        <v>250</v>
      </c>
      <c r="F3428" s="1405">
        <v>250</v>
      </c>
      <c r="G3428" s="1405">
        <v>250</v>
      </c>
      <c r="H3428" t="b">
        <f t="shared" si="107"/>
        <v>1</v>
      </c>
    </row>
    <row r="3429" spans="1:8" ht="30">
      <c r="A3429" s="739">
        <v>37560</v>
      </c>
      <c r="B3429" s="740" t="s">
        <v>11801</v>
      </c>
      <c r="C3429" s="739" t="s">
        <v>1690</v>
      </c>
      <c r="D3429" s="741">
        <f t="shared" si="106"/>
        <v>35.24</v>
      </c>
      <c r="F3429" s="1406">
        <v>35.24</v>
      </c>
      <c r="G3429" s="1406">
        <v>35.24</v>
      </c>
      <c r="H3429" t="b">
        <f t="shared" si="107"/>
        <v>1</v>
      </c>
    </row>
    <row r="3430" spans="1:8" ht="30">
      <c r="A3430" s="677">
        <v>37557</v>
      </c>
      <c r="B3430" s="733" t="s">
        <v>11802</v>
      </c>
      <c r="C3430" s="677" t="s">
        <v>1690</v>
      </c>
      <c r="D3430" s="738">
        <f t="shared" si="106"/>
        <v>10.7</v>
      </c>
      <c r="F3430" s="1405">
        <v>10.7</v>
      </c>
      <c r="G3430" s="1405">
        <v>10.7</v>
      </c>
      <c r="H3430" t="b">
        <f t="shared" si="107"/>
        <v>1</v>
      </c>
    </row>
    <row r="3431" spans="1:8" ht="30">
      <c r="A3431" s="739">
        <v>37556</v>
      </c>
      <c r="B3431" s="740" t="s">
        <v>11803</v>
      </c>
      <c r="C3431" s="739" t="s">
        <v>1690</v>
      </c>
      <c r="D3431" s="741">
        <f t="shared" si="106"/>
        <v>20.7</v>
      </c>
      <c r="F3431" s="1406">
        <v>20.7</v>
      </c>
      <c r="G3431" s="1406">
        <v>20.7</v>
      </c>
      <c r="H3431" t="b">
        <f t="shared" si="107"/>
        <v>1</v>
      </c>
    </row>
    <row r="3432" spans="1:8" ht="30">
      <c r="A3432" s="677">
        <v>37559</v>
      </c>
      <c r="B3432" s="733" t="s">
        <v>11804</v>
      </c>
      <c r="C3432" s="677" t="s">
        <v>1690</v>
      </c>
      <c r="D3432" s="738">
        <f t="shared" si="106"/>
        <v>25.39</v>
      </c>
      <c r="F3432" s="1405">
        <v>25.39</v>
      </c>
      <c r="G3432" s="1405">
        <v>25.39</v>
      </c>
      <c r="H3432" t="b">
        <f t="shared" si="107"/>
        <v>1</v>
      </c>
    </row>
    <row r="3433" spans="1:8" ht="30">
      <c r="A3433" s="739">
        <v>37539</v>
      </c>
      <c r="B3433" s="740" t="s">
        <v>11805</v>
      </c>
      <c r="C3433" s="739" t="s">
        <v>1690</v>
      </c>
      <c r="D3433" s="741">
        <f t="shared" si="106"/>
        <v>17.899999999999999</v>
      </c>
      <c r="F3433" s="1406">
        <v>17.899999999999999</v>
      </c>
      <c r="G3433" s="1406">
        <v>17.899999999999999</v>
      </c>
      <c r="H3433" t="b">
        <f t="shared" si="107"/>
        <v>1</v>
      </c>
    </row>
    <row r="3434" spans="1:8" ht="30">
      <c r="A3434" s="677">
        <v>37558</v>
      </c>
      <c r="B3434" s="733" t="s">
        <v>11806</v>
      </c>
      <c r="C3434" s="677" t="s">
        <v>1690</v>
      </c>
      <c r="D3434" s="738">
        <f t="shared" si="106"/>
        <v>33.369999999999997</v>
      </c>
      <c r="F3434" s="1405">
        <v>33.369999999999997</v>
      </c>
      <c r="G3434" s="1405">
        <v>33.369999999999997</v>
      </c>
      <c r="H3434" t="b">
        <f t="shared" si="107"/>
        <v>1</v>
      </c>
    </row>
    <row r="3435" spans="1:8">
      <c r="A3435" s="739">
        <v>34723</v>
      </c>
      <c r="B3435" s="740" t="s">
        <v>11807</v>
      </c>
      <c r="C3435" s="739" t="s">
        <v>1692</v>
      </c>
      <c r="D3435" s="741">
        <f t="shared" si="106"/>
        <v>577.5</v>
      </c>
      <c r="F3435" s="1406">
        <v>577.5</v>
      </c>
      <c r="G3435" s="1406">
        <v>577.5</v>
      </c>
      <c r="H3435" t="b">
        <f t="shared" si="107"/>
        <v>1</v>
      </c>
    </row>
    <row r="3436" spans="1:8">
      <c r="A3436" s="677">
        <v>34721</v>
      </c>
      <c r="B3436" s="733" t="s">
        <v>11808</v>
      </c>
      <c r="C3436" s="677" t="s">
        <v>1692</v>
      </c>
      <c r="D3436" s="738">
        <f t="shared" si="106"/>
        <v>720</v>
      </c>
      <c r="F3436" s="1405">
        <v>720</v>
      </c>
      <c r="G3436" s="1405">
        <v>720</v>
      </c>
      <c r="H3436" t="b">
        <f t="shared" si="107"/>
        <v>1</v>
      </c>
    </row>
    <row r="3437" spans="1:8">
      <c r="A3437" s="739">
        <v>4309</v>
      </c>
      <c r="B3437" s="740" t="s">
        <v>11809</v>
      </c>
      <c r="C3437" s="739" t="s">
        <v>1690</v>
      </c>
      <c r="D3437" s="741">
        <f t="shared" si="106"/>
        <v>7.39</v>
      </c>
      <c r="F3437" s="1406">
        <v>7.39</v>
      </c>
      <c r="G3437" s="1406">
        <v>7.39</v>
      </c>
      <c r="H3437" t="b">
        <f t="shared" si="107"/>
        <v>1</v>
      </c>
    </row>
    <row r="3438" spans="1:8">
      <c r="A3438" s="677">
        <v>4307</v>
      </c>
      <c r="B3438" s="733" t="s">
        <v>11810</v>
      </c>
      <c r="C3438" s="677" t="s">
        <v>1690</v>
      </c>
      <c r="D3438" s="738">
        <f t="shared" si="106"/>
        <v>12.64</v>
      </c>
      <c r="F3438" s="1405">
        <v>12.64</v>
      </c>
      <c r="G3438" s="1405">
        <v>12.64</v>
      </c>
      <c r="H3438" t="b">
        <f t="shared" si="107"/>
        <v>1</v>
      </c>
    </row>
    <row r="3439" spans="1:8">
      <c r="A3439" s="739">
        <v>10850</v>
      </c>
      <c r="B3439" s="740" t="s">
        <v>11811</v>
      </c>
      <c r="C3439" s="739" t="s">
        <v>1690</v>
      </c>
      <c r="D3439" s="741">
        <f t="shared" si="106"/>
        <v>37.5</v>
      </c>
      <c r="F3439" s="1406">
        <v>37.5</v>
      </c>
      <c r="G3439" s="1406">
        <v>37.5</v>
      </c>
      <c r="H3439" t="b">
        <f t="shared" si="107"/>
        <v>1</v>
      </c>
    </row>
    <row r="3440" spans="1:8" ht="45">
      <c r="A3440" s="677">
        <v>42438</v>
      </c>
      <c r="B3440" s="733" t="s">
        <v>11812</v>
      </c>
      <c r="C3440" s="677" t="s">
        <v>1690</v>
      </c>
      <c r="D3440" s="738">
        <f t="shared" si="106"/>
        <v>2090.75</v>
      </c>
      <c r="F3440" s="1405">
        <v>2090.75</v>
      </c>
      <c r="G3440" s="1405">
        <v>2090.75</v>
      </c>
      <c r="H3440" t="b">
        <f t="shared" si="107"/>
        <v>1</v>
      </c>
    </row>
    <row r="3441" spans="1:8">
      <c r="A3441" s="739">
        <v>4792</v>
      </c>
      <c r="B3441" s="740" t="s">
        <v>11813</v>
      </c>
      <c r="C3441" s="739" t="s">
        <v>1692</v>
      </c>
      <c r="D3441" s="741">
        <f t="shared" si="106"/>
        <v>176.22</v>
      </c>
      <c r="F3441" s="1406">
        <v>176.22</v>
      </c>
      <c r="G3441" s="1406">
        <v>176.22</v>
      </c>
      <c r="H3441" t="b">
        <f t="shared" si="107"/>
        <v>1</v>
      </c>
    </row>
    <row r="3442" spans="1:8">
      <c r="A3442" s="677">
        <v>4790</v>
      </c>
      <c r="B3442" s="733" t="s">
        <v>11814</v>
      </c>
      <c r="C3442" s="677" t="s">
        <v>1692</v>
      </c>
      <c r="D3442" s="738">
        <f t="shared" si="106"/>
        <v>105.95</v>
      </c>
      <c r="F3442" s="1405">
        <v>105.95</v>
      </c>
      <c r="G3442" s="1405">
        <v>105.95</v>
      </c>
      <c r="H3442" t="b">
        <f t="shared" si="107"/>
        <v>1</v>
      </c>
    </row>
    <row r="3443" spans="1:8" ht="30">
      <c r="A3443" s="739">
        <v>40671</v>
      </c>
      <c r="B3443" s="740" t="s">
        <v>11815</v>
      </c>
      <c r="C3443" s="739" t="s">
        <v>1692</v>
      </c>
      <c r="D3443" s="741">
        <f t="shared" si="106"/>
        <v>116.99</v>
      </c>
      <c r="F3443" s="1406">
        <v>116.99</v>
      </c>
      <c r="G3443" s="1406">
        <v>116.99</v>
      </c>
      <c r="H3443" t="b">
        <f t="shared" si="107"/>
        <v>1</v>
      </c>
    </row>
    <row r="3444" spans="1:8">
      <c r="A3444" s="677">
        <v>7552</v>
      </c>
      <c r="B3444" s="733" t="s">
        <v>11816</v>
      </c>
      <c r="C3444" s="677" t="s">
        <v>1690</v>
      </c>
      <c r="D3444" s="738">
        <f t="shared" si="106"/>
        <v>25.15</v>
      </c>
      <c r="F3444" s="1405">
        <v>25.15</v>
      </c>
      <c r="G3444" s="1405">
        <v>25.15</v>
      </c>
      <c r="H3444" t="b">
        <f t="shared" si="107"/>
        <v>1</v>
      </c>
    </row>
    <row r="3445" spans="1:8">
      <c r="A3445" s="739">
        <v>4893</v>
      </c>
      <c r="B3445" s="740" t="s">
        <v>11817</v>
      </c>
      <c r="C3445" s="739" t="s">
        <v>1690</v>
      </c>
      <c r="D3445" s="741">
        <f t="shared" si="106"/>
        <v>11.44</v>
      </c>
      <c r="F3445" s="1406">
        <v>11.44</v>
      </c>
      <c r="G3445" s="1406">
        <v>11.44</v>
      </c>
      <c r="H3445" t="b">
        <f t="shared" si="107"/>
        <v>1</v>
      </c>
    </row>
    <row r="3446" spans="1:8">
      <c r="A3446" s="677">
        <v>4894</v>
      </c>
      <c r="B3446" s="733" t="s">
        <v>11818</v>
      </c>
      <c r="C3446" s="677" t="s">
        <v>1690</v>
      </c>
      <c r="D3446" s="738">
        <f t="shared" si="106"/>
        <v>9.81</v>
      </c>
      <c r="F3446" s="1405">
        <v>9.81</v>
      </c>
      <c r="G3446" s="1405">
        <v>9.81</v>
      </c>
      <c r="H3446" t="b">
        <f t="shared" si="107"/>
        <v>1</v>
      </c>
    </row>
    <row r="3447" spans="1:8">
      <c r="A3447" s="739">
        <v>4888</v>
      </c>
      <c r="B3447" s="740" t="s">
        <v>11819</v>
      </c>
      <c r="C3447" s="739" t="s">
        <v>1690</v>
      </c>
      <c r="D3447" s="741">
        <f t="shared" si="106"/>
        <v>3.34</v>
      </c>
      <c r="F3447" s="1406">
        <v>3.34</v>
      </c>
      <c r="G3447" s="1406">
        <v>3.34</v>
      </c>
      <c r="H3447" t="b">
        <f t="shared" si="107"/>
        <v>1</v>
      </c>
    </row>
    <row r="3448" spans="1:8">
      <c r="A3448" s="677">
        <v>4890</v>
      </c>
      <c r="B3448" s="733" t="s">
        <v>11820</v>
      </c>
      <c r="C3448" s="677" t="s">
        <v>1690</v>
      </c>
      <c r="D3448" s="738">
        <f t="shared" si="106"/>
        <v>6.28</v>
      </c>
      <c r="F3448" s="1405">
        <v>6.28</v>
      </c>
      <c r="G3448" s="1405">
        <v>6.28</v>
      </c>
      <c r="H3448" t="b">
        <f t="shared" si="107"/>
        <v>1</v>
      </c>
    </row>
    <row r="3449" spans="1:8">
      <c r="A3449" s="739">
        <v>12411</v>
      </c>
      <c r="B3449" s="740" t="s">
        <v>11821</v>
      </c>
      <c r="C3449" s="739" t="s">
        <v>1690</v>
      </c>
      <c r="D3449" s="741">
        <f t="shared" si="106"/>
        <v>33.83</v>
      </c>
      <c r="F3449" s="1406">
        <v>33.83</v>
      </c>
      <c r="G3449" s="1406">
        <v>33.83</v>
      </c>
      <c r="H3449" t="b">
        <f t="shared" si="107"/>
        <v>1</v>
      </c>
    </row>
    <row r="3450" spans="1:8">
      <c r="A3450" s="677">
        <v>4891</v>
      </c>
      <c r="B3450" s="733" t="s">
        <v>11822</v>
      </c>
      <c r="C3450" s="677" t="s">
        <v>1690</v>
      </c>
      <c r="D3450" s="738">
        <f t="shared" si="106"/>
        <v>16.91</v>
      </c>
      <c r="F3450" s="1405">
        <v>16.91</v>
      </c>
      <c r="G3450" s="1405">
        <v>16.91</v>
      </c>
      <c r="H3450" t="b">
        <f t="shared" si="107"/>
        <v>1</v>
      </c>
    </row>
    <row r="3451" spans="1:8">
      <c r="A3451" s="739">
        <v>4889</v>
      </c>
      <c r="B3451" s="740" t="s">
        <v>11823</v>
      </c>
      <c r="C3451" s="739" t="s">
        <v>1690</v>
      </c>
      <c r="D3451" s="741">
        <f t="shared" si="106"/>
        <v>4.5199999999999996</v>
      </c>
      <c r="F3451" s="1406">
        <v>4.5199999999999996</v>
      </c>
      <c r="G3451" s="1406">
        <v>4.5199999999999996</v>
      </c>
      <c r="H3451" t="b">
        <f t="shared" si="107"/>
        <v>1</v>
      </c>
    </row>
    <row r="3452" spans="1:8">
      <c r="A3452" s="677">
        <v>4892</v>
      </c>
      <c r="B3452" s="733" t="s">
        <v>11824</v>
      </c>
      <c r="C3452" s="677" t="s">
        <v>1690</v>
      </c>
      <c r="D3452" s="738">
        <f t="shared" si="106"/>
        <v>47.37</v>
      </c>
      <c r="F3452" s="1405">
        <v>47.37</v>
      </c>
      <c r="G3452" s="1405">
        <v>47.37</v>
      </c>
      <c r="H3452" t="b">
        <f t="shared" si="107"/>
        <v>1</v>
      </c>
    </row>
    <row r="3453" spans="1:8">
      <c r="A3453" s="739">
        <v>12412</v>
      </c>
      <c r="B3453" s="740" t="s">
        <v>11825</v>
      </c>
      <c r="C3453" s="739" t="s">
        <v>1690</v>
      </c>
      <c r="D3453" s="741">
        <f t="shared" si="106"/>
        <v>88.04</v>
      </c>
      <c r="F3453" s="1406">
        <v>88.04</v>
      </c>
      <c r="G3453" s="1406">
        <v>88.04</v>
      </c>
      <c r="H3453" t="b">
        <f t="shared" si="107"/>
        <v>1</v>
      </c>
    </row>
    <row r="3454" spans="1:8">
      <c r="A3454" s="677">
        <v>4907</v>
      </c>
      <c r="B3454" s="733" t="s">
        <v>11826</v>
      </c>
      <c r="C3454" s="677" t="s">
        <v>1690</v>
      </c>
      <c r="D3454" s="738">
        <f t="shared" si="106"/>
        <v>20.6</v>
      </c>
      <c r="F3454" s="1405">
        <v>20.6</v>
      </c>
      <c r="G3454" s="1405">
        <v>20.6</v>
      </c>
      <c r="H3454" t="b">
        <f t="shared" si="107"/>
        <v>1</v>
      </c>
    </row>
    <row r="3455" spans="1:8">
      <c r="A3455" s="739">
        <v>4902</v>
      </c>
      <c r="B3455" s="740" t="s">
        <v>11827</v>
      </c>
      <c r="C3455" s="739" t="s">
        <v>1690</v>
      </c>
      <c r="D3455" s="741">
        <f t="shared" si="106"/>
        <v>53.44</v>
      </c>
      <c r="F3455" s="1406">
        <v>53.44</v>
      </c>
      <c r="G3455" s="1406">
        <v>53.44</v>
      </c>
      <c r="H3455" t="b">
        <f t="shared" si="107"/>
        <v>1</v>
      </c>
    </row>
    <row r="3456" spans="1:8">
      <c r="A3456" s="677">
        <v>11096</v>
      </c>
      <c r="B3456" s="733" t="s">
        <v>11828</v>
      </c>
      <c r="C3456" s="677" t="s">
        <v>1694</v>
      </c>
      <c r="D3456" s="738">
        <f t="shared" si="106"/>
        <v>1.98</v>
      </c>
      <c r="F3456" s="1405">
        <v>1.98</v>
      </c>
      <c r="G3456" s="1405">
        <v>1.98</v>
      </c>
      <c r="H3456" t="b">
        <f t="shared" si="107"/>
        <v>1</v>
      </c>
    </row>
    <row r="3457" spans="1:8">
      <c r="A3457" s="739">
        <v>4741</v>
      </c>
      <c r="B3457" s="740" t="s">
        <v>11829</v>
      </c>
      <c r="C3457" s="739" t="s">
        <v>1691</v>
      </c>
      <c r="D3457" s="741">
        <f t="shared" si="106"/>
        <v>136.25</v>
      </c>
      <c r="F3457" s="1406">
        <v>136.25</v>
      </c>
      <c r="G3457" s="1406">
        <v>136.25</v>
      </c>
      <c r="H3457" t="b">
        <f t="shared" si="107"/>
        <v>1</v>
      </c>
    </row>
    <row r="3458" spans="1:8">
      <c r="A3458" s="677">
        <v>4752</v>
      </c>
      <c r="B3458" s="733" t="s">
        <v>11830</v>
      </c>
      <c r="C3458" s="677" t="s">
        <v>1689</v>
      </c>
      <c r="D3458" s="738">
        <f t="shared" si="106"/>
        <v>16.34</v>
      </c>
      <c r="F3458" s="1405">
        <v>14.19</v>
      </c>
      <c r="G3458" s="1405">
        <v>16.34</v>
      </c>
      <c r="H3458" t="b">
        <f t="shared" si="107"/>
        <v>0</v>
      </c>
    </row>
    <row r="3459" spans="1:8">
      <c r="A3459" s="739">
        <v>41091</v>
      </c>
      <c r="B3459" s="740" t="s">
        <v>11831</v>
      </c>
      <c r="C3459" s="739" t="s">
        <v>1696</v>
      </c>
      <c r="D3459" s="741">
        <f t="shared" ref="D3459:D3522" si="108">IF($J$2=$F$1,F3459,G3459)</f>
        <v>2878.24</v>
      </c>
      <c r="F3459" s="1406">
        <v>2496.27</v>
      </c>
      <c r="G3459" s="1406">
        <v>2878.24</v>
      </c>
      <c r="H3459" t="b">
        <f t="shared" ref="H3459:H3522" si="109">F3459=G3459</f>
        <v>0</v>
      </c>
    </row>
    <row r="3460" spans="1:8">
      <c r="A3460" s="677">
        <v>13954</v>
      </c>
      <c r="B3460" s="733" t="s">
        <v>11832</v>
      </c>
      <c r="C3460" s="677" t="s">
        <v>1690</v>
      </c>
      <c r="D3460" s="738">
        <f t="shared" si="108"/>
        <v>6768.76</v>
      </c>
      <c r="F3460" s="1405">
        <v>6768.76</v>
      </c>
      <c r="G3460" s="1405">
        <v>6768.76</v>
      </c>
      <c r="H3460" t="b">
        <f t="shared" si="109"/>
        <v>1</v>
      </c>
    </row>
    <row r="3461" spans="1:8">
      <c r="A3461" s="739">
        <v>3411</v>
      </c>
      <c r="B3461" s="740" t="s">
        <v>11833</v>
      </c>
      <c r="C3461" s="739" t="s">
        <v>1694</v>
      </c>
      <c r="D3461" s="741">
        <f t="shared" si="108"/>
        <v>76.28</v>
      </c>
      <c r="F3461" s="1406">
        <v>76.28</v>
      </c>
      <c r="G3461" s="1406">
        <v>76.28</v>
      </c>
      <c r="H3461" t="b">
        <f t="shared" si="109"/>
        <v>1</v>
      </c>
    </row>
    <row r="3462" spans="1:8">
      <c r="A3462" s="677">
        <v>39995</v>
      </c>
      <c r="B3462" s="733" t="s">
        <v>11834</v>
      </c>
      <c r="C3462" s="677" t="s">
        <v>1691</v>
      </c>
      <c r="D3462" s="738">
        <f t="shared" si="108"/>
        <v>586.86</v>
      </c>
      <c r="F3462" s="1405">
        <v>586.86</v>
      </c>
      <c r="G3462" s="1405">
        <v>586.86</v>
      </c>
      <c r="H3462" t="b">
        <f t="shared" si="109"/>
        <v>1</v>
      </c>
    </row>
    <row r="3463" spans="1:8">
      <c r="A3463" s="739">
        <v>11615</v>
      </c>
      <c r="B3463" s="740" t="s">
        <v>11835</v>
      </c>
      <c r="C3463" s="739" t="s">
        <v>1692</v>
      </c>
      <c r="D3463" s="741">
        <f t="shared" si="108"/>
        <v>4.9800000000000004</v>
      </c>
      <c r="F3463" s="1406">
        <v>4.9800000000000004</v>
      </c>
      <c r="G3463" s="1406">
        <v>4.9800000000000004</v>
      </c>
      <c r="H3463" t="b">
        <f t="shared" si="109"/>
        <v>1</v>
      </c>
    </row>
    <row r="3464" spans="1:8">
      <c r="A3464" s="677">
        <v>3408</v>
      </c>
      <c r="B3464" s="733" t="s">
        <v>11836</v>
      </c>
      <c r="C3464" s="677" t="s">
        <v>1692</v>
      </c>
      <c r="D3464" s="738">
        <f t="shared" si="108"/>
        <v>13.22</v>
      </c>
      <c r="F3464" s="1405">
        <v>13.22</v>
      </c>
      <c r="G3464" s="1405">
        <v>13.22</v>
      </c>
      <c r="H3464" t="b">
        <f t="shared" si="109"/>
        <v>1</v>
      </c>
    </row>
    <row r="3465" spans="1:8">
      <c r="A3465" s="739">
        <v>3409</v>
      </c>
      <c r="B3465" s="740" t="s">
        <v>11837</v>
      </c>
      <c r="C3465" s="739" t="s">
        <v>1692</v>
      </c>
      <c r="D3465" s="741">
        <f t="shared" si="108"/>
        <v>33.049999999999997</v>
      </c>
      <c r="F3465" s="1406">
        <v>33.049999999999997</v>
      </c>
      <c r="G3465" s="1406">
        <v>33.049999999999997</v>
      </c>
      <c r="H3465" t="b">
        <f t="shared" si="109"/>
        <v>1</v>
      </c>
    </row>
    <row r="3466" spans="1:8">
      <c r="A3466" s="677">
        <v>11427</v>
      </c>
      <c r="B3466" s="733" t="s">
        <v>11838</v>
      </c>
      <c r="C3466" s="677" t="s">
        <v>1694</v>
      </c>
      <c r="D3466" s="738">
        <f t="shared" si="108"/>
        <v>105.86</v>
      </c>
      <c r="F3466" s="1405">
        <v>105.86</v>
      </c>
      <c r="G3466" s="1405">
        <v>105.86</v>
      </c>
      <c r="H3466" t="b">
        <f t="shared" si="109"/>
        <v>1</v>
      </c>
    </row>
    <row r="3467" spans="1:8">
      <c r="A3467" s="739">
        <v>4491</v>
      </c>
      <c r="B3467" s="740" t="s">
        <v>11839</v>
      </c>
      <c r="C3467" s="739" t="s">
        <v>1693</v>
      </c>
      <c r="D3467" s="741">
        <f t="shared" si="108"/>
        <v>11.2</v>
      </c>
      <c r="F3467" s="1406">
        <v>11.2</v>
      </c>
      <c r="G3467" s="1406">
        <v>11.2</v>
      </c>
      <c r="H3467" t="b">
        <f t="shared" si="109"/>
        <v>1</v>
      </c>
    </row>
    <row r="3468" spans="1:8" ht="30">
      <c r="A3468" s="677">
        <v>2745</v>
      </c>
      <c r="B3468" s="733" t="s">
        <v>11840</v>
      </c>
      <c r="C3468" s="677" t="s">
        <v>1693</v>
      </c>
      <c r="D3468" s="738">
        <f t="shared" si="108"/>
        <v>4.6500000000000004</v>
      </c>
      <c r="F3468" s="1405">
        <v>4.6500000000000004</v>
      </c>
      <c r="G3468" s="1405">
        <v>4.6500000000000004</v>
      </c>
      <c r="H3468" t="b">
        <f t="shared" si="109"/>
        <v>1</v>
      </c>
    </row>
    <row r="3469" spans="1:8" ht="30">
      <c r="A3469" s="739">
        <v>14439</v>
      </c>
      <c r="B3469" s="740" t="s">
        <v>11841</v>
      </c>
      <c r="C3469" s="739" t="s">
        <v>1693</v>
      </c>
      <c r="D3469" s="741">
        <f t="shared" si="108"/>
        <v>5.77</v>
      </c>
      <c r="F3469" s="1406">
        <v>5.77</v>
      </c>
      <c r="G3469" s="1406">
        <v>5.77</v>
      </c>
      <c r="H3469" t="b">
        <f t="shared" si="109"/>
        <v>1</v>
      </c>
    </row>
    <row r="3470" spans="1:8">
      <c r="A3470" s="677">
        <v>44496</v>
      </c>
      <c r="B3470" s="733" t="s">
        <v>11842</v>
      </c>
      <c r="C3470" s="677" t="s">
        <v>1690</v>
      </c>
      <c r="D3470" s="738">
        <f t="shared" si="108"/>
        <v>252.17</v>
      </c>
      <c r="F3470" s="1405">
        <v>252.17</v>
      </c>
      <c r="G3470" s="1405">
        <v>252.17</v>
      </c>
      <c r="H3470" t="b">
        <f t="shared" si="109"/>
        <v>1</v>
      </c>
    </row>
    <row r="3471" spans="1:8">
      <c r="A3471" s="739">
        <v>12362</v>
      </c>
      <c r="B3471" s="740" t="s">
        <v>11843</v>
      </c>
      <c r="C3471" s="739" t="s">
        <v>1690</v>
      </c>
      <c r="D3471" s="741">
        <f t="shared" si="108"/>
        <v>22.14</v>
      </c>
      <c r="F3471" s="1406">
        <v>22.14</v>
      </c>
      <c r="G3471" s="1406">
        <v>22.14</v>
      </c>
      <c r="H3471" t="b">
        <f t="shared" si="109"/>
        <v>1</v>
      </c>
    </row>
    <row r="3472" spans="1:8">
      <c r="A3472" s="677">
        <v>421</v>
      </c>
      <c r="B3472" s="733" t="s">
        <v>11844</v>
      </c>
      <c r="C3472" s="677" t="s">
        <v>1690</v>
      </c>
      <c r="D3472" s="738">
        <f t="shared" si="108"/>
        <v>23.07</v>
      </c>
      <c r="F3472" s="1405">
        <v>23.07</v>
      </c>
      <c r="G3472" s="1405">
        <v>23.07</v>
      </c>
      <c r="H3472" t="b">
        <f t="shared" si="109"/>
        <v>1</v>
      </c>
    </row>
    <row r="3473" spans="1:8">
      <c r="A3473" s="739">
        <v>14148</v>
      </c>
      <c r="B3473" s="740" t="s">
        <v>11845</v>
      </c>
      <c r="C3473" s="739" t="s">
        <v>1690</v>
      </c>
      <c r="D3473" s="741">
        <f t="shared" si="108"/>
        <v>0.91</v>
      </c>
      <c r="F3473" s="1406">
        <v>0.91</v>
      </c>
      <c r="G3473" s="1406">
        <v>0.91</v>
      </c>
      <c r="H3473" t="b">
        <f t="shared" si="109"/>
        <v>1</v>
      </c>
    </row>
    <row r="3474" spans="1:8">
      <c r="A3474" s="677">
        <v>4341</v>
      </c>
      <c r="B3474" s="733" t="s">
        <v>11846</v>
      </c>
      <c r="C3474" s="677" t="s">
        <v>1690</v>
      </c>
      <c r="D3474" s="738">
        <f t="shared" si="108"/>
        <v>1</v>
      </c>
      <c r="F3474" s="1405">
        <v>1</v>
      </c>
      <c r="G3474" s="1405">
        <v>1</v>
      </c>
      <c r="H3474" t="b">
        <f t="shared" si="109"/>
        <v>1</v>
      </c>
    </row>
    <row r="3475" spans="1:8">
      <c r="A3475" s="739">
        <v>4337</v>
      </c>
      <c r="B3475" s="740" t="s">
        <v>11847</v>
      </c>
      <c r="C3475" s="739" t="s">
        <v>1690</v>
      </c>
      <c r="D3475" s="741">
        <f t="shared" si="108"/>
        <v>2.54</v>
      </c>
      <c r="F3475" s="1406">
        <v>2.54</v>
      </c>
      <c r="G3475" s="1406">
        <v>2.54</v>
      </c>
      <c r="H3475" t="b">
        <f t="shared" si="109"/>
        <v>1</v>
      </c>
    </row>
    <row r="3476" spans="1:8">
      <c r="A3476" s="677">
        <v>4339</v>
      </c>
      <c r="B3476" s="733" t="s">
        <v>11848</v>
      </c>
      <c r="C3476" s="677" t="s">
        <v>1690</v>
      </c>
      <c r="D3476" s="738">
        <f t="shared" si="108"/>
        <v>0.54</v>
      </c>
      <c r="F3476" s="1405">
        <v>0.54</v>
      </c>
      <c r="G3476" s="1405">
        <v>0.54</v>
      </c>
      <c r="H3476" t="b">
        <f t="shared" si="109"/>
        <v>1</v>
      </c>
    </row>
    <row r="3477" spans="1:8">
      <c r="A3477" s="739">
        <v>39997</v>
      </c>
      <c r="B3477" s="740" t="s">
        <v>11849</v>
      </c>
      <c r="C3477" s="739" t="s">
        <v>1690</v>
      </c>
      <c r="D3477" s="741">
        <f t="shared" si="108"/>
        <v>0.3</v>
      </c>
      <c r="F3477" s="1406">
        <v>0.3</v>
      </c>
      <c r="G3477" s="1406">
        <v>0.3</v>
      </c>
      <c r="H3477" t="b">
        <f t="shared" si="109"/>
        <v>1</v>
      </c>
    </row>
    <row r="3478" spans="1:8">
      <c r="A3478" s="677">
        <v>11971</v>
      </c>
      <c r="B3478" s="733" t="s">
        <v>11850</v>
      </c>
      <c r="C3478" s="677" t="s">
        <v>1690</v>
      </c>
      <c r="D3478" s="738">
        <f t="shared" si="108"/>
        <v>4.2</v>
      </c>
      <c r="F3478" s="1405">
        <v>4.2</v>
      </c>
      <c r="G3478" s="1405">
        <v>4.2</v>
      </c>
      <c r="H3478" t="b">
        <f t="shared" si="109"/>
        <v>1</v>
      </c>
    </row>
    <row r="3479" spans="1:8">
      <c r="A3479" s="739">
        <v>4342</v>
      </c>
      <c r="B3479" s="740" t="s">
        <v>11851</v>
      </c>
      <c r="C3479" s="739" t="s">
        <v>1690</v>
      </c>
      <c r="D3479" s="741">
        <f t="shared" si="108"/>
        <v>0.22</v>
      </c>
      <c r="F3479" s="1406">
        <v>0.22</v>
      </c>
      <c r="G3479" s="1406">
        <v>0.22</v>
      </c>
      <c r="H3479" t="b">
        <f t="shared" si="109"/>
        <v>1</v>
      </c>
    </row>
    <row r="3480" spans="1:8">
      <c r="A3480" s="677">
        <v>4330</v>
      </c>
      <c r="B3480" s="733" t="s">
        <v>11852</v>
      </c>
      <c r="C3480" s="677" t="s">
        <v>1690</v>
      </c>
      <c r="D3480" s="738">
        <f t="shared" si="108"/>
        <v>0.14000000000000001</v>
      </c>
      <c r="F3480" s="1405">
        <v>0.14000000000000001</v>
      </c>
      <c r="G3480" s="1405">
        <v>0.14000000000000001</v>
      </c>
      <c r="H3480" t="b">
        <f t="shared" si="109"/>
        <v>1</v>
      </c>
    </row>
    <row r="3481" spans="1:8">
      <c r="A3481" s="739">
        <v>4340</v>
      </c>
      <c r="B3481" s="740" t="s">
        <v>11853</v>
      </c>
      <c r="C3481" s="739" t="s">
        <v>1690</v>
      </c>
      <c r="D3481" s="741">
        <f t="shared" si="108"/>
        <v>1.17</v>
      </c>
      <c r="F3481" s="1406">
        <v>1.17</v>
      </c>
      <c r="G3481" s="1406">
        <v>1.17</v>
      </c>
      <c r="H3481" t="b">
        <f t="shared" si="109"/>
        <v>1</v>
      </c>
    </row>
    <row r="3482" spans="1:8">
      <c r="A3482" s="677">
        <v>5088</v>
      </c>
      <c r="B3482" s="733" t="s">
        <v>11854</v>
      </c>
      <c r="C3482" s="677" t="s">
        <v>1690</v>
      </c>
      <c r="D3482" s="738">
        <f t="shared" si="108"/>
        <v>7.67</v>
      </c>
      <c r="F3482" s="1405">
        <v>7.67</v>
      </c>
      <c r="G3482" s="1405">
        <v>7.67</v>
      </c>
      <c r="H3482" t="b">
        <f t="shared" si="109"/>
        <v>1</v>
      </c>
    </row>
    <row r="3483" spans="1:8" ht="30">
      <c r="A3483" s="739">
        <v>11154</v>
      </c>
      <c r="B3483" s="740" t="s">
        <v>14015</v>
      </c>
      <c r="C3483" s="739" t="s">
        <v>1690</v>
      </c>
      <c r="D3483" s="741">
        <f t="shared" si="108"/>
        <v>1802.69</v>
      </c>
      <c r="F3483" s="1406">
        <v>1802.69</v>
      </c>
      <c r="G3483" s="1406">
        <v>1802.69</v>
      </c>
      <c r="H3483" t="b">
        <f t="shared" si="109"/>
        <v>1</v>
      </c>
    </row>
    <row r="3484" spans="1:8" ht="30">
      <c r="A3484" s="677">
        <v>4989</v>
      </c>
      <c r="B3484" s="733" t="s">
        <v>11855</v>
      </c>
      <c r="C3484" s="677" t="s">
        <v>1690</v>
      </c>
      <c r="D3484" s="738">
        <f t="shared" si="108"/>
        <v>363.32</v>
      </c>
      <c r="F3484" s="1405">
        <v>363.32</v>
      </c>
      <c r="G3484" s="1405">
        <v>363.32</v>
      </c>
      <c r="H3484" t="b">
        <f t="shared" si="109"/>
        <v>1</v>
      </c>
    </row>
    <row r="3485" spans="1:8" ht="30">
      <c r="A3485" s="739">
        <v>4982</v>
      </c>
      <c r="B3485" s="740" t="s">
        <v>11856</v>
      </c>
      <c r="C3485" s="739" t="s">
        <v>1690</v>
      </c>
      <c r="D3485" s="741">
        <f t="shared" si="108"/>
        <v>340.77</v>
      </c>
      <c r="F3485" s="1406">
        <v>340.77</v>
      </c>
      <c r="G3485" s="1406">
        <v>340.77</v>
      </c>
      <c r="H3485" t="b">
        <f t="shared" si="109"/>
        <v>1</v>
      </c>
    </row>
    <row r="3486" spans="1:8" ht="30">
      <c r="A3486" s="677">
        <v>4962</v>
      </c>
      <c r="B3486" s="733" t="s">
        <v>11857</v>
      </c>
      <c r="C3486" s="677" t="s">
        <v>1690</v>
      </c>
      <c r="D3486" s="738">
        <f t="shared" si="108"/>
        <v>268.74</v>
      </c>
      <c r="F3486" s="1405">
        <v>268.74</v>
      </c>
      <c r="G3486" s="1405">
        <v>268.74</v>
      </c>
      <c r="H3486" t="b">
        <f t="shared" si="109"/>
        <v>1</v>
      </c>
    </row>
    <row r="3487" spans="1:8" ht="30">
      <c r="A3487" s="739">
        <v>4981</v>
      </c>
      <c r="B3487" s="740" t="s">
        <v>11858</v>
      </c>
      <c r="C3487" s="739" t="s">
        <v>1690</v>
      </c>
      <c r="D3487" s="741">
        <f t="shared" si="108"/>
        <v>239.25</v>
      </c>
      <c r="F3487" s="1406">
        <v>239.25</v>
      </c>
      <c r="G3487" s="1406">
        <v>239.25</v>
      </c>
      <c r="H3487" t="b">
        <f t="shared" si="109"/>
        <v>1</v>
      </c>
    </row>
    <row r="3488" spans="1:8" ht="30">
      <c r="A3488" s="677">
        <v>4964</v>
      </c>
      <c r="B3488" s="733" t="s">
        <v>11859</v>
      </c>
      <c r="C3488" s="677" t="s">
        <v>1690</v>
      </c>
      <c r="D3488" s="738">
        <f t="shared" si="108"/>
        <v>303.52</v>
      </c>
      <c r="F3488" s="1405">
        <v>303.52</v>
      </c>
      <c r="G3488" s="1405">
        <v>303.52</v>
      </c>
      <c r="H3488" t="b">
        <f t="shared" si="109"/>
        <v>1</v>
      </c>
    </row>
    <row r="3489" spans="1:8" ht="30">
      <c r="A3489" s="739">
        <v>4992</v>
      </c>
      <c r="B3489" s="740" t="s">
        <v>11860</v>
      </c>
      <c r="C3489" s="739" t="s">
        <v>1690</v>
      </c>
      <c r="D3489" s="741">
        <f t="shared" si="108"/>
        <v>296.48</v>
      </c>
      <c r="F3489" s="1406">
        <v>296.48</v>
      </c>
      <c r="G3489" s="1406">
        <v>296.48</v>
      </c>
      <c r="H3489" t="b">
        <f t="shared" si="109"/>
        <v>1</v>
      </c>
    </row>
    <row r="3490" spans="1:8" ht="30">
      <c r="A3490" s="677">
        <v>4987</v>
      </c>
      <c r="B3490" s="733" t="s">
        <v>11861</v>
      </c>
      <c r="C3490" s="677" t="s">
        <v>1690</v>
      </c>
      <c r="D3490" s="738">
        <f t="shared" si="108"/>
        <v>339.2</v>
      </c>
      <c r="F3490" s="1405">
        <v>339.2</v>
      </c>
      <c r="G3490" s="1405">
        <v>339.2</v>
      </c>
      <c r="H3490" t="b">
        <f t="shared" si="109"/>
        <v>1</v>
      </c>
    </row>
    <row r="3491" spans="1:8" ht="30">
      <c r="A3491" s="739">
        <v>4930</v>
      </c>
      <c r="B3491" s="740" t="s">
        <v>11862</v>
      </c>
      <c r="C3491" s="739" t="s">
        <v>1692</v>
      </c>
      <c r="D3491" s="741">
        <f t="shared" si="108"/>
        <v>763.56</v>
      </c>
      <c r="F3491" s="1406">
        <v>763.56</v>
      </c>
      <c r="G3491" s="1406">
        <v>763.56</v>
      </c>
      <c r="H3491" t="b">
        <f t="shared" si="109"/>
        <v>1</v>
      </c>
    </row>
    <row r="3492" spans="1:8" ht="30">
      <c r="A3492" s="677">
        <v>39021</v>
      </c>
      <c r="B3492" s="733" t="s">
        <v>11863</v>
      </c>
      <c r="C3492" s="677" t="s">
        <v>1690</v>
      </c>
      <c r="D3492" s="738">
        <f t="shared" si="108"/>
        <v>811.85</v>
      </c>
      <c r="F3492" s="1405">
        <v>811.85</v>
      </c>
      <c r="G3492" s="1405">
        <v>811.85</v>
      </c>
      <c r="H3492" t="b">
        <f t="shared" si="109"/>
        <v>1</v>
      </c>
    </row>
    <row r="3493" spans="1:8" ht="30">
      <c r="A3493" s="739">
        <v>39022</v>
      </c>
      <c r="B3493" s="740" t="s">
        <v>11864</v>
      </c>
      <c r="C3493" s="739" t="s">
        <v>1690</v>
      </c>
      <c r="D3493" s="741">
        <f t="shared" si="108"/>
        <v>727.2</v>
      </c>
      <c r="F3493" s="1406">
        <v>727.2</v>
      </c>
      <c r="G3493" s="1406">
        <v>727.2</v>
      </c>
      <c r="H3493" t="b">
        <f t="shared" si="109"/>
        <v>1</v>
      </c>
    </row>
    <row r="3494" spans="1:8" ht="30">
      <c r="A3494" s="677">
        <v>39024</v>
      </c>
      <c r="B3494" s="733" t="s">
        <v>11865</v>
      </c>
      <c r="C3494" s="677" t="s">
        <v>1690</v>
      </c>
      <c r="D3494" s="738">
        <f t="shared" si="108"/>
        <v>765.23</v>
      </c>
      <c r="F3494" s="1405">
        <v>765.23</v>
      </c>
      <c r="G3494" s="1405">
        <v>765.23</v>
      </c>
      <c r="H3494" t="b">
        <f t="shared" si="109"/>
        <v>1</v>
      </c>
    </row>
    <row r="3495" spans="1:8" ht="30">
      <c r="A3495" s="739">
        <v>4914</v>
      </c>
      <c r="B3495" s="740" t="s">
        <v>11866</v>
      </c>
      <c r="C3495" s="739" t="s">
        <v>1692</v>
      </c>
      <c r="D3495" s="741">
        <f t="shared" si="108"/>
        <v>620.47</v>
      </c>
      <c r="F3495" s="1406">
        <v>620.47</v>
      </c>
      <c r="G3495" s="1406">
        <v>620.47</v>
      </c>
      <c r="H3495" t="b">
        <f t="shared" si="109"/>
        <v>1</v>
      </c>
    </row>
    <row r="3496" spans="1:8">
      <c r="A3496" s="677">
        <v>4917</v>
      </c>
      <c r="B3496" s="733" t="s">
        <v>11867</v>
      </c>
      <c r="C3496" s="677" t="s">
        <v>1692</v>
      </c>
      <c r="D3496" s="738">
        <f t="shared" si="108"/>
        <v>428.5</v>
      </c>
      <c r="F3496" s="1405">
        <v>428.5</v>
      </c>
      <c r="G3496" s="1405">
        <v>428.5</v>
      </c>
      <c r="H3496" t="b">
        <f t="shared" si="109"/>
        <v>1</v>
      </c>
    </row>
    <row r="3497" spans="1:8" ht="30">
      <c r="A3497" s="739">
        <v>39025</v>
      </c>
      <c r="B3497" s="740" t="s">
        <v>11868</v>
      </c>
      <c r="C3497" s="739" t="s">
        <v>1690</v>
      </c>
      <c r="D3497" s="741">
        <f t="shared" si="108"/>
        <v>784.66</v>
      </c>
      <c r="F3497" s="1406">
        <v>784.66</v>
      </c>
      <c r="G3497" s="1406">
        <v>784.66</v>
      </c>
      <c r="H3497" t="b">
        <f t="shared" si="109"/>
        <v>1</v>
      </c>
    </row>
    <row r="3498" spans="1:8" ht="30">
      <c r="A3498" s="677">
        <v>4922</v>
      </c>
      <c r="B3498" s="733" t="s">
        <v>11869</v>
      </c>
      <c r="C3498" s="677" t="s">
        <v>1692</v>
      </c>
      <c r="D3498" s="738">
        <f t="shared" si="108"/>
        <v>397.47</v>
      </c>
      <c r="F3498" s="1405">
        <v>397.47</v>
      </c>
      <c r="G3498" s="1405">
        <v>397.47</v>
      </c>
      <c r="H3498" t="b">
        <f t="shared" si="109"/>
        <v>1</v>
      </c>
    </row>
    <row r="3499" spans="1:8" ht="30">
      <c r="A3499" s="739">
        <v>4911</v>
      </c>
      <c r="B3499" s="740" t="s">
        <v>11870</v>
      </c>
      <c r="C3499" s="739" t="s">
        <v>1692</v>
      </c>
      <c r="D3499" s="741">
        <f t="shared" si="108"/>
        <v>406.28</v>
      </c>
      <c r="F3499" s="1406">
        <v>406.28</v>
      </c>
      <c r="G3499" s="1406">
        <v>406.28</v>
      </c>
      <c r="H3499" t="b">
        <f t="shared" si="109"/>
        <v>1</v>
      </c>
    </row>
    <row r="3500" spans="1:8" ht="30">
      <c r="A3500" s="677">
        <v>37518</v>
      </c>
      <c r="B3500" s="733" t="s">
        <v>11871</v>
      </c>
      <c r="C3500" s="677" t="s">
        <v>1692</v>
      </c>
      <c r="D3500" s="738">
        <f t="shared" si="108"/>
        <v>660.2</v>
      </c>
      <c r="F3500" s="1405">
        <v>660.2</v>
      </c>
      <c r="G3500" s="1405">
        <v>660.2</v>
      </c>
      <c r="H3500" t="b">
        <f t="shared" si="109"/>
        <v>1</v>
      </c>
    </row>
    <row r="3501" spans="1:8" ht="30">
      <c r="A3501" s="739">
        <v>4910</v>
      </c>
      <c r="B3501" s="740" t="s">
        <v>11872</v>
      </c>
      <c r="C3501" s="739" t="s">
        <v>1692</v>
      </c>
      <c r="D3501" s="741">
        <f t="shared" si="108"/>
        <v>556.55999999999995</v>
      </c>
      <c r="F3501" s="1406">
        <v>556.55999999999995</v>
      </c>
      <c r="G3501" s="1406">
        <v>556.55999999999995</v>
      </c>
      <c r="H3501" t="b">
        <f t="shared" si="109"/>
        <v>1</v>
      </c>
    </row>
    <row r="3502" spans="1:8" ht="30">
      <c r="A3502" s="677">
        <v>4943</v>
      </c>
      <c r="B3502" s="733" t="s">
        <v>11873</v>
      </c>
      <c r="C3502" s="677" t="s">
        <v>1692</v>
      </c>
      <c r="D3502" s="738">
        <f t="shared" si="108"/>
        <v>829.14</v>
      </c>
      <c r="F3502" s="1405">
        <v>829.14</v>
      </c>
      <c r="G3502" s="1405">
        <v>829.14</v>
      </c>
      <c r="H3502" t="b">
        <f t="shared" si="109"/>
        <v>1</v>
      </c>
    </row>
    <row r="3503" spans="1:8">
      <c r="A3503" s="739">
        <v>5002</v>
      </c>
      <c r="B3503" s="740" t="s">
        <v>11874</v>
      </c>
      <c r="C3503" s="739" t="s">
        <v>1692</v>
      </c>
      <c r="D3503" s="741">
        <f t="shared" si="108"/>
        <v>477.42</v>
      </c>
      <c r="F3503" s="1406">
        <v>477.42</v>
      </c>
      <c r="G3503" s="1406">
        <v>477.42</v>
      </c>
      <c r="H3503" t="b">
        <f t="shared" si="109"/>
        <v>1</v>
      </c>
    </row>
    <row r="3504" spans="1:8">
      <c r="A3504" s="677">
        <v>4977</v>
      </c>
      <c r="B3504" s="733" t="s">
        <v>11875</v>
      </c>
      <c r="C3504" s="677" t="s">
        <v>1692</v>
      </c>
      <c r="D3504" s="738">
        <f t="shared" si="108"/>
        <v>322.27999999999997</v>
      </c>
      <c r="F3504" s="1405">
        <v>322.27999999999997</v>
      </c>
      <c r="G3504" s="1405">
        <v>322.27999999999997</v>
      </c>
      <c r="H3504" t="b">
        <f t="shared" si="109"/>
        <v>1</v>
      </c>
    </row>
    <row r="3505" spans="1:8">
      <c r="A3505" s="739">
        <v>5028</v>
      </c>
      <c r="B3505" s="740" t="s">
        <v>11876</v>
      </c>
      <c r="C3505" s="739" t="s">
        <v>1692</v>
      </c>
      <c r="D3505" s="741">
        <f t="shared" si="108"/>
        <v>788.56</v>
      </c>
      <c r="F3505" s="1406">
        <v>788.56</v>
      </c>
      <c r="G3505" s="1406">
        <v>788.56</v>
      </c>
      <c r="H3505" t="b">
        <f t="shared" si="109"/>
        <v>1</v>
      </c>
    </row>
    <row r="3506" spans="1:8">
      <c r="A3506" s="677">
        <v>4998</v>
      </c>
      <c r="B3506" s="733" t="s">
        <v>11877</v>
      </c>
      <c r="C3506" s="677" t="s">
        <v>1692</v>
      </c>
      <c r="D3506" s="738">
        <f t="shared" si="108"/>
        <v>654.91999999999996</v>
      </c>
      <c r="F3506" s="1405">
        <v>654.91999999999996</v>
      </c>
      <c r="G3506" s="1405">
        <v>654.91999999999996</v>
      </c>
      <c r="H3506" t="b">
        <f t="shared" si="109"/>
        <v>1</v>
      </c>
    </row>
    <row r="3507" spans="1:8">
      <c r="A3507" s="739">
        <v>4969</v>
      </c>
      <c r="B3507" s="740" t="s">
        <v>11878</v>
      </c>
      <c r="C3507" s="739" t="s">
        <v>1692</v>
      </c>
      <c r="D3507" s="741">
        <f t="shared" si="108"/>
        <v>455.8</v>
      </c>
      <c r="F3507" s="1406">
        <v>455.8</v>
      </c>
      <c r="G3507" s="1406">
        <v>455.8</v>
      </c>
      <c r="H3507" t="b">
        <f t="shared" si="109"/>
        <v>1</v>
      </c>
    </row>
    <row r="3508" spans="1:8" ht="30">
      <c r="A3508" s="677">
        <v>11364</v>
      </c>
      <c r="B3508" s="733" t="s">
        <v>11879</v>
      </c>
      <c r="C3508" s="677" t="s">
        <v>1690</v>
      </c>
      <c r="D3508" s="738">
        <f t="shared" si="108"/>
        <v>205.54</v>
      </c>
      <c r="F3508" s="1405">
        <v>205.54</v>
      </c>
      <c r="G3508" s="1405">
        <v>205.54</v>
      </c>
      <c r="H3508" t="b">
        <f t="shared" si="109"/>
        <v>1</v>
      </c>
    </row>
    <row r="3509" spans="1:8" ht="30">
      <c r="A3509" s="739">
        <v>11365</v>
      </c>
      <c r="B3509" s="740" t="s">
        <v>11880</v>
      </c>
      <c r="C3509" s="739" t="s">
        <v>1690</v>
      </c>
      <c r="D3509" s="741">
        <f t="shared" si="108"/>
        <v>213.29</v>
      </c>
      <c r="F3509" s="1406">
        <v>213.29</v>
      </c>
      <c r="G3509" s="1406">
        <v>213.29</v>
      </c>
      <c r="H3509" t="b">
        <f t="shared" si="109"/>
        <v>1</v>
      </c>
    </row>
    <row r="3510" spans="1:8" ht="30">
      <c r="A3510" s="677">
        <v>11366</v>
      </c>
      <c r="B3510" s="733" t="s">
        <v>11881</v>
      </c>
      <c r="C3510" s="677" t="s">
        <v>1690</v>
      </c>
      <c r="D3510" s="738">
        <f t="shared" si="108"/>
        <v>226.73</v>
      </c>
      <c r="F3510" s="1405">
        <v>226.73</v>
      </c>
      <c r="G3510" s="1405">
        <v>226.73</v>
      </c>
      <c r="H3510" t="b">
        <f t="shared" si="109"/>
        <v>1</v>
      </c>
    </row>
    <row r="3511" spans="1:8" ht="30">
      <c r="A3511" s="739">
        <v>43777</v>
      </c>
      <c r="B3511" s="740" t="s">
        <v>11882</v>
      </c>
      <c r="C3511" s="739" t="s">
        <v>1690</v>
      </c>
      <c r="D3511" s="741">
        <f t="shared" si="108"/>
        <v>266.33</v>
      </c>
      <c r="F3511" s="1406">
        <v>266.33</v>
      </c>
      <c r="G3511" s="1406">
        <v>266.33</v>
      </c>
      <c r="H3511" t="b">
        <f t="shared" si="109"/>
        <v>1</v>
      </c>
    </row>
    <row r="3512" spans="1:8" ht="30">
      <c r="A3512" s="677">
        <v>20322</v>
      </c>
      <c r="B3512" s="733" t="s">
        <v>11883</v>
      </c>
      <c r="C3512" s="677" t="s">
        <v>1690</v>
      </c>
      <c r="D3512" s="738">
        <f t="shared" si="108"/>
        <v>247.24</v>
      </c>
      <c r="F3512" s="1405">
        <v>247.24</v>
      </c>
      <c r="G3512" s="1405">
        <v>247.24</v>
      </c>
      <c r="H3512" t="b">
        <f t="shared" si="109"/>
        <v>1</v>
      </c>
    </row>
    <row r="3513" spans="1:8" ht="30">
      <c r="A3513" s="739">
        <v>10553</v>
      </c>
      <c r="B3513" s="740" t="s">
        <v>11884</v>
      </c>
      <c r="C3513" s="739" t="s">
        <v>1690</v>
      </c>
      <c r="D3513" s="741">
        <f t="shared" si="108"/>
        <v>224.49</v>
      </c>
      <c r="F3513" s="1406">
        <v>224.49</v>
      </c>
      <c r="G3513" s="1406">
        <v>224.49</v>
      </c>
      <c r="H3513" t="b">
        <f t="shared" si="109"/>
        <v>1</v>
      </c>
    </row>
    <row r="3514" spans="1:8" ht="30">
      <c r="A3514" s="677">
        <v>5020</v>
      </c>
      <c r="B3514" s="733" t="s">
        <v>11885</v>
      </c>
      <c r="C3514" s="677" t="s">
        <v>1690</v>
      </c>
      <c r="D3514" s="738">
        <f t="shared" si="108"/>
        <v>236.68</v>
      </c>
      <c r="F3514" s="1405">
        <v>236.68</v>
      </c>
      <c r="G3514" s="1405">
        <v>236.68</v>
      </c>
      <c r="H3514" t="b">
        <f t="shared" si="109"/>
        <v>1</v>
      </c>
    </row>
    <row r="3515" spans="1:8" ht="30">
      <c r="A3515" s="739">
        <v>10554</v>
      </c>
      <c r="B3515" s="740" t="s">
        <v>11886</v>
      </c>
      <c r="C3515" s="739" t="s">
        <v>1690</v>
      </c>
      <c r="D3515" s="741">
        <f t="shared" si="108"/>
        <v>226.48</v>
      </c>
      <c r="F3515" s="1406">
        <v>226.48</v>
      </c>
      <c r="G3515" s="1406">
        <v>226.48</v>
      </c>
      <c r="H3515" t="b">
        <f t="shared" si="109"/>
        <v>1</v>
      </c>
    </row>
    <row r="3516" spans="1:8" ht="30">
      <c r="A3516" s="677">
        <v>10555</v>
      </c>
      <c r="B3516" s="733" t="s">
        <v>11887</v>
      </c>
      <c r="C3516" s="677" t="s">
        <v>1690</v>
      </c>
      <c r="D3516" s="738">
        <f t="shared" si="108"/>
        <v>246.98</v>
      </c>
      <c r="F3516" s="1405">
        <v>246.98</v>
      </c>
      <c r="G3516" s="1405">
        <v>246.98</v>
      </c>
      <c r="H3516" t="b">
        <f t="shared" si="109"/>
        <v>1</v>
      </c>
    </row>
    <row r="3517" spans="1:8" ht="30">
      <c r="A3517" s="739">
        <v>10556</v>
      </c>
      <c r="B3517" s="740" t="s">
        <v>11888</v>
      </c>
      <c r="C3517" s="739" t="s">
        <v>1690</v>
      </c>
      <c r="D3517" s="741">
        <f t="shared" si="108"/>
        <v>328.39</v>
      </c>
      <c r="F3517" s="1406">
        <v>328.39</v>
      </c>
      <c r="G3517" s="1406">
        <v>328.39</v>
      </c>
      <c r="H3517" t="b">
        <f t="shared" si="109"/>
        <v>1</v>
      </c>
    </row>
    <row r="3518" spans="1:8" ht="30">
      <c r="A3518" s="677">
        <v>39502</v>
      </c>
      <c r="B3518" s="733" t="s">
        <v>11889</v>
      </c>
      <c r="C3518" s="677" t="s">
        <v>1690</v>
      </c>
      <c r="D3518" s="738">
        <f t="shared" si="108"/>
        <v>461.14</v>
      </c>
      <c r="F3518" s="1405">
        <v>461.14</v>
      </c>
      <c r="G3518" s="1405">
        <v>461.14</v>
      </c>
      <c r="H3518" t="b">
        <f t="shared" si="109"/>
        <v>1</v>
      </c>
    </row>
    <row r="3519" spans="1:8" ht="30">
      <c r="A3519" s="739">
        <v>39504</v>
      </c>
      <c r="B3519" s="740" t="s">
        <v>11890</v>
      </c>
      <c r="C3519" s="739" t="s">
        <v>1690</v>
      </c>
      <c r="D3519" s="741">
        <f t="shared" si="108"/>
        <v>509.93</v>
      </c>
      <c r="F3519" s="1406">
        <v>509.93</v>
      </c>
      <c r="G3519" s="1406">
        <v>509.93</v>
      </c>
      <c r="H3519" t="b">
        <f t="shared" si="109"/>
        <v>1</v>
      </c>
    </row>
    <row r="3520" spans="1:8" ht="30">
      <c r="A3520" s="677">
        <v>39503</v>
      </c>
      <c r="B3520" s="733" t="s">
        <v>11891</v>
      </c>
      <c r="C3520" s="677" t="s">
        <v>1690</v>
      </c>
      <c r="D3520" s="738">
        <f t="shared" si="108"/>
        <v>536.69000000000005</v>
      </c>
      <c r="F3520" s="1405">
        <v>536.69000000000005</v>
      </c>
      <c r="G3520" s="1405">
        <v>536.69000000000005</v>
      </c>
      <c r="H3520" t="b">
        <f t="shared" si="109"/>
        <v>1</v>
      </c>
    </row>
    <row r="3521" spans="1:8" ht="30">
      <c r="A3521" s="739">
        <v>39505</v>
      </c>
      <c r="B3521" s="740" t="s">
        <v>11892</v>
      </c>
      <c r="C3521" s="739" t="s">
        <v>1690</v>
      </c>
      <c r="D3521" s="741">
        <f t="shared" si="108"/>
        <v>578.36</v>
      </c>
      <c r="F3521" s="1406">
        <v>578.36</v>
      </c>
      <c r="G3521" s="1406">
        <v>578.36</v>
      </c>
      <c r="H3521" t="b">
        <f t="shared" si="109"/>
        <v>1</v>
      </c>
    </row>
    <row r="3522" spans="1:8">
      <c r="A3522" s="677">
        <v>44471</v>
      </c>
      <c r="B3522" s="733" t="s">
        <v>11893</v>
      </c>
      <c r="C3522" s="677" t="s">
        <v>1690</v>
      </c>
      <c r="D3522" s="738">
        <f t="shared" si="108"/>
        <v>460.23</v>
      </c>
      <c r="F3522" s="1405">
        <v>460.23</v>
      </c>
      <c r="G3522" s="1405">
        <v>460.23</v>
      </c>
      <c r="H3522" t="b">
        <f t="shared" si="109"/>
        <v>1</v>
      </c>
    </row>
    <row r="3523" spans="1:8" ht="30">
      <c r="A3523" s="739">
        <v>4944</v>
      </c>
      <c r="B3523" s="740" t="s">
        <v>11894</v>
      </c>
      <c r="C3523" s="739" t="s">
        <v>1692</v>
      </c>
      <c r="D3523" s="741">
        <f t="shared" ref="D3523:D3586" si="110">IF($J$2=$F$1,F3523,G3523)</f>
        <v>1239.56</v>
      </c>
      <c r="F3523" s="1406">
        <v>1239.56</v>
      </c>
      <c r="G3523" s="1406">
        <v>1239.56</v>
      </c>
      <c r="H3523" t="b">
        <f t="shared" ref="H3523:H3586" si="111">F3523=G3523</f>
        <v>1</v>
      </c>
    </row>
    <row r="3524" spans="1:8">
      <c r="A3524" s="677">
        <v>21102</v>
      </c>
      <c r="B3524" s="733" t="s">
        <v>11895</v>
      </c>
      <c r="C3524" s="677" t="s">
        <v>1690</v>
      </c>
      <c r="D3524" s="738">
        <f t="shared" si="110"/>
        <v>36.6</v>
      </c>
      <c r="F3524" s="1405">
        <v>36.6</v>
      </c>
      <c r="G3524" s="1405">
        <v>36.6</v>
      </c>
      <c r="H3524" t="b">
        <f t="shared" si="111"/>
        <v>1</v>
      </c>
    </row>
    <row r="3525" spans="1:8">
      <c r="A3525" s="739">
        <v>21101</v>
      </c>
      <c r="B3525" s="740" t="s">
        <v>11896</v>
      </c>
      <c r="C3525" s="739" t="s">
        <v>1690</v>
      </c>
      <c r="D3525" s="741">
        <f t="shared" si="110"/>
        <v>23.5</v>
      </c>
      <c r="F3525" s="1406">
        <v>23.5</v>
      </c>
      <c r="G3525" s="1406">
        <v>23.5</v>
      </c>
      <c r="H3525" t="b">
        <f t="shared" si="111"/>
        <v>1</v>
      </c>
    </row>
    <row r="3526" spans="1:8">
      <c r="A3526" s="677">
        <v>34713</v>
      </c>
      <c r="B3526" s="733" t="s">
        <v>11897</v>
      </c>
      <c r="C3526" s="677" t="s">
        <v>1692</v>
      </c>
      <c r="D3526" s="738">
        <f t="shared" si="110"/>
        <v>450.29</v>
      </c>
      <c r="F3526" s="1405">
        <v>450.29</v>
      </c>
      <c r="G3526" s="1405">
        <v>450.29</v>
      </c>
      <c r="H3526" t="b">
        <f t="shared" si="111"/>
        <v>1</v>
      </c>
    </row>
    <row r="3527" spans="1:8">
      <c r="A3527" s="739">
        <v>37563</v>
      </c>
      <c r="B3527" s="740" t="s">
        <v>11898</v>
      </c>
      <c r="C3527" s="739" t="s">
        <v>1692</v>
      </c>
      <c r="D3527" s="741">
        <f t="shared" si="110"/>
        <v>840.19</v>
      </c>
      <c r="F3527" s="1406">
        <v>840.19</v>
      </c>
      <c r="G3527" s="1406">
        <v>840.19</v>
      </c>
      <c r="H3527" t="b">
        <f t="shared" si="111"/>
        <v>1</v>
      </c>
    </row>
    <row r="3528" spans="1:8" ht="30">
      <c r="A3528" s="677">
        <v>4948</v>
      </c>
      <c r="B3528" s="733" t="s">
        <v>11899</v>
      </c>
      <c r="C3528" s="677" t="s">
        <v>1692</v>
      </c>
      <c r="D3528" s="738">
        <f t="shared" si="110"/>
        <v>730.98</v>
      </c>
      <c r="F3528" s="1405">
        <v>730.98</v>
      </c>
      <c r="G3528" s="1405">
        <v>730.98</v>
      </c>
      <c r="H3528" t="b">
        <f t="shared" si="111"/>
        <v>1</v>
      </c>
    </row>
    <row r="3529" spans="1:8" ht="30">
      <c r="A3529" s="739">
        <v>37561</v>
      </c>
      <c r="B3529" s="740" t="s">
        <v>11900</v>
      </c>
      <c r="C3529" s="739" t="s">
        <v>1692</v>
      </c>
      <c r="D3529" s="741">
        <f t="shared" si="110"/>
        <v>681.75</v>
      </c>
      <c r="F3529" s="1406">
        <v>681.75</v>
      </c>
      <c r="G3529" s="1406">
        <v>681.75</v>
      </c>
      <c r="H3529" t="b">
        <f t="shared" si="111"/>
        <v>1</v>
      </c>
    </row>
    <row r="3530" spans="1:8" ht="30">
      <c r="A3530" s="677">
        <v>37562</v>
      </c>
      <c r="B3530" s="733" t="s">
        <v>11901</v>
      </c>
      <c r="C3530" s="677" t="s">
        <v>1692</v>
      </c>
      <c r="D3530" s="738">
        <f t="shared" si="110"/>
        <v>893.85</v>
      </c>
      <c r="F3530" s="1405">
        <v>893.85</v>
      </c>
      <c r="G3530" s="1405">
        <v>893.85</v>
      </c>
      <c r="H3530" t="b">
        <f t="shared" si="111"/>
        <v>1</v>
      </c>
    </row>
    <row r="3531" spans="1:8">
      <c r="A3531" s="739">
        <v>14164</v>
      </c>
      <c r="B3531" s="740" t="s">
        <v>11902</v>
      </c>
      <c r="C3531" s="739" t="s">
        <v>1690</v>
      </c>
      <c r="D3531" s="741">
        <f t="shared" si="110"/>
        <v>2049.09</v>
      </c>
      <c r="F3531" s="1406">
        <v>2049.09</v>
      </c>
      <c r="G3531" s="1406">
        <v>2049.09</v>
      </c>
      <c r="H3531" t="b">
        <f t="shared" si="111"/>
        <v>1</v>
      </c>
    </row>
    <row r="3532" spans="1:8">
      <c r="A3532" s="677">
        <v>14163</v>
      </c>
      <c r="B3532" s="733" t="s">
        <v>11903</v>
      </c>
      <c r="C3532" s="677" t="s">
        <v>1690</v>
      </c>
      <c r="D3532" s="738">
        <f t="shared" si="110"/>
        <v>2328.92</v>
      </c>
      <c r="F3532" s="1405">
        <v>2328.92</v>
      </c>
      <c r="G3532" s="1405">
        <v>2328.92</v>
      </c>
      <c r="H3532" t="b">
        <f t="shared" si="111"/>
        <v>1</v>
      </c>
    </row>
    <row r="3533" spans="1:8">
      <c r="A3533" s="739">
        <v>5051</v>
      </c>
      <c r="B3533" s="740" t="s">
        <v>11904</v>
      </c>
      <c r="C3533" s="739" t="s">
        <v>1690</v>
      </c>
      <c r="D3533" s="741">
        <f t="shared" si="110"/>
        <v>1980.72</v>
      </c>
      <c r="F3533" s="1406">
        <v>1980.72</v>
      </c>
      <c r="G3533" s="1406">
        <v>1980.72</v>
      </c>
      <c r="H3533" t="b">
        <f t="shared" si="111"/>
        <v>1</v>
      </c>
    </row>
    <row r="3534" spans="1:8">
      <c r="A3534" s="677">
        <v>14162</v>
      </c>
      <c r="B3534" s="733" t="s">
        <v>11905</v>
      </c>
      <c r="C3534" s="677" t="s">
        <v>1690</v>
      </c>
      <c r="D3534" s="738">
        <f t="shared" si="110"/>
        <v>1977.84</v>
      </c>
      <c r="F3534" s="1405">
        <v>1977.84</v>
      </c>
      <c r="G3534" s="1405">
        <v>1977.84</v>
      </c>
      <c r="H3534" t="b">
        <f t="shared" si="111"/>
        <v>1</v>
      </c>
    </row>
    <row r="3535" spans="1:8">
      <c r="A3535" s="739">
        <v>5052</v>
      </c>
      <c r="B3535" s="740" t="s">
        <v>11906</v>
      </c>
      <c r="C3535" s="739" t="s">
        <v>1690</v>
      </c>
      <c r="D3535" s="741">
        <f t="shared" si="110"/>
        <v>1475.75</v>
      </c>
      <c r="F3535" s="1406">
        <v>1475.75</v>
      </c>
      <c r="G3535" s="1406">
        <v>1475.75</v>
      </c>
      <c r="H3535" t="b">
        <f t="shared" si="111"/>
        <v>1</v>
      </c>
    </row>
    <row r="3536" spans="1:8">
      <c r="A3536" s="677">
        <v>14166</v>
      </c>
      <c r="B3536" s="733" t="s">
        <v>11907</v>
      </c>
      <c r="C3536" s="677" t="s">
        <v>1690</v>
      </c>
      <c r="D3536" s="738">
        <f t="shared" si="110"/>
        <v>1494.49</v>
      </c>
      <c r="F3536" s="1405">
        <v>1494.49</v>
      </c>
      <c r="G3536" s="1405">
        <v>1494.49</v>
      </c>
      <c r="H3536" t="b">
        <f t="shared" si="111"/>
        <v>1</v>
      </c>
    </row>
    <row r="3537" spans="1:8">
      <c r="A3537" s="739">
        <v>14165</v>
      </c>
      <c r="B3537" s="740" t="s">
        <v>11908</v>
      </c>
      <c r="C3537" s="739" t="s">
        <v>1690</v>
      </c>
      <c r="D3537" s="741">
        <f t="shared" si="110"/>
        <v>2070.4</v>
      </c>
      <c r="F3537" s="1406">
        <v>2070.4</v>
      </c>
      <c r="G3537" s="1406">
        <v>2070.4</v>
      </c>
      <c r="H3537" t="b">
        <f t="shared" si="111"/>
        <v>1</v>
      </c>
    </row>
    <row r="3538" spans="1:8">
      <c r="A3538" s="677">
        <v>5050</v>
      </c>
      <c r="B3538" s="733" t="s">
        <v>11909</v>
      </c>
      <c r="C3538" s="677" t="s">
        <v>1690</v>
      </c>
      <c r="D3538" s="738">
        <f t="shared" si="110"/>
        <v>509.57</v>
      </c>
      <c r="F3538" s="1405">
        <v>509.57</v>
      </c>
      <c r="G3538" s="1405">
        <v>509.57</v>
      </c>
      <c r="H3538" t="b">
        <f t="shared" si="111"/>
        <v>1</v>
      </c>
    </row>
    <row r="3539" spans="1:8">
      <c r="A3539" s="739">
        <v>12366</v>
      </c>
      <c r="B3539" s="740" t="s">
        <v>11910</v>
      </c>
      <c r="C3539" s="739" t="s">
        <v>1690</v>
      </c>
      <c r="D3539" s="741">
        <f t="shared" si="110"/>
        <v>1026.1400000000001</v>
      </c>
      <c r="F3539" s="1406">
        <v>1026.1400000000001</v>
      </c>
      <c r="G3539" s="1406">
        <v>1026.1400000000001</v>
      </c>
      <c r="H3539" t="b">
        <f t="shared" si="111"/>
        <v>1</v>
      </c>
    </row>
    <row r="3540" spans="1:8">
      <c r="A3540" s="677">
        <v>5045</v>
      </c>
      <c r="B3540" s="733" t="s">
        <v>11911</v>
      </c>
      <c r="C3540" s="677" t="s">
        <v>1690</v>
      </c>
      <c r="D3540" s="738">
        <f t="shared" si="110"/>
        <v>1417.55</v>
      </c>
      <c r="F3540" s="1405">
        <v>1417.55</v>
      </c>
      <c r="G3540" s="1405">
        <v>1417.55</v>
      </c>
      <c r="H3540" t="b">
        <f t="shared" si="111"/>
        <v>1</v>
      </c>
    </row>
    <row r="3541" spans="1:8">
      <c r="A3541" s="739">
        <v>5035</v>
      </c>
      <c r="B3541" s="740" t="s">
        <v>11912</v>
      </c>
      <c r="C3541" s="739" t="s">
        <v>1690</v>
      </c>
      <c r="D3541" s="741">
        <f t="shared" si="110"/>
        <v>1629.84</v>
      </c>
      <c r="F3541" s="1406">
        <v>1629.84</v>
      </c>
      <c r="G3541" s="1406">
        <v>1629.84</v>
      </c>
      <c r="H3541" t="b">
        <f t="shared" si="111"/>
        <v>1</v>
      </c>
    </row>
    <row r="3542" spans="1:8">
      <c r="A3542" s="677">
        <v>41180</v>
      </c>
      <c r="B3542" s="733" t="s">
        <v>11913</v>
      </c>
      <c r="C3542" s="677" t="s">
        <v>1690</v>
      </c>
      <c r="D3542" s="738">
        <f t="shared" si="110"/>
        <v>3663.87</v>
      </c>
      <c r="F3542" s="1405">
        <v>3663.87</v>
      </c>
      <c r="G3542" s="1405">
        <v>3663.87</v>
      </c>
      <c r="H3542" t="b">
        <f t="shared" si="111"/>
        <v>1</v>
      </c>
    </row>
    <row r="3543" spans="1:8">
      <c r="A3543" s="739">
        <v>41181</v>
      </c>
      <c r="B3543" s="740" t="s">
        <v>11914</v>
      </c>
      <c r="C3543" s="739" t="s">
        <v>1690</v>
      </c>
      <c r="D3543" s="741">
        <f t="shared" si="110"/>
        <v>4850.8500000000004</v>
      </c>
      <c r="F3543" s="1406">
        <v>4850.8500000000004</v>
      </c>
      <c r="G3543" s="1406">
        <v>4850.8500000000004</v>
      </c>
      <c r="H3543" t="b">
        <f t="shared" si="111"/>
        <v>1</v>
      </c>
    </row>
    <row r="3544" spans="1:8">
      <c r="A3544" s="677">
        <v>41182</v>
      </c>
      <c r="B3544" s="733" t="s">
        <v>11915</v>
      </c>
      <c r="C3544" s="677" t="s">
        <v>1690</v>
      </c>
      <c r="D3544" s="738">
        <f t="shared" si="110"/>
        <v>6958.94</v>
      </c>
      <c r="F3544" s="1405">
        <v>6958.94</v>
      </c>
      <c r="G3544" s="1405">
        <v>6958.94</v>
      </c>
      <c r="H3544" t="b">
        <f t="shared" si="111"/>
        <v>1</v>
      </c>
    </row>
    <row r="3545" spans="1:8">
      <c r="A3545" s="739">
        <v>41183</v>
      </c>
      <c r="B3545" s="740" t="s">
        <v>11916</v>
      </c>
      <c r="C3545" s="739" t="s">
        <v>1690</v>
      </c>
      <c r="D3545" s="741">
        <f t="shared" si="110"/>
        <v>8688.3799999999992</v>
      </c>
      <c r="F3545" s="1406">
        <v>8688.3799999999992</v>
      </c>
      <c r="G3545" s="1406">
        <v>8688.3799999999992</v>
      </c>
      <c r="H3545" t="b">
        <f t="shared" si="111"/>
        <v>1</v>
      </c>
    </row>
    <row r="3546" spans="1:8">
      <c r="A3546" s="677">
        <v>41184</v>
      </c>
      <c r="B3546" s="733" t="s">
        <v>11917</v>
      </c>
      <c r="C3546" s="677" t="s">
        <v>1690</v>
      </c>
      <c r="D3546" s="738">
        <f t="shared" si="110"/>
        <v>13228.59</v>
      </c>
      <c r="F3546" s="1405">
        <v>13228.59</v>
      </c>
      <c r="G3546" s="1405">
        <v>13228.59</v>
      </c>
      <c r="H3546" t="b">
        <f t="shared" si="111"/>
        <v>1</v>
      </c>
    </row>
    <row r="3547" spans="1:8">
      <c r="A3547" s="739">
        <v>41185</v>
      </c>
      <c r="B3547" s="740" t="s">
        <v>11918</v>
      </c>
      <c r="C3547" s="739" t="s">
        <v>1690</v>
      </c>
      <c r="D3547" s="741">
        <f t="shared" si="110"/>
        <v>4905.76</v>
      </c>
      <c r="F3547" s="1406">
        <v>4905.76</v>
      </c>
      <c r="G3547" s="1406">
        <v>4905.76</v>
      </c>
      <c r="H3547" t="b">
        <f t="shared" si="111"/>
        <v>1</v>
      </c>
    </row>
    <row r="3548" spans="1:8">
      <c r="A3548" s="677">
        <v>41186</v>
      </c>
      <c r="B3548" s="733" t="s">
        <v>11919</v>
      </c>
      <c r="C3548" s="677" t="s">
        <v>1690</v>
      </c>
      <c r="D3548" s="738">
        <f t="shared" si="110"/>
        <v>6874.85</v>
      </c>
      <c r="F3548" s="1405">
        <v>6874.85</v>
      </c>
      <c r="G3548" s="1405">
        <v>6874.85</v>
      </c>
      <c r="H3548" t="b">
        <f t="shared" si="111"/>
        <v>1</v>
      </c>
    </row>
    <row r="3549" spans="1:8">
      <c r="A3549" s="739">
        <v>41187</v>
      </c>
      <c r="B3549" s="740" t="s">
        <v>11920</v>
      </c>
      <c r="C3549" s="739" t="s">
        <v>1690</v>
      </c>
      <c r="D3549" s="741">
        <f t="shared" si="110"/>
        <v>9219.74</v>
      </c>
      <c r="F3549" s="1406">
        <v>9219.74</v>
      </c>
      <c r="G3549" s="1406">
        <v>9219.74</v>
      </c>
      <c r="H3549" t="b">
        <f t="shared" si="111"/>
        <v>1</v>
      </c>
    </row>
    <row r="3550" spans="1:8">
      <c r="A3550" s="677">
        <v>41188</v>
      </c>
      <c r="B3550" s="733" t="s">
        <v>11921</v>
      </c>
      <c r="C3550" s="677" t="s">
        <v>1690</v>
      </c>
      <c r="D3550" s="738">
        <f t="shared" si="110"/>
        <v>11790</v>
      </c>
      <c r="F3550" s="1405">
        <v>11790</v>
      </c>
      <c r="G3550" s="1405">
        <v>11790</v>
      </c>
      <c r="H3550" t="b">
        <f t="shared" si="111"/>
        <v>1</v>
      </c>
    </row>
    <row r="3551" spans="1:8">
      <c r="A3551" s="739">
        <v>5036</v>
      </c>
      <c r="B3551" s="740" t="s">
        <v>11922</v>
      </c>
      <c r="C3551" s="739" t="s">
        <v>1690</v>
      </c>
      <c r="D3551" s="741">
        <f t="shared" si="110"/>
        <v>2500.48</v>
      </c>
      <c r="F3551" s="1406">
        <v>2500.48</v>
      </c>
      <c r="G3551" s="1406">
        <v>2500.48</v>
      </c>
      <c r="H3551" t="b">
        <f t="shared" si="111"/>
        <v>1</v>
      </c>
    </row>
    <row r="3552" spans="1:8">
      <c r="A3552" s="677">
        <v>41189</v>
      </c>
      <c r="B3552" s="733" t="s">
        <v>11923</v>
      </c>
      <c r="C3552" s="677" t="s">
        <v>1690</v>
      </c>
      <c r="D3552" s="738">
        <f t="shared" si="110"/>
        <v>15157.28</v>
      </c>
      <c r="F3552" s="1405">
        <v>15157.28</v>
      </c>
      <c r="G3552" s="1405">
        <v>15157.28</v>
      </c>
      <c r="H3552" t="b">
        <f t="shared" si="111"/>
        <v>1</v>
      </c>
    </row>
    <row r="3553" spans="1:8">
      <c r="A3553" s="739">
        <v>41190</v>
      </c>
      <c r="B3553" s="740" t="s">
        <v>11924</v>
      </c>
      <c r="C3553" s="739" t="s">
        <v>1690</v>
      </c>
      <c r="D3553" s="741">
        <f t="shared" si="110"/>
        <v>5271.17</v>
      </c>
      <c r="F3553" s="1406">
        <v>5271.17</v>
      </c>
      <c r="G3553" s="1406">
        <v>5271.17</v>
      </c>
      <c r="H3553" t="b">
        <f t="shared" si="111"/>
        <v>1</v>
      </c>
    </row>
    <row r="3554" spans="1:8">
      <c r="A3554" s="677">
        <v>41191</v>
      </c>
      <c r="B3554" s="733" t="s">
        <v>11925</v>
      </c>
      <c r="C3554" s="677" t="s">
        <v>1690</v>
      </c>
      <c r="D3554" s="738">
        <f t="shared" si="110"/>
        <v>8083.14</v>
      </c>
      <c r="F3554" s="1405">
        <v>8083.14</v>
      </c>
      <c r="G3554" s="1405">
        <v>8083.14</v>
      </c>
      <c r="H3554" t="b">
        <f t="shared" si="111"/>
        <v>1</v>
      </c>
    </row>
    <row r="3555" spans="1:8">
      <c r="A3555" s="739">
        <v>41192</v>
      </c>
      <c r="B3555" s="740" t="s">
        <v>11926</v>
      </c>
      <c r="C3555" s="739" t="s">
        <v>1690</v>
      </c>
      <c r="D3555" s="741">
        <f t="shared" si="110"/>
        <v>8426.61</v>
      </c>
      <c r="F3555" s="1406">
        <v>8426.61</v>
      </c>
      <c r="G3555" s="1406">
        <v>8426.61</v>
      </c>
      <c r="H3555" t="b">
        <f t="shared" si="111"/>
        <v>1</v>
      </c>
    </row>
    <row r="3556" spans="1:8">
      <c r="A3556" s="677">
        <v>41193</v>
      </c>
      <c r="B3556" s="733" t="s">
        <v>11927</v>
      </c>
      <c r="C3556" s="677" t="s">
        <v>1690</v>
      </c>
      <c r="D3556" s="738">
        <f t="shared" si="110"/>
        <v>13768.81</v>
      </c>
      <c r="F3556" s="1405">
        <v>13768.81</v>
      </c>
      <c r="G3556" s="1405">
        <v>13768.81</v>
      </c>
      <c r="H3556" t="b">
        <f t="shared" si="111"/>
        <v>1</v>
      </c>
    </row>
    <row r="3557" spans="1:8">
      <c r="A3557" s="739">
        <v>41194</v>
      </c>
      <c r="B3557" s="740" t="s">
        <v>11928</v>
      </c>
      <c r="C3557" s="739" t="s">
        <v>1690</v>
      </c>
      <c r="D3557" s="741">
        <f t="shared" si="110"/>
        <v>16429.310000000001</v>
      </c>
      <c r="F3557" s="1406">
        <v>16429.310000000001</v>
      </c>
      <c r="G3557" s="1406">
        <v>16429.310000000001</v>
      </c>
      <c r="H3557" t="b">
        <f t="shared" si="111"/>
        <v>1</v>
      </c>
    </row>
    <row r="3558" spans="1:8">
      <c r="A3558" s="677">
        <v>5044</v>
      </c>
      <c r="B3558" s="733" t="s">
        <v>11929</v>
      </c>
      <c r="C3558" s="677" t="s">
        <v>1690</v>
      </c>
      <c r="D3558" s="738">
        <f t="shared" si="110"/>
        <v>884.06</v>
      </c>
      <c r="F3558" s="1405">
        <v>884.06</v>
      </c>
      <c r="G3558" s="1405">
        <v>884.06</v>
      </c>
      <c r="H3558" t="b">
        <f t="shared" si="111"/>
        <v>1</v>
      </c>
    </row>
    <row r="3559" spans="1:8">
      <c r="A3559" s="739">
        <v>5059</v>
      </c>
      <c r="B3559" s="740" t="s">
        <v>11930</v>
      </c>
      <c r="C3559" s="739" t="s">
        <v>1690</v>
      </c>
      <c r="D3559" s="741">
        <f t="shared" si="110"/>
        <v>1057.23</v>
      </c>
      <c r="F3559" s="1406">
        <v>1057.23</v>
      </c>
      <c r="G3559" s="1406">
        <v>1057.23</v>
      </c>
      <c r="H3559" t="b">
        <f t="shared" si="111"/>
        <v>1</v>
      </c>
    </row>
    <row r="3560" spans="1:8">
      <c r="A3560" s="677">
        <v>41201</v>
      </c>
      <c r="B3560" s="733" t="s">
        <v>11931</v>
      </c>
      <c r="C3560" s="677" t="s">
        <v>1690</v>
      </c>
      <c r="D3560" s="738">
        <f t="shared" si="110"/>
        <v>2145.56</v>
      </c>
      <c r="F3560" s="1405">
        <v>2145.56</v>
      </c>
      <c r="G3560" s="1405">
        <v>2145.56</v>
      </c>
      <c r="H3560" t="b">
        <f t="shared" si="111"/>
        <v>1</v>
      </c>
    </row>
    <row r="3561" spans="1:8">
      <c r="A3561" s="739">
        <v>41199</v>
      </c>
      <c r="B3561" s="740" t="s">
        <v>11932</v>
      </c>
      <c r="C3561" s="739" t="s">
        <v>1690</v>
      </c>
      <c r="D3561" s="741">
        <f t="shared" si="110"/>
        <v>689.45</v>
      </c>
      <c r="F3561" s="1406">
        <v>689.45</v>
      </c>
      <c r="G3561" s="1406">
        <v>689.45</v>
      </c>
      <c r="H3561" t="b">
        <f t="shared" si="111"/>
        <v>1</v>
      </c>
    </row>
    <row r="3562" spans="1:8">
      <c r="A3562" s="677">
        <v>5057</v>
      </c>
      <c r="B3562" s="733" t="s">
        <v>11933</v>
      </c>
      <c r="C3562" s="677" t="s">
        <v>1690</v>
      </c>
      <c r="D3562" s="738">
        <f t="shared" si="110"/>
        <v>933.39</v>
      </c>
      <c r="F3562" s="1405">
        <v>933.39</v>
      </c>
      <c r="G3562" s="1405">
        <v>933.39</v>
      </c>
      <c r="H3562" t="b">
        <f t="shared" si="111"/>
        <v>1</v>
      </c>
    </row>
    <row r="3563" spans="1:8">
      <c r="A3563" s="739">
        <v>41200</v>
      </c>
      <c r="B3563" s="740" t="s">
        <v>11934</v>
      </c>
      <c r="C3563" s="739" t="s">
        <v>1690</v>
      </c>
      <c r="D3563" s="741">
        <f t="shared" si="110"/>
        <v>1341.91</v>
      </c>
      <c r="F3563" s="1406">
        <v>1341.91</v>
      </c>
      <c r="G3563" s="1406">
        <v>1341.91</v>
      </c>
      <c r="H3563" t="b">
        <f t="shared" si="111"/>
        <v>1</v>
      </c>
    </row>
    <row r="3564" spans="1:8">
      <c r="A3564" s="677">
        <v>41205</v>
      </c>
      <c r="B3564" s="733" t="s">
        <v>11935</v>
      </c>
      <c r="C3564" s="677" t="s">
        <v>1690</v>
      </c>
      <c r="D3564" s="738">
        <f t="shared" si="110"/>
        <v>2486.54</v>
      </c>
      <c r="F3564" s="1405">
        <v>2486.54</v>
      </c>
      <c r="G3564" s="1405">
        <v>2486.54</v>
      </c>
      <c r="H3564" t="b">
        <f t="shared" si="111"/>
        <v>1</v>
      </c>
    </row>
    <row r="3565" spans="1:8">
      <c r="A3565" s="739">
        <v>41202</v>
      </c>
      <c r="B3565" s="740" t="s">
        <v>11936</v>
      </c>
      <c r="C3565" s="739" t="s">
        <v>1690</v>
      </c>
      <c r="D3565" s="741">
        <f t="shared" si="110"/>
        <v>725.59</v>
      </c>
      <c r="F3565" s="1406">
        <v>725.59</v>
      </c>
      <c r="G3565" s="1406">
        <v>725.59</v>
      </c>
      <c r="H3565" t="b">
        <f t="shared" si="111"/>
        <v>1</v>
      </c>
    </row>
    <row r="3566" spans="1:8">
      <c r="A3566" s="677">
        <v>41206</v>
      </c>
      <c r="B3566" s="733" t="s">
        <v>11937</v>
      </c>
      <c r="C3566" s="677" t="s">
        <v>1690</v>
      </c>
      <c r="D3566" s="738">
        <f t="shared" si="110"/>
        <v>3278.39</v>
      </c>
      <c r="F3566" s="1405">
        <v>3278.39</v>
      </c>
      <c r="G3566" s="1405">
        <v>3278.39</v>
      </c>
      <c r="H3566" t="b">
        <f t="shared" si="111"/>
        <v>1</v>
      </c>
    </row>
    <row r="3567" spans="1:8">
      <c r="A3567" s="739">
        <v>12372</v>
      </c>
      <c r="B3567" s="740" t="s">
        <v>11938</v>
      </c>
      <c r="C3567" s="739" t="s">
        <v>1690</v>
      </c>
      <c r="D3567" s="741">
        <f t="shared" si="110"/>
        <v>761.87</v>
      </c>
      <c r="F3567" s="1406">
        <v>761.87</v>
      </c>
      <c r="G3567" s="1406">
        <v>761.87</v>
      </c>
      <c r="H3567" t="b">
        <f t="shared" si="111"/>
        <v>1</v>
      </c>
    </row>
    <row r="3568" spans="1:8">
      <c r="A3568" s="677">
        <v>41207</v>
      </c>
      <c r="B3568" s="733" t="s">
        <v>11939</v>
      </c>
      <c r="C3568" s="677" t="s">
        <v>1690</v>
      </c>
      <c r="D3568" s="738">
        <f t="shared" si="110"/>
        <v>4413.37</v>
      </c>
      <c r="F3568" s="1405">
        <v>4413.37</v>
      </c>
      <c r="G3568" s="1405">
        <v>4413.37</v>
      </c>
      <c r="H3568" t="b">
        <f t="shared" si="111"/>
        <v>1</v>
      </c>
    </row>
    <row r="3569" spans="1:8">
      <c r="A3569" s="739">
        <v>41203</v>
      </c>
      <c r="B3569" s="740" t="s">
        <v>11940</v>
      </c>
      <c r="C3569" s="739" t="s">
        <v>1690</v>
      </c>
      <c r="D3569" s="741">
        <f t="shared" si="110"/>
        <v>1162.31</v>
      </c>
      <c r="F3569" s="1406">
        <v>1162.31</v>
      </c>
      <c r="G3569" s="1406">
        <v>1162.31</v>
      </c>
      <c r="H3569" t="b">
        <f t="shared" si="111"/>
        <v>1</v>
      </c>
    </row>
    <row r="3570" spans="1:8">
      <c r="A3570" s="677">
        <v>41204</v>
      </c>
      <c r="B3570" s="733" t="s">
        <v>11941</v>
      </c>
      <c r="C3570" s="677" t="s">
        <v>1690</v>
      </c>
      <c r="D3570" s="738">
        <f t="shared" si="110"/>
        <v>1643.22</v>
      </c>
      <c r="F3570" s="1405">
        <v>1643.22</v>
      </c>
      <c r="G3570" s="1405">
        <v>1643.22</v>
      </c>
      <c r="H3570" t="b">
        <f t="shared" si="111"/>
        <v>1</v>
      </c>
    </row>
    <row r="3571" spans="1:8">
      <c r="A3571" s="739">
        <v>41210</v>
      </c>
      <c r="B3571" s="740" t="s">
        <v>11942</v>
      </c>
      <c r="C3571" s="739" t="s">
        <v>1690</v>
      </c>
      <c r="D3571" s="741">
        <f t="shared" si="110"/>
        <v>2744.95</v>
      </c>
      <c r="F3571" s="1406">
        <v>2744.95</v>
      </c>
      <c r="G3571" s="1406">
        <v>2744.95</v>
      </c>
      <c r="H3571" t="b">
        <f t="shared" si="111"/>
        <v>1</v>
      </c>
    </row>
    <row r="3572" spans="1:8">
      <c r="A3572" s="677">
        <v>41208</v>
      </c>
      <c r="B3572" s="733" t="s">
        <v>11943</v>
      </c>
      <c r="C3572" s="677" t="s">
        <v>1690</v>
      </c>
      <c r="D3572" s="738">
        <f t="shared" si="110"/>
        <v>960.89</v>
      </c>
      <c r="F3572" s="1405">
        <v>960.89</v>
      </c>
      <c r="G3572" s="1405">
        <v>960.89</v>
      </c>
      <c r="H3572" t="b">
        <f t="shared" si="111"/>
        <v>1</v>
      </c>
    </row>
    <row r="3573" spans="1:8">
      <c r="A3573" s="739">
        <v>41211</v>
      </c>
      <c r="B3573" s="740" t="s">
        <v>11944</v>
      </c>
      <c r="C3573" s="739" t="s">
        <v>1690</v>
      </c>
      <c r="D3573" s="741">
        <f t="shared" si="110"/>
        <v>3867.6</v>
      </c>
      <c r="F3573" s="1406">
        <v>3867.6</v>
      </c>
      <c r="G3573" s="1406">
        <v>3867.6</v>
      </c>
      <c r="H3573" t="b">
        <f t="shared" si="111"/>
        <v>1</v>
      </c>
    </row>
    <row r="3574" spans="1:8">
      <c r="A3574" s="677">
        <v>13339</v>
      </c>
      <c r="B3574" s="733" t="s">
        <v>11945</v>
      </c>
      <c r="C3574" s="677" t="s">
        <v>1690</v>
      </c>
      <c r="D3574" s="738">
        <f t="shared" si="110"/>
        <v>1302.24</v>
      </c>
      <c r="F3574" s="1405">
        <v>1302.24</v>
      </c>
      <c r="G3574" s="1405">
        <v>1302.24</v>
      </c>
      <c r="H3574" t="b">
        <f t="shared" si="111"/>
        <v>1</v>
      </c>
    </row>
    <row r="3575" spans="1:8">
      <c r="A3575" s="739">
        <v>41213</v>
      </c>
      <c r="B3575" s="740" t="s">
        <v>11946</v>
      </c>
      <c r="C3575" s="739" t="s">
        <v>1690</v>
      </c>
      <c r="D3575" s="741">
        <f t="shared" si="110"/>
        <v>8016.58</v>
      </c>
      <c r="F3575" s="1406">
        <v>8016.58</v>
      </c>
      <c r="G3575" s="1406">
        <v>8016.58</v>
      </c>
      <c r="H3575" t="b">
        <f t="shared" si="111"/>
        <v>1</v>
      </c>
    </row>
    <row r="3576" spans="1:8">
      <c r="A3576" s="677">
        <v>41209</v>
      </c>
      <c r="B3576" s="733" t="s">
        <v>11947</v>
      </c>
      <c r="C3576" s="677" t="s">
        <v>1690</v>
      </c>
      <c r="D3576" s="738">
        <f t="shared" si="110"/>
        <v>1791.72</v>
      </c>
      <c r="F3576" s="1405">
        <v>1791.72</v>
      </c>
      <c r="G3576" s="1405">
        <v>1791.72</v>
      </c>
      <c r="H3576" t="b">
        <f t="shared" si="111"/>
        <v>1</v>
      </c>
    </row>
    <row r="3577" spans="1:8">
      <c r="A3577" s="739">
        <v>41216</v>
      </c>
      <c r="B3577" s="740" t="s">
        <v>11948</v>
      </c>
      <c r="C3577" s="739" t="s">
        <v>1690</v>
      </c>
      <c r="D3577" s="741">
        <f t="shared" si="110"/>
        <v>3356.13</v>
      </c>
      <c r="F3577" s="1406">
        <v>3356.13</v>
      </c>
      <c r="G3577" s="1406">
        <v>3356.13</v>
      </c>
      <c r="H3577" t="b">
        <f t="shared" si="111"/>
        <v>1</v>
      </c>
    </row>
    <row r="3578" spans="1:8">
      <c r="A3578" s="677">
        <v>41217</v>
      </c>
      <c r="B3578" s="733" t="s">
        <v>11949</v>
      </c>
      <c r="C3578" s="677" t="s">
        <v>1690</v>
      </c>
      <c r="D3578" s="738">
        <f t="shared" si="110"/>
        <v>5381.07</v>
      </c>
      <c r="F3578" s="1405">
        <v>5381.07</v>
      </c>
      <c r="G3578" s="1405">
        <v>5381.07</v>
      </c>
      <c r="H3578" t="b">
        <f t="shared" si="111"/>
        <v>1</v>
      </c>
    </row>
    <row r="3579" spans="1:8">
      <c r="A3579" s="739">
        <v>41218</v>
      </c>
      <c r="B3579" s="740" t="s">
        <v>11950</v>
      </c>
      <c r="C3579" s="739" t="s">
        <v>1690</v>
      </c>
      <c r="D3579" s="741">
        <f t="shared" si="110"/>
        <v>7216.18</v>
      </c>
      <c r="F3579" s="1406">
        <v>7216.18</v>
      </c>
      <c r="G3579" s="1406">
        <v>7216.18</v>
      </c>
      <c r="H3579" t="b">
        <f t="shared" si="111"/>
        <v>1</v>
      </c>
    </row>
    <row r="3580" spans="1:8">
      <c r="A3580" s="677">
        <v>41214</v>
      </c>
      <c r="B3580" s="733" t="s">
        <v>11951</v>
      </c>
      <c r="C3580" s="677" t="s">
        <v>1690</v>
      </c>
      <c r="D3580" s="738">
        <f t="shared" si="110"/>
        <v>1521.52</v>
      </c>
      <c r="F3580" s="1405">
        <v>1521.52</v>
      </c>
      <c r="G3580" s="1405">
        <v>1521.52</v>
      </c>
      <c r="H3580" t="b">
        <f t="shared" si="111"/>
        <v>1</v>
      </c>
    </row>
    <row r="3581" spans="1:8">
      <c r="A3581" s="739">
        <v>41215</v>
      </c>
      <c r="B3581" s="740" t="s">
        <v>11952</v>
      </c>
      <c r="C3581" s="739" t="s">
        <v>1690</v>
      </c>
      <c r="D3581" s="741">
        <f t="shared" si="110"/>
        <v>2290.85</v>
      </c>
      <c r="F3581" s="1406">
        <v>2290.85</v>
      </c>
      <c r="G3581" s="1406">
        <v>2290.85</v>
      </c>
      <c r="H3581" t="b">
        <f t="shared" si="111"/>
        <v>1</v>
      </c>
    </row>
    <row r="3582" spans="1:8">
      <c r="A3582" s="677">
        <v>41221</v>
      </c>
      <c r="B3582" s="733" t="s">
        <v>11953</v>
      </c>
      <c r="C3582" s="677" t="s">
        <v>1690</v>
      </c>
      <c r="D3582" s="738">
        <f t="shared" si="110"/>
        <v>6633.2</v>
      </c>
      <c r="F3582" s="1405">
        <v>6633.2</v>
      </c>
      <c r="G3582" s="1405">
        <v>6633.2</v>
      </c>
      <c r="H3582" t="b">
        <f t="shared" si="111"/>
        <v>1</v>
      </c>
    </row>
    <row r="3583" spans="1:8">
      <c r="A3583" s="739">
        <v>41222</v>
      </c>
      <c r="B3583" s="740" t="s">
        <v>11954</v>
      </c>
      <c r="C3583" s="739" t="s">
        <v>1690</v>
      </c>
      <c r="D3583" s="741">
        <f t="shared" si="110"/>
        <v>9492.19</v>
      </c>
      <c r="F3583" s="1406">
        <v>9492.19</v>
      </c>
      <c r="G3583" s="1406">
        <v>9492.19</v>
      </c>
      <c r="H3583" t="b">
        <f t="shared" si="111"/>
        <v>1</v>
      </c>
    </row>
    <row r="3584" spans="1:8">
      <c r="A3584" s="677">
        <v>41195</v>
      </c>
      <c r="B3584" s="733" t="s">
        <v>11955</v>
      </c>
      <c r="C3584" s="677" t="s">
        <v>1690</v>
      </c>
      <c r="D3584" s="738">
        <f t="shared" si="110"/>
        <v>487.87</v>
      </c>
      <c r="F3584" s="1405">
        <v>487.87</v>
      </c>
      <c r="G3584" s="1405">
        <v>487.87</v>
      </c>
      <c r="H3584" t="b">
        <f t="shared" si="111"/>
        <v>1</v>
      </c>
    </row>
    <row r="3585" spans="1:8">
      <c r="A3585" s="739">
        <v>41198</v>
      </c>
      <c r="B3585" s="740" t="s">
        <v>11956</v>
      </c>
      <c r="C3585" s="739" t="s">
        <v>1690</v>
      </c>
      <c r="D3585" s="741">
        <f t="shared" si="110"/>
        <v>1906.48</v>
      </c>
      <c r="F3585" s="1406">
        <v>1906.48</v>
      </c>
      <c r="G3585" s="1406">
        <v>1906.48</v>
      </c>
      <c r="H3585" t="b">
        <f t="shared" si="111"/>
        <v>1</v>
      </c>
    </row>
    <row r="3586" spans="1:8">
      <c r="A3586" s="677">
        <v>41196</v>
      </c>
      <c r="B3586" s="733" t="s">
        <v>11957</v>
      </c>
      <c r="C3586" s="677" t="s">
        <v>1690</v>
      </c>
      <c r="D3586" s="738">
        <f t="shared" si="110"/>
        <v>604.74</v>
      </c>
      <c r="F3586" s="1405">
        <v>604.74</v>
      </c>
      <c r="G3586" s="1405">
        <v>604.74</v>
      </c>
      <c r="H3586" t="b">
        <f t="shared" si="111"/>
        <v>1</v>
      </c>
    </row>
    <row r="3587" spans="1:8">
      <c r="A3587" s="739">
        <v>5033</v>
      </c>
      <c r="B3587" s="740" t="s">
        <v>11958</v>
      </c>
      <c r="C3587" s="739" t="s">
        <v>1690</v>
      </c>
      <c r="D3587" s="741">
        <f t="shared" ref="D3587:D3650" si="112">IF($J$2=$F$1,F3587,G3587)</f>
        <v>794</v>
      </c>
      <c r="F3587" s="1406">
        <v>794</v>
      </c>
      <c r="G3587" s="1406">
        <v>794</v>
      </c>
      <c r="H3587" t="b">
        <f t="shared" ref="H3587:H3650" si="113">F3587=G3587</f>
        <v>1</v>
      </c>
    </row>
    <row r="3588" spans="1:8">
      <c r="A3588" s="677">
        <v>41197</v>
      </c>
      <c r="B3588" s="733" t="s">
        <v>11959</v>
      </c>
      <c r="C3588" s="677" t="s">
        <v>1690</v>
      </c>
      <c r="D3588" s="738">
        <f t="shared" si="112"/>
        <v>1179.3800000000001</v>
      </c>
      <c r="F3588" s="1405">
        <v>1179.3800000000001</v>
      </c>
      <c r="G3588" s="1405">
        <v>1179.3800000000001</v>
      </c>
      <c r="H3588" t="b">
        <f t="shared" si="113"/>
        <v>1</v>
      </c>
    </row>
    <row r="3589" spans="1:8">
      <c r="A3589" s="739">
        <v>12388</v>
      </c>
      <c r="B3589" s="740" t="s">
        <v>11960</v>
      </c>
      <c r="C3589" s="739" t="s">
        <v>1690</v>
      </c>
      <c r="D3589" s="741">
        <f t="shared" si="112"/>
        <v>301.63</v>
      </c>
      <c r="F3589" s="1406">
        <v>301.63</v>
      </c>
      <c r="G3589" s="1406">
        <v>301.63</v>
      </c>
      <c r="H3589" t="b">
        <f t="shared" si="113"/>
        <v>1</v>
      </c>
    </row>
    <row r="3590" spans="1:8">
      <c r="A3590" s="677">
        <v>2731</v>
      </c>
      <c r="B3590" s="733" t="s">
        <v>11961</v>
      </c>
      <c r="C3590" s="677" t="s">
        <v>1693</v>
      </c>
      <c r="D3590" s="738">
        <f t="shared" si="112"/>
        <v>132.93</v>
      </c>
      <c r="F3590" s="1405">
        <v>132.93</v>
      </c>
      <c r="G3590" s="1405">
        <v>132.93</v>
      </c>
      <c r="H3590" t="b">
        <f t="shared" si="113"/>
        <v>1</v>
      </c>
    </row>
    <row r="3591" spans="1:8">
      <c r="A3591" s="739">
        <v>41457</v>
      </c>
      <c r="B3591" s="740" t="s">
        <v>11962</v>
      </c>
      <c r="C3591" s="739" t="s">
        <v>1690</v>
      </c>
      <c r="D3591" s="741">
        <f t="shared" si="112"/>
        <v>1852.27</v>
      </c>
      <c r="F3591" s="1406">
        <v>1852.27</v>
      </c>
      <c r="G3591" s="1406">
        <v>1852.27</v>
      </c>
      <c r="H3591" t="b">
        <f t="shared" si="113"/>
        <v>1</v>
      </c>
    </row>
    <row r="3592" spans="1:8">
      <c r="A3592" s="677">
        <v>41458</v>
      </c>
      <c r="B3592" s="733" t="s">
        <v>11963</v>
      </c>
      <c r="C3592" s="677" t="s">
        <v>1690</v>
      </c>
      <c r="D3592" s="738">
        <f t="shared" si="112"/>
        <v>2585.85</v>
      </c>
      <c r="F3592" s="1405">
        <v>2585.85</v>
      </c>
      <c r="G3592" s="1405">
        <v>2585.85</v>
      </c>
      <c r="H3592" t="b">
        <f t="shared" si="113"/>
        <v>1</v>
      </c>
    </row>
    <row r="3593" spans="1:8">
      <c r="A3593" s="739">
        <v>41459</v>
      </c>
      <c r="B3593" s="740" t="s">
        <v>11964</v>
      </c>
      <c r="C3593" s="739" t="s">
        <v>1690</v>
      </c>
      <c r="D3593" s="741">
        <f t="shared" si="112"/>
        <v>3607.07</v>
      </c>
      <c r="F3593" s="1406">
        <v>3607.07</v>
      </c>
      <c r="G3593" s="1406">
        <v>3607.07</v>
      </c>
      <c r="H3593" t="b">
        <f t="shared" si="113"/>
        <v>1</v>
      </c>
    </row>
    <row r="3594" spans="1:8">
      <c r="A3594" s="677">
        <v>41461</v>
      </c>
      <c r="B3594" s="733" t="s">
        <v>11965</v>
      </c>
      <c r="C3594" s="677" t="s">
        <v>1690</v>
      </c>
      <c r="D3594" s="738">
        <f t="shared" si="112"/>
        <v>4918.05</v>
      </c>
      <c r="F3594" s="1405">
        <v>4918.05</v>
      </c>
      <c r="G3594" s="1405">
        <v>4918.05</v>
      </c>
      <c r="H3594" t="b">
        <f t="shared" si="113"/>
        <v>1</v>
      </c>
    </row>
    <row r="3595" spans="1:8">
      <c r="A3595" s="739">
        <v>44537</v>
      </c>
      <c r="B3595" s="740" t="s">
        <v>11966</v>
      </c>
      <c r="C3595" s="739" t="s">
        <v>1700</v>
      </c>
      <c r="D3595" s="741">
        <f t="shared" si="112"/>
        <v>354.06</v>
      </c>
      <c r="F3595" s="1406">
        <v>354.06</v>
      </c>
      <c r="G3595" s="1406">
        <v>354.06</v>
      </c>
      <c r="H3595" t="b">
        <f t="shared" si="113"/>
        <v>1</v>
      </c>
    </row>
    <row r="3596" spans="1:8">
      <c r="A3596" s="677">
        <v>11844</v>
      </c>
      <c r="B3596" s="733" t="s">
        <v>11967</v>
      </c>
      <c r="C3596" s="677" t="s">
        <v>1693</v>
      </c>
      <c r="D3596" s="738">
        <f t="shared" si="112"/>
        <v>44.88</v>
      </c>
      <c r="F3596" s="1405">
        <v>44.88</v>
      </c>
      <c r="G3596" s="1405">
        <v>44.88</v>
      </c>
      <c r="H3596" t="b">
        <f t="shared" si="113"/>
        <v>1</v>
      </c>
    </row>
    <row r="3597" spans="1:8">
      <c r="A3597" s="739">
        <v>4465</v>
      </c>
      <c r="B3597" s="740" t="s">
        <v>11968</v>
      </c>
      <c r="C3597" s="739" t="s">
        <v>1693</v>
      </c>
      <c r="D3597" s="741">
        <f t="shared" si="112"/>
        <v>37.29</v>
      </c>
      <c r="F3597" s="1406">
        <v>37.29</v>
      </c>
      <c r="G3597" s="1406">
        <v>37.29</v>
      </c>
      <c r="H3597" t="b">
        <f t="shared" si="113"/>
        <v>1</v>
      </c>
    </row>
    <row r="3598" spans="1:8">
      <c r="A3598" s="677">
        <v>35273</v>
      </c>
      <c r="B3598" s="733" t="s">
        <v>11969</v>
      </c>
      <c r="C3598" s="677" t="s">
        <v>1693</v>
      </c>
      <c r="D3598" s="738">
        <f t="shared" si="112"/>
        <v>44.73</v>
      </c>
      <c r="F3598" s="1405">
        <v>44.73</v>
      </c>
      <c r="G3598" s="1405">
        <v>44.73</v>
      </c>
      <c r="H3598" t="b">
        <f t="shared" si="113"/>
        <v>1</v>
      </c>
    </row>
    <row r="3599" spans="1:8">
      <c r="A3599" s="739">
        <v>4470</v>
      </c>
      <c r="B3599" s="740" t="s">
        <v>11970</v>
      </c>
      <c r="C3599" s="739" t="s">
        <v>1693</v>
      </c>
      <c r="D3599" s="741">
        <f t="shared" si="112"/>
        <v>103.22</v>
      </c>
      <c r="F3599" s="1406">
        <v>103.22</v>
      </c>
      <c r="G3599" s="1406">
        <v>103.22</v>
      </c>
      <c r="H3599" t="b">
        <f t="shared" si="113"/>
        <v>1</v>
      </c>
    </row>
    <row r="3600" spans="1:8">
      <c r="A3600" s="677">
        <v>20204</v>
      </c>
      <c r="B3600" s="733" t="s">
        <v>11971</v>
      </c>
      <c r="C3600" s="677" t="s">
        <v>1693</v>
      </c>
      <c r="D3600" s="738">
        <f t="shared" si="112"/>
        <v>68.81</v>
      </c>
      <c r="F3600" s="1405">
        <v>68.81</v>
      </c>
      <c r="G3600" s="1405">
        <v>68.81</v>
      </c>
      <c r="H3600" t="b">
        <f t="shared" si="113"/>
        <v>1</v>
      </c>
    </row>
    <row r="3601" spans="1:8">
      <c r="A3601" s="739">
        <v>20208</v>
      </c>
      <c r="B3601" s="740" t="s">
        <v>11972</v>
      </c>
      <c r="C3601" s="739" t="s">
        <v>1693</v>
      </c>
      <c r="D3601" s="741">
        <f t="shared" si="112"/>
        <v>92.9</v>
      </c>
      <c r="F3601" s="1406">
        <v>92.9</v>
      </c>
      <c r="G3601" s="1406">
        <v>92.9</v>
      </c>
      <c r="H3601" t="b">
        <f t="shared" si="113"/>
        <v>1</v>
      </c>
    </row>
    <row r="3602" spans="1:8" ht="30">
      <c r="A3602" s="677">
        <v>4437</v>
      </c>
      <c r="B3602" s="733" t="s">
        <v>11973</v>
      </c>
      <c r="C3602" s="677" t="s">
        <v>1693</v>
      </c>
      <c r="D3602" s="738">
        <f t="shared" si="112"/>
        <v>77.41</v>
      </c>
      <c r="F3602" s="1405">
        <v>77.41</v>
      </c>
      <c r="G3602" s="1405">
        <v>77.41</v>
      </c>
      <c r="H3602" t="b">
        <f t="shared" si="113"/>
        <v>1</v>
      </c>
    </row>
    <row r="3603" spans="1:8">
      <c r="A3603" s="739">
        <v>14580</v>
      </c>
      <c r="B3603" s="740" t="s">
        <v>11974</v>
      </c>
      <c r="C3603" s="739" t="s">
        <v>1693</v>
      </c>
      <c r="D3603" s="741">
        <f t="shared" si="112"/>
        <v>77.41</v>
      </c>
      <c r="F3603" s="1406">
        <v>77.41</v>
      </c>
      <c r="G3603" s="1406">
        <v>77.41</v>
      </c>
      <c r="H3603" t="b">
        <f t="shared" si="113"/>
        <v>1</v>
      </c>
    </row>
    <row r="3604" spans="1:8">
      <c r="A3604" s="677">
        <v>40304</v>
      </c>
      <c r="B3604" s="733" t="s">
        <v>11975</v>
      </c>
      <c r="C3604" s="677" t="s">
        <v>1694</v>
      </c>
      <c r="D3604" s="738">
        <f t="shared" si="112"/>
        <v>23.73</v>
      </c>
      <c r="F3604" s="1405">
        <v>23.73</v>
      </c>
      <c r="G3604" s="1405">
        <v>23.73</v>
      </c>
      <c r="H3604" t="b">
        <f t="shared" si="113"/>
        <v>1</v>
      </c>
    </row>
    <row r="3605" spans="1:8">
      <c r="A3605" s="739">
        <v>5065</v>
      </c>
      <c r="B3605" s="740" t="s">
        <v>11976</v>
      </c>
      <c r="C3605" s="739" t="s">
        <v>1694</v>
      </c>
      <c r="D3605" s="741">
        <f t="shared" si="112"/>
        <v>36.57</v>
      </c>
      <c r="F3605" s="1406">
        <v>36.57</v>
      </c>
      <c r="G3605" s="1406">
        <v>36.57</v>
      </c>
      <c r="H3605" t="b">
        <f t="shared" si="113"/>
        <v>1</v>
      </c>
    </row>
    <row r="3606" spans="1:8">
      <c r="A3606" s="677">
        <v>5072</v>
      </c>
      <c r="B3606" s="733" t="s">
        <v>11977</v>
      </c>
      <c r="C3606" s="677" t="s">
        <v>1694</v>
      </c>
      <c r="D3606" s="738">
        <f t="shared" si="112"/>
        <v>33.83</v>
      </c>
      <c r="F3606" s="1405">
        <v>33.83</v>
      </c>
      <c r="G3606" s="1405">
        <v>33.83</v>
      </c>
      <c r="H3606" t="b">
        <f t="shared" si="113"/>
        <v>1</v>
      </c>
    </row>
    <row r="3607" spans="1:8">
      <c r="A3607" s="739">
        <v>5066</v>
      </c>
      <c r="B3607" s="740" t="s">
        <v>11978</v>
      </c>
      <c r="C3607" s="739" t="s">
        <v>1694</v>
      </c>
      <c r="D3607" s="741">
        <f t="shared" si="112"/>
        <v>25.33</v>
      </c>
      <c r="F3607" s="1406">
        <v>25.33</v>
      </c>
      <c r="G3607" s="1406">
        <v>25.33</v>
      </c>
      <c r="H3607" t="b">
        <f t="shared" si="113"/>
        <v>1</v>
      </c>
    </row>
    <row r="3608" spans="1:8">
      <c r="A3608" s="677">
        <v>5063</v>
      </c>
      <c r="B3608" s="733" t="s">
        <v>11979</v>
      </c>
      <c r="C3608" s="677" t="s">
        <v>1694</v>
      </c>
      <c r="D3608" s="738">
        <f t="shared" si="112"/>
        <v>22.94</v>
      </c>
      <c r="F3608" s="1405">
        <v>22.94</v>
      </c>
      <c r="G3608" s="1405">
        <v>22.94</v>
      </c>
      <c r="H3608" t="b">
        <f t="shared" si="113"/>
        <v>1</v>
      </c>
    </row>
    <row r="3609" spans="1:8">
      <c r="A3609" s="739">
        <v>20247</v>
      </c>
      <c r="B3609" s="740" t="s">
        <v>11980</v>
      </c>
      <c r="C3609" s="739" t="s">
        <v>1694</v>
      </c>
      <c r="D3609" s="741">
        <f t="shared" si="112"/>
        <v>21.29</v>
      </c>
      <c r="F3609" s="1406">
        <v>21.29</v>
      </c>
      <c r="G3609" s="1406">
        <v>21.29</v>
      </c>
      <c r="H3609" t="b">
        <f t="shared" si="113"/>
        <v>1</v>
      </c>
    </row>
    <row r="3610" spans="1:8">
      <c r="A3610" s="677">
        <v>5074</v>
      </c>
      <c r="B3610" s="733" t="s">
        <v>11981</v>
      </c>
      <c r="C3610" s="677" t="s">
        <v>1694</v>
      </c>
      <c r="D3610" s="738">
        <f t="shared" si="112"/>
        <v>21.54</v>
      </c>
      <c r="F3610" s="1405">
        <v>21.54</v>
      </c>
      <c r="G3610" s="1405">
        <v>21.54</v>
      </c>
      <c r="H3610" t="b">
        <f t="shared" si="113"/>
        <v>1</v>
      </c>
    </row>
    <row r="3611" spans="1:8">
      <c r="A3611" s="739">
        <v>5067</v>
      </c>
      <c r="B3611" s="740" t="s">
        <v>11982</v>
      </c>
      <c r="C3611" s="739" t="s">
        <v>1694</v>
      </c>
      <c r="D3611" s="741">
        <f t="shared" si="112"/>
        <v>20.49</v>
      </c>
      <c r="F3611" s="1406">
        <v>20.49</v>
      </c>
      <c r="G3611" s="1406">
        <v>20.49</v>
      </c>
      <c r="H3611" t="b">
        <f t="shared" si="113"/>
        <v>1</v>
      </c>
    </row>
    <row r="3612" spans="1:8">
      <c r="A3612" s="677">
        <v>5078</v>
      </c>
      <c r="B3612" s="733" t="s">
        <v>11983</v>
      </c>
      <c r="C3612" s="677" t="s">
        <v>1694</v>
      </c>
      <c r="D3612" s="738">
        <f t="shared" si="112"/>
        <v>20.260000000000002</v>
      </c>
      <c r="F3612" s="1405">
        <v>20.260000000000002</v>
      </c>
      <c r="G3612" s="1405">
        <v>20.260000000000002</v>
      </c>
      <c r="H3612" t="b">
        <f t="shared" si="113"/>
        <v>1</v>
      </c>
    </row>
    <row r="3613" spans="1:8">
      <c r="A3613" s="739">
        <v>5068</v>
      </c>
      <c r="B3613" s="740" t="s">
        <v>11984</v>
      </c>
      <c r="C3613" s="739" t="s">
        <v>1694</v>
      </c>
      <c r="D3613" s="741">
        <f t="shared" si="112"/>
        <v>19.23</v>
      </c>
      <c r="F3613" s="1406">
        <v>19.23</v>
      </c>
      <c r="G3613" s="1406">
        <v>19.23</v>
      </c>
      <c r="H3613" t="b">
        <f t="shared" si="113"/>
        <v>1</v>
      </c>
    </row>
    <row r="3614" spans="1:8">
      <c r="A3614" s="677">
        <v>5073</v>
      </c>
      <c r="B3614" s="733" t="s">
        <v>11985</v>
      </c>
      <c r="C3614" s="677" t="s">
        <v>1694</v>
      </c>
      <c r="D3614" s="738">
        <f t="shared" si="112"/>
        <v>19.59</v>
      </c>
      <c r="F3614" s="1405">
        <v>19.59</v>
      </c>
      <c r="G3614" s="1405">
        <v>19.59</v>
      </c>
      <c r="H3614" t="b">
        <f t="shared" si="113"/>
        <v>1</v>
      </c>
    </row>
    <row r="3615" spans="1:8">
      <c r="A3615" s="739">
        <v>5069</v>
      </c>
      <c r="B3615" s="740" t="s">
        <v>11986</v>
      </c>
      <c r="C3615" s="739" t="s">
        <v>1694</v>
      </c>
      <c r="D3615" s="741">
        <f t="shared" si="112"/>
        <v>19.59</v>
      </c>
      <c r="F3615" s="1406">
        <v>19.59</v>
      </c>
      <c r="G3615" s="1406">
        <v>19.59</v>
      </c>
      <c r="H3615" t="b">
        <f t="shared" si="113"/>
        <v>1</v>
      </c>
    </row>
    <row r="3616" spans="1:8">
      <c r="A3616" s="677">
        <v>5070</v>
      </c>
      <c r="B3616" s="733" t="s">
        <v>11987</v>
      </c>
      <c r="C3616" s="677" t="s">
        <v>1694</v>
      </c>
      <c r="D3616" s="738">
        <f t="shared" si="112"/>
        <v>19.809999999999999</v>
      </c>
      <c r="F3616" s="1405">
        <v>19.809999999999999</v>
      </c>
      <c r="G3616" s="1405">
        <v>19.809999999999999</v>
      </c>
      <c r="H3616" t="b">
        <f t="shared" si="113"/>
        <v>1</v>
      </c>
    </row>
    <row r="3617" spans="1:8">
      <c r="A3617" s="739">
        <v>5071</v>
      </c>
      <c r="B3617" s="740" t="s">
        <v>11988</v>
      </c>
      <c r="C3617" s="739" t="s">
        <v>1694</v>
      </c>
      <c r="D3617" s="741">
        <f t="shared" si="112"/>
        <v>19.23</v>
      </c>
      <c r="F3617" s="1406">
        <v>19.23</v>
      </c>
      <c r="G3617" s="1406">
        <v>19.23</v>
      </c>
      <c r="H3617" t="b">
        <f t="shared" si="113"/>
        <v>1</v>
      </c>
    </row>
    <row r="3618" spans="1:8">
      <c r="A3618" s="677">
        <v>5061</v>
      </c>
      <c r="B3618" s="733" t="s">
        <v>11989</v>
      </c>
      <c r="C3618" s="677" t="s">
        <v>1694</v>
      </c>
      <c r="D3618" s="738">
        <f t="shared" si="112"/>
        <v>18.899999999999999</v>
      </c>
      <c r="F3618" s="1405">
        <v>18.899999999999999</v>
      </c>
      <c r="G3618" s="1405">
        <v>18.899999999999999</v>
      </c>
      <c r="H3618" t="b">
        <f t="shared" si="113"/>
        <v>1</v>
      </c>
    </row>
    <row r="3619" spans="1:8">
      <c r="A3619" s="739">
        <v>5075</v>
      </c>
      <c r="B3619" s="740" t="s">
        <v>11990</v>
      </c>
      <c r="C3619" s="739" t="s">
        <v>1694</v>
      </c>
      <c r="D3619" s="741">
        <f t="shared" si="112"/>
        <v>19.23</v>
      </c>
      <c r="F3619" s="1406">
        <v>19.23</v>
      </c>
      <c r="G3619" s="1406">
        <v>19.23</v>
      </c>
      <c r="H3619" t="b">
        <f t="shared" si="113"/>
        <v>1</v>
      </c>
    </row>
    <row r="3620" spans="1:8">
      <c r="A3620" s="677">
        <v>39027</v>
      </c>
      <c r="B3620" s="733" t="s">
        <v>11991</v>
      </c>
      <c r="C3620" s="677" t="s">
        <v>1694</v>
      </c>
      <c r="D3620" s="738">
        <f t="shared" si="112"/>
        <v>19.21</v>
      </c>
      <c r="F3620" s="1405">
        <v>19.21</v>
      </c>
      <c r="G3620" s="1405">
        <v>19.21</v>
      </c>
      <c r="H3620" t="b">
        <f t="shared" si="113"/>
        <v>1</v>
      </c>
    </row>
    <row r="3621" spans="1:8">
      <c r="A3621" s="739">
        <v>5062</v>
      </c>
      <c r="B3621" s="740" t="s">
        <v>11992</v>
      </c>
      <c r="C3621" s="739" t="s">
        <v>1694</v>
      </c>
      <c r="D3621" s="741">
        <f t="shared" si="112"/>
        <v>19.48</v>
      </c>
      <c r="F3621" s="1406">
        <v>19.48</v>
      </c>
      <c r="G3621" s="1406">
        <v>19.48</v>
      </c>
      <c r="H3621" t="b">
        <f t="shared" si="113"/>
        <v>1</v>
      </c>
    </row>
    <row r="3622" spans="1:8">
      <c r="A3622" s="677">
        <v>40568</v>
      </c>
      <c r="B3622" s="733" t="s">
        <v>11993</v>
      </c>
      <c r="C3622" s="677" t="s">
        <v>1694</v>
      </c>
      <c r="D3622" s="738">
        <f t="shared" si="112"/>
        <v>19.37</v>
      </c>
      <c r="F3622" s="1405">
        <v>19.37</v>
      </c>
      <c r="G3622" s="1405">
        <v>19.37</v>
      </c>
      <c r="H3622" t="b">
        <f t="shared" si="113"/>
        <v>1</v>
      </c>
    </row>
    <row r="3623" spans="1:8">
      <c r="A3623" s="739">
        <v>39026</v>
      </c>
      <c r="B3623" s="740" t="s">
        <v>11994</v>
      </c>
      <c r="C3623" s="739" t="s">
        <v>1694</v>
      </c>
      <c r="D3623" s="741">
        <f t="shared" si="112"/>
        <v>21.62</v>
      </c>
      <c r="F3623" s="1406">
        <v>21.62</v>
      </c>
      <c r="G3623" s="1406">
        <v>21.62</v>
      </c>
      <c r="H3623" t="b">
        <f t="shared" si="113"/>
        <v>1</v>
      </c>
    </row>
    <row r="3624" spans="1:8" ht="30">
      <c r="A3624" s="677">
        <v>42431</v>
      </c>
      <c r="B3624" s="733" t="s">
        <v>11995</v>
      </c>
      <c r="C3624" s="677" t="s">
        <v>1690</v>
      </c>
      <c r="D3624" s="738">
        <f t="shared" si="112"/>
        <v>3957.85</v>
      </c>
      <c r="F3624" s="1405">
        <v>3957.85</v>
      </c>
      <c r="G3624" s="1405">
        <v>3957.85</v>
      </c>
      <c r="H3624" t="b">
        <f t="shared" si="113"/>
        <v>1</v>
      </c>
    </row>
    <row r="3625" spans="1:8">
      <c r="A3625" s="739">
        <v>44074</v>
      </c>
      <c r="B3625" s="740" t="s">
        <v>11996</v>
      </c>
      <c r="C3625" s="739" t="s">
        <v>1695</v>
      </c>
      <c r="D3625" s="741">
        <f t="shared" si="112"/>
        <v>565.53</v>
      </c>
      <c r="F3625" s="1406">
        <v>565.53</v>
      </c>
      <c r="G3625" s="1406">
        <v>565.53</v>
      </c>
      <c r="H3625" t="b">
        <f t="shared" si="113"/>
        <v>1</v>
      </c>
    </row>
    <row r="3626" spans="1:8">
      <c r="A3626" s="677">
        <v>44072</v>
      </c>
      <c r="B3626" s="733" t="s">
        <v>11997</v>
      </c>
      <c r="C3626" s="677" t="s">
        <v>1695</v>
      </c>
      <c r="D3626" s="738">
        <f t="shared" si="112"/>
        <v>103.53</v>
      </c>
      <c r="F3626" s="1405">
        <v>103.53</v>
      </c>
      <c r="G3626" s="1405">
        <v>103.53</v>
      </c>
      <c r="H3626" t="b">
        <f t="shared" si="113"/>
        <v>1</v>
      </c>
    </row>
    <row r="3627" spans="1:8">
      <c r="A3627" s="739">
        <v>511</v>
      </c>
      <c r="B3627" s="740" t="s">
        <v>11998</v>
      </c>
      <c r="C3627" s="739" t="s">
        <v>1695</v>
      </c>
      <c r="D3627" s="741">
        <f t="shared" si="112"/>
        <v>27.73</v>
      </c>
      <c r="F3627" s="1406">
        <v>27.73</v>
      </c>
      <c r="G3627" s="1406">
        <v>27.73</v>
      </c>
      <c r="H3627" t="b">
        <f t="shared" si="113"/>
        <v>1</v>
      </c>
    </row>
    <row r="3628" spans="1:8">
      <c r="A3628" s="677">
        <v>37540</v>
      </c>
      <c r="B3628" s="733" t="s">
        <v>11999</v>
      </c>
      <c r="C3628" s="677" t="s">
        <v>1690</v>
      </c>
      <c r="D3628" s="738">
        <f t="shared" si="112"/>
        <v>90557.9</v>
      </c>
      <c r="F3628" s="1405">
        <v>90557.9</v>
      </c>
      <c r="G3628" s="1405">
        <v>90557.9</v>
      </c>
      <c r="H3628" t="b">
        <f t="shared" si="113"/>
        <v>1</v>
      </c>
    </row>
    <row r="3629" spans="1:8">
      <c r="A3629" s="739">
        <v>37548</v>
      </c>
      <c r="B3629" s="740" t="s">
        <v>12000</v>
      </c>
      <c r="C3629" s="739" t="s">
        <v>1690</v>
      </c>
      <c r="D3629" s="741">
        <f t="shared" si="112"/>
        <v>120034.04</v>
      </c>
      <c r="F3629" s="1406">
        <v>120034.04</v>
      </c>
      <c r="G3629" s="1406">
        <v>120034.04</v>
      </c>
      <c r="H3629" t="b">
        <f t="shared" si="113"/>
        <v>1</v>
      </c>
    </row>
    <row r="3630" spans="1:8" ht="30">
      <c r="A3630" s="677">
        <v>39828</v>
      </c>
      <c r="B3630" s="733" t="s">
        <v>12001</v>
      </c>
      <c r="C3630" s="677" t="s">
        <v>1690</v>
      </c>
      <c r="D3630" s="738">
        <f t="shared" si="112"/>
        <v>720.08</v>
      </c>
      <c r="F3630" s="1405">
        <v>720.08</v>
      </c>
      <c r="G3630" s="1405">
        <v>720.08</v>
      </c>
      <c r="H3630" t="b">
        <f t="shared" si="113"/>
        <v>1</v>
      </c>
    </row>
    <row r="3631" spans="1:8" ht="30">
      <c r="A3631" s="739">
        <v>12273</v>
      </c>
      <c r="B3631" s="740" t="s">
        <v>12002</v>
      </c>
      <c r="C3631" s="739" t="s">
        <v>1690</v>
      </c>
      <c r="D3631" s="741">
        <f t="shared" si="112"/>
        <v>113.42</v>
      </c>
      <c r="F3631" s="1406">
        <v>113.42</v>
      </c>
      <c r="G3631" s="1406">
        <v>113.42</v>
      </c>
      <c r="H3631" t="b">
        <f t="shared" si="113"/>
        <v>1</v>
      </c>
    </row>
    <row r="3632" spans="1:8">
      <c r="A3632" s="677">
        <v>38392</v>
      </c>
      <c r="B3632" s="733" t="s">
        <v>12003</v>
      </c>
      <c r="C3632" s="677" t="s">
        <v>1690</v>
      </c>
      <c r="D3632" s="738">
        <f t="shared" si="112"/>
        <v>67.48</v>
      </c>
      <c r="F3632" s="1405">
        <v>67.48</v>
      </c>
      <c r="G3632" s="1405">
        <v>67.48</v>
      </c>
      <c r="H3632" t="b">
        <f t="shared" si="113"/>
        <v>1</v>
      </c>
    </row>
    <row r="3633" spans="1:8">
      <c r="A3633" s="739">
        <v>11735</v>
      </c>
      <c r="B3633" s="740" t="s">
        <v>12004</v>
      </c>
      <c r="C3633" s="739" t="s">
        <v>1690</v>
      </c>
      <c r="D3633" s="741">
        <f t="shared" si="112"/>
        <v>9.2200000000000006</v>
      </c>
      <c r="F3633" s="1406">
        <v>9.2200000000000006</v>
      </c>
      <c r="G3633" s="1406">
        <v>9.2200000000000006</v>
      </c>
      <c r="H3633" t="b">
        <f t="shared" si="113"/>
        <v>1</v>
      </c>
    </row>
    <row r="3634" spans="1:8">
      <c r="A3634" s="677">
        <v>11737</v>
      </c>
      <c r="B3634" s="733" t="s">
        <v>12005</v>
      </c>
      <c r="C3634" s="677" t="s">
        <v>1690</v>
      </c>
      <c r="D3634" s="738">
        <f t="shared" si="112"/>
        <v>13.08</v>
      </c>
      <c r="F3634" s="1405">
        <v>13.08</v>
      </c>
      <c r="G3634" s="1405">
        <v>13.08</v>
      </c>
      <c r="H3634" t="b">
        <f t="shared" si="113"/>
        <v>1</v>
      </c>
    </row>
    <row r="3635" spans="1:8">
      <c r="A3635" s="739">
        <v>11738</v>
      </c>
      <c r="B3635" s="740" t="s">
        <v>12006</v>
      </c>
      <c r="C3635" s="739" t="s">
        <v>1690</v>
      </c>
      <c r="D3635" s="741">
        <f t="shared" si="112"/>
        <v>16.489999999999998</v>
      </c>
      <c r="F3635" s="1406">
        <v>16.489999999999998</v>
      </c>
      <c r="G3635" s="1406">
        <v>16.489999999999998</v>
      </c>
      <c r="H3635" t="b">
        <f t="shared" si="113"/>
        <v>1</v>
      </c>
    </row>
    <row r="3636" spans="1:8">
      <c r="A3636" s="677">
        <v>36143</v>
      </c>
      <c r="B3636" s="733" t="s">
        <v>12007</v>
      </c>
      <c r="C3636" s="677" t="s">
        <v>1690</v>
      </c>
      <c r="D3636" s="738">
        <f t="shared" si="112"/>
        <v>36.119999999999997</v>
      </c>
      <c r="F3636" s="1405">
        <v>36.119999999999997</v>
      </c>
      <c r="G3636" s="1405">
        <v>36.119999999999997</v>
      </c>
      <c r="H3636" t="b">
        <f t="shared" si="113"/>
        <v>1</v>
      </c>
    </row>
    <row r="3637" spans="1:8">
      <c r="A3637" s="739">
        <v>36142</v>
      </c>
      <c r="B3637" s="740" t="s">
        <v>12008</v>
      </c>
      <c r="C3637" s="739" t="s">
        <v>1690</v>
      </c>
      <c r="D3637" s="741">
        <f t="shared" si="112"/>
        <v>2.64</v>
      </c>
      <c r="F3637" s="1406">
        <v>2.64</v>
      </c>
      <c r="G3637" s="1406">
        <v>2.64</v>
      </c>
      <c r="H3637" t="b">
        <f t="shared" si="113"/>
        <v>1</v>
      </c>
    </row>
    <row r="3638" spans="1:8">
      <c r="A3638" s="677">
        <v>36146</v>
      </c>
      <c r="B3638" s="733" t="s">
        <v>12009</v>
      </c>
      <c r="C3638" s="677" t="s">
        <v>1690</v>
      </c>
      <c r="D3638" s="738">
        <f t="shared" si="112"/>
        <v>299.54000000000002</v>
      </c>
      <c r="F3638" s="1405">
        <v>299.54000000000002</v>
      </c>
      <c r="G3638" s="1405">
        <v>299.54000000000002</v>
      </c>
      <c r="H3638" t="b">
        <f t="shared" si="113"/>
        <v>1</v>
      </c>
    </row>
    <row r="3639" spans="1:8">
      <c r="A3639" s="739">
        <v>39015</v>
      </c>
      <c r="B3639" s="740" t="s">
        <v>12010</v>
      </c>
      <c r="C3639" s="739" t="s">
        <v>1690</v>
      </c>
      <c r="D3639" s="741">
        <f t="shared" si="112"/>
        <v>0.97</v>
      </c>
      <c r="F3639" s="1406">
        <v>0.97</v>
      </c>
      <c r="G3639" s="1406">
        <v>0.97</v>
      </c>
      <c r="H3639" t="b">
        <f t="shared" si="113"/>
        <v>1</v>
      </c>
    </row>
    <row r="3640" spans="1:8">
      <c r="A3640" s="677">
        <v>38377</v>
      </c>
      <c r="B3640" s="733" t="s">
        <v>12011</v>
      </c>
      <c r="C3640" s="677" t="s">
        <v>1690</v>
      </c>
      <c r="D3640" s="738">
        <f t="shared" si="112"/>
        <v>62.63</v>
      </c>
      <c r="F3640" s="1405">
        <v>62.63</v>
      </c>
      <c r="G3640" s="1405">
        <v>62.63</v>
      </c>
      <c r="H3640" t="b">
        <f t="shared" si="113"/>
        <v>1</v>
      </c>
    </row>
    <row r="3641" spans="1:8">
      <c r="A3641" s="739">
        <v>38376</v>
      </c>
      <c r="B3641" s="740" t="s">
        <v>12012</v>
      </c>
      <c r="C3641" s="739" t="s">
        <v>1690</v>
      </c>
      <c r="D3641" s="741">
        <f t="shared" si="112"/>
        <v>71.400000000000006</v>
      </c>
      <c r="F3641" s="1406">
        <v>71.400000000000006</v>
      </c>
      <c r="G3641" s="1406">
        <v>71.400000000000006</v>
      </c>
      <c r="H3641" t="b">
        <f t="shared" si="113"/>
        <v>1</v>
      </c>
    </row>
    <row r="3642" spans="1:8">
      <c r="A3642" s="677">
        <v>38116</v>
      </c>
      <c r="B3642" s="733" t="s">
        <v>12013</v>
      </c>
      <c r="C3642" s="677" t="s">
        <v>1690</v>
      </c>
      <c r="D3642" s="738">
        <f t="shared" si="112"/>
        <v>5.26</v>
      </c>
      <c r="F3642" s="1405">
        <v>5.26</v>
      </c>
      <c r="G3642" s="1405">
        <v>5.26</v>
      </c>
      <c r="H3642" t="b">
        <f t="shared" si="113"/>
        <v>1</v>
      </c>
    </row>
    <row r="3643" spans="1:8">
      <c r="A3643" s="739">
        <v>38066</v>
      </c>
      <c r="B3643" s="740" t="s">
        <v>12014</v>
      </c>
      <c r="C3643" s="739" t="s">
        <v>1690</v>
      </c>
      <c r="D3643" s="741">
        <f t="shared" si="112"/>
        <v>8.69</v>
      </c>
      <c r="F3643" s="1406">
        <v>8.69</v>
      </c>
      <c r="G3643" s="1406">
        <v>8.69</v>
      </c>
      <c r="H3643" t="b">
        <f t="shared" si="113"/>
        <v>1</v>
      </c>
    </row>
    <row r="3644" spans="1:8">
      <c r="A3644" s="677">
        <v>38117</v>
      </c>
      <c r="B3644" s="733" t="s">
        <v>12015</v>
      </c>
      <c r="C3644" s="677" t="s">
        <v>1690</v>
      </c>
      <c r="D3644" s="738">
        <f t="shared" si="112"/>
        <v>8.9600000000000009</v>
      </c>
      <c r="F3644" s="1405">
        <v>8.9600000000000009</v>
      </c>
      <c r="G3644" s="1405">
        <v>8.9600000000000009</v>
      </c>
      <c r="H3644" t="b">
        <f t="shared" si="113"/>
        <v>1</v>
      </c>
    </row>
    <row r="3645" spans="1:8">
      <c r="A3645" s="739">
        <v>38067</v>
      </c>
      <c r="B3645" s="740" t="s">
        <v>12016</v>
      </c>
      <c r="C3645" s="739" t="s">
        <v>1690</v>
      </c>
      <c r="D3645" s="741">
        <f t="shared" si="112"/>
        <v>12.23</v>
      </c>
      <c r="F3645" s="1406">
        <v>12.23</v>
      </c>
      <c r="G3645" s="1406">
        <v>12.23</v>
      </c>
      <c r="H3645" t="b">
        <f t="shared" si="113"/>
        <v>1</v>
      </c>
    </row>
    <row r="3646" spans="1:8" ht="30">
      <c r="A3646" s="677">
        <v>11522</v>
      </c>
      <c r="B3646" s="733" t="s">
        <v>12017</v>
      </c>
      <c r="C3646" s="677" t="s">
        <v>1690</v>
      </c>
      <c r="D3646" s="738">
        <f t="shared" si="112"/>
        <v>14.88</v>
      </c>
      <c r="F3646" s="1405">
        <v>14.88</v>
      </c>
      <c r="G3646" s="1405">
        <v>14.88</v>
      </c>
      <c r="H3646" t="b">
        <f t="shared" si="113"/>
        <v>1</v>
      </c>
    </row>
    <row r="3647" spans="1:8" ht="30">
      <c r="A3647" s="739">
        <v>43600</v>
      </c>
      <c r="B3647" s="740" t="s">
        <v>12018</v>
      </c>
      <c r="C3647" s="739" t="s">
        <v>1690</v>
      </c>
      <c r="D3647" s="741">
        <f t="shared" si="112"/>
        <v>59.61</v>
      </c>
      <c r="F3647" s="1406">
        <v>59.61</v>
      </c>
      <c r="G3647" s="1406">
        <v>59.61</v>
      </c>
      <c r="H3647" t="b">
        <f t="shared" si="113"/>
        <v>1</v>
      </c>
    </row>
    <row r="3648" spans="1:8" ht="30">
      <c r="A3648" s="677">
        <v>5080</v>
      </c>
      <c r="B3648" s="733" t="s">
        <v>12019</v>
      </c>
      <c r="C3648" s="677" t="s">
        <v>1690</v>
      </c>
      <c r="D3648" s="738">
        <f t="shared" si="112"/>
        <v>23.24</v>
      </c>
      <c r="F3648" s="1405">
        <v>23.24</v>
      </c>
      <c r="G3648" s="1405">
        <v>23.24</v>
      </c>
      <c r="H3648" t="b">
        <f t="shared" si="113"/>
        <v>1</v>
      </c>
    </row>
    <row r="3649" spans="1:8">
      <c r="A3649" s="739">
        <v>38168</v>
      </c>
      <c r="B3649" s="740" t="s">
        <v>12020</v>
      </c>
      <c r="C3649" s="739" t="s">
        <v>1690</v>
      </c>
      <c r="D3649" s="741">
        <f t="shared" si="112"/>
        <v>162.29</v>
      </c>
      <c r="F3649" s="1406">
        <v>162.29</v>
      </c>
      <c r="G3649" s="1406">
        <v>162.29</v>
      </c>
      <c r="H3649" t="b">
        <f t="shared" si="113"/>
        <v>1</v>
      </c>
    </row>
    <row r="3650" spans="1:8">
      <c r="A3650" s="677">
        <v>43601</v>
      </c>
      <c r="B3650" s="733" t="s">
        <v>12021</v>
      </c>
      <c r="C3650" s="677" t="s">
        <v>1690</v>
      </c>
      <c r="D3650" s="738">
        <f t="shared" si="112"/>
        <v>81.14</v>
      </c>
      <c r="F3650" s="1405">
        <v>81.14</v>
      </c>
      <c r="G3650" s="1405">
        <v>81.14</v>
      </c>
      <c r="H3650" t="b">
        <f t="shared" si="113"/>
        <v>1</v>
      </c>
    </row>
    <row r="3651" spans="1:8" ht="30">
      <c r="A3651" s="739">
        <v>13393</v>
      </c>
      <c r="B3651" s="740" t="s">
        <v>12022</v>
      </c>
      <c r="C3651" s="739" t="s">
        <v>1690</v>
      </c>
      <c r="D3651" s="741">
        <f t="shared" ref="D3651:D3714" si="114">IF($J$2=$F$1,F3651,G3651)</f>
        <v>421.55</v>
      </c>
      <c r="F3651" s="1406">
        <v>421.55</v>
      </c>
      <c r="G3651" s="1406">
        <v>421.55</v>
      </c>
      <c r="H3651" t="b">
        <f t="shared" ref="H3651:H3714" si="115">F3651=G3651</f>
        <v>1</v>
      </c>
    </row>
    <row r="3652" spans="1:8" ht="30">
      <c r="A3652" s="677">
        <v>13395</v>
      </c>
      <c r="B3652" s="733" t="s">
        <v>12023</v>
      </c>
      <c r="C3652" s="677" t="s">
        <v>1690</v>
      </c>
      <c r="D3652" s="738">
        <f t="shared" si="114"/>
        <v>590.76</v>
      </c>
      <c r="F3652" s="1405">
        <v>590.76</v>
      </c>
      <c r="G3652" s="1405">
        <v>590.76</v>
      </c>
      <c r="H3652" t="b">
        <f t="shared" si="115"/>
        <v>1</v>
      </c>
    </row>
    <row r="3653" spans="1:8" ht="30">
      <c r="A3653" s="739">
        <v>12039</v>
      </c>
      <c r="B3653" s="740" t="s">
        <v>12024</v>
      </c>
      <c r="C3653" s="739" t="s">
        <v>1690</v>
      </c>
      <c r="D3653" s="741">
        <f t="shared" si="114"/>
        <v>620.83000000000004</v>
      </c>
      <c r="F3653" s="1406">
        <v>620.83000000000004</v>
      </c>
      <c r="G3653" s="1406">
        <v>620.83000000000004</v>
      </c>
      <c r="H3653" t="b">
        <f t="shared" si="115"/>
        <v>1</v>
      </c>
    </row>
    <row r="3654" spans="1:8" ht="30">
      <c r="A3654" s="677">
        <v>13396</v>
      </c>
      <c r="B3654" s="733" t="s">
        <v>12025</v>
      </c>
      <c r="C3654" s="677" t="s">
        <v>1690</v>
      </c>
      <c r="D3654" s="738">
        <f t="shared" si="114"/>
        <v>871.91</v>
      </c>
      <c r="F3654" s="1405">
        <v>871.91</v>
      </c>
      <c r="G3654" s="1405">
        <v>871.91</v>
      </c>
      <c r="H3654" t="b">
        <f t="shared" si="115"/>
        <v>1</v>
      </c>
    </row>
    <row r="3655" spans="1:8" ht="30">
      <c r="A3655" s="739">
        <v>12041</v>
      </c>
      <c r="B3655" s="740" t="s">
        <v>12026</v>
      </c>
      <c r="C3655" s="739" t="s">
        <v>1690</v>
      </c>
      <c r="D3655" s="741">
        <f t="shared" si="114"/>
        <v>711.97</v>
      </c>
      <c r="F3655" s="1406">
        <v>711.97</v>
      </c>
      <c r="G3655" s="1406">
        <v>711.97</v>
      </c>
      <c r="H3655" t="b">
        <f t="shared" si="115"/>
        <v>1</v>
      </c>
    </row>
    <row r="3656" spans="1:8" ht="30">
      <c r="A3656" s="677">
        <v>12043</v>
      </c>
      <c r="B3656" s="733" t="s">
        <v>12027</v>
      </c>
      <c r="C3656" s="677" t="s">
        <v>1690</v>
      </c>
      <c r="D3656" s="738">
        <f t="shared" si="114"/>
        <v>1503.21</v>
      </c>
      <c r="F3656" s="1405">
        <v>1503.21</v>
      </c>
      <c r="G3656" s="1405">
        <v>1503.21</v>
      </c>
      <c r="H3656" t="b">
        <f t="shared" si="115"/>
        <v>1</v>
      </c>
    </row>
    <row r="3657" spans="1:8" ht="30">
      <c r="A3657" s="739">
        <v>39762</v>
      </c>
      <c r="B3657" s="740" t="s">
        <v>12028</v>
      </c>
      <c r="C3657" s="739" t="s">
        <v>1690</v>
      </c>
      <c r="D3657" s="741">
        <f t="shared" si="114"/>
        <v>715.57</v>
      </c>
      <c r="F3657" s="1406">
        <v>715.57</v>
      </c>
      <c r="G3657" s="1406">
        <v>715.57</v>
      </c>
      <c r="H3657" t="b">
        <f t="shared" si="115"/>
        <v>1</v>
      </c>
    </row>
    <row r="3658" spans="1:8" ht="30">
      <c r="A3658" s="677">
        <v>12042</v>
      </c>
      <c r="B3658" s="733" t="s">
        <v>12029</v>
      </c>
      <c r="C3658" s="677" t="s">
        <v>1690</v>
      </c>
      <c r="D3658" s="738">
        <f t="shared" si="114"/>
        <v>1044.7</v>
      </c>
      <c r="F3658" s="1405">
        <v>1044.7</v>
      </c>
      <c r="G3658" s="1405">
        <v>1044.7</v>
      </c>
      <c r="H3658" t="b">
        <f t="shared" si="115"/>
        <v>1</v>
      </c>
    </row>
    <row r="3659" spans="1:8" ht="30">
      <c r="A3659" s="739">
        <v>39763</v>
      </c>
      <c r="B3659" s="740" t="s">
        <v>12030</v>
      </c>
      <c r="C3659" s="739" t="s">
        <v>1690</v>
      </c>
      <c r="D3659" s="741">
        <f t="shared" si="114"/>
        <v>1222.69</v>
      </c>
      <c r="F3659" s="1406">
        <v>1222.69</v>
      </c>
      <c r="G3659" s="1406">
        <v>1222.69</v>
      </c>
      <c r="H3659" t="b">
        <f t="shared" si="115"/>
        <v>1</v>
      </c>
    </row>
    <row r="3660" spans="1:8" ht="30">
      <c r="A3660" s="677">
        <v>39760</v>
      </c>
      <c r="B3660" s="733" t="s">
        <v>12031</v>
      </c>
      <c r="C3660" s="677" t="s">
        <v>1690</v>
      </c>
      <c r="D3660" s="738">
        <f t="shared" si="114"/>
        <v>1218.67</v>
      </c>
      <c r="F3660" s="1405">
        <v>1218.67</v>
      </c>
      <c r="G3660" s="1405">
        <v>1218.67</v>
      </c>
      <c r="H3660" t="b">
        <f t="shared" si="115"/>
        <v>1</v>
      </c>
    </row>
    <row r="3661" spans="1:8" ht="30">
      <c r="A3661" s="739">
        <v>39756</v>
      </c>
      <c r="B3661" s="740" t="s">
        <v>12032</v>
      </c>
      <c r="C3661" s="739" t="s">
        <v>1690</v>
      </c>
      <c r="D3661" s="741">
        <f t="shared" si="114"/>
        <v>437.58</v>
      </c>
      <c r="F3661" s="1406">
        <v>437.58</v>
      </c>
      <c r="G3661" s="1406">
        <v>437.58</v>
      </c>
      <c r="H3661" t="b">
        <f t="shared" si="115"/>
        <v>1</v>
      </c>
    </row>
    <row r="3662" spans="1:8" ht="30">
      <c r="A3662" s="677">
        <v>12038</v>
      </c>
      <c r="B3662" s="733" t="s">
        <v>12033</v>
      </c>
      <c r="C3662" s="677" t="s">
        <v>1690</v>
      </c>
      <c r="D3662" s="738">
        <f t="shared" si="114"/>
        <v>546.76</v>
      </c>
      <c r="F3662" s="1405">
        <v>546.76</v>
      </c>
      <c r="G3662" s="1405">
        <v>546.76</v>
      </c>
      <c r="H3662" t="b">
        <f t="shared" si="115"/>
        <v>1</v>
      </c>
    </row>
    <row r="3663" spans="1:8" ht="30">
      <c r="A3663" s="739">
        <v>39757</v>
      </c>
      <c r="B3663" s="740" t="s">
        <v>12034</v>
      </c>
      <c r="C3663" s="739" t="s">
        <v>1690</v>
      </c>
      <c r="D3663" s="741">
        <f t="shared" si="114"/>
        <v>505.59</v>
      </c>
      <c r="F3663" s="1406">
        <v>505.59</v>
      </c>
      <c r="G3663" s="1406">
        <v>505.59</v>
      </c>
      <c r="H3663" t="b">
        <f t="shared" si="115"/>
        <v>1</v>
      </c>
    </row>
    <row r="3664" spans="1:8" ht="30">
      <c r="A3664" s="677">
        <v>39758</v>
      </c>
      <c r="B3664" s="733" t="s">
        <v>12035</v>
      </c>
      <c r="C3664" s="677" t="s">
        <v>1690</v>
      </c>
      <c r="D3664" s="738">
        <f t="shared" si="114"/>
        <v>736.82</v>
      </c>
      <c r="F3664" s="1405">
        <v>736.82</v>
      </c>
      <c r="G3664" s="1405">
        <v>736.82</v>
      </c>
      <c r="H3664" t="b">
        <f t="shared" si="115"/>
        <v>1</v>
      </c>
    </row>
    <row r="3665" spans="1:8" ht="30">
      <c r="A3665" s="739">
        <v>39759</v>
      </c>
      <c r="B3665" s="740" t="s">
        <v>12036</v>
      </c>
      <c r="C3665" s="739" t="s">
        <v>1690</v>
      </c>
      <c r="D3665" s="741">
        <f t="shared" si="114"/>
        <v>909.98</v>
      </c>
      <c r="F3665" s="1406">
        <v>909.98</v>
      </c>
      <c r="G3665" s="1406">
        <v>909.98</v>
      </c>
      <c r="H3665" t="b">
        <f t="shared" si="115"/>
        <v>1</v>
      </c>
    </row>
    <row r="3666" spans="1:8" ht="30">
      <c r="A3666" s="677">
        <v>39761</v>
      </c>
      <c r="B3666" s="733" t="s">
        <v>12037</v>
      </c>
      <c r="C3666" s="677" t="s">
        <v>1690</v>
      </c>
      <c r="D3666" s="738">
        <f t="shared" si="114"/>
        <v>1093.82</v>
      </c>
      <c r="F3666" s="1405">
        <v>1093.82</v>
      </c>
      <c r="G3666" s="1405">
        <v>1093.82</v>
      </c>
      <c r="H3666" t="b">
        <f t="shared" si="115"/>
        <v>1</v>
      </c>
    </row>
    <row r="3667" spans="1:8" ht="30">
      <c r="A3667" s="739">
        <v>39805</v>
      </c>
      <c r="B3667" s="740" t="s">
        <v>12038</v>
      </c>
      <c r="C3667" s="739" t="s">
        <v>1690</v>
      </c>
      <c r="D3667" s="741">
        <f t="shared" si="114"/>
        <v>172.01</v>
      </c>
      <c r="F3667" s="1406">
        <v>172.01</v>
      </c>
      <c r="G3667" s="1406">
        <v>172.01</v>
      </c>
      <c r="H3667" t="b">
        <f t="shared" si="115"/>
        <v>1</v>
      </c>
    </row>
    <row r="3668" spans="1:8" ht="30">
      <c r="A3668" s="677">
        <v>39806</v>
      </c>
      <c r="B3668" s="733" t="s">
        <v>12039</v>
      </c>
      <c r="C3668" s="677" t="s">
        <v>1690</v>
      </c>
      <c r="D3668" s="738">
        <f t="shared" si="114"/>
        <v>318.68</v>
      </c>
      <c r="F3668" s="1405">
        <v>318.68</v>
      </c>
      <c r="G3668" s="1405">
        <v>318.68</v>
      </c>
      <c r="H3668" t="b">
        <f t="shared" si="115"/>
        <v>1</v>
      </c>
    </row>
    <row r="3669" spans="1:8" ht="30">
      <c r="A3669" s="739">
        <v>39807</v>
      </c>
      <c r="B3669" s="740" t="s">
        <v>12040</v>
      </c>
      <c r="C3669" s="739" t="s">
        <v>1690</v>
      </c>
      <c r="D3669" s="741">
        <f t="shared" si="114"/>
        <v>690.66</v>
      </c>
      <c r="F3669" s="1406">
        <v>690.66</v>
      </c>
      <c r="G3669" s="1406">
        <v>690.66</v>
      </c>
      <c r="H3669" t="b">
        <f t="shared" si="115"/>
        <v>1</v>
      </c>
    </row>
    <row r="3670" spans="1:8">
      <c r="A3670" s="677">
        <v>43100</v>
      </c>
      <c r="B3670" s="733" t="s">
        <v>12041</v>
      </c>
      <c r="C3670" s="677" t="s">
        <v>1690</v>
      </c>
      <c r="D3670" s="738">
        <f t="shared" si="114"/>
        <v>539.95000000000005</v>
      </c>
      <c r="F3670" s="1405">
        <v>539.95000000000005</v>
      </c>
      <c r="G3670" s="1405">
        <v>539.95000000000005</v>
      </c>
      <c r="H3670" t="b">
        <f t="shared" si="115"/>
        <v>1</v>
      </c>
    </row>
    <row r="3671" spans="1:8" ht="30">
      <c r="A3671" s="739">
        <v>39804</v>
      </c>
      <c r="B3671" s="740" t="s">
        <v>12042</v>
      </c>
      <c r="C3671" s="739" t="s">
        <v>1690</v>
      </c>
      <c r="D3671" s="741">
        <f t="shared" si="114"/>
        <v>101</v>
      </c>
      <c r="F3671" s="1406">
        <v>101</v>
      </c>
      <c r="G3671" s="1406">
        <v>101</v>
      </c>
      <c r="H3671" t="b">
        <f t="shared" si="115"/>
        <v>1</v>
      </c>
    </row>
    <row r="3672" spans="1:8">
      <c r="A3672" s="677">
        <v>39796</v>
      </c>
      <c r="B3672" s="733" t="s">
        <v>12043</v>
      </c>
      <c r="C3672" s="677" t="s">
        <v>1690</v>
      </c>
      <c r="D3672" s="738">
        <f t="shared" si="114"/>
        <v>104.61</v>
      </c>
      <c r="F3672" s="1405">
        <v>104.61</v>
      </c>
      <c r="G3672" s="1405">
        <v>104.61</v>
      </c>
      <c r="H3672" t="b">
        <f t="shared" si="115"/>
        <v>1</v>
      </c>
    </row>
    <row r="3673" spans="1:8">
      <c r="A3673" s="739">
        <v>39797</v>
      </c>
      <c r="B3673" s="740" t="s">
        <v>12044</v>
      </c>
      <c r="C3673" s="739" t="s">
        <v>1690</v>
      </c>
      <c r="D3673" s="741">
        <f t="shared" si="114"/>
        <v>164.22</v>
      </c>
      <c r="F3673" s="1406">
        <v>164.22</v>
      </c>
      <c r="G3673" s="1406">
        <v>164.22</v>
      </c>
      <c r="H3673" t="b">
        <f t="shared" si="115"/>
        <v>1</v>
      </c>
    </row>
    <row r="3674" spans="1:8">
      <c r="A3674" s="677">
        <v>39798</v>
      </c>
      <c r="B3674" s="733" t="s">
        <v>12045</v>
      </c>
      <c r="C3674" s="677" t="s">
        <v>1690</v>
      </c>
      <c r="D3674" s="738">
        <f t="shared" si="114"/>
        <v>281.69</v>
      </c>
      <c r="F3674" s="1405">
        <v>281.69</v>
      </c>
      <c r="G3674" s="1405">
        <v>281.69</v>
      </c>
      <c r="H3674" t="b">
        <f t="shared" si="115"/>
        <v>1</v>
      </c>
    </row>
    <row r="3675" spans="1:8">
      <c r="A3675" s="739">
        <v>39794</v>
      </c>
      <c r="B3675" s="740" t="s">
        <v>12046</v>
      </c>
      <c r="C3675" s="739" t="s">
        <v>1690</v>
      </c>
      <c r="D3675" s="741">
        <f t="shared" si="114"/>
        <v>44.4</v>
      </c>
      <c r="F3675" s="1406">
        <v>44.4</v>
      </c>
      <c r="G3675" s="1406">
        <v>44.4</v>
      </c>
      <c r="H3675" t="b">
        <f t="shared" si="115"/>
        <v>1</v>
      </c>
    </row>
    <row r="3676" spans="1:8">
      <c r="A3676" s="677">
        <v>39795</v>
      </c>
      <c r="B3676" s="733" t="s">
        <v>12047</v>
      </c>
      <c r="C3676" s="677" t="s">
        <v>1690</v>
      </c>
      <c r="D3676" s="738">
        <f t="shared" si="114"/>
        <v>70.150000000000006</v>
      </c>
      <c r="F3676" s="1405">
        <v>70.150000000000006</v>
      </c>
      <c r="G3676" s="1405">
        <v>70.150000000000006</v>
      </c>
      <c r="H3676" t="b">
        <f t="shared" si="115"/>
        <v>1</v>
      </c>
    </row>
    <row r="3677" spans="1:8">
      <c r="A3677" s="739">
        <v>39799</v>
      </c>
      <c r="B3677" s="740" t="s">
        <v>12048</v>
      </c>
      <c r="C3677" s="739" t="s">
        <v>1690</v>
      </c>
      <c r="D3677" s="741">
        <f t="shared" si="114"/>
        <v>51.76</v>
      </c>
      <c r="F3677" s="1406">
        <v>51.76</v>
      </c>
      <c r="G3677" s="1406">
        <v>51.76</v>
      </c>
      <c r="H3677" t="b">
        <f t="shared" si="115"/>
        <v>1</v>
      </c>
    </row>
    <row r="3678" spans="1:8">
      <c r="A3678" s="677">
        <v>39801</v>
      </c>
      <c r="B3678" s="733" t="s">
        <v>12049</v>
      </c>
      <c r="C3678" s="677" t="s">
        <v>1690</v>
      </c>
      <c r="D3678" s="738">
        <f t="shared" si="114"/>
        <v>148.13999999999999</v>
      </c>
      <c r="F3678" s="1405">
        <v>148.13999999999999</v>
      </c>
      <c r="G3678" s="1405">
        <v>148.13999999999999</v>
      </c>
      <c r="H3678" t="b">
        <f t="shared" si="115"/>
        <v>1</v>
      </c>
    </row>
    <row r="3679" spans="1:8">
      <c r="A3679" s="739">
        <v>39802</v>
      </c>
      <c r="B3679" s="740" t="s">
        <v>12050</v>
      </c>
      <c r="C3679" s="739" t="s">
        <v>1690</v>
      </c>
      <c r="D3679" s="741">
        <f t="shared" si="114"/>
        <v>217.14</v>
      </c>
      <c r="F3679" s="1406">
        <v>217.14</v>
      </c>
      <c r="G3679" s="1406">
        <v>217.14</v>
      </c>
      <c r="H3679" t="b">
        <f t="shared" si="115"/>
        <v>1</v>
      </c>
    </row>
    <row r="3680" spans="1:8">
      <c r="A3680" s="677">
        <v>39803</v>
      </c>
      <c r="B3680" s="733" t="s">
        <v>12051</v>
      </c>
      <c r="C3680" s="677" t="s">
        <v>1690</v>
      </c>
      <c r="D3680" s="738">
        <f t="shared" si="114"/>
        <v>302.92</v>
      </c>
      <c r="F3680" s="1405">
        <v>302.92</v>
      </c>
      <c r="G3680" s="1405">
        <v>302.92</v>
      </c>
      <c r="H3680" t="b">
        <f t="shared" si="115"/>
        <v>1</v>
      </c>
    </row>
    <row r="3681" spans="1:8">
      <c r="A3681" s="739">
        <v>39800</v>
      </c>
      <c r="B3681" s="740" t="s">
        <v>12052</v>
      </c>
      <c r="C3681" s="739" t="s">
        <v>1690</v>
      </c>
      <c r="D3681" s="741">
        <f t="shared" si="114"/>
        <v>88.17</v>
      </c>
      <c r="F3681" s="1406">
        <v>88.17</v>
      </c>
      <c r="G3681" s="1406">
        <v>88.17</v>
      </c>
      <c r="H3681" t="b">
        <f t="shared" si="115"/>
        <v>1</v>
      </c>
    </row>
    <row r="3682" spans="1:8">
      <c r="A3682" s="677">
        <v>43837</v>
      </c>
      <c r="B3682" s="733" t="s">
        <v>12053</v>
      </c>
      <c r="C3682" s="677" t="s">
        <v>1690</v>
      </c>
      <c r="D3682" s="738">
        <f t="shared" si="114"/>
        <v>1159.79</v>
      </c>
      <c r="F3682" s="1405">
        <v>1159.79</v>
      </c>
      <c r="G3682" s="1405">
        <v>1159.79</v>
      </c>
      <c r="H3682" t="b">
        <f t="shared" si="115"/>
        <v>1</v>
      </c>
    </row>
    <row r="3683" spans="1:8">
      <c r="A3683" s="739">
        <v>43836</v>
      </c>
      <c r="B3683" s="740" t="s">
        <v>12054</v>
      </c>
      <c r="C3683" s="739" t="s">
        <v>1690</v>
      </c>
      <c r="D3683" s="741">
        <f t="shared" si="114"/>
        <v>2359.9699999999998</v>
      </c>
      <c r="F3683" s="1406">
        <v>2359.9699999999998</v>
      </c>
      <c r="G3683" s="1406">
        <v>2359.9699999999998</v>
      </c>
      <c r="H3683" t="b">
        <f t="shared" si="115"/>
        <v>1</v>
      </c>
    </row>
    <row r="3684" spans="1:8">
      <c r="A3684" s="677">
        <v>21059</v>
      </c>
      <c r="B3684" s="733" t="s">
        <v>12055</v>
      </c>
      <c r="C3684" s="677" t="s">
        <v>1690</v>
      </c>
      <c r="D3684" s="738">
        <f t="shared" si="114"/>
        <v>62.04</v>
      </c>
      <c r="F3684" s="1405">
        <v>62.04</v>
      </c>
      <c r="G3684" s="1405">
        <v>62.04</v>
      </c>
      <c r="H3684" t="b">
        <f t="shared" si="115"/>
        <v>1</v>
      </c>
    </row>
    <row r="3685" spans="1:8">
      <c r="A3685" s="739">
        <v>11234</v>
      </c>
      <c r="B3685" s="740" t="s">
        <v>12056</v>
      </c>
      <c r="C3685" s="739" t="s">
        <v>1690</v>
      </c>
      <c r="D3685" s="741">
        <f t="shared" si="114"/>
        <v>93.51</v>
      </c>
      <c r="F3685" s="1406">
        <v>93.51</v>
      </c>
      <c r="G3685" s="1406">
        <v>93.51</v>
      </c>
      <c r="H3685" t="b">
        <f t="shared" si="115"/>
        <v>1</v>
      </c>
    </row>
    <row r="3686" spans="1:8">
      <c r="A3686" s="677">
        <v>21060</v>
      </c>
      <c r="B3686" s="733" t="s">
        <v>12057</v>
      </c>
      <c r="C3686" s="677" t="s">
        <v>1690</v>
      </c>
      <c r="D3686" s="738">
        <f t="shared" si="114"/>
        <v>115.1</v>
      </c>
      <c r="F3686" s="1405">
        <v>115.1</v>
      </c>
      <c r="G3686" s="1405">
        <v>115.1</v>
      </c>
      <c r="H3686" t="b">
        <f t="shared" si="115"/>
        <v>1</v>
      </c>
    </row>
    <row r="3687" spans="1:8">
      <c r="A3687" s="739">
        <v>21061</v>
      </c>
      <c r="B3687" s="740" t="s">
        <v>12058</v>
      </c>
      <c r="C3687" s="739" t="s">
        <v>1690</v>
      </c>
      <c r="D3687" s="741">
        <f t="shared" si="114"/>
        <v>143.87</v>
      </c>
      <c r="F3687" s="1406">
        <v>143.87</v>
      </c>
      <c r="G3687" s="1406">
        <v>143.87</v>
      </c>
      <c r="H3687" t="b">
        <f t="shared" si="115"/>
        <v>1</v>
      </c>
    </row>
    <row r="3688" spans="1:8">
      <c r="A3688" s="677">
        <v>21062</v>
      </c>
      <c r="B3688" s="733" t="s">
        <v>12059</v>
      </c>
      <c r="C3688" s="677" t="s">
        <v>1690</v>
      </c>
      <c r="D3688" s="738">
        <f t="shared" si="114"/>
        <v>226.6</v>
      </c>
      <c r="F3688" s="1405">
        <v>226.6</v>
      </c>
      <c r="G3688" s="1405">
        <v>226.6</v>
      </c>
      <c r="H3688" t="b">
        <f t="shared" si="115"/>
        <v>1</v>
      </c>
    </row>
    <row r="3689" spans="1:8">
      <c r="A3689" s="739">
        <v>11708</v>
      </c>
      <c r="B3689" s="740" t="s">
        <v>12060</v>
      </c>
      <c r="C3689" s="739" t="s">
        <v>1690</v>
      </c>
      <c r="D3689" s="741">
        <f t="shared" si="114"/>
        <v>24.72</v>
      </c>
      <c r="F3689" s="1406">
        <v>24.72</v>
      </c>
      <c r="G3689" s="1406">
        <v>24.72</v>
      </c>
      <c r="H3689" t="b">
        <f t="shared" si="115"/>
        <v>1</v>
      </c>
    </row>
    <row r="3690" spans="1:8">
      <c r="A3690" s="677">
        <v>11709</v>
      </c>
      <c r="B3690" s="733" t="s">
        <v>12061</v>
      </c>
      <c r="C3690" s="677" t="s">
        <v>1690</v>
      </c>
      <c r="D3690" s="738">
        <f t="shared" si="114"/>
        <v>58.08</v>
      </c>
      <c r="F3690" s="1405">
        <v>58.08</v>
      </c>
      <c r="G3690" s="1405">
        <v>58.08</v>
      </c>
      <c r="H3690" t="b">
        <f t="shared" si="115"/>
        <v>1</v>
      </c>
    </row>
    <row r="3691" spans="1:8">
      <c r="A3691" s="739">
        <v>11710</v>
      </c>
      <c r="B3691" s="740" t="s">
        <v>12062</v>
      </c>
      <c r="C3691" s="739" t="s">
        <v>1690</v>
      </c>
      <c r="D3691" s="741">
        <f t="shared" si="114"/>
        <v>133.53</v>
      </c>
      <c r="F3691" s="1406">
        <v>133.53</v>
      </c>
      <c r="G3691" s="1406">
        <v>133.53</v>
      </c>
      <c r="H3691" t="b">
        <f t="shared" si="115"/>
        <v>1</v>
      </c>
    </row>
    <row r="3692" spans="1:8">
      <c r="A3692" s="677">
        <v>11707</v>
      </c>
      <c r="B3692" s="733" t="s">
        <v>12063</v>
      </c>
      <c r="C3692" s="677" t="s">
        <v>1690</v>
      </c>
      <c r="D3692" s="738">
        <f t="shared" si="114"/>
        <v>18.52</v>
      </c>
      <c r="F3692" s="1405">
        <v>18.52</v>
      </c>
      <c r="G3692" s="1405">
        <v>18.52</v>
      </c>
      <c r="H3692" t="b">
        <f t="shared" si="115"/>
        <v>1</v>
      </c>
    </row>
    <row r="3693" spans="1:8">
      <c r="A3693" s="739">
        <v>5102</v>
      </c>
      <c r="B3693" s="740" t="s">
        <v>12064</v>
      </c>
      <c r="C3693" s="739" t="s">
        <v>1690</v>
      </c>
      <c r="D3693" s="741">
        <f t="shared" si="114"/>
        <v>12.96</v>
      </c>
      <c r="F3693" s="1406">
        <v>12.96</v>
      </c>
      <c r="G3693" s="1406">
        <v>12.96</v>
      </c>
      <c r="H3693" t="b">
        <f t="shared" si="115"/>
        <v>1</v>
      </c>
    </row>
    <row r="3694" spans="1:8">
      <c r="A3694" s="677">
        <v>11739</v>
      </c>
      <c r="B3694" s="733" t="s">
        <v>12065</v>
      </c>
      <c r="C3694" s="677" t="s">
        <v>1690</v>
      </c>
      <c r="D3694" s="738">
        <f t="shared" si="114"/>
        <v>9.24</v>
      </c>
      <c r="F3694" s="1405">
        <v>9.24</v>
      </c>
      <c r="G3694" s="1405">
        <v>9.24</v>
      </c>
      <c r="H3694" t="b">
        <f t="shared" si="115"/>
        <v>1</v>
      </c>
    </row>
    <row r="3695" spans="1:8">
      <c r="A3695" s="739">
        <v>11711</v>
      </c>
      <c r="B3695" s="740" t="s">
        <v>12066</v>
      </c>
      <c r="C3695" s="739" t="s">
        <v>1690</v>
      </c>
      <c r="D3695" s="741">
        <f t="shared" si="114"/>
        <v>10.8</v>
      </c>
      <c r="F3695" s="1406">
        <v>10.8</v>
      </c>
      <c r="G3695" s="1406">
        <v>10.8</v>
      </c>
      <c r="H3695" t="b">
        <f t="shared" si="115"/>
        <v>1</v>
      </c>
    </row>
    <row r="3696" spans="1:8">
      <c r="A3696" s="677">
        <v>11741</v>
      </c>
      <c r="B3696" s="733" t="s">
        <v>12067</v>
      </c>
      <c r="C3696" s="677" t="s">
        <v>1690</v>
      </c>
      <c r="D3696" s="738">
        <f t="shared" si="114"/>
        <v>11.76</v>
      </c>
      <c r="F3696" s="1405">
        <v>11.76</v>
      </c>
      <c r="G3696" s="1405">
        <v>11.76</v>
      </c>
      <c r="H3696" t="b">
        <f t="shared" si="115"/>
        <v>1</v>
      </c>
    </row>
    <row r="3697" spans="1:8">
      <c r="A3697" s="739">
        <v>11745</v>
      </c>
      <c r="B3697" s="740" t="s">
        <v>12068</v>
      </c>
      <c r="C3697" s="739" t="s">
        <v>1690</v>
      </c>
      <c r="D3697" s="741">
        <f t="shared" si="114"/>
        <v>15.5</v>
      </c>
      <c r="F3697" s="1406">
        <v>15.5</v>
      </c>
      <c r="G3697" s="1406">
        <v>15.5</v>
      </c>
      <c r="H3697" t="b">
        <f t="shared" si="115"/>
        <v>1</v>
      </c>
    </row>
    <row r="3698" spans="1:8">
      <c r="A3698" s="677">
        <v>11743</v>
      </c>
      <c r="B3698" s="733" t="s">
        <v>12069</v>
      </c>
      <c r="C3698" s="677" t="s">
        <v>1690</v>
      </c>
      <c r="D3698" s="738">
        <f t="shared" si="114"/>
        <v>9.8699999999999992</v>
      </c>
      <c r="F3698" s="1405">
        <v>9.8699999999999992</v>
      </c>
      <c r="G3698" s="1405">
        <v>9.8699999999999992</v>
      </c>
      <c r="H3698" t="b">
        <f t="shared" si="115"/>
        <v>1</v>
      </c>
    </row>
    <row r="3699" spans="1:8">
      <c r="A3699" s="739">
        <v>1088</v>
      </c>
      <c r="B3699" s="740" t="s">
        <v>12070</v>
      </c>
      <c r="C3699" s="739" t="s">
        <v>1690</v>
      </c>
      <c r="D3699" s="741">
        <f t="shared" si="114"/>
        <v>30.13</v>
      </c>
      <c r="F3699" s="1406">
        <v>30.13</v>
      </c>
      <c r="G3699" s="1406">
        <v>30.13</v>
      </c>
      <c r="H3699" t="b">
        <f t="shared" si="115"/>
        <v>1</v>
      </c>
    </row>
    <row r="3700" spans="1:8">
      <c r="A3700" s="677">
        <v>1087</v>
      </c>
      <c r="B3700" s="733" t="s">
        <v>12071</v>
      </c>
      <c r="C3700" s="677" t="s">
        <v>1690</v>
      </c>
      <c r="D3700" s="738">
        <f t="shared" si="114"/>
        <v>37.64</v>
      </c>
      <c r="F3700" s="1405">
        <v>37.64</v>
      </c>
      <c r="G3700" s="1405">
        <v>37.64</v>
      </c>
      <c r="H3700" t="b">
        <f t="shared" si="115"/>
        <v>1</v>
      </c>
    </row>
    <row r="3701" spans="1:8">
      <c r="A3701" s="739">
        <v>38777</v>
      </c>
      <c r="B3701" s="740" t="s">
        <v>12072</v>
      </c>
      <c r="C3701" s="739" t="s">
        <v>1690</v>
      </c>
      <c r="D3701" s="741">
        <f t="shared" si="114"/>
        <v>74.97</v>
      </c>
      <c r="F3701" s="1406">
        <v>74.97</v>
      </c>
      <c r="G3701" s="1406">
        <v>74.97</v>
      </c>
      <c r="H3701" t="b">
        <f t="shared" si="115"/>
        <v>1</v>
      </c>
    </row>
    <row r="3702" spans="1:8">
      <c r="A3702" s="677">
        <v>1086</v>
      </c>
      <c r="B3702" s="733" t="s">
        <v>12073</v>
      </c>
      <c r="C3702" s="677" t="s">
        <v>1690</v>
      </c>
      <c r="D3702" s="738">
        <f t="shared" si="114"/>
        <v>39.56</v>
      </c>
      <c r="F3702" s="1405">
        <v>39.56</v>
      </c>
      <c r="G3702" s="1405">
        <v>39.56</v>
      </c>
      <c r="H3702" t="b">
        <f t="shared" si="115"/>
        <v>1</v>
      </c>
    </row>
    <row r="3703" spans="1:8">
      <c r="A3703" s="739">
        <v>1079</v>
      </c>
      <c r="B3703" s="740" t="s">
        <v>12074</v>
      </c>
      <c r="C3703" s="739" t="s">
        <v>1690</v>
      </c>
      <c r="D3703" s="741">
        <f t="shared" si="114"/>
        <v>40.89</v>
      </c>
      <c r="F3703" s="1406">
        <v>40.89</v>
      </c>
      <c r="G3703" s="1406">
        <v>40.89</v>
      </c>
      <c r="H3703" t="b">
        <f t="shared" si="115"/>
        <v>1</v>
      </c>
    </row>
    <row r="3704" spans="1:8">
      <c r="A3704" s="677">
        <v>39374</v>
      </c>
      <c r="B3704" s="733" t="s">
        <v>12075</v>
      </c>
      <c r="C3704" s="677" t="s">
        <v>1690</v>
      </c>
      <c r="D3704" s="738">
        <f t="shared" si="114"/>
        <v>154.97</v>
      </c>
      <c r="F3704" s="1405">
        <v>154.97</v>
      </c>
      <c r="G3704" s="1405">
        <v>154.97</v>
      </c>
      <c r="H3704" t="b">
        <f t="shared" si="115"/>
        <v>1</v>
      </c>
    </row>
    <row r="3705" spans="1:8">
      <c r="A3705" s="739">
        <v>1082</v>
      </c>
      <c r="B3705" s="740" t="s">
        <v>12076</v>
      </c>
      <c r="C3705" s="739" t="s">
        <v>1690</v>
      </c>
      <c r="D3705" s="741">
        <f t="shared" si="114"/>
        <v>257.08999999999997</v>
      </c>
      <c r="F3705" s="1406">
        <v>257.08999999999997</v>
      </c>
      <c r="G3705" s="1406">
        <v>257.08999999999997</v>
      </c>
      <c r="H3705" t="b">
        <f t="shared" si="115"/>
        <v>1</v>
      </c>
    </row>
    <row r="3706" spans="1:8">
      <c r="A3706" s="677">
        <v>12316</v>
      </c>
      <c r="B3706" s="733" t="s">
        <v>12077</v>
      </c>
      <c r="C3706" s="677" t="s">
        <v>1690</v>
      </c>
      <c r="D3706" s="738">
        <f t="shared" si="114"/>
        <v>117.83</v>
      </c>
      <c r="F3706" s="1405">
        <v>117.83</v>
      </c>
      <c r="G3706" s="1405">
        <v>117.83</v>
      </c>
      <c r="H3706" t="b">
        <f t="shared" si="115"/>
        <v>1</v>
      </c>
    </row>
    <row r="3707" spans="1:8">
      <c r="A3707" s="739">
        <v>12317</v>
      </c>
      <c r="B3707" s="740" t="s">
        <v>12078</v>
      </c>
      <c r="C3707" s="739" t="s">
        <v>1690</v>
      </c>
      <c r="D3707" s="741">
        <f t="shared" si="114"/>
        <v>140.52000000000001</v>
      </c>
      <c r="F3707" s="1406">
        <v>140.52000000000001</v>
      </c>
      <c r="G3707" s="1406">
        <v>140.52000000000001</v>
      </c>
      <c r="H3707" t="b">
        <f t="shared" si="115"/>
        <v>1</v>
      </c>
    </row>
    <row r="3708" spans="1:8">
      <c r="A3708" s="677">
        <v>12318</v>
      </c>
      <c r="B3708" s="733" t="s">
        <v>12079</v>
      </c>
      <c r="C3708" s="677" t="s">
        <v>1690</v>
      </c>
      <c r="D3708" s="738">
        <f t="shared" si="114"/>
        <v>161.88</v>
      </c>
      <c r="F3708" s="1405">
        <v>161.88</v>
      </c>
      <c r="G3708" s="1405">
        <v>161.88</v>
      </c>
      <c r="H3708" t="b">
        <f t="shared" si="115"/>
        <v>1</v>
      </c>
    </row>
    <row r="3709" spans="1:8">
      <c r="A3709" s="739">
        <v>5104</v>
      </c>
      <c r="B3709" s="740" t="s">
        <v>12080</v>
      </c>
      <c r="C3709" s="739" t="s">
        <v>1694</v>
      </c>
      <c r="D3709" s="741">
        <f t="shared" si="114"/>
        <v>59.87</v>
      </c>
      <c r="F3709" s="1406">
        <v>59.87</v>
      </c>
      <c r="G3709" s="1406">
        <v>59.87</v>
      </c>
      <c r="H3709" t="b">
        <f t="shared" si="115"/>
        <v>1</v>
      </c>
    </row>
    <row r="3710" spans="1:8">
      <c r="A3710" s="677">
        <v>44530</v>
      </c>
      <c r="B3710" s="733" t="s">
        <v>12081</v>
      </c>
      <c r="C3710" s="677" t="s">
        <v>1690</v>
      </c>
      <c r="D3710" s="738">
        <f t="shared" si="114"/>
        <v>89.58</v>
      </c>
      <c r="F3710" s="1405">
        <v>89.58</v>
      </c>
      <c r="G3710" s="1405">
        <v>89.58</v>
      </c>
      <c r="H3710" t="b">
        <f t="shared" si="115"/>
        <v>1</v>
      </c>
    </row>
    <row r="3711" spans="1:8">
      <c r="A3711" s="739">
        <v>2710</v>
      </c>
      <c r="B3711" s="740" t="s">
        <v>12082</v>
      </c>
      <c r="C3711" s="739" t="s">
        <v>1690</v>
      </c>
      <c r="D3711" s="741">
        <f t="shared" si="114"/>
        <v>71.540000000000006</v>
      </c>
      <c r="F3711" s="1406">
        <v>71.540000000000006</v>
      </c>
      <c r="G3711" s="1406">
        <v>71.540000000000006</v>
      </c>
      <c r="H3711" t="b">
        <f t="shared" si="115"/>
        <v>1</v>
      </c>
    </row>
    <row r="3712" spans="1:8">
      <c r="A3712" s="677">
        <v>14575</v>
      </c>
      <c r="B3712" s="733" t="s">
        <v>12083</v>
      </c>
      <c r="C3712" s="677" t="s">
        <v>1690</v>
      </c>
      <c r="D3712" s="738">
        <f t="shared" si="114"/>
        <v>4648702.6399999997</v>
      </c>
      <c r="F3712" s="1405">
        <v>4648702.6399999997</v>
      </c>
      <c r="G3712" s="1405">
        <v>4648702.6399999997</v>
      </c>
      <c r="H3712" t="b">
        <f t="shared" si="115"/>
        <v>1</v>
      </c>
    </row>
    <row r="3713" spans="1:8">
      <c r="A3713" s="739">
        <v>20043</v>
      </c>
      <c r="B3713" s="740" t="s">
        <v>12084</v>
      </c>
      <c r="C3713" s="739" t="s">
        <v>1690</v>
      </c>
      <c r="D3713" s="741">
        <f t="shared" si="114"/>
        <v>8.68</v>
      </c>
      <c r="F3713" s="1406">
        <v>8.68</v>
      </c>
      <c r="G3713" s="1406">
        <v>8.68</v>
      </c>
      <c r="H3713" t="b">
        <f t="shared" si="115"/>
        <v>1</v>
      </c>
    </row>
    <row r="3714" spans="1:8">
      <c r="A3714" s="677">
        <v>20044</v>
      </c>
      <c r="B3714" s="733" t="s">
        <v>12085</v>
      </c>
      <c r="C3714" s="677" t="s">
        <v>1690</v>
      </c>
      <c r="D3714" s="738">
        <f t="shared" si="114"/>
        <v>10.06</v>
      </c>
      <c r="F3714" s="1405">
        <v>10.06</v>
      </c>
      <c r="G3714" s="1405">
        <v>10.06</v>
      </c>
      <c r="H3714" t="b">
        <f t="shared" si="115"/>
        <v>1</v>
      </c>
    </row>
    <row r="3715" spans="1:8">
      <c r="A3715" s="739">
        <v>20042</v>
      </c>
      <c r="B3715" s="740" t="s">
        <v>12086</v>
      </c>
      <c r="C3715" s="739" t="s">
        <v>1690</v>
      </c>
      <c r="D3715" s="741">
        <f t="shared" ref="D3715:D3778" si="116">IF($J$2=$F$1,F3715,G3715)</f>
        <v>7.53</v>
      </c>
      <c r="F3715" s="1406">
        <v>7.53</v>
      </c>
      <c r="G3715" s="1406">
        <v>7.53</v>
      </c>
      <c r="H3715" t="b">
        <f t="shared" ref="H3715:H3778" si="117">F3715=G3715</f>
        <v>1</v>
      </c>
    </row>
    <row r="3716" spans="1:8">
      <c r="A3716" s="677">
        <v>20046</v>
      </c>
      <c r="B3716" s="733" t="s">
        <v>12087</v>
      </c>
      <c r="C3716" s="677" t="s">
        <v>1690</v>
      </c>
      <c r="D3716" s="738">
        <f t="shared" si="116"/>
        <v>17.809999999999999</v>
      </c>
      <c r="F3716" s="1405">
        <v>17.809999999999999</v>
      </c>
      <c r="G3716" s="1405">
        <v>17.809999999999999</v>
      </c>
      <c r="H3716" t="b">
        <f t="shared" si="117"/>
        <v>1</v>
      </c>
    </row>
    <row r="3717" spans="1:8">
      <c r="A3717" s="739">
        <v>20047</v>
      </c>
      <c r="B3717" s="740" t="s">
        <v>12088</v>
      </c>
      <c r="C3717" s="739" t="s">
        <v>1690</v>
      </c>
      <c r="D3717" s="741">
        <f t="shared" si="116"/>
        <v>53.42</v>
      </c>
      <c r="F3717" s="1406">
        <v>53.42</v>
      </c>
      <c r="G3717" s="1406">
        <v>53.42</v>
      </c>
      <c r="H3717" t="b">
        <f t="shared" si="117"/>
        <v>1</v>
      </c>
    </row>
    <row r="3718" spans="1:8">
      <c r="A3718" s="677">
        <v>20045</v>
      </c>
      <c r="B3718" s="733" t="s">
        <v>12089</v>
      </c>
      <c r="C3718" s="677" t="s">
        <v>1690</v>
      </c>
      <c r="D3718" s="738">
        <f t="shared" si="116"/>
        <v>9.01</v>
      </c>
      <c r="F3718" s="1405">
        <v>9.01</v>
      </c>
      <c r="G3718" s="1405">
        <v>9.01</v>
      </c>
      <c r="H3718" t="b">
        <f t="shared" si="117"/>
        <v>1</v>
      </c>
    </row>
    <row r="3719" spans="1:8">
      <c r="A3719" s="739">
        <v>20972</v>
      </c>
      <c r="B3719" s="740" t="s">
        <v>12090</v>
      </c>
      <c r="C3719" s="739" t="s">
        <v>1690</v>
      </c>
      <c r="D3719" s="741">
        <f t="shared" si="116"/>
        <v>132.13999999999999</v>
      </c>
      <c r="F3719" s="1406">
        <v>132.13999999999999</v>
      </c>
      <c r="G3719" s="1406">
        <v>132.13999999999999</v>
      </c>
      <c r="H3719" t="b">
        <f t="shared" si="117"/>
        <v>1</v>
      </c>
    </row>
    <row r="3720" spans="1:8">
      <c r="A3720" s="677">
        <v>11321</v>
      </c>
      <c r="B3720" s="733" t="s">
        <v>12091</v>
      </c>
      <c r="C3720" s="677" t="s">
        <v>1690</v>
      </c>
      <c r="D3720" s="738">
        <f t="shared" si="116"/>
        <v>24.08</v>
      </c>
      <c r="F3720" s="1405">
        <v>24.08</v>
      </c>
      <c r="G3720" s="1405">
        <v>24.08</v>
      </c>
      <c r="H3720" t="b">
        <f t="shared" si="117"/>
        <v>1</v>
      </c>
    </row>
    <row r="3721" spans="1:8">
      <c r="A3721" s="739">
        <v>11323</v>
      </c>
      <c r="B3721" s="740" t="s">
        <v>12092</v>
      </c>
      <c r="C3721" s="739" t="s">
        <v>1690</v>
      </c>
      <c r="D3721" s="741">
        <f t="shared" si="116"/>
        <v>27.69</v>
      </c>
      <c r="F3721" s="1406">
        <v>27.69</v>
      </c>
      <c r="G3721" s="1406">
        <v>27.69</v>
      </c>
      <c r="H3721" t="b">
        <f t="shared" si="117"/>
        <v>1</v>
      </c>
    </row>
    <row r="3722" spans="1:8">
      <c r="A3722" s="677">
        <v>20327</v>
      </c>
      <c r="B3722" s="733" t="s">
        <v>12093</v>
      </c>
      <c r="C3722" s="677" t="s">
        <v>1690</v>
      </c>
      <c r="D3722" s="738">
        <f t="shared" si="116"/>
        <v>15.72</v>
      </c>
      <c r="F3722" s="1405">
        <v>15.72</v>
      </c>
      <c r="G3722" s="1405">
        <v>15.72</v>
      </c>
      <c r="H3722" t="b">
        <f t="shared" si="117"/>
        <v>1</v>
      </c>
    </row>
    <row r="3723" spans="1:8" ht="30">
      <c r="A3723" s="739">
        <v>13390</v>
      </c>
      <c r="B3723" s="740" t="s">
        <v>12094</v>
      </c>
      <c r="C3723" s="739" t="s">
        <v>1690</v>
      </c>
      <c r="D3723" s="741">
        <f t="shared" si="116"/>
        <v>148.71</v>
      </c>
      <c r="F3723" s="1406">
        <v>148.71</v>
      </c>
      <c r="G3723" s="1406">
        <v>148.71</v>
      </c>
      <c r="H3723" t="b">
        <f t="shared" si="117"/>
        <v>1</v>
      </c>
    </row>
    <row r="3724" spans="1:8">
      <c r="A3724" s="677">
        <v>6034</v>
      </c>
      <c r="B3724" s="733" t="s">
        <v>12095</v>
      </c>
      <c r="C3724" s="677" t="s">
        <v>1690</v>
      </c>
      <c r="D3724" s="738">
        <f t="shared" si="116"/>
        <v>9.32</v>
      </c>
      <c r="F3724" s="1405">
        <v>9.32</v>
      </c>
      <c r="G3724" s="1405">
        <v>9.32</v>
      </c>
      <c r="H3724" t="b">
        <f t="shared" si="117"/>
        <v>1</v>
      </c>
    </row>
    <row r="3725" spans="1:8">
      <c r="A3725" s="739">
        <v>6036</v>
      </c>
      <c r="B3725" s="740" t="s">
        <v>12096</v>
      </c>
      <c r="C3725" s="739" t="s">
        <v>1690</v>
      </c>
      <c r="D3725" s="741">
        <f t="shared" si="116"/>
        <v>12.69</v>
      </c>
      <c r="F3725" s="1406">
        <v>12.69</v>
      </c>
      <c r="G3725" s="1406">
        <v>12.69</v>
      </c>
      <c r="H3725" t="b">
        <f t="shared" si="117"/>
        <v>1</v>
      </c>
    </row>
    <row r="3726" spans="1:8">
      <c r="A3726" s="677">
        <v>6031</v>
      </c>
      <c r="B3726" s="733" t="s">
        <v>12097</v>
      </c>
      <c r="C3726" s="677" t="s">
        <v>1690</v>
      </c>
      <c r="D3726" s="738">
        <f t="shared" si="116"/>
        <v>14.92</v>
      </c>
      <c r="F3726" s="1405">
        <v>14.92</v>
      </c>
      <c r="G3726" s="1405">
        <v>14.92</v>
      </c>
      <c r="H3726" t="b">
        <f t="shared" si="117"/>
        <v>1</v>
      </c>
    </row>
    <row r="3727" spans="1:8">
      <c r="A3727" s="739">
        <v>6029</v>
      </c>
      <c r="B3727" s="740" t="s">
        <v>12098</v>
      </c>
      <c r="C3727" s="739" t="s">
        <v>1690</v>
      </c>
      <c r="D3727" s="741">
        <f t="shared" si="116"/>
        <v>15.07</v>
      </c>
      <c r="F3727" s="1406">
        <v>15.07</v>
      </c>
      <c r="G3727" s="1406">
        <v>15.07</v>
      </c>
      <c r="H3727" t="b">
        <f t="shared" si="117"/>
        <v>1</v>
      </c>
    </row>
    <row r="3728" spans="1:8">
      <c r="A3728" s="677">
        <v>6033</v>
      </c>
      <c r="B3728" s="733" t="s">
        <v>12099</v>
      </c>
      <c r="C3728" s="677" t="s">
        <v>1690</v>
      </c>
      <c r="D3728" s="738">
        <f t="shared" si="116"/>
        <v>19.87</v>
      </c>
      <c r="F3728" s="1405">
        <v>19.87</v>
      </c>
      <c r="G3728" s="1405">
        <v>19.87</v>
      </c>
      <c r="H3728" t="b">
        <f t="shared" si="117"/>
        <v>1</v>
      </c>
    </row>
    <row r="3729" spans="1:8">
      <c r="A3729" s="739">
        <v>11672</v>
      </c>
      <c r="B3729" s="740" t="s">
        <v>12100</v>
      </c>
      <c r="C3729" s="739" t="s">
        <v>1690</v>
      </c>
      <c r="D3729" s="741">
        <f t="shared" si="116"/>
        <v>43.23</v>
      </c>
      <c r="F3729" s="1406">
        <v>43.23</v>
      </c>
      <c r="G3729" s="1406">
        <v>43.23</v>
      </c>
      <c r="H3729" t="b">
        <f t="shared" si="117"/>
        <v>1</v>
      </c>
    </row>
    <row r="3730" spans="1:8">
      <c r="A3730" s="677">
        <v>11669</v>
      </c>
      <c r="B3730" s="733" t="s">
        <v>12101</v>
      </c>
      <c r="C3730" s="677" t="s">
        <v>1690</v>
      </c>
      <c r="D3730" s="738">
        <f t="shared" si="116"/>
        <v>41.17</v>
      </c>
      <c r="F3730" s="1405">
        <v>41.17</v>
      </c>
      <c r="G3730" s="1405">
        <v>41.17</v>
      </c>
      <c r="H3730" t="b">
        <f t="shared" si="117"/>
        <v>1</v>
      </c>
    </row>
    <row r="3731" spans="1:8">
      <c r="A3731" s="739">
        <v>11670</v>
      </c>
      <c r="B3731" s="740" t="s">
        <v>12102</v>
      </c>
      <c r="C3731" s="739" t="s">
        <v>1690</v>
      </c>
      <c r="D3731" s="741">
        <f t="shared" si="116"/>
        <v>15.77</v>
      </c>
      <c r="F3731" s="1406">
        <v>15.77</v>
      </c>
      <c r="G3731" s="1406">
        <v>15.77</v>
      </c>
      <c r="H3731" t="b">
        <f t="shared" si="117"/>
        <v>1</v>
      </c>
    </row>
    <row r="3732" spans="1:8">
      <c r="A3732" s="677">
        <v>20055</v>
      </c>
      <c r="B3732" s="733" t="s">
        <v>12103</v>
      </c>
      <c r="C3732" s="677" t="s">
        <v>1690</v>
      </c>
      <c r="D3732" s="738">
        <f t="shared" si="116"/>
        <v>30.83</v>
      </c>
      <c r="F3732" s="1405">
        <v>30.83</v>
      </c>
      <c r="G3732" s="1405">
        <v>30.83</v>
      </c>
      <c r="H3732" t="b">
        <f t="shared" si="117"/>
        <v>1</v>
      </c>
    </row>
    <row r="3733" spans="1:8">
      <c r="A3733" s="739">
        <v>11671</v>
      </c>
      <c r="B3733" s="740" t="s">
        <v>12104</v>
      </c>
      <c r="C3733" s="739" t="s">
        <v>1690</v>
      </c>
      <c r="D3733" s="741">
        <f t="shared" si="116"/>
        <v>66.16</v>
      </c>
      <c r="F3733" s="1406">
        <v>66.16</v>
      </c>
      <c r="G3733" s="1406">
        <v>66.16</v>
      </c>
      <c r="H3733" t="b">
        <f t="shared" si="117"/>
        <v>1</v>
      </c>
    </row>
    <row r="3734" spans="1:8">
      <c r="A3734" s="677">
        <v>6032</v>
      </c>
      <c r="B3734" s="733" t="s">
        <v>12105</v>
      </c>
      <c r="C3734" s="677" t="s">
        <v>1690</v>
      </c>
      <c r="D3734" s="738">
        <f t="shared" si="116"/>
        <v>18.89</v>
      </c>
      <c r="F3734" s="1405">
        <v>18.89</v>
      </c>
      <c r="G3734" s="1405">
        <v>18.89</v>
      </c>
      <c r="H3734" t="b">
        <f t="shared" si="117"/>
        <v>1</v>
      </c>
    </row>
    <row r="3735" spans="1:8">
      <c r="A3735" s="739">
        <v>11673</v>
      </c>
      <c r="B3735" s="740" t="s">
        <v>12106</v>
      </c>
      <c r="C3735" s="739" t="s">
        <v>1690</v>
      </c>
      <c r="D3735" s="741">
        <f t="shared" si="116"/>
        <v>14.88</v>
      </c>
      <c r="F3735" s="1406">
        <v>14.88</v>
      </c>
      <c r="G3735" s="1406">
        <v>14.88</v>
      </c>
      <c r="H3735" t="b">
        <f t="shared" si="117"/>
        <v>1</v>
      </c>
    </row>
    <row r="3736" spans="1:8">
      <c r="A3736" s="677">
        <v>11674</v>
      </c>
      <c r="B3736" s="733" t="s">
        <v>12107</v>
      </c>
      <c r="C3736" s="677" t="s">
        <v>1690</v>
      </c>
      <c r="D3736" s="738">
        <f t="shared" si="116"/>
        <v>19.16</v>
      </c>
      <c r="F3736" s="1405">
        <v>19.16</v>
      </c>
      <c r="G3736" s="1405">
        <v>19.16</v>
      </c>
      <c r="H3736" t="b">
        <f t="shared" si="117"/>
        <v>1</v>
      </c>
    </row>
    <row r="3737" spans="1:8">
      <c r="A3737" s="739">
        <v>11675</v>
      </c>
      <c r="B3737" s="740" t="s">
        <v>12108</v>
      </c>
      <c r="C3737" s="739" t="s">
        <v>1690</v>
      </c>
      <c r="D3737" s="741">
        <f t="shared" si="116"/>
        <v>30.42</v>
      </c>
      <c r="F3737" s="1406">
        <v>30.42</v>
      </c>
      <c r="G3737" s="1406">
        <v>30.42</v>
      </c>
      <c r="H3737" t="b">
        <f t="shared" si="117"/>
        <v>1</v>
      </c>
    </row>
    <row r="3738" spans="1:8">
      <c r="A3738" s="677">
        <v>11676</v>
      </c>
      <c r="B3738" s="733" t="s">
        <v>12109</v>
      </c>
      <c r="C3738" s="677" t="s">
        <v>1690</v>
      </c>
      <c r="D3738" s="738">
        <f t="shared" si="116"/>
        <v>40.69</v>
      </c>
      <c r="F3738" s="1405">
        <v>40.69</v>
      </c>
      <c r="G3738" s="1405">
        <v>40.69</v>
      </c>
      <c r="H3738" t="b">
        <f t="shared" si="117"/>
        <v>1</v>
      </c>
    </row>
    <row r="3739" spans="1:8">
      <c r="A3739" s="739">
        <v>11677</v>
      </c>
      <c r="B3739" s="740" t="s">
        <v>12110</v>
      </c>
      <c r="C3739" s="739" t="s">
        <v>1690</v>
      </c>
      <c r="D3739" s="741">
        <f t="shared" si="116"/>
        <v>42.02</v>
      </c>
      <c r="F3739" s="1406">
        <v>42.02</v>
      </c>
      <c r="G3739" s="1406">
        <v>42.02</v>
      </c>
      <c r="H3739" t="b">
        <f t="shared" si="117"/>
        <v>1</v>
      </c>
    </row>
    <row r="3740" spans="1:8">
      <c r="A3740" s="677">
        <v>11678</v>
      </c>
      <c r="B3740" s="733" t="s">
        <v>12111</v>
      </c>
      <c r="C3740" s="677" t="s">
        <v>1690</v>
      </c>
      <c r="D3740" s="738">
        <f t="shared" si="116"/>
        <v>76.959999999999994</v>
      </c>
      <c r="F3740" s="1405">
        <v>76.959999999999994</v>
      </c>
      <c r="G3740" s="1405">
        <v>76.959999999999994</v>
      </c>
      <c r="H3740" t="b">
        <f t="shared" si="117"/>
        <v>1</v>
      </c>
    </row>
    <row r="3741" spans="1:8">
      <c r="A3741" s="739">
        <v>6038</v>
      </c>
      <c r="B3741" s="740" t="s">
        <v>12112</v>
      </c>
      <c r="C3741" s="739" t="s">
        <v>1690</v>
      </c>
      <c r="D3741" s="741">
        <f t="shared" si="116"/>
        <v>4.88</v>
      </c>
      <c r="F3741" s="1406">
        <v>4.88</v>
      </c>
      <c r="G3741" s="1406">
        <v>4.88</v>
      </c>
      <c r="H3741" t="b">
        <f t="shared" si="117"/>
        <v>1</v>
      </c>
    </row>
    <row r="3742" spans="1:8">
      <c r="A3742" s="677">
        <v>11718</v>
      </c>
      <c r="B3742" s="733" t="s">
        <v>12113</v>
      </c>
      <c r="C3742" s="677" t="s">
        <v>1690</v>
      </c>
      <c r="D3742" s="738">
        <f t="shared" si="116"/>
        <v>13.92</v>
      </c>
      <c r="F3742" s="1405">
        <v>13.92</v>
      </c>
      <c r="G3742" s="1405">
        <v>13.92</v>
      </c>
      <c r="H3742" t="b">
        <f t="shared" si="117"/>
        <v>1</v>
      </c>
    </row>
    <row r="3743" spans="1:8">
      <c r="A3743" s="739">
        <v>6037</v>
      </c>
      <c r="B3743" s="740" t="s">
        <v>12114</v>
      </c>
      <c r="C3743" s="739" t="s">
        <v>1690</v>
      </c>
      <c r="D3743" s="741">
        <f t="shared" si="116"/>
        <v>10.15</v>
      </c>
      <c r="F3743" s="1406">
        <v>10.15</v>
      </c>
      <c r="G3743" s="1406">
        <v>10.15</v>
      </c>
      <c r="H3743" t="b">
        <f t="shared" si="117"/>
        <v>1</v>
      </c>
    </row>
    <row r="3744" spans="1:8">
      <c r="A3744" s="677">
        <v>11719</v>
      </c>
      <c r="B3744" s="733" t="s">
        <v>12115</v>
      </c>
      <c r="C3744" s="677" t="s">
        <v>1690</v>
      </c>
      <c r="D3744" s="738">
        <f t="shared" si="116"/>
        <v>11.29</v>
      </c>
      <c r="F3744" s="1405">
        <v>11.29</v>
      </c>
      <c r="G3744" s="1405">
        <v>11.29</v>
      </c>
      <c r="H3744" t="b">
        <f t="shared" si="117"/>
        <v>1</v>
      </c>
    </row>
    <row r="3745" spans="1:8">
      <c r="A3745" s="739">
        <v>6019</v>
      </c>
      <c r="B3745" s="740" t="s">
        <v>12116</v>
      </c>
      <c r="C3745" s="739" t="s">
        <v>1690</v>
      </c>
      <c r="D3745" s="741">
        <f t="shared" si="116"/>
        <v>39.76</v>
      </c>
      <c r="F3745" s="1406">
        <v>39.76</v>
      </c>
      <c r="G3745" s="1406">
        <v>39.76</v>
      </c>
      <c r="H3745" t="b">
        <f t="shared" si="117"/>
        <v>1</v>
      </c>
    </row>
    <row r="3746" spans="1:8">
      <c r="A3746" s="677">
        <v>6010</v>
      </c>
      <c r="B3746" s="733" t="s">
        <v>12117</v>
      </c>
      <c r="C3746" s="677" t="s">
        <v>1690</v>
      </c>
      <c r="D3746" s="738">
        <f t="shared" si="116"/>
        <v>68.41</v>
      </c>
      <c r="F3746" s="1405">
        <v>68.41</v>
      </c>
      <c r="G3746" s="1405">
        <v>68.41</v>
      </c>
      <c r="H3746" t="b">
        <f t="shared" si="117"/>
        <v>1</v>
      </c>
    </row>
    <row r="3747" spans="1:8">
      <c r="A3747" s="739">
        <v>6017</v>
      </c>
      <c r="B3747" s="740" t="s">
        <v>12118</v>
      </c>
      <c r="C3747" s="739" t="s">
        <v>1690</v>
      </c>
      <c r="D3747" s="741">
        <f t="shared" si="116"/>
        <v>54.18</v>
      </c>
      <c r="F3747" s="1406">
        <v>54.18</v>
      </c>
      <c r="G3747" s="1406">
        <v>54.18</v>
      </c>
      <c r="H3747" t="b">
        <f t="shared" si="117"/>
        <v>1</v>
      </c>
    </row>
    <row r="3748" spans="1:8">
      <c r="A3748" s="677">
        <v>6020</v>
      </c>
      <c r="B3748" s="733" t="s">
        <v>12119</v>
      </c>
      <c r="C3748" s="677" t="s">
        <v>1690</v>
      </c>
      <c r="D3748" s="738">
        <f t="shared" si="116"/>
        <v>23.88</v>
      </c>
      <c r="F3748" s="1405">
        <v>23.88</v>
      </c>
      <c r="G3748" s="1405">
        <v>23.88</v>
      </c>
      <c r="H3748" t="b">
        <f t="shared" si="117"/>
        <v>1</v>
      </c>
    </row>
    <row r="3749" spans="1:8">
      <c r="A3749" s="739">
        <v>6028</v>
      </c>
      <c r="B3749" s="740" t="s">
        <v>12120</v>
      </c>
      <c r="C3749" s="739" t="s">
        <v>1690</v>
      </c>
      <c r="D3749" s="741">
        <f t="shared" si="116"/>
        <v>95.28</v>
      </c>
      <c r="F3749" s="1406">
        <v>95.28</v>
      </c>
      <c r="G3749" s="1406">
        <v>95.28</v>
      </c>
      <c r="H3749" t="b">
        <f t="shared" si="117"/>
        <v>1</v>
      </c>
    </row>
    <row r="3750" spans="1:8">
      <c r="A3750" s="677">
        <v>6011</v>
      </c>
      <c r="B3750" s="733" t="s">
        <v>12121</v>
      </c>
      <c r="C3750" s="677" t="s">
        <v>1690</v>
      </c>
      <c r="D3750" s="738">
        <f t="shared" si="116"/>
        <v>197.61</v>
      </c>
      <c r="F3750" s="1405">
        <v>197.61</v>
      </c>
      <c r="G3750" s="1405">
        <v>197.61</v>
      </c>
      <c r="H3750" t="b">
        <f t="shared" si="117"/>
        <v>1</v>
      </c>
    </row>
    <row r="3751" spans="1:8">
      <c r="A3751" s="739">
        <v>6012</v>
      </c>
      <c r="B3751" s="740" t="s">
        <v>12122</v>
      </c>
      <c r="C3751" s="739" t="s">
        <v>1690</v>
      </c>
      <c r="D3751" s="741">
        <f t="shared" si="116"/>
        <v>239.24</v>
      </c>
      <c r="F3751" s="1406">
        <v>239.24</v>
      </c>
      <c r="G3751" s="1406">
        <v>239.24</v>
      </c>
      <c r="H3751" t="b">
        <f t="shared" si="117"/>
        <v>1</v>
      </c>
    </row>
    <row r="3752" spans="1:8">
      <c r="A3752" s="677">
        <v>6016</v>
      </c>
      <c r="B3752" s="733" t="s">
        <v>12123</v>
      </c>
      <c r="C3752" s="677" t="s">
        <v>1690</v>
      </c>
      <c r="D3752" s="738">
        <f t="shared" si="116"/>
        <v>25.19</v>
      </c>
      <c r="F3752" s="1405">
        <v>25.19</v>
      </c>
      <c r="G3752" s="1405">
        <v>25.19</v>
      </c>
      <c r="H3752" t="b">
        <f t="shared" si="117"/>
        <v>1</v>
      </c>
    </row>
    <row r="3753" spans="1:8">
      <c r="A3753" s="739">
        <v>6027</v>
      </c>
      <c r="B3753" s="740" t="s">
        <v>12124</v>
      </c>
      <c r="C3753" s="739" t="s">
        <v>1690</v>
      </c>
      <c r="D3753" s="741">
        <f t="shared" si="116"/>
        <v>498.5</v>
      </c>
      <c r="F3753" s="1406">
        <v>498.5</v>
      </c>
      <c r="G3753" s="1406">
        <v>498.5</v>
      </c>
      <c r="H3753" t="b">
        <f t="shared" si="117"/>
        <v>1</v>
      </c>
    </row>
    <row r="3754" spans="1:8">
      <c r="A3754" s="677">
        <v>6013</v>
      </c>
      <c r="B3754" s="733" t="s">
        <v>12125</v>
      </c>
      <c r="C3754" s="677" t="s">
        <v>1690</v>
      </c>
      <c r="D3754" s="738">
        <f t="shared" si="116"/>
        <v>75.22</v>
      </c>
      <c r="F3754" s="1405">
        <v>75.22</v>
      </c>
      <c r="G3754" s="1405">
        <v>75.22</v>
      </c>
      <c r="H3754" t="b">
        <f t="shared" si="117"/>
        <v>1</v>
      </c>
    </row>
    <row r="3755" spans="1:8">
      <c r="A3755" s="739">
        <v>6015</v>
      </c>
      <c r="B3755" s="740" t="s">
        <v>12126</v>
      </c>
      <c r="C3755" s="739" t="s">
        <v>1690</v>
      </c>
      <c r="D3755" s="741">
        <f t="shared" si="116"/>
        <v>109.39</v>
      </c>
      <c r="F3755" s="1406">
        <v>109.39</v>
      </c>
      <c r="G3755" s="1406">
        <v>109.39</v>
      </c>
      <c r="H3755" t="b">
        <f t="shared" si="117"/>
        <v>1</v>
      </c>
    </row>
    <row r="3756" spans="1:8">
      <c r="A3756" s="677">
        <v>6014</v>
      </c>
      <c r="B3756" s="733" t="s">
        <v>12127</v>
      </c>
      <c r="C3756" s="677" t="s">
        <v>1690</v>
      </c>
      <c r="D3756" s="738">
        <f t="shared" si="116"/>
        <v>104.58</v>
      </c>
      <c r="F3756" s="1405">
        <v>104.58</v>
      </c>
      <c r="G3756" s="1405">
        <v>104.58</v>
      </c>
      <c r="H3756" t="b">
        <f t="shared" si="117"/>
        <v>1</v>
      </c>
    </row>
    <row r="3757" spans="1:8">
      <c r="A3757" s="739">
        <v>6006</v>
      </c>
      <c r="B3757" s="740" t="s">
        <v>12128</v>
      </c>
      <c r="C3757" s="739" t="s">
        <v>1690</v>
      </c>
      <c r="D3757" s="741">
        <f t="shared" si="116"/>
        <v>54.47</v>
      </c>
      <c r="F3757" s="1406">
        <v>54.47</v>
      </c>
      <c r="G3757" s="1406">
        <v>54.47</v>
      </c>
      <c r="H3757" t="b">
        <f t="shared" si="117"/>
        <v>1</v>
      </c>
    </row>
    <row r="3758" spans="1:8">
      <c r="A3758" s="677">
        <v>6005</v>
      </c>
      <c r="B3758" s="733" t="s">
        <v>12129</v>
      </c>
      <c r="C3758" s="677" t="s">
        <v>1690</v>
      </c>
      <c r="D3758" s="738">
        <f t="shared" si="116"/>
        <v>61.45</v>
      </c>
      <c r="F3758" s="1405">
        <v>61.45</v>
      </c>
      <c r="G3758" s="1405">
        <v>61.45</v>
      </c>
      <c r="H3758" t="b">
        <f t="shared" si="117"/>
        <v>1</v>
      </c>
    </row>
    <row r="3759" spans="1:8">
      <c r="A3759" s="739">
        <v>11756</v>
      </c>
      <c r="B3759" s="740" t="s">
        <v>12130</v>
      </c>
      <c r="C3759" s="739" t="s">
        <v>1690</v>
      </c>
      <c r="D3759" s="741">
        <f t="shared" si="116"/>
        <v>29.35</v>
      </c>
      <c r="F3759" s="1406">
        <v>29.35</v>
      </c>
      <c r="G3759" s="1406">
        <v>29.35</v>
      </c>
      <c r="H3759" t="b">
        <f t="shared" si="117"/>
        <v>1</v>
      </c>
    </row>
    <row r="3760" spans="1:8" ht="30">
      <c r="A3760" s="677">
        <v>10904</v>
      </c>
      <c r="B3760" s="733" t="s">
        <v>12131</v>
      </c>
      <c r="C3760" s="677" t="s">
        <v>1690</v>
      </c>
      <c r="D3760" s="738">
        <f t="shared" si="116"/>
        <v>185</v>
      </c>
      <c r="F3760" s="1405">
        <v>185</v>
      </c>
      <c r="G3760" s="1405">
        <v>185</v>
      </c>
      <c r="H3760" t="b">
        <f t="shared" si="117"/>
        <v>1</v>
      </c>
    </row>
    <row r="3761" spans="1:8">
      <c r="A3761" s="739">
        <v>11752</v>
      </c>
      <c r="B3761" s="740" t="s">
        <v>12132</v>
      </c>
      <c r="C3761" s="739" t="s">
        <v>1690</v>
      </c>
      <c r="D3761" s="741">
        <f t="shared" si="116"/>
        <v>16.920000000000002</v>
      </c>
      <c r="F3761" s="1406">
        <v>16.920000000000002</v>
      </c>
      <c r="G3761" s="1406">
        <v>16.920000000000002</v>
      </c>
      <c r="H3761" t="b">
        <f t="shared" si="117"/>
        <v>1</v>
      </c>
    </row>
    <row r="3762" spans="1:8">
      <c r="A3762" s="677">
        <v>11753</v>
      </c>
      <c r="B3762" s="733" t="s">
        <v>12133</v>
      </c>
      <c r="C3762" s="677" t="s">
        <v>1690</v>
      </c>
      <c r="D3762" s="738">
        <f t="shared" si="116"/>
        <v>20.2</v>
      </c>
      <c r="F3762" s="1405">
        <v>20.2</v>
      </c>
      <c r="G3762" s="1405">
        <v>20.2</v>
      </c>
      <c r="H3762" t="b">
        <f t="shared" si="117"/>
        <v>1</v>
      </c>
    </row>
    <row r="3763" spans="1:8">
      <c r="A3763" s="739">
        <v>6021</v>
      </c>
      <c r="B3763" s="740" t="s">
        <v>12134</v>
      </c>
      <c r="C3763" s="739" t="s">
        <v>1690</v>
      </c>
      <c r="D3763" s="741">
        <f t="shared" si="116"/>
        <v>56.07</v>
      </c>
      <c r="F3763" s="1406">
        <v>56.07</v>
      </c>
      <c r="G3763" s="1406">
        <v>56.07</v>
      </c>
      <c r="H3763" t="b">
        <f t="shared" si="117"/>
        <v>1</v>
      </c>
    </row>
    <row r="3764" spans="1:8">
      <c r="A3764" s="677">
        <v>6024</v>
      </c>
      <c r="B3764" s="733" t="s">
        <v>12135</v>
      </c>
      <c r="C3764" s="677" t="s">
        <v>1690</v>
      </c>
      <c r="D3764" s="738">
        <f t="shared" si="116"/>
        <v>57.95</v>
      </c>
      <c r="F3764" s="1405">
        <v>57.95</v>
      </c>
      <c r="G3764" s="1405">
        <v>57.95</v>
      </c>
      <c r="H3764" t="b">
        <f t="shared" si="117"/>
        <v>1</v>
      </c>
    </row>
    <row r="3765" spans="1:8">
      <c r="A3765" s="739">
        <v>38379</v>
      </c>
      <c r="B3765" s="740" t="s">
        <v>12136</v>
      </c>
      <c r="C3765" s="739" t="s">
        <v>1693</v>
      </c>
      <c r="D3765" s="741">
        <f t="shared" si="116"/>
        <v>83.78</v>
      </c>
      <c r="F3765" s="1406">
        <v>83.78</v>
      </c>
      <c r="G3765" s="1406">
        <v>83.78</v>
      </c>
      <c r="H3765" t="b">
        <f t="shared" si="117"/>
        <v>1</v>
      </c>
    </row>
    <row r="3766" spans="1:8">
      <c r="A3766" s="677">
        <v>13897</v>
      </c>
      <c r="B3766" s="733" t="s">
        <v>12137</v>
      </c>
      <c r="C3766" s="677" t="s">
        <v>1690</v>
      </c>
      <c r="D3766" s="738">
        <f t="shared" si="116"/>
        <v>6173.11</v>
      </c>
      <c r="F3766" s="1405">
        <v>6173.11</v>
      </c>
      <c r="G3766" s="1405">
        <v>6173.11</v>
      </c>
      <c r="H3766" t="b">
        <f t="shared" si="117"/>
        <v>1</v>
      </c>
    </row>
    <row r="3767" spans="1:8">
      <c r="A3767" s="739">
        <v>10640</v>
      </c>
      <c r="B3767" s="740" t="s">
        <v>12138</v>
      </c>
      <c r="C3767" s="739" t="s">
        <v>1690</v>
      </c>
      <c r="D3767" s="741">
        <f t="shared" si="116"/>
        <v>13369.66</v>
      </c>
      <c r="F3767" s="1406">
        <v>13369.66</v>
      </c>
      <c r="G3767" s="1406">
        <v>13369.66</v>
      </c>
      <c r="H3767" t="b">
        <f t="shared" si="117"/>
        <v>1</v>
      </c>
    </row>
    <row r="3768" spans="1:8">
      <c r="A3768" s="677">
        <v>34357</v>
      </c>
      <c r="B3768" s="733" t="s">
        <v>12139</v>
      </c>
      <c r="C3768" s="677" t="s">
        <v>1694</v>
      </c>
      <c r="D3768" s="738">
        <f t="shared" si="116"/>
        <v>6.63</v>
      </c>
      <c r="F3768" s="1405">
        <v>6.63</v>
      </c>
      <c r="G3768" s="1405">
        <v>6.63</v>
      </c>
      <c r="H3768" t="b">
        <f t="shared" si="117"/>
        <v>1</v>
      </c>
    </row>
    <row r="3769" spans="1:8">
      <c r="A3769" s="739">
        <v>37329</v>
      </c>
      <c r="B3769" s="740" t="s">
        <v>12140</v>
      </c>
      <c r="C3769" s="739" t="s">
        <v>1694</v>
      </c>
      <c r="D3769" s="741">
        <f t="shared" si="116"/>
        <v>139.75</v>
      </c>
      <c r="F3769" s="1406">
        <v>139.75</v>
      </c>
      <c r="G3769" s="1406">
        <v>139.75</v>
      </c>
      <c r="H3769" t="b">
        <f t="shared" si="117"/>
        <v>1</v>
      </c>
    </row>
    <row r="3770" spans="1:8">
      <c r="A3770" s="677">
        <v>2510</v>
      </c>
      <c r="B3770" s="733" t="s">
        <v>12141</v>
      </c>
      <c r="C3770" s="677" t="s">
        <v>1690</v>
      </c>
      <c r="D3770" s="738">
        <f t="shared" si="116"/>
        <v>37.24</v>
      </c>
      <c r="F3770" s="1405">
        <v>37.24</v>
      </c>
      <c r="G3770" s="1405">
        <v>37.24</v>
      </c>
      <c r="H3770" t="b">
        <f t="shared" si="117"/>
        <v>1</v>
      </c>
    </row>
    <row r="3771" spans="1:8" ht="30">
      <c r="A3771" s="739">
        <v>12359</v>
      </c>
      <c r="B3771" s="740" t="s">
        <v>12142</v>
      </c>
      <c r="C3771" s="739" t="s">
        <v>1690</v>
      </c>
      <c r="D3771" s="741">
        <f t="shared" si="116"/>
        <v>121.6</v>
      </c>
      <c r="F3771" s="1406">
        <v>121.6</v>
      </c>
      <c r="G3771" s="1406">
        <v>121.6</v>
      </c>
      <c r="H3771" t="b">
        <f t="shared" si="117"/>
        <v>1</v>
      </c>
    </row>
    <row r="3772" spans="1:8">
      <c r="A3772" s="677">
        <v>7353</v>
      </c>
      <c r="B3772" s="733" t="s">
        <v>12143</v>
      </c>
      <c r="C3772" s="677" t="s">
        <v>1695</v>
      </c>
      <c r="D3772" s="738">
        <f t="shared" si="116"/>
        <v>29.77</v>
      </c>
      <c r="F3772" s="1405">
        <v>29.77</v>
      </c>
      <c r="G3772" s="1405">
        <v>29.77</v>
      </c>
      <c r="H3772" t="b">
        <f t="shared" si="117"/>
        <v>1</v>
      </c>
    </row>
    <row r="3773" spans="1:8">
      <c r="A3773" s="739">
        <v>36144</v>
      </c>
      <c r="B3773" s="740" t="s">
        <v>12144</v>
      </c>
      <c r="C3773" s="739" t="s">
        <v>1690</v>
      </c>
      <c r="D3773" s="741">
        <f t="shared" si="116"/>
        <v>1.97</v>
      </c>
      <c r="F3773" s="1406">
        <v>1.97</v>
      </c>
      <c r="G3773" s="1406">
        <v>1.97</v>
      </c>
      <c r="H3773" t="b">
        <f t="shared" si="117"/>
        <v>1</v>
      </c>
    </row>
    <row r="3774" spans="1:8">
      <c r="A3774" s="677">
        <v>10518</v>
      </c>
      <c r="B3774" s="733" t="s">
        <v>12145</v>
      </c>
      <c r="C3774" s="677" t="s">
        <v>1690</v>
      </c>
      <c r="D3774" s="738">
        <f t="shared" si="116"/>
        <v>116.96</v>
      </c>
      <c r="F3774" s="1405">
        <v>116.96</v>
      </c>
      <c r="G3774" s="1405">
        <v>116.96</v>
      </c>
      <c r="H3774" t="b">
        <f t="shared" si="117"/>
        <v>1</v>
      </c>
    </row>
    <row r="3775" spans="1:8" ht="45">
      <c r="A3775" s="739">
        <v>36530</v>
      </c>
      <c r="B3775" s="740" t="s">
        <v>12146</v>
      </c>
      <c r="C3775" s="739" t="s">
        <v>1690</v>
      </c>
      <c r="D3775" s="741">
        <f t="shared" si="116"/>
        <v>380304.87</v>
      </c>
      <c r="F3775" s="1406">
        <v>380304.87</v>
      </c>
      <c r="G3775" s="1406">
        <v>380304.87</v>
      </c>
      <c r="H3775" t="b">
        <f t="shared" si="117"/>
        <v>1</v>
      </c>
    </row>
    <row r="3776" spans="1:8" ht="45">
      <c r="A3776" s="677">
        <v>6046</v>
      </c>
      <c r="B3776" s="733" t="s">
        <v>12147</v>
      </c>
      <c r="C3776" s="677" t="s">
        <v>1690</v>
      </c>
      <c r="D3776" s="738">
        <f t="shared" si="116"/>
        <v>412500</v>
      </c>
      <c r="F3776" s="1405">
        <v>412500</v>
      </c>
      <c r="G3776" s="1405">
        <v>412500</v>
      </c>
      <c r="H3776" t="b">
        <f t="shared" si="117"/>
        <v>1</v>
      </c>
    </row>
    <row r="3777" spans="1:8" ht="45">
      <c r="A3777" s="739">
        <v>36531</v>
      </c>
      <c r="B3777" s="740" t="s">
        <v>12148</v>
      </c>
      <c r="C3777" s="739" t="s">
        <v>1690</v>
      </c>
      <c r="D3777" s="741">
        <f t="shared" si="116"/>
        <v>427591.43</v>
      </c>
      <c r="F3777" s="1406">
        <v>427591.43</v>
      </c>
      <c r="G3777" s="1406">
        <v>427591.43</v>
      </c>
      <c r="H3777" t="b">
        <f t="shared" si="117"/>
        <v>1</v>
      </c>
    </row>
    <row r="3778" spans="1:8">
      <c r="A3778" s="677">
        <v>34684</v>
      </c>
      <c r="B3778" s="733" t="s">
        <v>12149</v>
      </c>
      <c r="C3778" s="677" t="s">
        <v>1692</v>
      </c>
      <c r="D3778" s="738">
        <f t="shared" si="116"/>
        <v>283.82</v>
      </c>
      <c r="F3778" s="1405">
        <v>283.82</v>
      </c>
      <c r="G3778" s="1405">
        <v>283.82</v>
      </c>
      <c r="H3778" t="b">
        <f t="shared" si="117"/>
        <v>1</v>
      </c>
    </row>
    <row r="3779" spans="1:8">
      <c r="A3779" s="739">
        <v>34683</v>
      </c>
      <c r="B3779" s="740" t="s">
        <v>12150</v>
      </c>
      <c r="C3779" s="739" t="s">
        <v>1692</v>
      </c>
      <c r="D3779" s="741">
        <f t="shared" ref="D3779:D3842" si="118">IF($J$2=$F$1,F3779,G3779)</f>
        <v>177.39</v>
      </c>
      <c r="F3779" s="1406">
        <v>177.39</v>
      </c>
      <c r="G3779" s="1406">
        <v>177.39</v>
      </c>
      <c r="H3779" t="b">
        <f t="shared" ref="H3779:H3842" si="119">F3779=G3779</f>
        <v>1</v>
      </c>
    </row>
    <row r="3780" spans="1:8">
      <c r="A3780" s="677">
        <v>533</v>
      </c>
      <c r="B3780" s="733" t="s">
        <v>12151</v>
      </c>
      <c r="C3780" s="677" t="s">
        <v>1692</v>
      </c>
      <c r="D3780" s="738">
        <f t="shared" si="118"/>
        <v>25.57</v>
      </c>
      <c r="F3780" s="1405">
        <v>25.57</v>
      </c>
      <c r="G3780" s="1405">
        <v>25.57</v>
      </c>
      <c r="H3780" t="b">
        <f t="shared" si="119"/>
        <v>1</v>
      </c>
    </row>
    <row r="3781" spans="1:8">
      <c r="A3781" s="739">
        <v>10515</v>
      </c>
      <c r="B3781" s="740" t="s">
        <v>12152</v>
      </c>
      <c r="C3781" s="739" t="s">
        <v>1692</v>
      </c>
      <c r="D3781" s="741">
        <f t="shared" si="118"/>
        <v>48.24</v>
      </c>
      <c r="F3781" s="1406">
        <v>48.24</v>
      </c>
      <c r="G3781" s="1406">
        <v>48.24</v>
      </c>
      <c r="H3781" t="b">
        <f t="shared" si="119"/>
        <v>1</v>
      </c>
    </row>
    <row r="3782" spans="1:8">
      <c r="A3782" s="677">
        <v>536</v>
      </c>
      <c r="B3782" s="733" t="s">
        <v>12153</v>
      </c>
      <c r="C3782" s="677" t="s">
        <v>1692</v>
      </c>
      <c r="D3782" s="738">
        <f t="shared" si="118"/>
        <v>34.9</v>
      </c>
      <c r="F3782" s="1405">
        <v>34.9</v>
      </c>
      <c r="G3782" s="1405">
        <v>34.9</v>
      </c>
      <c r="H3782" t="b">
        <f t="shared" si="119"/>
        <v>1</v>
      </c>
    </row>
    <row r="3783" spans="1:8">
      <c r="A3783" s="739">
        <v>153</v>
      </c>
      <c r="B3783" s="740" t="s">
        <v>12154</v>
      </c>
      <c r="C3783" s="739" t="s">
        <v>1695</v>
      </c>
      <c r="D3783" s="741">
        <f t="shared" si="118"/>
        <v>98.06</v>
      </c>
      <c r="F3783" s="1406">
        <v>98.06</v>
      </c>
      <c r="G3783" s="1406">
        <v>98.06</v>
      </c>
      <c r="H3783" t="b">
        <f t="shared" si="119"/>
        <v>1</v>
      </c>
    </row>
    <row r="3784" spans="1:8">
      <c r="A3784" s="677">
        <v>34682</v>
      </c>
      <c r="B3784" s="733" t="s">
        <v>12155</v>
      </c>
      <c r="C3784" s="677" t="s">
        <v>1692</v>
      </c>
      <c r="D3784" s="738">
        <f t="shared" si="118"/>
        <v>135.65</v>
      </c>
      <c r="F3784" s="1405">
        <v>135.65</v>
      </c>
      <c r="G3784" s="1405">
        <v>135.65</v>
      </c>
      <c r="H3784" t="b">
        <f t="shared" si="119"/>
        <v>1</v>
      </c>
    </row>
    <row r="3785" spans="1:8">
      <c r="A3785" s="739">
        <v>20205</v>
      </c>
      <c r="B3785" s="740" t="s">
        <v>12156</v>
      </c>
      <c r="C3785" s="739" t="s">
        <v>1693</v>
      </c>
      <c r="D3785" s="741">
        <f t="shared" si="118"/>
        <v>2.86</v>
      </c>
      <c r="F3785" s="1406">
        <v>2.86</v>
      </c>
      <c r="G3785" s="1406">
        <v>2.86</v>
      </c>
      <c r="H3785" t="b">
        <f t="shared" si="119"/>
        <v>1</v>
      </c>
    </row>
    <row r="3786" spans="1:8">
      <c r="A3786" s="677">
        <v>4412</v>
      </c>
      <c r="B3786" s="733" t="s">
        <v>12157</v>
      </c>
      <c r="C3786" s="677" t="s">
        <v>1693</v>
      </c>
      <c r="D3786" s="738">
        <f t="shared" si="118"/>
        <v>1.72</v>
      </c>
      <c r="F3786" s="1405">
        <v>1.72</v>
      </c>
      <c r="G3786" s="1405">
        <v>1.72</v>
      </c>
      <c r="H3786" t="b">
        <f t="shared" si="119"/>
        <v>1</v>
      </c>
    </row>
    <row r="3787" spans="1:8">
      <c r="A3787" s="739">
        <v>4408</v>
      </c>
      <c r="B3787" s="740" t="s">
        <v>12158</v>
      </c>
      <c r="C3787" s="739" t="s">
        <v>1693</v>
      </c>
      <c r="D3787" s="741">
        <f t="shared" si="118"/>
        <v>2.14</v>
      </c>
      <c r="F3787" s="1406">
        <v>2.14</v>
      </c>
      <c r="G3787" s="1406">
        <v>2.14</v>
      </c>
      <c r="H3787" t="b">
        <f t="shared" si="119"/>
        <v>1</v>
      </c>
    </row>
    <row r="3788" spans="1:8">
      <c r="A3788" s="677">
        <v>36250</v>
      </c>
      <c r="B3788" s="733" t="s">
        <v>12159</v>
      </c>
      <c r="C3788" s="677" t="s">
        <v>1693</v>
      </c>
      <c r="D3788" s="738">
        <f t="shared" si="118"/>
        <v>5.0199999999999996</v>
      </c>
      <c r="F3788" s="1405">
        <v>5.0199999999999996</v>
      </c>
      <c r="G3788" s="1405">
        <v>5.0199999999999996</v>
      </c>
      <c r="H3788" t="b">
        <f t="shared" si="119"/>
        <v>1</v>
      </c>
    </row>
    <row r="3789" spans="1:8">
      <c r="A3789" s="739">
        <v>10857</v>
      </c>
      <c r="B3789" s="740" t="s">
        <v>12160</v>
      </c>
      <c r="C3789" s="739" t="s">
        <v>1693</v>
      </c>
      <c r="D3789" s="741">
        <f t="shared" si="118"/>
        <v>15.58</v>
      </c>
      <c r="F3789" s="1406">
        <v>15.58</v>
      </c>
      <c r="G3789" s="1406">
        <v>15.58</v>
      </c>
      <c r="H3789" t="b">
        <f t="shared" si="119"/>
        <v>1</v>
      </c>
    </row>
    <row r="3790" spans="1:8">
      <c r="A3790" s="677">
        <v>4803</v>
      </c>
      <c r="B3790" s="733" t="s">
        <v>12161</v>
      </c>
      <c r="C3790" s="677" t="s">
        <v>1693</v>
      </c>
      <c r="D3790" s="738">
        <f t="shared" si="118"/>
        <v>33.51</v>
      </c>
      <c r="F3790" s="1405">
        <v>33.51</v>
      </c>
      <c r="G3790" s="1405">
        <v>33.51</v>
      </c>
      <c r="H3790" t="b">
        <f t="shared" si="119"/>
        <v>1</v>
      </c>
    </row>
    <row r="3791" spans="1:8">
      <c r="A3791" s="739">
        <v>6186</v>
      </c>
      <c r="B3791" s="740" t="s">
        <v>12162</v>
      </c>
      <c r="C3791" s="739" t="s">
        <v>1693</v>
      </c>
      <c r="D3791" s="741">
        <f t="shared" si="118"/>
        <v>18.05</v>
      </c>
      <c r="F3791" s="1406">
        <v>18.05</v>
      </c>
      <c r="G3791" s="1406">
        <v>18.05</v>
      </c>
      <c r="H3791" t="b">
        <f t="shared" si="119"/>
        <v>1</v>
      </c>
    </row>
    <row r="3792" spans="1:8">
      <c r="A3792" s="677">
        <v>4829</v>
      </c>
      <c r="B3792" s="733" t="s">
        <v>12163</v>
      </c>
      <c r="C3792" s="677" t="s">
        <v>1693</v>
      </c>
      <c r="D3792" s="738">
        <f t="shared" si="118"/>
        <v>47.62</v>
      </c>
      <c r="F3792" s="1405">
        <v>47.62</v>
      </c>
      <c r="G3792" s="1405">
        <v>47.62</v>
      </c>
      <c r="H3792" t="b">
        <f t="shared" si="119"/>
        <v>1</v>
      </c>
    </row>
    <row r="3793" spans="1:8">
      <c r="A3793" s="739">
        <v>39829</v>
      </c>
      <c r="B3793" s="740" t="s">
        <v>12164</v>
      </c>
      <c r="C3793" s="739" t="s">
        <v>1693</v>
      </c>
      <c r="D3793" s="741">
        <f t="shared" si="118"/>
        <v>51.65</v>
      </c>
      <c r="F3793" s="1406">
        <v>51.65</v>
      </c>
      <c r="G3793" s="1406">
        <v>51.65</v>
      </c>
      <c r="H3793" t="b">
        <f t="shared" si="119"/>
        <v>1</v>
      </c>
    </row>
    <row r="3794" spans="1:8" ht="30">
      <c r="A3794" s="677">
        <v>20231</v>
      </c>
      <c r="B3794" s="733" t="s">
        <v>12165</v>
      </c>
      <c r="C3794" s="677" t="s">
        <v>1693</v>
      </c>
      <c r="D3794" s="738">
        <f t="shared" si="118"/>
        <v>62.21</v>
      </c>
      <c r="F3794" s="1405">
        <v>62.21</v>
      </c>
      <c r="G3794" s="1405">
        <v>62.21</v>
      </c>
      <c r="H3794" t="b">
        <f t="shared" si="119"/>
        <v>1</v>
      </c>
    </row>
    <row r="3795" spans="1:8">
      <c r="A3795" s="739">
        <v>4804</v>
      </c>
      <c r="B3795" s="740" t="s">
        <v>12166</v>
      </c>
      <c r="C3795" s="739" t="s">
        <v>1693</v>
      </c>
      <c r="D3795" s="741">
        <f t="shared" si="118"/>
        <v>25.73</v>
      </c>
      <c r="F3795" s="1406">
        <v>25.73</v>
      </c>
      <c r="G3795" s="1406">
        <v>25.73</v>
      </c>
      <c r="H3795" t="b">
        <f t="shared" si="119"/>
        <v>1</v>
      </c>
    </row>
    <row r="3796" spans="1:8">
      <c r="A3796" s="677">
        <v>34680</v>
      </c>
      <c r="B3796" s="733" t="s">
        <v>12167</v>
      </c>
      <c r="C3796" s="677" t="s">
        <v>1693</v>
      </c>
      <c r="D3796" s="738">
        <f t="shared" si="118"/>
        <v>41.73</v>
      </c>
      <c r="F3796" s="1405">
        <v>41.73</v>
      </c>
      <c r="G3796" s="1405">
        <v>41.73</v>
      </c>
      <c r="H3796" t="b">
        <f t="shared" si="119"/>
        <v>1</v>
      </c>
    </row>
    <row r="3797" spans="1:8">
      <c r="A3797" s="739">
        <v>11573</v>
      </c>
      <c r="B3797" s="740" t="s">
        <v>12168</v>
      </c>
      <c r="C3797" s="739" t="s">
        <v>1690</v>
      </c>
      <c r="D3797" s="741">
        <f t="shared" si="118"/>
        <v>6.65</v>
      </c>
      <c r="F3797" s="1406">
        <v>6.65</v>
      </c>
      <c r="G3797" s="1406">
        <v>6.65</v>
      </c>
      <c r="H3797" t="b">
        <f t="shared" si="119"/>
        <v>1</v>
      </c>
    </row>
    <row r="3798" spans="1:8">
      <c r="A3798" s="677">
        <v>38401</v>
      </c>
      <c r="B3798" s="733" t="s">
        <v>12169</v>
      </c>
      <c r="C3798" s="677" t="s">
        <v>1690</v>
      </c>
      <c r="D3798" s="738">
        <f t="shared" si="118"/>
        <v>22.92</v>
      </c>
      <c r="F3798" s="1405">
        <v>22.92</v>
      </c>
      <c r="G3798" s="1405">
        <v>22.92</v>
      </c>
      <c r="H3798" t="b">
        <f t="shared" si="119"/>
        <v>1</v>
      </c>
    </row>
    <row r="3799" spans="1:8" ht="30">
      <c r="A3799" s="739">
        <v>11575</v>
      </c>
      <c r="B3799" s="740" t="s">
        <v>12170</v>
      </c>
      <c r="C3799" s="739" t="s">
        <v>1690</v>
      </c>
      <c r="D3799" s="741">
        <f t="shared" si="118"/>
        <v>64.19</v>
      </c>
      <c r="F3799" s="1406">
        <v>64.19</v>
      </c>
      <c r="G3799" s="1406">
        <v>64.19</v>
      </c>
      <c r="H3799" t="b">
        <f t="shared" si="119"/>
        <v>1</v>
      </c>
    </row>
    <row r="3800" spans="1:8" ht="30">
      <c r="A3800" s="677">
        <v>38179</v>
      </c>
      <c r="B3800" s="733" t="s">
        <v>12171</v>
      </c>
      <c r="C3800" s="677" t="s">
        <v>1690</v>
      </c>
      <c r="D3800" s="738">
        <f t="shared" si="118"/>
        <v>53.08</v>
      </c>
      <c r="F3800" s="1405">
        <v>53.08</v>
      </c>
      <c r="G3800" s="1405">
        <v>53.08</v>
      </c>
      <c r="H3800" t="b">
        <f t="shared" si="119"/>
        <v>1</v>
      </c>
    </row>
    <row r="3801" spans="1:8">
      <c r="A3801" s="739">
        <v>20256</v>
      </c>
      <c r="B3801" s="740" t="s">
        <v>12172</v>
      </c>
      <c r="C3801" s="739" t="s">
        <v>1690</v>
      </c>
      <c r="D3801" s="741">
        <f t="shared" si="118"/>
        <v>0.34</v>
      </c>
      <c r="F3801" s="1406">
        <v>0.34</v>
      </c>
      <c r="G3801" s="1406">
        <v>0.34</v>
      </c>
      <c r="H3801" t="b">
        <f t="shared" si="119"/>
        <v>1</v>
      </c>
    </row>
    <row r="3802" spans="1:8" ht="30">
      <c r="A3802" s="677">
        <v>14511</v>
      </c>
      <c r="B3802" s="733" t="s">
        <v>12173</v>
      </c>
      <c r="C3802" s="677" t="s">
        <v>1690</v>
      </c>
      <c r="D3802" s="738">
        <f t="shared" si="118"/>
        <v>997825.41</v>
      </c>
      <c r="F3802" s="1405">
        <v>997825.41</v>
      </c>
      <c r="G3802" s="1405">
        <v>997825.41</v>
      </c>
      <c r="H3802" t="b">
        <f t="shared" si="119"/>
        <v>1</v>
      </c>
    </row>
    <row r="3803" spans="1:8" ht="30">
      <c r="A3803" s="739">
        <v>10642</v>
      </c>
      <c r="B3803" s="740" t="s">
        <v>12174</v>
      </c>
      <c r="C3803" s="739" t="s">
        <v>1690</v>
      </c>
      <c r="D3803" s="741">
        <f t="shared" si="118"/>
        <v>940000</v>
      </c>
      <c r="F3803" s="1406">
        <v>940000</v>
      </c>
      <c r="G3803" s="1406">
        <v>940000</v>
      </c>
      <c r="H3803" t="b">
        <f t="shared" si="119"/>
        <v>1</v>
      </c>
    </row>
    <row r="3804" spans="1:8" ht="30">
      <c r="A3804" s="677">
        <v>14489</v>
      </c>
      <c r="B3804" s="733" t="s">
        <v>12175</v>
      </c>
      <c r="C3804" s="677" t="s">
        <v>1690</v>
      </c>
      <c r="D3804" s="738">
        <f t="shared" si="118"/>
        <v>833762.51</v>
      </c>
      <c r="F3804" s="1405">
        <v>833762.51</v>
      </c>
      <c r="G3804" s="1405">
        <v>833762.51</v>
      </c>
      <c r="H3804" t="b">
        <f t="shared" si="119"/>
        <v>1</v>
      </c>
    </row>
    <row r="3805" spans="1:8" ht="30">
      <c r="A3805" s="739">
        <v>14513</v>
      </c>
      <c r="B3805" s="740" t="s">
        <v>12176</v>
      </c>
      <c r="C3805" s="739" t="s">
        <v>1690</v>
      </c>
      <c r="D3805" s="741">
        <f t="shared" si="118"/>
        <v>625341.67000000004</v>
      </c>
      <c r="F3805" s="1406">
        <v>625341.67000000004</v>
      </c>
      <c r="G3805" s="1406">
        <v>625341.67000000004</v>
      </c>
      <c r="H3805" t="b">
        <f t="shared" si="119"/>
        <v>1</v>
      </c>
    </row>
    <row r="3806" spans="1:8" ht="30">
      <c r="A3806" s="677">
        <v>13600</v>
      </c>
      <c r="B3806" s="733" t="s">
        <v>12177</v>
      </c>
      <c r="C3806" s="677" t="s">
        <v>1690</v>
      </c>
      <c r="D3806" s="738">
        <f t="shared" si="118"/>
        <v>806866.86</v>
      </c>
      <c r="F3806" s="1405">
        <v>806866.86</v>
      </c>
      <c r="G3806" s="1405">
        <v>806866.86</v>
      </c>
      <c r="H3806" t="b">
        <f t="shared" si="119"/>
        <v>1</v>
      </c>
    </row>
    <row r="3807" spans="1:8" ht="30">
      <c r="A3807" s="739">
        <v>10646</v>
      </c>
      <c r="B3807" s="740" t="s">
        <v>12178</v>
      </c>
      <c r="C3807" s="739" t="s">
        <v>1690</v>
      </c>
      <c r="D3807" s="741">
        <f t="shared" si="118"/>
        <v>601465.48</v>
      </c>
      <c r="F3807" s="1406">
        <v>601465.48</v>
      </c>
      <c r="G3807" s="1406">
        <v>601465.48</v>
      </c>
      <c r="H3807" t="b">
        <f t="shared" si="119"/>
        <v>1</v>
      </c>
    </row>
    <row r="3808" spans="1:8" ht="30">
      <c r="A3808" s="677">
        <v>6070</v>
      </c>
      <c r="B3808" s="733" t="s">
        <v>12179</v>
      </c>
      <c r="C3808" s="677" t="s">
        <v>1690</v>
      </c>
      <c r="D3808" s="738">
        <f t="shared" si="118"/>
        <v>821828.55</v>
      </c>
      <c r="F3808" s="1405">
        <v>821828.55</v>
      </c>
      <c r="G3808" s="1405">
        <v>821828.55</v>
      </c>
      <c r="H3808" t="b">
        <f t="shared" si="119"/>
        <v>1</v>
      </c>
    </row>
    <row r="3809" spans="1:8" ht="30">
      <c r="A3809" s="739">
        <v>6069</v>
      </c>
      <c r="B3809" s="740" t="s">
        <v>12180</v>
      </c>
      <c r="C3809" s="739" t="s">
        <v>1690</v>
      </c>
      <c r="D3809" s="741">
        <f t="shared" si="118"/>
        <v>181554.32</v>
      </c>
      <c r="F3809" s="1406">
        <v>181554.32</v>
      </c>
      <c r="G3809" s="1406">
        <v>181554.32</v>
      </c>
      <c r="H3809" t="b">
        <f t="shared" si="119"/>
        <v>1</v>
      </c>
    </row>
    <row r="3810" spans="1:8" ht="30">
      <c r="A3810" s="677">
        <v>14626</v>
      </c>
      <c r="B3810" s="733" t="s">
        <v>12181</v>
      </c>
      <c r="C3810" s="677" t="s">
        <v>1690</v>
      </c>
      <c r="D3810" s="738">
        <f t="shared" si="118"/>
        <v>899714.32</v>
      </c>
      <c r="F3810" s="1405">
        <v>899714.32</v>
      </c>
      <c r="G3810" s="1405">
        <v>899714.32</v>
      </c>
      <c r="H3810" t="b">
        <f t="shared" si="119"/>
        <v>1</v>
      </c>
    </row>
    <row r="3811" spans="1:8" ht="30">
      <c r="A3811" s="739">
        <v>6067</v>
      </c>
      <c r="B3811" s="740" t="s">
        <v>12182</v>
      </c>
      <c r="C3811" s="739" t="s">
        <v>1690</v>
      </c>
      <c r="D3811" s="741">
        <f t="shared" si="118"/>
        <v>738571.44</v>
      </c>
      <c r="F3811" s="1406">
        <v>738571.44</v>
      </c>
      <c r="G3811" s="1406">
        <v>738571.44</v>
      </c>
      <c r="H3811" t="b">
        <f t="shared" si="119"/>
        <v>1</v>
      </c>
    </row>
    <row r="3812" spans="1:8">
      <c r="A3812" s="677">
        <v>38393</v>
      </c>
      <c r="B3812" s="733" t="s">
        <v>12183</v>
      </c>
      <c r="C3812" s="677" t="s">
        <v>1690</v>
      </c>
      <c r="D3812" s="738">
        <f t="shared" si="118"/>
        <v>18.899999999999999</v>
      </c>
      <c r="F3812" s="1405">
        <v>18.899999999999999</v>
      </c>
      <c r="G3812" s="1405">
        <v>18.899999999999999</v>
      </c>
      <c r="H3812" t="b">
        <f t="shared" si="119"/>
        <v>1</v>
      </c>
    </row>
    <row r="3813" spans="1:8">
      <c r="A3813" s="739">
        <v>38390</v>
      </c>
      <c r="B3813" s="740" t="s">
        <v>12184</v>
      </c>
      <c r="C3813" s="739" t="s">
        <v>1690</v>
      </c>
      <c r="D3813" s="741">
        <f t="shared" si="118"/>
        <v>41.92</v>
      </c>
      <c r="F3813" s="1406">
        <v>41.92</v>
      </c>
      <c r="G3813" s="1406">
        <v>41.92</v>
      </c>
      <c r="H3813" t="b">
        <f t="shared" si="119"/>
        <v>1</v>
      </c>
    </row>
    <row r="3814" spans="1:8">
      <c r="A3814" s="677">
        <v>36532</v>
      </c>
      <c r="B3814" s="733" t="s">
        <v>12185</v>
      </c>
      <c r="C3814" s="677" t="s">
        <v>1690</v>
      </c>
      <c r="D3814" s="738">
        <f t="shared" si="118"/>
        <v>28932.95</v>
      </c>
      <c r="F3814" s="1405">
        <v>28932.95</v>
      </c>
      <c r="G3814" s="1405">
        <v>28932.95</v>
      </c>
      <c r="H3814" t="b">
        <f t="shared" si="119"/>
        <v>1</v>
      </c>
    </row>
    <row r="3815" spans="1:8" ht="30">
      <c r="A3815" s="739">
        <v>11578</v>
      </c>
      <c r="B3815" s="740" t="s">
        <v>12186</v>
      </c>
      <c r="C3815" s="739" t="s">
        <v>1690</v>
      </c>
      <c r="D3815" s="741">
        <f t="shared" si="118"/>
        <v>13.86</v>
      </c>
      <c r="F3815" s="1406">
        <v>13.86</v>
      </c>
      <c r="G3815" s="1406">
        <v>13.86</v>
      </c>
      <c r="H3815" t="b">
        <f t="shared" si="119"/>
        <v>1</v>
      </c>
    </row>
    <row r="3816" spans="1:8" ht="30">
      <c r="A3816" s="677">
        <v>11577</v>
      </c>
      <c r="B3816" s="733" t="s">
        <v>12187</v>
      </c>
      <c r="C3816" s="677" t="s">
        <v>1690</v>
      </c>
      <c r="D3816" s="738">
        <f t="shared" si="118"/>
        <v>13.23</v>
      </c>
      <c r="F3816" s="1405">
        <v>13.23</v>
      </c>
      <c r="G3816" s="1405">
        <v>13.23</v>
      </c>
      <c r="H3816" t="b">
        <f t="shared" si="119"/>
        <v>1</v>
      </c>
    </row>
    <row r="3817" spans="1:8" ht="30">
      <c r="A3817" s="739">
        <v>42432</v>
      </c>
      <c r="B3817" s="740" t="s">
        <v>12188</v>
      </c>
      <c r="C3817" s="739" t="s">
        <v>1690</v>
      </c>
      <c r="D3817" s="741">
        <f t="shared" si="118"/>
        <v>2424.64</v>
      </c>
      <c r="F3817" s="1406">
        <v>2424.64</v>
      </c>
      <c r="G3817" s="1406">
        <v>2424.64</v>
      </c>
      <c r="H3817" t="b">
        <f t="shared" si="119"/>
        <v>1</v>
      </c>
    </row>
    <row r="3818" spans="1:8" ht="30">
      <c r="A3818" s="677">
        <v>42437</v>
      </c>
      <c r="B3818" s="733" t="s">
        <v>12189</v>
      </c>
      <c r="C3818" s="677" t="s">
        <v>1690</v>
      </c>
      <c r="D3818" s="738">
        <f t="shared" si="118"/>
        <v>1843.37</v>
      </c>
      <c r="F3818" s="1405">
        <v>1843.37</v>
      </c>
      <c r="G3818" s="1405">
        <v>1843.37</v>
      </c>
      <c r="H3818" t="b">
        <f t="shared" si="119"/>
        <v>1</v>
      </c>
    </row>
    <row r="3819" spans="1:8">
      <c r="A3819" s="739">
        <v>1116</v>
      </c>
      <c r="B3819" s="740" t="s">
        <v>12190</v>
      </c>
      <c r="C3819" s="739" t="s">
        <v>1693</v>
      </c>
      <c r="D3819" s="741">
        <f t="shared" si="118"/>
        <v>24.22</v>
      </c>
      <c r="F3819" s="1406">
        <v>24.22</v>
      </c>
      <c r="G3819" s="1406">
        <v>24.22</v>
      </c>
      <c r="H3819" t="b">
        <f t="shared" si="119"/>
        <v>1</v>
      </c>
    </row>
    <row r="3820" spans="1:8">
      <c r="A3820" s="677">
        <v>1115</v>
      </c>
      <c r="B3820" s="733" t="s">
        <v>12191</v>
      </c>
      <c r="C3820" s="677" t="s">
        <v>1693</v>
      </c>
      <c r="D3820" s="738">
        <f t="shared" si="118"/>
        <v>29.02</v>
      </c>
      <c r="F3820" s="1405">
        <v>29.02</v>
      </c>
      <c r="G3820" s="1405">
        <v>29.02</v>
      </c>
      <c r="H3820" t="b">
        <f t="shared" si="119"/>
        <v>1</v>
      </c>
    </row>
    <row r="3821" spans="1:8">
      <c r="A3821" s="739">
        <v>1113</v>
      </c>
      <c r="B3821" s="740" t="s">
        <v>12192</v>
      </c>
      <c r="C3821" s="739" t="s">
        <v>1693</v>
      </c>
      <c r="D3821" s="741">
        <f t="shared" si="118"/>
        <v>33.93</v>
      </c>
      <c r="F3821" s="1406">
        <v>33.93</v>
      </c>
      <c r="G3821" s="1406">
        <v>33.93</v>
      </c>
      <c r="H3821" t="b">
        <f t="shared" si="119"/>
        <v>1</v>
      </c>
    </row>
    <row r="3822" spans="1:8">
      <c r="A3822" s="677">
        <v>1114</v>
      </c>
      <c r="B3822" s="733" t="s">
        <v>12193</v>
      </c>
      <c r="C3822" s="677" t="s">
        <v>1693</v>
      </c>
      <c r="D3822" s="738">
        <f t="shared" si="118"/>
        <v>40.42</v>
      </c>
      <c r="F3822" s="1405">
        <v>40.42</v>
      </c>
      <c r="G3822" s="1405">
        <v>40.42</v>
      </c>
      <c r="H3822" t="b">
        <f t="shared" si="119"/>
        <v>1</v>
      </c>
    </row>
    <row r="3823" spans="1:8">
      <c r="A3823" s="739">
        <v>40873</v>
      </c>
      <c r="B3823" s="740" t="s">
        <v>12194</v>
      </c>
      <c r="C3823" s="739" t="s">
        <v>1693</v>
      </c>
      <c r="D3823" s="741">
        <f t="shared" si="118"/>
        <v>31.63</v>
      </c>
      <c r="F3823" s="1406">
        <v>31.63</v>
      </c>
      <c r="G3823" s="1406">
        <v>31.63</v>
      </c>
      <c r="H3823" t="b">
        <f t="shared" si="119"/>
        <v>1</v>
      </c>
    </row>
    <row r="3824" spans="1:8">
      <c r="A3824" s="677">
        <v>20214</v>
      </c>
      <c r="B3824" s="733" t="s">
        <v>12195</v>
      </c>
      <c r="C3824" s="677" t="s">
        <v>1690</v>
      </c>
      <c r="D3824" s="738">
        <f t="shared" si="118"/>
        <v>59.56</v>
      </c>
      <c r="F3824" s="1405">
        <v>59.56</v>
      </c>
      <c r="G3824" s="1405">
        <v>59.56</v>
      </c>
      <c r="H3824" t="b">
        <f t="shared" si="119"/>
        <v>1</v>
      </c>
    </row>
    <row r="3825" spans="1:8">
      <c r="A3825" s="739">
        <v>7237</v>
      </c>
      <c r="B3825" s="740" t="s">
        <v>12196</v>
      </c>
      <c r="C3825" s="739" t="s">
        <v>1690</v>
      </c>
      <c r="D3825" s="741">
        <f t="shared" si="118"/>
        <v>58.31</v>
      </c>
      <c r="F3825" s="1406">
        <v>58.31</v>
      </c>
      <c r="G3825" s="1406">
        <v>58.31</v>
      </c>
      <c r="H3825" t="b">
        <f t="shared" si="119"/>
        <v>1</v>
      </c>
    </row>
    <row r="3826" spans="1:8">
      <c r="A3826" s="677">
        <v>11757</v>
      </c>
      <c r="B3826" s="733" t="s">
        <v>12197</v>
      </c>
      <c r="C3826" s="677" t="s">
        <v>1690</v>
      </c>
      <c r="D3826" s="738">
        <f t="shared" si="118"/>
        <v>29.99</v>
      </c>
      <c r="F3826" s="1405">
        <v>29.99</v>
      </c>
      <c r="G3826" s="1405">
        <v>29.99</v>
      </c>
      <c r="H3826" t="b">
        <f t="shared" si="119"/>
        <v>1</v>
      </c>
    </row>
    <row r="3827" spans="1:8">
      <c r="A3827" s="739">
        <v>11758</v>
      </c>
      <c r="B3827" s="740" t="s">
        <v>12198</v>
      </c>
      <c r="C3827" s="739" t="s">
        <v>1690</v>
      </c>
      <c r="D3827" s="741">
        <f t="shared" si="118"/>
        <v>61.95</v>
      </c>
      <c r="F3827" s="1406">
        <v>61.95</v>
      </c>
      <c r="G3827" s="1406">
        <v>61.95</v>
      </c>
      <c r="H3827" t="b">
        <f t="shared" si="119"/>
        <v>1</v>
      </c>
    </row>
    <row r="3828" spans="1:8">
      <c r="A3828" s="677">
        <v>37526</v>
      </c>
      <c r="B3828" s="733" t="s">
        <v>12199</v>
      </c>
      <c r="C3828" s="677" t="s">
        <v>1690</v>
      </c>
      <c r="D3828" s="738">
        <f t="shared" si="118"/>
        <v>3.55</v>
      </c>
      <c r="F3828" s="1405">
        <v>3.55</v>
      </c>
      <c r="G3828" s="1405">
        <v>3.55</v>
      </c>
      <c r="H3828" t="b">
        <f t="shared" si="119"/>
        <v>1</v>
      </c>
    </row>
    <row r="3829" spans="1:8">
      <c r="A3829" s="739">
        <v>6076</v>
      </c>
      <c r="B3829" s="740" t="s">
        <v>12200</v>
      </c>
      <c r="C3829" s="739" t="s">
        <v>1691</v>
      </c>
      <c r="D3829" s="741">
        <f t="shared" si="118"/>
        <v>65</v>
      </c>
      <c r="F3829" s="1406">
        <v>65</v>
      </c>
      <c r="G3829" s="1406">
        <v>65</v>
      </c>
      <c r="H3829" t="b">
        <f t="shared" si="119"/>
        <v>1</v>
      </c>
    </row>
    <row r="3830" spans="1:8">
      <c r="A3830" s="677">
        <v>13109</v>
      </c>
      <c r="B3830" s="733" t="s">
        <v>12201</v>
      </c>
      <c r="C3830" s="677" t="s">
        <v>1690</v>
      </c>
      <c r="D3830" s="738">
        <f t="shared" si="118"/>
        <v>270.93</v>
      </c>
      <c r="F3830" s="1405">
        <v>270.93</v>
      </c>
      <c r="G3830" s="1405">
        <v>270.93</v>
      </c>
      <c r="H3830" t="b">
        <f t="shared" si="119"/>
        <v>1</v>
      </c>
    </row>
    <row r="3831" spans="1:8">
      <c r="A3831" s="739">
        <v>13110</v>
      </c>
      <c r="B3831" s="740" t="s">
        <v>12202</v>
      </c>
      <c r="C3831" s="739" t="s">
        <v>1690</v>
      </c>
      <c r="D3831" s="741">
        <f t="shared" si="118"/>
        <v>356.56</v>
      </c>
      <c r="F3831" s="1406">
        <v>356.56</v>
      </c>
      <c r="G3831" s="1406">
        <v>356.56</v>
      </c>
      <c r="H3831" t="b">
        <f t="shared" si="119"/>
        <v>1</v>
      </c>
    </row>
    <row r="3832" spans="1:8">
      <c r="A3832" s="677">
        <v>7581</v>
      </c>
      <c r="B3832" s="733" t="s">
        <v>12203</v>
      </c>
      <c r="C3832" s="677" t="s">
        <v>1690</v>
      </c>
      <c r="D3832" s="738">
        <f t="shared" si="118"/>
        <v>5.84</v>
      </c>
      <c r="F3832" s="1405">
        <v>5.84</v>
      </c>
      <c r="G3832" s="1405">
        <v>5.84</v>
      </c>
      <c r="H3832" t="b">
        <f t="shared" si="119"/>
        <v>1</v>
      </c>
    </row>
    <row r="3833" spans="1:8">
      <c r="A3833" s="739">
        <v>4509</v>
      </c>
      <c r="B3833" s="740" t="s">
        <v>12204</v>
      </c>
      <c r="C3833" s="739" t="s">
        <v>1693</v>
      </c>
      <c r="D3833" s="741">
        <f t="shared" si="118"/>
        <v>5.68</v>
      </c>
      <c r="F3833" s="1406">
        <v>5.68</v>
      </c>
      <c r="G3833" s="1406">
        <v>5.68</v>
      </c>
      <c r="H3833" t="b">
        <f t="shared" si="119"/>
        <v>1</v>
      </c>
    </row>
    <row r="3834" spans="1:8">
      <c r="A3834" s="677">
        <v>4512</v>
      </c>
      <c r="B3834" s="733" t="s">
        <v>12205</v>
      </c>
      <c r="C3834" s="677" t="s">
        <v>1693</v>
      </c>
      <c r="D3834" s="738">
        <f t="shared" si="118"/>
        <v>2.71</v>
      </c>
      <c r="F3834" s="1405">
        <v>2.71</v>
      </c>
      <c r="G3834" s="1405">
        <v>2.71</v>
      </c>
      <c r="H3834" t="b">
        <f t="shared" si="119"/>
        <v>1</v>
      </c>
    </row>
    <row r="3835" spans="1:8">
      <c r="A3835" s="739">
        <v>4517</v>
      </c>
      <c r="B3835" s="740" t="s">
        <v>12206</v>
      </c>
      <c r="C3835" s="739" t="s">
        <v>1693</v>
      </c>
      <c r="D3835" s="741">
        <f t="shared" si="118"/>
        <v>3.92</v>
      </c>
      <c r="F3835" s="1406">
        <v>3.92</v>
      </c>
      <c r="G3835" s="1406">
        <v>3.92</v>
      </c>
      <c r="H3835" t="b">
        <f t="shared" si="119"/>
        <v>1</v>
      </c>
    </row>
    <row r="3836" spans="1:8">
      <c r="A3836" s="677">
        <v>20206</v>
      </c>
      <c r="B3836" s="733" t="s">
        <v>12207</v>
      </c>
      <c r="C3836" s="677" t="s">
        <v>1693</v>
      </c>
      <c r="D3836" s="738">
        <f t="shared" si="118"/>
        <v>7.74</v>
      </c>
      <c r="F3836" s="1405">
        <v>7.74</v>
      </c>
      <c r="G3836" s="1405">
        <v>7.74</v>
      </c>
      <c r="H3836" t="b">
        <f t="shared" si="119"/>
        <v>1</v>
      </c>
    </row>
    <row r="3837" spans="1:8">
      <c r="A3837" s="739">
        <v>4460</v>
      </c>
      <c r="B3837" s="740" t="s">
        <v>12208</v>
      </c>
      <c r="C3837" s="739" t="s">
        <v>1693</v>
      </c>
      <c r="D3837" s="741">
        <f t="shared" si="118"/>
        <v>7.94</v>
      </c>
      <c r="F3837" s="1406">
        <v>7.94</v>
      </c>
      <c r="G3837" s="1406">
        <v>7.94</v>
      </c>
      <c r="H3837" t="b">
        <f t="shared" si="119"/>
        <v>1</v>
      </c>
    </row>
    <row r="3838" spans="1:8" ht="30">
      <c r="A3838" s="677">
        <v>4415</v>
      </c>
      <c r="B3838" s="733" t="s">
        <v>12209</v>
      </c>
      <c r="C3838" s="677" t="s">
        <v>1693</v>
      </c>
      <c r="D3838" s="738">
        <f t="shared" si="118"/>
        <v>4.25</v>
      </c>
      <c r="F3838" s="1405">
        <v>4.25</v>
      </c>
      <c r="G3838" s="1405">
        <v>4.25</v>
      </c>
      <c r="H3838" t="b">
        <f t="shared" si="119"/>
        <v>1</v>
      </c>
    </row>
    <row r="3839" spans="1:8" ht="30">
      <c r="A3839" s="739">
        <v>4417</v>
      </c>
      <c r="B3839" s="740" t="s">
        <v>12210</v>
      </c>
      <c r="C3839" s="739" t="s">
        <v>1693</v>
      </c>
      <c r="D3839" s="741">
        <f t="shared" si="118"/>
        <v>6.12</v>
      </c>
      <c r="F3839" s="1406">
        <v>6.12</v>
      </c>
      <c r="G3839" s="1406">
        <v>6.12</v>
      </c>
      <c r="H3839" t="b">
        <f t="shared" si="119"/>
        <v>1</v>
      </c>
    </row>
    <row r="3840" spans="1:8">
      <c r="A3840" s="677">
        <v>37373</v>
      </c>
      <c r="B3840" s="733" t="s">
        <v>12211</v>
      </c>
      <c r="C3840" s="677" t="s">
        <v>1689</v>
      </c>
      <c r="D3840" s="738">
        <f t="shared" si="118"/>
        <v>0.04</v>
      </c>
      <c r="F3840" s="1405">
        <v>0.04</v>
      </c>
      <c r="G3840" s="1405">
        <v>0.04</v>
      </c>
      <c r="H3840" t="b">
        <f t="shared" si="119"/>
        <v>1</v>
      </c>
    </row>
    <row r="3841" spans="1:8">
      <c r="A3841" s="739">
        <v>40864</v>
      </c>
      <c r="B3841" s="740" t="s">
        <v>12212</v>
      </c>
      <c r="C3841" s="739" t="s">
        <v>1696</v>
      </c>
      <c r="D3841" s="741">
        <f t="shared" si="118"/>
        <v>7.31</v>
      </c>
      <c r="F3841" s="1406">
        <v>7.31</v>
      </c>
      <c r="G3841" s="1406">
        <v>7.31</v>
      </c>
      <c r="H3841" t="b">
        <f t="shared" si="119"/>
        <v>1</v>
      </c>
    </row>
    <row r="3842" spans="1:8">
      <c r="A3842" s="677">
        <v>4734</v>
      </c>
      <c r="B3842" s="733" t="s">
        <v>12213</v>
      </c>
      <c r="C3842" s="677" t="s">
        <v>1691</v>
      </c>
      <c r="D3842" s="738">
        <f t="shared" si="118"/>
        <v>474.16</v>
      </c>
      <c r="F3842" s="1405">
        <v>474.16</v>
      </c>
      <c r="G3842" s="1405">
        <v>474.16</v>
      </c>
      <c r="H3842" t="b">
        <f t="shared" si="119"/>
        <v>1</v>
      </c>
    </row>
    <row r="3843" spans="1:8">
      <c r="A3843" s="739">
        <v>6085</v>
      </c>
      <c r="B3843" s="740" t="s">
        <v>12214</v>
      </c>
      <c r="C3843" s="739" t="s">
        <v>1695</v>
      </c>
      <c r="D3843" s="741">
        <f t="shared" ref="D3843:D3906" si="120">IF($J$2=$F$1,F3843,G3843)</f>
        <v>5.84</v>
      </c>
      <c r="F3843" s="1406">
        <v>5.84</v>
      </c>
      <c r="G3843" s="1406">
        <v>5.84</v>
      </c>
      <c r="H3843" t="b">
        <f t="shared" ref="H3843:H3906" si="121">F3843=G3843</f>
        <v>1</v>
      </c>
    </row>
    <row r="3844" spans="1:8">
      <c r="A3844" s="677">
        <v>38396</v>
      </c>
      <c r="B3844" s="733" t="s">
        <v>12215</v>
      </c>
      <c r="C3844" s="677" t="s">
        <v>1690</v>
      </c>
      <c r="D3844" s="738">
        <f t="shared" si="120"/>
        <v>590.74</v>
      </c>
      <c r="F3844" s="1405">
        <v>590.74</v>
      </c>
      <c r="G3844" s="1405">
        <v>590.74</v>
      </c>
      <c r="H3844" t="b">
        <f t="shared" si="121"/>
        <v>1</v>
      </c>
    </row>
    <row r="3845" spans="1:8">
      <c r="A3845" s="739">
        <v>11622</v>
      </c>
      <c r="B3845" s="740" t="s">
        <v>12216</v>
      </c>
      <c r="C3845" s="739" t="s">
        <v>1694</v>
      </c>
      <c r="D3845" s="741">
        <f t="shared" si="120"/>
        <v>73.89</v>
      </c>
      <c r="F3845" s="1406">
        <v>73.89</v>
      </c>
      <c r="G3845" s="1406">
        <v>73.89</v>
      </c>
      <c r="H3845" t="b">
        <f t="shared" si="121"/>
        <v>1</v>
      </c>
    </row>
    <row r="3846" spans="1:8">
      <c r="A3846" s="677">
        <v>43143</v>
      </c>
      <c r="B3846" s="733" t="s">
        <v>12217</v>
      </c>
      <c r="C3846" s="677" t="s">
        <v>1695</v>
      </c>
      <c r="D3846" s="738">
        <f t="shared" si="120"/>
        <v>27.91</v>
      </c>
      <c r="F3846" s="1405">
        <v>27.91</v>
      </c>
      <c r="G3846" s="1405">
        <v>27.91</v>
      </c>
      <c r="H3846" t="b">
        <f t="shared" si="121"/>
        <v>1</v>
      </c>
    </row>
    <row r="3847" spans="1:8">
      <c r="A3847" s="739">
        <v>7317</v>
      </c>
      <c r="B3847" s="740" t="s">
        <v>12218</v>
      </c>
      <c r="C3847" s="739" t="s">
        <v>1694</v>
      </c>
      <c r="D3847" s="741">
        <f t="shared" si="120"/>
        <v>46.45</v>
      </c>
      <c r="F3847" s="1406">
        <v>46.45</v>
      </c>
      <c r="G3847" s="1406">
        <v>46.45</v>
      </c>
      <c r="H3847" t="b">
        <f t="shared" si="121"/>
        <v>1</v>
      </c>
    </row>
    <row r="3848" spans="1:8">
      <c r="A3848" s="677">
        <v>142</v>
      </c>
      <c r="B3848" s="733" t="s">
        <v>12219</v>
      </c>
      <c r="C3848" s="677" t="s">
        <v>1704</v>
      </c>
      <c r="D3848" s="738">
        <f t="shared" si="120"/>
        <v>34.86</v>
      </c>
      <c r="F3848" s="1405">
        <v>34.86</v>
      </c>
      <c r="G3848" s="1405">
        <v>34.86</v>
      </c>
      <c r="H3848" t="b">
        <f t="shared" si="121"/>
        <v>1</v>
      </c>
    </row>
    <row r="3849" spans="1:8">
      <c r="A3849" s="739">
        <v>43142</v>
      </c>
      <c r="B3849" s="740" t="s">
        <v>12220</v>
      </c>
      <c r="C3849" s="739" t="s">
        <v>1695</v>
      </c>
      <c r="D3849" s="741">
        <f t="shared" si="120"/>
        <v>158.37</v>
      </c>
      <c r="F3849" s="1406">
        <v>158.37</v>
      </c>
      <c r="G3849" s="1406">
        <v>158.37</v>
      </c>
      <c r="H3849" t="b">
        <f t="shared" si="121"/>
        <v>1</v>
      </c>
    </row>
    <row r="3850" spans="1:8">
      <c r="A3850" s="677">
        <v>38123</v>
      </c>
      <c r="B3850" s="733" t="s">
        <v>12221</v>
      </c>
      <c r="C3850" s="677" t="s">
        <v>1694</v>
      </c>
      <c r="D3850" s="738">
        <f t="shared" si="120"/>
        <v>36.92</v>
      </c>
      <c r="F3850" s="1405">
        <v>36.92</v>
      </c>
      <c r="G3850" s="1405">
        <v>36.92</v>
      </c>
      <c r="H3850" t="b">
        <f t="shared" si="121"/>
        <v>1</v>
      </c>
    </row>
    <row r="3851" spans="1:8">
      <c r="A3851" s="739">
        <v>42699</v>
      </c>
      <c r="B3851" s="740" t="s">
        <v>12222</v>
      </c>
      <c r="C3851" s="739" t="s">
        <v>1690</v>
      </c>
      <c r="D3851" s="741">
        <f t="shared" si="120"/>
        <v>31.21</v>
      </c>
      <c r="F3851" s="1406">
        <v>31.21</v>
      </c>
      <c r="G3851" s="1406">
        <v>31.21</v>
      </c>
      <c r="H3851" t="b">
        <f t="shared" si="121"/>
        <v>1</v>
      </c>
    </row>
    <row r="3852" spans="1:8" ht="30">
      <c r="A3852" s="677">
        <v>37743</v>
      </c>
      <c r="B3852" s="733" t="s">
        <v>12223</v>
      </c>
      <c r="C3852" s="677" t="s">
        <v>1690</v>
      </c>
      <c r="D3852" s="738">
        <f t="shared" si="120"/>
        <v>213383.28</v>
      </c>
      <c r="F3852" s="1405">
        <v>213383.28</v>
      </c>
      <c r="G3852" s="1405">
        <v>213383.28</v>
      </c>
      <c r="H3852" t="b">
        <f t="shared" si="121"/>
        <v>1</v>
      </c>
    </row>
    <row r="3853" spans="1:8" ht="30">
      <c r="A3853" s="739">
        <v>37744</v>
      </c>
      <c r="B3853" s="740" t="s">
        <v>12224</v>
      </c>
      <c r="C3853" s="739" t="s">
        <v>1690</v>
      </c>
      <c r="D3853" s="741">
        <f t="shared" si="120"/>
        <v>250898.6</v>
      </c>
      <c r="F3853" s="1406">
        <v>250898.6</v>
      </c>
      <c r="G3853" s="1406">
        <v>250898.6</v>
      </c>
      <c r="H3853" t="b">
        <f t="shared" si="121"/>
        <v>1</v>
      </c>
    </row>
    <row r="3854" spans="1:8" ht="30">
      <c r="A3854" s="677">
        <v>37741</v>
      </c>
      <c r="B3854" s="733" t="s">
        <v>12225</v>
      </c>
      <c r="C3854" s="677" t="s">
        <v>1690</v>
      </c>
      <c r="D3854" s="738">
        <f t="shared" si="120"/>
        <v>194028.25</v>
      </c>
      <c r="F3854" s="1405">
        <v>194028.25</v>
      </c>
      <c r="G3854" s="1405">
        <v>194028.25</v>
      </c>
      <c r="H3854" t="b">
        <f t="shared" si="121"/>
        <v>1</v>
      </c>
    </row>
    <row r="3855" spans="1:8">
      <c r="A3855" s="739">
        <v>39396</v>
      </c>
      <c r="B3855" s="740" t="s">
        <v>12226</v>
      </c>
      <c r="C3855" s="739" t="s">
        <v>1690</v>
      </c>
      <c r="D3855" s="741">
        <f t="shared" si="120"/>
        <v>72.930000000000007</v>
      </c>
      <c r="F3855" s="1406">
        <v>72.930000000000007</v>
      </c>
      <c r="G3855" s="1406">
        <v>72.930000000000007</v>
      </c>
      <c r="H3855" t="b">
        <f t="shared" si="121"/>
        <v>1</v>
      </c>
    </row>
    <row r="3856" spans="1:8" ht="30">
      <c r="A3856" s="677">
        <v>39392</v>
      </c>
      <c r="B3856" s="733" t="s">
        <v>12227</v>
      </c>
      <c r="C3856" s="677" t="s">
        <v>1690</v>
      </c>
      <c r="D3856" s="738">
        <f t="shared" si="120"/>
        <v>82.27</v>
      </c>
      <c r="F3856" s="1405">
        <v>82.27</v>
      </c>
      <c r="G3856" s="1405">
        <v>82.27</v>
      </c>
      <c r="H3856" t="b">
        <f t="shared" si="121"/>
        <v>1</v>
      </c>
    </row>
    <row r="3857" spans="1:8" ht="30">
      <c r="A3857" s="739">
        <v>39393</v>
      </c>
      <c r="B3857" s="740" t="s">
        <v>12228</v>
      </c>
      <c r="C3857" s="739" t="s">
        <v>1690</v>
      </c>
      <c r="D3857" s="741">
        <f t="shared" si="120"/>
        <v>50.88</v>
      </c>
      <c r="F3857" s="1406">
        <v>50.88</v>
      </c>
      <c r="G3857" s="1406">
        <v>50.88</v>
      </c>
      <c r="H3857" t="b">
        <f t="shared" si="121"/>
        <v>1</v>
      </c>
    </row>
    <row r="3858" spans="1:8" ht="30">
      <c r="A3858" s="677">
        <v>39394</v>
      </c>
      <c r="B3858" s="733" t="s">
        <v>12229</v>
      </c>
      <c r="C3858" s="677" t="s">
        <v>1690</v>
      </c>
      <c r="D3858" s="738">
        <f t="shared" si="120"/>
        <v>57.26</v>
      </c>
      <c r="F3858" s="1405">
        <v>57.26</v>
      </c>
      <c r="G3858" s="1405">
        <v>57.26</v>
      </c>
      <c r="H3858" t="b">
        <f t="shared" si="121"/>
        <v>1</v>
      </c>
    </row>
    <row r="3859" spans="1:8" ht="30">
      <c r="A3859" s="739">
        <v>39395</v>
      </c>
      <c r="B3859" s="740" t="s">
        <v>12230</v>
      </c>
      <c r="C3859" s="739" t="s">
        <v>1690</v>
      </c>
      <c r="D3859" s="741">
        <f t="shared" si="120"/>
        <v>53.25</v>
      </c>
      <c r="F3859" s="1406">
        <v>53.25</v>
      </c>
      <c r="G3859" s="1406">
        <v>53.25</v>
      </c>
      <c r="H3859" t="b">
        <f t="shared" si="121"/>
        <v>1</v>
      </c>
    </row>
    <row r="3860" spans="1:8">
      <c r="A3860" s="677">
        <v>14618</v>
      </c>
      <c r="B3860" s="733" t="s">
        <v>12231</v>
      </c>
      <c r="C3860" s="677" t="s">
        <v>1690</v>
      </c>
      <c r="D3860" s="738">
        <f t="shared" si="120"/>
        <v>1530.45</v>
      </c>
      <c r="F3860" s="1405">
        <v>1530.45</v>
      </c>
      <c r="G3860" s="1405">
        <v>1530.45</v>
      </c>
      <c r="H3860" t="b">
        <f t="shared" si="121"/>
        <v>1</v>
      </c>
    </row>
    <row r="3861" spans="1:8" ht="30">
      <c r="A3861" s="739">
        <v>40269</v>
      </c>
      <c r="B3861" s="740" t="s">
        <v>12232</v>
      </c>
      <c r="C3861" s="739" t="s">
        <v>1690</v>
      </c>
      <c r="D3861" s="741">
        <f t="shared" si="120"/>
        <v>6166.1</v>
      </c>
      <c r="F3861" s="1406">
        <v>6166.1</v>
      </c>
      <c r="G3861" s="1406">
        <v>6166.1</v>
      </c>
      <c r="H3861" t="b">
        <f t="shared" si="121"/>
        <v>1</v>
      </c>
    </row>
    <row r="3862" spans="1:8">
      <c r="A3862" s="677">
        <v>6110</v>
      </c>
      <c r="B3862" s="733" t="s">
        <v>12233</v>
      </c>
      <c r="C3862" s="677" t="s">
        <v>1689</v>
      </c>
      <c r="D3862" s="738">
        <f t="shared" si="120"/>
        <v>19.79</v>
      </c>
      <c r="F3862" s="1405">
        <v>17.190000000000001</v>
      </c>
      <c r="G3862" s="1405">
        <v>19.79</v>
      </c>
      <c r="H3862" t="b">
        <f t="shared" si="121"/>
        <v>0</v>
      </c>
    </row>
    <row r="3863" spans="1:8">
      <c r="A3863" s="739">
        <v>40910</v>
      </c>
      <c r="B3863" s="740" t="s">
        <v>12234</v>
      </c>
      <c r="C3863" s="739" t="s">
        <v>1696</v>
      </c>
      <c r="D3863" s="741">
        <f t="shared" si="120"/>
        <v>3482.33</v>
      </c>
      <c r="F3863" s="1406">
        <v>3020.19</v>
      </c>
      <c r="G3863" s="1406">
        <v>3482.33</v>
      </c>
      <c r="H3863" t="b">
        <f t="shared" si="121"/>
        <v>0</v>
      </c>
    </row>
    <row r="3864" spans="1:8">
      <c r="A3864" s="677">
        <v>6111</v>
      </c>
      <c r="B3864" s="733" t="s">
        <v>12235</v>
      </c>
      <c r="C3864" s="677" t="s">
        <v>1689</v>
      </c>
      <c r="D3864" s="738">
        <f t="shared" si="120"/>
        <v>14.74</v>
      </c>
      <c r="F3864" s="1405">
        <v>12.8</v>
      </c>
      <c r="G3864" s="1405">
        <v>14.74</v>
      </c>
      <c r="H3864" t="b">
        <f t="shared" si="121"/>
        <v>0</v>
      </c>
    </row>
    <row r="3865" spans="1:8">
      <c r="A3865" s="739">
        <v>41084</v>
      </c>
      <c r="B3865" s="740" t="s">
        <v>12236</v>
      </c>
      <c r="C3865" s="739" t="s">
        <v>1696</v>
      </c>
      <c r="D3865" s="741">
        <f t="shared" si="120"/>
        <v>2594.46</v>
      </c>
      <c r="F3865" s="1406">
        <v>2250.15</v>
      </c>
      <c r="G3865" s="1406">
        <v>2594.46</v>
      </c>
      <c r="H3865" t="b">
        <f t="shared" si="121"/>
        <v>0</v>
      </c>
    </row>
    <row r="3866" spans="1:8" ht="30">
      <c r="A3866" s="677">
        <v>44535</v>
      </c>
      <c r="B3866" s="733" t="s">
        <v>12237</v>
      </c>
      <c r="C3866" s="677" t="s">
        <v>1691</v>
      </c>
      <c r="D3866" s="738">
        <f t="shared" si="120"/>
        <v>69.19</v>
      </c>
      <c r="F3866" s="1405">
        <v>69.19</v>
      </c>
      <c r="G3866" s="1405">
        <v>69.19</v>
      </c>
      <c r="H3866" t="b">
        <f t="shared" si="121"/>
        <v>1</v>
      </c>
    </row>
    <row r="3867" spans="1:8">
      <c r="A3867" s="739">
        <v>44945</v>
      </c>
      <c r="B3867" s="740" t="s">
        <v>12238</v>
      </c>
      <c r="C3867" s="739" t="s">
        <v>1690</v>
      </c>
      <c r="D3867" s="741">
        <f t="shared" si="120"/>
        <v>12.99</v>
      </c>
      <c r="F3867" s="1406">
        <v>12.99</v>
      </c>
      <c r="G3867" s="1406">
        <v>12.99</v>
      </c>
      <c r="H3867" t="b">
        <f t="shared" si="121"/>
        <v>1</v>
      </c>
    </row>
    <row r="3868" spans="1:8">
      <c r="A3868" s="677">
        <v>38637</v>
      </c>
      <c r="B3868" s="733" t="s">
        <v>12239</v>
      </c>
      <c r="C3868" s="677" t="s">
        <v>1690</v>
      </c>
      <c r="D3868" s="738">
        <f t="shared" si="120"/>
        <v>241.28</v>
      </c>
      <c r="F3868" s="1405">
        <v>241.28</v>
      </c>
      <c r="G3868" s="1405">
        <v>241.28</v>
      </c>
      <c r="H3868" t="b">
        <f t="shared" si="121"/>
        <v>1</v>
      </c>
    </row>
    <row r="3869" spans="1:8">
      <c r="A3869" s="739">
        <v>6150</v>
      </c>
      <c r="B3869" s="740" t="s">
        <v>12240</v>
      </c>
      <c r="C3869" s="739" t="s">
        <v>1690</v>
      </c>
      <c r="D3869" s="741">
        <f t="shared" si="120"/>
        <v>244.23</v>
      </c>
      <c r="F3869" s="1406">
        <v>244.23</v>
      </c>
      <c r="G3869" s="1406">
        <v>244.23</v>
      </c>
      <c r="H3869" t="b">
        <f t="shared" si="121"/>
        <v>1</v>
      </c>
    </row>
    <row r="3870" spans="1:8">
      <c r="A3870" s="677">
        <v>6136</v>
      </c>
      <c r="B3870" s="733" t="s">
        <v>12241</v>
      </c>
      <c r="C3870" s="677" t="s">
        <v>1690</v>
      </c>
      <c r="D3870" s="738">
        <f t="shared" si="120"/>
        <v>191.98</v>
      </c>
      <c r="F3870" s="1405">
        <v>191.98</v>
      </c>
      <c r="G3870" s="1405">
        <v>191.98</v>
      </c>
      <c r="H3870" t="b">
        <f t="shared" si="121"/>
        <v>1</v>
      </c>
    </row>
    <row r="3871" spans="1:8">
      <c r="A3871" s="739">
        <v>38638</v>
      </c>
      <c r="B3871" s="740" t="s">
        <v>12242</v>
      </c>
      <c r="C3871" s="739" t="s">
        <v>1690</v>
      </c>
      <c r="D3871" s="741">
        <f t="shared" si="120"/>
        <v>203.32</v>
      </c>
      <c r="F3871" s="1406">
        <v>203.32</v>
      </c>
      <c r="G3871" s="1406">
        <v>203.32</v>
      </c>
      <c r="H3871" t="b">
        <f t="shared" si="121"/>
        <v>1</v>
      </c>
    </row>
    <row r="3872" spans="1:8">
      <c r="A3872" s="677">
        <v>20262</v>
      </c>
      <c r="B3872" s="733" t="s">
        <v>12243</v>
      </c>
      <c r="C3872" s="677" t="s">
        <v>1690</v>
      </c>
      <c r="D3872" s="738">
        <f t="shared" si="120"/>
        <v>23.79</v>
      </c>
      <c r="F3872" s="1405">
        <v>23.79</v>
      </c>
      <c r="G3872" s="1405">
        <v>23.79</v>
      </c>
      <c r="H3872" t="b">
        <f t="shared" si="121"/>
        <v>1</v>
      </c>
    </row>
    <row r="3873" spans="1:8">
      <c r="A3873" s="739">
        <v>6145</v>
      </c>
      <c r="B3873" s="740" t="s">
        <v>12244</v>
      </c>
      <c r="C3873" s="739" t="s">
        <v>1690</v>
      </c>
      <c r="D3873" s="741">
        <f t="shared" si="120"/>
        <v>26.28</v>
      </c>
      <c r="F3873" s="1406">
        <v>26.28</v>
      </c>
      <c r="G3873" s="1406">
        <v>26.28</v>
      </c>
      <c r="H3873" t="b">
        <f t="shared" si="121"/>
        <v>1</v>
      </c>
    </row>
    <row r="3874" spans="1:8">
      <c r="A3874" s="677">
        <v>6149</v>
      </c>
      <c r="B3874" s="733" t="s">
        <v>12245</v>
      </c>
      <c r="C3874" s="677" t="s">
        <v>1690</v>
      </c>
      <c r="D3874" s="738">
        <f t="shared" si="120"/>
        <v>17.37</v>
      </c>
      <c r="F3874" s="1405">
        <v>17.37</v>
      </c>
      <c r="G3874" s="1405">
        <v>17.37</v>
      </c>
      <c r="H3874" t="b">
        <f t="shared" si="121"/>
        <v>1</v>
      </c>
    </row>
    <row r="3875" spans="1:8">
      <c r="A3875" s="739">
        <v>6146</v>
      </c>
      <c r="B3875" s="740" t="s">
        <v>12246</v>
      </c>
      <c r="C3875" s="739" t="s">
        <v>1690</v>
      </c>
      <c r="D3875" s="741">
        <f t="shared" si="120"/>
        <v>24.97</v>
      </c>
      <c r="F3875" s="1406">
        <v>24.97</v>
      </c>
      <c r="G3875" s="1406">
        <v>24.97</v>
      </c>
      <c r="H3875" t="b">
        <f t="shared" si="121"/>
        <v>1</v>
      </c>
    </row>
    <row r="3876" spans="1:8">
      <c r="A3876" s="677">
        <v>44536</v>
      </c>
      <c r="B3876" s="733" t="s">
        <v>12247</v>
      </c>
      <c r="C3876" s="677" t="s">
        <v>1694</v>
      </c>
      <c r="D3876" s="738">
        <f t="shared" si="120"/>
        <v>2.93</v>
      </c>
      <c r="F3876" s="1405">
        <v>2.93</v>
      </c>
      <c r="G3876" s="1405">
        <v>2.93</v>
      </c>
      <c r="H3876" t="b">
        <f t="shared" si="121"/>
        <v>1</v>
      </c>
    </row>
    <row r="3877" spans="1:8">
      <c r="A3877" s="739">
        <v>39961</v>
      </c>
      <c r="B3877" s="740" t="s">
        <v>12248</v>
      </c>
      <c r="C3877" s="739" t="s">
        <v>1690</v>
      </c>
      <c r="D3877" s="741">
        <f t="shared" si="120"/>
        <v>23.04</v>
      </c>
      <c r="F3877" s="1406">
        <v>23.04</v>
      </c>
      <c r="G3877" s="1406">
        <v>23.04</v>
      </c>
      <c r="H3877" t="b">
        <f t="shared" si="121"/>
        <v>1</v>
      </c>
    </row>
    <row r="3878" spans="1:8" ht="30">
      <c r="A3878" s="677">
        <v>42433</v>
      </c>
      <c r="B3878" s="733" t="s">
        <v>12249</v>
      </c>
      <c r="C3878" s="677" t="s">
        <v>1690</v>
      </c>
      <c r="D3878" s="738">
        <f t="shared" si="120"/>
        <v>4789.18</v>
      </c>
      <c r="F3878" s="1405">
        <v>4789.18</v>
      </c>
      <c r="G3878" s="1405">
        <v>4789.18</v>
      </c>
      <c r="H3878" t="b">
        <f t="shared" si="121"/>
        <v>1</v>
      </c>
    </row>
    <row r="3879" spans="1:8" ht="30">
      <c r="A3879" s="739">
        <v>42434</v>
      </c>
      <c r="B3879" s="740" t="s">
        <v>12250</v>
      </c>
      <c r="C3879" s="739" t="s">
        <v>1690</v>
      </c>
      <c r="D3879" s="741">
        <f t="shared" si="120"/>
        <v>5175.3999999999996</v>
      </c>
      <c r="F3879" s="1406">
        <v>5175.3999999999996</v>
      </c>
      <c r="G3879" s="1406">
        <v>5175.3999999999996</v>
      </c>
      <c r="H3879" t="b">
        <f t="shared" si="121"/>
        <v>1</v>
      </c>
    </row>
    <row r="3880" spans="1:8" ht="30">
      <c r="A3880" s="677">
        <v>42435</v>
      </c>
      <c r="B3880" s="733" t="s">
        <v>12251</v>
      </c>
      <c r="C3880" s="677" t="s">
        <v>1690</v>
      </c>
      <c r="D3880" s="738">
        <f t="shared" si="120"/>
        <v>2580.7800000000002</v>
      </c>
      <c r="F3880" s="1405">
        <v>2580.7800000000002</v>
      </c>
      <c r="G3880" s="1405">
        <v>2580.7800000000002</v>
      </c>
      <c r="H3880" t="b">
        <f t="shared" si="121"/>
        <v>1</v>
      </c>
    </row>
    <row r="3881" spans="1:8">
      <c r="A3881" s="739">
        <v>38061</v>
      </c>
      <c r="B3881" s="740" t="s">
        <v>12252</v>
      </c>
      <c r="C3881" s="739" t="s">
        <v>1690</v>
      </c>
      <c r="D3881" s="741">
        <f t="shared" si="120"/>
        <v>56.01</v>
      </c>
      <c r="F3881" s="1406">
        <v>56.01</v>
      </c>
      <c r="G3881" s="1406">
        <v>56.01</v>
      </c>
      <c r="H3881" t="b">
        <f t="shared" si="121"/>
        <v>1</v>
      </c>
    </row>
    <row r="3882" spans="1:8">
      <c r="A3882" s="677">
        <v>20250</v>
      </c>
      <c r="B3882" s="733" t="s">
        <v>12253</v>
      </c>
      <c r="C3882" s="677" t="s">
        <v>1694</v>
      </c>
      <c r="D3882" s="738">
        <f t="shared" si="120"/>
        <v>16</v>
      </c>
      <c r="F3882" s="1405">
        <v>16</v>
      </c>
      <c r="G3882" s="1405">
        <v>16</v>
      </c>
      <c r="H3882" t="b">
        <f t="shared" si="121"/>
        <v>1</v>
      </c>
    </row>
    <row r="3883" spans="1:8">
      <c r="A3883" s="739">
        <v>13388</v>
      </c>
      <c r="B3883" s="740" t="s">
        <v>12254</v>
      </c>
      <c r="C3883" s="739" t="s">
        <v>1694</v>
      </c>
      <c r="D3883" s="741">
        <f t="shared" si="120"/>
        <v>166.92</v>
      </c>
      <c r="F3883" s="1406">
        <v>166.92</v>
      </c>
      <c r="G3883" s="1406">
        <v>166.92</v>
      </c>
      <c r="H3883" t="b">
        <f t="shared" si="121"/>
        <v>1</v>
      </c>
    </row>
    <row r="3884" spans="1:8">
      <c r="A3884" s="677">
        <v>39914</v>
      </c>
      <c r="B3884" s="733" t="s">
        <v>12255</v>
      </c>
      <c r="C3884" s="677" t="s">
        <v>1694</v>
      </c>
      <c r="D3884" s="738">
        <f t="shared" si="120"/>
        <v>237.46</v>
      </c>
      <c r="F3884" s="1405">
        <v>237.46</v>
      </c>
      <c r="G3884" s="1405">
        <v>237.46</v>
      </c>
      <c r="H3884" t="b">
        <f t="shared" si="121"/>
        <v>1</v>
      </c>
    </row>
    <row r="3885" spans="1:8">
      <c r="A3885" s="739">
        <v>12732</v>
      </c>
      <c r="B3885" s="740" t="s">
        <v>12256</v>
      </c>
      <c r="C3885" s="739" t="s">
        <v>1690</v>
      </c>
      <c r="D3885" s="741">
        <f t="shared" si="120"/>
        <v>273.99</v>
      </c>
      <c r="F3885" s="1406">
        <v>273.99</v>
      </c>
      <c r="G3885" s="1406">
        <v>273.99</v>
      </c>
      <c r="H3885" t="b">
        <f t="shared" si="121"/>
        <v>1</v>
      </c>
    </row>
    <row r="3886" spans="1:8">
      <c r="A3886" s="677">
        <v>6160</v>
      </c>
      <c r="B3886" s="733" t="s">
        <v>12257</v>
      </c>
      <c r="C3886" s="677" t="s">
        <v>1689</v>
      </c>
      <c r="D3886" s="738">
        <f t="shared" si="120"/>
        <v>19.79</v>
      </c>
      <c r="F3886" s="1405">
        <v>17.190000000000001</v>
      </c>
      <c r="G3886" s="1405">
        <v>19.79</v>
      </c>
      <c r="H3886" t="b">
        <f t="shared" si="121"/>
        <v>0</v>
      </c>
    </row>
    <row r="3887" spans="1:8">
      <c r="A3887" s="739">
        <v>41087</v>
      </c>
      <c r="B3887" s="740" t="s">
        <v>12258</v>
      </c>
      <c r="C3887" s="739" t="s">
        <v>1696</v>
      </c>
      <c r="D3887" s="741">
        <f t="shared" si="120"/>
        <v>3482.33</v>
      </c>
      <c r="F3887" s="1406">
        <v>3020.19</v>
      </c>
      <c r="G3887" s="1406">
        <v>3482.33</v>
      </c>
      <c r="H3887" t="b">
        <f t="shared" si="121"/>
        <v>0</v>
      </c>
    </row>
    <row r="3888" spans="1:8">
      <c r="A3888" s="677">
        <v>6166</v>
      </c>
      <c r="B3888" s="733" t="s">
        <v>12259</v>
      </c>
      <c r="C3888" s="677" t="s">
        <v>1689</v>
      </c>
      <c r="D3888" s="738">
        <f t="shared" si="120"/>
        <v>23.24</v>
      </c>
      <c r="F3888" s="1405">
        <v>20.190000000000001</v>
      </c>
      <c r="G3888" s="1405">
        <v>23.24</v>
      </c>
      <c r="H3888" t="b">
        <f t="shared" si="121"/>
        <v>0</v>
      </c>
    </row>
    <row r="3889" spans="1:8">
      <c r="A3889" s="739">
        <v>41088</v>
      </c>
      <c r="B3889" s="740" t="s">
        <v>12260</v>
      </c>
      <c r="C3889" s="739" t="s">
        <v>1696</v>
      </c>
      <c r="D3889" s="741">
        <f t="shared" si="120"/>
        <v>4092.17</v>
      </c>
      <c r="F3889" s="1406">
        <v>3549.11</v>
      </c>
      <c r="G3889" s="1406">
        <v>4092.17</v>
      </c>
      <c r="H3889" t="b">
        <f t="shared" si="121"/>
        <v>0</v>
      </c>
    </row>
    <row r="3890" spans="1:8" ht="30">
      <c r="A3890" s="677">
        <v>20232</v>
      </c>
      <c r="B3890" s="733" t="s">
        <v>12261</v>
      </c>
      <c r="C3890" s="677" t="s">
        <v>1693</v>
      </c>
      <c r="D3890" s="738">
        <f t="shared" si="120"/>
        <v>88.06</v>
      </c>
      <c r="F3890" s="1405">
        <v>88.06</v>
      </c>
      <c r="G3890" s="1405">
        <v>88.06</v>
      </c>
      <c r="H3890" t="b">
        <f t="shared" si="121"/>
        <v>1</v>
      </c>
    </row>
    <row r="3891" spans="1:8">
      <c r="A3891" s="739">
        <v>10856</v>
      </c>
      <c r="B3891" s="740" t="s">
        <v>12262</v>
      </c>
      <c r="C3891" s="739" t="s">
        <v>1693</v>
      </c>
      <c r="D3891" s="741">
        <f t="shared" si="120"/>
        <v>114.78</v>
      </c>
      <c r="F3891" s="1406">
        <v>114.78</v>
      </c>
      <c r="G3891" s="1406">
        <v>114.78</v>
      </c>
      <c r="H3891" t="b">
        <f t="shared" si="121"/>
        <v>1</v>
      </c>
    </row>
    <row r="3892" spans="1:8">
      <c r="A3892" s="677">
        <v>4828</v>
      </c>
      <c r="B3892" s="733" t="s">
        <v>12263</v>
      </c>
      <c r="C3892" s="677" t="s">
        <v>1693</v>
      </c>
      <c r="D3892" s="738">
        <f t="shared" si="120"/>
        <v>71.069999999999993</v>
      </c>
      <c r="F3892" s="1405">
        <v>71.069999999999993</v>
      </c>
      <c r="G3892" s="1405">
        <v>71.069999999999993</v>
      </c>
      <c r="H3892" t="b">
        <f t="shared" si="121"/>
        <v>1</v>
      </c>
    </row>
    <row r="3893" spans="1:8">
      <c r="A3893" s="739">
        <v>20249</v>
      </c>
      <c r="B3893" s="740" t="s">
        <v>12264</v>
      </c>
      <c r="C3893" s="739" t="s">
        <v>1693</v>
      </c>
      <c r="D3893" s="741">
        <f t="shared" si="120"/>
        <v>38.92</v>
      </c>
      <c r="F3893" s="1406">
        <v>38.92</v>
      </c>
      <c r="G3893" s="1406">
        <v>38.92</v>
      </c>
      <c r="H3893" t="b">
        <f t="shared" si="121"/>
        <v>1</v>
      </c>
    </row>
    <row r="3894" spans="1:8">
      <c r="A3894" s="677">
        <v>11609</v>
      </c>
      <c r="B3894" s="733" t="s">
        <v>12265</v>
      </c>
      <c r="C3894" s="677" t="s">
        <v>1695</v>
      </c>
      <c r="D3894" s="738">
        <f t="shared" si="120"/>
        <v>12.28</v>
      </c>
      <c r="F3894" s="1405">
        <v>12.28</v>
      </c>
      <c r="G3894" s="1405">
        <v>12.28</v>
      </c>
      <c r="H3894" t="b">
        <f t="shared" si="121"/>
        <v>1</v>
      </c>
    </row>
    <row r="3895" spans="1:8">
      <c r="A3895" s="739">
        <v>20083</v>
      </c>
      <c r="B3895" s="740" t="s">
        <v>12266</v>
      </c>
      <c r="C3895" s="739" t="s">
        <v>1690</v>
      </c>
      <c r="D3895" s="741">
        <f t="shared" si="120"/>
        <v>87</v>
      </c>
      <c r="F3895" s="1406">
        <v>87</v>
      </c>
      <c r="G3895" s="1406">
        <v>87</v>
      </c>
      <c r="H3895" t="b">
        <f t="shared" si="121"/>
        <v>1</v>
      </c>
    </row>
    <row r="3896" spans="1:8">
      <c r="A3896" s="677">
        <v>10691</v>
      </c>
      <c r="B3896" s="733" t="s">
        <v>12267</v>
      </c>
      <c r="C3896" s="677" t="s">
        <v>1695</v>
      </c>
      <c r="D3896" s="738">
        <f t="shared" si="120"/>
        <v>104.07</v>
      </c>
      <c r="F3896" s="1405">
        <v>104.07</v>
      </c>
      <c r="G3896" s="1405">
        <v>104.07</v>
      </c>
      <c r="H3896" t="b">
        <f t="shared" si="121"/>
        <v>1</v>
      </c>
    </row>
    <row r="3897" spans="1:8">
      <c r="A3897" s="739">
        <v>12295</v>
      </c>
      <c r="B3897" s="740" t="s">
        <v>12268</v>
      </c>
      <c r="C3897" s="739" t="s">
        <v>1690</v>
      </c>
      <c r="D3897" s="741">
        <f t="shared" si="120"/>
        <v>2.92</v>
      </c>
      <c r="F3897" s="1406">
        <v>2.92</v>
      </c>
      <c r="G3897" s="1406">
        <v>2.92</v>
      </c>
      <c r="H3897" t="b">
        <f t="shared" si="121"/>
        <v>1</v>
      </c>
    </row>
    <row r="3898" spans="1:8">
      <c r="A3898" s="677">
        <v>12296</v>
      </c>
      <c r="B3898" s="733" t="s">
        <v>12269</v>
      </c>
      <c r="C3898" s="677" t="s">
        <v>1690</v>
      </c>
      <c r="D3898" s="738">
        <f t="shared" si="120"/>
        <v>3.77</v>
      </c>
      <c r="F3898" s="1405">
        <v>3.77</v>
      </c>
      <c r="G3898" s="1405">
        <v>3.77</v>
      </c>
      <c r="H3898" t="b">
        <f t="shared" si="121"/>
        <v>1</v>
      </c>
    </row>
    <row r="3899" spans="1:8">
      <c r="A3899" s="739">
        <v>12294</v>
      </c>
      <c r="B3899" s="740" t="s">
        <v>12270</v>
      </c>
      <c r="C3899" s="739" t="s">
        <v>1690</v>
      </c>
      <c r="D3899" s="741">
        <f t="shared" si="120"/>
        <v>9.07</v>
      </c>
      <c r="F3899" s="1406">
        <v>9.07</v>
      </c>
      <c r="G3899" s="1406">
        <v>9.07</v>
      </c>
      <c r="H3899" t="b">
        <f t="shared" si="121"/>
        <v>1</v>
      </c>
    </row>
    <row r="3900" spans="1:8">
      <c r="A3900" s="677">
        <v>14543</v>
      </c>
      <c r="B3900" s="733" t="s">
        <v>12271</v>
      </c>
      <c r="C3900" s="677" t="s">
        <v>1690</v>
      </c>
      <c r="D3900" s="738">
        <f t="shared" si="120"/>
        <v>6.47</v>
      </c>
      <c r="F3900" s="1405">
        <v>6.47</v>
      </c>
      <c r="G3900" s="1405">
        <v>6.47</v>
      </c>
      <c r="H3900" t="b">
        <f t="shared" si="121"/>
        <v>1</v>
      </c>
    </row>
    <row r="3901" spans="1:8">
      <c r="A3901" s="739">
        <v>13329</v>
      </c>
      <c r="B3901" s="740" t="s">
        <v>12272</v>
      </c>
      <c r="C3901" s="739" t="s">
        <v>1690</v>
      </c>
      <c r="D3901" s="741">
        <f t="shared" si="120"/>
        <v>3.8</v>
      </c>
      <c r="F3901" s="1406">
        <v>3.8</v>
      </c>
      <c r="G3901" s="1406">
        <v>3.8</v>
      </c>
      <c r="H3901" t="b">
        <f t="shared" si="121"/>
        <v>1</v>
      </c>
    </row>
    <row r="3902" spans="1:8">
      <c r="A3902" s="677">
        <v>21047</v>
      </c>
      <c r="B3902" s="733" t="s">
        <v>12273</v>
      </c>
      <c r="C3902" s="677" t="s">
        <v>1690</v>
      </c>
      <c r="D3902" s="738">
        <f t="shared" si="120"/>
        <v>35.19</v>
      </c>
      <c r="F3902" s="1405">
        <v>35.19</v>
      </c>
      <c r="G3902" s="1405">
        <v>35.19</v>
      </c>
      <c r="H3902" t="b">
        <f t="shared" si="121"/>
        <v>1</v>
      </c>
    </row>
    <row r="3903" spans="1:8" ht="30">
      <c r="A3903" s="739">
        <v>21042</v>
      </c>
      <c r="B3903" s="740" t="s">
        <v>12274</v>
      </c>
      <c r="C3903" s="739" t="s">
        <v>1690</v>
      </c>
      <c r="D3903" s="741">
        <f t="shared" si="120"/>
        <v>27.12</v>
      </c>
      <c r="F3903" s="1406">
        <v>27.12</v>
      </c>
      <c r="G3903" s="1406">
        <v>27.12</v>
      </c>
      <c r="H3903" t="b">
        <f t="shared" si="121"/>
        <v>1</v>
      </c>
    </row>
    <row r="3904" spans="1:8">
      <c r="A3904" s="677">
        <v>21043</v>
      </c>
      <c r="B3904" s="733" t="s">
        <v>12275</v>
      </c>
      <c r="C3904" s="677" t="s">
        <v>1690</v>
      </c>
      <c r="D3904" s="738">
        <f t="shared" si="120"/>
        <v>34.26</v>
      </c>
      <c r="F3904" s="1405">
        <v>34.26</v>
      </c>
      <c r="G3904" s="1405">
        <v>34.26</v>
      </c>
      <c r="H3904" t="b">
        <f t="shared" si="121"/>
        <v>1</v>
      </c>
    </row>
    <row r="3905" spans="1:8">
      <c r="A3905" s="739">
        <v>21044</v>
      </c>
      <c r="B3905" s="740" t="s">
        <v>12276</v>
      </c>
      <c r="C3905" s="739" t="s">
        <v>1690</v>
      </c>
      <c r="D3905" s="741">
        <f t="shared" si="120"/>
        <v>23.87</v>
      </c>
      <c r="F3905" s="1406">
        <v>23.87</v>
      </c>
      <c r="G3905" s="1406">
        <v>23.87</v>
      </c>
      <c r="H3905" t="b">
        <f t="shared" si="121"/>
        <v>1</v>
      </c>
    </row>
    <row r="3906" spans="1:8">
      <c r="A3906" s="677">
        <v>21045</v>
      </c>
      <c r="B3906" s="733" t="s">
        <v>12277</v>
      </c>
      <c r="C3906" s="677" t="s">
        <v>1690</v>
      </c>
      <c r="D3906" s="738">
        <f t="shared" si="120"/>
        <v>32.69</v>
      </c>
      <c r="F3906" s="1405">
        <v>32.69</v>
      </c>
      <c r="G3906" s="1405">
        <v>32.69</v>
      </c>
      <c r="H3906" t="b">
        <f t="shared" si="121"/>
        <v>1</v>
      </c>
    </row>
    <row r="3907" spans="1:8">
      <c r="A3907" s="739">
        <v>21041</v>
      </c>
      <c r="B3907" s="740" t="s">
        <v>12278</v>
      </c>
      <c r="C3907" s="739" t="s">
        <v>1690</v>
      </c>
      <c r="D3907" s="741">
        <f t="shared" ref="D3907:D3970" si="122">IF($J$2=$F$1,F3907,G3907)</f>
        <v>28.2</v>
      </c>
      <c r="F3907" s="1406">
        <v>28.2</v>
      </c>
      <c r="G3907" s="1406">
        <v>28.2</v>
      </c>
      <c r="H3907" t="b">
        <f t="shared" ref="H3907:H3970" si="123">F3907=G3907</f>
        <v>1</v>
      </c>
    </row>
    <row r="3908" spans="1:8">
      <c r="A3908" s="677">
        <v>21040</v>
      </c>
      <c r="B3908" s="733" t="s">
        <v>12279</v>
      </c>
      <c r="C3908" s="677" t="s">
        <v>1690</v>
      </c>
      <c r="D3908" s="738">
        <f t="shared" si="122"/>
        <v>23.36</v>
      </c>
      <c r="F3908" s="1405">
        <v>23.36</v>
      </c>
      <c r="G3908" s="1405">
        <v>23.36</v>
      </c>
      <c r="H3908" t="b">
        <f t="shared" si="123"/>
        <v>1</v>
      </c>
    </row>
    <row r="3909" spans="1:8">
      <c r="A3909" s="739">
        <v>14149</v>
      </c>
      <c r="B3909" s="740" t="s">
        <v>12280</v>
      </c>
      <c r="C3909" s="739" t="s">
        <v>1703</v>
      </c>
      <c r="D3909" s="741">
        <f t="shared" si="122"/>
        <v>190.4</v>
      </c>
      <c r="F3909" s="1406">
        <v>190.4</v>
      </c>
      <c r="G3909" s="1406">
        <v>190.4</v>
      </c>
      <c r="H3909" t="b">
        <f t="shared" si="123"/>
        <v>1</v>
      </c>
    </row>
    <row r="3910" spans="1:8" ht="30">
      <c r="A3910" s="677">
        <v>38099</v>
      </c>
      <c r="B3910" s="733" t="s">
        <v>12281</v>
      </c>
      <c r="C3910" s="677" t="s">
        <v>1690</v>
      </c>
      <c r="D3910" s="738">
        <f t="shared" si="122"/>
        <v>1.38</v>
      </c>
      <c r="F3910" s="1405">
        <v>1.38</v>
      </c>
      <c r="G3910" s="1405">
        <v>1.38</v>
      </c>
      <c r="H3910" t="b">
        <f t="shared" si="123"/>
        <v>1</v>
      </c>
    </row>
    <row r="3911" spans="1:8" ht="30">
      <c r="A3911" s="739">
        <v>38100</v>
      </c>
      <c r="B3911" s="740" t="s">
        <v>12282</v>
      </c>
      <c r="C3911" s="739" t="s">
        <v>1690</v>
      </c>
      <c r="D3911" s="741">
        <f t="shared" si="122"/>
        <v>2.2599999999999998</v>
      </c>
      <c r="F3911" s="1406">
        <v>2.2599999999999998</v>
      </c>
      <c r="G3911" s="1406">
        <v>2.2599999999999998</v>
      </c>
      <c r="H3911" t="b">
        <f t="shared" si="123"/>
        <v>1</v>
      </c>
    </row>
    <row r="3912" spans="1:8">
      <c r="A3912" s="677">
        <v>7576</v>
      </c>
      <c r="B3912" s="733" t="s">
        <v>12283</v>
      </c>
      <c r="C3912" s="677" t="s">
        <v>1690</v>
      </c>
      <c r="D3912" s="738">
        <f t="shared" si="122"/>
        <v>239.93</v>
      </c>
      <c r="F3912" s="1405">
        <v>239.93</v>
      </c>
      <c r="G3912" s="1405">
        <v>239.93</v>
      </c>
      <c r="H3912" t="b">
        <f t="shared" si="123"/>
        <v>1</v>
      </c>
    </row>
    <row r="3913" spans="1:8">
      <c r="A3913" s="739">
        <v>3384</v>
      </c>
      <c r="B3913" s="740" t="s">
        <v>12284</v>
      </c>
      <c r="C3913" s="739" t="s">
        <v>1690</v>
      </c>
      <c r="D3913" s="741">
        <f t="shared" si="122"/>
        <v>7.81</v>
      </c>
      <c r="F3913" s="1406">
        <v>7.81</v>
      </c>
      <c r="G3913" s="1406">
        <v>7.81</v>
      </c>
      <c r="H3913" t="b">
        <f t="shared" si="123"/>
        <v>1</v>
      </c>
    </row>
    <row r="3914" spans="1:8">
      <c r="A3914" s="677">
        <v>7572</v>
      </c>
      <c r="B3914" s="733" t="s">
        <v>12285</v>
      </c>
      <c r="C3914" s="677" t="s">
        <v>1690</v>
      </c>
      <c r="D3914" s="738">
        <f t="shared" si="122"/>
        <v>9.15</v>
      </c>
      <c r="F3914" s="1405">
        <v>9.15</v>
      </c>
      <c r="G3914" s="1405">
        <v>9.15</v>
      </c>
      <c r="H3914" t="b">
        <f t="shared" si="123"/>
        <v>1</v>
      </c>
    </row>
    <row r="3915" spans="1:8">
      <c r="A3915" s="739">
        <v>3396</v>
      </c>
      <c r="B3915" s="740" t="s">
        <v>12286</v>
      </c>
      <c r="C3915" s="739" t="s">
        <v>1690</v>
      </c>
      <c r="D3915" s="741">
        <f t="shared" si="122"/>
        <v>6.19</v>
      </c>
      <c r="F3915" s="1406">
        <v>6.19</v>
      </c>
      <c r="G3915" s="1406">
        <v>6.19</v>
      </c>
      <c r="H3915" t="b">
        <f t="shared" si="123"/>
        <v>1</v>
      </c>
    </row>
    <row r="3916" spans="1:8">
      <c r="A3916" s="677">
        <v>37590</v>
      </c>
      <c r="B3916" s="733" t="s">
        <v>12287</v>
      </c>
      <c r="C3916" s="677" t="s">
        <v>1690</v>
      </c>
      <c r="D3916" s="738">
        <f t="shared" si="122"/>
        <v>16.86</v>
      </c>
      <c r="F3916" s="1405">
        <v>16.86</v>
      </c>
      <c r="G3916" s="1405">
        <v>16.86</v>
      </c>
      <c r="H3916" t="b">
        <f t="shared" si="123"/>
        <v>1</v>
      </c>
    </row>
    <row r="3917" spans="1:8">
      <c r="A3917" s="739">
        <v>37591</v>
      </c>
      <c r="B3917" s="740" t="s">
        <v>12288</v>
      </c>
      <c r="C3917" s="739" t="s">
        <v>1690</v>
      </c>
      <c r="D3917" s="741">
        <f t="shared" si="122"/>
        <v>20.27</v>
      </c>
      <c r="F3917" s="1406">
        <v>20.27</v>
      </c>
      <c r="G3917" s="1406">
        <v>20.27</v>
      </c>
      <c r="H3917" t="b">
        <f t="shared" si="123"/>
        <v>1</v>
      </c>
    </row>
    <row r="3918" spans="1:8" ht="30">
      <c r="A3918" s="677">
        <v>12626</v>
      </c>
      <c r="B3918" s="733" t="s">
        <v>12289</v>
      </c>
      <c r="C3918" s="677" t="s">
        <v>1690</v>
      </c>
      <c r="D3918" s="738">
        <f t="shared" si="122"/>
        <v>39.49</v>
      </c>
      <c r="F3918" s="1405">
        <v>39.49</v>
      </c>
      <c r="G3918" s="1405">
        <v>39.49</v>
      </c>
      <c r="H3918" t="b">
        <f t="shared" si="123"/>
        <v>1</v>
      </c>
    </row>
    <row r="3919" spans="1:8">
      <c r="A3919" s="739">
        <v>11033</v>
      </c>
      <c r="B3919" s="740" t="s">
        <v>12290</v>
      </c>
      <c r="C3919" s="739" t="s">
        <v>1690</v>
      </c>
      <c r="D3919" s="741">
        <f t="shared" si="122"/>
        <v>7.07</v>
      </c>
      <c r="F3919" s="1406">
        <v>7.07</v>
      </c>
      <c r="G3919" s="1406">
        <v>7.07</v>
      </c>
      <c r="H3919" t="b">
        <f t="shared" si="123"/>
        <v>1</v>
      </c>
    </row>
    <row r="3920" spans="1:8">
      <c r="A3920" s="677">
        <v>390</v>
      </c>
      <c r="B3920" s="733" t="s">
        <v>12291</v>
      </c>
      <c r="C3920" s="677" t="s">
        <v>1690</v>
      </c>
      <c r="D3920" s="738">
        <f t="shared" si="122"/>
        <v>11.2</v>
      </c>
      <c r="F3920" s="1405">
        <v>11.2</v>
      </c>
      <c r="G3920" s="1405">
        <v>11.2</v>
      </c>
      <c r="H3920" t="b">
        <f t="shared" si="123"/>
        <v>1</v>
      </c>
    </row>
    <row r="3921" spans="1:8" ht="30">
      <c r="A3921" s="739">
        <v>42436</v>
      </c>
      <c r="B3921" s="740" t="s">
        <v>12292</v>
      </c>
      <c r="C3921" s="739" t="s">
        <v>1690</v>
      </c>
      <c r="D3921" s="741">
        <f t="shared" si="122"/>
        <v>2701.34</v>
      </c>
      <c r="F3921" s="1406">
        <v>2701.34</v>
      </c>
      <c r="G3921" s="1406">
        <v>2701.34</v>
      </c>
      <c r="H3921" t="b">
        <f t="shared" si="123"/>
        <v>1</v>
      </c>
    </row>
    <row r="3922" spans="1:8">
      <c r="A3922" s="677">
        <v>6194</v>
      </c>
      <c r="B3922" s="733" t="s">
        <v>12293</v>
      </c>
      <c r="C3922" s="677" t="s">
        <v>1693</v>
      </c>
      <c r="D3922" s="738">
        <f t="shared" si="122"/>
        <v>7.99</v>
      </c>
      <c r="F3922" s="1405">
        <v>7.99</v>
      </c>
      <c r="G3922" s="1405">
        <v>7.99</v>
      </c>
      <c r="H3922" t="b">
        <f t="shared" si="123"/>
        <v>1</v>
      </c>
    </row>
    <row r="3923" spans="1:8">
      <c r="A3923" s="739">
        <v>10567</v>
      </c>
      <c r="B3923" s="740" t="s">
        <v>12294</v>
      </c>
      <c r="C3923" s="739" t="s">
        <v>1693</v>
      </c>
      <c r="D3923" s="741">
        <f t="shared" si="122"/>
        <v>12.66</v>
      </c>
      <c r="F3923" s="1406">
        <v>12.66</v>
      </c>
      <c r="G3923" s="1406">
        <v>12.66</v>
      </c>
      <c r="H3923" t="b">
        <f t="shared" si="123"/>
        <v>1</v>
      </c>
    </row>
    <row r="3924" spans="1:8">
      <c r="A3924" s="677">
        <v>6212</v>
      </c>
      <c r="B3924" s="733" t="s">
        <v>12295</v>
      </c>
      <c r="C3924" s="677" t="s">
        <v>1693</v>
      </c>
      <c r="D3924" s="738">
        <f t="shared" si="122"/>
        <v>18.57</v>
      </c>
      <c r="F3924" s="1405">
        <v>18.57</v>
      </c>
      <c r="G3924" s="1405">
        <v>18.57</v>
      </c>
      <c r="H3924" t="b">
        <f t="shared" si="123"/>
        <v>1</v>
      </c>
    </row>
    <row r="3925" spans="1:8">
      <c r="A3925" s="739">
        <v>3993</v>
      </c>
      <c r="B3925" s="740" t="s">
        <v>12296</v>
      </c>
      <c r="C3925" s="739" t="s">
        <v>1692</v>
      </c>
      <c r="D3925" s="741">
        <f t="shared" si="122"/>
        <v>102.85</v>
      </c>
      <c r="F3925" s="1406">
        <v>102.85</v>
      </c>
      <c r="G3925" s="1406">
        <v>102.85</v>
      </c>
      <c r="H3925" t="b">
        <f t="shared" si="123"/>
        <v>1</v>
      </c>
    </row>
    <row r="3926" spans="1:8">
      <c r="A3926" s="677">
        <v>3990</v>
      </c>
      <c r="B3926" s="733" t="s">
        <v>12297</v>
      </c>
      <c r="C3926" s="677" t="s">
        <v>1693</v>
      </c>
      <c r="D3926" s="738">
        <f t="shared" si="122"/>
        <v>19.350000000000001</v>
      </c>
      <c r="F3926" s="1405">
        <v>19.350000000000001</v>
      </c>
      <c r="G3926" s="1405">
        <v>19.350000000000001</v>
      </c>
      <c r="H3926" t="b">
        <f t="shared" si="123"/>
        <v>1</v>
      </c>
    </row>
    <row r="3927" spans="1:8">
      <c r="A3927" s="739">
        <v>3992</v>
      </c>
      <c r="B3927" s="740" t="s">
        <v>12298</v>
      </c>
      <c r="C3927" s="739" t="s">
        <v>1693</v>
      </c>
      <c r="D3927" s="741">
        <f t="shared" si="122"/>
        <v>26.12</v>
      </c>
      <c r="F3927" s="1406">
        <v>26.12</v>
      </c>
      <c r="G3927" s="1406">
        <v>26.12</v>
      </c>
      <c r="H3927" t="b">
        <f t="shared" si="123"/>
        <v>1</v>
      </c>
    </row>
    <row r="3928" spans="1:8">
      <c r="A3928" s="677">
        <v>6178</v>
      </c>
      <c r="B3928" s="733" t="s">
        <v>12299</v>
      </c>
      <c r="C3928" s="677" t="s">
        <v>1692</v>
      </c>
      <c r="D3928" s="738">
        <f t="shared" si="122"/>
        <v>301.13</v>
      </c>
      <c r="F3928" s="1405">
        <v>301.13</v>
      </c>
      <c r="G3928" s="1405">
        <v>301.13</v>
      </c>
      <c r="H3928" t="b">
        <f t="shared" si="123"/>
        <v>1</v>
      </c>
    </row>
    <row r="3929" spans="1:8">
      <c r="A3929" s="739">
        <v>6180</v>
      </c>
      <c r="B3929" s="740" t="s">
        <v>12300</v>
      </c>
      <c r="C3929" s="739" t="s">
        <v>1692</v>
      </c>
      <c r="D3929" s="741">
        <f t="shared" si="122"/>
        <v>325</v>
      </c>
      <c r="F3929" s="1406">
        <v>325</v>
      </c>
      <c r="G3929" s="1406">
        <v>325</v>
      </c>
      <c r="H3929" t="b">
        <f t="shared" si="123"/>
        <v>1</v>
      </c>
    </row>
    <row r="3930" spans="1:8">
      <c r="A3930" s="677">
        <v>6182</v>
      </c>
      <c r="B3930" s="733" t="s">
        <v>12301</v>
      </c>
      <c r="C3930" s="677" t="s">
        <v>1692</v>
      </c>
      <c r="D3930" s="738">
        <f t="shared" si="122"/>
        <v>403.4</v>
      </c>
      <c r="F3930" s="1405">
        <v>403.4</v>
      </c>
      <c r="G3930" s="1405">
        <v>403.4</v>
      </c>
      <c r="H3930" t="b">
        <f t="shared" si="123"/>
        <v>1</v>
      </c>
    </row>
    <row r="3931" spans="1:8">
      <c r="A3931" s="739">
        <v>43614</v>
      </c>
      <c r="B3931" s="740" t="s">
        <v>12302</v>
      </c>
      <c r="C3931" s="739" t="s">
        <v>1693</v>
      </c>
      <c r="D3931" s="741">
        <f t="shared" si="122"/>
        <v>13.07</v>
      </c>
      <c r="F3931" s="1406">
        <v>13.07</v>
      </c>
      <c r="G3931" s="1406">
        <v>13.07</v>
      </c>
      <c r="H3931" t="b">
        <f t="shared" si="123"/>
        <v>1</v>
      </c>
    </row>
    <row r="3932" spans="1:8">
      <c r="A3932" s="677">
        <v>6193</v>
      </c>
      <c r="B3932" s="733" t="s">
        <v>12303</v>
      </c>
      <c r="C3932" s="677" t="s">
        <v>1693</v>
      </c>
      <c r="D3932" s="738">
        <f t="shared" si="122"/>
        <v>15.91</v>
      </c>
      <c r="F3932" s="1405">
        <v>15.91</v>
      </c>
      <c r="G3932" s="1405">
        <v>15.91</v>
      </c>
      <c r="H3932" t="b">
        <f t="shared" si="123"/>
        <v>1</v>
      </c>
    </row>
    <row r="3933" spans="1:8">
      <c r="A3933" s="739">
        <v>6189</v>
      </c>
      <c r="B3933" s="740" t="s">
        <v>12304</v>
      </c>
      <c r="C3933" s="739" t="s">
        <v>1693</v>
      </c>
      <c r="D3933" s="741">
        <f t="shared" si="122"/>
        <v>23.22</v>
      </c>
      <c r="F3933" s="1406">
        <v>23.22</v>
      </c>
      <c r="G3933" s="1406">
        <v>23.22</v>
      </c>
      <c r="H3933" t="b">
        <f t="shared" si="123"/>
        <v>1</v>
      </c>
    </row>
    <row r="3934" spans="1:8">
      <c r="A3934" s="677">
        <v>6214</v>
      </c>
      <c r="B3934" s="733" t="s">
        <v>12305</v>
      </c>
      <c r="C3934" s="677" t="s">
        <v>1692</v>
      </c>
      <c r="D3934" s="738">
        <f t="shared" si="122"/>
        <v>188.63</v>
      </c>
      <c r="F3934" s="1405">
        <v>188.63</v>
      </c>
      <c r="G3934" s="1405">
        <v>188.63</v>
      </c>
      <c r="H3934" t="b">
        <f t="shared" si="123"/>
        <v>1</v>
      </c>
    </row>
    <row r="3935" spans="1:8">
      <c r="A3935" s="739">
        <v>36153</v>
      </c>
      <c r="B3935" s="740" t="s">
        <v>12306</v>
      </c>
      <c r="C3935" s="739" t="s">
        <v>1690</v>
      </c>
      <c r="D3935" s="741">
        <f t="shared" si="122"/>
        <v>235.66</v>
      </c>
      <c r="F3935" s="1406">
        <v>235.66</v>
      </c>
      <c r="G3935" s="1406">
        <v>235.66</v>
      </c>
      <c r="H3935" t="b">
        <f t="shared" si="123"/>
        <v>1</v>
      </c>
    </row>
    <row r="3936" spans="1:8">
      <c r="A3936" s="677">
        <v>10740</v>
      </c>
      <c r="B3936" s="733" t="s">
        <v>12307</v>
      </c>
      <c r="C3936" s="677" t="s">
        <v>1690</v>
      </c>
      <c r="D3936" s="738">
        <f t="shared" si="122"/>
        <v>9987.8700000000008</v>
      </c>
      <c r="F3936" s="1405">
        <v>9987.8700000000008</v>
      </c>
      <c r="G3936" s="1405">
        <v>9987.8700000000008</v>
      </c>
      <c r="H3936" t="b">
        <f t="shared" si="123"/>
        <v>1</v>
      </c>
    </row>
    <row r="3937" spans="1:8">
      <c r="A3937" s="739">
        <v>13914</v>
      </c>
      <c r="B3937" s="740" t="s">
        <v>12308</v>
      </c>
      <c r="C3937" s="739" t="s">
        <v>1690</v>
      </c>
      <c r="D3937" s="741">
        <f t="shared" si="122"/>
        <v>722.66</v>
      </c>
      <c r="F3937" s="1406">
        <v>722.66</v>
      </c>
      <c r="G3937" s="1406">
        <v>722.66</v>
      </c>
      <c r="H3937" t="b">
        <f t="shared" si="123"/>
        <v>1</v>
      </c>
    </row>
    <row r="3938" spans="1:8">
      <c r="A3938" s="677">
        <v>10742</v>
      </c>
      <c r="B3938" s="733" t="s">
        <v>12309</v>
      </c>
      <c r="C3938" s="677" t="s">
        <v>1690</v>
      </c>
      <c r="D3938" s="738">
        <f t="shared" si="122"/>
        <v>1054.01</v>
      </c>
      <c r="F3938" s="1405">
        <v>1054.01</v>
      </c>
      <c r="G3938" s="1405">
        <v>1054.01</v>
      </c>
      <c r="H3938" t="b">
        <f t="shared" si="123"/>
        <v>1</v>
      </c>
    </row>
    <row r="3939" spans="1:8">
      <c r="A3939" s="739">
        <v>38465</v>
      </c>
      <c r="B3939" s="740" t="s">
        <v>12310</v>
      </c>
      <c r="C3939" s="739" t="s">
        <v>1690</v>
      </c>
      <c r="D3939" s="741">
        <f t="shared" si="122"/>
        <v>35.67</v>
      </c>
      <c r="F3939" s="1406">
        <v>35.67</v>
      </c>
      <c r="G3939" s="1406">
        <v>35.67</v>
      </c>
      <c r="H3939" t="b">
        <f t="shared" si="123"/>
        <v>1</v>
      </c>
    </row>
    <row r="3940" spans="1:8">
      <c r="A3940" s="677">
        <v>7543</v>
      </c>
      <c r="B3940" s="733" t="s">
        <v>12311</v>
      </c>
      <c r="C3940" s="677" t="s">
        <v>1690</v>
      </c>
      <c r="D3940" s="738">
        <f t="shared" si="122"/>
        <v>5.91</v>
      </c>
      <c r="F3940" s="1405">
        <v>5.91</v>
      </c>
      <c r="G3940" s="1405">
        <v>5.91</v>
      </c>
      <c r="H3940" t="b">
        <f t="shared" si="123"/>
        <v>1</v>
      </c>
    </row>
    <row r="3941" spans="1:8">
      <c r="A3941" s="739">
        <v>43427</v>
      </c>
      <c r="B3941" s="740" t="s">
        <v>12312</v>
      </c>
      <c r="C3941" s="739" t="s">
        <v>1690</v>
      </c>
      <c r="D3941" s="741">
        <f t="shared" si="122"/>
        <v>1983.06</v>
      </c>
      <c r="F3941" s="1406">
        <v>1983.06</v>
      </c>
      <c r="G3941" s="1406">
        <v>1983.06</v>
      </c>
      <c r="H3941" t="b">
        <f t="shared" si="123"/>
        <v>1</v>
      </c>
    </row>
    <row r="3942" spans="1:8">
      <c r="A3942" s="677">
        <v>41613</v>
      </c>
      <c r="B3942" s="733" t="s">
        <v>12313</v>
      </c>
      <c r="C3942" s="677" t="s">
        <v>1690</v>
      </c>
      <c r="D3942" s="738">
        <f t="shared" si="122"/>
        <v>127.47</v>
      </c>
      <c r="F3942" s="1405">
        <v>127.47</v>
      </c>
      <c r="G3942" s="1405">
        <v>127.47</v>
      </c>
      <c r="H3942" t="b">
        <f t="shared" si="123"/>
        <v>1</v>
      </c>
    </row>
    <row r="3943" spans="1:8">
      <c r="A3943" s="739">
        <v>41614</v>
      </c>
      <c r="B3943" s="740" t="s">
        <v>12314</v>
      </c>
      <c r="C3943" s="739" t="s">
        <v>1690</v>
      </c>
      <c r="D3943" s="741">
        <f t="shared" si="122"/>
        <v>162.41999999999999</v>
      </c>
      <c r="F3943" s="1406">
        <v>162.41999999999999</v>
      </c>
      <c r="G3943" s="1406">
        <v>162.41999999999999</v>
      </c>
      <c r="H3943" t="b">
        <f t="shared" si="123"/>
        <v>1</v>
      </c>
    </row>
    <row r="3944" spans="1:8">
      <c r="A3944" s="677">
        <v>41615</v>
      </c>
      <c r="B3944" s="733" t="s">
        <v>12315</v>
      </c>
      <c r="C3944" s="677" t="s">
        <v>1690</v>
      </c>
      <c r="D3944" s="738">
        <f t="shared" si="122"/>
        <v>251.04</v>
      </c>
      <c r="F3944" s="1405">
        <v>251.04</v>
      </c>
      <c r="G3944" s="1405">
        <v>251.04</v>
      </c>
      <c r="H3944" t="b">
        <f t="shared" si="123"/>
        <v>1</v>
      </c>
    </row>
    <row r="3945" spans="1:8">
      <c r="A3945" s="739">
        <v>41616</v>
      </c>
      <c r="B3945" s="740" t="s">
        <v>12316</v>
      </c>
      <c r="C3945" s="739" t="s">
        <v>1690</v>
      </c>
      <c r="D3945" s="741">
        <f t="shared" si="122"/>
        <v>375.09</v>
      </c>
      <c r="F3945" s="1406">
        <v>375.09</v>
      </c>
      <c r="G3945" s="1406">
        <v>375.09</v>
      </c>
      <c r="H3945" t="b">
        <f t="shared" si="123"/>
        <v>1</v>
      </c>
    </row>
    <row r="3946" spans="1:8">
      <c r="A3946" s="677">
        <v>41617</v>
      </c>
      <c r="B3946" s="733" t="s">
        <v>12317</v>
      </c>
      <c r="C3946" s="677" t="s">
        <v>1690</v>
      </c>
      <c r="D3946" s="738">
        <f t="shared" si="122"/>
        <v>745.83</v>
      </c>
      <c r="F3946" s="1405">
        <v>745.83</v>
      </c>
      <c r="G3946" s="1405">
        <v>745.83</v>
      </c>
      <c r="H3946" t="b">
        <f t="shared" si="123"/>
        <v>1</v>
      </c>
    </row>
    <row r="3947" spans="1:8">
      <c r="A3947" s="739">
        <v>41618</v>
      </c>
      <c r="B3947" s="740" t="s">
        <v>12318</v>
      </c>
      <c r="C3947" s="739" t="s">
        <v>1690</v>
      </c>
      <c r="D3947" s="741">
        <f t="shared" si="122"/>
        <v>1373.03</v>
      </c>
      <c r="F3947" s="1406">
        <v>1373.03</v>
      </c>
      <c r="G3947" s="1406">
        <v>1373.03</v>
      </c>
      <c r="H3947" t="b">
        <f t="shared" si="123"/>
        <v>1</v>
      </c>
    </row>
    <row r="3948" spans="1:8" ht="30">
      <c r="A3948" s="677">
        <v>43428</v>
      </c>
      <c r="B3948" s="733" t="s">
        <v>12319</v>
      </c>
      <c r="C3948" s="677" t="s">
        <v>1690</v>
      </c>
      <c r="D3948" s="738">
        <f t="shared" si="122"/>
        <v>2411.7399999999998</v>
      </c>
      <c r="F3948" s="1405">
        <v>2411.7399999999998</v>
      </c>
      <c r="G3948" s="1405">
        <v>2411.7399999999998</v>
      </c>
      <c r="H3948" t="b">
        <f t="shared" si="123"/>
        <v>1</v>
      </c>
    </row>
    <row r="3949" spans="1:8">
      <c r="A3949" s="739">
        <v>41619</v>
      </c>
      <c r="B3949" s="740" t="s">
        <v>12320</v>
      </c>
      <c r="C3949" s="739" t="s">
        <v>1690</v>
      </c>
      <c r="D3949" s="741">
        <f t="shared" si="122"/>
        <v>156.25</v>
      </c>
      <c r="F3949" s="1406">
        <v>156.25</v>
      </c>
      <c r="G3949" s="1406">
        <v>156.25</v>
      </c>
      <c r="H3949" t="b">
        <f t="shared" si="123"/>
        <v>1</v>
      </c>
    </row>
    <row r="3950" spans="1:8">
      <c r="A3950" s="677">
        <v>41620</v>
      </c>
      <c r="B3950" s="733" t="s">
        <v>12321</v>
      </c>
      <c r="C3950" s="677" t="s">
        <v>1690</v>
      </c>
      <c r="D3950" s="738">
        <f t="shared" si="122"/>
        <v>197.38</v>
      </c>
      <c r="F3950" s="1405">
        <v>197.38</v>
      </c>
      <c r="G3950" s="1405">
        <v>197.38</v>
      </c>
      <c r="H3950" t="b">
        <f t="shared" si="123"/>
        <v>1</v>
      </c>
    </row>
    <row r="3951" spans="1:8">
      <c r="A3951" s="739">
        <v>41622</v>
      </c>
      <c r="B3951" s="740" t="s">
        <v>12322</v>
      </c>
      <c r="C3951" s="739" t="s">
        <v>1690</v>
      </c>
      <c r="D3951" s="741">
        <f t="shared" si="122"/>
        <v>342.33</v>
      </c>
      <c r="F3951" s="1406">
        <v>342.33</v>
      </c>
      <c r="G3951" s="1406">
        <v>342.33</v>
      </c>
      <c r="H3951" t="b">
        <f t="shared" si="123"/>
        <v>1</v>
      </c>
    </row>
    <row r="3952" spans="1:8">
      <c r="A3952" s="677">
        <v>41623</v>
      </c>
      <c r="B3952" s="733" t="s">
        <v>12323</v>
      </c>
      <c r="C3952" s="677" t="s">
        <v>1690</v>
      </c>
      <c r="D3952" s="738">
        <f t="shared" si="122"/>
        <v>526.34</v>
      </c>
      <c r="F3952" s="1405">
        <v>526.34</v>
      </c>
      <c r="G3952" s="1405">
        <v>526.34</v>
      </c>
      <c r="H3952" t="b">
        <f t="shared" si="123"/>
        <v>1</v>
      </c>
    </row>
    <row r="3953" spans="1:8">
      <c r="A3953" s="739">
        <v>41624</v>
      </c>
      <c r="B3953" s="740" t="s">
        <v>12324</v>
      </c>
      <c r="C3953" s="739" t="s">
        <v>1690</v>
      </c>
      <c r="D3953" s="741">
        <f t="shared" si="122"/>
        <v>986.9</v>
      </c>
      <c r="F3953" s="1406">
        <v>986.9</v>
      </c>
      <c r="G3953" s="1406">
        <v>986.9</v>
      </c>
      <c r="H3953" t="b">
        <f t="shared" si="123"/>
        <v>1</v>
      </c>
    </row>
    <row r="3954" spans="1:8">
      <c r="A3954" s="677">
        <v>41625</v>
      </c>
      <c r="B3954" s="733" t="s">
        <v>12325</v>
      </c>
      <c r="C3954" s="677" t="s">
        <v>1690</v>
      </c>
      <c r="D3954" s="738">
        <f t="shared" si="122"/>
        <v>1518.39</v>
      </c>
      <c r="F3954" s="1405">
        <v>1518.39</v>
      </c>
      <c r="G3954" s="1405">
        <v>1518.39</v>
      </c>
      <c r="H3954" t="b">
        <f t="shared" si="123"/>
        <v>1</v>
      </c>
    </row>
    <row r="3955" spans="1:8">
      <c r="A3955" s="739">
        <v>39352</v>
      </c>
      <c r="B3955" s="740" t="s">
        <v>12326</v>
      </c>
      <c r="C3955" s="739" t="s">
        <v>1690</v>
      </c>
      <c r="D3955" s="741">
        <f t="shared" si="122"/>
        <v>3.65</v>
      </c>
      <c r="F3955" s="1406">
        <v>3.65</v>
      </c>
      <c r="G3955" s="1406">
        <v>3.65</v>
      </c>
      <c r="H3955" t="b">
        <f t="shared" si="123"/>
        <v>1</v>
      </c>
    </row>
    <row r="3956" spans="1:8">
      <c r="A3956" s="677">
        <v>39346</v>
      </c>
      <c r="B3956" s="733" t="s">
        <v>12327</v>
      </c>
      <c r="C3956" s="677" t="s">
        <v>1690</v>
      </c>
      <c r="D3956" s="738">
        <f t="shared" si="122"/>
        <v>3.65</v>
      </c>
      <c r="F3956" s="1405">
        <v>3.65</v>
      </c>
      <c r="G3956" s="1405">
        <v>3.65</v>
      </c>
      <c r="H3956" t="b">
        <f t="shared" si="123"/>
        <v>1</v>
      </c>
    </row>
    <row r="3957" spans="1:8">
      <c r="A3957" s="739">
        <v>39350</v>
      </c>
      <c r="B3957" s="740" t="s">
        <v>12328</v>
      </c>
      <c r="C3957" s="739" t="s">
        <v>1690</v>
      </c>
      <c r="D3957" s="741">
        <f t="shared" si="122"/>
        <v>3.93</v>
      </c>
      <c r="F3957" s="1406">
        <v>3.93</v>
      </c>
      <c r="G3957" s="1406">
        <v>3.93</v>
      </c>
      <c r="H3957" t="b">
        <f t="shared" si="123"/>
        <v>1</v>
      </c>
    </row>
    <row r="3958" spans="1:8">
      <c r="A3958" s="677">
        <v>39351</v>
      </c>
      <c r="B3958" s="733" t="s">
        <v>12329</v>
      </c>
      <c r="C3958" s="677" t="s">
        <v>1690</v>
      </c>
      <c r="D3958" s="738">
        <f t="shared" si="122"/>
        <v>4.54</v>
      </c>
      <c r="F3958" s="1405">
        <v>4.54</v>
      </c>
      <c r="G3958" s="1405">
        <v>4.54</v>
      </c>
      <c r="H3958" t="b">
        <f t="shared" si="123"/>
        <v>1</v>
      </c>
    </row>
    <row r="3959" spans="1:8">
      <c r="A3959" s="739">
        <v>38837</v>
      </c>
      <c r="B3959" s="740" t="s">
        <v>12330</v>
      </c>
      <c r="C3959" s="739" t="s">
        <v>1690</v>
      </c>
      <c r="D3959" s="741">
        <f t="shared" si="122"/>
        <v>7.53</v>
      </c>
      <c r="F3959" s="1406">
        <v>7.53</v>
      </c>
      <c r="G3959" s="1406">
        <v>7.53</v>
      </c>
      <c r="H3959" t="b">
        <f t="shared" si="123"/>
        <v>1</v>
      </c>
    </row>
    <row r="3960" spans="1:8">
      <c r="A3960" s="677">
        <v>38836</v>
      </c>
      <c r="B3960" s="733" t="s">
        <v>12331</v>
      </c>
      <c r="C3960" s="677" t="s">
        <v>1690</v>
      </c>
      <c r="D3960" s="738">
        <f t="shared" si="122"/>
        <v>5.26</v>
      </c>
      <c r="F3960" s="1405">
        <v>5.26</v>
      </c>
      <c r="G3960" s="1405">
        <v>5.26</v>
      </c>
      <c r="H3960" t="b">
        <f t="shared" si="123"/>
        <v>1</v>
      </c>
    </row>
    <row r="3961" spans="1:8">
      <c r="A3961" s="739">
        <v>2666</v>
      </c>
      <c r="B3961" s="740" t="s">
        <v>12332</v>
      </c>
      <c r="C3961" s="739" t="s">
        <v>1690</v>
      </c>
      <c r="D3961" s="741">
        <f t="shared" si="122"/>
        <v>5.6</v>
      </c>
      <c r="F3961" s="1406">
        <v>5.6</v>
      </c>
      <c r="G3961" s="1406">
        <v>5.6</v>
      </c>
      <c r="H3961" t="b">
        <f t="shared" si="123"/>
        <v>1</v>
      </c>
    </row>
    <row r="3962" spans="1:8">
      <c r="A3962" s="677">
        <v>2668</v>
      </c>
      <c r="B3962" s="733" t="s">
        <v>12333</v>
      </c>
      <c r="C3962" s="677" t="s">
        <v>1690</v>
      </c>
      <c r="D3962" s="738">
        <f t="shared" si="122"/>
        <v>6.39</v>
      </c>
      <c r="F3962" s="1405">
        <v>6.39</v>
      </c>
      <c r="G3962" s="1405">
        <v>6.39</v>
      </c>
      <c r="H3962" t="b">
        <f t="shared" si="123"/>
        <v>1</v>
      </c>
    </row>
    <row r="3963" spans="1:8">
      <c r="A3963" s="739">
        <v>2664</v>
      </c>
      <c r="B3963" s="740" t="s">
        <v>12334</v>
      </c>
      <c r="C3963" s="739" t="s">
        <v>1690</v>
      </c>
      <c r="D3963" s="741">
        <f t="shared" si="122"/>
        <v>9.43</v>
      </c>
      <c r="F3963" s="1406">
        <v>9.43</v>
      </c>
      <c r="G3963" s="1406">
        <v>9.43</v>
      </c>
      <c r="H3963" t="b">
        <f t="shared" si="123"/>
        <v>1</v>
      </c>
    </row>
    <row r="3964" spans="1:8">
      <c r="A3964" s="677">
        <v>2662</v>
      </c>
      <c r="B3964" s="733" t="s">
        <v>12335</v>
      </c>
      <c r="C3964" s="677" t="s">
        <v>1690</v>
      </c>
      <c r="D3964" s="738">
        <f t="shared" si="122"/>
        <v>11.57</v>
      </c>
      <c r="F3964" s="1405">
        <v>11.57</v>
      </c>
      <c r="G3964" s="1405">
        <v>11.57</v>
      </c>
      <c r="H3964" t="b">
        <f t="shared" si="123"/>
        <v>1</v>
      </c>
    </row>
    <row r="3965" spans="1:8">
      <c r="A3965" s="739">
        <v>20964</v>
      </c>
      <c r="B3965" s="740" t="s">
        <v>12336</v>
      </c>
      <c r="C3965" s="739" t="s">
        <v>1690</v>
      </c>
      <c r="D3965" s="741">
        <f t="shared" si="122"/>
        <v>72.23</v>
      </c>
      <c r="F3965" s="1406">
        <v>72.23</v>
      </c>
      <c r="G3965" s="1406">
        <v>72.23</v>
      </c>
      <c r="H3965" t="b">
        <f t="shared" si="123"/>
        <v>1</v>
      </c>
    </row>
    <row r="3966" spans="1:8">
      <c r="A3966" s="677">
        <v>10905</v>
      </c>
      <c r="B3966" s="733" t="s">
        <v>12337</v>
      </c>
      <c r="C3966" s="677" t="s">
        <v>1690</v>
      </c>
      <c r="D3966" s="738">
        <f t="shared" si="122"/>
        <v>96.9</v>
      </c>
      <c r="F3966" s="1405">
        <v>96.9</v>
      </c>
      <c r="G3966" s="1405">
        <v>96.9</v>
      </c>
      <c r="H3966" t="b">
        <f t="shared" si="123"/>
        <v>1</v>
      </c>
    </row>
    <row r="3967" spans="1:8">
      <c r="A3967" s="739">
        <v>11289</v>
      </c>
      <c r="B3967" s="740" t="s">
        <v>12338</v>
      </c>
      <c r="C3967" s="739" t="s">
        <v>1690</v>
      </c>
      <c r="D3967" s="741">
        <f t="shared" si="122"/>
        <v>100.71</v>
      </c>
      <c r="F3967" s="1406">
        <v>100.71</v>
      </c>
      <c r="G3967" s="1406">
        <v>100.71</v>
      </c>
      <c r="H3967" t="b">
        <f t="shared" si="123"/>
        <v>1</v>
      </c>
    </row>
    <row r="3968" spans="1:8">
      <c r="A3968" s="677">
        <v>11241</v>
      </c>
      <c r="B3968" s="733" t="s">
        <v>12339</v>
      </c>
      <c r="C3968" s="677" t="s">
        <v>1690</v>
      </c>
      <c r="D3968" s="738">
        <f t="shared" si="122"/>
        <v>251.78</v>
      </c>
      <c r="F3968" s="1405">
        <v>251.78</v>
      </c>
      <c r="G3968" s="1405">
        <v>251.78</v>
      </c>
      <c r="H3968" t="b">
        <f t="shared" si="123"/>
        <v>1</v>
      </c>
    </row>
    <row r="3969" spans="1:8" ht="30">
      <c r="A3969" s="739">
        <v>11301</v>
      </c>
      <c r="B3969" s="740" t="s">
        <v>12340</v>
      </c>
      <c r="C3969" s="739" t="s">
        <v>1690</v>
      </c>
      <c r="D3969" s="741">
        <f t="shared" si="122"/>
        <v>638.44000000000005</v>
      </c>
      <c r="F3969" s="1406">
        <v>638.44000000000005</v>
      </c>
      <c r="G3969" s="1406">
        <v>638.44000000000005</v>
      </c>
      <c r="H3969" t="b">
        <f t="shared" si="123"/>
        <v>1</v>
      </c>
    </row>
    <row r="3970" spans="1:8" ht="30">
      <c r="A3970" s="677">
        <v>21090</v>
      </c>
      <c r="B3970" s="733" t="s">
        <v>12341</v>
      </c>
      <c r="C3970" s="677" t="s">
        <v>1690</v>
      </c>
      <c r="D3970" s="738">
        <f t="shared" si="122"/>
        <v>782.32</v>
      </c>
      <c r="F3970" s="1405">
        <v>782.32</v>
      </c>
      <c r="G3970" s="1405">
        <v>782.32</v>
      </c>
      <c r="H3970" t="b">
        <f t="shared" si="123"/>
        <v>1</v>
      </c>
    </row>
    <row r="3971" spans="1:8" ht="30">
      <c r="A3971" s="739">
        <v>11315</v>
      </c>
      <c r="B3971" s="740" t="s">
        <v>12342</v>
      </c>
      <c r="C3971" s="739" t="s">
        <v>1690</v>
      </c>
      <c r="D3971" s="741">
        <f t="shared" ref="D3971:D4034" si="124">IF($J$2=$F$1,F3971,G3971)</f>
        <v>152.86000000000001</v>
      </c>
      <c r="F3971" s="1406">
        <v>152.86000000000001</v>
      </c>
      <c r="G3971" s="1406">
        <v>152.86000000000001</v>
      </c>
      <c r="H3971" t="b">
        <f t="shared" ref="H3971:H4034" si="125">F3971=G3971</f>
        <v>1</v>
      </c>
    </row>
    <row r="3972" spans="1:8" ht="30">
      <c r="A3972" s="677">
        <v>21071</v>
      </c>
      <c r="B3972" s="733" t="s">
        <v>12343</v>
      </c>
      <c r="C3972" s="677" t="s">
        <v>1690</v>
      </c>
      <c r="D3972" s="738">
        <f t="shared" si="124"/>
        <v>233.79</v>
      </c>
      <c r="F3972" s="1405">
        <v>233.79</v>
      </c>
      <c r="G3972" s="1405">
        <v>233.79</v>
      </c>
      <c r="H3972" t="b">
        <f t="shared" si="125"/>
        <v>1</v>
      </c>
    </row>
    <row r="3973" spans="1:8" ht="30">
      <c r="A3973" s="739">
        <v>14112</v>
      </c>
      <c r="B3973" s="740" t="s">
        <v>12344</v>
      </c>
      <c r="C3973" s="739" t="s">
        <v>1690</v>
      </c>
      <c r="D3973" s="741">
        <f t="shared" si="124"/>
        <v>326.41000000000003</v>
      </c>
      <c r="F3973" s="1406">
        <v>326.41000000000003</v>
      </c>
      <c r="G3973" s="1406">
        <v>326.41000000000003</v>
      </c>
      <c r="H3973" t="b">
        <f t="shared" si="125"/>
        <v>1</v>
      </c>
    </row>
    <row r="3974" spans="1:8" ht="30">
      <c r="A3974" s="677">
        <v>11316</v>
      </c>
      <c r="B3974" s="733" t="s">
        <v>12345</v>
      </c>
      <c r="C3974" s="677" t="s">
        <v>1690</v>
      </c>
      <c r="D3974" s="738">
        <f t="shared" si="124"/>
        <v>503.56</v>
      </c>
      <c r="F3974" s="1405">
        <v>503.56</v>
      </c>
      <c r="G3974" s="1405">
        <v>503.56</v>
      </c>
      <c r="H3974" t="b">
        <f t="shared" si="125"/>
        <v>1</v>
      </c>
    </row>
    <row r="3975" spans="1:8" ht="30">
      <c r="A3975" s="739">
        <v>6243</v>
      </c>
      <c r="B3975" s="740" t="s">
        <v>12346</v>
      </c>
      <c r="C3975" s="739" t="s">
        <v>1690</v>
      </c>
      <c r="D3975" s="741">
        <f t="shared" si="124"/>
        <v>580</v>
      </c>
      <c r="F3975" s="1406">
        <v>580</v>
      </c>
      <c r="G3975" s="1406">
        <v>580</v>
      </c>
      <c r="H3975" t="b">
        <f t="shared" si="125"/>
        <v>1</v>
      </c>
    </row>
    <row r="3976" spans="1:8" ht="30">
      <c r="A3976" s="677">
        <v>6240</v>
      </c>
      <c r="B3976" s="733" t="s">
        <v>12347</v>
      </c>
      <c r="C3976" s="677" t="s">
        <v>1690</v>
      </c>
      <c r="D3976" s="738">
        <f t="shared" si="124"/>
        <v>767.93</v>
      </c>
      <c r="F3976" s="1405">
        <v>767.93</v>
      </c>
      <c r="G3976" s="1405">
        <v>767.93</v>
      </c>
      <c r="H3976" t="b">
        <f t="shared" si="125"/>
        <v>1</v>
      </c>
    </row>
    <row r="3977" spans="1:8" ht="30">
      <c r="A3977" s="739">
        <v>11296</v>
      </c>
      <c r="B3977" s="740" t="s">
        <v>12348</v>
      </c>
      <c r="C3977" s="739" t="s">
        <v>1690</v>
      </c>
      <c r="D3977" s="741">
        <f t="shared" si="124"/>
        <v>2446.79</v>
      </c>
      <c r="F3977" s="1406">
        <v>2446.79</v>
      </c>
      <c r="G3977" s="1406">
        <v>2446.79</v>
      </c>
      <c r="H3977" t="b">
        <f t="shared" si="125"/>
        <v>1</v>
      </c>
    </row>
    <row r="3978" spans="1:8" ht="30">
      <c r="A3978" s="677">
        <v>11299</v>
      </c>
      <c r="B3978" s="733" t="s">
        <v>12349</v>
      </c>
      <c r="C3978" s="677" t="s">
        <v>1690</v>
      </c>
      <c r="D3978" s="738">
        <f t="shared" si="124"/>
        <v>828.18</v>
      </c>
      <c r="F3978" s="1405">
        <v>828.18</v>
      </c>
      <c r="G3978" s="1405">
        <v>828.18</v>
      </c>
      <c r="H3978" t="b">
        <f t="shared" si="125"/>
        <v>1</v>
      </c>
    </row>
    <row r="3979" spans="1:8">
      <c r="A3979" s="739">
        <v>11688</v>
      </c>
      <c r="B3979" s="740" t="s">
        <v>12350</v>
      </c>
      <c r="C3979" s="739" t="s">
        <v>1690</v>
      </c>
      <c r="D3979" s="741">
        <f t="shared" si="124"/>
        <v>498.65</v>
      </c>
      <c r="F3979" s="1406">
        <v>498.65</v>
      </c>
      <c r="G3979" s="1406">
        <v>498.65</v>
      </c>
      <c r="H3979" t="b">
        <f t="shared" si="125"/>
        <v>1</v>
      </c>
    </row>
    <row r="3980" spans="1:8" ht="30">
      <c r="A3980" s="677">
        <v>37736</v>
      </c>
      <c r="B3980" s="733" t="s">
        <v>12351</v>
      </c>
      <c r="C3980" s="677" t="s">
        <v>1690</v>
      </c>
      <c r="D3980" s="738">
        <f t="shared" si="124"/>
        <v>83450</v>
      </c>
      <c r="F3980" s="1405">
        <v>83450</v>
      </c>
      <c r="G3980" s="1405">
        <v>83450</v>
      </c>
      <c r="H3980" t="b">
        <f t="shared" si="125"/>
        <v>1</v>
      </c>
    </row>
    <row r="3981" spans="1:8">
      <c r="A3981" s="739">
        <v>37739</v>
      </c>
      <c r="B3981" s="740" t="s">
        <v>12352</v>
      </c>
      <c r="C3981" s="739" t="s">
        <v>1690</v>
      </c>
      <c r="D3981" s="741">
        <f t="shared" si="124"/>
        <v>102707.68</v>
      </c>
      <c r="F3981" s="1406">
        <v>102707.68</v>
      </c>
      <c r="G3981" s="1406">
        <v>102707.68</v>
      </c>
      <c r="H3981" t="b">
        <f t="shared" si="125"/>
        <v>1</v>
      </c>
    </row>
    <row r="3982" spans="1:8">
      <c r="A3982" s="677">
        <v>37740</v>
      </c>
      <c r="B3982" s="733" t="s">
        <v>12353</v>
      </c>
      <c r="C3982" s="677" t="s">
        <v>1690</v>
      </c>
      <c r="D3982" s="738">
        <f t="shared" si="124"/>
        <v>58610.36</v>
      </c>
      <c r="F3982" s="1405">
        <v>58610.36</v>
      </c>
      <c r="G3982" s="1405">
        <v>58610.36</v>
      </c>
      <c r="H3982" t="b">
        <f t="shared" si="125"/>
        <v>1</v>
      </c>
    </row>
    <row r="3983" spans="1:8">
      <c r="A3983" s="739">
        <v>37738</v>
      </c>
      <c r="B3983" s="740" t="s">
        <v>12354</v>
      </c>
      <c r="C3983" s="739" t="s">
        <v>1690</v>
      </c>
      <c r="D3983" s="741">
        <f t="shared" si="124"/>
        <v>69634.7</v>
      </c>
      <c r="F3983" s="1406">
        <v>69634.7</v>
      </c>
      <c r="G3983" s="1406">
        <v>69634.7</v>
      </c>
      <c r="H3983" t="b">
        <f t="shared" si="125"/>
        <v>1</v>
      </c>
    </row>
    <row r="3984" spans="1:8">
      <c r="A3984" s="677">
        <v>37737</v>
      </c>
      <c r="B3984" s="733" t="s">
        <v>12355</v>
      </c>
      <c r="C3984" s="677" t="s">
        <v>1690</v>
      </c>
      <c r="D3984" s="738">
        <f t="shared" si="124"/>
        <v>55400.75</v>
      </c>
      <c r="F3984" s="1405">
        <v>55400.75</v>
      </c>
      <c r="G3984" s="1405">
        <v>55400.75</v>
      </c>
      <c r="H3984" t="b">
        <f t="shared" si="125"/>
        <v>1</v>
      </c>
    </row>
    <row r="3985" spans="1:8">
      <c r="A3985" s="739">
        <v>25014</v>
      </c>
      <c r="B3985" s="740" t="s">
        <v>12356</v>
      </c>
      <c r="C3985" s="739" t="s">
        <v>1690</v>
      </c>
      <c r="D3985" s="741">
        <f t="shared" si="124"/>
        <v>116034.57</v>
      </c>
      <c r="F3985" s="1406">
        <v>116034.57</v>
      </c>
      <c r="G3985" s="1406">
        <v>116034.57</v>
      </c>
      <c r="H3985" t="b">
        <f t="shared" si="125"/>
        <v>1</v>
      </c>
    </row>
    <row r="3986" spans="1:8">
      <c r="A3986" s="677">
        <v>25013</v>
      </c>
      <c r="B3986" s="733" t="s">
        <v>12357</v>
      </c>
      <c r="C3986" s="677" t="s">
        <v>1690</v>
      </c>
      <c r="D3986" s="738">
        <f t="shared" si="124"/>
        <v>121616.51</v>
      </c>
      <c r="F3986" s="1405">
        <v>121616.51</v>
      </c>
      <c r="G3986" s="1405">
        <v>121616.51</v>
      </c>
      <c r="H3986" t="b">
        <f t="shared" si="125"/>
        <v>1</v>
      </c>
    </row>
    <row r="3987" spans="1:8">
      <c r="A3987" s="739">
        <v>14405</v>
      </c>
      <c r="B3987" s="740" t="s">
        <v>12358</v>
      </c>
      <c r="C3987" s="739" t="s">
        <v>1690</v>
      </c>
      <c r="D3987" s="741">
        <f t="shared" si="124"/>
        <v>142758.1</v>
      </c>
      <c r="F3987" s="1406">
        <v>142758.1</v>
      </c>
      <c r="G3987" s="1406">
        <v>142758.1</v>
      </c>
      <c r="H3987" t="b">
        <f t="shared" si="125"/>
        <v>1</v>
      </c>
    </row>
    <row r="3988" spans="1:8">
      <c r="A3988" s="677">
        <v>20271</v>
      </c>
      <c r="B3988" s="733" t="s">
        <v>12359</v>
      </c>
      <c r="C3988" s="677" t="s">
        <v>1690</v>
      </c>
      <c r="D3988" s="738">
        <f t="shared" si="124"/>
        <v>515.07000000000005</v>
      </c>
      <c r="F3988" s="1405">
        <v>515.07000000000005</v>
      </c>
      <c r="G3988" s="1405">
        <v>515.07000000000005</v>
      </c>
      <c r="H3988" t="b">
        <f t="shared" si="125"/>
        <v>1</v>
      </c>
    </row>
    <row r="3989" spans="1:8">
      <c r="A3989" s="739">
        <v>10423</v>
      </c>
      <c r="B3989" s="740" t="s">
        <v>12360</v>
      </c>
      <c r="C3989" s="739" t="s">
        <v>1690</v>
      </c>
      <c r="D3989" s="741">
        <f t="shared" si="124"/>
        <v>378.18</v>
      </c>
      <c r="F3989" s="1406">
        <v>378.18</v>
      </c>
      <c r="G3989" s="1406">
        <v>378.18</v>
      </c>
      <c r="H3989" t="b">
        <f t="shared" si="125"/>
        <v>1</v>
      </c>
    </row>
    <row r="3990" spans="1:8">
      <c r="A3990" s="677">
        <v>36790</v>
      </c>
      <c r="B3990" s="733" t="s">
        <v>12361</v>
      </c>
      <c r="C3990" s="677" t="s">
        <v>1690</v>
      </c>
      <c r="D3990" s="738">
        <f t="shared" si="124"/>
        <v>338.69</v>
      </c>
      <c r="F3990" s="1405">
        <v>338.69</v>
      </c>
      <c r="G3990" s="1405">
        <v>338.69</v>
      </c>
      <c r="H3990" t="b">
        <f t="shared" si="125"/>
        <v>1</v>
      </c>
    </row>
    <row r="3991" spans="1:8">
      <c r="A3991" s="739">
        <v>37589</v>
      </c>
      <c r="B3991" s="740" t="s">
        <v>12362</v>
      </c>
      <c r="C3991" s="739" t="s">
        <v>1690</v>
      </c>
      <c r="D3991" s="741">
        <f t="shared" si="124"/>
        <v>414.98</v>
      </c>
      <c r="F3991" s="1406">
        <v>414.98</v>
      </c>
      <c r="G3991" s="1406">
        <v>414.98</v>
      </c>
      <c r="H3991" t="b">
        <f t="shared" si="125"/>
        <v>1</v>
      </c>
    </row>
    <row r="3992" spans="1:8">
      <c r="A3992" s="677">
        <v>11690</v>
      </c>
      <c r="B3992" s="733" t="s">
        <v>12363</v>
      </c>
      <c r="C3992" s="677" t="s">
        <v>1690</v>
      </c>
      <c r="D3992" s="738">
        <f t="shared" si="124"/>
        <v>220.45</v>
      </c>
      <c r="F3992" s="1405">
        <v>220.45</v>
      </c>
      <c r="G3992" s="1405">
        <v>220.45</v>
      </c>
      <c r="H3992" t="b">
        <f t="shared" si="125"/>
        <v>1</v>
      </c>
    </row>
    <row r="3993" spans="1:8">
      <c r="A3993" s="739">
        <v>20234</v>
      </c>
      <c r="B3993" s="740" t="s">
        <v>12364</v>
      </c>
      <c r="C3993" s="739" t="s">
        <v>1690</v>
      </c>
      <c r="D3993" s="741">
        <f t="shared" si="124"/>
        <v>278.98</v>
      </c>
      <c r="F3993" s="1406">
        <v>278.98</v>
      </c>
      <c r="G3993" s="1406">
        <v>278.98</v>
      </c>
      <c r="H3993" t="b">
        <f t="shared" si="125"/>
        <v>1</v>
      </c>
    </row>
    <row r="3994" spans="1:8">
      <c r="A3994" s="677">
        <v>4763</v>
      </c>
      <c r="B3994" s="733" t="s">
        <v>12365</v>
      </c>
      <c r="C3994" s="677" t="s">
        <v>1689</v>
      </c>
      <c r="D3994" s="738">
        <f t="shared" si="124"/>
        <v>19.79</v>
      </c>
      <c r="F3994" s="1405">
        <v>17.190000000000001</v>
      </c>
      <c r="G3994" s="1405">
        <v>19.79</v>
      </c>
      <c r="H3994" t="b">
        <f t="shared" si="125"/>
        <v>0</v>
      </c>
    </row>
    <row r="3995" spans="1:8">
      <c r="A3995" s="739">
        <v>41070</v>
      </c>
      <c r="B3995" s="740" t="s">
        <v>12366</v>
      </c>
      <c r="C3995" s="739" t="s">
        <v>1696</v>
      </c>
      <c r="D3995" s="741">
        <f t="shared" si="124"/>
        <v>3482.33</v>
      </c>
      <c r="F3995" s="1406">
        <v>3020.19</v>
      </c>
      <c r="G3995" s="1406">
        <v>3482.33</v>
      </c>
      <c r="H3995" t="b">
        <f t="shared" si="125"/>
        <v>0</v>
      </c>
    </row>
    <row r="3996" spans="1:8">
      <c r="A3996" s="677">
        <v>44480</v>
      </c>
      <c r="B3996" s="733" t="s">
        <v>12367</v>
      </c>
      <c r="C3996" s="677" t="s">
        <v>1691</v>
      </c>
      <c r="D3996" s="738">
        <f t="shared" si="124"/>
        <v>20.62</v>
      </c>
      <c r="F3996" s="1405">
        <v>20.62</v>
      </c>
      <c r="G3996" s="1405">
        <v>20.62</v>
      </c>
      <c r="H3996" t="b">
        <f t="shared" si="125"/>
        <v>1</v>
      </c>
    </row>
    <row r="3997" spans="1:8">
      <c r="A3997" s="739">
        <v>11457</v>
      </c>
      <c r="B3997" s="740" t="s">
        <v>12368</v>
      </c>
      <c r="C3997" s="739" t="s">
        <v>1690</v>
      </c>
      <c r="D3997" s="741">
        <f t="shared" si="124"/>
        <v>52.48</v>
      </c>
      <c r="F3997" s="1406">
        <v>52.48</v>
      </c>
      <c r="G3997" s="1406">
        <v>52.48</v>
      </c>
      <c r="H3997" t="b">
        <f t="shared" si="125"/>
        <v>1</v>
      </c>
    </row>
    <row r="3998" spans="1:8">
      <c r="A3998" s="677">
        <v>44073</v>
      </c>
      <c r="B3998" s="733" t="s">
        <v>12369</v>
      </c>
      <c r="C3998" s="677" t="s">
        <v>1693</v>
      </c>
      <c r="D3998" s="738">
        <f t="shared" si="124"/>
        <v>0.68</v>
      </c>
      <c r="F3998" s="1405">
        <v>0.68</v>
      </c>
      <c r="G3998" s="1405">
        <v>0.68</v>
      </c>
      <c r="H3998" t="b">
        <f t="shared" si="125"/>
        <v>1</v>
      </c>
    </row>
    <row r="3999" spans="1:8">
      <c r="A3999" s="739">
        <v>44253</v>
      </c>
      <c r="B3999" s="740" t="s">
        <v>12370</v>
      </c>
      <c r="C3999" s="739" t="s">
        <v>1690</v>
      </c>
      <c r="D3999" s="741">
        <f t="shared" si="124"/>
        <v>261.02</v>
      </c>
      <c r="F3999" s="1406">
        <v>261.02</v>
      </c>
      <c r="G3999" s="1406">
        <v>261.02</v>
      </c>
      <c r="H3999" t="b">
        <f t="shared" si="125"/>
        <v>1</v>
      </c>
    </row>
    <row r="4000" spans="1:8">
      <c r="A4000" s="677">
        <v>21121</v>
      </c>
      <c r="B4000" s="733" t="s">
        <v>12371</v>
      </c>
      <c r="C4000" s="677" t="s">
        <v>1690</v>
      </c>
      <c r="D4000" s="738">
        <f t="shared" si="124"/>
        <v>3.74</v>
      </c>
      <c r="F4000" s="1405">
        <v>3.74</v>
      </c>
      <c r="G4000" s="1405">
        <v>3.74</v>
      </c>
      <c r="H4000" t="b">
        <f t="shared" si="125"/>
        <v>1</v>
      </c>
    </row>
    <row r="4001" spans="1:8">
      <c r="A4001" s="739">
        <v>38010</v>
      </c>
      <c r="B4001" s="740" t="s">
        <v>12372</v>
      </c>
      <c r="C4001" s="739" t="s">
        <v>1690</v>
      </c>
      <c r="D4001" s="741">
        <f t="shared" si="124"/>
        <v>4.66</v>
      </c>
      <c r="F4001" s="1406">
        <v>4.66</v>
      </c>
      <c r="G4001" s="1406">
        <v>4.66</v>
      </c>
      <c r="H4001" t="b">
        <f t="shared" si="125"/>
        <v>1</v>
      </c>
    </row>
    <row r="4002" spans="1:8">
      <c r="A4002" s="677">
        <v>38011</v>
      </c>
      <c r="B4002" s="733" t="s">
        <v>12373</v>
      </c>
      <c r="C4002" s="677" t="s">
        <v>1690</v>
      </c>
      <c r="D4002" s="738">
        <f t="shared" si="124"/>
        <v>9.34</v>
      </c>
      <c r="F4002" s="1405">
        <v>9.34</v>
      </c>
      <c r="G4002" s="1405">
        <v>9.34</v>
      </c>
      <c r="H4002" t="b">
        <f t="shared" si="125"/>
        <v>1</v>
      </c>
    </row>
    <row r="4003" spans="1:8">
      <c r="A4003" s="739">
        <v>38012</v>
      </c>
      <c r="B4003" s="740" t="s">
        <v>12374</v>
      </c>
      <c r="C4003" s="739" t="s">
        <v>1690</v>
      </c>
      <c r="D4003" s="741">
        <f t="shared" si="124"/>
        <v>35.630000000000003</v>
      </c>
      <c r="F4003" s="1406">
        <v>35.630000000000003</v>
      </c>
      <c r="G4003" s="1406">
        <v>35.630000000000003</v>
      </c>
      <c r="H4003" t="b">
        <f t="shared" si="125"/>
        <v>1</v>
      </c>
    </row>
    <row r="4004" spans="1:8">
      <c r="A4004" s="677">
        <v>38013</v>
      </c>
      <c r="B4004" s="733" t="s">
        <v>12375</v>
      </c>
      <c r="C4004" s="677" t="s">
        <v>1690</v>
      </c>
      <c r="D4004" s="738">
        <f t="shared" si="124"/>
        <v>45.77</v>
      </c>
      <c r="F4004" s="1405">
        <v>45.77</v>
      </c>
      <c r="G4004" s="1405">
        <v>45.77</v>
      </c>
      <c r="H4004" t="b">
        <f t="shared" si="125"/>
        <v>1</v>
      </c>
    </row>
    <row r="4005" spans="1:8">
      <c r="A4005" s="739">
        <v>38014</v>
      </c>
      <c r="B4005" s="740" t="s">
        <v>12376</v>
      </c>
      <c r="C4005" s="739" t="s">
        <v>1690</v>
      </c>
      <c r="D4005" s="741">
        <f t="shared" si="124"/>
        <v>76.44</v>
      </c>
      <c r="F4005" s="1406">
        <v>76.44</v>
      </c>
      <c r="G4005" s="1406">
        <v>76.44</v>
      </c>
      <c r="H4005" t="b">
        <f t="shared" si="125"/>
        <v>1</v>
      </c>
    </row>
    <row r="4006" spans="1:8">
      <c r="A4006" s="677">
        <v>38015</v>
      </c>
      <c r="B4006" s="733" t="s">
        <v>12377</v>
      </c>
      <c r="C4006" s="677" t="s">
        <v>1690</v>
      </c>
      <c r="D4006" s="738">
        <f t="shared" si="124"/>
        <v>179.71</v>
      </c>
      <c r="F4006" s="1405">
        <v>179.71</v>
      </c>
      <c r="G4006" s="1405">
        <v>179.71</v>
      </c>
      <c r="H4006" t="b">
        <f t="shared" si="125"/>
        <v>1</v>
      </c>
    </row>
    <row r="4007" spans="1:8">
      <c r="A4007" s="739">
        <v>38016</v>
      </c>
      <c r="B4007" s="740" t="s">
        <v>12378</v>
      </c>
      <c r="C4007" s="739" t="s">
        <v>1690</v>
      </c>
      <c r="D4007" s="741">
        <f t="shared" si="124"/>
        <v>208.98</v>
      </c>
      <c r="F4007" s="1406">
        <v>208.98</v>
      </c>
      <c r="G4007" s="1406">
        <v>208.98</v>
      </c>
      <c r="H4007" t="b">
        <f t="shared" si="125"/>
        <v>1</v>
      </c>
    </row>
    <row r="4008" spans="1:8">
      <c r="A4008" s="677">
        <v>12741</v>
      </c>
      <c r="B4008" s="733" t="s">
        <v>12379</v>
      </c>
      <c r="C4008" s="677" t="s">
        <v>1690</v>
      </c>
      <c r="D4008" s="738">
        <f t="shared" si="124"/>
        <v>1315.65</v>
      </c>
      <c r="F4008" s="1405">
        <v>1315.65</v>
      </c>
      <c r="G4008" s="1405">
        <v>1315.65</v>
      </c>
      <c r="H4008" t="b">
        <f t="shared" si="125"/>
        <v>1</v>
      </c>
    </row>
    <row r="4009" spans="1:8">
      <c r="A4009" s="739">
        <v>12733</v>
      </c>
      <c r="B4009" s="740" t="s">
        <v>12380</v>
      </c>
      <c r="C4009" s="739" t="s">
        <v>1690</v>
      </c>
      <c r="D4009" s="741">
        <f t="shared" si="124"/>
        <v>6.62</v>
      </c>
      <c r="F4009" s="1406">
        <v>6.62</v>
      </c>
      <c r="G4009" s="1406">
        <v>6.62</v>
      </c>
      <c r="H4009" t="b">
        <f t="shared" si="125"/>
        <v>1</v>
      </c>
    </row>
    <row r="4010" spans="1:8">
      <c r="A4010" s="677">
        <v>12734</v>
      </c>
      <c r="B4010" s="733" t="s">
        <v>12381</v>
      </c>
      <c r="C4010" s="677" t="s">
        <v>1690</v>
      </c>
      <c r="D4010" s="738">
        <f t="shared" si="124"/>
        <v>14.11</v>
      </c>
      <c r="F4010" s="1405">
        <v>14.11</v>
      </c>
      <c r="G4010" s="1405">
        <v>14.11</v>
      </c>
      <c r="H4010" t="b">
        <f t="shared" si="125"/>
        <v>1</v>
      </c>
    </row>
    <row r="4011" spans="1:8">
      <c r="A4011" s="739">
        <v>12735</v>
      </c>
      <c r="B4011" s="740" t="s">
        <v>12382</v>
      </c>
      <c r="C4011" s="739" t="s">
        <v>1690</v>
      </c>
      <c r="D4011" s="741">
        <f t="shared" si="124"/>
        <v>23.21</v>
      </c>
      <c r="F4011" s="1406">
        <v>23.21</v>
      </c>
      <c r="G4011" s="1406">
        <v>23.21</v>
      </c>
      <c r="H4011" t="b">
        <f t="shared" si="125"/>
        <v>1</v>
      </c>
    </row>
    <row r="4012" spans="1:8">
      <c r="A4012" s="677">
        <v>12736</v>
      </c>
      <c r="B4012" s="733" t="s">
        <v>12383</v>
      </c>
      <c r="C4012" s="677" t="s">
        <v>1690</v>
      </c>
      <c r="D4012" s="738">
        <f t="shared" si="124"/>
        <v>53.06</v>
      </c>
      <c r="F4012" s="1405">
        <v>53.06</v>
      </c>
      <c r="G4012" s="1405">
        <v>53.06</v>
      </c>
      <c r="H4012" t="b">
        <f t="shared" si="125"/>
        <v>1</v>
      </c>
    </row>
    <row r="4013" spans="1:8">
      <c r="A4013" s="739">
        <v>12737</v>
      </c>
      <c r="B4013" s="740" t="s">
        <v>12384</v>
      </c>
      <c r="C4013" s="739" t="s">
        <v>1690</v>
      </c>
      <c r="D4013" s="741">
        <f t="shared" si="124"/>
        <v>68.36</v>
      </c>
      <c r="F4013" s="1406">
        <v>68.36</v>
      </c>
      <c r="G4013" s="1406">
        <v>68.36</v>
      </c>
      <c r="H4013" t="b">
        <f t="shared" si="125"/>
        <v>1</v>
      </c>
    </row>
    <row r="4014" spans="1:8">
      <c r="A4014" s="677">
        <v>12738</v>
      </c>
      <c r="B4014" s="733" t="s">
        <v>12385</v>
      </c>
      <c r="C4014" s="677" t="s">
        <v>1690</v>
      </c>
      <c r="D4014" s="738">
        <f t="shared" si="124"/>
        <v>135.11000000000001</v>
      </c>
      <c r="F4014" s="1405">
        <v>135.11000000000001</v>
      </c>
      <c r="G4014" s="1405">
        <v>135.11000000000001</v>
      </c>
      <c r="H4014" t="b">
        <f t="shared" si="125"/>
        <v>1</v>
      </c>
    </row>
    <row r="4015" spans="1:8">
      <c r="A4015" s="739">
        <v>12739</v>
      </c>
      <c r="B4015" s="740" t="s">
        <v>12386</v>
      </c>
      <c r="C4015" s="739" t="s">
        <v>1690</v>
      </c>
      <c r="D4015" s="741">
        <f t="shared" si="124"/>
        <v>384.6</v>
      </c>
      <c r="F4015" s="1406">
        <v>384.6</v>
      </c>
      <c r="G4015" s="1406">
        <v>384.6</v>
      </c>
      <c r="H4015" t="b">
        <f t="shared" si="125"/>
        <v>1</v>
      </c>
    </row>
    <row r="4016" spans="1:8">
      <c r="A4016" s="677">
        <v>12740</v>
      </c>
      <c r="B4016" s="733" t="s">
        <v>12387</v>
      </c>
      <c r="C4016" s="677" t="s">
        <v>1690</v>
      </c>
      <c r="D4016" s="738">
        <f t="shared" si="124"/>
        <v>601.73</v>
      </c>
      <c r="F4016" s="1405">
        <v>601.73</v>
      </c>
      <c r="G4016" s="1405">
        <v>601.73</v>
      </c>
      <c r="H4016" t="b">
        <f t="shared" si="125"/>
        <v>1</v>
      </c>
    </row>
    <row r="4017" spans="1:8">
      <c r="A4017" s="739">
        <v>6297</v>
      </c>
      <c r="B4017" s="740" t="s">
        <v>12388</v>
      </c>
      <c r="C4017" s="739" t="s">
        <v>1690</v>
      </c>
      <c r="D4017" s="741">
        <f t="shared" si="124"/>
        <v>33.99</v>
      </c>
      <c r="F4017" s="1406">
        <v>33.99</v>
      </c>
      <c r="G4017" s="1406">
        <v>33.99</v>
      </c>
      <c r="H4017" t="b">
        <f t="shared" si="125"/>
        <v>1</v>
      </c>
    </row>
    <row r="4018" spans="1:8">
      <c r="A4018" s="677">
        <v>6296</v>
      </c>
      <c r="B4018" s="733" t="s">
        <v>12389</v>
      </c>
      <c r="C4018" s="677" t="s">
        <v>1690</v>
      </c>
      <c r="D4018" s="738">
        <f t="shared" si="124"/>
        <v>26.83</v>
      </c>
      <c r="F4018" s="1405">
        <v>26.83</v>
      </c>
      <c r="G4018" s="1405">
        <v>26.83</v>
      </c>
      <c r="H4018" t="b">
        <f t="shared" si="125"/>
        <v>1</v>
      </c>
    </row>
    <row r="4019" spans="1:8">
      <c r="A4019" s="739">
        <v>6294</v>
      </c>
      <c r="B4019" s="740" t="s">
        <v>12390</v>
      </c>
      <c r="C4019" s="739" t="s">
        <v>1690</v>
      </c>
      <c r="D4019" s="741">
        <f t="shared" si="124"/>
        <v>7.65</v>
      </c>
      <c r="F4019" s="1406">
        <v>7.65</v>
      </c>
      <c r="G4019" s="1406">
        <v>7.65</v>
      </c>
      <c r="H4019" t="b">
        <f t="shared" si="125"/>
        <v>1</v>
      </c>
    </row>
    <row r="4020" spans="1:8">
      <c r="A4020" s="677">
        <v>6323</v>
      </c>
      <c r="B4020" s="733" t="s">
        <v>12391</v>
      </c>
      <c r="C4020" s="677" t="s">
        <v>1690</v>
      </c>
      <c r="D4020" s="738">
        <f t="shared" si="124"/>
        <v>17.53</v>
      </c>
      <c r="F4020" s="1405">
        <v>17.53</v>
      </c>
      <c r="G4020" s="1405">
        <v>17.53</v>
      </c>
      <c r="H4020" t="b">
        <f t="shared" si="125"/>
        <v>1</v>
      </c>
    </row>
    <row r="4021" spans="1:8">
      <c r="A4021" s="739">
        <v>6299</v>
      </c>
      <c r="B4021" s="740" t="s">
        <v>12392</v>
      </c>
      <c r="C4021" s="739" t="s">
        <v>1690</v>
      </c>
      <c r="D4021" s="741">
        <f t="shared" si="124"/>
        <v>102.22</v>
      </c>
      <c r="F4021" s="1406">
        <v>102.22</v>
      </c>
      <c r="G4021" s="1406">
        <v>102.22</v>
      </c>
      <c r="H4021" t="b">
        <f t="shared" si="125"/>
        <v>1</v>
      </c>
    </row>
    <row r="4022" spans="1:8">
      <c r="A4022" s="677">
        <v>6298</v>
      </c>
      <c r="B4022" s="733" t="s">
        <v>12393</v>
      </c>
      <c r="C4022" s="677" t="s">
        <v>1690</v>
      </c>
      <c r="D4022" s="738">
        <f t="shared" si="124"/>
        <v>53.83</v>
      </c>
      <c r="F4022" s="1405">
        <v>53.83</v>
      </c>
      <c r="G4022" s="1405">
        <v>53.83</v>
      </c>
      <c r="H4022" t="b">
        <f t="shared" si="125"/>
        <v>1</v>
      </c>
    </row>
    <row r="4023" spans="1:8">
      <c r="A4023" s="739">
        <v>6295</v>
      </c>
      <c r="B4023" s="740" t="s">
        <v>12394</v>
      </c>
      <c r="C4023" s="739" t="s">
        <v>1690</v>
      </c>
      <c r="D4023" s="741">
        <f t="shared" si="124"/>
        <v>10.89</v>
      </c>
      <c r="F4023" s="1406">
        <v>10.89</v>
      </c>
      <c r="G4023" s="1406">
        <v>10.89</v>
      </c>
      <c r="H4023" t="b">
        <f t="shared" si="125"/>
        <v>1</v>
      </c>
    </row>
    <row r="4024" spans="1:8">
      <c r="A4024" s="677">
        <v>6322</v>
      </c>
      <c r="B4024" s="733" t="s">
        <v>12395</v>
      </c>
      <c r="C4024" s="677" t="s">
        <v>1690</v>
      </c>
      <c r="D4024" s="738">
        <f t="shared" si="124"/>
        <v>136.91</v>
      </c>
      <c r="F4024" s="1405">
        <v>136.91</v>
      </c>
      <c r="G4024" s="1405">
        <v>136.91</v>
      </c>
      <c r="H4024" t="b">
        <f t="shared" si="125"/>
        <v>1</v>
      </c>
    </row>
    <row r="4025" spans="1:8">
      <c r="A4025" s="739">
        <v>6300</v>
      </c>
      <c r="B4025" s="740" t="s">
        <v>12396</v>
      </c>
      <c r="C4025" s="739" t="s">
        <v>1690</v>
      </c>
      <c r="D4025" s="741">
        <f t="shared" si="124"/>
        <v>252.41</v>
      </c>
      <c r="F4025" s="1406">
        <v>252.41</v>
      </c>
      <c r="G4025" s="1406">
        <v>252.41</v>
      </c>
      <c r="H4025" t="b">
        <f t="shared" si="125"/>
        <v>1</v>
      </c>
    </row>
    <row r="4026" spans="1:8">
      <c r="A4026" s="677">
        <v>6321</v>
      </c>
      <c r="B4026" s="733" t="s">
        <v>12397</v>
      </c>
      <c r="C4026" s="677" t="s">
        <v>1690</v>
      </c>
      <c r="D4026" s="738">
        <f t="shared" si="124"/>
        <v>360.56</v>
      </c>
      <c r="F4026" s="1405">
        <v>360.56</v>
      </c>
      <c r="G4026" s="1405">
        <v>360.56</v>
      </c>
      <c r="H4026" t="b">
        <f t="shared" si="125"/>
        <v>1</v>
      </c>
    </row>
    <row r="4027" spans="1:8">
      <c r="A4027" s="739">
        <v>6301</v>
      </c>
      <c r="B4027" s="740" t="s">
        <v>12398</v>
      </c>
      <c r="C4027" s="739" t="s">
        <v>1690</v>
      </c>
      <c r="D4027" s="741">
        <f t="shared" si="124"/>
        <v>845.11</v>
      </c>
      <c r="F4027" s="1406">
        <v>845.11</v>
      </c>
      <c r="G4027" s="1406">
        <v>845.11</v>
      </c>
      <c r="H4027" t="b">
        <f t="shared" si="125"/>
        <v>1</v>
      </c>
    </row>
    <row r="4028" spans="1:8">
      <c r="A4028" s="677">
        <v>7105</v>
      </c>
      <c r="B4028" s="733" t="s">
        <v>12399</v>
      </c>
      <c r="C4028" s="677" t="s">
        <v>1690</v>
      </c>
      <c r="D4028" s="738">
        <f t="shared" si="124"/>
        <v>39.68</v>
      </c>
      <c r="F4028" s="1405">
        <v>39.68</v>
      </c>
      <c r="G4028" s="1405">
        <v>39.68</v>
      </c>
      <c r="H4028" t="b">
        <f t="shared" si="125"/>
        <v>1</v>
      </c>
    </row>
    <row r="4029" spans="1:8">
      <c r="A4029" s="739">
        <v>20183</v>
      </c>
      <c r="B4029" s="740" t="s">
        <v>12400</v>
      </c>
      <c r="C4029" s="739" t="s">
        <v>1690</v>
      </c>
      <c r="D4029" s="741">
        <f t="shared" si="124"/>
        <v>48.88</v>
      </c>
      <c r="F4029" s="1406">
        <v>48.88</v>
      </c>
      <c r="G4029" s="1406">
        <v>48.88</v>
      </c>
      <c r="H4029" t="b">
        <f t="shared" si="125"/>
        <v>1</v>
      </c>
    </row>
    <row r="4030" spans="1:8">
      <c r="A4030" s="677">
        <v>38448</v>
      </c>
      <c r="B4030" s="733" t="s">
        <v>12401</v>
      </c>
      <c r="C4030" s="677" t="s">
        <v>1690</v>
      </c>
      <c r="D4030" s="738">
        <f t="shared" si="124"/>
        <v>221.83</v>
      </c>
      <c r="F4030" s="1405">
        <v>221.83</v>
      </c>
      <c r="G4030" s="1405">
        <v>221.83</v>
      </c>
      <c r="H4030" t="b">
        <f t="shared" si="125"/>
        <v>1</v>
      </c>
    </row>
    <row r="4031" spans="1:8">
      <c r="A4031" s="739">
        <v>20182</v>
      </c>
      <c r="B4031" s="740" t="s">
        <v>12402</v>
      </c>
      <c r="C4031" s="739" t="s">
        <v>1690</v>
      </c>
      <c r="D4031" s="741">
        <f t="shared" si="124"/>
        <v>28.42</v>
      </c>
      <c r="F4031" s="1406">
        <v>28.42</v>
      </c>
      <c r="G4031" s="1406">
        <v>28.42</v>
      </c>
      <c r="H4031" t="b">
        <f t="shared" si="125"/>
        <v>1</v>
      </c>
    </row>
    <row r="4032" spans="1:8">
      <c r="A4032" s="677">
        <v>7119</v>
      </c>
      <c r="B4032" s="733" t="s">
        <v>12403</v>
      </c>
      <c r="C4032" s="677" t="s">
        <v>1690</v>
      </c>
      <c r="D4032" s="738">
        <f t="shared" si="124"/>
        <v>10.72</v>
      </c>
      <c r="F4032" s="1405">
        <v>10.72</v>
      </c>
      <c r="G4032" s="1405">
        <v>10.72</v>
      </c>
      <c r="H4032" t="b">
        <f t="shared" si="125"/>
        <v>1</v>
      </c>
    </row>
    <row r="4033" spans="1:8">
      <c r="A4033" s="739">
        <v>7126</v>
      </c>
      <c r="B4033" s="740" t="s">
        <v>12404</v>
      </c>
      <c r="C4033" s="739" t="s">
        <v>1690</v>
      </c>
      <c r="D4033" s="741">
        <f t="shared" si="124"/>
        <v>21.89</v>
      </c>
      <c r="F4033" s="1406">
        <v>21.89</v>
      </c>
      <c r="G4033" s="1406">
        <v>21.89</v>
      </c>
      <c r="H4033" t="b">
        <f t="shared" si="125"/>
        <v>1</v>
      </c>
    </row>
    <row r="4034" spans="1:8">
      <c r="A4034" s="677">
        <v>7120</v>
      </c>
      <c r="B4034" s="733" t="s">
        <v>12405</v>
      </c>
      <c r="C4034" s="677" t="s">
        <v>1690</v>
      </c>
      <c r="D4034" s="738">
        <f t="shared" si="124"/>
        <v>8.23</v>
      </c>
      <c r="F4034" s="1405">
        <v>8.23</v>
      </c>
      <c r="G4034" s="1405">
        <v>8.23</v>
      </c>
      <c r="H4034" t="b">
        <f t="shared" si="125"/>
        <v>1</v>
      </c>
    </row>
    <row r="4035" spans="1:8">
      <c r="A4035" s="739">
        <v>6319</v>
      </c>
      <c r="B4035" s="740" t="s">
        <v>12406</v>
      </c>
      <c r="C4035" s="739" t="s">
        <v>1690</v>
      </c>
      <c r="D4035" s="741">
        <f t="shared" ref="D4035:D4098" si="126">IF($J$2=$F$1,F4035,G4035)</f>
        <v>39.93</v>
      </c>
      <c r="F4035" s="1406">
        <v>39.93</v>
      </c>
      <c r="G4035" s="1406">
        <v>39.93</v>
      </c>
      <c r="H4035" t="b">
        <f t="shared" ref="H4035:H4098" si="127">F4035=G4035</f>
        <v>1</v>
      </c>
    </row>
    <row r="4036" spans="1:8">
      <c r="A4036" s="677">
        <v>6304</v>
      </c>
      <c r="B4036" s="733" t="s">
        <v>12407</v>
      </c>
      <c r="C4036" s="677" t="s">
        <v>1690</v>
      </c>
      <c r="D4036" s="738">
        <f t="shared" si="126"/>
        <v>39.93</v>
      </c>
      <c r="F4036" s="1405">
        <v>39.93</v>
      </c>
      <c r="G4036" s="1405">
        <v>39.93</v>
      </c>
      <c r="H4036" t="b">
        <f t="shared" si="127"/>
        <v>1</v>
      </c>
    </row>
    <row r="4037" spans="1:8">
      <c r="A4037" s="739">
        <v>21116</v>
      </c>
      <c r="B4037" s="740" t="s">
        <v>12408</v>
      </c>
      <c r="C4037" s="739" t="s">
        <v>1690</v>
      </c>
      <c r="D4037" s="741">
        <f t="shared" si="126"/>
        <v>30.23</v>
      </c>
      <c r="F4037" s="1406">
        <v>30.23</v>
      </c>
      <c r="G4037" s="1406">
        <v>30.23</v>
      </c>
      <c r="H4037" t="b">
        <f t="shared" si="127"/>
        <v>1</v>
      </c>
    </row>
    <row r="4038" spans="1:8">
      <c r="A4038" s="677">
        <v>6320</v>
      </c>
      <c r="B4038" s="733" t="s">
        <v>12409</v>
      </c>
      <c r="C4038" s="677" t="s">
        <v>1690</v>
      </c>
      <c r="D4038" s="738">
        <f t="shared" si="126"/>
        <v>20.56</v>
      </c>
      <c r="F4038" s="1405">
        <v>20.56</v>
      </c>
      <c r="G4038" s="1405">
        <v>20.56</v>
      </c>
      <c r="H4038" t="b">
        <f t="shared" si="127"/>
        <v>1</v>
      </c>
    </row>
    <row r="4039" spans="1:8">
      <c r="A4039" s="739">
        <v>6303</v>
      </c>
      <c r="B4039" s="740" t="s">
        <v>12410</v>
      </c>
      <c r="C4039" s="739" t="s">
        <v>1690</v>
      </c>
      <c r="D4039" s="741">
        <f t="shared" si="126"/>
        <v>20.56</v>
      </c>
      <c r="F4039" s="1406">
        <v>20.56</v>
      </c>
      <c r="G4039" s="1406">
        <v>20.56</v>
      </c>
      <c r="H4039" t="b">
        <f t="shared" si="127"/>
        <v>1</v>
      </c>
    </row>
    <row r="4040" spans="1:8">
      <c r="A4040" s="677">
        <v>6308</v>
      </c>
      <c r="B4040" s="733" t="s">
        <v>12411</v>
      </c>
      <c r="C4040" s="677" t="s">
        <v>1690</v>
      </c>
      <c r="D4040" s="738">
        <f t="shared" si="126"/>
        <v>110.49</v>
      </c>
      <c r="F4040" s="1405">
        <v>110.49</v>
      </c>
      <c r="G4040" s="1405">
        <v>110.49</v>
      </c>
      <c r="H4040" t="b">
        <f t="shared" si="127"/>
        <v>1</v>
      </c>
    </row>
    <row r="4041" spans="1:8">
      <c r="A4041" s="739">
        <v>6317</v>
      </c>
      <c r="B4041" s="740" t="s">
        <v>12412</v>
      </c>
      <c r="C4041" s="739" t="s">
        <v>1690</v>
      </c>
      <c r="D4041" s="741">
        <f t="shared" si="126"/>
        <v>110.49</v>
      </c>
      <c r="F4041" s="1406">
        <v>110.49</v>
      </c>
      <c r="G4041" s="1406">
        <v>110.49</v>
      </c>
      <c r="H4041" t="b">
        <f t="shared" si="127"/>
        <v>1</v>
      </c>
    </row>
    <row r="4042" spans="1:8">
      <c r="A4042" s="677">
        <v>6307</v>
      </c>
      <c r="B4042" s="733" t="s">
        <v>12413</v>
      </c>
      <c r="C4042" s="677" t="s">
        <v>1690</v>
      </c>
      <c r="D4042" s="738">
        <f t="shared" si="126"/>
        <v>110.49</v>
      </c>
      <c r="F4042" s="1405">
        <v>110.49</v>
      </c>
      <c r="G4042" s="1405">
        <v>110.49</v>
      </c>
      <c r="H4042" t="b">
        <f t="shared" si="127"/>
        <v>1</v>
      </c>
    </row>
    <row r="4043" spans="1:8">
      <c r="A4043" s="739">
        <v>6309</v>
      </c>
      <c r="B4043" s="740" t="s">
        <v>12414</v>
      </c>
      <c r="C4043" s="739" t="s">
        <v>1690</v>
      </c>
      <c r="D4043" s="741">
        <f t="shared" si="126"/>
        <v>113.7</v>
      </c>
      <c r="F4043" s="1406">
        <v>113.7</v>
      </c>
      <c r="G4043" s="1406">
        <v>113.7</v>
      </c>
      <c r="H4043" t="b">
        <f t="shared" si="127"/>
        <v>1</v>
      </c>
    </row>
    <row r="4044" spans="1:8">
      <c r="A4044" s="677">
        <v>6318</v>
      </c>
      <c r="B4044" s="733" t="s">
        <v>12415</v>
      </c>
      <c r="C4044" s="677" t="s">
        <v>1690</v>
      </c>
      <c r="D4044" s="738">
        <f t="shared" si="126"/>
        <v>59.6</v>
      </c>
      <c r="F4044" s="1405">
        <v>59.6</v>
      </c>
      <c r="G4044" s="1405">
        <v>59.6</v>
      </c>
      <c r="H4044" t="b">
        <f t="shared" si="127"/>
        <v>1</v>
      </c>
    </row>
    <row r="4045" spans="1:8">
      <c r="A4045" s="739">
        <v>6306</v>
      </c>
      <c r="B4045" s="740" t="s">
        <v>12416</v>
      </c>
      <c r="C4045" s="739" t="s">
        <v>1690</v>
      </c>
      <c r="D4045" s="741">
        <f t="shared" si="126"/>
        <v>59.6</v>
      </c>
      <c r="F4045" s="1406">
        <v>59.6</v>
      </c>
      <c r="G4045" s="1406">
        <v>59.6</v>
      </c>
      <c r="H4045" t="b">
        <f t="shared" si="127"/>
        <v>1</v>
      </c>
    </row>
    <row r="4046" spans="1:8">
      <c r="A4046" s="677">
        <v>6305</v>
      </c>
      <c r="B4046" s="733" t="s">
        <v>12417</v>
      </c>
      <c r="C4046" s="677" t="s">
        <v>1690</v>
      </c>
      <c r="D4046" s="738">
        <f t="shared" si="126"/>
        <v>59.6</v>
      </c>
      <c r="F4046" s="1405">
        <v>59.6</v>
      </c>
      <c r="G4046" s="1405">
        <v>59.6</v>
      </c>
      <c r="H4046" t="b">
        <f t="shared" si="127"/>
        <v>1</v>
      </c>
    </row>
    <row r="4047" spans="1:8">
      <c r="A4047" s="739">
        <v>6302</v>
      </c>
      <c r="B4047" s="740" t="s">
        <v>12418</v>
      </c>
      <c r="C4047" s="739" t="s">
        <v>1690</v>
      </c>
      <c r="D4047" s="741">
        <f t="shared" si="126"/>
        <v>12.64</v>
      </c>
      <c r="F4047" s="1406">
        <v>12.64</v>
      </c>
      <c r="G4047" s="1406">
        <v>12.64</v>
      </c>
      <c r="H4047" t="b">
        <f t="shared" si="127"/>
        <v>1</v>
      </c>
    </row>
    <row r="4048" spans="1:8">
      <c r="A4048" s="677">
        <v>6312</v>
      </c>
      <c r="B4048" s="733" t="s">
        <v>12419</v>
      </c>
      <c r="C4048" s="677" t="s">
        <v>1690</v>
      </c>
      <c r="D4048" s="738">
        <f t="shared" si="126"/>
        <v>158.91999999999999</v>
      </c>
      <c r="F4048" s="1405">
        <v>158.91999999999999</v>
      </c>
      <c r="G4048" s="1405">
        <v>158.91999999999999</v>
      </c>
      <c r="H4048" t="b">
        <f t="shared" si="127"/>
        <v>1</v>
      </c>
    </row>
    <row r="4049" spans="1:8">
      <c r="A4049" s="739">
        <v>6311</v>
      </c>
      <c r="B4049" s="740" t="s">
        <v>12420</v>
      </c>
      <c r="C4049" s="739" t="s">
        <v>1690</v>
      </c>
      <c r="D4049" s="741">
        <f t="shared" si="126"/>
        <v>158.91999999999999</v>
      </c>
      <c r="F4049" s="1406">
        <v>158.91999999999999</v>
      </c>
      <c r="G4049" s="1406">
        <v>158.91999999999999</v>
      </c>
      <c r="H4049" t="b">
        <f t="shared" si="127"/>
        <v>1</v>
      </c>
    </row>
    <row r="4050" spans="1:8">
      <c r="A4050" s="677">
        <v>6310</v>
      </c>
      <c r="B4050" s="733" t="s">
        <v>12421</v>
      </c>
      <c r="C4050" s="677" t="s">
        <v>1690</v>
      </c>
      <c r="D4050" s="738">
        <f t="shared" si="126"/>
        <v>158.91999999999999</v>
      </c>
      <c r="F4050" s="1405">
        <v>158.91999999999999</v>
      </c>
      <c r="G4050" s="1405">
        <v>158.91999999999999</v>
      </c>
      <c r="H4050" t="b">
        <f t="shared" si="127"/>
        <v>1</v>
      </c>
    </row>
    <row r="4051" spans="1:8">
      <c r="A4051" s="739">
        <v>6314</v>
      </c>
      <c r="B4051" s="740" t="s">
        <v>12422</v>
      </c>
      <c r="C4051" s="739" t="s">
        <v>1690</v>
      </c>
      <c r="D4051" s="741">
        <f t="shared" si="126"/>
        <v>158.91999999999999</v>
      </c>
      <c r="F4051" s="1406">
        <v>158.91999999999999</v>
      </c>
      <c r="G4051" s="1406">
        <v>158.91999999999999</v>
      </c>
      <c r="H4051" t="b">
        <f t="shared" si="127"/>
        <v>1</v>
      </c>
    </row>
    <row r="4052" spans="1:8">
      <c r="A4052" s="677">
        <v>6313</v>
      </c>
      <c r="B4052" s="733" t="s">
        <v>12423</v>
      </c>
      <c r="C4052" s="677" t="s">
        <v>1690</v>
      </c>
      <c r="D4052" s="738">
        <f t="shared" si="126"/>
        <v>158.91999999999999</v>
      </c>
      <c r="F4052" s="1405">
        <v>158.91999999999999</v>
      </c>
      <c r="G4052" s="1405">
        <v>158.91999999999999</v>
      </c>
      <c r="H4052" t="b">
        <f t="shared" si="127"/>
        <v>1</v>
      </c>
    </row>
    <row r="4053" spans="1:8">
      <c r="A4053" s="739">
        <v>6315</v>
      </c>
      <c r="B4053" s="740" t="s">
        <v>12424</v>
      </c>
      <c r="C4053" s="739" t="s">
        <v>1690</v>
      </c>
      <c r="D4053" s="741">
        <f t="shared" si="126"/>
        <v>300.91000000000003</v>
      </c>
      <c r="F4053" s="1406">
        <v>300.91000000000003</v>
      </c>
      <c r="G4053" s="1406">
        <v>300.91000000000003</v>
      </c>
      <c r="H4053" t="b">
        <f t="shared" si="127"/>
        <v>1</v>
      </c>
    </row>
    <row r="4054" spans="1:8">
      <c r="A4054" s="677">
        <v>6316</v>
      </c>
      <c r="B4054" s="733" t="s">
        <v>12425</v>
      </c>
      <c r="C4054" s="677" t="s">
        <v>1690</v>
      </c>
      <c r="D4054" s="738">
        <f t="shared" si="126"/>
        <v>300.91000000000003</v>
      </c>
      <c r="F4054" s="1405">
        <v>300.91000000000003</v>
      </c>
      <c r="G4054" s="1405">
        <v>300.91000000000003</v>
      </c>
      <c r="H4054" t="b">
        <f t="shared" si="127"/>
        <v>1</v>
      </c>
    </row>
    <row r="4055" spans="1:8">
      <c r="A4055" s="739">
        <v>39324</v>
      </c>
      <c r="B4055" s="740" t="s">
        <v>12426</v>
      </c>
      <c r="C4055" s="739" t="s">
        <v>1690</v>
      </c>
      <c r="D4055" s="741">
        <f t="shared" si="126"/>
        <v>4.87</v>
      </c>
      <c r="F4055" s="1406">
        <v>4.87</v>
      </c>
      <c r="G4055" s="1406">
        <v>4.87</v>
      </c>
      <c r="H4055" t="b">
        <f t="shared" si="127"/>
        <v>1</v>
      </c>
    </row>
    <row r="4056" spans="1:8">
      <c r="A4056" s="677">
        <v>39325</v>
      </c>
      <c r="B4056" s="733" t="s">
        <v>12427</v>
      </c>
      <c r="C4056" s="677" t="s">
        <v>1690</v>
      </c>
      <c r="D4056" s="738">
        <f t="shared" si="126"/>
        <v>7.34</v>
      </c>
      <c r="F4056" s="1405">
        <v>7.34</v>
      </c>
      <c r="G4056" s="1405">
        <v>7.34</v>
      </c>
      <c r="H4056" t="b">
        <f t="shared" si="127"/>
        <v>1</v>
      </c>
    </row>
    <row r="4057" spans="1:8">
      <c r="A4057" s="739">
        <v>39326</v>
      </c>
      <c r="B4057" s="740" t="s">
        <v>12428</v>
      </c>
      <c r="C4057" s="739" t="s">
        <v>1690</v>
      </c>
      <c r="D4057" s="741">
        <f t="shared" si="126"/>
        <v>26.35</v>
      </c>
      <c r="F4057" s="1406">
        <v>26.35</v>
      </c>
      <c r="G4057" s="1406">
        <v>26.35</v>
      </c>
      <c r="H4057" t="b">
        <f t="shared" si="127"/>
        <v>1</v>
      </c>
    </row>
    <row r="4058" spans="1:8">
      <c r="A4058" s="677">
        <v>39327</v>
      </c>
      <c r="B4058" s="733" t="s">
        <v>12429</v>
      </c>
      <c r="C4058" s="677" t="s">
        <v>1690</v>
      </c>
      <c r="D4058" s="738">
        <f t="shared" si="126"/>
        <v>39.75</v>
      </c>
      <c r="F4058" s="1405">
        <v>39.75</v>
      </c>
      <c r="G4058" s="1405">
        <v>39.75</v>
      </c>
      <c r="H4058" t="b">
        <f t="shared" si="127"/>
        <v>1</v>
      </c>
    </row>
    <row r="4059" spans="1:8">
      <c r="A4059" s="739">
        <v>11378</v>
      </c>
      <c r="B4059" s="740" t="s">
        <v>12430</v>
      </c>
      <c r="C4059" s="739" t="s">
        <v>1690</v>
      </c>
      <c r="D4059" s="741">
        <f t="shared" si="126"/>
        <v>75.33</v>
      </c>
      <c r="F4059" s="1406">
        <v>75.33</v>
      </c>
      <c r="G4059" s="1406">
        <v>75.33</v>
      </c>
      <c r="H4059" t="b">
        <f t="shared" si="127"/>
        <v>1</v>
      </c>
    </row>
    <row r="4060" spans="1:8">
      <c r="A4060" s="677">
        <v>11379</v>
      </c>
      <c r="B4060" s="733" t="s">
        <v>12431</v>
      </c>
      <c r="C4060" s="677" t="s">
        <v>1690</v>
      </c>
      <c r="D4060" s="738">
        <f t="shared" si="126"/>
        <v>63.65</v>
      </c>
      <c r="F4060" s="1405">
        <v>63.65</v>
      </c>
      <c r="G4060" s="1405">
        <v>63.65</v>
      </c>
      <c r="H4060" t="b">
        <f t="shared" si="127"/>
        <v>1</v>
      </c>
    </row>
    <row r="4061" spans="1:8">
      <c r="A4061" s="739">
        <v>11493</v>
      </c>
      <c r="B4061" s="740" t="s">
        <v>12432</v>
      </c>
      <c r="C4061" s="739" t="s">
        <v>1690</v>
      </c>
      <c r="D4061" s="741">
        <f t="shared" si="126"/>
        <v>36.71</v>
      </c>
      <c r="F4061" s="1406">
        <v>36.71</v>
      </c>
      <c r="G4061" s="1406">
        <v>36.71</v>
      </c>
      <c r="H4061" t="b">
        <f t="shared" si="127"/>
        <v>1</v>
      </c>
    </row>
    <row r="4062" spans="1:8">
      <c r="A4062" s="677">
        <v>7106</v>
      </c>
      <c r="B4062" s="733" t="s">
        <v>12433</v>
      </c>
      <c r="C4062" s="677" t="s">
        <v>1690</v>
      </c>
      <c r="D4062" s="738">
        <f t="shared" si="126"/>
        <v>135.43</v>
      </c>
      <c r="F4062" s="1405">
        <v>135.43</v>
      </c>
      <c r="G4062" s="1405">
        <v>135.43</v>
      </c>
      <c r="H4062" t="b">
        <f t="shared" si="127"/>
        <v>1</v>
      </c>
    </row>
    <row r="4063" spans="1:8">
      <c r="A4063" s="739">
        <v>7104</v>
      </c>
      <c r="B4063" s="740" t="s">
        <v>12434</v>
      </c>
      <c r="C4063" s="739" t="s">
        <v>1690</v>
      </c>
      <c r="D4063" s="741">
        <f t="shared" si="126"/>
        <v>3.65</v>
      </c>
      <c r="F4063" s="1406">
        <v>3.65</v>
      </c>
      <c r="G4063" s="1406">
        <v>3.65</v>
      </c>
      <c r="H4063" t="b">
        <f t="shared" si="127"/>
        <v>1</v>
      </c>
    </row>
    <row r="4064" spans="1:8">
      <c r="A4064" s="677">
        <v>7136</v>
      </c>
      <c r="B4064" s="733" t="s">
        <v>12435</v>
      </c>
      <c r="C4064" s="677" t="s">
        <v>1690</v>
      </c>
      <c r="D4064" s="738">
        <f t="shared" si="126"/>
        <v>6.36</v>
      </c>
      <c r="F4064" s="1405">
        <v>6.36</v>
      </c>
      <c r="G4064" s="1405">
        <v>6.36</v>
      </c>
      <c r="H4064" t="b">
        <f t="shared" si="127"/>
        <v>1</v>
      </c>
    </row>
    <row r="4065" spans="1:8">
      <c r="A4065" s="739">
        <v>7128</v>
      </c>
      <c r="B4065" s="740" t="s">
        <v>12436</v>
      </c>
      <c r="C4065" s="739" t="s">
        <v>1690</v>
      </c>
      <c r="D4065" s="741">
        <f t="shared" si="126"/>
        <v>8.25</v>
      </c>
      <c r="F4065" s="1406">
        <v>8.25</v>
      </c>
      <c r="G4065" s="1406">
        <v>8.25</v>
      </c>
      <c r="H4065" t="b">
        <f t="shared" si="127"/>
        <v>1</v>
      </c>
    </row>
    <row r="4066" spans="1:8">
      <c r="A4066" s="677">
        <v>7108</v>
      </c>
      <c r="B4066" s="733" t="s">
        <v>12437</v>
      </c>
      <c r="C4066" s="677" t="s">
        <v>1690</v>
      </c>
      <c r="D4066" s="738">
        <f t="shared" si="126"/>
        <v>8.23</v>
      </c>
      <c r="F4066" s="1405">
        <v>8.23</v>
      </c>
      <c r="G4066" s="1405">
        <v>8.23</v>
      </c>
      <c r="H4066" t="b">
        <f t="shared" si="127"/>
        <v>1</v>
      </c>
    </row>
    <row r="4067" spans="1:8">
      <c r="A4067" s="739">
        <v>7129</v>
      </c>
      <c r="B4067" s="740" t="s">
        <v>12438</v>
      </c>
      <c r="C4067" s="739" t="s">
        <v>1690</v>
      </c>
      <c r="D4067" s="741">
        <f t="shared" si="126"/>
        <v>9.68</v>
      </c>
      <c r="F4067" s="1406">
        <v>9.68</v>
      </c>
      <c r="G4067" s="1406">
        <v>9.68</v>
      </c>
      <c r="H4067" t="b">
        <f t="shared" si="127"/>
        <v>1</v>
      </c>
    </row>
    <row r="4068" spans="1:8">
      <c r="A4068" s="677">
        <v>7130</v>
      </c>
      <c r="B4068" s="733" t="s">
        <v>12439</v>
      </c>
      <c r="C4068" s="677" t="s">
        <v>1690</v>
      </c>
      <c r="D4068" s="738">
        <f t="shared" si="126"/>
        <v>14.07</v>
      </c>
      <c r="F4068" s="1405">
        <v>14.07</v>
      </c>
      <c r="G4068" s="1405">
        <v>14.07</v>
      </c>
      <c r="H4068" t="b">
        <f t="shared" si="127"/>
        <v>1</v>
      </c>
    </row>
    <row r="4069" spans="1:8">
      <c r="A4069" s="739">
        <v>7131</v>
      </c>
      <c r="B4069" s="740" t="s">
        <v>12440</v>
      </c>
      <c r="C4069" s="739" t="s">
        <v>1690</v>
      </c>
      <c r="D4069" s="741">
        <f t="shared" si="126"/>
        <v>17.2</v>
      </c>
      <c r="F4069" s="1406">
        <v>17.2</v>
      </c>
      <c r="G4069" s="1406">
        <v>17.2</v>
      </c>
      <c r="H4069" t="b">
        <f t="shared" si="127"/>
        <v>1</v>
      </c>
    </row>
    <row r="4070" spans="1:8">
      <c r="A4070" s="677">
        <v>7132</v>
      </c>
      <c r="B4070" s="733" t="s">
        <v>12441</v>
      </c>
      <c r="C4070" s="677" t="s">
        <v>1690</v>
      </c>
      <c r="D4070" s="738">
        <f t="shared" si="126"/>
        <v>40.51</v>
      </c>
      <c r="F4070" s="1405">
        <v>40.51</v>
      </c>
      <c r="G4070" s="1405">
        <v>40.51</v>
      </c>
      <c r="H4070" t="b">
        <f t="shared" si="127"/>
        <v>1</v>
      </c>
    </row>
    <row r="4071" spans="1:8">
      <c r="A4071" s="739">
        <v>7133</v>
      </c>
      <c r="B4071" s="740" t="s">
        <v>12442</v>
      </c>
      <c r="C4071" s="739" t="s">
        <v>1690</v>
      </c>
      <c r="D4071" s="741">
        <f t="shared" si="126"/>
        <v>93.61</v>
      </c>
      <c r="F4071" s="1406">
        <v>93.61</v>
      </c>
      <c r="G4071" s="1406">
        <v>93.61</v>
      </c>
      <c r="H4071" t="b">
        <f t="shared" si="127"/>
        <v>1</v>
      </c>
    </row>
    <row r="4072" spans="1:8">
      <c r="A4072" s="677">
        <v>37420</v>
      </c>
      <c r="B4072" s="733" t="s">
        <v>12443</v>
      </c>
      <c r="C4072" s="677" t="s">
        <v>1690</v>
      </c>
      <c r="D4072" s="738">
        <f t="shared" si="126"/>
        <v>40.33</v>
      </c>
      <c r="F4072" s="1405">
        <v>40.33</v>
      </c>
      <c r="G4072" s="1405">
        <v>40.33</v>
      </c>
      <c r="H4072" t="b">
        <f t="shared" si="127"/>
        <v>1</v>
      </c>
    </row>
    <row r="4073" spans="1:8">
      <c r="A4073" s="739">
        <v>37421</v>
      </c>
      <c r="B4073" s="740" t="s">
        <v>12444</v>
      </c>
      <c r="C4073" s="739" t="s">
        <v>1690</v>
      </c>
      <c r="D4073" s="741">
        <f t="shared" si="126"/>
        <v>55.12</v>
      </c>
      <c r="F4073" s="1406">
        <v>55.12</v>
      </c>
      <c r="G4073" s="1406">
        <v>55.12</v>
      </c>
      <c r="H4073" t="b">
        <f t="shared" si="127"/>
        <v>1</v>
      </c>
    </row>
    <row r="4074" spans="1:8">
      <c r="A4074" s="677">
        <v>37422</v>
      </c>
      <c r="B4074" s="733" t="s">
        <v>12445</v>
      </c>
      <c r="C4074" s="677" t="s">
        <v>1690</v>
      </c>
      <c r="D4074" s="738">
        <f t="shared" si="126"/>
        <v>51.59</v>
      </c>
      <c r="F4074" s="1405">
        <v>51.59</v>
      </c>
      <c r="G4074" s="1405">
        <v>51.59</v>
      </c>
      <c r="H4074" t="b">
        <f t="shared" si="127"/>
        <v>1</v>
      </c>
    </row>
    <row r="4075" spans="1:8">
      <c r="A4075" s="739">
        <v>37443</v>
      </c>
      <c r="B4075" s="740" t="s">
        <v>12446</v>
      </c>
      <c r="C4075" s="739" t="s">
        <v>1690</v>
      </c>
      <c r="D4075" s="741">
        <f t="shared" si="126"/>
        <v>191.41</v>
      </c>
      <c r="F4075" s="1406">
        <v>191.41</v>
      </c>
      <c r="G4075" s="1406">
        <v>191.41</v>
      </c>
      <c r="H4075" t="b">
        <f t="shared" si="127"/>
        <v>1</v>
      </c>
    </row>
    <row r="4076" spans="1:8">
      <c r="A4076" s="677">
        <v>37444</v>
      </c>
      <c r="B4076" s="733" t="s">
        <v>12447</v>
      </c>
      <c r="C4076" s="677" t="s">
        <v>1690</v>
      </c>
      <c r="D4076" s="738">
        <f t="shared" si="126"/>
        <v>194.65</v>
      </c>
      <c r="F4076" s="1405">
        <v>194.65</v>
      </c>
      <c r="G4076" s="1405">
        <v>194.65</v>
      </c>
      <c r="H4076" t="b">
        <f t="shared" si="127"/>
        <v>1</v>
      </c>
    </row>
    <row r="4077" spans="1:8">
      <c r="A4077" s="739">
        <v>37445</v>
      </c>
      <c r="B4077" s="740" t="s">
        <v>12448</v>
      </c>
      <c r="C4077" s="739" t="s">
        <v>1690</v>
      </c>
      <c r="D4077" s="741">
        <f t="shared" si="126"/>
        <v>295.04000000000002</v>
      </c>
      <c r="F4077" s="1406">
        <v>295.04000000000002</v>
      </c>
      <c r="G4077" s="1406">
        <v>295.04000000000002</v>
      </c>
      <c r="H4077" t="b">
        <f t="shared" si="127"/>
        <v>1</v>
      </c>
    </row>
    <row r="4078" spans="1:8">
      <c r="A4078" s="677">
        <v>37446</v>
      </c>
      <c r="B4078" s="733" t="s">
        <v>12449</v>
      </c>
      <c r="C4078" s="677" t="s">
        <v>1690</v>
      </c>
      <c r="D4078" s="738">
        <f t="shared" si="126"/>
        <v>321.64</v>
      </c>
      <c r="F4078" s="1405">
        <v>321.64</v>
      </c>
      <c r="G4078" s="1405">
        <v>321.64</v>
      </c>
      <c r="H4078" t="b">
        <f t="shared" si="127"/>
        <v>1</v>
      </c>
    </row>
    <row r="4079" spans="1:8">
      <c r="A4079" s="739">
        <v>37447</v>
      </c>
      <c r="B4079" s="740" t="s">
        <v>12450</v>
      </c>
      <c r="C4079" s="739" t="s">
        <v>1690</v>
      </c>
      <c r="D4079" s="741">
        <f t="shared" si="126"/>
        <v>326.68</v>
      </c>
      <c r="F4079" s="1406">
        <v>326.68</v>
      </c>
      <c r="G4079" s="1406">
        <v>326.68</v>
      </c>
      <c r="H4079" t="b">
        <f t="shared" si="127"/>
        <v>1</v>
      </c>
    </row>
    <row r="4080" spans="1:8">
      <c r="A4080" s="677">
        <v>37448</v>
      </c>
      <c r="B4080" s="733" t="s">
        <v>12451</v>
      </c>
      <c r="C4080" s="677" t="s">
        <v>1690</v>
      </c>
      <c r="D4080" s="738">
        <f t="shared" si="126"/>
        <v>448.09</v>
      </c>
      <c r="F4080" s="1405">
        <v>448.09</v>
      </c>
      <c r="G4080" s="1405">
        <v>448.09</v>
      </c>
      <c r="H4080" t="b">
        <f t="shared" si="127"/>
        <v>1</v>
      </c>
    </row>
    <row r="4081" spans="1:8">
      <c r="A4081" s="739">
        <v>37440</v>
      </c>
      <c r="B4081" s="740" t="s">
        <v>12452</v>
      </c>
      <c r="C4081" s="739" t="s">
        <v>1690</v>
      </c>
      <c r="D4081" s="741">
        <f t="shared" si="126"/>
        <v>151.91999999999999</v>
      </c>
      <c r="F4081" s="1406">
        <v>151.91999999999999</v>
      </c>
      <c r="G4081" s="1406">
        <v>151.91999999999999</v>
      </c>
      <c r="H4081" t="b">
        <f t="shared" si="127"/>
        <v>1</v>
      </c>
    </row>
    <row r="4082" spans="1:8">
      <c r="A4082" s="677">
        <v>37441</v>
      </c>
      <c r="B4082" s="733" t="s">
        <v>12453</v>
      </c>
      <c r="C4082" s="677" t="s">
        <v>1690</v>
      </c>
      <c r="D4082" s="738">
        <f t="shared" si="126"/>
        <v>151.91999999999999</v>
      </c>
      <c r="F4082" s="1405">
        <v>151.91999999999999</v>
      </c>
      <c r="G4082" s="1405">
        <v>151.91999999999999</v>
      </c>
      <c r="H4082" t="b">
        <f t="shared" si="127"/>
        <v>1</v>
      </c>
    </row>
    <row r="4083" spans="1:8">
      <c r="A4083" s="739">
        <v>37442</v>
      </c>
      <c r="B4083" s="740" t="s">
        <v>12454</v>
      </c>
      <c r="C4083" s="739" t="s">
        <v>1690</v>
      </c>
      <c r="D4083" s="741">
        <f t="shared" si="126"/>
        <v>182.98</v>
      </c>
      <c r="F4083" s="1406">
        <v>182.98</v>
      </c>
      <c r="G4083" s="1406">
        <v>182.98</v>
      </c>
      <c r="H4083" t="b">
        <f t="shared" si="127"/>
        <v>1</v>
      </c>
    </row>
    <row r="4084" spans="1:8">
      <c r="A4084" s="677">
        <v>38017</v>
      </c>
      <c r="B4084" s="733" t="s">
        <v>12455</v>
      </c>
      <c r="C4084" s="677" t="s">
        <v>1690</v>
      </c>
      <c r="D4084" s="738">
        <f t="shared" si="126"/>
        <v>9.9600000000000009</v>
      </c>
      <c r="F4084" s="1405">
        <v>9.9600000000000009</v>
      </c>
      <c r="G4084" s="1405">
        <v>9.9600000000000009</v>
      </c>
      <c r="H4084" t="b">
        <f t="shared" si="127"/>
        <v>1</v>
      </c>
    </row>
    <row r="4085" spans="1:8">
      <c r="A4085" s="739">
        <v>38018</v>
      </c>
      <c r="B4085" s="740" t="s">
        <v>12456</v>
      </c>
      <c r="C4085" s="739" t="s">
        <v>1690</v>
      </c>
      <c r="D4085" s="741">
        <f t="shared" si="126"/>
        <v>11.2</v>
      </c>
      <c r="F4085" s="1406">
        <v>11.2</v>
      </c>
      <c r="G4085" s="1406">
        <v>11.2</v>
      </c>
      <c r="H4085" t="b">
        <f t="shared" si="127"/>
        <v>1</v>
      </c>
    </row>
    <row r="4086" spans="1:8">
      <c r="A4086" s="677">
        <v>39895</v>
      </c>
      <c r="B4086" s="733" t="s">
        <v>12457</v>
      </c>
      <c r="C4086" s="677" t="s">
        <v>1690</v>
      </c>
      <c r="D4086" s="738">
        <f t="shared" si="126"/>
        <v>47.79</v>
      </c>
      <c r="F4086" s="1405">
        <v>47.79</v>
      </c>
      <c r="G4086" s="1405">
        <v>47.79</v>
      </c>
      <c r="H4086" t="b">
        <f t="shared" si="127"/>
        <v>1</v>
      </c>
    </row>
    <row r="4087" spans="1:8">
      <c r="A4087" s="739">
        <v>39896</v>
      </c>
      <c r="B4087" s="740" t="s">
        <v>12458</v>
      </c>
      <c r="C4087" s="739" t="s">
        <v>1690</v>
      </c>
      <c r="D4087" s="741">
        <f t="shared" si="126"/>
        <v>70.05</v>
      </c>
      <c r="F4087" s="1406">
        <v>70.05</v>
      </c>
      <c r="G4087" s="1406">
        <v>70.05</v>
      </c>
      <c r="H4087" t="b">
        <f t="shared" si="127"/>
        <v>1</v>
      </c>
    </row>
    <row r="4088" spans="1:8">
      <c r="A4088" s="677">
        <v>38873</v>
      </c>
      <c r="B4088" s="733" t="s">
        <v>12459</v>
      </c>
      <c r="C4088" s="677" t="s">
        <v>1690</v>
      </c>
      <c r="D4088" s="738">
        <f t="shared" si="126"/>
        <v>14.35</v>
      </c>
      <c r="F4088" s="1405">
        <v>14.35</v>
      </c>
      <c r="G4088" s="1405">
        <v>14.35</v>
      </c>
      <c r="H4088" t="b">
        <f t="shared" si="127"/>
        <v>1</v>
      </c>
    </row>
    <row r="4089" spans="1:8">
      <c r="A4089" s="739">
        <v>38874</v>
      </c>
      <c r="B4089" s="740" t="s">
        <v>12460</v>
      </c>
      <c r="C4089" s="739" t="s">
        <v>1690</v>
      </c>
      <c r="D4089" s="741">
        <f t="shared" si="126"/>
        <v>18.170000000000002</v>
      </c>
      <c r="F4089" s="1406">
        <v>18.170000000000002</v>
      </c>
      <c r="G4089" s="1406">
        <v>18.170000000000002</v>
      </c>
      <c r="H4089" t="b">
        <f t="shared" si="127"/>
        <v>1</v>
      </c>
    </row>
    <row r="4090" spans="1:8">
      <c r="A4090" s="677">
        <v>38875</v>
      </c>
      <c r="B4090" s="733" t="s">
        <v>12461</v>
      </c>
      <c r="C4090" s="677" t="s">
        <v>1690</v>
      </c>
      <c r="D4090" s="738">
        <f t="shared" si="126"/>
        <v>28.8</v>
      </c>
      <c r="F4090" s="1405">
        <v>28.8</v>
      </c>
      <c r="G4090" s="1405">
        <v>28.8</v>
      </c>
      <c r="H4090" t="b">
        <f t="shared" si="127"/>
        <v>1</v>
      </c>
    </row>
    <row r="4091" spans="1:8">
      <c r="A4091" s="739">
        <v>38876</v>
      </c>
      <c r="B4091" s="740" t="s">
        <v>12462</v>
      </c>
      <c r="C4091" s="739" t="s">
        <v>1690</v>
      </c>
      <c r="D4091" s="741">
        <f t="shared" si="126"/>
        <v>38.700000000000003</v>
      </c>
      <c r="F4091" s="1406">
        <v>38.700000000000003</v>
      </c>
      <c r="G4091" s="1406">
        <v>38.700000000000003</v>
      </c>
      <c r="H4091" t="b">
        <f t="shared" si="127"/>
        <v>1</v>
      </c>
    </row>
    <row r="4092" spans="1:8">
      <c r="A4092" s="677">
        <v>39000</v>
      </c>
      <c r="B4092" s="733" t="s">
        <v>12463</v>
      </c>
      <c r="C4092" s="677" t="s">
        <v>1690</v>
      </c>
      <c r="D4092" s="738">
        <f t="shared" si="126"/>
        <v>29.79</v>
      </c>
      <c r="F4092" s="1405">
        <v>29.79</v>
      </c>
      <c r="G4092" s="1405">
        <v>29.79</v>
      </c>
      <c r="H4092" t="b">
        <f t="shared" si="127"/>
        <v>1</v>
      </c>
    </row>
    <row r="4093" spans="1:8">
      <c r="A4093" s="739">
        <v>38674</v>
      </c>
      <c r="B4093" s="740" t="s">
        <v>12464</v>
      </c>
      <c r="C4093" s="739" t="s">
        <v>1690</v>
      </c>
      <c r="D4093" s="741">
        <f t="shared" si="126"/>
        <v>33.520000000000003</v>
      </c>
      <c r="F4093" s="1406">
        <v>33.520000000000003</v>
      </c>
      <c r="G4093" s="1406">
        <v>33.520000000000003</v>
      </c>
      <c r="H4093" t="b">
        <f t="shared" si="127"/>
        <v>1</v>
      </c>
    </row>
    <row r="4094" spans="1:8">
      <c r="A4094" s="677">
        <v>38019</v>
      </c>
      <c r="B4094" s="733" t="s">
        <v>12465</v>
      </c>
      <c r="C4094" s="677" t="s">
        <v>1690</v>
      </c>
      <c r="D4094" s="738">
        <f t="shared" si="126"/>
        <v>7.09</v>
      </c>
      <c r="F4094" s="1405">
        <v>7.09</v>
      </c>
      <c r="G4094" s="1405">
        <v>7.09</v>
      </c>
      <c r="H4094" t="b">
        <f t="shared" si="127"/>
        <v>1</v>
      </c>
    </row>
    <row r="4095" spans="1:8">
      <c r="A4095" s="739">
        <v>38020</v>
      </c>
      <c r="B4095" s="740" t="s">
        <v>12466</v>
      </c>
      <c r="C4095" s="739" t="s">
        <v>1690</v>
      </c>
      <c r="D4095" s="741">
        <f t="shared" si="126"/>
        <v>8.73</v>
      </c>
      <c r="F4095" s="1406">
        <v>8.73</v>
      </c>
      <c r="G4095" s="1406">
        <v>8.73</v>
      </c>
      <c r="H4095" t="b">
        <f t="shared" si="127"/>
        <v>1</v>
      </c>
    </row>
    <row r="4096" spans="1:8">
      <c r="A4096" s="677">
        <v>38454</v>
      </c>
      <c r="B4096" s="733" t="s">
        <v>12467</v>
      </c>
      <c r="C4096" s="677" t="s">
        <v>1690</v>
      </c>
      <c r="D4096" s="738">
        <f t="shared" si="126"/>
        <v>11.17</v>
      </c>
      <c r="F4096" s="1405">
        <v>11.17</v>
      </c>
      <c r="G4096" s="1405">
        <v>11.17</v>
      </c>
      <c r="H4096" t="b">
        <f t="shared" si="127"/>
        <v>1</v>
      </c>
    </row>
    <row r="4097" spans="1:8">
      <c r="A4097" s="739">
        <v>38455</v>
      </c>
      <c r="B4097" s="740" t="s">
        <v>12468</v>
      </c>
      <c r="C4097" s="739" t="s">
        <v>1690</v>
      </c>
      <c r="D4097" s="741">
        <f t="shared" si="126"/>
        <v>14.95</v>
      </c>
      <c r="F4097" s="1406">
        <v>14.95</v>
      </c>
      <c r="G4097" s="1406">
        <v>14.95</v>
      </c>
      <c r="H4097" t="b">
        <f t="shared" si="127"/>
        <v>1</v>
      </c>
    </row>
    <row r="4098" spans="1:8">
      <c r="A4098" s="677">
        <v>38462</v>
      </c>
      <c r="B4098" s="733" t="s">
        <v>12469</v>
      </c>
      <c r="C4098" s="677" t="s">
        <v>1690</v>
      </c>
      <c r="D4098" s="738">
        <f t="shared" si="126"/>
        <v>241.08</v>
      </c>
      <c r="F4098" s="1405">
        <v>241.08</v>
      </c>
      <c r="G4098" s="1405">
        <v>241.08</v>
      </c>
      <c r="H4098" t="b">
        <f t="shared" si="127"/>
        <v>1</v>
      </c>
    </row>
    <row r="4099" spans="1:8">
      <c r="A4099" s="739">
        <v>36362</v>
      </c>
      <c r="B4099" s="740" t="s">
        <v>12470</v>
      </c>
      <c r="C4099" s="739" t="s">
        <v>1690</v>
      </c>
      <c r="D4099" s="741">
        <f t="shared" ref="D4099:D4162" si="128">IF($J$2=$F$1,F4099,G4099)</f>
        <v>3.33</v>
      </c>
      <c r="F4099" s="1406">
        <v>3.33</v>
      </c>
      <c r="G4099" s="1406">
        <v>3.33</v>
      </c>
      <c r="H4099" t="b">
        <f t="shared" ref="H4099:H4162" si="129">F4099=G4099</f>
        <v>1</v>
      </c>
    </row>
    <row r="4100" spans="1:8">
      <c r="A4100" s="677">
        <v>36298</v>
      </c>
      <c r="B4100" s="733" t="s">
        <v>12471</v>
      </c>
      <c r="C4100" s="677" t="s">
        <v>1690</v>
      </c>
      <c r="D4100" s="738">
        <f t="shared" si="128"/>
        <v>2.86</v>
      </c>
      <c r="F4100" s="1405">
        <v>2.86</v>
      </c>
      <c r="G4100" s="1405">
        <v>2.86</v>
      </c>
      <c r="H4100" t="b">
        <f t="shared" si="129"/>
        <v>1</v>
      </c>
    </row>
    <row r="4101" spans="1:8">
      <c r="A4101" s="739">
        <v>38456</v>
      </c>
      <c r="B4101" s="740" t="s">
        <v>12472</v>
      </c>
      <c r="C4101" s="739" t="s">
        <v>1690</v>
      </c>
      <c r="D4101" s="741">
        <f t="shared" si="128"/>
        <v>7.13</v>
      </c>
      <c r="F4101" s="1406">
        <v>7.13</v>
      </c>
      <c r="G4101" s="1406">
        <v>7.13</v>
      </c>
      <c r="H4101" t="b">
        <f t="shared" si="129"/>
        <v>1</v>
      </c>
    </row>
    <row r="4102" spans="1:8">
      <c r="A4102" s="677">
        <v>38457</v>
      </c>
      <c r="B4102" s="733" t="s">
        <v>12473</v>
      </c>
      <c r="C4102" s="677" t="s">
        <v>1690</v>
      </c>
      <c r="D4102" s="738">
        <f t="shared" si="128"/>
        <v>12.99</v>
      </c>
      <c r="F4102" s="1405">
        <v>12.99</v>
      </c>
      <c r="G4102" s="1405">
        <v>12.99</v>
      </c>
      <c r="H4102" t="b">
        <f t="shared" si="129"/>
        <v>1</v>
      </c>
    </row>
    <row r="4103" spans="1:8">
      <c r="A4103" s="739">
        <v>38458</v>
      </c>
      <c r="B4103" s="740" t="s">
        <v>12474</v>
      </c>
      <c r="C4103" s="739" t="s">
        <v>1690</v>
      </c>
      <c r="D4103" s="741">
        <f t="shared" si="128"/>
        <v>25.02</v>
      </c>
      <c r="F4103" s="1406">
        <v>25.02</v>
      </c>
      <c r="G4103" s="1406">
        <v>25.02</v>
      </c>
      <c r="H4103" t="b">
        <f t="shared" si="129"/>
        <v>1</v>
      </c>
    </row>
    <row r="4104" spans="1:8">
      <c r="A4104" s="677">
        <v>38459</v>
      </c>
      <c r="B4104" s="733" t="s">
        <v>12475</v>
      </c>
      <c r="C4104" s="677" t="s">
        <v>1690</v>
      </c>
      <c r="D4104" s="738">
        <f t="shared" si="128"/>
        <v>39.340000000000003</v>
      </c>
      <c r="F4104" s="1405">
        <v>39.340000000000003</v>
      </c>
      <c r="G4104" s="1405">
        <v>39.340000000000003</v>
      </c>
      <c r="H4104" t="b">
        <f t="shared" si="129"/>
        <v>1</v>
      </c>
    </row>
    <row r="4105" spans="1:8">
      <c r="A4105" s="739">
        <v>38460</v>
      </c>
      <c r="B4105" s="740" t="s">
        <v>12476</v>
      </c>
      <c r="C4105" s="739" t="s">
        <v>1690</v>
      </c>
      <c r="D4105" s="741">
        <f t="shared" si="128"/>
        <v>84.39</v>
      </c>
      <c r="F4105" s="1406">
        <v>84.39</v>
      </c>
      <c r="G4105" s="1406">
        <v>84.39</v>
      </c>
      <c r="H4105" t="b">
        <f t="shared" si="129"/>
        <v>1</v>
      </c>
    </row>
    <row r="4106" spans="1:8">
      <c r="A4106" s="677">
        <v>38461</v>
      </c>
      <c r="B4106" s="733" t="s">
        <v>12477</v>
      </c>
      <c r="C4106" s="677" t="s">
        <v>1690</v>
      </c>
      <c r="D4106" s="738">
        <f t="shared" si="128"/>
        <v>113.25</v>
      </c>
      <c r="F4106" s="1405">
        <v>113.25</v>
      </c>
      <c r="G4106" s="1405">
        <v>113.25</v>
      </c>
      <c r="H4106" t="b">
        <f t="shared" si="129"/>
        <v>1</v>
      </c>
    </row>
    <row r="4107" spans="1:8">
      <c r="A4107" s="739">
        <v>7094</v>
      </c>
      <c r="B4107" s="740" t="s">
        <v>12478</v>
      </c>
      <c r="C4107" s="739" t="s">
        <v>1690</v>
      </c>
      <c r="D4107" s="741">
        <f t="shared" si="128"/>
        <v>11.92</v>
      </c>
      <c r="F4107" s="1406">
        <v>11.92</v>
      </c>
      <c r="G4107" s="1406">
        <v>11.92</v>
      </c>
      <c r="H4107" t="b">
        <f t="shared" si="129"/>
        <v>1</v>
      </c>
    </row>
    <row r="4108" spans="1:8">
      <c r="A4108" s="677">
        <v>7116</v>
      </c>
      <c r="B4108" s="733" t="s">
        <v>12479</v>
      </c>
      <c r="C4108" s="677" t="s">
        <v>1690</v>
      </c>
      <c r="D4108" s="738">
        <f t="shared" si="128"/>
        <v>3.56</v>
      </c>
      <c r="F4108" s="1405">
        <v>3.56</v>
      </c>
      <c r="G4108" s="1405">
        <v>3.56</v>
      </c>
      <c r="H4108" t="b">
        <f t="shared" si="129"/>
        <v>1</v>
      </c>
    </row>
    <row r="4109" spans="1:8">
      <c r="A4109" s="739">
        <v>7118</v>
      </c>
      <c r="B4109" s="740" t="s">
        <v>12480</v>
      </c>
      <c r="C4109" s="739" t="s">
        <v>1690</v>
      </c>
      <c r="D4109" s="741">
        <f t="shared" si="128"/>
        <v>24.51</v>
      </c>
      <c r="F4109" s="1406">
        <v>24.51</v>
      </c>
      <c r="G4109" s="1406">
        <v>24.51</v>
      </c>
      <c r="H4109" t="b">
        <f t="shared" si="129"/>
        <v>1</v>
      </c>
    </row>
    <row r="4110" spans="1:8">
      <c r="A4110" s="677">
        <v>7098</v>
      </c>
      <c r="B4110" s="733" t="s">
        <v>12481</v>
      </c>
      <c r="C4110" s="677" t="s">
        <v>1690</v>
      </c>
      <c r="D4110" s="738">
        <f t="shared" si="128"/>
        <v>3.64</v>
      </c>
      <c r="F4110" s="1405">
        <v>3.64</v>
      </c>
      <c r="G4110" s="1405">
        <v>3.64</v>
      </c>
      <c r="H4110" t="b">
        <f t="shared" si="129"/>
        <v>1</v>
      </c>
    </row>
    <row r="4111" spans="1:8">
      <c r="A4111" s="739">
        <v>7110</v>
      </c>
      <c r="B4111" s="740" t="s">
        <v>12482</v>
      </c>
      <c r="C4111" s="739" t="s">
        <v>1690</v>
      </c>
      <c r="D4111" s="741">
        <f t="shared" si="128"/>
        <v>46.59</v>
      </c>
      <c r="F4111" s="1406">
        <v>46.59</v>
      </c>
      <c r="G4111" s="1406">
        <v>46.59</v>
      </c>
      <c r="H4111" t="b">
        <f t="shared" si="129"/>
        <v>1</v>
      </c>
    </row>
    <row r="4112" spans="1:8">
      <c r="A4112" s="677">
        <v>7123</v>
      </c>
      <c r="B4112" s="733" t="s">
        <v>12483</v>
      </c>
      <c r="C4112" s="677" t="s">
        <v>1690</v>
      </c>
      <c r="D4112" s="738">
        <f t="shared" si="128"/>
        <v>4.4000000000000004</v>
      </c>
      <c r="F4112" s="1405">
        <v>4.4000000000000004</v>
      </c>
      <c r="G4112" s="1405">
        <v>4.4000000000000004</v>
      </c>
      <c r="H4112" t="b">
        <f t="shared" si="129"/>
        <v>1</v>
      </c>
    </row>
    <row r="4113" spans="1:8">
      <c r="A4113" s="739">
        <v>7121</v>
      </c>
      <c r="B4113" s="740" t="s">
        <v>12484</v>
      </c>
      <c r="C4113" s="739" t="s">
        <v>1690</v>
      </c>
      <c r="D4113" s="741">
        <f t="shared" si="128"/>
        <v>8.7100000000000009</v>
      </c>
      <c r="F4113" s="1406">
        <v>8.7100000000000009</v>
      </c>
      <c r="G4113" s="1406">
        <v>8.7100000000000009</v>
      </c>
      <c r="H4113" t="b">
        <f t="shared" si="129"/>
        <v>1</v>
      </c>
    </row>
    <row r="4114" spans="1:8">
      <c r="A4114" s="677">
        <v>7137</v>
      </c>
      <c r="B4114" s="733" t="s">
        <v>12485</v>
      </c>
      <c r="C4114" s="677" t="s">
        <v>1690</v>
      </c>
      <c r="D4114" s="738">
        <f t="shared" si="128"/>
        <v>9.52</v>
      </c>
      <c r="F4114" s="1405">
        <v>9.52</v>
      </c>
      <c r="G4114" s="1405">
        <v>9.52</v>
      </c>
      <c r="H4114" t="b">
        <f t="shared" si="129"/>
        <v>1</v>
      </c>
    </row>
    <row r="4115" spans="1:8">
      <c r="A4115" s="739">
        <v>7122</v>
      </c>
      <c r="B4115" s="740" t="s">
        <v>12486</v>
      </c>
      <c r="C4115" s="739" t="s">
        <v>1690</v>
      </c>
      <c r="D4115" s="741">
        <f t="shared" si="128"/>
        <v>10.47</v>
      </c>
      <c r="F4115" s="1406">
        <v>10.47</v>
      </c>
      <c r="G4115" s="1406">
        <v>10.47</v>
      </c>
      <c r="H4115" t="b">
        <f t="shared" si="129"/>
        <v>1</v>
      </c>
    </row>
    <row r="4116" spans="1:8">
      <c r="A4116" s="677">
        <v>7114</v>
      </c>
      <c r="B4116" s="733" t="s">
        <v>12487</v>
      </c>
      <c r="C4116" s="677" t="s">
        <v>1690</v>
      </c>
      <c r="D4116" s="738">
        <f t="shared" si="128"/>
        <v>12.18</v>
      </c>
      <c r="F4116" s="1405">
        <v>12.18</v>
      </c>
      <c r="G4116" s="1405">
        <v>12.18</v>
      </c>
      <c r="H4116" t="b">
        <f t="shared" si="129"/>
        <v>1</v>
      </c>
    </row>
    <row r="4117" spans="1:8">
      <c r="A4117" s="739">
        <v>7109</v>
      </c>
      <c r="B4117" s="740" t="s">
        <v>12488</v>
      </c>
      <c r="C4117" s="739" t="s">
        <v>1690</v>
      </c>
      <c r="D4117" s="741">
        <f t="shared" si="128"/>
        <v>2.41</v>
      </c>
      <c r="F4117" s="1406">
        <v>2.41</v>
      </c>
      <c r="G4117" s="1406">
        <v>2.41</v>
      </c>
      <c r="H4117" t="b">
        <f t="shared" si="129"/>
        <v>1</v>
      </c>
    </row>
    <row r="4118" spans="1:8">
      <c r="A4118" s="677">
        <v>7135</v>
      </c>
      <c r="B4118" s="733" t="s">
        <v>12489</v>
      </c>
      <c r="C4118" s="677" t="s">
        <v>1690</v>
      </c>
      <c r="D4118" s="738">
        <f t="shared" si="128"/>
        <v>4.9400000000000004</v>
      </c>
      <c r="F4118" s="1405">
        <v>4.9400000000000004</v>
      </c>
      <c r="G4118" s="1405">
        <v>4.9400000000000004</v>
      </c>
      <c r="H4118" t="b">
        <f t="shared" si="129"/>
        <v>1</v>
      </c>
    </row>
    <row r="4119" spans="1:8">
      <c r="A4119" s="739">
        <v>37947</v>
      </c>
      <c r="B4119" s="740" t="s">
        <v>12490</v>
      </c>
      <c r="C4119" s="739" t="s">
        <v>1690</v>
      </c>
      <c r="D4119" s="741">
        <f t="shared" si="128"/>
        <v>4.0199999999999996</v>
      </c>
      <c r="F4119" s="1406">
        <v>4.0199999999999996</v>
      </c>
      <c r="G4119" s="1406">
        <v>4.0199999999999996</v>
      </c>
      <c r="H4119" t="b">
        <f t="shared" si="129"/>
        <v>1</v>
      </c>
    </row>
    <row r="4120" spans="1:8">
      <c r="A4120" s="677">
        <v>7103</v>
      </c>
      <c r="B4120" s="733" t="s">
        <v>12491</v>
      </c>
      <c r="C4120" s="677" t="s">
        <v>1690</v>
      </c>
      <c r="D4120" s="738">
        <f t="shared" si="128"/>
        <v>13.1</v>
      </c>
      <c r="F4120" s="1405">
        <v>13.1</v>
      </c>
      <c r="G4120" s="1405">
        <v>13.1</v>
      </c>
      <c r="H4120" t="b">
        <f t="shared" si="129"/>
        <v>1</v>
      </c>
    </row>
    <row r="4121" spans="1:8">
      <c r="A4121" s="739">
        <v>40419</v>
      </c>
      <c r="B4121" s="740" t="s">
        <v>12492</v>
      </c>
      <c r="C4121" s="739" t="s">
        <v>1690</v>
      </c>
      <c r="D4121" s="741">
        <f t="shared" si="128"/>
        <v>36.93</v>
      </c>
      <c r="F4121" s="1406">
        <v>36.93</v>
      </c>
      <c r="G4121" s="1406">
        <v>36.93</v>
      </c>
      <c r="H4121" t="b">
        <f t="shared" si="129"/>
        <v>1</v>
      </c>
    </row>
    <row r="4122" spans="1:8">
      <c r="A4122" s="677">
        <v>40420</v>
      </c>
      <c r="B4122" s="733" t="s">
        <v>12493</v>
      </c>
      <c r="C4122" s="677" t="s">
        <v>1690</v>
      </c>
      <c r="D4122" s="738">
        <f t="shared" si="128"/>
        <v>53.88</v>
      </c>
      <c r="F4122" s="1405">
        <v>53.88</v>
      </c>
      <c r="G4122" s="1405">
        <v>53.88</v>
      </c>
      <c r="H4122" t="b">
        <f t="shared" si="129"/>
        <v>1</v>
      </c>
    </row>
    <row r="4123" spans="1:8">
      <c r="A4123" s="739">
        <v>40421</v>
      </c>
      <c r="B4123" s="740" t="s">
        <v>12494</v>
      </c>
      <c r="C4123" s="739" t="s">
        <v>1690</v>
      </c>
      <c r="D4123" s="741">
        <f t="shared" si="128"/>
        <v>57.36</v>
      </c>
      <c r="F4123" s="1406">
        <v>57.36</v>
      </c>
      <c r="G4123" s="1406">
        <v>57.36</v>
      </c>
      <c r="H4123" t="b">
        <f t="shared" si="129"/>
        <v>1</v>
      </c>
    </row>
    <row r="4124" spans="1:8" ht="30">
      <c r="A4124" s="677">
        <v>38905</v>
      </c>
      <c r="B4124" s="733" t="s">
        <v>12495</v>
      </c>
      <c r="C4124" s="677" t="s">
        <v>1690</v>
      </c>
      <c r="D4124" s="738">
        <f t="shared" si="128"/>
        <v>18.57</v>
      </c>
      <c r="F4124" s="1405">
        <v>18.57</v>
      </c>
      <c r="G4124" s="1405">
        <v>18.57</v>
      </c>
      <c r="H4124" t="b">
        <f t="shared" si="129"/>
        <v>1</v>
      </c>
    </row>
    <row r="4125" spans="1:8" ht="30">
      <c r="A4125" s="739">
        <v>38907</v>
      </c>
      <c r="B4125" s="740" t="s">
        <v>12496</v>
      </c>
      <c r="C4125" s="739" t="s">
        <v>1690</v>
      </c>
      <c r="D4125" s="741">
        <f t="shared" si="128"/>
        <v>17.899999999999999</v>
      </c>
      <c r="F4125" s="1406">
        <v>17.899999999999999</v>
      </c>
      <c r="G4125" s="1406">
        <v>17.899999999999999</v>
      </c>
      <c r="H4125" t="b">
        <f t="shared" si="129"/>
        <v>1</v>
      </c>
    </row>
    <row r="4126" spans="1:8" ht="30">
      <c r="A4126" s="677">
        <v>38910</v>
      </c>
      <c r="B4126" s="733" t="s">
        <v>12497</v>
      </c>
      <c r="C4126" s="677" t="s">
        <v>1690</v>
      </c>
      <c r="D4126" s="738">
        <f t="shared" si="128"/>
        <v>20.94</v>
      </c>
      <c r="F4126" s="1405">
        <v>20.94</v>
      </c>
      <c r="G4126" s="1405">
        <v>20.94</v>
      </c>
      <c r="H4126" t="b">
        <f t="shared" si="129"/>
        <v>1</v>
      </c>
    </row>
    <row r="4127" spans="1:8">
      <c r="A4127" s="739">
        <v>11655</v>
      </c>
      <c r="B4127" s="740" t="s">
        <v>12498</v>
      </c>
      <c r="C4127" s="739" t="s">
        <v>1690</v>
      </c>
      <c r="D4127" s="741">
        <f t="shared" si="128"/>
        <v>16.440000000000001</v>
      </c>
      <c r="F4127" s="1406">
        <v>16.440000000000001</v>
      </c>
      <c r="G4127" s="1406">
        <v>16.440000000000001</v>
      </c>
      <c r="H4127" t="b">
        <f t="shared" si="129"/>
        <v>1</v>
      </c>
    </row>
    <row r="4128" spans="1:8">
      <c r="A4128" s="677">
        <v>11656</v>
      </c>
      <c r="B4128" s="733" t="s">
        <v>12499</v>
      </c>
      <c r="C4128" s="677" t="s">
        <v>1690</v>
      </c>
      <c r="D4128" s="738">
        <f t="shared" si="128"/>
        <v>18.88</v>
      </c>
      <c r="F4128" s="1405">
        <v>18.88</v>
      </c>
      <c r="G4128" s="1405">
        <v>18.88</v>
      </c>
      <c r="H4128" t="b">
        <f t="shared" si="129"/>
        <v>1</v>
      </c>
    </row>
    <row r="4129" spans="1:8">
      <c r="A4129" s="739">
        <v>7091</v>
      </c>
      <c r="B4129" s="740" t="s">
        <v>12500</v>
      </c>
      <c r="C4129" s="739" t="s">
        <v>1690</v>
      </c>
      <c r="D4129" s="741">
        <f t="shared" si="128"/>
        <v>15.46</v>
      </c>
      <c r="F4129" s="1406">
        <v>15.46</v>
      </c>
      <c r="G4129" s="1406">
        <v>15.46</v>
      </c>
      <c r="H4129" t="b">
        <f t="shared" si="129"/>
        <v>1</v>
      </c>
    </row>
    <row r="4130" spans="1:8">
      <c r="A4130" s="677">
        <v>37948</v>
      </c>
      <c r="B4130" s="733" t="s">
        <v>12501</v>
      </c>
      <c r="C4130" s="677" t="s">
        <v>1690</v>
      </c>
      <c r="D4130" s="738">
        <f t="shared" si="128"/>
        <v>3.58</v>
      </c>
      <c r="F4130" s="1405">
        <v>3.58</v>
      </c>
      <c r="G4130" s="1405">
        <v>3.58</v>
      </c>
      <c r="H4130" t="b">
        <f t="shared" si="129"/>
        <v>1</v>
      </c>
    </row>
    <row r="4131" spans="1:8">
      <c r="A4131" s="739">
        <v>7097</v>
      </c>
      <c r="B4131" s="740" t="s">
        <v>12502</v>
      </c>
      <c r="C4131" s="739" t="s">
        <v>1690</v>
      </c>
      <c r="D4131" s="741">
        <f t="shared" si="128"/>
        <v>7.26</v>
      </c>
      <c r="F4131" s="1406">
        <v>7.26</v>
      </c>
      <c r="G4131" s="1406">
        <v>7.26</v>
      </c>
      <c r="H4131" t="b">
        <f t="shared" si="129"/>
        <v>1</v>
      </c>
    </row>
    <row r="4132" spans="1:8">
      <c r="A4132" s="677">
        <v>11658</v>
      </c>
      <c r="B4132" s="733" t="s">
        <v>12503</v>
      </c>
      <c r="C4132" s="677" t="s">
        <v>1690</v>
      </c>
      <c r="D4132" s="738">
        <f t="shared" si="128"/>
        <v>16.05</v>
      </c>
      <c r="F4132" s="1405">
        <v>16.05</v>
      </c>
      <c r="G4132" s="1405">
        <v>16.05</v>
      </c>
      <c r="H4132" t="b">
        <f t="shared" si="129"/>
        <v>1</v>
      </c>
    </row>
    <row r="4133" spans="1:8">
      <c r="A4133" s="739">
        <v>7146</v>
      </c>
      <c r="B4133" s="740" t="s">
        <v>12504</v>
      </c>
      <c r="C4133" s="739" t="s">
        <v>1690</v>
      </c>
      <c r="D4133" s="741">
        <f t="shared" si="128"/>
        <v>159.47</v>
      </c>
      <c r="F4133" s="1406">
        <v>159.47</v>
      </c>
      <c r="G4133" s="1406">
        <v>159.47</v>
      </c>
      <c r="H4133" t="b">
        <f t="shared" si="129"/>
        <v>1</v>
      </c>
    </row>
    <row r="4134" spans="1:8">
      <c r="A4134" s="677">
        <v>7138</v>
      </c>
      <c r="B4134" s="733" t="s">
        <v>12505</v>
      </c>
      <c r="C4134" s="677" t="s">
        <v>1690</v>
      </c>
      <c r="D4134" s="738">
        <f t="shared" si="128"/>
        <v>1.01</v>
      </c>
      <c r="F4134" s="1405">
        <v>1.01</v>
      </c>
      <c r="G4134" s="1405">
        <v>1.01</v>
      </c>
      <c r="H4134" t="b">
        <f t="shared" si="129"/>
        <v>1</v>
      </c>
    </row>
    <row r="4135" spans="1:8">
      <c r="A4135" s="739">
        <v>7139</v>
      </c>
      <c r="B4135" s="740" t="s">
        <v>12506</v>
      </c>
      <c r="C4135" s="739" t="s">
        <v>1690</v>
      </c>
      <c r="D4135" s="741">
        <f t="shared" si="128"/>
        <v>1.1399999999999999</v>
      </c>
      <c r="F4135" s="1406">
        <v>1.1399999999999999</v>
      </c>
      <c r="G4135" s="1406">
        <v>1.1399999999999999</v>
      </c>
      <c r="H4135" t="b">
        <f t="shared" si="129"/>
        <v>1</v>
      </c>
    </row>
    <row r="4136" spans="1:8">
      <c r="A4136" s="677">
        <v>7140</v>
      </c>
      <c r="B4136" s="733" t="s">
        <v>12507</v>
      </c>
      <c r="C4136" s="677" t="s">
        <v>1690</v>
      </c>
      <c r="D4136" s="738">
        <f t="shared" si="128"/>
        <v>3.59</v>
      </c>
      <c r="F4136" s="1405">
        <v>3.59</v>
      </c>
      <c r="G4136" s="1405">
        <v>3.59</v>
      </c>
      <c r="H4136" t="b">
        <f t="shared" si="129"/>
        <v>1</v>
      </c>
    </row>
    <row r="4137" spans="1:8">
      <c r="A4137" s="739">
        <v>7141</v>
      </c>
      <c r="B4137" s="740" t="s">
        <v>12508</v>
      </c>
      <c r="C4137" s="739" t="s">
        <v>1690</v>
      </c>
      <c r="D4137" s="741">
        <f t="shared" si="128"/>
        <v>8.77</v>
      </c>
      <c r="F4137" s="1406">
        <v>8.77</v>
      </c>
      <c r="G4137" s="1406">
        <v>8.77</v>
      </c>
      <c r="H4137" t="b">
        <f t="shared" si="129"/>
        <v>1</v>
      </c>
    </row>
    <row r="4138" spans="1:8">
      <c r="A4138" s="677">
        <v>7143</v>
      </c>
      <c r="B4138" s="733" t="s">
        <v>12509</v>
      </c>
      <c r="C4138" s="677" t="s">
        <v>1690</v>
      </c>
      <c r="D4138" s="738">
        <f t="shared" si="128"/>
        <v>29.44</v>
      </c>
      <c r="F4138" s="1405">
        <v>29.44</v>
      </c>
      <c r="G4138" s="1405">
        <v>29.44</v>
      </c>
      <c r="H4138" t="b">
        <f t="shared" si="129"/>
        <v>1</v>
      </c>
    </row>
    <row r="4139" spans="1:8">
      <c r="A4139" s="739">
        <v>7144</v>
      </c>
      <c r="B4139" s="740" t="s">
        <v>12510</v>
      </c>
      <c r="C4139" s="739" t="s">
        <v>1690</v>
      </c>
      <c r="D4139" s="741">
        <f t="shared" si="128"/>
        <v>54.62</v>
      </c>
      <c r="F4139" s="1406">
        <v>54.62</v>
      </c>
      <c r="G4139" s="1406">
        <v>54.62</v>
      </c>
      <c r="H4139" t="b">
        <f t="shared" si="129"/>
        <v>1</v>
      </c>
    </row>
    <row r="4140" spans="1:8">
      <c r="A4140" s="677">
        <v>7145</v>
      </c>
      <c r="B4140" s="733" t="s">
        <v>12511</v>
      </c>
      <c r="C4140" s="677" t="s">
        <v>1690</v>
      </c>
      <c r="D4140" s="738">
        <f t="shared" si="128"/>
        <v>74.27</v>
      </c>
      <c r="F4140" s="1405">
        <v>74.27</v>
      </c>
      <c r="G4140" s="1405">
        <v>74.27</v>
      </c>
      <c r="H4140" t="b">
        <f t="shared" si="129"/>
        <v>1</v>
      </c>
    </row>
    <row r="4141" spans="1:8">
      <c r="A4141" s="739">
        <v>7142</v>
      </c>
      <c r="B4141" s="740" t="s">
        <v>12512</v>
      </c>
      <c r="C4141" s="739" t="s">
        <v>1690</v>
      </c>
      <c r="D4141" s="741">
        <f t="shared" si="128"/>
        <v>9.17</v>
      </c>
      <c r="F4141" s="1406">
        <v>9.17</v>
      </c>
      <c r="G4141" s="1406">
        <v>9.17</v>
      </c>
      <c r="H4141" t="b">
        <f t="shared" si="129"/>
        <v>1</v>
      </c>
    </row>
    <row r="4142" spans="1:8">
      <c r="A4142" s="677">
        <v>3593</v>
      </c>
      <c r="B4142" s="733" t="s">
        <v>12513</v>
      </c>
      <c r="C4142" s="677" t="s">
        <v>1690</v>
      </c>
      <c r="D4142" s="738">
        <f t="shared" si="128"/>
        <v>73.760000000000005</v>
      </c>
      <c r="F4142" s="1405">
        <v>73.760000000000005</v>
      </c>
      <c r="G4142" s="1405">
        <v>73.760000000000005</v>
      </c>
      <c r="H4142" t="b">
        <f t="shared" si="129"/>
        <v>1</v>
      </c>
    </row>
    <row r="4143" spans="1:8">
      <c r="A4143" s="739">
        <v>3588</v>
      </c>
      <c r="B4143" s="740" t="s">
        <v>12514</v>
      </c>
      <c r="C4143" s="739" t="s">
        <v>1690</v>
      </c>
      <c r="D4143" s="741">
        <f t="shared" si="128"/>
        <v>56.86</v>
      </c>
      <c r="F4143" s="1406">
        <v>56.86</v>
      </c>
      <c r="G4143" s="1406">
        <v>56.86</v>
      </c>
      <c r="H4143" t="b">
        <f t="shared" si="129"/>
        <v>1</v>
      </c>
    </row>
    <row r="4144" spans="1:8">
      <c r="A4144" s="677">
        <v>3585</v>
      </c>
      <c r="B4144" s="733" t="s">
        <v>12515</v>
      </c>
      <c r="C4144" s="677" t="s">
        <v>1690</v>
      </c>
      <c r="D4144" s="738">
        <f t="shared" si="128"/>
        <v>17.559999999999999</v>
      </c>
      <c r="F4144" s="1405">
        <v>17.559999999999999</v>
      </c>
      <c r="G4144" s="1405">
        <v>17.559999999999999</v>
      </c>
      <c r="H4144" t="b">
        <f t="shared" si="129"/>
        <v>1</v>
      </c>
    </row>
    <row r="4145" spans="1:8">
      <c r="A4145" s="739">
        <v>3587</v>
      </c>
      <c r="B4145" s="740" t="s">
        <v>12516</v>
      </c>
      <c r="C4145" s="739" t="s">
        <v>1690</v>
      </c>
      <c r="D4145" s="741">
        <f t="shared" si="128"/>
        <v>35.28</v>
      </c>
      <c r="F4145" s="1406">
        <v>35.28</v>
      </c>
      <c r="G4145" s="1406">
        <v>35.28</v>
      </c>
      <c r="H4145" t="b">
        <f t="shared" si="129"/>
        <v>1</v>
      </c>
    </row>
    <row r="4146" spans="1:8">
      <c r="A4146" s="677">
        <v>3590</v>
      </c>
      <c r="B4146" s="733" t="s">
        <v>12517</v>
      </c>
      <c r="C4146" s="677" t="s">
        <v>1690</v>
      </c>
      <c r="D4146" s="738">
        <f t="shared" si="128"/>
        <v>209.44</v>
      </c>
      <c r="F4146" s="1405">
        <v>209.44</v>
      </c>
      <c r="G4146" s="1405">
        <v>209.44</v>
      </c>
      <c r="H4146" t="b">
        <f t="shared" si="129"/>
        <v>1</v>
      </c>
    </row>
    <row r="4147" spans="1:8">
      <c r="A4147" s="739">
        <v>3589</v>
      </c>
      <c r="B4147" s="740" t="s">
        <v>12518</v>
      </c>
      <c r="C4147" s="739" t="s">
        <v>1690</v>
      </c>
      <c r="D4147" s="741">
        <f t="shared" si="128"/>
        <v>112.41</v>
      </c>
      <c r="F4147" s="1406">
        <v>112.41</v>
      </c>
      <c r="G4147" s="1406">
        <v>112.41</v>
      </c>
      <c r="H4147" t="b">
        <f t="shared" si="129"/>
        <v>1</v>
      </c>
    </row>
    <row r="4148" spans="1:8">
      <c r="A4148" s="677">
        <v>3586</v>
      </c>
      <c r="B4148" s="733" t="s">
        <v>12519</v>
      </c>
      <c r="C4148" s="677" t="s">
        <v>1690</v>
      </c>
      <c r="D4148" s="738">
        <f t="shared" si="128"/>
        <v>23</v>
      </c>
      <c r="F4148" s="1405">
        <v>23</v>
      </c>
      <c r="G4148" s="1405">
        <v>23</v>
      </c>
      <c r="H4148" t="b">
        <f t="shared" si="129"/>
        <v>1</v>
      </c>
    </row>
    <row r="4149" spans="1:8">
      <c r="A4149" s="739">
        <v>3592</v>
      </c>
      <c r="B4149" s="740" t="s">
        <v>12520</v>
      </c>
      <c r="C4149" s="739" t="s">
        <v>1690</v>
      </c>
      <c r="D4149" s="741">
        <f t="shared" si="128"/>
        <v>331.06</v>
      </c>
      <c r="F4149" s="1406">
        <v>331.06</v>
      </c>
      <c r="G4149" s="1406">
        <v>331.06</v>
      </c>
      <c r="H4149" t="b">
        <f t="shared" si="129"/>
        <v>1</v>
      </c>
    </row>
    <row r="4150" spans="1:8">
      <c r="A4150" s="677">
        <v>3591</v>
      </c>
      <c r="B4150" s="733" t="s">
        <v>12521</v>
      </c>
      <c r="C4150" s="677" t="s">
        <v>1690</v>
      </c>
      <c r="D4150" s="738">
        <f t="shared" si="128"/>
        <v>530.70000000000005</v>
      </c>
      <c r="F4150" s="1405">
        <v>530.70000000000005</v>
      </c>
      <c r="G4150" s="1405">
        <v>530.70000000000005</v>
      </c>
      <c r="H4150" t="b">
        <f t="shared" si="129"/>
        <v>1</v>
      </c>
    </row>
    <row r="4151" spans="1:8">
      <c r="A4151" s="739">
        <v>40396</v>
      </c>
      <c r="B4151" s="740" t="s">
        <v>12522</v>
      </c>
      <c r="C4151" s="739" t="s">
        <v>1690</v>
      </c>
      <c r="D4151" s="741">
        <f t="shared" si="128"/>
        <v>147.91</v>
      </c>
      <c r="F4151" s="1406">
        <v>147.91</v>
      </c>
      <c r="G4151" s="1406">
        <v>147.91</v>
      </c>
      <c r="H4151" t="b">
        <f t="shared" si="129"/>
        <v>1</v>
      </c>
    </row>
    <row r="4152" spans="1:8">
      <c r="A4152" s="677">
        <v>40395</v>
      </c>
      <c r="B4152" s="733" t="s">
        <v>12523</v>
      </c>
      <c r="C4152" s="677" t="s">
        <v>1690</v>
      </c>
      <c r="D4152" s="738">
        <f t="shared" si="128"/>
        <v>113.51</v>
      </c>
      <c r="F4152" s="1405">
        <v>113.51</v>
      </c>
      <c r="G4152" s="1405">
        <v>113.51</v>
      </c>
      <c r="H4152" t="b">
        <f t="shared" si="129"/>
        <v>1</v>
      </c>
    </row>
    <row r="4153" spans="1:8">
      <c r="A4153" s="739">
        <v>40392</v>
      </c>
      <c r="B4153" s="740" t="s">
        <v>12524</v>
      </c>
      <c r="C4153" s="739" t="s">
        <v>1690</v>
      </c>
      <c r="D4153" s="741">
        <f t="shared" si="128"/>
        <v>36.520000000000003</v>
      </c>
      <c r="F4153" s="1406">
        <v>36.520000000000003</v>
      </c>
      <c r="G4153" s="1406">
        <v>36.520000000000003</v>
      </c>
      <c r="H4153" t="b">
        <f t="shared" si="129"/>
        <v>1</v>
      </c>
    </row>
    <row r="4154" spans="1:8">
      <c r="A4154" s="677">
        <v>40394</v>
      </c>
      <c r="B4154" s="733" t="s">
        <v>12525</v>
      </c>
      <c r="C4154" s="677" t="s">
        <v>1690</v>
      </c>
      <c r="D4154" s="738">
        <f t="shared" si="128"/>
        <v>73.900000000000006</v>
      </c>
      <c r="F4154" s="1405">
        <v>73.900000000000006</v>
      </c>
      <c r="G4154" s="1405">
        <v>73.900000000000006</v>
      </c>
      <c r="H4154" t="b">
        <f t="shared" si="129"/>
        <v>1</v>
      </c>
    </row>
    <row r="4155" spans="1:8">
      <c r="A4155" s="739">
        <v>40398</v>
      </c>
      <c r="B4155" s="740" t="s">
        <v>12526</v>
      </c>
      <c r="C4155" s="739" t="s">
        <v>1690</v>
      </c>
      <c r="D4155" s="741">
        <f t="shared" si="128"/>
        <v>474.53</v>
      </c>
      <c r="F4155" s="1406">
        <v>474.53</v>
      </c>
      <c r="G4155" s="1406">
        <v>474.53</v>
      </c>
      <c r="H4155" t="b">
        <f t="shared" si="129"/>
        <v>1</v>
      </c>
    </row>
    <row r="4156" spans="1:8">
      <c r="A4156" s="677">
        <v>40397</v>
      </c>
      <c r="B4156" s="733" t="s">
        <v>12527</v>
      </c>
      <c r="C4156" s="677" t="s">
        <v>1690</v>
      </c>
      <c r="D4156" s="738">
        <f t="shared" si="128"/>
        <v>243.01</v>
      </c>
      <c r="F4156" s="1405">
        <v>243.01</v>
      </c>
      <c r="G4156" s="1405">
        <v>243.01</v>
      </c>
      <c r="H4156" t="b">
        <f t="shared" si="129"/>
        <v>1</v>
      </c>
    </row>
    <row r="4157" spans="1:8">
      <c r="A4157" s="739">
        <v>40393</v>
      </c>
      <c r="B4157" s="740" t="s">
        <v>12528</v>
      </c>
      <c r="C4157" s="739" t="s">
        <v>1690</v>
      </c>
      <c r="D4157" s="741">
        <f t="shared" si="128"/>
        <v>47.04</v>
      </c>
      <c r="F4157" s="1406">
        <v>47.04</v>
      </c>
      <c r="G4157" s="1406">
        <v>47.04</v>
      </c>
      <c r="H4157" t="b">
        <f t="shared" si="129"/>
        <v>1</v>
      </c>
    </row>
    <row r="4158" spans="1:8">
      <c r="A4158" s="677">
        <v>40399</v>
      </c>
      <c r="B4158" s="733" t="s">
        <v>12529</v>
      </c>
      <c r="C4158" s="677" t="s">
        <v>1690</v>
      </c>
      <c r="D4158" s="738">
        <f t="shared" si="128"/>
        <v>776.31</v>
      </c>
      <c r="F4158" s="1405">
        <v>776.31</v>
      </c>
      <c r="G4158" s="1405">
        <v>776.31</v>
      </c>
      <c r="H4158" t="b">
        <f t="shared" si="129"/>
        <v>1</v>
      </c>
    </row>
    <row r="4159" spans="1:8">
      <c r="A4159" s="739">
        <v>39322</v>
      </c>
      <c r="B4159" s="740" t="s">
        <v>12530</v>
      </c>
      <c r="C4159" s="739" t="s">
        <v>1690</v>
      </c>
      <c r="D4159" s="741">
        <f t="shared" si="128"/>
        <v>8.83</v>
      </c>
      <c r="F4159" s="1406">
        <v>8.83</v>
      </c>
      <c r="G4159" s="1406">
        <v>8.83</v>
      </c>
      <c r="H4159" t="b">
        <f t="shared" si="129"/>
        <v>1</v>
      </c>
    </row>
    <row r="4160" spans="1:8">
      <c r="A4160" s="677">
        <v>39289</v>
      </c>
      <c r="B4160" s="733" t="s">
        <v>12531</v>
      </c>
      <c r="C4160" s="677" t="s">
        <v>1690</v>
      </c>
      <c r="D4160" s="738">
        <f t="shared" si="128"/>
        <v>16.46</v>
      </c>
      <c r="F4160" s="1405">
        <v>16.46</v>
      </c>
      <c r="G4160" s="1405">
        <v>16.46</v>
      </c>
      <c r="H4160" t="b">
        <f t="shared" si="129"/>
        <v>1</v>
      </c>
    </row>
    <row r="4161" spans="1:8">
      <c r="A4161" s="739">
        <v>39290</v>
      </c>
      <c r="B4161" s="740" t="s">
        <v>12532</v>
      </c>
      <c r="C4161" s="739" t="s">
        <v>1690</v>
      </c>
      <c r="D4161" s="741">
        <f t="shared" si="128"/>
        <v>27.8</v>
      </c>
      <c r="F4161" s="1406">
        <v>27.8</v>
      </c>
      <c r="G4161" s="1406">
        <v>27.8</v>
      </c>
      <c r="H4161" t="b">
        <f t="shared" si="129"/>
        <v>1</v>
      </c>
    </row>
    <row r="4162" spans="1:8">
      <c r="A4162" s="677">
        <v>39291</v>
      </c>
      <c r="B4162" s="733" t="s">
        <v>12533</v>
      </c>
      <c r="C4162" s="677" t="s">
        <v>1690</v>
      </c>
      <c r="D4162" s="738">
        <f t="shared" si="128"/>
        <v>30.74</v>
      </c>
      <c r="F4162" s="1405">
        <v>30.74</v>
      </c>
      <c r="G4162" s="1405">
        <v>30.74</v>
      </c>
      <c r="H4162" t="b">
        <f t="shared" si="129"/>
        <v>1</v>
      </c>
    </row>
    <row r="4163" spans="1:8">
      <c r="A4163" s="739">
        <v>41892</v>
      </c>
      <c r="B4163" s="740" t="s">
        <v>12534</v>
      </c>
      <c r="C4163" s="739" t="s">
        <v>1690</v>
      </c>
      <c r="D4163" s="741">
        <f t="shared" ref="D4163:D4226" si="130">IF($J$2=$F$1,F4163,G4163)</f>
        <v>94.79</v>
      </c>
      <c r="F4163" s="1406">
        <v>94.79</v>
      </c>
      <c r="G4163" s="1406">
        <v>94.79</v>
      </c>
      <c r="H4163" t="b">
        <f t="shared" ref="H4163:H4226" si="131">F4163=G4163</f>
        <v>1</v>
      </c>
    </row>
    <row r="4164" spans="1:8">
      <c r="A4164" s="677">
        <v>7048</v>
      </c>
      <c r="B4164" s="733" t="s">
        <v>12535</v>
      </c>
      <c r="C4164" s="677" t="s">
        <v>1690</v>
      </c>
      <c r="D4164" s="738">
        <f t="shared" si="130"/>
        <v>20.46</v>
      </c>
      <c r="F4164" s="1405">
        <v>20.46</v>
      </c>
      <c r="G4164" s="1405">
        <v>20.46</v>
      </c>
      <c r="H4164" t="b">
        <f t="shared" si="131"/>
        <v>1</v>
      </c>
    </row>
    <row r="4165" spans="1:8">
      <c r="A4165" s="739">
        <v>7088</v>
      </c>
      <c r="B4165" s="740" t="s">
        <v>12536</v>
      </c>
      <c r="C4165" s="739" t="s">
        <v>1690</v>
      </c>
      <c r="D4165" s="741">
        <f t="shared" si="130"/>
        <v>44.74</v>
      </c>
      <c r="F4165" s="1406">
        <v>44.74</v>
      </c>
      <c r="G4165" s="1406">
        <v>44.74</v>
      </c>
      <c r="H4165" t="b">
        <f t="shared" si="131"/>
        <v>1</v>
      </c>
    </row>
    <row r="4166" spans="1:8">
      <c r="A4166" s="677">
        <v>20179</v>
      </c>
      <c r="B4166" s="733" t="s">
        <v>12537</v>
      </c>
      <c r="C4166" s="677" t="s">
        <v>1690</v>
      </c>
      <c r="D4166" s="738">
        <f t="shared" si="130"/>
        <v>42.32</v>
      </c>
      <c r="F4166" s="1405">
        <v>42.32</v>
      </c>
      <c r="G4166" s="1405">
        <v>42.32</v>
      </c>
      <c r="H4166" t="b">
        <f t="shared" si="131"/>
        <v>1</v>
      </c>
    </row>
    <row r="4167" spans="1:8">
      <c r="A4167" s="739">
        <v>20178</v>
      </c>
      <c r="B4167" s="740" t="s">
        <v>12538</v>
      </c>
      <c r="C4167" s="739" t="s">
        <v>1690</v>
      </c>
      <c r="D4167" s="741">
        <f t="shared" si="130"/>
        <v>50.73</v>
      </c>
      <c r="F4167" s="1406">
        <v>50.73</v>
      </c>
      <c r="G4167" s="1406">
        <v>50.73</v>
      </c>
      <c r="H4167" t="b">
        <f t="shared" si="131"/>
        <v>1</v>
      </c>
    </row>
    <row r="4168" spans="1:8">
      <c r="A4168" s="677">
        <v>20180</v>
      </c>
      <c r="B4168" s="733" t="s">
        <v>12539</v>
      </c>
      <c r="C4168" s="677" t="s">
        <v>1690</v>
      </c>
      <c r="D4168" s="738">
        <f t="shared" si="130"/>
        <v>83.72</v>
      </c>
      <c r="F4168" s="1405">
        <v>83.72</v>
      </c>
      <c r="G4168" s="1405">
        <v>83.72</v>
      </c>
      <c r="H4168" t="b">
        <f t="shared" si="131"/>
        <v>1</v>
      </c>
    </row>
    <row r="4169" spans="1:8">
      <c r="A4169" s="739">
        <v>20181</v>
      </c>
      <c r="B4169" s="740" t="s">
        <v>12540</v>
      </c>
      <c r="C4169" s="739" t="s">
        <v>1690</v>
      </c>
      <c r="D4169" s="741">
        <f t="shared" si="130"/>
        <v>112.1</v>
      </c>
      <c r="F4169" s="1406">
        <v>112.1</v>
      </c>
      <c r="G4169" s="1406">
        <v>112.1</v>
      </c>
      <c r="H4169" t="b">
        <f t="shared" si="131"/>
        <v>1</v>
      </c>
    </row>
    <row r="4170" spans="1:8">
      <c r="A4170" s="677">
        <v>20177</v>
      </c>
      <c r="B4170" s="733" t="s">
        <v>12541</v>
      </c>
      <c r="C4170" s="677" t="s">
        <v>1690</v>
      </c>
      <c r="D4170" s="738">
        <f t="shared" si="130"/>
        <v>27.73</v>
      </c>
      <c r="F4170" s="1405">
        <v>27.73</v>
      </c>
      <c r="G4170" s="1405">
        <v>27.73</v>
      </c>
      <c r="H4170" t="b">
        <f t="shared" si="131"/>
        <v>1</v>
      </c>
    </row>
    <row r="4171" spans="1:8">
      <c r="A4171" s="739">
        <v>7070</v>
      </c>
      <c r="B4171" s="740" t="s">
        <v>12542</v>
      </c>
      <c r="C4171" s="739" t="s">
        <v>1690</v>
      </c>
      <c r="D4171" s="741">
        <f t="shared" si="130"/>
        <v>198.98</v>
      </c>
      <c r="F4171" s="1406">
        <v>198.98</v>
      </c>
      <c r="G4171" s="1406">
        <v>198.98</v>
      </c>
      <c r="H4171" t="b">
        <f t="shared" si="131"/>
        <v>1</v>
      </c>
    </row>
    <row r="4172" spans="1:8">
      <c r="A4172" s="677">
        <v>40945</v>
      </c>
      <c r="B4172" s="733" t="s">
        <v>12543</v>
      </c>
      <c r="C4172" s="677" t="s">
        <v>1689</v>
      </c>
      <c r="D4172" s="738">
        <f t="shared" si="130"/>
        <v>15.63</v>
      </c>
      <c r="F4172" s="1405">
        <v>13.58</v>
      </c>
      <c r="G4172" s="1405">
        <v>15.63</v>
      </c>
      <c r="H4172" t="b">
        <f t="shared" si="131"/>
        <v>0</v>
      </c>
    </row>
    <row r="4173" spans="1:8">
      <c r="A4173" s="739">
        <v>40946</v>
      </c>
      <c r="B4173" s="740" t="s">
        <v>12544</v>
      </c>
      <c r="C4173" s="739" t="s">
        <v>1696</v>
      </c>
      <c r="D4173" s="741">
        <f t="shared" si="130"/>
        <v>2751.47</v>
      </c>
      <c r="F4173" s="1406">
        <v>2386.33</v>
      </c>
      <c r="G4173" s="1406">
        <v>2751.47</v>
      </c>
      <c r="H4173" t="b">
        <f t="shared" si="131"/>
        <v>0</v>
      </c>
    </row>
    <row r="4174" spans="1:8">
      <c r="A4174" s="677">
        <v>7153</v>
      </c>
      <c r="B4174" s="733" t="s">
        <v>12545</v>
      </c>
      <c r="C4174" s="677" t="s">
        <v>1689</v>
      </c>
      <c r="D4174" s="738">
        <f t="shared" si="130"/>
        <v>27.19</v>
      </c>
      <c r="F4174" s="1405">
        <v>23.62</v>
      </c>
      <c r="G4174" s="1405">
        <v>27.19</v>
      </c>
      <c r="H4174" t="b">
        <f t="shared" si="131"/>
        <v>0</v>
      </c>
    </row>
    <row r="4175" spans="1:8">
      <c r="A4175" s="739">
        <v>41089</v>
      </c>
      <c r="B4175" s="740" t="s">
        <v>12546</v>
      </c>
      <c r="C4175" s="739" t="s">
        <v>1696</v>
      </c>
      <c r="D4175" s="741">
        <f t="shared" si="130"/>
        <v>4788.1899999999996</v>
      </c>
      <c r="F4175" s="1406">
        <v>4152.76</v>
      </c>
      <c r="G4175" s="1406">
        <v>4788.1899999999996</v>
      </c>
      <c r="H4175" t="b">
        <f t="shared" si="131"/>
        <v>0</v>
      </c>
    </row>
    <row r="4176" spans="1:8">
      <c r="A4176" s="677">
        <v>40943</v>
      </c>
      <c r="B4176" s="733" t="s">
        <v>12547</v>
      </c>
      <c r="C4176" s="677" t="s">
        <v>1689</v>
      </c>
      <c r="D4176" s="738">
        <f t="shared" si="130"/>
        <v>26.93</v>
      </c>
      <c r="F4176" s="1405">
        <v>23.39</v>
      </c>
      <c r="G4176" s="1405">
        <v>26.93</v>
      </c>
      <c r="H4176" t="b">
        <f t="shared" si="131"/>
        <v>0</v>
      </c>
    </row>
    <row r="4177" spans="1:8">
      <c r="A4177" s="739">
        <v>40944</v>
      </c>
      <c r="B4177" s="740" t="s">
        <v>12548</v>
      </c>
      <c r="C4177" s="739" t="s">
        <v>1696</v>
      </c>
      <c r="D4177" s="741">
        <f t="shared" si="130"/>
        <v>4741.24</v>
      </c>
      <c r="F4177" s="1406">
        <v>4112.03</v>
      </c>
      <c r="G4177" s="1406">
        <v>4741.24</v>
      </c>
      <c r="H4177" t="b">
        <f t="shared" si="131"/>
        <v>0</v>
      </c>
    </row>
    <row r="4178" spans="1:8">
      <c r="A4178" s="677">
        <v>6175</v>
      </c>
      <c r="B4178" s="733" t="s">
        <v>12549</v>
      </c>
      <c r="C4178" s="677" t="s">
        <v>1689</v>
      </c>
      <c r="D4178" s="738">
        <f t="shared" si="130"/>
        <v>20.95</v>
      </c>
      <c r="F4178" s="1405">
        <v>18.190000000000001</v>
      </c>
      <c r="G4178" s="1405">
        <v>20.95</v>
      </c>
      <c r="H4178" t="b">
        <f t="shared" si="131"/>
        <v>0</v>
      </c>
    </row>
    <row r="4179" spans="1:8">
      <c r="A4179" s="739">
        <v>41092</v>
      </c>
      <c r="B4179" s="740" t="s">
        <v>12550</v>
      </c>
      <c r="C4179" s="739" t="s">
        <v>1696</v>
      </c>
      <c r="D4179" s="741">
        <f t="shared" si="130"/>
        <v>3687.12</v>
      </c>
      <c r="F4179" s="1406">
        <v>3197.81</v>
      </c>
      <c r="G4179" s="1406">
        <v>3687.12</v>
      </c>
      <c r="H4179" t="b">
        <f t="shared" si="131"/>
        <v>0</v>
      </c>
    </row>
    <row r="4180" spans="1:8" ht="30">
      <c r="A4180" s="677">
        <v>37712</v>
      </c>
      <c r="B4180" s="733" t="s">
        <v>12551</v>
      </c>
      <c r="C4180" s="677" t="s">
        <v>1692</v>
      </c>
      <c r="D4180" s="738">
        <f t="shared" si="130"/>
        <v>77.900000000000006</v>
      </c>
      <c r="F4180" s="1405">
        <v>77.900000000000006</v>
      </c>
      <c r="G4180" s="1405">
        <v>77.900000000000006</v>
      </c>
      <c r="H4180" t="b">
        <f t="shared" si="131"/>
        <v>1</v>
      </c>
    </row>
    <row r="4181" spans="1:8" ht="30">
      <c r="A4181" s="739">
        <v>34547</v>
      </c>
      <c r="B4181" s="740" t="s">
        <v>12552</v>
      </c>
      <c r="C4181" s="739" t="s">
        <v>1693</v>
      </c>
      <c r="D4181" s="741">
        <f t="shared" si="130"/>
        <v>4.51</v>
      </c>
      <c r="F4181" s="1406">
        <v>4.51</v>
      </c>
      <c r="G4181" s="1406">
        <v>4.51</v>
      </c>
      <c r="H4181" t="b">
        <f t="shared" si="131"/>
        <v>1</v>
      </c>
    </row>
    <row r="4182" spans="1:8" ht="30">
      <c r="A4182" s="677">
        <v>34548</v>
      </c>
      <c r="B4182" s="733" t="s">
        <v>12553</v>
      </c>
      <c r="C4182" s="677" t="s">
        <v>1693</v>
      </c>
      <c r="D4182" s="738">
        <f t="shared" si="130"/>
        <v>7.41</v>
      </c>
      <c r="F4182" s="1405">
        <v>7.41</v>
      </c>
      <c r="G4182" s="1405">
        <v>7.41</v>
      </c>
      <c r="H4182" t="b">
        <f t="shared" si="131"/>
        <v>1</v>
      </c>
    </row>
    <row r="4183" spans="1:8" ht="30">
      <c r="A4183" s="739">
        <v>34558</v>
      </c>
      <c r="B4183" s="740" t="s">
        <v>12554</v>
      </c>
      <c r="C4183" s="739" t="s">
        <v>1693</v>
      </c>
      <c r="D4183" s="741">
        <f t="shared" si="130"/>
        <v>3.67</v>
      </c>
      <c r="F4183" s="1406">
        <v>3.67</v>
      </c>
      <c r="G4183" s="1406">
        <v>3.67</v>
      </c>
      <c r="H4183" t="b">
        <f t="shared" si="131"/>
        <v>1</v>
      </c>
    </row>
    <row r="4184" spans="1:8">
      <c r="A4184" s="677">
        <v>34550</v>
      </c>
      <c r="B4184" s="733" t="s">
        <v>12555</v>
      </c>
      <c r="C4184" s="677" t="s">
        <v>1693</v>
      </c>
      <c r="D4184" s="738">
        <f t="shared" si="130"/>
        <v>1.95</v>
      </c>
      <c r="F4184" s="1405">
        <v>1.95</v>
      </c>
      <c r="G4184" s="1405">
        <v>1.95</v>
      </c>
      <c r="H4184" t="b">
        <f t="shared" si="131"/>
        <v>1</v>
      </c>
    </row>
    <row r="4185" spans="1:8" ht="30">
      <c r="A4185" s="739">
        <v>34557</v>
      </c>
      <c r="B4185" s="740" t="s">
        <v>12556</v>
      </c>
      <c r="C4185" s="739" t="s">
        <v>1693</v>
      </c>
      <c r="D4185" s="741">
        <f t="shared" si="130"/>
        <v>2.86</v>
      </c>
      <c r="F4185" s="1406">
        <v>2.86</v>
      </c>
      <c r="G4185" s="1406">
        <v>2.86</v>
      </c>
      <c r="H4185" t="b">
        <f t="shared" si="131"/>
        <v>1</v>
      </c>
    </row>
    <row r="4186" spans="1:8">
      <c r="A4186" s="677">
        <v>37411</v>
      </c>
      <c r="B4186" s="733" t="s">
        <v>12557</v>
      </c>
      <c r="C4186" s="677" t="s">
        <v>1692</v>
      </c>
      <c r="D4186" s="738">
        <f t="shared" si="130"/>
        <v>20.91</v>
      </c>
      <c r="F4186" s="1405">
        <v>20.91</v>
      </c>
      <c r="G4186" s="1405">
        <v>20.91</v>
      </c>
      <c r="H4186" t="b">
        <f t="shared" si="131"/>
        <v>1</v>
      </c>
    </row>
    <row r="4187" spans="1:8" ht="30">
      <c r="A4187" s="739">
        <v>39508</v>
      </c>
      <c r="B4187" s="740" t="s">
        <v>12558</v>
      </c>
      <c r="C4187" s="739" t="s">
        <v>1692</v>
      </c>
      <c r="D4187" s="741">
        <f t="shared" si="130"/>
        <v>11.74</v>
      </c>
      <c r="F4187" s="1406">
        <v>11.74</v>
      </c>
      <c r="G4187" s="1406">
        <v>11.74</v>
      </c>
      <c r="H4187" t="b">
        <f t="shared" si="131"/>
        <v>1</v>
      </c>
    </row>
    <row r="4188" spans="1:8" ht="30">
      <c r="A4188" s="677">
        <v>39507</v>
      </c>
      <c r="B4188" s="733" t="s">
        <v>12559</v>
      </c>
      <c r="C4188" s="677" t="s">
        <v>1692</v>
      </c>
      <c r="D4188" s="738">
        <f t="shared" si="130"/>
        <v>17.52</v>
      </c>
      <c r="F4188" s="1405">
        <v>17.52</v>
      </c>
      <c r="G4188" s="1405">
        <v>17.52</v>
      </c>
      <c r="H4188" t="b">
        <f t="shared" si="131"/>
        <v>1</v>
      </c>
    </row>
    <row r="4189" spans="1:8" ht="30">
      <c r="A4189" s="739">
        <v>7155</v>
      </c>
      <c r="B4189" s="740" t="s">
        <v>12560</v>
      </c>
      <c r="C4189" s="739" t="s">
        <v>1692</v>
      </c>
      <c r="D4189" s="741">
        <f t="shared" si="130"/>
        <v>22.49</v>
      </c>
      <c r="F4189" s="1406">
        <v>22.49</v>
      </c>
      <c r="G4189" s="1406">
        <v>22.49</v>
      </c>
      <c r="H4189" t="b">
        <f t="shared" si="131"/>
        <v>1</v>
      </c>
    </row>
    <row r="4190" spans="1:8" ht="30">
      <c r="A4190" s="677">
        <v>42406</v>
      </c>
      <c r="B4190" s="733" t="s">
        <v>12561</v>
      </c>
      <c r="C4190" s="677" t="s">
        <v>1692</v>
      </c>
      <c r="D4190" s="738">
        <f t="shared" si="130"/>
        <v>25.79</v>
      </c>
      <c r="F4190" s="1405">
        <v>25.79</v>
      </c>
      <c r="G4190" s="1405">
        <v>25.79</v>
      </c>
      <c r="H4190" t="b">
        <f t="shared" si="131"/>
        <v>1</v>
      </c>
    </row>
    <row r="4191" spans="1:8" ht="30">
      <c r="A4191" s="739">
        <v>7156</v>
      </c>
      <c r="B4191" s="740" t="s">
        <v>12562</v>
      </c>
      <c r="C4191" s="739" t="s">
        <v>1692</v>
      </c>
      <c r="D4191" s="741">
        <f t="shared" si="130"/>
        <v>32.270000000000003</v>
      </c>
      <c r="F4191" s="1406">
        <v>32.270000000000003</v>
      </c>
      <c r="G4191" s="1406">
        <v>32.270000000000003</v>
      </c>
      <c r="H4191" t="b">
        <f t="shared" si="131"/>
        <v>1</v>
      </c>
    </row>
    <row r="4192" spans="1:8" ht="30">
      <c r="A4192" s="677">
        <v>43127</v>
      </c>
      <c r="B4192" s="733" t="s">
        <v>12563</v>
      </c>
      <c r="C4192" s="677" t="s">
        <v>1692</v>
      </c>
      <c r="D4192" s="738">
        <f t="shared" si="130"/>
        <v>46.18</v>
      </c>
      <c r="F4192" s="1405">
        <v>46.18</v>
      </c>
      <c r="G4192" s="1405">
        <v>46.18</v>
      </c>
      <c r="H4192" t="b">
        <f t="shared" si="131"/>
        <v>1</v>
      </c>
    </row>
    <row r="4193" spans="1:8" ht="30">
      <c r="A4193" s="739">
        <v>10917</v>
      </c>
      <c r="B4193" s="740" t="s">
        <v>12564</v>
      </c>
      <c r="C4193" s="739" t="s">
        <v>1692</v>
      </c>
      <c r="D4193" s="741">
        <f t="shared" si="130"/>
        <v>9.75</v>
      </c>
      <c r="F4193" s="1406">
        <v>9.75</v>
      </c>
      <c r="G4193" s="1406">
        <v>9.75</v>
      </c>
      <c r="H4193" t="b">
        <f t="shared" si="131"/>
        <v>1</v>
      </c>
    </row>
    <row r="4194" spans="1:8" ht="30">
      <c r="A4194" s="677">
        <v>21141</v>
      </c>
      <c r="B4194" s="733" t="s">
        <v>12565</v>
      </c>
      <c r="C4194" s="677" t="s">
        <v>1692</v>
      </c>
      <c r="D4194" s="738">
        <f t="shared" si="130"/>
        <v>15.09</v>
      </c>
      <c r="F4194" s="1405">
        <v>15.09</v>
      </c>
      <c r="G4194" s="1405">
        <v>15.09</v>
      </c>
      <c r="H4194" t="b">
        <f t="shared" si="131"/>
        <v>1</v>
      </c>
    </row>
    <row r="4195" spans="1:8" ht="30">
      <c r="A4195" s="739">
        <v>39509</v>
      </c>
      <c r="B4195" s="740" t="s">
        <v>12566</v>
      </c>
      <c r="C4195" s="739" t="s">
        <v>1692</v>
      </c>
      <c r="D4195" s="741">
        <f t="shared" si="130"/>
        <v>14.52</v>
      </c>
      <c r="F4195" s="1406">
        <v>14.52</v>
      </c>
      <c r="G4195" s="1406">
        <v>14.52</v>
      </c>
      <c r="H4195" t="b">
        <f t="shared" si="131"/>
        <v>1</v>
      </c>
    </row>
    <row r="4196" spans="1:8">
      <c r="A4196" s="677">
        <v>44529</v>
      </c>
      <c r="B4196" s="733" t="s">
        <v>12567</v>
      </c>
      <c r="C4196" s="677" t="s">
        <v>1692</v>
      </c>
      <c r="D4196" s="738">
        <f t="shared" si="130"/>
        <v>14.37</v>
      </c>
      <c r="F4196" s="1405">
        <v>14.37</v>
      </c>
      <c r="G4196" s="1405">
        <v>14.37</v>
      </c>
      <c r="H4196" t="b">
        <f t="shared" si="131"/>
        <v>1</v>
      </c>
    </row>
    <row r="4197" spans="1:8">
      <c r="A4197" s="739">
        <v>7167</v>
      </c>
      <c r="B4197" s="740" t="s">
        <v>12568</v>
      </c>
      <c r="C4197" s="739" t="s">
        <v>1692</v>
      </c>
      <c r="D4197" s="741">
        <f t="shared" si="130"/>
        <v>25.74</v>
      </c>
      <c r="F4197" s="1406">
        <v>25.74</v>
      </c>
      <c r="G4197" s="1406">
        <v>25.74</v>
      </c>
      <c r="H4197" t="b">
        <f t="shared" si="131"/>
        <v>1</v>
      </c>
    </row>
    <row r="4198" spans="1:8">
      <c r="A4198" s="677">
        <v>10928</v>
      </c>
      <c r="B4198" s="733" t="s">
        <v>12569</v>
      </c>
      <c r="C4198" s="677" t="s">
        <v>1692</v>
      </c>
      <c r="D4198" s="738">
        <f t="shared" si="130"/>
        <v>14.79</v>
      </c>
      <c r="F4198" s="1405">
        <v>14.79</v>
      </c>
      <c r="G4198" s="1405">
        <v>14.79</v>
      </c>
      <c r="H4198" t="b">
        <f t="shared" si="131"/>
        <v>1</v>
      </c>
    </row>
    <row r="4199" spans="1:8">
      <c r="A4199" s="739">
        <v>10933</v>
      </c>
      <c r="B4199" s="740" t="s">
        <v>12570</v>
      </c>
      <c r="C4199" s="739" t="s">
        <v>1692</v>
      </c>
      <c r="D4199" s="741">
        <f t="shared" si="130"/>
        <v>22.3</v>
      </c>
      <c r="F4199" s="1406">
        <v>22.3</v>
      </c>
      <c r="G4199" s="1406">
        <v>22.3</v>
      </c>
      <c r="H4199" t="b">
        <f t="shared" si="131"/>
        <v>1</v>
      </c>
    </row>
    <row r="4200" spans="1:8">
      <c r="A4200" s="677">
        <v>7158</v>
      </c>
      <c r="B4200" s="733" t="s">
        <v>12571</v>
      </c>
      <c r="C4200" s="677" t="s">
        <v>1692</v>
      </c>
      <c r="D4200" s="738">
        <f t="shared" si="130"/>
        <v>37.83</v>
      </c>
      <c r="F4200" s="1405">
        <v>37.83</v>
      </c>
      <c r="G4200" s="1405">
        <v>37.83</v>
      </c>
      <c r="H4200" t="b">
        <f t="shared" si="131"/>
        <v>1</v>
      </c>
    </row>
    <row r="4201" spans="1:8">
      <c r="A4201" s="739">
        <v>10927</v>
      </c>
      <c r="B4201" s="740" t="s">
        <v>12572</v>
      </c>
      <c r="C4201" s="739" t="s">
        <v>1692</v>
      </c>
      <c r="D4201" s="741">
        <f t="shared" si="130"/>
        <v>24.19</v>
      </c>
      <c r="F4201" s="1406">
        <v>24.19</v>
      </c>
      <c r="G4201" s="1406">
        <v>24.19</v>
      </c>
      <c r="H4201" t="b">
        <f t="shared" si="131"/>
        <v>1</v>
      </c>
    </row>
    <row r="4202" spans="1:8">
      <c r="A4202" s="677">
        <v>7162</v>
      </c>
      <c r="B4202" s="733" t="s">
        <v>12573</v>
      </c>
      <c r="C4202" s="677" t="s">
        <v>1692</v>
      </c>
      <c r="D4202" s="738">
        <f t="shared" si="130"/>
        <v>59.2</v>
      </c>
      <c r="F4202" s="1405">
        <v>59.2</v>
      </c>
      <c r="G4202" s="1405">
        <v>59.2</v>
      </c>
      <c r="H4202" t="b">
        <f t="shared" si="131"/>
        <v>1</v>
      </c>
    </row>
    <row r="4203" spans="1:8">
      <c r="A4203" s="739">
        <v>10932</v>
      </c>
      <c r="B4203" s="740" t="s">
        <v>12574</v>
      </c>
      <c r="C4203" s="739" t="s">
        <v>1692</v>
      </c>
      <c r="D4203" s="741">
        <f t="shared" si="130"/>
        <v>102.97</v>
      </c>
      <c r="F4203" s="1406">
        <v>102.97</v>
      </c>
      <c r="G4203" s="1406">
        <v>102.97</v>
      </c>
      <c r="H4203" t="b">
        <f t="shared" si="131"/>
        <v>1</v>
      </c>
    </row>
    <row r="4204" spans="1:8" ht="30">
      <c r="A4204" s="677">
        <v>10937</v>
      </c>
      <c r="B4204" s="733" t="s">
        <v>12575</v>
      </c>
      <c r="C4204" s="677" t="s">
        <v>1692</v>
      </c>
      <c r="D4204" s="738">
        <f t="shared" si="130"/>
        <v>26.46</v>
      </c>
      <c r="F4204" s="1405">
        <v>26.46</v>
      </c>
      <c r="G4204" s="1405">
        <v>26.46</v>
      </c>
      <c r="H4204" t="b">
        <f t="shared" si="131"/>
        <v>1</v>
      </c>
    </row>
    <row r="4205" spans="1:8" ht="30">
      <c r="A4205" s="739">
        <v>10935</v>
      </c>
      <c r="B4205" s="740" t="s">
        <v>12576</v>
      </c>
      <c r="C4205" s="739" t="s">
        <v>1692</v>
      </c>
      <c r="D4205" s="741">
        <f t="shared" si="130"/>
        <v>45.9</v>
      </c>
      <c r="F4205" s="1406">
        <v>45.9</v>
      </c>
      <c r="G4205" s="1406">
        <v>45.9</v>
      </c>
      <c r="H4205" t="b">
        <f t="shared" si="131"/>
        <v>1</v>
      </c>
    </row>
    <row r="4206" spans="1:8">
      <c r="A4206" s="677">
        <v>10931</v>
      </c>
      <c r="B4206" s="733" t="s">
        <v>12577</v>
      </c>
      <c r="C4206" s="677" t="s">
        <v>1692</v>
      </c>
      <c r="D4206" s="738">
        <f t="shared" si="130"/>
        <v>12.91</v>
      </c>
      <c r="F4206" s="1405">
        <v>12.91</v>
      </c>
      <c r="G4206" s="1405">
        <v>12.91</v>
      </c>
      <c r="H4206" t="b">
        <f t="shared" si="131"/>
        <v>1</v>
      </c>
    </row>
    <row r="4207" spans="1:8">
      <c r="A4207" s="739">
        <v>7164</v>
      </c>
      <c r="B4207" s="740" t="s">
        <v>12578</v>
      </c>
      <c r="C4207" s="739" t="s">
        <v>1692</v>
      </c>
      <c r="D4207" s="741">
        <f t="shared" si="130"/>
        <v>42.72</v>
      </c>
      <c r="F4207" s="1406">
        <v>42.72</v>
      </c>
      <c r="G4207" s="1406">
        <v>42.72</v>
      </c>
      <c r="H4207" t="b">
        <f t="shared" si="131"/>
        <v>1</v>
      </c>
    </row>
    <row r="4208" spans="1:8">
      <c r="A4208" s="677">
        <v>36887</v>
      </c>
      <c r="B4208" s="733" t="s">
        <v>12579</v>
      </c>
      <c r="C4208" s="677" t="s">
        <v>1692</v>
      </c>
      <c r="D4208" s="738">
        <f t="shared" si="130"/>
        <v>12.23</v>
      </c>
      <c r="F4208" s="1405">
        <v>12.23</v>
      </c>
      <c r="G4208" s="1405">
        <v>12.23</v>
      </c>
      <c r="H4208" t="b">
        <f t="shared" si="131"/>
        <v>1</v>
      </c>
    </row>
    <row r="4209" spans="1:8" ht="30">
      <c r="A4209" s="739">
        <v>34630</v>
      </c>
      <c r="B4209" s="740" t="s">
        <v>12580</v>
      </c>
      <c r="C4209" s="739" t="s">
        <v>1690</v>
      </c>
      <c r="D4209" s="741">
        <f t="shared" si="130"/>
        <v>1266.03</v>
      </c>
      <c r="F4209" s="1406">
        <v>1266.03</v>
      </c>
      <c r="G4209" s="1406">
        <v>1266.03</v>
      </c>
      <c r="H4209" t="b">
        <f t="shared" si="131"/>
        <v>1</v>
      </c>
    </row>
    <row r="4210" spans="1:8">
      <c r="A4210" s="677">
        <v>7161</v>
      </c>
      <c r="B4210" s="733" t="s">
        <v>12581</v>
      </c>
      <c r="C4210" s="677" t="s">
        <v>1692</v>
      </c>
      <c r="D4210" s="738">
        <f t="shared" si="130"/>
        <v>5.31</v>
      </c>
      <c r="F4210" s="1405">
        <v>5.31</v>
      </c>
      <c r="G4210" s="1405">
        <v>5.31</v>
      </c>
      <c r="H4210" t="b">
        <f t="shared" si="131"/>
        <v>1</v>
      </c>
    </row>
    <row r="4211" spans="1:8">
      <c r="A4211" s="739">
        <v>7170</v>
      </c>
      <c r="B4211" s="740" t="s">
        <v>12582</v>
      </c>
      <c r="C4211" s="739" t="s">
        <v>1692</v>
      </c>
      <c r="D4211" s="741">
        <f t="shared" si="130"/>
        <v>2.95</v>
      </c>
      <c r="F4211" s="1406">
        <v>2.95</v>
      </c>
      <c r="G4211" s="1406">
        <v>2.95</v>
      </c>
      <c r="H4211" t="b">
        <f t="shared" si="131"/>
        <v>1</v>
      </c>
    </row>
    <row r="4212" spans="1:8">
      <c r="A4212" s="677">
        <v>37524</v>
      </c>
      <c r="B4212" s="733" t="s">
        <v>12583</v>
      </c>
      <c r="C4212" s="677" t="s">
        <v>1693</v>
      </c>
      <c r="D4212" s="738">
        <f t="shared" si="130"/>
        <v>2.7</v>
      </c>
      <c r="F4212" s="1405">
        <v>2.7</v>
      </c>
      <c r="G4212" s="1405">
        <v>2.7</v>
      </c>
      <c r="H4212" t="b">
        <f t="shared" si="131"/>
        <v>1</v>
      </c>
    </row>
    <row r="4213" spans="1:8" ht="30">
      <c r="A4213" s="739">
        <v>37525</v>
      </c>
      <c r="B4213" s="740" t="s">
        <v>12584</v>
      </c>
      <c r="C4213" s="739" t="s">
        <v>1693</v>
      </c>
      <c r="D4213" s="741">
        <f t="shared" si="130"/>
        <v>3.69</v>
      </c>
      <c r="F4213" s="1406">
        <v>3.69</v>
      </c>
      <c r="G4213" s="1406">
        <v>3.69</v>
      </c>
      <c r="H4213" t="b">
        <f t="shared" si="131"/>
        <v>1</v>
      </c>
    </row>
    <row r="4214" spans="1:8">
      <c r="A4214" s="677">
        <v>36789</v>
      </c>
      <c r="B4214" s="733" t="s">
        <v>12585</v>
      </c>
      <c r="C4214" s="677" t="s">
        <v>1690</v>
      </c>
      <c r="D4214" s="738">
        <f t="shared" si="130"/>
        <v>3.42</v>
      </c>
      <c r="F4214" s="1405">
        <v>3.42</v>
      </c>
      <c r="G4214" s="1405">
        <v>3.42</v>
      </c>
      <c r="H4214" t="b">
        <f t="shared" si="131"/>
        <v>1</v>
      </c>
    </row>
    <row r="4215" spans="1:8" ht="30">
      <c r="A4215" s="739">
        <v>7173</v>
      </c>
      <c r="B4215" s="740" t="s">
        <v>12586</v>
      </c>
      <c r="C4215" s="739" t="s">
        <v>1699</v>
      </c>
      <c r="D4215" s="741">
        <f t="shared" si="130"/>
        <v>2213.71</v>
      </c>
      <c r="F4215" s="1406">
        <v>2213.71</v>
      </c>
      <c r="G4215" s="1406">
        <v>2213.71</v>
      </c>
      <c r="H4215" t="b">
        <f t="shared" si="131"/>
        <v>1</v>
      </c>
    </row>
    <row r="4216" spans="1:8" ht="30">
      <c r="A4216" s="677">
        <v>7175</v>
      </c>
      <c r="B4216" s="733" t="s">
        <v>12587</v>
      </c>
      <c r="C4216" s="677" t="s">
        <v>1690</v>
      </c>
      <c r="D4216" s="738">
        <f t="shared" si="130"/>
        <v>2.5</v>
      </c>
      <c r="F4216" s="1405">
        <v>2.5</v>
      </c>
      <c r="G4216" s="1405">
        <v>2.5</v>
      </c>
      <c r="H4216" t="b">
        <f t="shared" si="131"/>
        <v>1</v>
      </c>
    </row>
    <row r="4217" spans="1:8">
      <c r="A4217" s="739">
        <v>40741</v>
      </c>
      <c r="B4217" s="740" t="s">
        <v>12588</v>
      </c>
      <c r="C4217" s="739" t="s">
        <v>1690</v>
      </c>
      <c r="D4217" s="741">
        <f t="shared" si="130"/>
        <v>3.4</v>
      </c>
      <c r="F4217" s="1406">
        <v>3.4</v>
      </c>
      <c r="G4217" s="1406">
        <v>3.4</v>
      </c>
      <c r="H4217" t="b">
        <f t="shared" si="131"/>
        <v>1</v>
      </c>
    </row>
    <row r="4218" spans="1:8">
      <c r="A4218" s="677">
        <v>7184</v>
      </c>
      <c r="B4218" s="733" t="s">
        <v>12589</v>
      </c>
      <c r="C4218" s="677" t="s">
        <v>1692</v>
      </c>
      <c r="D4218" s="738">
        <f t="shared" si="130"/>
        <v>50.49</v>
      </c>
      <c r="F4218" s="1405">
        <v>50.49</v>
      </c>
      <c r="G4218" s="1405">
        <v>50.49</v>
      </c>
      <c r="H4218" t="b">
        <f t="shared" si="131"/>
        <v>1</v>
      </c>
    </row>
    <row r="4219" spans="1:8">
      <c r="A4219" s="739">
        <v>34458</v>
      </c>
      <c r="B4219" s="740" t="s">
        <v>12590</v>
      </c>
      <c r="C4219" s="739" t="s">
        <v>1690</v>
      </c>
      <c r="D4219" s="741">
        <f t="shared" si="130"/>
        <v>162.66999999999999</v>
      </c>
      <c r="F4219" s="1406">
        <v>162.66999999999999</v>
      </c>
      <c r="G4219" s="1406">
        <v>162.66999999999999</v>
      </c>
      <c r="H4219" t="b">
        <f t="shared" si="131"/>
        <v>1</v>
      </c>
    </row>
    <row r="4220" spans="1:8">
      <c r="A4220" s="677">
        <v>34464</v>
      </c>
      <c r="B4220" s="733" t="s">
        <v>12591</v>
      </c>
      <c r="C4220" s="677" t="s">
        <v>1690</v>
      </c>
      <c r="D4220" s="738">
        <f t="shared" si="130"/>
        <v>242.15</v>
      </c>
      <c r="F4220" s="1405">
        <v>242.15</v>
      </c>
      <c r="G4220" s="1405">
        <v>242.15</v>
      </c>
      <c r="H4220" t="b">
        <f t="shared" si="131"/>
        <v>1</v>
      </c>
    </row>
    <row r="4221" spans="1:8">
      <c r="A4221" s="739">
        <v>34468</v>
      </c>
      <c r="B4221" s="740" t="s">
        <v>12592</v>
      </c>
      <c r="C4221" s="739" t="s">
        <v>1690</v>
      </c>
      <c r="D4221" s="741">
        <f t="shared" si="130"/>
        <v>305.27999999999997</v>
      </c>
      <c r="F4221" s="1406">
        <v>305.27999999999997</v>
      </c>
      <c r="G4221" s="1406">
        <v>305.27999999999997</v>
      </c>
      <c r="H4221" t="b">
        <f t="shared" si="131"/>
        <v>1</v>
      </c>
    </row>
    <row r="4222" spans="1:8">
      <c r="A4222" s="677">
        <v>34473</v>
      </c>
      <c r="B4222" s="733" t="s">
        <v>12593</v>
      </c>
      <c r="C4222" s="677" t="s">
        <v>1690</v>
      </c>
      <c r="D4222" s="738">
        <f t="shared" si="130"/>
        <v>185.19</v>
      </c>
      <c r="F4222" s="1405">
        <v>185.19</v>
      </c>
      <c r="G4222" s="1405">
        <v>185.19</v>
      </c>
      <c r="H4222" t="b">
        <f t="shared" si="131"/>
        <v>1</v>
      </c>
    </row>
    <row r="4223" spans="1:8">
      <c r="A4223" s="739">
        <v>34480</v>
      </c>
      <c r="B4223" s="740" t="s">
        <v>12594</v>
      </c>
      <c r="C4223" s="739" t="s">
        <v>1690</v>
      </c>
      <c r="D4223" s="741">
        <f t="shared" si="130"/>
        <v>342.24</v>
      </c>
      <c r="F4223" s="1406">
        <v>342.24</v>
      </c>
      <c r="G4223" s="1406">
        <v>342.24</v>
      </c>
      <c r="H4223" t="b">
        <f t="shared" si="131"/>
        <v>1</v>
      </c>
    </row>
    <row r="4224" spans="1:8">
      <c r="A4224" s="677">
        <v>34486</v>
      </c>
      <c r="B4224" s="733" t="s">
        <v>12595</v>
      </c>
      <c r="C4224" s="677" t="s">
        <v>1690</v>
      </c>
      <c r="D4224" s="738">
        <f t="shared" si="130"/>
        <v>405.2</v>
      </c>
      <c r="F4224" s="1405">
        <v>405.2</v>
      </c>
      <c r="G4224" s="1405">
        <v>405.2</v>
      </c>
      <c r="H4224" t="b">
        <f t="shared" si="131"/>
        <v>1</v>
      </c>
    </row>
    <row r="4225" spans="1:8">
      <c r="A4225" s="739">
        <v>7190</v>
      </c>
      <c r="B4225" s="740" t="s">
        <v>12596</v>
      </c>
      <c r="C4225" s="739" t="s">
        <v>1690</v>
      </c>
      <c r="D4225" s="741">
        <f t="shared" si="130"/>
        <v>13.53</v>
      </c>
      <c r="F4225" s="1406">
        <v>13.53</v>
      </c>
      <c r="G4225" s="1406">
        <v>13.53</v>
      </c>
      <c r="H4225" t="b">
        <f t="shared" si="131"/>
        <v>1</v>
      </c>
    </row>
    <row r="4226" spans="1:8">
      <c r="A4226" s="677">
        <v>34417</v>
      </c>
      <c r="B4226" s="733" t="s">
        <v>12597</v>
      </c>
      <c r="C4226" s="677" t="s">
        <v>1690</v>
      </c>
      <c r="D4226" s="738">
        <f t="shared" si="130"/>
        <v>21.65</v>
      </c>
      <c r="F4226" s="1405">
        <v>21.65</v>
      </c>
      <c r="G4226" s="1405">
        <v>21.65</v>
      </c>
      <c r="H4226" t="b">
        <f t="shared" si="131"/>
        <v>1</v>
      </c>
    </row>
    <row r="4227" spans="1:8">
      <c r="A4227" s="739">
        <v>7213</v>
      </c>
      <c r="B4227" s="740" t="s">
        <v>12598</v>
      </c>
      <c r="C4227" s="739" t="s">
        <v>1692</v>
      </c>
      <c r="D4227" s="741">
        <f t="shared" ref="D4227:D4290" si="132">IF($J$2=$F$1,F4227,G4227)</f>
        <v>19.850000000000001</v>
      </c>
      <c r="F4227" s="1406">
        <v>19.850000000000001</v>
      </c>
      <c r="G4227" s="1406">
        <v>19.850000000000001</v>
      </c>
      <c r="H4227" t="b">
        <f t="shared" ref="H4227:H4290" si="133">F4227=G4227</f>
        <v>1</v>
      </c>
    </row>
    <row r="4228" spans="1:8">
      <c r="A4228" s="677">
        <v>7195</v>
      </c>
      <c r="B4228" s="733" t="s">
        <v>12599</v>
      </c>
      <c r="C4228" s="677" t="s">
        <v>1690</v>
      </c>
      <c r="D4228" s="738">
        <f t="shared" si="132"/>
        <v>58.29</v>
      </c>
      <c r="F4228" s="1405">
        <v>58.29</v>
      </c>
      <c r="G4228" s="1405">
        <v>58.29</v>
      </c>
      <c r="H4228" t="b">
        <f t="shared" si="133"/>
        <v>1</v>
      </c>
    </row>
    <row r="4229" spans="1:8">
      <c r="A4229" s="739">
        <v>7186</v>
      </c>
      <c r="B4229" s="740" t="s">
        <v>12600</v>
      </c>
      <c r="C4229" s="739" t="s">
        <v>1690</v>
      </c>
      <c r="D4229" s="741">
        <f t="shared" si="132"/>
        <v>63.5</v>
      </c>
      <c r="F4229" s="1406">
        <v>63.5</v>
      </c>
      <c r="G4229" s="1406">
        <v>63.5</v>
      </c>
      <c r="H4229" t="b">
        <f t="shared" si="133"/>
        <v>1</v>
      </c>
    </row>
    <row r="4230" spans="1:8">
      <c r="A4230" s="677">
        <v>7194</v>
      </c>
      <c r="B4230" s="733" t="s">
        <v>12601</v>
      </c>
      <c r="C4230" s="677" t="s">
        <v>1692</v>
      </c>
      <c r="D4230" s="738">
        <f t="shared" si="132"/>
        <v>29.28</v>
      </c>
      <c r="F4230" s="1405">
        <v>29.28</v>
      </c>
      <c r="G4230" s="1405">
        <v>29.28</v>
      </c>
      <c r="H4230" t="b">
        <f t="shared" si="133"/>
        <v>1</v>
      </c>
    </row>
    <row r="4231" spans="1:8">
      <c r="A4231" s="739">
        <v>7197</v>
      </c>
      <c r="B4231" s="740" t="s">
        <v>12602</v>
      </c>
      <c r="C4231" s="739" t="s">
        <v>1690</v>
      </c>
      <c r="D4231" s="741">
        <f t="shared" si="132"/>
        <v>123.57</v>
      </c>
      <c r="F4231" s="1406">
        <v>123.57</v>
      </c>
      <c r="G4231" s="1406">
        <v>123.57</v>
      </c>
      <c r="H4231" t="b">
        <f t="shared" si="133"/>
        <v>1</v>
      </c>
    </row>
    <row r="4232" spans="1:8">
      <c r="A4232" s="677">
        <v>7192</v>
      </c>
      <c r="B4232" s="733" t="s">
        <v>12603</v>
      </c>
      <c r="C4232" s="677" t="s">
        <v>1690</v>
      </c>
      <c r="D4232" s="738">
        <f t="shared" si="132"/>
        <v>110.71</v>
      </c>
      <c r="F4232" s="1405">
        <v>110.71</v>
      </c>
      <c r="G4232" s="1405">
        <v>110.71</v>
      </c>
      <c r="H4232" t="b">
        <f t="shared" si="133"/>
        <v>1</v>
      </c>
    </row>
    <row r="4233" spans="1:8">
      <c r="A4233" s="739">
        <v>7193</v>
      </c>
      <c r="B4233" s="740" t="s">
        <v>12604</v>
      </c>
      <c r="C4233" s="739" t="s">
        <v>1690</v>
      </c>
      <c r="D4233" s="741">
        <f t="shared" si="132"/>
        <v>124.64</v>
      </c>
      <c r="F4233" s="1406">
        <v>124.64</v>
      </c>
      <c r="G4233" s="1406">
        <v>124.64</v>
      </c>
      <c r="H4233" t="b">
        <f t="shared" si="133"/>
        <v>1</v>
      </c>
    </row>
    <row r="4234" spans="1:8">
      <c r="A4234" s="677">
        <v>7189</v>
      </c>
      <c r="B4234" s="733" t="s">
        <v>12605</v>
      </c>
      <c r="C4234" s="677" t="s">
        <v>1690</v>
      </c>
      <c r="D4234" s="738">
        <f t="shared" si="132"/>
        <v>144.85</v>
      </c>
      <c r="F4234" s="1405">
        <v>144.85</v>
      </c>
      <c r="G4234" s="1405">
        <v>144.85</v>
      </c>
      <c r="H4234" t="b">
        <f t="shared" si="133"/>
        <v>1</v>
      </c>
    </row>
    <row r="4235" spans="1:8">
      <c r="A4235" s="739">
        <v>34402</v>
      </c>
      <c r="B4235" s="740" t="s">
        <v>12606</v>
      </c>
      <c r="C4235" s="739" t="s">
        <v>1690</v>
      </c>
      <c r="D4235" s="741">
        <f t="shared" si="132"/>
        <v>204.5</v>
      </c>
      <c r="F4235" s="1406">
        <v>204.5</v>
      </c>
      <c r="G4235" s="1406">
        <v>204.5</v>
      </c>
      <c r="H4235" t="b">
        <f t="shared" si="133"/>
        <v>1</v>
      </c>
    </row>
    <row r="4236" spans="1:8">
      <c r="A4236" s="677">
        <v>7245</v>
      </c>
      <c r="B4236" s="733" t="s">
        <v>12607</v>
      </c>
      <c r="C4236" s="677" t="s">
        <v>1690</v>
      </c>
      <c r="D4236" s="738">
        <f t="shared" si="132"/>
        <v>57.15</v>
      </c>
      <c r="F4236" s="1405">
        <v>57.15</v>
      </c>
      <c r="G4236" s="1405">
        <v>57.15</v>
      </c>
      <c r="H4236" t="b">
        <f t="shared" si="133"/>
        <v>1</v>
      </c>
    </row>
    <row r="4237" spans="1:8">
      <c r="A4237" s="739">
        <v>34425</v>
      </c>
      <c r="B4237" s="740" t="s">
        <v>12608</v>
      </c>
      <c r="C4237" s="739" t="s">
        <v>1690</v>
      </c>
      <c r="D4237" s="741">
        <f t="shared" si="132"/>
        <v>131.37</v>
      </c>
      <c r="F4237" s="1406">
        <v>131.37</v>
      </c>
      <c r="G4237" s="1406">
        <v>131.37</v>
      </c>
      <c r="H4237" t="b">
        <f t="shared" si="133"/>
        <v>1</v>
      </c>
    </row>
    <row r="4238" spans="1:8">
      <c r="A4238" s="677">
        <v>7223</v>
      </c>
      <c r="B4238" s="733" t="s">
        <v>12609</v>
      </c>
      <c r="C4238" s="677" t="s">
        <v>1690</v>
      </c>
      <c r="D4238" s="738">
        <f t="shared" si="132"/>
        <v>146.38999999999999</v>
      </c>
      <c r="F4238" s="1405">
        <v>146.38999999999999</v>
      </c>
      <c r="G4238" s="1405">
        <v>146.38999999999999</v>
      </c>
      <c r="H4238" t="b">
        <f t="shared" si="133"/>
        <v>1</v>
      </c>
    </row>
    <row r="4239" spans="1:8">
      <c r="A4239" s="739">
        <v>7234</v>
      </c>
      <c r="B4239" s="740" t="s">
        <v>12610</v>
      </c>
      <c r="C4239" s="739" t="s">
        <v>1690</v>
      </c>
      <c r="D4239" s="741">
        <f t="shared" si="132"/>
        <v>220.91</v>
      </c>
      <c r="F4239" s="1406">
        <v>220.91</v>
      </c>
      <c r="G4239" s="1406">
        <v>220.91</v>
      </c>
      <c r="H4239" t="b">
        <f t="shared" si="133"/>
        <v>1</v>
      </c>
    </row>
    <row r="4240" spans="1:8">
      <c r="A4240" s="677">
        <v>7224</v>
      </c>
      <c r="B4240" s="733" t="s">
        <v>12611</v>
      </c>
      <c r="C4240" s="677" t="s">
        <v>1690</v>
      </c>
      <c r="D4240" s="738">
        <f t="shared" si="132"/>
        <v>269.12</v>
      </c>
      <c r="F4240" s="1405">
        <v>269.12</v>
      </c>
      <c r="G4240" s="1405">
        <v>269.12</v>
      </c>
      <c r="H4240" t="b">
        <f t="shared" si="133"/>
        <v>1</v>
      </c>
    </row>
    <row r="4241" spans="1:8">
      <c r="A4241" s="739">
        <v>7225</v>
      </c>
      <c r="B4241" s="740" t="s">
        <v>12612</v>
      </c>
      <c r="C4241" s="739" t="s">
        <v>1690</v>
      </c>
      <c r="D4241" s="741">
        <f t="shared" si="132"/>
        <v>288.57</v>
      </c>
      <c r="F4241" s="1406">
        <v>288.57</v>
      </c>
      <c r="G4241" s="1406">
        <v>288.57</v>
      </c>
      <c r="H4241" t="b">
        <f t="shared" si="133"/>
        <v>1</v>
      </c>
    </row>
    <row r="4242" spans="1:8">
      <c r="A4242" s="677">
        <v>7226</v>
      </c>
      <c r="B4242" s="733" t="s">
        <v>12613</v>
      </c>
      <c r="C4242" s="677" t="s">
        <v>1690</v>
      </c>
      <c r="D4242" s="738">
        <f t="shared" si="132"/>
        <v>307.95</v>
      </c>
      <c r="F4242" s="1405">
        <v>307.95</v>
      </c>
      <c r="G4242" s="1405">
        <v>307.95</v>
      </c>
      <c r="H4242" t="b">
        <f t="shared" si="133"/>
        <v>1</v>
      </c>
    </row>
    <row r="4243" spans="1:8">
      <c r="A4243" s="739">
        <v>7227</v>
      </c>
      <c r="B4243" s="740" t="s">
        <v>12614</v>
      </c>
      <c r="C4243" s="739" t="s">
        <v>1690</v>
      </c>
      <c r="D4243" s="741">
        <f t="shared" si="132"/>
        <v>350.53</v>
      </c>
      <c r="F4243" s="1406">
        <v>350.53</v>
      </c>
      <c r="G4243" s="1406">
        <v>350.53</v>
      </c>
      <c r="H4243" t="b">
        <f t="shared" si="133"/>
        <v>1</v>
      </c>
    </row>
    <row r="4244" spans="1:8">
      <c r="A4244" s="677">
        <v>7212</v>
      </c>
      <c r="B4244" s="733" t="s">
        <v>12615</v>
      </c>
      <c r="C4244" s="677" t="s">
        <v>1690</v>
      </c>
      <c r="D4244" s="738">
        <f t="shared" si="132"/>
        <v>385.14</v>
      </c>
      <c r="F4244" s="1405">
        <v>385.14</v>
      </c>
      <c r="G4244" s="1405">
        <v>385.14</v>
      </c>
      <c r="H4244" t="b">
        <f t="shared" si="133"/>
        <v>1</v>
      </c>
    </row>
    <row r="4245" spans="1:8">
      <c r="A4245" s="739">
        <v>7229</v>
      </c>
      <c r="B4245" s="740" t="s">
        <v>12616</v>
      </c>
      <c r="C4245" s="739" t="s">
        <v>1690</v>
      </c>
      <c r="D4245" s="741">
        <f t="shared" si="132"/>
        <v>244.13</v>
      </c>
      <c r="F4245" s="1406">
        <v>244.13</v>
      </c>
      <c r="G4245" s="1406">
        <v>244.13</v>
      </c>
      <c r="H4245" t="b">
        <f t="shared" si="133"/>
        <v>1</v>
      </c>
    </row>
    <row r="4246" spans="1:8">
      <c r="A4246" s="677">
        <v>7230</v>
      </c>
      <c r="B4246" s="733" t="s">
        <v>12617</v>
      </c>
      <c r="C4246" s="677" t="s">
        <v>1690</v>
      </c>
      <c r="D4246" s="738">
        <f t="shared" si="132"/>
        <v>406.42</v>
      </c>
      <c r="F4246" s="1405">
        <v>406.42</v>
      </c>
      <c r="G4246" s="1405">
        <v>406.42</v>
      </c>
      <c r="H4246" t="b">
        <f t="shared" si="133"/>
        <v>1</v>
      </c>
    </row>
    <row r="4247" spans="1:8">
      <c r="A4247" s="739">
        <v>7231</v>
      </c>
      <c r="B4247" s="740" t="s">
        <v>12618</v>
      </c>
      <c r="C4247" s="739" t="s">
        <v>1690</v>
      </c>
      <c r="D4247" s="741">
        <f t="shared" si="132"/>
        <v>576.54999999999995</v>
      </c>
      <c r="F4247" s="1406">
        <v>576.54999999999995</v>
      </c>
      <c r="G4247" s="1406">
        <v>576.54999999999995</v>
      </c>
      <c r="H4247" t="b">
        <f t="shared" si="133"/>
        <v>1</v>
      </c>
    </row>
    <row r="4248" spans="1:8">
      <c r="A4248" s="677">
        <v>7220</v>
      </c>
      <c r="B4248" s="733" t="s">
        <v>12619</v>
      </c>
      <c r="C4248" s="677" t="s">
        <v>1690</v>
      </c>
      <c r="D4248" s="738">
        <f t="shared" si="132"/>
        <v>711.69</v>
      </c>
      <c r="F4248" s="1405">
        <v>711.69</v>
      </c>
      <c r="G4248" s="1405">
        <v>711.69</v>
      </c>
      <c r="H4248" t="b">
        <f t="shared" si="133"/>
        <v>1</v>
      </c>
    </row>
    <row r="4249" spans="1:8">
      <c r="A4249" s="739">
        <v>34447</v>
      </c>
      <c r="B4249" s="740" t="s">
        <v>12620</v>
      </c>
      <c r="C4249" s="739" t="s">
        <v>1690</v>
      </c>
      <c r="D4249" s="741">
        <f t="shared" si="132"/>
        <v>795.77</v>
      </c>
      <c r="F4249" s="1406">
        <v>795.77</v>
      </c>
      <c r="G4249" s="1406">
        <v>795.77</v>
      </c>
      <c r="H4249" t="b">
        <f t="shared" si="133"/>
        <v>1</v>
      </c>
    </row>
    <row r="4250" spans="1:8">
      <c r="A4250" s="677">
        <v>7233</v>
      </c>
      <c r="B4250" s="733" t="s">
        <v>12621</v>
      </c>
      <c r="C4250" s="677" t="s">
        <v>1690</v>
      </c>
      <c r="D4250" s="738">
        <f t="shared" si="132"/>
        <v>912.88</v>
      </c>
      <c r="F4250" s="1405">
        <v>912.88</v>
      </c>
      <c r="G4250" s="1405">
        <v>912.88</v>
      </c>
      <c r="H4250" t="b">
        <f t="shared" si="133"/>
        <v>1</v>
      </c>
    </row>
    <row r="4251" spans="1:8" ht="45">
      <c r="A4251" s="739">
        <v>40740</v>
      </c>
      <c r="B4251" s="740" t="s">
        <v>12622</v>
      </c>
      <c r="C4251" s="739" t="s">
        <v>1692</v>
      </c>
      <c r="D4251" s="741">
        <f t="shared" si="132"/>
        <v>149.4</v>
      </c>
      <c r="F4251" s="1406">
        <v>149.4</v>
      </c>
      <c r="G4251" s="1406">
        <v>149.4</v>
      </c>
      <c r="H4251" t="b">
        <f t="shared" si="133"/>
        <v>1</v>
      </c>
    </row>
    <row r="4252" spans="1:8" ht="30">
      <c r="A4252" s="677">
        <v>25007</v>
      </c>
      <c r="B4252" s="733" t="s">
        <v>12623</v>
      </c>
      <c r="C4252" s="677" t="s">
        <v>1692</v>
      </c>
      <c r="D4252" s="738">
        <f t="shared" si="132"/>
        <v>42.75</v>
      </c>
      <c r="F4252" s="1405">
        <v>42.75</v>
      </c>
      <c r="G4252" s="1405">
        <v>42.75</v>
      </c>
      <c r="H4252" t="b">
        <f t="shared" si="133"/>
        <v>1</v>
      </c>
    </row>
    <row r="4253" spans="1:8" ht="45">
      <c r="A4253" s="739">
        <v>43071</v>
      </c>
      <c r="B4253" s="740" t="s">
        <v>12624</v>
      </c>
      <c r="C4253" s="739" t="s">
        <v>1692</v>
      </c>
      <c r="D4253" s="741">
        <f t="shared" si="132"/>
        <v>168.22</v>
      </c>
      <c r="F4253" s="1406">
        <v>168.22</v>
      </c>
      <c r="G4253" s="1406">
        <v>168.22</v>
      </c>
      <c r="H4253" t="b">
        <f t="shared" si="133"/>
        <v>1</v>
      </c>
    </row>
    <row r="4254" spans="1:8" ht="45">
      <c r="A4254" s="677">
        <v>39520</v>
      </c>
      <c r="B4254" s="733" t="s">
        <v>12625</v>
      </c>
      <c r="C4254" s="677" t="s">
        <v>1692</v>
      </c>
      <c r="D4254" s="738">
        <f t="shared" si="132"/>
        <v>137.24</v>
      </c>
      <c r="F4254" s="1405">
        <v>137.24</v>
      </c>
      <c r="G4254" s="1405">
        <v>137.24</v>
      </c>
      <c r="H4254" t="b">
        <f t="shared" si="133"/>
        <v>1</v>
      </c>
    </row>
    <row r="4255" spans="1:8" ht="45">
      <c r="A4255" s="739">
        <v>39521</v>
      </c>
      <c r="B4255" s="740" t="s">
        <v>12626</v>
      </c>
      <c r="C4255" s="739" t="s">
        <v>1692</v>
      </c>
      <c r="D4255" s="741">
        <f t="shared" si="132"/>
        <v>141.72</v>
      </c>
      <c r="F4255" s="1406">
        <v>141.72</v>
      </c>
      <c r="G4255" s="1406">
        <v>141.72</v>
      </c>
      <c r="H4255" t="b">
        <f t="shared" si="133"/>
        <v>1</v>
      </c>
    </row>
    <row r="4256" spans="1:8" ht="45">
      <c r="A4256" s="677">
        <v>39522</v>
      </c>
      <c r="B4256" s="733" t="s">
        <v>12627</v>
      </c>
      <c r="C4256" s="677" t="s">
        <v>1692</v>
      </c>
      <c r="D4256" s="738">
        <f t="shared" si="132"/>
        <v>146.35</v>
      </c>
      <c r="F4256" s="1405">
        <v>146.35</v>
      </c>
      <c r="G4256" s="1405">
        <v>146.35</v>
      </c>
      <c r="H4256" t="b">
        <f t="shared" si="133"/>
        <v>1</v>
      </c>
    </row>
    <row r="4257" spans="1:8" ht="30">
      <c r="A4257" s="739">
        <v>7243</v>
      </c>
      <c r="B4257" s="740" t="s">
        <v>12628</v>
      </c>
      <c r="C4257" s="739" t="s">
        <v>1692</v>
      </c>
      <c r="D4257" s="741">
        <f t="shared" si="132"/>
        <v>44.67</v>
      </c>
      <c r="F4257" s="1406">
        <v>44.67</v>
      </c>
      <c r="G4257" s="1406">
        <v>44.67</v>
      </c>
      <c r="H4257" t="b">
        <f t="shared" si="133"/>
        <v>1</v>
      </c>
    </row>
    <row r="4258" spans="1:8" ht="30">
      <c r="A4258" s="677">
        <v>11067</v>
      </c>
      <c r="B4258" s="733" t="s">
        <v>12629</v>
      </c>
      <c r="C4258" s="677" t="s">
        <v>1690</v>
      </c>
      <c r="D4258" s="738">
        <f t="shared" si="132"/>
        <v>327.2</v>
      </c>
      <c r="F4258" s="1405">
        <v>327.2</v>
      </c>
      <c r="G4258" s="1405">
        <v>327.2</v>
      </c>
      <c r="H4258" t="b">
        <f t="shared" si="133"/>
        <v>1</v>
      </c>
    </row>
    <row r="4259" spans="1:8" ht="30">
      <c r="A4259" s="739">
        <v>11068</v>
      </c>
      <c r="B4259" s="740" t="s">
        <v>12630</v>
      </c>
      <c r="C4259" s="739" t="s">
        <v>1690</v>
      </c>
      <c r="D4259" s="741">
        <f t="shared" si="132"/>
        <v>413.36</v>
      </c>
      <c r="F4259" s="1406">
        <v>413.36</v>
      </c>
      <c r="G4259" s="1406">
        <v>413.36</v>
      </c>
      <c r="H4259" t="b">
        <f t="shared" si="133"/>
        <v>1</v>
      </c>
    </row>
    <row r="4260" spans="1:8">
      <c r="A4260" s="677">
        <v>7246</v>
      </c>
      <c r="B4260" s="733" t="s">
        <v>12631</v>
      </c>
      <c r="C4260" s="677" t="s">
        <v>1690</v>
      </c>
      <c r="D4260" s="738">
        <f t="shared" si="132"/>
        <v>63.11</v>
      </c>
      <c r="F4260" s="1405">
        <v>63.11</v>
      </c>
      <c r="G4260" s="1405">
        <v>63.11</v>
      </c>
      <c r="H4260" t="b">
        <f t="shared" si="133"/>
        <v>1</v>
      </c>
    </row>
    <row r="4261" spans="1:8">
      <c r="A4261" s="739">
        <v>41097</v>
      </c>
      <c r="B4261" s="740" t="s">
        <v>12632</v>
      </c>
      <c r="C4261" s="739" t="s">
        <v>1696</v>
      </c>
      <c r="D4261" s="741">
        <f t="shared" si="132"/>
        <v>3440.93</v>
      </c>
      <c r="F4261" s="1406">
        <v>2984.29</v>
      </c>
      <c r="G4261" s="1406">
        <v>3440.93</v>
      </c>
      <c r="H4261" t="b">
        <f t="shared" si="133"/>
        <v>0</v>
      </c>
    </row>
    <row r="4262" spans="1:8">
      <c r="A4262" s="677">
        <v>12869</v>
      </c>
      <c r="B4262" s="733" t="s">
        <v>12633</v>
      </c>
      <c r="C4262" s="677" t="s">
        <v>1689</v>
      </c>
      <c r="D4262" s="738">
        <f t="shared" si="132"/>
        <v>19.54</v>
      </c>
      <c r="F4262" s="1405">
        <v>16.97</v>
      </c>
      <c r="G4262" s="1405">
        <v>19.54</v>
      </c>
      <c r="H4262" t="b">
        <f t="shared" si="133"/>
        <v>0</v>
      </c>
    </row>
    <row r="4263" spans="1:8">
      <c r="A4263" s="739">
        <v>1574</v>
      </c>
      <c r="B4263" s="740" t="s">
        <v>12634</v>
      </c>
      <c r="C4263" s="739" t="s">
        <v>1690</v>
      </c>
      <c r="D4263" s="741">
        <f t="shared" si="132"/>
        <v>2.0099999999999998</v>
      </c>
      <c r="F4263" s="1406">
        <v>2.0099999999999998</v>
      </c>
      <c r="G4263" s="1406">
        <v>2.0099999999999998</v>
      </c>
      <c r="H4263" t="b">
        <f t="shared" si="133"/>
        <v>1</v>
      </c>
    </row>
    <row r="4264" spans="1:8" ht="30">
      <c r="A4264" s="677">
        <v>1581</v>
      </c>
      <c r="B4264" s="733" t="s">
        <v>12635</v>
      </c>
      <c r="C4264" s="677" t="s">
        <v>1690</v>
      </c>
      <c r="D4264" s="738">
        <f t="shared" si="132"/>
        <v>13.95</v>
      </c>
      <c r="F4264" s="1405">
        <v>13.95</v>
      </c>
      <c r="G4264" s="1405">
        <v>13.95</v>
      </c>
      <c r="H4264" t="b">
        <f t="shared" si="133"/>
        <v>1</v>
      </c>
    </row>
    <row r="4265" spans="1:8">
      <c r="A4265" s="739">
        <v>1575</v>
      </c>
      <c r="B4265" s="740" t="s">
        <v>12636</v>
      </c>
      <c r="C4265" s="739" t="s">
        <v>1690</v>
      </c>
      <c r="D4265" s="741">
        <f t="shared" si="132"/>
        <v>2.39</v>
      </c>
      <c r="F4265" s="1406">
        <v>2.39</v>
      </c>
      <c r="G4265" s="1406">
        <v>2.39</v>
      </c>
      <c r="H4265" t="b">
        <f t="shared" si="133"/>
        <v>1</v>
      </c>
    </row>
    <row r="4266" spans="1:8">
      <c r="A4266" s="677">
        <v>1570</v>
      </c>
      <c r="B4266" s="733" t="s">
        <v>12637</v>
      </c>
      <c r="C4266" s="677" t="s">
        <v>1690</v>
      </c>
      <c r="D4266" s="738">
        <f t="shared" si="132"/>
        <v>1.2</v>
      </c>
      <c r="F4266" s="1405">
        <v>1.2</v>
      </c>
      <c r="G4266" s="1405">
        <v>1.2</v>
      </c>
      <c r="H4266" t="b">
        <f t="shared" si="133"/>
        <v>1</v>
      </c>
    </row>
    <row r="4267" spans="1:8">
      <c r="A4267" s="739">
        <v>1576</v>
      </c>
      <c r="B4267" s="740" t="s">
        <v>12638</v>
      </c>
      <c r="C4267" s="739" t="s">
        <v>1690</v>
      </c>
      <c r="D4267" s="741">
        <f t="shared" si="132"/>
        <v>3.3</v>
      </c>
      <c r="F4267" s="1406">
        <v>3.3</v>
      </c>
      <c r="G4267" s="1406">
        <v>3.3</v>
      </c>
      <c r="H4267" t="b">
        <f t="shared" si="133"/>
        <v>1</v>
      </c>
    </row>
    <row r="4268" spans="1:8">
      <c r="A4268" s="677">
        <v>1577</v>
      </c>
      <c r="B4268" s="733" t="s">
        <v>12639</v>
      </c>
      <c r="C4268" s="677" t="s">
        <v>1690</v>
      </c>
      <c r="D4268" s="738">
        <f t="shared" si="132"/>
        <v>3.72</v>
      </c>
      <c r="F4268" s="1405">
        <v>3.72</v>
      </c>
      <c r="G4268" s="1405">
        <v>3.72</v>
      </c>
      <c r="H4268" t="b">
        <f t="shared" si="133"/>
        <v>1</v>
      </c>
    </row>
    <row r="4269" spans="1:8">
      <c r="A4269" s="739">
        <v>1571</v>
      </c>
      <c r="B4269" s="740" t="s">
        <v>12640</v>
      </c>
      <c r="C4269" s="739" t="s">
        <v>1690</v>
      </c>
      <c r="D4269" s="741">
        <f t="shared" si="132"/>
        <v>1.56</v>
      </c>
      <c r="F4269" s="1406">
        <v>1.56</v>
      </c>
      <c r="G4269" s="1406">
        <v>1.56</v>
      </c>
      <c r="H4269" t="b">
        <f t="shared" si="133"/>
        <v>1</v>
      </c>
    </row>
    <row r="4270" spans="1:8">
      <c r="A4270" s="677">
        <v>1578</v>
      </c>
      <c r="B4270" s="733" t="s">
        <v>12641</v>
      </c>
      <c r="C4270" s="677" t="s">
        <v>1690</v>
      </c>
      <c r="D4270" s="738">
        <f t="shared" si="132"/>
        <v>6.46</v>
      </c>
      <c r="F4270" s="1405">
        <v>6.46</v>
      </c>
      <c r="G4270" s="1405">
        <v>6.46</v>
      </c>
      <c r="H4270" t="b">
        <f t="shared" si="133"/>
        <v>1</v>
      </c>
    </row>
    <row r="4271" spans="1:8">
      <c r="A4271" s="739">
        <v>1573</v>
      </c>
      <c r="B4271" s="740" t="s">
        <v>12642</v>
      </c>
      <c r="C4271" s="739" t="s">
        <v>1690</v>
      </c>
      <c r="D4271" s="741">
        <f t="shared" si="132"/>
        <v>1.86</v>
      </c>
      <c r="F4271" s="1406">
        <v>1.86</v>
      </c>
      <c r="G4271" s="1406">
        <v>1.86</v>
      </c>
      <c r="H4271" t="b">
        <f t="shared" si="133"/>
        <v>1</v>
      </c>
    </row>
    <row r="4272" spans="1:8" ht="30">
      <c r="A4272" s="677">
        <v>1579</v>
      </c>
      <c r="B4272" s="733" t="s">
        <v>12643</v>
      </c>
      <c r="C4272" s="677" t="s">
        <v>1690</v>
      </c>
      <c r="D4272" s="738">
        <f t="shared" si="132"/>
        <v>8.06</v>
      </c>
      <c r="F4272" s="1405">
        <v>8.06</v>
      </c>
      <c r="G4272" s="1405">
        <v>8.06</v>
      </c>
      <c r="H4272" t="b">
        <f t="shared" si="133"/>
        <v>1</v>
      </c>
    </row>
    <row r="4273" spans="1:8" ht="30">
      <c r="A4273" s="739">
        <v>1580</v>
      </c>
      <c r="B4273" s="740" t="s">
        <v>12644</v>
      </c>
      <c r="C4273" s="739" t="s">
        <v>1690</v>
      </c>
      <c r="D4273" s="741">
        <f t="shared" si="132"/>
        <v>9.92</v>
      </c>
      <c r="F4273" s="1406">
        <v>9.92</v>
      </c>
      <c r="G4273" s="1406">
        <v>9.92</v>
      </c>
      <c r="H4273" t="b">
        <f t="shared" si="133"/>
        <v>1</v>
      </c>
    </row>
    <row r="4274" spans="1:8">
      <c r="A4274" s="677">
        <v>39321</v>
      </c>
      <c r="B4274" s="733" t="s">
        <v>12645</v>
      </c>
      <c r="C4274" s="677" t="s">
        <v>1690</v>
      </c>
      <c r="D4274" s="738">
        <f t="shared" si="132"/>
        <v>21.2</v>
      </c>
      <c r="F4274" s="1405">
        <v>21.2</v>
      </c>
      <c r="G4274" s="1405">
        <v>21.2</v>
      </c>
      <c r="H4274" t="b">
        <f t="shared" si="133"/>
        <v>1</v>
      </c>
    </row>
    <row r="4275" spans="1:8">
      <c r="A4275" s="739">
        <v>39319</v>
      </c>
      <c r="B4275" s="740" t="s">
        <v>12646</v>
      </c>
      <c r="C4275" s="739" t="s">
        <v>1690</v>
      </c>
      <c r="D4275" s="741">
        <f t="shared" si="132"/>
        <v>8.82</v>
      </c>
      <c r="F4275" s="1406">
        <v>8.82</v>
      </c>
      <c r="G4275" s="1406">
        <v>8.82</v>
      </c>
      <c r="H4275" t="b">
        <f t="shared" si="133"/>
        <v>1</v>
      </c>
    </row>
    <row r="4276" spans="1:8">
      <c r="A4276" s="677">
        <v>39320</v>
      </c>
      <c r="B4276" s="733" t="s">
        <v>12647</v>
      </c>
      <c r="C4276" s="677" t="s">
        <v>1690</v>
      </c>
      <c r="D4276" s="738">
        <f t="shared" si="132"/>
        <v>16.96</v>
      </c>
      <c r="F4276" s="1405">
        <v>16.96</v>
      </c>
      <c r="G4276" s="1405">
        <v>16.96</v>
      </c>
      <c r="H4276" t="b">
        <f t="shared" si="133"/>
        <v>1</v>
      </c>
    </row>
    <row r="4277" spans="1:8">
      <c r="A4277" s="739">
        <v>1591</v>
      </c>
      <c r="B4277" s="740" t="s">
        <v>12648</v>
      </c>
      <c r="C4277" s="739" t="s">
        <v>1690</v>
      </c>
      <c r="D4277" s="741">
        <f t="shared" si="132"/>
        <v>30.76</v>
      </c>
      <c r="F4277" s="1406">
        <v>30.76</v>
      </c>
      <c r="G4277" s="1406">
        <v>30.76</v>
      </c>
      <c r="H4277" t="b">
        <f t="shared" si="133"/>
        <v>1</v>
      </c>
    </row>
    <row r="4278" spans="1:8">
      <c r="A4278" s="677">
        <v>1547</v>
      </c>
      <c r="B4278" s="733" t="s">
        <v>12649</v>
      </c>
      <c r="C4278" s="677" t="s">
        <v>1690</v>
      </c>
      <c r="D4278" s="738">
        <f t="shared" si="132"/>
        <v>161.19999999999999</v>
      </c>
      <c r="F4278" s="1405">
        <v>161.19999999999999</v>
      </c>
      <c r="G4278" s="1405">
        <v>161.19999999999999</v>
      </c>
      <c r="H4278" t="b">
        <f t="shared" si="133"/>
        <v>1</v>
      </c>
    </row>
    <row r="4279" spans="1:8">
      <c r="A4279" s="739">
        <v>38196</v>
      </c>
      <c r="B4279" s="740" t="s">
        <v>12650</v>
      </c>
      <c r="C4279" s="739" t="s">
        <v>1690</v>
      </c>
      <c r="D4279" s="741">
        <f t="shared" si="132"/>
        <v>31.39</v>
      </c>
      <c r="F4279" s="1406">
        <v>31.39</v>
      </c>
      <c r="G4279" s="1406">
        <v>31.39</v>
      </c>
      <c r="H4279" t="b">
        <f t="shared" si="133"/>
        <v>1</v>
      </c>
    </row>
    <row r="4280" spans="1:8">
      <c r="A4280" s="677">
        <v>1543</v>
      </c>
      <c r="B4280" s="733" t="s">
        <v>12651</v>
      </c>
      <c r="C4280" s="677" t="s">
        <v>1690</v>
      </c>
      <c r="D4280" s="738">
        <f t="shared" si="132"/>
        <v>33.36</v>
      </c>
      <c r="F4280" s="1405">
        <v>33.36</v>
      </c>
      <c r="G4280" s="1405">
        <v>33.36</v>
      </c>
      <c r="H4280" t="b">
        <f t="shared" si="133"/>
        <v>1</v>
      </c>
    </row>
    <row r="4281" spans="1:8">
      <c r="A4281" s="739">
        <v>1585</v>
      </c>
      <c r="B4281" s="740" t="s">
        <v>12652</v>
      </c>
      <c r="C4281" s="739" t="s">
        <v>1690</v>
      </c>
      <c r="D4281" s="741">
        <f t="shared" si="132"/>
        <v>6.46</v>
      </c>
      <c r="F4281" s="1406">
        <v>6.46</v>
      </c>
      <c r="G4281" s="1406">
        <v>6.46</v>
      </c>
      <c r="H4281" t="b">
        <f t="shared" si="133"/>
        <v>1</v>
      </c>
    </row>
    <row r="4282" spans="1:8">
      <c r="A4282" s="677">
        <v>1593</v>
      </c>
      <c r="B4282" s="733" t="s">
        <v>12653</v>
      </c>
      <c r="C4282" s="677" t="s">
        <v>1690</v>
      </c>
      <c r="D4282" s="738">
        <f t="shared" si="132"/>
        <v>34.31</v>
      </c>
      <c r="F4282" s="1405">
        <v>34.31</v>
      </c>
      <c r="G4282" s="1405">
        <v>34.31</v>
      </c>
      <c r="H4282" t="b">
        <f t="shared" si="133"/>
        <v>1</v>
      </c>
    </row>
    <row r="4283" spans="1:8">
      <c r="A4283" s="739">
        <v>11838</v>
      </c>
      <c r="B4283" s="740" t="s">
        <v>12654</v>
      </c>
      <c r="C4283" s="739" t="s">
        <v>1690</v>
      </c>
      <c r="D4283" s="741">
        <f t="shared" si="132"/>
        <v>45.27</v>
      </c>
      <c r="F4283" s="1406">
        <v>45.27</v>
      </c>
      <c r="G4283" s="1406">
        <v>45.27</v>
      </c>
      <c r="H4283" t="b">
        <f t="shared" si="133"/>
        <v>1</v>
      </c>
    </row>
    <row r="4284" spans="1:8">
      <c r="A4284" s="677">
        <v>1594</v>
      </c>
      <c r="B4284" s="733" t="s">
        <v>12655</v>
      </c>
      <c r="C4284" s="677" t="s">
        <v>1690</v>
      </c>
      <c r="D4284" s="738">
        <f t="shared" si="132"/>
        <v>45.77</v>
      </c>
      <c r="F4284" s="1405">
        <v>45.77</v>
      </c>
      <c r="G4284" s="1405">
        <v>45.77</v>
      </c>
      <c r="H4284" t="b">
        <f t="shared" si="133"/>
        <v>1</v>
      </c>
    </row>
    <row r="4285" spans="1:8">
      <c r="A4285" s="739">
        <v>1586</v>
      </c>
      <c r="B4285" s="740" t="s">
        <v>12656</v>
      </c>
      <c r="C4285" s="739" t="s">
        <v>1690</v>
      </c>
      <c r="D4285" s="741">
        <f t="shared" si="132"/>
        <v>8.18</v>
      </c>
      <c r="F4285" s="1406">
        <v>8.18</v>
      </c>
      <c r="G4285" s="1406">
        <v>8.18</v>
      </c>
      <c r="H4285" t="b">
        <f t="shared" si="133"/>
        <v>1</v>
      </c>
    </row>
    <row r="4286" spans="1:8">
      <c r="A4286" s="677">
        <v>11839</v>
      </c>
      <c r="B4286" s="733" t="s">
        <v>12657</v>
      </c>
      <c r="C4286" s="677" t="s">
        <v>1690</v>
      </c>
      <c r="D4286" s="738">
        <f t="shared" si="132"/>
        <v>65.88</v>
      </c>
      <c r="F4286" s="1405">
        <v>65.88</v>
      </c>
      <c r="G4286" s="1405">
        <v>65.88</v>
      </c>
      <c r="H4286" t="b">
        <f t="shared" si="133"/>
        <v>1</v>
      </c>
    </row>
    <row r="4287" spans="1:8">
      <c r="A4287" s="739">
        <v>1587</v>
      </c>
      <c r="B4287" s="740" t="s">
        <v>12658</v>
      </c>
      <c r="C4287" s="739" t="s">
        <v>1690</v>
      </c>
      <c r="D4287" s="741">
        <f t="shared" si="132"/>
        <v>8.33</v>
      </c>
      <c r="F4287" s="1406">
        <v>8.33</v>
      </c>
      <c r="G4287" s="1406">
        <v>8.33</v>
      </c>
      <c r="H4287" t="b">
        <f t="shared" si="133"/>
        <v>1</v>
      </c>
    </row>
    <row r="4288" spans="1:8">
      <c r="A4288" s="677">
        <v>1545</v>
      </c>
      <c r="B4288" s="733" t="s">
        <v>12659</v>
      </c>
      <c r="C4288" s="677" t="s">
        <v>1690</v>
      </c>
      <c r="D4288" s="738">
        <f t="shared" si="132"/>
        <v>79.05</v>
      </c>
      <c r="F4288" s="1405">
        <v>79.05</v>
      </c>
      <c r="G4288" s="1405">
        <v>79.05</v>
      </c>
      <c r="H4288" t="b">
        <f t="shared" si="133"/>
        <v>1</v>
      </c>
    </row>
    <row r="4289" spans="1:8">
      <c r="A4289" s="739">
        <v>1588</v>
      </c>
      <c r="B4289" s="740" t="s">
        <v>12660</v>
      </c>
      <c r="C4289" s="739" t="s">
        <v>1690</v>
      </c>
      <c r="D4289" s="741">
        <f t="shared" si="132"/>
        <v>11.42</v>
      </c>
      <c r="F4289" s="1406">
        <v>11.42</v>
      </c>
      <c r="G4289" s="1406">
        <v>11.42</v>
      </c>
      <c r="H4289" t="b">
        <f t="shared" si="133"/>
        <v>1</v>
      </c>
    </row>
    <row r="4290" spans="1:8">
      <c r="A4290" s="677">
        <v>1535</v>
      </c>
      <c r="B4290" s="733" t="s">
        <v>12661</v>
      </c>
      <c r="C4290" s="677" t="s">
        <v>1690</v>
      </c>
      <c r="D4290" s="738">
        <f t="shared" si="132"/>
        <v>6.58</v>
      </c>
      <c r="F4290" s="1405">
        <v>6.58</v>
      </c>
      <c r="G4290" s="1405">
        <v>6.58</v>
      </c>
      <c r="H4290" t="b">
        <f t="shared" si="133"/>
        <v>1</v>
      </c>
    </row>
    <row r="4291" spans="1:8">
      <c r="A4291" s="739">
        <v>1589</v>
      </c>
      <c r="B4291" s="740" t="s">
        <v>12662</v>
      </c>
      <c r="C4291" s="739" t="s">
        <v>1690</v>
      </c>
      <c r="D4291" s="741">
        <f t="shared" ref="D4291:D4354" si="134">IF($J$2=$F$1,F4291,G4291)</f>
        <v>11.78</v>
      </c>
      <c r="F4291" s="1406">
        <v>11.78</v>
      </c>
      <c r="G4291" s="1406">
        <v>11.78</v>
      </c>
      <c r="H4291" t="b">
        <f t="shared" ref="H4291:H4354" si="135">F4291=G4291</f>
        <v>1</v>
      </c>
    </row>
    <row r="4292" spans="1:8">
      <c r="A4292" s="677">
        <v>1546</v>
      </c>
      <c r="B4292" s="733" t="s">
        <v>12663</v>
      </c>
      <c r="C4292" s="677" t="s">
        <v>1690</v>
      </c>
      <c r="D4292" s="738">
        <f t="shared" si="134"/>
        <v>133.4</v>
      </c>
      <c r="F4292" s="1405">
        <v>133.4</v>
      </c>
      <c r="G4292" s="1405">
        <v>133.4</v>
      </c>
      <c r="H4292" t="b">
        <f t="shared" si="135"/>
        <v>1</v>
      </c>
    </row>
    <row r="4293" spans="1:8">
      <c r="A4293" s="739">
        <v>1590</v>
      </c>
      <c r="B4293" s="740" t="s">
        <v>12664</v>
      </c>
      <c r="C4293" s="739" t="s">
        <v>1690</v>
      </c>
      <c r="D4293" s="741">
        <f t="shared" si="134"/>
        <v>20.75</v>
      </c>
      <c r="F4293" s="1406">
        <v>20.75</v>
      </c>
      <c r="G4293" s="1406">
        <v>20.75</v>
      </c>
      <c r="H4293" t="b">
        <f t="shared" si="135"/>
        <v>1</v>
      </c>
    </row>
    <row r="4294" spans="1:8">
      <c r="A4294" s="677">
        <v>1542</v>
      </c>
      <c r="B4294" s="733" t="s">
        <v>12665</v>
      </c>
      <c r="C4294" s="677" t="s">
        <v>1690</v>
      </c>
      <c r="D4294" s="738">
        <f t="shared" si="134"/>
        <v>27.48</v>
      </c>
      <c r="F4294" s="1405">
        <v>27.48</v>
      </c>
      <c r="G4294" s="1405">
        <v>27.48</v>
      </c>
      <c r="H4294" t="b">
        <f t="shared" si="135"/>
        <v>1</v>
      </c>
    </row>
    <row r="4295" spans="1:8">
      <c r="A4295" s="739">
        <v>38415</v>
      </c>
      <c r="B4295" s="740" t="s">
        <v>12666</v>
      </c>
      <c r="C4295" s="739" t="s">
        <v>1690</v>
      </c>
      <c r="D4295" s="741">
        <f t="shared" si="134"/>
        <v>1134.9000000000001</v>
      </c>
      <c r="F4295" s="1406">
        <v>1134.9000000000001</v>
      </c>
      <c r="G4295" s="1406">
        <v>1134.9000000000001</v>
      </c>
      <c r="H4295" t="b">
        <f t="shared" si="135"/>
        <v>1</v>
      </c>
    </row>
    <row r="4296" spans="1:8">
      <c r="A4296" s="677">
        <v>38414</v>
      </c>
      <c r="B4296" s="733" t="s">
        <v>12667</v>
      </c>
      <c r="C4296" s="677" t="s">
        <v>1690</v>
      </c>
      <c r="D4296" s="738">
        <f t="shared" si="134"/>
        <v>1592.84</v>
      </c>
      <c r="F4296" s="1405">
        <v>1592.84</v>
      </c>
      <c r="G4296" s="1405">
        <v>1592.84</v>
      </c>
      <c r="H4296" t="b">
        <f t="shared" si="135"/>
        <v>1</v>
      </c>
    </row>
    <row r="4297" spans="1:8">
      <c r="A4297" s="739">
        <v>38128</v>
      </c>
      <c r="B4297" s="740" t="s">
        <v>12668</v>
      </c>
      <c r="C4297" s="739" t="s">
        <v>1694</v>
      </c>
      <c r="D4297" s="741">
        <f t="shared" si="134"/>
        <v>0.67</v>
      </c>
      <c r="F4297" s="1406">
        <v>0.67</v>
      </c>
      <c r="G4297" s="1406">
        <v>0.67</v>
      </c>
      <c r="H4297" t="b">
        <f t="shared" si="135"/>
        <v>1</v>
      </c>
    </row>
    <row r="4298" spans="1:8">
      <c r="A4298" s="677">
        <v>7253</v>
      </c>
      <c r="B4298" s="733" t="s">
        <v>12669</v>
      </c>
      <c r="C4298" s="677" t="s">
        <v>1691</v>
      </c>
      <c r="D4298" s="738">
        <f t="shared" si="134"/>
        <v>143.57</v>
      </c>
      <c r="F4298" s="1405">
        <v>143.57</v>
      </c>
      <c r="G4298" s="1405">
        <v>143.57</v>
      </c>
      <c r="H4298" t="b">
        <f t="shared" si="135"/>
        <v>1</v>
      </c>
    </row>
    <row r="4299" spans="1:8">
      <c r="A4299" s="739">
        <v>4806</v>
      </c>
      <c r="B4299" s="740" t="s">
        <v>12670</v>
      </c>
      <c r="C4299" s="739" t="s">
        <v>1693</v>
      </c>
      <c r="D4299" s="741">
        <f t="shared" si="134"/>
        <v>19.46</v>
      </c>
      <c r="F4299" s="1406">
        <v>19.46</v>
      </c>
      <c r="G4299" s="1406">
        <v>19.46</v>
      </c>
      <c r="H4299" t="b">
        <f t="shared" si="135"/>
        <v>1</v>
      </c>
    </row>
    <row r="4300" spans="1:8">
      <c r="A4300" s="677">
        <v>34401</v>
      </c>
      <c r="B4300" s="733" t="s">
        <v>12671</v>
      </c>
      <c r="C4300" s="677" t="s">
        <v>1690</v>
      </c>
      <c r="D4300" s="738">
        <f t="shared" si="134"/>
        <v>2.27</v>
      </c>
      <c r="F4300" s="1405">
        <v>2.27</v>
      </c>
      <c r="G4300" s="1405">
        <v>2.27</v>
      </c>
      <c r="H4300" t="b">
        <f t="shared" si="135"/>
        <v>1</v>
      </c>
    </row>
    <row r="4301" spans="1:8">
      <c r="A4301" s="739">
        <v>7260</v>
      </c>
      <c r="B4301" s="740" t="s">
        <v>12672</v>
      </c>
      <c r="C4301" s="739" t="s">
        <v>1690</v>
      </c>
      <c r="D4301" s="741">
        <f t="shared" si="134"/>
        <v>2.0099999999999998</v>
      </c>
      <c r="F4301" s="1406">
        <v>2.0099999999999998</v>
      </c>
      <c r="G4301" s="1406">
        <v>2.0099999999999998</v>
      </c>
      <c r="H4301" t="b">
        <f t="shared" si="135"/>
        <v>1</v>
      </c>
    </row>
    <row r="4302" spans="1:8">
      <c r="A4302" s="677">
        <v>7256</v>
      </c>
      <c r="B4302" s="733" t="s">
        <v>12673</v>
      </c>
      <c r="C4302" s="677" t="s">
        <v>1690</v>
      </c>
      <c r="D4302" s="738">
        <f t="shared" si="134"/>
        <v>1.99</v>
      </c>
      <c r="F4302" s="1405">
        <v>1.99</v>
      </c>
      <c r="G4302" s="1405">
        <v>1.99</v>
      </c>
      <c r="H4302" t="b">
        <f t="shared" si="135"/>
        <v>1</v>
      </c>
    </row>
    <row r="4303" spans="1:8">
      <c r="A4303" s="739">
        <v>7258</v>
      </c>
      <c r="B4303" s="740" t="s">
        <v>12674</v>
      </c>
      <c r="C4303" s="739" t="s">
        <v>1690</v>
      </c>
      <c r="D4303" s="741">
        <f t="shared" si="134"/>
        <v>0.81</v>
      </c>
      <c r="F4303" s="1406">
        <v>0.81</v>
      </c>
      <c r="G4303" s="1406">
        <v>0.81</v>
      </c>
      <c r="H4303" t="b">
        <f t="shared" si="135"/>
        <v>1</v>
      </c>
    </row>
    <row r="4304" spans="1:8">
      <c r="A4304" s="677">
        <v>34400</v>
      </c>
      <c r="B4304" s="733" t="s">
        <v>12675</v>
      </c>
      <c r="C4304" s="677" t="s">
        <v>1690</v>
      </c>
      <c r="D4304" s="738">
        <f t="shared" si="134"/>
        <v>3.49</v>
      </c>
      <c r="F4304" s="1405">
        <v>3.49</v>
      </c>
      <c r="G4304" s="1405">
        <v>3.49</v>
      </c>
      <c r="H4304" t="b">
        <f t="shared" si="135"/>
        <v>1</v>
      </c>
    </row>
    <row r="4305" spans="1:8">
      <c r="A4305" s="739">
        <v>10617</v>
      </c>
      <c r="B4305" s="740" t="s">
        <v>12676</v>
      </c>
      <c r="C4305" s="739" t="s">
        <v>1690</v>
      </c>
      <c r="D4305" s="741">
        <f t="shared" si="134"/>
        <v>6.67</v>
      </c>
      <c r="F4305" s="1406">
        <v>6.67</v>
      </c>
      <c r="G4305" s="1406">
        <v>6.67</v>
      </c>
      <c r="H4305" t="b">
        <f t="shared" si="135"/>
        <v>1</v>
      </c>
    </row>
    <row r="4306" spans="1:8">
      <c r="A4306" s="677">
        <v>44261</v>
      </c>
      <c r="B4306" s="733" t="s">
        <v>12677</v>
      </c>
      <c r="C4306" s="677" t="s">
        <v>1690</v>
      </c>
      <c r="D4306" s="738">
        <f t="shared" si="134"/>
        <v>140.88</v>
      </c>
      <c r="F4306" s="1405">
        <v>140.88</v>
      </c>
      <c r="G4306" s="1405">
        <v>140.88</v>
      </c>
      <c r="H4306" t="b">
        <f t="shared" si="135"/>
        <v>1</v>
      </c>
    </row>
    <row r="4307" spans="1:8">
      <c r="A4307" s="739">
        <v>7274</v>
      </c>
      <c r="B4307" s="740" t="s">
        <v>12678</v>
      </c>
      <c r="C4307" s="739" t="s">
        <v>1690</v>
      </c>
      <c r="D4307" s="741">
        <f t="shared" si="134"/>
        <v>68.2</v>
      </c>
      <c r="F4307" s="1406">
        <v>68.2</v>
      </c>
      <c r="G4307" s="1406">
        <v>68.2</v>
      </c>
      <c r="H4307" t="b">
        <f t="shared" si="135"/>
        <v>1</v>
      </c>
    </row>
    <row r="4308" spans="1:8">
      <c r="A4308" s="677">
        <v>44326</v>
      </c>
      <c r="B4308" s="733" t="s">
        <v>12679</v>
      </c>
      <c r="C4308" s="677" t="s">
        <v>1690</v>
      </c>
      <c r="D4308" s="738">
        <f t="shared" si="134"/>
        <v>1473.05</v>
      </c>
      <c r="F4308" s="1405">
        <v>1473.05</v>
      </c>
      <c r="G4308" s="1405">
        <v>1473.05</v>
      </c>
      <c r="H4308" t="b">
        <f t="shared" si="135"/>
        <v>1</v>
      </c>
    </row>
    <row r="4309" spans="1:8">
      <c r="A4309" s="739">
        <v>154</v>
      </c>
      <c r="B4309" s="740" t="s">
        <v>12680</v>
      </c>
      <c r="C4309" s="739" t="s">
        <v>1695</v>
      </c>
      <c r="D4309" s="741">
        <f t="shared" si="134"/>
        <v>73.709999999999994</v>
      </c>
      <c r="F4309" s="1406">
        <v>73.709999999999994</v>
      </c>
      <c r="G4309" s="1406">
        <v>73.709999999999994</v>
      </c>
      <c r="H4309" t="b">
        <f t="shared" si="135"/>
        <v>1</v>
      </c>
    </row>
    <row r="4310" spans="1:8">
      <c r="A4310" s="677">
        <v>38121</v>
      </c>
      <c r="B4310" s="733" t="s">
        <v>12681</v>
      </c>
      <c r="C4310" s="677" t="s">
        <v>1695</v>
      </c>
      <c r="D4310" s="738">
        <f t="shared" si="134"/>
        <v>10.78</v>
      </c>
      <c r="F4310" s="1405">
        <v>10.78</v>
      </c>
      <c r="G4310" s="1405">
        <v>10.78</v>
      </c>
      <c r="H4310" t="b">
        <f t="shared" si="135"/>
        <v>1</v>
      </c>
    </row>
    <row r="4311" spans="1:8">
      <c r="A4311" s="739">
        <v>43776</v>
      </c>
      <c r="B4311" s="740" t="s">
        <v>12682</v>
      </c>
      <c r="C4311" s="739" t="s">
        <v>1695</v>
      </c>
      <c r="D4311" s="741">
        <f t="shared" si="134"/>
        <v>23.2</v>
      </c>
      <c r="F4311" s="1406">
        <v>23.2</v>
      </c>
      <c r="G4311" s="1406">
        <v>23.2</v>
      </c>
      <c r="H4311" t="b">
        <f t="shared" si="135"/>
        <v>1</v>
      </c>
    </row>
    <row r="4312" spans="1:8">
      <c r="A4312" s="677">
        <v>7343</v>
      </c>
      <c r="B4312" s="733" t="s">
        <v>12683</v>
      </c>
      <c r="C4312" s="677" t="s">
        <v>1695</v>
      </c>
      <c r="D4312" s="738">
        <f t="shared" si="134"/>
        <v>9.5399999999999991</v>
      </c>
      <c r="F4312" s="1405">
        <v>9.5399999999999991</v>
      </c>
      <c r="G4312" s="1405">
        <v>9.5399999999999991</v>
      </c>
      <c r="H4312" t="b">
        <f t="shared" si="135"/>
        <v>1</v>
      </c>
    </row>
    <row r="4313" spans="1:8">
      <c r="A4313" s="739">
        <v>7348</v>
      </c>
      <c r="B4313" s="740" t="s">
        <v>12684</v>
      </c>
      <c r="C4313" s="739" t="s">
        <v>1695</v>
      </c>
      <c r="D4313" s="741">
        <f t="shared" si="134"/>
        <v>18.02</v>
      </c>
      <c r="F4313" s="1406">
        <v>18.02</v>
      </c>
      <c r="G4313" s="1406">
        <v>18.02</v>
      </c>
      <c r="H4313" t="b">
        <f t="shared" si="135"/>
        <v>1</v>
      </c>
    </row>
    <row r="4314" spans="1:8">
      <c r="A4314" s="677">
        <v>7313</v>
      </c>
      <c r="B4314" s="733" t="s">
        <v>12685</v>
      </c>
      <c r="C4314" s="677" t="s">
        <v>1695</v>
      </c>
      <c r="D4314" s="738">
        <f t="shared" si="134"/>
        <v>24.53</v>
      </c>
      <c r="F4314" s="1405">
        <v>24.53</v>
      </c>
      <c r="G4314" s="1405">
        <v>24.53</v>
      </c>
      <c r="H4314" t="b">
        <f t="shared" si="135"/>
        <v>1</v>
      </c>
    </row>
    <row r="4315" spans="1:8">
      <c r="A4315" s="739">
        <v>7319</v>
      </c>
      <c r="B4315" s="740" t="s">
        <v>12686</v>
      </c>
      <c r="C4315" s="739" t="s">
        <v>1695</v>
      </c>
      <c r="D4315" s="741">
        <f t="shared" si="134"/>
        <v>14.04</v>
      </c>
      <c r="F4315" s="1406">
        <v>14.04</v>
      </c>
      <c r="G4315" s="1406">
        <v>14.04</v>
      </c>
      <c r="H4315" t="b">
        <f t="shared" si="135"/>
        <v>1</v>
      </c>
    </row>
    <row r="4316" spans="1:8">
      <c r="A4316" s="677">
        <v>7314</v>
      </c>
      <c r="B4316" s="733" t="s">
        <v>12687</v>
      </c>
      <c r="C4316" s="677" t="s">
        <v>1695</v>
      </c>
      <c r="D4316" s="738">
        <f t="shared" si="134"/>
        <v>42.7</v>
      </c>
      <c r="F4316" s="1405">
        <v>42.7</v>
      </c>
      <c r="G4316" s="1405">
        <v>42.7</v>
      </c>
      <c r="H4316" t="b">
        <f t="shared" si="135"/>
        <v>1</v>
      </c>
    </row>
    <row r="4317" spans="1:8">
      <c r="A4317" s="739">
        <v>7304</v>
      </c>
      <c r="B4317" s="740" t="s">
        <v>12688</v>
      </c>
      <c r="C4317" s="739" t="s">
        <v>1695</v>
      </c>
      <c r="D4317" s="741">
        <f t="shared" si="134"/>
        <v>68.760000000000005</v>
      </c>
      <c r="F4317" s="1406">
        <v>68.760000000000005</v>
      </c>
      <c r="G4317" s="1406">
        <v>68.760000000000005</v>
      </c>
      <c r="H4317" t="b">
        <f t="shared" si="135"/>
        <v>1</v>
      </c>
    </row>
    <row r="4318" spans="1:8">
      <c r="A4318" s="677">
        <v>43649</v>
      </c>
      <c r="B4318" s="733" t="s">
        <v>12689</v>
      </c>
      <c r="C4318" s="677" t="s">
        <v>1695</v>
      </c>
      <c r="D4318" s="738">
        <f t="shared" si="134"/>
        <v>35.56</v>
      </c>
      <c r="F4318" s="1405">
        <v>35.56</v>
      </c>
      <c r="G4318" s="1405">
        <v>35.56</v>
      </c>
      <c r="H4318" t="b">
        <f t="shared" si="135"/>
        <v>1</v>
      </c>
    </row>
    <row r="4319" spans="1:8">
      <c r="A4319" s="739">
        <v>43650</v>
      </c>
      <c r="B4319" s="740" t="s">
        <v>12690</v>
      </c>
      <c r="C4319" s="739" t="s">
        <v>1695</v>
      </c>
      <c r="D4319" s="741">
        <f t="shared" si="134"/>
        <v>33.61</v>
      </c>
      <c r="F4319" s="1406">
        <v>33.61</v>
      </c>
      <c r="G4319" s="1406">
        <v>33.61</v>
      </c>
      <c r="H4319" t="b">
        <f t="shared" si="135"/>
        <v>1</v>
      </c>
    </row>
    <row r="4320" spans="1:8">
      <c r="A4320" s="677">
        <v>7311</v>
      </c>
      <c r="B4320" s="733" t="s">
        <v>12691</v>
      </c>
      <c r="C4320" s="677" t="s">
        <v>1695</v>
      </c>
      <c r="D4320" s="738">
        <f t="shared" si="134"/>
        <v>34.42</v>
      </c>
      <c r="F4320" s="1405">
        <v>34.42</v>
      </c>
      <c r="G4320" s="1405">
        <v>34.42</v>
      </c>
      <c r="H4320" t="b">
        <f t="shared" si="135"/>
        <v>1</v>
      </c>
    </row>
    <row r="4321" spans="1:8">
      <c r="A4321" s="739">
        <v>7292</v>
      </c>
      <c r="B4321" s="740" t="s">
        <v>12692</v>
      </c>
      <c r="C4321" s="739" t="s">
        <v>1695</v>
      </c>
      <c r="D4321" s="741">
        <f t="shared" si="134"/>
        <v>33.33</v>
      </c>
      <c r="F4321" s="1406">
        <v>33.33</v>
      </c>
      <c r="G4321" s="1406">
        <v>33.33</v>
      </c>
      <c r="H4321" t="b">
        <f t="shared" si="135"/>
        <v>1</v>
      </c>
    </row>
    <row r="4322" spans="1:8">
      <c r="A4322" s="677">
        <v>7293</v>
      </c>
      <c r="B4322" s="733" t="s">
        <v>12693</v>
      </c>
      <c r="C4322" s="677" t="s">
        <v>1695</v>
      </c>
      <c r="D4322" s="738">
        <f t="shared" si="134"/>
        <v>36.869999999999997</v>
      </c>
      <c r="F4322" s="1405">
        <v>36.869999999999997</v>
      </c>
      <c r="G4322" s="1405">
        <v>36.869999999999997</v>
      </c>
      <c r="H4322" t="b">
        <f t="shared" si="135"/>
        <v>1</v>
      </c>
    </row>
    <row r="4323" spans="1:8">
      <c r="A4323" s="739">
        <v>7306</v>
      </c>
      <c r="B4323" s="740" t="s">
        <v>12694</v>
      </c>
      <c r="C4323" s="739" t="s">
        <v>1695</v>
      </c>
      <c r="D4323" s="741">
        <f t="shared" si="134"/>
        <v>40.69</v>
      </c>
      <c r="F4323" s="1406">
        <v>40.69</v>
      </c>
      <c r="G4323" s="1406">
        <v>40.69</v>
      </c>
      <c r="H4323" t="b">
        <f t="shared" si="135"/>
        <v>1</v>
      </c>
    </row>
    <row r="4324" spans="1:8">
      <c r="A4324" s="677">
        <v>7288</v>
      </c>
      <c r="B4324" s="733" t="s">
        <v>12695</v>
      </c>
      <c r="C4324" s="677" t="s">
        <v>1695</v>
      </c>
      <c r="D4324" s="738">
        <f t="shared" si="134"/>
        <v>33.79</v>
      </c>
      <c r="F4324" s="1405">
        <v>33.79</v>
      </c>
      <c r="G4324" s="1405">
        <v>33.79</v>
      </c>
      <c r="H4324" t="b">
        <f t="shared" si="135"/>
        <v>1</v>
      </c>
    </row>
    <row r="4325" spans="1:8">
      <c r="A4325" s="739">
        <v>43625</v>
      </c>
      <c r="B4325" s="740" t="s">
        <v>12696</v>
      </c>
      <c r="C4325" s="739" t="s">
        <v>1695</v>
      </c>
      <c r="D4325" s="741">
        <f t="shared" si="134"/>
        <v>27.28</v>
      </c>
      <c r="F4325" s="1406">
        <v>27.28</v>
      </c>
      <c r="G4325" s="1406">
        <v>27.28</v>
      </c>
      <c r="H4325" t="b">
        <f t="shared" si="135"/>
        <v>1</v>
      </c>
    </row>
    <row r="4326" spans="1:8">
      <c r="A4326" s="677">
        <v>43647</v>
      </c>
      <c r="B4326" s="733" t="s">
        <v>12697</v>
      </c>
      <c r="C4326" s="677" t="s">
        <v>1695</v>
      </c>
      <c r="D4326" s="738">
        <f t="shared" si="134"/>
        <v>24.78</v>
      </c>
      <c r="F4326" s="1405">
        <v>24.78</v>
      </c>
      <c r="G4326" s="1405">
        <v>24.78</v>
      </c>
      <c r="H4326" t="b">
        <f t="shared" si="135"/>
        <v>1</v>
      </c>
    </row>
    <row r="4327" spans="1:8">
      <c r="A4327" s="739">
        <v>43648</v>
      </c>
      <c r="B4327" s="740" t="s">
        <v>12698</v>
      </c>
      <c r="C4327" s="739" t="s">
        <v>1695</v>
      </c>
      <c r="D4327" s="741">
        <f t="shared" si="134"/>
        <v>23.91</v>
      </c>
      <c r="F4327" s="1406">
        <v>23.91</v>
      </c>
      <c r="G4327" s="1406">
        <v>23.91</v>
      </c>
      <c r="H4327" t="b">
        <f t="shared" si="135"/>
        <v>1</v>
      </c>
    </row>
    <row r="4328" spans="1:8">
      <c r="A4328" s="677">
        <v>35693</v>
      </c>
      <c r="B4328" s="733" t="s">
        <v>12699</v>
      </c>
      <c r="C4328" s="677" t="s">
        <v>1695</v>
      </c>
      <c r="D4328" s="738">
        <f t="shared" si="134"/>
        <v>11.21</v>
      </c>
      <c r="F4328" s="1405">
        <v>11.21</v>
      </c>
      <c r="G4328" s="1405">
        <v>11.21</v>
      </c>
      <c r="H4328" t="b">
        <f t="shared" si="135"/>
        <v>1</v>
      </c>
    </row>
    <row r="4329" spans="1:8">
      <c r="A4329" s="739">
        <v>7356</v>
      </c>
      <c r="B4329" s="740" t="s">
        <v>12700</v>
      </c>
      <c r="C4329" s="739" t="s">
        <v>1695</v>
      </c>
      <c r="D4329" s="741">
        <f t="shared" si="134"/>
        <v>26.87</v>
      </c>
      <c r="F4329" s="1406">
        <v>26.87</v>
      </c>
      <c r="G4329" s="1406">
        <v>26.87</v>
      </c>
      <c r="H4329" t="b">
        <f t="shared" si="135"/>
        <v>1</v>
      </c>
    </row>
    <row r="4330" spans="1:8">
      <c r="A4330" s="677">
        <v>35692</v>
      </c>
      <c r="B4330" s="733" t="s">
        <v>12701</v>
      </c>
      <c r="C4330" s="677" t="s">
        <v>1695</v>
      </c>
      <c r="D4330" s="738">
        <f t="shared" si="134"/>
        <v>17.59</v>
      </c>
      <c r="F4330" s="1405">
        <v>17.59</v>
      </c>
      <c r="G4330" s="1405">
        <v>17.59</v>
      </c>
      <c r="H4330" t="b">
        <f t="shared" si="135"/>
        <v>1</v>
      </c>
    </row>
    <row r="4331" spans="1:8">
      <c r="A4331" s="739">
        <v>43624</v>
      </c>
      <c r="B4331" s="740" t="s">
        <v>12702</v>
      </c>
      <c r="C4331" s="739" t="s">
        <v>1695</v>
      </c>
      <c r="D4331" s="741">
        <f t="shared" si="134"/>
        <v>32.75</v>
      </c>
      <c r="F4331" s="1406">
        <v>32.75</v>
      </c>
      <c r="G4331" s="1406">
        <v>32.75</v>
      </c>
      <c r="H4331" t="b">
        <f t="shared" si="135"/>
        <v>1</v>
      </c>
    </row>
    <row r="4332" spans="1:8">
      <c r="A4332" s="677">
        <v>7342</v>
      </c>
      <c r="B4332" s="733" t="s">
        <v>12703</v>
      </c>
      <c r="C4332" s="677" t="s">
        <v>1694</v>
      </c>
      <c r="D4332" s="738">
        <f t="shared" si="134"/>
        <v>2.69</v>
      </c>
      <c r="F4332" s="1405">
        <v>2.69</v>
      </c>
      <c r="G4332" s="1405">
        <v>2.69</v>
      </c>
      <c r="H4332" t="b">
        <f t="shared" si="135"/>
        <v>1</v>
      </c>
    </row>
    <row r="4333" spans="1:8">
      <c r="A4333" s="739">
        <v>7350</v>
      </c>
      <c r="B4333" s="740" t="s">
        <v>12704</v>
      </c>
      <c r="C4333" s="739" t="s">
        <v>1695</v>
      </c>
      <c r="D4333" s="741">
        <f t="shared" si="134"/>
        <v>38.78</v>
      </c>
      <c r="F4333" s="1406">
        <v>38.78</v>
      </c>
      <c r="G4333" s="1406">
        <v>38.78</v>
      </c>
      <c r="H4333" t="b">
        <f t="shared" si="135"/>
        <v>1</v>
      </c>
    </row>
    <row r="4334" spans="1:8" ht="30">
      <c r="A4334" s="677">
        <v>39574</v>
      </c>
      <c r="B4334" s="733" t="s">
        <v>12705</v>
      </c>
      <c r="C4334" s="677" t="s">
        <v>1690</v>
      </c>
      <c r="D4334" s="738">
        <f t="shared" si="134"/>
        <v>3.78</v>
      </c>
      <c r="F4334" s="1405">
        <v>3.78</v>
      </c>
      <c r="G4334" s="1405">
        <v>3.78</v>
      </c>
      <c r="H4334" t="b">
        <f t="shared" si="135"/>
        <v>1</v>
      </c>
    </row>
    <row r="4335" spans="1:8">
      <c r="A4335" s="739">
        <v>11060</v>
      </c>
      <c r="B4335" s="740" t="s">
        <v>12706</v>
      </c>
      <c r="C4335" s="739" t="s">
        <v>1690</v>
      </c>
      <c r="D4335" s="741">
        <f t="shared" si="134"/>
        <v>41.89</v>
      </c>
      <c r="F4335" s="1406">
        <v>41.89</v>
      </c>
      <c r="G4335" s="1406">
        <v>41.89</v>
      </c>
      <c r="H4335" t="b">
        <f t="shared" si="135"/>
        <v>1</v>
      </c>
    </row>
    <row r="4336" spans="1:8">
      <c r="A4336" s="677">
        <v>37401</v>
      </c>
      <c r="B4336" s="733" t="s">
        <v>12707</v>
      </c>
      <c r="C4336" s="677" t="s">
        <v>1690</v>
      </c>
      <c r="D4336" s="738">
        <f t="shared" si="134"/>
        <v>64.489999999999995</v>
      </c>
      <c r="F4336" s="1405">
        <v>64.489999999999995</v>
      </c>
      <c r="G4336" s="1405">
        <v>64.489999999999995</v>
      </c>
      <c r="H4336" t="b">
        <f t="shared" si="135"/>
        <v>1</v>
      </c>
    </row>
    <row r="4337" spans="1:8">
      <c r="A4337" s="739">
        <v>7525</v>
      </c>
      <c r="B4337" s="740" t="s">
        <v>12708</v>
      </c>
      <c r="C4337" s="739" t="s">
        <v>1690</v>
      </c>
      <c r="D4337" s="741">
        <f t="shared" si="134"/>
        <v>41.36</v>
      </c>
      <c r="F4337" s="1406">
        <v>41.36</v>
      </c>
      <c r="G4337" s="1406">
        <v>41.36</v>
      </c>
      <c r="H4337" t="b">
        <f t="shared" si="135"/>
        <v>1</v>
      </c>
    </row>
    <row r="4338" spans="1:8">
      <c r="A4338" s="677">
        <v>7524</v>
      </c>
      <c r="B4338" s="733" t="s">
        <v>12709</v>
      </c>
      <c r="C4338" s="677" t="s">
        <v>1690</v>
      </c>
      <c r="D4338" s="738">
        <f t="shared" si="134"/>
        <v>38.97</v>
      </c>
      <c r="F4338" s="1405">
        <v>38.97</v>
      </c>
      <c r="G4338" s="1405">
        <v>38.97</v>
      </c>
      <c r="H4338" t="b">
        <f t="shared" si="135"/>
        <v>1</v>
      </c>
    </row>
    <row r="4339" spans="1:8">
      <c r="A4339" s="739">
        <v>38105</v>
      </c>
      <c r="B4339" s="740" t="s">
        <v>12710</v>
      </c>
      <c r="C4339" s="739" t="s">
        <v>1690</v>
      </c>
      <c r="D4339" s="741">
        <f t="shared" si="134"/>
        <v>10.01</v>
      </c>
      <c r="F4339" s="1406">
        <v>10.01</v>
      </c>
      <c r="G4339" s="1406">
        <v>10.01</v>
      </c>
      <c r="H4339" t="b">
        <f t="shared" si="135"/>
        <v>1</v>
      </c>
    </row>
    <row r="4340" spans="1:8" ht="30">
      <c r="A4340" s="677">
        <v>38084</v>
      </c>
      <c r="B4340" s="733" t="s">
        <v>12711</v>
      </c>
      <c r="C4340" s="677" t="s">
        <v>1690</v>
      </c>
      <c r="D4340" s="738">
        <f t="shared" si="134"/>
        <v>14.22</v>
      </c>
      <c r="F4340" s="1405">
        <v>14.22</v>
      </c>
      <c r="G4340" s="1405">
        <v>14.22</v>
      </c>
      <c r="H4340" t="b">
        <f t="shared" si="135"/>
        <v>1</v>
      </c>
    </row>
    <row r="4341" spans="1:8">
      <c r="A4341" s="739">
        <v>38103</v>
      </c>
      <c r="B4341" s="740" t="s">
        <v>12712</v>
      </c>
      <c r="C4341" s="739" t="s">
        <v>1690</v>
      </c>
      <c r="D4341" s="741">
        <f t="shared" si="134"/>
        <v>15.03</v>
      </c>
      <c r="F4341" s="1406">
        <v>15.03</v>
      </c>
      <c r="G4341" s="1406">
        <v>15.03</v>
      </c>
      <c r="H4341" t="b">
        <f t="shared" si="135"/>
        <v>1</v>
      </c>
    </row>
    <row r="4342" spans="1:8">
      <c r="A4342" s="677">
        <v>38082</v>
      </c>
      <c r="B4342" s="733" t="s">
        <v>12713</v>
      </c>
      <c r="C4342" s="677" t="s">
        <v>1690</v>
      </c>
      <c r="D4342" s="738">
        <f t="shared" si="134"/>
        <v>18.510000000000002</v>
      </c>
      <c r="F4342" s="1405">
        <v>18.510000000000002</v>
      </c>
      <c r="G4342" s="1405">
        <v>18.510000000000002</v>
      </c>
      <c r="H4342" t="b">
        <f t="shared" si="135"/>
        <v>1</v>
      </c>
    </row>
    <row r="4343" spans="1:8">
      <c r="A4343" s="739">
        <v>38104</v>
      </c>
      <c r="B4343" s="740" t="s">
        <v>12714</v>
      </c>
      <c r="C4343" s="739" t="s">
        <v>1690</v>
      </c>
      <c r="D4343" s="741">
        <f t="shared" si="134"/>
        <v>29.43</v>
      </c>
      <c r="F4343" s="1406">
        <v>29.43</v>
      </c>
      <c r="G4343" s="1406">
        <v>29.43</v>
      </c>
      <c r="H4343" t="b">
        <f t="shared" si="135"/>
        <v>1</v>
      </c>
    </row>
    <row r="4344" spans="1:8">
      <c r="A4344" s="677">
        <v>38083</v>
      </c>
      <c r="B4344" s="733" t="s">
        <v>12715</v>
      </c>
      <c r="C4344" s="677" t="s">
        <v>1690</v>
      </c>
      <c r="D4344" s="738">
        <f t="shared" si="134"/>
        <v>32.67</v>
      </c>
      <c r="F4344" s="1405">
        <v>32.67</v>
      </c>
      <c r="G4344" s="1405">
        <v>32.67</v>
      </c>
      <c r="H4344" t="b">
        <f t="shared" si="135"/>
        <v>1</v>
      </c>
    </row>
    <row r="4345" spans="1:8">
      <c r="A4345" s="739">
        <v>38101</v>
      </c>
      <c r="B4345" s="740" t="s">
        <v>12716</v>
      </c>
      <c r="C4345" s="739" t="s">
        <v>1690</v>
      </c>
      <c r="D4345" s="741">
        <f t="shared" si="134"/>
        <v>7.15</v>
      </c>
      <c r="F4345" s="1406">
        <v>7.15</v>
      </c>
      <c r="G4345" s="1406">
        <v>7.15</v>
      </c>
      <c r="H4345" t="b">
        <f t="shared" si="135"/>
        <v>1</v>
      </c>
    </row>
    <row r="4346" spans="1:8">
      <c r="A4346" s="677">
        <v>7528</v>
      </c>
      <c r="B4346" s="733" t="s">
        <v>12717</v>
      </c>
      <c r="C4346" s="677" t="s">
        <v>1690</v>
      </c>
      <c r="D4346" s="738">
        <f t="shared" si="134"/>
        <v>8.4</v>
      </c>
      <c r="F4346" s="1405">
        <v>8.4</v>
      </c>
      <c r="G4346" s="1405">
        <v>8.4</v>
      </c>
      <c r="H4346" t="b">
        <f t="shared" si="135"/>
        <v>1</v>
      </c>
    </row>
    <row r="4347" spans="1:8">
      <c r="A4347" s="739">
        <v>12147</v>
      </c>
      <c r="B4347" s="740" t="s">
        <v>12718</v>
      </c>
      <c r="C4347" s="739" t="s">
        <v>1690</v>
      </c>
      <c r="D4347" s="741">
        <f t="shared" si="134"/>
        <v>12.81</v>
      </c>
      <c r="F4347" s="1406">
        <v>12.81</v>
      </c>
      <c r="G4347" s="1406">
        <v>12.81</v>
      </c>
      <c r="H4347" t="b">
        <f t="shared" si="135"/>
        <v>1</v>
      </c>
    </row>
    <row r="4348" spans="1:8">
      <c r="A4348" s="677">
        <v>38075</v>
      </c>
      <c r="B4348" s="733" t="s">
        <v>12719</v>
      </c>
      <c r="C4348" s="677" t="s">
        <v>1690</v>
      </c>
      <c r="D4348" s="738">
        <f t="shared" si="134"/>
        <v>14.55</v>
      </c>
      <c r="F4348" s="1405">
        <v>14.55</v>
      </c>
      <c r="G4348" s="1405">
        <v>14.55</v>
      </c>
      <c r="H4348" t="b">
        <f t="shared" si="135"/>
        <v>1</v>
      </c>
    </row>
    <row r="4349" spans="1:8">
      <c r="A4349" s="739">
        <v>38102</v>
      </c>
      <c r="B4349" s="740" t="s">
        <v>12720</v>
      </c>
      <c r="C4349" s="739" t="s">
        <v>1690</v>
      </c>
      <c r="D4349" s="741">
        <f t="shared" si="134"/>
        <v>9.14</v>
      </c>
      <c r="F4349" s="1406">
        <v>9.14</v>
      </c>
      <c r="G4349" s="1406">
        <v>9.14</v>
      </c>
      <c r="H4349" t="b">
        <f t="shared" si="135"/>
        <v>1</v>
      </c>
    </row>
    <row r="4350" spans="1:8">
      <c r="A4350" s="677">
        <v>38076</v>
      </c>
      <c r="B4350" s="733" t="s">
        <v>12721</v>
      </c>
      <c r="C4350" s="677" t="s">
        <v>1690</v>
      </c>
      <c r="D4350" s="738">
        <f t="shared" si="134"/>
        <v>16.309999999999999</v>
      </c>
      <c r="F4350" s="1405">
        <v>16.309999999999999</v>
      </c>
      <c r="G4350" s="1405">
        <v>16.309999999999999</v>
      </c>
      <c r="H4350" t="b">
        <f t="shared" si="135"/>
        <v>1</v>
      </c>
    </row>
    <row r="4351" spans="1:8">
      <c r="A4351" s="739">
        <v>7592</v>
      </c>
      <c r="B4351" s="740" t="s">
        <v>12722</v>
      </c>
      <c r="C4351" s="739" t="s">
        <v>1689</v>
      </c>
      <c r="D4351" s="741">
        <f t="shared" si="134"/>
        <v>19.79</v>
      </c>
      <c r="F4351" s="1406">
        <v>17.190000000000001</v>
      </c>
      <c r="G4351" s="1406">
        <v>19.79</v>
      </c>
      <c r="H4351" t="b">
        <f t="shared" si="135"/>
        <v>0</v>
      </c>
    </row>
    <row r="4352" spans="1:8">
      <c r="A4352" s="677">
        <v>40820</v>
      </c>
      <c r="B4352" s="733" t="s">
        <v>12723</v>
      </c>
      <c r="C4352" s="677" t="s">
        <v>1696</v>
      </c>
      <c r="D4352" s="738">
        <f t="shared" si="134"/>
        <v>3482.33</v>
      </c>
      <c r="F4352" s="1405">
        <v>3020.19</v>
      </c>
      <c r="G4352" s="1405">
        <v>3482.33</v>
      </c>
      <c r="H4352" t="b">
        <f t="shared" si="135"/>
        <v>0</v>
      </c>
    </row>
    <row r="4353" spans="1:8" ht="30">
      <c r="A4353" s="739">
        <v>11826</v>
      </c>
      <c r="B4353" s="740" t="s">
        <v>12724</v>
      </c>
      <c r="C4353" s="739" t="s">
        <v>1690</v>
      </c>
      <c r="D4353" s="741">
        <f t="shared" si="134"/>
        <v>55.77</v>
      </c>
      <c r="F4353" s="1406">
        <v>55.77</v>
      </c>
      <c r="G4353" s="1406">
        <v>55.77</v>
      </c>
      <c r="H4353" t="b">
        <f t="shared" si="135"/>
        <v>1</v>
      </c>
    </row>
    <row r="4354" spans="1:8" ht="30">
      <c r="A4354" s="677">
        <v>7606</v>
      </c>
      <c r="B4354" s="733" t="s">
        <v>12725</v>
      </c>
      <c r="C4354" s="677" t="s">
        <v>1690</v>
      </c>
      <c r="D4354" s="738">
        <f t="shared" si="134"/>
        <v>67.069999999999993</v>
      </c>
      <c r="F4354" s="1405">
        <v>67.069999999999993</v>
      </c>
      <c r="G4354" s="1405">
        <v>67.069999999999993</v>
      </c>
      <c r="H4354" t="b">
        <f t="shared" si="135"/>
        <v>1</v>
      </c>
    </row>
    <row r="4355" spans="1:8">
      <c r="A4355" s="739">
        <v>11763</v>
      </c>
      <c r="B4355" s="740" t="s">
        <v>12726</v>
      </c>
      <c r="C4355" s="739" t="s">
        <v>1690</v>
      </c>
      <c r="D4355" s="741">
        <f t="shared" ref="D4355:D4418" si="136">IF($J$2=$F$1,F4355,G4355)</f>
        <v>146.46</v>
      </c>
      <c r="F4355" s="1406">
        <v>146.46</v>
      </c>
      <c r="G4355" s="1406">
        <v>146.46</v>
      </c>
      <c r="H4355" t="b">
        <f t="shared" ref="H4355:H4418" si="137">F4355=G4355</f>
        <v>1</v>
      </c>
    </row>
    <row r="4356" spans="1:8">
      <c r="A4356" s="677">
        <v>11764</v>
      </c>
      <c r="B4356" s="733" t="s">
        <v>12727</v>
      </c>
      <c r="C4356" s="677" t="s">
        <v>1690</v>
      </c>
      <c r="D4356" s="738">
        <f t="shared" si="136"/>
        <v>120.17</v>
      </c>
      <c r="F4356" s="1405">
        <v>120.17</v>
      </c>
      <c r="G4356" s="1405">
        <v>120.17</v>
      </c>
      <c r="H4356" t="b">
        <f t="shared" si="137"/>
        <v>1</v>
      </c>
    </row>
    <row r="4357" spans="1:8">
      <c r="A4357" s="739">
        <v>11829</v>
      </c>
      <c r="B4357" s="740" t="s">
        <v>12728</v>
      </c>
      <c r="C4357" s="739" t="s">
        <v>1690</v>
      </c>
      <c r="D4357" s="741">
        <f t="shared" si="136"/>
        <v>29.04</v>
      </c>
      <c r="F4357" s="1406">
        <v>29.04</v>
      </c>
      <c r="G4357" s="1406">
        <v>29.04</v>
      </c>
      <c r="H4357" t="b">
        <f t="shared" si="137"/>
        <v>1</v>
      </c>
    </row>
    <row r="4358" spans="1:8">
      <c r="A4358" s="677">
        <v>11830</v>
      </c>
      <c r="B4358" s="733" t="s">
        <v>12729</v>
      </c>
      <c r="C4358" s="677" t="s">
        <v>1690</v>
      </c>
      <c r="D4358" s="738">
        <f t="shared" si="136"/>
        <v>31.36</v>
      </c>
      <c r="F4358" s="1405">
        <v>31.36</v>
      </c>
      <c r="G4358" s="1405">
        <v>31.36</v>
      </c>
      <c r="H4358" t="b">
        <f t="shared" si="137"/>
        <v>1</v>
      </c>
    </row>
    <row r="4359" spans="1:8">
      <c r="A4359" s="739">
        <v>11825</v>
      </c>
      <c r="B4359" s="740" t="s">
        <v>12730</v>
      </c>
      <c r="C4359" s="739" t="s">
        <v>1690</v>
      </c>
      <c r="D4359" s="741">
        <f t="shared" si="136"/>
        <v>70.55</v>
      </c>
      <c r="F4359" s="1406">
        <v>70.55</v>
      </c>
      <c r="G4359" s="1406">
        <v>70.55</v>
      </c>
      <c r="H4359" t="b">
        <f t="shared" si="137"/>
        <v>1</v>
      </c>
    </row>
    <row r="4360" spans="1:8">
      <c r="A4360" s="677">
        <v>11767</v>
      </c>
      <c r="B4360" s="733" t="s">
        <v>12731</v>
      </c>
      <c r="C4360" s="677" t="s">
        <v>1690</v>
      </c>
      <c r="D4360" s="738">
        <f t="shared" si="136"/>
        <v>187.92</v>
      </c>
      <c r="F4360" s="1405">
        <v>187.92</v>
      </c>
      <c r="G4360" s="1405">
        <v>187.92</v>
      </c>
      <c r="H4360" t="b">
        <f t="shared" si="137"/>
        <v>1</v>
      </c>
    </row>
    <row r="4361" spans="1:8" ht="30">
      <c r="A4361" s="739">
        <v>11766</v>
      </c>
      <c r="B4361" s="740" t="s">
        <v>12732</v>
      </c>
      <c r="C4361" s="739" t="s">
        <v>1690</v>
      </c>
      <c r="D4361" s="741">
        <f t="shared" si="136"/>
        <v>43.8</v>
      </c>
      <c r="F4361" s="1406">
        <v>43.8</v>
      </c>
      <c r="G4361" s="1406">
        <v>43.8</v>
      </c>
      <c r="H4361" t="b">
        <f t="shared" si="137"/>
        <v>1</v>
      </c>
    </row>
    <row r="4362" spans="1:8" ht="30">
      <c r="A4362" s="677">
        <v>11765</v>
      </c>
      <c r="B4362" s="733" t="s">
        <v>12733</v>
      </c>
      <c r="C4362" s="677" t="s">
        <v>1690</v>
      </c>
      <c r="D4362" s="738">
        <f t="shared" si="136"/>
        <v>80.08</v>
      </c>
      <c r="F4362" s="1405">
        <v>80.08</v>
      </c>
      <c r="G4362" s="1405">
        <v>80.08</v>
      </c>
      <c r="H4362" t="b">
        <f t="shared" si="137"/>
        <v>1</v>
      </c>
    </row>
    <row r="4363" spans="1:8" ht="30">
      <c r="A4363" s="739">
        <v>11824</v>
      </c>
      <c r="B4363" s="740" t="s">
        <v>12734</v>
      </c>
      <c r="C4363" s="739" t="s">
        <v>1690</v>
      </c>
      <c r="D4363" s="741">
        <f t="shared" si="136"/>
        <v>51.52</v>
      </c>
      <c r="F4363" s="1406">
        <v>51.52</v>
      </c>
      <c r="G4363" s="1406">
        <v>51.52</v>
      </c>
      <c r="H4363" t="b">
        <f t="shared" si="137"/>
        <v>1</v>
      </c>
    </row>
    <row r="4364" spans="1:8">
      <c r="A4364" s="677">
        <v>44045</v>
      </c>
      <c r="B4364" s="733" t="s">
        <v>12735</v>
      </c>
      <c r="C4364" s="677" t="s">
        <v>1690</v>
      </c>
      <c r="D4364" s="738">
        <f t="shared" si="136"/>
        <v>352.87</v>
      </c>
      <c r="F4364" s="1405">
        <v>352.87</v>
      </c>
      <c r="G4364" s="1405">
        <v>352.87</v>
      </c>
      <c r="H4364" t="b">
        <f t="shared" si="137"/>
        <v>1</v>
      </c>
    </row>
    <row r="4365" spans="1:8">
      <c r="A4365" s="739">
        <v>39702</v>
      </c>
      <c r="B4365" s="740" t="s">
        <v>12736</v>
      </c>
      <c r="C4365" s="739" t="s">
        <v>1690</v>
      </c>
      <c r="D4365" s="741">
        <f t="shared" si="136"/>
        <v>2343.5300000000002</v>
      </c>
      <c r="F4365" s="1406">
        <v>2343.5300000000002</v>
      </c>
      <c r="G4365" s="1406">
        <v>2343.5300000000002</v>
      </c>
      <c r="H4365" t="b">
        <f t="shared" si="137"/>
        <v>1</v>
      </c>
    </row>
    <row r="4366" spans="1:8">
      <c r="A4366" s="677">
        <v>13415</v>
      </c>
      <c r="B4366" s="733" t="s">
        <v>12737</v>
      </c>
      <c r="C4366" s="677" t="s">
        <v>1690</v>
      </c>
      <c r="D4366" s="738">
        <f t="shared" si="136"/>
        <v>76.94</v>
      </c>
      <c r="F4366" s="1405">
        <v>76.94</v>
      </c>
      <c r="G4366" s="1405">
        <v>76.94</v>
      </c>
      <c r="H4366" t="b">
        <f t="shared" si="137"/>
        <v>1</v>
      </c>
    </row>
    <row r="4367" spans="1:8" ht="30">
      <c r="A4367" s="739">
        <v>7602</v>
      </c>
      <c r="B4367" s="740" t="s">
        <v>12738</v>
      </c>
      <c r="C4367" s="739" t="s">
        <v>1690</v>
      </c>
      <c r="D4367" s="741">
        <f t="shared" si="136"/>
        <v>49.1</v>
      </c>
      <c r="F4367" s="1406">
        <v>49.1</v>
      </c>
      <c r="G4367" s="1406">
        <v>49.1</v>
      </c>
      <c r="H4367" t="b">
        <f t="shared" si="137"/>
        <v>1</v>
      </c>
    </row>
    <row r="4368" spans="1:8" ht="30">
      <c r="A4368" s="677">
        <v>7603</v>
      </c>
      <c r="B4368" s="733" t="s">
        <v>12739</v>
      </c>
      <c r="C4368" s="677" t="s">
        <v>1690</v>
      </c>
      <c r="D4368" s="738">
        <f t="shared" si="136"/>
        <v>41.65</v>
      </c>
      <c r="F4368" s="1405">
        <v>41.65</v>
      </c>
      <c r="G4368" s="1405">
        <v>41.65</v>
      </c>
      <c r="H4368" t="b">
        <f t="shared" si="137"/>
        <v>1</v>
      </c>
    </row>
    <row r="4369" spans="1:8">
      <c r="A4369" s="739">
        <v>11777</v>
      </c>
      <c r="B4369" s="740" t="s">
        <v>12740</v>
      </c>
      <c r="C4369" s="739" t="s">
        <v>1690</v>
      </c>
      <c r="D4369" s="741">
        <f t="shared" si="136"/>
        <v>194.94</v>
      </c>
      <c r="F4369" s="1406">
        <v>194.94</v>
      </c>
      <c r="G4369" s="1406">
        <v>194.94</v>
      </c>
      <c r="H4369" t="b">
        <f t="shared" si="137"/>
        <v>1</v>
      </c>
    </row>
    <row r="4370" spans="1:8" ht="30">
      <c r="A4370" s="677">
        <v>13417</v>
      </c>
      <c r="B4370" s="733" t="s">
        <v>12741</v>
      </c>
      <c r="C4370" s="677" t="s">
        <v>1690</v>
      </c>
      <c r="D4370" s="738">
        <f t="shared" si="136"/>
        <v>100.21</v>
      </c>
      <c r="F4370" s="1405">
        <v>100.21</v>
      </c>
      <c r="G4370" s="1405">
        <v>100.21</v>
      </c>
      <c r="H4370" t="b">
        <f t="shared" si="137"/>
        <v>1</v>
      </c>
    </row>
    <row r="4371" spans="1:8">
      <c r="A4371" s="739">
        <v>36791</v>
      </c>
      <c r="B4371" s="740" t="s">
        <v>12742</v>
      </c>
      <c r="C4371" s="739" t="s">
        <v>1690</v>
      </c>
      <c r="D4371" s="741">
        <f t="shared" si="136"/>
        <v>150.4</v>
      </c>
      <c r="F4371" s="1406">
        <v>150.4</v>
      </c>
      <c r="G4371" s="1406">
        <v>150.4</v>
      </c>
      <c r="H4371" t="b">
        <f t="shared" si="137"/>
        <v>1</v>
      </c>
    </row>
    <row r="4372" spans="1:8">
      <c r="A4372" s="677">
        <v>36795</v>
      </c>
      <c r="B4372" s="733" t="s">
        <v>12743</v>
      </c>
      <c r="C4372" s="677" t="s">
        <v>1690</v>
      </c>
      <c r="D4372" s="738">
        <f t="shared" si="136"/>
        <v>1901.56</v>
      </c>
      <c r="F4372" s="1405">
        <v>1901.56</v>
      </c>
      <c r="G4372" s="1405">
        <v>1901.56</v>
      </c>
      <c r="H4372" t="b">
        <f t="shared" si="137"/>
        <v>1</v>
      </c>
    </row>
    <row r="4373" spans="1:8">
      <c r="A4373" s="739">
        <v>36796</v>
      </c>
      <c r="B4373" s="740" t="s">
        <v>12744</v>
      </c>
      <c r="C4373" s="739" t="s">
        <v>1690</v>
      </c>
      <c r="D4373" s="741">
        <f t="shared" si="136"/>
        <v>158.02000000000001</v>
      </c>
      <c r="F4373" s="1406">
        <v>158.02000000000001</v>
      </c>
      <c r="G4373" s="1406">
        <v>158.02000000000001</v>
      </c>
      <c r="H4373" t="b">
        <f t="shared" si="137"/>
        <v>1</v>
      </c>
    </row>
    <row r="4374" spans="1:8" ht="30">
      <c r="A4374" s="677">
        <v>36792</v>
      </c>
      <c r="B4374" s="733" t="s">
        <v>12745</v>
      </c>
      <c r="C4374" s="677" t="s">
        <v>1690</v>
      </c>
      <c r="D4374" s="738">
        <f t="shared" si="136"/>
        <v>200.17</v>
      </c>
      <c r="F4374" s="1405">
        <v>200.17</v>
      </c>
      <c r="G4374" s="1405">
        <v>200.17</v>
      </c>
      <c r="H4374" t="b">
        <f t="shared" si="137"/>
        <v>1</v>
      </c>
    </row>
    <row r="4375" spans="1:8">
      <c r="A4375" s="739">
        <v>11773</v>
      </c>
      <c r="B4375" s="740" t="s">
        <v>12746</v>
      </c>
      <c r="C4375" s="739" t="s">
        <v>1690</v>
      </c>
      <c r="D4375" s="741">
        <f t="shared" si="136"/>
        <v>133.25</v>
      </c>
      <c r="F4375" s="1406">
        <v>133.25</v>
      </c>
      <c r="G4375" s="1406">
        <v>133.25</v>
      </c>
      <c r="H4375" t="b">
        <f t="shared" si="137"/>
        <v>1</v>
      </c>
    </row>
    <row r="4376" spans="1:8" ht="30">
      <c r="A4376" s="677">
        <v>11762</v>
      </c>
      <c r="B4376" s="733" t="s">
        <v>12747</v>
      </c>
      <c r="C4376" s="677" t="s">
        <v>1690</v>
      </c>
      <c r="D4376" s="738">
        <f t="shared" si="136"/>
        <v>63.2</v>
      </c>
      <c r="F4376" s="1405">
        <v>63.2</v>
      </c>
      <c r="G4376" s="1405">
        <v>63.2</v>
      </c>
      <c r="H4376" t="b">
        <f t="shared" si="137"/>
        <v>1</v>
      </c>
    </row>
    <row r="4377" spans="1:8" ht="30">
      <c r="A4377" s="739">
        <v>7604</v>
      </c>
      <c r="B4377" s="740" t="s">
        <v>12748</v>
      </c>
      <c r="C4377" s="739" t="s">
        <v>1690</v>
      </c>
      <c r="D4377" s="741">
        <f t="shared" si="136"/>
        <v>53.51</v>
      </c>
      <c r="F4377" s="1406">
        <v>53.51</v>
      </c>
      <c r="G4377" s="1406">
        <v>53.51</v>
      </c>
      <c r="H4377" t="b">
        <f t="shared" si="137"/>
        <v>1</v>
      </c>
    </row>
    <row r="4378" spans="1:8" ht="30">
      <c r="A4378" s="677">
        <v>13984</v>
      </c>
      <c r="B4378" s="733" t="s">
        <v>12749</v>
      </c>
      <c r="C4378" s="677" t="s">
        <v>1690</v>
      </c>
      <c r="D4378" s="738">
        <f t="shared" si="136"/>
        <v>77.77</v>
      </c>
      <c r="F4378" s="1405">
        <v>77.77</v>
      </c>
      <c r="G4378" s="1405">
        <v>77.77</v>
      </c>
      <c r="H4378" t="b">
        <f t="shared" si="137"/>
        <v>1</v>
      </c>
    </row>
    <row r="4379" spans="1:8">
      <c r="A4379" s="739">
        <v>11772</v>
      </c>
      <c r="B4379" s="740" t="s">
        <v>12750</v>
      </c>
      <c r="C4379" s="739" t="s">
        <v>1690</v>
      </c>
      <c r="D4379" s="741">
        <f t="shared" si="136"/>
        <v>133.66999999999999</v>
      </c>
      <c r="F4379" s="1406">
        <v>133.66999999999999</v>
      </c>
      <c r="G4379" s="1406">
        <v>133.66999999999999</v>
      </c>
      <c r="H4379" t="b">
        <f t="shared" si="137"/>
        <v>1</v>
      </c>
    </row>
    <row r="4380" spans="1:8" ht="30">
      <c r="A4380" s="677">
        <v>13983</v>
      </c>
      <c r="B4380" s="733" t="s">
        <v>12751</v>
      </c>
      <c r="C4380" s="677" t="s">
        <v>1690</v>
      </c>
      <c r="D4380" s="738">
        <f t="shared" si="136"/>
        <v>101.23</v>
      </c>
      <c r="F4380" s="1405">
        <v>101.23</v>
      </c>
      <c r="G4380" s="1405">
        <v>101.23</v>
      </c>
      <c r="H4380" t="b">
        <f t="shared" si="137"/>
        <v>1</v>
      </c>
    </row>
    <row r="4381" spans="1:8" ht="30">
      <c r="A4381" s="739">
        <v>13416</v>
      </c>
      <c r="B4381" s="740" t="s">
        <v>12752</v>
      </c>
      <c r="C4381" s="739" t="s">
        <v>1690</v>
      </c>
      <c r="D4381" s="741">
        <f t="shared" si="136"/>
        <v>89.91</v>
      </c>
      <c r="F4381" s="1406">
        <v>89.91</v>
      </c>
      <c r="G4381" s="1406">
        <v>89.91</v>
      </c>
      <c r="H4381" t="b">
        <f t="shared" si="137"/>
        <v>1</v>
      </c>
    </row>
    <row r="4382" spans="1:8" ht="30">
      <c r="A4382" s="677">
        <v>40329</v>
      </c>
      <c r="B4382" s="733" t="s">
        <v>12753</v>
      </c>
      <c r="C4382" s="677" t="s">
        <v>1690</v>
      </c>
      <c r="D4382" s="738">
        <f t="shared" si="136"/>
        <v>18.2</v>
      </c>
      <c r="F4382" s="1405">
        <v>18.2</v>
      </c>
      <c r="G4382" s="1405">
        <v>18.2</v>
      </c>
      <c r="H4382" t="b">
        <f t="shared" si="137"/>
        <v>1</v>
      </c>
    </row>
    <row r="4383" spans="1:8">
      <c r="A4383" s="739">
        <v>11823</v>
      </c>
      <c r="B4383" s="740" t="s">
        <v>12754</v>
      </c>
      <c r="C4383" s="739" t="s">
        <v>1690</v>
      </c>
      <c r="D4383" s="741">
        <f t="shared" si="136"/>
        <v>7.66</v>
      </c>
      <c r="F4383" s="1406">
        <v>7.66</v>
      </c>
      <c r="G4383" s="1406">
        <v>7.66</v>
      </c>
      <c r="H4383" t="b">
        <f t="shared" si="137"/>
        <v>1</v>
      </c>
    </row>
    <row r="4384" spans="1:8">
      <c r="A4384" s="677">
        <v>11822</v>
      </c>
      <c r="B4384" s="733" t="s">
        <v>12755</v>
      </c>
      <c r="C4384" s="677" t="s">
        <v>1690</v>
      </c>
      <c r="D4384" s="738">
        <f t="shared" si="136"/>
        <v>41.3</v>
      </c>
      <c r="F4384" s="1405">
        <v>41.3</v>
      </c>
      <c r="G4384" s="1405">
        <v>41.3</v>
      </c>
      <c r="H4384" t="b">
        <f t="shared" si="137"/>
        <v>1</v>
      </c>
    </row>
    <row r="4385" spans="1:8">
      <c r="A4385" s="739">
        <v>11831</v>
      </c>
      <c r="B4385" s="740" t="s">
        <v>12756</v>
      </c>
      <c r="C4385" s="739" t="s">
        <v>1690</v>
      </c>
      <c r="D4385" s="741">
        <f t="shared" si="136"/>
        <v>24.85</v>
      </c>
      <c r="F4385" s="1406">
        <v>24.85</v>
      </c>
      <c r="G4385" s="1406">
        <v>24.85</v>
      </c>
      <c r="H4385" t="b">
        <f t="shared" si="137"/>
        <v>1</v>
      </c>
    </row>
    <row r="4386" spans="1:8" ht="30">
      <c r="A4386" s="677">
        <v>7613</v>
      </c>
      <c r="B4386" s="733" t="s">
        <v>12757</v>
      </c>
      <c r="C4386" s="677" t="s">
        <v>1690</v>
      </c>
      <c r="D4386" s="738">
        <f t="shared" si="136"/>
        <v>243489.24</v>
      </c>
      <c r="F4386" s="1405">
        <v>243489.24</v>
      </c>
      <c r="G4386" s="1405">
        <v>243489.24</v>
      </c>
      <c r="H4386" t="b">
        <f t="shared" si="137"/>
        <v>1</v>
      </c>
    </row>
    <row r="4387" spans="1:8" ht="30">
      <c r="A4387" s="739">
        <v>7619</v>
      </c>
      <c r="B4387" s="740" t="s">
        <v>12758</v>
      </c>
      <c r="C4387" s="739" t="s">
        <v>1690</v>
      </c>
      <c r="D4387" s="741">
        <f t="shared" si="136"/>
        <v>37638.22</v>
      </c>
      <c r="F4387" s="1406">
        <v>37638.22</v>
      </c>
      <c r="G4387" s="1406">
        <v>37638.22</v>
      </c>
      <c r="H4387" t="b">
        <f t="shared" si="137"/>
        <v>1</v>
      </c>
    </row>
    <row r="4388" spans="1:8" ht="30">
      <c r="A4388" s="677">
        <v>12076</v>
      </c>
      <c r="B4388" s="733" t="s">
        <v>12759</v>
      </c>
      <c r="C4388" s="677" t="s">
        <v>1690</v>
      </c>
      <c r="D4388" s="738">
        <f t="shared" si="136"/>
        <v>17265.240000000002</v>
      </c>
      <c r="F4388" s="1405">
        <v>17265.240000000002</v>
      </c>
      <c r="G4388" s="1405">
        <v>17265.240000000002</v>
      </c>
      <c r="H4388" t="b">
        <f t="shared" si="137"/>
        <v>1</v>
      </c>
    </row>
    <row r="4389" spans="1:8" ht="30">
      <c r="A4389" s="739">
        <v>7614</v>
      </c>
      <c r="B4389" s="740" t="s">
        <v>12760</v>
      </c>
      <c r="C4389" s="739" t="s">
        <v>1690</v>
      </c>
      <c r="D4389" s="741">
        <f t="shared" si="136"/>
        <v>47470.78</v>
      </c>
      <c r="F4389" s="1406">
        <v>47470.78</v>
      </c>
      <c r="G4389" s="1406">
        <v>47470.78</v>
      </c>
      <c r="H4389" t="b">
        <f t="shared" si="137"/>
        <v>1</v>
      </c>
    </row>
    <row r="4390" spans="1:8" ht="30">
      <c r="A4390" s="677">
        <v>7618</v>
      </c>
      <c r="B4390" s="733" t="s">
        <v>12761</v>
      </c>
      <c r="C4390" s="677" t="s">
        <v>1690</v>
      </c>
      <c r="D4390" s="738">
        <f t="shared" si="136"/>
        <v>307883.65999999997</v>
      </c>
      <c r="F4390" s="1405">
        <v>307883.65999999997</v>
      </c>
      <c r="G4390" s="1405">
        <v>307883.65999999997</v>
      </c>
      <c r="H4390" t="b">
        <f t="shared" si="137"/>
        <v>1</v>
      </c>
    </row>
    <row r="4391" spans="1:8" ht="30">
      <c r="A4391" s="739">
        <v>7620</v>
      </c>
      <c r="B4391" s="740" t="s">
        <v>12762</v>
      </c>
      <c r="C4391" s="739" t="s">
        <v>1690</v>
      </c>
      <c r="D4391" s="741">
        <f t="shared" si="136"/>
        <v>66594.5</v>
      </c>
      <c r="F4391" s="1406">
        <v>66594.5</v>
      </c>
      <c r="G4391" s="1406">
        <v>66594.5</v>
      </c>
      <c r="H4391" t="b">
        <f t="shared" si="137"/>
        <v>1</v>
      </c>
    </row>
    <row r="4392" spans="1:8" ht="30">
      <c r="A4392" s="677">
        <v>7610</v>
      </c>
      <c r="B4392" s="733" t="s">
        <v>12763</v>
      </c>
      <c r="C4392" s="677" t="s">
        <v>1690</v>
      </c>
      <c r="D4392" s="738">
        <f t="shared" si="136"/>
        <v>21088.25</v>
      </c>
      <c r="F4392" s="1405">
        <v>21088.25</v>
      </c>
      <c r="G4392" s="1405">
        <v>21088.25</v>
      </c>
      <c r="H4392" t="b">
        <f t="shared" si="137"/>
        <v>1</v>
      </c>
    </row>
    <row r="4393" spans="1:8" ht="30">
      <c r="A4393" s="739">
        <v>7615</v>
      </c>
      <c r="B4393" s="740" t="s">
        <v>12764</v>
      </c>
      <c r="C4393" s="739" t="s">
        <v>1690</v>
      </c>
      <c r="D4393" s="741">
        <f t="shared" si="136"/>
        <v>77693.58</v>
      </c>
      <c r="F4393" s="1406">
        <v>77693.58</v>
      </c>
      <c r="G4393" s="1406">
        <v>77693.58</v>
      </c>
      <c r="H4393" t="b">
        <f t="shared" si="137"/>
        <v>1</v>
      </c>
    </row>
    <row r="4394" spans="1:8" ht="30">
      <c r="A4394" s="677">
        <v>7617</v>
      </c>
      <c r="B4394" s="733" t="s">
        <v>12765</v>
      </c>
      <c r="C4394" s="677" t="s">
        <v>1690</v>
      </c>
      <c r="D4394" s="738">
        <f t="shared" si="136"/>
        <v>23554.720000000001</v>
      </c>
      <c r="F4394" s="1405">
        <v>23554.720000000001</v>
      </c>
      <c r="G4394" s="1405">
        <v>23554.720000000001</v>
      </c>
      <c r="H4394" t="b">
        <f t="shared" si="137"/>
        <v>1</v>
      </c>
    </row>
    <row r="4395" spans="1:8" ht="30">
      <c r="A4395" s="739">
        <v>7616</v>
      </c>
      <c r="B4395" s="740" t="s">
        <v>12766</v>
      </c>
      <c r="C4395" s="739" t="s">
        <v>1690</v>
      </c>
      <c r="D4395" s="741">
        <f t="shared" si="136"/>
        <v>126783.6</v>
      </c>
      <c r="F4395" s="1406">
        <v>126783.6</v>
      </c>
      <c r="G4395" s="1406">
        <v>126783.6</v>
      </c>
      <c r="H4395" t="b">
        <f t="shared" si="137"/>
        <v>1</v>
      </c>
    </row>
    <row r="4396" spans="1:8" ht="30">
      <c r="A4396" s="677">
        <v>7611</v>
      </c>
      <c r="B4396" s="733" t="s">
        <v>12767</v>
      </c>
      <c r="C4396" s="677" t="s">
        <v>1690</v>
      </c>
      <c r="D4396" s="738">
        <f t="shared" si="136"/>
        <v>30460.82</v>
      </c>
      <c r="F4396" s="1405">
        <v>30460.82</v>
      </c>
      <c r="G4396" s="1405">
        <v>30460.82</v>
      </c>
      <c r="H4396" t="b">
        <f t="shared" si="137"/>
        <v>1</v>
      </c>
    </row>
    <row r="4397" spans="1:8" ht="30">
      <c r="A4397" s="739">
        <v>7612</v>
      </c>
      <c r="B4397" s="740" t="s">
        <v>12768</v>
      </c>
      <c r="C4397" s="739" t="s">
        <v>1690</v>
      </c>
      <c r="D4397" s="741">
        <f t="shared" si="136"/>
        <v>173905.38</v>
      </c>
      <c r="F4397" s="1406">
        <v>173905.38</v>
      </c>
      <c r="G4397" s="1406">
        <v>173905.38</v>
      </c>
      <c r="H4397" t="b">
        <f t="shared" si="137"/>
        <v>1</v>
      </c>
    </row>
    <row r="4398" spans="1:8">
      <c r="A4398" s="677">
        <v>37371</v>
      </c>
      <c r="B4398" s="733" t="s">
        <v>12769</v>
      </c>
      <c r="C4398" s="677" t="s">
        <v>1689</v>
      </c>
      <c r="D4398" s="738">
        <f t="shared" si="136"/>
        <v>0.82</v>
      </c>
      <c r="F4398" s="1405">
        <v>0.82</v>
      </c>
      <c r="G4398" s="1405">
        <v>0.82</v>
      </c>
      <c r="H4398" t="b">
        <f t="shared" si="137"/>
        <v>1</v>
      </c>
    </row>
    <row r="4399" spans="1:8">
      <c r="A4399" s="739">
        <v>40861</v>
      </c>
      <c r="B4399" s="740" t="s">
        <v>12770</v>
      </c>
      <c r="C4399" s="739" t="s">
        <v>1696</v>
      </c>
      <c r="D4399" s="741">
        <f t="shared" si="136"/>
        <v>154.18</v>
      </c>
      <c r="F4399" s="1406">
        <v>154.18</v>
      </c>
      <c r="G4399" s="1406">
        <v>154.18</v>
      </c>
      <c r="H4399" t="b">
        <f t="shared" si="137"/>
        <v>1</v>
      </c>
    </row>
    <row r="4400" spans="1:8">
      <c r="A4400" s="677">
        <v>36510</v>
      </c>
      <c r="B4400" s="733" t="s">
        <v>12771</v>
      </c>
      <c r="C4400" s="677" t="s">
        <v>1690</v>
      </c>
      <c r="D4400" s="738">
        <f t="shared" si="136"/>
        <v>985932.68</v>
      </c>
      <c r="F4400" s="1405">
        <v>985932.68</v>
      </c>
      <c r="G4400" s="1405">
        <v>985932.68</v>
      </c>
      <c r="H4400" t="b">
        <f t="shared" si="137"/>
        <v>1</v>
      </c>
    </row>
    <row r="4401" spans="1:8" ht="30">
      <c r="A4401" s="739">
        <v>25020</v>
      </c>
      <c r="B4401" s="740" t="s">
        <v>12772</v>
      </c>
      <c r="C4401" s="739" t="s">
        <v>1690</v>
      </c>
      <c r="D4401" s="741">
        <f t="shared" si="136"/>
        <v>4061695.76</v>
      </c>
      <c r="F4401" s="1406">
        <v>4061695.76</v>
      </c>
      <c r="G4401" s="1406">
        <v>4061695.76</v>
      </c>
      <c r="H4401" t="b">
        <f t="shared" si="137"/>
        <v>1</v>
      </c>
    </row>
    <row r="4402" spans="1:8">
      <c r="A4402" s="677">
        <v>7622</v>
      </c>
      <c r="B4402" s="733" t="s">
        <v>12773</v>
      </c>
      <c r="C4402" s="677" t="s">
        <v>1690</v>
      </c>
      <c r="D4402" s="738">
        <f t="shared" si="136"/>
        <v>956498.8</v>
      </c>
      <c r="F4402" s="1405">
        <v>956498.8</v>
      </c>
      <c r="G4402" s="1405">
        <v>956498.8</v>
      </c>
      <c r="H4402" t="b">
        <f t="shared" si="137"/>
        <v>1</v>
      </c>
    </row>
    <row r="4403" spans="1:8" ht="30">
      <c r="A4403" s="739">
        <v>7624</v>
      </c>
      <c r="B4403" s="740" t="s">
        <v>12774</v>
      </c>
      <c r="C4403" s="739" t="s">
        <v>1690</v>
      </c>
      <c r="D4403" s="741">
        <f t="shared" si="136"/>
        <v>1240000</v>
      </c>
      <c r="F4403" s="1406">
        <v>1240000</v>
      </c>
      <c r="G4403" s="1406">
        <v>1240000</v>
      </c>
      <c r="H4403" t="b">
        <f t="shared" si="137"/>
        <v>1</v>
      </c>
    </row>
    <row r="4404" spans="1:8">
      <c r="A4404" s="677">
        <v>7625</v>
      </c>
      <c r="B4404" s="733" t="s">
        <v>12775</v>
      </c>
      <c r="C4404" s="677" t="s">
        <v>1690</v>
      </c>
      <c r="D4404" s="738">
        <f t="shared" si="136"/>
        <v>1232415.78</v>
      </c>
      <c r="F4404" s="1405">
        <v>1232415.78</v>
      </c>
      <c r="G4404" s="1405">
        <v>1232415.78</v>
      </c>
      <c r="H4404" t="b">
        <f t="shared" si="137"/>
        <v>1</v>
      </c>
    </row>
    <row r="4405" spans="1:8">
      <c r="A4405" s="739">
        <v>7623</v>
      </c>
      <c r="B4405" s="740" t="s">
        <v>12776</v>
      </c>
      <c r="C4405" s="739" t="s">
        <v>1690</v>
      </c>
      <c r="D4405" s="741">
        <f t="shared" si="136"/>
        <v>4061695.76</v>
      </c>
      <c r="F4405" s="1406">
        <v>4061695.76</v>
      </c>
      <c r="G4405" s="1406">
        <v>4061695.76</v>
      </c>
      <c r="H4405" t="b">
        <f t="shared" si="137"/>
        <v>1</v>
      </c>
    </row>
    <row r="4406" spans="1:8" ht="30">
      <c r="A4406" s="677">
        <v>36508</v>
      </c>
      <c r="B4406" s="733" t="s">
        <v>12777</v>
      </c>
      <c r="C4406" s="677" t="s">
        <v>1690</v>
      </c>
      <c r="D4406" s="738">
        <f t="shared" si="136"/>
        <v>1826705.75</v>
      </c>
      <c r="F4406" s="1405">
        <v>1826705.75</v>
      </c>
      <c r="G4406" s="1405">
        <v>1826705.75</v>
      </c>
      <c r="H4406" t="b">
        <f t="shared" si="137"/>
        <v>1</v>
      </c>
    </row>
    <row r="4407" spans="1:8">
      <c r="A4407" s="739">
        <v>36509</v>
      </c>
      <c r="B4407" s="740" t="s">
        <v>12778</v>
      </c>
      <c r="C4407" s="739" t="s">
        <v>1690</v>
      </c>
      <c r="D4407" s="741">
        <f t="shared" si="136"/>
        <v>1001100.85</v>
      </c>
      <c r="F4407" s="1406">
        <v>1001100.85</v>
      </c>
      <c r="G4407" s="1406">
        <v>1001100.85</v>
      </c>
      <c r="H4407" t="b">
        <f t="shared" si="137"/>
        <v>1</v>
      </c>
    </row>
    <row r="4408" spans="1:8">
      <c r="A4408" s="677">
        <v>13238</v>
      </c>
      <c r="B4408" s="733" t="s">
        <v>12779</v>
      </c>
      <c r="C4408" s="677" t="s">
        <v>1690</v>
      </c>
      <c r="D4408" s="738">
        <f t="shared" si="136"/>
        <v>302158.57</v>
      </c>
      <c r="F4408" s="1405">
        <v>302158.57</v>
      </c>
      <c r="G4408" s="1405">
        <v>302158.57</v>
      </c>
      <c r="H4408" t="b">
        <f t="shared" si="137"/>
        <v>1</v>
      </c>
    </row>
    <row r="4409" spans="1:8">
      <c r="A4409" s="739">
        <v>36511</v>
      </c>
      <c r="B4409" s="740" t="s">
        <v>12780</v>
      </c>
      <c r="C4409" s="739" t="s">
        <v>1690</v>
      </c>
      <c r="D4409" s="741">
        <f t="shared" si="136"/>
        <v>350120.25</v>
      </c>
      <c r="F4409" s="1406">
        <v>350120.25</v>
      </c>
      <c r="G4409" s="1406">
        <v>350120.25</v>
      </c>
      <c r="H4409" t="b">
        <f t="shared" si="137"/>
        <v>1</v>
      </c>
    </row>
    <row r="4410" spans="1:8">
      <c r="A4410" s="677">
        <v>36515</v>
      </c>
      <c r="B4410" s="733" t="s">
        <v>12781</v>
      </c>
      <c r="C4410" s="677" t="s">
        <v>1690</v>
      </c>
      <c r="D4410" s="738">
        <f t="shared" si="136"/>
        <v>103117.6</v>
      </c>
      <c r="F4410" s="1405">
        <v>103117.6</v>
      </c>
      <c r="G4410" s="1405">
        <v>103117.6</v>
      </c>
      <c r="H4410" t="b">
        <f t="shared" si="137"/>
        <v>1</v>
      </c>
    </row>
    <row r="4411" spans="1:8">
      <c r="A4411" s="739">
        <v>10598</v>
      </c>
      <c r="B4411" s="740" t="s">
        <v>12782</v>
      </c>
      <c r="C4411" s="739" t="s">
        <v>1690</v>
      </c>
      <c r="D4411" s="741">
        <f t="shared" si="136"/>
        <v>167220.78</v>
      </c>
      <c r="F4411" s="1406">
        <v>167220.78</v>
      </c>
      <c r="G4411" s="1406">
        <v>167220.78</v>
      </c>
      <c r="H4411" t="b">
        <f t="shared" si="137"/>
        <v>1</v>
      </c>
    </row>
    <row r="4412" spans="1:8">
      <c r="A4412" s="677">
        <v>7640</v>
      </c>
      <c r="B4412" s="733" t="s">
        <v>12783</v>
      </c>
      <c r="C4412" s="677" t="s">
        <v>1690</v>
      </c>
      <c r="D4412" s="738">
        <f t="shared" si="136"/>
        <v>256595</v>
      </c>
      <c r="F4412" s="1405">
        <v>256595</v>
      </c>
      <c r="G4412" s="1405">
        <v>256595</v>
      </c>
      <c r="H4412" t="b">
        <f t="shared" si="137"/>
        <v>1</v>
      </c>
    </row>
    <row r="4413" spans="1:8">
      <c r="A4413" s="739">
        <v>36513</v>
      </c>
      <c r="B4413" s="740" t="s">
        <v>12784</v>
      </c>
      <c r="C4413" s="739" t="s">
        <v>1690</v>
      </c>
      <c r="D4413" s="741">
        <f t="shared" si="136"/>
        <v>247182.5</v>
      </c>
      <c r="F4413" s="1406">
        <v>247182.5</v>
      </c>
      <c r="G4413" s="1406">
        <v>247182.5</v>
      </c>
      <c r="H4413" t="b">
        <f t="shared" si="137"/>
        <v>1</v>
      </c>
    </row>
    <row r="4414" spans="1:8">
      <c r="A4414" s="677">
        <v>36514</v>
      </c>
      <c r="B4414" s="733" t="s">
        <v>12785</v>
      </c>
      <c r="C4414" s="677" t="s">
        <v>1690</v>
      </c>
      <c r="D4414" s="738">
        <f t="shared" si="136"/>
        <v>275779.65000000002</v>
      </c>
      <c r="F4414" s="1405">
        <v>275779.65000000002</v>
      </c>
      <c r="G4414" s="1405">
        <v>275779.65000000002</v>
      </c>
      <c r="H4414" t="b">
        <f t="shared" si="137"/>
        <v>1</v>
      </c>
    </row>
    <row r="4415" spans="1:8">
      <c r="A4415" s="739">
        <v>11572</v>
      </c>
      <c r="B4415" s="740" t="s">
        <v>12786</v>
      </c>
      <c r="C4415" s="739" t="s">
        <v>1690</v>
      </c>
      <c r="D4415" s="741">
        <f t="shared" si="136"/>
        <v>35.67</v>
      </c>
      <c r="F4415" s="1406">
        <v>35.67</v>
      </c>
      <c r="G4415" s="1406">
        <v>35.67</v>
      </c>
      <c r="H4415" t="b">
        <f t="shared" si="137"/>
        <v>1</v>
      </c>
    </row>
    <row r="4416" spans="1:8">
      <c r="A4416" s="677">
        <v>36149</v>
      </c>
      <c r="B4416" s="733" t="s">
        <v>12787</v>
      </c>
      <c r="C4416" s="677" t="s">
        <v>1690</v>
      </c>
      <c r="D4416" s="738">
        <f t="shared" si="136"/>
        <v>207.03</v>
      </c>
      <c r="F4416" s="1405">
        <v>207.03</v>
      </c>
      <c r="G4416" s="1405">
        <v>207.03</v>
      </c>
      <c r="H4416" t="b">
        <f t="shared" si="137"/>
        <v>1</v>
      </c>
    </row>
    <row r="4417" spans="1:8" ht="30">
      <c r="A4417" s="739">
        <v>42407</v>
      </c>
      <c r="B4417" s="740" t="s">
        <v>12788</v>
      </c>
      <c r="C4417" s="739" t="s">
        <v>1693</v>
      </c>
      <c r="D4417" s="741">
        <f t="shared" si="136"/>
        <v>7.36</v>
      </c>
      <c r="F4417" s="1406">
        <v>7.36</v>
      </c>
      <c r="G4417" s="1406">
        <v>7.36</v>
      </c>
      <c r="H4417" t="b">
        <f t="shared" si="137"/>
        <v>1</v>
      </c>
    </row>
    <row r="4418" spans="1:8" ht="30">
      <c r="A4418" s="677">
        <v>11581</v>
      </c>
      <c r="B4418" s="733" t="s">
        <v>12789</v>
      </c>
      <c r="C4418" s="677" t="s">
        <v>1693</v>
      </c>
      <c r="D4418" s="738">
        <f t="shared" si="136"/>
        <v>23.54</v>
      </c>
      <c r="F4418" s="1405">
        <v>23.54</v>
      </c>
      <c r="G4418" s="1405">
        <v>23.54</v>
      </c>
      <c r="H4418" t="b">
        <f t="shared" si="137"/>
        <v>1</v>
      </c>
    </row>
    <row r="4419" spans="1:8">
      <c r="A4419" s="739">
        <v>43605</v>
      </c>
      <c r="B4419" s="740" t="s">
        <v>12790</v>
      </c>
      <c r="C4419" s="739" t="s">
        <v>1693</v>
      </c>
      <c r="D4419" s="741">
        <f t="shared" ref="D4419:D4482" si="138">IF($J$2=$F$1,F4419,G4419)</f>
        <v>48.17</v>
      </c>
      <c r="F4419" s="1406">
        <v>48.17</v>
      </c>
      <c r="G4419" s="1406">
        <v>48.17</v>
      </c>
      <c r="H4419" t="b">
        <f t="shared" ref="H4419:H4482" si="139">F4419=G4419</f>
        <v>1</v>
      </c>
    </row>
    <row r="4420" spans="1:8">
      <c r="A4420" s="677">
        <v>11580</v>
      </c>
      <c r="B4420" s="733" t="s">
        <v>12791</v>
      </c>
      <c r="C4420" s="677" t="s">
        <v>1693</v>
      </c>
      <c r="D4420" s="738">
        <f t="shared" si="138"/>
        <v>9.4499999999999993</v>
      </c>
      <c r="F4420" s="1405">
        <v>9.4499999999999993</v>
      </c>
      <c r="G4420" s="1405">
        <v>9.4499999999999993</v>
      </c>
      <c r="H4420" t="b">
        <f t="shared" si="139"/>
        <v>1</v>
      </c>
    </row>
    <row r="4421" spans="1:8">
      <c r="A4421" s="739">
        <v>10743</v>
      </c>
      <c r="B4421" s="740" t="s">
        <v>12792</v>
      </c>
      <c r="C4421" s="739" t="s">
        <v>1690</v>
      </c>
      <c r="D4421" s="741">
        <f t="shared" si="138"/>
        <v>583.51</v>
      </c>
      <c r="F4421" s="1406">
        <v>583.51</v>
      </c>
      <c r="G4421" s="1406">
        <v>583.51</v>
      </c>
      <c r="H4421" t="b">
        <f t="shared" si="139"/>
        <v>1</v>
      </c>
    </row>
    <row r="4422" spans="1:8" ht="30">
      <c r="A4422" s="677">
        <v>39848</v>
      </c>
      <c r="B4422" s="733" t="s">
        <v>12793</v>
      </c>
      <c r="C4422" s="677" t="s">
        <v>1693</v>
      </c>
      <c r="D4422" s="738">
        <f t="shared" si="138"/>
        <v>1.82</v>
      </c>
      <c r="F4422" s="1405">
        <v>1.82</v>
      </c>
      <c r="G4422" s="1405">
        <v>1.82</v>
      </c>
      <c r="H4422" t="b">
        <f t="shared" si="139"/>
        <v>1</v>
      </c>
    </row>
    <row r="4423" spans="1:8">
      <c r="A4423" s="739">
        <v>20999</v>
      </c>
      <c r="B4423" s="740" t="s">
        <v>12794</v>
      </c>
      <c r="C4423" s="739" t="s">
        <v>1693</v>
      </c>
      <c r="D4423" s="741">
        <f t="shared" si="138"/>
        <v>12.49</v>
      </c>
      <c r="F4423" s="1406">
        <v>12.49</v>
      </c>
      <c r="G4423" s="1406">
        <v>12.49</v>
      </c>
      <c r="H4423" t="b">
        <f t="shared" si="139"/>
        <v>1</v>
      </c>
    </row>
    <row r="4424" spans="1:8">
      <c r="A4424" s="677">
        <v>21001</v>
      </c>
      <c r="B4424" s="733" t="s">
        <v>12795</v>
      </c>
      <c r="C4424" s="677" t="s">
        <v>1693</v>
      </c>
      <c r="D4424" s="738">
        <f t="shared" si="138"/>
        <v>23.31</v>
      </c>
      <c r="F4424" s="1405">
        <v>23.31</v>
      </c>
      <c r="G4424" s="1405">
        <v>23.31</v>
      </c>
      <c r="H4424" t="b">
        <f t="shared" si="139"/>
        <v>1</v>
      </c>
    </row>
    <row r="4425" spans="1:8">
      <c r="A4425" s="739">
        <v>21003</v>
      </c>
      <c r="B4425" s="740" t="s">
        <v>12796</v>
      </c>
      <c r="C4425" s="739" t="s">
        <v>1693</v>
      </c>
      <c r="D4425" s="741">
        <f t="shared" si="138"/>
        <v>38.299999999999997</v>
      </c>
      <c r="F4425" s="1406">
        <v>38.299999999999997</v>
      </c>
      <c r="G4425" s="1406">
        <v>38.299999999999997</v>
      </c>
      <c r="H4425" t="b">
        <f t="shared" si="139"/>
        <v>1</v>
      </c>
    </row>
    <row r="4426" spans="1:8">
      <c r="A4426" s="677">
        <v>21006</v>
      </c>
      <c r="B4426" s="733" t="s">
        <v>12797</v>
      </c>
      <c r="C4426" s="677" t="s">
        <v>1693</v>
      </c>
      <c r="D4426" s="738">
        <f t="shared" si="138"/>
        <v>81.290000000000006</v>
      </c>
      <c r="F4426" s="1405">
        <v>81.290000000000006</v>
      </c>
      <c r="G4426" s="1405">
        <v>81.290000000000006</v>
      </c>
      <c r="H4426" t="b">
        <f t="shared" si="139"/>
        <v>1</v>
      </c>
    </row>
    <row r="4427" spans="1:8">
      <c r="A4427" s="739">
        <v>21019</v>
      </c>
      <c r="B4427" s="740" t="s">
        <v>12798</v>
      </c>
      <c r="C4427" s="739" t="s">
        <v>1693</v>
      </c>
      <c r="D4427" s="741">
        <f t="shared" si="138"/>
        <v>28.26</v>
      </c>
      <c r="F4427" s="1406">
        <v>28.26</v>
      </c>
      <c r="G4427" s="1406">
        <v>28.26</v>
      </c>
      <c r="H4427" t="b">
        <f t="shared" si="139"/>
        <v>1</v>
      </c>
    </row>
    <row r="4428" spans="1:8">
      <c r="A4428" s="677">
        <v>21021</v>
      </c>
      <c r="B4428" s="733" t="s">
        <v>12799</v>
      </c>
      <c r="C4428" s="677" t="s">
        <v>1693</v>
      </c>
      <c r="D4428" s="738">
        <f t="shared" si="138"/>
        <v>44.67</v>
      </c>
      <c r="F4428" s="1405">
        <v>44.67</v>
      </c>
      <c r="G4428" s="1405">
        <v>44.67</v>
      </c>
      <c r="H4428" t="b">
        <f t="shared" si="139"/>
        <v>1</v>
      </c>
    </row>
    <row r="4429" spans="1:8">
      <c r="A4429" s="739">
        <v>21024</v>
      </c>
      <c r="B4429" s="740" t="s">
        <v>12800</v>
      </c>
      <c r="C4429" s="739" t="s">
        <v>1693</v>
      </c>
      <c r="D4429" s="741">
        <f t="shared" si="138"/>
        <v>95.71</v>
      </c>
      <c r="F4429" s="1406">
        <v>95.71</v>
      </c>
      <c r="G4429" s="1406">
        <v>95.71</v>
      </c>
      <c r="H4429" t="b">
        <f t="shared" si="139"/>
        <v>1</v>
      </c>
    </row>
    <row r="4430" spans="1:8">
      <c r="A4430" s="677">
        <v>40624</v>
      </c>
      <c r="B4430" s="733" t="s">
        <v>12801</v>
      </c>
      <c r="C4430" s="677" t="s">
        <v>1693</v>
      </c>
      <c r="D4430" s="738">
        <f t="shared" si="138"/>
        <v>101.02</v>
      </c>
      <c r="F4430" s="1405">
        <v>101.02</v>
      </c>
      <c r="G4430" s="1405">
        <v>101.02</v>
      </c>
      <c r="H4430" t="b">
        <f t="shared" si="139"/>
        <v>1</v>
      </c>
    </row>
    <row r="4431" spans="1:8">
      <c r="A4431" s="739">
        <v>42575</v>
      </c>
      <c r="B4431" s="740" t="s">
        <v>12802</v>
      </c>
      <c r="C4431" s="739" t="s">
        <v>1693</v>
      </c>
      <c r="D4431" s="741">
        <f t="shared" si="138"/>
        <v>92.7</v>
      </c>
      <c r="F4431" s="1406">
        <v>92.7</v>
      </c>
      <c r="G4431" s="1406">
        <v>92.7</v>
      </c>
      <c r="H4431" t="b">
        <f t="shared" si="139"/>
        <v>1</v>
      </c>
    </row>
    <row r="4432" spans="1:8">
      <c r="A4432" s="677">
        <v>13127</v>
      </c>
      <c r="B4432" s="733" t="s">
        <v>12803</v>
      </c>
      <c r="C4432" s="677" t="s">
        <v>1693</v>
      </c>
      <c r="D4432" s="738">
        <f t="shared" si="138"/>
        <v>45.06</v>
      </c>
      <c r="F4432" s="1405">
        <v>45.06</v>
      </c>
      <c r="G4432" s="1405">
        <v>45.06</v>
      </c>
      <c r="H4432" t="b">
        <f t="shared" si="139"/>
        <v>1</v>
      </c>
    </row>
    <row r="4433" spans="1:8">
      <c r="A4433" s="739">
        <v>13137</v>
      </c>
      <c r="B4433" s="740" t="s">
        <v>12804</v>
      </c>
      <c r="C4433" s="739" t="s">
        <v>1693</v>
      </c>
      <c r="D4433" s="741">
        <f t="shared" si="138"/>
        <v>59.79</v>
      </c>
      <c r="F4433" s="1406">
        <v>59.79</v>
      </c>
      <c r="G4433" s="1406">
        <v>59.79</v>
      </c>
      <c r="H4433" t="b">
        <f t="shared" si="139"/>
        <v>1</v>
      </c>
    </row>
    <row r="4434" spans="1:8">
      <c r="A4434" s="677">
        <v>42574</v>
      </c>
      <c r="B4434" s="733" t="s">
        <v>12805</v>
      </c>
      <c r="C4434" s="677" t="s">
        <v>1693</v>
      </c>
      <c r="D4434" s="738">
        <f t="shared" si="138"/>
        <v>69.180000000000007</v>
      </c>
      <c r="F4434" s="1405">
        <v>69.180000000000007</v>
      </c>
      <c r="G4434" s="1405">
        <v>69.180000000000007</v>
      </c>
      <c r="H4434" t="b">
        <f t="shared" si="139"/>
        <v>1</v>
      </c>
    </row>
    <row r="4435" spans="1:8">
      <c r="A4435" s="739">
        <v>20989</v>
      </c>
      <c r="B4435" s="740" t="s">
        <v>12806</v>
      </c>
      <c r="C4435" s="739" t="s">
        <v>1693</v>
      </c>
      <c r="D4435" s="741">
        <f t="shared" si="138"/>
        <v>2142.23</v>
      </c>
      <c r="F4435" s="1406">
        <v>2142.23</v>
      </c>
      <c r="G4435" s="1406">
        <v>2142.23</v>
      </c>
      <c r="H4435" t="b">
        <f t="shared" si="139"/>
        <v>1</v>
      </c>
    </row>
    <row r="4436" spans="1:8">
      <c r="A4436" s="677">
        <v>21147</v>
      </c>
      <c r="B4436" s="733" t="s">
        <v>12807</v>
      </c>
      <c r="C4436" s="677" t="s">
        <v>1693</v>
      </c>
      <c r="D4436" s="738">
        <f t="shared" si="138"/>
        <v>200.86</v>
      </c>
      <c r="F4436" s="1405">
        <v>200.86</v>
      </c>
      <c r="G4436" s="1405">
        <v>200.86</v>
      </c>
      <c r="H4436" t="b">
        <f t="shared" si="139"/>
        <v>1</v>
      </c>
    </row>
    <row r="4437" spans="1:8">
      <c r="A4437" s="739">
        <v>21148</v>
      </c>
      <c r="B4437" s="740" t="s">
        <v>12808</v>
      </c>
      <c r="C4437" s="739" t="s">
        <v>1693</v>
      </c>
      <c r="D4437" s="741">
        <f t="shared" si="138"/>
        <v>123.97</v>
      </c>
      <c r="F4437" s="1406">
        <v>123.97</v>
      </c>
      <c r="G4437" s="1406">
        <v>123.97</v>
      </c>
      <c r="H4437" t="b">
        <f t="shared" si="139"/>
        <v>1</v>
      </c>
    </row>
    <row r="4438" spans="1:8">
      <c r="A4438" s="677">
        <v>20984</v>
      </c>
      <c r="B4438" s="733" t="s">
        <v>12809</v>
      </c>
      <c r="C4438" s="677" t="s">
        <v>1693</v>
      </c>
      <c r="D4438" s="738">
        <f t="shared" si="138"/>
        <v>4110.5200000000004</v>
      </c>
      <c r="F4438" s="1405">
        <v>4110.5200000000004</v>
      </c>
      <c r="G4438" s="1405">
        <v>4110.5200000000004</v>
      </c>
      <c r="H4438" t="b">
        <f t="shared" si="139"/>
        <v>1</v>
      </c>
    </row>
    <row r="4439" spans="1:8">
      <c r="A4439" s="739">
        <v>13042</v>
      </c>
      <c r="B4439" s="740" t="s">
        <v>12810</v>
      </c>
      <c r="C4439" s="739" t="s">
        <v>1693</v>
      </c>
      <c r="D4439" s="741">
        <f t="shared" si="138"/>
        <v>2277.84</v>
      </c>
      <c r="F4439" s="1406">
        <v>2277.84</v>
      </c>
      <c r="G4439" s="1406">
        <v>2277.84</v>
      </c>
      <c r="H4439" t="b">
        <f t="shared" si="139"/>
        <v>1</v>
      </c>
    </row>
    <row r="4440" spans="1:8">
      <c r="A4440" s="677">
        <v>21150</v>
      </c>
      <c r="B4440" s="733" t="s">
        <v>12811</v>
      </c>
      <c r="C4440" s="677" t="s">
        <v>1693</v>
      </c>
      <c r="D4440" s="738">
        <f t="shared" si="138"/>
        <v>61.47</v>
      </c>
      <c r="F4440" s="1405">
        <v>61.47</v>
      </c>
      <c r="G4440" s="1405">
        <v>61.47</v>
      </c>
      <c r="H4440" t="b">
        <f t="shared" si="139"/>
        <v>1</v>
      </c>
    </row>
    <row r="4441" spans="1:8">
      <c r="A4441" s="739">
        <v>13141</v>
      </c>
      <c r="B4441" s="740" t="s">
        <v>12812</v>
      </c>
      <c r="C4441" s="739" t="s">
        <v>1693</v>
      </c>
      <c r="D4441" s="741">
        <f t="shared" si="138"/>
        <v>77.45</v>
      </c>
      <c r="F4441" s="1406">
        <v>77.45</v>
      </c>
      <c r="G4441" s="1406">
        <v>77.45</v>
      </c>
      <c r="H4441" t="b">
        <f t="shared" si="139"/>
        <v>1</v>
      </c>
    </row>
    <row r="4442" spans="1:8">
      <c r="A4442" s="677">
        <v>42576</v>
      </c>
      <c r="B4442" s="733" t="s">
        <v>12813</v>
      </c>
      <c r="C4442" s="677" t="s">
        <v>1693</v>
      </c>
      <c r="D4442" s="738">
        <f t="shared" si="138"/>
        <v>252.88</v>
      </c>
      <c r="F4442" s="1405">
        <v>252.88</v>
      </c>
      <c r="G4442" s="1405">
        <v>252.88</v>
      </c>
      <c r="H4442" t="b">
        <f t="shared" si="139"/>
        <v>1</v>
      </c>
    </row>
    <row r="4443" spans="1:8">
      <c r="A4443" s="739">
        <v>21151</v>
      </c>
      <c r="B4443" s="740" t="s">
        <v>12814</v>
      </c>
      <c r="C4443" s="739" t="s">
        <v>1693</v>
      </c>
      <c r="D4443" s="741">
        <f t="shared" si="138"/>
        <v>367.94</v>
      </c>
      <c r="F4443" s="1406">
        <v>367.94</v>
      </c>
      <c r="G4443" s="1406">
        <v>367.94</v>
      </c>
      <c r="H4443" t="b">
        <f t="shared" si="139"/>
        <v>1</v>
      </c>
    </row>
    <row r="4444" spans="1:8">
      <c r="A4444" s="677">
        <v>13142</v>
      </c>
      <c r="B4444" s="733" t="s">
        <v>12815</v>
      </c>
      <c r="C4444" s="677" t="s">
        <v>1693</v>
      </c>
      <c r="D4444" s="738">
        <f t="shared" si="138"/>
        <v>526</v>
      </c>
      <c r="F4444" s="1405">
        <v>526</v>
      </c>
      <c r="G4444" s="1405">
        <v>526</v>
      </c>
      <c r="H4444" t="b">
        <f t="shared" si="139"/>
        <v>1</v>
      </c>
    </row>
    <row r="4445" spans="1:8">
      <c r="A4445" s="739">
        <v>42577</v>
      </c>
      <c r="B4445" s="740" t="s">
        <v>12816</v>
      </c>
      <c r="C4445" s="739" t="s">
        <v>1693</v>
      </c>
      <c r="D4445" s="741">
        <f t="shared" si="138"/>
        <v>577.16999999999996</v>
      </c>
      <c r="F4445" s="1406">
        <v>577.16999999999996</v>
      </c>
      <c r="G4445" s="1406">
        <v>577.16999999999996</v>
      </c>
      <c r="H4445" t="b">
        <f t="shared" si="139"/>
        <v>1</v>
      </c>
    </row>
    <row r="4446" spans="1:8">
      <c r="A4446" s="677">
        <v>20994</v>
      </c>
      <c r="B4446" s="733" t="s">
        <v>12817</v>
      </c>
      <c r="C4446" s="677" t="s">
        <v>1693</v>
      </c>
      <c r="D4446" s="738">
        <f t="shared" si="138"/>
        <v>991.74</v>
      </c>
      <c r="F4446" s="1405">
        <v>991.74</v>
      </c>
      <c r="G4446" s="1405">
        <v>991.74</v>
      </c>
      <c r="H4446" t="b">
        <f t="shared" si="139"/>
        <v>1</v>
      </c>
    </row>
    <row r="4447" spans="1:8">
      <c r="A4447" s="739">
        <v>7672</v>
      </c>
      <c r="B4447" s="740" t="s">
        <v>12818</v>
      </c>
      <c r="C4447" s="739" t="s">
        <v>1693</v>
      </c>
      <c r="D4447" s="741">
        <f t="shared" si="138"/>
        <v>649.70000000000005</v>
      </c>
      <c r="F4447" s="1406">
        <v>649.70000000000005</v>
      </c>
      <c r="G4447" s="1406">
        <v>649.70000000000005</v>
      </c>
      <c r="H4447" t="b">
        <f t="shared" si="139"/>
        <v>1</v>
      </c>
    </row>
    <row r="4448" spans="1:8">
      <c r="A4448" s="677">
        <v>20995</v>
      </c>
      <c r="B4448" s="733" t="s">
        <v>12819</v>
      </c>
      <c r="C4448" s="677" t="s">
        <v>1693</v>
      </c>
      <c r="D4448" s="738">
        <f t="shared" si="138"/>
        <v>1303.33</v>
      </c>
      <c r="F4448" s="1405">
        <v>1303.33</v>
      </c>
      <c r="G4448" s="1405">
        <v>1303.33</v>
      </c>
      <c r="H4448" t="b">
        <f t="shared" si="139"/>
        <v>1</v>
      </c>
    </row>
    <row r="4449" spans="1:8">
      <c r="A4449" s="739">
        <v>7690</v>
      </c>
      <c r="B4449" s="740" t="s">
        <v>12820</v>
      </c>
      <c r="C4449" s="739" t="s">
        <v>1693</v>
      </c>
      <c r="D4449" s="741">
        <f t="shared" si="138"/>
        <v>753.81</v>
      </c>
      <c r="F4449" s="1406">
        <v>753.81</v>
      </c>
      <c r="G4449" s="1406">
        <v>753.81</v>
      </c>
      <c r="H4449" t="b">
        <f t="shared" si="139"/>
        <v>1</v>
      </c>
    </row>
    <row r="4450" spans="1:8">
      <c r="A4450" s="677">
        <v>20980</v>
      </c>
      <c r="B4450" s="733" t="s">
        <v>12821</v>
      </c>
      <c r="C4450" s="677" t="s">
        <v>1693</v>
      </c>
      <c r="D4450" s="738">
        <f t="shared" si="138"/>
        <v>822.33</v>
      </c>
      <c r="F4450" s="1405">
        <v>822.33</v>
      </c>
      <c r="G4450" s="1405">
        <v>822.33</v>
      </c>
      <c r="H4450" t="b">
        <f t="shared" si="139"/>
        <v>1</v>
      </c>
    </row>
    <row r="4451" spans="1:8">
      <c r="A4451" s="739">
        <v>7661</v>
      </c>
      <c r="B4451" s="740" t="s">
        <v>12822</v>
      </c>
      <c r="C4451" s="739" t="s">
        <v>1693</v>
      </c>
      <c r="D4451" s="741">
        <f t="shared" si="138"/>
        <v>978.23</v>
      </c>
      <c r="F4451" s="1406">
        <v>978.23</v>
      </c>
      <c r="G4451" s="1406">
        <v>978.23</v>
      </c>
      <c r="H4451" t="b">
        <f t="shared" si="139"/>
        <v>1</v>
      </c>
    </row>
    <row r="4452" spans="1:8">
      <c r="A4452" s="677">
        <v>21016</v>
      </c>
      <c r="B4452" s="733" t="s">
        <v>12823</v>
      </c>
      <c r="C4452" s="677" t="s">
        <v>1693</v>
      </c>
      <c r="D4452" s="738">
        <f t="shared" si="138"/>
        <v>153.46</v>
      </c>
      <c r="F4452" s="1405">
        <v>153.46</v>
      </c>
      <c r="G4452" s="1405">
        <v>153.46</v>
      </c>
      <c r="H4452" t="b">
        <f t="shared" si="139"/>
        <v>1</v>
      </c>
    </row>
    <row r="4453" spans="1:8">
      <c r="A4453" s="739">
        <v>21008</v>
      </c>
      <c r="B4453" s="740" t="s">
        <v>12824</v>
      </c>
      <c r="C4453" s="739" t="s">
        <v>1693</v>
      </c>
      <c r="D4453" s="741">
        <f t="shared" si="138"/>
        <v>17.93</v>
      </c>
      <c r="F4453" s="1406">
        <v>17.93</v>
      </c>
      <c r="G4453" s="1406">
        <v>17.93</v>
      </c>
      <c r="H4453" t="b">
        <f t="shared" si="139"/>
        <v>1</v>
      </c>
    </row>
    <row r="4454" spans="1:8">
      <c r="A4454" s="677">
        <v>21009</v>
      </c>
      <c r="B4454" s="733" t="s">
        <v>12825</v>
      </c>
      <c r="C4454" s="677" t="s">
        <v>1693</v>
      </c>
      <c r="D4454" s="738">
        <f t="shared" si="138"/>
        <v>23.34</v>
      </c>
      <c r="F4454" s="1405">
        <v>23.34</v>
      </c>
      <c r="G4454" s="1405">
        <v>23.34</v>
      </c>
      <c r="H4454" t="b">
        <f t="shared" si="139"/>
        <v>1</v>
      </c>
    </row>
    <row r="4455" spans="1:8">
      <c r="A4455" s="739">
        <v>21010</v>
      </c>
      <c r="B4455" s="740" t="s">
        <v>12826</v>
      </c>
      <c r="C4455" s="739" t="s">
        <v>1693</v>
      </c>
      <c r="D4455" s="741">
        <f t="shared" si="138"/>
        <v>31.34</v>
      </c>
      <c r="F4455" s="1406">
        <v>31.34</v>
      </c>
      <c r="G4455" s="1406">
        <v>31.34</v>
      </c>
      <c r="H4455" t="b">
        <f t="shared" si="139"/>
        <v>1</v>
      </c>
    </row>
    <row r="4456" spans="1:8">
      <c r="A4456" s="677">
        <v>21011</v>
      </c>
      <c r="B4456" s="733" t="s">
        <v>12827</v>
      </c>
      <c r="C4456" s="677" t="s">
        <v>1693</v>
      </c>
      <c r="D4456" s="738">
        <f t="shared" si="138"/>
        <v>45.68</v>
      </c>
      <c r="F4456" s="1405">
        <v>45.68</v>
      </c>
      <c r="G4456" s="1405">
        <v>45.68</v>
      </c>
      <c r="H4456" t="b">
        <f t="shared" si="139"/>
        <v>1</v>
      </c>
    </row>
    <row r="4457" spans="1:8">
      <c r="A4457" s="739">
        <v>21012</v>
      </c>
      <c r="B4457" s="740" t="s">
        <v>12828</v>
      </c>
      <c r="C4457" s="739" t="s">
        <v>1693</v>
      </c>
      <c r="D4457" s="741">
        <f t="shared" si="138"/>
        <v>50.47</v>
      </c>
      <c r="F4457" s="1406">
        <v>50.47</v>
      </c>
      <c r="G4457" s="1406">
        <v>50.47</v>
      </c>
      <c r="H4457" t="b">
        <f t="shared" si="139"/>
        <v>1</v>
      </c>
    </row>
    <row r="4458" spans="1:8">
      <c r="A4458" s="677">
        <v>21013</v>
      </c>
      <c r="B4458" s="733" t="s">
        <v>12829</v>
      </c>
      <c r="C4458" s="677" t="s">
        <v>1693</v>
      </c>
      <c r="D4458" s="738">
        <f t="shared" si="138"/>
        <v>65.87</v>
      </c>
      <c r="F4458" s="1405">
        <v>65.87</v>
      </c>
      <c r="G4458" s="1405">
        <v>65.87</v>
      </c>
      <c r="H4458" t="b">
        <f t="shared" si="139"/>
        <v>1</v>
      </c>
    </row>
    <row r="4459" spans="1:8">
      <c r="A4459" s="739">
        <v>21014</v>
      </c>
      <c r="B4459" s="740" t="s">
        <v>12830</v>
      </c>
      <c r="C4459" s="739" t="s">
        <v>1693</v>
      </c>
      <c r="D4459" s="741">
        <f t="shared" si="138"/>
        <v>92.16</v>
      </c>
      <c r="F4459" s="1406">
        <v>92.16</v>
      </c>
      <c r="G4459" s="1406">
        <v>92.16</v>
      </c>
      <c r="H4459" t="b">
        <f t="shared" si="139"/>
        <v>1</v>
      </c>
    </row>
    <row r="4460" spans="1:8">
      <c r="A4460" s="677">
        <v>21015</v>
      </c>
      <c r="B4460" s="733" t="s">
        <v>12831</v>
      </c>
      <c r="C4460" s="677" t="s">
        <v>1693</v>
      </c>
      <c r="D4460" s="738">
        <f t="shared" si="138"/>
        <v>105.89</v>
      </c>
      <c r="F4460" s="1405">
        <v>105.89</v>
      </c>
      <c r="G4460" s="1405">
        <v>105.89</v>
      </c>
      <c r="H4460" t="b">
        <f t="shared" si="139"/>
        <v>1</v>
      </c>
    </row>
    <row r="4461" spans="1:8">
      <c r="A4461" s="739">
        <v>7697</v>
      </c>
      <c r="B4461" s="740" t="s">
        <v>12832</v>
      </c>
      <c r="C4461" s="739" t="s">
        <v>1693</v>
      </c>
      <c r="D4461" s="741">
        <f t="shared" si="138"/>
        <v>50.53</v>
      </c>
      <c r="F4461" s="1406">
        <v>50.53</v>
      </c>
      <c r="G4461" s="1406">
        <v>50.53</v>
      </c>
      <c r="H4461" t="b">
        <f t="shared" si="139"/>
        <v>1</v>
      </c>
    </row>
    <row r="4462" spans="1:8">
      <c r="A4462" s="677">
        <v>7698</v>
      </c>
      <c r="B4462" s="733" t="s">
        <v>12833</v>
      </c>
      <c r="C4462" s="677" t="s">
        <v>1693</v>
      </c>
      <c r="D4462" s="738">
        <f t="shared" si="138"/>
        <v>43.49</v>
      </c>
      <c r="F4462" s="1405">
        <v>43.49</v>
      </c>
      <c r="G4462" s="1405">
        <v>43.49</v>
      </c>
      <c r="H4462" t="b">
        <f t="shared" si="139"/>
        <v>1</v>
      </c>
    </row>
    <row r="4463" spans="1:8">
      <c r="A4463" s="739">
        <v>7691</v>
      </c>
      <c r="B4463" s="740" t="s">
        <v>12834</v>
      </c>
      <c r="C4463" s="739" t="s">
        <v>1693</v>
      </c>
      <c r="D4463" s="741">
        <f t="shared" si="138"/>
        <v>18.38</v>
      </c>
      <c r="F4463" s="1406">
        <v>18.38</v>
      </c>
      <c r="G4463" s="1406">
        <v>18.38</v>
      </c>
      <c r="H4463" t="b">
        <f t="shared" si="139"/>
        <v>1</v>
      </c>
    </row>
    <row r="4464" spans="1:8">
      <c r="A4464" s="677">
        <v>40626</v>
      </c>
      <c r="B4464" s="733" t="s">
        <v>12835</v>
      </c>
      <c r="C4464" s="677" t="s">
        <v>1693</v>
      </c>
      <c r="D4464" s="738">
        <f t="shared" si="138"/>
        <v>34.49</v>
      </c>
      <c r="F4464" s="1405">
        <v>34.49</v>
      </c>
      <c r="G4464" s="1405">
        <v>34.49</v>
      </c>
      <c r="H4464" t="b">
        <f t="shared" si="139"/>
        <v>1</v>
      </c>
    </row>
    <row r="4465" spans="1:8">
      <c r="A4465" s="739">
        <v>7701</v>
      </c>
      <c r="B4465" s="740" t="s">
        <v>12836</v>
      </c>
      <c r="C4465" s="739" t="s">
        <v>1693</v>
      </c>
      <c r="D4465" s="741">
        <f t="shared" si="138"/>
        <v>90.42</v>
      </c>
      <c r="F4465" s="1406">
        <v>90.42</v>
      </c>
      <c r="G4465" s="1406">
        <v>90.42</v>
      </c>
      <c r="H4465" t="b">
        <f t="shared" si="139"/>
        <v>1</v>
      </c>
    </row>
    <row r="4466" spans="1:8">
      <c r="A4466" s="677">
        <v>7696</v>
      </c>
      <c r="B4466" s="733" t="s">
        <v>12837</v>
      </c>
      <c r="C4466" s="677" t="s">
        <v>1693</v>
      </c>
      <c r="D4466" s="738">
        <f t="shared" si="138"/>
        <v>72.86</v>
      </c>
      <c r="F4466" s="1405">
        <v>72.86</v>
      </c>
      <c r="G4466" s="1405">
        <v>72.86</v>
      </c>
      <c r="H4466" t="b">
        <f t="shared" si="139"/>
        <v>1</v>
      </c>
    </row>
    <row r="4467" spans="1:8">
      <c r="A4467" s="739">
        <v>7700</v>
      </c>
      <c r="B4467" s="740" t="s">
        <v>12838</v>
      </c>
      <c r="C4467" s="739" t="s">
        <v>1693</v>
      </c>
      <c r="D4467" s="741">
        <f t="shared" si="138"/>
        <v>23.24</v>
      </c>
      <c r="F4467" s="1406">
        <v>23.24</v>
      </c>
      <c r="G4467" s="1406">
        <v>23.24</v>
      </c>
      <c r="H4467" t="b">
        <f t="shared" si="139"/>
        <v>1</v>
      </c>
    </row>
    <row r="4468" spans="1:8">
      <c r="A4468" s="677">
        <v>7694</v>
      </c>
      <c r="B4468" s="733" t="s">
        <v>12839</v>
      </c>
      <c r="C4468" s="677" t="s">
        <v>1693</v>
      </c>
      <c r="D4468" s="738">
        <f t="shared" si="138"/>
        <v>121.68</v>
      </c>
      <c r="F4468" s="1405">
        <v>121.68</v>
      </c>
      <c r="G4468" s="1405">
        <v>121.68</v>
      </c>
      <c r="H4468" t="b">
        <f t="shared" si="139"/>
        <v>1</v>
      </c>
    </row>
    <row r="4469" spans="1:8">
      <c r="A4469" s="739">
        <v>7693</v>
      </c>
      <c r="B4469" s="740" t="s">
        <v>12840</v>
      </c>
      <c r="C4469" s="739" t="s">
        <v>1693</v>
      </c>
      <c r="D4469" s="741">
        <f t="shared" si="138"/>
        <v>167.57</v>
      </c>
      <c r="F4469" s="1406">
        <v>167.57</v>
      </c>
      <c r="G4469" s="1406">
        <v>167.57</v>
      </c>
      <c r="H4469" t="b">
        <f t="shared" si="139"/>
        <v>1</v>
      </c>
    </row>
    <row r="4470" spans="1:8">
      <c r="A4470" s="677">
        <v>7692</v>
      </c>
      <c r="B4470" s="733" t="s">
        <v>12841</v>
      </c>
      <c r="C4470" s="677" t="s">
        <v>1693</v>
      </c>
      <c r="D4470" s="738">
        <f t="shared" si="138"/>
        <v>250.89</v>
      </c>
      <c r="F4470" s="1405">
        <v>250.89</v>
      </c>
      <c r="G4470" s="1405">
        <v>250.89</v>
      </c>
      <c r="H4470" t="b">
        <f t="shared" si="139"/>
        <v>1</v>
      </c>
    </row>
    <row r="4471" spans="1:8">
      <c r="A4471" s="739">
        <v>7695</v>
      </c>
      <c r="B4471" s="740" t="s">
        <v>12842</v>
      </c>
      <c r="C4471" s="739" t="s">
        <v>1693</v>
      </c>
      <c r="D4471" s="741">
        <f t="shared" si="138"/>
        <v>272.10000000000002</v>
      </c>
      <c r="F4471" s="1406">
        <v>272.10000000000002</v>
      </c>
      <c r="G4471" s="1406">
        <v>272.10000000000002</v>
      </c>
      <c r="H4471" t="b">
        <f t="shared" si="139"/>
        <v>1</v>
      </c>
    </row>
    <row r="4472" spans="1:8">
      <c r="A4472" s="677">
        <v>13356</v>
      </c>
      <c r="B4472" s="733" t="s">
        <v>12843</v>
      </c>
      <c r="C4472" s="677" t="s">
        <v>1693</v>
      </c>
      <c r="D4472" s="738">
        <f t="shared" si="138"/>
        <v>19.73</v>
      </c>
      <c r="F4472" s="1405">
        <v>19.73</v>
      </c>
      <c r="G4472" s="1405">
        <v>19.73</v>
      </c>
      <c r="H4472" t="b">
        <f t="shared" si="139"/>
        <v>1</v>
      </c>
    </row>
    <row r="4473" spans="1:8">
      <c r="A4473" s="739">
        <v>36365</v>
      </c>
      <c r="B4473" s="740" t="s">
        <v>12844</v>
      </c>
      <c r="C4473" s="739" t="s">
        <v>1693</v>
      </c>
      <c r="D4473" s="741">
        <f t="shared" si="138"/>
        <v>38.81</v>
      </c>
      <c r="F4473" s="1406">
        <v>38.81</v>
      </c>
      <c r="G4473" s="1406">
        <v>38.81</v>
      </c>
      <c r="H4473" t="b">
        <f t="shared" si="139"/>
        <v>1</v>
      </c>
    </row>
    <row r="4474" spans="1:8">
      <c r="A4474" s="677">
        <v>41930</v>
      </c>
      <c r="B4474" s="733" t="s">
        <v>12845</v>
      </c>
      <c r="C4474" s="677" t="s">
        <v>1693</v>
      </c>
      <c r="D4474" s="738">
        <f t="shared" si="138"/>
        <v>129.26</v>
      </c>
      <c r="F4474" s="1405">
        <v>129.26</v>
      </c>
      <c r="G4474" s="1405">
        <v>129.26</v>
      </c>
      <c r="H4474" t="b">
        <f t="shared" si="139"/>
        <v>1</v>
      </c>
    </row>
    <row r="4475" spans="1:8">
      <c r="A4475" s="739">
        <v>41931</v>
      </c>
      <c r="B4475" s="740" t="s">
        <v>12846</v>
      </c>
      <c r="C4475" s="739" t="s">
        <v>1693</v>
      </c>
      <c r="D4475" s="741">
        <f t="shared" si="138"/>
        <v>202.45</v>
      </c>
      <c r="F4475" s="1406">
        <v>202.45</v>
      </c>
      <c r="G4475" s="1406">
        <v>202.45</v>
      </c>
      <c r="H4475" t="b">
        <f t="shared" si="139"/>
        <v>1</v>
      </c>
    </row>
    <row r="4476" spans="1:8">
      <c r="A4476" s="677">
        <v>41932</v>
      </c>
      <c r="B4476" s="733" t="s">
        <v>12847</v>
      </c>
      <c r="C4476" s="677" t="s">
        <v>1693</v>
      </c>
      <c r="D4476" s="738">
        <f t="shared" si="138"/>
        <v>311.61</v>
      </c>
      <c r="F4476" s="1405">
        <v>311.61</v>
      </c>
      <c r="G4476" s="1405">
        <v>311.61</v>
      </c>
      <c r="H4476" t="b">
        <f t="shared" si="139"/>
        <v>1</v>
      </c>
    </row>
    <row r="4477" spans="1:8">
      <c r="A4477" s="739">
        <v>41933</v>
      </c>
      <c r="B4477" s="740" t="s">
        <v>12848</v>
      </c>
      <c r="C4477" s="739" t="s">
        <v>1693</v>
      </c>
      <c r="D4477" s="741">
        <f t="shared" si="138"/>
        <v>440.38</v>
      </c>
      <c r="F4477" s="1406">
        <v>440.38</v>
      </c>
      <c r="G4477" s="1406">
        <v>440.38</v>
      </c>
      <c r="H4477" t="b">
        <f t="shared" si="139"/>
        <v>1</v>
      </c>
    </row>
    <row r="4478" spans="1:8">
      <c r="A4478" s="677">
        <v>41934</v>
      </c>
      <c r="B4478" s="733" t="s">
        <v>12849</v>
      </c>
      <c r="C4478" s="677" t="s">
        <v>1693</v>
      </c>
      <c r="D4478" s="738">
        <f t="shared" si="138"/>
        <v>512.87</v>
      </c>
      <c r="F4478" s="1405">
        <v>512.87</v>
      </c>
      <c r="G4478" s="1405">
        <v>512.87</v>
      </c>
      <c r="H4478" t="b">
        <f t="shared" si="139"/>
        <v>1</v>
      </c>
    </row>
    <row r="4479" spans="1:8">
      <c r="A4479" s="739">
        <v>41936</v>
      </c>
      <c r="B4479" s="740" t="s">
        <v>12850</v>
      </c>
      <c r="C4479" s="739" t="s">
        <v>1693</v>
      </c>
      <c r="D4479" s="741">
        <f t="shared" si="138"/>
        <v>76.11</v>
      </c>
      <c r="F4479" s="1406">
        <v>76.11</v>
      </c>
      <c r="G4479" s="1406">
        <v>76.11</v>
      </c>
      <c r="H4479" t="b">
        <f t="shared" si="139"/>
        <v>1</v>
      </c>
    </row>
    <row r="4480" spans="1:8">
      <c r="A4480" s="677">
        <v>44812</v>
      </c>
      <c r="B4480" s="733" t="s">
        <v>12851</v>
      </c>
      <c r="C4480" s="677" t="s">
        <v>1693</v>
      </c>
      <c r="D4480" s="738">
        <f t="shared" si="138"/>
        <v>386.96</v>
      </c>
      <c r="F4480" s="1405">
        <v>386.96</v>
      </c>
      <c r="G4480" s="1405">
        <v>386.96</v>
      </c>
      <c r="H4480" t="b">
        <f t="shared" si="139"/>
        <v>1</v>
      </c>
    </row>
    <row r="4481" spans="1:8">
      <c r="A4481" s="739">
        <v>41785</v>
      </c>
      <c r="B4481" s="740" t="s">
        <v>12852</v>
      </c>
      <c r="C4481" s="739" t="s">
        <v>1693</v>
      </c>
      <c r="D4481" s="741">
        <f t="shared" si="138"/>
        <v>1434.05</v>
      </c>
      <c r="F4481" s="1406">
        <v>1434.05</v>
      </c>
      <c r="G4481" s="1406">
        <v>1434.05</v>
      </c>
      <c r="H4481" t="b">
        <f t="shared" si="139"/>
        <v>1</v>
      </c>
    </row>
    <row r="4482" spans="1:8">
      <c r="A4482" s="677">
        <v>41781</v>
      </c>
      <c r="B4482" s="733" t="s">
        <v>12853</v>
      </c>
      <c r="C4482" s="677" t="s">
        <v>1693</v>
      </c>
      <c r="D4482" s="738">
        <f t="shared" si="138"/>
        <v>258.94</v>
      </c>
      <c r="F4482" s="1405">
        <v>258.94</v>
      </c>
      <c r="G4482" s="1405">
        <v>258.94</v>
      </c>
      <c r="H4482" t="b">
        <f t="shared" si="139"/>
        <v>1</v>
      </c>
    </row>
    <row r="4483" spans="1:8">
      <c r="A4483" s="739">
        <v>41783</v>
      </c>
      <c r="B4483" s="740" t="s">
        <v>12854</v>
      </c>
      <c r="C4483" s="739" t="s">
        <v>1693</v>
      </c>
      <c r="D4483" s="741">
        <f t="shared" ref="D4483:D4546" si="140">IF($J$2=$F$1,F4483,G4483)</f>
        <v>930.91</v>
      </c>
      <c r="F4483" s="1406">
        <v>930.91</v>
      </c>
      <c r="G4483" s="1406">
        <v>930.91</v>
      </c>
      <c r="H4483" t="b">
        <f t="shared" ref="H4483:H4546" si="141">F4483=G4483</f>
        <v>1</v>
      </c>
    </row>
    <row r="4484" spans="1:8">
      <c r="A4484" s="677">
        <v>41786</v>
      </c>
      <c r="B4484" s="733" t="s">
        <v>12855</v>
      </c>
      <c r="C4484" s="677" t="s">
        <v>1693</v>
      </c>
      <c r="D4484" s="738">
        <f t="shared" si="140"/>
        <v>1981.95</v>
      </c>
      <c r="F4484" s="1405">
        <v>1981.95</v>
      </c>
      <c r="G4484" s="1405">
        <v>1981.95</v>
      </c>
      <c r="H4484" t="b">
        <f t="shared" si="141"/>
        <v>1</v>
      </c>
    </row>
    <row r="4485" spans="1:8">
      <c r="A4485" s="739">
        <v>41779</v>
      </c>
      <c r="B4485" s="740" t="s">
        <v>12856</v>
      </c>
      <c r="C4485" s="739" t="s">
        <v>1693</v>
      </c>
      <c r="D4485" s="741">
        <f t="shared" si="140"/>
        <v>101.98</v>
      </c>
      <c r="F4485" s="1406">
        <v>101.98</v>
      </c>
      <c r="G4485" s="1406">
        <v>101.98</v>
      </c>
      <c r="H4485" t="b">
        <f t="shared" si="141"/>
        <v>1</v>
      </c>
    </row>
    <row r="4486" spans="1:8">
      <c r="A4486" s="677">
        <v>41780</v>
      </c>
      <c r="B4486" s="733" t="s">
        <v>12857</v>
      </c>
      <c r="C4486" s="677" t="s">
        <v>1693</v>
      </c>
      <c r="D4486" s="738">
        <f t="shared" si="140"/>
        <v>159.77000000000001</v>
      </c>
      <c r="F4486" s="1405">
        <v>159.77000000000001</v>
      </c>
      <c r="G4486" s="1405">
        <v>159.77000000000001</v>
      </c>
      <c r="H4486" t="b">
        <f t="shared" si="141"/>
        <v>1</v>
      </c>
    </row>
    <row r="4487" spans="1:8">
      <c r="A4487" s="739">
        <v>41782</v>
      </c>
      <c r="B4487" s="740" t="s">
        <v>12858</v>
      </c>
      <c r="C4487" s="739" t="s">
        <v>1693</v>
      </c>
      <c r="D4487" s="741">
        <f t="shared" si="140"/>
        <v>572.33000000000004</v>
      </c>
      <c r="F4487" s="1406">
        <v>572.33000000000004</v>
      </c>
      <c r="G4487" s="1406">
        <v>572.33000000000004</v>
      </c>
      <c r="H4487" t="b">
        <f t="shared" si="141"/>
        <v>1</v>
      </c>
    </row>
    <row r="4488" spans="1:8">
      <c r="A4488" s="677">
        <v>38130</v>
      </c>
      <c r="B4488" s="733" t="s">
        <v>12859</v>
      </c>
      <c r="C4488" s="677" t="s">
        <v>1693</v>
      </c>
      <c r="D4488" s="738">
        <f t="shared" si="140"/>
        <v>40.6</v>
      </c>
      <c r="F4488" s="1405">
        <v>40.6</v>
      </c>
      <c r="G4488" s="1405">
        <v>40.6</v>
      </c>
      <c r="H4488" t="b">
        <f t="shared" si="141"/>
        <v>1</v>
      </c>
    </row>
    <row r="4489" spans="1:8">
      <c r="A4489" s="739">
        <v>44260</v>
      </c>
      <c r="B4489" s="740" t="s">
        <v>12860</v>
      </c>
      <c r="C4489" s="739" t="s">
        <v>1693</v>
      </c>
      <c r="D4489" s="741">
        <f t="shared" si="140"/>
        <v>384.32</v>
      </c>
      <c r="F4489" s="1406">
        <v>384.32</v>
      </c>
      <c r="G4489" s="1406">
        <v>384.32</v>
      </c>
      <c r="H4489" t="b">
        <f t="shared" si="141"/>
        <v>1</v>
      </c>
    </row>
    <row r="4490" spans="1:8">
      <c r="A4490" s="677">
        <v>21123</v>
      </c>
      <c r="B4490" s="733" t="s">
        <v>12861</v>
      </c>
      <c r="C4490" s="677" t="s">
        <v>1693</v>
      </c>
      <c r="D4490" s="738">
        <f t="shared" si="140"/>
        <v>11.3</v>
      </c>
      <c r="F4490" s="1405">
        <v>11.3</v>
      </c>
      <c r="G4490" s="1405">
        <v>11.3</v>
      </c>
      <c r="H4490" t="b">
        <f t="shared" si="141"/>
        <v>1</v>
      </c>
    </row>
    <row r="4491" spans="1:8">
      <c r="A4491" s="739">
        <v>21124</v>
      </c>
      <c r="B4491" s="740" t="s">
        <v>12862</v>
      </c>
      <c r="C4491" s="739" t="s">
        <v>1693</v>
      </c>
      <c r="D4491" s="741">
        <f t="shared" si="140"/>
        <v>18.05</v>
      </c>
      <c r="F4491" s="1406">
        <v>18.05</v>
      </c>
      <c r="G4491" s="1406">
        <v>18.05</v>
      </c>
      <c r="H4491" t="b">
        <f t="shared" si="141"/>
        <v>1</v>
      </c>
    </row>
    <row r="4492" spans="1:8">
      <c r="A4492" s="677">
        <v>21125</v>
      </c>
      <c r="B4492" s="733" t="s">
        <v>12863</v>
      </c>
      <c r="C4492" s="677" t="s">
        <v>1693</v>
      </c>
      <c r="D4492" s="738">
        <f t="shared" si="140"/>
        <v>31.09</v>
      </c>
      <c r="F4492" s="1405">
        <v>31.09</v>
      </c>
      <c r="G4492" s="1405">
        <v>31.09</v>
      </c>
      <c r="H4492" t="b">
        <f t="shared" si="141"/>
        <v>1</v>
      </c>
    </row>
    <row r="4493" spans="1:8">
      <c r="A4493" s="739">
        <v>38028</v>
      </c>
      <c r="B4493" s="740" t="s">
        <v>12864</v>
      </c>
      <c r="C4493" s="739" t="s">
        <v>1693</v>
      </c>
      <c r="D4493" s="741">
        <f t="shared" si="140"/>
        <v>54.36</v>
      </c>
      <c r="F4493" s="1406">
        <v>54.36</v>
      </c>
      <c r="G4493" s="1406">
        <v>54.36</v>
      </c>
      <c r="H4493" t="b">
        <f t="shared" si="141"/>
        <v>1</v>
      </c>
    </row>
    <row r="4494" spans="1:8">
      <c r="A4494" s="677">
        <v>38029</v>
      </c>
      <c r="B4494" s="733" t="s">
        <v>12865</v>
      </c>
      <c r="C4494" s="677" t="s">
        <v>1693</v>
      </c>
      <c r="D4494" s="738">
        <f t="shared" si="140"/>
        <v>79.56</v>
      </c>
      <c r="F4494" s="1405">
        <v>79.56</v>
      </c>
      <c r="G4494" s="1405">
        <v>79.56</v>
      </c>
      <c r="H4494" t="b">
        <f t="shared" si="141"/>
        <v>1</v>
      </c>
    </row>
    <row r="4495" spans="1:8">
      <c r="A4495" s="739">
        <v>38030</v>
      </c>
      <c r="B4495" s="740" t="s">
        <v>12866</v>
      </c>
      <c r="C4495" s="739" t="s">
        <v>1693</v>
      </c>
      <c r="D4495" s="741">
        <f t="shared" si="140"/>
        <v>128.66</v>
      </c>
      <c r="F4495" s="1406">
        <v>128.66</v>
      </c>
      <c r="G4495" s="1406">
        <v>128.66</v>
      </c>
      <c r="H4495" t="b">
        <f t="shared" si="141"/>
        <v>1</v>
      </c>
    </row>
    <row r="4496" spans="1:8">
      <c r="A4496" s="677">
        <v>38031</v>
      </c>
      <c r="B4496" s="733" t="s">
        <v>12867</v>
      </c>
      <c r="C4496" s="677" t="s">
        <v>1693</v>
      </c>
      <c r="D4496" s="738">
        <f t="shared" si="140"/>
        <v>201.94</v>
      </c>
      <c r="F4496" s="1405">
        <v>201.94</v>
      </c>
      <c r="G4496" s="1405">
        <v>201.94</v>
      </c>
      <c r="H4496" t="b">
        <f t="shared" si="141"/>
        <v>1</v>
      </c>
    </row>
    <row r="4497" spans="1:8" ht="30">
      <c r="A4497" s="739">
        <v>39735</v>
      </c>
      <c r="B4497" s="740" t="s">
        <v>12868</v>
      </c>
      <c r="C4497" s="739" t="s">
        <v>1693</v>
      </c>
      <c r="D4497" s="741">
        <f t="shared" si="140"/>
        <v>71.569999999999993</v>
      </c>
      <c r="F4497" s="1406">
        <v>71.569999999999993</v>
      </c>
      <c r="G4497" s="1406">
        <v>71.569999999999993</v>
      </c>
      <c r="H4497" t="b">
        <f t="shared" si="141"/>
        <v>1</v>
      </c>
    </row>
    <row r="4498" spans="1:8" ht="30">
      <c r="A4498" s="677">
        <v>39734</v>
      </c>
      <c r="B4498" s="733" t="s">
        <v>12869</v>
      </c>
      <c r="C4498" s="677" t="s">
        <v>1693</v>
      </c>
      <c r="D4498" s="738">
        <f t="shared" si="140"/>
        <v>84.9</v>
      </c>
      <c r="F4498" s="1405">
        <v>84.9</v>
      </c>
      <c r="G4498" s="1405">
        <v>84.9</v>
      </c>
      <c r="H4498" t="b">
        <f t="shared" si="141"/>
        <v>1</v>
      </c>
    </row>
    <row r="4499" spans="1:8" ht="30">
      <c r="A4499" s="739">
        <v>39736</v>
      </c>
      <c r="B4499" s="740" t="s">
        <v>12870</v>
      </c>
      <c r="C4499" s="739" t="s">
        <v>1693</v>
      </c>
      <c r="D4499" s="741">
        <f t="shared" si="140"/>
        <v>96.89</v>
      </c>
      <c r="F4499" s="1406">
        <v>96.89</v>
      </c>
      <c r="G4499" s="1406">
        <v>96.89</v>
      </c>
      <c r="H4499" t="b">
        <f t="shared" si="141"/>
        <v>1</v>
      </c>
    </row>
    <row r="4500" spans="1:8" ht="30">
      <c r="A4500" s="677">
        <v>39737</v>
      </c>
      <c r="B4500" s="733" t="s">
        <v>12871</v>
      </c>
      <c r="C4500" s="677" t="s">
        <v>1693</v>
      </c>
      <c r="D4500" s="738">
        <f t="shared" si="140"/>
        <v>13.03</v>
      </c>
      <c r="F4500" s="1405">
        <v>13.03</v>
      </c>
      <c r="G4500" s="1405">
        <v>13.03</v>
      </c>
      <c r="H4500" t="b">
        <f t="shared" si="141"/>
        <v>1</v>
      </c>
    </row>
    <row r="4501" spans="1:8" ht="30">
      <c r="A4501" s="739">
        <v>39738</v>
      </c>
      <c r="B4501" s="740" t="s">
        <v>12872</v>
      </c>
      <c r="C4501" s="739" t="s">
        <v>1693</v>
      </c>
      <c r="D4501" s="741">
        <f t="shared" si="140"/>
        <v>4.71</v>
      </c>
      <c r="F4501" s="1406">
        <v>4.71</v>
      </c>
      <c r="G4501" s="1406">
        <v>4.71</v>
      </c>
      <c r="H4501" t="b">
        <f t="shared" si="141"/>
        <v>1</v>
      </c>
    </row>
    <row r="4502" spans="1:8" ht="30">
      <c r="A4502" s="677">
        <v>39739</v>
      </c>
      <c r="B4502" s="733" t="s">
        <v>12873</v>
      </c>
      <c r="C4502" s="677" t="s">
        <v>1693</v>
      </c>
      <c r="D4502" s="738">
        <f t="shared" si="140"/>
        <v>67</v>
      </c>
      <c r="F4502" s="1405">
        <v>67</v>
      </c>
      <c r="G4502" s="1405">
        <v>67</v>
      </c>
      <c r="H4502" t="b">
        <f t="shared" si="141"/>
        <v>1</v>
      </c>
    </row>
    <row r="4503" spans="1:8" ht="30">
      <c r="A4503" s="739">
        <v>39733</v>
      </c>
      <c r="B4503" s="740" t="s">
        <v>12874</v>
      </c>
      <c r="C4503" s="739" t="s">
        <v>1693</v>
      </c>
      <c r="D4503" s="741">
        <f t="shared" si="140"/>
        <v>115.95</v>
      </c>
      <c r="F4503" s="1406">
        <v>115.95</v>
      </c>
      <c r="G4503" s="1406">
        <v>115.95</v>
      </c>
      <c r="H4503" t="b">
        <f t="shared" si="141"/>
        <v>1</v>
      </c>
    </row>
    <row r="4504" spans="1:8" ht="30">
      <c r="A4504" s="677">
        <v>39854</v>
      </c>
      <c r="B4504" s="733" t="s">
        <v>12875</v>
      </c>
      <c r="C4504" s="677" t="s">
        <v>1693</v>
      </c>
      <c r="D4504" s="738">
        <f t="shared" si="140"/>
        <v>117.59</v>
      </c>
      <c r="F4504" s="1405">
        <v>117.59</v>
      </c>
      <c r="G4504" s="1405">
        <v>117.59</v>
      </c>
      <c r="H4504" t="b">
        <f t="shared" si="141"/>
        <v>1</v>
      </c>
    </row>
    <row r="4505" spans="1:8" ht="30">
      <c r="A4505" s="739">
        <v>39740</v>
      </c>
      <c r="B4505" s="740" t="s">
        <v>12876</v>
      </c>
      <c r="C4505" s="739" t="s">
        <v>1693</v>
      </c>
      <c r="D4505" s="741">
        <f t="shared" si="140"/>
        <v>64.34</v>
      </c>
      <c r="F4505" s="1406">
        <v>64.34</v>
      </c>
      <c r="G4505" s="1406">
        <v>64.34</v>
      </c>
      <c r="H4505" t="b">
        <f t="shared" si="141"/>
        <v>1</v>
      </c>
    </row>
    <row r="4506" spans="1:8" ht="30">
      <c r="A4506" s="677">
        <v>39741</v>
      </c>
      <c r="B4506" s="733" t="s">
        <v>12877</v>
      </c>
      <c r="C4506" s="677" t="s">
        <v>1693</v>
      </c>
      <c r="D4506" s="738">
        <f t="shared" si="140"/>
        <v>11.85</v>
      </c>
      <c r="F4506" s="1405">
        <v>11.85</v>
      </c>
      <c r="G4506" s="1405">
        <v>11.85</v>
      </c>
      <c r="H4506" t="b">
        <f t="shared" si="141"/>
        <v>1</v>
      </c>
    </row>
    <row r="4507" spans="1:8" ht="30">
      <c r="A4507" s="739">
        <v>39853</v>
      </c>
      <c r="B4507" s="740" t="s">
        <v>12878</v>
      </c>
      <c r="C4507" s="739" t="s">
        <v>1693</v>
      </c>
      <c r="D4507" s="741">
        <f t="shared" si="140"/>
        <v>15.57</v>
      </c>
      <c r="F4507" s="1406">
        <v>15.57</v>
      </c>
      <c r="G4507" s="1406">
        <v>15.57</v>
      </c>
      <c r="H4507" t="b">
        <f t="shared" si="141"/>
        <v>1</v>
      </c>
    </row>
    <row r="4508" spans="1:8" ht="30">
      <c r="A4508" s="677">
        <v>39742</v>
      </c>
      <c r="B4508" s="733" t="s">
        <v>12879</v>
      </c>
      <c r="C4508" s="677" t="s">
        <v>1693</v>
      </c>
      <c r="D4508" s="738">
        <f t="shared" si="140"/>
        <v>51.71</v>
      </c>
      <c r="F4508" s="1405">
        <v>51.71</v>
      </c>
      <c r="G4508" s="1405">
        <v>51.71</v>
      </c>
      <c r="H4508" t="b">
        <f t="shared" si="141"/>
        <v>1</v>
      </c>
    </row>
    <row r="4509" spans="1:8">
      <c r="A4509" s="739">
        <v>39749</v>
      </c>
      <c r="B4509" s="740" t="s">
        <v>12880</v>
      </c>
      <c r="C4509" s="739" t="s">
        <v>1693</v>
      </c>
      <c r="D4509" s="741">
        <f t="shared" si="140"/>
        <v>92.35</v>
      </c>
      <c r="F4509" s="1406">
        <v>92.35</v>
      </c>
      <c r="G4509" s="1406">
        <v>92.35</v>
      </c>
      <c r="H4509" t="b">
        <f t="shared" si="141"/>
        <v>1</v>
      </c>
    </row>
    <row r="4510" spans="1:8">
      <c r="A4510" s="677">
        <v>39751</v>
      </c>
      <c r="B4510" s="733" t="s">
        <v>12881</v>
      </c>
      <c r="C4510" s="677" t="s">
        <v>1693</v>
      </c>
      <c r="D4510" s="738">
        <f t="shared" si="140"/>
        <v>167.82</v>
      </c>
      <c r="F4510" s="1405">
        <v>167.82</v>
      </c>
      <c r="G4510" s="1405">
        <v>167.82</v>
      </c>
      <c r="H4510" t="b">
        <f t="shared" si="141"/>
        <v>1</v>
      </c>
    </row>
    <row r="4511" spans="1:8">
      <c r="A4511" s="739">
        <v>39750</v>
      </c>
      <c r="B4511" s="740" t="s">
        <v>12882</v>
      </c>
      <c r="C4511" s="739" t="s">
        <v>1693</v>
      </c>
      <c r="D4511" s="741">
        <f t="shared" si="140"/>
        <v>139.49</v>
      </c>
      <c r="F4511" s="1406">
        <v>139.49</v>
      </c>
      <c r="G4511" s="1406">
        <v>139.49</v>
      </c>
      <c r="H4511" t="b">
        <f t="shared" si="141"/>
        <v>1</v>
      </c>
    </row>
    <row r="4512" spans="1:8">
      <c r="A4512" s="677">
        <v>39747</v>
      </c>
      <c r="B4512" s="733" t="s">
        <v>12883</v>
      </c>
      <c r="C4512" s="677" t="s">
        <v>1693</v>
      </c>
      <c r="D4512" s="738">
        <f t="shared" si="140"/>
        <v>44.87</v>
      </c>
      <c r="F4512" s="1405">
        <v>44.87</v>
      </c>
      <c r="G4512" s="1405">
        <v>44.87</v>
      </c>
      <c r="H4512" t="b">
        <f t="shared" si="141"/>
        <v>1</v>
      </c>
    </row>
    <row r="4513" spans="1:8">
      <c r="A4513" s="739">
        <v>39753</v>
      </c>
      <c r="B4513" s="740" t="s">
        <v>12884</v>
      </c>
      <c r="C4513" s="739" t="s">
        <v>1693</v>
      </c>
      <c r="D4513" s="741">
        <f t="shared" si="140"/>
        <v>308.92</v>
      </c>
      <c r="F4513" s="1406">
        <v>308.92</v>
      </c>
      <c r="G4513" s="1406">
        <v>308.92</v>
      </c>
      <c r="H4513" t="b">
        <f t="shared" si="141"/>
        <v>1</v>
      </c>
    </row>
    <row r="4514" spans="1:8">
      <c r="A4514" s="677">
        <v>39754</v>
      </c>
      <c r="B4514" s="733" t="s">
        <v>12885</v>
      </c>
      <c r="C4514" s="677" t="s">
        <v>1693</v>
      </c>
      <c r="D4514" s="738">
        <f t="shared" si="140"/>
        <v>455.12</v>
      </c>
      <c r="F4514" s="1405">
        <v>455.12</v>
      </c>
      <c r="G4514" s="1405">
        <v>455.12</v>
      </c>
      <c r="H4514" t="b">
        <f t="shared" si="141"/>
        <v>1</v>
      </c>
    </row>
    <row r="4515" spans="1:8">
      <c r="A4515" s="739">
        <v>39748</v>
      </c>
      <c r="B4515" s="740" t="s">
        <v>12886</v>
      </c>
      <c r="C4515" s="739" t="s">
        <v>1693</v>
      </c>
      <c r="D4515" s="741">
        <f t="shared" si="140"/>
        <v>72.599999999999994</v>
      </c>
      <c r="F4515" s="1406">
        <v>72.599999999999994</v>
      </c>
      <c r="G4515" s="1406">
        <v>72.599999999999994</v>
      </c>
      <c r="H4515" t="b">
        <f t="shared" si="141"/>
        <v>1</v>
      </c>
    </row>
    <row r="4516" spans="1:8">
      <c r="A4516" s="677">
        <v>39755</v>
      </c>
      <c r="B4516" s="733" t="s">
        <v>12887</v>
      </c>
      <c r="C4516" s="677" t="s">
        <v>1693</v>
      </c>
      <c r="D4516" s="738">
        <f t="shared" si="140"/>
        <v>690.07</v>
      </c>
      <c r="F4516" s="1405">
        <v>690.07</v>
      </c>
      <c r="G4516" s="1405">
        <v>690.07</v>
      </c>
      <c r="H4516" t="b">
        <f t="shared" si="141"/>
        <v>1</v>
      </c>
    </row>
    <row r="4517" spans="1:8">
      <c r="A4517" s="739">
        <v>12742</v>
      </c>
      <c r="B4517" s="740" t="s">
        <v>12888</v>
      </c>
      <c r="C4517" s="739" t="s">
        <v>1693</v>
      </c>
      <c r="D4517" s="741">
        <f t="shared" si="140"/>
        <v>546.41999999999996</v>
      </c>
      <c r="F4517" s="1406">
        <v>546.41999999999996</v>
      </c>
      <c r="G4517" s="1406">
        <v>546.41999999999996</v>
      </c>
      <c r="H4517" t="b">
        <f t="shared" si="141"/>
        <v>1</v>
      </c>
    </row>
    <row r="4518" spans="1:8">
      <c r="A4518" s="677">
        <v>12713</v>
      </c>
      <c r="B4518" s="733" t="s">
        <v>12889</v>
      </c>
      <c r="C4518" s="677" t="s">
        <v>1693</v>
      </c>
      <c r="D4518" s="738">
        <f t="shared" si="140"/>
        <v>28.98</v>
      </c>
      <c r="F4518" s="1405">
        <v>28.98</v>
      </c>
      <c r="G4518" s="1405">
        <v>28.98</v>
      </c>
      <c r="H4518" t="b">
        <f t="shared" si="141"/>
        <v>1</v>
      </c>
    </row>
    <row r="4519" spans="1:8">
      <c r="A4519" s="739">
        <v>12743</v>
      </c>
      <c r="B4519" s="740" t="s">
        <v>12890</v>
      </c>
      <c r="C4519" s="739" t="s">
        <v>1693</v>
      </c>
      <c r="D4519" s="741">
        <f t="shared" si="140"/>
        <v>49.85</v>
      </c>
      <c r="F4519" s="1406">
        <v>49.85</v>
      </c>
      <c r="G4519" s="1406">
        <v>49.85</v>
      </c>
      <c r="H4519" t="b">
        <f t="shared" si="141"/>
        <v>1</v>
      </c>
    </row>
    <row r="4520" spans="1:8">
      <c r="A4520" s="677">
        <v>12744</v>
      </c>
      <c r="B4520" s="733" t="s">
        <v>12891</v>
      </c>
      <c r="C4520" s="677" t="s">
        <v>1693</v>
      </c>
      <c r="D4520" s="738">
        <f t="shared" si="140"/>
        <v>63.27</v>
      </c>
      <c r="F4520" s="1405">
        <v>63.27</v>
      </c>
      <c r="G4520" s="1405">
        <v>63.27</v>
      </c>
      <c r="H4520" t="b">
        <f t="shared" si="141"/>
        <v>1</v>
      </c>
    </row>
    <row r="4521" spans="1:8">
      <c r="A4521" s="739">
        <v>12745</v>
      </c>
      <c r="B4521" s="740" t="s">
        <v>12892</v>
      </c>
      <c r="C4521" s="739" t="s">
        <v>1693</v>
      </c>
      <c r="D4521" s="741">
        <f t="shared" si="140"/>
        <v>91.88</v>
      </c>
      <c r="F4521" s="1406">
        <v>91.88</v>
      </c>
      <c r="G4521" s="1406">
        <v>91.88</v>
      </c>
      <c r="H4521" t="b">
        <f t="shared" si="141"/>
        <v>1</v>
      </c>
    </row>
    <row r="4522" spans="1:8">
      <c r="A4522" s="677">
        <v>12746</v>
      </c>
      <c r="B4522" s="733" t="s">
        <v>12893</v>
      </c>
      <c r="C4522" s="677" t="s">
        <v>1693</v>
      </c>
      <c r="D4522" s="738">
        <f t="shared" si="140"/>
        <v>124.07</v>
      </c>
      <c r="F4522" s="1405">
        <v>124.07</v>
      </c>
      <c r="G4522" s="1405">
        <v>124.07</v>
      </c>
      <c r="H4522" t="b">
        <f t="shared" si="141"/>
        <v>1</v>
      </c>
    </row>
    <row r="4523" spans="1:8">
      <c r="A4523" s="739">
        <v>12747</v>
      </c>
      <c r="B4523" s="740" t="s">
        <v>12894</v>
      </c>
      <c r="C4523" s="739" t="s">
        <v>1693</v>
      </c>
      <c r="D4523" s="741">
        <f t="shared" si="140"/>
        <v>179.93</v>
      </c>
      <c r="F4523" s="1406">
        <v>179.93</v>
      </c>
      <c r="G4523" s="1406">
        <v>179.93</v>
      </c>
      <c r="H4523" t="b">
        <f t="shared" si="141"/>
        <v>1</v>
      </c>
    </row>
    <row r="4524" spans="1:8">
      <c r="A4524" s="677">
        <v>12748</v>
      </c>
      <c r="B4524" s="733" t="s">
        <v>12895</v>
      </c>
      <c r="C4524" s="677" t="s">
        <v>1693</v>
      </c>
      <c r="D4524" s="738">
        <f t="shared" si="140"/>
        <v>253.49</v>
      </c>
      <c r="F4524" s="1405">
        <v>253.49</v>
      </c>
      <c r="G4524" s="1405">
        <v>253.49</v>
      </c>
      <c r="H4524" t="b">
        <f t="shared" si="141"/>
        <v>1</v>
      </c>
    </row>
    <row r="4525" spans="1:8">
      <c r="A4525" s="739">
        <v>12749</v>
      </c>
      <c r="B4525" s="740" t="s">
        <v>12896</v>
      </c>
      <c r="C4525" s="739" t="s">
        <v>1693</v>
      </c>
      <c r="D4525" s="741">
        <f t="shared" si="140"/>
        <v>370.56</v>
      </c>
      <c r="F4525" s="1406">
        <v>370.56</v>
      </c>
      <c r="G4525" s="1406">
        <v>370.56</v>
      </c>
      <c r="H4525" t="b">
        <f t="shared" si="141"/>
        <v>1</v>
      </c>
    </row>
    <row r="4526" spans="1:8">
      <c r="A4526" s="677">
        <v>39726</v>
      </c>
      <c r="B4526" s="733" t="s">
        <v>12897</v>
      </c>
      <c r="C4526" s="677" t="s">
        <v>1693</v>
      </c>
      <c r="D4526" s="738">
        <f t="shared" si="140"/>
        <v>121.71</v>
      </c>
      <c r="F4526" s="1405">
        <v>121.71</v>
      </c>
      <c r="G4526" s="1405">
        <v>121.71</v>
      </c>
      <c r="H4526" t="b">
        <f t="shared" si="141"/>
        <v>1</v>
      </c>
    </row>
    <row r="4527" spans="1:8">
      <c r="A4527" s="739">
        <v>39728</v>
      </c>
      <c r="B4527" s="740" t="s">
        <v>12898</v>
      </c>
      <c r="C4527" s="739" t="s">
        <v>1693</v>
      </c>
      <c r="D4527" s="741">
        <f t="shared" si="140"/>
        <v>213.92</v>
      </c>
      <c r="F4527" s="1406">
        <v>213.92</v>
      </c>
      <c r="G4527" s="1406">
        <v>213.92</v>
      </c>
      <c r="H4527" t="b">
        <f t="shared" si="141"/>
        <v>1</v>
      </c>
    </row>
    <row r="4528" spans="1:8">
      <c r="A4528" s="677">
        <v>39727</v>
      </c>
      <c r="B4528" s="733" t="s">
        <v>12899</v>
      </c>
      <c r="C4528" s="677" t="s">
        <v>1693</v>
      </c>
      <c r="D4528" s="738">
        <f t="shared" si="140"/>
        <v>176.04</v>
      </c>
      <c r="F4528" s="1405">
        <v>176.04</v>
      </c>
      <c r="G4528" s="1405">
        <v>176.04</v>
      </c>
      <c r="H4528" t="b">
        <f t="shared" si="141"/>
        <v>1</v>
      </c>
    </row>
    <row r="4529" spans="1:8">
      <c r="A4529" s="739">
        <v>39724</v>
      </c>
      <c r="B4529" s="740" t="s">
        <v>12900</v>
      </c>
      <c r="C4529" s="739" t="s">
        <v>1693</v>
      </c>
      <c r="D4529" s="741">
        <f t="shared" si="140"/>
        <v>53.9</v>
      </c>
      <c r="F4529" s="1406">
        <v>53.9</v>
      </c>
      <c r="G4529" s="1406">
        <v>53.9</v>
      </c>
      <c r="H4529" t="b">
        <f t="shared" si="141"/>
        <v>1</v>
      </c>
    </row>
    <row r="4530" spans="1:8">
      <c r="A4530" s="677">
        <v>39729</v>
      </c>
      <c r="B4530" s="733" t="s">
        <v>12901</v>
      </c>
      <c r="C4530" s="677" t="s">
        <v>1693</v>
      </c>
      <c r="D4530" s="738">
        <f t="shared" si="140"/>
        <v>296.23</v>
      </c>
      <c r="F4530" s="1405">
        <v>296.23</v>
      </c>
      <c r="G4530" s="1405">
        <v>296.23</v>
      </c>
      <c r="H4530" t="b">
        <f t="shared" si="141"/>
        <v>1</v>
      </c>
    </row>
    <row r="4531" spans="1:8">
      <c r="A4531" s="739">
        <v>39730</v>
      </c>
      <c r="B4531" s="740" t="s">
        <v>12902</v>
      </c>
      <c r="C4531" s="739" t="s">
        <v>1693</v>
      </c>
      <c r="D4531" s="741">
        <f t="shared" si="140"/>
        <v>384.35</v>
      </c>
      <c r="F4531" s="1406">
        <v>384.35</v>
      </c>
      <c r="G4531" s="1406">
        <v>384.35</v>
      </c>
      <c r="H4531" t="b">
        <f t="shared" si="141"/>
        <v>1</v>
      </c>
    </row>
    <row r="4532" spans="1:8">
      <c r="A4532" s="677">
        <v>39731</v>
      </c>
      <c r="B4532" s="733" t="s">
        <v>12903</v>
      </c>
      <c r="C4532" s="677" t="s">
        <v>1693</v>
      </c>
      <c r="D4532" s="738">
        <f t="shared" si="140"/>
        <v>569.25</v>
      </c>
      <c r="F4532" s="1405">
        <v>569.25</v>
      </c>
      <c r="G4532" s="1405">
        <v>569.25</v>
      </c>
      <c r="H4532" t="b">
        <f t="shared" si="141"/>
        <v>1</v>
      </c>
    </row>
    <row r="4533" spans="1:8">
      <c r="A4533" s="739">
        <v>39725</v>
      </c>
      <c r="B4533" s="740" t="s">
        <v>12904</v>
      </c>
      <c r="C4533" s="739" t="s">
        <v>1693</v>
      </c>
      <c r="D4533" s="741">
        <f t="shared" si="140"/>
        <v>87.85</v>
      </c>
      <c r="F4533" s="1406">
        <v>87.85</v>
      </c>
      <c r="G4533" s="1406">
        <v>87.85</v>
      </c>
      <c r="H4533" t="b">
        <f t="shared" si="141"/>
        <v>1</v>
      </c>
    </row>
    <row r="4534" spans="1:8">
      <c r="A4534" s="677">
        <v>39732</v>
      </c>
      <c r="B4534" s="733" t="s">
        <v>12905</v>
      </c>
      <c r="C4534" s="677" t="s">
        <v>1693</v>
      </c>
      <c r="D4534" s="738">
        <f t="shared" si="140"/>
        <v>837.91</v>
      </c>
      <c r="F4534" s="1405">
        <v>837.91</v>
      </c>
      <c r="G4534" s="1405">
        <v>837.91</v>
      </c>
      <c r="H4534" t="b">
        <f t="shared" si="141"/>
        <v>1</v>
      </c>
    </row>
    <row r="4535" spans="1:8">
      <c r="A4535" s="739">
        <v>39660</v>
      </c>
      <c r="B4535" s="740" t="s">
        <v>12906</v>
      </c>
      <c r="C4535" s="739" t="s">
        <v>1693</v>
      </c>
      <c r="D4535" s="741">
        <f t="shared" si="140"/>
        <v>38.18</v>
      </c>
      <c r="F4535" s="1406">
        <v>38.18</v>
      </c>
      <c r="G4535" s="1406">
        <v>38.18</v>
      </c>
      <c r="H4535" t="b">
        <f t="shared" si="141"/>
        <v>1</v>
      </c>
    </row>
    <row r="4536" spans="1:8">
      <c r="A4536" s="677">
        <v>39662</v>
      </c>
      <c r="B4536" s="733" t="s">
        <v>12907</v>
      </c>
      <c r="C4536" s="677" t="s">
        <v>1693</v>
      </c>
      <c r="D4536" s="738">
        <f t="shared" si="140"/>
        <v>18.3</v>
      </c>
      <c r="F4536" s="1405">
        <v>18.3</v>
      </c>
      <c r="G4536" s="1405">
        <v>18.3</v>
      </c>
      <c r="H4536" t="b">
        <f t="shared" si="141"/>
        <v>1</v>
      </c>
    </row>
    <row r="4537" spans="1:8">
      <c r="A4537" s="739">
        <v>39661</v>
      </c>
      <c r="B4537" s="740" t="s">
        <v>12908</v>
      </c>
      <c r="C4537" s="739" t="s">
        <v>1693</v>
      </c>
      <c r="D4537" s="741">
        <f t="shared" si="140"/>
        <v>12.48</v>
      </c>
      <c r="F4537" s="1406">
        <v>12.48</v>
      </c>
      <c r="G4537" s="1406">
        <v>12.48</v>
      </c>
      <c r="H4537" t="b">
        <f t="shared" si="141"/>
        <v>1</v>
      </c>
    </row>
    <row r="4538" spans="1:8">
      <c r="A4538" s="677">
        <v>39666</v>
      </c>
      <c r="B4538" s="733" t="s">
        <v>12909</v>
      </c>
      <c r="C4538" s="677" t="s">
        <v>1693</v>
      </c>
      <c r="D4538" s="738">
        <f t="shared" si="140"/>
        <v>57.44</v>
      </c>
      <c r="F4538" s="1405">
        <v>57.44</v>
      </c>
      <c r="G4538" s="1405">
        <v>57.44</v>
      </c>
      <c r="H4538" t="b">
        <f t="shared" si="141"/>
        <v>1</v>
      </c>
    </row>
    <row r="4539" spans="1:8">
      <c r="A4539" s="739">
        <v>39664</v>
      </c>
      <c r="B4539" s="740" t="s">
        <v>12910</v>
      </c>
      <c r="C4539" s="739" t="s">
        <v>1693</v>
      </c>
      <c r="D4539" s="741">
        <f t="shared" si="140"/>
        <v>28.15</v>
      </c>
      <c r="F4539" s="1406">
        <v>28.15</v>
      </c>
      <c r="G4539" s="1406">
        <v>28.15</v>
      </c>
      <c r="H4539" t="b">
        <f t="shared" si="141"/>
        <v>1</v>
      </c>
    </row>
    <row r="4540" spans="1:8">
      <c r="A4540" s="677">
        <v>39663</v>
      </c>
      <c r="B4540" s="733" t="s">
        <v>12911</v>
      </c>
      <c r="C4540" s="677" t="s">
        <v>1693</v>
      </c>
      <c r="D4540" s="738">
        <f t="shared" si="140"/>
        <v>22.5</v>
      </c>
      <c r="F4540" s="1405">
        <v>22.5</v>
      </c>
      <c r="G4540" s="1405">
        <v>22.5</v>
      </c>
      <c r="H4540" t="b">
        <f t="shared" si="141"/>
        <v>1</v>
      </c>
    </row>
    <row r="4541" spans="1:8">
      <c r="A4541" s="739">
        <v>39665</v>
      </c>
      <c r="B4541" s="740" t="s">
        <v>12912</v>
      </c>
      <c r="C4541" s="739" t="s">
        <v>1693</v>
      </c>
      <c r="D4541" s="741">
        <f t="shared" si="140"/>
        <v>47.49</v>
      </c>
      <c r="F4541" s="1406">
        <v>47.49</v>
      </c>
      <c r="G4541" s="1406">
        <v>47.49</v>
      </c>
      <c r="H4541" t="b">
        <f t="shared" si="141"/>
        <v>1</v>
      </c>
    </row>
    <row r="4542" spans="1:8">
      <c r="A4542" s="677">
        <v>39752</v>
      </c>
      <c r="B4542" s="733" t="s">
        <v>12913</v>
      </c>
      <c r="C4542" s="677" t="s">
        <v>1693</v>
      </c>
      <c r="D4542" s="738">
        <f t="shared" si="140"/>
        <v>238.79</v>
      </c>
      <c r="F4542" s="1405">
        <v>238.79</v>
      </c>
      <c r="G4542" s="1405">
        <v>238.79</v>
      </c>
      <c r="H4542" t="b">
        <f t="shared" si="141"/>
        <v>1</v>
      </c>
    </row>
    <row r="4543" spans="1:8" ht="30">
      <c r="A4543" s="739">
        <v>7725</v>
      </c>
      <c r="B4543" s="740" t="s">
        <v>12914</v>
      </c>
      <c r="C4543" s="739" t="s">
        <v>1693</v>
      </c>
      <c r="D4543" s="741">
        <f t="shared" si="140"/>
        <v>244.67</v>
      </c>
      <c r="F4543" s="1406">
        <v>244.67</v>
      </c>
      <c r="G4543" s="1406">
        <v>244.67</v>
      </c>
      <c r="H4543" t="b">
        <f t="shared" si="141"/>
        <v>1</v>
      </c>
    </row>
    <row r="4544" spans="1:8" ht="30">
      <c r="A4544" s="677">
        <v>7753</v>
      </c>
      <c r="B4544" s="733" t="s">
        <v>12915</v>
      </c>
      <c r="C4544" s="677" t="s">
        <v>1693</v>
      </c>
      <c r="D4544" s="738">
        <f t="shared" si="140"/>
        <v>477</v>
      </c>
      <c r="F4544" s="1405">
        <v>477</v>
      </c>
      <c r="G4544" s="1405">
        <v>477</v>
      </c>
      <c r="H4544" t="b">
        <f t="shared" si="141"/>
        <v>1</v>
      </c>
    </row>
    <row r="4545" spans="1:8" ht="30">
      <c r="A4545" s="739">
        <v>13256</v>
      </c>
      <c r="B4545" s="740" t="s">
        <v>12916</v>
      </c>
      <c r="C4545" s="739" t="s">
        <v>1693</v>
      </c>
      <c r="D4545" s="741">
        <f t="shared" si="140"/>
        <v>668.21</v>
      </c>
      <c r="F4545" s="1406">
        <v>668.21</v>
      </c>
      <c r="G4545" s="1406">
        <v>668.21</v>
      </c>
      <c r="H4545" t="b">
        <f t="shared" si="141"/>
        <v>1</v>
      </c>
    </row>
    <row r="4546" spans="1:8" ht="30">
      <c r="A4546" s="677">
        <v>7757</v>
      </c>
      <c r="B4546" s="733" t="s">
        <v>12917</v>
      </c>
      <c r="C4546" s="677" t="s">
        <v>1693</v>
      </c>
      <c r="D4546" s="738">
        <f t="shared" si="140"/>
        <v>712.42</v>
      </c>
      <c r="F4546" s="1405">
        <v>712.42</v>
      </c>
      <c r="G4546" s="1405">
        <v>712.42</v>
      </c>
      <c r="H4546" t="b">
        <f t="shared" si="141"/>
        <v>1</v>
      </c>
    </row>
    <row r="4547" spans="1:8" ht="30">
      <c r="A4547" s="739">
        <v>7758</v>
      </c>
      <c r="B4547" s="740" t="s">
        <v>12918</v>
      </c>
      <c r="C4547" s="739" t="s">
        <v>1693</v>
      </c>
      <c r="D4547" s="741">
        <f t="shared" ref="D4547:D4610" si="142">IF($J$2=$F$1,F4547,G4547)</f>
        <v>1032.1300000000001</v>
      </c>
      <c r="F4547" s="1406">
        <v>1032.1300000000001</v>
      </c>
      <c r="G4547" s="1406">
        <v>1032.1300000000001</v>
      </c>
      <c r="H4547" t="b">
        <f t="shared" ref="H4547:H4610" si="143">F4547=G4547</f>
        <v>1</v>
      </c>
    </row>
    <row r="4548" spans="1:8" ht="30">
      <c r="A4548" s="677">
        <v>7759</v>
      </c>
      <c r="B4548" s="733" t="s">
        <v>12919</v>
      </c>
      <c r="C4548" s="677" t="s">
        <v>1693</v>
      </c>
      <c r="D4548" s="738">
        <f t="shared" si="142"/>
        <v>2860.04</v>
      </c>
      <c r="F4548" s="1405">
        <v>2860.04</v>
      </c>
      <c r="G4548" s="1405">
        <v>2860.04</v>
      </c>
      <c r="H4548" t="b">
        <f t="shared" si="143"/>
        <v>1</v>
      </c>
    </row>
    <row r="4549" spans="1:8">
      <c r="A4549" s="739">
        <v>40334</v>
      </c>
      <c r="B4549" s="740" t="s">
        <v>12920</v>
      </c>
      <c r="C4549" s="739" t="s">
        <v>1693</v>
      </c>
      <c r="D4549" s="741">
        <f t="shared" si="142"/>
        <v>112.05</v>
      </c>
      <c r="F4549" s="1406">
        <v>112.05</v>
      </c>
      <c r="G4549" s="1406">
        <v>112.05</v>
      </c>
      <c r="H4549" t="b">
        <f t="shared" si="143"/>
        <v>1</v>
      </c>
    </row>
    <row r="4550" spans="1:8">
      <c r="A4550" s="677">
        <v>7745</v>
      </c>
      <c r="B4550" s="733" t="s">
        <v>12921</v>
      </c>
      <c r="C4550" s="677" t="s">
        <v>1693</v>
      </c>
      <c r="D4550" s="738">
        <f t="shared" si="142"/>
        <v>126.44</v>
      </c>
      <c r="F4550" s="1405">
        <v>126.44</v>
      </c>
      <c r="G4550" s="1405">
        <v>126.44</v>
      </c>
      <c r="H4550" t="b">
        <f t="shared" si="143"/>
        <v>1</v>
      </c>
    </row>
    <row r="4551" spans="1:8">
      <c r="A4551" s="739">
        <v>7714</v>
      </c>
      <c r="B4551" s="740" t="s">
        <v>12922</v>
      </c>
      <c r="C4551" s="739" t="s">
        <v>1693</v>
      </c>
      <c r="D4551" s="741">
        <f t="shared" si="142"/>
        <v>151.11000000000001</v>
      </c>
      <c r="F4551" s="1406">
        <v>151.11000000000001</v>
      </c>
      <c r="G4551" s="1406">
        <v>151.11000000000001</v>
      </c>
      <c r="H4551" t="b">
        <f t="shared" si="143"/>
        <v>1</v>
      </c>
    </row>
    <row r="4552" spans="1:8">
      <c r="A4552" s="677">
        <v>7742</v>
      </c>
      <c r="B4552" s="733" t="s">
        <v>12923</v>
      </c>
      <c r="C4552" s="677" t="s">
        <v>1693</v>
      </c>
      <c r="D4552" s="738">
        <f t="shared" si="142"/>
        <v>333.49</v>
      </c>
      <c r="F4552" s="1405">
        <v>333.49</v>
      </c>
      <c r="G4552" s="1405">
        <v>333.49</v>
      </c>
      <c r="H4552" t="b">
        <f t="shared" si="143"/>
        <v>1</v>
      </c>
    </row>
    <row r="4553" spans="1:8">
      <c r="A4553" s="739">
        <v>7750</v>
      </c>
      <c r="B4553" s="740" t="s">
        <v>12924</v>
      </c>
      <c r="C4553" s="739" t="s">
        <v>1693</v>
      </c>
      <c r="D4553" s="741">
        <f t="shared" si="142"/>
        <v>407.09</v>
      </c>
      <c r="F4553" s="1406">
        <v>407.09</v>
      </c>
      <c r="G4553" s="1406">
        <v>407.09</v>
      </c>
      <c r="H4553" t="b">
        <f t="shared" si="143"/>
        <v>1</v>
      </c>
    </row>
    <row r="4554" spans="1:8">
      <c r="A4554" s="677">
        <v>7756</v>
      </c>
      <c r="B4554" s="733" t="s">
        <v>12925</v>
      </c>
      <c r="C4554" s="677" t="s">
        <v>1693</v>
      </c>
      <c r="D4554" s="738">
        <f t="shared" si="142"/>
        <v>467.75</v>
      </c>
      <c r="F4554" s="1405">
        <v>467.75</v>
      </c>
      <c r="G4554" s="1405">
        <v>467.75</v>
      </c>
      <c r="H4554" t="b">
        <f t="shared" si="143"/>
        <v>1</v>
      </c>
    </row>
    <row r="4555" spans="1:8" ht="30">
      <c r="A4555" s="739">
        <v>7765</v>
      </c>
      <c r="B4555" s="740" t="s">
        <v>12926</v>
      </c>
      <c r="C4555" s="739" t="s">
        <v>1693</v>
      </c>
      <c r="D4555" s="741">
        <f t="shared" si="142"/>
        <v>524.29</v>
      </c>
      <c r="F4555" s="1406">
        <v>524.29</v>
      </c>
      <c r="G4555" s="1406">
        <v>524.29</v>
      </c>
      <c r="H4555" t="b">
        <f t="shared" si="143"/>
        <v>1</v>
      </c>
    </row>
    <row r="4556" spans="1:8" ht="30">
      <c r="A4556" s="677">
        <v>12569</v>
      </c>
      <c r="B4556" s="733" t="s">
        <v>12927</v>
      </c>
      <c r="C4556" s="677" t="s">
        <v>1693</v>
      </c>
      <c r="D4556" s="738">
        <f t="shared" si="142"/>
        <v>723.72</v>
      </c>
      <c r="F4556" s="1405">
        <v>723.72</v>
      </c>
      <c r="G4556" s="1405">
        <v>723.72</v>
      </c>
      <c r="H4556" t="b">
        <f t="shared" si="143"/>
        <v>1</v>
      </c>
    </row>
    <row r="4557" spans="1:8" ht="30">
      <c r="A4557" s="739">
        <v>7766</v>
      </c>
      <c r="B4557" s="740" t="s">
        <v>12928</v>
      </c>
      <c r="C4557" s="739" t="s">
        <v>1693</v>
      </c>
      <c r="D4557" s="741">
        <f t="shared" si="142"/>
        <v>768.96</v>
      </c>
      <c r="F4557" s="1406">
        <v>768.96</v>
      </c>
      <c r="G4557" s="1406">
        <v>768.96</v>
      </c>
      <c r="H4557" t="b">
        <f t="shared" si="143"/>
        <v>1</v>
      </c>
    </row>
    <row r="4558" spans="1:8" ht="30">
      <c r="A4558" s="677">
        <v>7767</v>
      </c>
      <c r="B4558" s="733" t="s">
        <v>12929</v>
      </c>
      <c r="C4558" s="677" t="s">
        <v>1693</v>
      </c>
      <c r="D4558" s="738">
        <f t="shared" si="142"/>
        <v>1104.0899999999999</v>
      </c>
      <c r="F4558" s="1405">
        <v>1104.0899999999999</v>
      </c>
      <c r="G4558" s="1405">
        <v>1104.0899999999999</v>
      </c>
      <c r="H4558" t="b">
        <f t="shared" si="143"/>
        <v>1</v>
      </c>
    </row>
    <row r="4559" spans="1:8" ht="30">
      <c r="A4559" s="739">
        <v>7727</v>
      </c>
      <c r="B4559" s="740" t="s">
        <v>12930</v>
      </c>
      <c r="C4559" s="739" t="s">
        <v>1693</v>
      </c>
      <c r="D4559" s="741">
        <f t="shared" si="142"/>
        <v>3207.43</v>
      </c>
      <c r="F4559" s="1406">
        <v>3207.43</v>
      </c>
      <c r="G4559" s="1406">
        <v>3207.43</v>
      </c>
      <c r="H4559" t="b">
        <f t="shared" si="143"/>
        <v>1</v>
      </c>
    </row>
    <row r="4560" spans="1:8">
      <c r="A4560" s="677">
        <v>7760</v>
      </c>
      <c r="B4560" s="733" t="s">
        <v>12931</v>
      </c>
      <c r="C4560" s="677" t="s">
        <v>1693</v>
      </c>
      <c r="D4560" s="738">
        <f t="shared" si="142"/>
        <v>127.47</v>
      </c>
      <c r="F4560" s="1405">
        <v>127.47</v>
      </c>
      <c r="G4560" s="1405">
        <v>127.47</v>
      </c>
      <c r="H4560" t="b">
        <f t="shared" si="143"/>
        <v>1</v>
      </c>
    </row>
    <row r="4561" spans="1:8">
      <c r="A4561" s="739">
        <v>7761</v>
      </c>
      <c r="B4561" s="740" t="s">
        <v>12932</v>
      </c>
      <c r="C4561" s="739" t="s">
        <v>1693</v>
      </c>
      <c r="D4561" s="741">
        <f t="shared" si="142"/>
        <v>133.63999999999999</v>
      </c>
      <c r="F4561" s="1406">
        <v>133.63999999999999</v>
      </c>
      <c r="G4561" s="1406">
        <v>133.63999999999999</v>
      </c>
      <c r="H4561" t="b">
        <f t="shared" si="143"/>
        <v>1</v>
      </c>
    </row>
    <row r="4562" spans="1:8">
      <c r="A4562" s="677">
        <v>7752</v>
      </c>
      <c r="B4562" s="733" t="s">
        <v>12933</v>
      </c>
      <c r="C4562" s="677" t="s">
        <v>1693</v>
      </c>
      <c r="D4562" s="738">
        <f t="shared" si="142"/>
        <v>162.41999999999999</v>
      </c>
      <c r="F4562" s="1405">
        <v>162.41999999999999</v>
      </c>
      <c r="G4562" s="1405">
        <v>162.41999999999999</v>
      </c>
      <c r="H4562" t="b">
        <f t="shared" si="143"/>
        <v>1</v>
      </c>
    </row>
    <row r="4563" spans="1:8">
      <c r="A4563" s="739">
        <v>7762</v>
      </c>
      <c r="B4563" s="740" t="s">
        <v>12934</v>
      </c>
      <c r="C4563" s="739" t="s">
        <v>1693</v>
      </c>
      <c r="D4563" s="741">
        <f t="shared" si="142"/>
        <v>212.28</v>
      </c>
      <c r="F4563" s="1406">
        <v>212.28</v>
      </c>
      <c r="G4563" s="1406">
        <v>212.28</v>
      </c>
      <c r="H4563" t="b">
        <f t="shared" si="143"/>
        <v>1</v>
      </c>
    </row>
    <row r="4564" spans="1:8">
      <c r="A4564" s="677">
        <v>7722</v>
      </c>
      <c r="B4564" s="733" t="s">
        <v>12935</v>
      </c>
      <c r="C4564" s="677" t="s">
        <v>1693</v>
      </c>
      <c r="D4564" s="738">
        <f t="shared" si="142"/>
        <v>324.85000000000002</v>
      </c>
      <c r="F4564" s="1405">
        <v>324.85000000000002</v>
      </c>
      <c r="G4564" s="1405">
        <v>324.85000000000002</v>
      </c>
      <c r="H4564" t="b">
        <f t="shared" si="143"/>
        <v>1</v>
      </c>
    </row>
    <row r="4565" spans="1:8">
      <c r="A4565" s="739">
        <v>7763</v>
      </c>
      <c r="B4565" s="740" t="s">
        <v>12936</v>
      </c>
      <c r="C4565" s="739" t="s">
        <v>1693</v>
      </c>
      <c r="D4565" s="741">
        <f t="shared" si="142"/>
        <v>395.78</v>
      </c>
      <c r="F4565" s="1406">
        <v>395.78</v>
      </c>
      <c r="G4565" s="1406">
        <v>395.78</v>
      </c>
      <c r="H4565" t="b">
        <f t="shared" si="143"/>
        <v>1</v>
      </c>
    </row>
    <row r="4566" spans="1:8">
      <c r="A4566" s="677">
        <v>7764</v>
      </c>
      <c r="B4566" s="733" t="s">
        <v>12937</v>
      </c>
      <c r="C4566" s="677" t="s">
        <v>1693</v>
      </c>
      <c r="D4566" s="738">
        <f t="shared" si="142"/>
        <v>472.89</v>
      </c>
      <c r="F4566" s="1405">
        <v>472.89</v>
      </c>
      <c r="G4566" s="1405">
        <v>472.89</v>
      </c>
      <c r="H4566" t="b">
        <f t="shared" si="143"/>
        <v>1</v>
      </c>
    </row>
    <row r="4567" spans="1:8" ht="30">
      <c r="A4567" s="739">
        <v>12572</v>
      </c>
      <c r="B4567" s="740" t="s">
        <v>12938</v>
      </c>
      <c r="C4567" s="739" t="s">
        <v>1693</v>
      </c>
      <c r="D4567" s="741">
        <f t="shared" si="142"/>
        <v>668.21</v>
      </c>
      <c r="F4567" s="1406">
        <v>668.21</v>
      </c>
      <c r="G4567" s="1406">
        <v>668.21</v>
      </c>
      <c r="H4567" t="b">
        <f t="shared" si="143"/>
        <v>1</v>
      </c>
    </row>
    <row r="4568" spans="1:8" ht="30">
      <c r="A4568" s="677">
        <v>12573</v>
      </c>
      <c r="B4568" s="733" t="s">
        <v>12939</v>
      </c>
      <c r="C4568" s="677" t="s">
        <v>1693</v>
      </c>
      <c r="D4568" s="738">
        <f t="shared" si="142"/>
        <v>878.96</v>
      </c>
      <c r="F4568" s="1405">
        <v>878.96</v>
      </c>
      <c r="G4568" s="1405">
        <v>878.96</v>
      </c>
      <c r="H4568" t="b">
        <f t="shared" si="143"/>
        <v>1</v>
      </c>
    </row>
    <row r="4569" spans="1:8" ht="30">
      <c r="A4569" s="739">
        <v>12574</v>
      </c>
      <c r="B4569" s="740" t="s">
        <v>12940</v>
      </c>
      <c r="C4569" s="739" t="s">
        <v>1693</v>
      </c>
      <c r="D4569" s="741">
        <f t="shared" si="142"/>
        <v>1062.77</v>
      </c>
      <c r="F4569" s="1406">
        <v>1062.77</v>
      </c>
      <c r="G4569" s="1406">
        <v>1062.77</v>
      </c>
      <c r="H4569" t="b">
        <f t="shared" si="143"/>
        <v>1</v>
      </c>
    </row>
    <row r="4570" spans="1:8" ht="30">
      <c r="A4570" s="677">
        <v>12575</v>
      </c>
      <c r="B4570" s="733" t="s">
        <v>12941</v>
      </c>
      <c r="C4570" s="677" t="s">
        <v>1693</v>
      </c>
      <c r="D4570" s="738">
        <f t="shared" si="142"/>
        <v>1613.99</v>
      </c>
      <c r="F4570" s="1405">
        <v>1613.99</v>
      </c>
      <c r="G4570" s="1405">
        <v>1613.99</v>
      </c>
      <c r="H4570" t="b">
        <f t="shared" si="143"/>
        <v>1</v>
      </c>
    </row>
    <row r="4571" spans="1:8">
      <c r="A4571" s="739">
        <v>12576</v>
      </c>
      <c r="B4571" s="740" t="s">
        <v>12942</v>
      </c>
      <c r="C4571" s="739" t="s">
        <v>1693</v>
      </c>
      <c r="D4571" s="741">
        <f t="shared" si="142"/>
        <v>195.32</v>
      </c>
      <c r="F4571" s="1406">
        <v>195.32</v>
      </c>
      <c r="G4571" s="1406">
        <v>195.32</v>
      </c>
      <c r="H4571" t="b">
        <f t="shared" si="143"/>
        <v>1</v>
      </c>
    </row>
    <row r="4572" spans="1:8">
      <c r="A4572" s="677">
        <v>12577</v>
      </c>
      <c r="B4572" s="733" t="s">
        <v>12943</v>
      </c>
      <c r="C4572" s="677" t="s">
        <v>1693</v>
      </c>
      <c r="D4572" s="738">
        <f t="shared" si="142"/>
        <v>263.17</v>
      </c>
      <c r="F4572" s="1405">
        <v>263.17</v>
      </c>
      <c r="G4572" s="1405">
        <v>263.17</v>
      </c>
      <c r="H4572" t="b">
        <f t="shared" si="143"/>
        <v>1</v>
      </c>
    </row>
    <row r="4573" spans="1:8">
      <c r="A4573" s="739">
        <v>12578</v>
      </c>
      <c r="B4573" s="740" t="s">
        <v>12944</v>
      </c>
      <c r="C4573" s="739" t="s">
        <v>1693</v>
      </c>
      <c r="D4573" s="741">
        <f t="shared" si="142"/>
        <v>318.68</v>
      </c>
      <c r="F4573" s="1406">
        <v>318.68</v>
      </c>
      <c r="G4573" s="1406">
        <v>318.68</v>
      </c>
      <c r="H4573" t="b">
        <f t="shared" si="143"/>
        <v>1</v>
      </c>
    </row>
    <row r="4574" spans="1:8">
      <c r="A4574" s="677">
        <v>12579</v>
      </c>
      <c r="B4574" s="733" t="s">
        <v>12945</v>
      </c>
      <c r="C4574" s="677" t="s">
        <v>1693</v>
      </c>
      <c r="D4574" s="738">
        <f t="shared" si="142"/>
        <v>548.96</v>
      </c>
      <c r="F4574" s="1405">
        <v>548.96</v>
      </c>
      <c r="G4574" s="1405">
        <v>548.96</v>
      </c>
      <c r="H4574" t="b">
        <f t="shared" si="143"/>
        <v>1</v>
      </c>
    </row>
    <row r="4575" spans="1:8">
      <c r="A4575" s="739">
        <v>12580</v>
      </c>
      <c r="B4575" s="740" t="s">
        <v>12946</v>
      </c>
      <c r="C4575" s="739" t="s">
        <v>1693</v>
      </c>
      <c r="D4575" s="741">
        <f t="shared" si="142"/>
        <v>571.99</v>
      </c>
      <c r="F4575" s="1406">
        <v>571.99</v>
      </c>
      <c r="G4575" s="1406">
        <v>571.99</v>
      </c>
      <c r="H4575" t="b">
        <f t="shared" si="143"/>
        <v>1</v>
      </c>
    </row>
    <row r="4576" spans="1:8">
      <c r="A4576" s="677">
        <v>12581</v>
      </c>
      <c r="B4576" s="733" t="s">
        <v>12947</v>
      </c>
      <c r="C4576" s="677" t="s">
        <v>1693</v>
      </c>
      <c r="D4576" s="738">
        <f t="shared" si="142"/>
        <v>612.70000000000005</v>
      </c>
      <c r="F4576" s="1405">
        <v>612.70000000000005</v>
      </c>
      <c r="G4576" s="1405">
        <v>612.70000000000005</v>
      </c>
      <c r="H4576" t="b">
        <f t="shared" si="143"/>
        <v>1</v>
      </c>
    </row>
    <row r="4577" spans="1:8" ht="30">
      <c r="A4577" s="739">
        <v>7720</v>
      </c>
      <c r="B4577" s="740" t="s">
        <v>12948</v>
      </c>
      <c r="C4577" s="739" t="s">
        <v>1693</v>
      </c>
      <c r="D4577" s="741">
        <f t="shared" si="142"/>
        <v>958.11</v>
      </c>
      <c r="F4577" s="1406">
        <v>958.11</v>
      </c>
      <c r="G4577" s="1406">
        <v>958.11</v>
      </c>
      <c r="H4577" t="b">
        <f t="shared" si="143"/>
        <v>1</v>
      </c>
    </row>
    <row r="4578" spans="1:8" ht="30">
      <c r="A4578" s="677">
        <v>40335</v>
      </c>
      <c r="B4578" s="733" t="s">
        <v>12949</v>
      </c>
      <c r="C4578" s="677" t="s">
        <v>1693</v>
      </c>
      <c r="D4578" s="738">
        <f t="shared" si="142"/>
        <v>200.46</v>
      </c>
      <c r="F4578" s="1405">
        <v>200.46</v>
      </c>
      <c r="G4578" s="1405">
        <v>200.46</v>
      </c>
      <c r="H4578" t="b">
        <f t="shared" si="143"/>
        <v>1</v>
      </c>
    </row>
    <row r="4579" spans="1:8" ht="30">
      <c r="A4579" s="739">
        <v>7740</v>
      </c>
      <c r="B4579" s="740" t="s">
        <v>12950</v>
      </c>
      <c r="C4579" s="739" t="s">
        <v>1693</v>
      </c>
      <c r="D4579" s="741">
        <f t="shared" si="142"/>
        <v>205.6</v>
      </c>
      <c r="F4579" s="1406">
        <v>205.6</v>
      </c>
      <c r="G4579" s="1406">
        <v>205.6</v>
      </c>
      <c r="H4579" t="b">
        <f t="shared" si="143"/>
        <v>1</v>
      </c>
    </row>
    <row r="4580" spans="1:8" ht="30">
      <c r="A4580" s="677">
        <v>7741</v>
      </c>
      <c r="B4580" s="733" t="s">
        <v>12951</v>
      </c>
      <c r="C4580" s="677" t="s">
        <v>1693</v>
      </c>
      <c r="D4580" s="738">
        <f t="shared" si="142"/>
        <v>380.36</v>
      </c>
      <c r="F4580" s="1405">
        <v>380.36</v>
      </c>
      <c r="G4580" s="1405">
        <v>380.36</v>
      </c>
      <c r="H4580" t="b">
        <f t="shared" si="143"/>
        <v>1</v>
      </c>
    </row>
    <row r="4581" spans="1:8" ht="30">
      <c r="A4581" s="739">
        <v>7774</v>
      </c>
      <c r="B4581" s="740" t="s">
        <v>12952</v>
      </c>
      <c r="C4581" s="739" t="s">
        <v>1693</v>
      </c>
      <c r="D4581" s="741">
        <f t="shared" si="142"/>
        <v>466.72</v>
      </c>
      <c r="F4581" s="1406">
        <v>466.72</v>
      </c>
      <c r="G4581" s="1406">
        <v>466.72</v>
      </c>
      <c r="H4581" t="b">
        <f t="shared" si="143"/>
        <v>1</v>
      </c>
    </row>
    <row r="4582" spans="1:8" ht="30">
      <c r="A4582" s="677">
        <v>7744</v>
      </c>
      <c r="B4582" s="733" t="s">
        <v>12953</v>
      </c>
      <c r="C4582" s="677" t="s">
        <v>1693</v>
      </c>
      <c r="D4582" s="738">
        <f t="shared" si="142"/>
        <v>609.61</v>
      </c>
      <c r="F4582" s="1405">
        <v>609.61</v>
      </c>
      <c r="G4582" s="1405">
        <v>609.61</v>
      </c>
      <c r="H4582" t="b">
        <f t="shared" si="143"/>
        <v>1</v>
      </c>
    </row>
    <row r="4583" spans="1:8" ht="30">
      <c r="A4583" s="739">
        <v>7773</v>
      </c>
      <c r="B4583" s="740" t="s">
        <v>12954</v>
      </c>
      <c r="C4583" s="739" t="s">
        <v>1693</v>
      </c>
      <c r="D4583" s="741">
        <f t="shared" si="142"/>
        <v>623.08000000000004</v>
      </c>
      <c r="F4583" s="1406">
        <v>623.08000000000004</v>
      </c>
      <c r="G4583" s="1406">
        <v>623.08000000000004</v>
      </c>
      <c r="H4583" t="b">
        <f t="shared" si="143"/>
        <v>1</v>
      </c>
    </row>
    <row r="4584" spans="1:8" ht="30">
      <c r="A4584" s="677">
        <v>7754</v>
      </c>
      <c r="B4584" s="733" t="s">
        <v>12955</v>
      </c>
      <c r="C4584" s="677" t="s">
        <v>1693</v>
      </c>
      <c r="D4584" s="738">
        <f t="shared" si="142"/>
        <v>944.75</v>
      </c>
      <c r="F4584" s="1405">
        <v>944.75</v>
      </c>
      <c r="G4584" s="1405">
        <v>944.75</v>
      </c>
      <c r="H4584" t="b">
        <f t="shared" si="143"/>
        <v>1</v>
      </c>
    </row>
    <row r="4585" spans="1:8" ht="30">
      <c r="A4585" s="739">
        <v>7735</v>
      </c>
      <c r="B4585" s="740" t="s">
        <v>12956</v>
      </c>
      <c r="C4585" s="739" t="s">
        <v>1693</v>
      </c>
      <c r="D4585" s="741">
        <f t="shared" si="142"/>
        <v>1223.3499999999999</v>
      </c>
      <c r="F4585" s="1406">
        <v>1223.3499999999999</v>
      </c>
      <c r="G4585" s="1406">
        <v>1223.3499999999999</v>
      </c>
      <c r="H4585" t="b">
        <f t="shared" si="143"/>
        <v>1</v>
      </c>
    </row>
    <row r="4586" spans="1:8" ht="30">
      <c r="A4586" s="677">
        <v>7755</v>
      </c>
      <c r="B4586" s="733" t="s">
        <v>12957</v>
      </c>
      <c r="C4586" s="677" t="s">
        <v>1693</v>
      </c>
      <c r="D4586" s="738">
        <f t="shared" si="142"/>
        <v>242.61</v>
      </c>
      <c r="F4586" s="1405">
        <v>242.61</v>
      </c>
      <c r="G4586" s="1405">
        <v>242.61</v>
      </c>
      <c r="H4586" t="b">
        <f t="shared" si="143"/>
        <v>1</v>
      </c>
    </row>
    <row r="4587" spans="1:8" ht="30">
      <c r="A4587" s="739">
        <v>7776</v>
      </c>
      <c r="B4587" s="740" t="s">
        <v>12958</v>
      </c>
      <c r="C4587" s="739" t="s">
        <v>1693</v>
      </c>
      <c r="D4587" s="741">
        <f t="shared" si="142"/>
        <v>505.78</v>
      </c>
      <c r="F4587" s="1406">
        <v>505.78</v>
      </c>
      <c r="G4587" s="1406">
        <v>505.78</v>
      </c>
      <c r="H4587" t="b">
        <f t="shared" si="143"/>
        <v>1</v>
      </c>
    </row>
    <row r="4588" spans="1:8" ht="30">
      <c r="A4588" s="677">
        <v>7743</v>
      </c>
      <c r="B4588" s="733" t="s">
        <v>12959</v>
      </c>
      <c r="C4588" s="677" t="s">
        <v>1693</v>
      </c>
      <c r="D4588" s="738">
        <f t="shared" si="142"/>
        <v>535.6</v>
      </c>
      <c r="F4588" s="1405">
        <v>535.6</v>
      </c>
      <c r="G4588" s="1405">
        <v>535.6</v>
      </c>
      <c r="H4588" t="b">
        <f t="shared" si="143"/>
        <v>1</v>
      </c>
    </row>
    <row r="4589" spans="1:8" ht="30">
      <c r="A4589" s="739">
        <v>7733</v>
      </c>
      <c r="B4589" s="740" t="s">
        <v>12960</v>
      </c>
      <c r="C4589" s="739" t="s">
        <v>1693</v>
      </c>
      <c r="D4589" s="741">
        <f t="shared" si="142"/>
        <v>699.05</v>
      </c>
      <c r="F4589" s="1406">
        <v>699.05</v>
      </c>
      <c r="G4589" s="1406">
        <v>699.05</v>
      </c>
      <c r="H4589" t="b">
        <f t="shared" si="143"/>
        <v>1</v>
      </c>
    </row>
    <row r="4590" spans="1:8" ht="30">
      <c r="A4590" s="677">
        <v>7775</v>
      </c>
      <c r="B4590" s="733" t="s">
        <v>12961</v>
      </c>
      <c r="C4590" s="677" t="s">
        <v>1693</v>
      </c>
      <c r="D4590" s="738">
        <f t="shared" si="142"/>
        <v>765.87</v>
      </c>
      <c r="F4590" s="1405">
        <v>765.87</v>
      </c>
      <c r="G4590" s="1405">
        <v>765.87</v>
      </c>
      <c r="H4590" t="b">
        <f t="shared" si="143"/>
        <v>1</v>
      </c>
    </row>
    <row r="4591" spans="1:8" ht="30">
      <c r="A4591" s="739">
        <v>7734</v>
      </c>
      <c r="B4591" s="740" t="s">
        <v>12962</v>
      </c>
      <c r="C4591" s="739" t="s">
        <v>1693</v>
      </c>
      <c r="D4591" s="741">
        <f t="shared" si="142"/>
        <v>1084.56</v>
      </c>
      <c r="F4591" s="1406">
        <v>1084.56</v>
      </c>
      <c r="G4591" s="1406">
        <v>1084.56</v>
      </c>
      <c r="H4591" t="b">
        <f t="shared" si="143"/>
        <v>1</v>
      </c>
    </row>
    <row r="4592" spans="1:8">
      <c r="A4592" s="677">
        <v>37449</v>
      </c>
      <c r="B4592" s="733" t="s">
        <v>12963</v>
      </c>
      <c r="C4592" s="677" t="s">
        <v>1693</v>
      </c>
      <c r="D4592" s="738">
        <f t="shared" si="142"/>
        <v>36.86</v>
      </c>
      <c r="F4592" s="1405">
        <v>36.86</v>
      </c>
      <c r="G4592" s="1405">
        <v>36.86</v>
      </c>
      <c r="H4592" t="b">
        <f t="shared" si="143"/>
        <v>1</v>
      </c>
    </row>
    <row r="4593" spans="1:8">
      <c r="A4593" s="739">
        <v>37450</v>
      </c>
      <c r="B4593" s="740" t="s">
        <v>12964</v>
      </c>
      <c r="C4593" s="739" t="s">
        <v>1693</v>
      </c>
      <c r="D4593" s="741">
        <f t="shared" si="142"/>
        <v>51.61</v>
      </c>
      <c r="F4593" s="1406">
        <v>51.61</v>
      </c>
      <c r="G4593" s="1406">
        <v>51.61</v>
      </c>
      <c r="H4593" t="b">
        <f t="shared" si="143"/>
        <v>1</v>
      </c>
    </row>
    <row r="4594" spans="1:8">
      <c r="A4594" s="677">
        <v>37451</v>
      </c>
      <c r="B4594" s="733" t="s">
        <v>12965</v>
      </c>
      <c r="C4594" s="677" t="s">
        <v>1693</v>
      </c>
      <c r="D4594" s="738">
        <f t="shared" si="142"/>
        <v>72.05</v>
      </c>
      <c r="F4594" s="1405">
        <v>72.05</v>
      </c>
      <c r="G4594" s="1405">
        <v>72.05</v>
      </c>
      <c r="H4594" t="b">
        <f t="shared" si="143"/>
        <v>1</v>
      </c>
    </row>
    <row r="4595" spans="1:8">
      <c r="A4595" s="739">
        <v>37452</v>
      </c>
      <c r="B4595" s="740" t="s">
        <v>12966</v>
      </c>
      <c r="C4595" s="739" t="s">
        <v>1693</v>
      </c>
      <c r="D4595" s="741">
        <f t="shared" si="142"/>
        <v>104.72</v>
      </c>
      <c r="F4595" s="1406">
        <v>104.72</v>
      </c>
      <c r="G4595" s="1406">
        <v>104.72</v>
      </c>
      <c r="H4595" t="b">
        <f t="shared" si="143"/>
        <v>1</v>
      </c>
    </row>
    <row r="4596" spans="1:8">
      <c r="A4596" s="677">
        <v>37453</v>
      </c>
      <c r="B4596" s="733" t="s">
        <v>12967</v>
      </c>
      <c r="C4596" s="677" t="s">
        <v>1693</v>
      </c>
      <c r="D4596" s="738">
        <f t="shared" si="142"/>
        <v>120.6</v>
      </c>
      <c r="F4596" s="1405">
        <v>120.6</v>
      </c>
      <c r="G4596" s="1405">
        <v>120.6</v>
      </c>
      <c r="H4596" t="b">
        <f t="shared" si="143"/>
        <v>1</v>
      </c>
    </row>
    <row r="4597" spans="1:8">
      <c r="A4597" s="739">
        <v>7778</v>
      </c>
      <c r="B4597" s="740" t="s">
        <v>12968</v>
      </c>
      <c r="C4597" s="739" t="s">
        <v>1693</v>
      </c>
      <c r="D4597" s="741">
        <f t="shared" si="142"/>
        <v>45.24</v>
      </c>
      <c r="F4597" s="1406">
        <v>45.24</v>
      </c>
      <c r="G4597" s="1406">
        <v>45.24</v>
      </c>
      <c r="H4597" t="b">
        <f t="shared" si="143"/>
        <v>1</v>
      </c>
    </row>
    <row r="4598" spans="1:8">
      <c r="A4598" s="677">
        <v>7796</v>
      </c>
      <c r="B4598" s="733" t="s">
        <v>12969</v>
      </c>
      <c r="C4598" s="677" t="s">
        <v>1693</v>
      </c>
      <c r="D4598" s="738">
        <f t="shared" si="142"/>
        <v>62</v>
      </c>
      <c r="F4598" s="1405">
        <v>62</v>
      </c>
      <c r="G4598" s="1405">
        <v>62</v>
      </c>
      <c r="H4598" t="b">
        <f t="shared" si="143"/>
        <v>1</v>
      </c>
    </row>
    <row r="4599" spans="1:8">
      <c r="A4599" s="739">
        <v>7781</v>
      </c>
      <c r="B4599" s="740" t="s">
        <v>12970</v>
      </c>
      <c r="C4599" s="739" t="s">
        <v>1693</v>
      </c>
      <c r="D4599" s="741">
        <f t="shared" si="142"/>
        <v>73.260000000000005</v>
      </c>
      <c r="F4599" s="1406">
        <v>73.260000000000005</v>
      </c>
      <c r="G4599" s="1406">
        <v>73.260000000000005</v>
      </c>
      <c r="H4599" t="b">
        <f t="shared" si="143"/>
        <v>1</v>
      </c>
    </row>
    <row r="4600" spans="1:8">
      <c r="A4600" s="677">
        <v>7795</v>
      </c>
      <c r="B4600" s="733" t="s">
        <v>12971</v>
      </c>
      <c r="C4600" s="677" t="s">
        <v>1693</v>
      </c>
      <c r="D4600" s="738">
        <f t="shared" si="142"/>
        <v>109.04</v>
      </c>
      <c r="F4600" s="1405">
        <v>109.04</v>
      </c>
      <c r="G4600" s="1405">
        <v>109.04</v>
      </c>
      <c r="H4600" t="b">
        <f t="shared" si="143"/>
        <v>1</v>
      </c>
    </row>
    <row r="4601" spans="1:8">
      <c r="A4601" s="739">
        <v>7791</v>
      </c>
      <c r="B4601" s="740" t="s">
        <v>12972</v>
      </c>
      <c r="C4601" s="739" t="s">
        <v>1693</v>
      </c>
      <c r="D4601" s="741">
        <f t="shared" si="142"/>
        <v>130.53</v>
      </c>
      <c r="F4601" s="1406">
        <v>130.53</v>
      </c>
      <c r="G4601" s="1406">
        <v>130.53</v>
      </c>
      <c r="H4601" t="b">
        <f t="shared" si="143"/>
        <v>1</v>
      </c>
    </row>
    <row r="4602" spans="1:8">
      <c r="A4602" s="677">
        <v>7783</v>
      </c>
      <c r="B4602" s="733" t="s">
        <v>12973</v>
      </c>
      <c r="C4602" s="677" t="s">
        <v>1693</v>
      </c>
      <c r="D4602" s="738">
        <f t="shared" si="142"/>
        <v>46.25</v>
      </c>
      <c r="F4602" s="1405">
        <v>46.25</v>
      </c>
      <c r="G4602" s="1405">
        <v>46.25</v>
      </c>
      <c r="H4602" t="b">
        <f t="shared" si="143"/>
        <v>1</v>
      </c>
    </row>
    <row r="4603" spans="1:8">
      <c r="A4603" s="739">
        <v>7790</v>
      </c>
      <c r="B4603" s="740" t="s">
        <v>12974</v>
      </c>
      <c r="C4603" s="739" t="s">
        <v>1693</v>
      </c>
      <c r="D4603" s="741">
        <f t="shared" si="142"/>
        <v>72.89</v>
      </c>
      <c r="F4603" s="1406">
        <v>72.89</v>
      </c>
      <c r="G4603" s="1406">
        <v>72.89</v>
      </c>
      <c r="H4603" t="b">
        <f t="shared" si="143"/>
        <v>1</v>
      </c>
    </row>
    <row r="4604" spans="1:8">
      <c r="A4604" s="677">
        <v>7785</v>
      </c>
      <c r="B4604" s="733" t="s">
        <v>12975</v>
      </c>
      <c r="C4604" s="677" t="s">
        <v>1693</v>
      </c>
      <c r="D4604" s="738">
        <f t="shared" si="142"/>
        <v>80.430000000000007</v>
      </c>
      <c r="F4604" s="1405">
        <v>80.430000000000007</v>
      </c>
      <c r="G4604" s="1405">
        <v>80.430000000000007</v>
      </c>
      <c r="H4604" t="b">
        <f t="shared" si="143"/>
        <v>1</v>
      </c>
    </row>
    <row r="4605" spans="1:8">
      <c r="A4605" s="739">
        <v>7792</v>
      </c>
      <c r="B4605" s="740" t="s">
        <v>12976</v>
      </c>
      <c r="C4605" s="739" t="s">
        <v>1693</v>
      </c>
      <c r="D4605" s="741">
        <f t="shared" si="142"/>
        <v>114.07</v>
      </c>
      <c r="F4605" s="1406">
        <v>114.07</v>
      </c>
      <c r="G4605" s="1406">
        <v>114.07</v>
      </c>
      <c r="H4605" t="b">
        <f t="shared" si="143"/>
        <v>1</v>
      </c>
    </row>
    <row r="4606" spans="1:8">
      <c r="A4606" s="677">
        <v>7793</v>
      </c>
      <c r="B4606" s="733" t="s">
        <v>12977</v>
      </c>
      <c r="C4606" s="677" t="s">
        <v>1693</v>
      </c>
      <c r="D4606" s="738">
        <f t="shared" si="142"/>
        <v>134.72</v>
      </c>
      <c r="F4606" s="1405">
        <v>134.72</v>
      </c>
      <c r="G4606" s="1405">
        <v>134.72</v>
      </c>
      <c r="H4606" t="b">
        <f t="shared" si="143"/>
        <v>1</v>
      </c>
    </row>
    <row r="4607" spans="1:8" ht="30">
      <c r="A4607" s="739">
        <v>13159</v>
      </c>
      <c r="B4607" s="740" t="s">
        <v>12978</v>
      </c>
      <c r="C4607" s="739" t="s">
        <v>1693</v>
      </c>
      <c r="D4607" s="741">
        <f t="shared" si="142"/>
        <v>117.29</v>
      </c>
      <c r="F4607" s="1406">
        <v>117.29</v>
      </c>
      <c r="G4607" s="1406">
        <v>117.29</v>
      </c>
      <c r="H4607" t="b">
        <f t="shared" si="143"/>
        <v>1</v>
      </c>
    </row>
    <row r="4608" spans="1:8" ht="30">
      <c r="A4608" s="677">
        <v>13168</v>
      </c>
      <c r="B4608" s="733" t="s">
        <v>12979</v>
      </c>
      <c r="C4608" s="677" t="s">
        <v>1693</v>
      </c>
      <c r="D4608" s="738">
        <f t="shared" si="142"/>
        <v>142.43</v>
      </c>
      <c r="F4608" s="1405">
        <v>142.43</v>
      </c>
      <c r="G4608" s="1405">
        <v>142.43</v>
      </c>
      <c r="H4608" t="b">
        <f t="shared" si="143"/>
        <v>1</v>
      </c>
    </row>
    <row r="4609" spans="1:8" ht="30">
      <c r="A4609" s="739">
        <v>13173</v>
      </c>
      <c r="B4609" s="740" t="s">
        <v>12980</v>
      </c>
      <c r="C4609" s="739" t="s">
        <v>1693</v>
      </c>
      <c r="D4609" s="741">
        <f t="shared" si="142"/>
        <v>192.7</v>
      </c>
      <c r="F4609" s="1406">
        <v>192.7</v>
      </c>
      <c r="G4609" s="1406">
        <v>192.7</v>
      </c>
      <c r="H4609" t="b">
        <f t="shared" si="143"/>
        <v>1</v>
      </c>
    </row>
    <row r="4610" spans="1:8" ht="30">
      <c r="A4610" s="677">
        <v>12583</v>
      </c>
      <c r="B4610" s="733" t="s">
        <v>12981</v>
      </c>
      <c r="C4610" s="677" t="s">
        <v>1693</v>
      </c>
      <c r="D4610" s="738">
        <f t="shared" si="142"/>
        <v>38.54</v>
      </c>
      <c r="F4610" s="1405">
        <v>38.54</v>
      </c>
      <c r="G4610" s="1405">
        <v>38.54</v>
      </c>
      <c r="H4610" t="b">
        <f t="shared" si="143"/>
        <v>1</v>
      </c>
    </row>
    <row r="4611" spans="1:8" ht="30">
      <c r="A4611" s="739">
        <v>12584</v>
      </c>
      <c r="B4611" s="740" t="s">
        <v>12982</v>
      </c>
      <c r="C4611" s="739" t="s">
        <v>1693</v>
      </c>
      <c r="D4611" s="741">
        <f t="shared" ref="D4611:D4674" si="144">IF($J$2=$F$1,F4611,G4611)</f>
        <v>50.27</v>
      </c>
      <c r="F4611" s="1406">
        <v>50.27</v>
      </c>
      <c r="G4611" s="1406">
        <v>50.27</v>
      </c>
      <c r="H4611" t="b">
        <f t="shared" ref="H4611:H4674" si="145">F4611=G4611</f>
        <v>1</v>
      </c>
    </row>
    <row r="4612" spans="1:8">
      <c r="A4612" s="677">
        <v>12613</v>
      </c>
      <c r="B4612" s="733" t="s">
        <v>12983</v>
      </c>
      <c r="C4612" s="677" t="s">
        <v>1690</v>
      </c>
      <c r="D4612" s="738">
        <f t="shared" si="144"/>
        <v>19.71</v>
      </c>
      <c r="F4612" s="1405">
        <v>19.71</v>
      </c>
      <c r="G4612" s="1405">
        <v>19.71</v>
      </c>
      <c r="H4612" t="b">
        <f t="shared" si="145"/>
        <v>1</v>
      </c>
    </row>
    <row r="4613" spans="1:8" ht="30">
      <c r="A4613" s="739">
        <v>1031</v>
      </c>
      <c r="B4613" s="740" t="s">
        <v>12984</v>
      </c>
      <c r="C4613" s="739" t="s">
        <v>1690</v>
      </c>
      <c r="D4613" s="741">
        <f t="shared" si="144"/>
        <v>13.62</v>
      </c>
      <c r="F4613" s="1406">
        <v>13.62</v>
      </c>
      <c r="G4613" s="1406">
        <v>13.62</v>
      </c>
      <c r="H4613" t="b">
        <f t="shared" si="145"/>
        <v>1</v>
      </c>
    </row>
    <row r="4614" spans="1:8" ht="30">
      <c r="A4614" s="677">
        <v>39707</v>
      </c>
      <c r="B4614" s="733" t="s">
        <v>12985</v>
      </c>
      <c r="C4614" s="677" t="s">
        <v>1693</v>
      </c>
      <c r="D4614" s="738">
        <f t="shared" si="144"/>
        <v>5.72</v>
      </c>
      <c r="F4614" s="1405">
        <v>5.72</v>
      </c>
      <c r="G4614" s="1405">
        <v>5.72</v>
      </c>
      <c r="H4614" t="b">
        <f t="shared" si="145"/>
        <v>1</v>
      </c>
    </row>
    <row r="4615" spans="1:8" ht="30">
      <c r="A4615" s="739">
        <v>39708</v>
      </c>
      <c r="B4615" s="740" t="s">
        <v>12986</v>
      </c>
      <c r="C4615" s="739" t="s">
        <v>1693</v>
      </c>
      <c r="D4615" s="741">
        <f t="shared" si="144"/>
        <v>5.54</v>
      </c>
      <c r="F4615" s="1406">
        <v>5.54</v>
      </c>
      <c r="G4615" s="1406">
        <v>5.54</v>
      </c>
      <c r="H4615" t="b">
        <f t="shared" si="145"/>
        <v>1</v>
      </c>
    </row>
    <row r="4616" spans="1:8" ht="30">
      <c r="A4616" s="677">
        <v>39710</v>
      </c>
      <c r="B4616" s="733" t="s">
        <v>12987</v>
      </c>
      <c r="C4616" s="677" t="s">
        <v>1693</v>
      </c>
      <c r="D4616" s="738">
        <f t="shared" si="144"/>
        <v>3.9</v>
      </c>
      <c r="F4616" s="1405">
        <v>3.9</v>
      </c>
      <c r="G4616" s="1405">
        <v>3.9</v>
      </c>
      <c r="H4616" t="b">
        <f t="shared" si="145"/>
        <v>1</v>
      </c>
    </row>
    <row r="4617" spans="1:8" ht="30">
      <c r="A4617" s="739">
        <v>39709</v>
      </c>
      <c r="B4617" s="740" t="s">
        <v>12988</v>
      </c>
      <c r="C4617" s="739" t="s">
        <v>1693</v>
      </c>
      <c r="D4617" s="741">
        <f t="shared" si="144"/>
        <v>5.41</v>
      </c>
      <c r="F4617" s="1406">
        <v>5.41</v>
      </c>
      <c r="G4617" s="1406">
        <v>5.41</v>
      </c>
      <c r="H4617" t="b">
        <f t="shared" si="145"/>
        <v>1</v>
      </c>
    </row>
    <row r="4618" spans="1:8" ht="30">
      <c r="A4618" s="677">
        <v>39711</v>
      </c>
      <c r="B4618" s="733" t="s">
        <v>12989</v>
      </c>
      <c r="C4618" s="677" t="s">
        <v>1693</v>
      </c>
      <c r="D4618" s="738">
        <f t="shared" si="144"/>
        <v>6.07</v>
      </c>
      <c r="F4618" s="1405">
        <v>6.07</v>
      </c>
      <c r="G4618" s="1405">
        <v>6.07</v>
      </c>
      <c r="H4618" t="b">
        <f t="shared" si="145"/>
        <v>1</v>
      </c>
    </row>
    <row r="4619" spans="1:8" ht="30">
      <c r="A4619" s="739">
        <v>39712</v>
      </c>
      <c r="B4619" s="740" t="s">
        <v>12990</v>
      </c>
      <c r="C4619" s="739" t="s">
        <v>1693</v>
      </c>
      <c r="D4619" s="741">
        <f t="shared" si="144"/>
        <v>2.13</v>
      </c>
      <c r="F4619" s="1406">
        <v>2.13</v>
      </c>
      <c r="G4619" s="1406">
        <v>2.13</v>
      </c>
      <c r="H4619" t="b">
        <f t="shared" si="145"/>
        <v>1</v>
      </c>
    </row>
    <row r="4620" spans="1:8" ht="30">
      <c r="A4620" s="677">
        <v>39713</v>
      </c>
      <c r="B4620" s="733" t="s">
        <v>12991</v>
      </c>
      <c r="C4620" s="677" t="s">
        <v>1693</v>
      </c>
      <c r="D4620" s="738">
        <f t="shared" si="144"/>
        <v>1.68</v>
      </c>
      <c r="F4620" s="1405">
        <v>1.68</v>
      </c>
      <c r="G4620" s="1405">
        <v>1.68</v>
      </c>
      <c r="H4620" t="b">
        <f t="shared" si="145"/>
        <v>1</v>
      </c>
    </row>
    <row r="4621" spans="1:8" ht="30">
      <c r="A4621" s="739">
        <v>39714</v>
      </c>
      <c r="B4621" s="740" t="s">
        <v>12992</v>
      </c>
      <c r="C4621" s="739" t="s">
        <v>1693</v>
      </c>
      <c r="D4621" s="741">
        <f t="shared" si="144"/>
        <v>3.86</v>
      </c>
      <c r="F4621" s="1406">
        <v>3.86</v>
      </c>
      <c r="G4621" s="1406">
        <v>3.86</v>
      </c>
      <c r="H4621" t="b">
        <f t="shared" si="145"/>
        <v>1</v>
      </c>
    </row>
    <row r="4622" spans="1:8" ht="30">
      <c r="A4622" s="677">
        <v>39715</v>
      </c>
      <c r="B4622" s="733" t="s">
        <v>12993</v>
      </c>
      <c r="C4622" s="677" t="s">
        <v>1693</v>
      </c>
      <c r="D4622" s="738">
        <f t="shared" si="144"/>
        <v>2.75</v>
      </c>
      <c r="F4622" s="1405">
        <v>2.75</v>
      </c>
      <c r="G4622" s="1405">
        <v>2.75</v>
      </c>
      <c r="H4622" t="b">
        <f t="shared" si="145"/>
        <v>1</v>
      </c>
    </row>
    <row r="4623" spans="1:8" ht="30">
      <c r="A4623" s="739">
        <v>39716</v>
      </c>
      <c r="B4623" s="740" t="s">
        <v>12994</v>
      </c>
      <c r="C4623" s="739" t="s">
        <v>1693</v>
      </c>
      <c r="D4623" s="741">
        <f t="shared" si="144"/>
        <v>2.08</v>
      </c>
      <c r="F4623" s="1406">
        <v>2.08</v>
      </c>
      <c r="G4623" s="1406">
        <v>2.08</v>
      </c>
      <c r="H4623" t="b">
        <f t="shared" si="145"/>
        <v>1</v>
      </c>
    </row>
    <row r="4624" spans="1:8" ht="30">
      <c r="A4624" s="677">
        <v>39718</v>
      </c>
      <c r="B4624" s="733" t="s">
        <v>12995</v>
      </c>
      <c r="C4624" s="677" t="s">
        <v>1693</v>
      </c>
      <c r="D4624" s="738">
        <f t="shared" si="144"/>
        <v>3.55</v>
      </c>
      <c r="F4624" s="1405">
        <v>3.55</v>
      </c>
      <c r="G4624" s="1405">
        <v>3.55</v>
      </c>
      <c r="H4624" t="b">
        <f t="shared" si="145"/>
        <v>1</v>
      </c>
    </row>
    <row r="4625" spans="1:8" ht="30">
      <c r="A4625" s="739">
        <v>9813</v>
      </c>
      <c r="B4625" s="740" t="s">
        <v>12996</v>
      </c>
      <c r="C4625" s="739" t="s">
        <v>1693</v>
      </c>
      <c r="D4625" s="741">
        <f t="shared" si="144"/>
        <v>5.2</v>
      </c>
      <c r="F4625" s="1406">
        <v>5.2</v>
      </c>
      <c r="G4625" s="1406">
        <v>5.2</v>
      </c>
      <c r="H4625" t="b">
        <f t="shared" si="145"/>
        <v>1</v>
      </c>
    </row>
    <row r="4626" spans="1:8" ht="30">
      <c r="A4626" s="677">
        <v>9815</v>
      </c>
      <c r="B4626" s="733" t="s">
        <v>12997</v>
      </c>
      <c r="C4626" s="677" t="s">
        <v>1693</v>
      </c>
      <c r="D4626" s="738">
        <f t="shared" si="144"/>
        <v>10.27</v>
      </c>
      <c r="F4626" s="1405">
        <v>10.27</v>
      </c>
      <c r="G4626" s="1405">
        <v>10.27</v>
      </c>
      <c r="H4626" t="b">
        <f t="shared" si="145"/>
        <v>1</v>
      </c>
    </row>
    <row r="4627" spans="1:8" ht="30">
      <c r="A4627" s="739">
        <v>44543</v>
      </c>
      <c r="B4627" s="740" t="s">
        <v>12998</v>
      </c>
      <c r="C4627" s="739" t="s">
        <v>1693</v>
      </c>
      <c r="D4627" s="741">
        <f t="shared" si="144"/>
        <v>5109.8599999999997</v>
      </c>
      <c r="F4627" s="1406">
        <v>5109.8599999999997</v>
      </c>
      <c r="G4627" s="1406">
        <v>5109.8599999999997</v>
      </c>
      <c r="H4627" t="b">
        <f t="shared" si="145"/>
        <v>1</v>
      </c>
    </row>
    <row r="4628" spans="1:8" ht="30">
      <c r="A4628" s="677">
        <v>44526</v>
      </c>
      <c r="B4628" s="733" t="s">
        <v>12999</v>
      </c>
      <c r="C4628" s="677" t="s">
        <v>1693</v>
      </c>
      <c r="D4628" s="738">
        <f t="shared" si="144"/>
        <v>125.23</v>
      </c>
      <c r="F4628" s="1405">
        <v>125.23</v>
      </c>
      <c r="G4628" s="1405">
        <v>125.23</v>
      </c>
      <c r="H4628" t="b">
        <f t="shared" si="145"/>
        <v>1</v>
      </c>
    </row>
    <row r="4629" spans="1:8" ht="30">
      <c r="A4629" s="739">
        <v>44545</v>
      </c>
      <c r="B4629" s="740" t="s">
        <v>13000</v>
      </c>
      <c r="C4629" s="739" t="s">
        <v>1693</v>
      </c>
      <c r="D4629" s="741">
        <f t="shared" si="144"/>
        <v>268.82</v>
      </c>
      <c r="F4629" s="1406">
        <v>268.82</v>
      </c>
      <c r="G4629" s="1406">
        <v>268.82</v>
      </c>
      <c r="H4629" t="b">
        <f t="shared" si="145"/>
        <v>1</v>
      </c>
    </row>
    <row r="4630" spans="1:8" ht="30">
      <c r="A4630" s="677">
        <v>44525</v>
      </c>
      <c r="B4630" s="733" t="s">
        <v>13001</v>
      </c>
      <c r="C4630" s="677" t="s">
        <v>1693</v>
      </c>
      <c r="D4630" s="738">
        <f t="shared" si="144"/>
        <v>4634.6099999999997</v>
      </c>
      <c r="F4630" s="1405">
        <v>4634.6099999999997</v>
      </c>
      <c r="G4630" s="1405">
        <v>4634.6099999999997</v>
      </c>
      <c r="H4630" t="b">
        <f t="shared" si="145"/>
        <v>1</v>
      </c>
    </row>
    <row r="4631" spans="1:8" ht="30">
      <c r="A4631" s="739">
        <v>44547</v>
      </c>
      <c r="B4631" s="740" t="s">
        <v>13002</v>
      </c>
      <c r="C4631" s="739" t="s">
        <v>1693</v>
      </c>
      <c r="D4631" s="741">
        <f t="shared" si="144"/>
        <v>419.05</v>
      </c>
      <c r="F4631" s="1406">
        <v>419.05</v>
      </c>
      <c r="G4631" s="1406">
        <v>419.05</v>
      </c>
      <c r="H4631" t="b">
        <f t="shared" si="145"/>
        <v>1</v>
      </c>
    </row>
    <row r="4632" spans="1:8" ht="30">
      <c r="A4632" s="677">
        <v>44519</v>
      </c>
      <c r="B4632" s="733" t="s">
        <v>13003</v>
      </c>
      <c r="C4632" s="677" t="s">
        <v>1693</v>
      </c>
      <c r="D4632" s="738">
        <f t="shared" si="144"/>
        <v>1026.8</v>
      </c>
      <c r="F4632" s="1405">
        <v>1026.8</v>
      </c>
      <c r="G4632" s="1405">
        <v>1026.8</v>
      </c>
      <c r="H4632" t="b">
        <f t="shared" si="145"/>
        <v>1</v>
      </c>
    </row>
    <row r="4633" spans="1:8" ht="30">
      <c r="A4633" s="739">
        <v>44520</v>
      </c>
      <c r="B4633" s="740" t="s">
        <v>13004</v>
      </c>
      <c r="C4633" s="739" t="s">
        <v>1693</v>
      </c>
      <c r="D4633" s="741">
        <f t="shared" si="144"/>
        <v>1653.8</v>
      </c>
      <c r="F4633" s="1406">
        <v>1653.8</v>
      </c>
      <c r="G4633" s="1406">
        <v>1653.8</v>
      </c>
      <c r="H4633" t="b">
        <f t="shared" si="145"/>
        <v>1</v>
      </c>
    </row>
    <row r="4634" spans="1:8" ht="30">
      <c r="A4634" s="677">
        <v>44521</v>
      </c>
      <c r="B4634" s="733" t="s">
        <v>13005</v>
      </c>
      <c r="C4634" s="677" t="s">
        <v>1693</v>
      </c>
      <c r="D4634" s="738">
        <f t="shared" si="144"/>
        <v>26.68</v>
      </c>
      <c r="F4634" s="1405">
        <v>26.68</v>
      </c>
      <c r="G4634" s="1405">
        <v>26.68</v>
      </c>
      <c r="H4634" t="b">
        <f t="shared" si="145"/>
        <v>1</v>
      </c>
    </row>
    <row r="4635" spans="1:8" ht="30">
      <c r="A4635" s="739">
        <v>44522</v>
      </c>
      <c r="B4635" s="740" t="s">
        <v>13006</v>
      </c>
      <c r="C4635" s="739" t="s">
        <v>1693</v>
      </c>
      <c r="D4635" s="741">
        <f t="shared" si="144"/>
        <v>2903.46</v>
      </c>
      <c r="F4635" s="1406">
        <v>2903.46</v>
      </c>
      <c r="G4635" s="1406">
        <v>2903.46</v>
      </c>
      <c r="H4635" t="b">
        <f t="shared" si="145"/>
        <v>1</v>
      </c>
    </row>
    <row r="4636" spans="1:8" ht="30">
      <c r="A4636" s="677">
        <v>44523</v>
      </c>
      <c r="B4636" s="733" t="s">
        <v>13007</v>
      </c>
      <c r="C4636" s="677" t="s">
        <v>1693</v>
      </c>
      <c r="D4636" s="738">
        <f t="shared" si="144"/>
        <v>4318.26</v>
      </c>
      <c r="F4636" s="1405">
        <v>4318.26</v>
      </c>
      <c r="G4636" s="1405">
        <v>4318.26</v>
      </c>
      <c r="H4636" t="b">
        <f t="shared" si="145"/>
        <v>1</v>
      </c>
    </row>
    <row r="4637" spans="1:8" ht="30">
      <c r="A4637" s="739">
        <v>44527</v>
      </c>
      <c r="B4637" s="740" t="s">
        <v>13008</v>
      </c>
      <c r="C4637" s="739" t="s">
        <v>1693</v>
      </c>
      <c r="D4637" s="741">
        <f t="shared" si="144"/>
        <v>2165.5</v>
      </c>
      <c r="F4637" s="1406">
        <v>2165.5</v>
      </c>
      <c r="G4637" s="1406">
        <v>2165.5</v>
      </c>
      <c r="H4637" t="b">
        <f t="shared" si="145"/>
        <v>1</v>
      </c>
    </row>
    <row r="4638" spans="1:8" ht="30">
      <c r="A4638" s="677">
        <v>44524</v>
      </c>
      <c r="B4638" s="733" t="s">
        <v>13009</v>
      </c>
      <c r="C4638" s="677" t="s">
        <v>1693</v>
      </c>
      <c r="D4638" s="738">
        <f t="shared" si="144"/>
        <v>59.67</v>
      </c>
      <c r="F4638" s="1405">
        <v>59.67</v>
      </c>
      <c r="G4638" s="1405">
        <v>59.67</v>
      </c>
      <c r="H4638" t="b">
        <f t="shared" si="145"/>
        <v>1</v>
      </c>
    </row>
    <row r="4639" spans="1:8" ht="30">
      <c r="A4639" s="739">
        <v>44542</v>
      </c>
      <c r="B4639" s="740" t="s">
        <v>13010</v>
      </c>
      <c r="C4639" s="739" t="s">
        <v>1693</v>
      </c>
      <c r="D4639" s="741">
        <f t="shared" si="144"/>
        <v>2825.25</v>
      </c>
      <c r="F4639" s="1406">
        <v>2825.25</v>
      </c>
      <c r="G4639" s="1406">
        <v>2825.25</v>
      </c>
      <c r="H4639" t="b">
        <f t="shared" si="145"/>
        <v>1</v>
      </c>
    </row>
    <row r="4640" spans="1:8">
      <c r="A4640" s="677">
        <v>9877</v>
      </c>
      <c r="B4640" s="733" t="s">
        <v>13011</v>
      </c>
      <c r="C4640" s="677" t="s">
        <v>1693</v>
      </c>
      <c r="D4640" s="738">
        <f t="shared" si="144"/>
        <v>119.57</v>
      </c>
      <c r="F4640" s="1405">
        <v>119.57</v>
      </c>
      <c r="G4640" s="1405">
        <v>119.57</v>
      </c>
      <c r="H4640" t="b">
        <f t="shared" si="145"/>
        <v>1</v>
      </c>
    </row>
    <row r="4641" spans="1:8">
      <c r="A4641" s="739">
        <v>9878</v>
      </c>
      <c r="B4641" s="740" t="s">
        <v>13012</v>
      </c>
      <c r="C4641" s="739" t="s">
        <v>1693</v>
      </c>
      <c r="D4641" s="741">
        <f t="shared" si="144"/>
        <v>147.19999999999999</v>
      </c>
      <c r="F4641" s="1406">
        <v>147.19999999999999</v>
      </c>
      <c r="G4641" s="1406">
        <v>147.19999999999999</v>
      </c>
      <c r="H4641" t="b">
        <f t="shared" si="145"/>
        <v>1</v>
      </c>
    </row>
    <row r="4642" spans="1:8" ht="30">
      <c r="A4642" s="677">
        <v>41986</v>
      </c>
      <c r="B4642" s="733" t="s">
        <v>13013</v>
      </c>
      <c r="C4642" s="677" t="s">
        <v>1693</v>
      </c>
      <c r="D4642" s="738">
        <f t="shared" si="144"/>
        <v>3877.13</v>
      </c>
      <c r="F4642" s="1405">
        <v>3877.13</v>
      </c>
      <c r="G4642" s="1405">
        <v>3877.13</v>
      </c>
      <c r="H4642" t="b">
        <f t="shared" si="145"/>
        <v>1</v>
      </c>
    </row>
    <row r="4643" spans="1:8" ht="30">
      <c r="A4643" s="739">
        <v>43422</v>
      </c>
      <c r="B4643" s="740" t="s">
        <v>13014</v>
      </c>
      <c r="C4643" s="739" t="s">
        <v>1693</v>
      </c>
      <c r="D4643" s="741">
        <f t="shared" si="144"/>
        <v>4754.91</v>
      </c>
      <c r="F4643" s="1406">
        <v>4754.91</v>
      </c>
      <c r="G4643" s="1406">
        <v>4754.91</v>
      </c>
      <c r="H4643" t="b">
        <f t="shared" si="145"/>
        <v>1</v>
      </c>
    </row>
    <row r="4644" spans="1:8" ht="30">
      <c r="A4644" s="677">
        <v>41987</v>
      </c>
      <c r="B4644" s="733" t="s">
        <v>13015</v>
      </c>
      <c r="C4644" s="677" t="s">
        <v>1693</v>
      </c>
      <c r="D4644" s="738">
        <f t="shared" si="144"/>
        <v>5511.34</v>
      </c>
      <c r="F4644" s="1405">
        <v>5511.34</v>
      </c>
      <c r="G4644" s="1405">
        <v>5511.34</v>
      </c>
      <c r="H4644" t="b">
        <f t="shared" si="145"/>
        <v>1</v>
      </c>
    </row>
    <row r="4645" spans="1:8" ht="30">
      <c r="A4645" s="739">
        <v>41988</v>
      </c>
      <c r="B4645" s="740" t="s">
        <v>13016</v>
      </c>
      <c r="C4645" s="739" t="s">
        <v>1693</v>
      </c>
      <c r="D4645" s="741">
        <f t="shared" si="144"/>
        <v>7279.7</v>
      </c>
      <c r="F4645" s="1406">
        <v>7279.7</v>
      </c>
      <c r="G4645" s="1406">
        <v>7279.7</v>
      </c>
      <c r="H4645" t="b">
        <f t="shared" si="145"/>
        <v>1</v>
      </c>
    </row>
    <row r="4646" spans="1:8" ht="30">
      <c r="A4646" s="677">
        <v>41697</v>
      </c>
      <c r="B4646" s="733" t="s">
        <v>13017</v>
      </c>
      <c r="C4646" s="677" t="s">
        <v>1693</v>
      </c>
      <c r="D4646" s="738">
        <f t="shared" si="144"/>
        <v>1290.3</v>
      </c>
      <c r="F4646" s="1405">
        <v>1290.3</v>
      </c>
      <c r="G4646" s="1405">
        <v>1290.3</v>
      </c>
      <c r="H4646" t="b">
        <f t="shared" si="145"/>
        <v>1</v>
      </c>
    </row>
    <row r="4647" spans="1:8" ht="30">
      <c r="A4647" s="739">
        <v>41985</v>
      </c>
      <c r="B4647" s="740" t="s">
        <v>13018</v>
      </c>
      <c r="C4647" s="739" t="s">
        <v>1693</v>
      </c>
      <c r="D4647" s="741">
        <f t="shared" si="144"/>
        <v>1797.05</v>
      </c>
      <c r="F4647" s="1406">
        <v>1797.05</v>
      </c>
      <c r="G4647" s="1406">
        <v>1797.05</v>
      </c>
      <c r="H4647" t="b">
        <f t="shared" si="145"/>
        <v>1</v>
      </c>
    </row>
    <row r="4648" spans="1:8" ht="30">
      <c r="A4648" s="677">
        <v>41699</v>
      </c>
      <c r="B4648" s="733" t="s">
        <v>13019</v>
      </c>
      <c r="C4648" s="677" t="s">
        <v>1693</v>
      </c>
      <c r="D4648" s="738">
        <f t="shared" si="144"/>
        <v>2558.9</v>
      </c>
      <c r="F4648" s="1405">
        <v>2558.9</v>
      </c>
      <c r="G4648" s="1405">
        <v>2558.9</v>
      </c>
      <c r="H4648" t="b">
        <f t="shared" si="145"/>
        <v>1</v>
      </c>
    </row>
    <row r="4649" spans="1:8" ht="30">
      <c r="A4649" s="739">
        <v>38053</v>
      </c>
      <c r="B4649" s="740" t="s">
        <v>13020</v>
      </c>
      <c r="C4649" s="739" t="s">
        <v>1693</v>
      </c>
      <c r="D4649" s="741">
        <f t="shared" si="144"/>
        <v>24.83</v>
      </c>
      <c r="F4649" s="1406">
        <v>24.83</v>
      </c>
      <c r="G4649" s="1406">
        <v>24.83</v>
      </c>
      <c r="H4649" t="b">
        <f t="shared" si="145"/>
        <v>1</v>
      </c>
    </row>
    <row r="4650" spans="1:8" ht="30">
      <c r="A4650" s="677">
        <v>38054</v>
      </c>
      <c r="B4650" s="733" t="s">
        <v>13021</v>
      </c>
      <c r="C4650" s="677" t="s">
        <v>1693</v>
      </c>
      <c r="D4650" s="738">
        <f t="shared" si="144"/>
        <v>42.67</v>
      </c>
      <c r="F4650" s="1405">
        <v>42.67</v>
      </c>
      <c r="G4650" s="1405">
        <v>42.67</v>
      </c>
      <c r="H4650" t="b">
        <f t="shared" si="145"/>
        <v>1</v>
      </c>
    </row>
    <row r="4651" spans="1:8" ht="30">
      <c r="A4651" s="739">
        <v>38052</v>
      </c>
      <c r="B4651" s="740" t="s">
        <v>13022</v>
      </c>
      <c r="C4651" s="739" t="s">
        <v>1693</v>
      </c>
      <c r="D4651" s="741">
        <f t="shared" si="144"/>
        <v>12.02</v>
      </c>
      <c r="F4651" s="1406">
        <v>12.02</v>
      </c>
      <c r="G4651" s="1406">
        <v>12.02</v>
      </c>
      <c r="H4651" t="b">
        <f t="shared" si="145"/>
        <v>1</v>
      </c>
    </row>
    <row r="4652" spans="1:8" ht="30">
      <c r="A4652" s="677">
        <v>38051</v>
      </c>
      <c r="B4652" s="733" t="s">
        <v>13023</v>
      </c>
      <c r="C4652" s="677" t="s">
        <v>1693</v>
      </c>
      <c r="D4652" s="738">
        <f t="shared" si="144"/>
        <v>7.49</v>
      </c>
      <c r="F4652" s="1405">
        <v>7.49</v>
      </c>
      <c r="G4652" s="1405">
        <v>7.49</v>
      </c>
      <c r="H4652" t="b">
        <f t="shared" si="145"/>
        <v>1</v>
      </c>
    </row>
    <row r="4653" spans="1:8">
      <c r="A4653" s="739">
        <v>38787</v>
      </c>
      <c r="B4653" s="740" t="s">
        <v>13024</v>
      </c>
      <c r="C4653" s="739" t="s">
        <v>1693</v>
      </c>
      <c r="D4653" s="741">
        <f t="shared" si="144"/>
        <v>4.97</v>
      </c>
      <c r="F4653" s="1406">
        <v>4.97</v>
      </c>
      <c r="G4653" s="1406">
        <v>4.97</v>
      </c>
      <c r="H4653" t="b">
        <f t="shared" si="145"/>
        <v>1</v>
      </c>
    </row>
    <row r="4654" spans="1:8">
      <c r="A4654" s="677">
        <v>38825</v>
      </c>
      <c r="B4654" s="733" t="s">
        <v>13025</v>
      </c>
      <c r="C4654" s="677" t="s">
        <v>1693</v>
      </c>
      <c r="D4654" s="738">
        <f t="shared" si="144"/>
        <v>6.42</v>
      </c>
      <c r="F4654" s="1405">
        <v>6.42</v>
      </c>
      <c r="G4654" s="1405">
        <v>6.42</v>
      </c>
      <c r="H4654" t="b">
        <f t="shared" si="145"/>
        <v>1</v>
      </c>
    </row>
    <row r="4655" spans="1:8">
      <c r="A4655" s="739">
        <v>38826</v>
      </c>
      <c r="B4655" s="740" t="s">
        <v>13026</v>
      </c>
      <c r="C4655" s="739" t="s">
        <v>1693</v>
      </c>
      <c r="D4655" s="741">
        <f t="shared" si="144"/>
        <v>9.1300000000000008</v>
      </c>
      <c r="F4655" s="1406">
        <v>9.1300000000000008</v>
      </c>
      <c r="G4655" s="1406">
        <v>9.1300000000000008</v>
      </c>
      <c r="H4655" t="b">
        <f t="shared" si="145"/>
        <v>1</v>
      </c>
    </row>
    <row r="4656" spans="1:8">
      <c r="A4656" s="677">
        <v>38827</v>
      </c>
      <c r="B4656" s="733" t="s">
        <v>13027</v>
      </c>
      <c r="C4656" s="677" t="s">
        <v>1693</v>
      </c>
      <c r="D4656" s="738">
        <f t="shared" si="144"/>
        <v>14.94</v>
      </c>
      <c r="F4656" s="1405">
        <v>14.94</v>
      </c>
      <c r="G4656" s="1405">
        <v>14.94</v>
      </c>
      <c r="H4656" t="b">
        <f t="shared" si="145"/>
        <v>1</v>
      </c>
    </row>
    <row r="4657" spans="1:8">
      <c r="A4657" s="739">
        <v>38830</v>
      </c>
      <c r="B4657" s="740" t="s">
        <v>13028</v>
      </c>
      <c r="C4657" s="739" t="s">
        <v>1693</v>
      </c>
      <c r="D4657" s="741">
        <f t="shared" si="144"/>
        <v>21.71</v>
      </c>
      <c r="F4657" s="1406">
        <v>21.71</v>
      </c>
      <c r="G4657" s="1406">
        <v>21.71</v>
      </c>
      <c r="H4657" t="b">
        <f t="shared" si="145"/>
        <v>1</v>
      </c>
    </row>
    <row r="4658" spans="1:8">
      <c r="A4658" s="677">
        <v>38828</v>
      </c>
      <c r="B4658" s="733" t="s">
        <v>13029</v>
      </c>
      <c r="C4658" s="677" t="s">
        <v>1693</v>
      </c>
      <c r="D4658" s="738">
        <f t="shared" si="144"/>
        <v>9.57</v>
      </c>
      <c r="F4658" s="1405">
        <v>9.57</v>
      </c>
      <c r="G4658" s="1405">
        <v>9.57</v>
      </c>
      <c r="H4658" t="b">
        <f t="shared" si="145"/>
        <v>1</v>
      </c>
    </row>
    <row r="4659" spans="1:8">
      <c r="A4659" s="739">
        <v>38829</v>
      </c>
      <c r="B4659" s="740" t="s">
        <v>13030</v>
      </c>
      <c r="C4659" s="739" t="s">
        <v>1693</v>
      </c>
      <c r="D4659" s="741">
        <f t="shared" si="144"/>
        <v>15.68</v>
      </c>
      <c r="F4659" s="1406">
        <v>15.68</v>
      </c>
      <c r="G4659" s="1406">
        <v>15.68</v>
      </c>
      <c r="H4659" t="b">
        <f t="shared" si="145"/>
        <v>1</v>
      </c>
    </row>
    <row r="4660" spans="1:8">
      <c r="A4660" s="677">
        <v>38831</v>
      </c>
      <c r="B4660" s="733" t="s">
        <v>13031</v>
      </c>
      <c r="C4660" s="677" t="s">
        <v>1693</v>
      </c>
      <c r="D4660" s="738">
        <f t="shared" si="144"/>
        <v>30.27</v>
      </c>
      <c r="F4660" s="1405">
        <v>30.27</v>
      </c>
      <c r="G4660" s="1405">
        <v>30.27</v>
      </c>
      <c r="H4660" t="b">
        <f t="shared" si="145"/>
        <v>1</v>
      </c>
    </row>
    <row r="4661" spans="1:8">
      <c r="A4661" s="739">
        <v>36274</v>
      </c>
      <c r="B4661" s="740" t="s">
        <v>13032</v>
      </c>
      <c r="C4661" s="739" t="s">
        <v>1693</v>
      </c>
      <c r="D4661" s="741">
        <f t="shared" si="144"/>
        <v>8.94</v>
      </c>
      <c r="F4661" s="1406">
        <v>8.94</v>
      </c>
      <c r="G4661" s="1406">
        <v>8.94</v>
      </c>
      <c r="H4661" t="b">
        <f t="shared" si="145"/>
        <v>1</v>
      </c>
    </row>
    <row r="4662" spans="1:8">
      <c r="A4662" s="677">
        <v>36278</v>
      </c>
      <c r="B4662" s="733" t="s">
        <v>13033</v>
      </c>
      <c r="C4662" s="677" t="s">
        <v>1693</v>
      </c>
      <c r="D4662" s="738">
        <f t="shared" si="144"/>
        <v>12.12</v>
      </c>
      <c r="F4662" s="1405">
        <v>12.12</v>
      </c>
      <c r="G4662" s="1405">
        <v>12.12</v>
      </c>
      <c r="H4662" t="b">
        <f t="shared" si="145"/>
        <v>1</v>
      </c>
    </row>
    <row r="4663" spans="1:8">
      <c r="A4663" s="739">
        <v>38977</v>
      </c>
      <c r="B4663" s="740" t="s">
        <v>13034</v>
      </c>
      <c r="C4663" s="739" t="s">
        <v>1693</v>
      </c>
      <c r="D4663" s="741">
        <f t="shared" si="144"/>
        <v>118.6</v>
      </c>
      <c r="F4663" s="1406">
        <v>118.6</v>
      </c>
      <c r="G4663" s="1406">
        <v>118.6</v>
      </c>
      <c r="H4663" t="b">
        <f t="shared" si="145"/>
        <v>1</v>
      </c>
    </row>
    <row r="4664" spans="1:8">
      <c r="A4664" s="677">
        <v>38971</v>
      </c>
      <c r="B4664" s="733" t="s">
        <v>13035</v>
      </c>
      <c r="C4664" s="677" t="s">
        <v>1693</v>
      </c>
      <c r="D4664" s="738">
        <f t="shared" si="144"/>
        <v>9.9499999999999993</v>
      </c>
      <c r="F4664" s="1405">
        <v>9.9499999999999993</v>
      </c>
      <c r="G4664" s="1405">
        <v>9.9499999999999993</v>
      </c>
      <c r="H4664" t="b">
        <f t="shared" si="145"/>
        <v>1</v>
      </c>
    </row>
    <row r="4665" spans="1:8">
      <c r="A4665" s="739">
        <v>38972</v>
      </c>
      <c r="B4665" s="740" t="s">
        <v>13036</v>
      </c>
      <c r="C4665" s="739" t="s">
        <v>1693</v>
      </c>
      <c r="D4665" s="741">
        <f t="shared" si="144"/>
        <v>13.42</v>
      </c>
      <c r="F4665" s="1406">
        <v>13.42</v>
      </c>
      <c r="G4665" s="1406">
        <v>13.42</v>
      </c>
      <c r="H4665" t="b">
        <f t="shared" si="145"/>
        <v>1</v>
      </c>
    </row>
    <row r="4666" spans="1:8">
      <c r="A4666" s="677">
        <v>38973</v>
      </c>
      <c r="B4666" s="733" t="s">
        <v>13037</v>
      </c>
      <c r="C4666" s="677" t="s">
        <v>1693</v>
      </c>
      <c r="D4666" s="738">
        <f t="shared" si="144"/>
        <v>22.17</v>
      </c>
      <c r="F4666" s="1405">
        <v>22.17</v>
      </c>
      <c r="G4666" s="1405">
        <v>22.17</v>
      </c>
      <c r="H4666" t="b">
        <f t="shared" si="145"/>
        <v>1</v>
      </c>
    </row>
    <row r="4667" spans="1:8">
      <c r="A4667" s="739">
        <v>38974</v>
      </c>
      <c r="B4667" s="740" t="s">
        <v>13038</v>
      </c>
      <c r="C4667" s="739" t="s">
        <v>1693</v>
      </c>
      <c r="D4667" s="741">
        <f t="shared" si="144"/>
        <v>36.01</v>
      </c>
      <c r="F4667" s="1406">
        <v>36.01</v>
      </c>
      <c r="G4667" s="1406">
        <v>36.01</v>
      </c>
      <c r="H4667" t="b">
        <f t="shared" si="145"/>
        <v>1</v>
      </c>
    </row>
    <row r="4668" spans="1:8">
      <c r="A4668" s="677">
        <v>38975</v>
      </c>
      <c r="B4668" s="733" t="s">
        <v>13039</v>
      </c>
      <c r="C4668" s="677" t="s">
        <v>1693</v>
      </c>
      <c r="D4668" s="738">
        <f t="shared" si="144"/>
        <v>46.17</v>
      </c>
      <c r="F4668" s="1405">
        <v>46.17</v>
      </c>
      <c r="G4668" s="1405">
        <v>46.17</v>
      </c>
      <c r="H4668" t="b">
        <f t="shared" si="145"/>
        <v>1</v>
      </c>
    </row>
    <row r="4669" spans="1:8">
      <c r="A4669" s="739">
        <v>38976</v>
      </c>
      <c r="B4669" s="740" t="s">
        <v>13040</v>
      </c>
      <c r="C4669" s="739" t="s">
        <v>1693</v>
      </c>
      <c r="D4669" s="741">
        <f t="shared" si="144"/>
        <v>79.38</v>
      </c>
      <c r="F4669" s="1406">
        <v>79.38</v>
      </c>
      <c r="G4669" s="1406">
        <v>79.38</v>
      </c>
      <c r="H4669" t="b">
        <f t="shared" si="145"/>
        <v>1</v>
      </c>
    </row>
    <row r="4670" spans="1:8">
      <c r="A4670" s="677">
        <v>44176</v>
      </c>
      <c r="B4670" s="733" t="s">
        <v>13041</v>
      </c>
      <c r="C4670" s="677" t="s">
        <v>1693</v>
      </c>
      <c r="D4670" s="738">
        <f t="shared" si="144"/>
        <v>18.239999999999998</v>
      </c>
      <c r="F4670" s="1405">
        <v>18.239999999999998</v>
      </c>
      <c r="G4670" s="1405">
        <v>18.239999999999998</v>
      </c>
      <c r="H4670" t="b">
        <f t="shared" si="145"/>
        <v>1</v>
      </c>
    </row>
    <row r="4671" spans="1:8">
      <c r="A4671" s="739">
        <v>38986</v>
      </c>
      <c r="B4671" s="740" t="s">
        <v>13042</v>
      </c>
      <c r="C4671" s="739" t="s">
        <v>1693</v>
      </c>
      <c r="D4671" s="741">
        <f t="shared" si="144"/>
        <v>239.62</v>
      </c>
      <c r="F4671" s="1406">
        <v>239.62</v>
      </c>
      <c r="G4671" s="1406">
        <v>239.62</v>
      </c>
      <c r="H4671" t="b">
        <f t="shared" si="145"/>
        <v>1</v>
      </c>
    </row>
    <row r="4672" spans="1:8">
      <c r="A4672" s="677">
        <v>38978</v>
      </c>
      <c r="B4672" s="733" t="s">
        <v>13043</v>
      </c>
      <c r="C4672" s="677" t="s">
        <v>1693</v>
      </c>
      <c r="D4672" s="738">
        <f t="shared" si="144"/>
        <v>9.83</v>
      </c>
      <c r="F4672" s="1405">
        <v>9.83</v>
      </c>
      <c r="G4672" s="1405">
        <v>9.83</v>
      </c>
      <c r="H4672" t="b">
        <f t="shared" si="145"/>
        <v>1</v>
      </c>
    </row>
    <row r="4673" spans="1:8">
      <c r="A4673" s="739">
        <v>38979</v>
      </c>
      <c r="B4673" s="740" t="s">
        <v>13044</v>
      </c>
      <c r="C4673" s="739" t="s">
        <v>1693</v>
      </c>
      <c r="D4673" s="741">
        <f t="shared" si="144"/>
        <v>13.59</v>
      </c>
      <c r="F4673" s="1406">
        <v>13.59</v>
      </c>
      <c r="G4673" s="1406">
        <v>13.59</v>
      </c>
      <c r="H4673" t="b">
        <f t="shared" si="145"/>
        <v>1</v>
      </c>
    </row>
    <row r="4674" spans="1:8">
      <c r="A4674" s="677">
        <v>38980</v>
      </c>
      <c r="B4674" s="733" t="s">
        <v>13045</v>
      </c>
      <c r="C4674" s="677" t="s">
        <v>1693</v>
      </c>
      <c r="D4674" s="738">
        <f t="shared" si="144"/>
        <v>18.190000000000001</v>
      </c>
      <c r="F4674" s="1405">
        <v>18.190000000000001</v>
      </c>
      <c r="G4674" s="1405">
        <v>18.190000000000001</v>
      </c>
      <c r="H4674" t="b">
        <f t="shared" si="145"/>
        <v>1</v>
      </c>
    </row>
    <row r="4675" spans="1:8">
      <c r="A4675" s="739">
        <v>38981</v>
      </c>
      <c r="B4675" s="740" t="s">
        <v>13046</v>
      </c>
      <c r="C4675" s="739" t="s">
        <v>1693</v>
      </c>
      <c r="D4675" s="741">
        <f t="shared" ref="D4675:D4738" si="146">IF($J$2=$F$1,F4675,G4675)</f>
        <v>26.24</v>
      </c>
      <c r="F4675" s="1406">
        <v>26.24</v>
      </c>
      <c r="G4675" s="1406">
        <v>26.24</v>
      </c>
      <c r="H4675" t="b">
        <f t="shared" ref="H4675:H4738" si="147">F4675=G4675</f>
        <v>1</v>
      </c>
    </row>
    <row r="4676" spans="1:8">
      <c r="A4676" s="677">
        <v>38982</v>
      </c>
      <c r="B4676" s="733" t="s">
        <v>13047</v>
      </c>
      <c r="C4676" s="677" t="s">
        <v>1693</v>
      </c>
      <c r="D4676" s="738">
        <f t="shared" si="146"/>
        <v>41.46</v>
      </c>
      <c r="F4676" s="1405">
        <v>41.46</v>
      </c>
      <c r="G4676" s="1405">
        <v>41.46</v>
      </c>
      <c r="H4676" t="b">
        <f t="shared" si="147"/>
        <v>1</v>
      </c>
    </row>
    <row r="4677" spans="1:8">
      <c r="A4677" s="739">
        <v>38983</v>
      </c>
      <c r="B4677" s="740" t="s">
        <v>13048</v>
      </c>
      <c r="C4677" s="739" t="s">
        <v>1693</v>
      </c>
      <c r="D4677" s="741">
        <f t="shared" si="146"/>
        <v>72.959999999999994</v>
      </c>
      <c r="F4677" s="1406">
        <v>72.959999999999994</v>
      </c>
      <c r="G4677" s="1406">
        <v>72.959999999999994</v>
      </c>
      <c r="H4677" t="b">
        <f t="shared" si="147"/>
        <v>1</v>
      </c>
    </row>
    <row r="4678" spans="1:8">
      <c r="A4678" s="677">
        <v>38984</v>
      </c>
      <c r="B4678" s="733" t="s">
        <v>13049</v>
      </c>
      <c r="C4678" s="677" t="s">
        <v>1693</v>
      </c>
      <c r="D4678" s="738">
        <f t="shared" si="146"/>
        <v>100.3</v>
      </c>
      <c r="F4678" s="1405">
        <v>100.3</v>
      </c>
      <c r="G4678" s="1405">
        <v>100.3</v>
      </c>
      <c r="H4678" t="b">
        <f t="shared" si="147"/>
        <v>1</v>
      </c>
    </row>
    <row r="4679" spans="1:8">
      <c r="A4679" s="739">
        <v>38985</v>
      </c>
      <c r="B4679" s="740" t="s">
        <v>13050</v>
      </c>
      <c r="C4679" s="739" t="s">
        <v>1693</v>
      </c>
      <c r="D4679" s="741">
        <f t="shared" si="146"/>
        <v>172.44</v>
      </c>
      <c r="F4679" s="1406">
        <v>172.44</v>
      </c>
      <c r="G4679" s="1406">
        <v>172.44</v>
      </c>
      <c r="H4679" t="b">
        <f t="shared" si="147"/>
        <v>1</v>
      </c>
    </row>
    <row r="4680" spans="1:8">
      <c r="A4680" s="677">
        <v>9836</v>
      </c>
      <c r="B4680" s="733" t="s">
        <v>13051</v>
      </c>
      <c r="C4680" s="677" t="s">
        <v>1693</v>
      </c>
      <c r="D4680" s="738">
        <f t="shared" si="146"/>
        <v>14.41</v>
      </c>
      <c r="F4680" s="1405">
        <v>14.41</v>
      </c>
      <c r="G4680" s="1405">
        <v>14.41</v>
      </c>
      <c r="H4680" t="b">
        <f t="shared" si="147"/>
        <v>1</v>
      </c>
    </row>
    <row r="4681" spans="1:8">
      <c r="A4681" s="739">
        <v>20065</v>
      </c>
      <c r="B4681" s="740" t="s">
        <v>13052</v>
      </c>
      <c r="C4681" s="739" t="s">
        <v>1693</v>
      </c>
      <c r="D4681" s="741">
        <f t="shared" si="146"/>
        <v>37.67</v>
      </c>
      <c r="F4681" s="1406">
        <v>37.67</v>
      </c>
      <c r="G4681" s="1406">
        <v>37.67</v>
      </c>
      <c r="H4681" t="b">
        <f t="shared" si="147"/>
        <v>1</v>
      </c>
    </row>
    <row r="4682" spans="1:8">
      <c r="A4682" s="677">
        <v>9835</v>
      </c>
      <c r="B4682" s="733" t="s">
        <v>13053</v>
      </c>
      <c r="C4682" s="677" t="s">
        <v>1693</v>
      </c>
      <c r="D4682" s="738">
        <f t="shared" si="146"/>
        <v>6.29</v>
      </c>
      <c r="F4682" s="1405">
        <v>6.29</v>
      </c>
      <c r="G4682" s="1405">
        <v>6.29</v>
      </c>
      <c r="H4682" t="b">
        <f t="shared" si="147"/>
        <v>1</v>
      </c>
    </row>
    <row r="4683" spans="1:8">
      <c r="A4683" s="739">
        <v>38032</v>
      </c>
      <c r="B4683" s="740" t="s">
        <v>13054</v>
      </c>
      <c r="C4683" s="739" t="s">
        <v>1693</v>
      </c>
      <c r="D4683" s="741">
        <f t="shared" si="146"/>
        <v>56.94</v>
      </c>
      <c r="F4683" s="1406">
        <v>56.94</v>
      </c>
      <c r="G4683" s="1406">
        <v>56.94</v>
      </c>
      <c r="H4683" t="b">
        <f t="shared" si="147"/>
        <v>1</v>
      </c>
    </row>
    <row r="4684" spans="1:8">
      <c r="A4684" s="677">
        <v>38033</v>
      </c>
      <c r="B4684" s="733" t="s">
        <v>13055</v>
      </c>
      <c r="C4684" s="677" t="s">
        <v>1693</v>
      </c>
      <c r="D4684" s="738">
        <f t="shared" si="146"/>
        <v>96.79</v>
      </c>
      <c r="F4684" s="1405">
        <v>96.79</v>
      </c>
      <c r="G4684" s="1405">
        <v>96.79</v>
      </c>
      <c r="H4684" t="b">
        <f t="shared" si="147"/>
        <v>1</v>
      </c>
    </row>
    <row r="4685" spans="1:8">
      <c r="A4685" s="739">
        <v>38034</v>
      </c>
      <c r="B4685" s="740" t="s">
        <v>13056</v>
      </c>
      <c r="C4685" s="739" t="s">
        <v>1693</v>
      </c>
      <c r="D4685" s="741">
        <f t="shared" si="146"/>
        <v>151.62</v>
      </c>
      <c r="F4685" s="1406">
        <v>151.62</v>
      </c>
      <c r="G4685" s="1406">
        <v>151.62</v>
      </c>
      <c r="H4685" t="b">
        <f t="shared" si="147"/>
        <v>1</v>
      </c>
    </row>
    <row r="4686" spans="1:8">
      <c r="A4686" s="677">
        <v>38035</v>
      </c>
      <c r="B4686" s="733" t="s">
        <v>13057</v>
      </c>
      <c r="C4686" s="677" t="s">
        <v>1693</v>
      </c>
      <c r="D4686" s="738">
        <f t="shared" si="146"/>
        <v>223.05</v>
      </c>
      <c r="F4686" s="1405">
        <v>223.05</v>
      </c>
      <c r="G4686" s="1405">
        <v>223.05</v>
      </c>
      <c r="H4686" t="b">
        <f t="shared" si="147"/>
        <v>1</v>
      </c>
    </row>
    <row r="4687" spans="1:8">
      <c r="A4687" s="739">
        <v>38036</v>
      </c>
      <c r="B4687" s="740" t="s">
        <v>13058</v>
      </c>
      <c r="C4687" s="739" t="s">
        <v>1693</v>
      </c>
      <c r="D4687" s="741">
        <f t="shared" si="146"/>
        <v>300.48</v>
      </c>
      <c r="F4687" s="1406">
        <v>300.48</v>
      </c>
      <c r="G4687" s="1406">
        <v>300.48</v>
      </c>
      <c r="H4687" t="b">
        <f t="shared" si="147"/>
        <v>1</v>
      </c>
    </row>
    <row r="4688" spans="1:8">
      <c r="A4688" s="677">
        <v>38037</v>
      </c>
      <c r="B4688" s="733" t="s">
        <v>13059</v>
      </c>
      <c r="C4688" s="677" t="s">
        <v>1693</v>
      </c>
      <c r="D4688" s="738">
        <f t="shared" si="146"/>
        <v>396.9</v>
      </c>
      <c r="F4688" s="1405">
        <v>396.9</v>
      </c>
      <c r="G4688" s="1405">
        <v>396.9</v>
      </c>
      <c r="H4688" t="b">
        <f t="shared" si="147"/>
        <v>1</v>
      </c>
    </row>
    <row r="4689" spans="1:8">
      <c r="A4689" s="739">
        <v>9850</v>
      </c>
      <c r="B4689" s="740" t="s">
        <v>13060</v>
      </c>
      <c r="C4689" s="739" t="s">
        <v>1693</v>
      </c>
      <c r="D4689" s="741">
        <f t="shared" si="146"/>
        <v>147.75</v>
      </c>
      <c r="F4689" s="1406">
        <v>147.75</v>
      </c>
      <c r="G4689" s="1406">
        <v>147.75</v>
      </c>
      <c r="H4689" t="b">
        <f t="shared" si="147"/>
        <v>1</v>
      </c>
    </row>
    <row r="4690" spans="1:8">
      <c r="A4690" s="677">
        <v>9853</v>
      </c>
      <c r="B4690" s="733" t="s">
        <v>13061</v>
      </c>
      <c r="C4690" s="677" t="s">
        <v>1693</v>
      </c>
      <c r="D4690" s="738">
        <f t="shared" si="146"/>
        <v>262.74</v>
      </c>
      <c r="F4690" s="1405">
        <v>262.74</v>
      </c>
      <c r="G4690" s="1405">
        <v>262.74</v>
      </c>
      <c r="H4690" t="b">
        <f t="shared" si="147"/>
        <v>1</v>
      </c>
    </row>
    <row r="4691" spans="1:8">
      <c r="A4691" s="739">
        <v>9854</v>
      </c>
      <c r="B4691" s="740" t="s">
        <v>13062</v>
      </c>
      <c r="C4691" s="739" t="s">
        <v>1693</v>
      </c>
      <c r="D4691" s="741">
        <f t="shared" si="146"/>
        <v>115.12</v>
      </c>
      <c r="F4691" s="1406">
        <v>115.12</v>
      </c>
      <c r="G4691" s="1406">
        <v>115.12</v>
      </c>
      <c r="H4691" t="b">
        <f t="shared" si="147"/>
        <v>1</v>
      </c>
    </row>
    <row r="4692" spans="1:8">
      <c r="A4692" s="677">
        <v>9851</v>
      </c>
      <c r="B4692" s="733" t="s">
        <v>13063</v>
      </c>
      <c r="C4692" s="677" t="s">
        <v>1693</v>
      </c>
      <c r="D4692" s="738">
        <f t="shared" si="146"/>
        <v>199.62</v>
      </c>
      <c r="F4692" s="1405">
        <v>199.62</v>
      </c>
      <c r="G4692" s="1405">
        <v>199.62</v>
      </c>
      <c r="H4692" t="b">
        <f t="shared" si="147"/>
        <v>1</v>
      </c>
    </row>
    <row r="4693" spans="1:8">
      <c r="A4693" s="739">
        <v>9825</v>
      </c>
      <c r="B4693" s="740" t="s">
        <v>13064</v>
      </c>
      <c r="C4693" s="739" t="s">
        <v>1693</v>
      </c>
      <c r="D4693" s="741">
        <f t="shared" si="146"/>
        <v>38.409999999999997</v>
      </c>
      <c r="F4693" s="1406">
        <v>38.409999999999997</v>
      </c>
      <c r="G4693" s="1406">
        <v>38.409999999999997</v>
      </c>
      <c r="H4693" t="b">
        <f t="shared" si="147"/>
        <v>1</v>
      </c>
    </row>
    <row r="4694" spans="1:8">
      <c r="A4694" s="677">
        <v>9828</v>
      </c>
      <c r="B4694" s="733" t="s">
        <v>13065</v>
      </c>
      <c r="C4694" s="677" t="s">
        <v>1693</v>
      </c>
      <c r="D4694" s="738">
        <f t="shared" si="146"/>
        <v>103.38</v>
      </c>
      <c r="F4694" s="1405">
        <v>103.38</v>
      </c>
      <c r="G4694" s="1405">
        <v>103.38</v>
      </c>
      <c r="H4694" t="b">
        <f t="shared" si="147"/>
        <v>1</v>
      </c>
    </row>
    <row r="4695" spans="1:8">
      <c r="A4695" s="739">
        <v>9829</v>
      </c>
      <c r="B4695" s="740" t="s">
        <v>13066</v>
      </c>
      <c r="C4695" s="739" t="s">
        <v>1693</v>
      </c>
      <c r="D4695" s="741">
        <f t="shared" si="146"/>
        <v>175.2</v>
      </c>
      <c r="F4695" s="1406">
        <v>175.2</v>
      </c>
      <c r="G4695" s="1406">
        <v>175.2</v>
      </c>
      <c r="H4695" t="b">
        <f t="shared" si="147"/>
        <v>1</v>
      </c>
    </row>
    <row r="4696" spans="1:8">
      <c r="A4696" s="677">
        <v>9826</v>
      </c>
      <c r="B4696" s="733" t="s">
        <v>13067</v>
      </c>
      <c r="C4696" s="677" t="s">
        <v>1693</v>
      </c>
      <c r="D4696" s="738">
        <f t="shared" si="146"/>
        <v>266.72000000000003</v>
      </c>
      <c r="F4696" s="1405">
        <v>266.72000000000003</v>
      </c>
      <c r="G4696" s="1405">
        <v>266.72000000000003</v>
      </c>
      <c r="H4696" t="b">
        <f t="shared" si="147"/>
        <v>1</v>
      </c>
    </row>
    <row r="4697" spans="1:8">
      <c r="A4697" s="739">
        <v>9827</v>
      </c>
      <c r="B4697" s="740" t="s">
        <v>13068</v>
      </c>
      <c r="C4697" s="739" t="s">
        <v>1693</v>
      </c>
      <c r="D4697" s="741">
        <f t="shared" si="146"/>
        <v>378.75</v>
      </c>
      <c r="F4697" s="1406">
        <v>378.75</v>
      </c>
      <c r="G4697" s="1406">
        <v>378.75</v>
      </c>
      <c r="H4697" t="b">
        <f t="shared" si="147"/>
        <v>1</v>
      </c>
    </row>
    <row r="4698" spans="1:8">
      <c r="A4698" s="677">
        <v>36374</v>
      </c>
      <c r="B4698" s="733" t="s">
        <v>13069</v>
      </c>
      <c r="C4698" s="677" t="s">
        <v>1693</v>
      </c>
      <c r="D4698" s="738">
        <f t="shared" si="146"/>
        <v>46.04</v>
      </c>
      <c r="F4698" s="1405">
        <v>46.04</v>
      </c>
      <c r="G4698" s="1405">
        <v>46.04</v>
      </c>
      <c r="H4698" t="b">
        <f t="shared" si="147"/>
        <v>1</v>
      </c>
    </row>
    <row r="4699" spans="1:8">
      <c r="A4699" s="739">
        <v>36084</v>
      </c>
      <c r="B4699" s="740" t="s">
        <v>13070</v>
      </c>
      <c r="C4699" s="739" t="s">
        <v>1693</v>
      </c>
      <c r="D4699" s="741">
        <f t="shared" si="146"/>
        <v>13.64</v>
      </c>
      <c r="F4699" s="1406">
        <v>13.64</v>
      </c>
      <c r="G4699" s="1406">
        <v>13.64</v>
      </c>
      <c r="H4699" t="b">
        <f t="shared" si="147"/>
        <v>1</v>
      </c>
    </row>
    <row r="4700" spans="1:8">
      <c r="A4700" s="677">
        <v>36373</v>
      </c>
      <c r="B4700" s="733" t="s">
        <v>13071</v>
      </c>
      <c r="C4700" s="677" t="s">
        <v>1693</v>
      </c>
      <c r="D4700" s="738">
        <f t="shared" si="146"/>
        <v>28.32</v>
      </c>
      <c r="F4700" s="1405">
        <v>28.32</v>
      </c>
      <c r="G4700" s="1405">
        <v>28.32</v>
      </c>
      <c r="H4700" t="b">
        <f t="shared" si="147"/>
        <v>1</v>
      </c>
    </row>
    <row r="4701" spans="1:8">
      <c r="A4701" s="739">
        <v>36377</v>
      </c>
      <c r="B4701" s="740" t="s">
        <v>13072</v>
      </c>
      <c r="C4701" s="739" t="s">
        <v>1693</v>
      </c>
      <c r="D4701" s="741">
        <f t="shared" si="146"/>
        <v>55.23</v>
      </c>
      <c r="F4701" s="1406">
        <v>55.23</v>
      </c>
      <c r="G4701" s="1406">
        <v>55.23</v>
      </c>
      <c r="H4701" t="b">
        <f t="shared" si="147"/>
        <v>1</v>
      </c>
    </row>
    <row r="4702" spans="1:8">
      <c r="A4702" s="677">
        <v>36375</v>
      </c>
      <c r="B4702" s="733" t="s">
        <v>13073</v>
      </c>
      <c r="C4702" s="677" t="s">
        <v>1693</v>
      </c>
      <c r="D4702" s="738">
        <f t="shared" si="146"/>
        <v>16.829999999999998</v>
      </c>
      <c r="F4702" s="1405">
        <v>16.829999999999998</v>
      </c>
      <c r="G4702" s="1405">
        <v>16.829999999999998</v>
      </c>
      <c r="H4702" t="b">
        <f t="shared" si="147"/>
        <v>1</v>
      </c>
    </row>
    <row r="4703" spans="1:8">
      <c r="A4703" s="739">
        <v>36376</v>
      </c>
      <c r="B4703" s="740" t="s">
        <v>13074</v>
      </c>
      <c r="C4703" s="739" t="s">
        <v>1693</v>
      </c>
      <c r="D4703" s="741">
        <f t="shared" si="146"/>
        <v>33.049999999999997</v>
      </c>
      <c r="F4703" s="1406">
        <v>33.049999999999997</v>
      </c>
      <c r="G4703" s="1406">
        <v>33.049999999999997</v>
      </c>
      <c r="H4703" t="b">
        <f t="shared" si="147"/>
        <v>1</v>
      </c>
    </row>
    <row r="4704" spans="1:8">
      <c r="A4704" s="677">
        <v>36380</v>
      </c>
      <c r="B4704" s="733" t="s">
        <v>13075</v>
      </c>
      <c r="C4704" s="677" t="s">
        <v>1693</v>
      </c>
      <c r="D4704" s="738">
        <f t="shared" si="146"/>
        <v>69.06</v>
      </c>
      <c r="F4704" s="1405">
        <v>69.06</v>
      </c>
      <c r="G4704" s="1405">
        <v>69.06</v>
      </c>
      <c r="H4704" t="b">
        <f t="shared" si="147"/>
        <v>1</v>
      </c>
    </row>
    <row r="4705" spans="1:8">
      <c r="A4705" s="739">
        <v>36378</v>
      </c>
      <c r="B4705" s="740" t="s">
        <v>13076</v>
      </c>
      <c r="C4705" s="739" t="s">
        <v>1693</v>
      </c>
      <c r="D4705" s="741">
        <f t="shared" si="146"/>
        <v>20.69</v>
      </c>
      <c r="F4705" s="1406">
        <v>20.69</v>
      </c>
      <c r="G4705" s="1406">
        <v>20.69</v>
      </c>
      <c r="H4705" t="b">
        <f t="shared" si="147"/>
        <v>1</v>
      </c>
    </row>
    <row r="4706" spans="1:8">
      <c r="A4706" s="677">
        <v>36379</v>
      </c>
      <c r="B4706" s="733" t="s">
        <v>13077</v>
      </c>
      <c r="C4706" s="677" t="s">
        <v>1693</v>
      </c>
      <c r="D4706" s="738">
        <f t="shared" si="146"/>
        <v>41.71</v>
      </c>
      <c r="F4706" s="1405">
        <v>41.71</v>
      </c>
      <c r="G4706" s="1405">
        <v>41.71</v>
      </c>
      <c r="H4706" t="b">
        <f t="shared" si="147"/>
        <v>1</v>
      </c>
    </row>
    <row r="4707" spans="1:8">
      <c r="A4707" s="739">
        <v>9859</v>
      </c>
      <c r="B4707" s="740" t="s">
        <v>13078</v>
      </c>
      <c r="C4707" s="739" t="s">
        <v>1693</v>
      </c>
      <c r="D4707" s="741">
        <f t="shared" si="146"/>
        <v>9.67</v>
      </c>
      <c r="F4707" s="1406">
        <v>9.67</v>
      </c>
      <c r="G4707" s="1406">
        <v>9.67</v>
      </c>
      <c r="H4707" t="b">
        <f t="shared" si="147"/>
        <v>1</v>
      </c>
    </row>
    <row r="4708" spans="1:8">
      <c r="A4708" s="677">
        <v>9838</v>
      </c>
      <c r="B4708" s="733" t="s">
        <v>13079</v>
      </c>
      <c r="C4708" s="677" t="s">
        <v>1693</v>
      </c>
      <c r="D4708" s="738">
        <f t="shared" si="146"/>
        <v>10.4</v>
      </c>
      <c r="F4708" s="1405">
        <v>10.4</v>
      </c>
      <c r="G4708" s="1405">
        <v>10.4</v>
      </c>
      <c r="H4708" t="b">
        <f t="shared" si="147"/>
        <v>1</v>
      </c>
    </row>
    <row r="4709" spans="1:8">
      <c r="A4709" s="739">
        <v>9837</v>
      </c>
      <c r="B4709" s="740" t="s">
        <v>13080</v>
      </c>
      <c r="C4709" s="739" t="s">
        <v>1693</v>
      </c>
      <c r="D4709" s="741">
        <f t="shared" si="146"/>
        <v>13.64</v>
      </c>
      <c r="F4709" s="1406">
        <v>13.64</v>
      </c>
      <c r="G4709" s="1406">
        <v>13.64</v>
      </c>
      <c r="H4709" t="b">
        <f t="shared" si="147"/>
        <v>1</v>
      </c>
    </row>
    <row r="4710" spans="1:8">
      <c r="A4710" s="677">
        <v>44315</v>
      </c>
      <c r="B4710" s="733" t="s">
        <v>13081</v>
      </c>
      <c r="C4710" s="677" t="s">
        <v>1693</v>
      </c>
      <c r="D4710" s="738">
        <f t="shared" si="146"/>
        <v>56.42</v>
      </c>
      <c r="F4710" s="1405">
        <v>56.42</v>
      </c>
      <c r="G4710" s="1405">
        <v>56.42</v>
      </c>
      <c r="H4710" t="b">
        <f t="shared" si="147"/>
        <v>1</v>
      </c>
    </row>
    <row r="4711" spans="1:8">
      <c r="A4711" s="739">
        <v>9863</v>
      </c>
      <c r="B4711" s="740" t="s">
        <v>13082</v>
      </c>
      <c r="C4711" s="739" t="s">
        <v>1693</v>
      </c>
      <c r="D4711" s="741">
        <f t="shared" si="146"/>
        <v>58.43</v>
      </c>
      <c r="F4711" s="1406">
        <v>58.43</v>
      </c>
      <c r="G4711" s="1406">
        <v>58.43</v>
      </c>
      <c r="H4711" t="b">
        <f t="shared" si="147"/>
        <v>1</v>
      </c>
    </row>
    <row r="4712" spans="1:8">
      <c r="A4712" s="677">
        <v>9860</v>
      </c>
      <c r="B4712" s="733" t="s">
        <v>13083</v>
      </c>
      <c r="C4712" s="677" t="s">
        <v>1693</v>
      </c>
      <c r="D4712" s="738">
        <f t="shared" si="146"/>
        <v>42.65</v>
      </c>
      <c r="F4712" s="1405">
        <v>42.65</v>
      </c>
      <c r="G4712" s="1405">
        <v>42.65</v>
      </c>
      <c r="H4712" t="b">
        <f t="shared" si="147"/>
        <v>1</v>
      </c>
    </row>
    <row r="4713" spans="1:8">
      <c r="A4713" s="739">
        <v>9862</v>
      </c>
      <c r="B4713" s="740" t="s">
        <v>13084</v>
      </c>
      <c r="C4713" s="739" t="s">
        <v>1693</v>
      </c>
      <c r="D4713" s="741">
        <f t="shared" si="146"/>
        <v>29.8</v>
      </c>
      <c r="F4713" s="1406">
        <v>29.8</v>
      </c>
      <c r="G4713" s="1406">
        <v>29.8</v>
      </c>
      <c r="H4713" t="b">
        <f t="shared" si="147"/>
        <v>1</v>
      </c>
    </row>
    <row r="4714" spans="1:8">
      <c r="A4714" s="677">
        <v>9861</v>
      </c>
      <c r="B4714" s="733" t="s">
        <v>13085</v>
      </c>
      <c r="C4714" s="677" t="s">
        <v>1693</v>
      </c>
      <c r="D4714" s="738">
        <f t="shared" si="146"/>
        <v>23.4</v>
      </c>
      <c r="F4714" s="1405">
        <v>23.4</v>
      </c>
      <c r="G4714" s="1405">
        <v>23.4</v>
      </c>
      <c r="H4714" t="b">
        <f t="shared" si="147"/>
        <v>1</v>
      </c>
    </row>
    <row r="4715" spans="1:8">
      <c r="A4715" s="739">
        <v>9856</v>
      </c>
      <c r="B4715" s="740" t="s">
        <v>13086</v>
      </c>
      <c r="C4715" s="739" t="s">
        <v>1693</v>
      </c>
      <c r="D4715" s="741">
        <f t="shared" si="146"/>
        <v>7.55</v>
      </c>
      <c r="F4715" s="1406">
        <v>7.55</v>
      </c>
      <c r="G4715" s="1406">
        <v>7.55</v>
      </c>
      <c r="H4715" t="b">
        <f t="shared" si="147"/>
        <v>1</v>
      </c>
    </row>
    <row r="4716" spans="1:8">
      <c r="A4716" s="677">
        <v>9866</v>
      </c>
      <c r="B4716" s="733" t="s">
        <v>13087</v>
      </c>
      <c r="C4716" s="677" t="s">
        <v>1693</v>
      </c>
      <c r="D4716" s="738">
        <f t="shared" si="146"/>
        <v>20.2</v>
      </c>
      <c r="F4716" s="1405">
        <v>20.2</v>
      </c>
      <c r="G4716" s="1405">
        <v>20.2</v>
      </c>
      <c r="H4716" t="b">
        <f t="shared" si="147"/>
        <v>1</v>
      </c>
    </row>
    <row r="4717" spans="1:8">
      <c r="A4717" s="739">
        <v>9841</v>
      </c>
      <c r="B4717" s="740" t="s">
        <v>13088</v>
      </c>
      <c r="C4717" s="739" t="s">
        <v>1693</v>
      </c>
      <c r="D4717" s="741">
        <f t="shared" si="146"/>
        <v>27.13</v>
      </c>
      <c r="F4717" s="1406">
        <v>27.13</v>
      </c>
      <c r="G4717" s="1406">
        <v>27.13</v>
      </c>
      <c r="H4717" t="b">
        <f t="shared" si="147"/>
        <v>1</v>
      </c>
    </row>
    <row r="4718" spans="1:8">
      <c r="A4718" s="677">
        <v>9840</v>
      </c>
      <c r="B4718" s="733" t="s">
        <v>13089</v>
      </c>
      <c r="C4718" s="677" t="s">
        <v>1693</v>
      </c>
      <c r="D4718" s="738">
        <f t="shared" si="146"/>
        <v>57.32</v>
      </c>
      <c r="F4718" s="1405">
        <v>57.32</v>
      </c>
      <c r="G4718" s="1405">
        <v>57.32</v>
      </c>
      <c r="H4718" t="b">
        <f t="shared" si="147"/>
        <v>1</v>
      </c>
    </row>
    <row r="4719" spans="1:8">
      <c r="A4719" s="739">
        <v>20067</v>
      </c>
      <c r="B4719" s="740" t="s">
        <v>13090</v>
      </c>
      <c r="C4719" s="739" t="s">
        <v>1693</v>
      </c>
      <c r="D4719" s="741">
        <f t="shared" si="146"/>
        <v>8.8000000000000007</v>
      </c>
      <c r="F4719" s="1406">
        <v>8.8000000000000007</v>
      </c>
      <c r="G4719" s="1406">
        <v>8.8000000000000007</v>
      </c>
      <c r="H4719" t="b">
        <f t="shared" si="147"/>
        <v>1</v>
      </c>
    </row>
    <row r="4720" spans="1:8">
      <c r="A4720" s="677">
        <v>20068</v>
      </c>
      <c r="B4720" s="733" t="s">
        <v>13091</v>
      </c>
      <c r="C4720" s="677" t="s">
        <v>1693</v>
      </c>
      <c r="D4720" s="738">
        <f t="shared" si="146"/>
        <v>12.39</v>
      </c>
      <c r="F4720" s="1405">
        <v>12.39</v>
      </c>
      <c r="G4720" s="1405">
        <v>12.39</v>
      </c>
      <c r="H4720" t="b">
        <f t="shared" si="147"/>
        <v>1</v>
      </c>
    </row>
    <row r="4721" spans="1:8">
      <c r="A4721" s="739">
        <v>9839</v>
      </c>
      <c r="B4721" s="740" t="s">
        <v>13092</v>
      </c>
      <c r="C4721" s="739" t="s">
        <v>1693</v>
      </c>
      <c r="D4721" s="741">
        <f t="shared" si="146"/>
        <v>22.48</v>
      </c>
      <c r="F4721" s="1406">
        <v>22.48</v>
      </c>
      <c r="G4721" s="1406">
        <v>22.48</v>
      </c>
      <c r="H4721" t="b">
        <f t="shared" si="147"/>
        <v>1</v>
      </c>
    </row>
    <row r="4722" spans="1:8">
      <c r="A4722" s="677">
        <v>9870</v>
      </c>
      <c r="B4722" s="733" t="s">
        <v>13093</v>
      </c>
      <c r="C4722" s="677" t="s">
        <v>1693</v>
      </c>
      <c r="D4722" s="738">
        <f t="shared" si="146"/>
        <v>87.14</v>
      </c>
      <c r="F4722" s="1405">
        <v>87.14</v>
      </c>
      <c r="G4722" s="1405">
        <v>87.14</v>
      </c>
      <c r="H4722" t="b">
        <f t="shared" si="147"/>
        <v>1</v>
      </c>
    </row>
    <row r="4723" spans="1:8">
      <c r="A4723" s="739">
        <v>9867</v>
      </c>
      <c r="B4723" s="740" t="s">
        <v>13094</v>
      </c>
      <c r="C4723" s="739" t="s">
        <v>1693</v>
      </c>
      <c r="D4723" s="741">
        <f t="shared" si="146"/>
        <v>3.5</v>
      </c>
      <c r="F4723" s="1406">
        <v>3.5</v>
      </c>
      <c r="G4723" s="1406">
        <v>3.5</v>
      </c>
      <c r="H4723" t="b">
        <f t="shared" si="147"/>
        <v>1</v>
      </c>
    </row>
    <row r="4724" spans="1:8">
      <c r="A4724" s="677">
        <v>9868</v>
      </c>
      <c r="B4724" s="733" t="s">
        <v>13095</v>
      </c>
      <c r="C4724" s="677" t="s">
        <v>1693</v>
      </c>
      <c r="D4724" s="738">
        <f t="shared" si="146"/>
        <v>3.95</v>
      </c>
      <c r="F4724" s="1405">
        <v>3.95</v>
      </c>
      <c r="G4724" s="1405">
        <v>3.95</v>
      </c>
      <c r="H4724" t="b">
        <f t="shared" si="147"/>
        <v>1</v>
      </c>
    </row>
    <row r="4725" spans="1:8">
      <c r="A4725" s="739">
        <v>9869</v>
      </c>
      <c r="B4725" s="740" t="s">
        <v>13096</v>
      </c>
      <c r="C4725" s="739" t="s">
        <v>1693</v>
      </c>
      <c r="D4725" s="741">
        <f t="shared" si="146"/>
        <v>8.52</v>
      </c>
      <c r="F4725" s="1406">
        <v>8.52</v>
      </c>
      <c r="G4725" s="1406">
        <v>8.52</v>
      </c>
      <c r="H4725" t="b">
        <f t="shared" si="147"/>
        <v>1</v>
      </c>
    </row>
    <row r="4726" spans="1:8">
      <c r="A4726" s="677">
        <v>9874</v>
      </c>
      <c r="B4726" s="733" t="s">
        <v>13097</v>
      </c>
      <c r="C4726" s="677" t="s">
        <v>1693</v>
      </c>
      <c r="D4726" s="738">
        <f t="shared" si="146"/>
        <v>13.38</v>
      </c>
      <c r="F4726" s="1405">
        <v>13.38</v>
      </c>
      <c r="G4726" s="1405">
        <v>13.38</v>
      </c>
      <c r="H4726" t="b">
        <f t="shared" si="147"/>
        <v>1</v>
      </c>
    </row>
    <row r="4727" spans="1:8">
      <c r="A4727" s="739">
        <v>9875</v>
      </c>
      <c r="B4727" s="740" t="s">
        <v>13098</v>
      </c>
      <c r="C4727" s="739" t="s">
        <v>1693</v>
      </c>
      <c r="D4727" s="741">
        <f t="shared" si="146"/>
        <v>14.68</v>
      </c>
      <c r="F4727" s="1406">
        <v>14.68</v>
      </c>
      <c r="G4727" s="1406">
        <v>14.68</v>
      </c>
      <c r="H4727" t="b">
        <f t="shared" si="147"/>
        <v>1</v>
      </c>
    </row>
    <row r="4728" spans="1:8">
      <c r="A4728" s="677">
        <v>9873</v>
      </c>
      <c r="B4728" s="733" t="s">
        <v>13099</v>
      </c>
      <c r="C4728" s="677" t="s">
        <v>1693</v>
      </c>
      <c r="D4728" s="738">
        <f t="shared" si="146"/>
        <v>24.15</v>
      </c>
      <c r="F4728" s="1405">
        <v>24.15</v>
      </c>
      <c r="G4728" s="1405">
        <v>24.15</v>
      </c>
      <c r="H4728" t="b">
        <f t="shared" si="147"/>
        <v>1</v>
      </c>
    </row>
    <row r="4729" spans="1:8">
      <c r="A4729" s="739">
        <v>9871</v>
      </c>
      <c r="B4729" s="740" t="s">
        <v>13100</v>
      </c>
      <c r="C4729" s="739" t="s">
        <v>1693</v>
      </c>
      <c r="D4729" s="741">
        <f t="shared" si="146"/>
        <v>40.03</v>
      </c>
      <c r="F4729" s="1406">
        <v>40.03</v>
      </c>
      <c r="G4729" s="1406">
        <v>40.03</v>
      </c>
      <c r="H4729" t="b">
        <f t="shared" si="147"/>
        <v>1</v>
      </c>
    </row>
    <row r="4730" spans="1:8">
      <c r="A4730" s="677">
        <v>9872</v>
      </c>
      <c r="B4730" s="733" t="s">
        <v>13101</v>
      </c>
      <c r="C4730" s="677" t="s">
        <v>1693</v>
      </c>
      <c r="D4730" s="738">
        <f t="shared" si="146"/>
        <v>55.68</v>
      </c>
      <c r="F4730" s="1405">
        <v>55.68</v>
      </c>
      <c r="G4730" s="1405">
        <v>55.68</v>
      </c>
      <c r="H4730" t="b">
        <f t="shared" si="147"/>
        <v>1</v>
      </c>
    </row>
    <row r="4731" spans="1:8">
      <c r="A4731" s="739">
        <v>7667</v>
      </c>
      <c r="B4731" s="740" t="s">
        <v>13102</v>
      </c>
      <c r="C4731" s="739" t="s">
        <v>1693</v>
      </c>
      <c r="D4731" s="741">
        <f t="shared" si="146"/>
        <v>3659.27</v>
      </c>
      <c r="F4731" s="1406">
        <v>3659.27</v>
      </c>
      <c r="G4731" s="1406">
        <v>3659.27</v>
      </c>
      <c r="H4731" t="b">
        <f t="shared" si="147"/>
        <v>1</v>
      </c>
    </row>
    <row r="4732" spans="1:8">
      <c r="A4732" s="677">
        <v>7660</v>
      </c>
      <c r="B4732" s="733" t="s">
        <v>13103</v>
      </c>
      <c r="C4732" s="677" t="s">
        <v>1693</v>
      </c>
      <c r="D4732" s="738">
        <f t="shared" si="146"/>
        <v>4664.7</v>
      </c>
      <c r="F4732" s="1405">
        <v>4664.7</v>
      </c>
      <c r="G4732" s="1405">
        <v>4664.7</v>
      </c>
      <c r="H4732" t="b">
        <f t="shared" si="147"/>
        <v>1</v>
      </c>
    </row>
    <row r="4733" spans="1:8">
      <c r="A4733" s="739">
        <v>7676</v>
      </c>
      <c r="B4733" s="740" t="s">
        <v>13104</v>
      </c>
      <c r="C4733" s="739" t="s">
        <v>1693</v>
      </c>
      <c r="D4733" s="741">
        <f t="shared" si="146"/>
        <v>4718.01</v>
      </c>
      <c r="F4733" s="1406">
        <v>4718.01</v>
      </c>
      <c r="G4733" s="1406">
        <v>4718.01</v>
      </c>
      <c r="H4733" t="b">
        <f t="shared" si="147"/>
        <v>1</v>
      </c>
    </row>
    <row r="4734" spans="1:8">
      <c r="A4734" s="677">
        <v>12426</v>
      </c>
      <c r="B4734" s="733" t="s">
        <v>13105</v>
      </c>
      <c r="C4734" s="677" t="s">
        <v>1690</v>
      </c>
      <c r="D4734" s="738">
        <f t="shared" si="146"/>
        <v>36.85</v>
      </c>
      <c r="F4734" s="1405">
        <v>36.85</v>
      </c>
      <c r="G4734" s="1405">
        <v>36.85</v>
      </c>
      <c r="H4734" t="b">
        <f t="shared" si="147"/>
        <v>1</v>
      </c>
    </row>
    <row r="4735" spans="1:8">
      <c r="A4735" s="739">
        <v>12425</v>
      </c>
      <c r="B4735" s="740" t="s">
        <v>13106</v>
      </c>
      <c r="C4735" s="739" t="s">
        <v>1690</v>
      </c>
      <c r="D4735" s="741">
        <f t="shared" si="146"/>
        <v>50.63</v>
      </c>
      <c r="F4735" s="1406">
        <v>50.63</v>
      </c>
      <c r="G4735" s="1406">
        <v>50.63</v>
      </c>
      <c r="H4735" t="b">
        <f t="shared" si="147"/>
        <v>1</v>
      </c>
    </row>
    <row r="4736" spans="1:8">
      <c r="A4736" s="677">
        <v>12427</v>
      </c>
      <c r="B4736" s="733" t="s">
        <v>13107</v>
      </c>
      <c r="C4736" s="677" t="s">
        <v>1690</v>
      </c>
      <c r="D4736" s="738">
        <f t="shared" si="146"/>
        <v>210.17</v>
      </c>
      <c r="F4736" s="1405">
        <v>210.17</v>
      </c>
      <c r="G4736" s="1405">
        <v>210.17</v>
      </c>
      <c r="H4736" t="b">
        <f t="shared" si="147"/>
        <v>1</v>
      </c>
    </row>
    <row r="4737" spans="1:8">
      <c r="A4737" s="739">
        <v>12428</v>
      </c>
      <c r="B4737" s="740" t="s">
        <v>13108</v>
      </c>
      <c r="C4737" s="739" t="s">
        <v>1690</v>
      </c>
      <c r="D4737" s="741">
        <f t="shared" si="146"/>
        <v>134.9</v>
      </c>
      <c r="F4737" s="1406">
        <v>134.9</v>
      </c>
      <c r="G4737" s="1406">
        <v>134.9</v>
      </c>
      <c r="H4737" t="b">
        <f t="shared" si="147"/>
        <v>1</v>
      </c>
    </row>
    <row r="4738" spans="1:8">
      <c r="A4738" s="677">
        <v>12430</v>
      </c>
      <c r="B4738" s="733" t="s">
        <v>13109</v>
      </c>
      <c r="C4738" s="677" t="s">
        <v>1690</v>
      </c>
      <c r="D4738" s="738">
        <f t="shared" si="146"/>
        <v>45.18</v>
      </c>
      <c r="F4738" s="1405">
        <v>45.18</v>
      </c>
      <c r="G4738" s="1405">
        <v>45.18</v>
      </c>
      <c r="H4738" t="b">
        <f t="shared" si="147"/>
        <v>1</v>
      </c>
    </row>
    <row r="4739" spans="1:8">
      <c r="A4739" s="739">
        <v>12429</v>
      </c>
      <c r="B4739" s="740" t="s">
        <v>13110</v>
      </c>
      <c r="C4739" s="739" t="s">
        <v>1690</v>
      </c>
      <c r="D4739" s="741">
        <f t="shared" ref="D4739:D4802" si="148">IF($J$2=$F$1,F4739,G4739)</f>
        <v>339.85</v>
      </c>
      <c r="F4739" s="1406">
        <v>339.85</v>
      </c>
      <c r="G4739" s="1406">
        <v>339.85</v>
      </c>
      <c r="H4739" t="b">
        <f t="shared" ref="H4739:H4802" si="149">F4739=G4739</f>
        <v>1</v>
      </c>
    </row>
    <row r="4740" spans="1:8">
      <c r="A4740" s="677">
        <v>12431</v>
      </c>
      <c r="B4740" s="733" t="s">
        <v>13111</v>
      </c>
      <c r="C4740" s="677" t="s">
        <v>1690</v>
      </c>
      <c r="D4740" s="738">
        <f t="shared" si="148"/>
        <v>578.36</v>
      </c>
      <c r="F4740" s="1405">
        <v>578.36</v>
      </c>
      <c r="G4740" s="1405">
        <v>578.36</v>
      </c>
      <c r="H4740" t="b">
        <f t="shared" si="149"/>
        <v>1</v>
      </c>
    </row>
    <row r="4741" spans="1:8">
      <c r="A4741" s="739">
        <v>12432</v>
      </c>
      <c r="B4741" s="740" t="s">
        <v>13112</v>
      </c>
      <c r="C4741" s="739" t="s">
        <v>1690</v>
      </c>
      <c r="D4741" s="741">
        <f t="shared" si="148"/>
        <v>118.95</v>
      </c>
      <c r="F4741" s="1406">
        <v>118.95</v>
      </c>
      <c r="G4741" s="1406">
        <v>118.95</v>
      </c>
      <c r="H4741" t="b">
        <f t="shared" si="149"/>
        <v>1</v>
      </c>
    </row>
    <row r="4742" spans="1:8">
      <c r="A4742" s="677">
        <v>12434</v>
      </c>
      <c r="B4742" s="733" t="s">
        <v>13113</v>
      </c>
      <c r="C4742" s="677" t="s">
        <v>1690</v>
      </c>
      <c r="D4742" s="738">
        <f t="shared" si="148"/>
        <v>38.76</v>
      </c>
      <c r="F4742" s="1405">
        <v>38.76</v>
      </c>
      <c r="G4742" s="1405">
        <v>38.76</v>
      </c>
      <c r="H4742" t="b">
        <f t="shared" si="149"/>
        <v>1</v>
      </c>
    </row>
    <row r="4743" spans="1:8">
      <c r="A4743" s="739">
        <v>12433</v>
      </c>
      <c r="B4743" s="740" t="s">
        <v>13114</v>
      </c>
      <c r="C4743" s="739" t="s">
        <v>1690</v>
      </c>
      <c r="D4743" s="741">
        <f t="shared" si="148"/>
        <v>75.72</v>
      </c>
      <c r="F4743" s="1406">
        <v>75.72</v>
      </c>
      <c r="G4743" s="1406">
        <v>75.72</v>
      </c>
      <c r="H4743" t="b">
        <f t="shared" si="149"/>
        <v>1</v>
      </c>
    </row>
    <row r="4744" spans="1:8">
      <c r="A4744" s="677">
        <v>12435</v>
      </c>
      <c r="B4744" s="733" t="s">
        <v>13115</v>
      </c>
      <c r="C4744" s="677" t="s">
        <v>1690</v>
      </c>
      <c r="D4744" s="738">
        <f t="shared" si="148"/>
        <v>234.35</v>
      </c>
      <c r="F4744" s="1405">
        <v>234.35</v>
      </c>
      <c r="G4744" s="1405">
        <v>234.35</v>
      </c>
      <c r="H4744" t="b">
        <f t="shared" si="149"/>
        <v>1</v>
      </c>
    </row>
    <row r="4745" spans="1:8">
      <c r="A4745" s="739">
        <v>12437</v>
      </c>
      <c r="B4745" s="740" t="s">
        <v>13116</v>
      </c>
      <c r="C4745" s="739" t="s">
        <v>1690</v>
      </c>
      <c r="D4745" s="741">
        <f t="shared" si="148"/>
        <v>189.27</v>
      </c>
      <c r="F4745" s="1406">
        <v>189.27</v>
      </c>
      <c r="G4745" s="1406">
        <v>189.27</v>
      </c>
      <c r="H4745" t="b">
        <f t="shared" si="149"/>
        <v>1</v>
      </c>
    </row>
    <row r="4746" spans="1:8">
      <c r="A4746" s="677">
        <v>12439</v>
      </c>
      <c r="B4746" s="733" t="s">
        <v>13117</v>
      </c>
      <c r="C4746" s="677" t="s">
        <v>1690</v>
      </c>
      <c r="D4746" s="738">
        <f t="shared" si="148"/>
        <v>60.74</v>
      </c>
      <c r="F4746" s="1405">
        <v>60.74</v>
      </c>
      <c r="G4746" s="1405">
        <v>60.74</v>
      </c>
      <c r="H4746" t="b">
        <f t="shared" si="149"/>
        <v>1</v>
      </c>
    </row>
    <row r="4747" spans="1:8">
      <c r="A4747" s="739">
        <v>12438</v>
      </c>
      <c r="B4747" s="740" t="s">
        <v>13118</v>
      </c>
      <c r="C4747" s="739" t="s">
        <v>1690</v>
      </c>
      <c r="D4747" s="741">
        <f t="shared" si="148"/>
        <v>342.52</v>
      </c>
      <c r="F4747" s="1406">
        <v>342.52</v>
      </c>
      <c r="G4747" s="1406">
        <v>342.52</v>
      </c>
      <c r="H4747" t="b">
        <f t="shared" si="149"/>
        <v>1</v>
      </c>
    </row>
    <row r="4748" spans="1:8">
      <c r="A4748" s="677">
        <v>12436</v>
      </c>
      <c r="B4748" s="733" t="s">
        <v>13119</v>
      </c>
      <c r="C4748" s="677" t="s">
        <v>1690</v>
      </c>
      <c r="D4748" s="738">
        <f t="shared" si="148"/>
        <v>432.67</v>
      </c>
      <c r="F4748" s="1405">
        <v>432.67</v>
      </c>
      <c r="G4748" s="1405">
        <v>432.67</v>
      </c>
      <c r="H4748" t="b">
        <f t="shared" si="149"/>
        <v>1</v>
      </c>
    </row>
    <row r="4749" spans="1:8">
      <c r="A4749" s="739">
        <v>36357</v>
      </c>
      <c r="B4749" s="740" t="s">
        <v>13120</v>
      </c>
      <c r="C4749" s="739" t="s">
        <v>1690</v>
      </c>
      <c r="D4749" s="741">
        <f t="shared" si="148"/>
        <v>132.33000000000001</v>
      </c>
      <c r="F4749" s="1406">
        <v>132.33000000000001</v>
      </c>
      <c r="G4749" s="1406">
        <v>132.33000000000001</v>
      </c>
      <c r="H4749" t="b">
        <f t="shared" si="149"/>
        <v>1</v>
      </c>
    </row>
    <row r="4750" spans="1:8">
      <c r="A4750" s="677">
        <v>12424</v>
      </c>
      <c r="B4750" s="733" t="s">
        <v>13121</v>
      </c>
      <c r="C4750" s="677" t="s">
        <v>1690</v>
      </c>
      <c r="D4750" s="738">
        <f t="shared" si="148"/>
        <v>77.959999999999994</v>
      </c>
      <c r="F4750" s="1405">
        <v>77.959999999999994</v>
      </c>
      <c r="G4750" s="1405">
        <v>77.959999999999994</v>
      </c>
      <c r="H4750" t="b">
        <f t="shared" si="149"/>
        <v>1</v>
      </c>
    </row>
    <row r="4751" spans="1:8">
      <c r="A4751" s="739">
        <v>12440</v>
      </c>
      <c r="B4751" s="740" t="s">
        <v>13122</v>
      </c>
      <c r="C4751" s="739" t="s">
        <v>1690</v>
      </c>
      <c r="D4751" s="741">
        <f t="shared" si="148"/>
        <v>75.36</v>
      </c>
      <c r="F4751" s="1406">
        <v>75.36</v>
      </c>
      <c r="G4751" s="1406">
        <v>75.36</v>
      </c>
      <c r="H4751" t="b">
        <f t="shared" si="149"/>
        <v>1</v>
      </c>
    </row>
    <row r="4752" spans="1:8">
      <c r="A4752" s="677">
        <v>9884</v>
      </c>
      <c r="B4752" s="733" t="s">
        <v>13123</v>
      </c>
      <c r="C4752" s="677" t="s">
        <v>1690</v>
      </c>
      <c r="D4752" s="738">
        <f t="shared" si="148"/>
        <v>56.21</v>
      </c>
      <c r="F4752" s="1405">
        <v>56.21</v>
      </c>
      <c r="G4752" s="1405">
        <v>56.21</v>
      </c>
      <c r="H4752" t="b">
        <f t="shared" si="149"/>
        <v>1</v>
      </c>
    </row>
    <row r="4753" spans="1:8">
      <c r="A4753" s="739">
        <v>9888</v>
      </c>
      <c r="B4753" s="740" t="s">
        <v>13124</v>
      </c>
      <c r="C4753" s="739" t="s">
        <v>1690</v>
      </c>
      <c r="D4753" s="741">
        <f t="shared" si="148"/>
        <v>45.16</v>
      </c>
      <c r="F4753" s="1406">
        <v>45.16</v>
      </c>
      <c r="G4753" s="1406">
        <v>45.16</v>
      </c>
      <c r="H4753" t="b">
        <f t="shared" si="149"/>
        <v>1</v>
      </c>
    </row>
    <row r="4754" spans="1:8">
      <c r="A4754" s="677">
        <v>9883</v>
      </c>
      <c r="B4754" s="733" t="s">
        <v>13125</v>
      </c>
      <c r="C4754" s="677" t="s">
        <v>1690</v>
      </c>
      <c r="D4754" s="738">
        <f t="shared" si="148"/>
        <v>19.71</v>
      </c>
      <c r="F4754" s="1405">
        <v>19.71</v>
      </c>
      <c r="G4754" s="1405">
        <v>19.71</v>
      </c>
      <c r="H4754" t="b">
        <f t="shared" si="149"/>
        <v>1</v>
      </c>
    </row>
    <row r="4755" spans="1:8">
      <c r="A4755" s="739">
        <v>9886</v>
      </c>
      <c r="B4755" s="740" t="s">
        <v>13126</v>
      </c>
      <c r="C4755" s="739" t="s">
        <v>1690</v>
      </c>
      <c r="D4755" s="741">
        <f t="shared" si="148"/>
        <v>26.99</v>
      </c>
      <c r="F4755" s="1406">
        <v>26.99</v>
      </c>
      <c r="G4755" s="1406">
        <v>26.99</v>
      </c>
      <c r="H4755" t="b">
        <f t="shared" si="149"/>
        <v>1</v>
      </c>
    </row>
    <row r="4756" spans="1:8">
      <c r="A4756" s="677">
        <v>9889</v>
      </c>
      <c r="B4756" s="733" t="s">
        <v>13127</v>
      </c>
      <c r="C4756" s="677" t="s">
        <v>1690</v>
      </c>
      <c r="D4756" s="738">
        <f t="shared" si="148"/>
        <v>136.75</v>
      </c>
      <c r="F4756" s="1405">
        <v>136.75</v>
      </c>
      <c r="G4756" s="1405">
        <v>136.75</v>
      </c>
      <c r="H4756" t="b">
        <f t="shared" si="149"/>
        <v>1</v>
      </c>
    </row>
    <row r="4757" spans="1:8">
      <c r="A4757" s="739">
        <v>9887</v>
      </c>
      <c r="B4757" s="740" t="s">
        <v>13128</v>
      </c>
      <c r="C4757" s="739" t="s">
        <v>1690</v>
      </c>
      <c r="D4757" s="741">
        <f t="shared" si="148"/>
        <v>82.65</v>
      </c>
      <c r="F4757" s="1406">
        <v>82.65</v>
      </c>
      <c r="G4757" s="1406">
        <v>82.65</v>
      </c>
      <c r="H4757" t="b">
        <f t="shared" si="149"/>
        <v>1</v>
      </c>
    </row>
    <row r="4758" spans="1:8">
      <c r="A4758" s="677">
        <v>9885</v>
      </c>
      <c r="B4758" s="733" t="s">
        <v>13129</v>
      </c>
      <c r="C4758" s="677" t="s">
        <v>1690</v>
      </c>
      <c r="D4758" s="738">
        <f t="shared" si="148"/>
        <v>26.1</v>
      </c>
      <c r="F4758" s="1405">
        <v>26.1</v>
      </c>
      <c r="G4758" s="1405">
        <v>26.1</v>
      </c>
      <c r="H4758" t="b">
        <f t="shared" si="149"/>
        <v>1</v>
      </c>
    </row>
    <row r="4759" spans="1:8">
      <c r="A4759" s="739">
        <v>9890</v>
      </c>
      <c r="B4759" s="740" t="s">
        <v>13130</v>
      </c>
      <c r="C4759" s="739" t="s">
        <v>1690</v>
      </c>
      <c r="D4759" s="741">
        <f t="shared" si="148"/>
        <v>211.87</v>
      </c>
      <c r="F4759" s="1406">
        <v>211.87</v>
      </c>
      <c r="G4759" s="1406">
        <v>211.87</v>
      </c>
      <c r="H4759" t="b">
        <f t="shared" si="149"/>
        <v>1</v>
      </c>
    </row>
    <row r="4760" spans="1:8">
      <c r="A4760" s="677">
        <v>9891</v>
      </c>
      <c r="B4760" s="733" t="s">
        <v>13131</v>
      </c>
      <c r="C4760" s="677" t="s">
        <v>1690</v>
      </c>
      <c r="D4760" s="738">
        <f t="shared" si="148"/>
        <v>297.42</v>
      </c>
      <c r="F4760" s="1405">
        <v>297.42</v>
      </c>
      <c r="G4760" s="1405">
        <v>297.42</v>
      </c>
      <c r="H4760" t="b">
        <f t="shared" si="149"/>
        <v>1</v>
      </c>
    </row>
    <row r="4761" spans="1:8">
      <c r="A4761" s="739">
        <v>36313</v>
      </c>
      <c r="B4761" s="740" t="s">
        <v>13132</v>
      </c>
      <c r="C4761" s="739" t="s">
        <v>1690</v>
      </c>
      <c r="D4761" s="741">
        <f t="shared" si="148"/>
        <v>13.85</v>
      </c>
      <c r="F4761" s="1406">
        <v>13.85</v>
      </c>
      <c r="G4761" s="1406">
        <v>13.85</v>
      </c>
      <c r="H4761" t="b">
        <f t="shared" si="149"/>
        <v>1</v>
      </c>
    </row>
    <row r="4762" spans="1:8">
      <c r="A4762" s="677">
        <v>36316</v>
      </c>
      <c r="B4762" s="733" t="s">
        <v>13133</v>
      </c>
      <c r="C4762" s="677" t="s">
        <v>1690</v>
      </c>
      <c r="D4762" s="738">
        <f t="shared" si="148"/>
        <v>21.57</v>
      </c>
      <c r="F4762" s="1405">
        <v>21.57</v>
      </c>
      <c r="G4762" s="1405">
        <v>21.57</v>
      </c>
      <c r="H4762" t="b">
        <f t="shared" si="149"/>
        <v>1</v>
      </c>
    </row>
    <row r="4763" spans="1:8">
      <c r="A4763" s="739">
        <v>64</v>
      </c>
      <c r="B4763" s="740" t="s">
        <v>13134</v>
      </c>
      <c r="C4763" s="739" t="s">
        <v>1690</v>
      </c>
      <c r="D4763" s="741">
        <f t="shared" si="148"/>
        <v>4.79</v>
      </c>
      <c r="F4763" s="1406">
        <v>4.79</v>
      </c>
      <c r="G4763" s="1406">
        <v>4.79</v>
      </c>
      <c r="H4763" t="b">
        <f t="shared" si="149"/>
        <v>1</v>
      </c>
    </row>
    <row r="4764" spans="1:8">
      <c r="A4764" s="677">
        <v>37423</v>
      </c>
      <c r="B4764" s="733" t="s">
        <v>13135</v>
      </c>
      <c r="C4764" s="677" t="s">
        <v>1690</v>
      </c>
      <c r="D4764" s="738">
        <f t="shared" si="148"/>
        <v>11.84</v>
      </c>
      <c r="F4764" s="1405">
        <v>11.84</v>
      </c>
      <c r="G4764" s="1405">
        <v>11.84</v>
      </c>
      <c r="H4764" t="b">
        <f t="shared" si="149"/>
        <v>1</v>
      </c>
    </row>
    <row r="4765" spans="1:8">
      <c r="A4765" s="739">
        <v>9892</v>
      </c>
      <c r="B4765" s="740" t="s">
        <v>13136</v>
      </c>
      <c r="C4765" s="739" t="s">
        <v>1690</v>
      </c>
      <c r="D4765" s="741">
        <f t="shared" si="148"/>
        <v>6.41</v>
      </c>
      <c r="F4765" s="1406">
        <v>6.41</v>
      </c>
      <c r="G4765" s="1406">
        <v>6.41</v>
      </c>
      <c r="H4765" t="b">
        <f t="shared" si="149"/>
        <v>1</v>
      </c>
    </row>
    <row r="4766" spans="1:8">
      <c r="A4766" s="677">
        <v>9901</v>
      </c>
      <c r="B4766" s="733" t="s">
        <v>13137</v>
      </c>
      <c r="C4766" s="677" t="s">
        <v>1690</v>
      </c>
      <c r="D4766" s="738">
        <f t="shared" si="148"/>
        <v>31.01</v>
      </c>
      <c r="F4766" s="1405">
        <v>31.01</v>
      </c>
      <c r="G4766" s="1405">
        <v>31.01</v>
      </c>
      <c r="H4766" t="b">
        <f t="shared" si="149"/>
        <v>1</v>
      </c>
    </row>
    <row r="4767" spans="1:8">
      <c r="A4767" s="739">
        <v>9900</v>
      </c>
      <c r="B4767" s="740" t="s">
        <v>13138</v>
      </c>
      <c r="C4767" s="739" t="s">
        <v>1690</v>
      </c>
      <c r="D4767" s="741">
        <f t="shared" si="148"/>
        <v>17.97</v>
      </c>
      <c r="F4767" s="1406">
        <v>17.97</v>
      </c>
      <c r="G4767" s="1406">
        <v>17.97</v>
      </c>
      <c r="H4767" t="b">
        <f t="shared" si="149"/>
        <v>1</v>
      </c>
    </row>
    <row r="4768" spans="1:8">
      <c r="A4768" s="677">
        <v>9899</v>
      </c>
      <c r="B4768" s="733" t="s">
        <v>13139</v>
      </c>
      <c r="C4768" s="677" t="s">
        <v>1690</v>
      </c>
      <c r="D4768" s="738">
        <f t="shared" si="148"/>
        <v>8.06</v>
      </c>
      <c r="F4768" s="1405">
        <v>8.06</v>
      </c>
      <c r="G4768" s="1405">
        <v>8.06</v>
      </c>
      <c r="H4768" t="b">
        <f t="shared" si="149"/>
        <v>1</v>
      </c>
    </row>
    <row r="4769" spans="1:8">
      <c r="A4769" s="739">
        <v>9908</v>
      </c>
      <c r="B4769" s="740" t="s">
        <v>13140</v>
      </c>
      <c r="C4769" s="739" t="s">
        <v>1690</v>
      </c>
      <c r="D4769" s="741">
        <f t="shared" si="148"/>
        <v>362.27</v>
      </c>
      <c r="F4769" s="1406">
        <v>362.27</v>
      </c>
      <c r="G4769" s="1406">
        <v>362.27</v>
      </c>
      <c r="H4769" t="b">
        <f t="shared" si="149"/>
        <v>1</v>
      </c>
    </row>
    <row r="4770" spans="1:8">
      <c r="A4770" s="677">
        <v>9905</v>
      </c>
      <c r="B4770" s="733" t="s">
        <v>13141</v>
      </c>
      <c r="C4770" s="677" t="s">
        <v>1690</v>
      </c>
      <c r="D4770" s="738">
        <f t="shared" si="148"/>
        <v>6.3</v>
      </c>
      <c r="F4770" s="1405">
        <v>6.3</v>
      </c>
      <c r="G4770" s="1405">
        <v>6.3</v>
      </c>
      <c r="H4770" t="b">
        <f t="shared" si="149"/>
        <v>1</v>
      </c>
    </row>
    <row r="4771" spans="1:8">
      <c r="A4771" s="739">
        <v>9906</v>
      </c>
      <c r="B4771" s="740" t="s">
        <v>13142</v>
      </c>
      <c r="C4771" s="739" t="s">
        <v>1690</v>
      </c>
      <c r="D4771" s="741">
        <f t="shared" si="148"/>
        <v>7.6</v>
      </c>
      <c r="F4771" s="1406">
        <v>7.6</v>
      </c>
      <c r="G4771" s="1406">
        <v>7.6</v>
      </c>
      <c r="H4771" t="b">
        <f t="shared" si="149"/>
        <v>1</v>
      </c>
    </row>
    <row r="4772" spans="1:8">
      <c r="A4772" s="677">
        <v>9895</v>
      </c>
      <c r="B4772" s="733" t="s">
        <v>13143</v>
      </c>
      <c r="C4772" s="677" t="s">
        <v>1690</v>
      </c>
      <c r="D4772" s="738">
        <f t="shared" si="148"/>
        <v>12.8</v>
      </c>
      <c r="F4772" s="1405">
        <v>12.8</v>
      </c>
      <c r="G4772" s="1405">
        <v>12.8</v>
      </c>
      <c r="H4772" t="b">
        <f t="shared" si="149"/>
        <v>1</v>
      </c>
    </row>
    <row r="4773" spans="1:8">
      <c r="A4773" s="739">
        <v>9894</v>
      </c>
      <c r="B4773" s="740" t="s">
        <v>13144</v>
      </c>
      <c r="C4773" s="739" t="s">
        <v>1690</v>
      </c>
      <c r="D4773" s="741">
        <f t="shared" si="148"/>
        <v>24.61</v>
      </c>
      <c r="F4773" s="1406">
        <v>24.61</v>
      </c>
      <c r="G4773" s="1406">
        <v>24.61</v>
      </c>
      <c r="H4773" t="b">
        <f t="shared" si="149"/>
        <v>1</v>
      </c>
    </row>
    <row r="4774" spans="1:8">
      <c r="A4774" s="677">
        <v>9897</v>
      </c>
      <c r="B4774" s="733" t="s">
        <v>13145</v>
      </c>
      <c r="C4774" s="677" t="s">
        <v>1690</v>
      </c>
      <c r="D4774" s="738">
        <f t="shared" si="148"/>
        <v>26.28</v>
      </c>
      <c r="F4774" s="1405">
        <v>26.28</v>
      </c>
      <c r="G4774" s="1405">
        <v>26.28</v>
      </c>
      <c r="H4774" t="b">
        <f t="shared" si="149"/>
        <v>1</v>
      </c>
    </row>
    <row r="4775" spans="1:8">
      <c r="A4775" s="739">
        <v>9910</v>
      </c>
      <c r="B4775" s="740" t="s">
        <v>13146</v>
      </c>
      <c r="C4775" s="739" t="s">
        <v>1690</v>
      </c>
      <c r="D4775" s="741">
        <f t="shared" si="148"/>
        <v>68.38</v>
      </c>
      <c r="F4775" s="1406">
        <v>68.38</v>
      </c>
      <c r="G4775" s="1406">
        <v>68.38</v>
      </c>
      <c r="H4775" t="b">
        <f t="shared" si="149"/>
        <v>1</v>
      </c>
    </row>
    <row r="4776" spans="1:8">
      <c r="A4776" s="677">
        <v>9909</v>
      </c>
      <c r="B4776" s="733" t="s">
        <v>13147</v>
      </c>
      <c r="C4776" s="677" t="s">
        <v>1690</v>
      </c>
      <c r="D4776" s="738">
        <f t="shared" si="148"/>
        <v>139.26</v>
      </c>
      <c r="F4776" s="1405">
        <v>139.26</v>
      </c>
      <c r="G4776" s="1405">
        <v>139.26</v>
      </c>
      <c r="H4776" t="b">
        <f t="shared" si="149"/>
        <v>1</v>
      </c>
    </row>
    <row r="4777" spans="1:8">
      <c r="A4777" s="739">
        <v>9907</v>
      </c>
      <c r="B4777" s="740" t="s">
        <v>13148</v>
      </c>
      <c r="C4777" s="739" t="s">
        <v>1690</v>
      </c>
      <c r="D4777" s="741">
        <f t="shared" si="148"/>
        <v>164.43</v>
      </c>
      <c r="F4777" s="1406">
        <v>164.43</v>
      </c>
      <c r="G4777" s="1406">
        <v>164.43</v>
      </c>
      <c r="H4777" t="b">
        <f t="shared" si="149"/>
        <v>1</v>
      </c>
    </row>
    <row r="4778" spans="1:8" ht="30">
      <c r="A4778" s="677">
        <v>20973</v>
      </c>
      <c r="B4778" s="733" t="s">
        <v>13149</v>
      </c>
      <c r="C4778" s="677" t="s">
        <v>1690</v>
      </c>
      <c r="D4778" s="738">
        <f t="shared" si="148"/>
        <v>113.29</v>
      </c>
      <c r="F4778" s="1405">
        <v>113.29</v>
      </c>
      <c r="G4778" s="1405">
        <v>113.29</v>
      </c>
      <c r="H4778" t="b">
        <f t="shared" si="149"/>
        <v>1</v>
      </c>
    </row>
    <row r="4779" spans="1:8" ht="30">
      <c r="A4779" s="739">
        <v>20974</v>
      </c>
      <c r="B4779" s="740" t="s">
        <v>13150</v>
      </c>
      <c r="C4779" s="739" t="s">
        <v>1690</v>
      </c>
      <c r="D4779" s="741">
        <f t="shared" si="148"/>
        <v>162.09</v>
      </c>
      <c r="F4779" s="1406">
        <v>162.09</v>
      </c>
      <c r="G4779" s="1406">
        <v>162.09</v>
      </c>
      <c r="H4779" t="b">
        <f t="shared" si="149"/>
        <v>1</v>
      </c>
    </row>
    <row r="4780" spans="1:8">
      <c r="A4780" s="677">
        <v>37989</v>
      </c>
      <c r="B4780" s="733" t="s">
        <v>13151</v>
      </c>
      <c r="C4780" s="677" t="s">
        <v>1690</v>
      </c>
      <c r="D4780" s="738">
        <f t="shared" si="148"/>
        <v>14.15</v>
      </c>
      <c r="F4780" s="1405">
        <v>14.15</v>
      </c>
      <c r="G4780" s="1405">
        <v>14.15</v>
      </c>
      <c r="H4780" t="b">
        <f t="shared" si="149"/>
        <v>1</v>
      </c>
    </row>
    <row r="4781" spans="1:8">
      <c r="A4781" s="739">
        <v>37990</v>
      </c>
      <c r="B4781" s="740" t="s">
        <v>13152</v>
      </c>
      <c r="C4781" s="739" t="s">
        <v>1690</v>
      </c>
      <c r="D4781" s="741">
        <f t="shared" si="148"/>
        <v>15.61</v>
      </c>
      <c r="F4781" s="1406">
        <v>15.61</v>
      </c>
      <c r="G4781" s="1406">
        <v>15.61</v>
      </c>
      <c r="H4781" t="b">
        <f t="shared" si="149"/>
        <v>1</v>
      </c>
    </row>
    <row r="4782" spans="1:8">
      <c r="A4782" s="677">
        <v>37991</v>
      </c>
      <c r="B4782" s="733" t="s">
        <v>13153</v>
      </c>
      <c r="C4782" s="677" t="s">
        <v>1690</v>
      </c>
      <c r="D4782" s="738">
        <f t="shared" si="148"/>
        <v>20.77</v>
      </c>
      <c r="F4782" s="1405">
        <v>20.77</v>
      </c>
      <c r="G4782" s="1405">
        <v>20.77</v>
      </c>
      <c r="H4782" t="b">
        <f t="shared" si="149"/>
        <v>1</v>
      </c>
    </row>
    <row r="4783" spans="1:8">
      <c r="A4783" s="739">
        <v>37992</v>
      </c>
      <c r="B4783" s="740" t="s">
        <v>13154</v>
      </c>
      <c r="C4783" s="739" t="s">
        <v>1690</v>
      </c>
      <c r="D4783" s="741">
        <f t="shared" si="148"/>
        <v>32.229999999999997</v>
      </c>
      <c r="F4783" s="1406">
        <v>32.229999999999997</v>
      </c>
      <c r="G4783" s="1406">
        <v>32.229999999999997</v>
      </c>
      <c r="H4783" t="b">
        <f t="shared" si="149"/>
        <v>1</v>
      </c>
    </row>
    <row r="4784" spans="1:8">
      <c r="A4784" s="677">
        <v>37993</v>
      </c>
      <c r="B4784" s="733" t="s">
        <v>13155</v>
      </c>
      <c r="C4784" s="677" t="s">
        <v>1690</v>
      </c>
      <c r="D4784" s="738">
        <f t="shared" si="148"/>
        <v>48.91</v>
      </c>
      <c r="F4784" s="1405">
        <v>48.91</v>
      </c>
      <c r="G4784" s="1405">
        <v>48.91</v>
      </c>
      <c r="H4784" t="b">
        <f t="shared" si="149"/>
        <v>1</v>
      </c>
    </row>
    <row r="4785" spans="1:8">
      <c r="A4785" s="739">
        <v>37994</v>
      </c>
      <c r="B4785" s="740" t="s">
        <v>13156</v>
      </c>
      <c r="C4785" s="739" t="s">
        <v>1690</v>
      </c>
      <c r="D4785" s="741">
        <f t="shared" si="148"/>
        <v>116.47</v>
      </c>
      <c r="F4785" s="1406">
        <v>116.47</v>
      </c>
      <c r="G4785" s="1406">
        <v>116.47</v>
      </c>
      <c r="H4785" t="b">
        <f t="shared" si="149"/>
        <v>1</v>
      </c>
    </row>
    <row r="4786" spans="1:8">
      <c r="A4786" s="677">
        <v>37995</v>
      </c>
      <c r="B4786" s="733" t="s">
        <v>13157</v>
      </c>
      <c r="C4786" s="677" t="s">
        <v>1690</v>
      </c>
      <c r="D4786" s="738">
        <f t="shared" si="148"/>
        <v>151.81</v>
      </c>
      <c r="F4786" s="1405">
        <v>151.81</v>
      </c>
      <c r="G4786" s="1405">
        <v>151.81</v>
      </c>
      <c r="H4786" t="b">
        <f t="shared" si="149"/>
        <v>1</v>
      </c>
    </row>
    <row r="4787" spans="1:8">
      <c r="A4787" s="739">
        <v>37996</v>
      </c>
      <c r="B4787" s="740" t="s">
        <v>13158</v>
      </c>
      <c r="C4787" s="739" t="s">
        <v>1690</v>
      </c>
      <c r="D4787" s="741">
        <f t="shared" si="148"/>
        <v>231.17</v>
      </c>
      <c r="F4787" s="1406">
        <v>231.17</v>
      </c>
      <c r="G4787" s="1406">
        <v>231.17</v>
      </c>
      <c r="H4787" t="b">
        <f t="shared" si="149"/>
        <v>1</v>
      </c>
    </row>
    <row r="4788" spans="1:8">
      <c r="A4788" s="677">
        <v>13883</v>
      </c>
      <c r="B4788" s="733" t="s">
        <v>13159</v>
      </c>
      <c r="C4788" s="677" t="s">
        <v>1690</v>
      </c>
      <c r="D4788" s="738">
        <f t="shared" si="148"/>
        <v>150170.97</v>
      </c>
      <c r="F4788" s="1405">
        <v>150170.97</v>
      </c>
      <c r="G4788" s="1405">
        <v>150170.97</v>
      </c>
      <c r="H4788" t="b">
        <f t="shared" si="149"/>
        <v>1</v>
      </c>
    </row>
    <row r="4789" spans="1:8">
      <c r="A4789" s="739">
        <v>38604</v>
      </c>
      <c r="B4789" s="740" t="s">
        <v>13160</v>
      </c>
      <c r="C4789" s="739" t="s">
        <v>1690</v>
      </c>
      <c r="D4789" s="741">
        <f t="shared" si="148"/>
        <v>187035.95</v>
      </c>
      <c r="F4789" s="1406">
        <v>187035.95</v>
      </c>
      <c r="G4789" s="1406">
        <v>187035.95</v>
      </c>
      <c r="H4789" t="b">
        <f t="shared" si="149"/>
        <v>1</v>
      </c>
    </row>
    <row r="4790" spans="1:8" ht="30">
      <c r="A4790" s="677">
        <v>10601</v>
      </c>
      <c r="B4790" s="733" t="s">
        <v>13161</v>
      </c>
      <c r="C4790" s="677" t="s">
        <v>1690</v>
      </c>
      <c r="D4790" s="738">
        <f t="shared" si="148"/>
        <v>3638222.43</v>
      </c>
      <c r="F4790" s="1405">
        <v>3638222.43</v>
      </c>
      <c r="G4790" s="1405">
        <v>3638222.43</v>
      </c>
      <c r="H4790" t="b">
        <f t="shared" si="149"/>
        <v>1</v>
      </c>
    </row>
    <row r="4791" spans="1:8">
      <c r="A4791" s="739">
        <v>44469</v>
      </c>
      <c r="B4791" s="740" t="s">
        <v>13162</v>
      </c>
      <c r="C4791" s="739" t="s">
        <v>1690</v>
      </c>
      <c r="D4791" s="741">
        <f t="shared" si="148"/>
        <v>9579311.2599999998</v>
      </c>
      <c r="F4791" s="1406">
        <v>9579311.2599999998</v>
      </c>
      <c r="G4791" s="1406">
        <v>9579311.2599999998</v>
      </c>
      <c r="H4791" t="b">
        <f t="shared" si="149"/>
        <v>1</v>
      </c>
    </row>
    <row r="4792" spans="1:8">
      <c r="A4792" s="677">
        <v>13894</v>
      </c>
      <c r="B4792" s="733" t="s">
        <v>13163</v>
      </c>
      <c r="C4792" s="677" t="s">
        <v>1690</v>
      </c>
      <c r="D4792" s="738">
        <f t="shared" si="148"/>
        <v>399604.75</v>
      </c>
      <c r="F4792" s="1405">
        <v>399604.75</v>
      </c>
      <c r="G4792" s="1405">
        <v>399604.75</v>
      </c>
      <c r="H4792" t="b">
        <f t="shared" si="149"/>
        <v>1</v>
      </c>
    </row>
    <row r="4793" spans="1:8">
      <c r="A4793" s="739">
        <v>13895</v>
      </c>
      <c r="B4793" s="740" t="s">
        <v>13164</v>
      </c>
      <c r="C4793" s="739" t="s">
        <v>1690</v>
      </c>
      <c r="D4793" s="741">
        <f t="shared" si="148"/>
        <v>537335.18000000005</v>
      </c>
      <c r="F4793" s="1406">
        <v>537335.18000000005</v>
      </c>
      <c r="G4793" s="1406">
        <v>537335.18000000005</v>
      </c>
      <c r="H4793" t="b">
        <f t="shared" si="149"/>
        <v>1</v>
      </c>
    </row>
    <row r="4794" spans="1:8">
      <c r="A4794" s="677">
        <v>13892</v>
      </c>
      <c r="B4794" s="733" t="s">
        <v>13165</v>
      </c>
      <c r="C4794" s="677" t="s">
        <v>1690</v>
      </c>
      <c r="D4794" s="738">
        <f t="shared" si="148"/>
        <v>658491.12</v>
      </c>
      <c r="F4794" s="1405">
        <v>658491.12</v>
      </c>
      <c r="G4794" s="1405">
        <v>658491.12</v>
      </c>
      <c r="H4794" t="b">
        <f t="shared" si="149"/>
        <v>1</v>
      </c>
    </row>
    <row r="4795" spans="1:8">
      <c r="A4795" s="739">
        <v>9914</v>
      </c>
      <c r="B4795" s="740" t="s">
        <v>13166</v>
      </c>
      <c r="C4795" s="739" t="s">
        <v>1690</v>
      </c>
      <c r="D4795" s="741">
        <f t="shared" si="148"/>
        <v>712400</v>
      </c>
      <c r="F4795" s="1406">
        <v>712400</v>
      </c>
      <c r="G4795" s="1406">
        <v>712400</v>
      </c>
      <c r="H4795" t="b">
        <f t="shared" si="149"/>
        <v>1</v>
      </c>
    </row>
    <row r="4796" spans="1:8" ht="30">
      <c r="A4796" s="677">
        <v>36485</v>
      </c>
      <c r="B4796" s="733" t="s">
        <v>13167</v>
      </c>
      <c r="C4796" s="677" t="s">
        <v>1690</v>
      </c>
      <c r="D4796" s="738">
        <f t="shared" si="148"/>
        <v>665336.65</v>
      </c>
      <c r="F4796" s="1405">
        <v>665336.65</v>
      </c>
      <c r="G4796" s="1405">
        <v>665336.65</v>
      </c>
      <c r="H4796" t="b">
        <f t="shared" si="149"/>
        <v>1</v>
      </c>
    </row>
    <row r="4797" spans="1:8">
      <c r="A4797" s="739">
        <v>9912</v>
      </c>
      <c r="B4797" s="740" t="s">
        <v>13168</v>
      </c>
      <c r="C4797" s="739" t="s">
        <v>1690</v>
      </c>
      <c r="D4797" s="741">
        <f t="shared" si="148"/>
        <v>2961923</v>
      </c>
      <c r="F4797" s="1406">
        <v>2961923</v>
      </c>
      <c r="G4797" s="1406">
        <v>2961923</v>
      </c>
      <c r="H4797" t="b">
        <f t="shared" si="149"/>
        <v>1</v>
      </c>
    </row>
    <row r="4798" spans="1:8">
      <c r="A4798" s="677">
        <v>9921</v>
      </c>
      <c r="B4798" s="733" t="s">
        <v>13169</v>
      </c>
      <c r="C4798" s="677" t="s">
        <v>1690</v>
      </c>
      <c r="D4798" s="738">
        <f t="shared" si="148"/>
        <v>1527899.98</v>
      </c>
      <c r="F4798" s="1405">
        <v>1527899.98</v>
      </c>
      <c r="G4798" s="1405">
        <v>1527899.98</v>
      </c>
      <c r="H4798" t="b">
        <f t="shared" si="149"/>
        <v>1</v>
      </c>
    </row>
    <row r="4799" spans="1:8">
      <c r="A4799" s="739">
        <v>21112</v>
      </c>
      <c r="B4799" s="740" t="s">
        <v>13170</v>
      </c>
      <c r="C4799" s="739" t="s">
        <v>1690</v>
      </c>
      <c r="D4799" s="741">
        <f t="shared" si="148"/>
        <v>124.76</v>
      </c>
      <c r="F4799" s="1406">
        <v>124.76</v>
      </c>
      <c r="G4799" s="1406">
        <v>124.76</v>
      </c>
      <c r="H4799" t="b">
        <f t="shared" si="149"/>
        <v>1</v>
      </c>
    </row>
    <row r="4800" spans="1:8">
      <c r="A4800" s="677">
        <v>10228</v>
      </c>
      <c r="B4800" s="733" t="s">
        <v>13171</v>
      </c>
      <c r="C4800" s="677" t="s">
        <v>1690</v>
      </c>
      <c r="D4800" s="738">
        <f t="shared" si="148"/>
        <v>144.94</v>
      </c>
      <c r="F4800" s="1405">
        <v>144.94</v>
      </c>
      <c r="G4800" s="1405">
        <v>144.94</v>
      </c>
      <c r="H4800" t="b">
        <f t="shared" si="149"/>
        <v>1</v>
      </c>
    </row>
    <row r="4801" spans="1:8">
      <c r="A4801" s="739">
        <v>11781</v>
      </c>
      <c r="B4801" s="740" t="s">
        <v>13172</v>
      </c>
      <c r="C4801" s="739" t="s">
        <v>1690</v>
      </c>
      <c r="D4801" s="741">
        <f t="shared" si="148"/>
        <v>117.42</v>
      </c>
      <c r="F4801" s="1406">
        <v>117.42</v>
      </c>
      <c r="G4801" s="1406">
        <v>117.42</v>
      </c>
      <c r="H4801" t="b">
        <f t="shared" si="149"/>
        <v>1</v>
      </c>
    </row>
    <row r="4802" spans="1:8">
      <c r="A4802" s="677">
        <v>37588</v>
      </c>
      <c r="B4802" s="733" t="s">
        <v>13173</v>
      </c>
      <c r="C4802" s="677" t="s">
        <v>1690</v>
      </c>
      <c r="D4802" s="738">
        <f t="shared" si="148"/>
        <v>60.39</v>
      </c>
      <c r="F4802" s="1405">
        <v>60.39</v>
      </c>
      <c r="G4802" s="1405">
        <v>60.39</v>
      </c>
      <c r="H4802" t="b">
        <f t="shared" si="149"/>
        <v>1</v>
      </c>
    </row>
    <row r="4803" spans="1:8">
      <c r="A4803" s="739">
        <v>11746</v>
      </c>
      <c r="B4803" s="740" t="s">
        <v>13174</v>
      </c>
      <c r="C4803" s="739" t="s">
        <v>1690</v>
      </c>
      <c r="D4803" s="741">
        <f t="shared" ref="D4803:D4866" si="150">IF($J$2=$F$1,F4803,G4803)</f>
        <v>55.78</v>
      </c>
      <c r="F4803" s="1406">
        <v>55.78</v>
      </c>
      <c r="G4803" s="1406">
        <v>55.78</v>
      </c>
      <c r="H4803" t="b">
        <f t="shared" ref="H4803:H4866" si="151">F4803=G4803</f>
        <v>1</v>
      </c>
    </row>
    <row r="4804" spans="1:8">
      <c r="A4804" s="677">
        <v>11751</v>
      </c>
      <c r="B4804" s="733" t="s">
        <v>13175</v>
      </c>
      <c r="C4804" s="677" t="s">
        <v>1690</v>
      </c>
      <c r="D4804" s="738">
        <f t="shared" si="150"/>
        <v>100.18</v>
      </c>
      <c r="F4804" s="1405">
        <v>100.18</v>
      </c>
      <c r="G4804" s="1405">
        <v>100.18</v>
      </c>
      <c r="H4804" t="b">
        <f t="shared" si="151"/>
        <v>1</v>
      </c>
    </row>
    <row r="4805" spans="1:8">
      <c r="A4805" s="739">
        <v>11750</v>
      </c>
      <c r="B4805" s="740" t="s">
        <v>13176</v>
      </c>
      <c r="C4805" s="739" t="s">
        <v>1690</v>
      </c>
      <c r="D4805" s="741">
        <f t="shared" si="150"/>
        <v>83.14</v>
      </c>
      <c r="F4805" s="1406">
        <v>83.14</v>
      </c>
      <c r="G4805" s="1406">
        <v>83.14</v>
      </c>
      <c r="H4805" t="b">
        <f t="shared" si="151"/>
        <v>1</v>
      </c>
    </row>
    <row r="4806" spans="1:8">
      <c r="A4806" s="677">
        <v>11748</v>
      </c>
      <c r="B4806" s="733" t="s">
        <v>13177</v>
      </c>
      <c r="C4806" s="677" t="s">
        <v>1690</v>
      </c>
      <c r="D4806" s="738">
        <f t="shared" si="150"/>
        <v>35.79</v>
      </c>
      <c r="F4806" s="1405">
        <v>35.79</v>
      </c>
      <c r="G4806" s="1405">
        <v>35.79</v>
      </c>
      <c r="H4806" t="b">
        <f t="shared" si="151"/>
        <v>1</v>
      </c>
    </row>
    <row r="4807" spans="1:8">
      <c r="A4807" s="739">
        <v>11747</v>
      </c>
      <c r="B4807" s="740" t="s">
        <v>13178</v>
      </c>
      <c r="C4807" s="739" t="s">
        <v>1690</v>
      </c>
      <c r="D4807" s="741">
        <f t="shared" si="150"/>
        <v>154.49</v>
      </c>
      <c r="F4807" s="1406">
        <v>154.49</v>
      </c>
      <c r="G4807" s="1406">
        <v>154.49</v>
      </c>
      <c r="H4807" t="b">
        <f t="shared" si="151"/>
        <v>1</v>
      </c>
    </row>
    <row r="4808" spans="1:8">
      <c r="A4808" s="677">
        <v>11749</v>
      </c>
      <c r="B4808" s="733" t="s">
        <v>13179</v>
      </c>
      <c r="C4808" s="677" t="s">
        <v>1690</v>
      </c>
      <c r="D4808" s="738">
        <f t="shared" si="150"/>
        <v>41.32</v>
      </c>
      <c r="F4808" s="1405">
        <v>41.32</v>
      </c>
      <c r="G4808" s="1405">
        <v>41.32</v>
      </c>
      <c r="H4808" t="b">
        <f t="shared" si="151"/>
        <v>1</v>
      </c>
    </row>
    <row r="4809" spans="1:8">
      <c r="A4809" s="739">
        <v>10236</v>
      </c>
      <c r="B4809" s="740" t="s">
        <v>13180</v>
      </c>
      <c r="C4809" s="739" t="s">
        <v>1690</v>
      </c>
      <c r="D4809" s="741">
        <f t="shared" si="150"/>
        <v>132.34</v>
      </c>
      <c r="F4809" s="1406">
        <v>132.34</v>
      </c>
      <c r="G4809" s="1406">
        <v>132.34</v>
      </c>
      <c r="H4809" t="b">
        <f t="shared" si="151"/>
        <v>1</v>
      </c>
    </row>
    <row r="4810" spans="1:8">
      <c r="A4810" s="677">
        <v>10233</v>
      </c>
      <c r="B4810" s="733" t="s">
        <v>13181</v>
      </c>
      <c r="C4810" s="677" t="s">
        <v>1690</v>
      </c>
      <c r="D4810" s="738">
        <f t="shared" si="150"/>
        <v>124.01</v>
      </c>
      <c r="F4810" s="1405">
        <v>124.01</v>
      </c>
      <c r="G4810" s="1405">
        <v>124.01</v>
      </c>
      <c r="H4810" t="b">
        <f t="shared" si="151"/>
        <v>1</v>
      </c>
    </row>
    <row r="4811" spans="1:8">
      <c r="A4811" s="739">
        <v>10234</v>
      </c>
      <c r="B4811" s="740" t="s">
        <v>13182</v>
      </c>
      <c r="C4811" s="739" t="s">
        <v>1690</v>
      </c>
      <c r="D4811" s="741">
        <f t="shared" si="150"/>
        <v>78.12</v>
      </c>
      <c r="F4811" s="1406">
        <v>78.12</v>
      </c>
      <c r="G4811" s="1406">
        <v>78.12</v>
      </c>
      <c r="H4811" t="b">
        <f t="shared" si="151"/>
        <v>1</v>
      </c>
    </row>
    <row r="4812" spans="1:8">
      <c r="A4812" s="677">
        <v>10231</v>
      </c>
      <c r="B4812" s="733" t="s">
        <v>13183</v>
      </c>
      <c r="C4812" s="677" t="s">
        <v>1690</v>
      </c>
      <c r="D4812" s="738">
        <f t="shared" si="150"/>
        <v>358.24</v>
      </c>
      <c r="F4812" s="1405">
        <v>358.24</v>
      </c>
      <c r="G4812" s="1405">
        <v>358.24</v>
      </c>
      <c r="H4812" t="b">
        <f t="shared" si="151"/>
        <v>1</v>
      </c>
    </row>
    <row r="4813" spans="1:8">
      <c r="A4813" s="739">
        <v>10232</v>
      </c>
      <c r="B4813" s="740" t="s">
        <v>13184</v>
      </c>
      <c r="C4813" s="739" t="s">
        <v>1690</v>
      </c>
      <c r="D4813" s="741">
        <f t="shared" si="150"/>
        <v>200.46</v>
      </c>
      <c r="F4813" s="1406">
        <v>200.46</v>
      </c>
      <c r="G4813" s="1406">
        <v>200.46</v>
      </c>
      <c r="H4813" t="b">
        <f t="shared" si="151"/>
        <v>1</v>
      </c>
    </row>
    <row r="4814" spans="1:8">
      <c r="A4814" s="677">
        <v>10229</v>
      </c>
      <c r="B4814" s="733" t="s">
        <v>13185</v>
      </c>
      <c r="C4814" s="677" t="s">
        <v>1690</v>
      </c>
      <c r="D4814" s="738">
        <f t="shared" si="150"/>
        <v>70.650000000000006</v>
      </c>
      <c r="F4814" s="1405">
        <v>70.650000000000006</v>
      </c>
      <c r="G4814" s="1405">
        <v>70.650000000000006</v>
      </c>
      <c r="H4814" t="b">
        <f t="shared" si="151"/>
        <v>1</v>
      </c>
    </row>
    <row r="4815" spans="1:8">
      <c r="A4815" s="739">
        <v>10235</v>
      </c>
      <c r="B4815" s="740" t="s">
        <v>13186</v>
      </c>
      <c r="C4815" s="739" t="s">
        <v>1690</v>
      </c>
      <c r="D4815" s="741">
        <f t="shared" si="150"/>
        <v>491.1</v>
      </c>
      <c r="F4815" s="1406">
        <v>491.1</v>
      </c>
      <c r="G4815" s="1406">
        <v>491.1</v>
      </c>
      <c r="H4815" t="b">
        <f t="shared" si="151"/>
        <v>1</v>
      </c>
    </row>
    <row r="4816" spans="1:8">
      <c r="A4816" s="677">
        <v>10230</v>
      </c>
      <c r="B4816" s="733" t="s">
        <v>13187</v>
      </c>
      <c r="C4816" s="677" t="s">
        <v>1690</v>
      </c>
      <c r="D4816" s="738">
        <f t="shared" si="150"/>
        <v>864.29</v>
      </c>
      <c r="F4816" s="1405">
        <v>864.29</v>
      </c>
      <c r="G4816" s="1405">
        <v>864.29</v>
      </c>
      <c r="H4816" t="b">
        <f t="shared" si="151"/>
        <v>1</v>
      </c>
    </row>
    <row r="4817" spans="1:8">
      <c r="A4817" s="739">
        <v>10409</v>
      </c>
      <c r="B4817" s="740" t="s">
        <v>13188</v>
      </c>
      <c r="C4817" s="739" t="s">
        <v>1690</v>
      </c>
      <c r="D4817" s="741">
        <f t="shared" si="150"/>
        <v>256.77</v>
      </c>
      <c r="F4817" s="1406">
        <v>256.77</v>
      </c>
      <c r="G4817" s="1406">
        <v>256.77</v>
      </c>
      <c r="H4817" t="b">
        <f t="shared" si="151"/>
        <v>1</v>
      </c>
    </row>
    <row r="4818" spans="1:8">
      <c r="A4818" s="677">
        <v>10411</v>
      </c>
      <c r="B4818" s="733" t="s">
        <v>13189</v>
      </c>
      <c r="C4818" s="677" t="s">
        <v>1690</v>
      </c>
      <c r="D4818" s="738">
        <f t="shared" si="150"/>
        <v>229.76</v>
      </c>
      <c r="F4818" s="1405">
        <v>229.76</v>
      </c>
      <c r="G4818" s="1405">
        <v>229.76</v>
      </c>
      <c r="H4818" t="b">
        <f t="shared" si="151"/>
        <v>1</v>
      </c>
    </row>
    <row r="4819" spans="1:8">
      <c r="A4819" s="739">
        <v>10404</v>
      </c>
      <c r="B4819" s="740" t="s">
        <v>13190</v>
      </c>
      <c r="C4819" s="739" t="s">
        <v>1690</v>
      </c>
      <c r="D4819" s="741">
        <f t="shared" si="150"/>
        <v>93.18</v>
      </c>
      <c r="F4819" s="1406">
        <v>93.18</v>
      </c>
      <c r="G4819" s="1406">
        <v>93.18</v>
      </c>
      <c r="H4819" t="b">
        <f t="shared" si="151"/>
        <v>1</v>
      </c>
    </row>
    <row r="4820" spans="1:8">
      <c r="A4820" s="677">
        <v>10410</v>
      </c>
      <c r="B4820" s="733" t="s">
        <v>13191</v>
      </c>
      <c r="C4820" s="677" t="s">
        <v>1690</v>
      </c>
      <c r="D4820" s="738">
        <f t="shared" si="150"/>
        <v>153.47999999999999</v>
      </c>
      <c r="F4820" s="1405">
        <v>153.47999999999999</v>
      </c>
      <c r="G4820" s="1405">
        <v>153.47999999999999</v>
      </c>
      <c r="H4820" t="b">
        <f t="shared" si="151"/>
        <v>1</v>
      </c>
    </row>
    <row r="4821" spans="1:8">
      <c r="A4821" s="739">
        <v>10405</v>
      </c>
      <c r="B4821" s="740" t="s">
        <v>13192</v>
      </c>
      <c r="C4821" s="739" t="s">
        <v>1690</v>
      </c>
      <c r="D4821" s="741">
        <f t="shared" si="150"/>
        <v>514.44000000000005</v>
      </c>
      <c r="F4821" s="1406">
        <v>514.44000000000005</v>
      </c>
      <c r="G4821" s="1406">
        <v>514.44000000000005</v>
      </c>
      <c r="H4821" t="b">
        <f t="shared" si="151"/>
        <v>1</v>
      </c>
    </row>
    <row r="4822" spans="1:8">
      <c r="A4822" s="677">
        <v>10408</v>
      </c>
      <c r="B4822" s="733" t="s">
        <v>13193</v>
      </c>
      <c r="C4822" s="677" t="s">
        <v>1690</v>
      </c>
      <c r="D4822" s="738">
        <f t="shared" si="150"/>
        <v>359.74</v>
      </c>
      <c r="F4822" s="1405">
        <v>359.74</v>
      </c>
      <c r="G4822" s="1405">
        <v>359.74</v>
      </c>
      <c r="H4822" t="b">
        <f t="shared" si="151"/>
        <v>1</v>
      </c>
    </row>
    <row r="4823" spans="1:8">
      <c r="A4823" s="739">
        <v>10412</v>
      </c>
      <c r="B4823" s="740" t="s">
        <v>13194</v>
      </c>
      <c r="C4823" s="739" t="s">
        <v>1690</v>
      </c>
      <c r="D4823" s="741">
        <f t="shared" si="150"/>
        <v>112.92</v>
      </c>
      <c r="F4823" s="1406">
        <v>112.92</v>
      </c>
      <c r="G4823" s="1406">
        <v>112.92</v>
      </c>
      <c r="H4823" t="b">
        <f t="shared" si="151"/>
        <v>1</v>
      </c>
    </row>
    <row r="4824" spans="1:8">
      <c r="A4824" s="677">
        <v>10406</v>
      </c>
      <c r="B4824" s="733" t="s">
        <v>13195</v>
      </c>
      <c r="C4824" s="677" t="s">
        <v>1690</v>
      </c>
      <c r="D4824" s="738">
        <f t="shared" si="150"/>
        <v>710.55</v>
      </c>
      <c r="F4824" s="1405">
        <v>710.55</v>
      </c>
      <c r="G4824" s="1405">
        <v>710.55</v>
      </c>
      <c r="H4824" t="b">
        <f t="shared" si="151"/>
        <v>1</v>
      </c>
    </row>
    <row r="4825" spans="1:8">
      <c r="A4825" s="739">
        <v>10407</v>
      </c>
      <c r="B4825" s="740" t="s">
        <v>13196</v>
      </c>
      <c r="C4825" s="739" t="s">
        <v>1690</v>
      </c>
      <c r="D4825" s="741">
        <f t="shared" si="150"/>
        <v>1102.07</v>
      </c>
      <c r="F4825" s="1406">
        <v>1102.07</v>
      </c>
      <c r="G4825" s="1406">
        <v>1102.07</v>
      </c>
      <c r="H4825" t="b">
        <f t="shared" si="151"/>
        <v>1</v>
      </c>
    </row>
    <row r="4826" spans="1:8">
      <c r="A4826" s="677">
        <v>10416</v>
      </c>
      <c r="B4826" s="733" t="s">
        <v>13197</v>
      </c>
      <c r="C4826" s="677" t="s">
        <v>1690</v>
      </c>
      <c r="D4826" s="738">
        <f t="shared" si="150"/>
        <v>136.69999999999999</v>
      </c>
      <c r="F4826" s="1405">
        <v>136.69999999999999</v>
      </c>
      <c r="G4826" s="1405">
        <v>136.69999999999999</v>
      </c>
      <c r="H4826" t="b">
        <f t="shared" si="151"/>
        <v>1</v>
      </c>
    </row>
    <row r="4827" spans="1:8">
      <c r="A4827" s="739">
        <v>10419</v>
      </c>
      <c r="B4827" s="740" t="s">
        <v>13198</v>
      </c>
      <c r="C4827" s="739" t="s">
        <v>1690</v>
      </c>
      <c r="D4827" s="741">
        <f t="shared" si="150"/>
        <v>118.65</v>
      </c>
      <c r="F4827" s="1406">
        <v>118.65</v>
      </c>
      <c r="G4827" s="1406">
        <v>118.65</v>
      </c>
      <c r="H4827" t="b">
        <f t="shared" si="151"/>
        <v>1</v>
      </c>
    </row>
    <row r="4828" spans="1:8">
      <c r="A4828" s="677">
        <v>21092</v>
      </c>
      <c r="B4828" s="733" t="s">
        <v>13199</v>
      </c>
      <c r="C4828" s="677" t="s">
        <v>1690</v>
      </c>
      <c r="D4828" s="738">
        <f t="shared" si="150"/>
        <v>67.83</v>
      </c>
      <c r="F4828" s="1405">
        <v>67.83</v>
      </c>
      <c r="G4828" s="1405">
        <v>67.83</v>
      </c>
      <c r="H4828" t="b">
        <f t="shared" si="151"/>
        <v>1</v>
      </c>
    </row>
    <row r="4829" spans="1:8">
      <c r="A4829" s="739">
        <v>10418</v>
      </c>
      <c r="B4829" s="740" t="s">
        <v>13200</v>
      </c>
      <c r="C4829" s="739" t="s">
        <v>1690</v>
      </c>
      <c r="D4829" s="741">
        <f t="shared" si="150"/>
        <v>79.09</v>
      </c>
      <c r="F4829" s="1406">
        <v>79.09</v>
      </c>
      <c r="G4829" s="1406">
        <v>79.09</v>
      </c>
      <c r="H4829" t="b">
        <f t="shared" si="151"/>
        <v>1</v>
      </c>
    </row>
    <row r="4830" spans="1:8">
      <c r="A4830" s="677">
        <v>12657</v>
      </c>
      <c r="B4830" s="733" t="s">
        <v>13201</v>
      </c>
      <c r="C4830" s="677" t="s">
        <v>1690</v>
      </c>
      <c r="D4830" s="738">
        <f t="shared" si="150"/>
        <v>319.16000000000003</v>
      </c>
      <c r="F4830" s="1405">
        <v>319.16000000000003</v>
      </c>
      <c r="G4830" s="1405">
        <v>319.16000000000003</v>
      </c>
      <c r="H4830" t="b">
        <f t="shared" si="151"/>
        <v>1</v>
      </c>
    </row>
    <row r="4831" spans="1:8">
      <c r="A4831" s="739">
        <v>10417</v>
      </c>
      <c r="B4831" s="740" t="s">
        <v>13202</v>
      </c>
      <c r="C4831" s="739" t="s">
        <v>1690</v>
      </c>
      <c r="D4831" s="741">
        <f t="shared" si="150"/>
        <v>199.17</v>
      </c>
      <c r="F4831" s="1406">
        <v>199.17</v>
      </c>
      <c r="G4831" s="1406">
        <v>199.17</v>
      </c>
      <c r="H4831" t="b">
        <f t="shared" si="151"/>
        <v>1</v>
      </c>
    </row>
    <row r="4832" spans="1:8">
      <c r="A4832" s="677">
        <v>10413</v>
      </c>
      <c r="B4832" s="733" t="s">
        <v>13203</v>
      </c>
      <c r="C4832" s="677" t="s">
        <v>1690</v>
      </c>
      <c r="D4832" s="738">
        <f t="shared" si="150"/>
        <v>72.39</v>
      </c>
      <c r="F4832" s="1405">
        <v>72.39</v>
      </c>
      <c r="G4832" s="1405">
        <v>72.39</v>
      </c>
      <c r="H4832" t="b">
        <f t="shared" si="151"/>
        <v>1</v>
      </c>
    </row>
    <row r="4833" spans="1:8">
      <c r="A4833" s="739">
        <v>10414</v>
      </c>
      <c r="B4833" s="740" t="s">
        <v>13204</v>
      </c>
      <c r="C4833" s="739" t="s">
        <v>1690</v>
      </c>
      <c r="D4833" s="741">
        <f t="shared" si="150"/>
        <v>435.84</v>
      </c>
      <c r="F4833" s="1406">
        <v>435.84</v>
      </c>
      <c r="G4833" s="1406">
        <v>435.84</v>
      </c>
      <c r="H4833" t="b">
        <f t="shared" si="151"/>
        <v>1</v>
      </c>
    </row>
    <row r="4834" spans="1:8">
      <c r="A4834" s="677">
        <v>10415</v>
      </c>
      <c r="B4834" s="733" t="s">
        <v>13205</v>
      </c>
      <c r="C4834" s="677" t="s">
        <v>1690</v>
      </c>
      <c r="D4834" s="738">
        <f t="shared" si="150"/>
        <v>756.42</v>
      </c>
      <c r="F4834" s="1405">
        <v>756.42</v>
      </c>
      <c r="G4834" s="1405">
        <v>756.42</v>
      </c>
      <c r="H4834" t="b">
        <f t="shared" si="151"/>
        <v>1</v>
      </c>
    </row>
    <row r="4835" spans="1:8">
      <c r="A4835" s="739">
        <v>38643</v>
      </c>
      <c r="B4835" s="740" t="s">
        <v>13206</v>
      </c>
      <c r="C4835" s="739" t="s">
        <v>1690</v>
      </c>
      <c r="D4835" s="741">
        <f t="shared" si="150"/>
        <v>47.99</v>
      </c>
      <c r="F4835" s="1406">
        <v>47.99</v>
      </c>
      <c r="G4835" s="1406">
        <v>47.99</v>
      </c>
      <c r="H4835" t="b">
        <f t="shared" si="151"/>
        <v>1</v>
      </c>
    </row>
    <row r="4836" spans="1:8">
      <c r="A4836" s="677">
        <v>6157</v>
      </c>
      <c r="B4836" s="733" t="s">
        <v>13207</v>
      </c>
      <c r="C4836" s="677" t="s">
        <v>1690</v>
      </c>
      <c r="D4836" s="738">
        <f t="shared" si="150"/>
        <v>65.56</v>
      </c>
      <c r="F4836" s="1405">
        <v>65.56</v>
      </c>
      <c r="G4836" s="1405">
        <v>65.56</v>
      </c>
      <c r="H4836" t="b">
        <f t="shared" si="151"/>
        <v>1</v>
      </c>
    </row>
    <row r="4837" spans="1:8">
      <c r="A4837" s="739">
        <v>6158</v>
      </c>
      <c r="B4837" s="740" t="s">
        <v>13208</v>
      </c>
      <c r="C4837" s="739" t="s">
        <v>1690</v>
      </c>
      <c r="D4837" s="741">
        <f t="shared" si="150"/>
        <v>11.1</v>
      </c>
      <c r="F4837" s="1406">
        <v>11.1</v>
      </c>
      <c r="G4837" s="1406">
        <v>11.1</v>
      </c>
      <c r="H4837" t="b">
        <f t="shared" si="151"/>
        <v>1</v>
      </c>
    </row>
    <row r="4838" spans="1:8">
      <c r="A4838" s="677">
        <v>6153</v>
      </c>
      <c r="B4838" s="733" t="s">
        <v>13209</v>
      </c>
      <c r="C4838" s="677" t="s">
        <v>1690</v>
      </c>
      <c r="D4838" s="738">
        <f t="shared" si="150"/>
        <v>7.64</v>
      </c>
      <c r="F4838" s="1405">
        <v>7.64</v>
      </c>
      <c r="G4838" s="1405">
        <v>7.64</v>
      </c>
      <c r="H4838" t="b">
        <f t="shared" si="151"/>
        <v>1</v>
      </c>
    </row>
    <row r="4839" spans="1:8">
      <c r="A4839" s="739">
        <v>6156</v>
      </c>
      <c r="B4839" s="740" t="s">
        <v>13210</v>
      </c>
      <c r="C4839" s="739" t="s">
        <v>1690</v>
      </c>
      <c r="D4839" s="741">
        <f t="shared" si="150"/>
        <v>9.52</v>
      </c>
      <c r="F4839" s="1406">
        <v>9.52</v>
      </c>
      <c r="G4839" s="1406">
        <v>9.52</v>
      </c>
      <c r="H4839" t="b">
        <f t="shared" si="151"/>
        <v>1</v>
      </c>
    </row>
    <row r="4840" spans="1:8">
      <c r="A4840" s="677">
        <v>6154</v>
      </c>
      <c r="B4840" s="733" t="s">
        <v>13211</v>
      </c>
      <c r="C4840" s="677" t="s">
        <v>1690</v>
      </c>
      <c r="D4840" s="738">
        <f t="shared" si="150"/>
        <v>13.57</v>
      </c>
      <c r="F4840" s="1405">
        <v>13.57</v>
      </c>
      <c r="G4840" s="1405">
        <v>13.57</v>
      </c>
      <c r="H4840" t="b">
        <f t="shared" si="151"/>
        <v>1</v>
      </c>
    </row>
    <row r="4841" spans="1:8">
      <c r="A4841" s="739">
        <v>6155</v>
      </c>
      <c r="B4841" s="740" t="s">
        <v>13212</v>
      </c>
      <c r="C4841" s="739" t="s">
        <v>1690</v>
      </c>
      <c r="D4841" s="741">
        <f t="shared" si="150"/>
        <v>31.25</v>
      </c>
      <c r="F4841" s="1406">
        <v>31.25</v>
      </c>
      <c r="G4841" s="1406">
        <v>31.25</v>
      </c>
      <c r="H4841" t="b">
        <f t="shared" si="151"/>
        <v>1</v>
      </c>
    </row>
    <row r="4842" spans="1:8">
      <c r="A4842" s="677">
        <v>43595</v>
      </c>
      <c r="B4842" s="733" t="s">
        <v>13213</v>
      </c>
      <c r="C4842" s="677" t="s">
        <v>1690</v>
      </c>
      <c r="D4842" s="738">
        <f t="shared" si="150"/>
        <v>21.33</v>
      </c>
      <c r="F4842" s="1405">
        <v>21.33</v>
      </c>
      <c r="G4842" s="1405">
        <v>21.33</v>
      </c>
      <c r="H4842" t="b">
        <f t="shared" si="151"/>
        <v>1</v>
      </c>
    </row>
    <row r="4843" spans="1:8">
      <c r="A4843" s="739">
        <v>43596</v>
      </c>
      <c r="B4843" s="740" t="s">
        <v>13214</v>
      </c>
      <c r="C4843" s="739" t="s">
        <v>1690</v>
      </c>
      <c r="D4843" s="741">
        <f t="shared" si="150"/>
        <v>24.65</v>
      </c>
      <c r="F4843" s="1406">
        <v>24.65</v>
      </c>
      <c r="G4843" s="1406">
        <v>24.65</v>
      </c>
      <c r="H4843" t="b">
        <f t="shared" si="151"/>
        <v>1</v>
      </c>
    </row>
    <row r="4844" spans="1:8">
      <c r="A4844" s="677">
        <v>38108</v>
      </c>
      <c r="B4844" s="733" t="s">
        <v>13215</v>
      </c>
      <c r="C4844" s="677" t="s">
        <v>1690</v>
      </c>
      <c r="D4844" s="738">
        <f t="shared" si="150"/>
        <v>43.74</v>
      </c>
      <c r="F4844" s="1405">
        <v>43.74</v>
      </c>
      <c r="G4844" s="1405">
        <v>43.74</v>
      </c>
      <c r="H4844" t="b">
        <f t="shared" si="151"/>
        <v>1</v>
      </c>
    </row>
    <row r="4845" spans="1:8" ht="30">
      <c r="A4845" s="739">
        <v>38087</v>
      </c>
      <c r="B4845" s="740" t="s">
        <v>13216</v>
      </c>
      <c r="C4845" s="739" t="s">
        <v>1690</v>
      </c>
      <c r="D4845" s="741">
        <f t="shared" si="150"/>
        <v>56.27</v>
      </c>
      <c r="F4845" s="1406">
        <v>56.27</v>
      </c>
      <c r="G4845" s="1406">
        <v>56.27</v>
      </c>
      <c r="H4845" t="b">
        <f t="shared" si="151"/>
        <v>1</v>
      </c>
    </row>
    <row r="4846" spans="1:8">
      <c r="A4846" s="677">
        <v>38109</v>
      </c>
      <c r="B4846" s="733" t="s">
        <v>13217</v>
      </c>
      <c r="C4846" s="677" t="s">
        <v>1690</v>
      </c>
      <c r="D4846" s="738">
        <f t="shared" si="150"/>
        <v>69.92</v>
      </c>
      <c r="F4846" s="1405">
        <v>69.92</v>
      </c>
      <c r="G4846" s="1405">
        <v>69.92</v>
      </c>
      <c r="H4846" t="b">
        <f t="shared" si="151"/>
        <v>1</v>
      </c>
    </row>
    <row r="4847" spans="1:8" ht="30">
      <c r="A4847" s="739">
        <v>38088</v>
      </c>
      <c r="B4847" s="740" t="s">
        <v>13218</v>
      </c>
      <c r="C4847" s="739" t="s">
        <v>1690</v>
      </c>
      <c r="D4847" s="741">
        <f t="shared" si="150"/>
        <v>73.510000000000005</v>
      </c>
      <c r="F4847" s="1406">
        <v>73.510000000000005</v>
      </c>
      <c r="G4847" s="1406">
        <v>73.510000000000005</v>
      </c>
      <c r="H4847" t="b">
        <f t="shared" si="151"/>
        <v>1</v>
      </c>
    </row>
    <row r="4848" spans="1:8">
      <c r="A4848" s="677">
        <v>38110</v>
      </c>
      <c r="B4848" s="733" t="s">
        <v>13219</v>
      </c>
      <c r="C4848" s="677" t="s">
        <v>1690</v>
      </c>
      <c r="D4848" s="738">
        <f t="shared" si="150"/>
        <v>26.89</v>
      </c>
      <c r="F4848" s="1405">
        <v>26.89</v>
      </c>
      <c r="G4848" s="1405">
        <v>26.89</v>
      </c>
      <c r="H4848" t="b">
        <f t="shared" si="151"/>
        <v>1</v>
      </c>
    </row>
    <row r="4849" spans="1:8" ht="30">
      <c r="A4849" s="739">
        <v>38089</v>
      </c>
      <c r="B4849" s="740" t="s">
        <v>13220</v>
      </c>
      <c r="C4849" s="739" t="s">
        <v>1690</v>
      </c>
      <c r="D4849" s="741">
        <f t="shared" si="150"/>
        <v>46.86</v>
      </c>
      <c r="F4849" s="1406">
        <v>46.86</v>
      </c>
      <c r="G4849" s="1406">
        <v>46.86</v>
      </c>
      <c r="H4849" t="b">
        <f t="shared" si="151"/>
        <v>1</v>
      </c>
    </row>
    <row r="4850" spans="1:8">
      <c r="A4850" s="677">
        <v>38111</v>
      </c>
      <c r="B4850" s="733" t="s">
        <v>13221</v>
      </c>
      <c r="C4850" s="677" t="s">
        <v>1690</v>
      </c>
      <c r="D4850" s="738">
        <f t="shared" si="150"/>
        <v>30.08</v>
      </c>
      <c r="F4850" s="1405">
        <v>30.08</v>
      </c>
      <c r="G4850" s="1405">
        <v>30.08</v>
      </c>
      <c r="H4850" t="b">
        <f t="shared" si="151"/>
        <v>1</v>
      </c>
    </row>
    <row r="4851" spans="1:8" ht="30">
      <c r="A4851" s="739">
        <v>38090</v>
      </c>
      <c r="B4851" s="740" t="s">
        <v>13222</v>
      </c>
      <c r="C4851" s="739" t="s">
        <v>1690</v>
      </c>
      <c r="D4851" s="741">
        <f t="shared" si="150"/>
        <v>48.44</v>
      </c>
      <c r="F4851" s="1406">
        <v>48.44</v>
      </c>
      <c r="G4851" s="1406">
        <v>48.44</v>
      </c>
      <c r="H4851" t="b">
        <f t="shared" si="151"/>
        <v>1</v>
      </c>
    </row>
    <row r="4852" spans="1:8">
      <c r="A4852" s="677">
        <v>13726</v>
      </c>
      <c r="B4852" s="733" t="s">
        <v>13223</v>
      </c>
      <c r="C4852" s="677" t="s">
        <v>1690</v>
      </c>
      <c r="D4852" s="738">
        <f t="shared" si="150"/>
        <v>68954.080000000002</v>
      </c>
      <c r="F4852" s="1405">
        <v>68954.080000000002</v>
      </c>
      <c r="G4852" s="1405">
        <v>68954.080000000002</v>
      </c>
      <c r="H4852" t="b">
        <f t="shared" si="151"/>
        <v>1</v>
      </c>
    </row>
    <row r="4853" spans="1:8">
      <c r="A4853" s="739">
        <v>38400</v>
      </c>
      <c r="B4853" s="740" t="s">
        <v>13224</v>
      </c>
      <c r="C4853" s="739" t="s">
        <v>1690</v>
      </c>
      <c r="D4853" s="741">
        <f t="shared" si="150"/>
        <v>32.07</v>
      </c>
      <c r="F4853" s="1406">
        <v>32.07</v>
      </c>
      <c r="G4853" s="1406">
        <v>32.07</v>
      </c>
      <c r="H4853" t="b">
        <f t="shared" si="151"/>
        <v>1</v>
      </c>
    </row>
    <row r="4854" spans="1:8">
      <c r="A4854" s="677">
        <v>12627</v>
      </c>
      <c r="B4854" s="733" t="s">
        <v>13225</v>
      </c>
      <c r="C4854" s="677" t="s">
        <v>1690</v>
      </c>
      <c r="D4854" s="738">
        <f t="shared" si="150"/>
        <v>1.24</v>
      </c>
      <c r="F4854" s="1405">
        <v>1.24</v>
      </c>
      <c r="G4854" s="1405">
        <v>1.24</v>
      </c>
      <c r="H4854" t="b">
        <f t="shared" si="151"/>
        <v>1</v>
      </c>
    </row>
    <row r="4855" spans="1:8">
      <c r="A4855" s="739">
        <v>39996</v>
      </c>
      <c r="B4855" s="740" t="s">
        <v>13226</v>
      </c>
      <c r="C4855" s="739" t="s">
        <v>1693</v>
      </c>
      <c r="D4855" s="741">
        <f t="shared" si="150"/>
        <v>2.84</v>
      </c>
      <c r="F4855" s="1406">
        <v>2.84</v>
      </c>
      <c r="G4855" s="1406">
        <v>2.84</v>
      </c>
      <c r="H4855" t="b">
        <f t="shared" si="151"/>
        <v>1</v>
      </c>
    </row>
    <row r="4856" spans="1:8">
      <c r="A4856" s="677">
        <v>10478</v>
      </c>
      <c r="B4856" s="733" t="s">
        <v>13227</v>
      </c>
      <c r="C4856" s="677" t="s">
        <v>1695</v>
      </c>
      <c r="D4856" s="738">
        <f t="shared" si="150"/>
        <v>36.119999999999997</v>
      </c>
      <c r="F4856" s="1405">
        <v>36.119999999999997</v>
      </c>
      <c r="G4856" s="1405">
        <v>36.119999999999997</v>
      </c>
      <c r="H4856" t="b">
        <f t="shared" si="151"/>
        <v>1</v>
      </c>
    </row>
    <row r="4857" spans="1:8">
      <c r="A4857" s="739">
        <v>10481</v>
      </c>
      <c r="B4857" s="740" t="s">
        <v>13228</v>
      </c>
      <c r="C4857" s="739" t="s">
        <v>1695</v>
      </c>
      <c r="D4857" s="741">
        <f t="shared" si="150"/>
        <v>32.119999999999997</v>
      </c>
      <c r="F4857" s="1406">
        <v>32.119999999999997</v>
      </c>
      <c r="G4857" s="1406">
        <v>32.119999999999997</v>
      </c>
      <c r="H4857" t="b">
        <f t="shared" si="151"/>
        <v>1</v>
      </c>
    </row>
    <row r="4858" spans="1:8">
      <c r="A4858" s="677">
        <v>10475</v>
      </c>
      <c r="B4858" s="733" t="s">
        <v>13229</v>
      </c>
      <c r="C4858" s="677" t="s">
        <v>1695</v>
      </c>
      <c r="D4858" s="738">
        <f t="shared" si="150"/>
        <v>31.08</v>
      </c>
      <c r="F4858" s="1405">
        <v>31.08</v>
      </c>
      <c r="G4858" s="1405">
        <v>31.08</v>
      </c>
      <c r="H4858" t="b">
        <f t="shared" si="151"/>
        <v>1</v>
      </c>
    </row>
    <row r="4859" spans="1:8">
      <c r="A4859" s="739">
        <v>4030</v>
      </c>
      <c r="B4859" s="740" t="s">
        <v>13230</v>
      </c>
      <c r="C4859" s="739" t="s">
        <v>1692</v>
      </c>
      <c r="D4859" s="741">
        <f t="shared" si="150"/>
        <v>8.14</v>
      </c>
      <c r="F4859" s="1406">
        <v>8.14</v>
      </c>
      <c r="G4859" s="1406">
        <v>8.14</v>
      </c>
      <c r="H4859" t="b">
        <f t="shared" si="151"/>
        <v>1</v>
      </c>
    </row>
    <row r="4860" spans="1:8">
      <c r="A4860" s="677">
        <v>4031</v>
      </c>
      <c r="B4860" s="733" t="s">
        <v>13231</v>
      </c>
      <c r="C4860" s="677" t="s">
        <v>1692</v>
      </c>
      <c r="D4860" s="738">
        <f t="shared" si="150"/>
        <v>38.270000000000003</v>
      </c>
      <c r="F4860" s="1405">
        <v>38.270000000000003</v>
      </c>
      <c r="G4860" s="1405">
        <v>38.270000000000003</v>
      </c>
      <c r="H4860" t="b">
        <f t="shared" si="151"/>
        <v>1</v>
      </c>
    </row>
    <row r="4861" spans="1:8">
      <c r="A4861" s="739">
        <v>39399</v>
      </c>
      <c r="B4861" s="740" t="s">
        <v>13232</v>
      </c>
      <c r="C4861" s="739" t="s">
        <v>1690</v>
      </c>
      <c r="D4861" s="741">
        <f t="shared" si="150"/>
        <v>1360.93</v>
      </c>
      <c r="F4861" s="1406">
        <v>1360.93</v>
      </c>
      <c r="G4861" s="1406">
        <v>1360.93</v>
      </c>
      <c r="H4861" t="b">
        <f t="shared" si="151"/>
        <v>1</v>
      </c>
    </row>
    <row r="4862" spans="1:8">
      <c r="A4862" s="677">
        <v>39400</v>
      </c>
      <c r="B4862" s="733" t="s">
        <v>13233</v>
      </c>
      <c r="C4862" s="677" t="s">
        <v>1690</v>
      </c>
      <c r="D4862" s="738">
        <f t="shared" si="150"/>
        <v>1479.28</v>
      </c>
      <c r="F4862" s="1405">
        <v>1479.28</v>
      </c>
      <c r="G4862" s="1405">
        <v>1479.28</v>
      </c>
      <c r="H4862" t="b">
        <f t="shared" si="151"/>
        <v>1</v>
      </c>
    </row>
    <row r="4863" spans="1:8">
      <c r="A4863" s="739">
        <v>39401</v>
      </c>
      <c r="B4863" s="740" t="s">
        <v>13234</v>
      </c>
      <c r="C4863" s="739" t="s">
        <v>1690</v>
      </c>
      <c r="D4863" s="741">
        <f t="shared" si="150"/>
        <v>1659.39</v>
      </c>
      <c r="F4863" s="1406">
        <v>1659.39</v>
      </c>
      <c r="G4863" s="1406">
        <v>1659.39</v>
      </c>
      <c r="H4863" t="b">
        <f t="shared" si="151"/>
        <v>1</v>
      </c>
    </row>
    <row r="4864" spans="1:8">
      <c r="A4864" s="677">
        <v>11652</v>
      </c>
      <c r="B4864" s="733" t="s">
        <v>13235</v>
      </c>
      <c r="C4864" s="677" t="s">
        <v>1690</v>
      </c>
      <c r="D4864" s="738">
        <f t="shared" si="150"/>
        <v>3570</v>
      </c>
      <c r="F4864" s="1405">
        <v>3570</v>
      </c>
      <c r="G4864" s="1405">
        <v>3570</v>
      </c>
      <c r="H4864" t="b">
        <f t="shared" si="151"/>
        <v>1</v>
      </c>
    </row>
    <row r="4865" spans="1:8">
      <c r="A4865" s="739">
        <v>13896</v>
      </c>
      <c r="B4865" s="740" t="s">
        <v>13236</v>
      </c>
      <c r="C4865" s="739" t="s">
        <v>1690</v>
      </c>
      <c r="D4865" s="741">
        <f t="shared" si="150"/>
        <v>3202.6</v>
      </c>
      <c r="F4865" s="1406">
        <v>3202.6</v>
      </c>
      <c r="G4865" s="1406">
        <v>3202.6</v>
      </c>
      <c r="H4865" t="b">
        <f t="shared" si="151"/>
        <v>1</v>
      </c>
    </row>
    <row r="4866" spans="1:8">
      <c r="A4866" s="677">
        <v>13475</v>
      </c>
      <c r="B4866" s="733" t="s">
        <v>13237</v>
      </c>
      <c r="C4866" s="677" t="s">
        <v>1690</v>
      </c>
      <c r="D4866" s="738">
        <f t="shared" si="150"/>
        <v>3901.15</v>
      </c>
      <c r="F4866" s="1405">
        <v>3901.15</v>
      </c>
      <c r="G4866" s="1405">
        <v>3901.15</v>
      </c>
      <c r="H4866" t="b">
        <f t="shared" si="151"/>
        <v>1</v>
      </c>
    </row>
    <row r="4867" spans="1:8">
      <c r="A4867" s="739">
        <v>44491</v>
      </c>
      <c r="B4867" s="740" t="s">
        <v>13238</v>
      </c>
      <c r="C4867" s="739" t="s">
        <v>1690</v>
      </c>
      <c r="D4867" s="741">
        <f t="shared" ref="D4867:D4911" si="152">IF($J$2=$F$1,F4867,G4867)</f>
        <v>3731255.48</v>
      </c>
      <c r="F4867" s="1406">
        <v>3731255.48</v>
      </c>
      <c r="G4867" s="1406">
        <v>3731255.48</v>
      </c>
      <c r="H4867" t="b">
        <f t="shared" ref="H4867:H4911" si="153">F4867=G4867</f>
        <v>1</v>
      </c>
    </row>
    <row r="4868" spans="1:8">
      <c r="A4868" s="677">
        <v>44470</v>
      </c>
      <c r="B4868" s="733" t="s">
        <v>13239</v>
      </c>
      <c r="C4868" s="677" t="s">
        <v>1690</v>
      </c>
      <c r="D4868" s="738">
        <f t="shared" si="152"/>
        <v>1570815.25</v>
      </c>
      <c r="F4868" s="1405">
        <v>1570815.25</v>
      </c>
      <c r="G4868" s="1405">
        <v>1570815.25</v>
      </c>
      <c r="H4868" t="b">
        <f t="shared" si="153"/>
        <v>1</v>
      </c>
    </row>
    <row r="4869" spans="1:8">
      <c r="A4869" s="739">
        <v>13476</v>
      </c>
      <c r="B4869" s="740" t="s">
        <v>13240</v>
      </c>
      <c r="C4869" s="739" t="s">
        <v>1690</v>
      </c>
      <c r="D4869" s="741">
        <f t="shared" si="152"/>
        <v>1582198.08</v>
      </c>
      <c r="F4869" s="1406">
        <v>1582198.08</v>
      </c>
      <c r="G4869" s="1406">
        <v>1582198.08</v>
      </c>
      <c r="H4869" t="b">
        <f t="shared" si="153"/>
        <v>1</v>
      </c>
    </row>
    <row r="4870" spans="1:8">
      <c r="A4870" s="677">
        <v>10488</v>
      </c>
      <c r="B4870" s="733" t="s">
        <v>13241</v>
      </c>
      <c r="C4870" s="677" t="s">
        <v>1690</v>
      </c>
      <c r="D4870" s="738">
        <f t="shared" si="152"/>
        <v>1916850</v>
      </c>
      <c r="F4870" s="1405">
        <v>1916850</v>
      </c>
      <c r="G4870" s="1405">
        <v>1916850</v>
      </c>
      <c r="H4870" t="b">
        <f t="shared" si="153"/>
        <v>1</v>
      </c>
    </row>
    <row r="4871" spans="1:8" ht="30">
      <c r="A4871" s="739">
        <v>13606</v>
      </c>
      <c r="B4871" s="740" t="s">
        <v>13242</v>
      </c>
      <c r="C4871" s="739" t="s">
        <v>1690</v>
      </c>
      <c r="D4871" s="741">
        <f t="shared" si="152"/>
        <v>1698301.68</v>
      </c>
      <c r="F4871" s="1406">
        <v>1698301.68</v>
      </c>
      <c r="G4871" s="1406">
        <v>1698301.68</v>
      </c>
      <c r="H4871" t="b">
        <f t="shared" si="153"/>
        <v>1</v>
      </c>
    </row>
    <row r="4872" spans="1:8">
      <c r="A4872" s="677">
        <v>10489</v>
      </c>
      <c r="B4872" s="733" t="s">
        <v>13243</v>
      </c>
      <c r="C4872" s="677" t="s">
        <v>1689</v>
      </c>
      <c r="D4872" s="738">
        <f t="shared" si="152"/>
        <v>17.059999999999999</v>
      </c>
      <c r="F4872" s="1405">
        <v>14.82</v>
      </c>
      <c r="G4872" s="1405">
        <v>17.059999999999999</v>
      </c>
      <c r="H4872" t="b">
        <f t="shared" si="153"/>
        <v>0</v>
      </c>
    </row>
    <row r="4873" spans="1:8">
      <c r="A4873" s="739">
        <v>41073</v>
      </c>
      <c r="B4873" s="740" t="s">
        <v>13244</v>
      </c>
      <c r="C4873" s="739" t="s">
        <v>1696</v>
      </c>
      <c r="D4873" s="741">
        <f t="shared" si="152"/>
        <v>3002.73</v>
      </c>
      <c r="F4873" s="1406">
        <v>2604.2399999999998</v>
      </c>
      <c r="G4873" s="1406">
        <v>3002.73</v>
      </c>
      <c r="H4873" t="b">
        <f t="shared" si="153"/>
        <v>0</v>
      </c>
    </row>
    <row r="4874" spans="1:8">
      <c r="A4874" s="677">
        <v>34391</v>
      </c>
      <c r="B4874" s="733" t="s">
        <v>13245</v>
      </c>
      <c r="C4874" s="677" t="s">
        <v>1692</v>
      </c>
      <c r="D4874" s="738">
        <f t="shared" si="152"/>
        <v>909.62</v>
      </c>
      <c r="F4874" s="1405">
        <v>909.62</v>
      </c>
      <c r="G4874" s="1405">
        <v>909.62</v>
      </c>
      <c r="H4874" t="b">
        <f t="shared" si="153"/>
        <v>1</v>
      </c>
    </row>
    <row r="4875" spans="1:8">
      <c r="A4875" s="739">
        <v>10496</v>
      </c>
      <c r="B4875" s="740" t="s">
        <v>13246</v>
      </c>
      <c r="C4875" s="739" t="s">
        <v>1692</v>
      </c>
      <c r="D4875" s="741">
        <f t="shared" si="152"/>
        <v>791.66</v>
      </c>
      <c r="F4875" s="1406">
        <v>791.66</v>
      </c>
      <c r="G4875" s="1406">
        <v>791.66</v>
      </c>
      <c r="H4875" t="b">
        <f t="shared" si="153"/>
        <v>1</v>
      </c>
    </row>
    <row r="4876" spans="1:8">
      <c r="A4876" s="677">
        <v>10497</v>
      </c>
      <c r="B4876" s="733" t="s">
        <v>13247</v>
      </c>
      <c r="C4876" s="677" t="s">
        <v>1692</v>
      </c>
      <c r="D4876" s="738">
        <f t="shared" si="152"/>
        <v>2058.33</v>
      </c>
      <c r="F4876" s="1405">
        <v>2058.33</v>
      </c>
      <c r="G4876" s="1405">
        <v>2058.33</v>
      </c>
      <c r="H4876" t="b">
        <f t="shared" si="153"/>
        <v>1</v>
      </c>
    </row>
    <row r="4877" spans="1:8">
      <c r="A4877" s="739">
        <v>10504</v>
      </c>
      <c r="B4877" s="740" t="s">
        <v>13248</v>
      </c>
      <c r="C4877" s="739" t="s">
        <v>1692</v>
      </c>
      <c r="D4877" s="741">
        <f t="shared" si="152"/>
        <v>2406.66</v>
      </c>
      <c r="F4877" s="1406">
        <v>2406.66</v>
      </c>
      <c r="G4877" s="1406">
        <v>2406.66</v>
      </c>
      <c r="H4877" t="b">
        <f t="shared" si="153"/>
        <v>1</v>
      </c>
    </row>
    <row r="4878" spans="1:8">
      <c r="A4878" s="677">
        <v>34390</v>
      </c>
      <c r="B4878" s="733" t="s">
        <v>13249</v>
      </c>
      <c r="C4878" s="677" t="s">
        <v>1692</v>
      </c>
      <c r="D4878" s="738">
        <f t="shared" si="152"/>
        <v>709.33</v>
      </c>
      <c r="F4878" s="1405">
        <v>709.33</v>
      </c>
      <c r="G4878" s="1405">
        <v>709.33</v>
      </c>
      <c r="H4878" t="b">
        <f t="shared" si="153"/>
        <v>1</v>
      </c>
    </row>
    <row r="4879" spans="1:8">
      <c r="A4879" s="739">
        <v>34389</v>
      </c>
      <c r="B4879" s="740" t="s">
        <v>13250</v>
      </c>
      <c r="C4879" s="739" t="s">
        <v>1692</v>
      </c>
      <c r="D4879" s="741">
        <f t="shared" si="152"/>
        <v>221.66</v>
      </c>
      <c r="F4879" s="1406">
        <v>221.66</v>
      </c>
      <c r="G4879" s="1406">
        <v>221.66</v>
      </c>
      <c r="H4879" t="b">
        <f t="shared" si="153"/>
        <v>1</v>
      </c>
    </row>
    <row r="4880" spans="1:8">
      <c r="A4880" s="677">
        <v>34388</v>
      </c>
      <c r="B4880" s="733" t="s">
        <v>13251</v>
      </c>
      <c r="C4880" s="677" t="s">
        <v>1692</v>
      </c>
      <c r="D4880" s="738">
        <f t="shared" si="152"/>
        <v>315.05</v>
      </c>
      <c r="F4880" s="1405">
        <v>315.05</v>
      </c>
      <c r="G4880" s="1405">
        <v>315.05</v>
      </c>
      <c r="H4880" t="b">
        <f t="shared" si="153"/>
        <v>1</v>
      </c>
    </row>
    <row r="4881" spans="1:8">
      <c r="A4881" s="739">
        <v>34387</v>
      </c>
      <c r="B4881" s="740" t="s">
        <v>13252</v>
      </c>
      <c r="C4881" s="739" t="s">
        <v>1692</v>
      </c>
      <c r="D4881" s="741">
        <f t="shared" si="152"/>
        <v>511.41</v>
      </c>
      <c r="F4881" s="1406">
        <v>511.41</v>
      </c>
      <c r="G4881" s="1406">
        <v>511.41</v>
      </c>
      <c r="H4881" t="b">
        <f t="shared" si="153"/>
        <v>1</v>
      </c>
    </row>
    <row r="4882" spans="1:8">
      <c r="A4882" s="677">
        <v>11188</v>
      </c>
      <c r="B4882" s="733" t="s">
        <v>13253</v>
      </c>
      <c r="C4882" s="677" t="s">
        <v>1692</v>
      </c>
      <c r="D4882" s="738">
        <f t="shared" si="152"/>
        <v>253.33</v>
      </c>
      <c r="F4882" s="1405">
        <v>253.33</v>
      </c>
      <c r="G4882" s="1405">
        <v>253.33</v>
      </c>
      <c r="H4882" t="b">
        <f t="shared" si="153"/>
        <v>1</v>
      </c>
    </row>
    <row r="4883" spans="1:8">
      <c r="A4883" s="739">
        <v>11189</v>
      </c>
      <c r="B4883" s="740" t="s">
        <v>13254</v>
      </c>
      <c r="C4883" s="739" t="s">
        <v>1692</v>
      </c>
      <c r="D4883" s="741">
        <f t="shared" si="152"/>
        <v>380</v>
      </c>
      <c r="F4883" s="1406">
        <v>380</v>
      </c>
      <c r="G4883" s="1406">
        <v>380</v>
      </c>
      <c r="H4883" t="b">
        <f t="shared" si="153"/>
        <v>1</v>
      </c>
    </row>
    <row r="4884" spans="1:8">
      <c r="A4884" s="677">
        <v>21107</v>
      </c>
      <c r="B4884" s="733" t="s">
        <v>13255</v>
      </c>
      <c r="C4884" s="677" t="s">
        <v>1692</v>
      </c>
      <c r="D4884" s="738">
        <f t="shared" si="152"/>
        <v>273.47000000000003</v>
      </c>
      <c r="F4884" s="1405">
        <v>273.47000000000003</v>
      </c>
      <c r="G4884" s="1405">
        <v>273.47000000000003</v>
      </c>
      <c r="H4884" t="b">
        <f t="shared" si="153"/>
        <v>1</v>
      </c>
    </row>
    <row r="4885" spans="1:8">
      <c r="A4885" s="739">
        <v>34386</v>
      </c>
      <c r="B4885" s="740" t="s">
        <v>13256</v>
      </c>
      <c r="C4885" s="739" t="s">
        <v>1692</v>
      </c>
      <c r="D4885" s="741">
        <f t="shared" si="152"/>
        <v>475</v>
      </c>
      <c r="F4885" s="1406">
        <v>475</v>
      </c>
      <c r="G4885" s="1406">
        <v>475</v>
      </c>
      <c r="H4885" t="b">
        <f t="shared" si="153"/>
        <v>1</v>
      </c>
    </row>
    <row r="4886" spans="1:8">
      <c r="A4886" s="677">
        <v>10490</v>
      </c>
      <c r="B4886" s="733" t="s">
        <v>13257</v>
      </c>
      <c r="C4886" s="677" t="s">
        <v>1692</v>
      </c>
      <c r="D4886" s="738">
        <f t="shared" si="152"/>
        <v>166.25</v>
      </c>
      <c r="F4886" s="1405">
        <v>166.25</v>
      </c>
      <c r="G4886" s="1405">
        <v>166.25</v>
      </c>
      <c r="H4886" t="b">
        <f t="shared" si="153"/>
        <v>1</v>
      </c>
    </row>
    <row r="4887" spans="1:8">
      <c r="A4887" s="739">
        <v>10492</v>
      </c>
      <c r="B4887" s="740" t="s">
        <v>13258</v>
      </c>
      <c r="C4887" s="739" t="s">
        <v>1692</v>
      </c>
      <c r="D4887" s="741">
        <f t="shared" si="152"/>
        <v>190</v>
      </c>
      <c r="F4887" s="1406">
        <v>190</v>
      </c>
      <c r="G4887" s="1406">
        <v>190</v>
      </c>
      <c r="H4887" t="b">
        <f t="shared" si="153"/>
        <v>1</v>
      </c>
    </row>
    <row r="4888" spans="1:8">
      <c r="A4888" s="677">
        <v>10493</v>
      </c>
      <c r="B4888" s="733" t="s">
        <v>13259</v>
      </c>
      <c r="C4888" s="677" t="s">
        <v>1692</v>
      </c>
      <c r="D4888" s="738">
        <f t="shared" si="152"/>
        <v>221.66</v>
      </c>
      <c r="F4888" s="1405">
        <v>221.66</v>
      </c>
      <c r="G4888" s="1405">
        <v>221.66</v>
      </c>
      <c r="H4888" t="b">
        <f t="shared" si="153"/>
        <v>1</v>
      </c>
    </row>
    <row r="4889" spans="1:8">
      <c r="A4889" s="739">
        <v>10491</v>
      </c>
      <c r="B4889" s="740" t="s">
        <v>13260</v>
      </c>
      <c r="C4889" s="739" t="s">
        <v>1692</v>
      </c>
      <c r="D4889" s="741">
        <f t="shared" si="152"/>
        <v>269.16000000000003</v>
      </c>
      <c r="F4889" s="1406">
        <v>269.16000000000003</v>
      </c>
      <c r="G4889" s="1406">
        <v>269.16000000000003</v>
      </c>
      <c r="H4889" t="b">
        <f t="shared" si="153"/>
        <v>1</v>
      </c>
    </row>
    <row r="4890" spans="1:8">
      <c r="A4890" s="677">
        <v>34385</v>
      </c>
      <c r="B4890" s="733" t="s">
        <v>13261</v>
      </c>
      <c r="C4890" s="677" t="s">
        <v>1692</v>
      </c>
      <c r="D4890" s="738">
        <f t="shared" si="152"/>
        <v>392.66</v>
      </c>
      <c r="F4890" s="1405">
        <v>392.66</v>
      </c>
      <c r="G4890" s="1405">
        <v>392.66</v>
      </c>
      <c r="H4890" t="b">
        <f t="shared" si="153"/>
        <v>1</v>
      </c>
    </row>
    <row r="4891" spans="1:8">
      <c r="A4891" s="739">
        <v>10499</v>
      </c>
      <c r="B4891" s="740" t="s">
        <v>13262</v>
      </c>
      <c r="C4891" s="739" t="s">
        <v>1692</v>
      </c>
      <c r="D4891" s="741">
        <f t="shared" si="152"/>
        <v>158.33000000000001</v>
      </c>
      <c r="F4891" s="1406">
        <v>158.33000000000001</v>
      </c>
      <c r="G4891" s="1406">
        <v>158.33000000000001</v>
      </c>
      <c r="H4891" t="b">
        <f t="shared" si="153"/>
        <v>1</v>
      </c>
    </row>
    <row r="4892" spans="1:8">
      <c r="A4892" s="677">
        <v>34384</v>
      </c>
      <c r="B4892" s="733" t="s">
        <v>13263</v>
      </c>
      <c r="C4892" s="677" t="s">
        <v>1692</v>
      </c>
      <c r="D4892" s="738">
        <f t="shared" si="152"/>
        <v>475</v>
      </c>
      <c r="F4892" s="1405">
        <v>475</v>
      </c>
      <c r="G4892" s="1405">
        <v>475</v>
      </c>
      <c r="H4892" t="b">
        <f t="shared" si="153"/>
        <v>1</v>
      </c>
    </row>
    <row r="4893" spans="1:8">
      <c r="A4893" s="739">
        <v>11185</v>
      </c>
      <c r="B4893" s="740" t="s">
        <v>13264</v>
      </c>
      <c r="C4893" s="739" t="s">
        <v>1692</v>
      </c>
      <c r="D4893" s="741">
        <f t="shared" si="152"/>
        <v>490.83</v>
      </c>
      <c r="F4893" s="1406">
        <v>490.83</v>
      </c>
      <c r="G4893" s="1406">
        <v>490.83</v>
      </c>
      <c r="H4893" t="b">
        <f t="shared" si="153"/>
        <v>1</v>
      </c>
    </row>
    <row r="4894" spans="1:8">
      <c r="A4894" s="677">
        <v>10507</v>
      </c>
      <c r="B4894" s="733" t="s">
        <v>13265</v>
      </c>
      <c r="C4894" s="677" t="s">
        <v>1692</v>
      </c>
      <c r="D4894" s="738">
        <f t="shared" si="152"/>
        <v>439.16</v>
      </c>
      <c r="F4894" s="1405">
        <v>439.16</v>
      </c>
      <c r="G4894" s="1405">
        <v>439.16</v>
      </c>
      <c r="H4894" t="b">
        <f t="shared" si="153"/>
        <v>1</v>
      </c>
    </row>
    <row r="4895" spans="1:8">
      <c r="A4895" s="739">
        <v>10505</v>
      </c>
      <c r="B4895" s="740" t="s">
        <v>13266</v>
      </c>
      <c r="C4895" s="739" t="s">
        <v>1692</v>
      </c>
      <c r="D4895" s="741">
        <f t="shared" si="152"/>
        <v>259.13</v>
      </c>
      <c r="F4895" s="1406">
        <v>259.13</v>
      </c>
      <c r="G4895" s="1406">
        <v>259.13</v>
      </c>
      <c r="H4895" t="b">
        <f t="shared" si="153"/>
        <v>1</v>
      </c>
    </row>
    <row r="4896" spans="1:8">
      <c r="A4896" s="677">
        <v>10506</v>
      </c>
      <c r="B4896" s="733" t="s">
        <v>13267</v>
      </c>
      <c r="C4896" s="677" t="s">
        <v>1692</v>
      </c>
      <c r="D4896" s="738">
        <f t="shared" si="152"/>
        <v>338.28</v>
      </c>
      <c r="F4896" s="1405">
        <v>338.28</v>
      </c>
      <c r="G4896" s="1405">
        <v>338.28</v>
      </c>
      <c r="H4896" t="b">
        <f t="shared" si="153"/>
        <v>1</v>
      </c>
    </row>
    <row r="4897" spans="1:8">
      <c r="A4897" s="739">
        <v>5031</v>
      </c>
      <c r="B4897" s="740" t="s">
        <v>13268</v>
      </c>
      <c r="C4897" s="739" t="s">
        <v>1692</v>
      </c>
      <c r="D4897" s="741">
        <f t="shared" si="152"/>
        <v>475</v>
      </c>
      <c r="F4897" s="1406">
        <v>475</v>
      </c>
      <c r="G4897" s="1406">
        <v>475</v>
      </c>
      <c r="H4897" t="b">
        <f t="shared" si="153"/>
        <v>1</v>
      </c>
    </row>
    <row r="4898" spans="1:8">
      <c r="A4898" s="677">
        <v>10502</v>
      </c>
      <c r="B4898" s="733" t="s">
        <v>13269</v>
      </c>
      <c r="C4898" s="677" t="s">
        <v>1692</v>
      </c>
      <c r="D4898" s="738">
        <f t="shared" si="152"/>
        <v>553.48</v>
      </c>
      <c r="F4898" s="1405">
        <v>553.48</v>
      </c>
      <c r="G4898" s="1405">
        <v>553.48</v>
      </c>
      <c r="H4898" t="b">
        <f t="shared" si="153"/>
        <v>1</v>
      </c>
    </row>
    <row r="4899" spans="1:8">
      <c r="A4899" s="739">
        <v>10501</v>
      </c>
      <c r="B4899" s="740" t="s">
        <v>13270</v>
      </c>
      <c r="C4899" s="739" t="s">
        <v>1692</v>
      </c>
      <c r="D4899" s="741">
        <f t="shared" si="152"/>
        <v>312.7</v>
      </c>
      <c r="F4899" s="1406">
        <v>312.7</v>
      </c>
      <c r="G4899" s="1406">
        <v>312.7</v>
      </c>
      <c r="H4899" t="b">
        <f t="shared" si="153"/>
        <v>1</v>
      </c>
    </row>
    <row r="4900" spans="1:8">
      <c r="A4900" s="677">
        <v>10503</v>
      </c>
      <c r="B4900" s="733" t="s">
        <v>13271</v>
      </c>
      <c r="C4900" s="677" t="s">
        <v>1692</v>
      </c>
      <c r="D4900" s="738">
        <f t="shared" si="152"/>
        <v>422.46</v>
      </c>
      <c r="F4900" s="1405">
        <v>422.46</v>
      </c>
      <c r="G4900" s="1405">
        <v>422.46</v>
      </c>
      <c r="H4900" t="b">
        <f t="shared" si="153"/>
        <v>1</v>
      </c>
    </row>
    <row r="4901" spans="1:8">
      <c r="A4901" s="739">
        <v>4500</v>
      </c>
      <c r="B4901" s="740" t="s">
        <v>13272</v>
      </c>
      <c r="C4901" s="739" t="s">
        <v>1693</v>
      </c>
      <c r="D4901" s="741">
        <f t="shared" si="152"/>
        <v>21.59</v>
      </c>
      <c r="F4901" s="1406">
        <v>21.59</v>
      </c>
      <c r="G4901" s="1406">
        <v>21.59</v>
      </c>
      <c r="H4901" t="b">
        <f t="shared" si="153"/>
        <v>1</v>
      </c>
    </row>
    <row r="4902" spans="1:8">
      <c r="A4902" s="677">
        <v>4448</v>
      </c>
      <c r="B4902" s="733" t="s">
        <v>13273</v>
      </c>
      <c r="C4902" s="677" t="s">
        <v>1693</v>
      </c>
      <c r="D4902" s="738">
        <f t="shared" si="152"/>
        <v>29.66</v>
      </c>
      <c r="F4902" s="1405">
        <v>29.66</v>
      </c>
      <c r="G4902" s="1405">
        <v>29.66</v>
      </c>
      <c r="H4902" t="b">
        <f t="shared" si="153"/>
        <v>1</v>
      </c>
    </row>
    <row r="4903" spans="1:8">
      <c r="A4903" s="739">
        <v>20213</v>
      </c>
      <c r="B4903" s="740" t="s">
        <v>13274</v>
      </c>
      <c r="C4903" s="739" t="s">
        <v>1693</v>
      </c>
      <c r="D4903" s="741">
        <f t="shared" si="152"/>
        <v>21.76</v>
      </c>
      <c r="F4903" s="1406">
        <v>21.76</v>
      </c>
      <c r="G4903" s="1406">
        <v>21.76</v>
      </c>
      <c r="H4903" t="b">
        <f t="shared" si="153"/>
        <v>1</v>
      </c>
    </row>
    <row r="4904" spans="1:8">
      <c r="A4904" s="677">
        <v>20211</v>
      </c>
      <c r="B4904" s="733" t="s">
        <v>13275</v>
      </c>
      <c r="C4904" s="677" t="s">
        <v>1693</v>
      </c>
      <c r="D4904" s="738">
        <f t="shared" si="152"/>
        <v>28.81</v>
      </c>
      <c r="F4904" s="1405">
        <v>28.81</v>
      </c>
      <c r="G4904" s="1405">
        <v>28.81</v>
      </c>
      <c r="H4904" t="b">
        <f t="shared" si="153"/>
        <v>1</v>
      </c>
    </row>
    <row r="4905" spans="1:8">
      <c r="A4905" s="739">
        <v>40270</v>
      </c>
      <c r="B4905" s="740" t="s">
        <v>13276</v>
      </c>
      <c r="C4905" s="739" t="s">
        <v>1693</v>
      </c>
      <c r="D4905" s="741">
        <f t="shared" si="152"/>
        <v>126.05</v>
      </c>
      <c r="F4905" s="1406">
        <v>126.05</v>
      </c>
      <c r="G4905" s="1406">
        <v>126.05</v>
      </c>
      <c r="H4905" t="b">
        <f t="shared" si="153"/>
        <v>1</v>
      </c>
    </row>
    <row r="4906" spans="1:8">
      <c r="A4906" s="677">
        <v>4425</v>
      </c>
      <c r="B4906" s="733" t="s">
        <v>13277</v>
      </c>
      <c r="C4906" s="677" t="s">
        <v>1693</v>
      </c>
      <c r="D4906" s="738">
        <f t="shared" si="152"/>
        <v>23.81</v>
      </c>
      <c r="F4906" s="1405">
        <v>23.81</v>
      </c>
      <c r="G4906" s="1405">
        <v>23.81</v>
      </c>
      <c r="H4906" t="b">
        <f t="shared" si="153"/>
        <v>1</v>
      </c>
    </row>
    <row r="4907" spans="1:8">
      <c r="A4907" s="739">
        <v>4472</v>
      </c>
      <c r="B4907" s="740" t="s">
        <v>13278</v>
      </c>
      <c r="C4907" s="739" t="s">
        <v>1693</v>
      </c>
      <c r="D4907" s="741">
        <f t="shared" si="152"/>
        <v>29.75</v>
      </c>
      <c r="F4907" s="1406">
        <v>29.75</v>
      </c>
      <c r="G4907" s="1406">
        <v>29.75</v>
      </c>
      <c r="H4907" t="b">
        <f t="shared" si="153"/>
        <v>1</v>
      </c>
    </row>
    <row r="4908" spans="1:8">
      <c r="A4908" s="677">
        <v>35272</v>
      </c>
      <c r="B4908" s="733" t="s">
        <v>13279</v>
      </c>
      <c r="C4908" s="677" t="s">
        <v>1693</v>
      </c>
      <c r="D4908" s="738">
        <f t="shared" si="152"/>
        <v>43</v>
      </c>
      <c r="F4908" s="1405">
        <v>43</v>
      </c>
      <c r="G4908" s="1405">
        <v>43</v>
      </c>
      <c r="H4908" t="b">
        <f t="shared" si="153"/>
        <v>1</v>
      </c>
    </row>
    <row r="4909" spans="1:8">
      <c r="A4909" s="739">
        <v>4481</v>
      </c>
      <c r="B4909" s="740" t="s">
        <v>13280</v>
      </c>
      <c r="C4909" s="739" t="s">
        <v>1693</v>
      </c>
      <c r="D4909" s="741">
        <f t="shared" si="152"/>
        <v>46.03</v>
      </c>
      <c r="F4909" s="1406">
        <v>46.03</v>
      </c>
      <c r="G4909" s="1406">
        <v>46.03</v>
      </c>
      <c r="H4909" t="b">
        <f t="shared" si="153"/>
        <v>1</v>
      </c>
    </row>
    <row r="4910" spans="1:8">
      <c r="A4910" s="677">
        <v>34345</v>
      </c>
      <c r="B4910" s="733" t="s">
        <v>13281</v>
      </c>
      <c r="C4910" s="677" t="s">
        <v>1689</v>
      </c>
      <c r="D4910" s="738">
        <f t="shared" si="152"/>
        <v>15.28</v>
      </c>
      <c r="F4910" s="1405">
        <v>13.27</v>
      </c>
      <c r="G4910" s="1405">
        <v>15.28</v>
      </c>
      <c r="H4910" t="b">
        <f t="shared" si="153"/>
        <v>0</v>
      </c>
    </row>
    <row r="4911" spans="1:8">
      <c r="A4911" s="739">
        <v>41096</v>
      </c>
      <c r="B4911" s="740" t="s">
        <v>13282</v>
      </c>
      <c r="C4911" s="739" t="s">
        <v>1696</v>
      </c>
      <c r="D4911" s="741">
        <f t="shared" si="152"/>
        <v>2692.19</v>
      </c>
      <c r="F4911" s="1406">
        <v>2334.92</v>
      </c>
      <c r="G4911" s="1406">
        <v>2692.19</v>
      </c>
      <c r="H4911" t="b">
        <f t="shared" si="153"/>
        <v>0</v>
      </c>
    </row>
    <row r="4912" spans="1:8">
      <c r="D4912" s="738"/>
      <c r="F4912" s="1405"/>
      <c r="G4912" s="1405"/>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3"/>
  <dimension ref="B1:E653"/>
  <sheetViews>
    <sheetView topLeftCell="A358" workbookViewId="0">
      <selection activeCell="B379" sqref="B379"/>
    </sheetView>
  </sheetViews>
  <sheetFormatPr defaultRowHeight="15"/>
  <cols>
    <col min="1" max="1" width="14.28515625" customWidth="1"/>
    <col min="2" max="2" width="20.7109375" customWidth="1"/>
    <col min="3" max="3" width="120.7109375" customWidth="1"/>
    <col min="4" max="5" width="10.7109375" customWidth="1"/>
  </cols>
  <sheetData>
    <row r="1" spans="2:5" ht="15.75" thickBot="1"/>
    <row r="2" spans="2:5" ht="16.5" thickBot="1">
      <c r="B2" s="75"/>
      <c r="C2" s="76" t="s">
        <v>684</v>
      </c>
      <c r="D2" s="74" t="s">
        <v>25</v>
      </c>
      <c r="E2" s="74" t="s">
        <v>26</v>
      </c>
    </row>
    <row r="3" spans="2:5">
      <c r="B3" s="734" t="e">
        <f>#REF!</f>
        <v>#REF!</v>
      </c>
      <c r="C3" s="572" t="e">
        <f>#REF!</f>
        <v>#REF!</v>
      </c>
      <c r="D3" s="77" t="e">
        <f>#REF!</f>
        <v>#REF!</v>
      </c>
      <c r="E3" s="573" t="e">
        <f>#REF!</f>
        <v>#REF!</v>
      </c>
    </row>
    <row r="4" spans="2:5" ht="15.75" thickBot="1">
      <c r="B4" s="677"/>
      <c r="C4" s="733"/>
      <c r="D4" s="677"/>
    </row>
    <row r="5" spans="2:5" ht="16.5" thickBot="1">
      <c r="B5" s="75"/>
      <c r="C5" s="76" t="s">
        <v>683</v>
      </c>
      <c r="D5" s="74" t="s">
        <v>25</v>
      </c>
      <c r="E5" s="74" t="s">
        <v>26</v>
      </c>
    </row>
    <row r="6" spans="2:5">
      <c r="B6" s="616" t="s">
        <v>13369</v>
      </c>
      <c r="C6" s="572" t="str">
        <f>VLOOKUP($B6,'PLAYGROUND '!$B:$H,2,FALSE)</f>
        <v>INSTALAÇÃO DE BALANÇO DE 3 LUGARES COM ESTRUTURA METÁLICA EM TUBOS DE AÇO CARBONO, INSTALADO SOBRE PISO DE CONCRETO EXISTENTE AF_10/2021</v>
      </c>
      <c r="D6" s="77" t="str">
        <f>VLOOKUP($B6,'PLAYGROUND '!$B:$H,6,FALSE)</f>
        <v>UN</v>
      </c>
      <c r="E6" s="573">
        <f>VLOOKUP($B6,'PLAYGROUND '!$B:$H,7,FALSE)</f>
        <v>2705.73</v>
      </c>
    </row>
    <row r="7" spans="2:5">
      <c r="B7" s="616" t="s">
        <v>13370</v>
      </c>
      <c r="C7" s="572" t="str">
        <f>VLOOKUP($B7,'PLAYGROUND '!$B:$H,2,FALSE)</f>
        <v>INSTALAÇÃO DE BALANÇO FRONTAL PARA CADEIRANTES COM ESTRUTURA METÁLICA EM TUBOS DE AÇO CARBONO, INSTALADO SOBRE PISO DE CONCRETO EXISTENTE AF_10/2021</v>
      </c>
      <c r="D7" s="77" t="str">
        <f>VLOOKUP($B7,'PLAYGROUND '!$B:$H,6,FALSE)</f>
        <v>UN</v>
      </c>
      <c r="E7" s="573">
        <f>VLOOKUP($B7,'PLAYGROUND '!$B:$H,7,FALSE)</f>
        <v>7112.84</v>
      </c>
    </row>
    <row r="8" spans="2:5">
      <c r="B8" s="616" t="s">
        <v>13371</v>
      </c>
      <c r="C8" s="572" t="str">
        <f>VLOOKUP($B8,'PLAYGROUND '!$B:$H,2,FALSE)</f>
        <v>INSTALAÇÃO DE ESCORREGADOR 2 METROS METÁLICO EM TUBOS E CHAPAS DE AÇO CARBONO, INSTALADO SOBRE PISO DE CONCRETO EXISTENTE.</v>
      </c>
      <c r="D8" s="77" t="str">
        <f>VLOOKUP($B8,'PLAYGROUND '!$B:$H,6,FALSE)</f>
        <v>UN</v>
      </c>
      <c r="E8" s="573">
        <f>VLOOKUP($B8,'PLAYGROUND '!$B:$H,7,FALSE)</f>
        <v>1902.14</v>
      </c>
    </row>
    <row r="9" spans="2:5">
      <c r="B9" s="616" t="s">
        <v>13372</v>
      </c>
      <c r="C9" s="572" t="str">
        <f>VLOOKUP($B9,'PLAYGROUND '!$B:$H,2,FALSE)</f>
        <v>INSTALAÇÃO DE GAIOLA LABIRINTO METÁLICA EM TUBOS DE AÇO CARBONO, INSTALADA SOBRE PISO DE CONCRETO EXISTENTE. AF_10/2021</v>
      </c>
      <c r="D9" s="77" t="str">
        <f>VLOOKUP($B9,'PLAYGROUND '!$B:$H,6,FALSE)</f>
        <v>UN</v>
      </c>
      <c r="E9" s="573">
        <f>VLOOKUP($B9,'PLAYGROUND '!$B:$H,7,FALSE)</f>
        <v>3162.08</v>
      </c>
    </row>
    <row r="10" spans="2:5">
      <c r="B10" s="616" t="s">
        <v>13373</v>
      </c>
      <c r="C10" s="572" t="str">
        <f>VLOOKUP($B10,'PLAYGROUND '!$B:$H,2,FALSE)</f>
        <v>INSTALAÇÃO DE GANGORRA TRIPLA METÁLICA EM TUBOS DE AÇO CARBONO, INSTALADA SOBRE PISO DE CONCRETO EXISTENTE. AF_10/2021</v>
      </c>
      <c r="D10" s="77" t="str">
        <f>VLOOKUP($B10,'PLAYGROUND '!$B:$H,6,FALSE)</f>
        <v>UN</v>
      </c>
      <c r="E10" s="573">
        <f>VLOOKUP($B10,'PLAYGROUND '!$B:$H,7,FALSE)</f>
        <v>2957.48</v>
      </c>
    </row>
    <row r="11" spans="2:5">
      <c r="B11" s="616" t="s">
        <v>13374</v>
      </c>
      <c r="C11" s="572" t="str">
        <f>VLOOKUP($B11,'PLAYGROUND '!$B:$H,2,FALSE)</f>
        <v>INSTALAÇÃO DE GIRA-GIRA METÁLICO EM TUBOS DE AÇO CARBONO, INSTALADO SOBRE PISO DE CONCRETO EXISTENTE. AF_10/2021</v>
      </c>
      <c r="D11" s="77" t="str">
        <f>VLOOKUP($B11,'PLAYGROUND '!$B:$H,6,FALSE)</f>
        <v>UN</v>
      </c>
      <c r="E11" s="573">
        <f>VLOOKUP($B11,'PLAYGROUND '!$B:$H,7,FALSE)</f>
        <v>4160.0200000000004</v>
      </c>
    </row>
    <row r="12" spans="2:5">
      <c r="B12" s="616" t="s">
        <v>14078</v>
      </c>
      <c r="C12" s="572" t="e">
        <f>VLOOKUP($B12,'PLAYGROUND '!$B:$H,2,FALSE)</f>
        <v>#N/A</v>
      </c>
      <c r="D12" s="77" t="e">
        <f>VLOOKUP($B12,'PLAYGROUND '!$B:$H,6,FALSE)</f>
        <v>#N/A</v>
      </c>
      <c r="E12" s="573" t="e">
        <f>VLOOKUP($B12,'PLAYGROUND '!$B:$H,7,FALSE)</f>
        <v>#N/A</v>
      </c>
    </row>
    <row r="13" spans="2:5">
      <c r="B13" s="616" t="s">
        <v>14079</v>
      </c>
      <c r="C13" s="572" t="e">
        <f>VLOOKUP($B13,'PLAYGROUND '!$B:$H,2,FALSE)</f>
        <v>#N/A</v>
      </c>
      <c r="D13" s="77" t="e">
        <f>VLOOKUP($B13,'PLAYGROUND '!$B:$H,6,FALSE)</f>
        <v>#N/A</v>
      </c>
      <c r="E13" s="573" t="e">
        <f>VLOOKUP($B13,'PLAYGROUND '!$B:$H,7,FALSE)</f>
        <v>#N/A</v>
      </c>
    </row>
    <row r="14" spans="2:5">
      <c r="B14" s="616" t="s">
        <v>14080</v>
      </c>
      <c r="C14" s="572" t="e">
        <f>VLOOKUP($B14,'PLAYGROUND '!$B:$H,2,FALSE)</f>
        <v>#N/A</v>
      </c>
      <c r="D14" s="77" t="e">
        <f>VLOOKUP($B14,'PLAYGROUND '!$B:$H,6,FALSE)</f>
        <v>#N/A</v>
      </c>
      <c r="E14" s="573" t="e">
        <f>VLOOKUP($B14,'PLAYGROUND '!$B:$H,7,FALSE)</f>
        <v>#N/A</v>
      </c>
    </row>
    <row r="15" spans="2:5">
      <c r="B15" s="616" t="s">
        <v>14081</v>
      </c>
      <c r="C15" s="572" t="e">
        <f>VLOOKUP($B15,'PLAYGROUND '!$B:$H,2,FALSE)</f>
        <v>#N/A</v>
      </c>
      <c r="D15" s="77" t="e">
        <f>VLOOKUP($B15,'PLAYGROUND '!$B:$H,6,FALSE)</f>
        <v>#N/A</v>
      </c>
      <c r="E15" s="573" t="e">
        <f>VLOOKUP($B15,'PLAYGROUND '!$B:$H,7,FALSE)</f>
        <v>#N/A</v>
      </c>
    </row>
    <row r="16" spans="2:5">
      <c r="B16" s="616" t="s">
        <v>14082</v>
      </c>
      <c r="C16" s="572" t="e">
        <f>VLOOKUP($B16,'PLAYGROUND '!$B:$H,2,FALSE)</f>
        <v>#N/A</v>
      </c>
      <c r="D16" s="77" t="e">
        <f>VLOOKUP($B16,'PLAYGROUND '!$B:$H,6,FALSE)</f>
        <v>#N/A</v>
      </c>
      <c r="E16" s="573" t="e">
        <f>VLOOKUP($B16,'PLAYGROUND '!$B:$H,7,FALSE)</f>
        <v>#N/A</v>
      </c>
    </row>
    <row r="17" spans="2:5">
      <c r="B17" s="616" t="s">
        <v>14083</v>
      </c>
      <c r="C17" s="572" t="e">
        <f>VLOOKUP($B17,'PLAYGROUND '!$B:$H,2,FALSE)</f>
        <v>#N/A</v>
      </c>
      <c r="D17" s="77" t="e">
        <f>VLOOKUP($B17,'PLAYGROUND '!$B:$H,6,FALSE)</f>
        <v>#N/A</v>
      </c>
      <c r="E17" s="573" t="e">
        <f>VLOOKUP($B17,'PLAYGROUND '!$B:$H,7,FALSE)</f>
        <v>#N/A</v>
      </c>
    </row>
    <row r="18" spans="2:5" ht="15.75" thickBot="1">
      <c r="B18" s="677"/>
      <c r="C18" s="733"/>
      <c r="D18" s="677"/>
    </row>
    <row r="19" spans="2:5" ht="16.5" thickBot="1">
      <c r="B19" s="75" t="s">
        <v>13375</v>
      </c>
      <c r="C19" s="76" t="s">
        <v>326</v>
      </c>
      <c r="D19" s="74" t="s">
        <v>25</v>
      </c>
      <c r="E19" s="74" t="s">
        <v>26</v>
      </c>
    </row>
    <row r="20" spans="2:5" ht="30">
      <c r="B20" s="616" t="s">
        <v>13376</v>
      </c>
      <c r="C20" s="617" t="str">
        <f>VLOOKUP($B20,'COMP. PAISAGISMO'!$B:$G,2,FALSE)</f>
        <v>PLANTIO  DE  ESPÉCIE  VEGETAL,  TIPO  COMIGO-NINGUÉM-PODE OU EQUIVALENTE, COM ALTURA DE MUDA MENOR OU IGUAL A 0,50 M. AF_05/2018</v>
      </c>
      <c r="D20" s="616" t="str">
        <f>VLOOKUP($B20,'COMP. PAISAGISMO'!$B:$G,6,FALSE)</f>
        <v>UN</v>
      </c>
      <c r="E20" s="618">
        <f>VLOOKUP($B20,'COMP. PAISAGISMO'!$B:$H,7,FALSE)</f>
        <v>6.6899999999999995</v>
      </c>
    </row>
    <row r="21" spans="2:5" ht="30">
      <c r="B21" s="616" t="s">
        <v>13377</v>
      </c>
      <c r="C21" s="617" t="str">
        <f>VLOOKUP($B21,'COMP. PAISAGISMO'!$B:$G,2,FALSE)</f>
        <v>PLANTIO  DE  ESPÉCIE  VEGETAL,  TIPO  COMIGO-NINGUÉM-PODE OU EQUIVALENTE, COM ALTURA DE MUDA MENOR OU IGUAL A 0,50 M. AF_05/2018</v>
      </c>
      <c r="D21" s="616" t="str">
        <f>VLOOKUP($B21,'COMP. PAISAGISMO'!$B:$G,6,FALSE)</f>
        <v>UN</v>
      </c>
      <c r="E21" s="618">
        <f>VLOOKUP($B21,'COMP. PAISAGISMO'!$B:$H,7,FALSE)</f>
        <v>7.47</v>
      </c>
    </row>
    <row r="22" spans="2:5" ht="30">
      <c r="B22" s="616" t="s">
        <v>13378</v>
      </c>
      <c r="C22" s="617" t="str">
        <f>VLOOKUP($B22,'COMP. PAISAGISMO'!$B:$G,2,FALSE)</f>
        <v>PLANTIO  DE  ESPÉCIE  VEGETAL,  TIPO  COMIGO-NINGUÉM-PODE OU EQUIVALENTE, COM ALTURA DE MUDA MENOR OU IGUAL A 0,50 M. AF_05/2018</v>
      </c>
      <c r="D22" s="616" t="str">
        <f>VLOOKUP($B22,'COMP. PAISAGISMO'!$B:$G,6,FALSE)</f>
        <v>UN</v>
      </c>
      <c r="E22" s="618">
        <f>VLOOKUP($B22,'COMP. PAISAGISMO'!$B:$H,7,FALSE)</f>
        <v>10.210000000000001</v>
      </c>
    </row>
    <row r="23" spans="2:5">
      <c r="B23" s="616" t="s">
        <v>13379</v>
      </c>
      <c r="C23" s="617" t="str">
        <f>VLOOKUP($B23,'COMP. PAISAGISMO'!$B:$G,2,FALSE)</f>
        <v>PLANTIO DE ÁRVORE ORNAMENTAL COM ALTURA DE MUDA MAIOR QUE 4,00 M. AF_05/2018</v>
      </c>
      <c r="D23" s="616" t="str">
        <f>VLOOKUP($B23,'COMP. PAISAGISMO'!$B:$G,6,FALSE)</f>
        <v>UN</v>
      </c>
      <c r="E23" s="618">
        <f>VLOOKUP($B23,'COMP. PAISAGISMO'!$B:$H,7,FALSE)</f>
        <v>724.63</v>
      </c>
    </row>
    <row r="24" spans="2:5">
      <c r="B24" s="616" t="s">
        <v>13380</v>
      </c>
      <c r="C24" s="617" t="str">
        <f>VLOOKUP($B24,'COMP. PAISAGISMO'!$B:$G,2,FALSE)</f>
        <v>PLANTIO DE ÁRVORE FRUTÍFERA COM ALTURA DE MUDA MENOR OU IGUAL A 2,00 M. AF_05/2018</v>
      </c>
      <c r="D24" s="616" t="str">
        <f>VLOOKUP($B24,'COMP. PAISAGISMO'!$B:$G,6,FALSE)</f>
        <v>UN</v>
      </c>
      <c r="E24" s="618">
        <f>VLOOKUP($B24,'COMP. PAISAGISMO'!$B:$H,7,FALSE)</f>
        <v>305.77999999999997</v>
      </c>
    </row>
    <row r="25" spans="2:5">
      <c r="B25" s="616" t="s">
        <v>13381</v>
      </c>
      <c r="C25" s="617" t="str">
        <f>VLOOKUP($B25,'COMP. PAISAGISMO'!$B:$G,2,FALSE)</f>
        <v>PLANTIO DE ÁRVORE FRUTÍFERA COM ALTURA DE MUDA MAIOR QUE 2,00 M E MENOR OU IGUAL A 4,00 M. AF_05/2018</v>
      </c>
      <c r="D25" s="616" t="str">
        <f>VLOOKUP($B25,'COMP. PAISAGISMO'!$B:$G,6,FALSE)</f>
        <v>UN</v>
      </c>
      <c r="E25" s="618">
        <f>VLOOKUP($B25,'COMP. PAISAGISMO'!$B:$H,7,FALSE)</f>
        <v>681.63</v>
      </c>
    </row>
    <row r="26" spans="2:5">
      <c r="B26" s="616" t="s">
        <v>13382</v>
      </c>
      <c r="C26" s="617" t="str">
        <f>VLOOKUP($B26,'COMP. PAISAGISMO'!$B:$G,2,FALSE)</f>
        <v>PLANTIO DE ÁRVORE FRUTÍFERA COM ALTURA DE MUDA MAIOR QUE 4,00 M. AF_05/2018</v>
      </c>
      <c r="D26" s="616" t="str">
        <f>VLOOKUP($B26,'COMP. PAISAGISMO'!$B:$G,6,FALSE)</f>
        <v>UN</v>
      </c>
      <c r="E26" s="618">
        <f>VLOOKUP($B26,'COMP. PAISAGISMO'!$B:$H,7,FALSE)</f>
        <v>707.47</v>
      </c>
    </row>
    <row r="27" spans="2:5">
      <c r="B27" s="616" t="s">
        <v>13383</v>
      </c>
      <c r="C27" s="617" t="str">
        <f>VLOOKUP($B27,'COMP. PAISAGISMO'!$B:$G,2,FALSE)</f>
        <v>PLANTIO DE PALMEIRA COM ALTURA DE MUDA MAIOR QUE 2,00 M E MENOR OU IGUAL A 4,00 M. AF_05/2018</v>
      </c>
      <c r="D27" s="616" t="str">
        <f>VLOOKUP($B27,'COMP. PAISAGISMO'!$B:$G,6,FALSE)</f>
        <v>UN</v>
      </c>
      <c r="E27" s="618">
        <f>VLOOKUP($B27,'COMP. PAISAGISMO'!$B:$H,7,FALSE)</f>
        <v>850.48000000000013</v>
      </c>
    </row>
    <row r="28" spans="2:5">
      <c r="B28" s="616" t="s">
        <v>13384</v>
      </c>
      <c r="C28" s="617" t="str">
        <f>VLOOKUP($B28,'COMP. PAISAGISMO'!$B:$G,2,FALSE)</f>
        <v>PLANTIO DE PALMEIRA IMPERIAL COM ALTURA DE MUDA MAIOR QUE 2,00 M E MENOR OU IGUAL A 4,00 M. AF_05/2018</v>
      </c>
      <c r="D28" s="616" t="str">
        <f>VLOOKUP($B28,'COMP. PAISAGISMO'!$B:$G,6,FALSE)</f>
        <v>UN</v>
      </c>
      <c r="E28" s="618">
        <f>VLOOKUP($B28,'COMP. PAISAGISMO'!$B:$H,7,FALSE)</f>
        <v>600.48</v>
      </c>
    </row>
    <row r="29" spans="2:5">
      <c r="B29" s="616" t="s">
        <v>13385</v>
      </c>
      <c r="C29" s="617" t="str">
        <f>VLOOKUP($B29,'COMP. PAISAGISMO'!$B:$G,2,FALSE)</f>
        <v>PLANTIO  DE PALMEIRA COM ALTURA DE MUDA MAIOR QUE 4,00 M. AF_05/2018</v>
      </c>
      <c r="D29" s="616" t="str">
        <f>VLOOKUP($B29,'COMP. PAISAGISMO'!$B:$G,6,FALSE)</f>
        <v>UN</v>
      </c>
      <c r="E29" s="618">
        <f>VLOOKUP($B29,'COMP. PAISAGISMO'!$B:$H,7,FALSE)</f>
        <v>2637.07</v>
      </c>
    </row>
    <row r="30" spans="2:5">
      <c r="B30" s="616" t="s">
        <v>13386</v>
      </c>
      <c r="C30" s="617" t="str">
        <f>VLOOKUP($B30,'COMP. PAISAGISMO'!$B:$G,2,FALSE)</f>
        <v>LASTRO DE BRITA 0</v>
      </c>
      <c r="D30" s="616" t="str">
        <f>VLOOKUP($B30,'COMP. PAISAGISMO'!$B:$G,6,FALSE)</f>
        <v>M3</v>
      </c>
      <c r="E30" s="618">
        <f>VLOOKUP($B30,'COMP. PAISAGISMO'!$B:$H,7,FALSE)</f>
        <v>240.47</v>
      </c>
    </row>
    <row r="31" spans="2:5">
      <c r="B31" s="616" t="s">
        <v>13387</v>
      </c>
      <c r="C31" s="617" t="str">
        <f>VLOOKUP($B31,'COMP. PAISAGISMO'!$B:$G,2,FALSE)</f>
        <v>LASTRO DE BRITA 1</v>
      </c>
      <c r="D31" s="616" t="str">
        <f>VLOOKUP($B31,'COMP. PAISAGISMO'!$B:$G,6,FALSE)</f>
        <v>M3</v>
      </c>
      <c r="E31" s="618">
        <f>VLOOKUP($B31,'COMP. PAISAGISMO'!$B:$H,7,FALSE)</f>
        <v>213.72</v>
      </c>
    </row>
    <row r="32" spans="2:5">
      <c r="B32" s="616" t="s">
        <v>13388</v>
      </c>
      <c r="C32" s="617" t="str">
        <f>VLOOKUP($B32,'COMP. PAISAGISMO'!$B:$G,2,FALSE)</f>
        <v>LASTRO DE BRITA 2</v>
      </c>
      <c r="D32" s="616" t="str">
        <f>VLOOKUP($B32,'COMP. PAISAGISMO'!$B:$G,6,FALSE)</f>
        <v>M3</v>
      </c>
      <c r="E32" s="618">
        <f>VLOOKUP($B32,'COMP. PAISAGISMO'!$B:$H,7,FALSE)</f>
        <v>214.64</v>
      </c>
    </row>
    <row r="33" spans="2:5">
      <c r="B33" s="616" t="s">
        <v>13389</v>
      </c>
      <c r="C33" s="617" t="str">
        <f>VLOOKUP($B33,'COMP. PAISAGISMO'!$B:$G,2,FALSE)</f>
        <v>LASTRO DE BRITA 3</v>
      </c>
      <c r="D33" s="616" t="str">
        <f>VLOOKUP($B33,'COMP. PAISAGISMO'!$B:$G,6,FALSE)</f>
        <v>M3</v>
      </c>
      <c r="E33" s="618">
        <f>VLOOKUP($B33,'COMP. PAISAGISMO'!$B:$H,7,FALSE)</f>
        <v>204.14</v>
      </c>
    </row>
    <row r="34" spans="2:5">
      <c r="B34" s="616" t="s">
        <v>13390</v>
      </c>
      <c r="C34" s="617" t="str">
        <f>VLOOKUP($B34,'COMP. PAISAGISMO'!$B:$G,2,FALSE)</f>
        <v>LASTRO DE SEIXO - INCLUSIVE LANÇAMENTO</v>
      </c>
      <c r="D34" s="616" t="str">
        <f>VLOOKUP($B34,'COMP. PAISAGISMO'!$B:$G,6,FALSE)</f>
        <v>M3</v>
      </c>
      <c r="E34" s="618">
        <f>VLOOKUP($B34,'COMP. PAISAGISMO'!$B:$H,7,FALSE)</f>
        <v>1132.25</v>
      </c>
    </row>
    <row r="35" spans="2:5">
      <c r="B35" s="616" t="s">
        <v>13391</v>
      </c>
      <c r="C35" s="617" t="str">
        <f>VLOOKUP($B35,'COMP. PAISAGISMO'!$B:$G,2,FALSE)</f>
        <v>FORNECIMENTO E ESPALHAMENTO DE TERRA VEGETAL PREPARADA</v>
      </c>
      <c r="D35" s="616" t="str">
        <f>VLOOKUP($B35,'COMP. PAISAGISMO'!$B:$G,6,FALSE)</f>
        <v>M3</v>
      </c>
      <c r="E35" s="618">
        <f>VLOOKUP($B35,'COMP. PAISAGISMO'!$B:$H,7,FALSE)</f>
        <v>233.08</v>
      </c>
    </row>
    <row r="36" spans="2:5">
      <c r="B36" s="616" t="s">
        <v>13392</v>
      </c>
      <c r="C36" s="617" t="str">
        <f>VLOOKUP($B36,'COMP. PAISAGISMO'!$B:$G,2,FALSE)</f>
        <v xml:space="preserve">PLANTIO DE GRAMA ESMERALDA EM PLACAS - INCLUSIVE TERRA VEGETAL </v>
      </c>
      <c r="D36" s="616" t="str">
        <f>VLOOKUP($B36,'COMP. PAISAGISMO'!$B:$G,6,FALSE)</f>
        <v>M2</v>
      </c>
      <c r="E36" s="618">
        <f>VLOOKUP($B36,'COMP. PAISAGISMO'!$B:$H,7,FALSE)</f>
        <v>33.950000000000003</v>
      </c>
    </row>
    <row r="37" spans="2:5">
      <c r="B37" s="616" t="s">
        <v>13393</v>
      </c>
      <c r="C37" s="617" t="str">
        <f>VLOOKUP($B37,'COMP. PAISAGISMO'!$B:$G,2,FALSE)</f>
        <v>PLANTIO DE PALMEIRA RABO DE RAPOSA COM ALTURA DE MUDA MAIOR QUE 2,00 M E MENOR OU IGUAL A 4,00 M. AF_05/2018</v>
      </c>
      <c r="D37" s="616" t="str">
        <f>VLOOKUP($B37,'COMP. PAISAGISMO'!$B:$G,6,FALSE)</f>
        <v>UN</v>
      </c>
      <c r="E37" s="618">
        <f>VLOOKUP($B37,'COMP. PAISAGISMO'!$B:$H,7,FALSE)</f>
        <v>800.48000000000013</v>
      </c>
    </row>
    <row r="38" spans="2:5">
      <c r="B38" s="616" t="s">
        <v>13394</v>
      </c>
      <c r="C38" s="617" t="e">
        <f>VLOOKUP($B38,'COMP. PAISAGISMO'!$B:$G,2,FALSE)</f>
        <v>#N/A</v>
      </c>
      <c r="D38" s="616" t="e">
        <f>VLOOKUP($B38,'COMP. PAISAGISMO'!$B:$G,6,FALSE)</f>
        <v>#N/A</v>
      </c>
      <c r="E38" s="618" t="e">
        <f>VLOOKUP($B38,'COMP. PAISAGISMO'!$B:$H,7,FALSE)</f>
        <v>#N/A</v>
      </c>
    </row>
    <row r="39" spans="2:5">
      <c r="B39" s="616" t="s">
        <v>13395</v>
      </c>
      <c r="C39" s="617" t="e">
        <f>VLOOKUP($B39,'COMP. PAISAGISMO'!$B:$G,2,FALSE)</f>
        <v>#N/A</v>
      </c>
      <c r="D39" s="616" t="e">
        <f>VLOOKUP($B39,'COMP. PAISAGISMO'!$B:$G,6,FALSE)</f>
        <v>#N/A</v>
      </c>
      <c r="E39" s="618" t="e">
        <f>VLOOKUP($B39,'COMP. PAISAGISMO'!$B:$H,7,FALSE)</f>
        <v>#N/A</v>
      </c>
    </row>
    <row r="40" spans="2:5">
      <c r="B40" s="616" t="s">
        <v>13396</v>
      </c>
      <c r="C40" s="617" t="e">
        <f>VLOOKUP($B40,'COMP. PAISAGISMO'!$B:$G,2,FALSE)</f>
        <v>#N/A</v>
      </c>
      <c r="D40" s="616" t="e">
        <f>VLOOKUP($B40,'COMP. PAISAGISMO'!$B:$G,6,FALSE)</f>
        <v>#N/A</v>
      </c>
      <c r="E40" s="618" t="e">
        <f>VLOOKUP($B40,'COMP. PAISAGISMO'!$B:$H,7,FALSE)</f>
        <v>#N/A</v>
      </c>
    </row>
    <row r="41" spans="2:5">
      <c r="B41" s="616" t="s">
        <v>13397</v>
      </c>
      <c r="C41" s="617" t="e">
        <f>VLOOKUP($B41,'COMP. PAISAGISMO'!$B:$G,2,FALSE)</f>
        <v>#N/A</v>
      </c>
      <c r="D41" s="616" t="e">
        <f>VLOOKUP($B41,'COMP. PAISAGISMO'!$B:$G,6,FALSE)</f>
        <v>#N/A</v>
      </c>
      <c r="E41" s="618" t="e">
        <f>VLOOKUP($B41,'COMP. PAISAGISMO'!$B:$H,7,FALSE)</f>
        <v>#N/A</v>
      </c>
    </row>
    <row r="42" spans="2:5">
      <c r="B42" s="616" t="s">
        <v>13398</v>
      </c>
      <c r="C42" s="617" t="e">
        <f>VLOOKUP($B42,'COMP. PAISAGISMO'!$B:$G,2,FALSE)</f>
        <v>#N/A</v>
      </c>
      <c r="D42" s="616" t="e">
        <f>VLOOKUP($B42,'COMP. PAISAGISMO'!$B:$G,6,FALSE)</f>
        <v>#N/A</v>
      </c>
      <c r="E42" s="618" t="e">
        <f>VLOOKUP($B42,'COMP. PAISAGISMO'!$B:$H,7,FALSE)</f>
        <v>#N/A</v>
      </c>
    </row>
    <row r="43" spans="2:5">
      <c r="B43" s="616" t="s">
        <v>13399</v>
      </c>
      <c r="C43" s="617" t="e">
        <f>VLOOKUP($B43,'COMP. PAISAGISMO'!$B:$G,2,FALSE)</f>
        <v>#N/A</v>
      </c>
      <c r="D43" s="616" t="e">
        <f>VLOOKUP($B43,'COMP. PAISAGISMO'!$B:$G,6,FALSE)</f>
        <v>#N/A</v>
      </c>
      <c r="E43" s="618" t="e">
        <f>VLOOKUP($B43,'COMP. PAISAGISMO'!$B:$H,7,FALSE)</f>
        <v>#N/A</v>
      </c>
    </row>
    <row r="44" spans="2:5">
      <c r="B44" s="616" t="s">
        <v>13400</v>
      </c>
      <c r="C44" s="617" t="e">
        <f>VLOOKUP($B44,'COMP. PAISAGISMO'!$B:$G,2,FALSE)</f>
        <v>#N/A</v>
      </c>
      <c r="D44" s="616" t="e">
        <f>VLOOKUP($B44,'COMP. PAISAGISMO'!$B:$G,6,FALSE)</f>
        <v>#N/A</v>
      </c>
      <c r="E44" s="618" t="e">
        <f>VLOOKUP($B44,'COMP. PAISAGISMO'!$B:$H,7,FALSE)</f>
        <v>#N/A</v>
      </c>
    </row>
    <row r="45" spans="2:5">
      <c r="B45" s="616" t="s">
        <v>13401</v>
      </c>
      <c r="C45" s="617" t="e">
        <f>VLOOKUP($B45,'COMP. PAISAGISMO'!$B:$G,2,FALSE)</f>
        <v>#N/A</v>
      </c>
      <c r="D45" s="616" t="e">
        <f>VLOOKUP($B45,'COMP. PAISAGISMO'!$B:$G,6,FALSE)</f>
        <v>#N/A</v>
      </c>
      <c r="E45" s="618" t="e">
        <f>VLOOKUP($B45,'COMP. PAISAGISMO'!$B:$H,7,FALSE)</f>
        <v>#N/A</v>
      </c>
    </row>
    <row r="46" spans="2:5">
      <c r="B46" s="616" t="s">
        <v>13402</v>
      </c>
      <c r="C46" s="617" t="e">
        <f>VLOOKUP($B46,'COMP. PAISAGISMO'!$B:$G,2,FALSE)</f>
        <v>#N/A</v>
      </c>
      <c r="D46" s="616" t="e">
        <f>VLOOKUP($B46,'COMP. PAISAGISMO'!$B:$G,6,FALSE)</f>
        <v>#N/A</v>
      </c>
      <c r="E46" s="618" t="e">
        <f>VLOOKUP($B46,'COMP. PAISAGISMO'!$B:$H,7,FALSE)</f>
        <v>#N/A</v>
      </c>
    </row>
    <row r="47" spans="2:5">
      <c r="B47" s="616" t="s">
        <v>13403</v>
      </c>
      <c r="C47" s="617" t="e">
        <f>VLOOKUP($B47,'COMP. PAISAGISMO'!$B:$G,2,FALSE)</f>
        <v>#N/A</v>
      </c>
      <c r="D47" s="616" t="e">
        <f>VLOOKUP($B47,'COMP. PAISAGISMO'!$B:$G,6,FALSE)</f>
        <v>#N/A</v>
      </c>
      <c r="E47" s="618" t="e">
        <f>VLOOKUP($B47,'COMP. PAISAGISMO'!$B:$H,7,FALSE)</f>
        <v>#N/A</v>
      </c>
    </row>
    <row r="48" spans="2:5" ht="15.75" thickBot="1">
      <c r="B48" s="677"/>
      <c r="C48" s="733"/>
      <c r="D48" s="677"/>
    </row>
    <row r="49" spans="2:5" ht="16.5" thickBot="1">
      <c r="B49" s="75" t="s">
        <v>13404</v>
      </c>
      <c r="C49" s="76" t="s">
        <v>325</v>
      </c>
      <c r="D49" s="74" t="s">
        <v>25</v>
      </c>
      <c r="E49" s="74" t="s">
        <v>26</v>
      </c>
    </row>
    <row r="50" spans="2:5">
      <c r="B50" s="734" t="s">
        <v>13367</v>
      </c>
      <c r="C50" s="617" t="str">
        <f>VLOOKUP($B50,'COMPOSIÇÃO CIVIL'!$B:$G,2,FALSE)</f>
        <v>ADMINISTRAÇÃO LOCAL</v>
      </c>
      <c r="D50" s="616" t="str">
        <f>VLOOKUP($B50,'COMPOSIÇÃO CIVIL'!$B:$G,6,FALSE)</f>
        <v>UN</v>
      </c>
      <c r="E50" s="618">
        <f>VLOOKUP($B50,'COMPOSIÇÃO CIVIL'!$B:$H,7,FALSE)</f>
        <v>164248.32000000001</v>
      </c>
    </row>
    <row r="51" spans="2:5" ht="30">
      <c r="B51" s="734" t="s">
        <v>13405</v>
      </c>
      <c r="C51" s="617" t="str">
        <f>VLOOKUP($B51,'COMPOSIÇÃO CIVIL'!$B:$G,2,FALSE)</f>
        <v>PISO TÁTIL DIRECIONAL E/OU ALERTA, DE CONCRETO, COLORIDO, P/DEFICIENTES VISUAIS, DIMENSÕES 25X25CM, APLICADO COM ARGAMASSA  AC-II, REJUNTADO</v>
      </c>
      <c r="D51" s="616" t="str">
        <f>VLOOKUP($B51,'COMPOSIÇÃO CIVIL'!$B:$G,6,FALSE)</f>
        <v>M2</v>
      </c>
      <c r="E51" s="618">
        <f>VLOOKUP($B51,'COMPOSIÇÃO CIVIL'!$B:$H,7,FALSE)</f>
        <v>195.19</v>
      </c>
    </row>
    <row r="52" spans="2:5">
      <c r="B52" s="734" t="s">
        <v>13406</v>
      </c>
      <c r="C52" s="617" t="str">
        <f>VLOOKUP($B52,'COMPOSIÇÃO CIVIL'!$B:$G,2,FALSE)</f>
        <v>REMOÇÃO DE ELETRODUTOS, DE FORMA MANUAL, SEM REAPROVEITAMENTO.</v>
      </c>
      <c r="D52" s="616" t="str">
        <f>VLOOKUP($B52,'COMPOSIÇÃO CIVIL'!$B:$G,6,FALSE)</f>
        <v>M3</v>
      </c>
      <c r="E52" s="618">
        <f>VLOOKUP($B52,'COMPOSIÇÃO CIVIL'!$B:$H,7,FALSE)</f>
        <v>0.49</v>
      </c>
    </row>
    <row r="53" spans="2:5" ht="30">
      <c r="B53" s="734" t="s">
        <v>13407</v>
      </c>
      <c r="C53" s="617" t="str">
        <f>VLOOKUP($B53,'COMPOSIÇÃO CIVIL'!$B:$G,2,FALSE)</f>
        <v>MAPA TÁTIL EM ACRÍLICO DIMENSÕES 60X90CM, COM PEDESTAL EM AÇO BASE PARAFUSADA, COM PINTURA ELETROSTÁTICA. - FORNECIMENTO E INSTALAÇÃO.</v>
      </c>
      <c r="D53" s="616" t="str">
        <f>VLOOKUP($B53,'COMPOSIÇÃO CIVIL'!$B:$G,6,FALSE)</f>
        <v>UN</v>
      </c>
      <c r="E53" s="618">
        <f>VLOOKUP($B53,'COMPOSIÇÃO CIVIL'!$B:$H,7,FALSE)</f>
        <v>2527.81</v>
      </c>
    </row>
    <row r="54" spans="2:5" ht="30">
      <c r="B54" s="734" t="s">
        <v>13408</v>
      </c>
      <c r="C54" s="617" t="str">
        <f>VLOOKUP($B54,'COMPOSIÇÃO CIVIL'!$B:$G,2,FALSE)</f>
        <v>PLACA TÁTIL EM ACRILICO BORDAS ARREDONDADAS, COM LETRAS EM ALTO RELEVO, DIM. 30X10CM, PARA AS PAREDES E PORTAS - FORNECIMENTO E COLOCACAO</v>
      </c>
      <c r="D54" s="616" t="str">
        <f>VLOOKUP($B54,'COMPOSIÇÃO CIVIL'!$B:$G,6,FALSE)</f>
        <v>UN</v>
      </c>
      <c r="E54" s="618">
        <f>VLOOKUP($B54,'COMPOSIÇÃO CIVIL'!$B:$H,7,FALSE)</f>
        <v>101.09</v>
      </c>
    </row>
    <row r="55" spans="2:5" ht="30">
      <c r="B55" s="734" t="s">
        <v>13409</v>
      </c>
      <c r="C55" s="617" t="str">
        <f>VLOOKUP($B55,'COMPOSIÇÃO CIVIL'!$B:$G,2,FALSE)</f>
        <v>PLACA TÁTIL EM ACRILICO BORDAS ARREDONDADAS, COM LETRAS EM VINIL, DIM. 30X10CM, PARA AS PAREDES E PORTAS - FORNECIMENTO E COLOCACAO</v>
      </c>
      <c r="D55" s="616" t="str">
        <f>VLOOKUP($B55,'COMPOSIÇÃO CIVIL'!$B:$G,6,FALSE)</f>
        <v>UN</v>
      </c>
      <c r="E55" s="618">
        <f>VLOOKUP($B55,'COMPOSIÇÃO CIVIL'!$B:$H,7,FALSE)</f>
        <v>96.59</v>
      </c>
    </row>
    <row r="56" spans="2:5">
      <c r="B56" s="734" t="s">
        <v>13410</v>
      </c>
      <c r="C56" s="617" t="str">
        <f>VLOOKUP($B56,'COMPOSIÇÃO CIVIL'!$B:$G,2,FALSE)</f>
        <v xml:space="preserve">QUADRO BRANCO COM MOLDURA 3,00X1,2 </v>
      </c>
      <c r="D56" s="616" t="str">
        <f>VLOOKUP($B56,'COMPOSIÇÃO CIVIL'!$B:$G,6,FALSE)</f>
        <v>UN</v>
      </c>
      <c r="E56" s="618">
        <f>VLOOKUP($B56,'COMPOSIÇÃO CIVIL'!$B:$H,7,FALSE)</f>
        <v>1526.22</v>
      </c>
    </row>
    <row r="57" spans="2:5">
      <c r="B57" s="734" t="s">
        <v>13411</v>
      </c>
      <c r="C57" s="617" t="str">
        <f>VLOOKUP($B57,'COMPOSIÇÃO CIVIL'!$B:$G,2,FALSE)</f>
        <v xml:space="preserve">CABO HDMI 15M BLINDADO 2.0 ETHERNET 4K ULTRA HD 3D 2160P FORNECIMENTO E INSTALAÇÃO </v>
      </c>
      <c r="D57" s="616" t="str">
        <f>VLOOKUP($B57,'COMPOSIÇÃO CIVIL'!$B:$G,6,FALSE)</f>
        <v>M</v>
      </c>
      <c r="E57" s="618">
        <f>VLOOKUP($B57,'COMPOSIÇÃO CIVIL'!$B:$H,7,FALSE)</f>
        <v>152.57</v>
      </c>
    </row>
    <row r="58" spans="2:5">
      <c r="B58" s="734" t="s">
        <v>13412</v>
      </c>
      <c r="C58" s="617" t="str">
        <f>VLOOKUP($B58,'COMPOSIÇÃO CIVIL'!$B:$G,2,FALSE)</f>
        <v xml:space="preserve">CABO HDMI 2.0 BLINDADO - 2,0 M FORNECIMENTO E INSTALAÇÃO </v>
      </c>
      <c r="D58" s="616" t="str">
        <f>VLOOKUP($B58,'COMPOSIÇÃO CIVIL'!$B:$G,6,FALSE)</f>
        <v>UN</v>
      </c>
      <c r="E58" s="618">
        <f>VLOOKUP($B58,'COMPOSIÇÃO CIVIL'!$B:$H,7,FALSE)</f>
        <v>57.96</v>
      </c>
    </row>
    <row r="59" spans="2:5">
      <c r="B59" s="734" t="s">
        <v>13413</v>
      </c>
      <c r="C59" s="617" t="str">
        <f>VLOOKUP($B59,'COMPOSIÇÃO CIVIL'!$B:$G,2,FALSE)</f>
        <v xml:space="preserve">CABO USB 2.0 MACHO  FORNECIMENTO E INSTALAÇÃO </v>
      </c>
      <c r="D59" s="616" t="str">
        <f>VLOOKUP($B59,'COMPOSIÇÃO CIVIL'!$B:$G,6,FALSE)</f>
        <v>M</v>
      </c>
      <c r="E59" s="618">
        <f>VLOOKUP($B59,'COMPOSIÇÃO CIVIL'!$B:$H,7,FALSE)</f>
        <v>22.26</v>
      </c>
    </row>
    <row r="60" spans="2:5">
      <c r="B60" s="734" t="s">
        <v>13414</v>
      </c>
      <c r="C60" s="617" t="str">
        <f>VLOOKUP($B60,'COMPOSIÇÃO CIVIL'!$B:$G,2,FALSE)</f>
        <v xml:space="preserve">ADAPTADOR HDMI EM L  FORNECIMENTO E INSTALAÇÃO </v>
      </c>
      <c r="D60" s="616" t="str">
        <f>VLOOKUP($B60,'COMPOSIÇÃO CIVIL'!$B:$G,6,FALSE)</f>
        <v>UN</v>
      </c>
      <c r="E60" s="618">
        <f>VLOOKUP($B60,'COMPOSIÇÃO CIVIL'!$B:$H,7,FALSE)</f>
        <v>35.06</v>
      </c>
    </row>
    <row r="61" spans="2:5">
      <c r="B61" s="734" t="s">
        <v>13415</v>
      </c>
      <c r="C61" s="617" t="str">
        <f>VLOOKUP($B61,'COMPOSIÇÃO CIVIL'!$B:$G,2,FALSE)</f>
        <v xml:space="preserve">ADAPTADOR USB EM L  FORNECIMENTO E INSTALAÇÃO </v>
      </c>
      <c r="D61" s="616" t="str">
        <f>VLOOKUP($B61,'COMPOSIÇÃO CIVIL'!$B:$G,6,FALSE)</f>
        <v>UN</v>
      </c>
      <c r="E61" s="618">
        <f>VLOOKUP($B61,'COMPOSIÇÃO CIVIL'!$B:$H,7,FALSE)</f>
        <v>36.79</v>
      </c>
    </row>
    <row r="62" spans="2:5" ht="30">
      <c r="B62" s="734" t="s">
        <v>13416</v>
      </c>
      <c r="C62" s="617" t="str">
        <f>VLOOKUP($B62,'COMPOSIÇÃO CIVIL'!$B:$G,2,FALSE)</f>
        <v>TOMADA BAIXA DE EMBUTIR (2 MÓDULOS), 2P+T 10 A + MODULO HDMI E USB, SEM SUPORTE E SEM PLACA - FORNECIMENTO E INSTALAÇÃO.</v>
      </c>
      <c r="D62" s="616" t="str">
        <f>VLOOKUP($B62,'COMPOSIÇÃO CIVIL'!$B:$G,6,FALSE)</f>
        <v>UN</v>
      </c>
      <c r="E62" s="618">
        <f>VLOOKUP($B62,'COMPOSIÇÃO CIVIL'!$B:$H,7,FALSE)</f>
        <v>315.60000000000002</v>
      </c>
    </row>
    <row r="63" spans="2:5">
      <c r="B63" s="734" t="s">
        <v>13417</v>
      </c>
      <c r="C63" s="617" t="e">
        <f>VLOOKUP($B63,'COMPOSIÇÃO CIVIL'!$B:$G,2,FALSE)</f>
        <v>#N/A</v>
      </c>
      <c r="D63" s="616" t="e">
        <f>VLOOKUP($B63,'COMPOSIÇÃO CIVIL'!$B:$G,6,FALSE)</f>
        <v>#N/A</v>
      </c>
      <c r="E63" s="618" t="e">
        <f>VLOOKUP($B63,'COMPOSIÇÃO CIVIL'!$B:$H,7,FALSE)</f>
        <v>#N/A</v>
      </c>
    </row>
    <row r="64" spans="2:5">
      <c r="B64" s="734" t="s">
        <v>13418</v>
      </c>
      <c r="C64" s="617" t="e">
        <f>VLOOKUP($B64,'COMPOSIÇÃO CIVIL'!$B:$G,2,FALSE)</f>
        <v>#N/A</v>
      </c>
      <c r="D64" s="616" t="e">
        <f>VLOOKUP($B64,'COMPOSIÇÃO CIVIL'!$B:$G,6,FALSE)</f>
        <v>#N/A</v>
      </c>
      <c r="E64" s="618" t="e">
        <f>VLOOKUP($B64,'COMPOSIÇÃO CIVIL'!$B:$H,7,FALSE)</f>
        <v>#N/A</v>
      </c>
    </row>
    <row r="65" spans="2:5">
      <c r="B65" s="734" t="s">
        <v>13419</v>
      </c>
      <c r="C65" s="617" t="e">
        <f>VLOOKUP($B65,'COMPOSIÇÃO CIVIL'!$B:$G,2,FALSE)</f>
        <v>#N/A</v>
      </c>
      <c r="D65" s="616" t="e">
        <f>VLOOKUP($B65,'COMPOSIÇÃO CIVIL'!$B:$G,6,FALSE)</f>
        <v>#N/A</v>
      </c>
      <c r="E65" s="618" t="e">
        <f>VLOOKUP($B65,'COMPOSIÇÃO CIVIL'!$B:$H,7,FALSE)</f>
        <v>#N/A</v>
      </c>
    </row>
    <row r="66" spans="2:5">
      <c r="B66" s="734" t="s">
        <v>13420</v>
      </c>
      <c r="C66" s="617" t="e">
        <f>VLOOKUP($B66,'COMPOSIÇÃO CIVIL'!$B:$G,2,FALSE)</f>
        <v>#N/A</v>
      </c>
      <c r="D66" s="616" t="e">
        <f>VLOOKUP($B66,'COMPOSIÇÃO CIVIL'!$B:$G,6,FALSE)</f>
        <v>#N/A</v>
      </c>
      <c r="E66" s="618" t="e">
        <f>VLOOKUP($B66,'COMPOSIÇÃO CIVIL'!$B:$H,7,FALSE)</f>
        <v>#N/A</v>
      </c>
    </row>
    <row r="67" spans="2:5">
      <c r="B67" s="734" t="s">
        <v>13421</v>
      </c>
      <c r="C67" s="617" t="e">
        <f>VLOOKUP($B67,'COMPOSIÇÃO CIVIL'!$B:$G,2,FALSE)</f>
        <v>#N/A</v>
      </c>
      <c r="D67" s="616" t="e">
        <f>VLOOKUP($B67,'COMPOSIÇÃO CIVIL'!$B:$G,6,FALSE)</f>
        <v>#N/A</v>
      </c>
      <c r="E67" s="618" t="e">
        <f>VLOOKUP($B67,'COMPOSIÇÃO CIVIL'!$B:$H,7,FALSE)</f>
        <v>#N/A</v>
      </c>
    </row>
    <row r="68" spans="2:5">
      <c r="B68" s="734" t="s">
        <v>13422</v>
      </c>
      <c r="C68" s="617" t="e">
        <f>VLOOKUP($B68,'COMPOSIÇÃO CIVIL'!$B:$G,2,FALSE)</f>
        <v>#N/A</v>
      </c>
      <c r="D68" s="616" t="e">
        <f>VLOOKUP($B68,'COMPOSIÇÃO CIVIL'!$B:$G,6,FALSE)</f>
        <v>#N/A</v>
      </c>
      <c r="E68" s="618" t="e">
        <f>VLOOKUP($B68,'COMPOSIÇÃO CIVIL'!$B:$H,7,FALSE)</f>
        <v>#N/A</v>
      </c>
    </row>
    <row r="69" spans="2:5">
      <c r="B69" s="734" t="s">
        <v>13423</v>
      </c>
      <c r="C69" s="617" t="e">
        <f>VLOOKUP($B69,'COMPOSIÇÃO CIVIL'!$B:$G,2,FALSE)</f>
        <v>#N/A</v>
      </c>
      <c r="D69" s="616" t="e">
        <f>VLOOKUP($B69,'COMPOSIÇÃO CIVIL'!$B:$G,6,FALSE)</f>
        <v>#N/A</v>
      </c>
      <c r="E69" s="618" t="e">
        <f>VLOOKUP($B69,'COMPOSIÇÃO CIVIL'!$B:$H,7,FALSE)</f>
        <v>#N/A</v>
      </c>
    </row>
    <row r="70" spans="2:5">
      <c r="B70" s="734" t="s">
        <v>13424</v>
      </c>
      <c r="C70" s="617" t="e">
        <f>VLOOKUP($B70,'COMPOSIÇÃO CIVIL'!$B:$G,2,FALSE)</f>
        <v>#N/A</v>
      </c>
      <c r="D70" s="616" t="e">
        <f>VLOOKUP($B70,'COMPOSIÇÃO CIVIL'!$B:$G,6,FALSE)</f>
        <v>#N/A</v>
      </c>
      <c r="E70" s="618" t="e">
        <f>VLOOKUP($B70,'COMPOSIÇÃO CIVIL'!$B:$H,7,FALSE)</f>
        <v>#N/A</v>
      </c>
    </row>
    <row r="71" spans="2:5">
      <c r="B71" s="734" t="s">
        <v>13425</v>
      </c>
      <c r="C71" s="617" t="e">
        <f>VLOOKUP($B71,'COMPOSIÇÃO CIVIL'!$B:$G,2,FALSE)</f>
        <v>#N/A</v>
      </c>
      <c r="D71" s="616" t="e">
        <f>VLOOKUP($B71,'COMPOSIÇÃO CIVIL'!$B:$G,6,FALSE)</f>
        <v>#N/A</v>
      </c>
      <c r="E71" s="618" t="e">
        <f>VLOOKUP($B71,'COMPOSIÇÃO CIVIL'!$B:$H,7,FALSE)</f>
        <v>#N/A</v>
      </c>
    </row>
    <row r="72" spans="2:5">
      <c r="B72" s="734" t="s">
        <v>13426</v>
      </c>
      <c r="C72" s="617" t="e">
        <f>VLOOKUP($B72,'COMPOSIÇÃO CIVIL'!$B:$G,2,FALSE)</f>
        <v>#N/A</v>
      </c>
      <c r="D72" s="616" t="e">
        <f>VLOOKUP($B72,'COMPOSIÇÃO CIVIL'!$B:$G,6,FALSE)</f>
        <v>#N/A</v>
      </c>
      <c r="E72" s="618" t="e">
        <f>VLOOKUP($B72,'COMPOSIÇÃO CIVIL'!$B:$H,7,FALSE)</f>
        <v>#N/A</v>
      </c>
    </row>
    <row r="73" spans="2:5">
      <c r="B73" s="734" t="s">
        <v>13427</v>
      </c>
      <c r="C73" s="617" t="e">
        <f>VLOOKUP($B73,'COMPOSIÇÃO CIVIL'!$B:$G,2,FALSE)</f>
        <v>#N/A</v>
      </c>
      <c r="D73" s="616" t="e">
        <f>VLOOKUP($B73,'COMPOSIÇÃO CIVIL'!$B:$G,6,FALSE)</f>
        <v>#N/A</v>
      </c>
      <c r="E73" s="618" t="e">
        <f>VLOOKUP($B73,'COMPOSIÇÃO CIVIL'!$B:$H,7,FALSE)</f>
        <v>#N/A</v>
      </c>
    </row>
    <row r="74" spans="2:5">
      <c r="B74" s="734" t="s">
        <v>13428</v>
      </c>
      <c r="C74" s="617" t="e">
        <f>VLOOKUP($B74,'COMPOSIÇÃO CIVIL'!$B:$G,2,FALSE)</f>
        <v>#N/A</v>
      </c>
      <c r="D74" s="616" t="e">
        <f>VLOOKUP($B74,'COMPOSIÇÃO CIVIL'!$B:$G,6,FALSE)</f>
        <v>#N/A</v>
      </c>
      <c r="E74" s="618" t="e">
        <f>VLOOKUP($B74,'COMPOSIÇÃO CIVIL'!$B:$H,7,FALSE)</f>
        <v>#N/A</v>
      </c>
    </row>
    <row r="75" spans="2:5">
      <c r="B75" s="734" t="s">
        <v>13429</v>
      </c>
      <c r="C75" s="617" t="e">
        <f>VLOOKUP($B75,'COMPOSIÇÃO CIVIL'!$B:$G,2,FALSE)</f>
        <v>#N/A</v>
      </c>
      <c r="D75" s="616" t="e">
        <f>VLOOKUP($B75,'COMPOSIÇÃO CIVIL'!$B:$G,6,FALSE)</f>
        <v>#N/A</v>
      </c>
      <c r="E75" s="618" t="e">
        <f>VLOOKUP($B75,'COMPOSIÇÃO CIVIL'!$B:$H,7,FALSE)</f>
        <v>#N/A</v>
      </c>
    </row>
    <row r="76" spans="2:5">
      <c r="B76" s="734" t="s">
        <v>13430</v>
      </c>
      <c r="C76" s="617" t="e">
        <f>VLOOKUP($B76,'COMPOSIÇÃO CIVIL'!$B:$G,2,FALSE)</f>
        <v>#N/A</v>
      </c>
      <c r="D76" s="616" t="e">
        <f>VLOOKUP($B76,'COMPOSIÇÃO CIVIL'!$B:$G,6,FALSE)</f>
        <v>#N/A</v>
      </c>
      <c r="E76" s="618" t="e">
        <f>VLOOKUP($B76,'COMPOSIÇÃO CIVIL'!$B:$H,7,FALSE)</f>
        <v>#N/A</v>
      </c>
    </row>
    <row r="77" spans="2:5">
      <c r="B77" s="734" t="s">
        <v>13431</v>
      </c>
      <c r="C77" s="617" t="e">
        <f>VLOOKUP($B77,'COMPOSIÇÃO CIVIL'!$B:$G,2,FALSE)</f>
        <v>#N/A</v>
      </c>
      <c r="D77" s="616" t="e">
        <f>VLOOKUP($B77,'COMPOSIÇÃO CIVIL'!$B:$G,6,FALSE)</f>
        <v>#N/A</v>
      </c>
      <c r="E77" s="618" t="e">
        <f>VLOOKUP($B77,'COMPOSIÇÃO CIVIL'!$B:$H,7,FALSE)</f>
        <v>#N/A</v>
      </c>
    </row>
    <row r="78" spans="2:5">
      <c r="B78" s="734" t="s">
        <v>13432</v>
      </c>
      <c r="C78" s="617" t="e">
        <f>VLOOKUP($B78,'COMPOSIÇÃO CIVIL'!$B:$G,2,FALSE)</f>
        <v>#N/A</v>
      </c>
      <c r="D78" s="616" t="e">
        <f>VLOOKUP($B78,'COMPOSIÇÃO CIVIL'!$B:$G,6,FALSE)</f>
        <v>#N/A</v>
      </c>
      <c r="E78" s="618" t="e">
        <f>VLOOKUP($B78,'COMPOSIÇÃO CIVIL'!$B:$H,7,FALSE)</f>
        <v>#N/A</v>
      </c>
    </row>
    <row r="79" spans="2:5">
      <c r="B79" s="734" t="s">
        <v>13433</v>
      </c>
      <c r="C79" s="617" t="e">
        <f>VLOOKUP($B79,'COMPOSIÇÃO CIVIL'!$B:$G,2,FALSE)</f>
        <v>#N/A</v>
      </c>
      <c r="D79" s="616" t="e">
        <f>VLOOKUP($B79,'COMPOSIÇÃO CIVIL'!$B:$G,6,FALSE)</f>
        <v>#N/A</v>
      </c>
      <c r="E79" s="618" t="e">
        <f>VLOOKUP($B79,'COMPOSIÇÃO CIVIL'!$B:$H,7,FALSE)</f>
        <v>#N/A</v>
      </c>
    </row>
    <row r="80" spans="2:5">
      <c r="B80" s="734" t="s">
        <v>13434</v>
      </c>
      <c r="C80" s="617" t="e">
        <f>VLOOKUP($B80,'COMPOSIÇÃO CIVIL'!$B:$G,2,FALSE)</f>
        <v>#N/A</v>
      </c>
      <c r="D80" s="616" t="e">
        <f>VLOOKUP($B80,'COMPOSIÇÃO CIVIL'!$B:$G,6,FALSE)</f>
        <v>#N/A</v>
      </c>
      <c r="E80" s="618" t="e">
        <f>VLOOKUP($B80,'COMPOSIÇÃO CIVIL'!$B:$H,7,FALSE)</f>
        <v>#N/A</v>
      </c>
    </row>
    <row r="81" spans="2:5">
      <c r="B81" s="734" t="s">
        <v>13435</v>
      </c>
      <c r="C81" s="617" t="e">
        <f>VLOOKUP($B81,'COMPOSIÇÃO CIVIL'!$B:$G,2,FALSE)</f>
        <v>#N/A</v>
      </c>
      <c r="D81" s="616" t="e">
        <f>VLOOKUP($B81,'COMPOSIÇÃO CIVIL'!$B:$G,6,FALSE)</f>
        <v>#N/A</v>
      </c>
      <c r="E81" s="618" t="e">
        <f>VLOOKUP($B81,'COMPOSIÇÃO CIVIL'!$B:$H,7,FALSE)</f>
        <v>#N/A</v>
      </c>
    </row>
    <row r="82" spans="2:5">
      <c r="B82" s="734" t="s">
        <v>13436</v>
      </c>
      <c r="C82" s="617" t="e">
        <f>VLOOKUP($B82,'COMPOSIÇÃO CIVIL'!$B:$G,2,FALSE)</f>
        <v>#N/A</v>
      </c>
      <c r="D82" s="616" t="e">
        <f>VLOOKUP($B82,'COMPOSIÇÃO CIVIL'!$B:$G,6,FALSE)</f>
        <v>#N/A</v>
      </c>
      <c r="E82" s="618" t="e">
        <f>VLOOKUP($B82,'COMPOSIÇÃO CIVIL'!$B:$H,7,FALSE)</f>
        <v>#N/A</v>
      </c>
    </row>
    <row r="83" spans="2:5">
      <c r="B83" s="734" t="s">
        <v>13437</v>
      </c>
      <c r="C83" s="617" t="e">
        <f>VLOOKUP($B83,'COMPOSIÇÃO CIVIL'!$B:$G,2,FALSE)</f>
        <v>#N/A</v>
      </c>
      <c r="D83" s="616" t="e">
        <f>VLOOKUP($B83,'COMPOSIÇÃO CIVIL'!$B:$G,6,FALSE)</f>
        <v>#N/A</v>
      </c>
      <c r="E83" s="618" t="e">
        <f>VLOOKUP($B83,'COMPOSIÇÃO CIVIL'!$B:$H,7,FALSE)</f>
        <v>#N/A</v>
      </c>
    </row>
    <row r="84" spans="2:5">
      <c r="B84" s="734" t="s">
        <v>13438</v>
      </c>
      <c r="C84" s="617" t="e">
        <f>VLOOKUP($B84,'COMPOSIÇÃO CIVIL'!$B:$G,2,FALSE)</f>
        <v>#N/A</v>
      </c>
      <c r="D84" s="616" t="e">
        <f>VLOOKUP($B84,'COMPOSIÇÃO CIVIL'!$B:$G,6,FALSE)</f>
        <v>#N/A</v>
      </c>
      <c r="E84" s="618" t="e">
        <f>VLOOKUP($B84,'COMPOSIÇÃO CIVIL'!$B:$H,7,FALSE)</f>
        <v>#N/A</v>
      </c>
    </row>
    <row r="85" spans="2:5">
      <c r="B85" s="734" t="s">
        <v>13439</v>
      </c>
      <c r="C85" s="617" t="e">
        <f>VLOOKUP($B85,'COMPOSIÇÃO CIVIL'!$B:$G,2,FALSE)</f>
        <v>#N/A</v>
      </c>
      <c r="D85" s="616" t="e">
        <f>VLOOKUP($B85,'COMPOSIÇÃO CIVIL'!$B:$G,6,FALSE)</f>
        <v>#N/A</v>
      </c>
      <c r="E85" s="618" t="e">
        <f>VLOOKUP($B85,'COMPOSIÇÃO CIVIL'!$B:$H,7,FALSE)</f>
        <v>#N/A</v>
      </c>
    </row>
    <row r="86" spans="2:5">
      <c r="B86" s="734" t="s">
        <v>13440</v>
      </c>
      <c r="C86" s="617" t="e">
        <f>VLOOKUP($B86,'COMPOSIÇÃO CIVIL'!$B:$G,2,FALSE)</f>
        <v>#N/A</v>
      </c>
      <c r="D86" s="616" t="e">
        <f>VLOOKUP($B86,'COMPOSIÇÃO CIVIL'!$B:$G,6,FALSE)</f>
        <v>#N/A</v>
      </c>
      <c r="E86" s="618" t="e">
        <f>VLOOKUP($B86,'COMPOSIÇÃO CIVIL'!$B:$H,7,FALSE)</f>
        <v>#N/A</v>
      </c>
    </row>
    <row r="87" spans="2:5">
      <c r="B87" s="734" t="s">
        <v>13441</v>
      </c>
      <c r="C87" s="617" t="e">
        <f>VLOOKUP($B87,'COMPOSIÇÃO CIVIL'!$B:$G,2,FALSE)</f>
        <v>#N/A</v>
      </c>
      <c r="D87" s="616" t="e">
        <f>VLOOKUP($B87,'COMPOSIÇÃO CIVIL'!$B:$G,6,FALSE)</f>
        <v>#N/A</v>
      </c>
      <c r="E87" s="618" t="e">
        <f>VLOOKUP($B87,'COMPOSIÇÃO CIVIL'!$B:$H,7,FALSE)</f>
        <v>#N/A</v>
      </c>
    </row>
    <row r="88" spans="2:5">
      <c r="B88" s="734" t="s">
        <v>13442</v>
      </c>
      <c r="C88" s="617" t="e">
        <f>VLOOKUP($B88,'COMPOSIÇÃO CIVIL'!$B:$G,2,FALSE)</f>
        <v>#N/A</v>
      </c>
      <c r="D88" s="616" t="e">
        <f>VLOOKUP($B88,'COMPOSIÇÃO CIVIL'!$B:$G,6,FALSE)</f>
        <v>#N/A</v>
      </c>
      <c r="E88" s="618" t="e">
        <f>VLOOKUP($B88,'COMPOSIÇÃO CIVIL'!$B:$H,7,FALSE)</f>
        <v>#N/A</v>
      </c>
    </row>
    <row r="89" spans="2:5">
      <c r="B89" s="734" t="s">
        <v>13443</v>
      </c>
      <c r="C89" s="617" t="e">
        <f>VLOOKUP($B89,'COMPOSIÇÃO CIVIL'!$B:$G,2,FALSE)</f>
        <v>#N/A</v>
      </c>
      <c r="D89" s="616" t="e">
        <f>VLOOKUP($B89,'COMPOSIÇÃO CIVIL'!$B:$G,6,FALSE)</f>
        <v>#N/A</v>
      </c>
      <c r="E89" s="618" t="e">
        <f>VLOOKUP($B89,'COMPOSIÇÃO CIVIL'!$B:$H,7,FALSE)</f>
        <v>#N/A</v>
      </c>
    </row>
    <row r="90" spans="2:5">
      <c r="B90" s="734" t="s">
        <v>13444</v>
      </c>
      <c r="C90" s="617" t="e">
        <f>VLOOKUP($B90,'COMPOSIÇÃO CIVIL'!$B:$G,2,FALSE)</f>
        <v>#N/A</v>
      </c>
      <c r="D90" s="616" t="e">
        <f>VLOOKUP($B90,'COMPOSIÇÃO CIVIL'!$B:$G,6,FALSE)</f>
        <v>#N/A</v>
      </c>
      <c r="E90" s="618" t="e">
        <f>VLOOKUP($B90,'COMPOSIÇÃO CIVIL'!$B:$H,7,FALSE)</f>
        <v>#N/A</v>
      </c>
    </row>
    <row r="91" spans="2:5">
      <c r="B91" s="734" t="s">
        <v>13445</v>
      </c>
      <c r="C91" s="617" t="e">
        <f>VLOOKUP($B91,'COMPOSIÇÃO CIVIL'!$B:$G,2,FALSE)</f>
        <v>#N/A</v>
      </c>
      <c r="D91" s="616" t="e">
        <f>VLOOKUP($B91,'COMPOSIÇÃO CIVIL'!$B:$G,6,FALSE)</f>
        <v>#N/A</v>
      </c>
      <c r="E91" s="618" t="e">
        <f>VLOOKUP($B91,'COMPOSIÇÃO CIVIL'!$B:$H,7,FALSE)</f>
        <v>#N/A</v>
      </c>
    </row>
    <row r="92" spans="2:5">
      <c r="B92" s="734" t="s">
        <v>13446</v>
      </c>
      <c r="C92" s="617" t="e">
        <f>VLOOKUP($B92,'COMPOSIÇÃO CIVIL'!$B:$G,2,FALSE)</f>
        <v>#N/A</v>
      </c>
      <c r="D92" s="616" t="e">
        <f>VLOOKUP($B92,'COMPOSIÇÃO CIVIL'!$B:$G,6,FALSE)</f>
        <v>#N/A</v>
      </c>
      <c r="E92" s="618" t="e">
        <f>VLOOKUP($B92,'COMPOSIÇÃO CIVIL'!$B:$H,7,FALSE)</f>
        <v>#N/A</v>
      </c>
    </row>
    <row r="93" spans="2:5">
      <c r="B93" s="734" t="s">
        <v>13447</v>
      </c>
      <c r="C93" s="617" t="e">
        <f>VLOOKUP($B93,'COMPOSIÇÃO CIVIL'!$B:$G,2,FALSE)</f>
        <v>#N/A</v>
      </c>
      <c r="D93" s="616" t="e">
        <f>VLOOKUP($B93,'COMPOSIÇÃO CIVIL'!$B:$G,6,FALSE)</f>
        <v>#N/A</v>
      </c>
      <c r="E93" s="618" t="e">
        <f>VLOOKUP($B93,'COMPOSIÇÃO CIVIL'!$B:$H,7,FALSE)</f>
        <v>#N/A</v>
      </c>
    </row>
    <row r="94" spans="2:5">
      <c r="B94" s="734" t="s">
        <v>13448</v>
      </c>
      <c r="C94" s="617" t="e">
        <f>VLOOKUP($B94,'COMPOSIÇÃO CIVIL'!$B:$G,2,FALSE)</f>
        <v>#N/A</v>
      </c>
      <c r="D94" s="616" t="e">
        <f>VLOOKUP($B94,'COMPOSIÇÃO CIVIL'!$B:$G,6,FALSE)</f>
        <v>#N/A</v>
      </c>
      <c r="E94" s="618" t="e">
        <f>VLOOKUP($B94,'COMPOSIÇÃO CIVIL'!$B:$H,7,FALSE)</f>
        <v>#N/A</v>
      </c>
    </row>
    <row r="95" spans="2:5">
      <c r="B95" s="734" t="s">
        <v>13449</v>
      </c>
      <c r="C95" s="617" t="e">
        <f>VLOOKUP($B95,'COMPOSIÇÃO CIVIL'!$B:$G,2,FALSE)</f>
        <v>#N/A</v>
      </c>
      <c r="D95" s="616" t="e">
        <f>VLOOKUP($B95,'COMPOSIÇÃO CIVIL'!$B:$G,6,FALSE)</f>
        <v>#N/A</v>
      </c>
      <c r="E95" s="618" t="e">
        <f>VLOOKUP($B95,'COMPOSIÇÃO CIVIL'!$B:$H,7,FALSE)</f>
        <v>#N/A</v>
      </c>
    </row>
    <row r="96" spans="2:5">
      <c r="B96" s="734" t="s">
        <v>13450</v>
      </c>
      <c r="C96" s="617" t="e">
        <f>VLOOKUP($B96,'COMPOSIÇÃO CIVIL'!$B:$G,2,FALSE)</f>
        <v>#N/A</v>
      </c>
      <c r="D96" s="616" t="e">
        <f>VLOOKUP($B96,'COMPOSIÇÃO CIVIL'!$B:$G,6,FALSE)</f>
        <v>#N/A</v>
      </c>
      <c r="E96" s="618" t="e">
        <f>VLOOKUP($B96,'COMPOSIÇÃO CIVIL'!$B:$H,7,FALSE)</f>
        <v>#N/A</v>
      </c>
    </row>
    <row r="97" spans="2:5">
      <c r="B97" s="734" t="s">
        <v>13451</v>
      </c>
      <c r="C97" s="617" t="e">
        <f>VLOOKUP($B97,'COMPOSIÇÃO CIVIL'!$B:$G,2,FALSE)</f>
        <v>#N/A</v>
      </c>
      <c r="D97" s="616" t="e">
        <f>VLOOKUP($B97,'COMPOSIÇÃO CIVIL'!$B:$G,6,FALSE)</f>
        <v>#N/A</v>
      </c>
      <c r="E97" s="618" t="e">
        <f>VLOOKUP($B97,'COMPOSIÇÃO CIVIL'!$B:$H,7,FALSE)</f>
        <v>#N/A</v>
      </c>
    </row>
    <row r="98" spans="2:5">
      <c r="B98" s="734" t="s">
        <v>13452</v>
      </c>
      <c r="C98" s="617" t="e">
        <f>VLOOKUP($B98,'COMPOSIÇÃO CIVIL'!$B:$G,2,FALSE)</f>
        <v>#N/A</v>
      </c>
      <c r="D98" s="616" t="e">
        <f>VLOOKUP($B98,'COMPOSIÇÃO CIVIL'!$B:$G,6,FALSE)</f>
        <v>#N/A</v>
      </c>
      <c r="E98" s="618" t="e">
        <f>VLOOKUP($B98,'COMPOSIÇÃO CIVIL'!$B:$H,7,FALSE)</f>
        <v>#N/A</v>
      </c>
    </row>
    <row r="99" spans="2:5">
      <c r="B99" s="734" t="s">
        <v>13453</v>
      </c>
      <c r="C99" s="617" t="e">
        <f>VLOOKUP($B99,'COMPOSIÇÃO CIVIL'!$B:$G,2,FALSE)</f>
        <v>#N/A</v>
      </c>
      <c r="D99" s="616" t="e">
        <f>VLOOKUP($B99,'COMPOSIÇÃO CIVIL'!$B:$G,6,FALSE)</f>
        <v>#N/A</v>
      </c>
      <c r="E99" s="618" t="e">
        <f>VLOOKUP($B99,'COMPOSIÇÃO CIVIL'!$B:$H,7,FALSE)</f>
        <v>#N/A</v>
      </c>
    </row>
    <row r="100" spans="2:5">
      <c r="B100" s="734" t="s">
        <v>13454</v>
      </c>
      <c r="C100" s="617" t="e">
        <f>VLOOKUP($B100,'COMPOSIÇÃO CIVIL'!$B:$G,2,FALSE)</f>
        <v>#N/A</v>
      </c>
      <c r="D100" s="616" t="e">
        <f>VLOOKUP($B100,'COMPOSIÇÃO CIVIL'!$B:$G,6,FALSE)</f>
        <v>#N/A</v>
      </c>
      <c r="E100" s="618" t="e">
        <f>VLOOKUP($B100,'COMPOSIÇÃO CIVIL'!$B:$H,7,FALSE)</f>
        <v>#N/A</v>
      </c>
    </row>
    <row r="101" spans="2:5">
      <c r="B101" s="734" t="s">
        <v>13455</v>
      </c>
      <c r="C101" s="617" t="e">
        <f>VLOOKUP($B101,'COMPOSIÇÃO CIVIL'!$B:$G,2,FALSE)</f>
        <v>#N/A</v>
      </c>
      <c r="D101" s="616" t="e">
        <f>VLOOKUP($B101,'COMPOSIÇÃO CIVIL'!$B:$G,6,FALSE)</f>
        <v>#N/A</v>
      </c>
      <c r="E101" s="618" t="e">
        <f>VLOOKUP($B101,'COMPOSIÇÃO CIVIL'!$B:$H,7,FALSE)</f>
        <v>#N/A</v>
      </c>
    </row>
    <row r="102" spans="2:5">
      <c r="B102" s="734" t="s">
        <v>13456</v>
      </c>
      <c r="C102" s="617" t="e">
        <f>VLOOKUP($B102,'COMPOSIÇÃO CIVIL'!$B:$G,2,FALSE)</f>
        <v>#N/A</v>
      </c>
      <c r="D102" s="616" t="e">
        <f>VLOOKUP($B102,'COMPOSIÇÃO CIVIL'!$B:$G,6,FALSE)</f>
        <v>#N/A</v>
      </c>
      <c r="E102" s="618" t="e">
        <f>VLOOKUP($B102,'COMPOSIÇÃO CIVIL'!$B:$H,7,FALSE)</f>
        <v>#N/A</v>
      </c>
    </row>
    <row r="103" spans="2:5">
      <c r="B103" s="734" t="s">
        <v>13457</v>
      </c>
      <c r="C103" s="617" t="e">
        <f>VLOOKUP($B103,'COMPOSIÇÃO CIVIL'!$B:$G,2,FALSE)</f>
        <v>#N/A</v>
      </c>
      <c r="D103" s="616" t="e">
        <f>VLOOKUP($B103,'COMPOSIÇÃO CIVIL'!$B:$G,6,FALSE)</f>
        <v>#N/A</v>
      </c>
      <c r="E103" s="618" t="e">
        <f>VLOOKUP($B103,'COMPOSIÇÃO CIVIL'!$B:$H,7,FALSE)</f>
        <v>#N/A</v>
      </c>
    </row>
    <row r="104" spans="2:5">
      <c r="B104" s="734" t="s">
        <v>13458</v>
      </c>
      <c r="C104" s="617" t="e">
        <f>VLOOKUP($B104,'COMPOSIÇÃO CIVIL'!$B:$G,2,FALSE)</f>
        <v>#N/A</v>
      </c>
      <c r="D104" s="616" t="e">
        <f>VLOOKUP($B104,'COMPOSIÇÃO CIVIL'!$B:$G,6,FALSE)</f>
        <v>#N/A</v>
      </c>
      <c r="E104" s="618" t="e">
        <f>VLOOKUP($B104,'COMPOSIÇÃO CIVIL'!$B:$H,7,FALSE)</f>
        <v>#N/A</v>
      </c>
    </row>
    <row r="105" spans="2:5">
      <c r="B105" s="734" t="s">
        <v>13459</v>
      </c>
      <c r="C105" s="617" t="e">
        <f>VLOOKUP($B105,'COMPOSIÇÃO CIVIL'!$B:$G,2,FALSE)</f>
        <v>#N/A</v>
      </c>
      <c r="D105" s="616" t="e">
        <f>VLOOKUP($B105,'COMPOSIÇÃO CIVIL'!$B:$G,6,FALSE)</f>
        <v>#N/A</v>
      </c>
      <c r="E105" s="618" t="e">
        <f>VLOOKUP($B105,'COMPOSIÇÃO CIVIL'!$B:$H,7,FALSE)</f>
        <v>#N/A</v>
      </c>
    </row>
    <row r="106" spans="2:5">
      <c r="B106" s="734" t="s">
        <v>13460</v>
      </c>
      <c r="C106" s="617" t="e">
        <f>VLOOKUP($B106,'COMPOSIÇÃO CIVIL'!$B:$G,2,FALSE)</f>
        <v>#N/A</v>
      </c>
      <c r="D106" s="616" t="e">
        <f>VLOOKUP($B106,'COMPOSIÇÃO CIVIL'!$B:$G,6,FALSE)</f>
        <v>#N/A</v>
      </c>
      <c r="E106" s="618" t="e">
        <f>VLOOKUP($B106,'COMPOSIÇÃO CIVIL'!$B:$H,7,FALSE)</f>
        <v>#N/A</v>
      </c>
    </row>
    <row r="107" spans="2:5">
      <c r="B107" s="734" t="s">
        <v>13461</v>
      </c>
      <c r="C107" s="617" t="e">
        <f>VLOOKUP($B107,'COMPOSIÇÃO CIVIL'!$B:$G,2,FALSE)</f>
        <v>#N/A</v>
      </c>
      <c r="D107" s="616" t="e">
        <f>VLOOKUP($B107,'COMPOSIÇÃO CIVIL'!$B:$G,6,FALSE)</f>
        <v>#N/A</v>
      </c>
      <c r="E107" s="618" t="e">
        <f>VLOOKUP($B107,'COMPOSIÇÃO CIVIL'!$B:$H,7,FALSE)</f>
        <v>#N/A</v>
      </c>
    </row>
    <row r="108" spans="2:5">
      <c r="B108" s="734" t="s">
        <v>13462</v>
      </c>
      <c r="C108" s="617" t="e">
        <f>VLOOKUP($B108,'COMPOSIÇÃO CIVIL'!$B:$G,2,FALSE)</f>
        <v>#N/A</v>
      </c>
      <c r="D108" s="616" t="e">
        <f>VLOOKUP($B108,'COMPOSIÇÃO CIVIL'!$B:$G,6,FALSE)</f>
        <v>#N/A</v>
      </c>
      <c r="E108" s="618" t="e">
        <f>VLOOKUP($B108,'COMPOSIÇÃO CIVIL'!$B:$H,7,FALSE)</f>
        <v>#N/A</v>
      </c>
    </row>
    <row r="109" spans="2:5">
      <c r="B109" s="734" t="s">
        <v>13463</v>
      </c>
      <c r="C109" s="617" t="e">
        <f>VLOOKUP($B109,'COMPOSIÇÃO CIVIL'!$B:$G,2,FALSE)</f>
        <v>#N/A</v>
      </c>
      <c r="D109" s="616" t="e">
        <f>VLOOKUP($B109,'COMPOSIÇÃO CIVIL'!$B:$G,6,FALSE)</f>
        <v>#N/A</v>
      </c>
      <c r="E109" s="618" t="e">
        <f>VLOOKUP($B109,'COMPOSIÇÃO CIVIL'!$B:$H,7,FALSE)</f>
        <v>#N/A</v>
      </c>
    </row>
    <row r="110" spans="2:5">
      <c r="B110" s="734" t="s">
        <v>13464</v>
      </c>
      <c r="C110" s="617" t="e">
        <f>VLOOKUP($B110,'COMPOSIÇÃO CIVIL'!$B:$G,2,FALSE)</f>
        <v>#N/A</v>
      </c>
      <c r="D110" s="616" t="e">
        <f>VLOOKUP($B110,'COMPOSIÇÃO CIVIL'!$B:$G,6,FALSE)</f>
        <v>#N/A</v>
      </c>
      <c r="E110" s="618" t="e">
        <f>VLOOKUP($B110,'COMPOSIÇÃO CIVIL'!$B:$H,7,FALSE)</f>
        <v>#N/A</v>
      </c>
    </row>
    <row r="111" spans="2:5">
      <c r="B111" s="734" t="s">
        <v>13465</v>
      </c>
      <c r="C111" s="617" t="e">
        <f>VLOOKUP($B111,'COMPOSIÇÃO CIVIL'!$B:$G,2,FALSE)</f>
        <v>#N/A</v>
      </c>
      <c r="D111" s="616" t="e">
        <f>VLOOKUP($B111,'COMPOSIÇÃO CIVIL'!$B:$G,6,FALSE)</f>
        <v>#N/A</v>
      </c>
      <c r="E111" s="618" t="e">
        <f>VLOOKUP($B111,'COMPOSIÇÃO CIVIL'!$B:$H,7,FALSE)</f>
        <v>#N/A</v>
      </c>
    </row>
    <row r="112" spans="2:5">
      <c r="B112" s="734" t="s">
        <v>13466</v>
      </c>
      <c r="C112" s="617" t="e">
        <f>VLOOKUP($B112,'COMPOSIÇÃO CIVIL'!$B:$G,2,FALSE)</f>
        <v>#N/A</v>
      </c>
      <c r="D112" s="616" t="e">
        <f>VLOOKUP($B112,'COMPOSIÇÃO CIVIL'!$B:$G,6,FALSE)</f>
        <v>#N/A</v>
      </c>
      <c r="E112" s="618" t="e">
        <f>VLOOKUP($B112,'COMPOSIÇÃO CIVIL'!$B:$H,7,FALSE)</f>
        <v>#N/A</v>
      </c>
    </row>
    <row r="113" spans="2:5">
      <c r="B113" s="734" t="s">
        <v>13467</v>
      </c>
      <c r="C113" s="617" t="e">
        <f>VLOOKUP($B113,'COMPOSIÇÃO CIVIL'!$B:$G,2,FALSE)</f>
        <v>#N/A</v>
      </c>
      <c r="D113" s="616" t="e">
        <f>VLOOKUP($B113,'COMPOSIÇÃO CIVIL'!$B:$G,6,FALSE)</f>
        <v>#N/A</v>
      </c>
      <c r="E113" s="618" t="e">
        <f>VLOOKUP($B113,'COMPOSIÇÃO CIVIL'!$B:$H,7,FALSE)</f>
        <v>#N/A</v>
      </c>
    </row>
    <row r="114" spans="2:5">
      <c r="B114" s="734" t="s">
        <v>13468</v>
      </c>
      <c r="C114" s="617" t="e">
        <f>VLOOKUP($B114,'COMPOSIÇÃO CIVIL'!$B:$G,2,FALSE)</f>
        <v>#N/A</v>
      </c>
      <c r="D114" s="616" t="e">
        <f>VLOOKUP($B114,'COMPOSIÇÃO CIVIL'!$B:$G,6,FALSE)</f>
        <v>#N/A</v>
      </c>
      <c r="E114" s="618" t="e">
        <f>VLOOKUP($B114,'COMPOSIÇÃO CIVIL'!$B:$H,7,FALSE)</f>
        <v>#N/A</v>
      </c>
    </row>
    <row r="115" spans="2:5">
      <c r="B115" s="734" t="s">
        <v>13469</v>
      </c>
      <c r="C115" s="617" t="e">
        <f>VLOOKUP($B115,'COMPOSIÇÃO CIVIL'!$B:$G,2,FALSE)</f>
        <v>#N/A</v>
      </c>
      <c r="D115" s="616" t="e">
        <f>VLOOKUP($B115,'COMPOSIÇÃO CIVIL'!$B:$G,6,FALSE)</f>
        <v>#N/A</v>
      </c>
      <c r="E115" s="618" t="e">
        <f>VLOOKUP($B115,'COMPOSIÇÃO CIVIL'!$B:$H,7,FALSE)</f>
        <v>#N/A</v>
      </c>
    </row>
    <row r="116" spans="2:5">
      <c r="B116" s="734" t="s">
        <v>13470</v>
      </c>
      <c r="C116" s="617" t="e">
        <f>VLOOKUP($B116,'COMPOSIÇÃO CIVIL'!$B:$G,2,FALSE)</f>
        <v>#N/A</v>
      </c>
      <c r="D116" s="616" t="e">
        <f>VLOOKUP($B116,'COMPOSIÇÃO CIVIL'!$B:$G,6,FALSE)</f>
        <v>#N/A</v>
      </c>
      <c r="E116" s="618" t="e">
        <f>VLOOKUP($B116,'COMPOSIÇÃO CIVIL'!$B:$H,7,FALSE)</f>
        <v>#N/A</v>
      </c>
    </row>
    <row r="117" spans="2:5">
      <c r="B117" s="734" t="s">
        <v>13471</v>
      </c>
      <c r="C117" s="617" t="e">
        <f>VLOOKUP($B117,'COMPOSIÇÃO CIVIL'!$B:$G,2,FALSE)</f>
        <v>#N/A</v>
      </c>
      <c r="D117" s="616" t="e">
        <f>VLOOKUP($B117,'COMPOSIÇÃO CIVIL'!$B:$G,6,FALSE)</f>
        <v>#N/A</v>
      </c>
      <c r="E117" s="618" t="e">
        <f>VLOOKUP($B117,'COMPOSIÇÃO CIVIL'!$B:$H,7,FALSE)</f>
        <v>#N/A</v>
      </c>
    </row>
    <row r="118" spans="2:5">
      <c r="B118" s="734" t="s">
        <v>13472</v>
      </c>
      <c r="C118" s="617" t="e">
        <f>VLOOKUP($B118,'COMPOSIÇÃO CIVIL'!$B:$G,2,FALSE)</f>
        <v>#N/A</v>
      </c>
      <c r="D118" s="616" t="e">
        <f>VLOOKUP($B118,'COMPOSIÇÃO CIVIL'!$B:$G,6,FALSE)</f>
        <v>#N/A</v>
      </c>
      <c r="E118" s="618" t="e">
        <f>VLOOKUP($B118,'COMPOSIÇÃO CIVIL'!$B:$H,7,FALSE)</f>
        <v>#N/A</v>
      </c>
    </row>
    <row r="119" spans="2:5">
      <c r="B119" s="734" t="s">
        <v>13473</v>
      </c>
      <c r="C119" s="617" t="e">
        <f>VLOOKUP($B119,'COMPOSIÇÃO CIVIL'!$B:$G,2,FALSE)</f>
        <v>#N/A</v>
      </c>
      <c r="D119" s="616" t="e">
        <f>VLOOKUP($B119,'COMPOSIÇÃO CIVIL'!$B:$G,6,FALSE)</f>
        <v>#N/A</v>
      </c>
      <c r="E119" s="618" t="e">
        <f>VLOOKUP($B119,'COMPOSIÇÃO CIVIL'!$B:$H,7,FALSE)</f>
        <v>#N/A</v>
      </c>
    </row>
    <row r="120" spans="2:5">
      <c r="B120" s="734" t="s">
        <v>13474</v>
      </c>
      <c r="C120" s="617" t="e">
        <f>VLOOKUP($B120,'COMPOSIÇÃO CIVIL'!$B:$G,2,FALSE)</f>
        <v>#N/A</v>
      </c>
      <c r="D120" s="616" t="e">
        <f>VLOOKUP($B120,'COMPOSIÇÃO CIVIL'!$B:$G,6,FALSE)</f>
        <v>#N/A</v>
      </c>
      <c r="E120" s="618" t="e">
        <f>VLOOKUP($B120,'COMPOSIÇÃO CIVIL'!$B:$H,7,FALSE)</f>
        <v>#N/A</v>
      </c>
    </row>
    <row r="121" spans="2:5">
      <c r="B121" s="734" t="s">
        <v>13475</v>
      </c>
      <c r="C121" s="617" t="e">
        <f>VLOOKUP($B121,'COMPOSIÇÃO CIVIL'!$B:$G,2,FALSE)</f>
        <v>#N/A</v>
      </c>
      <c r="D121" s="616" t="e">
        <f>VLOOKUP($B121,'COMPOSIÇÃO CIVIL'!$B:$G,6,FALSE)</f>
        <v>#N/A</v>
      </c>
      <c r="E121" s="618" t="e">
        <f>VLOOKUP($B121,'COMPOSIÇÃO CIVIL'!$B:$H,7,FALSE)</f>
        <v>#N/A</v>
      </c>
    </row>
    <row r="122" spans="2:5">
      <c r="B122" s="734" t="s">
        <v>13476</v>
      </c>
      <c r="C122" s="617" t="e">
        <f>VLOOKUP($B122,'COMPOSIÇÃO CIVIL'!$B:$G,2,FALSE)</f>
        <v>#N/A</v>
      </c>
      <c r="D122" s="616" t="e">
        <f>VLOOKUP($B122,'COMPOSIÇÃO CIVIL'!$B:$G,6,FALSE)</f>
        <v>#N/A</v>
      </c>
      <c r="E122" s="618" t="e">
        <f>VLOOKUP($B122,'COMPOSIÇÃO CIVIL'!$B:$H,7,FALSE)</f>
        <v>#N/A</v>
      </c>
    </row>
    <row r="123" spans="2:5">
      <c r="B123" s="734" t="s">
        <v>13477</v>
      </c>
      <c r="C123" s="617" t="e">
        <f>VLOOKUP($B123,'COMPOSIÇÃO CIVIL'!$B:$G,2,FALSE)</f>
        <v>#N/A</v>
      </c>
      <c r="D123" s="616" t="e">
        <f>VLOOKUP($B123,'COMPOSIÇÃO CIVIL'!$B:$G,6,FALSE)</f>
        <v>#N/A</v>
      </c>
      <c r="E123" s="618" t="e">
        <f>VLOOKUP($B123,'COMPOSIÇÃO CIVIL'!$B:$H,7,FALSE)</f>
        <v>#N/A</v>
      </c>
    </row>
    <row r="124" spans="2:5">
      <c r="B124" s="734" t="s">
        <v>13478</v>
      </c>
      <c r="C124" s="617" t="e">
        <f>VLOOKUP($B124,'COMPOSIÇÃO CIVIL'!$B:$G,2,FALSE)</f>
        <v>#N/A</v>
      </c>
      <c r="D124" s="616" t="e">
        <f>VLOOKUP($B124,'COMPOSIÇÃO CIVIL'!$B:$G,6,FALSE)</f>
        <v>#N/A</v>
      </c>
      <c r="E124" s="618" t="e">
        <f>VLOOKUP($B124,'COMPOSIÇÃO CIVIL'!$B:$H,7,FALSE)</f>
        <v>#N/A</v>
      </c>
    </row>
    <row r="125" spans="2:5">
      <c r="B125" s="734" t="s">
        <v>13479</v>
      </c>
      <c r="C125" s="617" t="e">
        <f>VLOOKUP($B125,'COMPOSIÇÃO CIVIL'!$B:$G,2,FALSE)</f>
        <v>#N/A</v>
      </c>
      <c r="D125" s="616" t="e">
        <f>VLOOKUP($B125,'COMPOSIÇÃO CIVIL'!$B:$G,6,FALSE)</f>
        <v>#N/A</v>
      </c>
      <c r="E125" s="618" t="e">
        <f>VLOOKUP($B125,'COMPOSIÇÃO CIVIL'!$B:$H,7,FALSE)</f>
        <v>#N/A</v>
      </c>
    </row>
    <row r="126" spans="2:5">
      <c r="B126" s="734" t="s">
        <v>13480</v>
      </c>
      <c r="C126" s="617" t="e">
        <f>VLOOKUP($B126,'COMPOSIÇÃO CIVIL'!$B:$G,2,FALSE)</f>
        <v>#N/A</v>
      </c>
      <c r="D126" s="616" t="e">
        <f>VLOOKUP($B126,'COMPOSIÇÃO CIVIL'!$B:$G,6,FALSE)</f>
        <v>#N/A</v>
      </c>
      <c r="E126" s="618" t="e">
        <f>VLOOKUP($B126,'COMPOSIÇÃO CIVIL'!$B:$H,7,FALSE)</f>
        <v>#N/A</v>
      </c>
    </row>
    <row r="127" spans="2:5">
      <c r="B127" s="734" t="s">
        <v>13481</v>
      </c>
      <c r="C127" s="617" t="e">
        <f>VLOOKUP($B127,'COMPOSIÇÃO CIVIL'!$B:$G,2,FALSE)</f>
        <v>#N/A</v>
      </c>
      <c r="D127" s="616" t="e">
        <f>VLOOKUP($B127,'COMPOSIÇÃO CIVIL'!$B:$G,6,FALSE)</f>
        <v>#N/A</v>
      </c>
      <c r="E127" s="618" t="e">
        <f>VLOOKUP($B127,'COMPOSIÇÃO CIVIL'!$B:$H,7,FALSE)</f>
        <v>#N/A</v>
      </c>
    </row>
    <row r="128" spans="2:5">
      <c r="B128" s="734" t="s">
        <v>13482</v>
      </c>
      <c r="C128" s="617" t="e">
        <f>VLOOKUP($B128,'COMPOSIÇÃO CIVIL'!$B:$G,2,FALSE)</f>
        <v>#N/A</v>
      </c>
      <c r="D128" s="616" t="e">
        <f>VLOOKUP($B128,'COMPOSIÇÃO CIVIL'!$B:$G,6,FALSE)</f>
        <v>#N/A</v>
      </c>
      <c r="E128" s="618" t="e">
        <f>VLOOKUP($B128,'COMPOSIÇÃO CIVIL'!$B:$H,7,FALSE)</f>
        <v>#N/A</v>
      </c>
    </row>
    <row r="129" spans="2:5">
      <c r="B129" s="734" t="s">
        <v>13483</v>
      </c>
      <c r="C129" s="617" t="e">
        <f>VLOOKUP($B129,'COMPOSIÇÃO CIVIL'!$B:$G,2,FALSE)</f>
        <v>#N/A</v>
      </c>
      <c r="D129" s="616" t="e">
        <f>VLOOKUP($B129,'COMPOSIÇÃO CIVIL'!$B:$G,6,FALSE)</f>
        <v>#N/A</v>
      </c>
      <c r="E129" s="618" t="e">
        <f>VLOOKUP($B129,'COMPOSIÇÃO CIVIL'!$B:$H,7,FALSE)</f>
        <v>#N/A</v>
      </c>
    </row>
    <row r="130" spans="2:5">
      <c r="B130" s="734" t="s">
        <v>13484</v>
      </c>
      <c r="C130" s="617" t="e">
        <f>VLOOKUP($B130,'COMPOSIÇÃO CIVIL'!$B:$G,2,FALSE)</f>
        <v>#N/A</v>
      </c>
      <c r="D130" s="616" t="e">
        <f>VLOOKUP($B130,'COMPOSIÇÃO CIVIL'!$B:$G,6,FALSE)</f>
        <v>#N/A</v>
      </c>
      <c r="E130" s="618" t="e">
        <f>VLOOKUP($B130,'COMPOSIÇÃO CIVIL'!$B:$H,7,FALSE)</f>
        <v>#N/A</v>
      </c>
    </row>
    <row r="131" spans="2:5">
      <c r="B131" s="734" t="s">
        <v>13485</v>
      </c>
      <c r="C131" s="617" t="e">
        <f>VLOOKUP($B131,'COMPOSIÇÃO CIVIL'!$B:$G,2,FALSE)</f>
        <v>#N/A</v>
      </c>
      <c r="D131" s="616" t="e">
        <f>VLOOKUP($B131,'COMPOSIÇÃO CIVIL'!$B:$G,6,FALSE)</f>
        <v>#N/A</v>
      </c>
      <c r="E131" s="618" t="e">
        <f>VLOOKUP($B131,'COMPOSIÇÃO CIVIL'!$B:$H,7,FALSE)</f>
        <v>#N/A</v>
      </c>
    </row>
    <row r="132" spans="2:5">
      <c r="B132" s="734" t="s">
        <v>13486</v>
      </c>
      <c r="C132" s="617" t="e">
        <f>VLOOKUP($B132,'COMPOSIÇÃO CIVIL'!$B:$G,2,FALSE)</f>
        <v>#N/A</v>
      </c>
      <c r="D132" s="616" t="e">
        <f>VLOOKUP($B132,'COMPOSIÇÃO CIVIL'!$B:$G,6,FALSE)</f>
        <v>#N/A</v>
      </c>
      <c r="E132" s="618" t="e">
        <f>VLOOKUP($B132,'COMPOSIÇÃO CIVIL'!$B:$H,7,FALSE)</f>
        <v>#N/A</v>
      </c>
    </row>
    <row r="133" spans="2:5">
      <c r="B133" s="734" t="s">
        <v>13487</v>
      </c>
      <c r="C133" s="617" t="e">
        <f>VLOOKUP($B133,'COMPOSIÇÃO CIVIL'!$B:$G,2,FALSE)</f>
        <v>#N/A</v>
      </c>
      <c r="D133" s="616" t="e">
        <f>VLOOKUP($B133,'COMPOSIÇÃO CIVIL'!$B:$G,6,FALSE)</f>
        <v>#N/A</v>
      </c>
      <c r="E133" s="618" t="e">
        <f>VLOOKUP($B133,'COMPOSIÇÃO CIVIL'!$B:$H,7,FALSE)</f>
        <v>#N/A</v>
      </c>
    </row>
    <row r="134" spans="2:5">
      <c r="B134" s="734" t="s">
        <v>13488</v>
      </c>
      <c r="C134" s="617" t="e">
        <f>VLOOKUP($B134,'COMPOSIÇÃO CIVIL'!$B:$G,2,FALSE)</f>
        <v>#N/A</v>
      </c>
      <c r="D134" s="616" t="e">
        <f>VLOOKUP($B134,'COMPOSIÇÃO CIVIL'!$B:$G,6,FALSE)</f>
        <v>#N/A</v>
      </c>
      <c r="E134" s="618" t="e">
        <f>VLOOKUP($B134,'COMPOSIÇÃO CIVIL'!$B:$H,7,FALSE)</f>
        <v>#N/A</v>
      </c>
    </row>
    <row r="135" spans="2:5">
      <c r="B135" s="734" t="s">
        <v>13489</v>
      </c>
      <c r="C135" s="617" t="e">
        <f>VLOOKUP($B135,'COMPOSIÇÃO CIVIL'!$B:$G,2,FALSE)</f>
        <v>#N/A</v>
      </c>
      <c r="D135" s="616" t="e">
        <f>VLOOKUP($B135,'COMPOSIÇÃO CIVIL'!$B:$G,6,FALSE)</f>
        <v>#N/A</v>
      </c>
      <c r="E135" s="618" t="e">
        <f>VLOOKUP($B135,'COMPOSIÇÃO CIVIL'!$B:$H,7,FALSE)</f>
        <v>#N/A</v>
      </c>
    </row>
    <row r="136" spans="2:5">
      <c r="B136" s="734" t="s">
        <v>13490</v>
      </c>
      <c r="C136" s="617" t="e">
        <f>VLOOKUP($B136,'COMPOSIÇÃO CIVIL'!$B:$G,2,FALSE)</f>
        <v>#N/A</v>
      </c>
      <c r="D136" s="616" t="e">
        <f>VLOOKUP($B136,'COMPOSIÇÃO CIVIL'!$B:$G,6,FALSE)</f>
        <v>#N/A</v>
      </c>
      <c r="E136" s="618" t="e">
        <f>VLOOKUP($B136,'COMPOSIÇÃO CIVIL'!$B:$H,7,FALSE)</f>
        <v>#N/A</v>
      </c>
    </row>
    <row r="137" spans="2:5">
      <c r="B137" s="734" t="s">
        <v>13491</v>
      </c>
      <c r="C137" s="617" t="e">
        <f>VLOOKUP($B137,'COMPOSIÇÃO CIVIL'!$B:$G,2,FALSE)</f>
        <v>#N/A</v>
      </c>
      <c r="D137" s="616" t="e">
        <f>VLOOKUP($B137,'COMPOSIÇÃO CIVIL'!$B:$G,6,FALSE)</f>
        <v>#N/A</v>
      </c>
      <c r="E137" s="618" t="e">
        <f>VLOOKUP($B137,'COMPOSIÇÃO CIVIL'!$B:$H,7,FALSE)</f>
        <v>#N/A</v>
      </c>
    </row>
    <row r="138" spans="2:5">
      <c r="B138" s="734" t="s">
        <v>13492</v>
      </c>
      <c r="C138" s="617" t="e">
        <f>VLOOKUP($B138,'COMPOSIÇÃO CIVIL'!$B:$G,2,FALSE)</f>
        <v>#N/A</v>
      </c>
      <c r="D138" s="616" t="e">
        <f>VLOOKUP($B138,'COMPOSIÇÃO CIVIL'!$B:$G,6,FALSE)</f>
        <v>#N/A</v>
      </c>
      <c r="E138" s="618" t="e">
        <f>VLOOKUP($B138,'COMPOSIÇÃO CIVIL'!$B:$H,7,FALSE)</f>
        <v>#N/A</v>
      </c>
    </row>
    <row r="139" spans="2:5">
      <c r="B139" s="734" t="s">
        <v>13493</v>
      </c>
      <c r="C139" s="617" t="e">
        <f>VLOOKUP($B139,'COMPOSIÇÃO CIVIL'!$B:$G,2,FALSE)</f>
        <v>#N/A</v>
      </c>
      <c r="D139" s="616" t="e">
        <f>VLOOKUP($B139,'COMPOSIÇÃO CIVIL'!$B:$G,6,FALSE)</f>
        <v>#N/A</v>
      </c>
      <c r="E139" s="618" t="e">
        <f>VLOOKUP($B139,'COMPOSIÇÃO CIVIL'!$B:$H,7,FALSE)</f>
        <v>#N/A</v>
      </c>
    </row>
    <row r="140" spans="2:5">
      <c r="B140" s="734" t="s">
        <v>13494</v>
      </c>
      <c r="C140" s="617" t="e">
        <f>VLOOKUP($B140,'COMPOSIÇÃO CIVIL'!$B:$G,2,FALSE)</f>
        <v>#N/A</v>
      </c>
      <c r="D140" s="616" t="e">
        <f>VLOOKUP($B140,'COMPOSIÇÃO CIVIL'!$B:$G,6,FALSE)</f>
        <v>#N/A</v>
      </c>
      <c r="E140" s="618" t="e">
        <f>VLOOKUP($B140,'COMPOSIÇÃO CIVIL'!$B:$H,7,FALSE)</f>
        <v>#N/A</v>
      </c>
    </row>
    <row r="141" spans="2:5">
      <c r="B141" s="734" t="s">
        <v>13495</v>
      </c>
      <c r="C141" s="617" t="e">
        <f>VLOOKUP($B141,'COMPOSIÇÃO CIVIL'!$B:$G,2,FALSE)</f>
        <v>#N/A</v>
      </c>
      <c r="D141" s="616" t="e">
        <f>VLOOKUP($B141,'COMPOSIÇÃO CIVIL'!$B:$G,6,FALSE)</f>
        <v>#N/A</v>
      </c>
      <c r="E141" s="618" t="e">
        <f>VLOOKUP($B141,'COMPOSIÇÃO CIVIL'!$B:$H,7,FALSE)</f>
        <v>#N/A</v>
      </c>
    </row>
    <row r="142" spans="2:5">
      <c r="B142" s="734" t="s">
        <v>13496</v>
      </c>
      <c r="C142" s="617" t="e">
        <f>VLOOKUP($B142,'COMPOSIÇÃO CIVIL'!$B:$G,2,FALSE)</f>
        <v>#N/A</v>
      </c>
      <c r="D142" s="616" t="e">
        <f>VLOOKUP($B142,'COMPOSIÇÃO CIVIL'!$B:$G,6,FALSE)</f>
        <v>#N/A</v>
      </c>
      <c r="E142" s="618" t="e">
        <f>VLOOKUP($B142,'COMPOSIÇÃO CIVIL'!$B:$H,7,FALSE)</f>
        <v>#N/A</v>
      </c>
    </row>
    <row r="143" spans="2:5">
      <c r="B143" s="734" t="s">
        <v>13497</v>
      </c>
      <c r="C143" s="617" t="e">
        <f>VLOOKUP($B143,'COMPOSIÇÃO CIVIL'!$B:$G,2,FALSE)</f>
        <v>#N/A</v>
      </c>
      <c r="D143" s="616" t="e">
        <f>VLOOKUP($B143,'COMPOSIÇÃO CIVIL'!$B:$G,6,FALSE)</f>
        <v>#N/A</v>
      </c>
      <c r="E143" s="618" t="e">
        <f>VLOOKUP($B143,'COMPOSIÇÃO CIVIL'!$B:$H,7,FALSE)</f>
        <v>#N/A</v>
      </c>
    </row>
    <row r="144" spans="2:5">
      <c r="B144" s="734" t="s">
        <v>13498</v>
      </c>
      <c r="C144" s="617" t="e">
        <f>VLOOKUP($B144,'COMPOSIÇÃO CIVIL'!$B:$G,2,FALSE)</f>
        <v>#N/A</v>
      </c>
      <c r="D144" s="616" t="e">
        <f>VLOOKUP($B144,'COMPOSIÇÃO CIVIL'!$B:$G,6,FALSE)</f>
        <v>#N/A</v>
      </c>
      <c r="E144" s="618" t="e">
        <f>VLOOKUP($B144,'COMPOSIÇÃO CIVIL'!$B:$H,7,FALSE)</f>
        <v>#N/A</v>
      </c>
    </row>
    <row r="145" spans="2:5">
      <c r="B145" s="734" t="s">
        <v>13499</v>
      </c>
      <c r="C145" s="617" t="e">
        <f>VLOOKUP($B145,'COMPOSIÇÃO CIVIL'!$B:$G,2,FALSE)</f>
        <v>#N/A</v>
      </c>
      <c r="D145" s="616" t="e">
        <f>VLOOKUP($B145,'COMPOSIÇÃO CIVIL'!$B:$G,6,FALSE)</f>
        <v>#N/A</v>
      </c>
      <c r="E145" s="618" t="e">
        <f>VLOOKUP($B145,'COMPOSIÇÃO CIVIL'!$B:$H,7,FALSE)</f>
        <v>#N/A</v>
      </c>
    </row>
    <row r="146" spans="2:5">
      <c r="B146" s="734" t="s">
        <v>13500</v>
      </c>
      <c r="C146" s="617" t="e">
        <f>VLOOKUP($B146,'COMPOSIÇÃO CIVIL'!$B:$G,2,FALSE)</f>
        <v>#N/A</v>
      </c>
      <c r="D146" s="616" t="e">
        <f>VLOOKUP($B146,'COMPOSIÇÃO CIVIL'!$B:$G,6,FALSE)</f>
        <v>#N/A</v>
      </c>
      <c r="E146" s="618" t="e">
        <f>VLOOKUP($B146,'COMPOSIÇÃO CIVIL'!$B:$H,7,FALSE)</f>
        <v>#N/A</v>
      </c>
    </row>
    <row r="147" spans="2:5">
      <c r="B147" s="734" t="s">
        <v>13501</v>
      </c>
      <c r="C147" s="617" t="e">
        <f>VLOOKUP($B147,'COMPOSIÇÃO CIVIL'!$B:$G,2,FALSE)</f>
        <v>#N/A</v>
      </c>
      <c r="D147" s="616" t="e">
        <f>VLOOKUP($B147,'COMPOSIÇÃO CIVIL'!$B:$G,6,FALSE)</f>
        <v>#N/A</v>
      </c>
      <c r="E147" s="618" t="e">
        <f>VLOOKUP($B147,'COMPOSIÇÃO CIVIL'!$B:$H,7,FALSE)</f>
        <v>#N/A</v>
      </c>
    </row>
    <row r="148" spans="2:5">
      <c r="B148" s="734" t="s">
        <v>13502</v>
      </c>
      <c r="C148" s="617" t="e">
        <f>VLOOKUP($B148,'COMPOSIÇÃO CIVIL'!$B:$G,2,FALSE)</f>
        <v>#N/A</v>
      </c>
      <c r="D148" s="616" t="e">
        <f>VLOOKUP($B148,'COMPOSIÇÃO CIVIL'!$B:$G,6,FALSE)</f>
        <v>#N/A</v>
      </c>
      <c r="E148" s="618" t="e">
        <f>VLOOKUP($B148,'COMPOSIÇÃO CIVIL'!$B:$H,7,FALSE)</f>
        <v>#N/A</v>
      </c>
    </row>
    <row r="149" spans="2:5">
      <c r="B149" s="734" t="s">
        <v>13503</v>
      </c>
      <c r="C149" s="617" t="e">
        <f>VLOOKUP($B149,'COMPOSIÇÃO CIVIL'!$B:$G,2,FALSE)</f>
        <v>#N/A</v>
      </c>
      <c r="D149" s="616" t="e">
        <f>VLOOKUP($B149,'COMPOSIÇÃO CIVIL'!$B:$G,6,FALSE)</f>
        <v>#N/A</v>
      </c>
      <c r="E149" s="618" t="e">
        <f>VLOOKUP($B149,'COMPOSIÇÃO CIVIL'!$B:$H,7,FALSE)</f>
        <v>#N/A</v>
      </c>
    </row>
    <row r="150" spans="2:5">
      <c r="B150" s="734" t="s">
        <v>13504</v>
      </c>
      <c r="C150" s="617" t="e">
        <f>VLOOKUP($B150,'COMPOSIÇÃO CIVIL'!$B:$G,2,FALSE)</f>
        <v>#N/A</v>
      </c>
      <c r="D150" s="616" t="e">
        <f>VLOOKUP($B150,'COMPOSIÇÃO CIVIL'!$B:$G,6,FALSE)</f>
        <v>#N/A</v>
      </c>
      <c r="E150" s="618" t="e">
        <f>VLOOKUP($B150,'COMPOSIÇÃO CIVIL'!$B:$H,7,FALSE)</f>
        <v>#N/A</v>
      </c>
    </row>
    <row r="151" spans="2:5">
      <c r="B151" s="734" t="s">
        <v>13505</v>
      </c>
      <c r="C151" s="617" t="e">
        <f>VLOOKUP($B151,'COMPOSIÇÃO CIVIL'!$B:$G,2,FALSE)</f>
        <v>#N/A</v>
      </c>
      <c r="D151" s="616" t="e">
        <f>VLOOKUP($B151,'COMPOSIÇÃO CIVIL'!$B:$G,6,FALSE)</f>
        <v>#N/A</v>
      </c>
      <c r="E151" s="618" t="e">
        <f>VLOOKUP($B151,'COMPOSIÇÃO CIVIL'!$B:$H,7,FALSE)</f>
        <v>#N/A</v>
      </c>
    </row>
    <row r="152" spans="2:5">
      <c r="B152" s="734" t="s">
        <v>13506</v>
      </c>
      <c r="C152" s="617" t="e">
        <f>VLOOKUP($B152,'COMPOSIÇÃO CIVIL'!$B:$G,2,FALSE)</f>
        <v>#N/A</v>
      </c>
      <c r="D152" s="616" t="e">
        <f>VLOOKUP($B152,'COMPOSIÇÃO CIVIL'!$B:$G,6,FALSE)</f>
        <v>#N/A</v>
      </c>
      <c r="E152" s="618" t="e">
        <f>VLOOKUP($B152,'COMPOSIÇÃO CIVIL'!$B:$H,7,FALSE)</f>
        <v>#N/A</v>
      </c>
    </row>
    <row r="153" spans="2:5">
      <c r="B153" s="734" t="s">
        <v>13507</v>
      </c>
      <c r="C153" s="617" t="e">
        <f>VLOOKUP($B153,'COMPOSIÇÃO CIVIL'!$B:$G,2,FALSE)</f>
        <v>#N/A</v>
      </c>
      <c r="D153" s="616" t="e">
        <f>VLOOKUP($B153,'COMPOSIÇÃO CIVIL'!$B:$G,6,FALSE)</f>
        <v>#N/A</v>
      </c>
      <c r="E153" s="618" t="e">
        <f>VLOOKUP($B153,'COMPOSIÇÃO CIVIL'!$B:$H,7,FALSE)</f>
        <v>#N/A</v>
      </c>
    </row>
    <row r="154" spans="2:5">
      <c r="B154" s="734" t="s">
        <v>13508</v>
      </c>
      <c r="C154" s="617" t="e">
        <f>VLOOKUP($B154,'COMPOSIÇÃO CIVIL'!$B:$G,2,FALSE)</f>
        <v>#N/A</v>
      </c>
      <c r="D154" s="616" t="e">
        <f>VLOOKUP($B154,'COMPOSIÇÃO CIVIL'!$B:$G,6,FALSE)</f>
        <v>#N/A</v>
      </c>
      <c r="E154" s="618" t="e">
        <f>VLOOKUP($B154,'COMPOSIÇÃO CIVIL'!$B:$H,7,FALSE)</f>
        <v>#N/A</v>
      </c>
    </row>
    <row r="155" spans="2:5">
      <c r="B155" s="734" t="s">
        <v>13509</v>
      </c>
      <c r="C155" s="617" t="e">
        <f>VLOOKUP($B155,'COMPOSIÇÃO CIVIL'!$B:$G,2,FALSE)</f>
        <v>#N/A</v>
      </c>
      <c r="D155" s="616" t="e">
        <f>VLOOKUP($B155,'COMPOSIÇÃO CIVIL'!$B:$G,6,FALSE)</f>
        <v>#N/A</v>
      </c>
      <c r="E155" s="618" t="e">
        <f>VLOOKUP($B155,'COMPOSIÇÃO CIVIL'!$B:$H,7,FALSE)</f>
        <v>#N/A</v>
      </c>
    </row>
    <row r="156" spans="2:5">
      <c r="B156" s="734" t="s">
        <v>13510</v>
      </c>
      <c r="C156" s="617" t="e">
        <f>VLOOKUP($B156,'COMPOSIÇÃO CIVIL'!$B:$G,2,FALSE)</f>
        <v>#N/A</v>
      </c>
      <c r="D156" s="616" t="e">
        <f>VLOOKUP($B156,'COMPOSIÇÃO CIVIL'!$B:$G,6,FALSE)</f>
        <v>#N/A</v>
      </c>
      <c r="E156" s="618" t="e">
        <f>VLOOKUP($B156,'COMPOSIÇÃO CIVIL'!$B:$H,7,FALSE)</f>
        <v>#N/A</v>
      </c>
    </row>
    <row r="157" spans="2:5">
      <c r="B157" s="734" t="s">
        <v>13511</v>
      </c>
      <c r="C157" s="617" t="e">
        <f>VLOOKUP($B157,'COMPOSIÇÃO CIVIL'!$B:$G,2,FALSE)</f>
        <v>#N/A</v>
      </c>
      <c r="D157" s="616" t="e">
        <f>VLOOKUP($B157,'COMPOSIÇÃO CIVIL'!$B:$G,6,FALSE)</f>
        <v>#N/A</v>
      </c>
      <c r="E157" s="618" t="e">
        <f>VLOOKUP($B157,'COMPOSIÇÃO CIVIL'!$B:$H,7,FALSE)</f>
        <v>#N/A</v>
      </c>
    </row>
    <row r="158" spans="2:5">
      <c r="B158" s="734" t="s">
        <v>13512</v>
      </c>
      <c r="C158" s="617" t="e">
        <f>VLOOKUP($B158,'COMPOSIÇÃO CIVIL'!$B:$G,2,FALSE)</f>
        <v>#N/A</v>
      </c>
      <c r="D158" s="616" t="e">
        <f>VLOOKUP($B158,'COMPOSIÇÃO CIVIL'!$B:$G,6,FALSE)</f>
        <v>#N/A</v>
      </c>
      <c r="E158" s="618" t="e">
        <f>VLOOKUP($B158,'COMPOSIÇÃO CIVIL'!$B:$H,7,FALSE)</f>
        <v>#N/A</v>
      </c>
    </row>
    <row r="159" spans="2:5">
      <c r="B159" s="734" t="s">
        <v>13513</v>
      </c>
      <c r="C159" s="617" t="e">
        <f>VLOOKUP($B159,'COMPOSIÇÃO CIVIL'!$B:$G,2,FALSE)</f>
        <v>#N/A</v>
      </c>
      <c r="D159" s="616" t="e">
        <f>VLOOKUP($B159,'COMPOSIÇÃO CIVIL'!$B:$G,6,FALSE)</f>
        <v>#N/A</v>
      </c>
      <c r="E159" s="618" t="e">
        <f>VLOOKUP($B159,'COMPOSIÇÃO CIVIL'!$B:$H,7,FALSE)</f>
        <v>#N/A</v>
      </c>
    </row>
    <row r="160" spans="2:5">
      <c r="B160" s="734" t="s">
        <v>13514</v>
      </c>
      <c r="C160" s="617" t="e">
        <f>VLOOKUP($B160,'COMPOSIÇÃO CIVIL'!$B:$G,2,FALSE)</f>
        <v>#N/A</v>
      </c>
      <c r="D160" s="616" t="e">
        <f>VLOOKUP($B160,'COMPOSIÇÃO CIVIL'!$B:$G,6,FALSE)</f>
        <v>#N/A</v>
      </c>
      <c r="E160" s="618" t="e">
        <f>VLOOKUP($B160,'COMPOSIÇÃO CIVIL'!$B:$H,7,FALSE)</f>
        <v>#N/A</v>
      </c>
    </row>
    <row r="161" spans="2:5">
      <c r="B161" s="734" t="s">
        <v>13515</v>
      </c>
      <c r="C161" s="617" t="e">
        <f>VLOOKUP($B161,'COMPOSIÇÃO CIVIL'!$B:$G,2,FALSE)</f>
        <v>#N/A</v>
      </c>
      <c r="D161" s="616" t="e">
        <f>VLOOKUP($B161,'COMPOSIÇÃO CIVIL'!$B:$G,6,FALSE)</f>
        <v>#N/A</v>
      </c>
      <c r="E161" s="618" t="e">
        <f>VLOOKUP($B161,'COMPOSIÇÃO CIVIL'!$B:$H,7,FALSE)</f>
        <v>#N/A</v>
      </c>
    </row>
    <row r="162" spans="2:5">
      <c r="B162" s="734" t="s">
        <v>13516</v>
      </c>
      <c r="C162" s="617" t="e">
        <f>VLOOKUP($B162,'COMPOSIÇÃO CIVIL'!$B:$G,2,FALSE)</f>
        <v>#N/A</v>
      </c>
      <c r="D162" s="616" t="e">
        <f>VLOOKUP($B162,'COMPOSIÇÃO CIVIL'!$B:$G,6,FALSE)</f>
        <v>#N/A</v>
      </c>
      <c r="E162" s="618" t="e">
        <f>VLOOKUP($B162,'COMPOSIÇÃO CIVIL'!$B:$H,7,FALSE)</f>
        <v>#N/A</v>
      </c>
    </row>
    <row r="163" spans="2:5">
      <c r="B163" s="734" t="s">
        <v>13517</v>
      </c>
      <c r="C163" s="617" t="e">
        <f>VLOOKUP($B163,'COMPOSIÇÃO CIVIL'!$B:$G,2,FALSE)</f>
        <v>#N/A</v>
      </c>
      <c r="D163" s="616" t="e">
        <f>VLOOKUP($B163,'COMPOSIÇÃO CIVIL'!$B:$G,6,FALSE)</f>
        <v>#N/A</v>
      </c>
      <c r="E163" s="618" t="e">
        <f>VLOOKUP($B163,'COMPOSIÇÃO CIVIL'!$B:$H,7,FALSE)</f>
        <v>#N/A</v>
      </c>
    </row>
    <row r="164" spans="2:5">
      <c r="B164" s="734" t="s">
        <v>13518</v>
      </c>
      <c r="C164" s="617" t="e">
        <f>VLOOKUP($B164,'COMPOSIÇÃO CIVIL'!$B:$G,2,FALSE)</f>
        <v>#N/A</v>
      </c>
      <c r="D164" s="616" t="e">
        <f>VLOOKUP($B164,'COMPOSIÇÃO CIVIL'!$B:$G,6,FALSE)</f>
        <v>#N/A</v>
      </c>
      <c r="E164" s="618" t="e">
        <f>VLOOKUP($B164,'COMPOSIÇÃO CIVIL'!$B:$H,7,FALSE)</f>
        <v>#N/A</v>
      </c>
    </row>
    <row r="165" spans="2:5">
      <c r="B165" s="734" t="s">
        <v>13519</v>
      </c>
      <c r="C165" s="617" t="e">
        <f>VLOOKUP($B165,'COMPOSIÇÃO CIVIL'!$B:$G,2,FALSE)</f>
        <v>#N/A</v>
      </c>
      <c r="D165" s="616" t="e">
        <f>VLOOKUP($B165,'COMPOSIÇÃO CIVIL'!$B:$G,6,FALSE)</f>
        <v>#N/A</v>
      </c>
      <c r="E165" s="618" t="e">
        <f>VLOOKUP($B165,'COMPOSIÇÃO CIVIL'!$B:$H,7,FALSE)</f>
        <v>#N/A</v>
      </c>
    </row>
    <row r="166" spans="2:5">
      <c r="B166" s="734" t="s">
        <v>13520</v>
      </c>
      <c r="C166" s="617" t="e">
        <f>VLOOKUP($B166,'COMPOSIÇÃO CIVIL'!$B:$G,2,FALSE)</f>
        <v>#N/A</v>
      </c>
      <c r="D166" s="616" t="e">
        <f>VLOOKUP($B166,'COMPOSIÇÃO CIVIL'!$B:$G,6,FALSE)</f>
        <v>#N/A</v>
      </c>
      <c r="E166" s="618" t="e">
        <f>VLOOKUP($B166,'COMPOSIÇÃO CIVIL'!$B:$H,7,FALSE)</f>
        <v>#N/A</v>
      </c>
    </row>
    <row r="167" spans="2:5">
      <c r="B167" s="734" t="s">
        <v>13521</v>
      </c>
      <c r="C167" s="617" t="e">
        <f>VLOOKUP($B167,'COMPOSIÇÃO CIVIL'!$B:$G,2,FALSE)</f>
        <v>#N/A</v>
      </c>
      <c r="D167" s="616" t="e">
        <f>VLOOKUP($B167,'COMPOSIÇÃO CIVIL'!$B:$G,6,FALSE)</f>
        <v>#N/A</v>
      </c>
      <c r="E167" s="618" t="e">
        <f>VLOOKUP($B167,'COMPOSIÇÃO CIVIL'!$B:$H,7,FALSE)</f>
        <v>#N/A</v>
      </c>
    </row>
    <row r="168" spans="2:5">
      <c r="B168" s="734" t="s">
        <v>13522</v>
      </c>
      <c r="C168" s="617" t="e">
        <f>VLOOKUP($B168,'COMPOSIÇÃO CIVIL'!$B:$G,2,FALSE)</f>
        <v>#N/A</v>
      </c>
      <c r="D168" s="616" t="e">
        <f>VLOOKUP($B168,'COMPOSIÇÃO CIVIL'!$B:$G,6,FALSE)</f>
        <v>#N/A</v>
      </c>
      <c r="E168" s="618" t="e">
        <f>VLOOKUP($B168,'COMPOSIÇÃO CIVIL'!$B:$H,7,FALSE)</f>
        <v>#N/A</v>
      </c>
    </row>
    <row r="169" spans="2:5">
      <c r="B169" s="734" t="s">
        <v>13523</v>
      </c>
      <c r="C169" s="617" t="e">
        <f>VLOOKUP($B169,'COMPOSIÇÃO CIVIL'!$B:$G,2,FALSE)</f>
        <v>#N/A</v>
      </c>
      <c r="D169" s="616" t="e">
        <f>VLOOKUP($B169,'COMPOSIÇÃO CIVIL'!$B:$G,6,FALSE)</f>
        <v>#N/A</v>
      </c>
      <c r="E169" s="618" t="e">
        <f>VLOOKUP($B169,'COMPOSIÇÃO CIVIL'!$B:$H,7,FALSE)</f>
        <v>#N/A</v>
      </c>
    </row>
    <row r="170" spans="2:5">
      <c r="B170" s="734" t="s">
        <v>13524</v>
      </c>
      <c r="C170" s="617" t="e">
        <f>VLOOKUP($B170,'COMPOSIÇÃO CIVIL'!$B:$G,2,FALSE)</f>
        <v>#N/A</v>
      </c>
      <c r="D170" s="616" t="e">
        <f>VLOOKUP($B170,'COMPOSIÇÃO CIVIL'!$B:$G,6,FALSE)</f>
        <v>#N/A</v>
      </c>
      <c r="E170" s="618" t="e">
        <f>VLOOKUP($B170,'COMPOSIÇÃO CIVIL'!$B:$H,7,FALSE)</f>
        <v>#N/A</v>
      </c>
    </row>
    <row r="171" spans="2:5" ht="15.75" thickBot="1">
      <c r="B171" s="677"/>
      <c r="C171" s="733"/>
      <c r="D171" s="677"/>
    </row>
    <row r="172" spans="2:5" ht="16.5" thickBot="1">
      <c r="B172" s="75" t="s">
        <v>13525</v>
      </c>
      <c r="C172" s="76" t="s">
        <v>327</v>
      </c>
      <c r="D172" s="78" t="s">
        <v>25</v>
      </c>
      <c r="E172" s="79" t="s">
        <v>26</v>
      </c>
    </row>
    <row r="173" spans="2:5">
      <c r="B173" s="616" t="s">
        <v>13526</v>
      </c>
      <c r="C173" s="617" t="str">
        <f>VLOOKUP(B173,'COMP. HIDRO '!B:H,2,FALSE)</f>
        <v>RALO HEMISFÉRICO EM FERRO FUNDIDO, DN 100 MM, PARA LAJES/ CALHAS - FORNECIMENTO E INSTALAÇÃO</v>
      </c>
      <c r="D173" s="616" t="str">
        <f>VLOOKUP(B173,'COMP. HIDRO '!B:H,6,FALSE)</f>
        <v>UN</v>
      </c>
      <c r="E173" s="618">
        <f>VLOOKUP(B173,'COMP. HIDRO '!B:H,7,FALSE)</f>
        <v>47.649999999999991</v>
      </c>
    </row>
    <row r="174" spans="2:5">
      <c r="B174" s="616" t="s">
        <v>13527</v>
      </c>
      <c r="C174" s="617" t="str">
        <f>VLOOKUP(B174,'COMP. HIDRO '!B:H,2,FALSE)</f>
        <v>VALVULA DE RETENCAO HORIZONTAL, EM PVC, 100MM - FORNECIMENTO E INSTALAÇÃO</v>
      </c>
      <c r="D174" s="616" t="str">
        <f>VLOOKUP(B174,'COMP. HIDRO '!B:H,6,FALSE)</f>
        <v>UN</v>
      </c>
      <c r="E174" s="618">
        <f>VLOOKUP(B174,'COMP. HIDRO '!B:H,7,FALSE)</f>
        <v>241.89000000000001</v>
      </c>
    </row>
    <row r="175" spans="2:5">
      <c r="B175" s="616" t="s">
        <v>13528</v>
      </c>
      <c r="C175" s="617" t="str">
        <f>VLOOKUP(B175,'COMP. HIDRO '!B:H,2,FALSE)</f>
        <v>TAMPAO / CAP, ROSCA MACHO, PARA TUBO PEX, DN 1/2" - FORNECIMENTO E INSTALAÇÃO</v>
      </c>
      <c r="D175" s="616" t="str">
        <f>VLOOKUP(B175,'COMP. HIDRO '!B:H,6,FALSE)</f>
        <v>UN</v>
      </c>
      <c r="E175" s="618">
        <f>VLOOKUP(B175,'COMP. HIDRO '!B:H,7,FALSE)</f>
        <v>13.149999999999999</v>
      </c>
    </row>
    <row r="176" spans="2:5">
      <c r="B176" s="616" t="s">
        <v>13529</v>
      </c>
      <c r="C176" s="617" t="str">
        <f>VLOOKUP(B176,'COMP. HIDRO '!B:H,2,FALSE)</f>
        <v>VALVULA PARA MANGUEIRA DE GAS - FORNECIMENTO E INSTALAÇÃO</v>
      </c>
      <c r="D176" s="616" t="str">
        <f>VLOOKUP(B176,'COMP. HIDRO '!B:H,6,FALSE)</f>
        <v>UN</v>
      </c>
      <c r="E176" s="618">
        <f>VLOOKUP(B176,'COMP. HIDRO '!B:H,7,FALSE)</f>
        <v>110.85000000000001</v>
      </c>
    </row>
    <row r="177" spans="2:5">
      <c r="B177" s="616" t="s">
        <v>13530</v>
      </c>
      <c r="C177" s="617" t="str">
        <f>VLOOKUP(B177,'COMP. HIDRO '!B:H,2,FALSE)</f>
        <v>VALVULA DE ESFERA - FORNECIMENTO E INSTALAÇÃO</v>
      </c>
      <c r="D177" s="616" t="str">
        <f>VLOOKUP(B177,'COMP. HIDRO '!B:H,6,FALSE)</f>
        <v>UN</v>
      </c>
      <c r="E177" s="618">
        <f>VLOOKUP(B177,'COMP. HIDRO '!B:H,7,FALSE)</f>
        <v>97.570000000000007</v>
      </c>
    </row>
    <row r="178" spans="2:5">
      <c r="B178" s="616" t="s">
        <v>13531</v>
      </c>
      <c r="C178" s="617" t="e">
        <f>VLOOKUP(B178,'COMP. HIDRO '!B:H,2,FALSE)</f>
        <v>#N/A</v>
      </c>
      <c r="D178" s="616" t="e">
        <f>VLOOKUP(B178,'COMP. HIDRO '!B:H,6,FALSE)</f>
        <v>#N/A</v>
      </c>
      <c r="E178" s="618" t="e">
        <f>VLOOKUP(B178,'COMP. HIDRO '!B:H,7,FALSE)</f>
        <v>#N/A</v>
      </c>
    </row>
    <row r="179" spans="2:5">
      <c r="B179" s="616" t="s">
        <v>13532</v>
      </c>
      <c r="C179" s="617" t="e">
        <f>VLOOKUP(B179,'COMP. HIDRO '!B:H,2,FALSE)</f>
        <v>#N/A</v>
      </c>
      <c r="D179" s="616" t="e">
        <f>VLOOKUP(B179,'COMP. HIDRO '!B:H,6,FALSE)</f>
        <v>#N/A</v>
      </c>
      <c r="E179" s="618" t="e">
        <f>VLOOKUP(B179,'COMP. HIDRO '!B:H,7,FALSE)</f>
        <v>#N/A</v>
      </c>
    </row>
    <row r="180" spans="2:5">
      <c r="B180" s="616" t="s">
        <v>13533</v>
      </c>
      <c r="C180" s="617" t="e">
        <f>VLOOKUP(B180,'COMP. HIDRO '!B:H,2,FALSE)</f>
        <v>#N/A</v>
      </c>
      <c r="D180" s="616" t="e">
        <f>VLOOKUP(B180,'COMP. HIDRO '!B:H,6,FALSE)</f>
        <v>#N/A</v>
      </c>
      <c r="E180" s="618" t="e">
        <f>VLOOKUP(B180,'COMP. HIDRO '!B:H,7,FALSE)</f>
        <v>#N/A</v>
      </c>
    </row>
    <row r="181" spans="2:5">
      <c r="B181" s="616" t="s">
        <v>13534</v>
      </c>
      <c r="C181" s="617" t="e">
        <f>VLOOKUP(B181,'COMP. HIDRO '!B:H,2,FALSE)</f>
        <v>#N/A</v>
      </c>
      <c r="D181" s="616" t="e">
        <f>VLOOKUP(B181,'COMP. HIDRO '!B:H,6,FALSE)</f>
        <v>#N/A</v>
      </c>
      <c r="E181" s="618" t="e">
        <f>VLOOKUP(B181,'COMP. HIDRO '!B:H,7,FALSE)</f>
        <v>#N/A</v>
      </c>
    </row>
    <row r="182" spans="2:5">
      <c r="B182" s="616" t="s">
        <v>13535</v>
      </c>
      <c r="C182" s="617" t="e">
        <f>VLOOKUP(B182,'COMP. HIDRO '!B:H,2,FALSE)</f>
        <v>#N/A</v>
      </c>
      <c r="D182" s="616" t="e">
        <f>VLOOKUP(B182,'COMP. HIDRO '!B:H,6,FALSE)</f>
        <v>#N/A</v>
      </c>
      <c r="E182" s="618" t="e">
        <f>VLOOKUP(B182,'COMP. HIDRO '!B:H,7,FALSE)</f>
        <v>#N/A</v>
      </c>
    </row>
    <row r="183" spans="2:5">
      <c r="B183" s="616" t="s">
        <v>13536</v>
      </c>
      <c r="C183" s="617" t="e">
        <f>VLOOKUP(B183,'COMP. HIDRO '!B:H,2,FALSE)</f>
        <v>#N/A</v>
      </c>
      <c r="D183" s="616" t="e">
        <f>VLOOKUP(B183,'COMP. HIDRO '!B:H,6,FALSE)</f>
        <v>#N/A</v>
      </c>
      <c r="E183" s="618" t="e">
        <f>VLOOKUP(B183,'COMP. HIDRO '!B:H,7,FALSE)</f>
        <v>#N/A</v>
      </c>
    </row>
    <row r="184" spans="2:5">
      <c r="B184" s="616" t="s">
        <v>13537</v>
      </c>
      <c r="C184" s="617" t="e">
        <f>VLOOKUP(B184,'COMP. HIDRO '!B:H,2,FALSE)</f>
        <v>#N/A</v>
      </c>
      <c r="D184" s="616" t="e">
        <f>VLOOKUP(B184,'COMP. HIDRO '!B:H,6,FALSE)</f>
        <v>#N/A</v>
      </c>
      <c r="E184" s="618" t="e">
        <f>VLOOKUP(B184,'COMP. HIDRO '!B:H,7,FALSE)</f>
        <v>#N/A</v>
      </c>
    </row>
    <row r="185" spans="2:5">
      <c r="B185" s="616" t="s">
        <v>13538</v>
      </c>
      <c r="C185" s="617" t="e">
        <f>VLOOKUP(B185,'COMP. HIDRO '!B:H,2,FALSE)</f>
        <v>#N/A</v>
      </c>
      <c r="D185" s="616" t="e">
        <f>VLOOKUP(B185,'COMP. HIDRO '!B:H,6,FALSE)</f>
        <v>#N/A</v>
      </c>
      <c r="E185" s="618" t="e">
        <f>VLOOKUP(B185,'COMP. HIDRO '!B:H,7,FALSE)</f>
        <v>#N/A</v>
      </c>
    </row>
    <row r="186" spans="2:5">
      <c r="B186" s="616" t="s">
        <v>13539</v>
      </c>
      <c r="C186" s="617" t="e">
        <f>VLOOKUP(B186,'COMP. HIDRO '!B:H,2,FALSE)</f>
        <v>#N/A</v>
      </c>
      <c r="D186" s="616" t="e">
        <f>VLOOKUP(B186,'COMP. HIDRO '!B:H,6,FALSE)</f>
        <v>#N/A</v>
      </c>
      <c r="E186" s="618" t="e">
        <f>VLOOKUP(B186,'COMP. HIDRO '!B:H,7,FALSE)</f>
        <v>#N/A</v>
      </c>
    </row>
    <row r="187" spans="2:5">
      <c r="B187" s="616" t="s">
        <v>13540</v>
      </c>
      <c r="C187" s="617" t="e">
        <f>VLOOKUP(B187,'COMP. HIDRO '!B:H,2,FALSE)</f>
        <v>#N/A</v>
      </c>
      <c r="D187" s="616" t="e">
        <f>VLOOKUP(B187,'COMP. HIDRO '!B:H,6,FALSE)</f>
        <v>#N/A</v>
      </c>
      <c r="E187" s="618" t="e">
        <f>VLOOKUP(B187,'COMP. HIDRO '!B:H,7,FALSE)</f>
        <v>#N/A</v>
      </c>
    </row>
    <row r="188" spans="2:5">
      <c r="B188" s="616" t="s">
        <v>13541</v>
      </c>
      <c r="C188" s="617" t="e">
        <f>VLOOKUP(B188,'COMP. HIDRO '!B:H,2,FALSE)</f>
        <v>#N/A</v>
      </c>
      <c r="D188" s="616" t="e">
        <f>VLOOKUP(B188,'COMP. HIDRO '!B:H,6,FALSE)</f>
        <v>#N/A</v>
      </c>
      <c r="E188" s="618" t="e">
        <f>VLOOKUP(B188,'COMP. HIDRO '!B:H,7,FALSE)</f>
        <v>#N/A</v>
      </c>
    </row>
    <row r="189" spans="2:5">
      <c r="B189" s="616" t="s">
        <v>13542</v>
      </c>
      <c r="C189" s="617" t="e">
        <f>VLOOKUP(B189,'COMP. HIDRO '!B:H,2,FALSE)</f>
        <v>#N/A</v>
      </c>
      <c r="D189" s="616" t="e">
        <f>VLOOKUP(B189,'COMP. HIDRO '!B:H,6,FALSE)</f>
        <v>#N/A</v>
      </c>
      <c r="E189" s="618" t="e">
        <f>VLOOKUP(B189,'COMP. HIDRO '!B:H,7,FALSE)</f>
        <v>#N/A</v>
      </c>
    </row>
    <row r="190" spans="2:5">
      <c r="B190" s="616" t="s">
        <v>13543</v>
      </c>
      <c r="C190" s="617" t="e">
        <f>VLOOKUP(B190,'COMP. HIDRO '!B:H,2,FALSE)</f>
        <v>#N/A</v>
      </c>
      <c r="D190" s="616" t="e">
        <f>VLOOKUP(B190,'COMP. HIDRO '!B:H,6,FALSE)</f>
        <v>#N/A</v>
      </c>
      <c r="E190" s="618" t="e">
        <f>VLOOKUP(B190,'COMP. HIDRO '!B:H,7,FALSE)</f>
        <v>#N/A</v>
      </c>
    </row>
    <row r="191" spans="2:5">
      <c r="B191" s="616" t="s">
        <v>13544</v>
      </c>
      <c r="C191" s="617" t="e">
        <f>VLOOKUP(B191,'COMP. HIDRO '!B:H,2,FALSE)</f>
        <v>#N/A</v>
      </c>
      <c r="D191" s="616" t="e">
        <f>VLOOKUP(B191,'COMP. HIDRO '!B:H,6,FALSE)</f>
        <v>#N/A</v>
      </c>
      <c r="E191" s="618" t="e">
        <f>VLOOKUP(B191,'COMP. HIDRO '!B:H,7,FALSE)</f>
        <v>#N/A</v>
      </c>
    </row>
    <row r="192" spans="2:5">
      <c r="B192" s="616" t="s">
        <v>13545</v>
      </c>
      <c r="C192" s="617" t="e">
        <f>VLOOKUP(B192,'COMP. HIDRO '!B:H,2,FALSE)</f>
        <v>#N/A</v>
      </c>
      <c r="D192" s="616" t="e">
        <f>VLOOKUP(B192,'COMP. HIDRO '!B:H,6,FALSE)</f>
        <v>#N/A</v>
      </c>
      <c r="E192" s="618" t="e">
        <f>VLOOKUP(B192,'COMP. HIDRO '!B:H,7,FALSE)</f>
        <v>#N/A</v>
      </c>
    </row>
    <row r="193" spans="2:5">
      <c r="B193" s="616" t="s">
        <v>13546</v>
      </c>
      <c r="C193" s="617" t="e">
        <f>VLOOKUP(B193,'COMP. HIDRO '!B:H,2,FALSE)</f>
        <v>#N/A</v>
      </c>
      <c r="D193" s="616" t="e">
        <f>VLOOKUP(B193,'COMP. HIDRO '!B:H,6,FALSE)</f>
        <v>#N/A</v>
      </c>
      <c r="E193" s="618" t="e">
        <f>VLOOKUP(B193,'COMP. HIDRO '!B:H,7,FALSE)</f>
        <v>#N/A</v>
      </c>
    </row>
    <row r="194" spans="2:5">
      <c r="B194" s="616" t="s">
        <v>13547</v>
      </c>
      <c r="C194" s="617" t="e">
        <f>VLOOKUP(B194,'COMP. HIDRO '!B:H,2,FALSE)</f>
        <v>#N/A</v>
      </c>
      <c r="D194" s="616" t="e">
        <f>VLOOKUP(B194,'COMP. HIDRO '!B:H,6,FALSE)</f>
        <v>#N/A</v>
      </c>
      <c r="E194" s="618" t="e">
        <f>VLOOKUP(B194,'COMP. HIDRO '!B:H,7,FALSE)</f>
        <v>#N/A</v>
      </c>
    </row>
    <row r="195" spans="2:5">
      <c r="B195" s="616" t="s">
        <v>13548</v>
      </c>
      <c r="C195" s="617" t="e">
        <f>VLOOKUP(B195,'COMP. HIDRO '!B:H,2,FALSE)</f>
        <v>#N/A</v>
      </c>
      <c r="D195" s="616" t="e">
        <f>VLOOKUP(B195,'COMP. HIDRO '!B:H,6,FALSE)</f>
        <v>#N/A</v>
      </c>
      <c r="E195" s="618" t="e">
        <f>VLOOKUP(B195,'COMP. HIDRO '!B:H,7,FALSE)</f>
        <v>#N/A</v>
      </c>
    </row>
    <row r="196" spans="2:5">
      <c r="B196" s="616" t="s">
        <v>13549</v>
      </c>
      <c r="C196" s="617" t="e">
        <f>VLOOKUP(B196,'COMP. HIDRO '!B:H,2,FALSE)</f>
        <v>#N/A</v>
      </c>
      <c r="D196" s="616" t="e">
        <f>VLOOKUP(B196,'COMP. HIDRO '!B:H,6,FALSE)</f>
        <v>#N/A</v>
      </c>
      <c r="E196" s="618" t="e">
        <f>VLOOKUP(B196,'COMP. HIDRO '!B:H,7,FALSE)</f>
        <v>#N/A</v>
      </c>
    </row>
    <row r="197" spans="2:5">
      <c r="B197" s="616" t="s">
        <v>13550</v>
      </c>
      <c r="C197" s="617" t="e">
        <f>VLOOKUP(B197,'COMP. HIDRO '!B:H,2,FALSE)</f>
        <v>#N/A</v>
      </c>
      <c r="D197" s="616" t="e">
        <f>VLOOKUP(B197,'COMP. HIDRO '!B:H,6,FALSE)</f>
        <v>#N/A</v>
      </c>
      <c r="E197" s="618" t="e">
        <f>VLOOKUP(B197,'COMP. HIDRO '!B:H,7,FALSE)</f>
        <v>#N/A</v>
      </c>
    </row>
    <row r="198" spans="2:5">
      <c r="B198" s="616" t="s">
        <v>13551</v>
      </c>
      <c r="C198" s="617" t="e">
        <f>VLOOKUP(B198,'COMP. HIDRO '!B:H,2,FALSE)</f>
        <v>#N/A</v>
      </c>
      <c r="D198" s="616" t="e">
        <f>VLOOKUP(B198,'COMP. HIDRO '!B:H,6,FALSE)</f>
        <v>#N/A</v>
      </c>
      <c r="E198" s="618" t="e">
        <f>VLOOKUP(B198,'COMP. HIDRO '!B:H,7,FALSE)</f>
        <v>#N/A</v>
      </c>
    </row>
    <row r="199" spans="2:5">
      <c r="B199" s="616" t="s">
        <v>13552</v>
      </c>
      <c r="C199" s="617" t="e">
        <f>VLOOKUP(B199,'COMP. HIDRO '!B:H,2,FALSE)</f>
        <v>#N/A</v>
      </c>
      <c r="D199" s="616" t="e">
        <f>VLOOKUP(B199,'COMP. HIDRO '!B:H,6,FALSE)</f>
        <v>#N/A</v>
      </c>
      <c r="E199" s="618" t="e">
        <f>VLOOKUP(B199,'COMP. HIDRO '!B:H,7,FALSE)</f>
        <v>#N/A</v>
      </c>
    </row>
    <row r="200" spans="2:5">
      <c r="B200" s="616" t="s">
        <v>13553</v>
      </c>
      <c r="C200" s="617" t="e">
        <f>VLOOKUP(B200,'COMP. HIDRO '!B:H,2,FALSE)</f>
        <v>#N/A</v>
      </c>
      <c r="D200" s="616" t="e">
        <f>VLOOKUP(B200,'COMP. HIDRO '!B:H,6,FALSE)</f>
        <v>#N/A</v>
      </c>
      <c r="E200" s="618" t="e">
        <f>VLOOKUP(B200,'COMP. HIDRO '!B:H,7,FALSE)</f>
        <v>#N/A</v>
      </c>
    </row>
    <row r="201" spans="2:5">
      <c r="B201" s="616" t="s">
        <v>13554</v>
      </c>
      <c r="C201" s="617" t="e">
        <f>VLOOKUP(B201,'COMP. HIDRO '!B:H,2,FALSE)</f>
        <v>#N/A</v>
      </c>
      <c r="D201" s="616" t="e">
        <f>VLOOKUP(B201,'COMP. HIDRO '!B:H,6,FALSE)</f>
        <v>#N/A</v>
      </c>
      <c r="E201" s="618" t="e">
        <f>VLOOKUP(B201,'COMP. HIDRO '!B:H,7,FALSE)</f>
        <v>#N/A</v>
      </c>
    </row>
    <row r="202" spans="2:5">
      <c r="B202" s="616" t="s">
        <v>13555</v>
      </c>
      <c r="C202" s="617" t="e">
        <f>VLOOKUP(B202,'COMP. HIDRO '!B:H,2,FALSE)</f>
        <v>#N/A</v>
      </c>
      <c r="D202" s="616" t="e">
        <f>VLOOKUP(B202,'COMP. HIDRO '!B:H,6,FALSE)</f>
        <v>#N/A</v>
      </c>
      <c r="E202" s="618" t="e">
        <f>VLOOKUP(B202,'COMP. HIDRO '!B:H,7,FALSE)</f>
        <v>#N/A</v>
      </c>
    </row>
    <row r="203" spans="2:5">
      <c r="B203" s="616" t="s">
        <v>13556</v>
      </c>
      <c r="C203" s="617" t="e">
        <f>VLOOKUP(B203,'COMP. HIDRO '!B:H,2,FALSE)</f>
        <v>#N/A</v>
      </c>
      <c r="D203" s="616" t="e">
        <f>VLOOKUP(B203,'COMP. HIDRO '!B:H,6,FALSE)</f>
        <v>#N/A</v>
      </c>
      <c r="E203" s="618" t="e">
        <f>VLOOKUP(B203,'COMP. HIDRO '!B:H,7,FALSE)</f>
        <v>#N/A</v>
      </c>
    </row>
    <row r="204" spans="2:5">
      <c r="B204" s="616" t="s">
        <v>13557</v>
      </c>
      <c r="C204" s="617" t="e">
        <f>VLOOKUP(B204,'COMP. HIDRO '!B:H,2,FALSE)</f>
        <v>#N/A</v>
      </c>
      <c r="D204" s="616" t="e">
        <f>VLOOKUP(B204,'COMP. HIDRO '!B:H,6,FALSE)</f>
        <v>#N/A</v>
      </c>
      <c r="E204" s="618" t="e">
        <f>VLOOKUP(B204,'COMP. HIDRO '!B:H,7,FALSE)</f>
        <v>#N/A</v>
      </c>
    </row>
    <row r="205" spans="2:5">
      <c r="B205" s="616" t="s">
        <v>13558</v>
      </c>
      <c r="C205" s="617" t="e">
        <f>VLOOKUP(B205,'COMP. HIDRO '!B:H,2,FALSE)</f>
        <v>#N/A</v>
      </c>
      <c r="D205" s="616" t="e">
        <f>VLOOKUP(B205,'COMP. HIDRO '!B:H,6,FALSE)</f>
        <v>#N/A</v>
      </c>
      <c r="E205" s="618" t="e">
        <f>VLOOKUP(B205,'COMP. HIDRO '!B:H,7,FALSE)</f>
        <v>#N/A</v>
      </c>
    </row>
    <row r="206" spans="2:5">
      <c r="B206" s="616" t="s">
        <v>13559</v>
      </c>
      <c r="C206" s="617" t="e">
        <f>VLOOKUP(B206,'COMP. HIDRO '!B:H,2,FALSE)</f>
        <v>#N/A</v>
      </c>
      <c r="D206" s="616" t="e">
        <f>VLOOKUP(B206,'COMP. HIDRO '!B:H,6,FALSE)</f>
        <v>#N/A</v>
      </c>
      <c r="E206" s="618" t="e">
        <f>VLOOKUP(B206,'COMP. HIDRO '!B:H,7,FALSE)</f>
        <v>#N/A</v>
      </c>
    </row>
    <row r="207" spans="2:5">
      <c r="B207" s="616" t="s">
        <v>13560</v>
      </c>
      <c r="C207" s="617" t="e">
        <f>VLOOKUP(B207,'COMP. HIDRO '!B:H,2,FALSE)</f>
        <v>#N/A</v>
      </c>
      <c r="D207" s="616" t="e">
        <f>VLOOKUP(B207,'COMP. HIDRO '!B:H,6,FALSE)</f>
        <v>#N/A</v>
      </c>
      <c r="E207" s="618" t="e">
        <f>VLOOKUP(B207,'COMP. HIDRO '!B:H,7,FALSE)</f>
        <v>#N/A</v>
      </c>
    </row>
    <row r="208" spans="2:5">
      <c r="B208" s="616" t="s">
        <v>13561</v>
      </c>
      <c r="C208" s="617" t="e">
        <f>VLOOKUP(B208,'COMP. HIDRO '!B:H,2,FALSE)</f>
        <v>#N/A</v>
      </c>
      <c r="D208" s="616" t="e">
        <f>VLOOKUP(B208,'COMP. HIDRO '!B:H,6,FALSE)</f>
        <v>#N/A</v>
      </c>
      <c r="E208" s="618" t="e">
        <f>VLOOKUP(B208,'COMP. HIDRO '!B:H,7,FALSE)</f>
        <v>#N/A</v>
      </c>
    </row>
    <row r="209" spans="2:5">
      <c r="B209" s="616" t="s">
        <v>13562</v>
      </c>
      <c r="C209" s="617" t="e">
        <f>VLOOKUP(B209,'COMP. HIDRO '!B:H,2,FALSE)</f>
        <v>#N/A</v>
      </c>
      <c r="D209" s="616" t="e">
        <f>VLOOKUP(B209,'COMP. HIDRO '!B:H,6,FALSE)</f>
        <v>#N/A</v>
      </c>
      <c r="E209" s="618" t="e">
        <f>VLOOKUP(B209,'COMP. HIDRO '!B:H,7,FALSE)</f>
        <v>#N/A</v>
      </c>
    </row>
    <row r="210" spans="2:5">
      <c r="B210" s="616" t="s">
        <v>13563</v>
      </c>
      <c r="C210" s="617" t="e">
        <f>VLOOKUP(B210,'COMP. HIDRO '!B:H,2,FALSE)</f>
        <v>#N/A</v>
      </c>
      <c r="D210" s="616" t="e">
        <f>VLOOKUP(B210,'COMP. HIDRO '!B:H,6,FALSE)</f>
        <v>#N/A</v>
      </c>
      <c r="E210" s="618" t="e">
        <f>VLOOKUP(B210,'COMP. HIDRO '!B:H,7,FALSE)</f>
        <v>#N/A</v>
      </c>
    </row>
    <row r="211" spans="2:5">
      <c r="B211" s="616" t="s">
        <v>13564</v>
      </c>
      <c r="C211" s="617" t="e">
        <f>VLOOKUP(B211,'COMP. HIDRO '!B:H,2,FALSE)</f>
        <v>#N/A</v>
      </c>
      <c r="D211" s="616" t="e">
        <f>VLOOKUP(B211,'COMP. HIDRO '!B:H,6,FALSE)</f>
        <v>#N/A</v>
      </c>
      <c r="E211" s="618" t="e">
        <f>VLOOKUP(B211,'COMP. HIDRO '!B:H,7,FALSE)</f>
        <v>#N/A</v>
      </c>
    </row>
    <row r="212" spans="2:5">
      <c r="B212" s="616" t="s">
        <v>13565</v>
      </c>
      <c r="C212" s="617" t="e">
        <f>VLOOKUP(B212,'COMP. HIDRO '!B:H,2,FALSE)</f>
        <v>#N/A</v>
      </c>
      <c r="D212" s="616" t="e">
        <f>VLOOKUP(B212,'COMP. HIDRO '!B:H,6,FALSE)</f>
        <v>#N/A</v>
      </c>
      <c r="E212" s="618" t="e">
        <f>VLOOKUP(B212,'COMP. HIDRO '!B:H,7,FALSE)</f>
        <v>#N/A</v>
      </c>
    </row>
    <row r="213" spans="2:5">
      <c r="B213" s="616" t="s">
        <v>13566</v>
      </c>
      <c r="C213" s="617" t="e">
        <f>VLOOKUP(B213,'COMP. HIDRO '!B:H,2,FALSE)</f>
        <v>#N/A</v>
      </c>
      <c r="D213" s="616" t="e">
        <f>VLOOKUP(B213,'COMP. HIDRO '!B:H,6,FALSE)</f>
        <v>#N/A</v>
      </c>
      <c r="E213" s="618" t="e">
        <f>VLOOKUP(B213,'COMP. HIDRO '!B:H,7,FALSE)</f>
        <v>#N/A</v>
      </c>
    </row>
    <row r="214" spans="2:5">
      <c r="B214" s="616" t="s">
        <v>13567</v>
      </c>
      <c r="C214" s="617" t="e">
        <f>VLOOKUP(B214,'COMP. HIDRO '!B:H,2,FALSE)</f>
        <v>#N/A</v>
      </c>
      <c r="D214" s="616" t="e">
        <f>VLOOKUP(B214,'COMP. HIDRO '!B:H,6,FALSE)</f>
        <v>#N/A</v>
      </c>
      <c r="E214" s="618" t="e">
        <f>VLOOKUP(B214,'COMP. HIDRO '!B:H,7,FALSE)</f>
        <v>#N/A</v>
      </c>
    </row>
    <row r="215" spans="2:5">
      <c r="B215" s="616" t="s">
        <v>13568</v>
      </c>
      <c r="C215" s="617" t="e">
        <f>VLOOKUP(B215,'COMP. HIDRO '!B:H,2,FALSE)</f>
        <v>#N/A</v>
      </c>
      <c r="D215" s="616" t="e">
        <f>VLOOKUP(B215,'COMP. HIDRO '!B:H,6,FALSE)</f>
        <v>#N/A</v>
      </c>
      <c r="E215" s="618" t="e">
        <f>VLOOKUP(B215,'COMP. HIDRO '!B:H,7,FALSE)</f>
        <v>#N/A</v>
      </c>
    </row>
    <row r="216" spans="2:5">
      <c r="B216" s="616" t="s">
        <v>13569</v>
      </c>
      <c r="C216" s="617" t="e">
        <f>VLOOKUP(B216,'COMP. HIDRO '!B:H,2,FALSE)</f>
        <v>#N/A</v>
      </c>
      <c r="D216" s="616" t="e">
        <f>VLOOKUP(B216,'COMP. HIDRO '!B:H,6,FALSE)</f>
        <v>#N/A</v>
      </c>
      <c r="E216" s="618" t="e">
        <f>VLOOKUP(B216,'COMP. HIDRO '!B:H,7,FALSE)</f>
        <v>#N/A</v>
      </c>
    </row>
    <row r="217" spans="2:5">
      <c r="B217" s="616" t="s">
        <v>13570</v>
      </c>
      <c r="C217" s="617" t="e">
        <f>VLOOKUP(B217,'COMP. HIDRO '!B:H,2,FALSE)</f>
        <v>#N/A</v>
      </c>
      <c r="D217" s="616" t="e">
        <f>VLOOKUP(B217,'COMP. HIDRO '!B:H,6,FALSE)</f>
        <v>#N/A</v>
      </c>
      <c r="E217" s="618" t="e">
        <f>VLOOKUP(B217,'COMP. HIDRO '!B:H,7,FALSE)</f>
        <v>#N/A</v>
      </c>
    </row>
    <row r="218" spans="2:5">
      <c r="B218" s="616" t="s">
        <v>13571</v>
      </c>
      <c r="C218" s="617" t="e">
        <f>VLOOKUP(B218,'COMP. HIDRO '!B:H,2,FALSE)</f>
        <v>#N/A</v>
      </c>
      <c r="D218" s="616" t="e">
        <f>VLOOKUP(B218,'COMP. HIDRO '!B:H,6,FALSE)</f>
        <v>#N/A</v>
      </c>
      <c r="E218" s="618" t="e">
        <f>VLOOKUP(B218,'COMP. HIDRO '!B:H,7,FALSE)</f>
        <v>#N/A</v>
      </c>
    </row>
    <row r="219" spans="2:5">
      <c r="B219" s="616" t="s">
        <v>13572</v>
      </c>
      <c r="C219" s="617" t="e">
        <f>VLOOKUP(B219,'COMP. HIDRO '!B:H,2,FALSE)</f>
        <v>#N/A</v>
      </c>
      <c r="D219" s="616" t="e">
        <f>VLOOKUP(B219,'COMP. HIDRO '!B:H,6,FALSE)</f>
        <v>#N/A</v>
      </c>
      <c r="E219" s="618" t="e">
        <f>VLOOKUP(B219,'COMP. HIDRO '!B:H,7,FALSE)</f>
        <v>#N/A</v>
      </c>
    </row>
    <row r="220" spans="2:5">
      <c r="B220" s="616" t="s">
        <v>13573</v>
      </c>
      <c r="C220" s="617" t="e">
        <f>VLOOKUP(B220,'COMP. HIDRO '!B:H,2,FALSE)</f>
        <v>#N/A</v>
      </c>
      <c r="D220" s="616" t="e">
        <f>VLOOKUP(B220,'COMP. HIDRO '!B:H,6,FALSE)</f>
        <v>#N/A</v>
      </c>
      <c r="E220" s="618" t="e">
        <f>VLOOKUP(B220,'COMP. HIDRO '!B:H,7,FALSE)</f>
        <v>#N/A</v>
      </c>
    </row>
    <row r="221" spans="2:5">
      <c r="B221" s="616" t="s">
        <v>13574</v>
      </c>
      <c r="C221" s="617" t="e">
        <f>VLOOKUP(B221,'COMP. HIDRO '!B:H,2,FALSE)</f>
        <v>#N/A</v>
      </c>
      <c r="D221" s="616" t="e">
        <f>VLOOKUP(B221,'COMP. HIDRO '!B:H,6,FALSE)</f>
        <v>#N/A</v>
      </c>
      <c r="E221" s="618" t="e">
        <f>VLOOKUP(B221,'COMP. HIDRO '!B:H,7,FALSE)</f>
        <v>#N/A</v>
      </c>
    </row>
    <row r="222" spans="2:5">
      <c r="B222" s="616" t="s">
        <v>13575</v>
      </c>
      <c r="C222" s="617" t="e">
        <f>VLOOKUP(B222,'COMP. HIDRO '!B:H,2,FALSE)</f>
        <v>#N/A</v>
      </c>
      <c r="D222" s="616" t="e">
        <f>VLOOKUP(B222,'COMP. HIDRO '!B:H,6,FALSE)</f>
        <v>#N/A</v>
      </c>
      <c r="E222" s="618" t="e">
        <f>VLOOKUP(B222,'COMP. HIDRO '!B:H,7,FALSE)</f>
        <v>#N/A</v>
      </c>
    </row>
    <row r="223" spans="2:5">
      <c r="B223" s="616" t="s">
        <v>13576</v>
      </c>
      <c r="C223" s="617" t="e">
        <f>VLOOKUP(B223,'COMP. HIDRO '!B:H,2,FALSE)</f>
        <v>#N/A</v>
      </c>
      <c r="D223" s="616" t="e">
        <f>VLOOKUP(B223,'COMP. HIDRO '!B:H,6,FALSE)</f>
        <v>#N/A</v>
      </c>
      <c r="E223" s="618" t="e">
        <f>VLOOKUP(B223,'COMP. HIDRO '!B:H,7,FALSE)</f>
        <v>#N/A</v>
      </c>
    </row>
    <row r="224" spans="2:5">
      <c r="B224" s="616" t="s">
        <v>13577</v>
      </c>
      <c r="C224" s="617" t="e">
        <f>VLOOKUP(B224,'COMP. HIDRO '!B:H,2,FALSE)</f>
        <v>#N/A</v>
      </c>
      <c r="D224" s="616" t="e">
        <f>VLOOKUP(B224,'COMP. HIDRO '!B:H,6,FALSE)</f>
        <v>#N/A</v>
      </c>
      <c r="E224" s="618" t="e">
        <f>VLOOKUP(B224,'COMP. HIDRO '!B:H,7,FALSE)</f>
        <v>#N/A</v>
      </c>
    </row>
    <row r="225" spans="2:5">
      <c r="B225" s="616" t="s">
        <v>13578</v>
      </c>
      <c r="C225" s="617" t="e">
        <f>VLOOKUP(B225,'COMP. HIDRO '!B:H,2,FALSE)</f>
        <v>#N/A</v>
      </c>
      <c r="D225" s="616" t="e">
        <f>VLOOKUP(B225,'COMP. HIDRO '!B:H,6,FALSE)</f>
        <v>#N/A</v>
      </c>
      <c r="E225" s="618" t="e">
        <f>VLOOKUP(B225,'COMP. HIDRO '!B:H,7,FALSE)</f>
        <v>#N/A</v>
      </c>
    </row>
    <row r="226" spans="2:5">
      <c r="B226" s="616" t="s">
        <v>13579</v>
      </c>
      <c r="C226" s="617" t="e">
        <f>VLOOKUP(B226,'COMP. HIDRO '!B:H,2,FALSE)</f>
        <v>#N/A</v>
      </c>
      <c r="D226" s="616" t="e">
        <f>VLOOKUP(B226,'COMP. HIDRO '!B:H,6,FALSE)</f>
        <v>#N/A</v>
      </c>
      <c r="E226" s="618" t="e">
        <f>VLOOKUP(B226,'COMP. HIDRO '!B:H,7,FALSE)</f>
        <v>#N/A</v>
      </c>
    </row>
    <row r="227" spans="2:5">
      <c r="B227" s="616" t="s">
        <v>13580</v>
      </c>
      <c r="C227" s="617" t="e">
        <f>VLOOKUP(B227,'COMP. HIDRO '!B:H,2,FALSE)</f>
        <v>#N/A</v>
      </c>
      <c r="D227" s="616" t="e">
        <f>VLOOKUP(B227,'COMP. HIDRO '!B:H,6,FALSE)</f>
        <v>#N/A</v>
      </c>
      <c r="E227" s="618" t="e">
        <f>VLOOKUP(B227,'COMP. HIDRO '!B:H,7,FALSE)</f>
        <v>#N/A</v>
      </c>
    </row>
    <row r="228" spans="2:5">
      <c r="B228" s="616" t="s">
        <v>13581</v>
      </c>
      <c r="C228" s="617" t="e">
        <f>VLOOKUP(B228,'COMP. HIDRO '!B:H,2,FALSE)</f>
        <v>#N/A</v>
      </c>
      <c r="D228" s="616" t="e">
        <f>VLOOKUP(B228,'COMP. HIDRO '!B:H,6,FALSE)</f>
        <v>#N/A</v>
      </c>
      <c r="E228" s="618" t="e">
        <f>VLOOKUP(B228,'COMP. HIDRO '!B:H,7,FALSE)</f>
        <v>#N/A</v>
      </c>
    </row>
    <row r="229" spans="2:5">
      <c r="B229" s="616" t="s">
        <v>13582</v>
      </c>
      <c r="C229" s="617" t="e">
        <f>VLOOKUP(B229,'COMP. HIDRO '!B:H,2,FALSE)</f>
        <v>#N/A</v>
      </c>
      <c r="D229" s="616" t="e">
        <f>VLOOKUP(B229,'COMP. HIDRO '!B:H,6,FALSE)</f>
        <v>#N/A</v>
      </c>
      <c r="E229" s="618" t="e">
        <f>VLOOKUP(B229,'COMP. HIDRO '!B:H,7,FALSE)</f>
        <v>#N/A</v>
      </c>
    </row>
    <row r="230" spans="2:5">
      <c r="B230" s="616" t="s">
        <v>13583</v>
      </c>
      <c r="C230" s="617" t="e">
        <f>VLOOKUP(B230,'COMP. HIDRO '!B:H,2,FALSE)</f>
        <v>#N/A</v>
      </c>
      <c r="D230" s="616" t="e">
        <f>VLOOKUP(B230,'COMP. HIDRO '!B:H,6,FALSE)</f>
        <v>#N/A</v>
      </c>
      <c r="E230" s="618" t="e">
        <f>VLOOKUP(B230,'COMP. HIDRO '!B:H,7,FALSE)</f>
        <v>#N/A</v>
      </c>
    </row>
    <row r="231" spans="2:5">
      <c r="B231" s="616" t="s">
        <v>13584</v>
      </c>
      <c r="C231" s="617" t="e">
        <f>VLOOKUP(B231,'COMP. HIDRO '!B:H,2,FALSE)</f>
        <v>#N/A</v>
      </c>
      <c r="D231" s="616" t="e">
        <f>VLOOKUP(B231,'COMP. HIDRO '!B:H,6,FALSE)</f>
        <v>#N/A</v>
      </c>
      <c r="E231" s="618" t="e">
        <f>VLOOKUP(B231,'COMP. HIDRO '!B:H,7,FALSE)</f>
        <v>#N/A</v>
      </c>
    </row>
    <row r="232" spans="2:5">
      <c r="B232" s="616" t="s">
        <v>13585</v>
      </c>
      <c r="C232" s="617" t="e">
        <f>VLOOKUP(B232,'COMP. HIDRO '!B:H,2,FALSE)</f>
        <v>#N/A</v>
      </c>
      <c r="D232" s="616" t="e">
        <f>VLOOKUP(B232,'COMP. HIDRO '!B:H,6,FALSE)</f>
        <v>#N/A</v>
      </c>
      <c r="E232" s="618" t="e">
        <f>VLOOKUP(B232,'COMP. HIDRO '!B:H,7,FALSE)</f>
        <v>#N/A</v>
      </c>
    </row>
    <row r="233" spans="2:5">
      <c r="B233" s="616" t="s">
        <v>13586</v>
      </c>
      <c r="C233" s="617" t="e">
        <f>VLOOKUP(B233,'COMP. HIDRO '!B:H,2,FALSE)</f>
        <v>#N/A</v>
      </c>
      <c r="D233" s="616" t="e">
        <f>VLOOKUP(B233,'COMP. HIDRO '!B:H,6,FALSE)</f>
        <v>#N/A</v>
      </c>
      <c r="E233" s="618" t="e">
        <f>VLOOKUP(B233,'COMP. HIDRO '!B:H,7,FALSE)</f>
        <v>#N/A</v>
      </c>
    </row>
    <row r="234" spans="2:5" ht="21" customHeight="1">
      <c r="B234" s="616" t="s">
        <v>13587</v>
      </c>
      <c r="C234" s="617" t="e">
        <f>VLOOKUP(B234,'COMP. HIDRO '!B:H,2,FALSE)</f>
        <v>#N/A</v>
      </c>
      <c r="D234" s="616" t="e">
        <f>VLOOKUP(B234,'COMP. HIDRO '!B:H,6,FALSE)</f>
        <v>#N/A</v>
      </c>
      <c r="E234" s="618" t="e">
        <f>VLOOKUP(B234,'COMP. HIDRO '!B:H,7,FALSE)</f>
        <v>#N/A</v>
      </c>
    </row>
    <row r="235" spans="2:5" ht="21" customHeight="1">
      <c r="B235" s="616" t="s">
        <v>13588</v>
      </c>
      <c r="C235" s="617" t="e">
        <f>VLOOKUP(B235,'COMP. HIDRO '!B:H,2,FALSE)</f>
        <v>#N/A</v>
      </c>
      <c r="D235" s="616" t="e">
        <f>VLOOKUP(B235,'COMP. HIDRO '!B:H,6,FALSE)</f>
        <v>#N/A</v>
      </c>
      <c r="E235" s="618" t="e">
        <f>VLOOKUP(B235,'COMP. HIDRO '!B:H,7,FALSE)</f>
        <v>#N/A</v>
      </c>
    </row>
    <row r="236" spans="2:5" ht="18.75" customHeight="1">
      <c r="B236" s="616" t="s">
        <v>13589</v>
      </c>
      <c r="C236" s="617" t="e">
        <f>VLOOKUP(B236,'COMP. HIDRO '!B:H,2,FALSE)</f>
        <v>#N/A</v>
      </c>
      <c r="D236" s="616" t="e">
        <f>VLOOKUP(B236,'COMP. HIDRO '!B:H,6,FALSE)</f>
        <v>#N/A</v>
      </c>
      <c r="E236" s="618" t="e">
        <f>VLOOKUP(B236,'COMP. HIDRO '!B:H,7,FALSE)</f>
        <v>#N/A</v>
      </c>
    </row>
    <row r="237" spans="2:5" ht="20.25" customHeight="1">
      <c r="B237" s="616" t="s">
        <v>13590</v>
      </c>
      <c r="C237" s="617" t="e">
        <f>VLOOKUP(B237,'COMP. HIDRO '!B:H,2,FALSE)</f>
        <v>#N/A</v>
      </c>
      <c r="D237" s="616" t="e">
        <f>VLOOKUP(B237,'COMP. HIDRO '!B:H,6,FALSE)</f>
        <v>#N/A</v>
      </c>
      <c r="E237" s="618" t="e">
        <f>VLOOKUP(B237,'COMP. HIDRO '!B:H,7,FALSE)</f>
        <v>#N/A</v>
      </c>
    </row>
    <row r="238" spans="2:5">
      <c r="B238" s="616" t="s">
        <v>13591</v>
      </c>
      <c r="C238" s="617" t="e">
        <f>VLOOKUP(B238,'COMP. HIDRO '!B:H,2,FALSE)</f>
        <v>#N/A</v>
      </c>
      <c r="D238" s="616" t="e">
        <f>VLOOKUP(B238,'COMP. HIDRO '!B:H,6,FALSE)</f>
        <v>#N/A</v>
      </c>
      <c r="E238" s="618" t="e">
        <f>VLOOKUP(B238,'COMP. HIDRO '!B:H,7,FALSE)</f>
        <v>#N/A</v>
      </c>
    </row>
    <row r="239" spans="2:5">
      <c r="B239" s="616" t="s">
        <v>13592</v>
      </c>
      <c r="C239" s="617" t="e">
        <f>VLOOKUP(B239,'COMP. HIDRO '!B:H,2,FALSE)</f>
        <v>#N/A</v>
      </c>
      <c r="D239" s="616" t="e">
        <f>VLOOKUP(B239,'COMP. HIDRO '!B:H,6,FALSE)</f>
        <v>#N/A</v>
      </c>
      <c r="E239" s="618" t="e">
        <f>VLOOKUP(B239,'COMP. HIDRO '!B:H,7,FALSE)</f>
        <v>#N/A</v>
      </c>
    </row>
    <row r="240" spans="2:5">
      <c r="B240" s="616" t="s">
        <v>13593</v>
      </c>
      <c r="C240" s="617" t="e">
        <f>VLOOKUP(B240,'COMP. HIDRO '!B:H,2,FALSE)</f>
        <v>#N/A</v>
      </c>
      <c r="D240" s="616" t="e">
        <f>VLOOKUP(B240,'COMP. HIDRO '!B:H,6,FALSE)</f>
        <v>#N/A</v>
      </c>
      <c r="E240" s="618" t="e">
        <f>VLOOKUP(B240,'COMP. HIDRO '!B:H,7,FALSE)</f>
        <v>#N/A</v>
      </c>
    </row>
    <row r="241" spans="2:5">
      <c r="B241" s="616" t="s">
        <v>13594</v>
      </c>
      <c r="C241" s="617" t="e">
        <f>VLOOKUP(B241,'COMP. HIDRO '!B:H,2,FALSE)</f>
        <v>#N/A</v>
      </c>
      <c r="D241" s="616" t="e">
        <f>VLOOKUP(B241,'COMP. HIDRO '!B:H,6,FALSE)</f>
        <v>#N/A</v>
      </c>
      <c r="E241" s="618" t="e">
        <f>VLOOKUP(B241,'COMP. HIDRO '!B:H,7,FALSE)</f>
        <v>#N/A</v>
      </c>
    </row>
    <row r="242" spans="2:5">
      <c r="B242" s="616" t="s">
        <v>13595</v>
      </c>
      <c r="C242" s="617" t="e">
        <f>VLOOKUP(B242,'COMP. HIDRO '!B:H,2,FALSE)</f>
        <v>#N/A</v>
      </c>
      <c r="D242" s="616" t="e">
        <f>VLOOKUP(B242,'COMP. HIDRO '!B:H,6,FALSE)</f>
        <v>#N/A</v>
      </c>
      <c r="E242" s="618" t="e">
        <f>VLOOKUP(B242,'COMP. HIDRO '!B:H,7,FALSE)</f>
        <v>#N/A</v>
      </c>
    </row>
    <row r="243" spans="2:5">
      <c r="B243" s="616" t="s">
        <v>13596</v>
      </c>
      <c r="C243" s="617" t="e">
        <f>VLOOKUP(B243,'COMP. HIDRO '!B:H,2,FALSE)</f>
        <v>#N/A</v>
      </c>
      <c r="D243" s="616" t="e">
        <f>VLOOKUP(B243,'COMP. HIDRO '!B:H,6,FALSE)</f>
        <v>#N/A</v>
      </c>
      <c r="E243" s="618" t="e">
        <f>VLOOKUP(B243,'COMP. HIDRO '!B:H,7,FALSE)</f>
        <v>#N/A</v>
      </c>
    </row>
    <row r="244" spans="2:5">
      <c r="B244" s="616" t="s">
        <v>13597</v>
      </c>
      <c r="C244" s="617" t="e">
        <f>VLOOKUP(B244,'COMP. HIDRO '!B:H,2,FALSE)</f>
        <v>#N/A</v>
      </c>
      <c r="D244" s="616" t="e">
        <f>VLOOKUP(B244,'COMP. HIDRO '!B:H,6,FALSE)</f>
        <v>#N/A</v>
      </c>
      <c r="E244" s="618" t="e">
        <f>VLOOKUP(B244,'COMP. HIDRO '!B:H,7,FALSE)</f>
        <v>#N/A</v>
      </c>
    </row>
    <row r="245" spans="2:5">
      <c r="B245" s="616" t="s">
        <v>13598</v>
      </c>
      <c r="C245" s="617" t="e">
        <f>VLOOKUP(B245,'COMP. HIDRO '!B:H,2,FALSE)</f>
        <v>#N/A</v>
      </c>
      <c r="D245" s="616" t="e">
        <f>VLOOKUP(B245,'COMP. HIDRO '!B:H,6,FALSE)</f>
        <v>#N/A</v>
      </c>
      <c r="E245" s="618" t="e">
        <f>VLOOKUP(B245,'COMP. HIDRO '!B:H,7,FALSE)</f>
        <v>#N/A</v>
      </c>
    </row>
    <row r="246" spans="2:5">
      <c r="B246" s="616" t="s">
        <v>13599</v>
      </c>
      <c r="C246" s="617" t="e">
        <f>VLOOKUP(B246,'COMP. HIDRO '!B:H,2,FALSE)</f>
        <v>#N/A</v>
      </c>
      <c r="D246" s="616" t="e">
        <f>VLOOKUP(B246,'COMP. HIDRO '!B:H,6,FALSE)</f>
        <v>#N/A</v>
      </c>
      <c r="E246" s="618" t="e">
        <f>VLOOKUP(B246,'COMP. HIDRO '!B:H,7,FALSE)</f>
        <v>#N/A</v>
      </c>
    </row>
    <row r="247" spans="2:5">
      <c r="B247" s="616" t="s">
        <v>13600</v>
      </c>
      <c r="C247" s="617" t="e">
        <f>VLOOKUP(B247,'COMP. HIDRO '!B:H,2,FALSE)</f>
        <v>#N/A</v>
      </c>
      <c r="D247" s="616" t="e">
        <f>VLOOKUP(B247,'COMP. HIDRO '!B:H,6,FALSE)</f>
        <v>#N/A</v>
      </c>
      <c r="E247" s="618" t="e">
        <f>VLOOKUP(B247,'COMP. HIDRO '!B:H,7,FALSE)</f>
        <v>#N/A</v>
      </c>
    </row>
    <row r="248" spans="2:5">
      <c r="B248" s="616" t="s">
        <v>13601</v>
      </c>
      <c r="C248" s="617" t="e">
        <f>VLOOKUP(B248,'COMP. HIDRO '!B:H,2,FALSE)</f>
        <v>#N/A</v>
      </c>
      <c r="D248" s="616" t="e">
        <f>VLOOKUP(B248,'COMP. HIDRO '!B:H,6,FALSE)</f>
        <v>#N/A</v>
      </c>
      <c r="E248" s="618" t="e">
        <f>VLOOKUP(B248,'COMP. HIDRO '!B:H,7,FALSE)</f>
        <v>#N/A</v>
      </c>
    </row>
    <row r="249" spans="2:5">
      <c r="B249" s="616" t="s">
        <v>13602</v>
      </c>
      <c r="C249" s="617" t="e">
        <f>VLOOKUP(B249,'COMP. HIDRO '!B:H,2,FALSE)</f>
        <v>#N/A</v>
      </c>
      <c r="D249" s="616" t="e">
        <f>VLOOKUP(B249,'COMP. HIDRO '!B:H,6,FALSE)</f>
        <v>#N/A</v>
      </c>
      <c r="E249" s="618" t="e">
        <f>VLOOKUP(B249,'COMP. HIDRO '!B:H,7,FALSE)</f>
        <v>#N/A</v>
      </c>
    </row>
    <row r="250" spans="2:5">
      <c r="B250" s="616" t="s">
        <v>13603</v>
      </c>
      <c r="C250" s="617" t="e">
        <f>VLOOKUP(B250,'COMP. HIDRO '!B:H,2,FALSE)</f>
        <v>#N/A</v>
      </c>
      <c r="D250" s="616" t="e">
        <f>VLOOKUP(B250,'COMP. HIDRO '!B:H,6,FALSE)</f>
        <v>#N/A</v>
      </c>
      <c r="E250" s="618" t="e">
        <f>VLOOKUP(B250,'COMP. HIDRO '!B:H,7,FALSE)</f>
        <v>#N/A</v>
      </c>
    </row>
    <row r="251" spans="2:5">
      <c r="B251" s="616" t="s">
        <v>13604</v>
      </c>
      <c r="C251" s="617" t="e">
        <f>VLOOKUP(B251,'COMP. HIDRO '!B:H,2,FALSE)</f>
        <v>#N/A</v>
      </c>
      <c r="D251" s="616" t="e">
        <f>VLOOKUP(B251,'COMP. HIDRO '!B:H,6,FALSE)</f>
        <v>#N/A</v>
      </c>
      <c r="E251" s="618" t="e">
        <f>VLOOKUP(B251,'COMP. HIDRO '!B:H,7,FALSE)</f>
        <v>#N/A</v>
      </c>
    </row>
    <row r="252" spans="2:5">
      <c r="B252" s="616" t="s">
        <v>13605</v>
      </c>
      <c r="C252" s="617" t="e">
        <f>VLOOKUP(B252,'COMP. HIDRO '!B:H,2,FALSE)</f>
        <v>#N/A</v>
      </c>
      <c r="D252" s="616" t="e">
        <f>VLOOKUP(B252,'COMP. HIDRO '!B:H,6,FALSE)</f>
        <v>#N/A</v>
      </c>
      <c r="E252" s="618" t="e">
        <f>VLOOKUP(B252,'COMP. HIDRO '!B:H,7,FALSE)</f>
        <v>#N/A</v>
      </c>
    </row>
    <row r="253" spans="2:5">
      <c r="B253" s="616" t="s">
        <v>13606</v>
      </c>
      <c r="C253" s="617" t="e">
        <f>VLOOKUP(B253,'COMP. HIDRO '!B:H,2,FALSE)</f>
        <v>#N/A</v>
      </c>
      <c r="D253" s="616" t="e">
        <f>VLOOKUP(B253,'COMP. HIDRO '!B:H,6,FALSE)</f>
        <v>#N/A</v>
      </c>
      <c r="E253" s="618" t="e">
        <f>VLOOKUP(B253,'COMP. HIDRO '!B:H,7,FALSE)</f>
        <v>#N/A</v>
      </c>
    </row>
    <row r="254" spans="2:5">
      <c r="B254" s="616" t="s">
        <v>13607</v>
      </c>
      <c r="C254" s="617" t="e">
        <f>VLOOKUP(B254,'COMP. HIDRO '!B:H,2,FALSE)</f>
        <v>#N/A</v>
      </c>
      <c r="D254" s="616" t="e">
        <f>VLOOKUP(B254,'COMP. HIDRO '!B:H,6,FALSE)</f>
        <v>#N/A</v>
      </c>
      <c r="E254" s="618" t="e">
        <f>VLOOKUP(B254,'COMP. HIDRO '!B:H,7,FALSE)</f>
        <v>#N/A</v>
      </c>
    </row>
    <row r="255" spans="2:5">
      <c r="B255" s="616" t="s">
        <v>13608</v>
      </c>
      <c r="C255" s="617" t="e">
        <f>VLOOKUP(B255,'COMP. HIDRO '!B:H,2,FALSE)</f>
        <v>#N/A</v>
      </c>
      <c r="D255" s="616" t="e">
        <f>VLOOKUP(B255,'COMP. HIDRO '!B:H,6,FALSE)</f>
        <v>#N/A</v>
      </c>
      <c r="E255" s="618" t="e">
        <f>VLOOKUP(B255,'COMP. HIDRO '!B:H,7,FALSE)</f>
        <v>#N/A</v>
      </c>
    </row>
    <row r="256" spans="2:5">
      <c r="B256" s="616" t="s">
        <v>13609</v>
      </c>
      <c r="C256" s="617" t="e">
        <f>VLOOKUP(B256,'COMP. HIDRO '!B:H,2,FALSE)</f>
        <v>#N/A</v>
      </c>
      <c r="D256" s="616" t="e">
        <f>VLOOKUP(B256,'COMP. HIDRO '!B:H,6,FALSE)</f>
        <v>#N/A</v>
      </c>
      <c r="E256" s="618" t="e">
        <f>VLOOKUP(B256,'COMP. HIDRO '!B:H,7,FALSE)</f>
        <v>#N/A</v>
      </c>
    </row>
    <row r="257" spans="2:5">
      <c r="B257" s="616" t="s">
        <v>13610</v>
      </c>
      <c r="C257" s="617" t="e">
        <f>VLOOKUP(B257,'COMP. HIDRO '!B:H,2,FALSE)</f>
        <v>#N/A</v>
      </c>
      <c r="D257" s="616" t="e">
        <f>VLOOKUP(B257,'COMP. HIDRO '!B:H,6,FALSE)</f>
        <v>#N/A</v>
      </c>
      <c r="E257" s="618" t="e">
        <f>VLOOKUP(B257,'COMP. HIDRO '!B:H,7,FALSE)</f>
        <v>#N/A</v>
      </c>
    </row>
    <row r="258" spans="2:5">
      <c r="B258" s="616" t="s">
        <v>13611</v>
      </c>
      <c r="C258" s="617" t="e">
        <f>VLOOKUP(B258,'COMP. HIDRO '!B:H,2,FALSE)</f>
        <v>#N/A</v>
      </c>
      <c r="D258" s="616" t="e">
        <f>VLOOKUP(B258,'COMP. HIDRO '!B:H,6,FALSE)</f>
        <v>#N/A</v>
      </c>
      <c r="E258" s="618" t="e">
        <f>VLOOKUP(B258,'COMP. HIDRO '!B:H,7,FALSE)</f>
        <v>#N/A</v>
      </c>
    </row>
    <row r="259" spans="2:5">
      <c r="B259" s="616" t="s">
        <v>13612</v>
      </c>
      <c r="C259" s="617" t="e">
        <f>VLOOKUP(B259,'COMP. HIDRO '!B:H,2,FALSE)</f>
        <v>#N/A</v>
      </c>
      <c r="D259" s="616" t="e">
        <f>VLOOKUP(B259,'COMP. HIDRO '!B:H,6,FALSE)</f>
        <v>#N/A</v>
      </c>
      <c r="E259" s="618" t="e">
        <f>VLOOKUP(B259,'COMP. HIDRO '!B:H,7,FALSE)</f>
        <v>#N/A</v>
      </c>
    </row>
    <row r="260" spans="2:5">
      <c r="B260" s="616" t="s">
        <v>13613</v>
      </c>
      <c r="C260" s="617" t="e">
        <f>VLOOKUP(B260,'COMP. HIDRO '!B:H,2,FALSE)</f>
        <v>#N/A</v>
      </c>
      <c r="D260" s="616" t="e">
        <f>VLOOKUP(B260,'COMP. HIDRO '!B:H,6,FALSE)</f>
        <v>#N/A</v>
      </c>
      <c r="E260" s="618" t="e">
        <f>VLOOKUP(B260,'COMP. HIDRO '!B:H,7,FALSE)</f>
        <v>#N/A</v>
      </c>
    </row>
    <row r="261" spans="2:5">
      <c r="B261" s="616" t="s">
        <v>13614</v>
      </c>
      <c r="C261" s="617" t="e">
        <f>VLOOKUP(B261,'COMP. HIDRO '!B:H,2,FALSE)</f>
        <v>#N/A</v>
      </c>
      <c r="D261" s="616" t="e">
        <f>VLOOKUP(B261,'COMP. HIDRO '!B:H,6,FALSE)</f>
        <v>#N/A</v>
      </c>
      <c r="E261" s="618" t="e">
        <f>VLOOKUP(B261,'COMP. HIDRO '!B:H,7,FALSE)</f>
        <v>#N/A</v>
      </c>
    </row>
    <row r="262" spans="2:5">
      <c r="B262" s="616" t="s">
        <v>13615</v>
      </c>
      <c r="C262" s="617" t="e">
        <f>VLOOKUP(B262,'COMP. HIDRO '!B:H,2,FALSE)</f>
        <v>#N/A</v>
      </c>
      <c r="D262" s="616" t="e">
        <f>VLOOKUP(B262,'COMP. HIDRO '!B:H,6,FALSE)</f>
        <v>#N/A</v>
      </c>
      <c r="E262" s="618" t="e">
        <f>VLOOKUP(B262,'COMP. HIDRO '!B:H,7,FALSE)</f>
        <v>#N/A</v>
      </c>
    </row>
    <row r="263" spans="2:5">
      <c r="B263" s="616" t="s">
        <v>13616</v>
      </c>
      <c r="C263" s="617" t="e">
        <f>VLOOKUP(B263,'COMP. HIDRO '!B:H,2,FALSE)</f>
        <v>#N/A</v>
      </c>
      <c r="D263" s="616" t="e">
        <f>VLOOKUP(B263,'COMP. HIDRO '!B:H,6,FALSE)</f>
        <v>#N/A</v>
      </c>
      <c r="E263" s="618" t="e">
        <f>VLOOKUP(B263,'COMP. HIDRO '!B:H,7,FALSE)</f>
        <v>#N/A</v>
      </c>
    </row>
    <row r="264" spans="2:5">
      <c r="B264" s="616" t="s">
        <v>13617</v>
      </c>
      <c r="C264" s="617" t="e">
        <f>VLOOKUP(B264,'COMP. HIDRO '!B:H,2,FALSE)</f>
        <v>#N/A</v>
      </c>
      <c r="D264" s="616" t="e">
        <f>VLOOKUP(B264,'COMP. HIDRO '!B:H,6,FALSE)</f>
        <v>#N/A</v>
      </c>
      <c r="E264" s="618" t="e">
        <f>VLOOKUP(B264,'COMP. HIDRO '!B:H,7,FALSE)</f>
        <v>#N/A</v>
      </c>
    </row>
    <row r="265" spans="2:5">
      <c r="B265" s="616" t="s">
        <v>13618</v>
      </c>
      <c r="C265" s="617" t="e">
        <f>VLOOKUP(B265,'COMP. HIDRO '!B:H,2,FALSE)</f>
        <v>#N/A</v>
      </c>
      <c r="D265" s="616" t="e">
        <f>VLOOKUP(B265,'COMP. HIDRO '!B:H,6,FALSE)</f>
        <v>#N/A</v>
      </c>
      <c r="E265" s="618" t="e">
        <f>VLOOKUP(B265,'COMP. HIDRO '!B:H,7,FALSE)</f>
        <v>#N/A</v>
      </c>
    </row>
    <row r="266" spans="2:5">
      <c r="B266" s="616" t="s">
        <v>13619</v>
      </c>
      <c r="C266" s="617" t="e">
        <f>VLOOKUP(B266,'COMP. HIDRO '!B:H,2,FALSE)</f>
        <v>#N/A</v>
      </c>
      <c r="D266" s="616" t="e">
        <f>VLOOKUP(B266,'COMP. HIDRO '!B:H,6,FALSE)</f>
        <v>#N/A</v>
      </c>
      <c r="E266" s="618" t="e">
        <f>VLOOKUP(B266,'COMP. HIDRO '!B:H,7,FALSE)</f>
        <v>#N/A</v>
      </c>
    </row>
    <row r="267" spans="2:5">
      <c r="B267" s="616" t="s">
        <v>13620</v>
      </c>
      <c r="C267" s="617" t="e">
        <f>VLOOKUP(B267,'COMP. HIDRO '!B:H,2,FALSE)</f>
        <v>#N/A</v>
      </c>
      <c r="D267" s="616" t="e">
        <f>VLOOKUP(B267,'COMP. HIDRO '!B:H,6,FALSE)</f>
        <v>#N/A</v>
      </c>
      <c r="E267" s="618" t="e">
        <f>VLOOKUP(B267,'COMP. HIDRO '!B:H,7,FALSE)</f>
        <v>#N/A</v>
      </c>
    </row>
    <row r="268" spans="2:5">
      <c r="B268" s="616" t="s">
        <v>13621</v>
      </c>
      <c r="C268" s="617" t="e">
        <f>VLOOKUP(B268,'COMP. HIDRO '!B:H,2,FALSE)</f>
        <v>#N/A</v>
      </c>
      <c r="D268" s="616" t="e">
        <f>VLOOKUP(B268,'COMP. HIDRO '!B:H,6,FALSE)</f>
        <v>#N/A</v>
      </c>
      <c r="E268" s="618" t="e">
        <f>VLOOKUP(B268,'COMP. HIDRO '!B:H,7,FALSE)</f>
        <v>#N/A</v>
      </c>
    </row>
    <row r="269" spans="2:5">
      <c r="B269" s="616" t="s">
        <v>13622</v>
      </c>
      <c r="C269" s="617" t="e">
        <f>VLOOKUP(B269,'COMP. HIDRO '!B:H,2,FALSE)</f>
        <v>#N/A</v>
      </c>
      <c r="D269" s="616" t="e">
        <f>VLOOKUP(B269,'COMP. HIDRO '!B:H,6,FALSE)</f>
        <v>#N/A</v>
      </c>
      <c r="E269" s="618" t="e">
        <f>VLOOKUP(B269,'COMP. HIDRO '!B:H,7,FALSE)</f>
        <v>#N/A</v>
      </c>
    </row>
    <row r="270" spans="2:5">
      <c r="B270" s="616" t="s">
        <v>13623</v>
      </c>
      <c r="C270" s="617" t="e">
        <f>VLOOKUP(B270,'COMP. HIDRO '!B:H,2,FALSE)</f>
        <v>#N/A</v>
      </c>
      <c r="D270" s="616" t="e">
        <f>VLOOKUP(B270,'COMP. HIDRO '!B:H,6,FALSE)</f>
        <v>#N/A</v>
      </c>
      <c r="E270" s="618" t="e">
        <f>VLOOKUP(B270,'COMP. HIDRO '!B:H,7,FALSE)</f>
        <v>#N/A</v>
      </c>
    </row>
    <row r="271" spans="2:5">
      <c r="B271" s="616" t="s">
        <v>13624</v>
      </c>
      <c r="C271" s="617" t="e">
        <f>VLOOKUP(B271,'COMP. HIDRO '!B:H,2,FALSE)</f>
        <v>#N/A</v>
      </c>
      <c r="D271" s="616" t="e">
        <f>VLOOKUP(B271,'COMP. HIDRO '!B:H,6,FALSE)</f>
        <v>#N/A</v>
      </c>
      <c r="E271" s="618" t="e">
        <f>VLOOKUP(B271,'COMP. HIDRO '!B:H,7,FALSE)</f>
        <v>#N/A</v>
      </c>
    </row>
    <row r="272" spans="2:5">
      <c r="B272" s="616" t="s">
        <v>13625</v>
      </c>
      <c r="C272" s="617" t="e">
        <f>VLOOKUP(B272,'COMP. HIDRO '!B:H,2,FALSE)</f>
        <v>#N/A</v>
      </c>
      <c r="D272" s="616" t="e">
        <f>VLOOKUP(B272,'COMP. HIDRO '!B:H,6,FALSE)</f>
        <v>#N/A</v>
      </c>
      <c r="E272" s="618" t="e">
        <f>VLOOKUP(B272,'COMP. HIDRO '!B:H,7,FALSE)</f>
        <v>#N/A</v>
      </c>
    </row>
    <row r="273" spans="2:5">
      <c r="B273" s="616" t="s">
        <v>13626</v>
      </c>
      <c r="C273" s="617" t="e">
        <f>VLOOKUP(B273,'COMP. HIDRO '!B:H,2,FALSE)</f>
        <v>#N/A</v>
      </c>
      <c r="D273" s="616" t="e">
        <f>VLOOKUP(B273,'COMP. HIDRO '!B:H,6,FALSE)</f>
        <v>#N/A</v>
      </c>
      <c r="E273" s="618" t="e">
        <f>VLOOKUP(B273,'COMP. HIDRO '!B:H,7,FALSE)</f>
        <v>#N/A</v>
      </c>
    </row>
    <row r="274" spans="2:5">
      <c r="B274" s="616" t="s">
        <v>13627</v>
      </c>
      <c r="C274" s="617" t="e">
        <f>VLOOKUP(B274,'COMP. HIDRO '!B:H,2,FALSE)</f>
        <v>#N/A</v>
      </c>
      <c r="D274" s="616" t="e">
        <f>VLOOKUP(B274,'COMP. HIDRO '!B:H,6,FALSE)</f>
        <v>#N/A</v>
      </c>
      <c r="E274" s="618" t="e">
        <f>VLOOKUP(B274,'COMP. HIDRO '!B:H,7,FALSE)</f>
        <v>#N/A</v>
      </c>
    </row>
    <row r="275" spans="2:5">
      <c r="B275" s="616" t="s">
        <v>13628</v>
      </c>
      <c r="C275" s="617" t="e">
        <f>VLOOKUP(B275,'COMP. HIDRO '!B:H,2,FALSE)</f>
        <v>#N/A</v>
      </c>
      <c r="D275" s="616" t="e">
        <f>VLOOKUP(B275,'COMP. HIDRO '!B:H,6,FALSE)</f>
        <v>#N/A</v>
      </c>
      <c r="E275" s="618" t="e">
        <f>VLOOKUP(B275,'COMP. HIDRO '!B:H,7,FALSE)</f>
        <v>#N/A</v>
      </c>
    </row>
    <row r="276" spans="2:5">
      <c r="B276" s="616" t="s">
        <v>13629</v>
      </c>
      <c r="C276" s="617" t="e">
        <f>VLOOKUP(B276,'COMP. HIDRO '!B:H,2,FALSE)</f>
        <v>#N/A</v>
      </c>
      <c r="D276" s="616" t="e">
        <f>VLOOKUP(B276,'COMP. HIDRO '!B:H,6,FALSE)</f>
        <v>#N/A</v>
      </c>
      <c r="E276" s="618" t="e">
        <f>VLOOKUP(B276,'COMP. HIDRO '!B:H,7,FALSE)</f>
        <v>#N/A</v>
      </c>
    </row>
    <row r="277" spans="2:5" ht="15.75" thickBot="1">
      <c r="B277" s="677"/>
      <c r="C277" s="733"/>
      <c r="D277" s="677"/>
    </row>
    <row r="278" spans="2:5" ht="15.75">
      <c r="B278" s="243" t="s">
        <v>13630</v>
      </c>
      <c r="C278" s="244" t="s">
        <v>520</v>
      </c>
      <c r="D278" s="245" t="s">
        <v>25</v>
      </c>
      <c r="E278" s="246" t="s">
        <v>26</v>
      </c>
    </row>
    <row r="279" spans="2:5" ht="30">
      <c r="B279" s="616" t="s">
        <v>13631</v>
      </c>
      <c r="C279" s="617" t="str">
        <f>VLOOKUP($B279,'COMP. ELETRICO '!$B:$G,2,FALSE)</f>
        <v xml:space="preserve">FORNECIMENTO E INSTALAÇÃO DE CAIXA DE PASSAGEM METALICA DE SOBREPOR COM TAMPA PARAFUSADA, DIMENSOES 30 X 30 X 10 CM                                                                                                                                                                                                                                                                                                                                                                                                                    </v>
      </c>
      <c r="D279" s="616" t="str">
        <f>VLOOKUP($B279,'COMP. ELETRICO '!$B:$G,6,FALSE)</f>
        <v>UN</v>
      </c>
      <c r="E279" s="618">
        <f>VLOOKUP($B279,'COMP. ELETRICO '!$B:$H,7,FALSE)</f>
        <v>103.48</v>
      </c>
    </row>
    <row r="280" spans="2:5">
      <c r="B280" s="616" t="s">
        <v>13632</v>
      </c>
      <c r="C280" s="617" t="str">
        <f>VLOOKUP($B280,'COMP. ELETRICO '!$B:$G,2,FALSE)</f>
        <v>FORNECIMENTO E INSTALAÇAO DE PADRÃO DE ENTRADA DE ENERGIA CATEGORIA "T6" (ENERGISA)</v>
      </c>
      <c r="D280" s="616" t="str">
        <f>VLOOKUP($B280,'COMP. ELETRICO '!$B:$G,6,FALSE)</f>
        <v>UN</v>
      </c>
      <c r="E280" s="618">
        <f>VLOOKUP($B280,'COMP. ELETRICO '!$B:$H,7,FALSE)</f>
        <v>14718.24</v>
      </c>
    </row>
    <row r="281" spans="2:5">
      <c r="B281" s="616" t="s">
        <v>13633</v>
      </c>
      <c r="C281" s="617" t="str">
        <f>VLOOKUP($B281,'COMP. ELETRICO '!$B:$G,2,FALSE)</f>
        <v>FORNECIMENTO E INSTALAÇÃO DE LUMINÁRIA HERMÉTICA IP-65 PARA, COM DUAS LÂMPADAS TUBULARES DE LED DE 20W</v>
      </c>
      <c r="D281" s="616" t="str">
        <f>VLOOKUP($B281,'COMP. ELETRICO '!$B:$G,6,FALSE)</f>
        <v>UN</v>
      </c>
      <c r="E281" s="618">
        <f>VLOOKUP($B281,'COMP. ELETRICO '!$B:$H,7,FALSE)</f>
        <v>214.01999999999998</v>
      </c>
    </row>
    <row r="282" spans="2:5" ht="30">
      <c r="B282" s="616" t="s">
        <v>13634</v>
      </c>
      <c r="C282" s="617" t="str">
        <f>VLOOKUP($B282,'COMP. ELETRICO '!$B:$G,2,FALSE)</f>
        <v>CAIXA DE PASSAGEM ELETRICA DE PAREDE, DE EMBUTIR, EM PVC, COM TAMPA APARAFUSADA, DIMENSOES 120 X 120 X *75* MM - FORNECIMENTO E INSTALAÇÃO</v>
      </c>
      <c r="D282" s="616" t="str">
        <f>VLOOKUP($B282,'COMP. ELETRICO '!$B:$G,6,FALSE)</f>
        <v>UN</v>
      </c>
      <c r="E282" s="618">
        <f>VLOOKUP($B282,'COMP. ELETRICO '!$B:$H,7,FALSE)</f>
        <v>114.16</v>
      </c>
    </row>
    <row r="283" spans="2:5">
      <c r="B283" s="616" t="s">
        <v>13635</v>
      </c>
      <c r="C283" s="617" t="str">
        <f>VLOOKUP($B283,'COMP. ELETRICO '!$B:$G,2,FALSE)</f>
        <v>ESPELHO / PLACA CEGA 4" X 2", PARA INSTALACAO DE TOMADAS E INTERRUPTORES - FORNECIMENTO E INSTALAÇÃO</v>
      </c>
      <c r="D283" s="616" t="str">
        <f>VLOOKUP($B283,'COMP. ELETRICO '!$B:$G,6,FALSE)</f>
        <v>UN</v>
      </c>
      <c r="E283" s="618">
        <f>VLOOKUP($B283,'COMP. ELETRICO '!$B:$H,7,FALSE)</f>
        <v>3.96</v>
      </c>
    </row>
    <row r="284" spans="2:5">
      <c r="B284" s="616" t="s">
        <v>13636</v>
      </c>
      <c r="C284" s="617" t="str">
        <f>VLOOKUP($B284,'COMP. ELETRICO '!$B:$G,2,FALSE)</f>
        <v>DISJUNTOR TERMOMAGNETICO BIPOLAR DE 10 A DIN- FORNECIMENTO E INSTALAÇÃO</v>
      </c>
      <c r="D284" s="616" t="str">
        <f>VLOOKUP($B284,'COMP. ELETRICO '!$B:$G,6,FALSE)</f>
        <v>UN</v>
      </c>
      <c r="E284" s="618">
        <f>VLOOKUP($B284,'COMP. ELETRICO '!$B:$H,7,FALSE)</f>
        <v>75.59</v>
      </c>
    </row>
    <row r="285" spans="2:5" ht="30">
      <c r="B285" s="616" t="s">
        <v>13637</v>
      </c>
      <c r="C285" s="617" t="str">
        <f>VLOOKUP($B285,'COMP. ELETRICO '!$B:$G,2,FALSE)</f>
        <v>FORNECIMENTO E INSTALAÇÃO DE DISPOSITIVO DPS CLASSE II, 1 POLO, TENSÃO MAXIMA DE 175 V, CORRENTE MAXIMA DE 45 KA (TIPO AC)</v>
      </c>
      <c r="D285" s="616" t="str">
        <f>VLOOKUP($B285,'COMP. ELETRICO '!$B:$G,6,FALSE)</f>
        <v>UN</v>
      </c>
      <c r="E285" s="618">
        <f>VLOOKUP($B285,'COMP. ELETRICO '!$B:$H,7,FALSE)</f>
        <v>233.13</v>
      </c>
    </row>
    <row r="286" spans="2:5">
      <c r="B286" s="616" t="s">
        <v>13638</v>
      </c>
      <c r="C286" s="617" t="str">
        <f>VLOOKUP($B286,'COMP. ELETRICO '!$B:$G,2,FALSE)</f>
        <v>DISPOSITIVO DR, 4 POLOS, SENSIBILIDADE DE 30 MA, CORRENTE DE 25 A, TIPO AC - FORNECIMENTO E INSTALAÇÃO</v>
      </c>
      <c r="D286" s="616" t="str">
        <f>VLOOKUP($B286,'COMP. ELETRICO '!$B:$G,6,FALSE)</f>
        <v>UN</v>
      </c>
      <c r="E286" s="618">
        <f>VLOOKUP($B286,'COMP. ELETRICO '!$B:$H,7,FALSE)</f>
        <v>151.75000000000003</v>
      </c>
    </row>
    <row r="287" spans="2:5">
      <c r="B287" s="616" t="s">
        <v>13639</v>
      </c>
      <c r="C287" s="617" t="str">
        <f>VLOOKUP($B287,'COMP. ELETRICO '!$B:$G,2,FALSE)</f>
        <v>DISPOSITIVO DR, 4 POLOS, SENSIBILIDADE DE 30 MA, CORRENTE DE 40 A, TIPO AC - FORNECIMENTO E INSTALAÇÃO</v>
      </c>
      <c r="D287" s="616" t="str">
        <f>VLOOKUP($B287,'COMP. ELETRICO '!$B:$G,6,FALSE)</f>
        <v>UN</v>
      </c>
      <c r="E287" s="618">
        <f>VLOOKUP($B287,'COMP. ELETRICO '!$B:$H,7,FALSE)</f>
        <v>239.71</v>
      </c>
    </row>
    <row r="288" spans="2:5">
      <c r="B288" s="616" t="s">
        <v>13640</v>
      </c>
      <c r="C288" s="617" t="str">
        <f>VLOOKUP($B288,'COMP. ELETRICO '!$B:$G,2,FALSE)</f>
        <v>LUMINARIA LUZ EMERGENCIA LED  12 V</v>
      </c>
      <c r="D288" s="616" t="str">
        <f>VLOOKUP($B288,'COMP. ELETRICO '!$B:$G,6,FALSE)</f>
        <v>UN</v>
      </c>
      <c r="E288" s="618">
        <f>VLOOKUP($B288,'COMP. ELETRICO '!$B:$H,7,FALSE)</f>
        <v>229.55</v>
      </c>
    </row>
    <row r="289" spans="2:5">
      <c r="B289" s="616" t="s">
        <v>13641</v>
      </c>
      <c r="C289" s="617" t="str">
        <f>VLOOKUP($B289,'COMP. ELETRICO '!$B:$G,2,FALSE)</f>
        <v>LUMINÁRIA PARA 1 LAMPADA LED DE 18W, BASE G13, EM CHAPA DE AÇO, INCLUSO LAMPADA. INSTALAÇÃO E FORNECIMENTO.</v>
      </c>
      <c r="D289" s="616" t="str">
        <f>VLOOKUP($B289,'COMP. ELETRICO '!$B:$G,6,FALSE)</f>
        <v>UN</v>
      </c>
      <c r="E289" s="618">
        <f>VLOOKUP($B289,'COMP. ELETRICO '!$B:$H,7,FALSE)</f>
        <v>66.34</v>
      </c>
    </row>
    <row r="290" spans="2:5">
      <c r="B290" s="616" t="s">
        <v>13642</v>
      </c>
      <c r="C290" s="617" t="str">
        <f>VLOOKUP($B290,'COMP. ELETRICO '!$B:$G,2,FALSE)</f>
        <v>QUADRO DE DISTRIBUIÇÃO TRIFÁSICO, EM PVC, PARA 36 DISJUNTORES DIN, SOBREPOR. INSTALAÇÃO E FORNECIMENTO.</v>
      </c>
      <c r="D290" s="616" t="str">
        <f>VLOOKUP($B290,'COMP. ELETRICO '!$B:$G,6,FALSE)</f>
        <v>UN</v>
      </c>
      <c r="E290" s="618">
        <f>VLOOKUP($B290,'COMP. ELETRICO '!$B:$H,7,FALSE)</f>
        <v>448.84000000000003</v>
      </c>
    </row>
    <row r="291" spans="2:5">
      <c r="B291" s="616" t="s">
        <v>13643</v>
      </c>
      <c r="C291" s="617" t="str">
        <f>VLOOKUP($B291,'COMP. ELETRICO '!$B:$G,2,FALSE)</f>
        <v>QUADRO DE DISTRIBUIÇÃO TRIFÁSICO, EM PVC, PARA 46 DISJUNTORES DIN, SOBREPOR. INSTALAÇÃO E FORNECIMENTO.</v>
      </c>
      <c r="D291" s="616" t="str">
        <f>VLOOKUP($B291,'COMP. ELETRICO '!$B:$G,6,FALSE)</f>
        <v>UN</v>
      </c>
      <c r="E291" s="618">
        <f>VLOOKUP($B291,'COMP. ELETRICO '!$B:$H,7,FALSE)</f>
        <v>685.87</v>
      </c>
    </row>
    <row r="292" spans="2:5">
      <c r="B292" s="616" t="s">
        <v>13644</v>
      </c>
      <c r="C292" s="617" t="e">
        <f>VLOOKUP($B292,'COMP. ELETRICO '!$B:$G,2,FALSE)</f>
        <v>#N/A</v>
      </c>
      <c r="D292" s="616" t="e">
        <f>VLOOKUP($B292,'COMP. ELETRICO '!$B:$G,6,FALSE)</f>
        <v>#N/A</v>
      </c>
      <c r="E292" s="618" t="e">
        <f>VLOOKUP($B292,'COMP. ELETRICO '!$B:$H,7,FALSE)</f>
        <v>#N/A</v>
      </c>
    </row>
    <row r="293" spans="2:5">
      <c r="B293" s="616" t="s">
        <v>13645</v>
      </c>
      <c r="C293" s="617" t="e">
        <f>VLOOKUP($B293,'COMP. ELETRICO '!$B:$G,2,FALSE)</f>
        <v>#N/A</v>
      </c>
      <c r="D293" s="616" t="e">
        <f>VLOOKUP($B293,'COMP. ELETRICO '!$B:$G,6,FALSE)</f>
        <v>#N/A</v>
      </c>
      <c r="E293" s="618" t="e">
        <f>VLOOKUP($B293,'COMP. ELETRICO '!$B:$H,7,FALSE)</f>
        <v>#N/A</v>
      </c>
    </row>
    <row r="294" spans="2:5">
      <c r="B294" s="616" t="s">
        <v>13646</v>
      </c>
      <c r="C294" s="617" t="e">
        <f>VLOOKUP($B294,'COMP. ELETRICO '!$B:$G,2,FALSE)</f>
        <v>#N/A</v>
      </c>
      <c r="D294" s="616" t="e">
        <f>VLOOKUP($B294,'COMP. ELETRICO '!$B:$G,6,FALSE)</f>
        <v>#N/A</v>
      </c>
      <c r="E294" s="618" t="e">
        <f>VLOOKUP($B294,'COMP. ELETRICO '!$B:$H,7,FALSE)</f>
        <v>#N/A</v>
      </c>
    </row>
    <row r="295" spans="2:5">
      <c r="B295" s="616" t="s">
        <v>13647</v>
      </c>
      <c r="C295" s="617" t="e">
        <f>VLOOKUP($B295,'COMP. ELETRICO '!$B:$G,2,FALSE)</f>
        <v>#N/A</v>
      </c>
      <c r="D295" s="616" t="e">
        <f>VLOOKUP($B295,'COMP. ELETRICO '!$B:$G,6,FALSE)</f>
        <v>#N/A</v>
      </c>
      <c r="E295" s="618" t="e">
        <f>VLOOKUP($B295,'COMP. ELETRICO '!$B:$H,7,FALSE)</f>
        <v>#N/A</v>
      </c>
    </row>
    <row r="296" spans="2:5">
      <c r="B296" s="616" t="s">
        <v>13648</v>
      </c>
      <c r="C296" s="617" t="e">
        <f>VLOOKUP($B296,'COMP. ELETRICO '!$B:$G,2,FALSE)</f>
        <v>#N/A</v>
      </c>
      <c r="D296" s="616" t="e">
        <f>VLOOKUP($B296,'COMP. ELETRICO '!$B:$G,6,FALSE)</f>
        <v>#N/A</v>
      </c>
      <c r="E296" s="618" t="e">
        <f>VLOOKUP($B296,'COMP. ELETRICO '!$B:$H,7,FALSE)</f>
        <v>#N/A</v>
      </c>
    </row>
    <row r="297" spans="2:5">
      <c r="B297" s="616" t="s">
        <v>13649</v>
      </c>
      <c r="C297" s="617" t="e">
        <f>VLOOKUP($B297,'COMP. ELETRICO '!$B:$G,2,FALSE)</f>
        <v>#N/A</v>
      </c>
      <c r="D297" s="616" t="e">
        <f>VLOOKUP($B297,'COMP. ELETRICO '!$B:$G,6,FALSE)</f>
        <v>#N/A</v>
      </c>
      <c r="E297" s="618" t="e">
        <f>VLOOKUP($B297,'COMP. ELETRICO '!$B:$H,7,FALSE)</f>
        <v>#N/A</v>
      </c>
    </row>
    <row r="298" spans="2:5">
      <c r="B298" s="616" t="s">
        <v>13650</v>
      </c>
      <c r="C298" s="617" t="e">
        <f>VLOOKUP($B298,'COMP. ELETRICO '!$B:$G,2,FALSE)</f>
        <v>#N/A</v>
      </c>
      <c r="D298" s="616" t="e">
        <f>VLOOKUP($B298,'COMP. ELETRICO '!$B:$G,6,FALSE)</f>
        <v>#N/A</v>
      </c>
      <c r="E298" s="618" t="e">
        <f>VLOOKUP($B298,'COMP. ELETRICO '!$B:$H,7,FALSE)</f>
        <v>#N/A</v>
      </c>
    </row>
    <row r="299" spans="2:5">
      <c r="B299" s="616" t="s">
        <v>13651</v>
      </c>
      <c r="C299" s="617" t="e">
        <f>VLOOKUP($B299,'COMP. ELETRICO '!$B:$G,2,FALSE)</f>
        <v>#N/A</v>
      </c>
      <c r="D299" s="616" t="e">
        <f>VLOOKUP($B299,'COMP. ELETRICO '!$B:$G,6,FALSE)</f>
        <v>#N/A</v>
      </c>
      <c r="E299" s="618" t="e">
        <f>VLOOKUP($B299,'COMP. ELETRICO '!$B:$H,7,FALSE)</f>
        <v>#N/A</v>
      </c>
    </row>
    <row r="300" spans="2:5">
      <c r="B300" s="616" t="s">
        <v>13652</v>
      </c>
      <c r="C300" s="617" t="e">
        <f>VLOOKUP($B300,'COMP. ELETRICO '!$B:$G,2,FALSE)</f>
        <v>#N/A</v>
      </c>
      <c r="D300" s="616" t="e">
        <f>VLOOKUP($B300,'COMP. ELETRICO '!$B:$G,6,FALSE)</f>
        <v>#N/A</v>
      </c>
      <c r="E300" s="618" t="e">
        <f>VLOOKUP($B300,'COMP. ELETRICO '!$B:$H,7,FALSE)</f>
        <v>#N/A</v>
      </c>
    </row>
    <row r="301" spans="2:5">
      <c r="B301" s="616" t="s">
        <v>13653</v>
      </c>
      <c r="C301" s="617" t="e">
        <f>VLOOKUP($B301,'COMP. ELETRICO '!$B:$G,2,FALSE)</f>
        <v>#N/A</v>
      </c>
      <c r="D301" s="616" t="e">
        <f>VLOOKUP($B301,'COMP. ELETRICO '!$B:$G,6,FALSE)</f>
        <v>#N/A</v>
      </c>
      <c r="E301" s="618" t="e">
        <f>VLOOKUP($B301,'COMP. ELETRICO '!$B:$H,7,FALSE)</f>
        <v>#N/A</v>
      </c>
    </row>
    <row r="302" spans="2:5">
      <c r="B302" s="616" t="s">
        <v>13654</v>
      </c>
      <c r="C302" s="617" t="e">
        <f>VLOOKUP($B302,'COMP. ELETRICO '!$B:$G,2,FALSE)</f>
        <v>#N/A</v>
      </c>
      <c r="D302" s="616" t="e">
        <f>VLOOKUP($B302,'COMP. ELETRICO '!$B:$G,6,FALSE)</f>
        <v>#N/A</v>
      </c>
      <c r="E302" s="618" t="e">
        <f>VLOOKUP($B302,'COMP. ELETRICO '!$B:$H,7,FALSE)</f>
        <v>#N/A</v>
      </c>
    </row>
    <row r="303" spans="2:5">
      <c r="B303" s="616" t="s">
        <v>13655</v>
      </c>
      <c r="C303" s="617" t="e">
        <f>VLOOKUP($B303,'COMP. ELETRICO '!$B:$G,2,FALSE)</f>
        <v>#N/A</v>
      </c>
      <c r="D303" s="616" t="e">
        <f>VLOOKUP($B303,'COMP. ELETRICO '!$B:$G,6,FALSE)</f>
        <v>#N/A</v>
      </c>
      <c r="E303" s="618" t="e">
        <f>VLOOKUP($B303,'COMP. ELETRICO '!$B:$H,7,FALSE)</f>
        <v>#N/A</v>
      </c>
    </row>
    <row r="304" spans="2:5">
      <c r="B304" s="616" t="s">
        <v>13656</v>
      </c>
      <c r="C304" s="617" t="e">
        <f>VLOOKUP($B304,'COMP. ELETRICO '!$B:$G,2,FALSE)</f>
        <v>#N/A</v>
      </c>
      <c r="D304" s="616" t="e">
        <f>VLOOKUP($B304,'COMP. ELETRICO '!$B:$G,6,FALSE)</f>
        <v>#N/A</v>
      </c>
      <c r="E304" s="618" t="e">
        <f>VLOOKUP($B304,'COMP. ELETRICO '!$B:$H,7,FALSE)</f>
        <v>#N/A</v>
      </c>
    </row>
    <row r="305" spans="2:5">
      <c r="B305" s="616" t="s">
        <v>13657</v>
      </c>
      <c r="C305" s="617" t="e">
        <f>VLOOKUP($B305,'COMP. ELETRICO '!$B:$G,2,FALSE)</f>
        <v>#N/A</v>
      </c>
      <c r="D305" s="616" t="e">
        <f>VLOOKUP($B305,'COMP. ELETRICO '!$B:$G,6,FALSE)</f>
        <v>#N/A</v>
      </c>
      <c r="E305" s="618" t="e">
        <f>VLOOKUP($B305,'COMP. ELETRICO '!$B:$H,7,FALSE)</f>
        <v>#N/A</v>
      </c>
    </row>
    <row r="306" spans="2:5">
      <c r="B306" s="616" t="s">
        <v>13658</v>
      </c>
      <c r="C306" s="617" t="e">
        <f>VLOOKUP($B306,'COMP. ELETRICO '!$B:$G,2,FALSE)</f>
        <v>#N/A</v>
      </c>
      <c r="D306" s="616" t="e">
        <f>VLOOKUP($B306,'COMP. ELETRICO '!$B:$G,6,FALSE)</f>
        <v>#N/A</v>
      </c>
      <c r="E306" s="618" t="e">
        <f>VLOOKUP($B306,'COMP. ELETRICO '!$B:$H,7,FALSE)</f>
        <v>#N/A</v>
      </c>
    </row>
    <row r="307" spans="2:5">
      <c r="B307" s="616" t="s">
        <v>13659</v>
      </c>
      <c r="C307" s="617" t="e">
        <f>VLOOKUP($B307,'COMP. ELETRICO '!$B:$G,2,FALSE)</f>
        <v>#N/A</v>
      </c>
      <c r="D307" s="616" t="e">
        <f>VLOOKUP($B307,'COMP. ELETRICO '!$B:$G,6,FALSE)</f>
        <v>#N/A</v>
      </c>
      <c r="E307" s="618" t="e">
        <f>VLOOKUP($B307,'COMP. ELETRICO '!$B:$H,7,FALSE)</f>
        <v>#N/A</v>
      </c>
    </row>
    <row r="308" spans="2:5">
      <c r="B308" s="616" t="s">
        <v>13660</v>
      </c>
      <c r="C308" s="617" t="e">
        <f>VLOOKUP($B308,'COMP. ELETRICO '!$B:$G,2,FALSE)</f>
        <v>#N/A</v>
      </c>
      <c r="D308" s="616" t="e">
        <f>VLOOKUP($B308,'COMP. ELETRICO '!$B:$G,6,FALSE)</f>
        <v>#N/A</v>
      </c>
      <c r="E308" s="618" t="e">
        <f>VLOOKUP($B308,'COMP. ELETRICO '!$B:$H,7,FALSE)</f>
        <v>#N/A</v>
      </c>
    </row>
    <row r="309" spans="2:5">
      <c r="B309" s="616" t="s">
        <v>13661</v>
      </c>
      <c r="C309" s="617" t="e">
        <f>VLOOKUP($B309,'COMP. ELETRICO '!$B:$G,2,FALSE)</f>
        <v>#N/A</v>
      </c>
      <c r="D309" s="616" t="e">
        <f>VLOOKUP($B309,'COMP. ELETRICO '!$B:$G,6,FALSE)</f>
        <v>#N/A</v>
      </c>
      <c r="E309" s="618" t="e">
        <f>VLOOKUP($B309,'COMP. ELETRICO '!$B:$H,7,FALSE)</f>
        <v>#N/A</v>
      </c>
    </row>
    <row r="310" spans="2:5">
      <c r="B310" s="616" t="s">
        <v>13662</v>
      </c>
      <c r="C310" s="617" t="e">
        <f>VLOOKUP($B310,'COMP. ELETRICO '!$B:$G,2,FALSE)</f>
        <v>#N/A</v>
      </c>
      <c r="D310" s="616" t="e">
        <f>VLOOKUP($B310,'COMP. ELETRICO '!$B:$G,6,FALSE)</f>
        <v>#N/A</v>
      </c>
      <c r="E310" s="618" t="e">
        <f>VLOOKUP($B310,'COMP. ELETRICO '!$B:$H,7,FALSE)</f>
        <v>#N/A</v>
      </c>
    </row>
    <row r="311" spans="2:5">
      <c r="B311" s="616" t="s">
        <v>13663</v>
      </c>
      <c r="C311" s="617" t="e">
        <f>VLOOKUP($B311,'COMP. ELETRICO '!$B:$G,2,FALSE)</f>
        <v>#N/A</v>
      </c>
      <c r="D311" s="616" t="e">
        <f>VLOOKUP($B311,'COMP. ELETRICO '!$B:$G,6,FALSE)</f>
        <v>#N/A</v>
      </c>
      <c r="E311" s="618" t="e">
        <f>VLOOKUP($B311,'COMP. ELETRICO '!$B:$H,7,FALSE)</f>
        <v>#N/A</v>
      </c>
    </row>
    <row r="312" spans="2:5">
      <c r="B312" s="616" t="s">
        <v>13664</v>
      </c>
      <c r="C312" s="617" t="e">
        <f>VLOOKUP($B312,'COMP. ELETRICO '!$B:$G,2,FALSE)</f>
        <v>#N/A</v>
      </c>
      <c r="D312" s="616" t="e">
        <f>VLOOKUP($B312,'COMP. ELETRICO '!$B:$G,6,FALSE)</f>
        <v>#N/A</v>
      </c>
      <c r="E312" s="618" t="e">
        <f>VLOOKUP($B312,'COMP. ELETRICO '!$B:$H,7,FALSE)</f>
        <v>#N/A</v>
      </c>
    </row>
    <row r="313" spans="2:5">
      <c r="B313" s="616" t="s">
        <v>13665</v>
      </c>
      <c r="C313" s="617" t="e">
        <f>VLOOKUP($B313,'COMP. ELETRICO '!$B:$G,2,FALSE)</f>
        <v>#N/A</v>
      </c>
      <c r="D313" s="616" t="e">
        <f>VLOOKUP($B313,'COMP. ELETRICO '!$B:$G,6,FALSE)</f>
        <v>#N/A</v>
      </c>
      <c r="E313" s="618" t="e">
        <f>VLOOKUP($B313,'COMP. ELETRICO '!$B:$H,7,FALSE)</f>
        <v>#N/A</v>
      </c>
    </row>
    <row r="314" spans="2:5">
      <c r="B314" s="616" t="s">
        <v>13666</v>
      </c>
      <c r="C314" s="617" t="e">
        <f>VLOOKUP($B314,'COMP. ELETRICO '!$B:$G,2,FALSE)</f>
        <v>#N/A</v>
      </c>
      <c r="D314" s="616" t="e">
        <f>VLOOKUP($B314,'COMP. ELETRICO '!$B:$G,6,FALSE)</f>
        <v>#N/A</v>
      </c>
      <c r="E314" s="618" t="e">
        <f>VLOOKUP($B314,'COMP. ELETRICO '!$B:$H,7,FALSE)</f>
        <v>#N/A</v>
      </c>
    </row>
    <row r="315" spans="2:5">
      <c r="B315" s="616" t="s">
        <v>13667</v>
      </c>
      <c r="C315" s="617" t="e">
        <f>VLOOKUP($B315,'COMP. ELETRICO '!$B:$G,2,FALSE)</f>
        <v>#N/A</v>
      </c>
      <c r="D315" s="616" t="e">
        <f>VLOOKUP($B315,'COMP. ELETRICO '!$B:$G,6,FALSE)</f>
        <v>#N/A</v>
      </c>
      <c r="E315" s="618" t="e">
        <f>VLOOKUP($B315,'COMP. ELETRICO '!$B:$H,7,FALSE)</f>
        <v>#N/A</v>
      </c>
    </row>
    <row r="316" spans="2:5">
      <c r="B316" s="616" t="s">
        <v>13668</v>
      </c>
      <c r="C316" s="617" t="e">
        <f>VLOOKUP($B316,'COMP. ELETRICO '!$B:$G,2,FALSE)</f>
        <v>#N/A</v>
      </c>
      <c r="D316" s="616" t="e">
        <f>VLOOKUP($B316,'COMP. ELETRICO '!$B:$G,6,FALSE)</f>
        <v>#N/A</v>
      </c>
      <c r="E316" s="618" t="e">
        <f>VLOOKUP($B316,'COMP. ELETRICO '!$B:$H,7,FALSE)</f>
        <v>#N/A</v>
      </c>
    </row>
    <row r="317" spans="2:5">
      <c r="B317" s="616" t="s">
        <v>13669</v>
      </c>
      <c r="C317" s="617" t="e">
        <f>VLOOKUP($B317,'COMP. ELETRICO '!$B:$G,2,FALSE)</f>
        <v>#N/A</v>
      </c>
      <c r="D317" s="616" t="e">
        <f>VLOOKUP($B317,'COMP. ELETRICO '!$B:$G,6,FALSE)</f>
        <v>#N/A</v>
      </c>
      <c r="E317" s="618" t="e">
        <f>VLOOKUP($B317,'COMP. ELETRICO '!$B:$H,7,FALSE)</f>
        <v>#N/A</v>
      </c>
    </row>
    <row r="318" spans="2:5">
      <c r="B318" s="616" t="s">
        <v>13670</v>
      </c>
      <c r="C318" s="617" t="e">
        <f>VLOOKUP($B318,'COMP. ELETRICO '!$B:$G,2,FALSE)</f>
        <v>#N/A</v>
      </c>
      <c r="D318" s="616" t="e">
        <f>VLOOKUP($B318,'COMP. ELETRICO '!$B:$G,6,FALSE)</f>
        <v>#N/A</v>
      </c>
      <c r="E318" s="618" t="e">
        <f>VLOOKUP($B318,'COMP. ELETRICO '!$B:$H,7,FALSE)</f>
        <v>#N/A</v>
      </c>
    </row>
    <row r="319" spans="2:5">
      <c r="B319" s="616" t="s">
        <v>13671</v>
      </c>
      <c r="C319" s="617" t="e">
        <f>VLOOKUP($B319,'COMP. ELETRICO '!$B:$G,2,FALSE)</f>
        <v>#N/A</v>
      </c>
      <c r="D319" s="616" t="e">
        <f>VLOOKUP($B319,'COMP. ELETRICO '!$B:$G,6,FALSE)</f>
        <v>#N/A</v>
      </c>
      <c r="E319" s="618" t="e">
        <f>VLOOKUP($B319,'COMP. ELETRICO '!$B:$H,7,FALSE)</f>
        <v>#N/A</v>
      </c>
    </row>
    <row r="320" spans="2:5">
      <c r="B320" s="616" t="s">
        <v>13672</v>
      </c>
      <c r="C320" s="617" t="e">
        <f>VLOOKUP($B320,'COMP. ELETRICO '!$B:$G,2,FALSE)</f>
        <v>#N/A</v>
      </c>
      <c r="D320" s="616" t="e">
        <f>VLOOKUP($B320,'COMP. ELETRICO '!$B:$G,6,FALSE)</f>
        <v>#N/A</v>
      </c>
      <c r="E320" s="618" t="e">
        <f>VLOOKUP($B320,'COMP. ELETRICO '!$B:$H,7,FALSE)</f>
        <v>#N/A</v>
      </c>
    </row>
    <row r="321" spans="2:5">
      <c r="B321" s="616" t="s">
        <v>13673</v>
      </c>
      <c r="C321" s="617" t="e">
        <f>VLOOKUP($B321,'COMP. ELETRICO '!$B:$G,2,FALSE)</f>
        <v>#N/A</v>
      </c>
      <c r="D321" s="616" t="e">
        <f>VLOOKUP($B321,'COMP. ELETRICO '!$B:$G,6,FALSE)</f>
        <v>#N/A</v>
      </c>
      <c r="E321" s="618" t="e">
        <f>VLOOKUP($B321,'COMP. ELETRICO '!$B:$H,7,FALSE)</f>
        <v>#N/A</v>
      </c>
    </row>
    <row r="322" spans="2:5">
      <c r="B322" s="616" t="s">
        <v>13674</v>
      </c>
      <c r="C322" s="617" t="e">
        <f>VLOOKUP($B322,'COMP. ELETRICO '!$B:$G,2,FALSE)</f>
        <v>#N/A</v>
      </c>
      <c r="D322" s="616" t="e">
        <f>VLOOKUP($B322,'COMP. ELETRICO '!$B:$G,6,FALSE)</f>
        <v>#N/A</v>
      </c>
      <c r="E322" s="618" t="e">
        <f>VLOOKUP($B322,'COMP. ELETRICO '!$B:$H,7,FALSE)</f>
        <v>#N/A</v>
      </c>
    </row>
    <row r="323" spans="2:5">
      <c r="B323" s="616" t="s">
        <v>13675</v>
      </c>
      <c r="C323" s="617" t="e">
        <f>VLOOKUP($B323,'COMP. ELETRICO '!$B:$G,2,FALSE)</f>
        <v>#N/A</v>
      </c>
      <c r="D323" s="616" t="e">
        <f>VLOOKUP($B323,'COMP. ELETRICO '!$B:$G,6,FALSE)</f>
        <v>#N/A</v>
      </c>
      <c r="E323" s="618" t="e">
        <f>VLOOKUP($B323,'COMP. ELETRICO '!$B:$H,7,FALSE)</f>
        <v>#N/A</v>
      </c>
    </row>
    <row r="324" spans="2:5">
      <c r="B324" s="616" t="s">
        <v>13676</v>
      </c>
      <c r="C324" s="617" t="e">
        <f>VLOOKUP($B324,'COMP. ELETRICO '!$B:$G,2,FALSE)</f>
        <v>#N/A</v>
      </c>
      <c r="D324" s="616" t="e">
        <f>VLOOKUP($B324,'COMP. ELETRICO '!$B:$G,6,FALSE)</f>
        <v>#N/A</v>
      </c>
      <c r="E324" s="618" t="e">
        <f>VLOOKUP($B324,'COMP. ELETRICO '!$B:$H,7,FALSE)</f>
        <v>#N/A</v>
      </c>
    </row>
    <row r="325" spans="2:5">
      <c r="B325" s="616" t="s">
        <v>13677</v>
      </c>
      <c r="C325" s="617" t="e">
        <f>VLOOKUP($B325,'COMP. ELETRICO '!$B:$G,2,FALSE)</f>
        <v>#N/A</v>
      </c>
      <c r="D325" s="616" t="e">
        <f>VLOOKUP($B325,'COMP. ELETRICO '!$B:$G,6,FALSE)</f>
        <v>#N/A</v>
      </c>
      <c r="E325" s="618" t="e">
        <f>VLOOKUP($B325,'COMP. ELETRICO '!$B:$H,7,FALSE)</f>
        <v>#N/A</v>
      </c>
    </row>
    <row r="326" spans="2:5">
      <c r="B326" s="616" t="s">
        <v>13678</v>
      </c>
      <c r="C326" s="617" t="e">
        <f>VLOOKUP($B326,'COMP. ELETRICO '!$B:$G,2,FALSE)</f>
        <v>#N/A</v>
      </c>
      <c r="D326" s="616" t="e">
        <f>VLOOKUP($B326,'COMP. ELETRICO '!$B:$G,6,FALSE)</f>
        <v>#N/A</v>
      </c>
      <c r="E326" s="618" t="e">
        <f>VLOOKUP($B326,'COMP. ELETRICO '!$B:$H,7,FALSE)</f>
        <v>#N/A</v>
      </c>
    </row>
    <row r="327" spans="2:5">
      <c r="B327" s="616" t="s">
        <v>13679</v>
      </c>
      <c r="C327" s="617" t="e">
        <f>VLOOKUP($B327,'COMP. ELETRICO '!$B:$G,2,FALSE)</f>
        <v>#N/A</v>
      </c>
      <c r="D327" s="616" t="e">
        <f>VLOOKUP($B327,'COMP. ELETRICO '!$B:$G,6,FALSE)</f>
        <v>#N/A</v>
      </c>
      <c r="E327" s="618" t="e">
        <f>VLOOKUP($B327,'COMP. ELETRICO '!$B:$H,7,FALSE)</f>
        <v>#N/A</v>
      </c>
    </row>
    <row r="328" spans="2:5">
      <c r="B328" s="616" t="s">
        <v>13680</v>
      </c>
      <c r="C328" s="617" t="e">
        <f>VLOOKUP($B328,'COMP. ELETRICO '!$B:$G,2,FALSE)</f>
        <v>#N/A</v>
      </c>
      <c r="D328" s="616" t="e">
        <f>VLOOKUP($B328,'COMP. ELETRICO '!$B:$G,6,FALSE)</f>
        <v>#N/A</v>
      </c>
      <c r="E328" s="618" t="e">
        <f>VLOOKUP($B328,'COMP. ELETRICO '!$B:$H,7,FALSE)</f>
        <v>#N/A</v>
      </c>
    </row>
    <row r="329" spans="2:5">
      <c r="B329" s="616" t="s">
        <v>13681</v>
      </c>
      <c r="C329" s="617" t="e">
        <f>VLOOKUP($B329,'COMP. ELETRICO '!$B:$G,2,FALSE)</f>
        <v>#N/A</v>
      </c>
      <c r="D329" s="616" t="e">
        <f>VLOOKUP($B329,'COMP. ELETRICO '!$B:$G,6,FALSE)</f>
        <v>#N/A</v>
      </c>
      <c r="E329" s="618" t="e">
        <f>VLOOKUP($B329,'COMP. ELETRICO '!$B:$H,7,FALSE)</f>
        <v>#N/A</v>
      </c>
    </row>
    <row r="330" spans="2:5">
      <c r="B330" s="616" t="s">
        <v>13682</v>
      </c>
      <c r="C330" s="617" t="e">
        <f>VLOOKUP($B330,'COMP. ELETRICO '!$B:$G,2,FALSE)</f>
        <v>#N/A</v>
      </c>
      <c r="D330" s="616" t="e">
        <f>VLOOKUP($B330,'COMP. ELETRICO '!$B:$G,6,FALSE)</f>
        <v>#N/A</v>
      </c>
      <c r="E330" s="618" t="e">
        <f>VLOOKUP($B330,'COMP. ELETRICO '!$B:$H,7,FALSE)</f>
        <v>#N/A</v>
      </c>
    </row>
    <row r="331" spans="2:5">
      <c r="B331" s="616" t="s">
        <v>13683</v>
      </c>
      <c r="C331" s="617" t="e">
        <f>VLOOKUP($B331,'COMP. ELETRICO '!$B:$G,2,FALSE)</f>
        <v>#N/A</v>
      </c>
      <c r="D331" s="616" t="e">
        <f>VLOOKUP($B331,'COMP. ELETRICO '!$B:$G,6,FALSE)</f>
        <v>#N/A</v>
      </c>
      <c r="E331" s="618" t="e">
        <f>VLOOKUP($B331,'COMP. ELETRICO '!$B:$H,7,FALSE)</f>
        <v>#N/A</v>
      </c>
    </row>
    <row r="332" spans="2:5">
      <c r="B332" s="616" t="s">
        <v>13684</v>
      </c>
      <c r="C332" s="617" t="e">
        <f>VLOOKUP($B332,'COMP. ELETRICO '!$B:$G,2,FALSE)</f>
        <v>#N/A</v>
      </c>
      <c r="D332" s="616" t="e">
        <f>VLOOKUP($B332,'COMP. ELETRICO '!$B:$G,6,FALSE)</f>
        <v>#N/A</v>
      </c>
      <c r="E332" s="618" t="e">
        <f>VLOOKUP($B332,'COMP. ELETRICO '!$B:$H,7,FALSE)</f>
        <v>#N/A</v>
      </c>
    </row>
    <row r="333" spans="2:5">
      <c r="B333" s="616" t="s">
        <v>13685</v>
      </c>
      <c r="C333" s="617" t="e">
        <f>VLOOKUP($B333,'COMP. ELETRICO '!$B:$G,2,FALSE)</f>
        <v>#N/A</v>
      </c>
      <c r="D333" s="616" t="e">
        <f>VLOOKUP($B333,'COMP. ELETRICO '!$B:$G,6,FALSE)</f>
        <v>#N/A</v>
      </c>
      <c r="E333" s="618" t="e">
        <f>VLOOKUP($B333,'COMP. ELETRICO '!$B:$H,7,FALSE)</f>
        <v>#N/A</v>
      </c>
    </row>
    <row r="334" spans="2:5">
      <c r="B334" s="616" t="s">
        <v>13686</v>
      </c>
      <c r="C334" s="617" t="e">
        <f>VLOOKUP($B334,'COMP. ELETRICO '!$B:$G,2,FALSE)</f>
        <v>#N/A</v>
      </c>
      <c r="D334" s="616" t="e">
        <f>VLOOKUP($B334,'COMP. ELETRICO '!$B:$G,6,FALSE)</f>
        <v>#N/A</v>
      </c>
      <c r="E334" s="618" t="e">
        <f>VLOOKUP($B334,'COMP. ELETRICO '!$B:$H,7,FALSE)</f>
        <v>#N/A</v>
      </c>
    </row>
    <row r="335" spans="2:5">
      <c r="B335" s="616" t="s">
        <v>13687</v>
      </c>
      <c r="C335" s="617" t="e">
        <f>VLOOKUP($B335,'COMP. ELETRICO '!$B:$G,2,FALSE)</f>
        <v>#N/A</v>
      </c>
      <c r="D335" s="616" t="e">
        <f>VLOOKUP($B335,'COMP. ELETRICO '!$B:$G,6,FALSE)</f>
        <v>#N/A</v>
      </c>
      <c r="E335" s="618" t="e">
        <f>VLOOKUP($B335,'COMP. ELETRICO '!$B:$H,7,FALSE)</f>
        <v>#N/A</v>
      </c>
    </row>
    <row r="336" spans="2:5">
      <c r="B336" s="616" t="s">
        <v>13688</v>
      </c>
      <c r="C336" s="617" t="e">
        <f>VLOOKUP($B336,'COMP. ELETRICO '!$B:$G,2,FALSE)</f>
        <v>#N/A</v>
      </c>
      <c r="D336" s="616" t="e">
        <f>VLOOKUP($B336,'COMP. ELETRICO '!$B:$G,6,FALSE)</f>
        <v>#N/A</v>
      </c>
      <c r="E336" s="618" t="e">
        <f>VLOOKUP($B336,'COMP. ELETRICO '!$B:$H,7,FALSE)</f>
        <v>#N/A</v>
      </c>
    </row>
    <row r="337" spans="2:5">
      <c r="B337" s="616" t="s">
        <v>13689</v>
      </c>
      <c r="C337" s="617" t="e">
        <f>VLOOKUP($B337,'COMP. ELETRICO '!$B:$G,2,FALSE)</f>
        <v>#N/A</v>
      </c>
      <c r="D337" s="616" t="e">
        <f>VLOOKUP($B337,'COMP. ELETRICO '!$B:$G,6,FALSE)</f>
        <v>#N/A</v>
      </c>
      <c r="E337" s="618" t="e">
        <f>VLOOKUP($B337,'COMP. ELETRICO '!$B:$H,7,FALSE)</f>
        <v>#N/A</v>
      </c>
    </row>
    <row r="338" spans="2:5">
      <c r="B338" s="616" t="s">
        <v>13690</v>
      </c>
      <c r="C338" s="617" t="e">
        <f>VLOOKUP($B338,'COMP. ELETRICO '!$B:$G,2,FALSE)</f>
        <v>#N/A</v>
      </c>
      <c r="D338" s="616" t="e">
        <f>VLOOKUP($B338,'COMP. ELETRICO '!$B:$G,6,FALSE)</f>
        <v>#N/A</v>
      </c>
      <c r="E338" s="618" t="e">
        <f>VLOOKUP($B338,'COMP. ELETRICO '!$B:$H,7,FALSE)</f>
        <v>#N/A</v>
      </c>
    </row>
    <row r="339" spans="2:5">
      <c r="B339" s="616" t="s">
        <v>13691</v>
      </c>
      <c r="C339" s="617" t="e">
        <f>VLOOKUP($B339,'COMP. ELETRICO '!$B:$G,2,FALSE)</f>
        <v>#N/A</v>
      </c>
      <c r="D339" s="616" t="e">
        <f>VLOOKUP($B339,'COMP. ELETRICO '!$B:$G,6,FALSE)</f>
        <v>#N/A</v>
      </c>
      <c r="E339" s="618" t="e">
        <f>VLOOKUP($B339,'COMP. ELETRICO '!$B:$H,7,FALSE)</f>
        <v>#N/A</v>
      </c>
    </row>
    <row r="340" spans="2:5">
      <c r="B340" s="616" t="s">
        <v>13692</v>
      </c>
      <c r="C340" s="617" t="e">
        <f>VLOOKUP($B340,'COMP. ELETRICO '!$B:$G,2,FALSE)</f>
        <v>#N/A</v>
      </c>
      <c r="D340" s="616" t="e">
        <f>VLOOKUP($B340,'COMP. ELETRICO '!$B:$G,6,FALSE)</f>
        <v>#N/A</v>
      </c>
      <c r="E340" s="618" t="e">
        <f>VLOOKUP($B340,'COMP. ELETRICO '!$B:$H,7,FALSE)</f>
        <v>#N/A</v>
      </c>
    </row>
    <row r="341" spans="2:5">
      <c r="B341" s="616" t="s">
        <v>13693</v>
      </c>
      <c r="C341" s="617" t="e">
        <f>VLOOKUP($B341,'COMP. ELETRICO '!$B:$G,2,FALSE)</f>
        <v>#N/A</v>
      </c>
      <c r="D341" s="616" t="e">
        <f>VLOOKUP($B341,'COMP. ELETRICO '!$B:$G,6,FALSE)</f>
        <v>#N/A</v>
      </c>
      <c r="E341" s="618" t="e">
        <f>VLOOKUP($B341,'COMP. ELETRICO '!$B:$H,7,FALSE)</f>
        <v>#N/A</v>
      </c>
    </row>
    <row r="342" spans="2:5">
      <c r="B342" s="616" t="s">
        <v>13694</v>
      </c>
      <c r="C342" s="617" t="e">
        <f>VLOOKUP($B342,'COMP. ELETRICO '!$B:$G,2,FALSE)</f>
        <v>#N/A</v>
      </c>
      <c r="D342" s="616" t="e">
        <f>VLOOKUP($B342,'COMP. ELETRICO '!$B:$G,6,FALSE)</f>
        <v>#N/A</v>
      </c>
      <c r="E342" s="618" t="e">
        <f>VLOOKUP($B342,'COMP. ELETRICO '!$B:$H,7,FALSE)</f>
        <v>#N/A</v>
      </c>
    </row>
    <row r="343" spans="2:5">
      <c r="B343" s="616" t="s">
        <v>13695</v>
      </c>
      <c r="C343" s="617" t="e">
        <f>VLOOKUP($B343,'COMP. ELETRICO '!$B:$G,2,FALSE)</f>
        <v>#N/A</v>
      </c>
      <c r="D343" s="616" t="e">
        <f>VLOOKUP($B343,'COMP. ELETRICO '!$B:$G,6,FALSE)</f>
        <v>#N/A</v>
      </c>
      <c r="E343" s="618" t="e">
        <f>VLOOKUP($B343,'COMP. ELETRICO '!$B:$H,7,FALSE)</f>
        <v>#N/A</v>
      </c>
    </row>
    <row r="344" spans="2:5">
      <c r="B344" s="616" t="s">
        <v>13696</v>
      </c>
      <c r="C344" s="617" t="e">
        <f>VLOOKUP($B344,'COMP. ELETRICO '!$B:$G,2,FALSE)</f>
        <v>#N/A</v>
      </c>
      <c r="D344" s="616" t="e">
        <f>VLOOKUP($B344,'COMP. ELETRICO '!$B:$G,6,FALSE)</f>
        <v>#N/A</v>
      </c>
      <c r="E344" s="618" t="e">
        <f>VLOOKUP($B344,'COMP. ELETRICO '!$B:$H,7,FALSE)</f>
        <v>#N/A</v>
      </c>
    </row>
    <row r="345" spans="2:5">
      <c r="B345" s="616" t="s">
        <v>13697</v>
      </c>
      <c r="C345" s="617" t="e">
        <f>VLOOKUP($B345,'COMP. ELETRICO '!$B:$G,2,FALSE)</f>
        <v>#N/A</v>
      </c>
      <c r="D345" s="616" t="e">
        <f>VLOOKUP($B345,'COMP. ELETRICO '!$B:$G,6,FALSE)</f>
        <v>#N/A</v>
      </c>
      <c r="E345" s="618" t="e">
        <f>VLOOKUP($B345,'COMP. ELETRICO '!$B:$H,7,FALSE)</f>
        <v>#N/A</v>
      </c>
    </row>
    <row r="346" spans="2:5">
      <c r="B346" s="616" t="s">
        <v>13698</v>
      </c>
      <c r="C346" s="617" t="e">
        <f>VLOOKUP($B346,'COMP. ELETRICO '!$B:$G,2,FALSE)</f>
        <v>#N/A</v>
      </c>
      <c r="D346" s="616" t="e">
        <f>VLOOKUP($B346,'COMP. ELETRICO '!$B:$G,6,FALSE)</f>
        <v>#N/A</v>
      </c>
      <c r="E346" s="618" t="e">
        <f>VLOOKUP($B346,'COMP. ELETRICO '!$B:$H,7,FALSE)</f>
        <v>#N/A</v>
      </c>
    </row>
    <row r="347" spans="2:5">
      <c r="B347" s="616" t="s">
        <v>13699</v>
      </c>
      <c r="C347" s="617" t="e">
        <f>VLOOKUP($B347,'COMP. ELETRICO '!$B:$G,2,FALSE)</f>
        <v>#N/A</v>
      </c>
      <c r="D347" s="616" t="e">
        <f>VLOOKUP($B347,'COMP. ELETRICO '!$B:$G,6,FALSE)</f>
        <v>#N/A</v>
      </c>
      <c r="E347" s="618" t="e">
        <f>VLOOKUP($B347,'COMP. ELETRICO '!$B:$H,7,FALSE)</f>
        <v>#N/A</v>
      </c>
    </row>
    <row r="348" spans="2:5">
      <c r="B348" s="616" t="s">
        <v>13700</v>
      </c>
      <c r="C348" s="617" t="e">
        <f>VLOOKUP($B348,'COMP. ELETRICO '!$B:$G,2,FALSE)</f>
        <v>#N/A</v>
      </c>
      <c r="D348" s="616" t="e">
        <f>VLOOKUP($B348,'COMP. ELETRICO '!$B:$G,6,FALSE)</f>
        <v>#N/A</v>
      </c>
      <c r="E348" s="618" t="e">
        <f>VLOOKUP($B348,'COMP. ELETRICO '!$B:$H,7,FALSE)</f>
        <v>#N/A</v>
      </c>
    </row>
    <row r="349" spans="2:5">
      <c r="B349" s="616" t="s">
        <v>13701</v>
      </c>
      <c r="C349" s="617" t="e">
        <f>VLOOKUP($B349,'COMP. ELETRICO '!$B:$G,2,FALSE)</f>
        <v>#N/A</v>
      </c>
      <c r="D349" s="616" t="e">
        <f>VLOOKUP($B349,'COMP. ELETRICO '!$B:$G,6,FALSE)</f>
        <v>#N/A</v>
      </c>
      <c r="E349" s="618" t="e">
        <f>VLOOKUP($B349,'COMP. ELETRICO '!$B:$H,7,FALSE)</f>
        <v>#N/A</v>
      </c>
    </row>
    <row r="350" spans="2:5">
      <c r="B350" s="616" t="s">
        <v>13702</v>
      </c>
      <c r="C350" s="617" t="e">
        <f>VLOOKUP($B350,'COMP. ELETRICO '!$B:$G,2,FALSE)</f>
        <v>#N/A</v>
      </c>
      <c r="D350" s="616" t="e">
        <f>VLOOKUP($B350,'COMP. ELETRICO '!$B:$G,6,FALSE)</f>
        <v>#N/A</v>
      </c>
      <c r="E350" s="618" t="e">
        <f>VLOOKUP($B350,'COMP. ELETRICO '!$B:$H,7,FALSE)</f>
        <v>#N/A</v>
      </c>
    </row>
    <row r="351" spans="2:5">
      <c r="B351" s="616" t="s">
        <v>13703</v>
      </c>
      <c r="C351" s="617" t="e">
        <f>VLOOKUP($B351,'COMP. ELETRICO '!$B:$G,2,FALSE)</f>
        <v>#N/A</v>
      </c>
      <c r="D351" s="616" t="e">
        <f>VLOOKUP($B351,'COMP. ELETRICO '!$B:$G,6,FALSE)</f>
        <v>#N/A</v>
      </c>
      <c r="E351" s="618" t="e">
        <f>VLOOKUP($B351,'COMP. ELETRICO '!$B:$H,7,FALSE)</f>
        <v>#N/A</v>
      </c>
    </row>
    <row r="352" spans="2:5">
      <c r="B352" s="616" t="s">
        <v>13704</v>
      </c>
      <c r="C352" s="617" t="e">
        <f>VLOOKUP($B352,'COMP. ELETRICO '!$B:$G,2,FALSE)</f>
        <v>#N/A</v>
      </c>
      <c r="D352" s="616" t="e">
        <f>VLOOKUP($B352,'COMP. ELETRICO '!$B:$G,6,FALSE)</f>
        <v>#N/A</v>
      </c>
      <c r="E352" s="618" t="e">
        <f>VLOOKUP($B352,'COMP. ELETRICO '!$B:$H,7,FALSE)</f>
        <v>#N/A</v>
      </c>
    </row>
    <row r="353" spans="2:5">
      <c r="B353" s="616" t="s">
        <v>13705</v>
      </c>
      <c r="C353" s="617" t="e">
        <f>VLOOKUP($B353,'COMP. ELETRICO '!$B:$G,2,FALSE)</f>
        <v>#N/A</v>
      </c>
      <c r="D353" s="616" t="e">
        <f>VLOOKUP($B353,'COMP. ELETRICO '!$B:$G,6,FALSE)</f>
        <v>#N/A</v>
      </c>
      <c r="E353" s="618" t="e">
        <f>VLOOKUP($B353,'COMP. ELETRICO '!$B:$H,7,FALSE)</f>
        <v>#N/A</v>
      </c>
    </row>
    <row r="354" spans="2:5">
      <c r="B354" s="616" t="s">
        <v>13706</v>
      </c>
      <c r="C354" s="617" t="e">
        <f>VLOOKUP($B354,'COMP. ELETRICO '!$B:$G,2,FALSE)</f>
        <v>#N/A</v>
      </c>
      <c r="D354" s="616" t="e">
        <f>VLOOKUP($B354,'COMP. ELETRICO '!$B:$G,6,FALSE)</f>
        <v>#N/A</v>
      </c>
      <c r="E354" s="618" t="e">
        <f>VLOOKUP($B354,'COMP. ELETRICO '!$B:$H,7,FALSE)</f>
        <v>#N/A</v>
      </c>
    </row>
    <row r="355" spans="2:5">
      <c r="B355" s="616" t="s">
        <v>13707</v>
      </c>
      <c r="C355" s="617" t="e">
        <f>VLOOKUP($B355,'COMP. ELETRICO '!$B:$G,2,FALSE)</f>
        <v>#N/A</v>
      </c>
      <c r="D355" s="616" t="e">
        <f>VLOOKUP($B355,'COMP. ELETRICO '!$B:$G,6,FALSE)</f>
        <v>#N/A</v>
      </c>
      <c r="E355" s="618" t="e">
        <f>VLOOKUP($B355,'COMP. ELETRICO '!$B:$H,7,FALSE)</f>
        <v>#N/A</v>
      </c>
    </row>
    <row r="356" spans="2:5">
      <c r="B356" s="616" t="s">
        <v>13708</v>
      </c>
      <c r="C356" s="617" t="e">
        <f>VLOOKUP($B356,'COMP. ELETRICO '!$B:$G,2,FALSE)</f>
        <v>#N/A</v>
      </c>
      <c r="D356" s="616" t="e">
        <f>VLOOKUP($B356,'COMP. ELETRICO '!$B:$G,6,FALSE)</f>
        <v>#N/A</v>
      </c>
      <c r="E356" s="618" t="e">
        <f>VLOOKUP($B356,'COMP. ELETRICO '!$B:$H,7,FALSE)</f>
        <v>#N/A</v>
      </c>
    </row>
    <row r="357" spans="2:5">
      <c r="B357" s="616" t="s">
        <v>13709</v>
      </c>
      <c r="C357" s="617" t="e">
        <f>VLOOKUP($B357,'COMP. ELETRICO '!$B:$G,2,FALSE)</f>
        <v>#N/A</v>
      </c>
      <c r="D357" s="616" t="e">
        <f>VLOOKUP($B357,'COMP. ELETRICO '!$B:$G,6,FALSE)</f>
        <v>#N/A</v>
      </c>
      <c r="E357" s="618" t="e">
        <f>VLOOKUP($B357,'COMP. ELETRICO '!$B:$H,7,FALSE)</f>
        <v>#N/A</v>
      </c>
    </row>
    <row r="358" spans="2:5">
      <c r="B358" s="616" t="s">
        <v>13710</v>
      </c>
      <c r="C358" s="617" t="e">
        <f>VLOOKUP($B358,'COMP. ELETRICO '!$B:$G,2,FALSE)</f>
        <v>#N/A</v>
      </c>
      <c r="D358" s="616" t="e">
        <f>VLOOKUP($B358,'COMP. ELETRICO '!$B:$G,6,FALSE)</f>
        <v>#N/A</v>
      </c>
      <c r="E358" s="618" t="e">
        <f>VLOOKUP($B358,'COMP. ELETRICO '!$B:$H,7,FALSE)</f>
        <v>#N/A</v>
      </c>
    </row>
    <row r="359" spans="2:5">
      <c r="B359" s="616" t="s">
        <v>13711</v>
      </c>
      <c r="C359" s="617" t="e">
        <f>VLOOKUP($B359,'COMP. ELETRICO '!$B:$G,2,FALSE)</f>
        <v>#N/A</v>
      </c>
      <c r="D359" s="616" t="e">
        <f>VLOOKUP($B359,'COMP. ELETRICO '!$B:$G,6,FALSE)</f>
        <v>#N/A</v>
      </c>
      <c r="E359" s="618" t="e">
        <f>VLOOKUP($B359,'COMP. ELETRICO '!$B:$H,7,FALSE)</f>
        <v>#N/A</v>
      </c>
    </row>
    <row r="360" spans="2:5">
      <c r="B360" s="616" t="s">
        <v>13712</v>
      </c>
      <c r="C360" s="617" t="e">
        <f>VLOOKUP($B360,'COMP. ELETRICO '!$B:$G,2,FALSE)</f>
        <v>#N/A</v>
      </c>
      <c r="D360" s="616" t="e">
        <f>VLOOKUP($B360,'COMP. ELETRICO '!$B:$G,6,FALSE)</f>
        <v>#N/A</v>
      </c>
      <c r="E360" s="618" t="e">
        <f>VLOOKUP($B360,'COMP. ELETRICO '!$B:$H,7,FALSE)</f>
        <v>#N/A</v>
      </c>
    </row>
    <row r="361" spans="2:5">
      <c r="B361" s="616" t="s">
        <v>13713</v>
      </c>
      <c r="C361" s="617" t="e">
        <f>VLOOKUP($B361,'COMP. ELETRICO '!$B:$G,2,FALSE)</f>
        <v>#N/A</v>
      </c>
      <c r="D361" s="616" t="e">
        <f>VLOOKUP($B361,'COMP. ELETRICO '!$B:$G,6,FALSE)</f>
        <v>#N/A</v>
      </c>
      <c r="E361" s="618" t="e">
        <f>VLOOKUP($B361,'COMP. ELETRICO '!$B:$H,7,FALSE)</f>
        <v>#N/A</v>
      </c>
    </row>
    <row r="362" spans="2:5">
      <c r="B362" s="616" t="s">
        <v>13714</v>
      </c>
      <c r="C362" s="617" t="e">
        <f>VLOOKUP($B362,'COMP. ELETRICO '!$B:$G,2,FALSE)</f>
        <v>#N/A</v>
      </c>
      <c r="D362" s="616" t="e">
        <f>VLOOKUP($B362,'COMP. ELETRICO '!$B:$G,6,FALSE)</f>
        <v>#N/A</v>
      </c>
      <c r="E362" s="618" t="e">
        <f>VLOOKUP($B362,'COMP. ELETRICO '!$B:$H,7,FALSE)</f>
        <v>#N/A</v>
      </c>
    </row>
    <row r="363" spans="2:5">
      <c r="B363" s="616" t="s">
        <v>13715</v>
      </c>
      <c r="C363" s="617" t="e">
        <f>VLOOKUP($B363,'COMP. ELETRICO '!$B:$G,2,FALSE)</f>
        <v>#N/A</v>
      </c>
      <c r="D363" s="616" t="e">
        <f>VLOOKUP($B363,'COMP. ELETRICO '!$B:$G,6,FALSE)</f>
        <v>#N/A</v>
      </c>
      <c r="E363" s="618" t="e">
        <f>VLOOKUP($B363,'COMP. ELETRICO '!$B:$H,7,FALSE)</f>
        <v>#N/A</v>
      </c>
    </row>
    <row r="364" spans="2:5">
      <c r="B364" s="616" t="s">
        <v>13716</v>
      </c>
      <c r="C364" s="617" t="e">
        <f>VLOOKUP($B364,'COMP. ELETRICO '!$B:$G,2,FALSE)</f>
        <v>#N/A</v>
      </c>
      <c r="D364" s="616" t="e">
        <f>VLOOKUP($B364,'COMP. ELETRICO '!$B:$G,6,FALSE)</f>
        <v>#N/A</v>
      </c>
      <c r="E364" s="618" t="e">
        <f>VLOOKUP($B364,'COMP. ELETRICO '!$B:$H,7,FALSE)</f>
        <v>#N/A</v>
      </c>
    </row>
    <row r="365" spans="2:5">
      <c r="B365" s="616" t="s">
        <v>13717</v>
      </c>
      <c r="C365" s="617" t="e">
        <f>VLOOKUP($B365,'COMP. ELETRICO '!$B:$G,2,FALSE)</f>
        <v>#N/A</v>
      </c>
      <c r="D365" s="616" t="e">
        <f>VLOOKUP($B365,'COMP. ELETRICO '!$B:$G,6,FALSE)</f>
        <v>#N/A</v>
      </c>
      <c r="E365" s="618" t="e">
        <f>VLOOKUP($B365,'COMP. ELETRICO '!$B:$H,7,FALSE)</f>
        <v>#N/A</v>
      </c>
    </row>
    <row r="366" spans="2:5">
      <c r="B366" s="616" t="s">
        <v>13718</v>
      </c>
      <c r="C366" s="617" t="e">
        <f>VLOOKUP($B366,'COMP. ELETRICO '!$B:$G,2,FALSE)</f>
        <v>#N/A</v>
      </c>
      <c r="D366" s="616" t="e">
        <f>VLOOKUP($B366,'COMP. ELETRICO '!$B:$G,6,FALSE)</f>
        <v>#N/A</v>
      </c>
      <c r="E366" s="618" t="e">
        <f>VLOOKUP($B366,'COMP. ELETRICO '!$B:$H,7,FALSE)</f>
        <v>#N/A</v>
      </c>
    </row>
    <row r="367" spans="2:5">
      <c r="B367" s="616" t="s">
        <v>13719</v>
      </c>
      <c r="C367" s="617" t="e">
        <f>VLOOKUP($B367,'COMP. ELETRICO '!$B:$G,2,FALSE)</f>
        <v>#N/A</v>
      </c>
      <c r="D367" s="616" t="e">
        <f>VLOOKUP($B367,'COMP. ELETRICO '!$B:$G,6,FALSE)</f>
        <v>#N/A</v>
      </c>
      <c r="E367" s="618" t="e">
        <f>VLOOKUP($B367,'COMP. ELETRICO '!$B:$H,7,FALSE)</f>
        <v>#N/A</v>
      </c>
    </row>
    <row r="368" spans="2:5">
      <c r="B368" s="616" t="s">
        <v>13720</v>
      </c>
      <c r="C368" s="617" t="e">
        <f>VLOOKUP($B368,'COMP. ELETRICO '!$B:$G,2,FALSE)</f>
        <v>#N/A</v>
      </c>
      <c r="D368" s="616" t="e">
        <f>VLOOKUP($B368,'COMP. ELETRICO '!$B:$G,6,FALSE)</f>
        <v>#N/A</v>
      </c>
      <c r="E368" s="618" t="e">
        <f>VLOOKUP($B368,'COMP. ELETRICO '!$B:$H,7,FALSE)</f>
        <v>#N/A</v>
      </c>
    </row>
    <row r="369" spans="2:5">
      <c r="B369" s="616" t="s">
        <v>13721</v>
      </c>
      <c r="C369" s="617" t="e">
        <f>VLOOKUP($B369,'COMP. ELETRICO '!$B:$G,2,FALSE)</f>
        <v>#N/A</v>
      </c>
      <c r="D369" s="616" t="e">
        <f>VLOOKUP($B369,'COMP. ELETRICO '!$B:$G,6,FALSE)</f>
        <v>#N/A</v>
      </c>
      <c r="E369" s="618" t="e">
        <f>VLOOKUP($B369,'COMP. ELETRICO '!$B:$H,7,FALSE)</f>
        <v>#N/A</v>
      </c>
    </row>
    <row r="370" spans="2:5">
      <c r="B370" s="616" t="s">
        <v>14136</v>
      </c>
      <c r="C370" s="617" t="e">
        <f>VLOOKUP($B370,'COMP. ELETRICO '!$B:$G,2,FALSE)</f>
        <v>#N/A</v>
      </c>
      <c r="D370" s="616" t="e">
        <f>VLOOKUP($B370,'COMP. ELETRICO '!$B:$G,6,FALSE)</f>
        <v>#N/A</v>
      </c>
      <c r="E370" s="618" t="e">
        <f>VLOOKUP($B370,'COMP. ELETRICO '!$B:$H,7,FALSE)</f>
        <v>#N/A</v>
      </c>
    </row>
    <row r="371" spans="2:5">
      <c r="B371" s="616" t="s">
        <v>14137</v>
      </c>
      <c r="C371" s="617" t="e">
        <f>VLOOKUP($B371,'COMP. ELETRICO '!$B:$G,2,FALSE)</f>
        <v>#N/A</v>
      </c>
      <c r="D371" s="616" t="e">
        <f>VLOOKUP($B371,'COMP. ELETRICO '!$B:$G,6,FALSE)</f>
        <v>#N/A</v>
      </c>
      <c r="E371" s="618" t="e">
        <f>VLOOKUP($B371,'COMP. ELETRICO '!$B:$H,7,FALSE)</f>
        <v>#N/A</v>
      </c>
    </row>
    <row r="372" spans="2:5">
      <c r="B372" s="616" t="s">
        <v>14138</v>
      </c>
      <c r="C372" s="617" t="e">
        <f>VLOOKUP($B372,'COMP. ELETRICO '!$B:$G,2,FALSE)</f>
        <v>#N/A</v>
      </c>
      <c r="D372" s="616" t="e">
        <f>VLOOKUP($B372,'COMP. ELETRICO '!$B:$G,6,FALSE)</f>
        <v>#N/A</v>
      </c>
      <c r="E372" s="618" t="e">
        <f>VLOOKUP($B372,'COMP. ELETRICO '!$B:$H,7,FALSE)</f>
        <v>#N/A</v>
      </c>
    </row>
    <row r="373" spans="2:5">
      <c r="B373" s="616" t="s">
        <v>14139</v>
      </c>
      <c r="C373" s="617" t="e">
        <f>VLOOKUP($B373,'COMP. ELETRICO '!$B:$G,2,FALSE)</f>
        <v>#N/A</v>
      </c>
      <c r="D373" s="616" t="e">
        <f>VLOOKUP($B373,'COMP. ELETRICO '!$B:$G,6,FALSE)</f>
        <v>#N/A</v>
      </c>
      <c r="E373" s="618" t="e">
        <f>VLOOKUP($B373,'COMP. ELETRICO '!$B:$H,7,FALSE)</f>
        <v>#N/A</v>
      </c>
    </row>
    <row r="374" spans="2:5">
      <c r="B374" s="616" t="s">
        <v>14140</v>
      </c>
      <c r="C374" s="617" t="e">
        <f>VLOOKUP($B374,'COMP. ELETRICO '!$B:$G,2,FALSE)</f>
        <v>#N/A</v>
      </c>
      <c r="D374" s="616" t="e">
        <f>VLOOKUP($B374,'COMP. ELETRICO '!$B:$G,6,FALSE)</f>
        <v>#N/A</v>
      </c>
      <c r="E374" s="618" t="e">
        <f>VLOOKUP($B374,'COMP. ELETRICO '!$B:$H,7,FALSE)</f>
        <v>#N/A</v>
      </c>
    </row>
    <row r="375" spans="2:5">
      <c r="B375" s="616" t="s">
        <v>14141</v>
      </c>
      <c r="C375" s="617" t="e">
        <f>VLOOKUP($B375,'COMP. ELETRICO '!$B:$G,2,FALSE)</f>
        <v>#N/A</v>
      </c>
      <c r="D375" s="616" t="e">
        <f>VLOOKUP($B375,'COMP. ELETRICO '!$B:$G,6,FALSE)</f>
        <v>#N/A</v>
      </c>
      <c r="E375" s="618" t="e">
        <f>VLOOKUP($B375,'COMP. ELETRICO '!$B:$H,7,FALSE)</f>
        <v>#N/A</v>
      </c>
    </row>
    <row r="376" spans="2:5">
      <c r="B376" s="616" t="s">
        <v>14142</v>
      </c>
      <c r="C376" s="617" t="e">
        <f>VLOOKUP($B376,'COMP. ELETRICO '!$B:$G,2,FALSE)</f>
        <v>#N/A</v>
      </c>
      <c r="D376" s="616" t="e">
        <f>VLOOKUP($B376,'COMP. ELETRICO '!$B:$G,6,FALSE)</f>
        <v>#N/A</v>
      </c>
      <c r="E376" s="618" t="e">
        <f>VLOOKUP($B376,'COMP. ELETRICO '!$B:$H,7,FALSE)</f>
        <v>#N/A</v>
      </c>
    </row>
    <row r="377" spans="2:5">
      <c r="B377" s="616" t="s">
        <v>14143</v>
      </c>
      <c r="C377" s="617" t="e">
        <f>VLOOKUP($B377,'COMP. ELETRICO '!$B:$G,2,FALSE)</f>
        <v>#N/A</v>
      </c>
      <c r="D377" s="616" t="e">
        <f>VLOOKUP($B377,'COMP. ELETRICO '!$B:$G,6,FALSE)</f>
        <v>#N/A</v>
      </c>
      <c r="E377" s="618" t="e">
        <f>VLOOKUP($B377,'COMP. ELETRICO '!$B:$H,7,FALSE)</f>
        <v>#N/A</v>
      </c>
    </row>
    <row r="378" spans="2:5">
      <c r="B378" s="616" t="s">
        <v>14144</v>
      </c>
      <c r="C378" s="617" t="e">
        <f>VLOOKUP($B378,'COMP. ELETRICO '!$B:$G,2,FALSE)</f>
        <v>#N/A</v>
      </c>
      <c r="D378" s="616" t="e">
        <f>VLOOKUP($B378,'COMP. ELETRICO '!$B:$G,6,FALSE)</f>
        <v>#N/A</v>
      </c>
      <c r="E378" s="618" t="e">
        <f>VLOOKUP($B378,'COMP. ELETRICO '!$B:$H,7,FALSE)</f>
        <v>#N/A</v>
      </c>
    </row>
    <row r="379" spans="2:5">
      <c r="B379" s="616" t="s">
        <v>13721</v>
      </c>
      <c r="C379" s="617" t="e">
        <f>VLOOKUP($B379,'COMP. ELETRICO '!$B:$G,2,FALSE)</f>
        <v>#N/A</v>
      </c>
      <c r="D379" s="616" t="e">
        <f>VLOOKUP($B379,'COMP. ELETRICO '!$B:$G,6,FALSE)</f>
        <v>#N/A</v>
      </c>
      <c r="E379" s="618" t="e">
        <f>VLOOKUP($B379,'COMP. ELETRICO '!$B:$H,7,FALSE)</f>
        <v>#N/A</v>
      </c>
    </row>
    <row r="380" spans="2:5" ht="15.75" thickBot="1">
      <c r="B380" s="677"/>
      <c r="C380" s="733"/>
      <c r="D380" s="677"/>
    </row>
    <row r="381" spans="2:5" ht="16.5" thickBot="1">
      <c r="B381" s="75" t="s">
        <v>13722</v>
      </c>
      <c r="C381" s="76" t="s">
        <v>519</v>
      </c>
      <c r="D381" s="78" t="s">
        <v>25</v>
      </c>
      <c r="E381" s="79" t="s">
        <v>26</v>
      </c>
    </row>
    <row r="382" spans="2:5">
      <c r="B382" s="734" t="s">
        <v>13723</v>
      </c>
      <c r="C382" s="314" t="str">
        <f>VLOOKUP($B382,'COMP. SPDA '!$B:$G,2,FALSE)</f>
        <v>CAIXA DE INSPECAO PVC SUSPENSA PARA ATERRAMENTO</v>
      </c>
      <c r="D382" s="734" t="str">
        <f>VLOOKUP($B382,'COMP. SPDA '!$B:$G,6,FALSE)</f>
        <v>UN</v>
      </c>
      <c r="E382" s="315">
        <f>VLOOKUP($B382,'COMP. SPDA '!$B:$H,7,FALSE)</f>
        <v>44.05</v>
      </c>
    </row>
    <row r="383" spans="2:5">
      <c r="B383" s="734" t="s">
        <v>13724</v>
      </c>
      <c r="C383" s="314" t="str">
        <f>VLOOKUP($B383,'COMP. SPDA '!$B:$G,2,FALSE)</f>
        <v>TERMINAL AEREO EM ACO GALVANIZADO COM BASE DE FIXACAO H = 600 MM</v>
      </c>
      <c r="D383" s="734" t="str">
        <f>VLOOKUP($B383,'COMP. SPDA '!$B:$G,6,FALSE)</f>
        <v>UN</v>
      </c>
      <c r="E383" s="315">
        <f>VLOOKUP($B383,'COMP. SPDA '!$B:$H,7,FALSE)</f>
        <v>77.17</v>
      </c>
    </row>
    <row r="384" spans="2:5">
      <c r="B384" s="734" t="s">
        <v>13725</v>
      </c>
      <c r="C384" s="314" t="str">
        <f>VLOOKUP($B384,'COMP. SPDA '!$B:$G,2,FALSE)</f>
        <v>FORNECIMENTO E INSTALAÇÃO DE BARRA CHATA 7/8X1/8</v>
      </c>
      <c r="D384" s="734" t="str">
        <f>VLOOKUP($B384,'COMP. SPDA '!$B:$G,6,FALSE)</f>
        <v>UN</v>
      </c>
      <c r="E384" s="315">
        <f>VLOOKUP($B384,'COMP. SPDA '!$B:$H,7,FALSE)</f>
        <v>28.66</v>
      </c>
    </row>
    <row r="385" spans="2:5">
      <c r="B385" s="734" t="s">
        <v>13726</v>
      </c>
      <c r="C385" s="314" t="e">
        <f>VLOOKUP($B385,'COMP. SPDA '!$B:$G,2,FALSE)</f>
        <v>#N/A</v>
      </c>
      <c r="D385" s="734" t="e">
        <f>VLOOKUP($B385,'COMP. SPDA '!$B:$G,6,FALSE)</f>
        <v>#N/A</v>
      </c>
      <c r="E385" s="315" t="e">
        <f>VLOOKUP($B385,'COMP. SPDA '!$B:$H,7,FALSE)</f>
        <v>#N/A</v>
      </c>
    </row>
    <row r="386" spans="2:5">
      <c r="B386" s="734" t="s">
        <v>13727</v>
      </c>
      <c r="C386" s="314" t="e">
        <f>VLOOKUP($B386,'COMP. SPDA '!$B:$G,2,FALSE)</f>
        <v>#N/A</v>
      </c>
      <c r="D386" s="734" t="e">
        <f>VLOOKUP($B386,'COMP. SPDA '!$B:$G,6,FALSE)</f>
        <v>#N/A</v>
      </c>
      <c r="E386" s="315" t="e">
        <f>VLOOKUP($B386,'COMP. SPDA '!$B:$H,7,FALSE)</f>
        <v>#N/A</v>
      </c>
    </row>
    <row r="387" spans="2:5">
      <c r="B387" s="734" t="s">
        <v>13728</v>
      </c>
      <c r="C387" s="314" t="e">
        <f>VLOOKUP($B387,'COMP. SPDA '!$B:$G,2,FALSE)</f>
        <v>#N/A</v>
      </c>
      <c r="D387" s="734" t="e">
        <f>VLOOKUP($B387,'COMP. SPDA '!$B:$G,6,FALSE)</f>
        <v>#N/A</v>
      </c>
      <c r="E387" s="315" t="e">
        <f>VLOOKUP($B387,'COMP. SPDA '!$B:$H,7,FALSE)</f>
        <v>#N/A</v>
      </c>
    </row>
    <row r="388" spans="2:5">
      <c r="B388" s="734" t="s">
        <v>13729</v>
      </c>
      <c r="C388" s="314" t="e">
        <f>VLOOKUP($B388,'COMP. SPDA '!$B:$G,2,FALSE)</f>
        <v>#N/A</v>
      </c>
      <c r="D388" s="734" t="e">
        <f>VLOOKUP($B388,'COMP. SPDA '!$B:$G,6,FALSE)</f>
        <v>#N/A</v>
      </c>
      <c r="E388" s="315" t="e">
        <f>VLOOKUP($B388,'COMP. SPDA '!$B:$H,7,FALSE)</f>
        <v>#N/A</v>
      </c>
    </row>
    <row r="389" spans="2:5">
      <c r="B389" s="734" t="s">
        <v>13730</v>
      </c>
      <c r="C389" s="314" t="e">
        <f>VLOOKUP($B389,'COMP. SPDA '!$B:$G,2,FALSE)</f>
        <v>#N/A</v>
      </c>
      <c r="D389" s="734" t="e">
        <f>VLOOKUP($B389,'COMP. SPDA '!$B:$G,6,FALSE)</f>
        <v>#N/A</v>
      </c>
      <c r="E389" s="315" t="e">
        <f>VLOOKUP($B389,'COMP. SPDA '!$B:$H,7,FALSE)</f>
        <v>#N/A</v>
      </c>
    </row>
    <row r="390" spans="2:5">
      <c r="B390" s="734" t="s">
        <v>13731</v>
      </c>
      <c r="C390" s="314" t="e">
        <f>VLOOKUP($B390,'COMP. SPDA '!$B:$G,2,FALSE)</f>
        <v>#N/A</v>
      </c>
      <c r="D390" s="734" t="e">
        <f>VLOOKUP($B390,'COMP. SPDA '!$B:$G,6,FALSE)</f>
        <v>#N/A</v>
      </c>
      <c r="E390" s="315" t="e">
        <f>VLOOKUP($B390,'COMP. SPDA '!$B:$H,7,FALSE)</f>
        <v>#N/A</v>
      </c>
    </row>
    <row r="391" spans="2:5">
      <c r="B391" s="734" t="s">
        <v>13732</v>
      </c>
      <c r="C391" s="314" t="e">
        <f>VLOOKUP($B391,'COMP. SPDA '!$B:$G,2,FALSE)</f>
        <v>#N/A</v>
      </c>
      <c r="D391" s="734" t="e">
        <f>VLOOKUP($B391,'COMP. SPDA '!$B:$G,6,FALSE)</f>
        <v>#N/A</v>
      </c>
      <c r="E391" s="315" t="e">
        <f>VLOOKUP($B391,'COMP. SPDA '!$B:$H,7,FALSE)</f>
        <v>#N/A</v>
      </c>
    </row>
    <row r="392" spans="2:5">
      <c r="B392" s="734" t="s">
        <v>13733</v>
      </c>
      <c r="C392" s="314" t="e">
        <f>VLOOKUP($B392,'COMP. SPDA '!$B:$G,2,FALSE)</f>
        <v>#N/A</v>
      </c>
      <c r="D392" s="734" t="e">
        <f>VLOOKUP($B392,'COMP. SPDA '!$B:$G,6,FALSE)</f>
        <v>#N/A</v>
      </c>
      <c r="E392" s="315" t="e">
        <f>VLOOKUP($B392,'COMP. SPDA '!$B:$H,7,FALSE)</f>
        <v>#N/A</v>
      </c>
    </row>
    <row r="393" spans="2:5">
      <c r="B393" s="734" t="s">
        <v>13734</v>
      </c>
      <c r="C393" s="314" t="e">
        <f>VLOOKUP($B393,'COMP. SPDA '!$B:$G,2,FALSE)</f>
        <v>#N/A</v>
      </c>
      <c r="D393" s="734" t="e">
        <f>VLOOKUP($B393,'COMP. SPDA '!$B:$G,6,FALSE)</f>
        <v>#N/A</v>
      </c>
      <c r="E393" s="315" t="e">
        <f>VLOOKUP($B393,'COMP. SPDA '!$B:$H,7,FALSE)</f>
        <v>#N/A</v>
      </c>
    </row>
    <row r="394" spans="2:5">
      <c r="B394" s="734" t="s">
        <v>13735</v>
      </c>
      <c r="C394" s="314" t="e">
        <f>VLOOKUP($B394,'COMP. SPDA '!$B:$G,2,FALSE)</f>
        <v>#N/A</v>
      </c>
      <c r="D394" s="734" t="e">
        <f>VLOOKUP($B394,'COMP. SPDA '!$B:$G,6,FALSE)</f>
        <v>#N/A</v>
      </c>
      <c r="E394" s="315" t="e">
        <f>VLOOKUP($B394,'COMP. SPDA '!$B:$H,7,FALSE)</f>
        <v>#N/A</v>
      </c>
    </row>
    <row r="395" spans="2:5">
      <c r="B395" s="734" t="s">
        <v>13736</v>
      </c>
      <c r="C395" s="314" t="e">
        <f>VLOOKUP($B395,'COMP. SPDA '!$B:$G,2,FALSE)</f>
        <v>#N/A</v>
      </c>
      <c r="D395" s="734" t="e">
        <f>VLOOKUP($B395,'COMP. SPDA '!$B:$G,6,FALSE)</f>
        <v>#N/A</v>
      </c>
      <c r="E395" s="315" t="e">
        <f>VLOOKUP($B395,'COMP. SPDA '!$B:$H,7,FALSE)</f>
        <v>#N/A</v>
      </c>
    </row>
    <row r="396" spans="2:5">
      <c r="B396" s="734" t="s">
        <v>13737</v>
      </c>
      <c r="C396" s="314" t="e">
        <f>VLOOKUP($B396,'COMP. SPDA '!$B:$G,2,FALSE)</f>
        <v>#N/A</v>
      </c>
      <c r="D396" s="734" t="e">
        <f>VLOOKUP($B396,'COMP. SPDA '!$B:$G,6,FALSE)</f>
        <v>#N/A</v>
      </c>
      <c r="E396" s="315" t="e">
        <f>VLOOKUP($B396,'COMP. SPDA '!$B:$H,7,FALSE)</f>
        <v>#N/A</v>
      </c>
    </row>
    <row r="397" spans="2:5">
      <c r="B397" s="734" t="s">
        <v>13738</v>
      </c>
      <c r="C397" s="314" t="e">
        <f>VLOOKUP($B397,'COMP. SPDA '!$B:$G,2,FALSE)</f>
        <v>#N/A</v>
      </c>
      <c r="D397" s="734" t="e">
        <f>VLOOKUP($B397,'COMP. SPDA '!$B:$G,6,FALSE)</f>
        <v>#N/A</v>
      </c>
      <c r="E397" s="315" t="e">
        <f>VLOOKUP($B397,'COMP. SPDA '!$B:$H,7,FALSE)</f>
        <v>#N/A</v>
      </c>
    </row>
    <row r="398" spans="2:5">
      <c r="B398" s="734" t="s">
        <v>13739</v>
      </c>
      <c r="C398" s="314" t="e">
        <f>VLOOKUP($B398,'COMP. SPDA '!$B:$G,2,FALSE)</f>
        <v>#N/A</v>
      </c>
      <c r="D398" s="734" t="e">
        <f>VLOOKUP($B398,'COMP. SPDA '!$B:$G,6,FALSE)</f>
        <v>#N/A</v>
      </c>
      <c r="E398" s="315" t="e">
        <f>VLOOKUP($B398,'COMP. SPDA '!$B:$H,7,FALSE)</f>
        <v>#N/A</v>
      </c>
    </row>
    <row r="399" spans="2:5">
      <c r="B399" s="734" t="s">
        <v>13740</v>
      </c>
      <c r="C399" s="314" t="e">
        <f>VLOOKUP($B399,'COMP. SPDA '!$B:$G,2,FALSE)</f>
        <v>#N/A</v>
      </c>
      <c r="D399" s="734" t="e">
        <f>VLOOKUP($B399,'COMP. SPDA '!$B:$G,6,FALSE)</f>
        <v>#N/A</v>
      </c>
      <c r="E399" s="315" t="e">
        <f>VLOOKUP($B399,'COMP. SPDA '!$B:$H,7,FALSE)</f>
        <v>#N/A</v>
      </c>
    </row>
    <row r="400" spans="2:5">
      <c r="B400" s="734" t="s">
        <v>13741</v>
      </c>
      <c r="C400" s="314" t="e">
        <f>VLOOKUP($B400,'COMP. SPDA '!$B:$G,2,FALSE)</f>
        <v>#N/A</v>
      </c>
      <c r="D400" s="734" t="e">
        <f>VLOOKUP($B400,'COMP. SPDA '!$B:$G,6,FALSE)</f>
        <v>#N/A</v>
      </c>
      <c r="E400" s="315" t="e">
        <f>VLOOKUP($B400,'COMP. SPDA '!$B:$H,7,FALSE)</f>
        <v>#N/A</v>
      </c>
    </row>
    <row r="401" spans="2:5">
      <c r="B401" s="734" t="s">
        <v>13742</v>
      </c>
      <c r="C401" s="314" t="e">
        <f>VLOOKUP($B401,'COMP. SPDA '!$B:$G,2,FALSE)</f>
        <v>#N/A</v>
      </c>
      <c r="D401" s="734" t="e">
        <f>VLOOKUP($B401,'COMP. SPDA '!$B:$G,6,FALSE)</f>
        <v>#N/A</v>
      </c>
      <c r="E401" s="315" t="e">
        <f>VLOOKUP($B401,'COMP. SPDA '!$B:$H,7,FALSE)</f>
        <v>#N/A</v>
      </c>
    </row>
    <row r="402" spans="2:5">
      <c r="B402" s="734" t="s">
        <v>13743</v>
      </c>
      <c r="C402" s="314" t="e">
        <f>VLOOKUP($B402,'COMP. SPDA '!$B:$G,2,FALSE)</f>
        <v>#N/A</v>
      </c>
      <c r="D402" s="734" t="e">
        <f>VLOOKUP($B402,'COMP. SPDA '!$B:$G,6,FALSE)</f>
        <v>#N/A</v>
      </c>
      <c r="E402" s="315" t="e">
        <f>VLOOKUP($B402,'COMP. SPDA '!$B:$H,7,FALSE)</f>
        <v>#N/A</v>
      </c>
    </row>
    <row r="403" spans="2:5">
      <c r="B403" s="734" t="s">
        <v>13744</v>
      </c>
      <c r="C403" s="314" t="e">
        <f>VLOOKUP($B403,'COMP. SPDA '!$B:$G,2,FALSE)</f>
        <v>#N/A</v>
      </c>
      <c r="D403" s="734" t="e">
        <f>VLOOKUP($B403,'COMP. SPDA '!$B:$G,6,FALSE)</f>
        <v>#N/A</v>
      </c>
      <c r="E403" s="315" t="e">
        <f>VLOOKUP($B403,'COMP. SPDA '!$B:$H,7,FALSE)</f>
        <v>#N/A</v>
      </c>
    </row>
    <row r="404" spans="2:5">
      <c r="B404" s="734" t="s">
        <v>13745</v>
      </c>
      <c r="C404" s="314" t="e">
        <f>VLOOKUP($B404,'COMP. SPDA '!$B:$G,2,FALSE)</f>
        <v>#N/A</v>
      </c>
      <c r="D404" s="734" t="e">
        <f>VLOOKUP($B404,'COMP. SPDA '!$B:$G,6,FALSE)</f>
        <v>#N/A</v>
      </c>
      <c r="E404" s="315" t="e">
        <f>VLOOKUP($B404,'COMP. SPDA '!$B:$H,7,FALSE)</f>
        <v>#N/A</v>
      </c>
    </row>
    <row r="405" spans="2:5">
      <c r="B405" s="734" t="s">
        <v>13746</v>
      </c>
      <c r="C405" s="314" t="e">
        <f>VLOOKUP($B405,'COMP. SPDA '!$B:$G,2,FALSE)</f>
        <v>#N/A</v>
      </c>
      <c r="D405" s="734" t="e">
        <f>VLOOKUP($B405,'COMP. SPDA '!$B:$G,6,FALSE)</f>
        <v>#N/A</v>
      </c>
      <c r="E405" s="315" t="e">
        <f>VLOOKUP($B405,'COMP. SPDA '!$B:$H,7,FALSE)</f>
        <v>#N/A</v>
      </c>
    </row>
    <row r="406" spans="2:5">
      <c r="B406" s="734" t="s">
        <v>13747</v>
      </c>
      <c r="C406" s="314" t="e">
        <f>VLOOKUP($B406,'COMP. SPDA '!$B:$G,2,FALSE)</f>
        <v>#N/A</v>
      </c>
      <c r="D406" s="734" t="e">
        <f>VLOOKUP($B406,'COMP. SPDA '!$B:$G,6,FALSE)</f>
        <v>#N/A</v>
      </c>
      <c r="E406" s="315" t="e">
        <f>VLOOKUP($B406,'COMP. SPDA '!$B:$H,7,FALSE)</f>
        <v>#N/A</v>
      </c>
    </row>
    <row r="407" spans="2:5">
      <c r="B407" s="734" t="s">
        <v>13748</v>
      </c>
      <c r="C407" s="314" t="e">
        <f>VLOOKUP($B407,'COMP. SPDA '!$B:$G,2,FALSE)</f>
        <v>#N/A</v>
      </c>
      <c r="D407" s="734" t="e">
        <f>VLOOKUP($B407,'COMP. SPDA '!$B:$G,6,FALSE)</f>
        <v>#N/A</v>
      </c>
      <c r="E407" s="315" t="e">
        <f>VLOOKUP($B407,'COMP. SPDA '!$B:$H,7,FALSE)</f>
        <v>#N/A</v>
      </c>
    </row>
    <row r="408" spans="2:5">
      <c r="B408" s="734" t="s">
        <v>13749</v>
      </c>
      <c r="C408" s="314" t="e">
        <f>VLOOKUP($B408,'COMP. SPDA '!$B:$G,2,FALSE)</f>
        <v>#N/A</v>
      </c>
      <c r="D408" s="734" t="e">
        <f>VLOOKUP($B408,'COMP. SPDA '!$B:$G,6,FALSE)</f>
        <v>#N/A</v>
      </c>
      <c r="E408" s="315" t="e">
        <f>VLOOKUP($B408,'COMP. SPDA '!$B:$H,7,FALSE)</f>
        <v>#N/A</v>
      </c>
    </row>
    <row r="409" spans="2:5">
      <c r="B409" s="734" t="s">
        <v>13750</v>
      </c>
      <c r="C409" s="314" t="e">
        <f>VLOOKUP($B409,'COMP. SPDA '!$B:$G,2,FALSE)</f>
        <v>#N/A</v>
      </c>
      <c r="D409" s="734" t="e">
        <f>VLOOKUP($B409,'COMP. SPDA '!$B:$G,6,FALSE)</f>
        <v>#N/A</v>
      </c>
      <c r="E409" s="315" t="e">
        <f>VLOOKUP($B409,'COMP. SPDA '!$B:$H,7,FALSE)</f>
        <v>#N/A</v>
      </c>
    </row>
    <row r="410" spans="2:5">
      <c r="B410" s="734" t="s">
        <v>13751</v>
      </c>
      <c r="C410" s="314" t="e">
        <f>VLOOKUP($B410,'COMP. SPDA '!$B:$G,2,FALSE)</f>
        <v>#N/A</v>
      </c>
      <c r="D410" s="734" t="e">
        <f>VLOOKUP($B410,'COMP. SPDA '!$B:$G,6,FALSE)</f>
        <v>#N/A</v>
      </c>
      <c r="E410" s="315" t="e">
        <f>VLOOKUP($B410,'COMP. SPDA '!$B:$H,7,FALSE)</f>
        <v>#N/A</v>
      </c>
    </row>
    <row r="411" spans="2:5">
      <c r="B411" s="734" t="s">
        <v>13752</v>
      </c>
      <c r="C411" s="314" t="e">
        <f>VLOOKUP($B411,'COMP. SPDA '!$B:$G,2,FALSE)</f>
        <v>#N/A</v>
      </c>
      <c r="D411" s="734" t="e">
        <f>VLOOKUP($B411,'COMP. SPDA '!$B:$G,6,FALSE)</f>
        <v>#N/A</v>
      </c>
      <c r="E411" s="315" t="e">
        <f>VLOOKUP($B411,'COMP. SPDA '!$B:$H,7,FALSE)</f>
        <v>#N/A</v>
      </c>
    </row>
    <row r="412" spans="2:5">
      <c r="B412" s="734" t="s">
        <v>13753</v>
      </c>
      <c r="C412" s="314" t="e">
        <f>VLOOKUP($B412,'COMP. SPDA '!$B:$G,2,FALSE)</f>
        <v>#N/A</v>
      </c>
      <c r="D412" s="734" t="e">
        <f>VLOOKUP($B412,'COMP. SPDA '!$B:$G,6,FALSE)</f>
        <v>#N/A</v>
      </c>
      <c r="E412" s="315" t="e">
        <f>VLOOKUP($B412,'COMP. SPDA '!$B:$H,7,FALSE)</f>
        <v>#N/A</v>
      </c>
    </row>
    <row r="413" spans="2:5">
      <c r="B413" s="734" t="s">
        <v>13754</v>
      </c>
      <c r="C413" s="314" t="e">
        <f>VLOOKUP($B413,'COMP. SPDA '!$B:$G,2,FALSE)</f>
        <v>#N/A</v>
      </c>
      <c r="D413" s="734" t="e">
        <f>VLOOKUP($B413,'COMP. SPDA '!$B:$G,6,FALSE)</f>
        <v>#N/A</v>
      </c>
      <c r="E413" s="315" t="e">
        <f>VLOOKUP($B413,'COMP. SPDA '!$B:$H,7,FALSE)</f>
        <v>#N/A</v>
      </c>
    </row>
    <row r="414" spans="2:5">
      <c r="B414" s="734" t="s">
        <v>13755</v>
      </c>
      <c r="C414" s="314" t="e">
        <f>VLOOKUP($B414,'COMP. SPDA '!$B:$G,2,FALSE)</f>
        <v>#N/A</v>
      </c>
      <c r="D414" s="734" t="e">
        <f>VLOOKUP($B414,'COMP. SPDA '!$B:$G,6,FALSE)</f>
        <v>#N/A</v>
      </c>
      <c r="E414" s="315" t="e">
        <f>VLOOKUP($B414,'COMP. SPDA '!$B:$H,7,FALSE)</f>
        <v>#N/A</v>
      </c>
    </row>
    <row r="415" spans="2:5">
      <c r="B415" s="734" t="s">
        <v>13756</v>
      </c>
      <c r="C415" s="314" t="e">
        <f>VLOOKUP($B415,'COMP. SPDA '!$B:$G,2,FALSE)</f>
        <v>#N/A</v>
      </c>
      <c r="D415" s="734" t="e">
        <f>VLOOKUP($B415,'COMP. SPDA '!$B:$G,6,FALSE)</f>
        <v>#N/A</v>
      </c>
      <c r="E415" s="315" t="e">
        <f>VLOOKUP($B415,'COMP. SPDA '!$B:$H,7,FALSE)</f>
        <v>#N/A</v>
      </c>
    </row>
    <row r="416" spans="2:5">
      <c r="B416" s="734" t="s">
        <v>13757</v>
      </c>
      <c r="C416" s="314" t="e">
        <f>VLOOKUP($B416,'COMP. SPDA '!$B:$G,2,FALSE)</f>
        <v>#N/A</v>
      </c>
      <c r="D416" s="734" t="e">
        <f>VLOOKUP($B416,'COMP. SPDA '!$B:$G,6,FALSE)</f>
        <v>#N/A</v>
      </c>
      <c r="E416" s="315" t="e">
        <f>VLOOKUP($B416,'COMP. SPDA '!$B:$H,7,FALSE)</f>
        <v>#N/A</v>
      </c>
    </row>
    <row r="417" spans="2:5">
      <c r="B417" s="734" t="s">
        <v>13758</v>
      </c>
      <c r="C417" s="314" t="e">
        <f>VLOOKUP($B417,'COMP. SPDA '!$B:$G,2,FALSE)</f>
        <v>#N/A</v>
      </c>
      <c r="D417" s="734" t="e">
        <f>VLOOKUP($B417,'COMP. SPDA '!$B:$G,6,FALSE)</f>
        <v>#N/A</v>
      </c>
      <c r="E417" s="315" t="e">
        <f>VLOOKUP($B417,'COMP. SPDA '!$B:$H,7,FALSE)</f>
        <v>#N/A</v>
      </c>
    </row>
    <row r="418" spans="2:5">
      <c r="B418" s="734" t="s">
        <v>13759</v>
      </c>
      <c r="C418" s="314" t="e">
        <f>VLOOKUP($B418,'COMP. SPDA '!$B:$G,2,FALSE)</f>
        <v>#N/A</v>
      </c>
      <c r="D418" s="734" t="e">
        <f>VLOOKUP($B418,'COMP. SPDA '!$B:$G,6,FALSE)</f>
        <v>#N/A</v>
      </c>
      <c r="E418" s="315" t="e">
        <f>VLOOKUP($B418,'COMP. SPDA '!$B:$H,7,FALSE)</f>
        <v>#N/A</v>
      </c>
    </row>
    <row r="419" spans="2:5">
      <c r="B419" s="734" t="s">
        <v>13760</v>
      </c>
      <c r="C419" s="314" t="e">
        <f>VLOOKUP($B419,'COMP. SPDA '!$B:$G,2,FALSE)</f>
        <v>#N/A</v>
      </c>
      <c r="D419" s="734" t="e">
        <f>VLOOKUP($B419,'COMP. SPDA '!$B:$G,6,FALSE)</f>
        <v>#N/A</v>
      </c>
      <c r="E419" s="315" t="e">
        <f>VLOOKUP($B419,'COMP. SPDA '!$B:$H,7,FALSE)</f>
        <v>#N/A</v>
      </c>
    </row>
    <row r="420" spans="2:5">
      <c r="B420" s="734" t="s">
        <v>13761</v>
      </c>
      <c r="C420" s="314" t="e">
        <f>VLOOKUP($B420,'COMP. SPDA '!$B:$G,2,FALSE)</f>
        <v>#N/A</v>
      </c>
      <c r="D420" s="734" t="e">
        <f>VLOOKUP($B420,'COMP. SPDA '!$B:$G,6,FALSE)</f>
        <v>#N/A</v>
      </c>
      <c r="E420" s="315" t="e">
        <f>VLOOKUP($B420,'COMP. SPDA '!$B:$H,7,FALSE)</f>
        <v>#N/A</v>
      </c>
    </row>
    <row r="421" spans="2:5">
      <c r="B421" s="734" t="s">
        <v>13762</v>
      </c>
      <c r="C421" s="314" t="e">
        <f>VLOOKUP($B421,'COMP. SPDA '!$B:$G,2,FALSE)</f>
        <v>#N/A</v>
      </c>
      <c r="D421" s="734" t="e">
        <f>VLOOKUP($B421,'COMP. SPDA '!$B:$G,6,FALSE)</f>
        <v>#N/A</v>
      </c>
      <c r="E421" s="315" t="e">
        <f>VLOOKUP($B421,'COMP. SPDA '!$B:$H,7,FALSE)</f>
        <v>#N/A</v>
      </c>
    </row>
    <row r="422" spans="2:5">
      <c r="B422" s="734" t="s">
        <v>13763</v>
      </c>
      <c r="C422" s="314" t="e">
        <f>VLOOKUP($B422,'COMP. SPDA '!$B:$G,2,FALSE)</f>
        <v>#N/A</v>
      </c>
      <c r="D422" s="734" t="e">
        <f>VLOOKUP($B422,'COMP. SPDA '!$B:$G,6,FALSE)</f>
        <v>#N/A</v>
      </c>
      <c r="E422" s="315" t="e">
        <f>VLOOKUP($B422,'COMP. SPDA '!$B:$H,7,FALSE)</f>
        <v>#N/A</v>
      </c>
    </row>
    <row r="423" spans="2:5">
      <c r="B423" s="734" t="s">
        <v>13764</v>
      </c>
      <c r="C423" s="314" t="e">
        <f>VLOOKUP($B423,'COMP. SPDA '!$B:$G,2,FALSE)</f>
        <v>#N/A</v>
      </c>
      <c r="D423" s="734" t="e">
        <f>VLOOKUP($B423,'COMP. SPDA '!$B:$G,6,FALSE)</f>
        <v>#N/A</v>
      </c>
      <c r="E423" s="315" t="e">
        <f>VLOOKUP($B423,'COMP. SPDA '!$B:$H,7,FALSE)</f>
        <v>#N/A</v>
      </c>
    </row>
    <row r="424" spans="2:5">
      <c r="B424" s="734" t="s">
        <v>13765</v>
      </c>
      <c r="C424" s="314" t="e">
        <f>VLOOKUP($B424,'COMP. SPDA '!$B:$G,2,FALSE)</f>
        <v>#N/A</v>
      </c>
      <c r="D424" s="734" t="e">
        <f>VLOOKUP($B424,'COMP. SPDA '!$B:$G,6,FALSE)</f>
        <v>#N/A</v>
      </c>
      <c r="E424" s="315" t="e">
        <f>VLOOKUP($B424,'COMP. SPDA '!$B:$H,7,FALSE)</f>
        <v>#N/A</v>
      </c>
    </row>
    <row r="425" spans="2:5">
      <c r="B425" s="734" t="s">
        <v>13766</v>
      </c>
      <c r="C425" s="314" t="e">
        <f>VLOOKUP($B425,'COMP. SPDA '!$B:$G,2,FALSE)</f>
        <v>#N/A</v>
      </c>
      <c r="D425" s="734" t="e">
        <f>VLOOKUP($B425,'COMP. SPDA '!$B:$G,6,FALSE)</f>
        <v>#N/A</v>
      </c>
      <c r="E425" s="315" t="e">
        <f>VLOOKUP($B425,'COMP. SPDA '!$B:$H,7,FALSE)</f>
        <v>#N/A</v>
      </c>
    </row>
    <row r="426" spans="2:5">
      <c r="B426" s="734" t="s">
        <v>13767</v>
      </c>
      <c r="C426" s="314" t="e">
        <f>VLOOKUP($B426,'COMP. SPDA '!$B:$G,2,FALSE)</f>
        <v>#N/A</v>
      </c>
      <c r="D426" s="734" t="e">
        <f>VLOOKUP($B426,'COMP. SPDA '!$B:$G,6,FALSE)</f>
        <v>#N/A</v>
      </c>
      <c r="E426" s="315" t="e">
        <f>VLOOKUP($B426,'COMP. SPDA '!$B:$H,7,FALSE)</f>
        <v>#N/A</v>
      </c>
    </row>
    <row r="427" spans="2:5">
      <c r="B427" s="734" t="s">
        <v>13768</v>
      </c>
      <c r="C427" s="314" t="e">
        <f>VLOOKUP($B427,'COMP. SPDA '!$B:$G,2,FALSE)</f>
        <v>#N/A</v>
      </c>
      <c r="D427" s="734" t="e">
        <f>VLOOKUP($B427,'COMP. SPDA '!$B:$G,6,FALSE)</f>
        <v>#N/A</v>
      </c>
      <c r="E427" s="315" t="e">
        <f>VLOOKUP($B427,'COMP. SPDA '!$B:$H,7,FALSE)</f>
        <v>#N/A</v>
      </c>
    </row>
    <row r="428" spans="2:5">
      <c r="B428" s="734" t="s">
        <v>13769</v>
      </c>
      <c r="C428" s="314" t="e">
        <f>VLOOKUP($B428,'COMP. SPDA '!$B:$G,2,FALSE)</f>
        <v>#N/A</v>
      </c>
      <c r="D428" s="734" t="e">
        <f>VLOOKUP($B428,'COMP. SPDA '!$B:$G,6,FALSE)</f>
        <v>#N/A</v>
      </c>
      <c r="E428" s="315" t="e">
        <f>VLOOKUP($B428,'COMP. SPDA '!$B:$H,7,FALSE)</f>
        <v>#N/A</v>
      </c>
    </row>
    <row r="429" spans="2:5">
      <c r="B429" s="734" t="s">
        <v>13770</v>
      </c>
      <c r="C429" s="314" t="e">
        <f>VLOOKUP($B429,'COMP. SPDA '!$B:$G,2,FALSE)</f>
        <v>#N/A</v>
      </c>
      <c r="D429" s="734" t="e">
        <f>VLOOKUP($B429,'COMP. SPDA '!$B:$G,6,FALSE)</f>
        <v>#N/A</v>
      </c>
      <c r="E429" s="315" t="e">
        <f>VLOOKUP($B429,'COMP. SPDA '!$B:$H,7,FALSE)</f>
        <v>#N/A</v>
      </c>
    </row>
    <row r="430" spans="2:5">
      <c r="B430" s="734" t="s">
        <v>13771</v>
      </c>
      <c r="C430" s="314" t="e">
        <f>VLOOKUP($B430,'COMP. SPDA '!$B:$G,2,FALSE)</f>
        <v>#N/A</v>
      </c>
      <c r="D430" s="734" t="e">
        <f>VLOOKUP($B430,'COMP. SPDA '!$B:$G,6,FALSE)</f>
        <v>#N/A</v>
      </c>
      <c r="E430" s="315" t="e">
        <f>VLOOKUP($B430,'COMP. SPDA '!$B:$H,7,FALSE)</f>
        <v>#N/A</v>
      </c>
    </row>
    <row r="431" spans="2:5">
      <c r="B431" s="734" t="s">
        <v>13772</v>
      </c>
      <c r="C431" s="314" t="e">
        <f>VLOOKUP($B431,'COMP. SPDA '!$B:$G,2,FALSE)</f>
        <v>#N/A</v>
      </c>
      <c r="D431" s="734" t="e">
        <f>VLOOKUP($B431,'COMP. SPDA '!$B:$G,6,FALSE)</f>
        <v>#N/A</v>
      </c>
      <c r="E431" s="315" t="e">
        <f>VLOOKUP($B431,'COMP. SPDA '!$B:$H,7,FALSE)</f>
        <v>#N/A</v>
      </c>
    </row>
    <row r="432" spans="2:5">
      <c r="B432" s="734" t="s">
        <v>13773</v>
      </c>
      <c r="C432" s="314" t="e">
        <f>VLOOKUP($B432,'COMP. SPDA '!$B:$G,2,FALSE)</f>
        <v>#N/A</v>
      </c>
      <c r="D432" s="734" t="e">
        <f>VLOOKUP($B432,'COMP. SPDA '!$B:$G,6,FALSE)</f>
        <v>#N/A</v>
      </c>
      <c r="E432" s="315" t="e">
        <f>VLOOKUP($B432,'COMP. SPDA '!$B:$H,7,FALSE)</f>
        <v>#N/A</v>
      </c>
    </row>
    <row r="433" spans="2:5">
      <c r="B433" s="734" t="s">
        <v>13774</v>
      </c>
      <c r="C433" s="314" t="e">
        <f>VLOOKUP($B433,'COMP. SPDA '!$B:$G,2,FALSE)</f>
        <v>#N/A</v>
      </c>
      <c r="D433" s="734" t="e">
        <f>VLOOKUP($B433,'COMP. SPDA '!$B:$G,6,FALSE)</f>
        <v>#N/A</v>
      </c>
      <c r="E433" s="315" t="e">
        <f>VLOOKUP($B433,'COMP. SPDA '!$B:$H,7,FALSE)</f>
        <v>#N/A</v>
      </c>
    </row>
    <row r="434" spans="2:5">
      <c r="B434" s="734" t="s">
        <v>13775</v>
      </c>
      <c r="C434" s="314" t="e">
        <f>VLOOKUP($B434,'COMP. SPDA '!$B:$G,2,FALSE)</f>
        <v>#N/A</v>
      </c>
      <c r="D434" s="734" t="e">
        <f>VLOOKUP($B434,'COMP. SPDA '!$B:$G,6,FALSE)</f>
        <v>#N/A</v>
      </c>
      <c r="E434" s="315" t="e">
        <f>VLOOKUP($B434,'COMP. SPDA '!$B:$H,7,FALSE)</f>
        <v>#N/A</v>
      </c>
    </row>
    <row r="435" spans="2:5">
      <c r="B435" s="734" t="s">
        <v>13776</v>
      </c>
      <c r="C435" s="314" t="e">
        <f>VLOOKUP($B435,'COMP. SPDA '!$B:$G,2,FALSE)</f>
        <v>#N/A</v>
      </c>
      <c r="D435" s="734" t="e">
        <f>VLOOKUP($B435,'COMP. SPDA '!$B:$G,6,FALSE)</f>
        <v>#N/A</v>
      </c>
      <c r="E435" s="315" t="e">
        <f>VLOOKUP($B435,'COMP. SPDA '!$B:$H,7,FALSE)</f>
        <v>#N/A</v>
      </c>
    </row>
    <row r="436" spans="2:5" ht="15.75" thickBot="1">
      <c r="B436" s="677"/>
      <c r="C436" s="733"/>
      <c r="D436" s="677"/>
    </row>
    <row r="437" spans="2:5" ht="16.5" thickBot="1">
      <c r="B437" s="75" t="s">
        <v>13777</v>
      </c>
      <c r="C437" s="76" t="s">
        <v>518</v>
      </c>
      <c r="D437" s="78" t="s">
        <v>25</v>
      </c>
      <c r="E437" s="79" t="s">
        <v>26</v>
      </c>
    </row>
    <row r="438" spans="2:5">
      <c r="B438" s="734" t="s">
        <v>13778</v>
      </c>
      <c r="C438" s="617" t="str">
        <f>VLOOKUP($B438,'COMP. LOG'!$B:$G,2,FALSE)</f>
        <v>FORNECIMENTO E INSTALAÇÃO DE BLOCO TERMINAL PARA TELEFONE 10 PARES - BLOCO M10</v>
      </c>
      <c r="D438" s="616" t="str">
        <f>VLOOKUP($B438,'COMP. LOG'!$B:$G,6,FALSE)</f>
        <v>UN</v>
      </c>
      <c r="E438" s="618">
        <f>VLOOKUP($B438,'COMP. LOG'!$B:$H,7,FALSE)</f>
        <v>26.529999999999998</v>
      </c>
    </row>
    <row r="439" spans="2:5">
      <c r="B439" s="734" t="s">
        <v>13779</v>
      </c>
      <c r="C439" s="617" t="str">
        <f>VLOOKUP($B439,'COMP. LOG'!$B:$G,2,FALSE)</f>
        <v>FORNECIMENTO E INSTALAÇÃO DE ESPELHO PARA CAIXA 4X2" COM DUAS SAIDAS RJ45 (FEMEA), CAT 6</v>
      </c>
      <c r="D439" s="616" t="str">
        <f>VLOOKUP($B439,'COMP. LOG'!$B:$G,6,FALSE)</f>
        <v>UN</v>
      </c>
      <c r="E439" s="618">
        <f>VLOOKUP($B439,'COMP. LOG'!$B:$H,7,FALSE)</f>
        <v>6.8</v>
      </c>
    </row>
    <row r="440" spans="2:5">
      <c r="B440" s="734" t="s">
        <v>13780</v>
      </c>
      <c r="C440" s="617" t="str">
        <f>VLOOKUP($B440,'COMP. LOG'!$B:$G,2,FALSE)</f>
        <v xml:space="preserve">FORNECIMENTO E INSTALAÇÃO DE CONECTOR / TOMADA FEMEA RJ 45, CATEGORIA 6 (CAT 6) PARA CABOS                                                                                                                                                                                                                                                                                                                                                                                                                                             </v>
      </c>
      <c r="D440" s="616" t="str">
        <f>VLOOKUP($B440,'COMP. LOG'!$B:$G,6,FALSE)</f>
        <v>UN</v>
      </c>
      <c r="E440" s="618">
        <f>VLOOKUP($B440,'COMP. LOG'!$B:$H,7,FALSE)</f>
        <v>35.61</v>
      </c>
    </row>
    <row r="441" spans="2:5">
      <c r="B441" s="734" t="s">
        <v>13781</v>
      </c>
      <c r="C441" s="617" t="str">
        <f>VLOOKUP($B441,'COMP. LOG'!$B:$G,2,FALSE)</f>
        <v xml:space="preserve">FORNECIMENTO E INSTALAÇÃO DE CONECTOR MACHO RJ 45, CATEGORIA 6 (CAT 6) PARA CABOS                                                                                                                                                                                                                                                                                                                                                                                                                                                      </v>
      </c>
      <c r="D441" s="616" t="str">
        <f>VLOOKUP($B441,'COMP. LOG'!$B:$G,6,FALSE)</f>
        <v>UN</v>
      </c>
      <c r="E441" s="618">
        <f>VLOOKUP($B441,'COMP. LOG'!$B:$H,7,FALSE)</f>
        <v>7.98</v>
      </c>
    </row>
    <row r="442" spans="2:5" ht="30">
      <c r="B442" s="734" t="s">
        <v>13782</v>
      </c>
      <c r="C442" s="617" t="str">
        <f>VLOOKUP($B442,'COMP. LOG'!$B:$G,2,FALSE)</f>
        <v xml:space="preserve">FORNECIMENTO E INSTALAÇÃO DE ELETRODUTO FLEXIVEL, EM ACO GALVANIZADO, REVESTIDO EXTERNAMENTE COM PVC PRETO, DIAMETRO EXTERNO DE 32 MM (1"), TIPO SEALTUBO                                                                                                                                                                                                                                                                                                                                                                              </v>
      </c>
      <c r="D442" s="616" t="str">
        <f>VLOOKUP($B442,'COMP. LOG'!$B:$G,6,FALSE)</f>
        <v>UN</v>
      </c>
      <c r="E442" s="618">
        <f>VLOOKUP($B442,'COMP. LOG'!$B:$H,7,FALSE)</f>
        <v>27.119999999999997</v>
      </c>
    </row>
    <row r="443" spans="2:5">
      <c r="B443" s="734" t="s">
        <v>13783</v>
      </c>
      <c r="C443" s="617" t="str">
        <f>VLOOKUP($B443,'COMP. LOG'!$B:$G,2,FALSE)</f>
        <v xml:space="preserve">FORNECIMENTO E INSTALAÇÃO DE ELETRODUTO FLEXIVEL PLANO EM PEAD, COR PRETA E LARANJA,  DIAMETRO 40 MM                                                                                                                                                                                                                                                                                                                                                                                                                                   </v>
      </c>
      <c r="D443" s="616" t="str">
        <f>VLOOKUP($B443,'COMP. LOG'!$B:$G,6,FALSE)</f>
        <v>UN</v>
      </c>
      <c r="E443" s="618">
        <f>VLOOKUP($B443,'COMP. LOG'!$B:$H,7,FALSE)</f>
        <v>14.74</v>
      </c>
    </row>
    <row r="444" spans="2:5">
      <c r="B444" s="734" t="s">
        <v>13784</v>
      </c>
      <c r="C444" s="617" t="str">
        <f>VLOOKUP($B444,'COMP. LOG'!$B:$G,2,FALSE)</f>
        <v xml:space="preserve">FORNECIMENTO E INSTALAÇÃO DE ELETRODUTO EM ACO GALVANIZADO ELETROLITICO, LEVE, DIAMETRO 1", PAREDE DE 0,90 MM                                                                                                                                                                                                                                                                                                                                                                                                                          </v>
      </c>
      <c r="D444" s="616" t="str">
        <f>VLOOKUP($B444,'COMP. LOG'!$B:$G,6,FALSE)</f>
        <v>UN</v>
      </c>
      <c r="E444" s="618">
        <f>VLOOKUP($B444,'COMP. LOG'!$B:$H,7,FALSE)</f>
        <v>48.900000000000006</v>
      </c>
    </row>
    <row r="445" spans="2:5" ht="30">
      <c r="B445" s="734" t="s">
        <v>13785</v>
      </c>
      <c r="C445" s="617" t="str">
        <f>VLOOKUP($B445,'COMP. LOG'!$B:$G,2,FALSE)</f>
        <v xml:space="preserve">FORNECIMENTO E INSTALAÇÃO DE ELETRODUTO EM ACO GALVANIZADO ELETROLITICO, SEMI-PESADO, DIAMETRO 1 1/4", PAREDE DE 1,20 MM                                                                                                                                                                                                                                                                                                                                                                                                               </v>
      </c>
      <c r="D445" s="616" t="str">
        <f>VLOOKUP($B445,'COMP. LOG'!$B:$G,6,FALSE)</f>
        <v>UN</v>
      </c>
      <c r="E445" s="618">
        <f>VLOOKUP($B445,'COMP. LOG'!$B:$H,7,FALSE)</f>
        <v>61.510000000000005</v>
      </c>
    </row>
    <row r="446" spans="2:5">
      <c r="B446" s="734" t="s">
        <v>13786</v>
      </c>
      <c r="C446" s="617" t="str">
        <f>VLOOKUP($B446,'COMP. LOG'!$B:$G,2,FALSE)</f>
        <v xml:space="preserve">FORNECIMENTO E INSTALAÇÃO DE PATCH CORD (CABO DE REDE), CATEGORIA 6 (CAT 6) UTP, 23 AWG, 4 PARES, EXTENSAO DE 2,50 M                                                                                                                                                                                                                                                                                                                                                                                                                   </v>
      </c>
      <c r="D446" s="616" t="str">
        <f>VLOOKUP($B446,'COMP. LOG'!$B:$G,6,FALSE)</f>
        <v>UN</v>
      </c>
      <c r="E446" s="618">
        <f>VLOOKUP($B446,'COMP. LOG'!$B:$H,7,FALSE)</f>
        <v>41.09</v>
      </c>
    </row>
    <row r="447" spans="2:5">
      <c r="B447" s="734" t="s">
        <v>13787</v>
      </c>
      <c r="C447" s="617" t="str">
        <f>VLOOKUP($B447,'COMP. LOG'!$B:$G,2,FALSE)</f>
        <v xml:space="preserve">FORNECIMENTO E INSTALAÇÃO DE PATCH CORD (CABO DE REDE), CATEGORIA 6 (CAT 6) UTP, 23 AWG, 4 PARES, EXTENSAO DE 1,50 M                                                                                                                                                                                                                                                                                                                                                                                                                   </v>
      </c>
      <c r="D447" s="616" t="str">
        <f>VLOOKUP($B447,'COMP. LOG'!$B:$G,6,FALSE)</f>
        <v>UN</v>
      </c>
      <c r="E447" s="618">
        <f>VLOOKUP($B447,'COMP. LOG'!$B:$H,7,FALSE)</f>
        <v>32.82</v>
      </c>
    </row>
    <row r="448" spans="2:5" ht="30">
      <c r="B448" s="734" t="s">
        <v>13788</v>
      </c>
      <c r="C448" s="617" t="str">
        <f>VLOOKUP($B448,'COMP. LOG'!$B:$G,2,FALSE)</f>
        <v xml:space="preserve">FORNECIMENTO E INSTALAÇÃO DE CURVA 90 GRAUS, PARA ELETRODUTO, EM ACO GALVANIZADO ELETROLITICO, DIAMETRO DE 25 MM (1")                                                                                                                                                                                                                                                                                                                                                                                                                  </v>
      </c>
      <c r="D448" s="616" t="str">
        <f>VLOOKUP($B448,'COMP. LOG'!$B:$G,6,FALSE)</f>
        <v>UN</v>
      </c>
      <c r="E448" s="618">
        <f>VLOOKUP($B448,'COMP. LOG'!$B:$H,7,FALSE)</f>
        <v>19.829999999999998</v>
      </c>
    </row>
    <row r="449" spans="2:5" ht="30">
      <c r="B449" s="734" t="s">
        <v>13789</v>
      </c>
      <c r="C449" s="617" t="str">
        <f>VLOOKUP($B449,'COMP. LOG'!$B:$G,2,FALSE)</f>
        <v xml:space="preserve">FORNECIMENTO E INSTALAÇÃO DE CURVA 90 GRAUS, PARA ELETRODUTO, EM ACO GALVANIZADO ELETROLITICO, DIAMETRO DE 32 MM (1 1/4")                                                                                                                                                                                                                                                                                                                                                                                                              </v>
      </c>
      <c r="D449" s="616" t="str">
        <f>VLOOKUP($B449,'COMP. LOG'!$B:$G,6,FALSE)</f>
        <v>UN</v>
      </c>
      <c r="E449" s="618">
        <f>VLOOKUP($B449,'COMP. LOG'!$B:$H,7,FALSE)</f>
        <v>28.36</v>
      </c>
    </row>
    <row r="450" spans="2:5">
      <c r="B450" s="734" t="s">
        <v>13790</v>
      </c>
      <c r="C450" s="617" t="str">
        <f>VLOOKUP($B450,'COMP. LOG'!$B:$G,2,FALSE)</f>
        <v xml:space="preserve">FORNECIMENTO E INSTALAÇÃO DE LUVA PARA ELETRODUTO, EM ACO GALVANIZADO ELETROLITICO, DIAMETRO DE 25 MM (1")                                                                                                                                                                                                                                                                                                                                                                                                                             </v>
      </c>
      <c r="D450" s="616" t="str">
        <f>VLOOKUP($B450,'COMP. LOG'!$B:$G,6,FALSE)</f>
        <v>UN</v>
      </c>
      <c r="E450" s="618">
        <f>VLOOKUP($B450,'COMP. LOG'!$B:$H,7,FALSE)</f>
        <v>8.51</v>
      </c>
    </row>
    <row r="451" spans="2:5">
      <c r="B451" s="734" t="s">
        <v>13791</v>
      </c>
      <c r="C451" s="617" t="str">
        <f>VLOOKUP($B451,'COMP. LOG'!$B:$G,2,FALSE)</f>
        <v xml:space="preserve">FORNECIMENTO E INSTALAÇÃO DE LUVA PARA ELETRODUTO, EM ACO GALVANIZADO ELETROLITICO, DIAMETRO DE 32 MM (1 1/4")                                                                                                                                                                                                                                                                                                                                                                                                                         </v>
      </c>
      <c r="D451" s="616" t="str">
        <f>VLOOKUP($B451,'COMP. LOG'!$B:$G,6,FALSE)</f>
        <v>UN</v>
      </c>
      <c r="E451" s="618">
        <f>VLOOKUP($B451,'COMP. LOG'!$B:$H,7,FALSE)</f>
        <v>10.18</v>
      </c>
    </row>
    <row r="452" spans="2:5">
      <c r="B452" s="734" t="s">
        <v>13792</v>
      </c>
      <c r="C452" s="617" t="str">
        <f>VLOOKUP($B452,'COMP. LOG'!$B:$G,2,FALSE)</f>
        <v>FORNECIMENTO E INSTALAÇÃO DE  SAÍDA HORIZONTAL PARA ELETRODUTO 1"</v>
      </c>
      <c r="D452" s="616" t="str">
        <f>VLOOKUP($B452,'COMP. LOG'!$B:$G,6,FALSE)</f>
        <v>UN</v>
      </c>
      <c r="E452" s="618">
        <f>VLOOKUP($B452,'COMP. LOG'!$B:$H,7,FALSE)</f>
        <v>9.65</v>
      </c>
    </row>
    <row r="453" spans="2:5">
      <c r="B453" s="734" t="s">
        <v>13793</v>
      </c>
      <c r="C453" s="617" t="str">
        <f>VLOOKUP($B453,'COMP. LOG'!$B:$G,2,FALSE)</f>
        <v>FORNECIMENTO E INSTALAÇÃO DE  SAÍDA HORIZONTAL PARA ELETRODUTO 3/4"</v>
      </c>
      <c r="D453" s="616" t="str">
        <f>VLOOKUP($B453,'COMP. LOG'!$B:$G,6,FALSE)</f>
        <v>UN</v>
      </c>
      <c r="E453" s="618">
        <f>VLOOKUP($B453,'COMP. LOG'!$B:$H,7,FALSE)</f>
        <v>8.1000000000000014</v>
      </c>
    </row>
    <row r="454" spans="2:5">
      <c r="B454" s="734" t="s">
        <v>13794</v>
      </c>
      <c r="C454" s="617" t="str">
        <f>VLOOKUP($B454,'COMP. LOG'!$B:$G,2,FALSE)</f>
        <v>FORNECIMENTO E INSTALAÇÃO DE  SAÍDA HORIZONTAL PARA ELETRODUTO 1.1/4"</v>
      </c>
      <c r="D454" s="616" t="str">
        <f>VLOOKUP($B454,'COMP. LOG'!$B:$G,6,FALSE)</f>
        <v>UN</v>
      </c>
      <c r="E454" s="618">
        <f>VLOOKUP($B454,'COMP. LOG'!$B:$H,7,FALSE)</f>
        <v>9.73</v>
      </c>
    </row>
    <row r="455" spans="2:5" ht="30">
      <c r="B455" s="734" t="s">
        <v>13795</v>
      </c>
      <c r="C455" s="617" t="str">
        <f>VLOOKUP($B455,'COMP. LOG'!$B:$G,2,FALSE)</f>
        <v>FORNECIMENTO E INSTALAÇÃO DE MINI RACK DE PAREDE COM UNIDADE DE VENTILAÇÃO, COM 12U PARA INSTALAÇÃO DE EQUIPAMENTOS</v>
      </c>
      <c r="D455" s="616" t="str">
        <f>VLOOKUP($B455,'COMP. LOG'!$B:$G,6,FALSE)</f>
        <v>UN</v>
      </c>
      <c r="E455" s="618">
        <f>VLOOKUP($B455,'COMP. LOG'!$B:$H,7,FALSE)</f>
        <v>729.97</v>
      </c>
    </row>
    <row r="456" spans="2:5" ht="30">
      <c r="B456" s="734" t="s">
        <v>13796</v>
      </c>
      <c r="C456" s="617" t="str">
        <f>VLOOKUP($B456,'COMP. LOG'!$B:$G,2,FALSE)</f>
        <v xml:space="preserve">FORNECIMENTO E INSTALAÇÃO DE SWITCH COM 16 PORTAS DE 10/100/1000Mbps E CAPACIDADE DE ROUTING/SWITCHING DE 10 Gbps. SUPORTE AOS PROTOCOLOS  IEEE 802.3 10BASE-T, IEEE 802.3u 100BASE-TX e IEEE 802.3ab 1000BASE-T. </v>
      </c>
      <c r="D456" s="616" t="str">
        <f>VLOOKUP($B456,'COMP. LOG'!$B:$G,6,FALSE)</f>
        <v>UN</v>
      </c>
      <c r="E456" s="618">
        <f>VLOOKUP($B456,'COMP. LOG'!$B:$H,7,FALSE)</f>
        <v>1690.56</v>
      </c>
    </row>
    <row r="457" spans="2:5">
      <c r="B457" s="734" t="s">
        <v>13797</v>
      </c>
      <c r="C457" s="617" t="str">
        <f>VLOOKUP($B457,'COMP. LOG'!$B:$G,2,FALSE)</f>
        <v>FORNECIMENTO E INSTALAÇÃO DE SWITCH 24P 10/100/1000</v>
      </c>
      <c r="D457" s="616" t="str">
        <f>VLOOKUP($B457,'COMP. LOG'!$B:$G,6,FALSE)</f>
        <v>UN</v>
      </c>
      <c r="E457" s="618">
        <f>VLOOKUP($B457,'COMP. LOG'!$B:$H,7,FALSE)</f>
        <v>2159.52</v>
      </c>
    </row>
    <row r="458" spans="2:5">
      <c r="B458" s="734" t="s">
        <v>13798</v>
      </c>
      <c r="C458" s="617" t="str">
        <f>VLOOKUP($B458,'COMP. LOG'!$B:$G,2,FALSE)</f>
        <v>FORNECIMENTO E INSTALAÇÃO DE SWITCH 48P 10/100/1000</v>
      </c>
      <c r="D458" s="616" t="str">
        <f>VLOOKUP($B458,'COMP. LOG'!$B:$G,6,FALSE)</f>
        <v>UN</v>
      </c>
      <c r="E458" s="618">
        <f>VLOOKUP($B458,'COMP. LOG'!$B:$H,7,FALSE)</f>
        <v>4677.22</v>
      </c>
    </row>
    <row r="459" spans="2:5">
      <c r="B459" s="734" t="s">
        <v>13799</v>
      </c>
      <c r="C459" s="617" t="str">
        <f>VLOOKUP($B459,'COMP. LOG'!$B:$G,2,FALSE)</f>
        <v>FORNECIMENTO E INSTALAÇÃO DE VOICE PAINEL 50 POSIÇÕES RJ45, CAT 6.</v>
      </c>
      <c r="D459" s="616" t="str">
        <f>VLOOKUP($B459,'COMP. LOG'!$B:$G,6,FALSE)</f>
        <v>UN</v>
      </c>
      <c r="E459" s="618">
        <f>VLOOKUP($B459,'COMP. LOG'!$B:$H,7,FALSE)</f>
        <v>526.66999999999996</v>
      </c>
    </row>
    <row r="460" spans="2:5">
      <c r="B460" s="734" t="s">
        <v>13800</v>
      </c>
      <c r="C460" s="617" t="str">
        <f>VLOOKUP($B460,'COMP. LOG'!$B:$G,2,FALSE)</f>
        <v>FORNECIMENTO E INSTALAÇÃO DE VOICE PAINEL 30 POSIÇÕES RJ45, CAT 6.</v>
      </c>
      <c r="D460" s="616" t="str">
        <f>VLOOKUP($B460,'COMP. LOG'!$B:$G,6,FALSE)</f>
        <v>UN</v>
      </c>
      <c r="E460" s="618">
        <f>VLOOKUP($B460,'COMP. LOG'!$B:$H,7,FALSE)</f>
        <v>452.53000000000003</v>
      </c>
    </row>
    <row r="461" spans="2:5">
      <c r="B461" s="734" t="s">
        <v>13801</v>
      </c>
      <c r="C461" s="617" t="str">
        <f>VLOOKUP($B461,'COMP. LOG'!$B:$G,2,FALSE)</f>
        <v>FORNECIMENTO E INSTALAÇÃO DE CENTRAL TELEFONICA PABX, CAPACIDADE DE 2 LINHAS E 8 RAMAIS</v>
      </c>
      <c r="D461" s="616" t="str">
        <f>VLOOKUP($B461,'COMP. LOG'!$B:$G,6,FALSE)</f>
        <v>UN</v>
      </c>
      <c r="E461" s="618">
        <f>VLOOKUP($B461,'COMP. LOG'!$B:$H,7,FALSE)</f>
        <v>1726.7</v>
      </c>
    </row>
    <row r="462" spans="2:5">
      <c r="B462" s="734" t="s">
        <v>13802</v>
      </c>
      <c r="C462" s="617" t="str">
        <f>VLOOKUP($B462,'COMP. LOG'!$B:$G,2,FALSE)</f>
        <v>FORNECIMENTO E INSTALAÇÃO DE GUIA DE CABOS HORIZONTAIS FECHADOS</v>
      </c>
      <c r="D462" s="616" t="str">
        <f>VLOOKUP($B462,'COMP. LOG'!$B:$G,6,FALSE)</f>
        <v>UN</v>
      </c>
      <c r="E462" s="618">
        <f>VLOOKUP($B462,'COMP. LOG'!$B:$H,7,FALSE)</f>
        <v>35.76</v>
      </c>
    </row>
    <row r="463" spans="2:5">
      <c r="B463" s="734" t="s">
        <v>13803</v>
      </c>
      <c r="C463" s="617" t="str">
        <f>VLOOKUP($B463,'COMP. LOG'!$B:$G,2,FALSE)</f>
        <v>FORNECIMENTO E INSTALAÇÃO DE RÉGUA DE TOMADAS PARA RACK - 8 TOMADAS 2P+T 10A - 1U</v>
      </c>
      <c r="D463" s="616" t="str">
        <f>VLOOKUP($B463,'COMP. LOG'!$B:$G,6,FALSE)</f>
        <v>UN</v>
      </c>
      <c r="E463" s="618">
        <f>VLOOKUP($B463,'COMP. LOG'!$B:$H,7,FALSE)</f>
        <v>128.66</v>
      </c>
    </row>
    <row r="464" spans="2:5" ht="30">
      <c r="B464" s="734" t="s">
        <v>13804</v>
      </c>
      <c r="C464" s="617" t="str">
        <f>VLOOKUP($B464,'COMP. LOG'!$B:$G,2,FALSE)</f>
        <v>FORNECIMENTO E INSTALAÇÃO DE TOMADA RJ45 DUPLA COM CAIXA DE PASSAGEM 4x2" PARA EMBUTIR NO PISO, COM ESPELHO CROMADO</v>
      </c>
      <c r="D464" s="616" t="str">
        <f>VLOOKUP($B464,'COMP. LOG'!$B:$G,6,FALSE)</f>
        <v>UN</v>
      </c>
      <c r="E464" s="618">
        <f>VLOOKUP($B464,'COMP. LOG'!$B:$H,7,FALSE)</f>
        <v>65.22</v>
      </c>
    </row>
    <row r="465" spans="2:5">
      <c r="B465" s="734" t="s">
        <v>13805</v>
      </c>
      <c r="C465" s="617" t="str">
        <f>VLOOKUP($B465,'COMP. LOG'!$B:$G,2,FALSE)</f>
        <v xml:space="preserve">FORNECIMENTO E INSTALAÇÃO DE CONECTOR MACHO RJ 45, CATEGORIA 6 (CAT 6) PARA CABOS                                                                                                                                                                                                                                                                                                                                                                                                                                                      </v>
      </c>
      <c r="D465" s="616" t="str">
        <f>VLOOKUP($B465,'COMP. LOG'!$B:$G,6,FALSE)</f>
        <v>UN</v>
      </c>
      <c r="E465" s="618">
        <f>VLOOKUP($B465,'COMP. LOG'!$B:$H,7,FALSE)</f>
        <v>7.98</v>
      </c>
    </row>
    <row r="466" spans="2:5">
      <c r="B466" s="734" t="s">
        <v>13806</v>
      </c>
      <c r="C466" s="617" t="str">
        <f>VLOOKUP($B466,'COMP. LOG'!$B:$G,2,FALSE)</f>
        <v xml:space="preserve">FORNECIMENTO E INSTALAÇÃO DE PERFILADO PERFURADO SIMPLES 38 X 38 MM, CHAPA 22                                                                                                                                                                                                                                                                                                                                                                                                                                                          </v>
      </c>
      <c r="D466" s="616" t="str">
        <f>VLOOKUP($B466,'COMP. LOG'!$B:$G,6,FALSE)</f>
        <v>UN</v>
      </c>
      <c r="E466" s="618">
        <f>VLOOKUP($B466,'COMP. LOG'!$B:$H,7,FALSE)</f>
        <v>67.84</v>
      </c>
    </row>
    <row r="467" spans="2:5">
      <c r="B467" s="734" t="s">
        <v>13807</v>
      </c>
      <c r="C467" s="617" t="str">
        <f>VLOOKUP($B467,'COMP. LOG'!$B:$G,2,FALSE)</f>
        <v xml:space="preserve">FORNECIMENTO E INSTALAÇÃO DE PERFILADO PERFURADO DUPLO 38 X 76 MM, CHAPA 22                                                                                                                                                                                                                                                                                                                                                                                                                                                            </v>
      </c>
      <c r="D467" s="616" t="str">
        <f>VLOOKUP($B467,'COMP. LOG'!$B:$G,6,FALSE)</f>
        <v>UN</v>
      </c>
      <c r="E467" s="618">
        <f>VLOOKUP($B467,'COMP. LOG'!$B:$H,7,FALSE)</f>
        <v>99.64</v>
      </c>
    </row>
    <row r="468" spans="2:5">
      <c r="B468" s="734" t="s">
        <v>13808</v>
      </c>
      <c r="C468" s="617" t="str">
        <f>VLOOKUP($B468,'COMP. LOG'!$B:$G,2,FALSE)</f>
        <v>FORNECIMENTO E INSTALAÇÃO DE ELETROCALHA PERFURADA GALVANIZADA DE 50 X 50 X 3000mm</v>
      </c>
      <c r="D468" s="616" t="str">
        <f>VLOOKUP($B468,'COMP. LOG'!$B:$G,6,FALSE)</f>
        <v>M</v>
      </c>
      <c r="E468" s="618">
        <f>VLOOKUP($B468,'COMP. LOG'!$B:$H,7,FALSE)</f>
        <v>27.81</v>
      </c>
    </row>
    <row r="469" spans="2:5">
      <c r="B469" s="734" t="s">
        <v>13809</v>
      </c>
      <c r="C469" s="617" t="str">
        <f>VLOOKUP($B469,'COMP. LOG'!$B:$G,2,FALSE)</f>
        <v>FORNECIMENTO E INSTALAÇÃO DE EMENDA INTERNA PARA ELETROCALHA PERFURADA GALVANIZADA DE 50 X 50 X 3000mm</v>
      </c>
      <c r="D469" s="616" t="str">
        <f>VLOOKUP($B469,'COMP. LOG'!$B:$G,6,FALSE)</f>
        <v>UN</v>
      </c>
      <c r="E469" s="618">
        <f>VLOOKUP($B469,'COMP. LOG'!$B:$H,7,FALSE)</f>
        <v>13.759999999999998</v>
      </c>
    </row>
    <row r="470" spans="2:5">
      <c r="B470" s="734" t="s">
        <v>13810</v>
      </c>
      <c r="C470" s="617" t="str">
        <f>VLOOKUP($B470,'COMP. LOG'!$B:$G,2,FALSE)</f>
        <v>FORNECIMENTO E INSTALAÇÃO DE CURVA HORIZONTAL RETO 90 º PARA ELETROCALHA #50 X 50MM</v>
      </c>
      <c r="D470" s="616" t="str">
        <f>VLOOKUP($B470,'COMP. LOG'!$B:$G,6,FALSE)</f>
        <v>UN</v>
      </c>
      <c r="E470" s="618">
        <f>VLOOKUP($B470,'COMP. LOG'!$B:$H,7,FALSE)</f>
        <v>36.07</v>
      </c>
    </row>
    <row r="471" spans="2:5">
      <c r="B471" s="734" t="s">
        <v>13811</v>
      </c>
      <c r="C471" s="617" t="str">
        <f>VLOOKUP($B471,'COMP. LOG'!$B:$G,2,FALSE)</f>
        <v>FORNECIMENTO E INSTALAÇÃO DE SUSPENSÃO VERTICAL PARA ELETROCALHA PERFURADA 50 X 50 mm</v>
      </c>
      <c r="D471" s="616" t="str">
        <f>VLOOKUP($B471,'COMP. LOG'!$B:$G,6,FALSE)</f>
        <v>UN</v>
      </c>
      <c r="E471" s="618">
        <f>VLOOKUP($B471,'COMP. LOG'!$B:$H,7,FALSE)</f>
        <v>14.969999999999999</v>
      </c>
    </row>
    <row r="472" spans="2:5">
      <c r="B472" s="734" t="s">
        <v>13812</v>
      </c>
      <c r="C472" s="617" t="str">
        <f>VLOOKUP($B472,'COMP. LOG'!$B:$G,2,FALSE)</f>
        <v>FORNECIMENTO E INSTALAÇÃO DE T HORIZONTAL PARA ELETROCALHA PERFURADA GALVANIZADA DE 50 X 50 X 3000mm</v>
      </c>
      <c r="D472" s="616" t="str">
        <f>VLOOKUP($B472,'COMP. LOG'!$B:$G,6,FALSE)</f>
        <v>UN</v>
      </c>
      <c r="E472" s="618">
        <f>VLOOKUP($B472,'COMP. LOG'!$B:$H,7,FALSE)</f>
        <v>35.340000000000003</v>
      </c>
    </row>
    <row r="473" spans="2:5">
      <c r="B473" s="734" t="s">
        <v>13813</v>
      </c>
      <c r="C473" s="617" t="str">
        <f>VLOOKUP($B473,'COMP. LOG'!$B:$G,2,FALSE)</f>
        <v>FORNECIMENTO E INSTALAÇÃO DE T VERTICAL PARA ELETROCALHA PERFURADA GALVANIZADA DE #50 X 50MM</v>
      </c>
      <c r="D473" s="616" t="str">
        <f>VLOOKUP($B473,'COMP. LOG'!$B:$G,6,FALSE)</f>
        <v>UN</v>
      </c>
      <c r="E473" s="618">
        <f>VLOOKUP($B473,'COMP. LOG'!$B:$H,7,FALSE)</f>
        <v>38.93</v>
      </c>
    </row>
    <row r="474" spans="2:5">
      <c r="B474" s="734" t="s">
        <v>13814</v>
      </c>
      <c r="C474" s="617" t="str">
        <f>VLOOKUP($B474,'COMP. LOG'!$B:$G,2,FALSE)</f>
        <v>FORNECIMENTO E INSTALAÇÃO DE TERMINAL DE FECHAMENTO PARA ELETROCALHA PERFURADA GALVANIZADA DE #50 X 50MM</v>
      </c>
      <c r="D474" s="616" t="str">
        <f>VLOOKUP($B474,'COMP. LOG'!$B:$G,6,FALSE)</f>
        <v>UN</v>
      </c>
      <c r="E474" s="618">
        <f>VLOOKUP($B474,'COMP. LOG'!$B:$H,7,FALSE)</f>
        <v>6.95</v>
      </c>
    </row>
    <row r="475" spans="2:5">
      <c r="B475" s="734" t="s">
        <v>13815</v>
      </c>
      <c r="C475" s="617" t="str">
        <f>VLOOKUP($B475,'COMP. LOG'!$B:$G,2,FALSE)</f>
        <v>FORNECIMENTO E INSTALAÇÃO DE CURVA DE INVERSÃO PARA ELETROCALHA DE #50 X 50MM</v>
      </c>
      <c r="D475" s="616" t="str">
        <f>VLOOKUP($B475,'COMP. LOG'!$B:$G,6,FALSE)</f>
        <v>UN</v>
      </c>
      <c r="E475" s="618">
        <f>VLOOKUP($B475,'COMP. LOG'!$B:$H,7,FALSE)</f>
        <v>39.090000000000003</v>
      </c>
    </row>
    <row r="476" spans="2:5">
      <c r="B476" s="734" t="s">
        <v>13816</v>
      </c>
      <c r="C476" s="617" t="str">
        <f>VLOOKUP($B476,'COMP. LOG'!$B:$G,2,FALSE)</f>
        <v>FORNECIMENTO E INSTALAÇÃO DE CRUZETA RETA 90º EM "X" PARA ELETROCALHA DE #50 X 50MM</v>
      </c>
      <c r="D476" s="616" t="str">
        <f>VLOOKUP($B476,'COMP. LOG'!$B:$G,6,FALSE)</f>
        <v>UN</v>
      </c>
      <c r="E476" s="618">
        <f>VLOOKUP($B476,'COMP. LOG'!$B:$H,7,FALSE)</f>
        <v>54.08</v>
      </c>
    </row>
    <row r="477" spans="2:5">
      <c r="B477" s="734" t="s">
        <v>13817</v>
      </c>
      <c r="C477" s="617" t="str">
        <f>VLOOKUP($B477,'COMP. LOG'!$B:$G,2,FALSE)</f>
        <v>FORNECIMENTO E INSTALAÇÃO DE ELETROCALHA PERFURADA GALVANIZADA DE #100 X 50mm</v>
      </c>
      <c r="D477" s="616" t="str">
        <f>VLOOKUP($B477,'COMP. LOG'!$B:$G,6,FALSE)</f>
        <v>M</v>
      </c>
      <c r="E477" s="618">
        <f>VLOOKUP($B477,'COMP. LOG'!$B:$H,7,FALSE)</f>
        <v>40.9</v>
      </c>
    </row>
    <row r="478" spans="2:5">
      <c r="B478" s="734" t="s">
        <v>13818</v>
      </c>
      <c r="C478" s="617" t="str">
        <f>VLOOKUP($B478,'COMP. LOG'!$B:$G,2,FALSE)</f>
        <v>FORNECIMENTO E INSTALAÇÃO DE Tê HORIZONTAL PARA ELETROCALHA PERFURADA GALVANIZADA DE #100 X 50MM</v>
      </c>
      <c r="D478" s="616" t="str">
        <f>VLOOKUP($B478,'COMP. LOG'!$B:$G,6,FALSE)</f>
        <v>UN</v>
      </c>
      <c r="E478" s="618">
        <f>VLOOKUP($B478,'COMP. LOG'!$B:$H,7,FALSE)</f>
        <v>54.46</v>
      </c>
    </row>
    <row r="479" spans="2:5">
      <c r="B479" s="734" t="s">
        <v>13819</v>
      </c>
      <c r="C479" s="617" t="str">
        <f>VLOOKUP($B479,'COMP. LOG'!$B:$G,2,FALSE)</f>
        <v>FORNECIMENTO E INSTALAÇÃO DE Tê VERTICAL PARA ELETROCALHA PERFURADA GALVANIZADA DE 100 X 50mm</v>
      </c>
      <c r="D479" s="616" t="str">
        <f>VLOOKUP($B479,'COMP. LOG'!$B:$G,6,FALSE)</f>
        <v>UN</v>
      </c>
      <c r="E479" s="618">
        <f>VLOOKUP($B479,'COMP. LOG'!$B:$H,7,FALSE)</f>
        <v>51.65</v>
      </c>
    </row>
    <row r="480" spans="2:5">
      <c r="B480" s="734" t="s">
        <v>13820</v>
      </c>
      <c r="C480" s="617" t="str">
        <f>VLOOKUP($B480,'COMP. LOG'!$B:$G,2,FALSE)</f>
        <v>FORNECIMENTO E INSTALAÇÃO DE EMENDA INTERNA PARA ELETROCLHA PERFURADA GALVANIZADA DE 100 X 50 X 3000mm</v>
      </c>
      <c r="D480" s="616" t="str">
        <f>VLOOKUP($B480,'COMP. LOG'!$B:$G,6,FALSE)</f>
        <v>UN</v>
      </c>
      <c r="E480" s="618">
        <f>VLOOKUP($B480,'COMP. LOG'!$B:$H,7,FALSE)</f>
        <v>15.89</v>
      </c>
    </row>
    <row r="481" spans="2:5">
      <c r="B481" s="734" t="s">
        <v>13821</v>
      </c>
      <c r="C481" s="617" t="str">
        <f>VLOOKUP($B481,'COMP. LOG'!$B:$G,2,FALSE)</f>
        <v>FORNECIMENTO E INSTALAÇÃO DE TERMINAL DE FECHAMENTO PARA ELETROCALHA PERFURADA GALVANIZADA DE 100 X 50 3000mm</v>
      </c>
      <c r="D481" s="616" t="str">
        <f>VLOOKUP($B481,'COMP. LOG'!$B:$G,6,FALSE)</f>
        <v>UN</v>
      </c>
      <c r="E481" s="618">
        <f>VLOOKUP($B481,'COMP. LOG'!$B:$H,7,FALSE)</f>
        <v>23.189999999999998</v>
      </c>
    </row>
    <row r="482" spans="2:5">
      <c r="B482" s="734" t="s">
        <v>13822</v>
      </c>
      <c r="C482" s="617" t="str">
        <f>VLOOKUP($B482,'COMP. LOG'!$B:$G,2,FALSE)</f>
        <v>FORNECIMENTO E INSTALAÇÃO DE SUSPENSÃO VERTICAL PARA ELETROCALHA PERFURADA #100 X 50 mm</v>
      </c>
      <c r="D482" s="616" t="str">
        <f>VLOOKUP($B482,'COMP. LOG'!$B:$G,6,FALSE)</f>
        <v>UN</v>
      </c>
      <c r="E482" s="618">
        <f>VLOOKUP($B482,'COMP. LOG'!$B:$H,7,FALSE)</f>
        <v>14.079999999999998</v>
      </c>
    </row>
    <row r="483" spans="2:5">
      <c r="B483" s="734" t="s">
        <v>13823</v>
      </c>
      <c r="C483" s="617" t="str">
        <f>VLOOKUP($B483,'COMP. LOG'!$B:$G,2,FALSE)</f>
        <v>FORNECIMENTO E INSTALAÇÃO DE CURVA HORIZONTAL  90º PARA ELETROCALHA PERFURADA #100 X 50MM</v>
      </c>
      <c r="D483" s="616" t="str">
        <f>VLOOKUP($B483,'COMP. LOG'!$B:$G,6,FALSE)</f>
        <v>UN</v>
      </c>
      <c r="E483" s="618">
        <f>VLOOKUP($B483,'COMP. LOG'!$B:$H,7,FALSE)</f>
        <v>39.31</v>
      </c>
    </row>
    <row r="484" spans="2:5">
      <c r="B484" s="734" t="s">
        <v>13824</v>
      </c>
      <c r="C484" s="617" t="str">
        <f>VLOOKUP($B484,'COMP. LOG'!$B:$G,2,FALSE)</f>
        <v>FORNECIMENTO E INSTALAÇÃO DE CURVA DE INVERSÃO PARA ELETROCALHA DE #100 X 50MM</v>
      </c>
      <c r="D484" s="616" t="str">
        <f>VLOOKUP($B484,'COMP. LOG'!$B:$G,6,FALSE)</f>
        <v>UN</v>
      </c>
      <c r="E484" s="618">
        <f>VLOOKUP($B484,'COMP. LOG'!$B:$H,7,FALSE)</f>
        <v>42.269999999999996</v>
      </c>
    </row>
    <row r="485" spans="2:5">
      <c r="B485" s="734" t="s">
        <v>13825</v>
      </c>
      <c r="C485" s="617" t="str">
        <f>VLOOKUP($B485,'COMP. LOG'!$B:$G,2,FALSE)</f>
        <v>FORNECIMENTO E INSTALAÇÃO DE CRUZETA RETA 90º EM "X" PARA ELETROCALHA DE #100 X 50MM</v>
      </c>
      <c r="D485" s="616" t="str">
        <f>VLOOKUP($B485,'COMP. LOG'!$B:$G,6,FALSE)</f>
        <v>UN</v>
      </c>
      <c r="E485" s="618">
        <f>VLOOKUP($B485,'COMP. LOG'!$B:$H,7,FALSE)</f>
        <v>54.08</v>
      </c>
    </row>
    <row r="486" spans="2:5">
      <c r="B486" s="734" t="s">
        <v>13826</v>
      </c>
      <c r="C486" s="617" t="str">
        <f>VLOOKUP($B486,'COMP. LOG'!$B:$G,2,FALSE)</f>
        <v>FORNECIMENTO E INSTALAÇÃO DE REDUÇÃO CONCENTRICA PARA ELETROCALHA DE 100MM PARA 50MM</v>
      </c>
      <c r="D486" s="616" t="str">
        <f>VLOOKUP($B486,'COMP. LOG'!$B:$G,6,FALSE)</f>
        <v>UN</v>
      </c>
      <c r="E486" s="618">
        <f>VLOOKUP($B486,'COMP. LOG'!$B:$H,7,FALSE)</f>
        <v>25.25</v>
      </c>
    </row>
    <row r="487" spans="2:5">
      <c r="B487" s="734" t="s">
        <v>13827</v>
      </c>
      <c r="C487" s="617" t="str">
        <f>VLOOKUP($B487,'COMP. LOG'!$B:$G,2,FALSE)</f>
        <v>FORNECIMENTO E INSTALAÇÃO DE ELETROCALHA PERFURADA GALVANIZADA DE #200 X 100MM</v>
      </c>
      <c r="D487" s="616" t="str">
        <f>VLOOKUP($B487,'COMP. LOG'!$B:$G,6,FALSE)</f>
        <v>M</v>
      </c>
      <c r="E487" s="618">
        <f>VLOOKUP($B487,'COMP. LOG'!$B:$H,7,FALSE)</f>
        <v>51.790000000000006</v>
      </c>
    </row>
    <row r="488" spans="2:5">
      <c r="B488" s="734" t="s">
        <v>13828</v>
      </c>
      <c r="C488" s="617" t="str">
        <f>VLOOKUP($B488,'COMP. LOG'!$B:$G,2,FALSE)</f>
        <v>FORNECIMENTO E INSTALAÇÃO DE EMENDA INTERNA PARA ELETROCALHA PERFURADA GALVANIZADA DE 200 X 100MM</v>
      </c>
      <c r="D488" s="616" t="str">
        <f>VLOOKUP($B488,'COMP. LOG'!$B:$G,6,FALSE)</f>
        <v>UN</v>
      </c>
      <c r="E488" s="618">
        <f>VLOOKUP($B488,'COMP. LOG'!$B:$H,7,FALSE)</f>
        <v>21.69</v>
      </c>
    </row>
    <row r="489" spans="2:5">
      <c r="B489" s="734" t="s">
        <v>13829</v>
      </c>
      <c r="C489" s="617" t="str">
        <f>VLOOKUP($B489,'COMP. LOG'!$B:$G,2,FALSE)</f>
        <v>FORNECIMENTO E INSTALAÇÃO DE CURVA HORIZONTAL #200 X 100MM PARA ELETROCALHA METALICA, COM ÂNGULO 90º</v>
      </c>
      <c r="D489" s="616" t="str">
        <f>VLOOKUP($B489,'COMP. LOG'!$B:$G,6,FALSE)</f>
        <v>UN</v>
      </c>
      <c r="E489" s="618">
        <f>VLOOKUP($B489,'COMP. LOG'!$B:$H,7,FALSE)</f>
        <v>77.95</v>
      </c>
    </row>
    <row r="490" spans="2:5">
      <c r="B490" s="734" t="s">
        <v>13830</v>
      </c>
      <c r="C490" s="617" t="str">
        <f>VLOOKUP($B490,'COMP. LOG'!$B:$G,2,FALSE)</f>
        <v>FORNECIMENTO E INSTALAÇÃO DE SUPORTE VERTICAL 200 X 100 MM PARA FIXAÇÃO DE ELETROCALHA METÁLICA</v>
      </c>
      <c r="D490" s="616" t="str">
        <f>VLOOKUP($B490,'COMP. LOG'!$B:$G,6,FALSE)</f>
        <v>UN</v>
      </c>
      <c r="E490" s="618">
        <f>VLOOKUP($B490,'COMP. LOG'!$B:$H,7,FALSE)</f>
        <v>21.999999999999996</v>
      </c>
    </row>
    <row r="491" spans="2:5">
      <c r="B491" s="734" t="s">
        <v>13831</v>
      </c>
      <c r="C491" s="617" t="str">
        <f>VLOOKUP($B491,'COMP. LOG'!$B:$G,2,FALSE)</f>
        <v>FORNECIMENTO E INSTALAÇÃO DE REDUÇÃO CONCÊNTRICA PARA ELETROCALHA DE #200MM PARA #100MM</v>
      </c>
      <c r="D491" s="616" t="str">
        <f>VLOOKUP($B491,'COMP. LOG'!$B:$G,6,FALSE)</f>
        <v>UN</v>
      </c>
      <c r="E491" s="618">
        <f>VLOOKUP($B491,'COMP. LOG'!$B:$H,7,FALSE)</f>
        <v>38.72</v>
      </c>
    </row>
    <row r="492" spans="2:5">
      <c r="B492" s="734" t="s">
        <v>13832</v>
      </c>
      <c r="C492" s="617" t="str">
        <f>VLOOKUP($B492,'COMP. LOG'!$B:$G,2,FALSE)</f>
        <v>FORNECIMENTO E INSTALAÇÃO DE TÊ HORIZONTAL 200 X 100 MM PARA ELETROCALHA METÁLICA</v>
      </c>
      <c r="D492" s="616" t="str">
        <f>VLOOKUP($B492,'COMP. LOG'!$B:$G,6,FALSE)</f>
        <v>UN</v>
      </c>
      <c r="E492" s="618">
        <f>VLOOKUP($B492,'COMP. LOG'!$B:$H,7,FALSE)</f>
        <v>101.29</v>
      </c>
    </row>
    <row r="493" spans="2:5">
      <c r="B493" s="734" t="s">
        <v>13833</v>
      </c>
      <c r="C493" s="617" t="str">
        <f>VLOOKUP($B493,'COMP. LOG'!$B:$G,2,FALSE)</f>
        <v>FORNECIMENTO E INSTALAÇÃO DE CURVA DE INVERSÃO 200 X 100 MM PARA ELETROCALHA METÁLICA</v>
      </c>
      <c r="D493" s="616" t="str">
        <f>VLOOKUP($B493,'COMP. LOG'!$B:$G,6,FALSE)</f>
        <v>UN</v>
      </c>
      <c r="E493" s="618">
        <f>VLOOKUP($B493,'COMP. LOG'!$B:$H,7,FALSE)</f>
        <v>62.47</v>
      </c>
    </row>
    <row r="494" spans="2:5">
      <c r="B494" s="734" t="s">
        <v>13834</v>
      </c>
      <c r="C494" s="617" t="str">
        <f>VLOOKUP($B494,'COMP. LOG'!$B:$G,2,FALSE)</f>
        <v>FORNECIMENTO E INSTALAÇÃO DE CRUZETA 200 X 100 MM PARA ELETROCALHA METÁLICA LISA ZINCADA</v>
      </c>
      <c r="D494" s="616" t="str">
        <f>VLOOKUP($B494,'COMP. LOG'!$B:$G,6,FALSE)</f>
        <v>UN</v>
      </c>
      <c r="E494" s="618">
        <f>VLOOKUP($B494,'COMP. LOG'!$B:$H,7,FALSE)</f>
        <v>104.14</v>
      </c>
    </row>
    <row r="495" spans="2:5">
      <c r="B495" s="734" t="s">
        <v>13835</v>
      </c>
      <c r="C495" s="617" t="str">
        <f>VLOOKUP($B495,'COMP. LOG'!$B:$G,2,FALSE)</f>
        <v xml:space="preserve">FORNECIMENTO E INSTALAÇÃO DE VERGALHÃO ROSCA TOTAL 5/16'' (TIRANTE) </v>
      </c>
      <c r="D495" s="616" t="str">
        <f>VLOOKUP($B495,'COMP. LOG'!$B:$G,6,FALSE)</f>
        <v>M</v>
      </c>
      <c r="E495" s="618">
        <f>VLOOKUP($B495,'COMP. LOG'!$B:$H,7,FALSE)</f>
        <v>27.43</v>
      </c>
    </row>
    <row r="496" spans="2:5">
      <c r="B496" s="734" t="s">
        <v>13836</v>
      </c>
      <c r="C496" s="617" t="str">
        <f>VLOOKUP($B496,'COMP. LOG'!$B:$G,2,FALSE)</f>
        <v>FORNECIMENTO E INSTALAÇÃO DE CANTONEIRA ZZ</v>
      </c>
      <c r="D496" s="616" t="str">
        <f>VLOOKUP($B496,'COMP. LOG'!$B:$G,6,FALSE)</f>
        <v>UN</v>
      </c>
      <c r="E496" s="618">
        <f>VLOOKUP($B496,'COMP. LOG'!$B:$H,7,FALSE)</f>
        <v>9.06</v>
      </c>
    </row>
    <row r="497" spans="2:5" ht="30">
      <c r="B497" s="734" t="s">
        <v>13837</v>
      </c>
      <c r="C497" s="617" t="str">
        <f>VLOOKUP($B497,'COMP. LOG'!$B:$G,2,FALSE)</f>
        <v>FORNECIMENTO E INSTALAÇÃO DE TOMADA PARA REDE LÓGICA, RJ45, COM CAIXA DE ALUMINIO SOBREPOR, APARENTE -  PARA SALA DE INFORMATICA</v>
      </c>
      <c r="D497" s="616" t="str">
        <f>VLOOKUP($B497,'COMP. LOG'!$B:$G,6,FALSE)</f>
        <v>CJ</v>
      </c>
      <c r="E497" s="618">
        <f>VLOOKUP($B497,'COMP. LOG'!$B:$H,7,FALSE)</f>
        <v>116.99000000000002</v>
      </c>
    </row>
    <row r="498" spans="2:5">
      <c r="B498" s="734" t="s">
        <v>13838</v>
      </c>
      <c r="C498" s="617" t="e">
        <f>VLOOKUP($B498,'COMP. LOG'!$B:$G,2,FALSE)</f>
        <v>#N/A</v>
      </c>
      <c r="D498" s="616" t="e">
        <f>VLOOKUP($B498,'COMP. LOG'!$B:$G,6,FALSE)</f>
        <v>#N/A</v>
      </c>
      <c r="E498" s="618" t="e">
        <f>VLOOKUP($B498,'COMP. LOG'!$B:$H,7,FALSE)</f>
        <v>#N/A</v>
      </c>
    </row>
    <row r="499" spans="2:5">
      <c r="B499" s="734" t="s">
        <v>13839</v>
      </c>
      <c r="C499" s="617" t="e">
        <f>VLOOKUP($B499,'COMP. LOG'!$B:$G,2,FALSE)</f>
        <v>#N/A</v>
      </c>
      <c r="D499" s="616" t="e">
        <f>VLOOKUP($B499,'COMP. LOG'!$B:$G,6,FALSE)</f>
        <v>#N/A</v>
      </c>
      <c r="E499" s="618" t="e">
        <f>VLOOKUP($B499,'COMP. LOG'!$B:$H,7,FALSE)</f>
        <v>#N/A</v>
      </c>
    </row>
    <row r="500" spans="2:5">
      <c r="B500" s="734" t="s">
        <v>13840</v>
      </c>
      <c r="C500" s="617" t="e">
        <f>VLOOKUP($B500,'COMP. LOG'!$B:$G,2,FALSE)</f>
        <v>#N/A</v>
      </c>
      <c r="D500" s="616" t="e">
        <f>VLOOKUP($B500,'COMP. LOG'!$B:$G,6,FALSE)</f>
        <v>#N/A</v>
      </c>
      <c r="E500" s="618" t="e">
        <f>VLOOKUP($B500,'COMP. LOG'!$B:$H,7,FALSE)</f>
        <v>#N/A</v>
      </c>
    </row>
    <row r="501" spans="2:5">
      <c r="B501" s="734" t="s">
        <v>13841</v>
      </c>
      <c r="C501" s="617" t="e">
        <f>VLOOKUP($B501,'COMP. LOG'!$B:$G,2,FALSE)</f>
        <v>#N/A</v>
      </c>
      <c r="D501" s="616" t="e">
        <f>VLOOKUP($B501,'COMP. LOG'!$B:$G,6,FALSE)</f>
        <v>#N/A</v>
      </c>
      <c r="E501" s="618" t="e">
        <f>VLOOKUP($B501,'COMP. LOG'!$B:$H,7,FALSE)</f>
        <v>#N/A</v>
      </c>
    </row>
    <row r="502" spans="2:5">
      <c r="B502" s="734" t="s">
        <v>13842</v>
      </c>
      <c r="C502" s="617" t="e">
        <f>VLOOKUP($B502,'COMP. LOG'!$B:$G,2,FALSE)</f>
        <v>#N/A</v>
      </c>
      <c r="D502" s="616" t="e">
        <f>VLOOKUP($B502,'COMP. LOG'!$B:$G,6,FALSE)</f>
        <v>#N/A</v>
      </c>
      <c r="E502" s="618" t="e">
        <f>VLOOKUP($B502,'COMP. LOG'!$B:$H,7,FALSE)</f>
        <v>#N/A</v>
      </c>
    </row>
    <row r="503" spans="2:5">
      <c r="B503" s="734" t="s">
        <v>13843</v>
      </c>
      <c r="C503" s="617" t="e">
        <f>VLOOKUP($B503,'COMP. LOG'!$B:$G,2,FALSE)</f>
        <v>#N/A</v>
      </c>
      <c r="D503" s="616" t="e">
        <f>VLOOKUP($B503,'COMP. LOG'!$B:$G,6,FALSE)</f>
        <v>#N/A</v>
      </c>
      <c r="E503" s="618" t="e">
        <f>VLOOKUP($B503,'COMP. LOG'!$B:$H,7,FALSE)</f>
        <v>#N/A</v>
      </c>
    </row>
    <row r="504" spans="2:5">
      <c r="B504" s="734" t="s">
        <v>13844</v>
      </c>
      <c r="C504" s="617" t="e">
        <f>VLOOKUP($B504,'COMP. LOG'!$B:$G,2,FALSE)</f>
        <v>#N/A</v>
      </c>
      <c r="D504" s="616" t="e">
        <f>VLOOKUP($B504,'COMP. LOG'!$B:$G,6,FALSE)</f>
        <v>#N/A</v>
      </c>
      <c r="E504" s="618" t="e">
        <f>VLOOKUP($B504,'COMP. LOG'!$B:$H,7,FALSE)</f>
        <v>#N/A</v>
      </c>
    </row>
    <row r="505" spans="2:5">
      <c r="B505" s="734" t="s">
        <v>13845</v>
      </c>
      <c r="C505" s="617" t="e">
        <f>VLOOKUP($B505,'COMP. LOG'!$B:$G,2,FALSE)</f>
        <v>#N/A</v>
      </c>
      <c r="D505" s="616" t="e">
        <f>VLOOKUP($B505,'COMP. LOG'!$B:$G,6,FALSE)</f>
        <v>#N/A</v>
      </c>
      <c r="E505" s="618" t="e">
        <f>VLOOKUP($B505,'COMP. LOG'!$B:$H,7,FALSE)</f>
        <v>#N/A</v>
      </c>
    </row>
    <row r="506" spans="2:5">
      <c r="B506" s="734" t="s">
        <v>13846</v>
      </c>
      <c r="C506" s="617" t="e">
        <f>VLOOKUP($B506,'COMP. LOG'!$B:$G,2,FALSE)</f>
        <v>#N/A</v>
      </c>
      <c r="D506" s="616" t="e">
        <f>VLOOKUP($B506,'COMP. LOG'!$B:$G,6,FALSE)</f>
        <v>#N/A</v>
      </c>
      <c r="E506" s="618" t="e">
        <f>VLOOKUP($B506,'COMP. LOG'!$B:$H,7,FALSE)</f>
        <v>#N/A</v>
      </c>
    </row>
    <row r="507" spans="2:5">
      <c r="B507" s="734" t="s">
        <v>13847</v>
      </c>
      <c r="C507" s="617" t="e">
        <f>VLOOKUP($B507,'COMP. LOG'!$B:$G,2,FALSE)</f>
        <v>#N/A</v>
      </c>
      <c r="D507" s="616" t="e">
        <f>VLOOKUP($B507,'COMP. LOG'!$B:$G,6,FALSE)</f>
        <v>#N/A</v>
      </c>
      <c r="E507" s="618" t="e">
        <f>VLOOKUP($B507,'COMP. LOG'!$B:$H,7,FALSE)</f>
        <v>#N/A</v>
      </c>
    </row>
    <row r="508" spans="2:5" ht="15.75" thickBot="1">
      <c r="B508" s="677"/>
      <c r="C508" s="733"/>
      <c r="D508" s="677"/>
    </row>
    <row r="509" spans="2:5" ht="16.5" thickBot="1">
      <c r="B509" s="75" t="s">
        <v>13848</v>
      </c>
      <c r="C509" s="76" t="s">
        <v>1885</v>
      </c>
      <c r="D509" s="78" t="s">
        <v>25</v>
      </c>
      <c r="E509" s="79" t="s">
        <v>26</v>
      </c>
    </row>
    <row r="510" spans="2:5" ht="30">
      <c r="B510" s="734" t="s">
        <v>13849</v>
      </c>
      <c r="C510" s="314" t="str">
        <f>VLOOKUP($B510,'COMP. IP'!$B:$G,2,FALSE)</f>
        <v xml:space="preserve">FORNECIMENTO E INSTALAÇÃO DE DISPOSITIVO DPS CLASSE II, 1 POLO, TENSAO MAXIMA DE 175 V, CORRENTE MAXIMA DE *45* KA (TIPO AC)                                                                                                                                                                                                                                                                                                                                                                                                           </v>
      </c>
      <c r="D510" s="734" t="str">
        <f>VLOOKUP($B510,'COMP. IP'!$B:$G,6,FALSE)</f>
        <v>UN</v>
      </c>
      <c r="E510" s="315">
        <f>VLOOKUP($B510,'COMP. IP'!$B:$H,7,FALSE)</f>
        <v>101.3</v>
      </c>
    </row>
    <row r="511" spans="2:5" ht="30">
      <c r="B511" s="734" t="s">
        <v>13850</v>
      </c>
      <c r="C511" s="314" t="str">
        <f>VLOOKUP($B511,'COMP. IP'!$B:$G,2,FALSE)</f>
        <v xml:space="preserve">FORNECIMENTO E INSTALAÇÃO DE ELETRODUTO/DUTO PEAD FLEXIVEL PAREDE SIMPLES, CORRUGACAO HELICOIDAL, COR PRETA, SEM ROSCA, DE 1 1/2", CRC 680 N, PARA CABEAMENTO SUBTERRANEO (NBR 15715)                                                                                                                                                                                                                                                                                                                                                  </v>
      </c>
      <c r="D511" s="734" t="str">
        <f>VLOOKUP($B511,'COMP. IP'!$B:$G,6,FALSE)</f>
        <v xml:space="preserve">M     </v>
      </c>
      <c r="E511" s="315">
        <f>VLOOKUP($B511,'COMP. IP'!$B:$H,7,FALSE)</f>
        <v>13.05</v>
      </c>
    </row>
    <row r="512" spans="2:5" ht="30">
      <c r="B512" s="734" t="s">
        <v>13851</v>
      </c>
      <c r="C512" s="314" t="str">
        <f>VLOOKUP($B512,'COMP. IP'!$B:$G,2,FALSE)</f>
        <v xml:space="preserve">FORNECIMENTO E INSTALAÇÃO DE ELETRODUTO/DUTO PEAD FLEXIVEL PAREDE SIMPLES, CORRUGACAO HELICOIDAL, COR PRETA, SEM ROSCA, DE 2", CRC 680 N, PARA CABEAMENTO SUBTERRANEO (NBR 15715)                                                                                                                                                                                                                                                                                                                                                      </v>
      </c>
      <c r="D512" s="734" t="str">
        <f>VLOOKUP($B512,'COMP. IP'!$B:$G,6,FALSE)</f>
        <v xml:space="preserve">M     </v>
      </c>
      <c r="E512" s="315">
        <f>VLOOKUP($B512,'COMP. IP'!$B:$H,7,FALSE)</f>
        <v>14.77</v>
      </c>
    </row>
    <row r="513" spans="2:5" ht="30">
      <c r="B513" s="734" t="s">
        <v>13852</v>
      </c>
      <c r="C513" s="314" t="str">
        <f>VLOOKUP($B513,'COMP. IP'!$B:$G,2,FALSE)</f>
        <v xml:space="preserve">FORNECIMENTO E INSTALAÇÃO DE ELETRODUTO/DUTO PEAD FLEXIVEL PAREDE SIMPLES, CORRUGACAO HELICOIDAL, COR PRETA, SEM ROSCA, DE 1 1/4", CRC 680 N, PARA CABEAMENTO SUBTERRANEO (NBR 15715)                                                                                                                                                                                                                                                                                                                                                  </v>
      </c>
      <c r="D513" s="734" t="str">
        <f>VLOOKUP($B513,'COMP. IP'!$B:$G,6,FALSE)</f>
        <v xml:space="preserve">M     </v>
      </c>
      <c r="E513" s="315">
        <f>VLOOKUP($B513,'COMP. IP'!$B:$H,7,FALSE)</f>
        <v>12.56</v>
      </c>
    </row>
    <row r="514" spans="2:5">
      <c r="B514" s="734" t="s">
        <v>13853</v>
      </c>
      <c r="C514" s="314" t="str">
        <f>VLOOKUP($B514,'COMP. IP'!$B:$G,2,FALSE)</f>
        <v>FORNECIMENTO E INSTALAÇÃO DE  CABO DE COBRE PP 3 x 2,5 MM2  0,6/1 KV</v>
      </c>
      <c r="D514" s="734" t="str">
        <f>VLOOKUP($B514,'COMP. IP'!$B:$G,6,FALSE)</f>
        <v xml:space="preserve">M     </v>
      </c>
      <c r="E514" s="315">
        <f>VLOOKUP($B514,'COMP. IP'!$B:$H,7,FALSE)</f>
        <v>12.74</v>
      </c>
    </row>
    <row r="515" spans="2:5">
      <c r="B515" s="734" t="s">
        <v>13854</v>
      </c>
      <c r="C515" s="314" t="str">
        <f>VLOOKUP($B515,'COMP. IP'!$B:$G,2,FALSE)</f>
        <v>FORNECIMENTO E INSTALAÇÃO DE  CABO DE COBRE PP 3 x 1,5 MM2  0,6/1 KV</v>
      </c>
      <c r="D515" s="734" t="str">
        <f>VLOOKUP($B515,'COMP. IP'!$B:$G,6,FALSE)</f>
        <v xml:space="preserve">M     </v>
      </c>
      <c r="E515" s="315">
        <f>VLOOKUP($B515,'COMP. IP'!$B:$H,7,FALSE)</f>
        <v>10.029999999999999</v>
      </c>
    </row>
    <row r="516" spans="2:5">
      <c r="B516" s="734" t="s">
        <v>13855</v>
      </c>
      <c r="C516" s="314" t="str">
        <f>VLOOKUP($B516,'COMP. IP'!$B:$G,2,FALSE)</f>
        <v>FORNECIMENTO E INSTALAÇÃO DE  CABO DE COBRE PP 3 x 4 MM2  0,6/1 KV</v>
      </c>
      <c r="D516" s="734" t="str">
        <f>VLOOKUP($B516,'COMP. IP'!$B:$G,6,FALSE)</f>
        <v xml:space="preserve">M     </v>
      </c>
      <c r="E516" s="315">
        <f>VLOOKUP($B516,'COMP. IP'!$B:$H,7,FALSE)</f>
        <v>17.09</v>
      </c>
    </row>
    <row r="517" spans="2:5">
      <c r="B517" s="734" t="s">
        <v>13856</v>
      </c>
      <c r="C517" s="314" t="str">
        <f>VLOOKUP($B517,'COMP. IP'!$B:$G,2,FALSE)</f>
        <v>FORNECIMENTO E INSTALAÇÃO DE  CAIXA DE PROTEÇÃO METÁLICA PARA COMANDO E PROTEÇÃO DA ILUMINAÇÃO PÚBLICA</v>
      </c>
      <c r="D517" s="734" t="str">
        <f>VLOOKUP($B517,'COMP. IP'!$B:$G,6,FALSE)</f>
        <v>UN</v>
      </c>
      <c r="E517" s="315">
        <f>VLOOKUP($B517,'COMP. IP'!$B:$H,7,FALSE)</f>
        <v>566.23</v>
      </c>
    </row>
    <row r="518" spans="2:5">
      <c r="B518" s="734" t="s">
        <v>13857</v>
      </c>
      <c r="C518" s="314" t="str">
        <f>VLOOKUP($B518,'COMP. IP'!$B:$G,2,FALSE)</f>
        <v>FORNECIMENTO E INSTALAÇÃO DE CONECTOR TIPO CUNHA CN13 VERMELHO</v>
      </c>
      <c r="D518" s="734" t="str">
        <f>VLOOKUP($B518,'COMP. IP'!$B:$G,6,FALSE)</f>
        <v>UN</v>
      </c>
      <c r="E518" s="315">
        <f>VLOOKUP($B518,'COMP. IP'!$B:$H,7,FALSE)</f>
        <v>11.1</v>
      </c>
    </row>
    <row r="519" spans="2:5">
      <c r="B519" s="734" t="s">
        <v>13858</v>
      </c>
      <c r="C519" s="314" t="str">
        <f>VLOOKUP($B519,'COMP. IP'!$B:$G,2,FALSE)</f>
        <v>FORNECIMENTO E INSTALAÇÃO DE CONECTOR PERFURANTE CDP-120 - (D: 25mm²/150mm² x P: 25mm²/ 150mm²)</v>
      </c>
      <c r="D519" s="734" t="str">
        <f>VLOOKUP($B519,'COMP. IP'!$B:$G,6,FALSE)</f>
        <v>UN</v>
      </c>
      <c r="E519" s="315">
        <f>VLOOKUP($B519,'COMP. IP'!$B:$H,7,FALSE)</f>
        <v>31.849999999999998</v>
      </c>
    </row>
    <row r="520" spans="2:5" ht="30">
      <c r="B520" s="734" t="s">
        <v>13859</v>
      </c>
      <c r="C520" s="314" t="str">
        <f>VLOOKUP($B520,'COMP. IP'!$B:$G,2,FALSE)</f>
        <v xml:space="preserve">FORNECIMENTO E INSTALAÇÃO DE ARMACAO VERTICAL COM HASTE E CONTRA-PINO, EM CHAPA DE ACO GALVANIZADO 3/16", COM 1 ESTRIBO E 1 ISOLADOR                                                                                                                                                                                                                                                                                                                                                                                                   </v>
      </c>
      <c r="D520" s="734" t="str">
        <f>VLOOKUP($B520,'COMP. IP'!$B:$G,6,FALSE)</f>
        <v>UM</v>
      </c>
      <c r="E520" s="315">
        <f>VLOOKUP($B520,'COMP. IP'!$B:$H,7,FALSE)</f>
        <v>139.69</v>
      </c>
    </row>
    <row r="521" spans="2:5" ht="30">
      <c r="B521" s="734" t="s">
        <v>13860</v>
      </c>
      <c r="C521" s="314" t="str">
        <f>VLOOKUP($B521,'COMP. IP'!$B:$G,2,FALSE)</f>
        <v xml:space="preserve">FORNECIMENTO E INSTALAÇÃO DE FIO DE COBRE, SOLIDO, CLASSE 1, ISOLACAO EM PVC/A, ANTICHAMA BWF-B, 450/750V, SECAO NOMINAL 6 MM2                                                                                                                                                                                                                                                                                                                                                                                                         </v>
      </c>
      <c r="D521" s="734" t="str">
        <f>VLOOKUP($B521,'COMP. IP'!$B:$G,6,FALSE)</f>
        <v xml:space="preserve">M     </v>
      </c>
      <c r="E521" s="315">
        <f>VLOOKUP($B521,'COMP. IP'!$B:$H,7,FALSE)</f>
        <v>11.030000000000001</v>
      </c>
    </row>
    <row r="522" spans="2:5">
      <c r="B522" s="734" t="s">
        <v>13861</v>
      </c>
      <c r="C522" s="314" t="str">
        <f>VLOOKUP($B522,'COMP. IP'!$B:$G,2,FALSE)</f>
        <v xml:space="preserve">FORNECIMENTO E INSTALAÇÃO DE CONTATOR TRIPOLAR, CORRENTE DE 32 A, TENSAO NOMINAL DE *500* V, CATEGORIA AC-2 E AC-3                                                                                                                                                                                                                                                                                                                                                                                                                     </v>
      </c>
      <c r="D522" s="734" t="str">
        <f>VLOOKUP($B522,'COMP. IP'!$B:$G,6,FALSE)</f>
        <v xml:space="preserve">UN    </v>
      </c>
      <c r="E522" s="315">
        <f>VLOOKUP($B522,'COMP. IP'!$B:$H,7,FALSE)</f>
        <v>455.57</v>
      </c>
    </row>
    <row r="523" spans="2:5">
      <c r="B523" s="734" t="s">
        <v>13862</v>
      </c>
      <c r="C523" s="314" t="str">
        <f>VLOOKUP($B523,'COMP. IP'!$B:$G,2,FALSE)</f>
        <v xml:space="preserve">FORNECIMENTO E INSTALAÇÃO DE CONTATOR TRIPOLAR, CORRENTE DE 45 A, TENSAO NOMINAL DE *500* V, CATEGORIA AC-2 E AC-3                                                                                                                                                                                                                                                                                                                                                                                                                     </v>
      </c>
      <c r="D523" s="734" t="str">
        <f>VLOOKUP($B523,'COMP. IP'!$B:$G,6,FALSE)</f>
        <v xml:space="preserve">UN    </v>
      </c>
      <c r="E523" s="315">
        <f>VLOOKUP($B523,'COMP. IP'!$B:$H,7,FALSE)</f>
        <v>656.09999999999991</v>
      </c>
    </row>
    <row r="524" spans="2:5" ht="30">
      <c r="B524" s="734" t="s">
        <v>13863</v>
      </c>
      <c r="C524" s="314" t="str">
        <f>VLOOKUP($B524,'COMP. IP'!$B:$G,2,FALSE)</f>
        <v>FORNECIMENTO E INSTALAÇÃO DE CABO MULTIPLEXADO DE ALUMÍNIO QUADRIPLEX 3X1X16+16, COM ISOLAÇÃO XLPE (veias coloridas)</v>
      </c>
      <c r="D524" s="734" t="str">
        <f>VLOOKUP($B524,'COMP. IP'!$B:$G,6,FALSE)</f>
        <v>M</v>
      </c>
      <c r="E524" s="315">
        <f>VLOOKUP($B524,'COMP. IP'!$B:$H,7,FALSE)</f>
        <v>12.75</v>
      </c>
    </row>
    <row r="525" spans="2:5" ht="30">
      <c r="B525" s="734" t="s">
        <v>13864</v>
      </c>
      <c r="C525" s="314" t="str">
        <f>VLOOKUP($B525,'COMP. IP'!$B:$G,2,FALSE)</f>
        <v>FORNECIMENTO E INSTALAÇÃO DE CABO MULTIPLEXADO DE ALUMÍNIO QUADRIPLEX 3X1X25+25, COM ISOLAÇÃO XLPE (VEIAS COLORIDAS)</v>
      </c>
      <c r="D525" s="734" t="str">
        <f>VLOOKUP($B525,'COMP. IP'!$B:$G,6,FALSE)</f>
        <v>M</v>
      </c>
      <c r="E525" s="315">
        <f>VLOOKUP($B525,'COMP. IP'!$B:$H,7,FALSE)</f>
        <v>16.369999999999997</v>
      </c>
    </row>
    <row r="526" spans="2:5">
      <c r="B526" s="734" t="s">
        <v>13865</v>
      </c>
      <c r="C526" s="314" t="str">
        <f>VLOOKUP($B526,'COMP. IP'!$B:$G,2,FALSE)</f>
        <v>FORNECIMENTO E INSTALAÇÃO DE CONECTOR PERFURANTE CDP-70 - (D: 1,5mm²/10mm² x P: 10mm²/ 95mm²)</v>
      </c>
      <c r="D526" s="734" t="str">
        <f>VLOOKUP($B526,'COMP. IP'!$B:$G,6,FALSE)</f>
        <v>UN</v>
      </c>
      <c r="E526" s="315">
        <f>VLOOKUP($B526,'COMP. IP'!$B:$H,7,FALSE)</f>
        <v>12.37</v>
      </c>
    </row>
    <row r="527" spans="2:5" ht="30">
      <c r="B527" s="734" t="s">
        <v>13866</v>
      </c>
      <c r="C527" s="314" t="str">
        <f>VLOOKUP($B527,'COMP. IP'!$B:$G,2,FALSE)</f>
        <v xml:space="preserve">FORNECIMENTO E INSTALAÇÃO DE POSTE DE CONCRETO ARMADO DE SECAO DUPLO T, EXTENSAO DE 10,00 M, RESISTENCIA DE 600 DAN, TIPO B                                                                                                                                                                                                                                                                                                                                                                                                            </v>
      </c>
      <c r="D527" s="734" t="str">
        <f>VLOOKUP($B527,'COMP. IP'!$B:$G,6,FALSE)</f>
        <v>UN</v>
      </c>
      <c r="E527" s="315">
        <f>VLOOKUP($B527,'COMP. IP'!$B:$H,7,FALSE)</f>
        <v>1443.91</v>
      </c>
    </row>
    <row r="528" spans="2:5" ht="30">
      <c r="B528" s="734" t="s">
        <v>13867</v>
      </c>
      <c r="C528" s="314" t="str">
        <f>VLOOKUP($B528,'COMP. IP'!$B:$G,2,FALSE)</f>
        <v>FORNECIMENTO E INSTALAÇÃO DA ESTRUTURA N1-T-PR PARA POSTO DE TRANSFORMAÇÃO DE 15KVA, 13.8KV, 220/127V, EM POSTE DE CONCRETO DT 11/600 (EXCETO POSTE E TRANSFORMADOR)</v>
      </c>
      <c r="D528" s="734" t="str">
        <f>VLOOKUP($B528,'COMP. IP'!$B:$G,6,FALSE)</f>
        <v>UN</v>
      </c>
      <c r="E528" s="315">
        <f>VLOOKUP($B528,'COMP. IP'!$B:$H,7,FALSE)</f>
        <v>6156.2999999999993</v>
      </c>
    </row>
    <row r="529" spans="2:5" ht="30">
      <c r="B529" s="734" t="s">
        <v>13868</v>
      </c>
      <c r="C529" s="314" t="str">
        <f>VLOOKUP($B529,'COMP. IP'!$B:$G,2,FALSE)</f>
        <v xml:space="preserve">FORNECIMENTO E INSTALAÇÃO DE TRANSFORMADOR TRIFASICO DE DISTRIBUICAO, POTENCIA DE 15 KVA, TENSAO NOMINAL DE 15 KV, TENSAO SECUNDARIA DE 220/127V, EM OLEO ISOLANTE TIPO MINERAL                                                                                                                                                                                                                                                                                                                                                        </v>
      </c>
      <c r="D529" s="734" t="str">
        <f>VLOOKUP($B529,'COMP. IP'!$B:$G,6,FALSE)</f>
        <v>UN</v>
      </c>
      <c r="E529" s="315">
        <f>VLOOKUP($B529,'COMP. IP'!$B:$H,7,FALSE)</f>
        <v>17313.88</v>
      </c>
    </row>
    <row r="530" spans="2:5" ht="30">
      <c r="B530" s="734" t="s">
        <v>13869</v>
      </c>
      <c r="C530" s="314" t="str">
        <f>VLOOKUP($B530,'COMP. IP'!$B:$G,2,FALSE)</f>
        <v xml:space="preserve">FORNECIMENTO E INSTALAÇÃO DE CINTA CIRCULAR EM ACO GALVANIZADO DE 150 MM DE DIAMETRO PARA FIXACAO DE CAIXA MEDICAO, INCLUI PARAFUSOS E PORCAS                                                                                                                                                                                                                                                                                                                                                                                          </v>
      </c>
      <c r="D530" s="734" t="str">
        <f>VLOOKUP($B530,'COMP. IP'!$B:$G,6,FALSE)</f>
        <v xml:space="preserve">UN    </v>
      </c>
      <c r="E530" s="315">
        <f>VLOOKUP($B530,'COMP. IP'!$B:$H,7,FALSE)</f>
        <v>65.02</v>
      </c>
    </row>
    <row r="531" spans="2:5" ht="30">
      <c r="B531" s="734" t="s">
        <v>13870</v>
      </c>
      <c r="C531" s="314" t="str">
        <f>VLOOKUP($B531,'COMP. IP'!$B:$G,2,FALSE)</f>
        <v xml:space="preserve">FORNECIMENTO E INSTALAÇÃO DE CINTA CIRCULAR EM ACO GALVANIZADO DE 210 MM DE DIAMETRO PARA INSTALACAO DE TRANSFORMADOR EM POSTE DE CONCRETO                                                                                                                                                                                                                                                                                                                                                                                             </v>
      </c>
      <c r="D531" s="734" t="str">
        <f>VLOOKUP($B531,'COMP. IP'!$B:$G,6,FALSE)</f>
        <v xml:space="preserve">UN    </v>
      </c>
      <c r="E531" s="315">
        <f>VLOOKUP($B531,'COMP. IP'!$B:$H,7,FALSE)</f>
        <v>73.86</v>
      </c>
    </row>
    <row r="532" spans="2:5">
      <c r="B532" s="734" t="s">
        <v>13871</v>
      </c>
      <c r="C532" s="314" t="str">
        <f>VLOOKUP($B532,'COMP. IP'!$B:$G,2,FALSE)</f>
        <v>FORNECIMENTO E INSTALAÇÃO DE BRAÇO DE AÇO GALVANIZADO C= 3 M PARA ILUMINÇÃO PUBLICA</v>
      </c>
      <c r="D532" s="734" t="str">
        <f>VLOOKUP($B532,'COMP. IP'!$B:$G,6,FALSE)</f>
        <v>UN</v>
      </c>
      <c r="E532" s="315">
        <f>VLOOKUP($B532,'COMP. IP'!$B:$H,7,FALSE)</f>
        <v>274.32</v>
      </c>
    </row>
    <row r="533" spans="2:5">
      <c r="B533" s="734" t="s">
        <v>13872</v>
      </c>
      <c r="C533" s="314" t="str">
        <f>VLOOKUP($B533,'COMP. IP'!$B:$G,2,FALSE)</f>
        <v xml:space="preserve">FORNECIMENTO E INSTALAÇÃO DE ARAME GALVANIZADO 12 BWG, D = 2,76 MM (0,048 KG/M) OU 14 BWG, D = 2,11 MM (0,026 KG/M)                                                                                                                                                                                                                                                                                                                                                                                                                    </v>
      </c>
      <c r="D533" s="734" t="str">
        <f>VLOOKUP($B533,'COMP. IP'!$B:$G,6,FALSE)</f>
        <v xml:space="preserve">KG    </v>
      </c>
      <c r="E533" s="315">
        <f>VLOOKUP($B533,'COMP. IP'!$B:$H,7,FALSE)</f>
        <v>1.0699999999999998</v>
      </c>
    </row>
    <row r="534" spans="2:5" ht="30">
      <c r="B534" s="734" t="s">
        <v>13873</v>
      </c>
      <c r="C534" s="314" t="str">
        <f>VLOOKUP($B534,'COMP. IP'!$B:$G,2,FALSE)</f>
        <v xml:space="preserve">FORNECIMENTO E INSTALAÇÃO DE CURVA 90 GRAUS, PARA ELETRODUTO, EM ACO GALVANIZADO ELETROLITICO, DIAMETRO DE 25 MM (1")                                                                                                                                                                                                                                                                                                                                                                                                                  </v>
      </c>
      <c r="D534" s="734" t="str">
        <f>VLOOKUP($B534,'COMP. IP'!$B:$G,6,FALSE)</f>
        <v>UN</v>
      </c>
      <c r="E534" s="315">
        <f>VLOOKUP($B534,'COMP. IP'!$B:$H,7,FALSE)</f>
        <v>13.48</v>
      </c>
    </row>
    <row r="535" spans="2:5" ht="30">
      <c r="B535" s="734" t="s">
        <v>13874</v>
      </c>
      <c r="C535" s="314" t="str">
        <f>VLOOKUP($B535,'COMP. IP'!$B:$G,2,FALSE)</f>
        <v xml:space="preserve">FORNECIMENTO E INSTALAÇÃO DE CURVA 90 GRAUS, PARA ELETRODUTO, EM ACO GALVANIZADO ELETROLITICO, DIAMETRO DE 32 MM (1 1/4")                                                                                                                                                                                                                                                                                                                                                                                                              </v>
      </c>
      <c r="D535" s="734" t="str">
        <f>VLOOKUP($B535,'COMP. IP'!$B:$G,6,FALSE)</f>
        <v>UN</v>
      </c>
      <c r="E535" s="315">
        <f>VLOOKUP($B535,'COMP. IP'!$B:$H,7,FALSE)</f>
        <v>22.01</v>
      </c>
    </row>
    <row r="536" spans="2:5" ht="30">
      <c r="B536" s="734" t="s">
        <v>13875</v>
      </c>
      <c r="C536" s="314" t="str">
        <f>VLOOKUP($B536,'COMP. IP'!$B:$G,2,FALSE)</f>
        <v xml:space="preserve">FORNECIMENTO E INSTALAÇÃO DE CURVA 90 GRAUS, PARA ELETRODUTO, EM ACO GALVANIZADO ELETROLITICO, DIAMETRO DE 40 MM (1 1/2")                                                                                                                                                                                                                                                                                                                                                                                                              </v>
      </c>
      <c r="D536" s="734" t="str">
        <f>VLOOKUP($B536,'COMP. IP'!$B:$G,6,FALSE)</f>
        <v>UN</v>
      </c>
      <c r="E536" s="315">
        <f>VLOOKUP($B536,'COMP. IP'!$B:$H,7,FALSE)</f>
        <v>25.35</v>
      </c>
    </row>
    <row r="537" spans="2:5">
      <c r="B537" s="734" t="s">
        <v>13876</v>
      </c>
      <c r="C537" s="314" t="str">
        <f>VLOOKUP($B537,'COMP. IP'!$B:$G,2,FALSE)</f>
        <v xml:space="preserve">FORNECIMENTO E INSTALAÇÃO DE LUVA PARA ELETRODUTO, EM ACO GALVANIZADO ELETROLITICO, DIAMETRO DE 25 MM (1")                                                                                                                                                                                                                                                                                                                                                                                                                             </v>
      </c>
      <c r="D537" s="734" t="str">
        <f>VLOOKUP($B537,'COMP. IP'!$B:$G,6,FALSE)</f>
        <v>UN</v>
      </c>
      <c r="E537" s="315">
        <f>VLOOKUP($B537,'COMP. IP'!$B:$H,7,FALSE)</f>
        <v>8.51</v>
      </c>
    </row>
    <row r="538" spans="2:5">
      <c r="B538" s="734" t="s">
        <v>13877</v>
      </c>
      <c r="C538" s="314" t="str">
        <f>VLOOKUP($B538,'COMP. IP'!$B:$G,2,FALSE)</f>
        <v xml:space="preserve">FORNECIMENTO E INSTALAÇÃO DE LUVA PARA ELETRODUTO, EM ACO GALVANIZADO ELETROLITICO, DIAMETRO DE 32 MM (1 1/4")                                                                                                                                                                                                                                                                                                                                                                                                                         </v>
      </c>
      <c r="D538" s="734" t="str">
        <f>VLOOKUP($B538,'COMP. IP'!$B:$G,6,FALSE)</f>
        <v>UN</v>
      </c>
      <c r="E538" s="315">
        <f>VLOOKUP($B538,'COMP. IP'!$B:$H,7,FALSE)</f>
        <v>14.370000000000001</v>
      </c>
    </row>
    <row r="539" spans="2:5">
      <c r="B539" s="734" t="s">
        <v>13878</v>
      </c>
      <c r="C539" s="314" t="str">
        <f>VLOOKUP($B539,'COMP. IP'!$B:$G,2,FALSE)</f>
        <v xml:space="preserve">FORNECIMENTO E INSTALAÇÃO DE LUVA PARA ELETRODUTO, EM ACO GALVANIZADO ELETROLITICO, DIAMETRO DE 40 MM (1 1/2")                                                                                                                                                                                                                                                                                                                                                                                                                         </v>
      </c>
      <c r="D539" s="734" t="str">
        <f>VLOOKUP($B539,'COMP. IP'!$B:$G,6,FALSE)</f>
        <v>UN</v>
      </c>
      <c r="E539" s="315">
        <f>VLOOKUP($B539,'COMP. IP'!$B:$H,7,FALSE)</f>
        <v>16.079999999999998</v>
      </c>
    </row>
    <row r="540" spans="2:5">
      <c r="B540" s="734" t="s">
        <v>13879</v>
      </c>
      <c r="C540" s="314" t="str">
        <f>VLOOKUP($B540,'COMP. IP'!$B:$G,2,FALSE)</f>
        <v xml:space="preserve">FORNECIMENTO E INSTALAÇÃO DE ELETRODUTO EM ACO GALVANIZADO ELETROLITICO, LEVE, DIAMETRO 1", PAREDE DE 0,90 MM                                                                                                                                                                                                                                                                                                                                                                                                                          </v>
      </c>
      <c r="D540" s="734" t="str">
        <f>VLOOKUP($B540,'COMP. IP'!$B:$G,6,FALSE)</f>
        <v>M</v>
      </c>
      <c r="E540" s="315">
        <f>VLOOKUP($B540,'COMP. IP'!$B:$H,7,FALSE)</f>
        <v>48.900000000000006</v>
      </c>
    </row>
    <row r="541" spans="2:5" ht="30">
      <c r="B541" s="734" t="s">
        <v>13880</v>
      </c>
      <c r="C541" s="314" t="str">
        <f>VLOOKUP($B541,'COMP. IP'!$B:$G,2,FALSE)</f>
        <v xml:space="preserve">FORNECIMENTO E INSTALAÇÃO DE ELETRODUTO EM ACO GALVANIZADO ELETROLITICO, SEMI-PESADO, DIAMETRO 1 1/4", PAREDE DE 1,20 MM                                                                                                                                                                                                                                                                                                                                                                                                               </v>
      </c>
      <c r="D541" s="734" t="str">
        <f>VLOOKUP($B541,'COMP. IP'!$B:$G,6,FALSE)</f>
        <v>M</v>
      </c>
      <c r="E541" s="315">
        <f>VLOOKUP($B541,'COMP. IP'!$B:$H,7,FALSE)</f>
        <v>61.510000000000005</v>
      </c>
    </row>
    <row r="542" spans="2:5" ht="30">
      <c r="B542" s="734" t="s">
        <v>13881</v>
      </c>
      <c r="C542" s="314" t="str">
        <f>VLOOKUP($B542,'COMP. IP'!$B:$G,2,FALSE)</f>
        <v xml:space="preserve">FORNECIMENTO E INSTALAÇÃO DE ELETRODUTO EM ACO GALVANIZADO ELETROLITICO, SEMI-PESADO, DIAMETRO 1 1/2", PAREDE DE 1,20 MM                                                                                                                                                                                                                                                                                                                                                                                                               </v>
      </c>
      <c r="D542" s="734" t="str">
        <f>VLOOKUP($B542,'COMP. IP'!$B:$G,6,FALSE)</f>
        <v>M</v>
      </c>
      <c r="E542" s="315">
        <f>VLOOKUP($B542,'COMP. IP'!$B:$H,7,FALSE)</f>
        <v>61.93</v>
      </c>
    </row>
    <row r="543" spans="2:5" ht="30">
      <c r="B543" s="734" t="s">
        <v>13882</v>
      </c>
      <c r="C543" s="314" t="str">
        <f>VLOOKUP($B543,'COMP. IP'!$B:$G,2,FALSE)</f>
        <v>FORNECIMENTO E INSTALAÇÃO DA ESTRUTURA N3-T-PR PARA POSTO DE TRANSFORMAÇÃO DE 15KVA, 13.8KV, 220/127V, EM POSTE DE CONCRETO DT 11/600 (EXCETO POSTE E TRANSFORMADOR)</v>
      </c>
      <c r="D543" s="734" t="str">
        <f>VLOOKUP($B543,'COMP. IP'!$B:$G,6,FALSE)</f>
        <v>UN</v>
      </c>
      <c r="E543" s="315">
        <f>VLOOKUP($B543,'COMP. IP'!$B:$H,7,FALSE)</f>
        <v>7483.3600000000006</v>
      </c>
    </row>
    <row r="544" spans="2:5">
      <c r="B544" s="734" t="s">
        <v>13883</v>
      </c>
      <c r="C544" s="314" t="str">
        <f>VLOOKUP($B544,'COMP. IP'!$B:$G,2,FALSE)</f>
        <v>FORNECIMENTO E INSTALAÇÃO DA ESTRUTURA N1 (EXCLUSIVE POSTE)</v>
      </c>
      <c r="D544" s="734" t="str">
        <f>VLOOKUP($B544,'COMP. IP'!$B:$G,6,FALSE)</f>
        <v>UN</v>
      </c>
      <c r="E544" s="315">
        <f>VLOOKUP($B544,'COMP. IP'!$B:$H,7,FALSE)</f>
        <v>708.92000000000007</v>
      </c>
    </row>
    <row r="545" spans="2:5">
      <c r="B545" s="734" t="s">
        <v>13884</v>
      </c>
      <c r="C545" s="314" t="str">
        <f>VLOOKUP($B545,'COMP. IP'!$B:$G,2,FALSE)</f>
        <v>FORNECIMENTO E INSTALAÇÃO DA ESTRUTURA N3 (EXCLUSIVE POSTE)</v>
      </c>
      <c r="D545" s="734" t="str">
        <f>VLOOKUP($B545,'COMP. IP'!$B:$G,6,FALSE)</f>
        <v>UN</v>
      </c>
      <c r="E545" s="315">
        <f>VLOOKUP($B545,'COMP. IP'!$B:$H,7,FALSE)</f>
        <v>1706.7900000000002</v>
      </c>
    </row>
    <row r="546" spans="2:5">
      <c r="B546" s="734" t="s">
        <v>13885</v>
      </c>
      <c r="C546" s="314" t="str">
        <f>VLOOKUP($B546,'COMP. IP'!$B:$G,2,FALSE)</f>
        <v xml:space="preserve">FORNECIMENTO E INSTALAÇÃO DE CABO DE ALUMINIO NU COM ALMA DE ACO, BITOLA 2 AWG                                                                                                                                                                                                                                                                                                                                                                                                                                                         </v>
      </c>
      <c r="D546" s="734" t="str">
        <f>VLOOKUP($B546,'COMP. IP'!$B:$G,6,FALSE)</f>
        <v xml:space="preserve">KG    </v>
      </c>
      <c r="E546" s="315">
        <f>VLOOKUP($B546,'COMP. IP'!$B:$H,7,FALSE)</f>
        <v>52.819999999999993</v>
      </c>
    </row>
    <row r="547" spans="2:5" ht="30">
      <c r="B547" s="734" t="s">
        <v>13886</v>
      </c>
      <c r="C547" s="314" t="str">
        <f>VLOOKUP($B547,'COMP. IP'!$B:$G,2,FALSE)</f>
        <v xml:space="preserve">FORNECIMENTO E INSTALAÇÃO DE POSTE DE CONCRETO ARMADO DE SECAO DUPLO T, EXTENSAO DE 10,00 M, RESISTENCIA DE 300 A 400 DAN, TIPO B OU D                                                                                                                                                                                                                                                                                                                                                                                                 </v>
      </c>
      <c r="D547" s="734" t="str">
        <f>VLOOKUP($B547,'COMP. IP'!$B:$G,6,FALSE)</f>
        <v>UN</v>
      </c>
      <c r="E547" s="315">
        <f>VLOOKUP($B547,'COMP. IP'!$B:$H,7,FALSE)</f>
        <v>1634.65</v>
      </c>
    </row>
    <row r="548" spans="2:5" ht="30">
      <c r="B548" s="734" t="s">
        <v>13887</v>
      </c>
      <c r="C548" s="314" t="str">
        <f>VLOOKUP($B548,'COMP. IP'!$B:$G,2,FALSE)</f>
        <v>DEMOLIÇÃO DE PAVIMENTAÇÃO ASFÁLTICA COM UTILIZAÇÃO DE MARTELO PERFURADOR, ESPESSURA ATÉ 15 CM, EXCLUSIVE CARGA E TRANSPORTE</v>
      </c>
      <c r="D548" s="734" t="str">
        <f>VLOOKUP($B548,'COMP. IP'!$B:$G,6,FALSE)</f>
        <v>M2</v>
      </c>
      <c r="E548" s="315">
        <f>VLOOKUP($B548,'COMP. IP'!$B:$H,7,FALSE)</f>
        <v>16.71</v>
      </c>
    </row>
    <row r="549" spans="2:5" ht="30">
      <c r="B549" s="734" t="s">
        <v>13888</v>
      </c>
      <c r="C549" s="314" t="str">
        <f>VLOOKUP($B549,'COMP. IP'!$B:$G,2,FALSE)</f>
        <v xml:space="preserve">FORNECIMENTO E INSTALAÇÃO DE CABECOTE PARA ENTRADA DE LINHA DE ALIMENTACAO PARA ELETRODUTO, EM LIGA DE ALUMINIO COM ACABAMENTO ANTI CORROSIVO, COM FIXACAO POR ENCAIXE LISO DE 360 GRAUS, DE 1 1/2"                                                                                                                                                                                                                                                                                                                                    </v>
      </c>
      <c r="D549" s="734" t="str">
        <f>VLOOKUP($B549,'COMP. IP'!$B:$G,6,FALSE)</f>
        <v>UN</v>
      </c>
      <c r="E549" s="315">
        <f>VLOOKUP($B549,'COMP. IP'!$B:$H,7,FALSE)</f>
        <v>15.3</v>
      </c>
    </row>
    <row r="550" spans="2:5" ht="30">
      <c r="B550" s="734" t="s">
        <v>13889</v>
      </c>
      <c r="C550" s="314" t="str">
        <f>VLOOKUP($B550,'COMP. IP'!$B:$G,2,FALSE)</f>
        <v xml:space="preserve">FORNECIMENTO E INSTALAÇÃO DE CABECOTE PARA ENTRADA DE LINHA DE ALIMENTACAO PARA ELETRODUTO, EM LIGA DE ALUMINIO COM ACABAMENTO ANTI CORROSIVO, COM FIXACAO POR ENCAIXE LISO DE 360 GRAUS, DE 1 1/4"                                                                                                                                                                                                                                                                                                                                    </v>
      </c>
      <c r="D550" s="734" t="str">
        <f>VLOOKUP($B550,'COMP. IP'!$B:$G,6,FALSE)</f>
        <v>UN</v>
      </c>
      <c r="E550" s="315">
        <f>VLOOKUP($B550,'COMP. IP'!$B:$H,7,FALSE)</f>
        <v>13.4</v>
      </c>
    </row>
    <row r="551" spans="2:5" ht="30">
      <c r="B551" s="734" t="s">
        <v>13890</v>
      </c>
      <c r="C551" s="314" t="str">
        <f>VLOOKUP($B551,'COMP. IP'!$B:$G,2,FALSE)</f>
        <v xml:space="preserve">FORNECIMENTO E INSTALAÇÃO DE CABECOTE PARA ENTRADA DE LINHA DE ALIMENTACAO PARA ELETRODUTO, EM LIGA DE ALUMINIO COM ACABAMENTO ANTI CORROSIVO, COM FIXACAO POR ENCAIXE LISO DE 360 GRAUS, DE 1"                                                                                                                                                                                                                                                                                                                                        </v>
      </c>
      <c r="D551" s="734" t="str">
        <f>VLOOKUP($B551,'COMP. IP'!$B:$G,6,FALSE)</f>
        <v>UN</v>
      </c>
      <c r="E551" s="315">
        <f>VLOOKUP($B551,'COMP. IP'!$B:$H,7,FALSE)</f>
        <v>11.440000000000001</v>
      </c>
    </row>
    <row r="552" spans="2:5">
      <c r="B552" s="734" t="s">
        <v>13891</v>
      </c>
      <c r="C552" s="314" t="e">
        <f>VLOOKUP($B552,'COMP. IP'!$B:$G,2,FALSE)</f>
        <v>#N/A</v>
      </c>
      <c r="D552" s="734" t="e">
        <f>VLOOKUP($B552,'COMP. IP'!$B:$G,6,FALSE)</f>
        <v>#N/A</v>
      </c>
      <c r="E552" s="315" t="e">
        <f>VLOOKUP($B552,'COMP. IP'!$B:$H,7,FALSE)</f>
        <v>#N/A</v>
      </c>
    </row>
    <row r="553" spans="2:5">
      <c r="B553" s="734" t="s">
        <v>13892</v>
      </c>
      <c r="C553" s="314" t="e">
        <f>VLOOKUP($B553,'COMP. IP'!$B:$G,2,FALSE)</f>
        <v>#N/A</v>
      </c>
      <c r="D553" s="734" t="e">
        <f>VLOOKUP($B553,'COMP. IP'!$B:$G,6,FALSE)</f>
        <v>#N/A</v>
      </c>
      <c r="E553" s="315" t="e">
        <f>VLOOKUP($B553,'COMP. IP'!$B:$H,7,FALSE)</f>
        <v>#N/A</v>
      </c>
    </row>
    <row r="554" spans="2:5">
      <c r="B554" s="734" t="s">
        <v>13893</v>
      </c>
      <c r="C554" s="314" t="e">
        <f>VLOOKUP($B554,'COMP. IP'!$B:$G,2,FALSE)</f>
        <v>#N/A</v>
      </c>
      <c r="D554" s="734" t="e">
        <f>VLOOKUP($B554,'COMP. IP'!$B:$G,6,FALSE)</f>
        <v>#N/A</v>
      </c>
      <c r="E554" s="315" t="e">
        <f>VLOOKUP($B554,'COMP. IP'!$B:$H,7,FALSE)</f>
        <v>#N/A</v>
      </c>
    </row>
    <row r="555" spans="2:5">
      <c r="B555" s="734" t="s">
        <v>13894</v>
      </c>
      <c r="C555" s="314" t="e">
        <f>VLOOKUP($B555,'COMP. IP'!$B:$G,2,FALSE)</f>
        <v>#N/A</v>
      </c>
      <c r="D555" s="734" t="e">
        <f>VLOOKUP($B555,'COMP. IP'!$B:$G,6,FALSE)</f>
        <v>#N/A</v>
      </c>
      <c r="E555" s="315" t="e">
        <f>VLOOKUP($B555,'COMP. IP'!$B:$H,7,FALSE)</f>
        <v>#N/A</v>
      </c>
    </row>
    <row r="556" spans="2:5">
      <c r="B556" s="734" t="s">
        <v>13895</v>
      </c>
      <c r="C556" s="314" t="e">
        <f>VLOOKUP($B556,'COMP. IP'!$B:$G,2,FALSE)</f>
        <v>#N/A</v>
      </c>
      <c r="D556" s="734" t="e">
        <f>VLOOKUP($B556,'COMP. IP'!$B:$G,6,FALSE)</f>
        <v>#N/A</v>
      </c>
      <c r="E556" s="315" t="e">
        <f>VLOOKUP($B556,'COMP. IP'!$B:$H,7,FALSE)</f>
        <v>#N/A</v>
      </c>
    </row>
    <row r="557" spans="2:5">
      <c r="B557" s="734" t="s">
        <v>13896</v>
      </c>
      <c r="C557" s="314" t="e">
        <f>VLOOKUP($B557,'COMP. IP'!$B:$G,2,FALSE)</f>
        <v>#N/A</v>
      </c>
      <c r="D557" s="734" t="e">
        <f>VLOOKUP($B557,'COMP. IP'!$B:$G,6,FALSE)</f>
        <v>#N/A</v>
      </c>
      <c r="E557" s="315" t="e">
        <f>VLOOKUP($B557,'COMP. IP'!$B:$H,7,FALSE)</f>
        <v>#N/A</v>
      </c>
    </row>
    <row r="558" spans="2:5" ht="15.75" thickBot="1">
      <c r="B558" s="734" t="s">
        <v>13897</v>
      </c>
      <c r="C558" s="314" t="e">
        <f>VLOOKUP($B558,'COMP. IP'!$B:$G,2,FALSE)</f>
        <v>#N/A</v>
      </c>
      <c r="D558" s="734" t="e">
        <f>VLOOKUP($B558,'COMP. IP'!$B:$G,6,FALSE)</f>
        <v>#N/A</v>
      </c>
      <c r="E558" s="315" t="e">
        <f>VLOOKUP($B558,'COMP. IP'!$B:$H,7,FALSE)</f>
        <v>#N/A</v>
      </c>
    </row>
    <row r="559" spans="2:5" ht="16.5" thickBot="1">
      <c r="B559" s="75" t="s">
        <v>13898</v>
      </c>
      <c r="C559" s="76" t="s">
        <v>328</v>
      </c>
      <c r="D559" s="78" t="s">
        <v>25</v>
      </c>
      <c r="E559" s="79" t="s">
        <v>26</v>
      </c>
    </row>
    <row r="560" spans="2:5" ht="30">
      <c r="B560" s="734" t="s">
        <v>13899</v>
      </c>
      <c r="C560" s="314" t="str">
        <f>VLOOKUP($B560,'COMP. INC'!$B:$G,2,FALSE)</f>
        <v xml:space="preserve">FORNECIMENTO E INSTALAÇÃO DE PLACA DE SINALIZACAO DE SEGURANCA CONTRA INCENDIO, FOTOLUMINESCENTE, RETANGULAR, *13 X 26* CM, EM PVC *2* MM ANTI-CHAMAS (SIMBOLOS, CORES E PICTOGRAMAS CONFORME NBR 16820)                                                                                                                                                                                                                                                                                                                               </v>
      </c>
      <c r="D560" s="734" t="str">
        <f>VLOOKUP($B560,'COMP. INC'!$B:$G,6,FALSE)</f>
        <v>UN</v>
      </c>
      <c r="E560" s="315">
        <f>VLOOKUP($B560,'COMP. INC'!$B:$H,7,FALSE)</f>
        <v>21.959999999999997</v>
      </c>
    </row>
    <row r="561" spans="2:5" ht="30">
      <c r="B561" s="734" t="s">
        <v>13900</v>
      </c>
      <c r="C561" s="314" t="str">
        <f>VLOOKUP($B561,'COMP. INC'!$B:$G,2,FALSE)</f>
        <v xml:space="preserve">FORNECIMENTO E INSTALAÇÃO DE BUCHA DE NYLON, DIAMETRO DO FURO 8 MM, COMPRIMENTO 40 MM, COM PARAFUSO DE ROSCA SOBERBA, CABECA CHATA, FENDA SIMPLES, 4,8 X 50 MM                                                                                                                                                                                                                                                                                                                                                                         </v>
      </c>
      <c r="D561" s="734" t="str">
        <f>VLOOKUP($B561,'COMP. INC'!$B:$G,6,FALSE)</f>
        <v>UN</v>
      </c>
      <c r="E561" s="315">
        <f>VLOOKUP($B561,'COMP. INC'!$B:$H,7,FALSE)</f>
        <v>5.32</v>
      </c>
    </row>
    <row r="562" spans="2:5">
      <c r="B562" s="734" t="s">
        <v>13901</v>
      </c>
      <c r="C562" s="314" t="e">
        <f>VLOOKUP($B562,'COMP. INC'!$B:$G,2,FALSE)</f>
        <v>#N/A</v>
      </c>
      <c r="D562" s="734" t="e">
        <f>VLOOKUP($B562,'COMP. INC'!$B:$G,6,FALSE)</f>
        <v>#N/A</v>
      </c>
      <c r="E562" s="315" t="e">
        <f>VLOOKUP($B562,'COMP. INC'!$B:$H,7,FALSE)</f>
        <v>#N/A</v>
      </c>
    </row>
    <row r="563" spans="2:5">
      <c r="B563" s="734" t="s">
        <v>13902</v>
      </c>
      <c r="C563" s="314" t="e">
        <f>VLOOKUP($B563,'COMP. INC'!$B:$G,2,FALSE)</f>
        <v>#N/A</v>
      </c>
      <c r="D563" s="734" t="e">
        <f>VLOOKUP($B563,'COMP. INC'!$B:$G,6,FALSE)</f>
        <v>#N/A</v>
      </c>
      <c r="E563" s="315" t="e">
        <f>VLOOKUP($B563,'COMP. INC'!$B:$H,7,FALSE)</f>
        <v>#N/A</v>
      </c>
    </row>
    <row r="564" spans="2:5">
      <c r="B564" s="734" t="s">
        <v>13903</v>
      </c>
      <c r="C564" s="314" t="e">
        <f>VLOOKUP($B564,'COMP. INC'!$B:$G,2,FALSE)</f>
        <v>#N/A</v>
      </c>
      <c r="D564" s="734" t="e">
        <f>VLOOKUP($B564,'COMP. INC'!$B:$G,6,FALSE)</f>
        <v>#N/A</v>
      </c>
      <c r="E564" s="315" t="e">
        <f>VLOOKUP($B564,'COMP. INC'!$B:$H,7,FALSE)</f>
        <v>#N/A</v>
      </c>
    </row>
    <row r="565" spans="2:5">
      <c r="B565" s="734" t="s">
        <v>13904</v>
      </c>
      <c r="C565" s="314" t="e">
        <f>VLOOKUP($B565,'COMP. INC'!$B:$G,2,FALSE)</f>
        <v>#N/A</v>
      </c>
      <c r="D565" s="734" t="e">
        <f>VLOOKUP($B565,'COMP. INC'!$B:$G,6,FALSE)</f>
        <v>#N/A</v>
      </c>
      <c r="E565" s="315" t="e">
        <f>VLOOKUP($B565,'COMP. INC'!$B:$H,7,FALSE)</f>
        <v>#N/A</v>
      </c>
    </row>
    <row r="566" spans="2:5">
      <c r="B566" s="734" t="s">
        <v>13905</v>
      </c>
      <c r="C566" s="314" t="e">
        <f>VLOOKUP($B566,'COMP. INC'!$B:$G,2,FALSE)</f>
        <v>#N/A</v>
      </c>
      <c r="D566" s="734" t="e">
        <f>VLOOKUP($B566,'COMP. INC'!$B:$G,6,FALSE)</f>
        <v>#N/A</v>
      </c>
      <c r="E566" s="315" t="e">
        <f>VLOOKUP($B566,'COMP. INC'!$B:$H,7,FALSE)</f>
        <v>#N/A</v>
      </c>
    </row>
    <row r="567" spans="2:5">
      <c r="B567" s="734" t="s">
        <v>13906</v>
      </c>
      <c r="C567" s="314" t="e">
        <f>VLOOKUP($B567,'COMP. INC'!$B:$G,2,FALSE)</f>
        <v>#N/A</v>
      </c>
      <c r="D567" s="734" t="e">
        <f>VLOOKUP($B567,'COMP. INC'!$B:$G,6,FALSE)</f>
        <v>#N/A</v>
      </c>
      <c r="E567" s="315" t="e">
        <f>VLOOKUP($B567,'COMP. INC'!$B:$H,7,FALSE)</f>
        <v>#N/A</v>
      </c>
    </row>
    <row r="568" spans="2:5">
      <c r="B568" s="734" t="s">
        <v>13907</v>
      </c>
      <c r="C568" s="314" t="e">
        <f>VLOOKUP($B568,'COMP. INC'!$B:$G,2,FALSE)</f>
        <v>#N/A</v>
      </c>
      <c r="D568" s="734" t="e">
        <f>VLOOKUP($B568,'COMP. INC'!$B:$G,6,FALSE)</f>
        <v>#N/A</v>
      </c>
      <c r="E568" s="315" t="e">
        <f>VLOOKUP($B568,'COMP. INC'!$B:$H,7,FALSE)</f>
        <v>#N/A</v>
      </c>
    </row>
    <row r="569" spans="2:5">
      <c r="B569" s="734" t="s">
        <v>13908</v>
      </c>
      <c r="C569" s="314" t="e">
        <f>VLOOKUP($B569,'COMP. INC'!$B:$G,2,FALSE)</f>
        <v>#N/A</v>
      </c>
      <c r="D569" s="734" t="e">
        <f>VLOOKUP($B569,'COMP. INC'!$B:$G,6,FALSE)</f>
        <v>#N/A</v>
      </c>
      <c r="E569" s="315" t="e">
        <f>VLOOKUP($B569,'COMP. INC'!$B:$H,7,FALSE)</f>
        <v>#N/A</v>
      </c>
    </row>
    <row r="570" spans="2:5">
      <c r="B570" s="734" t="s">
        <v>13909</v>
      </c>
      <c r="C570" s="314" t="e">
        <f>VLOOKUP($B570,'COMP. INC'!$B:$G,2,FALSE)</f>
        <v>#N/A</v>
      </c>
      <c r="D570" s="734" t="e">
        <f>VLOOKUP($B570,'COMP. INC'!$B:$G,6,FALSE)</f>
        <v>#N/A</v>
      </c>
      <c r="E570" s="315" t="e">
        <f>VLOOKUP($B570,'COMP. INC'!$B:$H,7,FALSE)</f>
        <v>#N/A</v>
      </c>
    </row>
    <row r="571" spans="2:5">
      <c r="B571" s="734" t="s">
        <v>13910</v>
      </c>
      <c r="C571" s="314" t="e">
        <f>VLOOKUP($B571,'COMP. INC'!$B:$G,2,FALSE)</f>
        <v>#N/A</v>
      </c>
      <c r="D571" s="734" t="e">
        <f>VLOOKUP($B571,'COMP. INC'!$B:$G,6,FALSE)</f>
        <v>#N/A</v>
      </c>
      <c r="E571" s="315" t="e">
        <f>VLOOKUP($B571,'COMP. INC'!$B:$H,7,FALSE)</f>
        <v>#N/A</v>
      </c>
    </row>
    <row r="572" spans="2:5">
      <c r="B572" s="734" t="s">
        <v>13911</v>
      </c>
      <c r="C572" s="314" t="e">
        <f>VLOOKUP($B572,'COMP. INC'!$B:$G,2,FALSE)</f>
        <v>#N/A</v>
      </c>
      <c r="D572" s="734" t="e">
        <f>VLOOKUP($B572,'COMP. INC'!$B:$G,6,FALSE)</f>
        <v>#N/A</v>
      </c>
      <c r="E572" s="315" t="e">
        <f>VLOOKUP($B572,'COMP. INC'!$B:$H,7,FALSE)</f>
        <v>#N/A</v>
      </c>
    </row>
    <row r="573" spans="2:5">
      <c r="B573" s="734" t="s">
        <v>13912</v>
      </c>
      <c r="C573" s="314" t="e">
        <f>VLOOKUP($B573,'COMP. INC'!$B:$G,2,FALSE)</f>
        <v>#N/A</v>
      </c>
      <c r="D573" s="734" t="e">
        <f>VLOOKUP($B573,'COMP. INC'!$B:$G,6,FALSE)</f>
        <v>#N/A</v>
      </c>
      <c r="E573" s="315" t="e">
        <f>VLOOKUP($B573,'COMP. INC'!$B:$H,7,FALSE)</f>
        <v>#N/A</v>
      </c>
    </row>
    <row r="574" spans="2:5">
      <c r="B574" s="734" t="s">
        <v>13913</v>
      </c>
      <c r="C574" s="314" t="e">
        <f>VLOOKUP($B574,'COMP. INC'!$B:$G,2,FALSE)</f>
        <v>#N/A</v>
      </c>
      <c r="D574" s="734" t="e">
        <f>VLOOKUP($B574,'COMP. INC'!$B:$G,6,FALSE)</f>
        <v>#N/A</v>
      </c>
      <c r="E574" s="315" t="e">
        <f>VLOOKUP($B574,'COMP. INC'!$B:$H,7,FALSE)</f>
        <v>#N/A</v>
      </c>
    </row>
    <row r="575" spans="2:5">
      <c r="B575" s="734" t="s">
        <v>13914</v>
      </c>
      <c r="C575" s="314" t="e">
        <f>VLOOKUP($B575,'COMP. INC'!$B:$G,2,FALSE)</f>
        <v>#N/A</v>
      </c>
      <c r="D575" s="734" t="e">
        <f>VLOOKUP($B575,'COMP. INC'!$B:$G,6,FALSE)</f>
        <v>#N/A</v>
      </c>
      <c r="E575" s="315" t="e">
        <f>VLOOKUP($B575,'COMP. INC'!$B:$H,7,FALSE)</f>
        <v>#N/A</v>
      </c>
    </row>
    <row r="576" spans="2:5">
      <c r="B576" s="734" t="s">
        <v>13915</v>
      </c>
      <c r="C576" s="314" t="e">
        <f>VLOOKUP($B576,'COMP. INC'!$B:$G,2,FALSE)</f>
        <v>#N/A</v>
      </c>
      <c r="D576" s="734" t="e">
        <f>VLOOKUP($B576,'COMP. INC'!$B:$G,6,FALSE)</f>
        <v>#N/A</v>
      </c>
      <c r="E576" s="315" t="e">
        <f>VLOOKUP($B576,'COMP. INC'!$B:$H,7,FALSE)</f>
        <v>#N/A</v>
      </c>
    </row>
    <row r="577" spans="2:5">
      <c r="B577" s="734" t="s">
        <v>13916</v>
      </c>
      <c r="C577" s="314" t="e">
        <f>VLOOKUP($B577,'COMP. INC'!$B:$G,2,FALSE)</f>
        <v>#N/A</v>
      </c>
      <c r="D577" s="734" t="e">
        <f>VLOOKUP($B577,'COMP. INC'!$B:$G,6,FALSE)</f>
        <v>#N/A</v>
      </c>
      <c r="E577" s="315" t="e">
        <f>VLOOKUP($B577,'COMP. INC'!$B:$H,7,FALSE)</f>
        <v>#N/A</v>
      </c>
    </row>
    <row r="578" spans="2:5">
      <c r="B578" s="734" t="s">
        <v>13917</v>
      </c>
      <c r="C578" s="314" t="e">
        <f>VLOOKUP($B578,'COMP. INC'!$B:$G,2,FALSE)</f>
        <v>#N/A</v>
      </c>
      <c r="D578" s="734" t="e">
        <f>VLOOKUP($B578,'COMP. INC'!$B:$G,6,FALSE)</f>
        <v>#N/A</v>
      </c>
      <c r="E578" s="315" t="e">
        <f>VLOOKUP($B578,'COMP. INC'!$B:$H,7,FALSE)</f>
        <v>#N/A</v>
      </c>
    </row>
    <row r="579" spans="2:5">
      <c r="B579" s="734" t="s">
        <v>13918</v>
      </c>
      <c r="C579" s="314" t="e">
        <f>VLOOKUP($B579,'COMP. INC'!$B:$G,2,FALSE)</f>
        <v>#N/A</v>
      </c>
      <c r="D579" s="734" t="e">
        <f>VLOOKUP($B579,'COMP. INC'!$B:$G,6,FALSE)</f>
        <v>#N/A</v>
      </c>
      <c r="E579" s="315" t="e">
        <f>VLOOKUP($B579,'COMP. INC'!$B:$H,7,FALSE)</f>
        <v>#N/A</v>
      </c>
    </row>
    <row r="580" spans="2:5">
      <c r="B580" s="734" t="s">
        <v>13919</v>
      </c>
      <c r="C580" s="314" t="e">
        <f>VLOOKUP($B580,'COMP. INC'!$B:$G,2,FALSE)</f>
        <v>#N/A</v>
      </c>
      <c r="D580" s="734" t="e">
        <f>VLOOKUP($B580,'COMP. INC'!$B:$G,6,FALSE)</f>
        <v>#N/A</v>
      </c>
      <c r="E580" s="315" t="e">
        <f>VLOOKUP($B580,'COMP. INC'!$B:$H,7,FALSE)</f>
        <v>#N/A</v>
      </c>
    </row>
    <row r="581" spans="2:5">
      <c r="B581" s="734" t="s">
        <v>13920</v>
      </c>
      <c r="C581" s="314" t="e">
        <f>VLOOKUP($B581,'COMP. INC'!$B:$G,2,FALSE)</f>
        <v>#N/A</v>
      </c>
      <c r="D581" s="734" t="e">
        <f>VLOOKUP($B581,'COMP. INC'!$B:$G,6,FALSE)</f>
        <v>#N/A</v>
      </c>
      <c r="E581" s="315" t="e">
        <f>VLOOKUP($B581,'COMP. INC'!$B:$H,7,FALSE)</f>
        <v>#N/A</v>
      </c>
    </row>
    <row r="582" spans="2:5">
      <c r="B582" s="734" t="s">
        <v>13921</v>
      </c>
      <c r="C582" s="314" t="e">
        <f>VLOOKUP($B582,'COMP. INC'!$B:$G,2,FALSE)</f>
        <v>#N/A</v>
      </c>
      <c r="D582" s="734" t="e">
        <f>VLOOKUP($B582,'COMP. INC'!$B:$G,6,FALSE)</f>
        <v>#N/A</v>
      </c>
      <c r="E582" s="315" t="e">
        <f>VLOOKUP($B582,'COMP. INC'!$B:$H,7,FALSE)</f>
        <v>#N/A</v>
      </c>
    </row>
    <row r="583" spans="2:5">
      <c r="B583" s="734" t="s">
        <v>13922</v>
      </c>
      <c r="C583" s="314" t="e">
        <f>VLOOKUP($B583,'COMP. INC'!$B:$G,2,FALSE)</f>
        <v>#N/A</v>
      </c>
      <c r="D583" s="734" t="e">
        <f>VLOOKUP($B583,'COMP. INC'!$B:$G,6,FALSE)</f>
        <v>#N/A</v>
      </c>
      <c r="E583" s="315" t="e">
        <f>VLOOKUP($B583,'COMP. INC'!$B:$H,7,FALSE)</f>
        <v>#N/A</v>
      </c>
    </row>
    <row r="584" spans="2:5">
      <c r="B584" s="734" t="s">
        <v>13923</v>
      </c>
      <c r="C584" s="314" t="e">
        <f>VLOOKUP($B584,'COMP. INC'!$B:$G,2,FALSE)</f>
        <v>#N/A</v>
      </c>
      <c r="D584" s="734" t="e">
        <f>VLOOKUP($B584,'COMP. INC'!$B:$G,6,FALSE)</f>
        <v>#N/A</v>
      </c>
      <c r="E584" s="315" t="e">
        <f>VLOOKUP($B584,'COMP. INC'!$B:$H,7,FALSE)</f>
        <v>#N/A</v>
      </c>
    </row>
    <row r="585" spans="2:5">
      <c r="B585" s="734" t="s">
        <v>13924</v>
      </c>
      <c r="C585" s="314" t="e">
        <f>VLOOKUP($B585,'COMP. INC'!$B:$G,2,FALSE)</f>
        <v>#N/A</v>
      </c>
      <c r="D585" s="734" t="e">
        <f>VLOOKUP($B585,'COMP. INC'!$B:$G,6,FALSE)</f>
        <v>#N/A</v>
      </c>
      <c r="E585" s="315" t="e">
        <f>VLOOKUP($B585,'COMP. INC'!$B:$H,7,FALSE)</f>
        <v>#N/A</v>
      </c>
    </row>
    <row r="586" spans="2:5">
      <c r="B586" s="734" t="s">
        <v>13925</v>
      </c>
      <c r="C586" s="314" t="e">
        <f>VLOOKUP($B586,'COMP. INC'!$B:$G,2,FALSE)</f>
        <v>#N/A</v>
      </c>
      <c r="D586" s="734" t="e">
        <f>VLOOKUP($B586,'COMP. INC'!$B:$G,6,FALSE)</f>
        <v>#N/A</v>
      </c>
      <c r="E586" s="315" t="e">
        <f>VLOOKUP($B586,'COMP. INC'!$B:$H,7,FALSE)</f>
        <v>#N/A</v>
      </c>
    </row>
    <row r="587" spans="2:5">
      <c r="B587" s="734" t="s">
        <v>13926</v>
      </c>
      <c r="C587" s="314" t="e">
        <f>VLOOKUP($B587,'COMP. INC'!$B:$G,2,FALSE)</f>
        <v>#N/A</v>
      </c>
      <c r="D587" s="734" t="e">
        <f>VLOOKUP($B587,'COMP. INC'!$B:$G,6,FALSE)</f>
        <v>#N/A</v>
      </c>
      <c r="E587" s="315" t="e">
        <f>VLOOKUP($B587,'COMP. INC'!$B:$H,7,FALSE)</f>
        <v>#N/A</v>
      </c>
    </row>
    <row r="588" spans="2:5">
      <c r="B588" s="734" t="s">
        <v>13927</v>
      </c>
      <c r="C588" s="314" t="e">
        <f>VLOOKUP($B588,'COMP. INC'!$B:$G,2,FALSE)</f>
        <v>#N/A</v>
      </c>
      <c r="D588" s="734" t="e">
        <f>VLOOKUP($B588,'COMP. INC'!$B:$G,6,FALSE)</f>
        <v>#N/A</v>
      </c>
      <c r="E588" s="315" t="e">
        <f>VLOOKUP($B588,'COMP. INC'!$B:$H,7,FALSE)</f>
        <v>#N/A</v>
      </c>
    </row>
    <row r="589" spans="2:5">
      <c r="B589" s="734" t="s">
        <v>13928</v>
      </c>
      <c r="C589" s="314" t="e">
        <f>VLOOKUP($B589,'COMP. INC'!$B:$G,2,FALSE)</f>
        <v>#N/A</v>
      </c>
      <c r="D589" s="734" t="e">
        <f>VLOOKUP($B589,'COMP. INC'!$B:$G,6,FALSE)</f>
        <v>#N/A</v>
      </c>
      <c r="E589" s="315" t="e">
        <f>VLOOKUP($B589,'COMP. INC'!$B:$H,7,FALSE)</f>
        <v>#N/A</v>
      </c>
    </row>
    <row r="590" spans="2:5">
      <c r="B590" s="734" t="s">
        <v>13929</v>
      </c>
      <c r="C590" s="314" t="e">
        <f>VLOOKUP($B590,'COMP. INC'!$B:$G,2,FALSE)</f>
        <v>#N/A</v>
      </c>
      <c r="D590" s="734" t="e">
        <f>VLOOKUP($B590,'COMP. INC'!$B:$G,6,FALSE)</f>
        <v>#N/A</v>
      </c>
      <c r="E590" s="315" t="e">
        <f>VLOOKUP($B590,'COMP. INC'!$B:$H,7,FALSE)</f>
        <v>#N/A</v>
      </c>
    </row>
    <row r="591" spans="2:5">
      <c r="B591" s="734" t="s">
        <v>13930</v>
      </c>
      <c r="C591" s="314" t="e">
        <f>VLOOKUP($B591,'COMP. INC'!$B:$G,2,FALSE)</f>
        <v>#N/A</v>
      </c>
      <c r="D591" s="734" t="e">
        <f>VLOOKUP($B591,'COMP. INC'!$B:$G,6,FALSE)</f>
        <v>#N/A</v>
      </c>
      <c r="E591" s="315" t="e">
        <f>VLOOKUP($B591,'COMP. INC'!$B:$H,7,FALSE)</f>
        <v>#N/A</v>
      </c>
    </row>
    <row r="592" spans="2:5">
      <c r="B592" s="734" t="s">
        <v>13931</v>
      </c>
      <c r="C592" s="314" t="e">
        <f>VLOOKUP($B592,'COMP. INC'!$B:$G,2,FALSE)</f>
        <v>#N/A</v>
      </c>
      <c r="D592" s="734" t="e">
        <f>VLOOKUP($B592,'COMP. INC'!$B:$G,6,FALSE)</f>
        <v>#N/A</v>
      </c>
      <c r="E592" s="315" t="e">
        <f>VLOOKUP($B592,'COMP. INC'!$B:$H,7,FALSE)</f>
        <v>#N/A</v>
      </c>
    </row>
    <row r="593" spans="2:5">
      <c r="B593" s="734" t="s">
        <v>13932</v>
      </c>
      <c r="C593" s="314" t="e">
        <f>VLOOKUP($B593,'COMP. INC'!$B:$G,2,FALSE)</f>
        <v>#N/A</v>
      </c>
      <c r="D593" s="734" t="e">
        <f>VLOOKUP($B593,'COMP. INC'!$B:$G,6,FALSE)</f>
        <v>#N/A</v>
      </c>
      <c r="E593" s="315" t="e">
        <f>VLOOKUP($B593,'COMP. INC'!$B:$H,7,FALSE)</f>
        <v>#N/A</v>
      </c>
    </row>
    <row r="594" spans="2:5">
      <c r="B594" s="734" t="s">
        <v>13933</v>
      </c>
      <c r="C594" s="314" t="e">
        <f>VLOOKUP($B594,'COMP. INC'!$B:$G,2,FALSE)</f>
        <v>#N/A</v>
      </c>
      <c r="D594" s="734" t="e">
        <f>VLOOKUP($B594,'COMP. INC'!$B:$G,6,FALSE)</f>
        <v>#N/A</v>
      </c>
      <c r="E594" s="315" t="e">
        <f>VLOOKUP($B594,'COMP. INC'!$B:$H,7,FALSE)</f>
        <v>#N/A</v>
      </c>
    </row>
    <row r="595" spans="2:5">
      <c r="B595" s="734" t="s">
        <v>13934</v>
      </c>
      <c r="C595" s="314" t="e">
        <f>VLOOKUP($B595,'COMP. INC'!$B:$G,2,FALSE)</f>
        <v>#N/A</v>
      </c>
      <c r="D595" s="734" t="e">
        <f>VLOOKUP($B595,'COMP. INC'!$B:$G,6,FALSE)</f>
        <v>#N/A</v>
      </c>
      <c r="E595" s="315" t="e">
        <f>VLOOKUP($B595,'COMP. INC'!$B:$H,7,FALSE)</f>
        <v>#N/A</v>
      </c>
    </row>
    <row r="596" spans="2:5">
      <c r="B596" s="734" t="s">
        <v>13935</v>
      </c>
      <c r="C596" s="314" t="e">
        <f>VLOOKUP($B596,'COMP. INC'!$B:$G,2,FALSE)</f>
        <v>#N/A</v>
      </c>
      <c r="D596" s="734" t="e">
        <f>VLOOKUP($B596,'COMP. INC'!$B:$G,6,FALSE)</f>
        <v>#N/A</v>
      </c>
      <c r="E596" s="315" t="e">
        <f>VLOOKUP($B596,'COMP. INC'!$B:$H,7,FALSE)</f>
        <v>#N/A</v>
      </c>
    </row>
    <row r="597" spans="2:5">
      <c r="B597" s="734" t="s">
        <v>13936</v>
      </c>
      <c r="C597" s="314" t="e">
        <f>VLOOKUP($B597,'COMP. INC'!$B:$G,2,FALSE)</f>
        <v>#N/A</v>
      </c>
      <c r="D597" s="734" t="e">
        <f>VLOOKUP($B597,'COMP. INC'!$B:$G,6,FALSE)</f>
        <v>#N/A</v>
      </c>
      <c r="E597" s="315" t="e">
        <f>VLOOKUP($B597,'COMP. INC'!$B:$H,7,FALSE)</f>
        <v>#N/A</v>
      </c>
    </row>
    <row r="598" spans="2:5" ht="15.75" thickBot="1"/>
    <row r="599" spans="2:5" ht="16.5" thickBot="1">
      <c r="B599" s="75" t="s">
        <v>13937</v>
      </c>
      <c r="C599" s="76" t="s">
        <v>2159</v>
      </c>
      <c r="D599" s="78" t="s">
        <v>25</v>
      </c>
      <c r="E599" s="79" t="s">
        <v>26</v>
      </c>
    </row>
    <row r="600" spans="2:5">
      <c r="B600" s="734" t="s">
        <v>13368</v>
      </c>
      <c r="C600" s="314" t="str">
        <f>VLOOKUP($B600,'COMPOSIÇÃO ESTRUTURAL'!$B:$G,2,FALSE)</f>
        <v>FORNECIMENTO DE ESTRUTURA METÁLICA  COM UTILIZAÇÃO DE PERFIS EM AÇO ASTM A36, COM FUNDO ATINCORROSIVO (ZARÇÃO)</v>
      </c>
      <c r="D600" s="734" t="str">
        <f>VLOOKUP($B600,'COMPOSIÇÃO ESTRUTURAL'!$B:$G,6,FALSE)</f>
        <v>KG</v>
      </c>
      <c r="E600" s="315">
        <f>VLOOKUP($B600,'COMPOSIÇÃO ESTRUTURAL'!$B:$H,7,FALSE)</f>
        <v>17.64</v>
      </c>
    </row>
    <row r="601" spans="2:5">
      <c r="B601" s="734" t="s">
        <v>13938</v>
      </c>
      <c r="C601" s="314" t="str">
        <f>VLOOKUP($B601,'COMPOSIÇÃO ESTRUTURAL'!$B:$G,2,FALSE)</f>
        <v xml:space="preserve">MONTAGEM DE ESTRUTURA METÁLICA </v>
      </c>
      <c r="D601" s="734" t="str">
        <f>VLOOKUP($B601,'COMPOSIÇÃO ESTRUTURAL'!$B:$G,6,FALSE)</f>
        <v>KG</v>
      </c>
      <c r="E601" s="315">
        <f>VLOOKUP($B601,'COMPOSIÇÃO ESTRUTURAL'!$B:$H,7,FALSE)</f>
        <v>3.74</v>
      </c>
    </row>
    <row r="602" spans="2:5">
      <c r="B602" s="734" t="s">
        <v>13939</v>
      </c>
      <c r="C602" s="314" t="str">
        <f>VLOOKUP($B602,'COMPOSIÇÃO ESTRUTURAL'!$B:$G,2,FALSE)</f>
        <v>CHUMBADOR PARABOLT -  COM PORCA E ARRUELA P/FIXAÇÃO PEÇA ESTRUTURAL ACO/CONCRETO</v>
      </c>
      <c r="D602" s="734" t="str">
        <f>VLOOKUP($B602,'COMPOSIÇÃO ESTRUTURAL'!$B:$G,6,FALSE)</f>
        <v>UN</v>
      </c>
      <c r="E602" s="315">
        <f>VLOOKUP($B602,'COMPOSIÇÃO ESTRUTURAL'!$B:$H,7,FALSE)</f>
        <v>15.04</v>
      </c>
    </row>
    <row r="603" spans="2:5">
      <c r="B603" s="734" t="s">
        <v>13940</v>
      </c>
      <c r="C603" s="314" t="e">
        <f>VLOOKUP($B603,'COMPOSIÇÃO ESTRUTURAL'!$B:$G,2,FALSE)</f>
        <v>#N/A</v>
      </c>
      <c r="D603" s="734" t="e">
        <f>VLOOKUP($B603,'COMPOSIÇÃO ESTRUTURAL'!$B:$G,6,FALSE)</f>
        <v>#N/A</v>
      </c>
      <c r="E603" s="315" t="e">
        <f>VLOOKUP($B603,'COMPOSIÇÃO ESTRUTURAL'!$B:$H,7,FALSE)</f>
        <v>#N/A</v>
      </c>
    </row>
    <row r="604" spans="2:5">
      <c r="B604" s="734" t="s">
        <v>13941</v>
      </c>
      <c r="C604" s="314" t="e">
        <f>VLOOKUP($B604,'COMPOSIÇÃO ESTRUTURAL'!$B:$G,2,FALSE)</f>
        <v>#N/A</v>
      </c>
      <c r="D604" s="734" t="e">
        <f>VLOOKUP($B604,'COMPOSIÇÃO ESTRUTURAL'!$B:$G,6,FALSE)</f>
        <v>#N/A</v>
      </c>
      <c r="E604" s="315" t="e">
        <f>VLOOKUP($B604,'COMPOSIÇÃO ESTRUTURAL'!$B:$H,7,FALSE)</f>
        <v>#N/A</v>
      </c>
    </row>
    <row r="605" spans="2:5">
      <c r="B605" s="734" t="s">
        <v>13942</v>
      </c>
      <c r="C605" s="314" t="e">
        <f>VLOOKUP($B605,'COMPOSIÇÃO ESTRUTURAL'!$B:$G,2,FALSE)</f>
        <v>#N/A</v>
      </c>
      <c r="D605" s="734" t="e">
        <f>VLOOKUP($B605,'COMPOSIÇÃO ESTRUTURAL'!$B:$G,6,FALSE)</f>
        <v>#N/A</v>
      </c>
      <c r="E605" s="315" t="e">
        <f>VLOOKUP($B605,'COMPOSIÇÃO ESTRUTURAL'!$B:$H,7,FALSE)</f>
        <v>#N/A</v>
      </c>
    </row>
    <row r="606" spans="2:5">
      <c r="B606" s="734" t="s">
        <v>13943</v>
      </c>
      <c r="C606" s="314" t="e">
        <f>VLOOKUP($B606,'COMPOSIÇÃO ESTRUTURAL'!$B:$G,2,FALSE)</f>
        <v>#N/A</v>
      </c>
      <c r="D606" s="734" t="e">
        <f>VLOOKUP($B606,'COMPOSIÇÃO ESTRUTURAL'!$B:$G,6,FALSE)</f>
        <v>#N/A</v>
      </c>
      <c r="E606" s="315" t="e">
        <f>VLOOKUP($B606,'COMPOSIÇÃO ESTRUTURAL'!$B:$H,7,FALSE)</f>
        <v>#N/A</v>
      </c>
    </row>
    <row r="607" spans="2:5">
      <c r="B607" s="734" t="s">
        <v>13944</v>
      </c>
      <c r="C607" s="314" t="e">
        <f>VLOOKUP($B607,'COMPOSIÇÃO ESTRUTURAL'!$B:$G,2,FALSE)</f>
        <v>#N/A</v>
      </c>
      <c r="D607" s="734" t="e">
        <f>VLOOKUP($B607,'COMPOSIÇÃO ESTRUTURAL'!$B:$G,6,FALSE)</f>
        <v>#N/A</v>
      </c>
      <c r="E607" s="315" t="e">
        <f>VLOOKUP($B607,'COMPOSIÇÃO ESTRUTURAL'!$B:$H,7,FALSE)</f>
        <v>#N/A</v>
      </c>
    </row>
    <row r="608" spans="2:5">
      <c r="B608" s="734" t="s">
        <v>13945</v>
      </c>
      <c r="C608" s="314" t="e">
        <f>VLOOKUP($B608,'COMPOSIÇÃO ESTRUTURAL'!$B:$G,2,FALSE)</f>
        <v>#N/A</v>
      </c>
      <c r="D608" s="734" t="e">
        <f>VLOOKUP($B608,'COMPOSIÇÃO ESTRUTURAL'!$B:$G,6,FALSE)</f>
        <v>#N/A</v>
      </c>
      <c r="E608" s="315" t="e">
        <f>VLOOKUP($B608,'COMPOSIÇÃO ESTRUTURAL'!$B:$H,7,FALSE)</f>
        <v>#N/A</v>
      </c>
    </row>
    <row r="609" spans="2:5">
      <c r="B609" s="734" t="s">
        <v>13946</v>
      </c>
      <c r="C609" s="314" t="e">
        <f>VLOOKUP($B609,'COMPOSIÇÃO ESTRUTURAL'!$B:$G,2,FALSE)</f>
        <v>#N/A</v>
      </c>
      <c r="D609" s="734" t="e">
        <f>VLOOKUP($B609,'COMPOSIÇÃO ESTRUTURAL'!$B:$G,6,FALSE)</f>
        <v>#N/A</v>
      </c>
      <c r="E609" s="315" t="e">
        <f>VLOOKUP($B609,'COMPOSIÇÃO ESTRUTURAL'!$B:$H,7,FALSE)</f>
        <v>#N/A</v>
      </c>
    </row>
    <row r="610" spans="2:5">
      <c r="B610" s="734" t="s">
        <v>13947</v>
      </c>
      <c r="C610" s="314" t="e">
        <f>VLOOKUP($B610,'COMPOSIÇÃO ESTRUTURAL'!$B:$G,2,FALSE)</f>
        <v>#N/A</v>
      </c>
      <c r="D610" s="734" t="e">
        <f>VLOOKUP($B610,'COMPOSIÇÃO ESTRUTURAL'!$B:$G,6,FALSE)</f>
        <v>#N/A</v>
      </c>
      <c r="E610" s="315" t="e">
        <f>VLOOKUP($B610,'COMPOSIÇÃO ESTRUTURAL'!$B:$H,7,FALSE)</f>
        <v>#N/A</v>
      </c>
    </row>
    <row r="611" spans="2:5">
      <c r="B611" s="734" t="s">
        <v>13948</v>
      </c>
      <c r="C611" s="314" t="e">
        <f>VLOOKUP($B611,'COMPOSIÇÃO ESTRUTURAL'!$B:$G,2,FALSE)</f>
        <v>#N/A</v>
      </c>
      <c r="D611" s="734" t="e">
        <f>VLOOKUP($B611,'COMPOSIÇÃO ESTRUTURAL'!$B:$G,6,FALSE)</f>
        <v>#N/A</v>
      </c>
      <c r="E611" s="315" t="e">
        <f>VLOOKUP($B611,'COMPOSIÇÃO ESTRUTURAL'!$B:$H,7,FALSE)</f>
        <v>#N/A</v>
      </c>
    </row>
    <row r="612" spans="2:5">
      <c r="B612" s="734" t="s">
        <v>13949</v>
      </c>
      <c r="C612" s="314" t="e">
        <f>VLOOKUP($B612,'COMPOSIÇÃO ESTRUTURAL'!$B:$G,2,FALSE)</f>
        <v>#N/A</v>
      </c>
      <c r="D612" s="734" t="e">
        <f>VLOOKUP($B612,'COMPOSIÇÃO ESTRUTURAL'!$B:$G,6,FALSE)</f>
        <v>#N/A</v>
      </c>
      <c r="E612" s="315" t="e">
        <f>VLOOKUP($B612,'COMPOSIÇÃO ESTRUTURAL'!$B:$H,7,FALSE)</f>
        <v>#N/A</v>
      </c>
    </row>
    <row r="613" spans="2:5">
      <c r="B613" s="734" t="s">
        <v>13950</v>
      </c>
      <c r="C613" s="314" t="e">
        <f>VLOOKUP($B613,'COMPOSIÇÃO ESTRUTURAL'!$B:$G,2,FALSE)</f>
        <v>#N/A</v>
      </c>
      <c r="D613" s="734" t="e">
        <f>VLOOKUP($B613,'COMPOSIÇÃO ESTRUTURAL'!$B:$G,6,FALSE)</f>
        <v>#N/A</v>
      </c>
      <c r="E613" s="315" t="e">
        <f>VLOOKUP($B613,'COMPOSIÇÃO ESTRUTURAL'!$B:$H,7,FALSE)</f>
        <v>#N/A</v>
      </c>
    </row>
    <row r="614" spans="2:5">
      <c r="B614" s="734" t="s">
        <v>13951</v>
      </c>
      <c r="C614" s="314" t="e">
        <f>VLOOKUP($B614,'COMPOSIÇÃO ESTRUTURAL'!$B:$G,2,FALSE)</f>
        <v>#N/A</v>
      </c>
      <c r="D614" s="734" t="e">
        <f>VLOOKUP($B614,'COMPOSIÇÃO ESTRUTURAL'!$B:$G,6,FALSE)</f>
        <v>#N/A</v>
      </c>
      <c r="E614" s="315" t="e">
        <f>VLOOKUP($B614,'COMPOSIÇÃO ESTRUTURAL'!$B:$H,7,FALSE)</f>
        <v>#N/A</v>
      </c>
    </row>
    <row r="615" spans="2:5">
      <c r="B615" s="734" t="s">
        <v>13952</v>
      </c>
      <c r="C615" s="314" t="e">
        <f>VLOOKUP($B615,'COMPOSIÇÃO ESTRUTURAL'!$B:$G,2,FALSE)</f>
        <v>#N/A</v>
      </c>
      <c r="D615" s="734" t="e">
        <f>VLOOKUP($B615,'COMPOSIÇÃO ESTRUTURAL'!$B:$G,6,FALSE)</f>
        <v>#N/A</v>
      </c>
      <c r="E615" s="315" t="e">
        <f>VLOOKUP($B615,'COMPOSIÇÃO ESTRUTURAL'!$B:$H,7,FALSE)</f>
        <v>#N/A</v>
      </c>
    </row>
    <row r="616" spans="2:5">
      <c r="B616" s="734" t="s">
        <v>13953</v>
      </c>
      <c r="C616" s="314" t="e">
        <f>VLOOKUP($B616,'COMPOSIÇÃO ESTRUTURAL'!$B:$G,2,FALSE)</f>
        <v>#N/A</v>
      </c>
      <c r="D616" s="734" t="e">
        <f>VLOOKUP($B616,'COMPOSIÇÃO ESTRUTURAL'!$B:$G,6,FALSE)</f>
        <v>#N/A</v>
      </c>
      <c r="E616" s="315" t="e">
        <f>VLOOKUP($B616,'COMPOSIÇÃO ESTRUTURAL'!$B:$H,7,FALSE)</f>
        <v>#N/A</v>
      </c>
    </row>
    <row r="617" spans="2:5">
      <c r="B617" s="734" t="s">
        <v>13954</v>
      </c>
      <c r="C617" s="314" t="e">
        <f>VLOOKUP($B617,'COMPOSIÇÃO ESTRUTURAL'!$B:$G,2,FALSE)</f>
        <v>#N/A</v>
      </c>
      <c r="D617" s="734" t="e">
        <f>VLOOKUP($B617,'COMPOSIÇÃO ESTRUTURAL'!$B:$G,6,FALSE)</f>
        <v>#N/A</v>
      </c>
      <c r="E617" s="315" t="e">
        <f>VLOOKUP($B617,'COMPOSIÇÃO ESTRUTURAL'!$B:$H,7,FALSE)</f>
        <v>#N/A</v>
      </c>
    </row>
    <row r="618" spans="2:5">
      <c r="B618" s="734" t="s">
        <v>13955</v>
      </c>
      <c r="C618" s="314" t="e">
        <f>VLOOKUP($B618,'COMPOSIÇÃO ESTRUTURAL'!$B:$G,2,FALSE)</f>
        <v>#N/A</v>
      </c>
      <c r="D618" s="734" t="e">
        <f>VLOOKUP($B618,'COMPOSIÇÃO ESTRUTURAL'!$B:$G,6,FALSE)</f>
        <v>#N/A</v>
      </c>
      <c r="E618" s="315" t="e">
        <f>VLOOKUP($B618,'COMPOSIÇÃO ESTRUTURAL'!$B:$H,7,FALSE)</f>
        <v>#N/A</v>
      </c>
    </row>
    <row r="619" spans="2:5">
      <c r="B619" s="734" t="s">
        <v>13956</v>
      </c>
      <c r="C619" s="314" t="e">
        <f>VLOOKUP($B619,'COMPOSIÇÃO ESTRUTURAL'!$B:$G,2,FALSE)</f>
        <v>#N/A</v>
      </c>
      <c r="D619" s="734" t="e">
        <f>VLOOKUP($B619,'COMPOSIÇÃO ESTRUTURAL'!$B:$G,6,FALSE)</f>
        <v>#N/A</v>
      </c>
      <c r="E619" s="315" t="e">
        <f>VLOOKUP($B619,'COMPOSIÇÃO ESTRUTURAL'!$B:$H,7,FALSE)</f>
        <v>#N/A</v>
      </c>
    </row>
    <row r="620" spans="2:5">
      <c r="B620" s="734" t="s">
        <v>13957</v>
      </c>
      <c r="C620" s="314" t="e">
        <f>VLOOKUP($B620,'COMPOSIÇÃO ESTRUTURAL'!$B:$G,2,FALSE)</f>
        <v>#N/A</v>
      </c>
      <c r="D620" s="734" t="e">
        <f>VLOOKUP($B620,'COMPOSIÇÃO ESTRUTURAL'!$B:$G,6,FALSE)</f>
        <v>#N/A</v>
      </c>
      <c r="E620" s="315" t="e">
        <f>VLOOKUP($B620,'COMPOSIÇÃO ESTRUTURAL'!$B:$H,7,FALSE)</f>
        <v>#N/A</v>
      </c>
    </row>
    <row r="621" spans="2:5">
      <c r="B621" s="734" t="s">
        <v>13958</v>
      </c>
      <c r="C621" s="314" t="e">
        <f>VLOOKUP($B621,'COMPOSIÇÃO ESTRUTURAL'!$B:$G,2,FALSE)</f>
        <v>#N/A</v>
      </c>
      <c r="D621" s="734" t="e">
        <f>VLOOKUP($B621,'COMPOSIÇÃO ESTRUTURAL'!$B:$G,6,FALSE)</f>
        <v>#N/A</v>
      </c>
      <c r="E621" s="315" t="e">
        <f>VLOOKUP($B621,'COMPOSIÇÃO ESTRUTURAL'!$B:$H,7,FALSE)</f>
        <v>#N/A</v>
      </c>
    </row>
    <row r="622" spans="2:5">
      <c r="B622" s="734" t="s">
        <v>13959</v>
      </c>
      <c r="C622" s="314" t="e">
        <f>VLOOKUP($B622,'COMPOSIÇÃO ESTRUTURAL'!$B:$G,2,FALSE)</f>
        <v>#N/A</v>
      </c>
      <c r="D622" s="734" t="e">
        <f>VLOOKUP($B622,'COMPOSIÇÃO ESTRUTURAL'!$B:$G,6,FALSE)</f>
        <v>#N/A</v>
      </c>
      <c r="E622" s="315" t="e">
        <f>VLOOKUP($B622,'COMPOSIÇÃO ESTRUTURAL'!$B:$H,7,FALSE)</f>
        <v>#N/A</v>
      </c>
    </row>
    <row r="623" spans="2:5">
      <c r="B623" s="734" t="s">
        <v>13960</v>
      </c>
      <c r="C623" s="314" t="e">
        <f>VLOOKUP($B623,'COMPOSIÇÃO ESTRUTURAL'!$B:$G,2,FALSE)</f>
        <v>#N/A</v>
      </c>
      <c r="D623" s="734" t="e">
        <f>VLOOKUP($B623,'COMPOSIÇÃO ESTRUTURAL'!$B:$G,6,FALSE)</f>
        <v>#N/A</v>
      </c>
      <c r="E623" s="315" t="e">
        <f>VLOOKUP($B623,'COMPOSIÇÃO ESTRUTURAL'!$B:$H,7,FALSE)</f>
        <v>#N/A</v>
      </c>
    </row>
    <row r="624" spans="2:5">
      <c r="B624" s="734" t="s">
        <v>13961</v>
      </c>
      <c r="C624" s="314" t="e">
        <f>VLOOKUP($B624,'COMPOSIÇÃO ESTRUTURAL'!$B:$G,2,FALSE)</f>
        <v>#N/A</v>
      </c>
      <c r="D624" s="734" t="e">
        <f>VLOOKUP($B624,'COMPOSIÇÃO ESTRUTURAL'!$B:$G,6,FALSE)</f>
        <v>#N/A</v>
      </c>
      <c r="E624" s="315" t="e">
        <f>VLOOKUP($B624,'COMPOSIÇÃO ESTRUTURAL'!$B:$H,7,FALSE)</f>
        <v>#N/A</v>
      </c>
    </row>
    <row r="625" spans="2:5">
      <c r="B625" s="734" t="s">
        <v>13962</v>
      </c>
      <c r="C625" s="314" t="e">
        <f>VLOOKUP($B625,'COMPOSIÇÃO ESTRUTURAL'!$B:$G,2,FALSE)</f>
        <v>#N/A</v>
      </c>
      <c r="D625" s="734" t="e">
        <f>VLOOKUP($B625,'COMPOSIÇÃO ESTRUTURAL'!$B:$G,6,FALSE)</f>
        <v>#N/A</v>
      </c>
      <c r="E625" s="315" t="e">
        <f>VLOOKUP($B625,'COMPOSIÇÃO ESTRUTURAL'!$B:$H,7,FALSE)</f>
        <v>#N/A</v>
      </c>
    </row>
    <row r="626" spans="2:5">
      <c r="B626" s="734" t="s">
        <v>13963</v>
      </c>
      <c r="C626" s="314" t="e">
        <f>VLOOKUP($B626,'COMPOSIÇÃO ESTRUTURAL'!$B:$G,2,FALSE)</f>
        <v>#N/A</v>
      </c>
      <c r="D626" s="734" t="e">
        <f>VLOOKUP($B626,'COMPOSIÇÃO ESTRUTURAL'!$B:$G,6,FALSE)</f>
        <v>#N/A</v>
      </c>
      <c r="E626" s="315" t="e">
        <f>VLOOKUP($B626,'COMPOSIÇÃO ESTRUTURAL'!$B:$H,7,FALSE)</f>
        <v>#N/A</v>
      </c>
    </row>
    <row r="627" spans="2:5">
      <c r="B627" s="734" t="s">
        <v>13964</v>
      </c>
      <c r="C627" s="314" t="e">
        <f>VLOOKUP($B627,'COMPOSIÇÃO ESTRUTURAL'!$B:$G,2,FALSE)</f>
        <v>#N/A</v>
      </c>
      <c r="D627" s="734" t="e">
        <f>VLOOKUP($B627,'COMPOSIÇÃO ESTRUTURAL'!$B:$G,6,FALSE)</f>
        <v>#N/A</v>
      </c>
      <c r="E627" s="315" t="e">
        <f>VLOOKUP($B627,'COMPOSIÇÃO ESTRUTURAL'!$B:$H,7,FALSE)</f>
        <v>#N/A</v>
      </c>
    </row>
    <row r="628" spans="2:5">
      <c r="B628" s="734" t="s">
        <v>13965</v>
      </c>
      <c r="C628" s="314" t="e">
        <f>VLOOKUP($B628,'COMPOSIÇÃO ESTRUTURAL'!$B:$G,2,FALSE)</f>
        <v>#N/A</v>
      </c>
      <c r="D628" s="734" t="e">
        <f>VLOOKUP($B628,'COMPOSIÇÃO ESTRUTURAL'!$B:$G,6,FALSE)</f>
        <v>#N/A</v>
      </c>
      <c r="E628" s="315" t="e">
        <f>VLOOKUP($B628,'COMPOSIÇÃO ESTRUTURAL'!$B:$H,7,FALSE)</f>
        <v>#N/A</v>
      </c>
    </row>
    <row r="629" spans="2:5">
      <c r="B629" s="734" t="s">
        <v>13966</v>
      </c>
      <c r="C629" s="314" t="e">
        <f>VLOOKUP($B629,'COMPOSIÇÃO ESTRUTURAL'!$B:$G,2,FALSE)</f>
        <v>#N/A</v>
      </c>
      <c r="D629" s="734" t="e">
        <f>VLOOKUP($B629,'COMPOSIÇÃO ESTRUTURAL'!$B:$G,6,FALSE)</f>
        <v>#N/A</v>
      </c>
      <c r="E629" s="315" t="e">
        <f>VLOOKUP($B629,'COMPOSIÇÃO ESTRUTURAL'!$B:$H,7,FALSE)</f>
        <v>#N/A</v>
      </c>
    </row>
    <row r="630" spans="2:5">
      <c r="B630" s="734" t="s">
        <v>13967</v>
      </c>
      <c r="C630" s="314" t="e">
        <f>VLOOKUP($B630,'COMPOSIÇÃO ESTRUTURAL'!$B:$G,2,FALSE)</f>
        <v>#N/A</v>
      </c>
      <c r="D630" s="734" t="e">
        <f>VLOOKUP($B630,'COMPOSIÇÃO ESTRUTURAL'!$B:$G,6,FALSE)</f>
        <v>#N/A</v>
      </c>
      <c r="E630" s="315" t="e">
        <f>VLOOKUP($B630,'COMPOSIÇÃO ESTRUTURAL'!$B:$H,7,FALSE)</f>
        <v>#N/A</v>
      </c>
    </row>
    <row r="631" spans="2:5">
      <c r="B631" s="734" t="s">
        <v>13968</v>
      </c>
      <c r="C631" s="314" t="e">
        <f>VLOOKUP($B631,'COMPOSIÇÃO ESTRUTURAL'!$B:$G,2,FALSE)</f>
        <v>#N/A</v>
      </c>
      <c r="D631" s="734" t="e">
        <f>VLOOKUP($B631,'COMPOSIÇÃO ESTRUTURAL'!$B:$G,6,FALSE)</f>
        <v>#N/A</v>
      </c>
      <c r="E631" s="315" t="e">
        <f>VLOOKUP($B631,'COMPOSIÇÃO ESTRUTURAL'!$B:$H,7,FALSE)</f>
        <v>#N/A</v>
      </c>
    </row>
    <row r="632" spans="2:5" ht="15.75" thickBot="1"/>
    <row r="633" spans="2:5" ht="16.5" thickBot="1">
      <c r="B633" s="75" t="s">
        <v>13937</v>
      </c>
      <c r="C633" s="76" t="s">
        <v>2706</v>
      </c>
      <c r="D633" s="78" t="s">
        <v>25</v>
      </c>
      <c r="E633" s="79" t="s">
        <v>26</v>
      </c>
    </row>
    <row r="634" spans="2:5" ht="30">
      <c r="B634" s="734" t="s">
        <v>13969</v>
      </c>
      <c r="C634" s="314" t="str">
        <f>VLOOKUP($B634,'COMP. ACAD CEF'!$B:$G,2,FALSE)</f>
        <v xml:space="preserve">FORNECIMENTO E INSTALAÇÃO DE ALONGADOR COM TRES ALTURAS, EM TUBO DE ACO CARBONO, PINTURA NO PROCESSO ELETROSTATICO - EQUIPAMENTO DE GINASTICA PARA ACADEMIA AO AR LIVRE / ACADEMIA DA TERCEIRA IDADE - ATI                                                                                                                                                                                                                                                                                                                             </v>
      </c>
      <c r="D634" s="314" t="str">
        <f>VLOOKUP($B634,'COMP. ACAD CEF'!$B:$G,6,FALSE)</f>
        <v>UN</v>
      </c>
      <c r="E634" s="315">
        <f>VLOOKUP($B634,'COMP. ACAD CEF'!$B:$H,7,FALSE)</f>
        <v>2349.16</v>
      </c>
    </row>
    <row r="635" spans="2:5" ht="30">
      <c r="B635" s="734" t="s">
        <v>13970</v>
      </c>
      <c r="C635" s="314" t="str">
        <f>VLOOKUP($B635,'COMP. ACAD CEF'!$B:$G,2,FALSE)</f>
        <v xml:space="preserve">FORNECIMENTO E INSTALAÇÃO DE ROTACAO DIAGONAL DUPLA, APARELHO TRIPLO, EM TUBO DE ACO CARBONO, PINTURA NO PROCESSO ELETROSTATICO - EQUIPAMENTO DE GINASTICA PARA ACADEMIA AO AR LIVRE / ACADEMIA DA TERCEIRA IDADE - ATI                                                                                                                                                                                                                                                                                                                </v>
      </c>
      <c r="D635" s="314" t="str">
        <f>VLOOKUP($B635,'COMP. ACAD CEF'!$B:$G,6,FALSE)</f>
        <v>UN</v>
      </c>
      <c r="E635" s="315">
        <f>VLOOKUP($B635,'COMP. ACAD CEF'!$B:$H,7,FALSE)</f>
        <v>2502.8000000000002</v>
      </c>
    </row>
    <row r="636" spans="2:5" ht="30">
      <c r="B636" s="734" t="s">
        <v>13971</v>
      </c>
      <c r="C636" s="314" t="str">
        <f>VLOOKUP($B636,'COMP. ACAD CEF'!$B:$G,2,FALSE)</f>
        <v xml:space="preserve">FORNECIMENTO E INSTALAÇÃO DE ROTACAO VERTICAL DUPLO, EM TUBO DE ACO CARBONO, PINTURA NO PROCESSO ELETROSTATICO - EQUIPAMENTO DE GINASTICA PARA ACADEMIA AO AR LIVRE / ACADEMIA DA TERCEIRA IDADE - ATI                                                                                                                                                                                                                                                                                                                                 </v>
      </c>
      <c r="D636" s="314" t="str">
        <f>VLOOKUP($B636,'COMP. ACAD CEF'!$B:$G,6,FALSE)</f>
        <v>UN</v>
      </c>
      <c r="E636" s="315">
        <f>VLOOKUP($B636,'COMP. ACAD CEF'!$B:$H,7,FALSE)</f>
        <v>1921.53</v>
      </c>
    </row>
    <row r="637" spans="2:5" ht="30">
      <c r="B637" s="734" t="s">
        <v>13972</v>
      </c>
      <c r="C637" s="314" t="str">
        <f>VLOOKUP($B637,'COMP. ACAD CEF'!$B:$G,2,FALSE)</f>
        <v xml:space="preserve">FORNECIMENTO E INSTALAÇÃO DE SURF DUPLO, EM TUBO DE ACO CARBONO, PINTURA NO PROCESSO ELETROSTATICO - EQUIPAMENTO DE GINASTICA PARA ACADEMIA AO AR LIVRE / ACADEMIA DA TERCEIRA IDADE - ATI                                                                                                                                                                                                                                                                                                                                             </v>
      </c>
      <c r="D637" s="314" t="str">
        <f>VLOOKUP($B637,'COMP. ACAD CEF'!$B:$G,6,FALSE)</f>
        <v>UN</v>
      </c>
      <c r="E637" s="315">
        <f>VLOOKUP($B637,'COMP. ACAD CEF'!$B:$H,7,FALSE)</f>
        <v>2779.5</v>
      </c>
    </row>
    <row r="638" spans="2:5" ht="30">
      <c r="B638" s="734" t="s">
        <v>13973</v>
      </c>
      <c r="C638" s="314" t="str">
        <f>VLOOKUP($B638,'COMP. ACAD CEF'!$B:$G,2,FALSE)</f>
        <v>FORNECIMENTO E INSTALAÇÃO DE PRESSÃO DE PERNAS DUPLO EM TUBO DE ACO CARBONO, PINTURA NO PROCESSO ELETROSTATICO - EQUIPAMENTO DE GINASTICA PARA ACADEMIA AO AR LIVRE / ACADEMIA DA TERCEIRA IDADE - ATI</v>
      </c>
      <c r="D638" s="314" t="str">
        <f>VLOOKUP($B638,'COMP. ACAD CEF'!$B:$G,6,FALSE)</f>
        <v>UN</v>
      </c>
      <c r="E638" s="315">
        <f>VLOOKUP($B638,'COMP. ACAD CEF'!$B:$H,7,FALSE)</f>
        <v>2899.27</v>
      </c>
    </row>
    <row r="639" spans="2:5" ht="30">
      <c r="B639" s="734" t="s">
        <v>13974</v>
      </c>
      <c r="C639" s="314" t="str">
        <f>VLOOKUP($B639,'COMP. ACAD CEF'!$B:$G,2,FALSE)</f>
        <v>FORNECIMENTO E INSTALAÇÃO DE ESQUI INDIVIDUAL EM TUBO DE ACO CARBONO, PINTURA NO PROCESSO ELETROSTATICO - EQUIPAMENTO DE GINASTICA PARA ACADEMIA AO AR LIVRE / ACADEMIA DA TERCEIRA IDADE - ATI</v>
      </c>
      <c r="D639" s="314" t="str">
        <f>VLOOKUP($B639,'COMP. ACAD CEF'!$B:$G,6,FALSE)</f>
        <v>UN</v>
      </c>
      <c r="E639" s="315">
        <f>VLOOKUP($B639,'COMP. ACAD CEF'!$B:$H,7,FALSE)</f>
        <v>3024.39</v>
      </c>
    </row>
    <row r="640" spans="2:5" ht="30">
      <c r="B640" s="734" t="s">
        <v>13975</v>
      </c>
      <c r="C640" s="314" t="str">
        <f>VLOOKUP($B640,'COMP. ACAD CEF'!$B:$G,2,FALSE)</f>
        <v>FORNECIMENTO E INSTALAÇÃO DE SIMULADOR DE CAVALGADA INDIVIDUAL EM TUBO DE ACO CARBONO, PINTURA NO PROCESSO ELETROSTATICO - EQUIPAMENTO DE GINASTICA PARA ACADEMIA AO AR LIVRE / ACADEMIA DA TERCEIRA IDADE - ATI</v>
      </c>
      <c r="D640" s="314" t="str">
        <f>VLOOKUP($B640,'COMP. ACAD CEF'!$B:$G,6,FALSE)</f>
        <v>UN</v>
      </c>
      <c r="E640" s="315">
        <f>VLOOKUP($B640,'COMP. ACAD CEF'!$B:$H,7,FALSE)</f>
        <v>2848.39</v>
      </c>
    </row>
    <row r="641" spans="2:5" ht="30">
      <c r="B641" s="734" t="s">
        <v>13976</v>
      </c>
      <c r="C641" s="314" t="str">
        <f>VLOOKUP($B641,'COMP. ACAD CEF'!$B:$G,2,FALSE)</f>
        <v xml:space="preserve">FORNECIMENTO E INSTALAÇÃO DE SIMULADOR DE REMO INDIVIDUAL, EM TUBO DE ACO CARBONO, PINTURA NO PROCESSO ELETROSTATICO - EQUIPAMENTO DE GINASTICA PARA ACADEMIA AO AR LIVRE / ACADEMIA DA TERCEIRA IDADE - ATI                                                                                                                                                                                                                                                                                                                           </v>
      </c>
      <c r="D641" s="314" t="str">
        <f>VLOOKUP($B641,'COMP. ACAD CEF'!$B:$G,6,FALSE)</f>
        <v>UN</v>
      </c>
      <c r="E641" s="315">
        <f>VLOOKUP($B641,'COMP. ACAD CEF'!$B:$H,7,FALSE)</f>
        <v>5239.72</v>
      </c>
    </row>
    <row r="642" spans="2:5" ht="30">
      <c r="B642" s="734" t="s">
        <v>13977</v>
      </c>
      <c r="C642" s="314" t="str">
        <f>VLOOKUP($B642,'COMP. ACAD CEF'!$B:$G,2,FALSE)</f>
        <v>FORNECIMENTO E INSTALAÇÃO DE SIMULADOR DE CAMINHADA INDIVIDUAL, EM TUBO DE ACO CARBONO, PINTURA NO PROCESSO ELETROSTATICO - EQUIPAMENTO DE GINASTICA PARA ACADEMIA AO AR LIVRE / ACADEMIA DA TERCEIRA IDADE - ATI</v>
      </c>
      <c r="D642" s="314" t="str">
        <f>VLOOKUP($B642,'COMP. ACAD CEF'!$B:$G,6,FALSE)</f>
        <v>UN</v>
      </c>
      <c r="E642" s="315">
        <f>VLOOKUP($B642,'COMP. ACAD CEF'!$B:$H,7,FALSE)</f>
        <v>2894.88</v>
      </c>
    </row>
    <row r="643" spans="2:5" ht="30">
      <c r="B643" s="734" t="s">
        <v>13978</v>
      </c>
      <c r="C643" s="314" t="str">
        <f>VLOOKUP($B643,'COMP. ACAD CEF'!$B:$G,2,FALSE)</f>
        <v xml:space="preserve">FORNECIMENTO E INSTALAÇÃO DE MULTIEXERCITADOR COM SEIS FUNCOES, EM TUBO DE ACO CARBONO, PINTURA NO PROCESSO ELETROSTATICO - EQUIPAMENTO DE GINASTICA PARA ACADEMIA AO AR LIVRE / ACADEMIA DA TERCEIRA IDADE - ATI                                                                                                                                                                                                                                                                                                                      </v>
      </c>
      <c r="D643" s="314" t="str">
        <f>VLOOKUP($B643,'COMP. ACAD CEF'!$B:$G,6,FALSE)</f>
        <v>UN</v>
      </c>
      <c r="E643" s="315">
        <f>VLOOKUP($B643,'COMP. ACAD CEF'!$B:$H,7,FALSE)</f>
        <v>6518.82</v>
      </c>
    </row>
    <row r="644" spans="2:5" ht="45">
      <c r="B644" s="734" t="s">
        <v>13979</v>
      </c>
      <c r="C644" s="314" t="str">
        <f>VLOOKUP($B644,'COMP. ACAD CEF'!$B:$G,2,FALSE)</f>
        <v xml:space="preserve">FORNECIMENTO E INSTALAÇÃO DE PLACA ORIENTATIVA SOBRE EXERCICIOS, 2,00 M X 1,00 M ( CHAPA GALVANIZADA #20), ESTRUTURA EM TUBOS REDONDOS DE ACO CARBONO, PINTURA NO PROCESSO ELETROSTATICO, ADESIVO FRENTE E VERSO - PARA ACADEMIA AO AR LIVRE / ACADEMIA DA TERCEIRA IDADE - ATI                                                                                                                                                                                                                                                        </v>
      </c>
      <c r="D644" s="314" t="str">
        <f>VLOOKUP($B644,'COMP. ACAD CEF'!$B:$G,6,FALSE)</f>
        <v>UN</v>
      </c>
      <c r="E644" s="315">
        <f>VLOOKUP($B644,'COMP. ACAD CEF'!$B:$H,7,FALSE)</f>
        <v>2175.35</v>
      </c>
    </row>
    <row r="645" spans="2:5" ht="30">
      <c r="B645" s="734" t="s">
        <v>13980</v>
      </c>
      <c r="C645" s="314" t="str">
        <f>VLOOKUP($B645,'COMP. ACAD CEF'!$B:$G,2,FALSE)</f>
        <v xml:space="preserve">FORNECIMENTO E INSTALAÇÃO DE ESQUI TRIPLO, EM TUBO DE ACO CARBONO, PINTURA NO PROCESSO ELETROSTATICO - EQUIPAMENTO DE GINASTICA PARA ACADEMIA AO AR LIVRE / ACADEMIA DA TERCEIRA IDADE - ATI                                                                                                                                                                                                                                                                                                                                           </v>
      </c>
      <c r="D645" s="314" t="str">
        <f>VLOOKUP($B645,'COMP. ACAD CEF'!$B:$G,6,FALSE)</f>
        <v>UN</v>
      </c>
      <c r="E645" s="315">
        <f>VLOOKUP($B645,'COMP. ACAD CEF'!$B:$H,7,FALSE)</f>
        <v>6167.71</v>
      </c>
    </row>
    <row r="646" spans="2:5" ht="30">
      <c r="B646" s="734" t="s">
        <v>13981</v>
      </c>
      <c r="C646" s="314" t="str">
        <f>VLOOKUP($B646,'COMP. ACAD CEF'!$B:$G,2,FALSE)</f>
        <v xml:space="preserve">FORNECIMENTO E INSTALAÇÃO DE SIMULADOR DE CAMINHADA TRIPLO, EM TUBO DE ACO CARBONO, PINTURA NO PROCESSO ELETROSTATICO - EQUIPAMENTO DE GINASTICA PARA ACADEMIA AO AR LIVRE / ACADEMIA DA TERCEIRA IDADE - ATI                                                                                                                                                                                                                                                                                                                          </v>
      </c>
      <c r="D646" s="314" t="str">
        <f>VLOOKUP($B646,'COMP. ACAD CEF'!$B:$G,6,FALSE)</f>
        <v>UN</v>
      </c>
      <c r="E646" s="315">
        <f>VLOOKUP($B646,'COMP. ACAD CEF'!$B:$H,7,FALSE)</f>
        <v>4931.79</v>
      </c>
    </row>
    <row r="647" spans="2:5" ht="30">
      <c r="B647" s="734" t="s">
        <v>13982</v>
      </c>
      <c r="C647" s="314" t="str">
        <f>VLOOKUP($B647,'COMP. ACAD CEF'!$B:$G,2,FALSE)</f>
        <v>FORNECIMENTO E INSTALAÇÃO DE SIMULADOR DE CAVALGADA DUPLO EM TUBO DE ACO CARBONO, PINTURA NO PROCESSO ELETROSTATICO - EQUIPAMENTO DE GINASTICA PARA ACADEMIA AO AR LIVRE / ACADEMIA DA TERCEIRA IDADE - ATI</v>
      </c>
      <c r="D647" s="314" t="str">
        <f>VLOOKUP($B647,'COMP. ACAD CEF'!$B:$G,6,FALSE)</f>
        <v>UN</v>
      </c>
      <c r="E647" s="315">
        <f>VLOOKUP($B647,'COMP. ACAD CEF'!$B:$H,7,FALSE)</f>
        <v>3634.39</v>
      </c>
    </row>
    <row r="648" spans="2:5" ht="30">
      <c r="B648" s="734" t="s">
        <v>13983</v>
      </c>
      <c r="C648" s="314" t="str">
        <f>VLOOKUP($B648,'COMP. ACAD CEF'!$B:$G,2,FALSE)</f>
        <v xml:space="preserve">FORNECIMENTO E INSTALAÇÃO DE SIMULADOR DE CAVALGADA TRIPLO, EM TUBO DE ACO CARBONO, PINTURA NO PROCESSO ELETROSTATICO - EQUIPAMENTO DE GINASTICA PARA ACADEMIA AO AR LIVRE / ACADEMIA DA TERCEIRA IDADE - ATI                                                                                                                                                                                                                                                                                                                          </v>
      </c>
      <c r="D648" s="314" t="str">
        <f>VLOOKUP($B648,'COMP. ACAD CEF'!$B:$G,6,FALSE)</f>
        <v>UN</v>
      </c>
      <c r="E648" s="315">
        <f>VLOOKUP($B648,'COMP. ACAD CEF'!$B:$H,7,FALSE)</f>
        <v>5318.01</v>
      </c>
    </row>
    <row r="649" spans="2:5">
      <c r="B649" s="734" t="s">
        <v>13984</v>
      </c>
      <c r="C649" s="314" t="e">
        <f>VLOOKUP($B649,'COMP. ACAD CEF'!$B:$G,2,FALSE)</f>
        <v>#N/A</v>
      </c>
      <c r="D649" s="314" t="e">
        <f>VLOOKUP($B649,'COMP. ACAD CEF'!$B:$G,6,FALSE)</f>
        <v>#N/A</v>
      </c>
      <c r="E649" s="315" t="e">
        <f>VLOOKUP($B649,'COMP. ACAD CEF'!$B:$H,7,FALSE)</f>
        <v>#N/A</v>
      </c>
    </row>
    <row r="650" spans="2:5">
      <c r="B650" s="734" t="s">
        <v>13985</v>
      </c>
      <c r="C650" s="314" t="e">
        <f>VLOOKUP($B650,'COMP. ACAD CEF'!$B:$G,2,FALSE)</f>
        <v>#N/A</v>
      </c>
      <c r="D650" s="314" t="e">
        <f>VLOOKUP($B650,'COMP. ACAD CEF'!$B:$G,6,FALSE)</f>
        <v>#N/A</v>
      </c>
      <c r="E650" s="315" t="e">
        <f>VLOOKUP($B650,'COMP. ACAD CEF'!$B:$H,7,FALSE)</f>
        <v>#N/A</v>
      </c>
    </row>
    <row r="651" spans="2:5">
      <c r="B651" s="734" t="s">
        <v>13986</v>
      </c>
      <c r="C651" s="314" t="e">
        <f>VLOOKUP($B651,'COMPOSIÇÃO ESTRUTURAL'!$B:$G,2,FALSE)</f>
        <v>#N/A</v>
      </c>
      <c r="D651" s="734" t="e">
        <f>VLOOKUP($B651,'COMPOSIÇÃO ESTRUTURAL'!$B:$G,6,FALSE)</f>
        <v>#N/A</v>
      </c>
      <c r="E651" s="315" t="e">
        <f>VLOOKUP($B651,'COMPOSIÇÃO ESTRUTURAL'!$B:$H,7,FALSE)</f>
        <v>#N/A</v>
      </c>
    </row>
    <row r="652" spans="2:5">
      <c r="B652" s="734" t="s">
        <v>13987</v>
      </c>
      <c r="C652" s="314" t="e">
        <f>VLOOKUP($B652,'COMPOSIÇÃO ESTRUTURAL'!$B:$G,2,FALSE)</f>
        <v>#N/A</v>
      </c>
      <c r="D652" s="734" t="e">
        <f>VLOOKUP($B652,'COMPOSIÇÃO ESTRUTURAL'!$B:$G,6,FALSE)</f>
        <v>#N/A</v>
      </c>
      <c r="E652" s="315" t="e">
        <f>VLOOKUP($B652,'COMPOSIÇÃO ESTRUTURAL'!$B:$H,7,FALSE)</f>
        <v>#N/A</v>
      </c>
    </row>
    <row r="653" spans="2:5">
      <c r="B653" s="734" t="s">
        <v>13988</v>
      </c>
      <c r="C653" s="314" t="e">
        <f>VLOOKUP($B653,'COMPOSIÇÃO ESTRUTURAL'!$B:$G,2,FALSE)</f>
        <v>#N/A</v>
      </c>
      <c r="D653" s="734" t="e">
        <f>VLOOKUP($B653,'COMPOSIÇÃO ESTRUTURAL'!$B:$G,6,FALSE)</f>
        <v>#N/A</v>
      </c>
      <c r="E653" s="315" t="e">
        <f>VLOOKUP($B653,'COMPOSIÇÃO ESTRUTURAL'!$B:$H,7,FALSE)</f>
        <v>#N/A</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29">
    <tabColor theme="3" tint="0.79998168889431442"/>
    <outlinePr summaryBelow="0"/>
    <pageSetUpPr fitToPage="1"/>
  </sheetPr>
  <dimension ref="B1:P218"/>
  <sheetViews>
    <sheetView view="pageBreakPreview" zoomScale="70" zoomScaleNormal="70" zoomScaleSheetLayoutView="70" workbookViewId="0">
      <selection activeCell="R32" sqref="R32"/>
    </sheetView>
  </sheetViews>
  <sheetFormatPr defaultColWidth="9.140625" defaultRowHeight="15"/>
  <cols>
    <col min="1" max="1" width="9.140625" style="978"/>
    <col min="2" max="2" width="12.85546875" style="982" customWidth="1"/>
    <col min="3" max="3" width="64.85546875" style="978" bestFit="1" customWidth="1"/>
    <col min="4" max="4" width="17.85546875" style="978" customWidth="1"/>
    <col min="5" max="5" width="14.85546875" style="978" bestFit="1" customWidth="1"/>
    <col min="6" max="10" width="12.85546875" style="978" customWidth="1"/>
    <col min="11" max="11" width="15" style="978" customWidth="1"/>
    <col min="12" max="12" width="18.85546875" style="981" customWidth="1"/>
    <col min="13" max="13" width="16.42578125" style="978" customWidth="1"/>
    <col min="14" max="14" width="20" style="978" customWidth="1"/>
    <col min="15" max="15" width="35.140625" style="978" bestFit="1" customWidth="1"/>
    <col min="16" max="16384" width="9.140625" style="978"/>
  </cols>
  <sheetData>
    <row r="1" spans="2:15" ht="25.5">
      <c r="B1" s="2254" t="s">
        <v>2173</v>
      </c>
      <c r="C1" s="2255"/>
      <c r="D1" s="2255"/>
      <c r="E1" s="2255"/>
      <c r="F1" s="2255"/>
      <c r="G1" s="2255"/>
      <c r="H1" s="2255"/>
      <c r="I1" s="2255"/>
      <c r="J1" s="2255"/>
      <c r="K1" s="2255"/>
      <c r="L1" s="2255"/>
      <c r="M1" s="2255"/>
      <c r="N1" s="2255"/>
      <c r="O1" s="2256"/>
    </row>
    <row r="2" spans="2:15" ht="23.25">
      <c r="B2" s="2257" t="s">
        <v>2174</v>
      </c>
      <c r="C2" s="2258"/>
      <c r="D2" s="2258"/>
      <c r="E2" s="2258"/>
      <c r="F2" s="2258"/>
      <c r="G2" s="2258"/>
      <c r="H2" s="2258"/>
      <c r="I2" s="2258"/>
      <c r="J2" s="2258"/>
      <c r="K2" s="2258"/>
      <c r="L2" s="2258"/>
      <c r="M2" s="2258"/>
      <c r="N2" s="2258"/>
      <c r="O2" s="2259"/>
    </row>
    <row r="3" spans="2:15" ht="15.75">
      <c r="B3" s="2260" t="s">
        <v>2175</v>
      </c>
      <c r="C3" s="2261"/>
      <c r="D3" s="2261"/>
      <c r="E3" s="2261"/>
      <c r="F3" s="2261"/>
      <c r="G3" s="2261"/>
      <c r="H3" s="2261"/>
      <c r="I3" s="2261"/>
      <c r="J3" s="2261"/>
      <c r="K3" s="2261"/>
      <c r="L3" s="2261"/>
      <c r="M3" s="2261"/>
      <c r="N3" s="2261"/>
      <c r="O3" s="2262"/>
    </row>
    <row r="4" spans="2:15" ht="15.75">
      <c r="B4" s="2260" t="s">
        <v>2214</v>
      </c>
      <c r="C4" s="2261"/>
      <c r="D4" s="2261"/>
      <c r="E4" s="2261"/>
      <c r="F4" s="2261"/>
      <c r="G4" s="2261"/>
      <c r="H4" s="2261"/>
      <c r="I4" s="2261"/>
      <c r="J4" s="2261"/>
      <c r="K4" s="2261"/>
      <c r="L4" s="2261"/>
      <c r="M4" s="2261"/>
      <c r="N4" s="2261"/>
      <c r="O4" s="2262"/>
    </row>
    <row r="5" spans="2:15" ht="15.75">
      <c r="B5" s="2263" t="s">
        <v>2176</v>
      </c>
      <c r="C5" s="2264"/>
      <c r="D5" s="2264"/>
      <c r="E5" s="2264"/>
      <c r="F5" s="2264"/>
      <c r="G5" s="2264"/>
      <c r="H5" s="2264"/>
      <c r="I5" s="2264"/>
      <c r="J5" s="2264"/>
      <c r="K5" s="2264"/>
      <c r="L5" s="2264"/>
      <c r="M5" s="2264"/>
      <c r="N5" s="2264"/>
      <c r="O5" s="2265"/>
    </row>
    <row r="6" spans="2:15" ht="15.75">
      <c r="B6" s="358" t="s">
        <v>5</v>
      </c>
      <c r="C6" s="2252" t="str">
        <f>RESUMO!C9</f>
        <v xml:space="preserve">ESCOLA MUNICIPAL DOMINGOS AZZOLINI </v>
      </c>
      <c r="D6" s="2252"/>
      <c r="E6" s="2252"/>
      <c r="F6" s="2252"/>
      <c r="G6" s="2252"/>
      <c r="H6" s="2252"/>
      <c r="I6" s="2252"/>
      <c r="J6" s="2252"/>
      <c r="K6" s="2252"/>
      <c r="L6" s="2252"/>
      <c r="M6" s="2252"/>
      <c r="N6" s="2252"/>
      <c r="O6" s="2253"/>
    </row>
    <row r="7" spans="2:15" ht="15.75">
      <c r="B7" s="358" t="s">
        <v>7</v>
      </c>
      <c r="C7" s="2252" t="str">
        <f>RESUMO!C10</f>
        <v>SANTO ANTONIO DO LESTE</v>
      </c>
      <c r="D7" s="2252"/>
      <c r="E7" s="2252"/>
      <c r="F7" s="2252"/>
      <c r="G7" s="2252"/>
      <c r="H7" s="2252"/>
      <c r="I7" s="2252"/>
      <c r="J7" s="2252"/>
      <c r="K7" s="2252"/>
      <c r="L7" s="2252"/>
      <c r="M7" s="2252"/>
      <c r="N7" s="2252"/>
      <c r="O7" s="2253"/>
    </row>
    <row r="8" spans="2:15" ht="15.75">
      <c r="B8" s="1256" t="s">
        <v>2215</v>
      </c>
      <c r="C8" s="2268">
        <f>RESUMO!I9</f>
        <v>45366</v>
      </c>
      <c r="D8" s="2268"/>
      <c r="E8" s="2268"/>
      <c r="F8" s="2268"/>
      <c r="G8" s="2268"/>
      <c r="H8" s="2268"/>
      <c r="I8" s="2268"/>
      <c r="J8" s="2268"/>
      <c r="K8" s="2268"/>
      <c r="L8" s="2268"/>
      <c r="M8" s="2268"/>
      <c r="N8" s="2268"/>
      <c r="O8" s="2269"/>
    </row>
    <row r="9" spans="2:15" ht="20.25" customHeight="1">
      <c r="B9" s="2270" t="s">
        <v>2216</v>
      </c>
      <c r="C9" s="2271"/>
      <c r="D9" s="2271"/>
      <c r="E9" s="2271"/>
      <c r="F9" s="2271"/>
      <c r="G9" s="2271"/>
      <c r="H9" s="2271"/>
      <c r="I9" s="2271"/>
      <c r="J9" s="2271"/>
      <c r="K9" s="2271"/>
      <c r="L9" s="2271"/>
      <c r="M9" s="2271"/>
      <c r="N9" s="2271"/>
      <c r="O9" s="2272"/>
    </row>
    <row r="10" spans="2:15" ht="45">
      <c r="B10" s="1257" t="s">
        <v>1</v>
      </c>
      <c r="C10" s="1258" t="s">
        <v>2217</v>
      </c>
      <c r="D10" s="1258" t="s">
        <v>2218</v>
      </c>
      <c r="E10" s="1258" t="s">
        <v>2219</v>
      </c>
      <c r="F10" s="1258" t="s">
        <v>2220</v>
      </c>
      <c r="G10" s="1258" t="s">
        <v>2221</v>
      </c>
      <c r="H10" s="1258" t="s">
        <v>2222</v>
      </c>
      <c r="I10" s="1258" t="s">
        <v>2223</v>
      </c>
      <c r="J10" s="1258" t="s">
        <v>2224</v>
      </c>
      <c r="K10" s="1258" t="s">
        <v>2225</v>
      </c>
      <c r="L10" s="1259" t="s">
        <v>2226</v>
      </c>
      <c r="M10" s="1258" t="s">
        <v>2227</v>
      </c>
      <c r="N10" s="1258" t="s">
        <v>2228</v>
      </c>
      <c r="O10" s="1260" t="s">
        <v>2229</v>
      </c>
    </row>
    <row r="11" spans="2:15" ht="57">
      <c r="B11" s="1261" t="s">
        <v>151</v>
      </c>
      <c r="C11" s="1262" t="s">
        <v>2230</v>
      </c>
      <c r="D11" s="1263" t="s">
        <v>2231</v>
      </c>
      <c r="E11" s="1263" t="s">
        <v>2232</v>
      </c>
      <c r="F11" s="1263">
        <v>2</v>
      </c>
      <c r="G11" s="1264">
        <v>289</v>
      </c>
      <c r="H11" s="1264">
        <v>60</v>
      </c>
      <c r="I11" s="1263">
        <v>1</v>
      </c>
      <c r="J11" s="1265">
        <v>1</v>
      </c>
      <c r="K11" s="1276">
        <v>223.7055</v>
      </c>
      <c r="L11" s="1266">
        <f>IF(F11=0,0,ROUND(((((G11*F11*J11)/H11)*K11)*I11),2))</f>
        <v>2155.0300000000002</v>
      </c>
      <c r="M11" s="1267" t="s">
        <v>3171</v>
      </c>
      <c r="N11" s="1267" t="s">
        <v>2233</v>
      </c>
      <c r="O11" s="1268" t="s">
        <v>2234</v>
      </c>
    </row>
    <row r="12" spans="2:15">
      <c r="B12" s="2273" t="s">
        <v>167</v>
      </c>
      <c r="C12" s="2274"/>
      <c r="D12" s="2274"/>
      <c r="E12" s="2274"/>
      <c r="F12" s="2274"/>
      <c r="G12" s="2274"/>
      <c r="H12" s="2274"/>
      <c r="I12" s="2274"/>
      <c r="J12" s="2274"/>
      <c r="K12" s="2274"/>
      <c r="L12" s="1269">
        <f>SUM(L11:L11)</f>
        <v>2155.0300000000002</v>
      </c>
      <c r="M12" s="1262"/>
      <c r="N12" s="1262"/>
      <c r="O12" s="1268"/>
    </row>
    <row r="13" spans="2:15" ht="84" customHeight="1">
      <c r="B13" s="1270" t="s">
        <v>2235</v>
      </c>
      <c r="C13" s="2275"/>
      <c r="D13" s="2275"/>
      <c r="E13" s="2275"/>
      <c r="F13" s="2275"/>
      <c r="G13" s="2275"/>
      <c r="H13" s="2275"/>
      <c r="I13" s="2275"/>
      <c r="J13" s="2275"/>
      <c r="K13" s="2275"/>
      <c r="L13" s="2275"/>
      <c r="M13" s="2275"/>
      <c r="N13" s="2275"/>
      <c r="O13" s="2276"/>
    </row>
    <row r="14" spans="2:15" ht="33" customHeight="1">
      <c r="B14" s="1271" t="s">
        <v>2236</v>
      </c>
      <c r="C14" s="2277" t="s">
        <v>2237</v>
      </c>
      <c r="D14" s="2277"/>
      <c r="E14" s="2277"/>
      <c r="F14" s="2277"/>
      <c r="G14" s="2277"/>
      <c r="H14" s="2277"/>
      <c r="I14" s="2277"/>
      <c r="J14" s="2277"/>
      <c r="K14" s="2277"/>
      <c r="L14" s="2277"/>
      <c r="M14" s="2277"/>
      <c r="N14" s="2277"/>
      <c r="O14" s="2278"/>
    </row>
    <row r="15" spans="2:15" ht="36.75" customHeight="1" thickBot="1">
      <c r="B15" s="1272" t="s">
        <v>2238</v>
      </c>
      <c r="C15" s="2266" t="s">
        <v>2239</v>
      </c>
      <c r="D15" s="2266"/>
      <c r="E15" s="2266"/>
      <c r="F15" s="2266"/>
      <c r="G15" s="2266"/>
      <c r="H15" s="2266"/>
      <c r="I15" s="2266"/>
      <c r="J15" s="2266"/>
      <c r="K15" s="2266"/>
      <c r="L15" s="2266"/>
      <c r="M15" s="2266"/>
      <c r="N15" s="2266"/>
      <c r="O15" s="2267"/>
    </row>
    <row r="16" spans="2:15" collapsed="1">
      <c r="B16" s="979"/>
      <c r="C16" s="979"/>
      <c r="D16" s="979"/>
      <c r="E16" s="979"/>
      <c r="F16" s="979"/>
      <c r="G16" s="979"/>
      <c r="H16" s="979"/>
      <c r="I16" s="979"/>
      <c r="J16" s="979"/>
      <c r="K16" s="979"/>
      <c r="L16" s="980"/>
      <c r="M16" s="979"/>
      <c r="N16" s="979"/>
      <c r="O16" s="979"/>
    </row>
    <row r="17" spans="2:15">
      <c r="B17" s="979"/>
      <c r="C17" s="979"/>
      <c r="D17" s="979"/>
      <c r="E17" s="979"/>
      <c r="F17" s="979"/>
      <c r="G17" s="979"/>
      <c r="H17" s="979"/>
      <c r="I17" s="979"/>
      <c r="J17" s="979"/>
      <c r="K17" s="979"/>
      <c r="L17" s="980"/>
      <c r="M17" s="979"/>
      <c r="N17" s="979"/>
      <c r="O17" s="979"/>
    </row>
    <row r="18" spans="2:15">
      <c r="B18" s="979"/>
      <c r="C18" s="979"/>
      <c r="D18" s="979"/>
      <c r="E18" s="979"/>
      <c r="F18" s="979"/>
      <c r="G18" s="979"/>
      <c r="H18" s="979"/>
      <c r="I18" s="979"/>
      <c r="J18" s="979"/>
      <c r="K18" s="979"/>
      <c r="L18" s="980"/>
      <c r="M18" s="979"/>
      <c r="N18" s="979"/>
      <c r="O18" s="979"/>
    </row>
    <row r="19" spans="2:15">
      <c r="B19" s="979"/>
      <c r="C19" s="979"/>
      <c r="D19" s="979"/>
      <c r="E19" s="979"/>
      <c r="F19" s="979"/>
      <c r="G19" s="979"/>
      <c r="H19" s="979"/>
      <c r="I19" s="979"/>
      <c r="J19" s="979"/>
      <c r="K19" s="979"/>
      <c r="L19" s="980"/>
      <c r="M19" s="979"/>
      <c r="N19" s="979"/>
      <c r="O19" s="979"/>
    </row>
    <row r="20" spans="2:15">
      <c r="B20" s="979"/>
      <c r="C20" s="979"/>
      <c r="D20" s="979"/>
      <c r="E20" s="979"/>
      <c r="F20" s="979"/>
      <c r="G20" s="979"/>
      <c r="H20" s="979"/>
      <c r="I20" s="979"/>
      <c r="J20" s="979"/>
      <c r="K20" s="979"/>
      <c r="L20" s="980"/>
      <c r="M20" s="979"/>
      <c r="N20" s="979"/>
      <c r="O20" s="979"/>
    </row>
    <row r="21" spans="2:15" collapsed="1">
      <c r="B21" s="979"/>
      <c r="C21" s="979"/>
      <c r="D21" s="979"/>
      <c r="E21" s="979"/>
      <c r="F21" s="979"/>
      <c r="G21" s="979"/>
      <c r="H21" s="979"/>
      <c r="I21" s="979"/>
      <c r="J21" s="979"/>
      <c r="K21" s="979"/>
      <c r="L21" s="980"/>
      <c r="M21" s="979"/>
      <c r="N21" s="979"/>
      <c r="O21" s="979"/>
    </row>
    <row r="22" spans="2:15">
      <c r="B22" s="979"/>
      <c r="C22" s="979"/>
      <c r="D22" s="979"/>
      <c r="E22" s="979"/>
      <c r="F22" s="979"/>
      <c r="G22" s="979"/>
      <c r="H22" s="979"/>
      <c r="I22" s="979"/>
      <c r="J22" s="979"/>
      <c r="K22" s="979"/>
      <c r="L22" s="980"/>
      <c r="M22" s="979"/>
      <c r="N22" s="979"/>
      <c r="O22" s="979"/>
    </row>
    <row r="23" spans="2:15">
      <c r="B23" s="979"/>
      <c r="C23" s="979"/>
      <c r="D23" s="979"/>
      <c r="E23" s="979"/>
      <c r="F23" s="979"/>
      <c r="G23" s="979"/>
      <c r="H23" s="979"/>
      <c r="I23" s="979"/>
      <c r="J23" s="979"/>
      <c r="K23" s="979"/>
      <c r="L23" s="980"/>
      <c r="M23" s="979"/>
      <c r="N23" s="979"/>
      <c r="O23" s="979"/>
    </row>
    <row r="24" spans="2:15">
      <c r="B24" s="979"/>
      <c r="C24" s="979"/>
      <c r="D24" s="979"/>
      <c r="E24" s="979"/>
      <c r="F24" s="979"/>
      <c r="G24" s="979"/>
      <c r="H24" s="979"/>
      <c r="I24" s="979"/>
      <c r="J24" s="979"/>
      <c r="K24" s="979"/>
      <c r="L24" s="980"/>
      <c r="M24" s="979"/>
      <c r="N24" s="979"/>
      <c r="O24" s="979"/>
    </row>
    <row r="25" spans="2:15">
      <c r="B25" s="979"/>
      <c r="C25" s="979"/>
      <c r="D25" s="979"/>
      <c r="E25" s="979"/>
      <c r="F25" s="979"/>
      <c r="G25" s="979"/>
      <c r="H25" s="979"/>
      <c r="I25" s="979"/>
      <c r="J25" s="979"/>
      <c r="K25" s="979"/>
      <c r="L25" s="980"/>
      <c r="M25" s="979"/>
      <c r="N25" s="979"/>
      <c r="O25" s="979"/>
    </row>
    <row r="26" spans="2:15">
      <c r="B26" s="979"/>
      <c r="C26" s="979"/>
      <c r="D26" s="979"/>
      <c r="E26" s="979"/>
      <c r="F26" s="979"/>
      <c r="G26" s="979"/>
      <c r="H26" s="979"/>
      <c r="I26" s="979"/>
      <c r="J26" s="979"/>
      <c r="K26" s="979"/>
      <c r="L26" s="980"/>
      <c r="M26" s="979"/>
      <c r="N26" s="979"/>
      <c r="O26" s="979"/>
    </row>
    <row r="27" spans="2:15">
      <c r="B27" s="979"/>
      <c r="C27" s="979"/>
      <c r="D27" s="979"/>
      <c r="E27" s="979"/>
      <c r="F27" s="979"/>
      <c r="G27" s="979"/>
      <c r="H27" s="979"/>
      <c r="I27" s="979"/>
      <c r="J27" s="979"/>
      <c r="K27" s="979"/>
      <c r="L27" s="980"/>
      <c r="M27" s="979"/>
      <c r="N27" s="979"/>
      <c r="O27" s="979"/>
    </row>
    <row r="28" spans="2:15" collapsed="1">
      <c r="B28" s="979"/>
      <c r="C28" s="979"/>
      <c r="D28" s="979"/>
      <c r="E28" s="979"/>
      <c r="F28" s="979"/>
      <c r="G28" s="979"/>
      <c r="H28" s="979"/>
      <c r="I28" s="979"/>
      <c r="J28" s="979"/>
      <c r="K28" s="979"/>
      <c r="L28" s="980"/>
      <c r="M28" s="979"/>
      <c r="N28" s="979"/>
      <c r="O28" s="979"/>
    </row>
    <row r="29" spans="2:15">
      <c r="B29" s="979"/>
      <c r="C29" s="979"/>
      <c r="D29" s="979"/>
      <c r="E29" s="979"/>
      <c r="F29" s="979"/>
      <c r="G29" s="979"/>
      <c r="H29" s="979"/>
      <c r="I29" s="979"/>
      <c r="J29" s="979"/>
      <c r="K29" s="979"/>
      <c r="L29" s="980"/>
      <c r="M29" s="979"/>
      <c r="N29" s="979"/>
      <c r="O29" s="979"/>
    </row>
    <row r="30" spans="2:15">
      <c r="B30" s="979"/>
      <c r="C30" s="979"/>
      <c r="D30" s="979"/>
      <c r="E30" s="979"/>
      <c r="F30" s="979"/>
      <c r="G30" s="979"/>
      <c r="H30" s="979"/>
      <c r="I30" s="979"/>
      <c r="J30" s="979"/>
      <c r="K30" s="979"/>
      <c r="L30" s="980"/>
      <c r="M30" s="979"/>
      <c r="N30" s="979"/>
      <c r="O30" s="979"/>
    </row>
    <row r="31" spans="2:15">
      <c r="B31" s="979"/>
      <c r="C31" s="979"/>
      <c r="D31" s="979"/>
      <c r="E31" s="979"/>
      <c r="F31" s="979"/>
      <c r="G31" s="979"/>
      <c r="H31" s="979"/>
      <c r="I31" s="979"/>
      <c r="J31" s="979"/>
      <c r="K31" s="979"/>
      <c r="L31" s="980"/>
      <c r="M31" s="979"/>
      <c r="N31" s="979"/>
      <c r="O31" s="979"/>
    </row>
    <row r="32" spans="2:15">
      <c r="B32" s="979"/>
      <c r="C32" s="979"/>
      <c r="D32" s="979"/>
      <c r="E32" s="979"/>
      <c r="F32" s="979"/>
      <c r="G32" s="979"/>
      <c r="H32" s="979"/>
      <c r="I32" s="979"/>
      <c r="J32" s="979"/>
      <c r="K32" s="979"/>
      <c r="L32" s="980"/>
      <c r="M32" s="979"/>
      <c r="N32" s="979"/>
      <c r="O32" s="979"/>
    </row>
    <row r="33" spans="2:15">
      <c r="B33" s="979"/>
      <c r="C33" s="979"/>
      <c r="D33" s="979"/>
      <c r="E33" s="979"/>
      <c r="F33" s="979"/>
      <c r="G33" s="979"/>
      <c r="H33" s="979"/>
      <c r="I33" s="979"/>
      <c r="J33" s="979"/>
      <c r="K33" s="979"/>
      <c r="L33" s="980"/>
      <c r="M33" s="979"/>
      <c r="N33" s="979"/>
      <c r="O33" s="979"/>
    </row>
    <row r="34" spans="2:15">
      <c r="B34" s="979"/>
      <c r="C34" s="979"/>
      <c r="D34" s="979"/>
      <c r="E34" s="979"/>
      <c r="F34" s="979"/>
      <c r="G34" s="979"/>
      <c r="H34" s="979"/>
      <c r="I34" s="979"/>
      <c r="J34" s="979"/>
      <c r="K34" s="979"/>
      <c r="L34" s="980"/>
      <c r="M34" s="979"/>
      <c r="N34" s="979"/>
      <c r="O34" s="979"/>
    </row>
    <row r="35" spans="2:15" collapsed="1">
      <c r="B35" s="979"/>
      <c r="C35" s="979"/>
      <c r="D35" s="979"/>
      <c r="E35" s="979"/>
      <c r="F35" s="979"/>
      <c r="G35" s="979"/>
      <c r="H35" s="979"/>
      <c r="I35" s="979"/>
      <c r="J35" s="979"/>
      <c r="K35" s="979"/>
      <c r="L35" s="980"/>
      <c r="M35" s="979"/>
      <c r="N35" s="979"/>
      <c r="O35" s="979"/>
    </row>
    <row r="36" spans="2:15">
      <c r="B36" s="979"/>
      <c r="C36" s="979"/>
      <c r="D36" s="979"/>
      <c r="E36" s="979"/>
      <c r="F36" s="979"/>
      <c r="G36" s="979"/>
      <c r="H36" s="979"/>
      <c r="I36" s="979"/>
      <c r="J36" s="979"/>
      <c r="K36" s="979"/>
      <c r="L36" s="980"/>
      <c r="M36" s="979"/>
      <c r="N36" s="979"/>
      <c r="O36" s="979"/>
    </row>
    <row r="37" spans="2:15">
      <c r="B37" s="979"/>
      <c r="C37" s="979"/>
      <c r="D37" s="979"/>
      <c r="E37" s="979"/>
      <c r="F37" s="979"/>
      <c r="G37" s="979"/>
      <c r="H37" s="979"/>
      <c r="I37" s="979"/>
      <c r="J37" s="979"/>
      <c r="K37" s="979"/>
      <c r="L37" s="980"/>
      <c r="M37" s="979"/>
      <c r="N37" s="979"/>
      <c r="O37" s="979"/>
    </row>
    <row r="38" spans="2:15">
      <c r="B38" s="979"/>
      <c r="C38" s="979"/>
      <c r="D38" s="979"/>
      <c r="E38" s="979"/>
      <c r="F38" s="979"/>
      <c r="G38" s="979"/>
      <c r="H38" s="979"/>
      <c r="I38" s="979"/>
      <c r="J38" s="979"/>
      <c r="K38" s="979"/>
      <c r="L38" s="980"/>
      <c r="M38" s="979"/>
      <c r="N38" s="979"/>
      <c r="O38" s="979"/>
    </row>
    <row r="39" spans="2:15">
      <c r="B39" s="979"/>
      <c r="C39" s="979"/>
      <c r="D39" s="979"/>
      <c r="E39" s="979"/>
      <c r="F39" s="979"/>
      <c r="G39" s="979"/>
      <c r="H39" s="979"/>
      <c r="I39" s="979"/>
      <c r="J39" s="979"/>
      <c r="K39" s="979"/>
      <c r="L39" s="980"/>
      <c r="M39" s="979"/>
      <c r="N39" s="979"/>
      <c r="O39" s="979"/>
    </row>
    <row r="40" spans="2:15">
      <c r="B40" s="979"/>
      <c r="C40" s="979"/>
      <c r="D40" s="979"/>
      <c r="E40" s="979"/>
      <c r="F40" s="979"/>
      <c r="G40" s="979"/>
      <c r="H40" s="979"/>
      <c r="I40" s="979"/>
      <c r="J40" s="979"/>
      <c r="K40" s="979"/>
      <c r="L40" s="980"/>
      <c r="M40" s="979"/>
      <c r="N40" s="979"/>
      <c r="O40" s="979"/>
    </row>
    <row r="41" spans="2:15">
      <c r="B41" s="979"/>
      <c r="C41" s="979"/>
      <c r="D41" s="979"/>
      <c r="E41" s="979"/>
      <c r="F41" s="979"/>
      <c r="G41" s="979"/>
      <c r="H41" s="979"/>
      <c r="I41" s="979"/>
      <c r="J41" s="979"/>
      <c r="K41" s="979"/>
      <c r="L41" s="980"/>
      <c r="M41" s="979"/>
      <c r="N41" s="979"/>
      <c r="O41" s="979"/>
    </row>
    <row r="42" spans="2:15">
      <c r="B42" s="979"/>
      <c r="C42" s="979"/>
      <c r="D42" s="979"/>
      <c r="E42" s="979"/>
      <c r="F42" s="979"/>
      <c r="G42" s="979"/>
      <c r="H42" s="979"/>
      <c r="I42" s="979"/>
      <c r="J42" s="979"/>
      <c r="K42" s="979"/>
      <c r="L42" s="980"/>
      <c r="M42" s="979"/>
      <c r="N42" s="979"/>
      <c r="O42" s="979"/>
    </row>
    <row r="43" spans="2:15">
      <c r="B43" s="979"/>
      <c r="C43" s="979"/>
      <c r="D43" s="979"/>
      <c r="E43" s="979"/>
      <c r="F43" s="979"/>
      <c r="G43" s="979"/>
      <c r="H43" s="979"/>
      <c r="I43" s="979"/>
      <c r="J43" s="979"/>
      <c r="K43" s="979"/>
      <c r="L43" s="980"/>
      <c r="M43" s="979"/>
      <c r="N43" s="979"/>
      <c r="O43" s="979"/>
    </row>
    <row r="44" spans="2:15">
      <c r="B44" s="979"/>
      <c r="C44" s="979"/>
      <c r="D44" s="979"/>
      <c r="E44" s="979"/>
      <c r="F44" s="979"/>
      <c r="G44" s="979"/>
      <c r="H44" s="979"/>
      <c r="I44" s="979"/>
      <c r="J44" s="979"/>
      <c r="K44" s="979"/>
      <c r="L44" s="980"/>
      <c r="M44" s="979"/>
      <c r="N44" s="979"/>
      <c r="O44" s="979"/>
    </row>
    <row r="45" spans="2:15">
      <c r="B45" s="979"/>
      <c r="C45" s="979"/>
      <c r="D45" s="979"/>
      <c r="E45" s="979"/>
      <c r="F45" s="979"/>
      <c r="G45" s="979"/>
      <c r="H45" s="979"/>
      <c r="I45" s="979"/>
      <c r="J45" s="979"/>
      <c r="K45" s="979"/>
      <c r="L45" s="980"/>
      <c r="M45" s="979"/>
      <c r="N45" s="979"/>
      <c r="O45" s="979"/>
    </row>
    <row r="46" spans="2:15">
      <c r="B46" s="979"/>
      <c r="C46" s="979"/>
      <c r="D46" s="979"/>
      <c r="E46" s="979"/>
      <c r="F46" s="979"/>
      <c r="G46" s="979"/>
      <c r="H46" s="979"/>
      <c r="I46" s="979"/>
      <c r="J46" s="979"/>
      <c r="K46" s="979"/>
      <c r="L46" s="980"/>
      <c r="M46" s="979"/>
      <c r="N46" s="979"/>
      <c r="O46" s="979"/>
    </row>
    <row r="47" spans="2:15">
      <c r="B47" s="979"/>
      <c r="C47" s="979"/>
      <c r="D47" s="979"/>
      <c r="E47" s="979"/>
      <c r="F47" s="979"/>
      <c r="G47" s="979"/>
      <c r="H47" s="979"/>
      <c r="I47" s="979"/>
      <c r="J47" s="979"/>
      <c r="K47" s="979"/>
      <c r="L47" s="980"/>
      <c r="M47" s="979"/>
      <c r="N47" s="979"/>
      <c r="O47" s="979"/>
    </row>
    <row r="48" spans="2:15">
      <c r="B48" s="979"/>
      <c r="C48" s="979"/>
      <c r="D48" s="979"/>
      <c r="E48" s="979"/>
      <c r="F48" s="979"/>
      <c r="G48" s="979"/>
      <c r="H48" s="979"/>
      <c r="I48" s="979"/>
      <c r="J48" s="979"/>
      <c r="K48" s="979"/>
      <c r="L48" s="980"/>
      <c r="M48" s="979"/>
      <c r="N48" s="979"/>
      <c r="O48" s="979"/>
    </row>
    <row r="49" spans="2:15">
      <c r="B49" s="979"/>
      <c r="C49" s="979"/>
      <c r="D49" s="979"/>
      <c r="E49" s="979"/>
      <c r="F49" s="979"/>
      <c r="G49" s="979"/>
      <c r="H49" s="979"/>
      <c r="I49" s="979"/>
      <c r="J49" s="979"/>
      <c r="K49" s="979"/>
      <c r="L49" s="980"/>
      <c r="M49" s="979"/>
      <c r="N49" s="979"/>
      <c r="O49" s="979"/>
    </row>
    <row r="50" spans="2:15">
      <c r="B50" s="979"/>
      <c r="C50" s="979"/>
      <c r="D50" s="979"/>
      <c r="E50" s="979"/>
      <c r="F50" s="979"/>
      <c r="G50" s="979"/>
      <c r="H50" s="979"/>
      <c r="I50" s="979"/>
      <c r="J50" s="979"/>
      <c r="K50" s="979"/>
      <c r="L50" s="980"/>
      <c r="M50" s="979"/>
      <c r="N50" s="979"/>
      <c r="O50" s="979"/>
    </row>
    <row r="51" spans="2:15">
      <c r="B51" s="979"/>
      <c r="C51" s="979"/>
      <c r="D51" s="979"/>
      <c r="E51" s="979"/>
      <c r="F51" s="979"/>
      <c r="G51" s="979"/>
      <c r="H51" s="979"/>
      <c r="I51" s="979"/>
      <c r="J51" s="979"/>
      <c r="K51" s="979"/>
      <c r="L51" s="980"/>
      <c r="M51" s="979"/>
      <c r="N51" s="979"/>
      <c r="O51" s="979"/>
    </row>
    <row r="52" spans="2:15">
      <c r="B52" s="979"/>
      <c r="C52" s="979"/>
      <c r="D52" s="979"/>
      <c r="E52" s="979"/>
      <c r="F52" s="979"/>
      <c r="G52" s="979"/>
      <c r="H52" s="979"/>
      <c r="I52" s="979"/>
      <c r="J52" s="979"/>
      <c r="K52" s="979"/>
      <c r="L52" s="980"/>
      <c r="M52" s="979"/>
      <c r="N52" s="979"/>
      <c r="O52" s="979"/>
    </row>
    <row r="53" spans="2:15">
      <c r="B53" s="979"/>
      <c r="C53" s="979"/>
      <c r="D53" s="979"/>
      <c r="E53" s="979"/>
      <c r="F53" s="979"/>
      <c r="G53" s="979"/>
      <c r="H53" s="979"/>
      <c r="I53" s="979"/>
      <c r="J53" s="979"/>
      <c r="K53" s="979"/>
      <c r="L53" s="980"/>
      <c r="M53" s="979"/>
      <c r="N53" s="979"/>
      <c r="O53" s="979"/>
    </row>
    <row r="54" spans="2:15">
      <c r="B54" s="979"/>
      <c r="C54" s="979"/>
      <c r="D54" s="979"/>
      <c r="E54" s="979"/>
      <c r="F54" s="979"/>
      <c r="G54" s="979"/>
      <c r="H54" s="979"/>
      <c r="I54" s="979"/>
      <c r="J54" s="979"/>
      <c r="K54" s="979"/>
      <c r="L54" s="980"/>
      <c r="M54" s="979"/>
      <c r="N54" s="979"/>
      <c r="O54" s="979"/>
    </row>
    <row r="55" spans="2:15">
      <c r="B55" s="979"/>
      <c r="C55" s="979"/>
      <c r="D55" s="979"/>
      <c r="E55" s="979"/>
      <c r="F55" s="979"/>
      <c r="G55" s="979"/>
      <c r="H55" s="979"/>
      <c r="I55" s="979"/>
      <c r="J55" s="979"/>
      <c r="K55" s="979"/>
      <c r="L55" s="980"/>
      <c r="M55" s="979"/>
      <c r="N55" s="979"/>
      <c r="O55" s="979"/>
    </row>
    <row r="56" spans="2:15">
      <c r="B56" s="979"/>
      <c r="C56" s="979"/>
      <c r="D56" s="979"/>
      <c r="E56" s="979"/>
      <c r="F56" s="979"/>
      <c r="G56" s="979"/>
      <c r="H56" s="979"/>
      <c r="I56" s="979"/>
      <c r="J56" s="979"/>
      <c r="K56" s="979"/>
      <c r="L56" s="980"/>
      <c r="M56" s="979"/>
      <c r="N56" s="979"/>
      <c r="O56" s="979"/>
    </row>
    <row r="57" spans="2:15">
      <c r="B57" s="979"/>
      <c r="C57" s="979"/>
      <c r="D57" s="979"/>
      <c r="E57" s="979"/>
      <c r="F57" s="979"/>
      <c r="G57" s="979"/>
      <c r="H57" s="979"/>
      <c r="I57" s="979"/>
      <c r="J57" s="979"/>
      <c r="K57" s="979"/>
      <c r="L57" s="980"/>
      <c r="M57" s="979"/>
      <c r="N57" s="979"/>
      <c r="O57" s="979"/>
    </row>
    <row r="58" spans="2:15">
      <c r="B58" s="979"/>
      <c r="C58" s="979"/>
      <c r="D58" s="979"/>
      <c r="E58" s="979"/>
      <c r="F58" s="979"/>
      <c r="G58" s="979"/>
      <c r="H58" s="979"/>
      <c r="I58" s="979"/>
      <c r="J58" s="979"/>
      <c r="K58" s="979"/>
      <c r="L58" s="980"/>
      <c r="M58" s="979"/>
      <c r="N58" s="979"/>
      <c r="O58" s="979"/>
    </row>
    <row r="59" spans="2:15">
      <c r="B59" s="979"/>
      <c r="C59" s="979"/>
      <c r="D59" s="979"/>
      <c r="E59" s="979"/>
      <c r="F59" s="979"/>
      <c r="G59" s="979"/>
      <c r="H59" s="979"/>
      <c r="I59" s="979"/>
      <c r="J59" s="979"/>
      <c r="K59" s="979"/>
      <c r="L59" s="980"/>
      <c r="M59" s="979"/>
      <c r="N59" s="979"/>
      <c r="O59" s="979"/>
    </row>
    <row r="60" spans="2:15">
      <c r="B60" s="979"/>
      <c r="C60" s="979"/>
      <c r="D60" s="979"/>
      <c r="E60" s="979"/>
      <c r="F60" s="979"/>
      <c r="G60" s="979"/>
      <c r="H60" s="979"/>
      <c r="I60" s="979"/>
      <c r="J60" s="979"/>
      <c r="K60" s="979"/>
      <c r="L60" s="980"/>
      <c r="M60" s="979"/>
      <c r="N60" s="979"/>
      <c r="O60" s="979"/>
    </row>
    <row r="61" spans="2:15">
      <c r="B61" s="979"/>
      <c r="C61" s="979"/>
      <c r="D61" s="979"/>
      <c r="E61" s="979"/>
      <c r="F61" s="979"/>
      <c r="G61" s="979"/>
      <c r="H61" s="979"/>
      <c r="I61" s="979"/>
      <c r="J61" s="979"/>
      <c r="K61" s="979"/>
      <c r="L61" s="980"/>
      <c r="M61" s="979"/>
      <c r="N61" s="979"/>
      <c r="O61" s="979"/>
    </row>
    <row r="62" spans="2:15">
      <c r="B62" s="979"/>
      <c r="C62" s="979"/>
      <c r="D62" s="979"/>
      <c r="E62" s="979"/>
      <c r="F62" s="979"/>
      <c r="G62" s="979"/>
      <c r="H62" s="979"/>
      <c r="I62" s="979"/>
      <c r="J62" s="979"/>
      <c r="K62" s="979"/>
      <c r="L62" s="980"/>
      <c r="M62" s="979"/>
      <c r="N62" s="979"/>
      <c r="O62" s="979"/>
    </row>
    <row r="63" spans="2:15">
      <c r="B63" s="979"/>
      <c r="C63" s="979"/>
      <c r="D63" s="979"/>
      <c r="E63" s="979"/>
      <c r="F63" s="979"/>
      <c r="G63" s="979"/>
      <c r="H63" s="979"/>
      <c r="I63" s="979"/>
      <c r="J63" s="979"/>
      <c r="K63" s="979"/>
      <c r="L63" s="980"/>
      <c r="M63" s="979"/>
      <c r="N63" s="979"/>
      <c r="O63" s="979"/>
    </row>
    <row r="64" spans="2:15">
      <c r="B64" s="979"/>
      <c r="C64" s="979"/>
      <c r="D64" s="979"/>
      <c r="E64" s="979"/>
      <c r="F64" s="979"/>
      <c r="G64" s="979"/>
      <c r="H64" s="979"/>
      <c r="I64" s="979"/>
      <c r="J64" s="979"/>
      <c r="K64" s="979"/>
      <c r="L64" s="980"/>
      <c r="M64" s="979"/>
      <c r="N64" s="979"/>
      <c r="O64" s="979"/>
    </row>
    <row r="65" spans="2:15">
      <c r="B65" s="979"/>
      <c r="C65" s="979"/>
      <c r="D65" s="979"/>
      <c r="E65" s="979"/>
      <c r="F65" s="979"/>
      <c r="G65" s="979"/>
      <c r="H65" s="979"/>
      <c r="I65" s="979"/>
      <c r="J65" s="979"/>
      <c r="K65" s="979"/>
      <c r="L65" s="980"/>
      <c r="M65" s="979"/>
      <c r="N65" s="979"/>
      <c r="O65" s="979"/>
    </row>
    <row r="66" spans="2:15">
      <c r="B66" s="979"/>
      <c r="C66" s="979"/>
      <c r="D66" s="979"/>
      <c r="E66" s="979"/>
      <c r="F66" s="979"/>
      <c r="G66" s="979"/>
      <c r="H66" s="979"/>
      <c r="I66" s="979"/>
      <c r="J66" s="979"/>
      <c r="K66" s="979"/>
      <c r="L66" s="980"/>
      <c r="M66" s="979"/>
      <c r="N66" s="979"/>
      <c r="O66" s="979"/>
    </row>
    <row r="67" spans="2:15">
      <c r="B67" s="979"/>
      <c r="C67" s="979"/>
      <c r="D67" s="979"/>
      <c r="E67" s="979"/>
      <c r="F67" s="979"/>
      <c r="G67" s="979"/>
      <c r="H67" s="979"/>
      <c r="I67" s="979"/>
      <c r="J67" s="979"/>
      <c r="K67" s="979"/>
      <c r="L67" s="980"/>
      <c r="M67" s="979"/>
      <c r="N67" s="979"/>
      <c r="O67" s="979"/>
    </row>
    <row r="68" spans="2:15">
      <c r="B68" s="979"/>
      <c r="C68" s="979"/>
      <c r="D68" s="979"/>
      <c r="E68" s="979"/>
      <c r="F68" s="979"/>
      <c r="G68" s="979"/>
      <c r="H68" s="979"/>
      <c r="I68" s="979"/>
      <c r="J68" s="979"/>
      <c r="K68" s="979"/>
      <c r="L68" s="980"/>
      <c r="M68" s="979"/>
      <c r="N68" s="979"/>
      <c r="O68" s="979"/>
    </row>
    <row r="69" spans="2:15">
      <c r="B69" s="979"/>
      <c r="C69" s="979"/>
      <c r="D69" s="979"/>
      <c r="E69" s="979"/>
      <c r="F69" s="979"/>
      <c r="G69" s="979"/>
      <c r="H69" s="979"/>
      <c r="I69" s="979"/>
      <c r="J69" s="979"/>
      <c r="K69" s="979"/>
      <c r="L69" s="980"/>
      <c r="M69" s="979"/>
      <c r="N69" s="979"/>
      <c r="O69" s="979"/>
    </row>
    <row r="70" spans="2:15">
      <c r="B70" s="979"/>
      <c r="C70" s="979"/>
      <c r="D70" s="979"/>
      <c r="E70" s="979"/>
      <c r="F70" s="979"/>
      <c r="G70" s="979"/>
      <c r="H70" s="979"/>
      <c r="I70" s="979"/>
      <c r="J70" s="979"/>
      <c r="K70" s="979"/>
      <c r="L70" s="980"/>
      <c r="M70" s="979"/>
      <c r="N70" s="979"/>
      <c r="O70" s="979"/>
    </row>
    <row r="71" spans="2:15">
      <c r="B71" s="979"/>
      <c r="C71" s="979"/>
      <c r="D71" s="979"/>
      <c r="E71" s="979"/>
      <c r="F71" s="979"/>
      <c r="G71" s="979"/>
      <c r="H71" s="979"/>
      <c r="I71" s="979"/>
      <c r="J71" s="979"/>
      <c r="K71" s="979"/>
      <c r="L71" s="980"/>
      <c r="M71" s="979"/>
      <c r="N71" s="979"/>
      <c r="O71" s="979"/>
    </row>
    <row r="72" spans="2:15">
      <c r="B72" s="979"/>
      <c r="C72" s="979"/>
      <c r="D72" s="979"/>
      <c r="E72" s="979"/>
      <c r="F72" s="979"/>
      <c r="G72" s="979"/>
      <c r="H72" s="979"/>
      <c r="I72" s="979"/>
      <c r="J72" s="979"/>
      <c r="K72" s="979"/>
      <c r="L72" s="980"/>
      <c r="M72" s="979"/>
      <c r="N72" s="979"/>
      <c r="O72" s="979"/>
    </row>
    <row r="73" spans="2:15">
      <c r="B73" s="979"/>
      <c r="C73" s="979"/>
      <c r="D73" s="979"/>
      <c r="E73" s="979"/>
      <c r="F73" s="979"/>
      <c r="G73" s="979"/>
      <c r="H73" s="979"/>
      <c r="I73" s="979"/>
      <c r="J73" s="979"/>
      <c r="K73" s="979"/>
      <c r="L73" s="980"/>
      <c r="M73" s="979"/>
      <c r="N73" s="979"/>
      <c r="O73" s="979"/>
    </row>
    <row r="74" spans="2:15">
      <c r="B74" s="979"/>
      <c r="C74" s="979"/>
      <c r="D74" s="979"/>
      <c r="E74" s="979"/>
      <c r="F74" s="979"/>
      <c r="G74" s="979"/>
      <c r="H74" s="979"/>
      <c r="I74" s="979"/>
      <c r="J74" s="979"/>
      <c r="K74" s="979"/>
      <c r="L74" s="980"/>
      <c r="M74" s="979"/>
      <c r="N74" s="979"/>
      <c r="O74" s="979"/>
    </row>
    <row r="75" spans="2:15">
      <c r="B75" s="979"/>
      <c r="C75" s="979"/>
      <c r="D75" s="979"/>
      <c r="E75" s="979"/>
      <c r="F75" s="979"/>
      <c r="G75" s="979"/>
      <c r="H75" s="979"/>
      <c r="I75" s="979"/>
      <c r="J75" s="979"/>
      <c r="K75" s="979"/>
      <c r="L75" s="980"/>
      <c r="M75" s="979"/>
      <c r="N75" s="979"/>
      <c r="O75" s="979"/>
    </row>
    <row r="76" spans="2:15">
      <c r="B76" s="979"/>
      <c r="C76" s="979"/>
      <c r="D76" s="979"/>
      <c r="E76" s="979"/>
      <c r="F76" s="979"/>
      <c r="G76" s="979"/>
      <c r="H76" s="979"/>
      <c r="I76" s="979"/>
      <c r="J76" s="979"/>
      <c r="K76" s="979"/>
      <c r="L76" s="980"/>
      <c r="M76" s="979"/>
      <c r="N76" s="979"/>
      <c r="O76" s="979"/>
    </row>
    <row r="77" spans="2:15">
      <c r="B77" s="979"/>
      <c r="C77" s="979"/>
      <c r="D77" s="979"/>
      <c r="E77" s="979"/>
      <c r="F77" s="979"/>
      <c r="G77" s="979"/>
      <c r="H77" s="979"/>
      <c r="I77" s="979"/>
      <c r="J77" s="979"/>
      <c r="K77" s="979"/>
      <c r="L77" s="980"/>
      <c r="M77" s="979"/>
      <c r="N77" s="979"/>
      <c r="O77" s="979"/>
    </row>
    <row r="78" spans="2:15">
      <c r="B78" s="979"/>
      <c r="C78" s="979"/>
      <c r="D78" s="979"/>
      <c r="E78" s="979"/>
      <c r="F78" s="979"/>
      <c r="G78" s="979"/>
      <c r="H78" s="979"/>
      <c r="I78" s="979"/>
      <c r="J78" s="979"/>
      <c r="K78" s="979"/>
      <c r="L78" s="980"/>
      <c r="M78" s="979"/>
      <c r="N78" s="979"/>
      <c r="O78" s="979"/>
    </row>
    <row r="79" spans="2:15">
      <c r="B79" s="979"/>
      <c r="C79" s="979"/>
      <c r="D79" s="979"/>
      <c r="E79" s="979"/>
      <c r="F79" s="979"/>
      <c r="G79" s="979"/>
      <c r="H79" s="979"/>
      <c r="I79" s="979"/>
      <c r="J79" s="979"/>
      <c r="K79" s="979"/>
      <c r="L79" s="980"/>
      <c r="M79" s="979"/>
      <c r="N79" s="979"/>
      <c r="O79" s="979"/>
    </row>
    <row r="80" spans="2:15">
      <c r="B80" s="979"/>
      <c r="C80" s="979"/>
      <c r="D80" s="979"/>
      <c r="E80" s="979"/>
      <c r="F80" s="979"/>
      <c r="G80" s="979"/>
      <c r="H80" s="979"/>
      <c r="I80" s="979"/>
      <c r="J80" s="979"/>
      <c r="K80" s="979"/>
      <c r="L80" s="980"/>
      <c r="M80" s="979"/>
      <c r="N80" s="979"/>
      <c r="O80" s="979"/>
    </row>
    <row r="81" spans="2:15">
      <c r="B81" s="979"/>
      <c r="C81" s="979"/>
      <c r="D81" s="979"/>
      <c r="E81" s="979"/>
      <c r="F81" s="979"/>
      <c r="G81" s="979"/>
      <c r="H81" s="979"/>
      <c r="I81" s="979"/>
      <c r="J81" s="979"/>
      <c r="K81" s="979"/>
      <c r="L81" s="980"/>
      <c r="M81" s="979"/>
      <c r="N81" s="979"/>
      <c r="O81" s="979"/>
    </row>
    <row r="82" spans="2:15">
      <c r="B82" s="979"/>
      <c r="C82" s="979"/>
      <c r="D82" s="979"/>
      <c r="E82" s="979"/>
      <c r="F82" s="979"/>
      <c r="G82" s="979"/>
      <c r="H82" s="979"/>
      <c r="I82" s="979"/>
      <c r="J82" s="979"/>
      <c r="K82" s="979"/>
      <c r="L82" s="980"/>
      <c r="M82" s="979"/>
      <c r="N82" s="979"/>
      <c r="O82" s="979"/>
    </row>
    <row r="83" spans="2:15">
      <c r="B83" s="979"/>
      <c r="C83" s="979"/>
      <c r="D83" s="979"/>
      <c r="E83" s="979"/>
      <c r="F83" s="979"/>
      <c r="G83" s="979"/>
      <c r="H83" s="979"/>
      <c r="I83" s="979"/>
      <c r="J83" s="979"/>
      <c r="K83" s="979"/>
      <c r="L83" s="980"/>
      <c r="M83" s="979"/>
      <c r="N83" s="979"/>
      <c r="O83" s="979"/>
    </row>
    <row r="84" spans="2:15">
      <c r="B84" s="979"/>
      <c r="C84" s="979"/>
      <c r="D84" s="979"/>
      <c r="E84" s="979"/>
      <c r="F84" s="979"/>
      <c r="G84" s="979"/>
      <c r="H84" s="979"/>
      <c r="I84" s="979"/>
      <c r="J84" s="979"/>
      <c r="K84" s="979"/>
      <c r="L84" s="980"/>
      <c r="M84" s="979"/>
      <c r="N84" s="979"/>
      <c r="O84" s="979"/>
    </row>
    <row r="85" spans="2:15">
      <c r="B85" s="979"/>
      <c r="C85" s="979"/>
      <c r="D85" s="979"/>
      <c r="E85" s="979"/>
      <c r="F85" s="979"/>
      <c r="G85" s="979"/>
      <c r="H85" s="979"/>
      <c r="I85" s="979"/>
      <c r="J85" s="979"/>
      <c r="K85" s="979"/>
      <c r="L85" s="980"/>
      <c r="M85" s="979"/>
      <c r="N85" s="979"/>
      <c r="O85" s="979"/>
    </row>
    <row r="86" spans="2:15">
      <c r="B86" s="979"/>
      <c r="C86" s="979"/>
      <c r="D86" s="979"/>
      <c r="E86" s="979"/>
      <c r="F86" s="979"/>
      <c r="G86" s="979"/>
      <c r="H86" s="979"/>
      <c r="I86" s="979"/>
      <c r="J86" s="979"/>
      <c r="K86" s="979"/>
      <c r="L86" s="980"/>
      <c r="M86" s="979"/>
      <c r="N86" s="979"/>
      <c r="O86" s="979"/>
    </row>
    <row r="87" spans="2:15">
      <c r="B87" s="979"/>
      <c r="C87" s="979"/>
      <c r="D87" s="979"/>
      <c r="E87" s="979"/>
      <c r="F87" s="979"/>
      <c r="G87" s="979"/>
      <c r="H87" s="979"/>
      <c r="I87" s="979"/>
      <c r="J87" s="979"/>
      <c r="K87" s="979"/>
      <c r="L87" s="980"/>
      <c r="M87" s="979"/>
      <c r="N87" s="979"/>
      <c r="O87" s="979"/>
    </row>
    <row r="88" spans="2:15">
      <c r="B88" s="979"/>
      <c r="C88" s="979"/>
      <c r="D88" s="979"/>
      <c r="E88" s="979"/>
      <c r="F88" s="979"/>
      <c r="G88" s="979"/>
      <c r="H88" s="979"/>
      <c r="I88" s="979"/>
      <c r="J88" s="979"/>
      <c r="K88" s="979"/>
      <c r="L88" s="980"/>
      <c r="M88" s="979"/>
      <c r="N88" s="979"/>
      <c r="O88" s="979"/>
    </row>
    <row r="89" spans="2:15">
      <c r="B89" s="979"/>
      <c r="C89" s="979"/>
      <c r="D89" s="979"/>
      <c r="E89" s="979"/>
      <c r="F89" s="979"/>
      <c r="G89" s="979"/>
      <c r="H89" s="979"/>
      <c r="I89" s="979"/>
      <c r="J89" s="979"/>
      <c r="K89" s="979"/>
      <c r="L89" s="980"/>
      <c r="M89" s="979"/>
      <c r="N89" s="979"/>
      <c r="O89" s="979"/>
    </row>
    <row r="90" spans="2:15">
      <c r="B90" s="979"/>
      <c r="C90" s="979"/>
      <c r="D90" s="979"/>
      <c r="E90" s="979"/>
      <c r="F90" s="979"/>
      <c r="G90" s="979"/>
      <c r="H90" s="979"/>
      <c r="I90" s="979"/>
      <c r="J90" s="979"/>
      <c r="K90" s="979"/>
      <c r="L90" s="980"/>
      <c r="M90" s="979"/>
      <c r="N90" s="979"/>
      <c r="O90" s="979"/>
    </row>
    <row r="91" spans="2:15">
      <c r="B91" s="979"/>
      <c r="C91" s="979"/>
      <c r="D91" s="979"/>
      <c r="E91" s="979"/>
      <c r="F91" s="979"/>
      <c r="G91" s="979"/>
      <c r="H91" s="979"/>
      <c r="I91" s="979"/>
      <c r="J91" s="979"/>
      <c r="K91" s="979"/>
      <c r="L91" s="980"/>
      <c r="M91" s="979"/>
      <c r="N91" s="979"/>
      <c r="O91" s="979"/>
    </row>
    <row r="92" spans="2:15">
      <c r="B92" s="979"/>
      <c r="C92" s="979"/>
      <c r="D92" s="979"/>
      <c r="E92" s="979"/>
      <c r="F92" s="979"/>
      <c r="G92" s="979"/>
      <c r="H92" s="979"/>
      <c r="I92" s="979"/>
      <c r="J92" s="979"/>
      <c r="K92" s="979"/>
      <c r="L92" s="980"/>
      <c r="M92" s="979"/>
      <c r="N92" s="979"/>
      <c r="O92" s="979"/>
    </row>
    <row r="93" spans="2:15">
      <c r="B93" s="979"/>
      <c r="C93" s="979"/>
      <c r="D93" s="979"/>
      <c r="E93" s="979"/>
      <c r="F93" s="979"/>
      <c r="G93" s="979"/>
      <c r="H93" s="979"/>
      <c r="I93" s="979"/>
      <c r="J93" s="979"/>
      <c r="K93" s="979"/>
      <c r="L93" s="980"/>
      <c r="M93" s="979"/>
      <c r="N93" s="979"/>
      <c r="O93" s="979"/>
    </row>
    <row r="94" spans="2:15">
      <c r="B94" s="979"/>
      <c r="C94" s="979"/>
      <c r="D94" s="979"/>
      <c r="E94" s="979"/>
      <c r="F94" s="979"/>
      <c r="G94" s="979"/>
      <c r="H94" s="979"/>
      <c r="I94" s="979"/>
      <c r="J94" s="979"/>
      <c r="K94" s="979"/>
      <c r="L94" s="980"/>
      <c r="M94" s="979"/>
      <c r="N94" s="979"/>
      <c r="O94" s="979"/>
    </row>
    <row r="95" spans="2:15">
      <c r="B95" s="979"/>
      <c r="C95" s="979"/>
      <c r="D95" s="979"/>
      <c r="E95" s="979"/>
      <c r="F95" s="979"/>
      <c r="G95" s="979"/>
      <c r="H95" s="979"/>
      <c r="I95" s="979"/>
      <c r="J95" s="979"/>
      <c r="K95" s="979"/>
      <c r="L95" s="980"/>
      <c r="M95" s="979"/>
      <c r="N95" s="979"/>
      <c r="O95" s="979"/>
    </row>
    <row r="96" spans="2:15">
      <c r="B96" s="979"/>
      <c r="C96" s="979"/>
      <c r="D96" s="979"/>
      <c r="E96" s="979"/>
      <c r="F96" s="979"/>
      <c r="G96" s="979"/>
      <c r="H96" s="979"/>
      <c r="I96" s="979"/>
      <c r="J96" s="979"/>
      <c r="K96" s="979"/>
      <c r="L96" s="980"/>
      <c r="M96" s="979"/>
      <c r="N96" s="979"/>
      <c r="O96" s="979"/>
    </row>
    <row r="97" spans="2:15">
      <c r="B97" s="979"/>
      <c r="C97" s="979"/>
      <c r="D97" s="979"/>
      <c r="E97" s="979"/>
      <c r="F97" s="979"/>
      <c r="G97" s="979"/>
      <c r="H97" s="979"/>
      <c r="I97" s="979"/>
      <c r="J97" s="979"/>
      <c r="K97" s="979"/>
      <c r="L97" s="980"/>
      <c r="M97" s="979"/>
      <c r="N97" s="979"/>
      <c r="O97" s="979"/>
    </row>
    <row r="98" spans="2:15">
      <c r="B98" s="979"/>
      <c r="C98" s="979"/>
      <c r="D98" s="979"/>
      <c r="E98" s="979"/>
      <c r="F98" s="979"/>
      <c r="G98" s="979"/>
      <c r="H98" s="979"/>
      <c r="I98" s="979"/>
      <c r="J98" s="979"/>
      <c r="K98" s="979"/>
      <c r="L98" s="980"/>
      <c r="M98" s="979"/>
      <c r="N98" s="979"/>
      <c r="O98" s="979"/>
    </row>
    <row r="99" spans="2:15">
      <c r="B99" s="979"/>
      <c r="C99" s="979"/>
      <c r="D99" s="979"/>
      <c r="E99" s="979"/>
      <c r="F99" s="979"/>
      <c r="G99" s="979"/>
      <c r="H99" s="979"/>
      <c r="I99" s="979"/>
      <c r="J99" s="979"/>
      <c r="K99" s="979"/>
      <c r="L99" s="980"/>
      <c r="M99" s="979"/>
      <c r="N99" s="979"/>
      <c r="O99" s="979"/>
    </row>
    <row r="100" spans="2:15">
      <c r="B100" s="979"/>
      <c r="C100" s="979"/>
      <c r="D100" s="979"/>
      <c r="E100" s="979"/>
      <c r="F100" s="979"/>
      <c r="G100" s="979"/>
      <c r="H100" s="979"/>
      <c r="I100" s="979"/>
      <c r="J100" s="979"/>
      <c r="K100" s="979"/>
      <c r="L100" s="980"/>
      <c r="M100" s="979"/>
      <c r="N100" s="979"/>
      <c r="O100" s="979"/>
    </row>
    <row r="101" spans="2:15">
      <c r="B101" s="979"/>
      <c r="C101" s="979"/>
      <c r="D101" s="979"/>
      <c r="E101" s="979"/>
      <c r="F101" s="979"/>
      <c r="G101" s="979"/>
      <c r="H101" s="979"/>
      <c r="I101" s="979"/>
      <c r="J101" s="979"/>
      <c r="K101" s="979"/>
      <c r="L101" s="980"/>
      <c r="M101" s="979"/>
      <c r="N101" s="979"/>
      <c r="O101" s="979"/>
    </row>
    <row r="102" spans="2:15">
      <c r="B102" s="979"/>
      <c r="C102" s="979"/>
      <c r="D102" s="979"/>
      <c r="E102" s="979"/>
      <c r="F102" s="979"/>
      <c r="G102" s="979"/>
      <c r="H102" s="979"/>
      <c r="I102" s="979"/>
      <c r="J102" s="979"/>
      <c r="K102" s="979"/>
      <c r="L102" s="980"/>
      <c r="M102" s="979"/>
      <c r="N102" s="979"/>
      <c r="O102" s="979"/>
    </row>
    <row r="103" spans="2:15">
      <c r="B103" s="979"/>
      <c r="C103" s="979"/>
      <c r="D103" s="979"/>
      <c r="E103" s="979"/>
      <c r="F103" s="979"/>
      <c r="G103" s="979"/>
      <c r="H103" s="979"/>
      <c r="I103" s="979"/>
      <c r="J103" s="979"/>
      <c r="K103" s="979"/>
      <c r="L103" s="980"/>
      <c r="M103" s="979"/>
      <c r="N103" s="979"/>
      <c r="O103" s="979"/>
    </row>
    <row r="104" spans="2:15">
      <c r="B104" s="979"/>
      <c r="C104" s="979"/>
      <c r="D104" s="979"/>
      <c r="E104" s="979"/>
      <c r="F104" s="979"/>
      <c r="G104" s="979"/>
      <c r="H104" s="979"/>
      <c r="I104" s="979"/>
      <c r="J104" s="979"/>
      <c r="K104" s="979"/>
      <c r="L104" s="980"/>
      <c r="M104" s="979"/>
      <c r="N104" s="979"/>
      <c r="O104" s="979"/>
    </row>
    <row r="105" spans="2:15">
      <c r="B105" s="979"/>
      <c r="C105" s="979"/>
      <c r="D105" s="979"/>
      <c r="E105" s="979"/>
      <c r="F105" s="979"/>
      <c r="G105" s="979"/>
      <c r="H105" s="979"/>
      <c r="I105" s="979"/>
      <c r="J105" s="979"/>
      <c r="K105" s="979"/>
      <c r="L105" s="980"/>
      <c r="M105" s="979"/>
      <c r="N105" s="979"/>
      <c r="O105" s="979"/>
    </row>
    <row r="106" spans="2:15">
      <c r="B106" s="979"/>
      <c r="C106" s="979"/>
      <c r="D106" s="979"/>
      <c r="E106" s="979"/>
      <c r="F106" s="979"/>
      <c r="G106" s="979"/>
      <c r="H106" s="979"/>
      <c r="I106" s="979"/>
      <c r="J106" s="979"/>
      <c r="K106" s="979"/>
      <c r="L106" s="980"/>
      <c r="M106" s="979"/>
      <c r="N106" s="979"/>
      <c r="O106" s="979"/>
    </row>
    <row r="107" spans="2:15">
      <c r="B107" s="979"/>
      <c r="C107" s="979"/>
      <c r="D107" s="979"/>
      <c r="E107" s="979"/>
      <c r="F107" s="979"/>
      <c r="G107" s="979"/>
      <c r="H107" s="979"/>
      <c r="I107" s="979"/>
      <c r="J107" s="979"/>
      <c r="K107" s="979"/>
      <c r="L107" s="980"/>
      <c r="M107" s="979"/>
      <c r="N107" s="979"/>
      <c r="O107" s="979"/>
    </row>
    <row r="108" spans="2:15">
      <c r="B108" s="979"/>
      <c r="C108" s="979"/>
      <c r="D108" s="979"/>
      <c r="E108" s="979"/>
      <c r="F108" s="979"/>
      <c r="G108" s="979"/>
      <c r="H108" s="979"/>
      <c r="I108" s="979"/>
      <c r="J108" s="979"/>
      <c r="K108" s="979"/>
      <c r="L108" s="980"/>
      <c r="M108" s="979"/>
      <c r="N108" s="979"/>
      <c r="O108" s="979"/>
    </row>
    <row r="109" spans="2:15">
      <c r="B109" s="979"/>
      <c r="C109" s="979"/>
      <c r="D109" s="979"/>
      <c r="E109" s="979"/>
      <c r="F109" s="979"/>
      <c r="G109" s="979"/>
      <c r="H109" s="979"/>
      <c r="I109" s="979"/>
      <c r="J109" s="979"/>
      <c r="K109" s="979"/>
      <c r="L109" s="980"/>
      <c r="M109" s="979"/>
      <c r="N109" s="979"/>
      <c r="O109" s="979"/>
    </row>
    <row r="110" spans="2:15">
      <c r="B110" s="979"/>
      <c r="C110" s="979"/>
      <c r="D110" s="979"/>
      <c r="E110" s="979"/>
      <c r="F110" s="979"/>
      <c r="G110" s="979"/>
      <c r="H110" s="979"/>
      <c r="I110" s="979"/>
      <c r="J110" s="979"/>
      <c r="K110" s="979"/>
      <c r="L110" s="980"/>
      <c r="M110" s="979"/>
      <c r="N110" s="979"/>
      <c r="O110" s="979"/>
    </row>
    <row r="111" spans="2:15">
      <c r="B111" s="979"/>
      <c r="C111" s="979"/>
      <c r="D111" s="979"/>
      <c r="E111" s="979"/>
      <c r="F111" s="979"/>
      <c r="G111" s="979"/>
      <c r="H111" s="979"/>
      <c r="I111" s="979"/>
      <c r="J111" s="979"/>
      <c r="K111" s="979"/>
      <c r="L111" s="980"/>
      <c r="M111" s="979"/>
      <c r="N111" s="979"/>
      <c r="O111" s="979"/>
    </row>
    <row r="112" spans="2:15">
      <c r="B112" s="979"/>
      <c r="C112" s="979"/>
      <c r="D112" s="979"/>
      <c r="E112" s="979"/>
      <c r="F112" s="979"/>
      <c r="G112" s="979"/>
      <c r="H112" s="979"/>
      <c r="I112" s="979"/>
      <c r="J112" s="979"/>
      <c r="K112" s="979"/>
      <c r="L112" s="980"/>
      <c r="M112" s="979"/>
      <c r="N112" s="979"/>
      <c r="O112" s="979"/>
    </row>
    <row r="113" spans="2:15">
      <c r="B113" s="979"/>
      <c r="C113" s="979"/>
      <c r="D113" s="979"/>
      <c r="E113" s="979"/>
      <c r="F113" s="979"/>
      <c r="G113" s="979"/>
      <c r="H113" s="979"/>
      <c r="I113" s="979"/>
      <c r="J113" s="979"/>
      <c r="K113" s="979"/>
      <c r="L113" s="980"/>
      <c r="M113" s="979"/>
      <c r="N113" s="979"/>
      <c r="O113" s="979"/>
    </row>
    <row r="114" spans="2:15">
      <c r="B114" s="979"/>
      <c r="C114" s="979"/>
      <c r="D114" s="979"/>
      <c r="E114" s="979"/>
      <c r="F114" s="979"/>
      <c r="G114" s="979"/>
      <c r="H114" s="979"/>
      <c r="I114" s="979"/>
      <c r="J114" s="979"/>
      <c r="K114" s="979"/>
      <c r="L114" s="980"/>
      <c r="M114" s="979"/>
      <c r="N114" s="979"/>
      <c r="O114" s="979"/>
    </row>
    <row r="115" spans="2:15">
      <c r="B115" s="979"/>
      <c r="C115" s="979"/>
      <c r="D115" s="979"/>
      <c r="E115" s="979"/>
      <c r="F115" s="979"/>
      <c r="G115" s="979"/>
      <c r="H115" s="979"/>
      <c r="I115" s="979"/>
      <c r="J115" s="979"/>
      <c r="K115" s="979"/>
      <c r="L115" s="980"/>
      <c r="M115" s="979"/>
      <c r="N115" s="979"/>
      <c r="O115" s="979"/>
    </row>
    <row r="116" spans="2:15">
      <c r="B116" s="979"/>
      <c r="C116" s="979"/>
      <c r="D116" s="979"/>
      <c r="E116" s="979"/>
      <c r="F116" s="979"/>
      <c r="G116" s="979"/>
      <c r="H116" s="979"/>
      <c r="I116" s="979"/>
      <c r="J116" s="979"/>
      <c r="K116" s="979"/>
      <c r="L116" s="980"/>
      <c r="M116" s="979"/>
      <c r="N116" s="979"/>
      <c r="O116" s="979"/>
    </row>
    <row r="117" spans="2:15">
      <c r="B117" s="979"/>
      <c r="C117" s="979"/>
      <c r="D117" s="979"/>
      <c r="E117" s="979"/>
      <c r="F117" s="979"/>
      <c r="G117" s="979"/>
      <c r="H117" s="979"/>
      <c r="I117" s="979"/>
      <c r="J117" s="979"/>
      <c r="K117" s="979"/>
      <c r="L117" s="980"/>
      <c r="M117" s="979"/>
      <c r="N117" s="979"/>
      <c r="O117" s="979"/>
    </row>
    <row r="118" spans="2:15">
      <c r="B118" s="979"/>
      <c r="C118" s="979"/>
      <c r="D118" s="979"/>
      <c r="E118" s="979"/>
      <c r="F118" s="979"/>
      <c r="G118" s="979"/>
      <c r="H118" s="979"/>
      <c r="I118" s="979"/>
      <c r="J118" s="979"/>
      <c r="K118" s="979"/>
      <c r="L118" s="980"/>
      <c r="M118" s="979"/>
      <c r="N118" s="979"/>
      <c r="O118" s="979"/>
    </row>
    <row r="119" spans="2:15">
      <c r="B119" s="979"/>
      <c r="C119" s="979"/>
      <c r="D119" s="979"/>
      <c r="E119" s="979"/>
      <c r="F119" s="979"/>
      <c r="G119" s="979"/>
      <c r="H119" s="979"/>
      <c r="I119" s="979"/>
      <c r="J119" s="979"/>
      <c r="K119" s="979"/>
      <c r="L119" s="980"/>
      <c r="M119" s="979"/>
      <c r="N119" s="979"/>
      <c r="O119" s="979"/>
    </row>
    <row r="120" spans="2:15">
      <c r="B120" s="979"/>
      <c r="C120" s="979"/>
      <c r="D120" s="979"/>
      <c r="E120" s="979"/>
      <c r="F120" s="979"/>
      <c r="G120" s="979"/>
      <c r="H120" s="979"/>
      <c r="I120" s="979"/>
      <c r="J120" s="979"/>
      <c r="K120" s="979"/>
      <c r="L120" s="980"/>
      <c r="M120" s="979"/>
      <c r="N120" s="979"/>
      <c r="O120" s="979"/>
    </row>
    <row r="121" spans="2:15">
      <c r="B121" s="979"/>
      <c r="C121" s="979"/>
      <c r="D121" s="979"/>
      <c r="E121" s="979"/>
      <c r="F121" s="979"/>
      <c r="G121" s="979"/>
      <c r="H121" s="979"/>
      <c r="I121" s="979"/>
      <c r="J121" s="979"/>
      <c r="K121" s="979"/>
      <c r="L121" s="980"/>
      <c r="M121" s="979"/>
      <c r="N121" s="979"/>
      <c r="O121" s="979"/>
    </row>
    <row r="122" spans="2:15">
      <c r="B122" s="979"/>
      <c r="C122" s="979"/>
      <c r="D122" s="979"/>
      <c r="E122" s="979"/>
      <c r="F122" s="979"/>
      <c r="G122" s="979"/>
      <c r="H122" s="979"/>
      <c r="I122" s="979"/>
      <c r="J122" s="979"/>
      <c r="K122" s="979"/>
      <c r="L122" s="980"/>
      <c r="M122" s="979"/>
      <c r="N122" s="979"/>
      <c r="O122" s="979"/>
    </row>
    <row r="123" spans="2:15">
      <c r="B123" s="979"/>
      <c r="C123" s="979"/>
      <c r="D123" s="979"/>
      <c r="E123" s="979"/>
      <c r="F123" s="979"/>
      <c r="G123" s="979"/>
      <c r="H123" s="979"/>
      <c r="I123" s="979"/>
      <c r="J123" s="979"/>
      <c r="K123" s="979"/>
      <c r="L123" s="980"/>
      <c r="M123" s="979"/>
      <c r="N123" s="979"/>
      <c r="O123" s="979"/>
    </row>
    <row r="124" spans="2:15">
      <c r="B124" s="979"/>
      <c r="C124" s="979"/>
      <c r="D124" s="979"/>
      <c r="E124" s="979"/>
      <c r="F124" s="979"/>
      <c r="G124" s="979"/>
      <c r="H124" s="979"/>
      <c r="I124" s="979"/>
      <c r="J124" s="979"/>
      <c r="K124" s="979"/>
      <c r="L124" s="980"/>
      <c r="M124" s="979"/>
      <c r="N124" s="979"/>
      <c r="O124" s="979"/>
    </row>
    <row r="125" spans="2:15">
      <c r="B125" s="979"/>
      <c r="C125" s="979"/>
      <c r="D125" s="979"/>
      <c r="E125" s="979"/>
      <c r="F125" s="979"/>
      <c r="G125" s="979"/>
      <c r="H125" s="979"/>
      <c r="I125" s="979"/>
      <c r="J125" s="979"/>
      <c r="K125" s="979"/>
      <c r="L125" s="980"/>
      <c r="M125" s="979"/>
      <c r="N125" s="979"/>
      <c r="O125" s="979"/>
    </row>
    <row r="126" spans="2:15">
      <c r="B126" s="979"/>
      <c r="C126" s="979"/>
      <c r="D126" s="979"/>
      <c r="E126" s="979"/>
      <c r="F126" s="979"/>
      <c r="G126" s="979"/>
      <c r="H126" s="979"/>
      <c r="I126" s="979"/>
      <c r="J126" s="979"/>
      <c r="K126" s="979"/>
      <c r="L126" s="980"/>
      <c r="M126" s="979"/>
      <c r="N126" s="979"/>
      <c r="O126" s="979"/>
    </row>
    <row r="127" spans="2:15">
      <c r="B127" s="979"/>
      <c r="C127" s="979"/>
      <c r="D127" s="979"/>
      <c r="E127" s="979"/>
      <c r="F127" s="979"/>
      <c r="G127" s="979"/>
      <c r="H127" s="979"/>
      <c r="I127" s="979"/>
      <c r="J127" s="979"/>
      <c r="K127" s="979"/>
      <c r="L127" s="980"/>
      <c r="M127" s="979"/>
      <c r="N127" s="979"/>
      <c r="O127" s="979"/>
    </row>
    <row r="128" spans="2:15">
      <c r="B128" s="979"/>
      <c r="C128" s="979"/>
      <c r="D128" s="979"/>
      <c r="E128" s="979"/>
      <c r="F128" s="979"/>
      <c r="G128" s="979"/>
      <c r="H128" s="979"/>
      <c r="I128" s="979"/>
      <c r="J128" s="979"/>
      <c r="K128" s="979"/>
      <c r="L128" s="980"/>
      <c r="M128" s="979"/>
      <c r="N128" s="979"/>
      <c r="O128" s="979"/>
    </row>
    <row r="129" spans="2:15">
      <c r="B129" s="979"/>
      <c r="C129" s="979"/>
      <c r="D129" s="979"/>
      <c r="E129" s="979"/>
      <c r="F129" s="979"/>
      <c r="G129" s="979"/>
      <c r="H129" s="979"/>
      <c r="I129" s="979"/>
      <c r="J129" s="979"/>
      <c r="K129" s="979"/>
      <c r="L129" s="980"/>
      <c r="M129" s="979"/>
      <c r="N129" s="979"/>
      <c r="O129" s="979"/>
    </row>
    <row r="130" spans="2:15">
      <c r="B130" s="979"/>
      <c r="C130" s="979"/>
      <c r="D130" s="979"/>
      <c r="E130" s="979"/>
      <c r="F130" s="979"/>
      <c r="G130" s="979"/>
      <c r="H130" s="979"/>
      <c r="I130" s="979"/>
      <c r="J130" s="979"/>
      <c r="K130" s="979"/>
      <c r="L130" s="980"/>
      <c r="M130" s="979"/>
      <c r="N130" s="979"/>
      <c r="O130" s="979"/>
    </row>
    <row r="131" spans="2:15">
      <c r="B131" s="979"/>
      <c r="C131" s="979"/>
      <c r="D131" s="979"/>
      <c r="E131" s="979"/>
      <c r="F131" s="979"/>
      <c r="G131" s="979"/>
      <c r="H131" s="979"/>
      <c r="I131" s="979"/>
      <c r="J131" s="979"/>
      <c r="K131" s="979"/>
      <c r="L131" s="980"/>
      <c r="M131" s="979"/>
      <c r="N131" s="979"/>
      <c r="O131" s="979"/>
    </row>
    <row r="132" spans="2:15" ht="30" customHeight="1">
      <c r="B132" s="979"/>
      <c r="C132" s="979"/>
      <c r="D132" s="979"/>
      <c r="E132" s="979"/>
      <c r="F132" s="979"/>
      <c r="G132" s="979"/>
      <c r="H132" s="979"/>
      <c r="I132" s="979"/>
      <c r="J132" s="979"/>
      <c r="K132" s="979"/>
      <c r="L132" s="980"/>
      <c r="M132" s="979"/>
      <c r="N132" s="979"/>
      <c r="O132" s="979"/>
    </row>
    <row r="133" spans="2:15">
      <c r="B133" s="979"/>
      <c r="C133" s="979"/>
      <c r="D133" s="979"/>
      <c r="E133" s="979"/>
      <c r="F133" s="979"/>
      <c r="G133" s="979"/>
      <c r="H133" s="979"/>
      <c r="I133" s="979"/>
      <c r="J133" s="979"/>
      <c r="K133" s="979"/>
      <c r="L133" s="980"/>
      <c r="M133" s="979"/>
      <c r="N133" s="979"/>
      <c r="O133" s="979"/>
    </row>
    <row r="134" spans="2:15">
      <c r="B134" s="979"/>
      <c r="C134" s="979"/>
      <c r="D134" s="979"/>
      <c r="E134" s="979"/>
      <c r="F134" s="979"/>
      <c r="G134" s="979"/>
      <c r="H134" s="979"/>
      <c r="I134" s="979"/>
      <c r="J134" s="979"/>
      <c r="K134" s="979"/>
      <c r="L134" s="980"/>
      <c r="M134" s="979"/>
      <c r="N134" s="979"/>
      <c r="O134" s="979"/>
    </row>
    <row r="135" spans="2:15">
      <c r="B135" s="979"/>
      <c r="C135" s="979"/>
      <c r="D135" s="979"/>
      <c r="E135" s="979"/>
      <c r="F135" s="979"/>
      <c r="G135" s="979"/>
      <c r="H135" s="979"/>
      <c r="I135" s="979"/>
      <c r="J135" s="979"/>
      <c r="K135" s="979"/>
      <c r="L135" s="980"/>
      <c r="M135" s="979"/>
      <c r="N135" s="979"/>
      <c r="O135" s="979"/>
    </row>
    <row r="136" spans="2:15">
      <c r="B136" s="979"/>
      <c r="C136" s="979"/>
      <c r="D136" s="979"/>
      <c r="E136" s="979"/>
      <c r="F136" s="979"/>
      <c r="G136" s="979"/>
      <c r="H136" s="979"/>
      <c r="I136" s="979"/>
      <c r="J136" s="979"/>
      <c r="K136" s="979"/>
      <c r="L136" s="980"/>
      <c r="M136" s="979"/>
      <c r="N136" s="979"/>
      <c r="O136" s="979"/>
    </row>
    <row r="137" spans="2:15">
      <c r="B137" s="979"/>
      <c r="C137" s="979"/>
      <c r="D137" s="979"/>
      <c r="E137" s="979"/>
      <c r="F137" s="979"/>
      <c r="G137" s="979"/>
      <c r="H137" s="979"/>
      <c r="I137" s="979"/>
      <c r="J137" s="979"/>
      <c r="K137" s="979"/>
      <c r="L137" s="980"/>
      <c r="M137" s="979"/>
      <c r="N137" s="979"/>
      <c r="O137" s="979"/>
    </row>
    <row r="138" spans="2:15">
      <c r="B138" s="979"/>
      <c r="C138" s="979"/>
      <c r="D138" s="979"/>
      <c r="E138" s="979"/>
      <c r="F138" s="979"/>
      <c r="G138" s="979"/>
      <c r="H138" s="979"/>
      <c r="I138" s="979"/>
      <c r="J138" s="979"/>
      <c r="K138" s="979"/>
      <c r="L138" s="980"/>
      <c r="M138" s="979"/>
      <c r="N138" s="979"/>
      <c r="O138" s="979"/>
    </row>
    <row r="139" spans="2:15">
      <c r="B139" s="979"/>
      <c r="C139" s="979"/>
      <c r="D139" s="979"/>
      <c r="E139" s="979"/>
      <c r="F139" s="979"/>
      <c r="G139" s="979"/>
      <c r="H139" s="979"/>
      <c r="I139" s="979"/>
      <c r="J139" s="979"/>
      <c r="K139" s="979"/>
      <c r="L139" s="980"/>
      <c r="M139" s="979"/>
      <c r="N139" s="979"/>
      <c r="O139" s="979"/>
    </row>
    <row r="140" spans="2:15">
      <c r="B140" s="979"/>
      <c r="C140" s="979"/>
      <c r="D140" s="979"/>
      <c r="E140" s="979"/>
      <c r="F140" s="979"/>
      <c r="G140" s="979"/>
      <c r="H140" s="979"/>
      <c r="I140" s="979"/>
      <c r="J140" s="979"/>
      <c r="K140" s="979"/>
      <c r="L140" s="980"/>
      <c r="M140" s="979"/>
      <c r="N140" s="979"/>
      <c r="O140" s="979"/>
    </row>
    <row r="141" spans="2:15">
      <c r="B141" s="979"/>
      <c r="C141" s="979"/>
      <c r="D141" s="979"/>
      <c r="E141" s="979"/>
      <c r="F141" s="979"/>
      <c r="G141" s="979"/>
      <c r="H141" s="979"/>
      <c r="I141" s="979"/>
      <c r="J141" s="979"/>
      <c r="K141" s="979"/>
      <c r="L141" s="980"/>
      <c r="M141" s="979"/>
      <c r="N141" s="979"/>
      <c r="O141" s="979"/>
    </row>
    <row r="142" spans="2:15">
      <c r="B142" s="979"/>
      <c r="C142" s="979"/>
      <c r="D142" s="979"/>
      <c r="E142" s="979"/>
      <c r="F142" s="979"/>
      <c r="G142" s="979"/>
      <c r="H142" s="979"/>
      <c r="I142" s="979"/>
      <c r="J142" s="979"/>
      <c r="K142" s="979"/>
      <c r="L142" s="980"/>
      <c r="M142" s="979"/>
      <c r="N142" s="979"/>
      <c r="O142" s="979"/>
    </row>
    <row r="143" spans="2:15">
      <c r="B143" s="979"/>
      <c r="C143" s="979"/>
      <c r="D143" s="979"/>
      <c r="E143" s="979"/>
      <c r="F143" s="979"/>
      <c r="G143" s="979"/>
      <c r="H143" s="979"/>
      <c r="I143" s="979"/>
      <c r="J143" s="979"/>
      <c r="K143" s="979"/>
      <c r="L143" s="980"/>
      <c r="M143" s="979"/>
      <c r="N143" s="979"/>
      <c r="O143" s="979"/>
    </row>
    <row r="144" spans="2:15">
      <c r="B144" s="979"/>
      <c r="C144" s="979"/>
      <c r="D144" s="979"/>
      <c r="E144" s="979"/>
      <c r="F144" s="979"/>
      <c r="G144" s="979"/>
      <c r="H144" s="979"/>
      <c r="I144" s="979"/>
      <c r="J144" s="979"/>
      <c r="K144" s="979"/>
      <c r="L144" s="980"/>
      <c r="M144" s="979"/>
      <c r="N144" s="979"/>
      <c r="O144" s="979"/>
    </row>
    <row r="145" spans="2:15">
      <c r="B145" s="979"/>
      <c r="C145" s="979"/>
      <c r="D145" s="979"/>
      <c r="E145" s="979"/>
      <c r="F145" s="979"/>
      <c r="G145" s="979"/>
      <c r="H145" s="979"/>
      <c r="I145" s="979"/>
      <c r="J145" s="979"/>
      <c r="K145" s="979"/>
      <c r="L145" s="980"/>
      <c r="M145" s="979"/>
      <c r="N145" s="979"/>
      <c r="O145" s="979"/>
    </row>
    <row r="146" spans="2:15">
      <c r="B146" s="979"/>
      <c r="C146" s="979"/>
      <c r="D146" s="979"/>
      <c r="E146" s="979"/>
      <c r="F146" s="979"/>
      <c r="G146" s="979"/>
      <c r="H146" s="979"/>
      <c r="I146" s="979"/>
      <c r="J146" s="979"/>
      <c r="K146" s="979"/>
      <c r="L146" s="980"/>
      <c r="M146" s="979"/>
      <c r="N146" s="979"/>
      <c r="O146" s="979"/>
    </row>
    <row r="147" spans="2:15">
      <c r="B147" s="979"/>
      <c r="C147" s="979"/>
      <c r="D147" s="979"/>
      <c r="E147" s="979"/>
      <c r="F147" s="979"/>
      <c r="G147" s="979"/>
      <c r="H147" s="979"/>
      <c r="I147" s="979"/>
      <c r="J147" s="979"/>
      <c r="K147" s="979"/>
      <c r="L147" s="980"/>
      <c r="M147" s="979"/>
      <c r="N147" s="979"/>
      <c r="O147" s="979"/>
    </row>
    <row r="148" spans="2:15">
      <c r="B148" s="979"/>
      <c r="C148" s="979"/>
      <c r="D148" s="979"/>
      <c r="E148" s="979"/>
      <c r="F148" s="979"/>
      <c r="G148" s="979"/>
      <c r="H148" s="979"/>
      <c r="I148" s="979"/>
      <c r="J148" s="979"/>
      <c r="K148" s="979"/>
      <c r="L148" s="980"/>
      <c r="M148" s="979"/>
      <c r="N148" s="979"/>
      <c r="O148" s="979"/>
    </row>
    <row r="149" spans="2:15">
      <c r="B149" s="979"/>
      <c r="C149" s="979"/>
      <c r="D149" s="979"/>
      <c r="E149" s="979"/>
      <c r="F149" s="979"/>
      <c r="G149" s="979"/>
      <c r="H149" s="979"/>
      <c r="I149" s="979"/>
      <c r="J149" s="979"/>
      <c r="K149" s="979"/>
      <c r="L149" s="980"/>
      <c r="M149" s="979"/>
      <c r="N149" s="979"/>
      <c r="O149" s="979"/>
    </row>
    <row r="150" spans="2:15">
      <c r="B150" s="979"/>
      <c r="C150" s="979"/>
      <c r="D150" s="979"/>
      <c r="E150" s="979"/>
      <c r="F150" s="979"/>
      <c r="G150" s="979"/>
      <c r="H150" s="979"/>
      <c r="I150" s="979"/>
      <c r="J150" s="979"/>
      <c r="K150" s="979"/>
      <c r="L150" s="980"/>
      <c r="M150" s="979"/>
      <c r="N150" s="979"/>
      <c r="O150" s="979"/>
    </row>
    <row r="151" spans="2:15" ht="29.25" customHeight="1">
      <c r="B151" s="979"/>
      <c r="C151" s="979"/>
      <c r="D151" s="979"/>
      <c r="E151" s="979"/>
      <c r="F151" s="979"/>
      <c r="G151" s="979"/>
      <c r="H151" s="979"/>
      <c r="I151" s="979"/>
      <c r="J151" s="979"/>
      <c r="K151" s="979"/>
      <c r="L151" s="980"/>
      <c r="M151" s="979"/>
      <c r="N151" s="979"/>
      <c r="O151" s="979"/>
    </row>
    <row r="152" spans="2:15">
      <c r="B152" s="979"/>
      <c r="C152" s="979"/>
      <c r="D152" s="979"/>
      <c r="E152" s="979"/>
      <c r="F152" s="979"/>
      <c r="G152" s="979"/>
      <c r="H152" s="979"/>
      <c r="I152" s="979"/>
      <c r="J152" s="979"/>
      <c r="K152" s="979"/>
      <c r="L152" s="980"/>
      <c r="M152" s="979"/>
      <c r="N152" s="979"/>
      <c r="O152" s="979"/>
    </row>
    <row r="153" spans="2:15">
      <c r="B153" s="979"/>
      <c r="C153" s="979"/>
      <c r="D153" s="979"/>
      <c r="E153" s="979"/>
      <c r="F153" s="979"/>
      <c r="G153" s="979"/>
      <c r="H153" s="979"/>
      <c r="I153" s="979"/>
      <c r="J153" s="979"/>
      <c r="K153" s="979"/>
      <c r="L153" s="980"/>
      <c r="M153" s="979"/>
      <c r="N153" s="979"/>
      <c r="O153" s="979"/>
    </row>
    <row r="154" spans="2:15">
      <c r="B154" s="979"/>
      <c r="C154" s="979"/>
      <c r="D154" s="979"/>
      <c r="E154" s="979"/>
      <c r="F154" s="979"/>
      <c r="G154" s="979"/>
      <c r="H154" s="979"/>
      <c r="I154" s="979"/>
      <c r="J154" s="979"/>
      <c r="K154" s="979"/>
      <c r="L154" s="980"/>
      <c r="M154" s="979"/>
      <c r="N154" s="979"/>
      <c r="O154" s="979"/>
    </row>
    <row r="155" spans="2:15">
      <c r="B155" s="979"/>
      <c r="C155" s="979"/>
      <c r="D155" s="979"/>
      <c r="E155" s="979"/>
      <c r="F155" s="979"/>
      <c r="G155" s="979"/>
      <c r="H155" s="979"/>
      <c r="I155" s="979"/>
      <c r="J155" s="979"/>
      <c r="K155" s="979"/>
      <c r="L155" s="980"/>
      <c r="M155" s="979"/>
      <c r="N155" s="979"/>
      <c r="O155" s="979"/>
    </row>
    <row r="210" spans="3:16" s="982" customFormat="1" collapsed="1">
      <c r="C210" s="978"/>
      <c r="D210" s="978"/>
      <c r="E210" s="978"/>
      <c r="F210" s="978"/>
      <c r="G210" s="978"/>
      <c r="H210" s="978"/>
      <c r="I210" s="978"/>
      <c r="J210" s="978"/>
      <c r="K210" s="978"/>
      <c r="L210" s="981"/>
      <c r="M210" s="978"/>
      <c r="N210" s="978"/>
      <c r="O210" s="978"/>
      <c r="P210" s="978"/>
    </row>
    <row r="211" spans="3:16" s="982" customFormat="1" collapsed="1">
      <c r="C211" s="978"/>
      <c r="D211" s="978"/>
      <c r="E211" s="978"/>
      <c r="F211" s="978"/>
      <c r="G211" s="978"/>
      <c r="H211" s="978"/>
      <c r="I211" s="978"/>
      <c r="J211" s="978"/>
      <c r="K211" s="978"/>
      <c r="L211" s="981"/>
      <c r="M211" s="978"/>
      <c r="N211" s="978"/>
      <c r="O211" s="978"/>
      <c r="P211" s="978"/>
    </row>
    <row r="212" spans="3:16" s="982" customFormat="1" collapsed="1">
      <c r="C212" s="978"/>
      <c r="D212" s="978"/>
      <c r="E212" s="978"/>
      <c r="F212" s="978"/>
      <c r="G212" s="978"/>
      <c r="H212" s="978"/>
      <c r="I212" s="978"/>
      <c r="J212" s="978"/>
      <c r="K212" s="978"/>
      <c r="L212" s="981"/>
      <c r="M212" s="978"/>
      <c r="N212" s="978"/>
      <c r="O212" s="978"/>
      <c r="P212" s="978"/>
    </row>
    <row r="213" spans="3:16" s="982" customFormat="1" collapsed="1">
      <c r="C213" s="978"/>
      <c r="D213" s="978"/>
      <c r="E213" s="978"/>
      <c r="F213" s="978"/>
      <c r="G213" s="978"/>
      <c r="H213" s="978"/>
      <c r="I213" s="978"/>
      <c r="J213" s="978"/>
      <c r="K213" s="978"/>
      <c r="L213" s="981"/>
      <c r="M213" s="978"/>
      <c r="N213" s="978"/>
      <c r="O213" s="978"/>
      <c r="P213" s="978"/>
    </row>
    <row r="214" spans="3:16" s="982" customFormat="1" collapsed="1">
      <c r="C214" s="978"/>
      <c r="D214" s="978"/>
      <c r="E214" s="978"/>
      <c r="F214" s="978"/>
      <c r="G214" s="978"/>
      <c r="H214" s="978"/>
      <c r="I214" s="978"/>
      <c r="J214" s="978"/>
      <c r="K214" s="978"/>
      <c r="L214" s="981"/>
      <c r="M214" s="978"/>
      <c r="N214" s="978"/>
      <c r="O214" s="978"/>
      <c r="P214" s="978"/>
    </row>
    <row r="215" spans="3:16" s="982" customFormat="1" collapsed="1">
      <c r="C215" s="978"/>
      <c r="D215" s="978"/>
      <c r="E215" s="978"/>
      <c r="F215" s="978"/>
      <c r="G215" s="978"/>
      <c r="H215" s="978"/>
      <c r="I215" s="978"/>
      <c r="J215" s="978"/>
      <c r="K215" s="978"/>
      <c r="L215" s="981"/>
      <c r="M215" s="978"/>
      <c r="N215" s="978"/>
      <c r="O215" s="978"/>
      <c r="P215" s="978"/>
    </row>
    <row r="217" spans="3:16" s="982" customFormat="1" ht="39.75" customHeight="1">
      <c r="C217" s="978"/>
      <c r="D217" s="978"/>
      <c r="E217" s="978"/>
      <c r="F217" s="978"/>
      <c r="G217" s="978"/>
      <c r="H217" s="978"/>
      <c r="I217" s="978"/>
      <c r="J217" s="978"/>
      <c r="K217" s="978"/>
      <c r="L217" s="981"/>
      <c r="M217" s="978"/>
      <c r="N217" s="978"/>
      <c r="O217" s="978"/>
      <c r="P217" s="978"/>
    </row>
    <row r="218" spans="3:16" s="982" customFormat="1" ht="44.25" customHeight="1">
      <c r="C218" s="978"/>
      <c r="D218" s="978"/>
      <c r="E218" s="978"/>
      <c r="F218" s="978"/>
      <c r="G218" s="978"/>
      <c r="H218" s="978"/>
      <c r="I218" s="978"/>
      <c r="J218" s="978"/>
      <c r="K218" s="978"/>
      <c r="L218" s="981"/>
      <c r="M218" s="978"/>
      <c r="N218" s="978"/>
      <c r="O218" s="978"/>
      <c r="P218" s="978"/>
    </row>
  </sheetData>
  <mergeCells count="13">
    <mergeCell ref="C15:O15"/>
    <mergeCell ref="C7:O7"/>
    <mergeCell ref="C8:O8"/>
    <mergeCell ref="B9:O9"/>
    <mergeCell ref="B12:K12"/>
    <mergeCell ref="C13:O13"/>
    <mergeCell ref="C14:O14"/>
    <mergeCell ref="C6:O6"/>
    <mergeCell ref="B1:O1"/>
    <mergeCell ref="B2:O2"/>
    <mergeCell ref="B3:O3"/>
    <mergeCell ref="B4:O4"/>
    <mergeCell ref="B5:O5"/>
  </mergeCells>
  <printOptions horizontalCentered="1"/>
  <pageMargins left="0.19685039370078741" right="0.19685039370078741" top="0.78740157480314965" bottom="0.78740157480314965" header="0.31496062992125984" footer="0.31496062992125984"/>
  <pageSetup paperSize="9" scale="51" fitToHeight="100" orientation="landscape" r:id="rId1"/>
  <headerFooter scaleWithDoc="0" alignWithMargins="0">
    <oddHeader>&amp;RPágina &amp;P de &amp;N</oddHeader>
    <oddFooter>&amp;C&amp;G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32">
    <tabColor theme="3" tint="0.79998168889431442"/>
    <pageSetUpPr fitToPage="1"/>
  </sheetPr>
  <dimension ref="A2:H82"/>
  <sheetViews>
    <sheetView view="pageBreakPreview" zoomScale="85" zoomScaleNormal="100" zoomScaleSheetLayoutView="85" workbookViewId="0">
      <selection activeCell="AG38" sqref="AG38"/>
    </sheetView>
  </sheetViews>
  <sheetFormatPr defaultRowHeight="12.75"/>
  <cols>
    <col min="1" max="1" width="17.5703125" style="259" customWidth="1"/>
    <col min="2" max="2" width="24.7109375" style="259" customWidth="1"/>
    <col min="3" max="3" width="75.7109375" style="259" customWidth="1"/>
    <col min="4" max="4" width="15.7109375" style="259" customWidth="1"/>
    <col min="5" max="5" width="23.7109375" style="259" customWidth="1"/>
    <col min="6" max="6" width="18.7109375" style="259" customWidth="1"/>
    <col min="7" max="7" width="25" style="259" customWidth="1"/>
    <col min="8" max="8" width="18.42578125" style="259" customWidth="1"/>
    <col min="9" max="9" width="16.5703125" style="259" bestFit="1" customWidth="1"/>
    <col min="10" max="257" width="9.140625" style="259"/>
    <col min="258" max="258" width="24.5703125" style="259" customWidth="1"/>
    <col min="259" max="259" width="71.7109375" style="259" customWidth="1"/>
    <col min="260" max="260" width="17.140625" style="259" bestFit="1" customWidth="1"/>
    <col min="261" max="261" width="16.7109375" style="259" bestFit="1" customWidth="1"/>
    <col min="262" max="262" width="16.85546875" style="259" bestFit="1" customWidth="1"/>
    <col min="263" max="263" width="21.42578125" style="259" customWidth="1"/>
    <col min="264" max="264" width="9.140625" style="259"/>
    <col min="265" max="265" width="16.5703125" style="259" bestFit="1" customWidth="1"/>
    <col min="266" max="513" width="9.140625" style="259"/>
    <col min="514" max="514" width="24.5703125" style="259" customWidth="1"/>
    <col min="515" max="515" width="71.7109375" style="259" customWidth="1"/>
    <col min="516" max="516" width="17.140625" style="259" bestFit="1" customWidth="1"/>
    <col min="517" max="517" width="16.7109375" style="259" bestFit="1" customWidth="1"/>
    <col min="518" max="518" width="16.85546875" style="259" bestFit="1" customWidth="1"/>
    <col min="519" max="519" width="21.42578125" style="259" customWidth="1"/>
    <col min="520" max="520" width="9.140625" style="259"/>
    <col min="521" max="521" width="16.5703125" style="259" bestFit="1" customWidth="1"/>
    <col min="522" max="769" width="9.140625" style="259"/>
    <col min="770" max="770" width="24.5703125" style="259" customWidth="1"/>
    <col min="771" max="771" width="71.7109375" style="259" customWidth="1"/>
    <col min="772" max="772" width="17.140625" style="259" bestFit="1" customWidth="1"/>
    <col min="773" max="773" width="16.7109375" style="259" bestFit="1" customWidth="1"/>
    <col min="774" max="774" width="16.85546875" style="259" bestFit="1" customWidth="1"/>
    <col min="775" max="775" width="21.42578125" style="259" customWidth="1"/>
    <col min="776" max="776" width="9.140625" style="259"/>
    <col min="777" max="777" width="16.5703125" style="259" bestFit="1" customWidth="1"/>
    <col min="778" max="1025" width="9.140625" style="259"/>
    <col min="1026" max="1026" width="24.5703125" style="259" customWidth="1"/>
    <col min="1027" max="1027" width="71.7109375" style="259" customWidth="1"/>
    <col min="1028" max="1028" width="17.140625" style="259" bestFit="1" customWidth="1"/>
    <col min="1029" max="1029" width="16.7109375" style="259" bestFit="1" customWidth="1"/>
    <col min="1030" max="1030" width="16.85546875" style="259" bestFit="1" customWidth="1"/>
    <col min="1031" max="1031" width="21.42578125" style="259" customWidth="1"/>
    <col min="1032" max="1032" width="9.140625" style="259"/>
    <col min="1033" max="1033" width="16.5703125" style="259" bestFit="1" customWidth="1"/>
    <col min="1034" max="1281" width="9.140625" style="259"/>
    <col min="1282" max="1282" width="24.5703125" style="259" customWidth="1"/>
    <col min="1283" max="1283" width="71.7109375" style="259" customWidth="1"/>
    <col min="1284" max="1284" width="17.140625" style="259" bestFit="1" customWidth="1"/>
    <col min="1285" max="1285" width="16.7109375" style="259" bestFit="1" customWidth="1"/>
    <col min="1286" max="1286" width="16.85546875" style="259" bestFit="1" customWidth="1"/>
    <col min="1287" max="1287" width="21.42578125" style="259" customWidth="1"/>
    <col min="1288" max="1288" width="9.140625" style="259"/>
    <col min="1289" max="1289" width="16.5703125" style="259" bestFit="1" customWidth="1"/>
    <col min="1290" max="1537" width="9.140625" style="259"/>
    <col min="1538" max="1538" width="24.5703125" style="259" customWidth="1"/>
    <col min="1539" max="1539" width="71.7109375" style="259" customWidth="1"/>
    <col min="1540" max="1540" width="17.140625" style="259" bestFit="1" customWidth="1"/>
    <col min="1541" max="1541" width="16.7109375" style="259" bestFit="1" customWidth="1"/>
    <col min="1542" max="1542" width="16.85546875" style="259" bestFit="1" customWidth="1"/>
    <col min="1543" max="1543" width="21.42578125" style="259" customWidth="1"/>
    <col min="1544" max="1544" width="9.140625" style="259"/>
    <col min="1545" max="1545" width="16.5703125" style="259" bestFit="1" customWidth="1"/>
    <col min="1546" max="1793" width="9.140625" style="259"/>
    <col min="1794" max="1794" width="24.5703125" style="259" customWidth="1"/>
    <col min="1795" max="1795" width="71.7109375" style="259" customWidth="1"/>
    <col min="1796" max="1796" width="17.140625" style="259" bestFit="1" customWidth="1"/>
    <col min="1797" max="1797" width="16.7109375" style="259" bestFit="1" customWidth="1"/>
    <col min="1798" max="1798" width="16.85546875" style="259" bestFit="1" customWidth="1"/>
    <col min="1799" max="1799" width="21.42578125" style="259" customWidth="1"/>
    <col min="1800" max="1800" width="9.140625" style="259"/>
    <col min="1801" max="1801" width="16.5703125" style="259" bestFit="1" customWidth="1"/>
    <col min="1802" max="2049" width="9.140625" style="259"/>
    <col min="2050" max="2050" width="24.5703125" style="259" customWidth="1"/>
    <col min="2051" max="2051" width="71.7109375" style="259" customWidth="1"/>
    <col min="2052" max="2052" width="17.140625" style="259" bestFit="1" customWidth="1"/>
    <col min="2053" max="2053" width="16.7109375" style="259" bestFit="1" customWidth="1"/>
    <col min="2054" max="2054" width="16.85546875" style="259" bestFit="1" customWidth="1"/>
    <col min="2055" max="2055" width="21.42578125" style="259" customWidth="1"/>
    <col min="2056" max="2056" width="9.140625" style="259"/>
    <col min="2057" max="2057" width="16.5703125" style="259" bestFit="1" customWidth="1"/>
    <col min="2058" max="2305" width="9.140625" style="259"/>
    <col min="2306" max="2306" width="24.5703125" style="259" customWidth="1"/>
    <col min="2307" max="2307" width="71.7109375" style="259" customWidth="1"/>
    <col min="2308" max="2308" width="17.140625" style="259" bestFit="1" customWidth="1"/>
    <col min="2309" max="2309" width="16.7109375" style="259" bestFit="1" customWidth="1"/>
    <col min="2310" max="2310" width="16.85546875" style="259" bestFit="1" customWidth="1"/>
    <col min="2311" max="2311" width="21.42578125" style="259" customWidth="1"/>
    <col min="2312" max="2312" width="9.140625" style="259"/>
    <col min="2313" max="2313" width="16.5703125" style="259" bestFit="1" customWidth="1"/>
    <col min="2314" max="2561" width="9.140625" style="259"/>
    <col min="2562" max="2562" width="24.5703125" style="259" customWidth="1"/>
    <col min="2563" max="2563" width="71.7109375" style="259" customWidth="1"/>
    <col min="2564" max="2564" width="17.140625" style="259" bestFit="1" customWidth="1"/>
    <col min="2565" max="2565" width="16.7109375" style="259" bestFit="1" customWidth="1"/>
    <col min="2566" max="2566" width="16.85546875" style="259" bestFit="1" customWidth="1"/>
    <col min="2567" max="2567" width="21.42578125" style="259" customWidth="1"/>
    <col min="2568" max="2568" width="9.140625" style="259"/>
    <col min="2569" max="2569" width="16.5703125" style="259" bestFit="1" customWidth="1"/>
    <col min="2570" max="2817" width="9.140625" style="259"/>
    <col min="2818" max="2818" width="24.5703125" style="259" customWidth="1"/>
    <col min="2819" max="2819" width="71.7109375" style="259" customWidth="1"/>
    <col min="2820" max="2820" width="17.140625" style="259" bestFit="1" customWidth="1"/>
    <col min="2821" max="2821" width="16.7109375" style="259" bestFit="1" customWidth="1"/>
    <col min="2822" max="2822" width="16.85546875" style="259" bestFit="1" customWidth="1"/>
    <col min="2823" max="2823" width="21.42578125" style="259" customWidth="1"/>
    <col min="2824" max="2824" width="9.140625" style="259"/>
    <col min="2825" max="2825" width="16.5703125" style="259" bestFit="1" customWidth="1"/>
    <col min="2826" max="3073" width="9.140625" style="259"/>
    <col min="3074" max="3074" width="24.5703125" style="259" customWidth="1"/>
    <col min="3075" max="3075" width="71.7109375" style="259" customWidth="1"/>
    <col min="3076" max="3076" width="17.140625" style="259" bestFit="1" customWidth="1"/>
    <col min="3077" max="3077" width="16.7109375" style="259" bestFit="1" customWidth="1"/>
    <col min="3078" max="3078" width="16.85546875" style="259" bestFit="1" customWidth="1"/>
    <col min="3079" max="3079" width="21.42578125" style="259" customWidth="1"/>
    <col min="3080" max="3080" width="9.140625" style="259"/>
    <col min="3081" max="3081" width="16.5703125" style="259" bestFit="1" customWidth="1"/>
    <col min="3082" max="3329" width="9.140625" style="259"/>
    <col min="3330" max="3330" width="24.5703125" style="259" customWidth="1"/>
    <col min="3331" max="3331" width="71.7109375" style="259" customWidth="1"/>
    <col min="3332" max="3332" width="17.140625" style="259" bestFit="1" customWidth="1"/>
    <col min="3333" max="3333" width="16.7109375" style="259" bestFit="1" customWidth="1"/>
    <col min="3334" max="3334" width="16.85546875" style="259" bestFit="1" customWidth="1"/>
    <col min="3335" max="3335" width="21.42578125" style="259" customWidth="1"/>
    <col min="3336" max="3336" width="9.140625" style="259"/>
    <col min="3337" max="3337" width="16.5703125" style="259" bestFit="1" customWidth="1"/>
    <col min="3338" max="3585" width="9.140625" style="259"/>
    <col min="3586" max="3586" width="24.5703125" style="259" customWidth="1"/>
    <col min="3587" max="3587" width="71.7109375" style="259" customWidth="1"/>
    <col min="3588" max="3588" width="17.140625" style="259" bestFit="1" customWidth="1"/>
    <col min="3589" max="3589" width="16.7109375" style="259" bestFit="1" customWidth="1"/>
    <col min="3590" max="3590" width="16.85546875" style="259" bestFit="1" customWidth="1"/>
    <col min="3591" max="3591" width="21.42578125" style="259" customWidth="1"/>
    <col min="3592" max="3592" width="9.140625" style="259"/>
    <col min="3593" max="3593" width="16.5703125" style="259" bestFit="1" customWidth="1"/>
    <col min="3594" max="3841" width="9.140625" style="259"/>
    <col min="3842" max="3842" width="24.5703125" style="259" customWidth="1"/>
    <col min="3843" max="3843" width="71.7109375" style="259" customWidth="1"/>
    <col min="3844" max="3844" width="17.140625" style="259" bestFit="1" customWidth="1"/>
    <col min="3845" max="3845" width="16.7109375" style="259" bestFit="1" customWidth="1"/>
    <col min="3846" max="3846" width="16.85546875" style="259" bestFit="1" customWidth="1"/>
    <col min="3847" max="3847" width="21.42578125" style="259" customWidth="1"/>
    <col min="3848" max="3848" width="9.140625" style="259"/>
    <col min="3849" max="3849" width="16.5703125" style="259" bestFit="1" customWidth="1"/>
    <col min="3850" max="4097" width="9.140625" style="259"/>
    <col min="4098" max="4098" width="24.5703125" style="259" customWidth="1"/>
    <col min="4099" max="4099" width="71.7109375" style="259" customWidth="1"/>
    <col min="4100" max="4100" width="17.140625" style="259" bestFit="1" customWidth="1"/>
    <col min="4101" max="4101" width="16.7109375" style="259" bestFit="1" customWidth="1"/>
    <col min="4102" max="4102" width="16.85546875" style="259" bestFit="1" customWidth="1"/>
    <col min="4103" max="4103" width="21.42578125" style="259" customWidth="1"/>
    <col min="4104" max="4104" width="9.140625" style="259"/>
    <col min="4105" max="4105" width="16.5703125" style="259" bestFit="1" customWidth="1"/>
    <col min="4106" max="4353" width="9.140625" style="259"/>
    <col min="4354" max="4354" width="24.5703125" style="259" customWidth="1"/>
    <col min="4355" max="4355" width="71.7109375" style="259" customWidth="1"/>
    <col min="4356" max="4356" width="17.140625" style="259" bestFit="1" customWidth="1"/>
    <col min="4357" max="4357" width="16.7109375" style="259" bestFit="1" customWidth="1"/>
    <col min="4358" max="4358" width="16.85546875" style="259" bestFit="1" customWidth="1"/>
    <col min="4359" max="4359" width="21.42578125" style="259" customWidth="1"/>
    <col min="4360" max="4360" width="9.140625" style="259"/>
    <col min="4361" max="4361" width="16.5703125" style="259" bestFit="1" customWidth="1"/>
    <col min="4362" max="4609" width="9.140625" style="259"/>
    <col min="4610" max="4610" width="24.5703125" style="259" customWidth="1"/>
    <col min="4611" max="4611" width="71.7109375" style="259" customWidth="1"/>
    <col min="4612" max="4612" width="17.140625" style="259" bestFit="1" customWidth="1"/>
    <col min="4613" max="4613" width="16.7109375" style="259" bestFit="1" customWidth="1"/>
    <col min="4614" max="4614" width="16.85546875" style="259" bestFit="1" customWidth="1"/>
    <col min="4615" max="4615" width="21.42578125" style="259" customWidth="1"/>
    <col min="4616" max="4616" width="9.140625" style="259"/>
    <col min="4617" max="4617" width="16.5703125" style="259" bestFit="1" customWidth="1"/>
    <col min="4618" max="4865" width="9.140625" style="259"/>
    <col min="4866" max="4866" width="24.5703125" style="259" customWidth="1"/>
    <col min="4867" max="4867" width="71.7109375" style="259" customWidth="1"/>
    <col min="4868" max="4868" width="17.140625" style="259" bestFit="1" customWidth="1"/>
    <col min="4869" max="4869" width="16.7109375" style="259" bestFit="1" customWidth="1"/>
    <col min="4870" max="4870" width="16.85546875" style="259" bestFit="1" customWidth="1"/>
    <col min="4871" max="4871" width="21.42578125" style="259" customWidth="1"/>
    <col min="4872" max="4872" width="9.140625" style="259"/>
    <col min="4873" max="4873" width="16.5703125" style="259" bestFit="1" customWidth="1"/>
    <col min="4874" max="5121" width="9.140625" style="259"/>
    <col min="5122" max="5122" width="24.5703125" style="259" customWidth="1"/>
    <col min="5123" max="5123" width="71.7109375" style="259" customWidth="1"/>
    <col min="5124" max="5124" width="17.140625" style="259" bestFit="1" customWidth="1"/>
    <col min="5125" max="5125" width="16.7109375" style="259" bestFit="1" customWidth="1"/>
    <col min="5126" max="5126" width="16.85546875" style="259" bestFit="1" customWidth="1"/>
    <col min="5127" max="5127" width="21.42578125" style="259" customWidth="1"/>
    <col min="5128" max="5128" width="9.140625" style="259"/>
    <col min="5129" max="5129" width="16.5703125" style="259" bestFit="1" customWidth="1"/>
    <col min="5130" max="5377" width="9.140625" style="259"/>
    <col min="5378" max="5378" width="24.5703125" style="259" customWidth="1"/>
    <col min="5379" max="5379" width="71.7109375" style="259" customWidth="1"/>
    <col min="5380" max="5380" width="17.140625" style="259" bestFit="1" customWidth="1"/>
    <col min="5381" max="5381" width="16.7109375" style="259" bestFit="1" customWidth="1"/>
    <col min="5382" max="5382" width="16.85546875" style="259" bestFit="1" customWidth="1"/>
    <col min="5383" max="5383" width="21.42578125" style="259" customWidth="1"/>
    <col min="5384" max="5384" width="9.140625" style="259"/>
    <col min="5385" max="5385" width="16.5703125" style="259" bestFit="1" customWidth="1"/>
    <col min="5386" max="5633" width="9.140625" style="259"/>
    <col min="5634" max="5634" width="24.5703125" style="259" customWidth="1"/>
    <col min="5635" max="5635" width="71.7109375" style="259" customWidth="1"/>
    <col min="5636" max="5636" width="17.140625" style="259" bestFit="1" customWidth="1"/>
    <col min="5637" max="5637" width="16.7109375" style="259" bestFit="1" customWidth="1"/>
    <col min="5638" max="5638" width="16.85546875" style="259" bestFit="1" customWidth="1"/>
    <col min="5639" max="5639" width="21.42578125" style="259" customWidth="1"/>
    <col min="5640" max="5640" width="9.140625" style="259"/>
    <col min="5641" max="5641" width="16.5703125" style="259" bestFit="1" customWidth="1"/>
    <col min="5642" max="5889" width="9.140625" style="259"/>
    <col min="5890" max="5890" width="24.5703125" style="259" customWidth="1"/>
    <col min="5891" max="5891" width="71.7109375" style="259" customWidth="1"/>
    <col min="5892" max="5892" width="17.140625" style="259" bestFit="1" customWidth="1"/>
    <col min="5893" max="5893" width="16.7109375" style="259" bestFit="1" customWidth="1"/>
    <col min="5894" max="5894" width="16.85546875" style="259" bestFit="1" customWidth="1"/>
    <col min="5895" max="5895" width="21.42578125" style="259" customWidth="1"/>
    <col min="5896" max="5896" width="9.140625" style="259"/>
    <col min="5897" max="5897" width="16.5703125" style="259" bestFit="1" customWidth="1"/>
    <col min="5898" max="6145" width="9.140625" style="259"/>
    <col min="6146" max="6146" width="24.5703125" style="259" customWidth="1"/>
    <col min="6147" max="6147" width="71.7109375" style="259" customWidth="1"/>
    <col min="6148" max="6148" width="17.140625" style="259" bestFit="1" customWidth="1"/>
    <col min="6149" max="6149" width="16.7109375" style="259" bestFit="1" customWidth="1"/>
    <col min="6150" max="6150" width="16.85546875" style="259" bestFit="1" customWidth="1"/>
    <col min="6151" max="6151" width="21.42578125" style="259" customWidth="1"/>
    <col min="6152" max="6152" width="9.140625" style="259"/>
    <col min="6153" max="6153" width="16.5703125" style="259" bestFit="1" customWidth="1"/>
    <col min="6154" max="6401" width="9.140625" style="259"/>
    <col min="6402" max="6402" width="24.5703125" style="259" customWidth="1"/>
    <col min="6403" max="6403" width="71.7109375" style="259" customWidth="1"/>
    <col min="6404" max="6404" width="17.140625" style="259" bestFit="1" customWidth="1"/>
    <col min="6405" max="6405" width="16.7109375" style="259" bestFit="1" customWidth="1"/>
    <col min="6406" max="6406" width="16.85546875" style="259" bestFit="1" customWidth="1"/>
    <col min="6407" max="6407" width="21.42578125" style="259" customWidth="1"/>
    <col min="6408" max="6408" width="9.140625" style="259"/>
    <col min="6409" max="6409" width="16.5703125" style="259" bestFit="1" customWidth="1"/>
    <col min="6410" max="6657" width="9.140625" style="259"/>
    <col min="6658" max="6658" width="24.5703125" style="259" customWidth="1"/>
    <col min="6659" max="6659" width="71.7109375" style="259" customWidth="1"/>
    <col min="6660" max="6660" width="17.140625" style="259" bestFit="1" customWidth="1"/>
    <col min="6661" max="6661" width="16.7109375" style="259" bestFit="1" customWidth="1"/>
    <col min="6662" max="6662" width="16.85546875" style="259" bestFit="1" customWidth="1"/>
    <col min="6663" max="6663" width="21.42578125" style="259" customWidth="1"/>
    <col min="6664" max="6664" width="9.140625" style="259"/>
    <col min="6665" max="6665" width="16.5703125" style="259" bestFit="1" customWidth="1"/>
    <col min="6666" max="6913" width="9.140625" style="259"/>
    <col min="6914" max="6914" width="24.5703125" style="259" customWidth="1"/>
    <col min="6915" max="6915" width="71.7109375" style="259" customWidth="1"/>
    <col min="6916" max="6916" width="17.140625" style="259" bestFit="1" customWidth="1"/>
    <col min="6917" max="6917" width="16.7109375" style="259" bestFit="1" customWidth="1"/>
    <col min="6918" max="6918" width="16.85546875" style="259" bestFit="1" customWidth="1"/>
    <col min="6919" max="6919" width="21.42578125" style="259" customWidth="1"/>
    <col min="6920" max="6920" width="9.140625" style="259"/>
    <col min="6921" max="6921" width="16.5703125" style="259" bestFit="1" customWidth="1"/>
    <col min="6922" max="7169" width="9.140625" style="259"/>
    <col min="7170" max="7170" width="24.5703125" style="259" customWidth="1"/>
    <col min="7171" max="7171" width="71.7109375" style="259" customWidth="1"/>
    <col min="7172" max="7172" width="17.140625" style="259" bestFit="1" customWidth="1"/>
    <col min="7173" max="7173" width="16.7109375" style="259" bestFit="1" customWidth="1"/>
    <col min="7174" max="7174" width="16.85546875" style="259" bestFit="1" customWidth="1"/>
    <col min="7175" max="7175" width="21.42578125" style="259" customWidth="1"/>
    <col min="7176" max="7176" width="9.140625" style="259"/>
    <col min="7177" max="7177" width="16.5703125" style="259" bestFit="1" customWidth="1"/>
    <col min="7178" max="7425" width="9.140625" style="259"/>
    <col min="7426" max="7426" width="24.5703125" style="259" customWidth="1"/>
    <col min="7427" max="7427" width="71.7109375" style="259" customWidth="1"/>
    <col min="7428" max="7428" width="17.140625" style="259" bestFit="1" customWidth="1"/>
    <col min="7429" max="7429" width="16.7109375" style="259" bestFit="1" customWidth="1"/>
    <col min="7430" max="7430" width="16.85546875" style="259" bestFit="1" customWidth="1"/>
    <col min="7431" max="7431" width="21.42578125" style="259" customWidth="1"/>
    <col min="7432" max="7432" width="9.140625" style="259"/>
    <col min="7433" max="7433" width="16.5703125" style="259" bestFit="1" customWidth="1"/>
    <col min="7434" max="7681" width="9.140625" style="259"/>
    <col min="7682" max="7682" width="24.5703125" style="259" customWidth="1"/>
    <col min="7683" max="7683" width="71.7109375" style="259" customWidth="1"/>
    <col min="7684" max="7684" width="17.140625" style="259" bestFit="1" customWidth="1"/>
    <col min="7685" max="7685" width="16.7109375" style="259" bestFit="1" customWidth="1"/>
    <col min="7686" max="7686" width="16.85546875" style="259" bestFit="1" customWidth="1"/>
    <col min="7687" max="7687" width="21.42578125" style="259" customWidth="1"/>
    <col min="7688" max="7688" width="9.140625" style="259"/>
    <col min="7689" max="7689" width="16.5703125" style="259" bestFit="1" customWidth="1"/>
    <col min="7690" max="7937" width="9.140625" style="259"/>
    <col min="7938" max="7938" width="24.5703125" style="259" customWidth="1"/>
    <col min="7939" max="7939" width="71.7109375" style="259" customWidth="1"/>
    <col min="7940" max="7940" width="17.140625" style="259" bestFit="1" customWidth="1"/>
    <col min="7941" max="7941" width="16.7109375" style="259" bestFit="1" customWidth="1"/>
    <col min="7942" max="7942" width="16.85546875" style="259" bestFit="1" customWidth="1"/>
    <col min="7943" max="7943" width="21.42578125" style="259" customWidth="1"/>
    <col min="7944" max="7944" width="9.140625" style="259"/>
    <col min="7945" max="7945" width="16.5703125" style="259" bestFit="1" customWidth="1"/>
    <col min="7946" max="8193" width="9.140625" style="259"/>
    <col min="8194" max="8194" width="24.5703125" style="259" customWidth="1"/>
    <col min="8195" max="8195" width="71.7109375" style="259" customWidth="1"/>
    <col min="8196" max="8196" width="17.140625" style="259" bestFit="1" customWidth="1"/>
    <col min="8197" max="8197" width="16.7109375" style="259" bestFit="1" customWidth="1"/>
    <col min="8198" max="8198" width="16.85546875" style="259" bestFit="1" customWidth="1"/>
    <col min="8199" max="8199" width="21.42578125" style="259" customWidth="1"/>
    <col min="8200" max="8200" width="9.140625" style="259"/>
    <col min="8201" max="8201" width="16.5703125" style="259" bestFit="1" customWidth="1"/>
    <col min="8202" max="8449" width="9.140625" style="259"/>
    <col min="8450" max="8450" width="24.5703125" style="259" customWidth="1"/>
    <col min="8451" max="8451" width="71.7109375" style="259" customWidth="1"/>
    <col min="8452" max="8452" width="17.140625" style="259" bestFit="1" customWidth="1"/>
    <col min="8453" max="8453" width="16.7109375" style="259" bestFit="1" customWidth="1"/>
    <col min="8454" max="8454" width="16.85546875" style="259" bestFit="1" customWidth="1"/>
    <col min="8455" max="8455" width="21.42578125" style="259" customWidth="1"/>
    <col min="8456" max="8456" width="9.140625" style="259"/>
    <col min="8457" max="8457" width="16.5703125" style="259" bestFit="1" customWidth="1"/>
    <col min="8458" max="8705" width="9.140625" style="259"/>
    <col min="8706" max="8706" width="24.5703125" style="259" customWidth="1"/>
    <col min="8707" max="8707" width="71.7109375" style="259" customWidth="1"/>
    <col min="8708" max="8708" width="17.140625" style="259" bestFit="1" customWidth="1"/>
    <col min="8709" max="8709" width="16.7109375" style="259" bestFit="1" customWidth="1"/>
    <col min="8710" max="8710" width="16.85546875" style="259" bestFit="1" customWidth="1"/>
    <col min="8711" max="8711" width="21.42578125" style="259" customWidth="1"/>
    <col min="8712" max="8712" width="9.140625" style="259"/>
    <col min="8713" max="8713" width="16.5703125" style="259" bestFit="1" customWidth="1"/>
    <col min="8714" max="8961" width="9.140625" style="259"/>
    <col min="8962" max="8962" width="24.5703125" style="259" customWidth="1"/>
    <col min="8963" max="8963" width="71.7109375" style="259" customWidth="1"/>
    <col min="8964" max="8964" width="17.140625" style="259" bestFit="1" customWidth="1"/>
    <col min="8965" max="8965" width="16.7109375" style="259" bestFit="1" customWidth="1"/>
    <col min="8966" max="8966" width="16.85546875" style="259" bestFit="1" customWidth="1"/>
    <col min="8967" max="8967" width="21.42578125" style="259" customWidth="1"/>
    <col min="8968" max="8968" width="9.140625" style="259"/>
    <col min="8969" max="8969" width="16.5703125" style="259" bestFit="1" customWidth="1"/>
    <col min="8970" max="9217" width="9.140625" style="259"/>
    <col min="9218" max="9218" width="24.5703125" style="259" customWidth="1"/>
    <col min="9219" max="9219" width="71.7109375" style="259" customWidth="1"/>
    <col min="9220" max="9220" width="17.140625" style="259" bestFit="1" customWidth="1"/>
    <col min="9221" max="9221" width="16.7109375" style="259" bestFit="1" customWidth="1"/>
    <col min="9222" max="9222" width="16.85546875" style="259" bestFit="1" customWidth="1"/>
    <col min="9223" max="9223" width="21.42578125" style="259" customWidth="1"/>
    <col min="9224" max="9224" width="9.140625" style="259"/>
    <col min="9225" max="9225" width="16.5703125" style="259" bestFit="1" customWidth="1"/>
    <col min="9226" max="9473" width="9.140625" style="259"/>
    <col min="9474" max="9474" width="24.5703125" style="259" customWidth="1"/>
    <col min="9475" max="9475" width="71.7109375" style="259" customWidth="1"/>
    <col min="9476" max="9476" width="17.140625" style="259" bestFit="1" customWidth="1"/>
    <col min="9477" max="9477" width="16.7109375" style="259" bestFit="1" customWidth="1"/>
    <col min="9478" max="9478" width="16.85546875" style="259" bestFit="1" customWidth="1"/>
    <col min="9479" max="9479" width="21.42578125" style="259" customWidth="1"/>
    <col min="9480" max="9480" width="9.140625" style="259"/>
    <col min="9481" max="9481" width="16.5703125" style="259" bestFit="1" customWidth="1"/>
    <col min="9482" max="9729" width="9.140625" style="259"/>
    <col min="9730" max="9730" width="24.5703125" style="259" customWidth="1"/>
    <col min="9731" max="9731" width="71.7109375" style="259" customWidth="1"/>
    <col min="9732" max="9732" width="17.140625" style="259" bestFit="1" customWidth="1"/>
    <col min="9733" max="9733" width="16.7109375" style="259" bestFit="1" customWidth="1"/>
    <col min="9734" max="9734" width="16.85546875" style="259" bestFit="1" customWidth="1"/>
    <col min="9735" max="9735" width="21.42578125" style="259" customWidth="1"/>
    <col min="9736" max="9736" width="9.140625" style="259"/>
    <col min="9737" max="9737" width="16.5703125" style="259" bestFit="1" customWidth="1"/>
    <col min="9738" max="9985" width="9.140625" style="259"/>
    <col min="9986" max="9986" width="24.5703125" style="259" customWidth="1"/>
    <col min="9987" max="9987" width="71.7109375" style="259" customWidth="1"/>
    <col min="9988" max="9988" width="17.140625" style="259" bestFit="1" customWidth="1"/>
    <col min="9989" max="9989" width="16.7109375" style="259" bestFit="1" customWidth="1"/>
    <col min="9990" max="9990" width="16.85546875" style="259" bestFit="1" customWidth="1"/>
    <col min="9991" max="9991" width="21.42578125" style="259" customWidth="1"/>
    <col min="9992" max="9992" width="9.140625" style="259"/>
    <col min="9993" max="9993" width="16.5703125" style="259" bestFit="1" customWidth="1"/>
    <col min="9994" max="10241" width="9.140625" style="259"/>
    <col min="10242" max="10242" width="24.5703125" style="259" customWidth="1"/>
    <col min="10243" max="10243" width="71.7109375" style="259" customWidth="1"/>
    <col min="10244" max="10244" width="17.140625" style="259" bestFit="1" customWidth="1"/>
    <col min="10245" max="10245" width="16.7109375" style="259" bestFit="1" customWidth="1"/>
    <col min="10246" max="10246" width="16.85546875" style="259" bestFit="1" customWidth="1"/>
    <col min="10247" max="10247" width="21.42578125" style="259" customWidth="1"/>
    <col min="10248" max="10248" width="9.140625" style="259"/>
    <col min="10249" max="10249" width="16.5703125" style="259" bestFit="1" customWidth="1"/>
    <col min="10250" max="10497" width="9.140625" style="259"/>
    <col min="10498" max="10498" width="24.5703125" style="259" customWidth="1"/>
    <col min="10499" max="10499" width="71.7109375" style="259" customWidth="1"/>
    <col min="10500" max="10500" width="17.140625" style="259" bestFit="1" customWidth="1"/>
    <col min="10501" max="10501" width="16.7109375" style="259" bestFit="1" customWidth="1"/>
    <col min="10502" max="10502" width="16.85546875" style="259" bestFit="1" customWidth="1"/>
    <col min="10503" max="10503" width="21.42578125" style="259" customWidth="1"/>
    <col min="10504" max="10504" width="9.140625" style="259"/>
    <col min="10505" max="10505" width="16.5703125" style="259" bestFit="1" customWidth="1"/>
    <col min="10506" max="10753" width="9.140625" style="259"/>
    <col min="10754" max="10754" width="24.5703125" style="259" customWidth="1"/>
    <col min="10755" max="10755" width="71.7109375" style="259" customWidth="1"/>
    <col min="10756" max="10756" width="17.140625" style="259" bestFit="1" customWidth="1"/>
    <col min="10757" max="10757" width="16.7109375" style="259" bestFit="1" customWidth="1"/>
    <col min="10758" max="10758" width="16.85546875" style="259" bestFit="1" customWidth="1"/>
    <col min="10759" max="10759" width="21.42578125" style="259" customWidth="1"/>
    <col min="10760" max="10760" width="9.140625" style="259"/>
    <col min="10761" max="10761" width="16.5703125" style="259" bestFit="1" customWidth="1"/>
    <col min="10762" max="11009" width="9.140625" style="259"/>
    <col min="11010" max="11010" width="24.5703125" style="259" customWidth="1"/>
    <col min="11011" max="11011" width="71.7109375" style="259" customWidth="1"/>
    <col min="11012" max="11012" width="17.140625" style="259" bestFit="1" customWidth="1"/>
    <col min="11013" max="11013" width="16.7109375" style="259" bestFit="1" customWidth="1"/>
    <col min="11014" max="11014" width="16.85546875" style="259" bestFit="1" customWidth="1"/>
    <col min="11015" max="11015" width="21.42578125" style="259" customWidth="1"/>
    <col min="11016" max="11016" width="9.140625" style="259"/>
    <col min="11017" max="11017" width="16.5703125" style="259" bestFit="1" customWidth="1"/>
    <col min="11018" max="11265" width="9.140625" style="259"/>
    <col min="11266" max="11266" width="24.5703125" style="259" customWidth="1"/>
    <col min="11267" max="11267" width="71.7109375" style="259" customWidth="1"/>
    <col min="11268" max="11268" width="17.140625" style="259" bestFit="1" customWidth="1"/>
    <col min="11269" max="11269" width="16.7109375" style="259" bestFit="1" customWidth="1"/>
    <col min="11270" max="11270" width="16.85546875" style="259" bestFit="1" customWidth="1"/>
    <col min="11271" max="11271" width="21.42578125" style="259" customWidth="1"/>
    <col min="11272" max="11272" width="9.140625" style="259"/>
    <col min="11273" max="11273" width="16.5703125" style="259" bestFit="1" customWidth="1"/>
    <col min="11274" max="11521" width="9.140625" style="259"/>
    <col min="11522" max="11522" width="24.5703125" style="259" customWidth="1"/>
    <col min="11523" max="11523" width="71.7109375" style="259" customWidth="1"/>
    <col min="11524" max="11524" width="17.140625" style="259" bestFit="1" customWidth="1"/>
    <col min="11525" max="11525" width="16.7109375" style="259" bestFit="1" customWidth="1"/>
    <col min="11526" max="11526" width="16.85546875" style="259" bestFit="1" customWidth="1"/>
    <col min="11527" max="11527" width="21.42578125" style="259" customWidth="1"/>
    <col min="11528" max="11528" width="9.140625" style="259"/>
    <col min="11529" max="11529" width="16.5703125" style="259" bestFit="1" customWidth="1"/>
    <col min="11530" max="11777" width="9.140625" style="259"/>
    <col min="11778" max="11778" width="24.5703125" style="259" customWidth="1"/>
    <col min="11779" max="11779" width="71.7109375" style="259" customWidth="1"/>
    <col min="11780" max="11780" width="17.140625" style="259" bestFit="1" customWidth="1"/>
    <col min="11781" max="11781" width="16.7109375" style="259" bestFit="1" customWidth="1"/>
    <col min="11782" max="11782" width="16.85546875" style="259" bestFit="1" customWidth="1"/>
    <col min="11783" max="11783" width="21.42578125" style="259" customWidth="1"/>
    <col min="11784" max="11784" width="9.140625" style="259"/>
    <col min="11785" max="11785" width="16.5703125" style="259" bestFit="1" customWidth="1"/>
    <col min="11786" max="12033" width="9.140625" style="259"/>
    <col min="12034" max="12034" width="24.5703125" style="259" customWidth="1"/>
    <col min="12035" max="12035" width="71.7109375" style="259" customWidth="1"/>
    <col min="12036" max="12036" width="17.140625" style="259" bestFit="1" customWidth="1"/>
    <col min="12037" max="12037" width="16.7109375" style="259" bestFit="1" customWidth="1"/>
    <col min="12038" max="12038" width="16.85546875" style="259" bestFit="1" customWidth="1"/>
    <col min="12039" max="12039" width="21.42578125" style="259" customWidth="1"/>
    <col min="12040" max="12040" width="9.140625" style="259"/>
    <col min="12041" max="12041" width="16.5703125" style="259" bestFit="1" customWidth="1"/>
    <col min="12042" max="12289" width="9.140625" style="259"/>
    <col min="12290" max="12290" width="24.5703125" style="259" customWidth="1"/>
    <col min="12291" max="12291" width="71.7109375" style="259" customWidth="1"/>
    <col min="12292" max="12292" width="17.140625" style="259" bestFit="1" customWidth="1"/>
    <col min="12293" max="12293" width="16.7109375" style="259" bestFit="1" customWidth="1"/>
    <col min="12294" max="12294" width="16.85546875" style="259" bestFit="1" customWidth="1"/>
    <col min="12295" max="12295" width="21.42578125" style="259" customWidth="1"/>
    <col min="12296" max="12296" width="9.140625" style="259"/>
    <col min="12297" max="12297" width="16.5703125" style="259" bestFit="1" customWidth="1"/>
    <col min="12298" max="12545" width="9.140625" style="259"/>
    <col min="12546" max="12546" width="24.5703125" style="259" customWidth="1"/>
    <col min="12547" max="12547" width="71.7109375" style="259" customWidth="1"/>
    <col min="12548" max="12548" width="17.140625" style="259" bestFit="1" customWidth="1"/>
    <col min="12549" max="12549" width="16.7109375" style="259" bestFit="1" customWidth="1"/>
    <col min="12550" max="12550" width="16.85546875" style="259" bestFit="1" customWidth="1"/>
    <col min="12551" max="12551" width="21.42578125" style="259" customWidth="1"/>
    <col min="12552" max="12552" width="9.140625" style="259"/>
    <col min="12553" max="12553" width="16.5703125" style="259" bestFit="1" customWidth="1"/>
    <col min="12554" max="12801" width="9.140625" style="259"/>
    <col min="12802" max="12802" width="24.5703125" style="259" customWidth="1"/>
    <col min="12803" max="12803" width="71.7109375" style="259" customWidth="1"/>
    <col min="12804" max="12804" width="17.140625" style="259" bestFit="1" customWidth="1"/>
    <col min="12805" max="12805" width="16.7109375" style="259" bestFit="1" customWidth="1"/>
    <col min="12806" max="12806" width="16.85546875" style="259" bestFit="1" customWidth="1"/>
    <col min="12807" max="12807" width="21.42578125" style="259" customWidth="1"/>
    <col min="12808" max="12808" width="9.140625" style="259"/>
    <col min="12809" max="12809" width="16.5703125" style="259" bestFit="1" customWidth="1"/>
    <col min="12810" max="13057" width="9.140625" style="259"/>
    <col min="13058" max="13058" width="24.5703125" style="259" customWidth="1"/>
    <col min="13059" max="13059" width="71.7109375" style="259" customWidth="1"/>
    <col min="13060" max="13060" width="17.140625" style="259" bestFit="1" customWidth="1"/>
    <col min="13061" max="13061" width="16.7109375" style="259" bestFit="1" customWidth="1"/>
    <col min="13062" max="13062" width="16.85546875" style="259" bestFit="1" customWidth="1"/>
    <col min="13063" max="13063" width="21.42578125" style="259" customWidth="1"/>
    <col min="13064" max="13064" width="9.140625" style="259"/>
    <col min="13065" max="13065" width="16.5703125" style="259" bestFit="1" customWidth="1"/>
    <col min="13066" max="13313" width="9.140625" style="259"/>
    <col min="13314" max="13314" width="24.5703125" style="259" customWidth="1"/>
    <col min="13315" max="13315" width="71.7109375" style="259" customWidth="1"/>
    <col min="13316" max="13316" width="17.140625" style="259" bestFit="1" customWidth="1"/>
    <col min="13317" max="13317" width="16.7109375" style="259" bestFit="1" customWidth="1"/>
    <col min="13318" max="13318" width="16.85546875" style="259" bestFit="1" customWidth="1"/>
    <col min="13319" max="13319" width="21.42578125" style="259" customWidth="1"/>
    <col min="13320" max="13320" width="9.140625" style="259"/>
    <col min="13321" max="13321" width="16.5703125" style="259" bestFit="1" customWidth="1"/>
    <col min="13322" max="13569" width="9.140625" style="259"/>
    <col min="13570" max="13570" width="24.5703125" style="259" customWidth="1"/>
    <col min="13571" max="13571" width="71.7109375" style="259" customWidth="1"/>
    <col min="13572" max="13572" width="17.140625" style="259" bestFit="1" customWidth="1"/>
    <col min="13573" max="13573" width="16.7109375" style="259" bestFit="1" customWidth="1"/>
    <col min="13574" max="13574" width="16.85546875" style="259" bestFit="1" customWidth="1"/>
    <col min="13575" max="13575" width="21.42578125" style="259" customWidth="1"/>
    <col min="13576" max="13576" width="9.140625" style="259"/>
    <col min="13577" max="13577" width="16.5703125" style="259" bestFit="1" customWidth="1"/>
    <col min="13578" max="13825" width="9.140625" style="259"/>
    <col min="13826" max="13826" width="24.5703125" style="259" customWidth="1"/>
    <col min="13827" max="13827" width="71.7109375" style="259" customWidth="1"/>
    <col min="13828" max="13828" width="17.140625" style="259" bestFit="1" customWidth="1"/>
    <col min="13829" max="13829" width="16.7109375" style="259" bestFit="1" customWidth="1"/>
    <col min="13830" max="13830" width="16.85546875" style="259" bestFit="1" customWidth="1"/>
    <col min="13831" max="13831" width="21.42578125" style="259" customWidth="1"/>
    <col min="13832" max="13832" width="9.140625" style="259"/>
    <col min="13833" max="13833" width="16.5703125" style="259" bestFit="1" customWidth="1"/>
    <col min="13834" max="14081" width="9.140625" style="259"/>
    <col min="14082" max="14082" width="24.5703125" style="259" customWidth="1"/>
    <col min="14083" max="14083" width="71.7109375" style="259" customWidth="1"/>
    <col min="14084" max="14084" width="17.140625" style="259" bestFit="1" customWidth="1"/>
    <col min="14085" max="14085" width="16.7109375" style="259" bestFit="1" customWidth="1"/>
    <col min="14086" max="14086" width="16.85546875" style="259" bestFit="1" customWidth="1"/>
    <col min="14087" max="14087" width="21.42578125" style="259" customWidth="1"/>
    <col min="14088" max="14088" width="9.140625" style="259"/>
    <col min="14089" max="14089" width="16.5703125" style="259" bestFit="1" customWidth="1"/>
    <col min="14090" max="14337" width="9.140625" style="259"/>
    <col min="14338" max="14338" width="24.5703125" style="259" customWidth="1"/>
    <col min="14339" max="14339" width="71.7109375" style="259" customWidth="1"/>
    <col min="14340" max="14340" width="17.140625" style="259" bestFit="1" customWidth="1"/>
    <col min="14341" max="14341" width="16.7109375" style="259" bestFit="1" customWidth="1"/>
    <col min="14342" max="14342" width="16.85546875" style="259" bestFit="1" customWidth="1"/>
    <col min="14343" max="14343" width="21.42578125" style="259" customWidth="1"/>
    <col min="14344" max="14344" width="9.140625" style="259"/>
    <col min="14345" max="14345" width="16.5703125" style="259" bestFit="1" customWidth="1"/>
    <col min="14346" max="14593" width="9.140625" style="259"/>
    <col min="14594" max="14594" width="24.5703125" style="259" customWidth="1"/>
    <col min="14595" max="14595" width="71.7109375" style="259" customWidth="1"/>
    <col min="14596" max="14596" width="17.140625" style="259" bestFit="1" customWidth="1"/>
    <col min="14597" max="14597" width="16.7109375" style="259" bestFit="1" customWidth="1"/>
    <col min="14598" max="14598" width="16.85546875" style="259" bestFit="1" customWidth="1"/>
    <col min="14599" max="14599" width="21.42578125" style="259" customWidth="1"/>
    <col min="14600" max="14600" width="9.140625" style="259"/>
    <col min="14601" max="14601" width="16.5703125" style="259" bestFit="1" customWidth="1"/>
    <col min="14602" max="14849" width="9.140625" style="259"/>
    <col min="14850" max="14850" width="24.5703125" style="259" customWidth="1"/>
    <col min="14851" max="14851" width="71.7109375" style="259" customWidth="1"/>
    <col min="14852" max="14852" width="17.140625" style="259" bestFit="1" customWidth="1"/>
    <col min="14853" max="14853" width="16.7109375" style="259" bestFit="1" customWidth="1"/>
    <col min="14854" max="14854" width="16.85546875" style="259" bestFit="1" customWidth="1"/>
    <col min="14855" max="14855" width="21.42578125" style="259" customWidth="1"/>
    <col min="14856" max="14856" width="9.140625" style="259"/>
    <col min="14857" max="14857" width="16.5703125" style="259" bestFit="1" customWidth="1"/>
    <col min="14858" max="15105" width="9.140625" style="259"/>
    <col min="15106" max="15106" width="24.5703125" style="259" customWidth="1"/>
    <col min="15107" max="15107" width="71.7109375" style="259" customWidth="1"/>
    <col min="15108" max="15108" width="17.140625" style="259" bestFit="1" customWidth="1"/>
    <col min="15109" max="15109" width="16.7109375" style="259" bestFit="1" customWidth="1"/>
    <col min="15110" max="15110" width="16.85546875" style="259" bestFit="1" customWidth="1"/>
    <col min="15111" max="15111" width="21.42578125" style="259" customWidth="1"/>
    <col min="15112" max="15112" width="9.140625" style="259"/>
    <col min="15113" max="15113" width="16.5703125" style="259" bestFit="1" customWidth="1"/>
    <col min="15114" max="15361" width="9.140625" style="259"/>
    <col min="15362" max="15362" width="24.5703125" style="259" customWidth="1"/>
    <col min="15363" max="15363" width="71.7109375" style="259" customWidth="1"/>
    <col min="15364" max="15364" width="17.140625" style="259" bestFit="1" customWidth="1"/>
    <col min="15365" max="15365" width="16.7109375" style="259" bestFit="1" customWidth="1"/>
    <col min="15366" max="15366" width="16.85546875" style="259" bestFit="1" customWidth="1"/>
    <col min="15367" max="15367" width="21.42578125" style="259" customWidth="1"/>
    <col min="15368" max="15368" width="9.140625" style="259"/>
    <col min="15369" max="15369" width="16.5703125" style="259" bestFit="1" customWidth="1"/>
    <col min="15370" max="15617" width="9.140625" style="259"/>
    <col min="15618" max="15618" width="24.5703125" style="259" customWidth="1"/>
    <col min="15619" max="15619" width="71.7109375" style="259" customWidth="1"/>
    <col min="15620" max="15620" width="17.140625" style="259" bestFit="1" customWidth="1"/>
    <col min="15621" max="15621" width="16.7109375" style="259" bestFit="1" customWidth="1"/>
    <col min="15622" max="15622" width="16.85546875" style="259" bestFit="1" customWidth="1"/>
    <col min="15623" max="15623" width="21.42578125" style="259" customWidth="1"/>
    <col min="15624" max="15624" width="9.140625" style="259"/>
    <col min="15625" max="15625" width="16.5703125" style="259" bestFit="1" customWidth="1"/>
    <col min="15626" max="15873" width="9.140625" style="259"/>
    <col min="15874" max="15874" width="24.5703125" style="259" customWidth="1"/>
    <col min="15875" max="15875" width="71.7109375" style="259" customWidth="1"/>
    <col min="15876" max="15876" width="17.140625" style="259" bestFit="1" customWidth="1"/>
    <col min="15877" max="15877" width="16.7109375" style="259" bestFit="1" customWidth="1"/>
    <col min="15878" max="15878" width="16.85546875" style="259" bestFit="1" customWidth="1"/>
    <col min="15879" max="15879" width="21.42578125" style="259" customWidth="1"/>
    <col min="15880" max="15880" width="9.140625" style="259"/>
    <col min="15881" max="15881" width="16.5703125" style="259" bestFit="1" customWidth="1"/>
    <col min="15882" max="16129" width="9.140625" style="259"/>
    <col min="16130" max="16130" width="24.5703125" style="259" customWidth="1"/>
    <col min="16131" max="16131" width="71.7109375" style="259" customWidth="1"/>
    <col min="16132" max="16132" width="17.140625" style="259" bestFit="1" customWidth="1"/>
    <col min="16133" max="16133" width="16.7109375" style="259" bestFit="1" customWidth="1"/>
    <col min="16134" max="16134" width="16.85546875" style="259" bestFit="1" customWidth="1"/>
    <col min="16135" max="16135" width="21.42578125" style="259" customWidth="1"/>
    <col min="16136" max="16136" width="9.140625" style="259"/>
    <col min="16137" max="16137" width="16.5703125" style="259" bestFit="1" customWidth="1"/>
    <col min="16138" max="16384" width="9.140625" style="259"/>
  </cols>
  <sheetData>
    <row r="2" spans="1:8" s="265" customFormat="1">
      <c r="B2" s="266"/>
      <c r="C2" s="267"/>
      <c r="D2" s="268"/>
      <c r="E2" s="269"/>
      <c r="F2" s="270"/>
      <c r="G2" s="268"/>
    </row>
    <row r="3" spans="1:8" ht="15.75" thickBot="1">
      <c r="A3" s="271" t="s">
        <v>390</v>
      </c>
    </row>
    <row r="4" spans="1:8" s="277" customFormat="1" ht="6" customHeight="1" thickBot="1">
      <c r="A4" s="271" t="s">
        <v>391</v>
      </c>
      <c r="B4" s="272"/>
      <c r="C4" s="1321"/>
      <c r="D4" s="1322"/>
      <c r="E4" s="1323"/>
      <c r="F4" s="275"/>
      <c r="G4" s="276"/>
    </row>
    <row r="5" spans="1:8" s="265" customFormat="1" ht="60" customHeight="1" thickBot="1">
      <c r="A5" s="278"/>
      <c r="B5" s="2285"/>
      <c r="C5" s="2250" t="s">
        <v>13361</v>
      </c>
      <c r="D5" s="2251"/>
      <c r="E5" s="1612"/>
      <c r="F5" s="2287" t="str">
        <f>'COMPOSIÇÃO CIVIL'!F3:G3</f>
        <v>Ref.: Tabela de Serviços
SINAPI (JANEIRO/2024)</v>
      </c>
      <c r="G5" s="2119"/>
    </row>
    <row r="6" spans="1:8" s="265" customFormat="1" ht="62.25" customHeight="1" thickBot="1">
      <c r="A6" s="278"/>
      <c r="B6" s="2286"/>
      <c r="C6" s="2191" t="s">
        <v>13363</v>
      </c>
      <c r="D6" s="2192"/>
      <c r="E6" s="1613"/>
      <c r="F6" s="1386" t="s">
        <v>4</v>
      </c>
      <c r="G6" s="1325">
        <f>'COMPOSIÇÃO CIVIL'!G4</f>
        <v>0.24199999999999999</v>
      </c>
    </row>
    <row r="7" spans="1:8" s="280" customFormat="1" ht="15" customHeight="1" thickBot="1">
      <c r="B7" s="2242" t="str">
        <f>RESUMO!B7</f>
        <v>C E N T R A L   D E   P R O J E T O S</v>
      </c>
      <c r="C7" s="2288"/>
      <c r="D7" s="2288"/>
      <c r="E7" s="2288"/>
      <c r="F7" s="2243"/>
      <c r="G7" s="2244"/>
    </row>
    <row r="8" spans="1:8" s="277" customFormat="1" ht="6" thickBot="1">
      <c r="B8" s="272"/>
      <c r="C8" s="273"/>
      <c r="D8" s="274"/>
      <c r="E8" s="275"/>
      <c r="F8" s="275"/>
      <c r="G8" s="276"/>
    </row>
    <row r="9" spans="1:8" s="265" customFormat="1" ht="15.75">
      <c r="B9" s="1571" t="s">
        <v>5</v>
      </c>
      <c r="C9" s="2289" t="str">
        <f>'ORÇAMENTO '!G11</f>
        <v xml:space="preserve">ESCOLA MUNICIPAL DOMINGOS AZZOLINI </v>
      </c>
      <c r="D9" s="2289"/>
      <c r="E9" s="2289"/>
      <c r="F9" s="1572" t="s">
        <v>6</v>
      </c>
      <c r="G9" s="1573">
        <f>'COMPOSIÇÃO CIVIL'!G7</f>
        <v>45366</v>
      </c>
    </row>
    <row r="10" spans="1:8" s="265" customFormat="1" ht="15.75">
      <c r="B10" s="1357" t="s">
        <v>7</v>
      </c>
      <c r="C10" s="2290" t="str">
        <f>'ORÇAMENTO '!G12</f>
        <v>SANTO ANTONIO DO LESTE</v>
      </c>
      <c r="D10" s="2290"/>
      <c r="E10" s="2291" t="str">
        <f>'COMPOSIÇÃO ESTRUTURAL'!E8:F8</f>
        <v>LEIS SOCIAIS: HORISTA</v>
      </c>
      <c r="F10" s="2291"/>
      <c r="G10" s="1590">
        <f>'COMPOSIÇÃO ESTRUTURAL'!G8</f>
        <v>1.0684</v>
      </c>
    </row>
    <row r="11" spans="1:8" s="265" customFormat="1" ht="16.5" thickBot="1">
      <c r="B11" s="1574"/>
      <c r="C11" s="2282"/>
      <c r="D11" s="2282"/>
      <c r="E11" s="2283" t="str">
        <f>'COMPOSIÇÃO ESTRUTURAL'!E9:F9</f>
        <v>LEIS SOCIAIS: MENSALISTA</v>
      </c>
      <c r="F11" s="2283"/>
      <c r="G11" s="1575">
        <f>'COMPOSIÇÃO ESTRUTURAL'!G9</f>
        <v>0.65400000000000003</v>
      </c>
    </row>
    <row r="12" spans="1:8" s="277" customFormat="1" ht="6" thickBot="1">
      <c r="B12" s="1688"/>
      <c r="C12" s="1687"/>
      <c r="D12" s="1686"/>
      <c r="E12" s="1685"/>
      <c r="F12" s="1685"/>
      <c r="G12" s="1684"/>
    </row>
    <row r="13" spans="1:8" s="265" customFormat="1" ht="18.75" thickBot="1">
      <c r="B13" s="2245" t="s">
        <v>1807</v>
      </c>
      <c r="C13" s="2246"/>
      <c r="D13" s="2246"/>
      <c r="E13" s="2246"/>
      <c r="F13" s="2246"/>
      <c r="G13" s="2247"/>
    </row>
    <row r="14" spans="1:8" s="277" customFormat="1" ht="6" thickBot="1">
      <c r="B14" s="1663"/>
      <c r="C14" s="1663"/>
      <c r="D14" s="1665"/>
      <c r="E14" s="1666"/>
      <c r="F14" s="1666"/>
      <c r="G14" s="1667"/>
    </row>
    <row r="15" spans="1:8" s="308" customFormat="1" ht="15.75" thickBot="1"/>
    <row r="16" spans="1:8" s="308" customFormat="1" ht="15.75">
      <c r="B16" s="367" t="str">
        <f>IF(COUNT($H$16:H16)&lt;10,CONCATENATE("CPU HID 00",COUNT($H$16:H16)),CONCATENATE("CPU HID 0",COUNT($H$16:H16)))</f>
        <v>CPU HID 001</v>
      </c>
      <c r="C16" s="2284" t="s">
        <v>540</v>
      </c>
      <c r="D16" s="2284"/>
      <c r="E16" s="2284"/>
      <c r="F16" s="2284"/>
      <c r="G16" s="368" t="s">
        <v>22</v>
      </c>
      <c r="H16" s="1050">
        <f>G23</f>
        <v>47.649999999999991</v>
      </c>
    </row>
    <row r="17" spans="1:8" s="308" customFormat="1" ht="31.5">
      <c r="B17" s="1093" t="s">
        <v>197</v>
      </c>
      <c r="C17" s="1194" t="s">
        <v>161</v>
      </c>
      <c r="D17" s="1194" t="s">
        <v>22</v>
      </c>
      <c r="E17" s="1194" t="s">
        <v>162</v>
      </c>
      <c r="F17" s="1195" t="s">
        <v>163</v>
      </c>
      <c r="G17" s="1196" t="s">
        <v>164</v>
      </c>
    </row>
    <row r="18" spans="1:8" s="308" customFormat="1" ht="15.75">
      <c r="B18" s="2279" t="s">
        <v>165</v>
      </c>
      <c r="C18" s="2280"/>
      <c r="D18" s="2280"/>
      <c r="E18" s="2280"/>
      <c r="F18" s="2280"/>
      <c r="G18" s="2281"/>
    </row>
    <row r="19" spans="1:8" s="308" customFormat="1" ht="15.75">
      <c r="A19" s="333" t="s">
        <v>390</v>
      </c>
      <c r="B19" s="1197">
        <v>11708</v>
      </c>
      <c r="C19" s="1222" t="str">
        <f>IF($A19="INSUMO",VLOOKUP($B19,'BANCO DE DADOS JANEIRO-24 INS'!$A:$D,2,FALSE),VLOOKUP($B19,'BANCO DE DADOS JANEIRO-24 SERV'!$B:$E,2,FALSE))</f>
        <v xml:space="preserve">RALO FOFO SEMIESFERICO, 100 MM, PARA LAJES/ CALHAS                                                                                                                                                                                                                                                                                                                                                                                                                                                        </v>
      </c>
      <c r="D19" s="1215" t="str">
        <f>IF($A19="INSUMO",VLOOKUP($B19,'BANCO DE DADOS JANEIRO-24 INS'!$A:$D,3,FALSE),VLOOKUP($B19,'BANCO DE DADOS JANEIRO-24 SERV'!$B:$E,3,FALSE))</f>
        <v xml:space="preserve">UN    </v>
      </c>
      <c r="E19" s="1304">
        <v>1</v>
      </c>
      <c r="F19" s="1216">
        <f>IF($A19="INSUMO",VLOOKUP($B19,'BANCO DE DADOS JANEIRO-24 INS'!$A:$D,4,FALSE),VLOOKUP($B19,'BANCO DE DADOS JANEIRO-24 SERV'!$B:$E,4,FALSE))</f>
        <v>24.72</v>
      </c>
      <c r="G19" s="1217">
        <f>TRUNC(E19*F19,2)</f>
        <v>24.72</v>
      </c>
    </row>
    <row r="20" spans="1:8" s="308" customFormat="1" ht="15.75">
      <c r="B20" s="2279" t="s">
        <v>166</v>
      </c>
      <c r="C20" s="2280"/>
      <c r="D20" s="2280"/>
      <c r="E20" s="2280"/>
      <c r="F20" s="2280"/>
      <c r="G20" s="2281"/>
    </row>
    <row r="21" spans="1:8" s="308" customFormat="1" ht="15.75">
      <c r="A21" s="333" t="s">
        <v>391</v>
      </c>
      <c r="B21" s="1197">
        <v>88316</v>
      </c>
      <c r="C21" s="1222" t="str">
        <f>IF($A21="INSUMO",VLOOKUP($B21,'BANCO DE DADOS JANEIRO-24 INS'!$A:$D,2,FALSE),VLOOKUP($B21,'BANCO DE DADOS JANEIRO-24 SERV'!$B:$E,2,FALSE))</f>
        <v>SERVENTE COM ENCARGOS COMPLEMENTARES</v>
      </c>
      <c r="D21" s="1215" t="str">
        <f>IF($A21="INSUMO",VLOOKUP($B21,'BANCO DE DADOS JANEIRO-24 INS'!$A:$D,3,FALSE),VLOOKUP($B21,'BANCO DE DADOS JANEIRO-24 SERV'!$B:$E,3,FALSE))</f>
        <v>H</v>
      </c>
      <c r="E21" s="1230">
        <v>0.5</v>
      </c>
      <c r="F21" s="1216">
        <f>IF($A21="INSUMO",VLOOKUP($B21,'BANCO DE DADOS JANEIRO-24 INS'!$A:$D,4,FALSE),VLOOKUP($B21,'BANCO DE DADOS JANEIRO-24 SERV'!$B:$E,4,FALSE))</f>
        <v>20.32</v>
      </c>
      <c r="G21" s="1217">
        <f>TRUNC(E21*F21,2)</f>
        <v>10.16</v>
      </c>
    </row>
    <row r="22" spans="1:8" s="308" customFormat="1" ht="30.75" thickBot="1">
      <c r="A22" s="333" t="s">
        <v>391</v>
      </c>
      <c r="B22" s="1519">
        <v>88267</v>
      </c>
      <c r="C22" s="1576" t="str">
        <f>IF($A22="INSUMO",VLOOKUP($B22,'BANCO DE DADOS JANEIRO-24 INS'!$A:$D,2,FALSE),VLOOKUP($B22,'BANCO DE DADOS JANEIRO-24 SERV'!$B:$E,2,FALSE))</f>
        <v>ENCANADOR OU BOMBEIRO HIDRÁULICO COM ENCARGOS COMPLEMENTARES</v>
      </c>
      <c r="D22" s="1577" t="str">
        <f>IF($A22="INSUMO",VLOOKUP($B22,'BANCO DE DADOS JANEIRO-24 INS'!$A:$D,3,FALSE),VLOOKUP($B22,'BANCO DE DADOS JANEIRO-24 SERV'!$B:$E,3,FALSE))</f>
        <v>H</v>
      </c>
      <c r="E22" s="1578">
        <v>0.5</v>
      </c>
      <c r="F22" s="1579">
        <f>IF($A22="INSUMO",VLOOKUP($B22,'BANCO DE DADOS JANEIRO-24 INS'!$A:$D,4,FALSE),VLOOKUP($B22,'BANCO DE DADOS JANEIRO-24 SERV'!$B:$E,4,FALSE))</f>
        <v>25.55</v>
      </c>
      <c r="G22" s="1580">
        <f>TRUNC(E22*F22,2)</f>
        <v>12.77</v>
      </c>
    </row>
    <row r="23" spans="1:8" s="308" customFormat="1" ht="16.5" thickBot="1">
      <c r="B23" s="1593" t="s">
        <v>7368</v>
      </c>
      <c r="C23" s="1134"/>
      <c r="D23" s="1134"/>
      <c r="E23" s="1134"/>
      <c r="F23" s="330" t="s">
        <v>167</v>
      </c>
      <c r="G23" s="611">
        <f>SUM(G19:G22)</f>
        <v>47.649999999999991</v>
      </c>
    </row>
    <row r="24" spans="1:8" s="308" customFormat="1" ht="15.75" thickBot="1"/>
    <row r="25" spans="1:8" ht="32.25" customHeight="1">
      <c r="A25" s="308"/>
      <c r="B25" s="367" t="str">
        <f>IF(COUNT($H$16:H25)&lt;10,CONCATENATE("CPU HID 00",COUNT($H$16:H25)),CONCATENATE("CPU HID 0",COUNT($H$16:H25)))</f>
        <v>CPU HID 002</v>
      </c>
      <c r="C25" s="2297" t="s">
        <v>14024</v>
      </c>
      <c r="D25" s="2298"/>
      <c r="E25" s="2298"/>
      <c r="F25" s="2299"/>
      <c r="G25" s="368" t="s">
        <v>22</v>
      </c>
      <c r="H25" s="619">
        <f>G33</f>
        <v>241.89000000000001</v>
      </c>
    </row>
    <row r="26" spans="1:8" ht="31.5">
      <c r="A26" s="308"/>
      <c r="B26" s="1093" t="s">
        <v>197</v>
      </c>
      <c r="C26" s="1194" t="s">
        <v>161</v>
      </c>
      <c r="D26" s="1194" t="s">
        <v>22</v>
      </c>
      <c r="E26" s="1194" t="s">
        <v>162</v>
      </c>
      <c r="F26" s="1195" t="s">
        <v>163</v>
      </c>
      <c r="G26" s="1196" t="s">
        <v>164</v>
      </c>
    </row>
    <row r="27" spans="1:8" ht="15.75">
      <c r="A27" s="308"/>
      <c r="B27" s="2292" t="s">
        <v>165</v>
      </c>
      <c r="C27" s="2293"/>
      <c r="D27" s="2293"/>
      <c r="E27" s="2293"/>
      <c r="F27" s="2293"/>
      <c r="G27" s="2294"/>
    </row>
    <row r="28" spans="1:8" ht="15.75">
      <c r="A28" s="333" t="s">
        <v>390</v>
      </c>
      <c r="B28" s="1197" t="str">
        <f>B35</f>
        <v>COTAÇÃO</v>
      </c>
      <c r="C28" s="1098" t="str">
        <f>C35</f>
        <v>VALVULA DE RETENCAO HORIZONTAL, EM PVC, 100MM</v>
      </c>
      <c r="D28" s="1178" t="str">
        <f>G35</f>
        <v>UN</v>
      </c>
      <c r="E28" s="1304">
        <v>1</v>
      </c>
      <c r="F28" s="1146">
        <f>D40</f>
        <v>164.84</v>
      </c>
      <c r="G28" s="1217">
        <f>TRUNC(E28*F28,2)</f>
        <v>164.84</v>
      </c>
    </row>
    <row r="29" spans="1:8" ht="30">
      <c r="A29" s="333" t="s">
        <v>390</v>
      </c>
      <c r="B29" s="1581">
        <v>44397</v>
      </c>
      <c r="C29" s="1098" t="str">
        <f>IF($A29="INSUMO",VLOOKUP($B29,'BANCO DE DADOS JANEIRO-24 INS'!$A:$D,2,FALSE),VLOOKUP($B29,'BANCO DE DADOS JANEIRO-24 SERV'!$B:$E,2,FALSE))</f>
        <v xml:space="preserve">FITA / CINTA AUTOADESIVA ELASTOMERICA PARA VEDACAO, L= 50 MM, E = 3 MM                                                                                                                                                                                                                                                                                                                                                                                                                                    </v>
      </c>
      <c r="D29" s="1099" t="str">
        <f>IF($A29="INSUMO",VLOOKUP($B29,'BANCO DE DADOS JANEIRO-24 INS'!$A:$D,3,FALSE),VLOOKUP($B29,'BANCO DE DADOS JANEIRO-24 SERV'!$B:$E,3,FALSE))</f>
        <v xml:space="preserve">M     </v>
      </c>
      <c r="E29" s="1304">
        <v>4.1399999999999997</v>
      </c>
      <c r="F29" s="1146">
        <f>IF($A29="INSUMO",VLOOKUP($B29,'BANCO DE DADOS JANEIRO-24 INS'!$A:$D,4,FALSE),VLOOKUP($B29,'BANCO DE DADOS JANEIRO-24 SERV'!$B:$E,4,FALSE))</f>
        <v>2</v>
      </c>
      <c r="G29" s="1217">
        <f>TRUNC(E29*F29,2)</f>
        <v>8.2799999999999994</v>
      </c>
    </row>
    <row r="30" spans="1:8" ht="15.75">
      <c r="A30" s="308"/>
      <c r="B30" s="2292" t="s">
        <v>166</v>
      </c>
      <c r="C30" s="2293"/>
      <c r="D30" s="2293"/>
      <c r="E30" s="2293"/>
      <c r="F30" s="2293"/>
      <c r="G30" s="2294"/>
    </row>
    <row r="31" spans="1:8" ht="30">
      <c r="A31" s="333" t="s">
        <v>391</v>
      </c>
      <c r="B31" s="1581">
        <v>88248</v>
      </c>
      <c r="C31" s="1098" t="str">
        <f>IF($A31="INSUMO",VLOOKUP($B31,'BANCO DE DADOS JANEIRO-24 INS'!$A:$D,2,FALSE),VLOOKUP($B31,'BANCO DE DADOS JANEIRO-24 SERV'!$B:$E,2,FALSE))</f>
        <v>AUXILIAR DE ENCANADOR OU BOMBEIRO HIDRÁULICO COM ENCARGOS COMPLEMENTARES</v>
      </c>
      <c r="D31" s="1099" t="str">
        <f>IF($A31="INSUMO",VLOOKUP($B31,'BANCO DE DADOS JANEIRO-24 INS'!$A:$D,3,FALSE),VLOOKUP($B31,'BANCO DE DADOS JANEIRO-24 SERV'!$B:$E,3,FALSE))</f>
        <v>H</v>
      </c>
      <c r="E31" s="1230">
        <v>1.48</v>
      </c>
      <c r="F31" s="1146">
        <f>IF($A31="INSUMO",VLOOKUP($B31,'BANCO DE DADOS JANEIRO-24 INS'!$A:$D,4,FALSE),VLOOKUP($B31,'BANCO DE DADOS JANEIRO-24 SERV'!$B:$E,4,FALSE))</f>
        <v>20.92</v>
      </c>
      <c r="G31" s="1217">
        <f>TRUNC(E31*F31,2)</f>
        <v>30.96</v>
      </c>
    </row>
    <row r="32" spans="1:8" ht="30.75" thickBot="1">
      <c r="A32" s="333" t="s">
        <v>391</v>
      </c>
      <c r="B32" s="1581">
        <v>88267</v>
      </c>
      <c r="C32" s="1098" t="str">
        <f>IF($A32="INSUMO",VLOOKUP($B32,'BANCO DE DADOS JANEIRO-24 INS'!$A:$D,2,FALSE),VLOOKUP($B32,'BANCO DE DADOS JANEIRO-24 SERV'!$B:$E,2,FALSE))</f>
        <v>ENCANADOR OU BOMBEIRO HIDRÁULICO COM ENCARGOS COMPLEMENTARES</v>
      </c>
      <c r="D32" s="1099" t="str">
        <f>IF($A32="INSUMO",VLOOKUP($B32,'BANCO DE DADOS JANEIRO-24 INS'!$A:$D,3,FALSE),VLOOKUP($B32,'BANCO DE DADOS JANEIRO-24 SERV'!$B:$E,3,FALSE))</f>
        <v>H</v>
      </c>
      <c r="E32" s="1578">
        <v>1.48</v>
      </c>
      <c r="F32" s="1146">
        <f>IF($A32="INSUMO",VLOOKUP($B32,'BANCO DE DADOS JANEIRO-24 INS'!$A:$D,4,FALSE),VLOOKUP($B32,'BANCO DE DADOS JANEIRO-24 SERV'!$B:$E,4,FALSE))</f>
        <v>25.55</v>
      </c>
      <c r="G32" s="1580">
        <f>TRUNC(E32*F32,2)</f>
        <v>37.81</v>
      </c>
    </row>
    <row r="33" spans="1:8" ht="16.5" thickBot="1">
      <c r="A33" s="308"/>
      <c r="B33" s="2295" t="s">
        <v>14032</v>
      </c>
      <c r="C33" s="2295"/>
      <c r="D33" s="2295"/>
      <c r="E33" s="2296"/>
      <c r="F33" s="330" t="s">
        <v>167</v>
      </c>
      <c r="G33" s="611">
        <f>SUM(G28:G32)</f>
        <v>241.89000000000001</v>
      </c>
    </row>
    <row r="34" spans="1:8" ht="13.5" thickBot="1"/>
    <row r="35" spans="1:8" ht="15.75">
      <c r="B35" s="1669" t="s">
        <v>181</v>
      </c>
      <c r="C35" s="2164" t="s">
        <v>14025</v>
      </c>
      <c r="D35" s="2165"/>
      <c r="E35" s="2165"/>
      <c r="F35" s="2166"/>
      <c r="G35" s="1670" t="s">
        <v>22</v>
      </c>
      <c r="H35" s="1049" t="s">
        <v>2249</v>
      </c>
    </row>
    <row r="36" spans="1:8" ht="47.25">
      <c r="B36" s="1107" t="s">
        <v>174</v>
      </c>
      <c r="C36" s="1108" t="s">
        <v>175</v>
      </c>
      <c r="D36" s="1109" t="s">
        <v>511</v>
      </c>
      <c r="E36" s="1110" t="s">
        <v>177</v>
      </c>
      <c r="F36" s="1111" t="s">
        <v>178</v>
      </c>
      <c r="G36" s="1112" t="s">
        <v>179</v>
      </c>
      <c r="H36" s="308"/>
    </row>
    <row r="37" spans="1:8" ht="15">
      <c r="B37" s="1113">
        <v>45254</v>
      </c>
      <c r="C37" s="1114" t="s">
        <v>14026</v>
      </c>
      <c r="D37" s="1115">
        <v>147.24</v>
      </c>
      <c r="E37" s="1138" t="s">
        <v>14027</v>
      </c>
      <c r="F37" s="1365" t="s">
        <v>13342</v>
      </c>
      <c r="G37" s="1583" t="s">
        <v>5517</v>
      </c>
      <c r="H37" s="1135"/>
    </row>
    <row r="38" spans="1:8" ht="15">
      <c r="B38" s="1113">
        <v>45254</v>
      </c>
      <c r="C38" s="1114" t="s">
        <v>14028</v>
      </c>
      <c r="D38" s="1115">
        <v>164.84</v>
      </c>
      <c r="E38" s="1138" t="s">
        <v>14029</v>
      </c>
      <c r="F38" s="1365" t="s">
        <v>13339</v>
      </c>
      <c r="G38" s="1583" t="s">
        <v>5517</v>
      </c>
      <c r="H38" s="1135"/>
    </row>
    <row r="39" spans="1:8" ht="15">
      <c r="B39" s="1113">
        <v>45254</v>
      </c>
      <c r="C39" s="1114" t="s">
        <v>14030</v>
      </c>
      <c r="D39" s="1115">
        <v>225.79</v>
      </c>
      <c r="E39" s="1305" t="s">
        <v>14031</v>
      </c>
      <c r="F39" s="1139" t="s">
        <v>13340</v>
      </c>
      <c r="G39" s="1117" t="s">
        <v>13341</v>
      </c>
      <c r="H39" s="1135"/>
    </row>
    <row r="40" spans="1:8" ht="16.5" thickBot="1">
      <c r="B40" s="1678"/>
      <c r="C40" s="1679" t="s">
        <v>180</v>
      </c>
      <c r="D40" s="1680">
        <f>IF(COUNT(D36:D39)=3,MEDIAN(D37:D39),SMALL(D37:D39,1))</f>
        <v>164.84</v>
      </c>
      <c r="E40" s="1681"/>
      <c r="F40" s="1683"/>
      <c r="G40" s="1682"/>
      <c r="H40" s="308"/>
    </row>
    <row r="41" spans="1:8" ht="13.5" thickBot="1"/>
    <row r="42" spans="1:8" ht="15.75">
      <c r="A42" s="308"/>
      <c r="B42" s="367" t="str">
        <f>IF(COUNT($H$16:H42)&lt;10,CONCATENATE("CPU HID 00",COUNT($H$16:H42)),CONCATENATE("CPU HID 0",COUNT($H$16:H42)))</f>
        <v>CPU HID 003</v>
      </c>
      <c r="C42" s="2284" t="s">
        <v>14048</v>
      </c>
      <c r="D42" s="2181"/>
      <c r="E42" s="2181"/>
      <c r="F42" s="2181"/>
      <c r="G42" s="368" t="s">
        <v>22</v>
      </c>
      <c r="H42" s="1050">
        <f>G49</f>
        <v>13.149999999999999</v>
      </c>
    </row>
    <row r="43" spans="1:8" ht="31.5">
      <c r="A43" s="308"/>
      <c r="B43" s="1093" t="s">
        <v>197</v>
      </c>
      <c r="C43" s="1194" t="s">
        <v>161</v>
      </c>
      <c r="D43" s="1194" t="s">
        <v>22</v>
      </c>
      <c r="E43" s="1194" t="s">
        <v>162</v>
      </c>
      <c r="F43" s="1195" t="s">
        <v>163</v>
      </c>
      <c r="G43" s="1196" t="s">
        <v>164</v>
      </c>
      <c r="H43" s="308"/>
    </row>
    <row r="44" spans="1:8" ht="15.75">
      <c r="A44" s="308"/>
      <c r="B44" s="2300" t="s">
        <v>165</v>
      </c>
      <c r="C44" s="2301"/>
      <c r="D44" s="2301"/>
      <c r="E44" s="2301"/>
      <c r="F44" s="2301"/>
      <c r="G44" s="2302"/>
      <c r="H44" s="308"/>
    </row>
    <row r="45" spans="1:8" ht="35.25" customHeight="1">
      <c r="A45" s="333" t="s">
        <v>390</v>
      </c>
      <c r="B45" s="1303">
        <v>38836</v>
      </c>
      <c r="C45" s="1098" t="str">
        <f>IF($A45="INSUMO",VLOOKUP($B45,'BANCO DE DADOS JANEIRO-24 INS'!$A:$D,2,FALSE),VLOOKUP($B45,'BANCO DE DADOS JANEIRO-24 SERV'!$B:$E,2,FALSE))</f>
        <v xml:space="preserve">TAMPAO / CAP, ROSCA MACHO, DN 3/4", PARA TUBO PEX PARA INST. AGUA QUENTE/FRIA                                                                                                                                                                                                                                                                                                                                                                                                                             </v>
      </c>
      <c r="D45" s="1099" t="str">
        <f>IF($A45="INSUMO",VLOOKUP($B45,'BANCO DE DADOS JANEIRO-24 INS'!$A:$D,3,FALSE),VLOOKUP($B45,'BANCO DE DADOS JANEIRO-24 SERV'!$B:$E,3,FALSE))</f>
        <v xml:space="preserve">UN    </v>
      </c>
      <c r="E45" s="1356">
        <v>1</v>
      </c>
      <c r="F45" s="1146">
        <f>IF($A45="INSUMO",VLOOKUP($B45,'BANCO DE DADOS JANEIRO-24 INS'!$A:$D,4,FALSE),VLOOKUP($B45,'BANCO DE DADOS JANEIRO-24 SERV'!$B:$E,4,FALSE))</f>
        <v>5.26</v>
      </c>
      <c r="G45" s="1217">
        <f>TRUNC(E45*F45,2)</f>
        <v>5.26</v>
      </c>
      <c r="H45" s="308"/>
    </row>
    <row r="46" spans="1:8" ht="15.75">
      <c r="A46" s="308"/>
      <c r="B46" s="2300" t="s">
        <v>166</v>
      </c>
      <c r="C46" s="2301"/>
      <c r="D46" s="2301"/>
      <c r="E46" s="2301"/>
      <c r="F46" s="2301"/>
      <c r="G46" s="2302"/>
      <c r="H46" s="308"/>
    </row>
    <row r="47" spans="1:8" ht="30">
      <c r="A47" s="333" t="s">
        <v>391</v>
      </c>
      <c r="B47" s="1581">
        <v>88267</v>
      </c>
      <c r="C47" s="1098" t="str">
        <f>IF($A47="INSUMO",VLOOKUP($B47,'BANCO DE DADOS JANEIRO-24 INS'!$A:$D,2,FALSE),VLOOKUP($B47,'BANCO DE DADOS JANEIRO-24 SERV'!$B:$E,2,FALSE))</f>
        <v>ENCANADOR OU BOMBEIRO HIDRÁULICO COM ENCARGOS COMPLEMENTARES</v>
      </c>
      <c r="D47" s="1099" t="str">
        <f>IF($A47="INSUMO",VLOOKUP($B47,'BANCO DE DADOS JANEIRO-24 INS'!$A:$D,3,FALSE),VLOOKUP($B47,'BANCO DE DADOS JANEIRO-24 SERV'!$B:$E,3,FALSE))</f>
        <v>H</v>
      </c>
      <c r="E47" s="1230">
        <v>0.17</v>
      </c>
      <c r="F47" s="1146">
        <f>IF($A47="INSUMO",VLOOKUP($B47,'BANCO DE DADOS JANEIRO-24 INS'!$A:$D,4,FALSE),VLOOKUP($B47,'BANCO DE DADOS JANEIRO-24 SERV'!$B:$E,4,FALSE))</f>
        <v>25.55</v>
      </c>
      <c r="G47" s="1217">
        <f>TRUNC(E47*F47,2)</f>
        <v>4.34</v>
      </c>
    </row>
    <row r="48" spans="1:8" ht="30.75" thickBot="1">
      <c r="A48" s="333" t="s">
        <v>391</v>
      </c>
      <c r="B48" s="1581">
        <v>88248</v>
      </c>
      <c r="C48" s="1522" t="str">
        <f>IF($A48="INSUMO",VLOOKUP($B48,'BANCO DE DADOS JANEIRO-24 INS'!$A:$D,2,FALSE),VLOOKUP($B48,'BANCO DE DADOS JANEIRO-24 SERV'!$B:$E,2,FALSE))</f>
        <v>AUXILIAR DE ENCANADOR OU BOMBEIRO HIDRÁULICO COM ENCARGOS COMPLEMENTARES</v>
      </c>
      <c r="D48" s="1521" t="str">
        <f>IF($A48="INSUMO",VLOOKUP($B48,'BANCO DE DADOS JANEIRO-24 INS'!$A:$D,3,FALSE),VLOOKUP($B48,'BANCO DE DADOS JANEIRO-24 SERV'!$B:$E,3,FALSE))</f>
        <v>H</v>
      </c>
      <c r="E48" s="1578">
        <v>0.17</v>
      </c>
      <c r="F48" s="1525">
        <f>IF($A48="INSUMO",VLOOKUP($B48,'BANCO DE DADOS JANEIRO-24 INS'!$A:$D,4,FALSE),VLOOKUP($B48,'BANCO DE DADOS JANEIRO-24 SERV'!$B:$E,4,FALSE))</f>
        <v>20.92</v>
      </c>
      <c r="G48" s="1580">
        <f>TRUNC(E48*F48,2)</f>
        <v>3.55</v>
      </c>
      <c r="H48" s="308"/>
    </row>
    <row r="49" spans="1:8" ht="16.5" thickBot="1">
      <c r="A49" s="271"/>
      <c r="B49" s="2303" t="s">
        <v>14049</v>
      </c>
      <c r="C49" s="2303"/>
      <c r="D49" s="2303"/>
      <c r="E49" s="2303"/>
      <c r="F49" s="330" t="s">
        <v>167</v>
      </c>
      <c r="G49" s="611">
        <f>SUM(G45:G48)</f>
        <v>13.149999999999999</v>
      </c>
      <c r="H49" s="271"/>
    </row>
    <row r="50" spans="1:8" ht="13.5" thickBot="1"/>
    <row r="51" spans="1:8" ht="32.25" customHeight="1">
      <c r="A51" s="308"/>
      <c r="B51" s="367" t="str">
        <f>IF(COUNT($H$16:H51)&lt;10,CONCATENATE("CPU HID 00",COUNT($H$16:H51)),CONCATENATE("CPU HID 0",COUNT($H$16:H51)))</f>
        <v>CPU HID 004</v>
      </c>
      <c r="C51" s="2297" t="s">
        <v>14050</v>
      </c>
      <c r="D51" s="2298"/>
      <c r="E51" s="2298"/>
      <c r="F51" s="2299"/>
      <c r="G51" s="368" t="s">
        <v>22</v>
      </c>
      <c r="H51" s="619">
        <f>G59</f>
        <v>110.85000000000001</v>
      </c>
    </row>
    <row r="52" spans="1:8" ht="31.5">
      <c r="A52" s="308"/>
      <c r="B52" s="1093" t="s">
        <v>197</v>
      </c>
      <c r="C52" s="1194" t="s">
        <v>161</v>
      </c>
      <c r="D52" s="1194" t="s">
        <v>22</v>
      </c>
      <c r="E52" s="1194" t="s">
        <v>162</v>
      </c>
      <c r="F52" s="1195" t="s">
        <v>163</v>
      </c>
      <c r="G52" s="1196" t="s">
        <v>164</v>
      </c>
    </row>
    <row r="53" spans="1:8" ht="15.75">
      <c r="A53" s="308"/>
      <c r="B53" s="2292" t="s">
        <v>165</v>
      </c>
      <c r="C53" s="2293"/>
      <c r="D53" s="2293"/>
      <c r="E53" s="2293"/>
      <c r="F53" s="2293"/>
      <c r="G53" s="2294"/>
    </row>
    <row r="54" spans="1:8" ht="15.75">
      <c r="A54" s="333" t="s">
        <v>390</v>
      </c>
      <c r="B54" s="1197" t="str">
        <f>B61</f>
        <v>COTAÇÃO</v>
      </c>
      <c r="C54" s="1098" t="str">
        <f>C61</f>
        <v>VALVULA PARA MANGUEIRA DE GAS</v>
      </c>
      <c r="D54" s="1178" t="str">
        <f>G61</f>
        <v>UN</v>
      </c>
      <c r="E54" s="1304">
        <v>1</v>
      </c>
      <c r="F54" s="1146">
        <f>D66</f>
        <v>79.510000000000005</v>
      </c>
      <c r="G54" s="1217">
        <f>TRUNC(E54*F54,2)</f>
        <v>79.510000000000005</v>
      </c>
    </row>
    <row r="55" spans="1:8" ht="30">
      <c r="A55" s="333" t="s">
        <v>390</v>
      </c>
      <c r="B55" s="1581">
        <v>44397</v>
      </c>
      <c r="C55" s="1098" t="str">
        <f>IF($A55="INSUMO",VLOOKUP($B55,'BANCO DE DADOS JANEIRO-24 INS'!$A:$D,2,FALSE),VLOOKUP($B55,'BANCO DE DADOS JANEIRO-24 SERV'!$B:$E,2,FALSE))</f>
        <v xml:space="preserve">FITA / CINTA AUTOADESIVA ELASTOMERICA PARA VEDACAO, L= 50 MM, E = 3 MM                                                                                                                                                                                                                                                                                                                                                                                                                                    </v>
      </c>
      <c r="D55" s="1099" t="str">
        <f>IF($A55="INSUMO",VLOOKUP($B55,'BANCO DE DADOS JANEIRO-24 INS'!$A:$D,3,FALSE),VLOOKUP($B55,'BANCO DE DADOS JANEIRO-24 SERV'!$B:$E,3,FALSE))</f>
        <v xml:space="preserve">M     </v>
      </c>
      <c r="E55" s="1358">
        <v>7.6600000000000001E-2</v>
      </c>
      <c r="F55" s="1146">
        <f>IF($A55="INSUMO",VLOOKUP($B55,'BANCO DE DADOS JANEIRO-24 INS'!$A:$D,4,FALSE),VLOOKUP($B55,'BANCO DE DADOS JANEIRO-24 SERV'!$B:$E,4,FALSE))</f>
        <v>2</v>
      </c>
      <c r="G55" s="1217">
        <f>TRUNC(E55*F55,2)</f>
        <v>0.15</v>
      </c>
    </row>
    <row r="56" spans="1:8" ht="15.75">
      <c r="A56" s="308"/>
      <c r="B56" s="2292" t="s">
        <v>166</v>
      </c>
      <c r="C56" s="2293"/>
      <c r="D56" s="2293"/>
      <c r="E56" s="2293"/>
      <c r="F56" s="2293"/>
      <c r="G56" s="2294"/>
    </row>
    <row r="57" spans="1:8" ht="30">
      <c r="A57" s="333" t="s">
        <v>391</v>
      </c>
      <c r="B57" s="1581">
        <v>88248</v>
      </c>
      <c r="C57" s="1098" t="str">
        <f>IF($A57="INSUMO",VLOOKUP($B57,'BANCO DE DADOS JANEIRO-24 INS'!$A:$D,2,FALSE),VLOOKUP($B57,'BANCO DE DADOS JANEIRO-24 SERV'!$B:$E,2,FALSE))</f>
        <v>AUXILIAR DE ENCANADOR OU BOMBEIRO HIDRÁULICO COM ENCARGOS COMPLEMENTARES</v>
      </c>
      <c r="D57" s="1099" t="str">
        <f>IF($A57="INSUMO",VLOOKUP($B57,'BANCO DE DADOS JANEIRO-24 INS'!$A:$D,3,FALSE),VLOOKUP($B57,'BANCO DE DADOS JANEIRO-24 SERV'!$B:$E,3,FALSE))</f>
        <v>H</v>
      </c>
      <c r="E57" s="1347">
        <v>0.71199999999999997</v>
      </c>
      <c r="F57" s="1146">
        <f>IF($A57="INSUMO",VLOOKUP($B57,'BANCO DE DADOS JANEIRO-24 INS'!$A:$D,4,FALSE),VLOOKUP($B57,'BANCO DE DADOS JANEIRO-24 SERV'!$B:$E,4,FALSE))</f>
        <v>20.92</v>
      </c>
      <c r="G57" s="1217">
        <f>TRUNC(E57*F57,2)</f>
        <v>14.89</v>
      </c>
    </row>
    <row r="58" spans="1:8" ht="30.75" thickBot="1">
      <c r="A58" s="333" t="s">
        <v>391</v>
      </c>
      <c r="B58" s="1581">
        <v>88267</v>
      </c>
      <c r="C58" s="1098" t="str">
        <f>IF($A58="INSUMO",VLOOKUP($B58,'BANCO DE DADOS JANEIRO-24 INS'!$A:$D,2,FALSE),VLOOKUP($B58,'BANCO DE DADOS JANEIRO-24 SERV'!$B:$E,2,FALSE))</f>
        <v>ENCANADOR OU BOMBEIRO HIDRÁULICO COM ENCARGOS COMPLEMENTARES</v>
      </c>
      <c r="D58" s="1099" t="str">
        <f>IF($A58="INSUMO",VLOOKUP($B58,'BANCO DE DADOS JANEIRO-24 INS'!$A:$D,3,FALSE),VLOOKUP($B58,'BANCO DE DADOS JANEIRO-24 SERV'!$B:$E,3,FALSE))</f>
        <v>H</v>
      </c>
      <c r="E58" s="1761">
        <v>0.63800000000000001</v>
      </c>
      <c r="F58" s="1146">
        <f>IF($A58="INSUMO",VLOOKUP($B58,'BANCO DE DADOS JANEIRO-24 INS'!$A:$D,4,FALSE),VLOOKUP($B58,'BANCO DE DADOS JANEIRO-24 SERV'!$B:$E,4,FALSE))</f>
        <v>25.55</v>
      </c>
      <c r="G58" s="1580">
        <f>TRUNC(E58*F58,2)</f>
        <v>16.3</v>
      </c>
    </row>
    <row r="59" spans="1:8" ht="16.5" thickBot="1">
      <c r="A59" s="308"/>
      <c r="B59" s="2295" t="s">
        <v>14052</v>
      </c>
      <c r="C59" s="2295"/>
      <c r="D59" s="2295"/>
      <c r="E59" s="2296"/>
      <c r="F59" s="330" t="s">
        <v>167</v>
      </c>
      <c r="G59" s="611">
        <f>SUM(G54:G58)</f>
        <v>110.85000000000001</v>
      </c>
    </row>
    <row r="60" spans="1:8" ht="13.5" thickBot="1"/>
    <row r="61" spans="1:8" ht="15.75">
      <c r="B61" s="1669" t="s">
        <v>181</v>
      </c>
      <c r="C61" s="2164" t="s">
        <v>14051</v>
      </c>
      <c r="D61" s="2165"/>
      <c r="E61" s="2165"/>
      <c r="F61" s="2166"/>
      <c r="G61" s="1670" t="s">
        <v>22</v>
      </c>
      <c r="H61" s="1049" t="s">
        <v>2249</v>
      </c>
    </row>
    <row r="62" spans="1:8" ht="47.25">
      <c r="B62" s="1107" t="s">
        <v>174</v>
      </c>
      <c r="C62" s="1108" t="s">
        <v>175</v>
      </c>
      <c r="D62" s="1109" t="s">
        <v>511</v>
      </c>
      <c r="E62" s="1110" t="s">
        <v>177</v>
      </c>
      <c r="F62" s="1111" t="s">
        <v>178</v>
      </c>
      <c r="G62" s="1112" t="s">
        <v>179</v>
      </c>
      <c r="H62" s="308"/>
    </row>
    <row r="63" spans="1:8" ht="15">
      <c r="B63" s="1113">
        <v>45342</v>
      </c>
      <c r="C63" s="1114" t="s">
        <v>5209</v>
      </c>
      <c r="D63" s="1115">
        <v>79.510000000000005</v>
      </c>
      <c r="E63" s="1138" t="s">
        <v>14035</v>
      </c>
      <c r="F63" s="1365" t="s">
        <v>14386</v>
      </c>
      <c r="G63" s="1583"/>
      <c r="H63" s="1135"/>
    </row>
    <row r="64" spans="1:8" ht="15">
      <c r="B64" s="1113">
        <v>45342</v>
      </c>
      <c r="C64" s="1114" t="s">
        <v>14390</v>
      </c>
      <c r="D64" s="1115">
        <v>54.2</v>
      </c>
      <c r="E64" s="1138" t="s">
        <v>14391</v>
      </c>
      <c r="F64" s="1365" t="s">
        <v>14392</v>
      </c>
      <c r="G64" s="1117"/>
      <c r="H64" s="1135"/>
    </row>
    <row r="65" spans="1:8" ht="15">
      <c r="B65" s="1113">
        <v>45342</v>
      </c>
      <c r="C65" s="1114" t="s">
        <v>14393</v>
      </c>
      <c r="D65" s="1115">
        <v>90.91</v>
      </c>
      <c r="E65" s="1305" t="s">
        <v>14394</v>
      </c>
      <c r="F65" s="1139" t="s">
        <v>14395</v>
      </c>
      <c r="H65" s="1135"/>
    </row>
    <row r="66" spans="1:8" ht="16.5" thickBot="1">
      <c r="B66" s="1678"/>
      <c r="C66" s="1679" t="s">
        <v>180</v>
      </c>
      <c r="D66" s="1680">
        <f>IF(COUNT(D62:D65)=3,MEDIAN(D63:D65),SMALL(D63:D65,1))</f>
        <v>79.510000000000005</v>
      </c>
      <c r="E66" s="1681"/>
      <c r="F66" s="1683"/>
      <c r="G66" s="1682"/>
      <c r="H66" s="308"/>
    </row>
    <row r="67" spans="1:8" ht="13.5" thickBot="1"/>
    <row r="68" spans="1:8" ht="32.25" customHeight="1">
      <c r="A68" s="308"/>
      <c r="B68" s="367" t="str">
        <f>IF(COUNT($H$16:H68)&lt;10,CONCATENATE("CPU HID 00",COUNT($H$16:H68)),CONCATENATE("CPU HID 0",COUNT($H$16:H68)))</f>
        <v>CPU HID 005</v>
      </c>
      <c r="C68" s="2297" t="s">
        <v>14053</v>
      </c>
      <c r="D68" s="2298"/>
      <c r="E68" s="2298"/>
      <c r="F68" s="2299"/>
      <c r="G68" s="368" t="s">
        <v>22</v>
      </c>
      <c r="H68" s="619">
        <f>G75</f>
        <v>97.570000000000007</v>
      </c>
    </row>
    <row r="69" spans="1:8" ht="31.5">
      <c r="A69" s="308"/>
      <c r="B69" s="1093" t="s">
        <v>197</v>
      </c>
      <c r="C69" s="1194" t="s">
        <v>161</v>
      </c>
      <c r="D69" s="1194" t="s">
        <v>22</v>
      </c>
      <c r="E69" s="1194" t="s">
        <v>162</v>
      </c>
      <c r="F69" s="1195" t="s">
        <v>163</v>
      </c>
      <c r="G69" s="1196" t="s">
        <v>164</v>
      </c>
    </row>
    <row r="70" spans="1:8" ht="15.75">
      <c r="A70" s="308"/>
      <c r="B70" s="2292" t="s">
        <v>165</v>
      </c>
      <c r="C70" s="2293"/>
      <c r="D70" s="2293"/>
      <c r="E70" s="2293"/>
      <c r="F70" s="2293"/>
      <c r="G70" s="2294"/>
    </row>
    <row r="71" spans="1:8" ht="15.75">
      <c r="A71" s="333" t="s">
        <v>390</v>
      </c>
      <c r="B71" s="1197" t="str">
        <f>B77</f>
        <v>COTAÇÃO</v>
      </c>
      <c r="C71" s="1098" t="str">
        <f>C77</f>
        <v>VALVULA ESFERA 1/2</v>
      </c>
      <c r="D71" s="1178" t="str">
        <f>G77</f>
        <v>UN</v>
      </c>
      <c r="E71" s="1304">
        <v>1</v>
      </c>
      <c r="F71" s="1146">
        <f>D82</f>
        <v>74.34</v>
      </c>
      <c r="G71" s="1217">
        <f>TRUNC(E71*F71,2)</f>
        <v>74.34</v>
      </c>
    </row>
    <row r="72" spans="1:8" ht="15.75">
      <c r="A72" s="308"/>
      <c r="B72" s="2292" t="s">
        <v>166</v>
      </c>
      <c r="C72" s="2293"/>
      <c r="D72" s="2293"/>
      <c r="E72" s="2293"/>
      <c r="F72" s="2293"/>
      <c r="G72" s="2294"/>
    </row>
    <row r="73" spans="1:8" ht="30">
      <c r="A73" s="333" t="s">
        <v>391</v>
      </c>
      <c r="B73" s="1581">
        <v>88248</v>
      </c>
      <c r="C73" s="1098" t="str">
        <f>IF($A73="INSUMO",VLOOKUP($B73,'BANCO DE DADOS JANEIRO-24 INS'!$A:$D,2,FALSE),VLOOKUP($B73,'BANCO DE DADOS JANEIRO-24 SERV'!$B:$E,2,FALSE))</f>
        <v>AUXILIAR DE ENCANADOR OU BOMBEIRO HIDRÁULICO COM ENCARGOS COMPLEMENTARES</v>
      </c>
      <c r="D73" s="1099" t="str">
        <f>IF($A73="INSUMO",VLOOKUP($B73,'BANCO DE DADOS JANEIRO-24 INS'!$A:$D,3,FALSE),VLOOKUP($B73,'BANCO DE DADOS JANEIRO-24 SERV'!$B:$E,3,FALSE))</f>
        <v>H</v>
      </c>
      <c r="E73" s="1347">
        <v>0.5</v>
      </c>
      <c r="F73" s="1146">
        <f>IF($A73="INSUMO",VLOOKUP($B73,'BANCO DE DADOS JANEIRO-24 INS'!$A:$D,4,FALSE),VLOOKUP($B73,'BANCO DE DADOS JANEIRO-24 SERV'!$B:$E,4,FALSE))</f>
        <v>20.92</v>
      </c>
      <c r="G73" s="1217">
        <f>TRUNC(E73*F73,2)</f>
        <v>10.46</v>
      </c>
    </row>
    <row r="74" spans="1:8" ht="30.75" thickBot="1">
      <c r="A74" s="333" t="s">
        <v>391</v>
      </c>
      <c r="B74" s="1581">
        <v>88267</v>
      </c>
      <c r="C74" s="1098" t="str">
        <f>IF($A74="INSUMO",VLOOKUP($B74,'BANCO DE DADOS JANEIRO-24 INS'!$A:$D,2,FALSE),VLOOKUP($B74,'BANCO DE DADOS JANEIRO-24 SERV'!$B:$E,2,FALSE))</f>
        <v>ENCANADOR OU BOMBEIRO HIDRÁULICO COM ENCARGOS COMPLEMENTARES</v>
      </c>
      <c r="D74" s="1099" t="str">
        <f>IF($A74="INSUMO",VLOOKUP($B74,'BANCO DE DADOS JANEIRO-24 INS'!$A:$D,3,FALSE),VLOOKUP($B74,'BANCO DE DADOS JANEIRO-24 SERV'!$B:$E,3,FALSE))</f>
        <v>H</v>
      </c>
      <c r="E74" s="1761">
        <v>0.5</v>
      </c>
      <c r="F74" s="1146">
        <f>IF($A74="INSUMO",VLOOKUP($B74,'BANCO DE DADOS JANEIRO-24 INS'!$A:$D,4,FALSE),VLOOKUP($B74,'BANCO DE DADOS JANEIRO-24 SERV'!$B:$E,4,FALSE))</f>
        <v>25.55</v>
      </c>
      <c r="G74" s="1580">
        <f>TRUNC(E74*F74,2)</f>
        <v>12.77</v>
      </c>
    </row>
    <row r="75" spans="1:8" ht="16.5" thickBot="1">
      <c r="A75" s="308"/>
      <c r="B75" s="2295" t="s">
        <v>14055</v>
      </c>
      <c r="C75" s="2295"/>
      <c r="D75" s="2295"/>
      <c r="E75" s="2296"/>
      <c r="F75" s="330" t="s">
        <v>167</v>
      </c>
      <c r="G75" s="611">
        <f>SUM(G71:G74)</f>
        <v>97.570000000000007</v>
      </c>
    </row>
    <row r="76" spans="1:8" ht="13.5" thickBot="1"/>
    <row r="77" spans="1:8" ht="15.75">
      <c r="B77" s="1669" t="s">
        <v>181</v>
      </c>
      <c r="C77" s="2164" t="s">
        <v>14054</v>
      </c>
      <c r="D77" s="2165"/>
      <c r="E77" s="2165"/>
      <c r="F77" s="2166"/>
      <c r="G77" s="1670" t="s">
        <v>22</v>
      </c>
      <c r="H77" s="1049" t="s">
        <v>2249</v>
      </c>
    </row>
    <row r="78" spans="1:8" ht="47.25">
      <c r="B78" s="1107" t="s">
        <v>174</v>
      </c>
      <c r="C78" s="1108" t="s">
        <v>175</v>
      </c>
      <c r="D78" s="1109" t="s">
        <v>511</v>
      </c>
      <c r="E78" s="1110" t="s">
        <v>177</v>
      </c>
      <c r="F78" s="1111" t="s">
        <v>178</v>
      </c>
      <c r="G78" s="1112" t="s">
        <v>179</v>
      </c>
      <c r="H78" s="308"/>
    </row>
    <row r="79" spans="1:8" ht="15">
      <c r="B79" s="1113">
        <v>45342</v>
      </c>
      <c r="C79" s="1114" t="s">
        <v>14036</v>
      </c>
      <c r="D79" s="1115">
        <v>80.73</v>
      </c>
      <c r="E79" s="1138" t="s">
        <v>14384</v>
      </c>
      <c r="F79" s="1365" t="s">
        <v>14385</v>
      </c>
      <c r="G79" s="1583"/>
      <c r="H79" s="1135"/>
    </row>
    <row r="80" spans="1:8" ht="15">
      <c r="B80" s="1113">
        <v>45342</v>
      </c>
      <c r="C80" s="1114" t="s">
        <v>5209</v>
      </c>
      <c r="D80" s="1115">
        <v>74.34</v>
      </c>
      <c r="E80" s="1138" t="s">
        <v>14035</v>
      </c>
      <c r="F80" s="1365" t="s">
        <v>14386</v>
      </c>
      <c r="G80" s="1583"/>
      <c r="H80" s="1135"/>
    </row>
    <row r="81" spans="2:8" ht="15">
      <c r="B81" s="1113">
        <v>45342</v>
      </c>
      <c r="C81" s="1114" t="s">
        <v>14387</v>
      </c>
      <c r="D81" s="1115">
        <v>61.08</v>
      </c>
      <c r="E81" s="1305" t="s">
        <v>14388</v>
      </c>
      <c r="F81" s="1139" t="s">
        <v>14389</v>
      </c>
      <c r="G81" s="1117"/>
      <c r="H81" s="1135"/>
    </row>
    <row r="82" spans="2:8" ht="16.5" thickBot="1">
      <c r="B82" s="1678"/>
      <c r="C82" s="1679" t="s">
        <v>180</v>
      </c>
      <c r="D82" s="1680">
        <f>IF(COUNT(D78:D81)=3,MEDIAN(D79:D81),SMALL(D79:D81,1))</f>
        <v>74.34</v>
      </c>
      <c r="E82" s="1681"/>
      <c r="F82" s="1683"/>
      <c r="G82" s="1682"/>
      <c r="H82" s="308"/>
    </row>
  </sheetData>
  <autoFilter ref="G2:G24" xr:uid="{00000000-0009-0000-0000-00000E000000}"/>
  <mergeCells count="33">
    <mergeCell ref="C68:F68"/>
    <mergeCell ref="B70:G70"/>
    <mergeCell ref="B72:G72"/>
    <mergeCell ref="B75:E75"/>
    <mergeCell ref="C77:F77"/>
    <mergeCell ref="B53:G53"/>
    <mergeCell ref="B56:G56"/>
    <mergeCell ref="B59:E59"/>
    <mergeCell ref="C61:F61"/>
    <mergeCell ref="C25:F25"/>
    <mergeCell ref="B27:G27"/>
    <mergeCell ref="B30:G30"/>
    <mergeCell ref="B33:E33"/>
    <mergeCell ref="C35:F35"/>
    <mergeCell ref="C42:F42"/>
    <mergeCell ref="B44:G44"/>
    <mergeCell ref="B46:G46"/>
    <mergeCell ref="B49:E49"/>
    <mergeCell ref="C51:F51"/>
    <mergeCell ref="B5:B6"/>
    <mergeCell ref="F5:G5"/>
    <mergeCell ref="B7:G7"/>
    <mergeCell ref="C9:E9"/>
    <mergeCell ref="C10:D10"/>
    <mergeCell ref="E10:F10"/>
    <mergeCell ref="C6:D6"/>
    <mergeCell ref="C5:D5"/>
    <mergeCell ref="B20:G20"/>
    <mergeCell ref="C11:D11"/>
    <mergeCell ref="E11:F11"/>
    <mergeCell ref="B13:G13"/>
    <mergeCell ref="C16:F16"/>
    <mergeCell ref="B18:G18"/>
  </mergeCells>
  <dataValidations disablePrompts="1" count="1">
    <dataValidation type="list" allowBlank="1" showInputMessage="1" showErrorMessage="1" sqref="A19 A21:A22 A31:A32 A28:A29 A47:A48 A45 A57:A58 A54:A55 A73:A74 A71" xr:uid="{00000000-0002-0000-0E00-000000000000}">
      <formula1>$A$3:$A$4</formula1>
    </dataValidation>
  </dataValidations>
  <pageMargins left="0.511811024" right="0.511811024" top="0.78740157499999996" bottom="0.78740157499999996" header="0.31496062000000002" footer="0.31496062000000002"/>
  <pageSetup paperSize="9" scale="50" fitToHeight="0" orientation="portrait" r:id="rId1"/>
  <rowBreaks count="1" manualBreakCount="1">
    <brk id="67" min="1" max="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9">
    <tabColor theme="3" tint="0.79998168889431442"/>
  </sheetPr>
  <dimension ref="A1:IV373"/>
  <sheetViews>
    <sheetView view="pageBreakPreview" topLeftCell="A221" zoomScale="70" zoomScaleNormal="100" zoomScaleSheetLayoutView="70" workbookViewId="0">
      <selection activeCell="L254" sqref="L254"/>
    </sheetView>
  </sheetViews>
  <sheetFormatPr defaultColWidth="9.140625" defaultRowHeight="12.75"/>
  <cols>
    <col min="1" max="1" width="9.140625" style="381"/>
    <col min="2" max="2" width="23.5703125" style="381" customWidth="1"/>
    <col min="3" max="3" width="81.5703125" style="381" customWidth="1"/>
    <col min="4" max="4" width="16.5703125" style="381" customWidth="1"/>
    <col min="5" max="5" width="18.85546875" style="381" customWidth="1"/>
    <col min="6" max="6" width="18.140625" style="381" customWidth="1"/>
    <col min="7" max="7" width="17.85546875" style="381" bestFit="1" customWidth="1"/>
    <col min="8" max="8" width="9.140625" style="381"/>
    <col min="9" max="9" width="11" style="381" bestFit="1" customWidth="1"/>
    <col min="10" max="16384" width="9.140625" style="381"/>
  </cols>
  <sheetData>
    <row r="1" spans="1:256" ht="13.5" thickBot="1"/>
    <row r="2" spans="1:256" ht="4.5" customHeight="1" thickBot="1">
      <c r="A2" s="382"/>
      <c r="B2" s="383"/>
      <c r="C2" s="384"/>
      <c r="D2" s="385"/>
      <c r="E2" s="386"/>
      <c r="F2" s="386"/>
      <c r="G2" s="387"/>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c r="HQ2" s="382"/>
      <c r="HR2" s="382"/>
      <c r="HS2" s="382"/>
      <c r="HT2" s="382"/>
      <c r="HU2" s="382"/>
      <c r="HV2" s="382"/>
      <c r="HW2" s="382"/>
      <c r="HX2" s="382"/>
      <c r="HY2" s="382"/>
      <c r="HZ2" s="382"/>
      <c r="IA2" s="382"/>
      <c r="IB2" s="382"/>
      <c r="IC2" s="382"/>
      <c r="ID2" s="382"/>
      <c r="IE2" s="382"/>
      <c r="IF2" s="382"/>
      <c r="IG2" s="382"/>
      <c r="IH2" s="382"/>
      <c r="II2" s="382"/>
      <c r="IJ2" s="382"/>
      <c r="IK2" s="382"/>
      <c r="IL2" s="382"/>
      <c r="IM2" s="382"/>
      <c r="IN2" s="382"/>
      <c r="IO2" s="382"/>
      <c r="IP2" s="382"/>
      <c r="IQ2" s="382"/>
      <c r="IR2" s="382"/>
      <c r="IS2" s="382"/>
      <c r="IT2" s="382"/>
      <c r="IU2" s="382"/>
      <c r="IV2" s="382"/>
    </row>
    <row r="3" spans="1:256" ht="78" customHeight="1" thickBot="1">
      <c r="A3" s="388"/>
      <c r="B3" s="389"/>
      <c r="C3" s="2376" t="s">
        <v>2</v>
      </c>
      <c r="D3" s="2377"/>
      <c r="E3" s="2377"/>
      <c r="F3" s="390"/>
      <c r="G3" s="391"/>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c r="IR3" s="392"/>
      <c r="IS3" s="392"/>
      <c r="IT3" s="392"/>
      <c r="IU3" s="392"/>
      <c r="IV3" s="392"/>
    </row>
    <row r="4" spans="1:256" ht="18.75" thickBot="1">
      <c r="A4" s="393"/>
      <c r="B4" s="394"/>
      <c r="C4" s="2378" t="s">
        <v>595</v>
      </c>
      <c r="D4" s="2379"/>
      <c r="E4" s="2379"/>
      <c r="F4" s="2379"/>
      <c r="G4" s="2380"/>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3"/>
      <c r="BQ4" s="393"/>
      <c r="BR4" s="393"/>
      <c r="BS4" s="393"/>
      <c r="BT4" s="393"/>
      <c r="BU4" s="393"/>
      <c r="BV4" s="393"/>
      <c r="BW4" s="393"/>
      <c r="BX4" s="393"/>
      <c r="BY4" s="393"/>
      <c r="BZ4" s="393"/>
      <c r="CA4" s="393"/>
      <c r="CB4" s="393"/>
      <c r="CC4" s="393"/>
      <c r="CD4" s="393"/>
      <c r="CE4" s="393"/>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row>
    <row r="5" spans="1:256" ht="13.5" thickBot="1">
      <c r="A5" s="382"/>
      <c r="B5" s="383"/>
      <c r="C5" s="384"/>
      <c r="D5" s="385"/>
      <c r="E5" s="386"/>
      <c r="F5" s="386"/>
      <c r="G5" s="387"/>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c r="HQ5" s="382"/>
      <c r="HR5" s="382"/>
      <c r="HS5" s="382"/>
      <c r="HT5" s="382"/>
      <c r="HU5" s="382"/>
      <c r="HV5" s="382"/>
      <c r="HW5" s="382"/>
      <c r="HX5" s="382"/>
      <c r="HY5" s="382"/>
      <c r="HZ5" s="382"/>
      <c r="IA5" s="382"/>
      <c r="IB5" s="382"/>
      <c r="IC5" s="382"/>
      <c r="ID5" s="382"/>
      <c r="IE5" s="382"/>
      <c r="IF5" s="382"/>
      <c r="IG5" s="382"/>
      <c r="IH5" s="382"/>
      <c r="II5" s="382"/>
      <c r="IJ5" s="382"/>
      <c r="IK5" s="382"/>
      <c r="IL5" s="382"/>
      <c r="IM5" s="382"/>
      <c r="IN5" s="382"/>
      <c r="IO5" s="382"/>
      <c r="IP5" s="382"/>
      <c r="IQ5" s="382"/>
      <c r="IR5" s="382"/>
      <c r="IS5" s="382"/>
      <c r="IT5" s="382"/>
      <c r="IU5" s="382"/>
      <c r="IV5" s="382"/>
    </row>
    <row r="6" spans="1:256" ht="15.75">
      <c r="A6" s="392"/>
      <c r="B6" s="395" t="s">
        <v>5</v>
      </c>
      <c r="C6" s="578" t="str">
        <f>'ORÇAMENTO '!G11</f>
        <v xml:space="preserve">ESCOLA MUNICIPAL DOMINGOS AZZOLINI </v>
      </c>
      <c r="D6" s="579"/>
      <c r="E6" s="396" t="s">
        <v>6</v>
      </c>
      <c r="F6" s="397">
        <f ca="1">TODAY()</f>
        <v>45581</v>
      </c>
      <c r="G6" s="398"/>
      <c r="H6" s="392"/>
      <c r="I6" s="392"/>
      <c r="J6" s="392"/>
      <c r="K6" s="392"/>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2"/>
      <c r="CB6" s="392"/>
      <c r="CC6" s="392"/>
      <c r="CD6" s="392"/>
      <c r="CE6" s="392"/>
      <c r="CF6" s="392"/>
      <c r="CG6" s="392"/>
      <c r="CH6" s="392"/>
      <c r="CI6" s="392"/>
      <c r="CJ6" s="392"/>
      <c r="CK6" s="392"/>
      <c r="CL6" s="392"/>
      <c r="CM6" s="392"/>
      <c r="CN6" s="392"/>
      <c r="CO6" s="392"/>
      <c r="CP6" s="392"/>
      <c r="CQ6" s="392"/>
      <c r="CR6" s="392"/>
      <c r="CS6" s="392"/>
      <c r="CT6" s="392"/>
      <c r="CU6" s="392"/>
      <c r="CV6" s="392"/>
      <c r="CW6" s="392"/>
      <c r="CX6" s="392"/>
      <c r="CY6" s="392"/>
      <c r="CZ6" s="392"/>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c r="EO6" s="392"/>
      <c r="EP6" s="392"/>
      <c r="EQ6" s="392"/>
      <c r="ER6" s="392"/>
      <c r="ES6" s="392"/>
      <c r="ET6" s="392"/>
      <c r="EU6" s="392"/>
      <c r="EV6" s="392"/>
      <c r="EW6" s="392"/>
      <c r="EX6" s="392"/>
      <c r="EY6" s="392"/>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2"/>
      <c r="FX6" s="392"/>
      <c r="FY6" s="392"/>
      <c r="FZ6" s="392"/>
      <c r="GA6" s="392"/>
      <c r="GB6" s="392"/>
      <c r="GC6" s="392"/>
      <c r="GD6" s="392"/>
      <c r="GE6" s="392"/>
      <c r="GF6" s="392"/>
      <c r="GG6" s="392"/>
      <c r="GH6" s="392"/>
      <c r="GI6" s="392"/>
      <c r="GJ6" s="392"/>
      <c r="GK6" s="392"/>
      <c r="GL6" s="392"/>
      <c r="GM6" s="392"/>
      <c r="GN6" s="392"/>
      <c r="GO6" s="392"/>
      <c r="GP6" s="392"/>
      <c r="GQ6" s="392"/>
      <c r="GR6" s="392"/>
      <c r="GS6" s="392"/>
      <c r="GT6" s="392"/>
      <c r="GU6" s="392"/>
      <c r="GV6" s="392"/>
      <c r="GW6" s="392"/>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2"/>
      <c r="HV6" s="392"/>
      <c r="HW6" s="392"/>
      <c r="HX6" s="392"/>
      <c r="HY6" s="392"/>
      <c r="HZ6" s="392"/>
      <c r="IA6" s="392"/>
      <c r="IB6" s="392"/>
      <c r="IC6" s="392"/>
      <c r="ID6" s="392"/>
      <c r="IE6" s="392"/>
      <c r="IF6" s="392"/>
      <c r="IG6" s="392"/>
      <c r="IH6" s="392"/>
      <c r="II6" s="392"/>
      <c r="IJ6" s="392"/>
      <c r="IK6" s="392"/>
      <c r="IL6" s="392"/>
      <c r="IM6" s="392"/>
      <c r="IN6" s="392"/>
      <c r="IO6" s="392"/>
      <c r="IP6" s="392"/>
      <c r="IQ6" s="392"/>
      <c r="IR6" s="392"/>
      <c r="IS6" s="392"/>
      <c r="IT6" s="392"/>
      <c r="IU6" s="392"/>
      <c r="IV6" s="392"/>
    </row>
    <row r="7" spans="1:256" ht="15.75">
      <c r="A7" s="392"/>
      <c r="B7" s="555" t="s">
        <v>7</v>
      </c>
      <c r="C7" s="578" t="str">
        <f>'ORÇAMENTO '!G12</f>
        <v>SANTO ANTONIO DO LESTE</v>
      </c>
      <c r="D7" s="580"/>
      <c r="E7" s="556" t="s">
        <v>8</v>
      </c>
      <c r="F7" s="557">
        <f>'ORÇAMENTO '!N12</f>
        <v>1.0684</v>
      </c>
      <c r="G7" s="558"/>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c r="IR7" s="392"/>
      <c r="IS7" s="392"/>
      <c r="IT7" s="392"/>
      <c r="IU7" s="392"/>
      <c r="IV7" s="392"/>
    </row>
    <row r="8" spans="1:256" ht="16.5" thickBot="1">
      <c r="A8" s="382"/>
      <c r="B8" s="559"/>
      <c r="C8" s="560"/>
      <c r="D8" s="560"/>
      <c r="E8" s="561" t="s">
        <v>679</v>
      </c>
      <c r="F8" s="399"/>
      <c r="G8" s="56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row>
    <row r="9" spans="1:256" ht="5.25" customHeight="1" thickBot="1">
      <c r="A9" s="382"/>
      <c r="B9" s="1693"/>
      <c r="C9" s="1692"/>
      <c r="D9" s="1691"/>
      <c r="E9" s="1689"/>
      <c r="F9" s="1689"/>
      <c r="G9" s="1690"/>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382"/>
      <c r="CJ9" s="382"/>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382"/>
      <c r="DM9" s="382"/>
      <c r="DN9" s="382"/>
      <c r="DO9" s="382"/>
      <c r="DP9" s="382"/>
      <c r="DQ9" s="382"/>
      <c r="DR9" s="382"/>
      <c r="DS9" s="382"/>
      <c r="DT9" s="382"/>
      <c r="DU9" s="382"/>
      <c r="DV9" s="382"/>
      <c r="DW9" s="382"/>
      <c r="DX9" s="382"/>
      <c r="DY9" s="382"/>
      <c r="DZ9" s="382"/>
      <c r="EA9" s="382"/>
      <c r="EB9" s="382"/>
      <c r="EC9" s="382"/>
      <c r="ED9" s="382"/>
      <c r="EE9" s="382"/>
      <c r="EF9" s="382"/>
      <c r="EG9" s="382"/>
      <c r="EH9" s="382"/>
      <c r="EI9" s="382"/>
      <c r="EJ9" s="382"/>
      <c r="EK9" s="382"/>
      <c r="EL9" s="382"/>
      <c r="EM9" s="382"/>
      <c r="EN9" s="382"/>
      <c r="EO9" s="382"/>
      <c r="EP9" s="382"/>
      <c r="EQ9" s="382"/>
      <c r="ER9" s="382"/>
      <c r="ES9" s="382"/>
      <c r="ET9" s="382"/>
      <c r="EU9" s="382"/>
      <c r="EV9" s="382"/>
      <c r="EW9" s="382"/>
      <c r="EX9" s="382"/>
      <c r="EY9" s="382"/>
      <c r="EZ9" s="382"/>
      <c r="FA9" s="382"/>
      <c r="FB9" s="382"/>
      <c r="FC9" s="382"/>
      <c r="FD9" s="382"/>
      <c r="FE9" s="382"/>
      <c r="FF9" s="382"/>
      <c r="FG9" s="382"/>
      <c r="FH9" s="382"/>
      <c r="FI9" s="382"/>
      <c r="FJ9" s="382"/>
      <c r="FK9" s="382"/>
      <c r="FL9" s="382"/>
      <c r="FM9" s="382"/>
      <c r="FN9" s="382"/>
      <c r="FO9" s="382"/>
      <c r="FP9" s="382"/>
      <c r="FQ9" s="382"/>
      <c r="FR9" s="382"/>
      <c r="FS9" s="382"/>
      <c r="FT9" s="382"/>
      <c r="FU9" s="382"/>
      <c r="FV9" s="382"/>
      <c r="FW9" s="382"/>
      <c r="FX9" s="382"/>
      <c r="FY9" s="382"/>
      <c r="FZ9" s="382"/>
      <c r="GA9" s="382"/>
      <c r="GB9" s="382"/>
      <c r="GC9" s="382"/>
      <c r="GD9" s="382"/>
      <c r="GE9" s="382"/>
      <c r="GF9" s="382"/>
      <c r="GG9" s="382"/>
      <c r="GH9" s="382"/>
      <c r="GI9" s="382"/>
      <c r="GJ9" s="382"/>
      <c r="GK9" s="382"/>
      <c r="GL9" s="382"/>
      <c r="GM9" s="382"/>
      <c r="GN9" s="382"/>
      <c r="GO9" s="382"/>
      <c r="GP9" s="382"/>
      <c r="GQ9" s="382"/>
      <c r="GR9" s="382"/>
      <c r="GS9" s="382"/>
      <c r="GT9" s="382"/>
      <c r="GU9" s="382"/>
      <c r="GV9" s="382"/>
      <c r="GW9" s="382"/>
      <c r="GX9" s="382"/>
      <c r="GY9" s="382"/>
      <c r="GZ9" s="382"/>
      <c r="HA9" s="382"/>
      <c r="HB9" s="382"/>
      <c r="HC9" s="382"/>
      <c r="HD9" s="382"/>
      <c r="HE9" s="382"/>
      <c r="HF9" s="382"/>
      <c r="HG9" s="382"/>
      <c r="HH9" s="382"/>
      <c r="HI9" s="382"/>
      <c r="HJ9" s="382"/>
      <c r="HK9" s="382"/>
      <c r="HL9" s="382"/>
      <c r="HM9" s="382"/>
      <c r="HN9" s="382"/>
      <c r="HO9" s="382"/>
      <c r="HP9" s="382"/>
      <c r="HQ9" s="382"/>
      <c r="HR9" s="382"/>
      <c r="HS9" s="382"/>
      <c r="HT9" s="382"/>
      <c r="HU9" s="382"/>
      <c r="HV9" s="382"/>
      <c r="HW9" s="382"/>
      <c r="HX9" s="382"/>
      <c r="HY9" s="382"/>
      <c r="HZ9" s="382"/>
      <c r="IA9" s="382"/>
      <c r="IB9" s="382"/>
      <c r="IC9" s="382"/>
      <c r="ID9" s="382"/>
      <c r="IE9" s="382"/>
      <c r="IF9" s="382"/>
      <c r="IG9" s="382"/>
      <c r="IH9" s="382"/>
      <c r="II9" s="382"/>
      <c r="IJ9" s="382"/>
      <c r="IK9" s="382"/>
      <c r="IL9" s="382"/>
      <c r="IM9" s="382"/>
      <c r="IN9" s="382"/>
      <c r="IO9" s="382"/>
      <c r="IP9" s="382"/>
      <c r="IQ9" s="382"/>
      <c r="IR9" s="382"/>
      <c r="IS9" s="382"/>
      <c r="IT9" s="382"/>
      <c r="IU9" s="382"/>
      <c r="IV9" s="382"/>
    </row>
    <row r="10" spans="1:256" ht="18.75" thickBot="1">
      <c r="A10" s="392"/>
      <c r="B10" s="2381" t="s">
        <v>596</v>
      </c>
      <c r="C10" s="2382"/>
      <c r="D10" s="2382"/>
      <c r="E10" s="2382"/>
      <c r="F10" s="2382"/>
      <c r="G10" s="2383"/>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92"/>
      <c r="BF10" s="392"/>
      <c r="BG10" s="392"/>
      <c r="BH10" s="392"/>
      <c r="BI10" s="392"/>
      <c r="BJ10" s="392"/>
      <c r="BK10" s="392"/>
      <c r="BL10" s="392"/>
      <c r="BM10" s="392"/>
      <c r="BN10" s="392"/>
      <c r="BO10" s="392"/>
      <c r="BP10" s="392"/>
      <c r="BQ10" s="392"/>
      <c r="BR10" s="392"/>
      <c r="BS10" s="392"/>
      <c r="BT10" s="392"/>
      <c r="BU10" s="392"/>
      <c r="BV10" s="392"/>
      <c r="BW10" s="392"/>
      <c r="BX10" s="392"/>
      <c r="BY10" s="392"/>
      <c r="BZ10" s="392"/>
      <c r="CA10" s="392"/>
      <c r="CB10" s="392"/>
      <c r="CC10" s="392"/>
      <c r="CD10" s="392"/>
      <c r="CE10" s="392"/>
      <c r="CF10" s="392"/>
      <c r="CG10" s="392"/>
      <c r="CH10" s="392"/>
      <c r="CI10" s="392"/>
      <c r="CJ10" s="392"/>
      <c r="CK10" s="392"/>
      <c r="CL10" s="392"/>
      <c r="CM10" s="392"/>
      <c r="CN10" s="392"/>
      <c r="CO10" s="392"/>
      <c r="CP10" s="392"/>
      <c r="CQ10" s="392"/>
      <c r="CR10" s="392"/>
      <c r="CS10" s="392"/>
      <c r="CT10" s="392"/>
      <c r="CU10" s="392"/>
      <c r="CV10" s="392"/>
      <c r="CW10" s="392"/>
      <c r="CX10" s="392"/>
      <c r="CY10" s="392"/>
      <c r="CZ10" s="392"/>
      <c r="DA10" s="392"/>
      <c r="DB10" s="392"/>
      <c r="DC10" s="392"/>
      <c r="DD10" s="392"/>
      <c r="DE10" s="392"/>
      <c r="DF10" s="392"/>
      <c r="DG10" s="392"/>
      <c r="DH10" s="392"/>
      <c r="DI10" s="392"/>
      <c r="DJ10" s="392"/>
      <c r="DK10" s="392"/>
      <c r="DL10" s="392"/>
      <c r="DM10" s="392"/>
      <c r="DN10" s="392"/>
      <c r="DO10" s="392"/>
      <c r="DP10" s="392"/>
      <c r="DQ10" s="392"/>
      <c r="DR10" s="392"/>
      <c r="DS10" s="392"/>
      <c r="DT10" s="392"/>
      <c r="DU10" s="392"/>
      <c r="DV10" s="392"/>
      <c r="DW10" s="392"/>
      <c r="DX10" s="392"/>
      <c r="DY10" s="392"/>
      <c r="DZ10" s="392"/>
      <c r="EA10" s="392"/>
      <c r="EB10" s="392"/>
      <c r="EC10" s="392"/>
      <c r="ED10" s="392"/>
      <c r="EE10" s="392"/>
      <c r="EF10" s="392"/>
      <c r="EG10" s="392"/>
      <c r="EH10" s="392"/>
      <c r="EI10" s="392"/>
      <c r="EJ10" s="392"/>
      <c r="EK10" s="392"/>
      <c r="EL10" s="392"/>
      <c r="EM10" s="392"/>
      <c r="EN10" s="392"/>
      <c r="EO10" s="392"/>
      <c r="EP10" s="392"/>
      <c r="EQ10" s="392"/>
      <c r="ER10" s="392"/>
      <c r="ES10" s="392"/>
      <c r="ET10" s="392"/>
      <c r="EU10" s="392"/>
      <c r="EV10" s="392"/>
      <c r="EW10" s="392"/>
      <c r="EX10" s="392"/>
      <c r="EY10" s="392"/>
      <c r="EZ10" s="392"/>
      <c r="FA10" s="392"/>
      <c r="FB10" s="392"/>
      <c r="FC10" s="392"/>
      <c r="FD10" s="392"/>
      <c r="FE10" s="392"/>
      <c r="FF10" s="392"/>
      <c r="FG10" s="392"/>
      <c r="FH10" s="392"/>
      <c r="FI10" s="392"/>
      <c r="FJ10" s="392"/>
      <c r="FK10" s="392"/>
      <c r="FL10" s="392"/>
      <c r="FM10" s="392"/>
      <c r="FN10" s="392"/>
      <c r="FO10" s="392"/>
      <c r="FP10" s="392"/>
      <c r="FQ10" s="392"/>
      <c r="FR10" s="392"/>
      <c r="FS10" s="392"/>
      <c r="FT10" s="392"/>
      <c r="FU10" s="392"/>
      <c r="FV10" s="392"/>
      <c r="FW10" s="392"/>
      <c r="FX10" s="392"/>
      <c r="FY10" s="392"/>
      <c r="FZ10" s="392"/>
      <c r="GA10" s="392"/>
      <c r="GB10" s="392"/>
      <c r="GC10" s="392"/>
      <c r="GD10" s="392"/>
      <c r="GE10" s="392"/>
      <c r="GF10" s="392"/>
      <c r="GG10" s="392"/>
      <c r="GH10" s="392"/>
      <c r="GI10" s="392"/>
      <c r="GJ10" s="392"/>
      <c r="GK10" s="392"/>
      <c r="GL10" s="392"/>
      <c r="GM10" s="392"/>
      <c r="GN10" s="392"/>
      <c r="GO10" s="392"/>
      <c r="GP10" s="392"/>
      <c r="GQ10" s="392"/>
      <c r="GR10" s="392"/>
      <c r="GS10" s="392"/>
      <c r="GT10" s="392"/>
      <c r="GU10" s="392"/>
      <c r="GV10" s="392"/>
      <c r="GW10" s="392"/>
      <c r="GX10" s="392"/>
      <c r="GY10" s="392"/>
      <c r="GZ10" s="392"/>
      <c r="HA10" s="392"/>
      <c r="HB10" s="392"/>
      <c r="HC10" s="392"/>
      <c r="HD10" s="392"/>
      <c r="HE10" s="392"/>
      <c r="HF10" s="392"/>
      <c r="HG10" s="392"/>
      <c r="HH10" s="392"/>
      <c r="HI10" s="392"/>
      <c r="HJ10" s="392"/>
      <c r="HK10" s="392"/>
      <c r="HL10" s="392"/>
      <c r="HM10" s="392"/>
      <c r="HN10" s="392"/>
      <c r="HO10" s="392"/>
      <c r="HP10" s="392"/>
      <c r="HQ10" s="392"/>
      <c r="HR10" s="392"/>
      <c r="HS10" s="392"/>
      <c r="HT10" s="392"/>
      <c r="HU10" s="392"/>
      <c r="HV10" s="392"/>
      <c r="HW10" s="392"/>
      <c r="HX10" s="392"/>
      <c r="HY10" s="392"/>
      <c r="HZ10" s="392"/>
      <c r="IA10" s="392"/>
      <c r="IB10" s="392"/>
      <c r="IC10" s="392"/>
      <c r="ID10" s="392"/>
      <c r="IE10" s="392"/>
      <c r="IF10" s="392"/>
      <c r="IG10" s="392"/>
      <c r="IH10" s="392"/>
      <c r="II10" s="392"/>
      <c r="IJ10" s="392"/>
      <c r="IK10" s="392"/>
      <c r="IL10" s="392"/>
      <c r="IM10" s="392"/>
      <c r="IN10" s="392"/>
      <c r="IO10" s="392"/>
      <c r="IP10" s="392"/>
      <c r="IQ10" s="392"/>
      <c r="IR10" s="392"/>
      <c r="IS10" s="392"/>
      <c r="IT10" s="392"/>
      <c r="IU10" s="392"/>
      <c r="IV10" s="392"/>
    </row>
    <row r="11" spans="1:256" ht="5.25" customHeight="1" thickBot="1">
      <c r="A11" s="382"/>
      <c r="B11" s="1694"/>
      <c r="C11" s="1695"/>
      <c r="D11" s="1696"/>
      <c r="E11" s="1697"/>
      <c r="F11" s="1697"/>
      <c r="G11" s="1698"/>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row>
    <row r="12" spans="1:256" ht="9" customHeight="1" thickBot="1">
      <c r="A12" s="392"/>
      <c r="B12" s="400"/>
      <c r="C12" s="400"/>
      <c r="D12" s="400"/>
      <c r="E12" s="400"/>
      <c r="F12" s="401"/>
      <c r="G12" s="40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2"/>
      <c r="AG12" s="392"/>
      <c r="AH12" s="392"/>
      <c r="AI12" s="392"/>
      <c r="AJ12" s="392"/>
      <c r="AK12" s="392"/>
      <c r="AL12" s="392"/>
      <c r="AM12" s="392"/>
      <c r="AN12" s="39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c r="CL12" s="392"/>
      <c r="CM12" s="392"/>
      <c r="CN12" s="392"/>
      <c r="CO12" s="392"/>
      <c r="CP12" s="392"/>
      <c r="CQ12" s="392"/>
      <c r="CR12" s="392"/>
      <c r="CS12" s="392"/>
      <c r="CT12" s="392"/>
      <c r="CU12" s="392"/>
      <c r="CV12" s="392"/>
      <c r="CW12" s="392"/>
      <c r="CX12" s="392"/>
      <c r="CY12" s="392"/>
      <c r="CZ12" s="392"/>
      <c r="DA12" s="392"/>
      <c r="DB12" s="392"/>
      <c r="DC12" s="392"/>
      <c r="DD12" s="392"/>
      <c r="DE12" s="392"/>
      <c r="DF12" s="392"/>
      <c r="DG12" s="392"/>
      <c r="DH12" s="392"/>
      <c r="DI12" s="392"/>
      <c r="DJ12" s="392"/>
      <c r="DK12" s="392"/>
      <c r="DL12" s="392"/>
      <c r="DM12" s="392"/>
      <c r="DN12" s="392"/>
      <c r="DO12" s="392"/>
      <c r="DP12" s="392"/>
      <c r="DQ12" s="392"/>
      <c r="DR12" s="392"/>
      <c r="DS12" s="392"/>
      <c r="DT12" s="392"/>
      <c r="DU12" s="392"/>
      <c r="DV12" s="392"/>
      <c r="DW12" s="392"/>
      <c r="DX12" s="392"/>
      <c r="DY12" s="392"/>
      <c r="DZ12" s="392"/>
      <c r="EA12" s="392"/>
      <c r="EB12" s="392"/>
      <c r="EC12" s="392"/>
      <c r="ED12" s="392"/>
      <c r="EE12" s="392"/>
      <c r="EF12" s="392"/>
      <c r="EG12" s="392"/>
      <c r="EH12" s="392"/>
      <c r="EI12" s="392"/>
      <c r="EJ12" s="392"/>
      <c r="EK12" s="392"/>
      <c r="EL12" s="392"/>
      <c r="EM12" s="392"/>
      <c r="EN12" s="392"/>
      <c r="EO12" s="392"/>
      <c r="EP12" s="392"/>
      <c r="EQ12" s="392"/>
      <c r="ER12" s="392"/>
      <c r="ES12" s="392"/>
      <c r="ET12" s="392"/>
      <c r="EU12" s="392"/>
      <c r="EV12" s="392"/>
      <c r="EW12" s="392"/>
      <c r="EX12" s="392"/>
      <c r="EY12" s="392"/>
      <c r="EZ12" s="392"/>
      <c r="FA12" s="392"/>
      <c r="FB12" s="392"/>
      <c r="FC12" s="392"/>
      <c r="FD12" s="392"/>
      <c r="FE12" s="392"/>
      <c r="FF12" s="392"/>
      <c r="FG12" s="392"/>
      <c r="FH12" s="392"/>
      <c r="FI12" s="392"/>
      <c r="FJ12" s="392"/>
      <c r="FK12" s="392"/>
      <c r="FL12" s="392"/>
      <c r="FM12" s="392"/>
      <c r="FN12" s="392"/>
      <c r="FO12" s="392"/>
      <c r="FP12" s="392"/>
      <c r="FQ12" s="392"/>
      <c r="FR12" s="392"/>
      <c r="FS12" s="392"/>
      <c r="FT12" s="392"/>
      <c r="FU12" s="392"/>
      <c r="FV12" s="392"/>
      <c r="FW12" s="392"/>
      <c r="FX12" s="392"/>
      <c r="FY12" s="392"/>
      <c r="FZ12" s="392"/>
      <c r="GA12" s="392"/>
      <c r="GB12" s="392"/>
      <c r="GC12" s="392"/>
      <c r="GD12" s="392"/>
      <c r="GE12" s="392"/>
      <c r="GF12" s="392"/>
      <c r="GG12" s="392"/>
      <c r="GH12" s="392"/>
      <c r="GI12" s="392"/>
      <c r="GJ12" s="392"/>
      <c r="GK12" s="392"/>
      <c r="GL12" s="392"/>
      <c r="GM12" s="392"/>
      <c r="GN12" s="392"/>
      <c r="GO12" s="392"/>
      <c r="GP12" s="392"/>
      <c r="GQ12" s="392"/>
      <c r="GR12" s="392"/>
      <c r="GS12" s="392"/>
      <c r="GT12" s="392"/>
      <c r="GU12" s="392"/>
      <c r="GV12" s="392"/>
      <c r="GW12" s="392"/>
      <c r="GX12" s="392"/>
      <c r="GY12" s="392"/>
      <c r="GZ12" s="392"/>
      <c r="HA12" s="392"/>
      <c r="HB12" s="392"/>
      <c r="HC12" s="392"/>
      <c r="HD12" s="392"/>
      <c r="HE12" s="392"/>
      <c r="HF12" s="392"/>
      <c r="HG12" s="392"/>
      <c r="HH12" s="392"/>
      <c r="HI12" s="392"/>
      <c r="HJ12" s="392"/>
      <c r="HK12" s="392"/>
      <c r="HL12" s="392"/>
      <c r="HM12" s="392"/>
      <c r="HN12" s="392"/>
      <c r="HO12" s="392"/>
      <c r="HP12" s="392"/>
      <c r="HQ12" s="392"/>
      <c r="HR12" s="392"/>
      <c r="HS12" s="392"/>
      <c r="HT12" s="392"/>
      <c r="HU12" s="392"/>
      <c r="HV12" s="392"/>
      <c r="HW12" s="392"/>
      <c r="HX12" s="392"/>
      <c r="HY12" s="392"/>
      <c r="HZ12" s="392"/>
      <c r="IA12" s="392"/>
      <c r="IB12" s="392"/>
      <c r="IC12" s="392"/>
      <c r="ID12" s="392"/>
      <c r="IE12" s="392"/>
      <c r="IF12" s="392"/>
      <c r="IG12" s="392"/>
      <c r="IH12" s="392"/>
      <c r="II12" s="392"/>
      <c r="IJ12" s="392"/>
      <c r="IK12" s="392"/>
      <c r="IL12" s="392"/>
      <c r="IM12" s="392"/>
      <c r="IN12" s="392"/>
      <c r="IO12" s="392"/>
      <c r="IP12" s="392"/>
      <c r="IQ12" s="392"/>
      <c r="IR12" s="392"/>
      <c r="IS12" s="392"/>
      <c r="IT12" s="392"/>
      <c r="IU12" s="392"/>
      <c r="IV12" s="392"/>
    </row>
    <row r="13" spans="1:256" ht="16.5" thickBot="1">
      <c r="A13" s="392"/>
      <c r="B13" s="402"/>
      <c r="C13" s="403" t="s">
        <v>597</v>
      </c>
      <c r="D13" s="404"/>
      <c r="E13" s="405"/>
      <c r="F13" s="404"/>
      <c r="G13" s="406"/>
      <c r="H13" s="392"/>
      <c r="I13" s="392"/>
      <c r="J13" s="392"/>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c r="AK13" s="392"/>
      <c r="AL13" s="392"/>
      <c r="AM13" s="392"/>
      <c r="AN13" s="392"/>
      <c r="AO13" s="392"/>
      <c r="AP13" s="392"/>
      <c r="AQ13" s="392"/>
      <c r="AR13" s="392"/>
      <c r="AS13" s="392"/>
      <c r="AT13" s="392"/>
      <c r="AU13" s="392"/>
      <c r="AV13" s="392"/>
      <c r="AW13" s="392"/>
      <c r="AX13" s="392"/>
      <c r="AY13" s="392"/>
      <c r="AZ13" s="392"/>
      <c r="BA13" s="392"/>
      <c r="BB13" s="392"/>
      <c r="BC13" s="392"/>
      <c r="BD13" s="392"/>
      <c r="BE13" s="392"/>
      <c r="BF13" s="392"/>
      <c r="BG13" s="392"/>
      <c r="BH13" s="392"/>
      <c r="BI13" s="392"/>
      <c r="BJ13" s="392"/>
      <c r="BK13" s="392"/>
      <c r="BL13" s="392"/>
      <c r="BM13" s="392"/>
      <c r="BN13" s="392"/>
      <c r="BO13" s="392"/>
      <c r="BP13" s="392"/>
      <c r="BQ13" s="392"/>
      <c r="BR13" s="392"/>
      <c r="BS13" s="392"/>
      <c r="BT13" s="392"/>
      <c r="BU13" s="392"/>
      <c r="BV13" s="392"/>
      <c r="BW13" s="392"/>
      <c r="BX13" s="392"/>
      <c r="BY13" s="392"/>
      <c r="BZ13" s="392"/>
      <c r="CA13" s="392"/>
      <c r="CB13" s="392"/>
      <c r="CC13" s="392"/>
      <c r="CD13" s="392"/>
      <c r="CE13" s="392"/>
      <c r="CF13" s="392"/>
      <c r="CG13" s="392"/>
      <c r="CH13" s="392"/>
      <c r="CI13" s="392"/>
      <c r="CJ13" s="392"/>
      <c r="CK13" s="392"/>
      <c r="CL13" s="392"/>
      <c r="CM13" s="392"/>
      <c r="CN13" s="392"/>
      <c r="CO13" s="392"/>
      <c r="CP13" s="392"/>
      <c r="CQ13" s="392"/>
      <c r="CR13" s="392"/>
      <c r="CS13" s="392"/>
      <c r="CT13" s="392"/>
      <c r="CU13" s="392"/>
      <c r="CV13" s="392"/>
      <c r="CW13" s="392"/>
      <c r="CX13" s="392"/>
      <c r="CY13" s="392"/>
      <c r="CZ13" s="392"/>
      <c r="DA13" s="392"/>
      <c r="DB13" s="392"/>
      <c r="DC13" s="392"/>
      <c r="DD13" s="392"/>
      <c r="DE13" s="392"/>
      <c r="DF13" s="392"/>
      <c r="DG13" s="392"/>
      <c r="DH13" s="392"/>
      <c r="DI13" s="392"/>
      <c r="DJ13" s="392"/>
      <c r="DK13" s="392"/>
      <c r="DL13" s="392"/>
      <c r="DM13" s="392"/>
      <c r="DN13" s="392"/>
      <c r="DO13" s="392"/>
      <c r="DP13" s="392"/>
      <c r="DQ13" s="392"/>
      <c r="DR13" s="392"/>
      <c r="DS13" s="392"/>
      <c r="DT13" s="392"/>
      <c r="DU13" s="392"/>
      <c r="DV13" s="392"/>
      <c r="DW13" s="392"/>
      <c r="DX13" s="392"/>
      <c r="DY13" s="392"/>
      <c r="DZ13" s="392"/>
      <c r="EA13" s="392"/>
      <c r="EB13" s="392"/>
      <c r="EC13" s="392"/>
      <c r="ED13" s="392"/>
      <c r="EE13" s="392"/>
      <c r="EF13" s="392"/>
      <c r="EG13" s="392"/>
      <c r="EH13" s="392"/>
      <c r="EI13" s="392"/>
      <c r="EJ13" s="392"/>
      <c r="EK13" s="392"/>
      <c r="EL13" s="392"/>
      <c r="EM13" s="392"/>
      <c r="EN13" s="392"/>
      <c r="EO13" s="392"/>
      <c r="EP13" s="392"/>
      <c r="EQ13" s="392"/>
      <c r="ER13" s="392"/>
      <c r="ES13" s="392"/>
      <c r="ET13" s="392"/>
      <c r="EU13" s="392"/>
      <c r="EV13" s="392"/>
      <c r="EW13" s="392"/>
      <c r="EX13" s="392"/>
      <c r="EY13" s="392"/>
      <c r="EZ13" s="392"/>
      <c r="FA13" s="392"/>
      <c r="FB13" s="392"/>
      <c r="FC13" s="392"/>
      <c r="FD13" s="392"/>
      <c r="FE13" s="392"/>
      <c r="FF13" s="392"/>
      <c r="FG13" s="392"/>
      <c r="FH13" s="392"/>
      <c r="FI13" s="392"/>
      <c r="FJ13" s="392"/>
      <c r="FK13" s="392"/>
      <c r="FL13" s="392"/>
      <c r="FM13" s="392"/>
      <c r="FN13" s="392"/>
      <c r="FO13" s="392"/>
      <c r="FP13" s="392"/>
      <c r="FQ13" s="392"/>
      <c r="FR13" s="392"/>
      <c r="FS13" s="392"/>
      <c r="FT13" s="392"/>
      <c r="FU13" s="392"/>
      <c r="FV13" s="392"/>
      <c r="FW13" s="392"/>
      <c r="FX13" s="392"/>
      <c r="FY13" s="392"/>
      <c r="FZ13" s="392"/>
      <c r="GA13" s="392"/>
      <c r="GB13" s="392"/>
      <c r="GC13" s="392"/>
      <c r="GD13" s="392"/>
      <c r="GE13" s="392"/>
      <c r="GF13" s="392"/>
      <c r="GG13" s="392"/>
      <c r="GH13" s="392"/>
      <c r="GI13" s="392"/>
      <c r="GJ13" s="392"/>
      <c r="GK13" s="392"/>
      <c r="GL13" s="392"/>
      <c r="GM13" s="392"/>
      <c r="GN13" s="392"/>
      <c r="GO13" s="392"/>
      <c r="GP13" s="392"/>
      <c r="GQ13" s="392"/>
      <c r="GR13" s="392"/>
      <c r="GS13" s="392"/>
      <c r="GT13" s="392"/>
      <c r="GU13" s="392"/>
      <c r="GV13" s="392"/>
      <c r="GW13" s="392"/>
      <c r="GX13" s="392"/>
      <c r="GY13" s="392"/>
      <c r="GZ13" s="392"/>
      <c r="HA13" s="392"/>
      <c r="HB13" s="392"/>
      <c r="HC13" s="392"/>
      <c r="HD13" s="392"/>
      <c r="HE13" s="392"/>
      <c r="HF13" s="392"/>
      <c r="HG13" s="392"/>
      <c r="HH13" s="392"/>
      <c r="HI13" s="392"/>
      <c r="HJ13" s="392"/>
      <c r="HK13" s="392"/>
      <c r="HL13" s="392"/>
      <c r="HM13" s="392"/>
      <c r="HN13" s="392"/>
      <c r="HO13" s="392"/>
      <c r="HP13" s="392"/>
      <c r="HQ13" s="392"/>
      <c r="HR13" s="392"/>
      <c r="HS13" s="392"/>
      <c r="HT13" s="392"/>
      <c r="HU13" s="392"/>
      <c r="HV13" s="392"/>
      <c r="HW13" s="392"/>
      <c r="HX13" s="392"/>
      <c r="HY13" s="392"/>
      <c r="HZ13" s="392"/>
      <c r="IA13" s="392"/>
      <c r="IB13" s="392"/>
      <c r="IC13" s="392"/>
      <c r="ID13" s="392"/>
      <c r="IE13" s="392"/>
      <c r="IF13" s="392"/>
      <c r="IG13" s="392"/>
      <c r="IH13" s="392"/>
      <c r="II13" s="392"/>
      <c r="IJ13" s="392"/>
      <c r="IK13" s="392"/>
      <c r="IL13" s="392"/>
      <c r="IM13" s="392"/>
      <c r="IN13" s="392"/>
      <c r="IO13" s="392"/>
      <c r="IP13" s="392"/>
      <c r="IQ13" s="392"/>
      <c r="IR13" s="392"/>
      <c r="IS13" s="392"/>
      <c r="IT13" s="392"/>
      <c r="IU13" s="392"/>
      <c r="IV13" s="392"/>
    </row>
    <row r="14" spans="1:256" ht="32.25" thickBot="1">
      <c r="A14" s="392"/>
      <c r="B14" s="2384" t="s">
        <v>598</v>
      </c>
      <c r="C14" s="2385"/>
      <c r="D14" s="2386"/>
      <c r="E14" s="795" t="s">
        <v>2095</v>
      </c>
      <c r="F14" s="795" t="s">
        <v>2096</v>
      </c>
      <c r="G14" s="795" t="s">
        <v>2097</v>
      </c>
      <c r="H14" s="407"/>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row>
    <row r="15" spans="1:256" ht="15.75">
      <c r="A15" s="392"/>
      <c r="B15" s="408" t="s">
        <v>188</v>
      </c>
      <c r="C15" s="2387" t="s">
        <v>602</v>
      </c>
      <c r="D15" s="2387"/>
      <c r="E15" s="409">
        <v>1470</v>
      </c>
      <c r="F15" s="410">
        <v>1684</v>
      </c>
      <c r="G15" s="411">
        <v>1435</v>
      </c>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2"/>
      <c r="BF15" s="392"/>
      <c r="BG15" s="392"/>
      <c r="BH15" s="392"/>
      <c r="BI15" s="392"/>
      <c r="BJ15" s="392"/>
      <c r="BK15" s="392"/>
      <c r="BL15" s="392"/>
      <c r="BM15" s="392"/>
      <c r="BN15" s="392"/>
      <c r="BO15" s="392"/>
      <c r="BP15" s="392"/>
      <c r="BQ15" s="392"/>
      <c r="BR15" s="392"/>
      <c r="BS15" s="392"/>
      <c r="BT15" s="392"/>
      <c r="BU15" s="392"/>
      <c r="BV15" s="392"/>
      <c r="BW15" s="392"/>
      <c r="BX15" s="392"/>
      <c r="BY15" s="392"/>
      <c r="BZ15" s="392"/>
      <c r="CA15" s="392"/>
      <c r="CB15" s="392"/>
      <c r="CC15" s="392"/>
      <c r="CD15" s="392"/>
      <c r="CE15" s="392"/>
      <c r="CF15" s="392"/>
      <c r="CG15" s="392"/>
      <c r="CH15" s="392"/>
      <c r="CI15" s="392"/>
      <c r="CJ15" s="392"/>
      <c r="CK15" s="392"/>
      <c r="CL15" s="392"/>
      <c r="CM15" s="392"/>
      <c r="CN15" s="392"/>
      <c r="CO15" s="392"/>
      <c r="CP15" s="392"/>
      <c r="CQ15" s="392"/>
      <c r="CR15" s="392"/>
      <c r="CS15" s="392"/>
      <c r="CT15" s="392"/>
      <c r="CU15" s="392"/>
      <c r="CV15" s="392"/>
      <c r="CW15" s="392"/>
      <c r="CX15" s="392"/>
      <c r="CY15" s="392"/>
      <c r="CZ15" s="392"/>
      <c r="DA15" s="392"/>
      <c r="DB15" s="392"/>
      <c r="DC15" s="392"/>
      <c r="DD15" s="392"/>
      <c r="DE15" s="392"/>
      <c r="DF15" s="392"/>
      <c r="DG15" s="392"/>
      <c r="DH15" s="392"/>
      <c r="DI15" s="392"/>
      <c r="DJ15" s="392"/>
      <c r="DK15" s="392"/>
      <c r="DL15" s="392"/>
      <c r="DM15" s="392"/>
      <c r="DN15" s="392"/>
      <c r="DO15" s="392"/>
      <c r="DP15" s="392"/>
      <c r="DQ15" s="392"/>
      <c r="DR15" s="392"/>
      <c r="DS15" s="392"/>
      <c r="DT15" s="392"/>
      <c r="DU15" s="392"/>
      <c r="DV15" s="392"/>
      <c r="DW15" s="392"/>
      <c r="DX15" s="392"/>
      <c r="DY15" s="392"/>
      <c r="DZ15" s="392"/>
      <c r="EA15" s="392"/>
      <c r="EB15" s="392"/>
      <c r="EC15" s="392"/>
      <c r="ED15" s="392"/>
      <c r="EE15" s="392"/>
      <c r="EF15" s="392"/>
      <c r="EG15" s="392"/>
      <c r="EH15" s="392"/>
      <c r="EI15" s="392"/>
      <c r="EJ15" s="392"/>
      <c r="EK15" s="392"/>
      <c r="EL15" s="392"/>
      <c r="EM15" s="392"/>
      <c r="EN15" s="392"/>
      <c r="EO15" s="392"/>
      <c r="EP15" s="392"/>
      <c r="EQ15" s="392"/>
      <c r="ER15" s="392"/>
      <c r="ES15" s="392"/>
      <c r="ET15" s="392"/>
      <c r="EU15" s="392"/>
      <c r="EV15" s="392"/>
      <c r="EW15" s="392"/>
      <c r="EX15" s="392"/>
      <c r="EY15" s="392"/>
      <c r="EZ15" s="392"/>
      <c r="FA15" s="392"/>
      <c r="FB15" s="392"/>
      <c r="FC15" s="392"/>
      <c r="FD15" s="392"/>
      <c r="FE15" s="392"/>
      <c r="FF15" s="392"/>
      <c r="FG15" s="392"/>
      <c r="FH15" s="392"/>
      <c r="FI15" s="392"/>
      <c r="FJ15" s="392"/>
      <c r="FK15" s="392"/>
      <c r="FL15" s="392"/>
      <c r="FM15" s="392"/>
      <c r="FN15" s="392"/>
      <c r="FO15" s="392"/>
      <c r="FP15" s="392"/>
      <c r="FQ15" s="392"/>
      <c r="FR15" s="392"/>
      <c r="FS15" s="392"/>
      <c r="FT15" s="392"/>
      <c r="FU15" s="392"/>
      <c r="FV15" s="392"/>
      <c r="FW15" s="392"/>
      <c r="FX15" s="392"/>
      <c r="FY15" s="392"/>
      <c r="FZ15" s="392"/>
      <c r="GA15" s="392"/>
      <c r="GB15" s="392"/>
      <c r="GC15" s="392"/>
      <c r="GD15" s="392"/>
      <c r="GE15" s="392"/>
      <c r="GF15" s="392"/>
      <c r="GG15" s="392"/>
      <c r="GH15" s="392"/>
      <c r="GI15" s="392"/>
      <c r="GJ15" s="392"/>
      <c r="GK15" s="392"/>
      <c r="GL15" s="392"/>
      <c r="GM15" s="392"/>
      <c r="GN15" s="392"/>
      <c r="GO15" s="392"/>
      <c r="GP15" s="392"/>
      <c r="GQ15" s="392"/>
      <c r="GR15" s="392"/>
      <c r="GS15" s="392"/>
      <c r="GT15" s="392"/>
      <c r="GU15" s="392"/>
      <c r="GV15" s="392"/>
      <c r="GW15" s="392"/>
      <c r="GX15" s="392"/>
      <c r="GY15" s="392"/>
      <c r="GZ15" s="392"/>
      <c r="HA15" s="392"/>
      <c r="HB15" s="392"/>
      <c r="HC15" s="392"/>
      <c r="HD15" s="392"/>
      <c r="HE15" s="392"/>
      <c r="HF15" s="392"/>
      <c r="HG15" s="392"/>
      <c r="HH15" s="392"/>
      <c r="HI15" s="392"/>
      <c r="HJ15" s="392"/>
      <c r="HK15" s="392"/>
      <c r="HL15" s="392"/>
      <c r="HM15" s="392"/>
      <c r="HN15" s="392"/>
      <c r="HO15" s="392"/>
      <c r="HP15" s="392"/>
      <c r="HQ15" s="392"/>
      <c r="HR15" s="392"/>
      <c r="HS15" s="392"/>
      <c r="HT15" s="392"/>
      <c r="HU15" s="392"/>
      <c r="HV15" s="392"/>
      <c r="HW15" s="392"/>
      <c r="HX15" s="392"/>
      <c r="HY15" s="392"/>
      <c r="HZ15" s="392"/>
      <c r="IA15" s="392"/>
      <c r="IB15" s="392"/>
      <c r="IC15" s="392"/>
      <c r="ID15" s="392"/>
      <c r="IE15" s="392"/>
      <c r="IF15" s="392"/>
      <c r="IG15" s="392"/>
      <c r="IH15" s="392"/>
      <c r="II15" s="392"/>
      <c r="IJ15" s="392"/>
      <c r="IK15" s="392"/>
      <c r="IL15" s="392"/>
      <c r="IM15" s="392"/>
      <c r="IN15" s="392"/>
      <c r="IO15" s="392"/>
      <c r="IP15" s="392"/>
      <c r="IQ15" s="392"/>
      <c r="IR15" s="392"/>
      <c r="IS15" s="392"/>
      <c r="IT15" s="392"/>
      <c r="IU15" s="392"/>
      <c r="IV15" s="392"/>
    </row>
    <row r="16" spans="1:256" ht="15.75">
      <c r="A16" s="392"/>
      <c r="B16" s="412" t="s">
        <v>193</v>
      </c>
      <c r="C16" s="2375" t="s">
        <v>603</v>
      </c>
      <c r="D16" s="2375"/>
      <c r="E16" s="796">
        <v>1470</v>
      </c>
      <c r="F16" s="797">
        <v>1905</v>
      </c>
      <c r="G16" s="798">
        <v>1422</v>
      </c>
      <c r="H16" s="392"/>
      <c r="I16" s="392"/>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2"/>
      <c r="BF16" s="392"/>
      <c r="BG16" s="392"/>
      <c r="BH16" s="392"/>
      <c r="BI16" s="392"/>
      <c r="BJ16" s="392"/>
      <c r="BK16" s="392"/>
      <c r="BL16" s="392"/>
      <c r="BM16" s="392"/>
      <c r="BN16" s="392"/>
      <c r="BO16" s="392"/>
      <c r="BP16" s="392"/>
      <c r="BQ16" s="392"/>
      <c r="BR16" s="392"/>
      <c r="BS16" s="392"/>
      <c r="BT16" s="392"/>
      <c r="BU16" s="392"/>
      <c r="BV16" s="392"/>
      <c r="BW16" s="392"/>
      <c r="BX16" s="392"/>
      <c r="BY16" s="392"/>
      <c r="BZ16" s="392"/>
      <c r="CA16" s="392"/>
      <c r="CB16" s="392"/>
      <c r="CC16" s="392"/>
      <c r="CD16" s="392"/>
      <c r="CE16" s="392"/>
      <c r="CF16" s="392"/>
      <c r="CG16" s="392"/>
      <c r="CH16" s="392"/>
      <c r="CI16" s="392"/>
      <c r="CJ16" s="392"/>
      <c r="CK16" s="392"/>
      <c r="CL16" s="392"/>
      <c r="CM16" s="392"/>
      <c r="CN16" s="392"/>
      <c r="CO16" s="392"/>
      <c r="CP16" s="392"/>
      <c r="CQ16" s="392"/>
      <c r="CR16" s="392"/>
      <c r="CS16" s="392"/>
      <c r="CT16" s="392"/>
      <c r="CU16" s="392"/>
      <c r="CV16" s="392"/>
      <c r="CW16" s="392"/>
      <c r="CX16" s="392"/>
      <c r="CY16" s="392"/>
      <c r="CZ16" s="392"/>
      <c r="DA16" s="392"/>
      <c r="DB16" s="392"/>
      <c r="DC16" s="392"/>
      <c r="DD16" s="392"/>
      <c r="DE16" s="392"/>
      <c r="DF16" s="392"/>
      <c r="DG16" s="392"/>
      <c r="DH16" s="392"/>
      <c r="DI16" s="392"/>
      <c r="DJ16" s="392"/>
      <c r="DK16" s="392"/>
      <c r="DL16" s="392"/>
      <c r="DM16" s="392"/>
      <c r="DN16" s="392"/>
      <c r="DO16" s="392"/>
      <c r="DP16" s="392"/>
      <c r="DQ16" s="392"/>
      <c r="DR16" s="392"/>
      <c r="DS16" s="392"/>
      <c r="DT16" s="392"/>
      <c r="DU16" s="392"/>
      <c r="DV16" s="392"/>
      <c r="DW16" s="392"/>
      <c r="DX16" s="392"/>
      <c r="DY16" s="392"/>
      <c r="DZ16" s="392"/>
      <c r="EA16" s="392"/>
      <c r="EB16" s="392"/>
      <c r="EC16" s="392"/>
      <c r="ED16" s="392"/>
      <c r="EE16" s="392"/>
      <c r="EF16" s="392"/>
      <c r="EG16" s="392"/>
      <c r="EH16" s="392"/>
      <c r="EI16" s="392"/>
      <c r="EJ16" s="392"/>
      <c r="EK16" s="392"/>
      <c r="EL16" s="392"/>
      <c r="EM16" s="392"/>
      <c r="EN16" s="392"/>
      <c r="EO16" s="392"/>
      <c r="EP16" s="392"/>
      <c r="EQ16" s="392"/>
      <c r="ER16" s="392"/>
      <c r="ES16" s="392"/>
      <c r="ET16" s="392"/>
      <c r="EU16" s="392"/>
      <c r="EV16" s="392"/>
      <c r="EW16" s="392"/>
      <c r="EX16" s="392"/>
      <c r="EY16" s="392"/>
      <c r="EZ16" s="392"/>
      <c r="FA16" s="392"/>
      <c r="FB16" s="392"/>
      <c r="FC16" s="392"/>
      <c r="FD16" s="392"/>
      <c r="FE16" s="392"/>
      <c r="FF16" s="392"/>
      <c r="FG16" s="392"/>
      <c r="FH16" s="392"/>
      <c r="FI16" s="392"/>
      <c r="FJ16" s="392"/>
      <c r="FK16" s="392"/>
      <c r="FL16" s="392"/>
      <c r="FM16" s="392"/>
      <c r="FN16" s="392"/>
      <c r="FO16" s="392"/>
      <c r="FP16" s="392"/>
      <c r="FQ16" s="392"/>
      <c r="FR16" s="392"/>
      <c r="FS16" s="392"/>
      <c r="FT16" s="392"/>
      <c r="FU16" s="392"/>
      <c r="FV16" s="392"/>
      <c r="FW16" s="392"/>
      <c r="FX16" s="392"/>
      <c r="FY16" s="392"/>
      <c r="FZ16" s="392"/>
      <c r="GA16" s="392"/>
      <c r="GB16" s="392"/>
      <c r="GC16" s="392"/>
      <c r="GD16" s="392"/>
      <c r="GE16" s="392"/>
      <c r="GF16" s="392"/>
      <c r="GG16" s="392"/>
      <c r="GH16" s="392"/>
      <c r="GI16" s="392"/>
      <c r="GJ16" s="392"/>
      <c r="GK16" s="392"/>
      <c r="GL16" s="392"/>
      <c r="GM16" s="392"/>
      <c r="GN16" s="392"/>
      <c r="GO16" s="392"/>
      <c r="GP16" s="392"/>
      <c r="GQ16" s="392"/>
      <c r="GR16" s="392"/>
      <c r="GS16" s="392"/>
      <c r="GT16" s="392"/>
      <c r="GU16" s="392"/>
      <c r="GV16" s="392"/>
      <c r="GW16" s="392"/>
      <c r="GX16" s="392"/>
      <c r="GY16" s="392"/>
      <c r="GZ16" s="392"/>
      <c r="HA16" s="392"/>
      <c r="HB16" s="392"/>
      <c r="HC16" s="392"/>
      <c r="HD16" s="392"/>
      <c r="HE16" s="392"/>
      <c r="HF16" s="392"/>
      <c r="HG16" s="392"/>
      <c r="HH16" s="392"/>
      <c r="HI16" s="392"/>
      <c r="HJ16" s="392"/>
      <c r="HK16" s="392"/>
      <c r="HL16" s="392"/>
      <c r="HM16" s="392"/>
      <c r="HN16" s="392"/>
      <c r="HO16" s="392"/>
      <c r="HP16" s="392"/>
      <c r="HQ16" s="392"/>
      <c r="HR16" s="392"/>
      <c r="HS16" s="392"/>
      <c r="HT16" s="392"/>
      <c r="HU16" s="392"/>
      <c r="HV16" s="392"/>
      <c r="HW16" s="392"/>
      <c r="HX16" s="392"/>
      <c r="HY16" s="392"/>
      <c r="HZ16" s="392"/>
      <c r="IA16" s="392"/>
      <c r="IB16" s="392"/>
      <c r="IC16" s="392"/>
      <c r="ID16" s="392"/>
      <c r="IE16" s="392"/>
      <c r="IF16" s="392"/>
      <c r="IG16" s="392"/>
      <c r="IH16" s="392"/>
      <c r="II16" s="392"/>
      <c r="IJ16" s="392"/>
      <c r="IK16" s="392"/>
      <c r="IL16" s="392"/>
      <c r="IM16" s="392"/>
      <c r="IN16" s="392"/>
      <c r="IO16" s="392"/>
      <c r="IP16" s="392"/>
      <c r="IQ16" s="392"/>
      <c r="IR16" s="392"/>
      <c r="IS16" s="392"/>
      <c r="IT16" s="392"/>
      <c r="IU16" s="392"/>
      <c r="IV16" s="392"/>
    </row>
    <row r="17" spans="1:256" ht="15.75">
      <c r="A17" s="392"/>
      <c r="B17" s="412" t="s">
        <v>604</v>
      </c>
      <c r="C17" s="2375" t="s">
        <v>605</v>
      </c>
      <c r="D17" s="2375"/>
      <c r="E17" s="796">
        <v>1330</v>
      </c>
      <c r="F17" s="799">
        <v>1454</v>
      </c>
      <c r="G17" s="798">
        <v>1543</v>
      </c>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92"/>
      <c r="AS17" s="392"/>
      <c r="AT17" s="392"/>
      <c r="AU17" s="392"/>
      <c r="AV17" s="392"/>
      <c r="AW17" s="392"/>
      <c r="AX17" s="392"/>
      <c r="AY17" s="392"/>
      <c r="AZ17" s="392"/>
      <c r="BA17" s="392"/>
      <c r="BB17" s="392"/>
      <c r="BC17" s="392"/>
      <c r="BD17" s="392"/>
      <c r="BE17" s="392"/>
      <c r="BF17" s="392"/>
      <c r="BG17" s="392"/>
      <c r="BH17" s="392"/>
      <c r="BI17" s="392"/>
      <c r="BJ17" s="392"/>
      <c r="BK17" s="392"/>
      <c r="BL17" s="392"/>
      <c r="BM17" s="392"/>
      <c r="BN17" s="392"/>
      <c r="BO17" s="392"/>
      <c r="BP17" s="392"/>
      <c r="BQ17" s="392"/>
      <c r="BR17" s="392"/>
      <c r="BS17" s="392"/>
      <c r="BT17" s="392"/>
      <c r="BU17" s="392"/>
      <c r="BV17" s="392"/>
      <c r="BW17" s="392"/>
      <c r="BX17" s="392"/>
      <c r="BY17" s="392"/>
      <c r="BZ17" s="392"/>
      <c r="CA17" s="392"/>
      <c r="CB17" s="392"/>
      <c r="CC17" s="392"/>
      <c r="CD17" s="392"/>
      <c r="CE17" s="392"/>
      <c r="CF17" s="392"/>
      <c r="CG17" s="392"/>
      <c r="CH17" s="392"/>
      <c r="CI17" s="392"/>
      <c r="CJ17" s="392"/>
      <c r="CK17" s="392"/>
      <c r="CL17" s="392"/>
      <c r="CM17" s="392"/>
      <c r="CN17" s="392"/>
      <c r="CO17" s="392"/>
      <c r="CP17" s="392"/>
      <c r="CQ17" s="392"/>
      <c r="CR17" s="392"/>
      <c r="CS17" s="392"/>
      <c r="CT17" s="392"/>
      <c r="CU17" s="392"/>
      <c r="CV17" s="392"/>
      <c r="CW17" s="392"/>
      <c r="CX17" s="392"/>
      <c r="CY17" s="392"/>
      <c r="CZ17" s="392"/>
      <c r="DA17" s="392"/>
      <c r="DB17" s="392"/>
      <c r="DC17" s="392"/>
      <c r="DD17" s="392"/>
      <c r="DE17" s="392"/>
      <c r="DF17" s="392"/>
      <c r="DG17" s="392"/>
      <c r="DH17" s="392"/>
      <c r="DI17" s="392"/>
      <c r="DJ17" s="392"/>
      <c r="DK17" s="392"/>
      <c r="DL17" s="392"/>
      <c r="DM17" s="392"/>
      <c r="DN17" s="392"/>
      <c r="DO17" s="392"/>
      <c r="DP17" s="392"/>
      <c r="DQ17" s="392"/>
      <c r="DR17" s="392"/>
      <c r="DS17" s="392"/>
      <c r="DT17" s="392"/>
      <c r="DU17" s="392"/>
      <c r="DV17" s="392"/>
      <c r="DW17" s="392"/>
      <c r="DX17" s="392"/>
      <c r="DY17" s="392"/>
      <c r="DZ17" s="392"/>
      <c r="EA17" s="392"/>
      <c r="EB17" s="392"/>
      <c r="EC17" s="392"/>
      <c r="ED17" s="392"/>
      <c r="EE17" s="392"/>
      <c r="EF17" s="392"/>
      <c r="EG17" s="392"/>
      <c r="EH17" s="392"/>
      <c r="EI17" s="392"/>
      <c r="EJ17" s="392"/>
      <c r="EK17" s="392"/>
      <c r="EL17" s="392"/>
      <c r="EM17" s="392"/>
      <c r="EN17" s="392"/>
      <c r="EO17" s="392"/>
      <c r="EP17" s="392"/>
      <c r="EQ17" s="392"/>
      <c r="ER17" s="392"/>
      <c r="ES17" s="392"/>
      <c r="ET17" s="392"/>
      <c r="EU17" s="392"/>
      <c r="EV17" s="392"/>
      <c r="EW17" s="392"/>
      <c r="EX17" s="392"/>
      <c r="EY17" s="392"/>
      <c r="EZ17" s="392"/>
      <c r="FA17" s="392"/>
      <c r="FB17" s="392"/>
      <c r="FC17" s="392"/>
      <c r="FD17" s="392"/>
      <c r="FE17" s="392"/>
      <c r="FF17" s="392"/>
      <c r="FG17" s="392"/>
      <c r="FH17" s="392"/>
      <c r="FI17" s="392"/>
      <c r="FJ17" s="392"/>
      <c r="FK17" s="392"/>
      <c r="FL17" s="392"/>
      <c r="FM17" s="392"/>
      <c r="FN17" s="392"/>
      <c r="FO17" s="392"/>
      <c r="FP17" s="392"/>
      <c r="FQ17" s="392"/>
      <c r="FR17" s="392"/>
      <c r="FS17" s="392"/>
      <c r="FT17" s="392"/>
      <c r="FU17" s="392"/>
      <c r="FV17" s="392"/>
      <c r="FW17" s="392"/>
      <c r="FX17" s="392"/>
      <c r="FY17" s="392"/>
      <c r="FZ17" s="392"/>
      <c r="GA17" s="392"/>
      <c r="GB17" s="392"/>
      <c r="GC17" s="392"/>
      <c r="GD17" s="392"/>
      <c r="GE17" s="392"/>
      <c r="GF17" s="392"/>
      <c r="GG17" s="392"/>
      <c r="GH17" s="392"/>
      <c r="GI17" s="392"/>
      <c r="GJ17" s="392"/>
      <c r="GK17" s="392"/>
      <c r="GL17" s="392"/>
      <c r="GM17" s="392"/>
      <c r="GN17" s="392"/>
      <c r="GO17" s="392"/>
      <c r="GP17" s="392"/>
      <c r="GQ17" s="392"/>
      <c r="GR17" s="392"/>
      <c r="GS17" s="392"/>
      <c r="GT17" s="392"/>
      <c r="GU17" s="392"/>
      <c r="GV17" s="392"/>
      <c r="GW17" s="392"/>
      <c r="GX17" s="392"/>
      <c r="GY17" s="392"/>
      <c r="GZ17" s="392"/>
      <c r="HA17" s="392"/>
      <c r="HB17" s="392"/>
      <c r="HC17" s="392"/>
      <c r="HD17" s="392"/>
      <c r="HE17" s="392"/>
      <c r="HF17" s="392"/>
      <c r="HG17" s="392"/>
      <c r="HH17" s="392"/>
      <c r="HI17" s="392"/>
      <c r="HJ17" s="392"/>
      <c r="HK17" s="392"/>
      <c r="HL17" s="392"/>
      <c r="HM17" s="392"/>
      <c r="HN17" s="392"/>
      <c r="HO17" s="392"/>
      <c r="HP17" s="392"/>
      <c r="HQ17" s="392"/>
      <c r="HR17" s="392"/>
      <c r="HS17" s="392"/>
      <c r="HT17" s="392"/>
      <c r="HU17" s="392"/>
      <c r="HV17" s="392"/>
      <c r="HW17" s="392"/>
      <c r="HX17" s="392"/>
      <c r="HY17" s="392"/>
      <c r="HZ17" s="392"/>
      <c r="IA17" s="392"/>
      <c r="IB17" s="392"/>
      <c r="IC17" s="392"/>
      <c r="ID17" s="392"/>
      <c r="IE17" s="392"/>
      <c r="IF17" s="392"/>
      <c r="IG17" s="392"/>
      <c r="IH17" s="392"/>
      <c r="II17" s="392"/>
      <c r="IJ17" s="392"/>
      <c r="IK17" s="392"/>
      <c r="IL17" s="392"/>
      <c r="IM17" s="392"/>
      <c r="IN17" s="392"/>
      <c r="IO17" s="392"/>
      <c r="IP17" s="392"/>
      <c r="IQ17" s="392"/>
      <c r="IR17" s="392"/>
      <c r="IS17" s="392"/>
      <c r="IT17" s="392"/>
      <c r="IU17" s="392"/>
      <c r="IV17" s="392"/>
    </row>
    <row r="18" spans="1:256" ht="15.75">
      <c r="A18" s="392"/>
      <c r="B18" s="412" t="s">
        <v>606</v>
      </c>
      <c r="C18" s="2375" t="s">
        <v>607</v>
      </c>
      <c r="D18" s="2375"/>
      <c r="E18" s="796">
        <v>2030</v>
      </c>
      <c r="F18" s="799">
        <v>1914</v>
      </c>
      <c r="G18" s="798">
        <v>1976</v>
      </c>
      <c r="H18" s="392"/>
      <c r="I18" s="392"/>
      <c r="J18" s="392"/>
      <c r="K18" s="392"/>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2"/>
      <c r="BA18" s="392"/>
      <c r="BB18" s="392"/>
      <c r="BC18" s="392"/>
      <c r="BD18" s="392"/>
      <c r="BE18" s="392"/>
      <c r="BF18" s="392"/>
      <c r="BG18" s="392"/>
      <c r="BH18" s="392"/>
      <c r="BI18" s="392"/>
      <c r="BJ18" s="392"/>
      <c r="BK18" s="392"/>
      <c r="BL18" s="392"/>
      <c r="BM18" s="392"/>
      <c r="BN18" s="392"/>
      <c r="BO18" s="392"/>
      <c r="BP18" s="392"/>
      <c r="BQ18" s="392"/>
      <c r="BR18" s="392"/>
      <c r="BS18" s="392"/>
      <c r="BT18" s="392"/>
      <c r="BU18" s="392"/>
      <c r="BV18" s="392"/>
      <c r="BW18" s="392"/>
      <c r="BX18" s="392"/>
      <c r="BY18" s="392"/>
      <c r="BZ18" s="392"/>
      <c r="CA18" s="392"/>
      <c r="CB18" s="392"/>
      <c r="CC18" s="392"/>
      <c r="CD18" s="392"/>
      <c r="CE18" s="392"/>
      <c r="CF18" s="392"/>
      <c r="CG18" s="392"/>
      <c r="CH18" s="392"/>
      <c r="CI18" s="392"/>
      <c r="CJ18" s="392"/>
      <c r="CK18" s="392"/>
      <c r="CL18" s="392"/>
      <c r="CM18" s="392"/>
      <c r="CN18" s="392"/>
      <c r="CO18" s="392"/>
      <c r="CP18" s="392"/>
      <c r="CQ18" s="392"/>
      <c r="CR18" s="392"/>
      <c r="CS18" s="392"/>
      <c r="CT18" s="392"/>
      <c r="CU18" s="392"/>
      <c r="CV18" s="392"/>
      <c r="CW18" s="392"/>
      <c r="CX18" s="392"/>
      <c r="CY18" s="392"/>
      <c r="CZ18" s="392"/>
      <c r="DA18" s="392"/>
      <c r="DB18" s="392"/>
      <c r="DC18" s="392"/>
      <c r="DD18" s="392"/>
      <c r="DE18" s="392"/>
      <c r="DF18" s="392"/>
      <c r="DG18" s="392"/>
      <c r="DH18" s="392"/>
      <c r="DI18" s="392"/>
      <c r="DJ18" s="392"/>
      <c r="DK18" s="392"/>
      <c r="DL18" s="392"/>
      <c r="DM18" s="392"/>
      <c r="DN18" s="392"/>
      <c r="DO18" s="392"/>
      <c r="DP18" s="392"/>
      <c r="DQ18" s="392"/>
      <c r="DR18" s="392"/>
      <c r="DS18" s="392"/>
      <c r="DT18" s="392"/>
      <c r="DU18" s="392"/>
      <c r="DV18" s="392"/>
      <c r="DW18" s="392"/>
      <c r="DX18" s="392"/>
      <c r="DY18" s="392"/>
      <c r="DZ18" s="392"/>
      <c r="EA18" s="392"/>
      <c r="EB18" s="392"/>
      <c r="EC18" s="392"/>
      <c r="ED18" s="392"/>
      <c r="EE18" s="392"/>
      <c r="EF18" s="392"/>
      <c r="EG18" s="392"/>
      <c r="EH18" s="392"/>
      <c r="EI18" s="392"/>
      <c r="EJ18" s="392"/>
      <c r="EK18" s="392"/>
      <c r="EL18" s="392"/>
      <c r="EM18" s="392"/>
      <c r="EN18" s="392"/>
      <c r="EO18" s="392"/>
      <c r="EP18" s="392"/>
      <c r="EQ18" s="392"/>
      <c r="ER18" s="392"/>
      <c r="ES18" s="392"/>
      <c r="ET18" s="392"/>
      <c r="EU18" s="392"/>
      <c r="EV18" s="392"/>
      <c r="EW18" s="392"/>
      <c r="EX18" s="392"/>
      <c r="EY18" s="392"/>
      <c r="EZ18" s="392"/>
      <c r="FA18" s="392"/>
      <c r="FB18" s="392"/>
      <c r="FC18" s="392"/>
      <c r="FD18" s="392"/>
      <c r="FE18" s="392"/>
      <c r="FF18" s="392"/>
      <c r="FG18" s="392"/>
      <c r="FH18" s="392"/>
      <c r="FI18" s="392"/>
      <c r="FJ18" s="392"/>
      <c r="FK18" s="392"/>
      <c r="FL18" s="392"/>
      <c r="FM18" s="392"/>
      <c r="FN18" s="392"/>
      <c r="FO18" s="392"/>
      <c r="FP18" s="392"/>
      <c r="FQ18" s="392"/>
      <c r="FR18" s="392"/>
      <c r="FS18" s="392"/>
      <c r="FT18" s="392"/>
      <c r="FU18" s="392"/>
      <c r="FV18" s="392"/>
      <c r="FW18" s="392"/>
      <c r="FX18" s="392"/>
      <c r="FY18" s="392"/>
      <c r="FZ18" s="392"/>
      <c r="GA18" s="392"/>
      <c r="GB18" s="392"/>
      <c r="GC18" s="392"/>
      <c r="GD18" s="392"/>
      <c r="GE18" s="392"/>
      <c r="GF18" s="392"/>
      <c r="GG18" s="392"/>
      <c r="GH18" s="392"/>
      <c r="GI18" s="392"/>
      <c r="GJ18" s="392"/>
      <c r="GK18" s="392"/>
      <c r="GL18" s="392"/>
      <c r="GM18" s="392"/>
      <c r="GN18" s="392"/>
      <c r="GO18" s="392"/>
      <c r="GP18" s="392"/>
      <c r="GQ18" s="392"/>
      <c r="GR18" s="392"/>
      <c r="GS18" s="392"/>
      <c r="GT18" s="392"/>
      <c r="GU18" s="392"/>
      <c r="GV18" s="392"/>
      <c r="GW18" s="392"/>
      <c r="GX18" s="392"/>
      <c r="GY18" s="392"/>
      <c r="GZ18" s="392"/>
      <c r="HA18" s="392"/>
      <c r="HB18" s="392"/>
      <c r="HC18" s="392"/>
      <c r="HD18" s="392"/>
      <c r="HE18" s="392"/>
      <c r="HF18" s="392"/>
      <c r="HG18" s="392"/>
      <c r="HH18" s="392"/>
      <c r="HI18" s="392"/>
      <c r="HJ18" s="392"/>
      <c r="HK18" s="392"/>
      <c r="HL18" s="392"/>
      <c r="HM18" s="392"/>
      <c r="HN18" s="392"/>
      <c r="HO18" s="392"/>
      <c r="HP18" s="392"/>
      <c r="HQ18" s="392"/>
      <c r="HR18" s="392"/>
      <c r="HS18" s="392"/>
      <c r="HT18" s="392"/>
      <c r="HU18" s="392"/>
      <c r="HV18" s="392"/>
      <c r="HW18" s="392"/>
      <c r="HX18" s="392"/>
      <c r="HY18" s="392"/>
      <c r="HZ18" s="392"/>
      <c r="IA18" s="392"/>
      <c r="IB18" s="392"/>
      <c r="IC18" s="392"/>
      <c r="ID18" s="392"/>
      <c r="IE18" s="392"/>
      <c r="IF18" s="392"/>
      <c r="IG18" s="392"/>
      <c r="IH18" s="392"/>
      <c r="II18" s="392"/>
      <c r="IJ18" s="392"/>
      <c r="IK18" s="392"/>
      <c r="IL18" s="392"/>
      <c r="IM18" s="392"/>
      <c r="IN18" s="392"/>
      <c r="IO18" s="392"/>
      <c r="IP18" s="392"/>
      <c r="IQ18" s="392"/>
      <c r="IR18" s="392"/>
      <c r="IS18" s="392"/>
      <c r="IT18" s="392"/>
      <c r="IU18" s="392"/>
      <c r="IV18" s="392"/>
    </row>
    <row r="19" spans="1:256" ht="15.75">
      <c r="A19" s="392"/>
      <c r="B19" s="412" t="s">
        <v>608</v>
      </c>
      <c r="C19" s="2375" t="s">
        <v>609</v>
      </c>
      <c r="D19" s="2375"/>
      <c r="E19" s="796">
        <v>1890</v>
      </c>
      <c r="F19" s="799">
        <v>2098</v>
      </c>
      <c r="G19" s="798">
        <v>2326</v>
      </c>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K19" s="392"/>
      <c r="AL19" s="392"/>
      <c r="AM19" s="392"/>
      <c r="AN19" s="392"/>
      <c r="AO19" s="392"/>
      <c r="AP19" s="392"/>
      <c r="AQ19" s="392"/>
      <c r="AR19" s="392"/>
      <c r="AS19" s="392"/>
      <c r="AT19" s="392"/>
      <c r="AU19" s="392"/>
      <c r="AV19" s="392"/>
      <c r="AW19" s="392"/>
      <c r="AX19" s="392"/>
      <c r="AY19" s="392"/>
      <c r="AZ19" s="392"/>
      <c r="BA19" s="392"/>
      <c r="BB19" s="392"/>
      <c r="BC19" s="392"/>
      <c r="BD19" s="392"/>
      <c r="BE19" s="392"/>
      <c r="BF19" s="392"/>
      <c r="BG19" s="392"/>
      <c r="BH19" s="392"/>
      <c r="BI19" s="392"/>
      <c r="BJ19" s="392"/>
      <c r="BK19" s="392"/>
      <c r="BL19" s="392"/>
      <c r="BM19" s="392"/>
      <c r="BN19" s="392"/>
      <c r="BO19" s="392"/>
      <c r="BP19" s="392"/>
      <c r="BQ19" s="392"/>
      <c r="BR19" s="392"/>
      <c r="BS19" s="392"/>
      <c r="BT19" s="392"/>
      <c r="BU19" s="392"/>
      <c r="BV19" s="392"/>
      <c r="BW19" s="392"/>
      <c r="BX19" s="392"/>
      <c r="BY19" s="392"/>
      <c r="BZ19" s="392"/>
      <c r="CA19" s="392"/>
      <c r="CB19" s="392"/>
      <c r="CC19" s="392"/>
      <c r="CD19" s="392"/>
      <c r="CE19" s="392"/>
      <c r="CF19" s="392"/>
      <c r="CG19" s="392"/>
      <c r="CH19" s="392"/>
      <c r="CI19" s="392"/>
      <c r="CJ19" s="392"/>
      <c r="CK19" s="392"/>
      <c r="CL19" s="392"/>
      <c r="CM19" s="392"/>
      <c r="CN19" s="392"/>
      <c r="CO19" s="392"/>
      <c r="CP19" s="392"/>
      <c r="CQ19" s="392"/>
      <c r="CR19" s="392"/>
      <c r="CS19" s="392"/>
      <c r="CT19" s="392"/>
      <c r="CU19" s="392"/>
      <c r="CV19" s="392"/>
      <c r="CW19" s="392"/>
      <c r="CX19" s="392"/>
      <c r="CY19" s="392"/>
      <c r="CZ19" s="392"/>
      <c r="DA19" s="392"/>
      <c r="DB19" s="392"/>
      <c r="DC19" s="392"/>
      <c r="DD19" s="392"/>
      <c r="DE19" s="392"/>
      <c r="DF19" s="392"/>
      <c r="DG19" s="392"/>
      <c r="DH19" s="392"/>
      <c r="DI19" s="392"/>
      <c r="DJ19" s="392"/>
      <c r="DK19" s="392"/>
      <c r="DL19" s="392"/>
      <c r="DM19" s="392"/>
      <c r="DN19" s="392"/>
      <c r="DO19" s="392"/>
      <c r="DP19" s="392"/>
      <c r="DQ19" s="392"/>
      <c r="DR19" s="392"/>
      <c r="DS19" s="392"/>
      <c r="DT19" s="392"/>
      <c r="DU19" s="392"/>
      <c r="DV19" s="392"/>
      <c r="DW19" s="392"/>
      <c r="DX19" s="392"/>
      <c r="DY19" s="392"/>
      <c r="DZ19" s="392"/>
      <c r="EA19" s="392"/>
      <c r="EB19" s="392"/>
      <c r="EC19" s="392"/>
      <c r="ED19" s="392"/>
      <c r="EE19" s="392"/>
      <c r="EF19" s="392"/>
      <c r="EG19" s="392"/>
      <c r="EH19" s="392"/>
      <c r="EI19" s="392"/>
      <c r="EJ19" s="392"/>
      <c r="EK19" s="392"/>
      <c r="EL19" s="392"/>
      <c r="EM19" s="392"/>
      <c r="EN19" s="392"/>
      <c r="EO19" s="392"/>
      <c r="EP19" s="392"/>
      <c r="EQ19" s="392"/>
      <c r="ER19" s="392"/>
      <c r="ES19" s="392"/>
      <c r="ET19" s="392"/>
      <c r="EU19" s="392"/>
      <c r="EV19" s="392"/>
      <c r="EW19" s="392"/>
      <c r="EX19" s="392"/>
      <c r="EY19" s="392"/>
      <c r="EZ19" s="392"/>
      <c r="FA19" s="392"/>
      <c r="FB19" s="392"/>
      <c r="FC19" s="392"/>
      <c r="FD19" s="392"/>
      <c r="FE19" s="392"/>
      <c r="FF19" s="392"/>
      <c r="FG19" s="392"/>
      <c r="FH19" s="392"/>
      <c r="FI19" s="392"/>
      <c r="FJ19" s="392"/>
      <c r="FK19" s="392"/>
      <c r="FL19" s="392"/>
      <c r="FM19" s="392"/>
      <c r="FN19" s="392"/>
      <c r="FO19" s="392"/>
      <c r="FP19" s="392"/>
      <c r="FQ19" s="392"/>
      <c r="FR19" s="392"/>
      <c r="FS19" s="392"/>
      <c r="FT19" s="392"/>
      <c r="FU19" s="392"/>
      <c r="FV19" s="392"/>
      <c r="FW19" s="392"/>
      <c r="FX19" s="392"/>
      <c r="FY19" s="392"/>
      <c r="FZ19" s="392"/>
      <c r="GA19" s="392"/>
      <c r="GB19" s="392"/>
      <c r="GC19" s="392"/>
      <c r="GD19" s="392"/>
      <c r="GE19" s="392"/>
      <c r="GF19" s="392"/>
      <c r="GG19" s="392"/>
      <c r="GH19" s="392"/>
      <c r="GI19" s="392"/>
      <c r="GJ19" s="392"/>
      <c r="GK19" s="392"/>
      <c r="GL19" s="392"/>
      <c r="GM19" s="392"/>
      <c r="GN19" s="392"/>
      <c r="GO19" s="392"/>
      <c r="GP19" s="392"/>
      <c r="GQ19" s="392"/>
      <c r="GR19" s="392"/>
      <c r="GS19" s="392"/>
      <c r="GT19" s="392"/>
      <c r="GU19" s="392"/>
      <c r="GV19" s="392"/>
      <c r="GW19" s="392"/>
      <c r="GX19" s="392"/>
      <c r="GY19" s="392"/>
      <c r="GZ19" s="392"/>
      <c r="HA19" s="392"/>
      <c r="HB19" s="392"/>
      <c r="HC19" s="392"/>
      <c r="HD19" s="392"/>
      <c r="HE19" s="392"/>
      <c r="HF19" s="392"/>
      <c r="HG19" s="392"/>
      <c r="HH19" s="392"/>
      <c r="HI19" s="392"/>
      <c r="HJ19" s="392"/>
      <c r="HK19" s="392"/>
      <c r="HL19" s="392"/>
      <c r="HM19" s="392"/>
      <c r="HN19" s="392"/>
      <c r="HO19" s="392"/>
      <c r="HP19" s="392"/>
      <c r="HQ19" s="392"/>
      <c r="HR19" s="392"/>
      <c r="HS19" s="392"/>
      <c r="HT19" s="392"/>
      <c r="HU19" s="392"/>
      <c r="HV19" s="392"/>
      <c r="HW19" s="392"/>
      <c r="HX19" s="392"/>
      <c r="HY19" s="392"/>
      <c r="HZ19" s="392"/>
      <c r="IA19" s="392"/>
      <c r="IB19" s="392"/>
      <c r="IC19" s="392"/>
      <c r="ID19" s="392"/>
      <c r="IE19" s="392"/>
      <c r="IF19" s="392"/>
      <c r="IG19" s="392"/>
      <c r="IH19" s="392"/>
      <c r="II19" s="392"/>
      <c r="IJ19" s="392"/>
      <c r="IK19" s="392"/>
      <c r="IL19" s="392"/>
      <c r="IM19" s="392"/>
      <c r="IN19" s="392"/>
      <c r="IO19" s="392"/>
      <c r="IP19" s="392"/>
      <c r="IQ19" s="392"/>
      <c r="IR19" s="392"/>
      <c r="IS19" s="392"/>
      <c r="IT19" s="392"/>
      <c r="IU19" s="392"/>
      <c r="IV19" s="392"/>
    </row>
    <row r="20" spans="1:256" ht="15.75">
      <c r="A20" s="392"/>
      <c r="B20" s="412" t="s">
        <v>610</v>
      </c>
      <c r="C20" s="2375" t="s">
        <v>611</v>
      </c>
      <c r="D20" s="2375"/>
      <c r="E20" s="796">
        <v>1960</v>
      </c>
      <c r="F20" s="799">
        <v>1665</v>
      </c>
      <c r="G20" s="798">
        <v>1948</v>
      </c>
      <c r="H20" s="413"/>
      <c r="I20" s="392"/>
      <c r="J20" s="392"/>
      <c r="K20" s="392"/>
      <c r="L20" s="392"/>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c r="AJ20" s="392"/>
      <c r="AK20" s="392"/>
      <c r="AL20" s="392"/>
      <c r="AM20" s="392"/>
      <c r="AN20" s="392"/>
      <c r="AO20" s="392"/>
      <c r="AP20" s="392"/>
      <c r="AQ20" s="392"/>
      <c r="AR20" s="392"/>
      <c r="AS20" s="392"/>
      <c r="AT20" s="392"/>
      <c r="AU20" s="392"/>
      <c r="AV20" s="392"/>
      <c r="AW20" s="392"/>
      <c r="AX20" s="392"/>
      <c r="AY20" s="392"/>
      <c r="AZ20" s="392"/>
      <c r="BA20" s="392"/>
      <c r="BB20" s="392"/>
      <c r="BC20" s="392"/>
      <c r="BD20" s="392"/>
      <c r="BE20" s="392"/>
      <c r="BF20" s="392"/>
      <c r="BG20" s="392"/>
      <c r="BH20" s="392"/>
      <c r="BI20" s="392"/>
      <c r="BJ20" s="392"/>
      <c r="BK20" s="392"/>
      <c r="BL20" s="392"/>
      <c r="BM20" s="392"/>
      <c r="BN20" s="392"/>
      <c r="BO20" s="392"/>
      <c r="BP20" s="392"/>
      <c r="BQ20" s="392"/>
      <c r="BR20" s="392"/>
      <c r="BS20" s="392"/>
      <c r="BT20" s="392"/>
      <c r="BU20" s="392"/>
      <c r="BV20" s="392"/>
      <c r="BW20" s="392"/>
      <c r="BX20" s="392"/>
      <c r="BY20" s="392"/>
      <c r="BZ20" s="392"/>
      <c r="CA20" s="392"/>
      <c r="CB20" s="392"/>
      <c r="CC20" s="392"/>
      <c r="CD20" s="392"/>
      <c r="CE20" s="392"/>
      <c r="CF20" s="392"/>
      <c r="CG20" s="392"/>
      <c r="CH20" s="392"/>
      <c r="CI20" s="392"/>
      <c r="CJ20" s="392"/>
      <c r="CK20" s="392"/>
      <c r="CL20" s="392"/>
      <c r="CM20" s="392"/>
      <c r="CN20" s="392"/>
      <c r="CO20" s="392"/>
      <c r="CP20" s="392"/>
      <c r="CQ20" s="392"/>
      <c r="CR20" s="392"/>
      <c r="CS20" s="392"/>
      <c r="CT20" s="392"/>
      <c r="CU20" s="392"/>
      <c r="CV20" s="392"/>
      <c r="CW20" s="392"/>
      <c r="CX20" s="392"/>
      <c r="CY20" s="392"/>
      <c r="CZ20" s="392"/>
      <c r="DA20" s="392"/>
      <c r="DB20" s="392"/>
      <c r="DC20" s="392"/>
      <c r="DD20" s="392"/>
      <c r="DE20" s="392"/>
      <c r="DF20" s="392"/>
      <c r="DG20" s="392"/>
      <c r="DH20" s="392"/>
      <c r="DI20" s="392"/>
      <c r="DJ20" s="392"/>
      <c r="DK20" s="392"/>
      <c r="DL20" s="392"/>
      <c r="DM20" s="392"/>
      <c r="DN20" s="392"/>
      <c r="DO20" s="392"/>
      <c r="DP20" s="392"/>
      <c r="DQ20" s="392"/>
      <c r="DR20" s="392"/>
      <c r="DS20" s="392"/>
      <c r="DT20" s="392"/>
      <c r="DU20" s="392"/>
      <c r="DV20" s="392"/>
      <c r="DW20" s="392"/>
      <c r="DX20" s="392"/>
      <c r="DY20" s="392"/>
      <c r="DZ20" s="392"/>
      <c r="EA20" s="392"/>
      <c r="EB20" s="392"/>
      <c r="EC20" s="392"/>
      <c r="ED20" s="392"/>
      <c r="EE20" s="392"/>
      <c r="EF20" s="392"/>
      <c r="EG20" s="392"/>
      <c r="EH20" s="392"/>
      <c r="EI20" s="392"/>
      <c r="EJ20" s="392"/>
      <c r="EK20" s="392"/>
      <c r="EL20" s="392"/>
      <c r="EM20" s="392"/>
      <c r="EN20" s="392"/>
      <c r="EO20" s="392"/>
      <c r="EP20" s="392"/>
      <c r="EQ20" s="392"/>
      <c r="ER20" s="392"/>
      <c r="ES20" s="392"/>
      <c r="ET20" s="392"/>
      <c r="EU20" s="392"/>
      <c r="EV20" s="392"/>
      <c r="EW20" s="392"/>
      <c r="EX20" s="392"/>
      <c r="EY20" s="392"/>
      <c r="EZ20" s="392"/>
      <c r="FA20" s="392"/>
      <c r="FB20" s="392"/>
      <c r="FC20" s="392"/>
      <c r="FD20" s="392"/>
      <c r="FE20" s="392"/>
      <c r="FF20" s="392"/>
      <c r="FG20" s="392"/>
      <c r="FH20" s="392"/>
      <c r="FI20" s="392"/>
      <c r="FJ20" s="392"/>
      <c r="FK20" s="392"/>
      <c r="FL20" s="392"/>
      <c r="FM20" s="392"/>
      <c r="FN20" s="392"/>
      <c r="FO20" s="392"/>
      <c r="FP20" s="392"/>
      <c r="FQ20" s="392"/>
      <c r="FR20" s="392"/>
      <c r="FS20" s="392"/>
      <c r="FT20" s="392"/>
      <c r="FU20" s="392"/>
      <c r="FV20" s="392"/>
      <c r="FW20" s="392"/>
      <c r="FX20" s="392"/>
      <c r="FY20" s="392"/>
      <c r="FZ20" s="392"/>
      <c r="GA20" s="392"/>
      <c r="GB20" s="392"/>
      <c r="GC20" s="392"/>
      <c r="GD20" s="392"/>
      <c r="GE20" s="392"/>
      <c r="GF20" s="392"/>
      <c r="GG20" s="392"/>
      <c r="GH20" s="392"/>
      <c r="GI20" s="392"/>
      <c r="GJ20" s="392"/>
      <c r="GK20" s="392"/>
      <c r="GL20" s="392"/>
      <c r="GM20" s="392"/>
      <c r="GN20" s="392"/>
      <c r="GO20" s="392"/>
      <c r="GP20" s="392"/>
      <c r="GQ20" s="392"/>
      <c r="GR20" s="392"/>
      <c r="GS20" s="392"/>
      <c r="GT20" s="392"/>
      <c r="GU20" s="392"/>
      <c r="GV20" s="392"/>
      <c r="GW20" s="392"/>
      <c r="GX20" s="392"/>
      <c r="GY20" s="392"/>
      <c r="GZ20" s="392"/>
      <c r="HA20" s="392"/>
      <c r="HB20" s="392"/>
      <c r="HC20" s="392"/>
      <c r="HD20" s="392"/>
      <c r="HE20" s="392"/>
      <c r="HF20" s="392"/>
      <c r="HG20" s="392"/>
      <c r="HH20" s="392"/>
      <c r="HI20" s="392"/>
      <c r="HJ20" s="392"/>
      <c r="HK20" s="392"/>
      <c r="HL20" s="392"/>
      <c r="HM20" s="392"/>
      <c r="HN20" s="392"/>
      <c r="HO20" s="392"/>
      <c r="HP20" s="392"/>
      <c r="HQ20" s="392"/>
      <c r="HR20" s="392"/>
      <c r="HS20" s="392"/>
      <c r="HT20" s="392"/>
      <c r="HU20" s="392"/>
      <c r="HV20" s="392"/>
      <c r="HW20" s="392"/>
      <c r="HX20" s="392"/>
      <c r="HY20" s="392"/>
      <c r="HZ20" s="392"/>
      <c r="IA20" s="392"/>
      <c r="IB20" s="392"/>
      <c r="IC20" s="392"/>
      <c r="ID20" s="392"/>
      <c r="IE20" s="392"/>
      <c r="IF20" s="392"/>
      <c r="IG20" s="392"/>
      <c r="IH20" s="392"/>
      <c r="II20" s="392"/>
      <c r="IJ20" s="392"/>
      <c r="IK20" s="392"/>
      <c r="IL20" s="392"/>
      <c r="IM20" s="392"/>
      <c r="IN20" s="392"/>
      <c r="IO20" s="392"/>
      <c r="IP20" s="392"/>
      <c r="IQ20" s="392"/>
      <c r="IR20" s="392"/>
      <c r="IS20" s="392"/>
      <c r="IT20" s="392"/>
      <c r="IU20" s="392"/>
      <c r="IV20" s="392"/>
    </row>
    <row r="21" spans="1:256" ht="15.75">
      <c r="A21" s="392"/>
      <c r="B21" s="412" t="s">
        <v>612</v>
      </c>
      <c r="C21" s="2375" t="s">
        <v>613</v>
      </c>
      <c r="D21" s="2375"/>
      <c r="E21" s="800">
        <v>1680</v>
      </c>
      <c r="F21" s="797">
        <v>3128</v>
      </c>
      <c r="G21" s="798">
        <v>1783</v>
      </c>
      <c r="H21" s="392"/>
      <c r="I21" s="608"/>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392"/>
      <c r="AI21" s="392"/>
      <c r="AJ21" s="392"/>
      <c r="AK21" s="392"/>
      <c r="AL21" s="392"/>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392"/>
      <c r="BR21" s="392"/>
      <c r="BS21" s="392"/>
      <c r="BT21" s="392"/>
      <c r="BU21" s="392"/>
      <c r="BV21" s="392"/>
      <c r="BW21" s="392"/>
      <c r="BX21" s="392"/>
      <c r="BY21" s="392"/>
      <c r="BZ21" s="392"/>
      <c r="CA21" s="392"/>
      <c r="CB21" s="392"/>
      <c r="CC21" s="392"/>
      <c r="CD21" s="392"/>
      <c r="CE21" s="392"/>
      <c r="CF21" s="392"/>
      <c r="CG21" s="392"/>
      <c r="CH21" s="392"/>
      <c r="CI21" s="392"/>
      <c r="CJ21" s="392"/>
      <c r="CK21" s="392"/>
      <c r="CL21" s="392"/>
      <c r="CM21" s="392"/>
      <c r="CN21" s="392"/>
      <c r="CO21" s="392"/>
      <c r="CP21" s="392"/>
      <c r="CQ21" s="392"/>
      <c r="CR21" s="392"/>
      <c r="CS21" s="392"/>
      <c r="CT21" s="392"/>
      <c r="CU21" s="392"/>
      <c r="CV21" s="392"/>
      <c r="CW21" s="392"/>
      <c r="CX21" s="392"/>
      <c r="CY21" s="392"/>
      <c r="CZ21" s="392"/>
      <c r="DA21" s="392"/>
      <c r="DB21" s="392"/>
      <c r="DC21" s="392"/>
      <c r="DD21" s="392"/>
      <c r="DE21" s="392"/>
      <c r="DF21" s="392"/>
      <c r="DG21" s="392"/>
      <c r="DH21" s="392"/>
      <c r="DI21" s="392"/>
      <c r="DJ21" s="392"/>
      <c r="DK21" s="392"/>
      <c r="DL21" s="392"/>
      <c r="DM21" s="392"/>
      <c r="DN21" s="392"/>
      <c r="DO21" s="392"/>
      <c r="DP21" s="392"/>
      <c r="DQ21" s="392"/>
      <c r="DR21" s="392"/>
      <c r="DS21" s="392"/>
      <c r="DT21" s="392"/>
      <c r="DU21" s="392"/>
      <c r="DV21" s="392"/>
      <c r="DW21" s="392"/>
      <c r="DX21" s="392"/>
      <c r="DY21" s="392"/>
      <c r="DZ21" s="392"/>
      <c r="EA21" s="392"/>
      <c r="EB21" s="392"/>
      <c r="EC21" s="392"/>
      <c r="ED21" s="392"/>
      <c r="EE21" s="392"/>
      <c r="EF21" s="392"/>
      <c r="EG21" s="392"/>
      <c r="EH21" s="392"/>
      <c r="EI21" s="392"/>
      <c r="EJ21" s="392"/>
      <c r="EK21" s="392"/>
      <c r="EL21" s="392"/>
      <c r="EM21" s="392"/>
      <c r="EN21" s="392"/>
      <c r="EO21" s="392"/>
      <c r="EP21" s="392"/>
      <c r="EQ21" s="392"/>
      <c r="ER21" s="392"/>
      <c r="ES21" s="392"/>
      <c r="ET21" s="392"/>
      <c r="EU21" s="392"/>
      <c r="EV21" s="392"/>
      <c r="EW21" s="392"/>
      <c r="EX21" s="392"/>
      <c r="EY21" s="392"/>
      <c r="EZ21" s="392"/>
      <c r="FA21" s="392"/>
      <c r="FB21" s="392"/>
      <c r="FC21" s="392"/>
      <c r="FD21" s="392"/>
      <c r="FE21" s="392"/>
      <c r="FF21" s="392"/>
      <c r="FG21" s="392"/>
      <c r="FH21" s="392"/>
      <c r="FI21" s="392"/>
      <c r="FJ21" s="392"/>
      <c r="FK21" s="392"/>
      <c r="FL21" s="392"/>
      <c r="FM21" s="392"/>
      <c r="FN21" s="392"/>
      <c r="FO21" s="392"/>
      <c r="FP21" s="392"/>
      <c r="FQ21" s="392"/>
      <c r="FR21" s="392"/>
      <c r="FS21" s="392"/>
      <c r="FT21" s="392"/>
      <c r="FU21" s="392"/>
      <c r="FV21" s="392"/>
      <c r="FW21" s="392"/>
      <c r="FX21" s="392"/>
      <c r="FY21" s="392"/>
      <c r="FZ21" s="392"/>
      <c r="GA21" s="392"/>
      <c r="GB21" s="392"/>
      <c r="GC21" s="392"/>
      <c r="GD21" s="392"/>
      <c r="GE21" s="392"/>
      <c r="GF21" s="392"/>
      <c r="GG21" s="392"/>
      <c r="GH21" s="392"/>
      <c r="GI21" s="392"/>
      <c r="GJ21" s="392"/>
      <c r="GK21" s="392"/>
      <c r="GL21" s="392"/>
      <c r="GM21" s="392"/>
      <c r="GN21" s="392"/>
      <c r="GO21" s="392"/>
      <c r="GP21" s="392"/>
      <c r="GQ21" s="392"/>
      <c r="GR21" s="392"/>
      <c r="GS21" s="392"/>
      <c r="GT21" s="392"/>
      <c r="GU21" s="392"/>
      <c r="GV21" s="392"/>
      <c r="GW21" s="392"/>
      <c r="GX21" s="392"/>
      <c r="GY21" s="392"/>
      <c r="GZ21" s="392"/>
      <c r="HA21" s="392"/>
      <c r="HB21" s="392"/>
      <c r="HC21" s="392"/>
      <c r="HD21" s="392"/>
      <c r="HE21" s="392"/>
      <c r="HF21" s="392"/>
      <c r="HG21" s="392"/>
      <c r="HH21" s="392"/>
      <c r="HI21" s="392"/>
      <c r="HJ21" s="392"/>
      <c r="HK21" s="392"/>
      <c r="HL21" s="392"/>
      <c r="HM21" s="392"/>
      <c r="HN21" s="392"/>
      <c r="HO21" s="392"/>
      <c r="HP21" s="392"/>
      <c r="HQ21" s="392"/>
      <c r="HR21" s="392"/>
      <c r="HS21" s="392"/>
      <c r="HT21" s="392"/>
      <c r="HU21" s="392"/>
      <c r="HV21" s="392"/>
      <c r="HW21" s="392"/>
      <c r="HX21" s="392"/>
      <c r="HY21" s="392"/>
      <c r="HZ21" s="392"/>
      <c r="IA21" s="392"/>
      <c r="IB21" s="392"/>
      <c r="IC21" s="392"/>
      <c r="ID21" s="392"/>
      <c r="IE21" s="392"/>
      <c r="IF21" s="392"/>
      <c r="IG21" s="392"/>
      <c r="IH21" s="392"/>
      <c r="II21" s="392"/>
      <c r="IJ21" s="392"/>
      <c r="IK21" s="392"/>
      <c r="IL21" s="392"/>
      <c r="IM21" s="392"/>
      <c r="IN21" s="392"/>
      <c r="IO21" s="392"/>
      <c r="IP21" s="392"/>
      <c r="IQ21" s="392"/>
      <c r="IR21" s="392"/>
      <c r="IS21" s="392"/>
      <c r="IT21" s="392"/>
      <c r="IU21" s="392"/>
      <c r="IV21" s="392"/>
    </row>
    <row r="22" spans="1:256" ht="15.75">
      <c r="A22" s="392"/>
      <c r="B22" s="412" t="s">
        <v>614</v>
      </c>
      <c r="C22" s="2375" t="s">
        <v>615</v>
      </c>
      <c r="D22" s="2375"/>
      <c r="E22" s="796">
        <v>1960</v>
      </c>
      <c r="F22" s="799">
        <v>1771</v>
      </c>
      <c r="G22" s="798">
        <v>1637</v>
      </c>
      <c r="H22" s="392"/>
      <c r="I22" s="608"/>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c r="AN22" s="392"/>
      <c r="AO22" s="392"/>
      <c r="AP22" s="392"/>
      <c r="AQ22" s="392"/>
      <c r="AR22" s="392"/>
      <c r="AS22" s="392"/>
      <c r="AT22" s="392"/>
      <c r="AU22" s="392"/>
      <c r="AV22" s="392"/>
      <c r="AW22" s="392"/>
      <c r="AX22" s="392"/>
      <c r="AY22" s="392"/>
      <c r="AZ22" s="392"/>
      <c r="BA22" s="392"/>
      <c r="BB22" s="392"/>
      <c r="BC22" s="392"/>
      <c r="BD22" s="392"/>
      <c r="BE22" s="392"/>
      <c r="BF22" s="392"/>
      <c r="BG22" s="392"/>
      <c r="BH22" s="392"/>
      <c r="BI22" s="392"/>
      <c r="BJ22" s="392"/>
      <c r="BK22" s="392"/>
      <c r="BL22" s="392"/>
      <c r="BM22" s="392"/>
      <c r="BN22" s="392"/>
      <c r="BO22" s="392"/>
      <c r="BP22" s="392"/>
      <c r="BQ22" s="392"/>
      <c r="BR22" s="392"/>
      <c r="BS22" s="392"/>
      <c r="BT22" s="392"/>
      <c r="BU22" s="392"/>
      <c r="BV22" s="392"/>
      <c r="BW22" s="392"/>
      <c r="BX22" s="392"/>
      <c r="BY22" s="392"/>
      <c r="BZ22" s="392"/>
      <c r="CA22" s="392"/>
      <c r="CB22" s="392"/>
      <c r="CC22" s="392"/>
      <c r="CD22" s="392"/>
      <c r="CE22" s="392"/>
      <c r="CF22" s="392"/>
      <c r="CG22" s="392"/>
      <c r="CH22" s="392"/>
      <c r="CI22" s="392"/>
      <c r="CJ22" s="392"/>
      <c r="CK22" s="392"/>
      <c r="CL22" s="392"/>
      <c r="CM22" s="392"/>
      <c r="CN22" s="392"/>
      <c r="CO22" s="392"/>
      <c r="CP22" s="392"/>
      <c r="CQ22" s="392"/>
      <c r="CR22" s="392"/>
      <c r="CS22" s="392"/>
      <c r="CT22" s="392"/>
      <c r="CU22" s="392"/>
      <c r="CV22" s="392"/>
      <c r="CW22" s="392"/>
      <c r="CX22" s="392"/>
      <c r="CY22" s="392"/>
      <c r="CZ22" s="392"/>
      <c r="DA22" s="392"/>
      <c r="DB22" s="392"/>
      <c r="DC22" s="392"/>
      <c r="DD22" s="392"/>
      <c r="DE22" s="392"/>
      <c r="DF22" s="392"/>
      <c r="DG22" s="392"/>
      <c r="DH22" s="392"/>
      <c r="DI22" s="392"/>
      <c r="DJ22" s="392"/>
      <c r="DK22" s="392"/>
      <c r="DL22" s="392"/>
      <c r="DM22" s="392"/>
      <c r="DN22" s="392"/>
      <c r="DO22" s="392"/>
      <c r="DP22" s="392"/>
      <c r="DQ22" s="392"/>
      <c r="DR22" s="392"/>
      <c r="DS22" s="392"/>
      <c r="DT22" s="392"/>
      <c r="DU22" s="392"/>
      <c r="DV22" s="392"/>
      <c r="DW22" s="392"/>
      <c r="DX22" s="392"/>
      <c r="DY22" s="392"/>
      <c r="DZ22" s="392"/>
      <c r="EA22" s="392"/>
      <c r="EB22" s="392"/>
      <c r="EC22" s="392"/>
      <c r="ED22" s="392"/>
      <c r="EE22" s="392"/>
      <c r="EF22" s="392"/>
      <c r="EG22" s="392"/>
      <c r="EH22" s="392"/>
      <c r="EI22" s="392"/>
      <c r="EJ22" s="392"/>
      <c r="EK22" s="392"/>
      <c r="EL22" s="392"/>
      <c r="EM22" s="392"/>
      <c r="EN22" s="392"/>
      <c r="EO22" s="392"/>
      <c r="EP22" s="392"/>
      <c r="EQ22" s="392"/>
      <c r="ER22" s="392"/>
      <c r="ES22" s="392"/>
      <c r="ET22" s="392"/>
      <c r="EU22" s="392"/>
      <c r="EV22" s="392"/>
      <c r="EW22" s="392"/>
      <c r="EX22" s="392"/>
      <c r="EY22" s="392"/>
      <c r="EZ22" s="392"/>
      <c r="FA22" s="392"/>
      <c r="FB22" s="392"/>
      <c r="FC22" s="392"/>
      <c r="FD22" s="392"/>
      <c r="FE22" s="392"/>
      <c r="FF22" s="392"/>
      <c r="FG22" s="392"/>
      <c r="FH22" s="392"/>
      <c r="FI22" s="392"/>
      <c r="FJ22" s="392"/>
      <c r="FK22" s="392"/>
      <c r="FL22" s="392"/>
      <c r="FM22" s="392"/>
      <c r="FN22" s="392"/>
      <c r="FO22" s="392"/>
      <c r="FP22" s="392"/>
      <c r="FQ22" s="392"/>
      <c r="FR22" s="392"/>
      <c r="FS22" s="392"/>
      <c r="FT22" s="392"/>
      <c r="FU22" s="392"/>
      <c r="FV22" s="392"/>
      <c r="FW22" s="392"/>
      <c r="FX22" s="392"/>
      <c r="FY22" s="392"/>
      <c r="FZ22" s="392"/>
      <c r="GA22" s="392"/>
      <c r="GB22" s="392"/>
      <c r="GC22" s="392"/>
      <c r="GD22" s="392"/>
      <c r="GE22" s="392"/>
      <c r="GF22" s="392"/>
      <c r="GG22" s="392"/>
      <c r="GH22" s="392"/>
      <c r="GI22" s="392"/>
      <c r="GJ22" s="392"/>
      <c r="GK22" s="392"/>
      <c r="GL22" s="392"/>
      <c r="GM22" s="392"/>
      <c r="GN22" s="392"/>
      <c r="GO22" s="392"/>
      <c r="GP22" s="392"/>
      <c r="GQ22" s="392"/>
      <c r="GR22" s="392"/>
      <c r="GS22" s="392"/>
      <c r="GT22" s="392"/>
      <c r="GU22" s="392"/>
      <c r="GV22" s="392"/>
      <c r="GW22" s="392"/>
      <c r="GX22" s="392"/>
      <c r="GY22" s="392"/>
      <c r="GZ22" s="392"/>
      <c r="HA22" s="392"/>
      <c r="HB22" s="392"/>
      <c r="HC22" s="392"/>
      <c r="HD22" s="392"/>
      <c r="HE22" s="392"/>
      <c r="HF22" s="392"/>
      <c r="HG22" s="392"/>
      <c r="HH22" s="392"/>
      <c r="HI22" s="392"/>
      <c r="HJ22" s="392"/>
      <c r="HK22" s="392"/>
      <c r="HL22" s="392"/>
      <c r="HM22" s="392"/>
      <c r="HN22" s="392"/>
      <c r="HO22" s="392"/>
      <c r="HP22" s="392"/>
      <c r="HQ22" s="392"/>
      <c r="HR22" s="392"/>
      <c r="HS22" s="392"/>
      <c r="HT22" s="392"/>
      <c r="HU22" s="392"/>
      <c r="HV22" s="392"/>
      <c r="HW22" s="392"/>
      <c r="HX22" s="392"/>
      <c r="HY22" s="392"/>
      <c r="HZ22" s="392"/>
      <c r="IA22" s="392"/>
      <c r="IB22" s="392"/>
      <c r="IC22" s="392"/>
      <c r="ID22" s="392"/>
      <c r="IE22" s="392"/>
      <c r="IF22" s="392"/>
      <c r="IG22" s="392"/>
      <c r="IH22" s="392"/>
      <c r="II22" s="392"/>
      <c r="IJ22" s="392"/>
      <c r="IK22" s="392"/>
      <c r="IL22" s="392"/>
      <c r="IM22" s="392"/>
      <c r="IN22" s="392"/>
      <c r="IO22" s="392"/>
      <c r="IP22" s="392"/>
      <c r="IQ22" s="392"/>
      <c r="IR22" s="392"/>
      <c r="IS22" s="392"/>
      <c r="IT22" s="392"/>
      <c r="IU22" s="392"/>
      <c r="IV22" s="392"/>
    </row>
    <row r="23" spans="1:256" ht="15.75">
      <c r="A23" s="392"/>
      <c r="B23" s="412" t="s">
        <v>616</v>
      </c>
      <c r="C23" s="2375" t="s">
        <v>617</v>
      </c>
      <c r="D23" s="2375"/>
      <c r="E23" s="796">
        <v>1540</v>
      </c>
      <c r="F23" s="797">
        <v>2895</v>
      </c>
      <c r="G23" s="801">
        <v>1674</v>
      </c>
      <c r="H23" s="413"/>
      <c r="I23" s="1180"/>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392"/>
      <c r="BG23" s="392"/>
      <c r="BH23" s="392"/>
      <c r="BI23" s="392"/>
      <c r="BJ23" s="392"/>
      <c r="BK23" s="392"/>
      <c r="BL23" s="392"/>
      <c r="BM23" s="392"/>
      <c r="BN23" s="392"/>
      <c r="BO23" s="392"/>
      <c r="BP23" s="392"/>
      <c r="BQ23" s="392"/>
      <c r="BR23" s="392"/>
      <c r="BS23" s="392"/>
      <c r="BT23" s="392"/>
      <c r="BU23" s="392"/>
      <c r="BV23" s="392"/>
      <c r="BW23" s="392"/>
      <c r="BX23" s="392"/>
      <c r="BY23" s="392"/>
      <c r="BZ23" s="392"/>
      <c r="CA23" s="392"/>
      <c r="CB23" s="392"/>
      <c r="CC23" s="392"/>
      <c r="CD23" s="392"/>
      <c r="CE23" s="392"/>
      <c r="CF23" s="392"/>
      <c r="CG23" s="392"/>
      <c r="CH23" s="392"/>
      <c r="CI23" s="392"/>
      <c r="CJ23" s="392"/>
      <c r="CK23" s="392"/>
      <c r="CL23" s="392"/>
      <c r="CM23" s="392"/>
      <c r="CN23" s="392"/>
      <c r="CO23" s="392"/>
      <c r="CP23" s="392"/>
      <c r="CQ23" s="392"/>
      <c r="CR23" s="392"/>
      <c r="CS23" s="392"/>
      <c r="CT23" s="392"/>
      <c r="CU23" s="392"/>
      <c r="CV23" s="392"/>
      <c r="CW23" s="392"/>
      <c r="CX23" s="392"/>
      <c r="CY23" s="392"/>
      <c r="CZ23" s="392"/>
      <c r="DA23" s="392"/>
      <c r="DB23" s="392"/>
      <c r="DC23" s="392"/>
      <c r="DD23" s="392"/>
      <c r="DE23" s="392"/>
      <c r="DF23" s="392"/>
      <c r="DG23" s="392"/>
      <c r="DH23" s="392"/>
      <c r="DI23" s="392"/>
      <c r="DJ23" s="392"/>
      <c r="DK23" s="392"/>
      <c r="DL23" s="392"/>
      <c r="DM23" s="392"/>
      <c r="DN23" s="392"/>
      <c r="DO23" s="392"/>
      <c r="DP23" s="392"/>
      <c r="DQ23" s="392"/>
      <c r="DR23" s="392"/>
      <c r="DS23" s="392"/>
      <c r="DT23" s="392"/>
      <c r="DU23" s="392"/>
      <c r="DV23" s="392"/>
      <c r="DW23" s="392"/>
      <c r="DX23" s="392"/>
      <c r="DY23" s="392"/>
      <c r="DZ23" s="392"/>
      <c r="EA23" s="392"/>
      <c r="EB23" s="392"/>
      <c r="EC23" s="392"/>
      <c r="ED23" s="392"/>
      <c r="EE23" s="392"/>
      <c r="EF23" s="392"/>
      <c r="EG23" s="392"/>
      <c r="EH23" s="392"/>
      <c r="EI23" s="392"/>
      <c r="EJ23" s="392"/>
      <c r="EK23" s="392"/>
      <c r="EL23" s="392"/>
      <c r="EM23" s="392"/>
      <c r="EN23" s="392"/>
      <c r="EO23" s="392"/>
      <c r="EP23" s="392"/>
      <c r="EQ23" s="392"/>
      <c r="ER23" s="392"/>
      <c r="ES23" s="392"/>
      <c r="ET23" s="392"/>
      <c r="EU23" s="392"/>
      <c r="EV23" s="392"/>
      <c r="EW23" s="392"/>
      <c r="EX23" s="392"/>
      <c r="EY23" s="392"/>
      <c r="EZ23" s="392"/>
      <c r="FA23" s="392"/>
      <c r="FB23" s="392"/>
      <c r="FC23" s="392"/>
      <c r="FD23" s="392"/>
      <c r="FE23" s="392"/>
      <c r="FF23" s="392"/>
      <c r="FG23" s="392"/>
      <c r="FH23" s="392"/>
      <c r="FI23" s="392"/>
      <c r="FJ23" s="392"/>
      <c r="FK23" s="392"/>
      <c r="FL23" s="392"/>
      <c r="FM23" s="392"/>
      <c r="FN23" s="392"/>
      <c r="FO23" s="392"/>
      <c r="FP23" s="392"/>
      <c r="FQ23" s="392"/>
      <c r="FR23" s="392"/>
      <c r="FS23" s="392"/>
      <c r="FT23" s="392"/>
      <c r="FU23" s="392"/>
      <c r="FV23" s="392"/>
      <c r="FW23" s="392"/>
      <c r="FX23" s="392"/>
      <c r="FY23" s="392"/>
      <c r="FZ23" s="392"/>
      <c r="GA23" s="392"/>
      <c r="GB23" s="392"/>
      <c r="GC23" s="392"/>
      <c r="GD23" s="392"/>
      <c r="GE23" s="392"/>
      <c r="GF23" s="392"/>
      <c r="GG23" s="392"/>
      <c r="GH23" s="392"/>
      <c r="GI23" s="392"/>
      <c r="GJ23" s="392"/>
      <c r="GK23" s="392"/>
      <c r="GL23" s="392"/>
      <c r="GM23" s="392"/>
      <c r="GN23" s="392"/>
      <c r="GO23" s="392"/>
      <c r="GP23" s="392"/>
      <c r="GQ23" s="392"/>
      <c r="GR23" s="392"/>
      <c r="GS23" s="392"/>
      <c r="GT23" s="392"/>
      <c r="GU23" s="392"/>
      <c r="GV23" s="392"/>
      <c r="GW23" s="392"/>
      <c r="GX23" s="392"/>
      <c r="GY23" s="392"/>
      <c r="GZ23" s="392"/>
      <c r="HA23" s="392"/>
      <c r="HB23" s="392"/>
      <c r="HC23" s="392"/>
      <c r="HD23" s="392"/>
      <c r="HE23" s="392"/>
      <c r="HF23" s="392"/>
      <c r="HG23" s="392"/>
      <c r="HH23" s="392"/>
      <c r="HI23" s="392"/>
      <c r="HJ23" s="392"/>
      <c r="HK23" s="392"/>
      <c r="HL23" s="392"/>
      <c r="HM23" s="392"/>
      <c r="HN23" s="392"/>
      <c r="HO23" s="392"/>
      <c r="HP23" s="392"/>
      <c r="HQ23" s="392"/>
      <c r="HR23" s="392"/>
      <c r="HS23" s="392"/>
      <c r="HT23" s="392"/>
      <c r="HU23" s="392"/>
      <c r="HV23" s="392"/>
      <c r="HW23" s="392"/>
      <c r="HX23" s="392"/>
      <c r="HY23" s="392"/>
      <c r="HZ23" s="392"/>
      <c r="IA23" s="392"/>
      <c r="IB23" s="392"/>
      <c r="IC23" s="392"/>
      <c r="ID23" s="392"/>
      <c r="IE23" s="392"/>
      <c r="IF23" s="392"/>
      <c r="IG23" s="392"/>
      <c r="IH23" s="392"/>
      <c r="II23" s="392"/>
      <c r="IJ23" s="392"/>
      <c r="IK23" s="392"/>
      <c r="IL23" s="392"/>
      <c r="IM23" s="392"/>
      <c r="IN23" s="392"/>
      <c r="IO23" s="392"/>
      <c r="IP23" s="392"/>
      <c r="IQ23" s="392"/>
      <c r="IR23" s="392"/>
      <c r="IS23" s="392"/>
      <c r="IT23" s="392"/>
      <c r="IU23" s="392"/>
      <c r="IV23" s="392"/>
    </row>
    <row r="24" spans="1:256" ht="15.75">
      <c r="A24" s="392"/>
      <c r="B24" s="412" t="s">
        <v>618</v>
      </c>
      <c r="C24" s="2375" t="s">
        <v>619</v>
      </c>
      <c r="D24" s="2375"/>
      <c r="E24" s="796">
        <v>6972</v>
      </c>
      <c r="F24" s="799">
        <v>4106</v>
      </c>
      <c r="G24" s="798">
        <v>4639</v>
      </c>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2"/>
      <c r="BF24" s="392"/>
      <c r="BG24" s="392"/>
      <c r="BH24" s="392"/>
      <c r="BI24" s="392"/>
      <c r="BJ24" s="392"/>
      <c r="BK24" s="392"/>
      <c r="BL24" s="392"/>
      <c r="BM24" s="392"/>
      <c r="BN24" s="392"/>
      <c r="BO24" s="392"/>
      <c r="BP24" s="392"/>
      <c r="BQ24" s="392"/>
      <c r="BR24" s="392"/>
      <c r="BS24" s="392"/>
      <c r="BT24" s="392"/>
      <c r="BU24" s="392"/>
      <c r="BV24" s="392"/>
      <c r="BW24" s="392"/>
      <c r="BX24" s="392"/>
      <c r="BY24" s="392"/>
      <c r="BZ24" s="392"/>
      <c r="CA24" s="392"/>
      <c r="CB24" s="392"/>
      <c r="CC24" s="392"/>
      <c r="CD24" s="392"/>
      <c r="CE24" s="392"/>
      <c r="CF24" s="392"/>
      <c r="CG24" s="392"/>
      <c r="CH24" s="392"/>
      <c r="CI24" s="392"/>
      <c r="CJ24" s="392"/>
      <c r="CK24" s="392"/>
      <c r="CL24" s="392"/>
      <c r="CM24" s="392"/>
      <c r="CN24" s="392"/>
      <c r="CO24" s="392"/>
      <c r="CP24" s="392"/>
      <c r="CQ24" s="392"/>
      <c r="CR24" s="392"/>
      <c r="CS24" s="392"/>
      <c r="CT24" s="392"/>
      <c r="CU24" s="392"/>
      <c r="CV24" s="392"/>
      <c r="CW24" s="392"/>
      <c r="CX24" s="392"/>
      <c r="CY24" s="392"/>
      <c r="CZ24" s="392"/>
      <c r="DA24" s="392"/>
      <c r="DB24" s="392"/>
      <c r="DC24" s="392"/>
      <c r="DD24" s="392"/>
      <c r="DE24" s="392"/>
      <c r="DF24" s="392"/>
      <c r="DG24" s="392"/>
      <c r="DH24" s="392"/>
      <c r="DI24" s="392"/>
      <c r="DJ24" s="392"/>
      <c r="DK24" s="392"/>
      <c r="DL24" s="392"/>
      <c r="DM24" s="392"/>
      <c r="DN24" s="392"/>
      <c r="DO24" s="392"/>
      <c r="DP24" s="392"/>
      <c r="DQ24" s="392"/>
      <c r="DR24" s="392"/>
      <c r="DS24" s="392"/>
      <c r="DT24" s="392"/>
      <c r="DU24" s="392"/>
      <c r="DV24" s="392"/>
      <c r="DW24" s="392"/>
      <c r="DX24" s="392"/>
      <c r="DY24" s="392"/>
      <c r="DZ24" s="392"/>
      <c r="EA24" s="392"/>
      <c r="EB24" s="392"/>
      <c r="EC24" s="392"/>
      <c r="ED24" s="392"/>
      <c r="EE24" s="392"/>
      <c r="EF24" s="392"/>
      <c r="EG24" s="392"/>
      <c r="EH24" s="392"/>
      <c r="EI24" s="392"/>
      <c r="EJ24" s="392"/>
      <c r="EK24" s="392"/>
      <c r="EL24" s="392"/>
      <c r="EM24" s="392"/>
      <c r="EN24" s="392"/>
      <c r="EO24" s="392"/>
      <c r="EP24" s="392"/>
      <c r="EQ24" s="392"/>
      <c r="ER24" s="392"/>
      <c r="ES24" s="392"/>
      <c r="ET24" s="392"/>
      <c r="EU24" s="392"/>
      <c r="EV24" s="392"/>
      <c r="EW24" s="392"/>
      <c r="EX24" s="392"/>
      <c r="EY24" s="392"/>
      <c r="EZ24" s="392"/>
      <c r="FA24" s="392"/>
      <c r="FB24" s="392"/>
      <c r="FC24" s="392"/>
      <c r="FD24" s="392"/>
      <c r="FE24" s="392"/>
      <c r="FF24" s="392"/>
      <c r="FG24" s="392"/>
      <c r="FH24" s="392"/>
      <c r="FI24" s="392"/>
      <c r="FJ24" s="392"/>
      <c r="FK24" s="392"/>
      <c r="FL24" s="392"/>
      <c r="FM24" s="392"/>
      <c r="FN24" s="392"/>
      <c r="FO24" s="392"/>
      <c r="FP24" s="392"/>
      <c r="FQ24" s="392"/>
      <c r="FR24" s="392"/>
      <c r="FS24" s="392"/>
      <c r="FT24" s="392"/>
      <c r="FU24" s="392"/>
      <c r="FV24" s="392"/>
      <c r="FW24" s="392"/>
      <c r="FX24" s="392"/>
      <c r="FY24" s="392"/>
      <c r="FZ24" s="392"/>
      <c r="GA24" s="392"/>
      <c r="GB24" s="392"/>
      <c r="GC24" s="392"/>
      <c r="GD24" s="392"/>
      <c r="GE24" s="392"/>
      <c r="GF24" s="392"/>
      <c r="GG24" s="392"/>
      <c r="GH24" s="392"/>
      <c r="GI24" s="392"/>
      <c r="GJ24" s="392"/>
      <c r="GK24" s="392"/>
      <c r="GL24" s="392"/>
      <c r="GM24" s="392"/>
      <c r="GN24" s="392"/>
      <c r="GO24" s="392"/>
      <c r="GP24" s="392"/>
      <c r="GQ24" s="392"/>
      <c r="GR24" s="392"/>
      <c r="GS24" s="392"/>
      <c r="GT24" s="392"/>
      <c r="GU24" s="392"/>
      <c r="GV24" s="392"/>
      <c r="GW24" s="392"/>
      <c r="GX24" s="392"/>
      <c r="GY24" s="392"/>
      <c r="GZ24" s="392"/>
      <c r="HA24" s="392"/>
      <c r="HB24" s="392"/>
      <c r="HC24" s="392"/>
      <c r="HD24" s="392"/>
      <c r="HE24" s="392"/>
      <c r="HF24" s="392"/>
      <c r="HG24" s="392"/>
      <c r="HH24" s="392"/>
      <c r="HI24" s="392"/>
      <c r="HJ24" s="392"/>
      <c r="HK24" s="392"/>
      <c r="HL24" s="392"/>
      <c r="HM24" s="392"/>
      <c r="HN24" s="392"/>
      <c r="HO24" s="392"/>
      <c r="HP24" s="392"/>
      <c r="HQ24" s="392"/>
      <c r="HR24" s="392"/>
      <c r="HS24" s="392"/>
      <c r="HT24" s="392"/>
      <c r="HU24" s="392"/>
      <c r="HV24" s="392"/>
      <c r="HW24" s="392"/>
      <c r="HX24" s="392"/>
      <c r="HY24" s="392"/>
      <c r="HZ24" s="392"/>
      <c r="IA24" s="392"/>
      <c r="IB24" s="392"/>
      <c r="IC24" s="392"/>
      <c r="ID24" s="392"/>
      <c r="IE24" s="392"/>
      <c r="IF24" s="392"/>
      <c r="IG24" s="392"/>
      <c r="IH24" s="392"/>
      <c r="II24" s="392"/>
      <c r="IJ24" s="392"/>
      <c r="IK24" s="392"/>
      <c r="IL24" s="392"/>
      <c r="IM24" s="392"/>
      <c r="IN24" s="392"/>
      <c r="IO24" s="392"/>
      <c r="IP24" s="392"/>
      <c r="IQ24" s="392"/>
      <c r="IR24" s="392"/>
      <c r="IS24" s="392"/>
      <c r="IT24" s="392"/>
      <c r="IU24" s="392"/>
      <c r="IV24" s="392"/>
    </row>
    <row r="25" spans="1:256" ht="16.5" thickBot="1">
      <c r="A25" s="392"/>
      <c r="B25" s="414" t="s">
        <v>620</v>
      </c>
      <c r="C25" s="2388" t="s">
        <v>621</v>
      </c>
      <c r="D25" s="2388"/>
      <c r="E25" s="415">
        <v>1260</v>
      </c>
      <c r="F25" s="416">
        <v>1080</v>
      </c>
      <c r="G25" s="417">
        <v>1705</v>
      </c>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2"/>
      <c r="BF25" s="392"/>
      <c r="BG25" s="392"/>
      <c r="BH25" s="392"/>
      <c r="BI25" s="392"/>
      <c r="BJ25" s="392"/>
      <c r="BK25" s="392"/>
      <c r="BL25" s="392"/>
      <c r="BM25" s="392"/>
      <c r="BN25" s="392"/>
      <c r="BO25" s="392"/>
      <c r="BP25" s="392"/>
      <c r="BQ25" s="392"/>
      <c r="BR25" s="392"/>
      <c r="BS25" s="392"/>
      <c r="BT25" s="392"/>
      <c r="BU25" s="392"/>
      <c r="BV25" s="392"/>
      <c r="BW25" s="392"/>
      <c r="BX25" s="392"/>
      <c r="BY25" s="392"/>
      <c r="BZ25" s="392"/>
      <c r="CA25" s="392"/>
      <c r="CB25" s="392"/>
      <c r="CC25" s="392"/>
      <c r="CD25" s="392"/>
      <c r="CE25" s="392"/>
      <c r="CF25" s="392"/>
      <c r="CG25" s="392"/>
      <c r="CH25" s="392"/>
      <c r="CI25" s="392"/>
      <c r="CJ25" s="392"/>
      <c r="CK25" s="392"/>
      <c r="CL25" s="392"/>
      <c r="CM25" s="392"/>
      <c r="CN25" s="392"/>
      <c r="CO25" s="392"/>
      <c r="CP25" s="392"/>
      <c r="CQ25" s="392"/>
      <c r="CR25" s="392"/>
      <c r="CS25" s="392"/>
      <c r="CT25" s="392"/>
      <c r="CU25" s="392"/>
      <c r="CV25" s="392"/>
      <c r="CW25" s="392"/>
      <c r="CX25" s="392"/>
      <c r="CY25" s="392"/>
      <c r="CZ25" s="392"/>
      <c r="DA25" s="392"/>
      <c r="DB25" s="392"/>
      <c r="DC25" s="392"/>
      <c r="DD25" s="392"/>
      <c r="DE25" s="392"/>
      <c r="DF25" s="392"/>
      <c r="DG25" s="392"/>
      <c r="DH25" s="392"/>
      <c r="DI25" s="392"/>
      <c r="DJ25" s="392"/>
      <c r="DK25" s="392"/>
      <c r="DL25" s="392"/>
      <c r="DM25" s="392"/>
      <c r="DN25" s="392"/>
      <c r="DO25" s="392"/>
      <c r="DP25" s="392"/>
      <c r="DQ25" s="392"/>
      <c r="DR25" s="392"/>
      <c r="DS25" s="392"/>
      <c r="DT25" s="392"/>
      <c r="DU25" s="392"/>
      <c r="DV25" s="392"/>
      <c r="DW25" s="392"/>
      <c r="DX25" s="392"/>
      <c r="DY25" s="392"/>
      <c r="DZ25" s="392"/>
      <c r="EA25" s="392"/>
      <c r="EB25" s="392"/>
      <c r="EC25" s="392"/>
      <c r="ED25" s="392"/>
      <c r="EE25" s="392"/>
      <c r="EF25" s="392"/>
      <c r="EG25" s="392"/>
      <c r="EH25" s="392"/>
      <c r="EI25" s="392"/>
      <c r="EJ25" s="392"/>
      <c r="EK25" s="392"/>
      <c r="EL25" s="392"/>
      <c r="EM25" s="392"/>
      <c r="EN25" s="392"/>
      <c r="EO25" s="392"/>
      <c r="EP25" s="392"/>
      <c r="EQ25" s="392"/>
      <c r="ER25" s="392"/>
      <c r="ES25" s="392"/>
      <c r="ET25" s="392"/>
      <c r="EU25" s="392"/>
      <c r="EV25" s="392"/>
      <c r="EW25" s="392"/>
      <c r="EX25" s="392"/>
      <c r="EY25" s="392"/>
      <c r="EZ25" s="392"/>
      <c r="FA25" s="392"/>
      <c r="FB25" s="392"/>
      <c r="FC25" s="392"/>
      <c r="FD25" s="392"/>
      <c r="FE25" s="392"/>
      <c r="FF25" s="392"/>
      <c r="FG25" s="392"/>
      <c r="FH25" s="392"/>
      <c r="FI25" s="392"/>
      <c r="FJ25" s="392"/>
      <c r="FK25" s="392"/>
      <c r="FL25" s="392"/>
      <c r="FM25" s="392"/>
      <c r="FN25" s="392"/>
      <c r="FO25" s="392"/>
      <c r="FP25" s="392"/>
      <c r="FQ25" s="392"/>
      <c r="FR25" s="392"/>
      <c r="FS25" s="392"/>
      <c r="FT25" s="392"/>
      <c r="FU25" s="392"/>
      <c r="FV25" s="392"/>
      <c r="FW25" s="392"/>
      <c r="FX25" s="392"/>
      <c r="FY25" s="392"/>
      <c r="FZ25" s="392"/>
      <c r="GA25" s="392"/>
      <c r="GB25" s="392"/>
      <c r="GC25" s="392"/>
      <c r="GD25" s="392"/>
      <c r="GE25" s="392"/>
      <c r="GF25" s="392"/>
      <c r="GG25" s="392"/>
      <c r="GH25" s="392"/>
      <c r="GI25" s="392"/>
      <c r="GJ25" s="392"/>
      <c r="GK25" s="392"/>
      <c r="GL25" s="392"/>
      <c r="GM25" s="392"/>
      <c r="GN25" s="392"/>
      <c r="GO25" s="392"/>
      <c r="GP25" s="392"/>
      <c r="GQ25" s="392"/>
      <c r="GR25" s="392"/>
      <c r="GS25" s="392"/>
      <c r="GT25" s="392"/>
      <c r="GU25" s="392"/>
      <c r="GV25" s="392"/>
      <c r="GW25" s="392"/>
      <c r="GX25" s="392"/>
      <c r="GY25" s="392"/>
      <c r="GZ25" s="392"/>
      <c r="HA25" s="392"/>
      <c r="HB25" s="392"/>
      <c r="HC25" s="392"/>
      <c r="HD25" s="392"/>
      <c r="HE25" s="392"/>
      <c r="HF25" s="392"/>
      <c r="HG25" s="392"/>
      <c r="HH25" s="392"/>
      <c r="HI25" s="392"/>
      <c r="HJ25" s="392"/>
      <c r="HK25" s="392"/>
      <c r="HL25" s="392"/>
      <c r="HM25" s="392"/>
      <c r="HN25" s="392"/>
      <c r="HO25" s="392"/>
      <c r="HP25" s="392"/>
      <c r="HQ25" s="392"/>
      <c r="HR25" s="392"/>
      <c r="HS25" s="392"/>
      <c r="HT25" s="392"/>
      <c r="HU25" s="392"/>
      <c r="HV25" s="392"/>
      <c r="HW25" s="392"/>
      <c r="HX25" s="392"/>
      <c r="HY25" s="392"/>
      <c r="HZ25" s="392"/>
      <c r="IA25" s="392"/>
      <c r="IB25" s="392"/>
      <c r="IC25" s="392"/>
      <c r="ID25" s="392"/>
      <c r="IE25" s="392"/>
      <c r="IF25" s="392"/>
      <c r="IG25" s="392"/>
      <c r="IH25" s="392"/>
      <c r="II25" s="392"/>
      <c r="IJ25" s="392"/>
      <c r="IK25" s="392"/>
      <c r="IL25" s="392"/>
      <c r="IM25" s="392"/>
      <c r="IN25" s="392"/>
      <c r="IO25" s="392"/>
      <c r="IP25" s="392"/>
      <c r="IQ25" s="392"/>
      <c r="IR25" s="392"/>
      <c r="IS25" s="392"/>
      <c r="IT25" s="392"/>
      <c r="IU25" s="392"/>
      <c r="IV25" s="392"/>
    </row>
    <row r="26" spans="1:256" ht="16.5" thickBot="1">
      <c r="A26" s="392"/>
      <c r="B26" s="2367" t="s">
        <v>622</v>
      </c>
      <c r="C26" s="2368"/>
      <c r="D26" s="2369"/>
      <c r="E26" s="418">
        <f>SUM(E15:E25)</f>
        <v>23562</v>
      </c>
      <c r="F26" s="418">
        <f>SUM(F15:F25)</f>
        <v>23700</v>
      </c>
      <c r="G26" s="419">
        <f>SUM(G15:G25)</f>
        <v>22088</v>
      </c>
      <c r="H26" s="392"/>
      <c r="I26" s="392"/>
      <c r="J26" s="392"/>
      <c r="K26" s="392"/>
      <c r="L26" s="392"/>
      <c r="M26" s="392"/>
      <c r="N26" s="392"/>
      <c r="O26" s="392"/>
      <c r="P26" s="392"/>
      <c r="Q26" s="392"/>
      <c r="R26" s="392"/>
      <c r="S26" s="392"/>
      <c r="T26" s="392"/>
      <c r="U26" s="392"/>
      <c r="V26" s="392"/>
      <c r="W26" s="392"/>
      <c r="X26" s="392"/>
      <c r="Y26" s="392"/>
      <c r="Z26" s="392"/>
      <c r="AA26" s="392"/>
      <c r="AB26" s="392"/>
      <c r="AC26" s="392"/>
      <c r="AD26" s="392"/>
      <c r="AE26" s="392"/>
      <c r="AF26" s="392"/>
      <c r="AG26" s="392"/>
      <c r="AH26" s="392"/>
      <c r="AI26" s="392"/>
      <c r="AJ26" s="392"/>
      <c r="AK26" s="392"/>
      <c r="AL26" s="392"/>
      <c r="AM26" s="392"/>
      <c r="AN26" s="392"/>
      <c r="AO26" s="392"/>
      <c r="AP26" s="392"/>
      <c r="AQ26" s="392"/>
      <c r="AR26" s="392"/>
      <c r="AS26" s="392"/>
      <c r="AT26" s="392"/>
      <c r="AU26" s="392"/>
      <c r="AV26" s="392"/>
      <c r="AW26" s="392"/>
      <c r="AX26" s="392"/>
      <c r="AY26" s="392"/>
      <c r="AZ26" s="392"/>
      <c r="BA26" s="392"/>
      <c r="BB26" s="392"/>
      <c r="BC26" s="392"/>
      <c r="BD26" s="392"/>
      <c r="BE26" s="392"/>
      <c r="BF26" s="392"/>
      <c r="BG26" s="392"/>
      <c r="BH26" s="392"/>
      <c r="BI26" s="392"/>
      <c r="BJ26" s="392"/>
      <c r="BK26" s="392"/>
      <c r="BL26" s="392"/>
      <c r="BM26" s="392"/>
      <c r="BN26" s="392"/>
      <c r="BO26" s="392"/>
      <c r="BP26" s="392"/>
      <c r="BQ26" s="392"/>
      <c r="BR26" s="392"/>
      <c r="BS26" s="392"/>
      <c r="BT26" s="392"/>
      <c r="BU26" s="392"/>
      <c r="BV26" s="392"/>
      <c r="BW26" s="392"/>
      <c r="BX26" s="392"/>
      <c r="BY26" s="392"/>
      <c r="BZ26" s="392"/>
      <c r="CA26" s="392"/>
      <c r="CB26" s="392"/>
      <c r="CC26" s="392"/>
      <c r="CD26" s="392"/>
      <c r="CE26" s="392"/>
      <c r="CF26" s="392"/>
      <c r="CG26" s="392"/>
      <c r="CH26" s="392"/>
      <c r="CI26" s="392"/>
      <c r="CJ26" s="392"/>
      <c r="CK26" s="392"/>
      <c r="CL26" s="392"/>
      <c r="CM26" s="392"/>
      <c r="CN26" s="392"/>
      <c r="CO26" s="392"/>
      <c r="CP26" s="392"/>
      <c r="CQ26" s="392"/>
      <c r="CR26" s="392"/>
      <c r="CS26" s="392"/>
      <c r="CT26" s="392"/>
      <c r="CU26" s="392"/>
      <c r="CV26" s="392"/>
      <c r="CW26" s="392"/>
      <c r="CX26" s="392"/>
      <c r="CY26" s="392"/>
      <c r="CZ26" s="392"/>
      <c r="DA26" s="392"/>
      <c r="DB26" s="392"/>
      <c r="DC26" s="392"/>
      <c r="DD26" s="392"/>
      <c r="DE26" s="392"/>
      <c r="DF26" s="392"/>
      <c r="DG26" s="392"/>
      <c r="DH26" s="392"/>
      <c r="DI26" s="392"/>
      <c r="DJ26" s="392"/>
      <c r="DK26" s="392"/>
      <c r="DL26" s="392"/>
      <c r="DM26" s="392"/>
      <c r="DN26" s="392"/>
      <c r="DO26" s="392"/>
      <c r="DP26" s="392"/>
      <c r="DQ26" s="392"/>
      <c r="DR26" s="392"/>
      <c r="DS26" s="392"/>
      <c r="DT26" s="392"/>
      <c r="DU26" s="392"/>
      <c r="DV26" s="392"/>
      <c r="DW26" s="392"/>
      <c r="DX26" s="392"/>
      <c r="DY26" s="392"/>
      <c r="DZ26" s="392"/>
      <c r="EA26" s="392"/>
      <c r="EB26" s="392"/>
      <c r="EC26" s="392"/>
      <c r="ED26" s="392"/>
      <c r="EE26" s="392"/>
      <c r="EF26" s="392"/>
      <c r="EG26" s="392"/>
      <c r="EH26" s="392"/>
      <c r="EI26" s="392"/>
      <c r="EJ26" s="392"/>
      <c r="EK26" s="392"/>
      <c r="EL26" s="392"/>
      <c r="EM26" s="392"/>
      <c r="EN26" s="392"/>
      <c r="EO26" s="392"/>
      <c r="EP26" s="392"/>
      <c r="EQ26" s="392"/>
      <c r="ER26" s="392"/>
      <c r="ES26" s="392"/>
      <c r="ET26" s="392"/>
      <c r="EU26" s="392"/>
      <c r="EV26" s="392"/>
      <c r="EW26" s="392"/>
      <c r="EX26" s="392"/>
      <c r="EY26" s="392"/>
      <c r="EZ26" s="392"/>
      <c r="FA26" s="392"/>
      <c r="FB26" s="392"/>
      <c r="FC26" s="392"/>
      <c r="FD26" s="392"/>
      <c r="FE26" s="392"/>
      <c r="FF26" s="392"/>
      <c r="FG26" s="392"/>
      <c r="FH26" s="392"/>
      <c r="FI26" s="392"/>
      <c r="FJ26" s="392"/>
      <c r="FK26" s="392"/>
      <c r="FL26" s="392"/>
      <c r="FM26" s="392"/>
      <c r="FN26" s="392"/>
      <c r="FO26" s="392"/>
      <c r="FP26" s="392"/>
      <c r="FQ26" s="392"/>
      <c r="FR26" s="392"/>
      <c r="FS26" s="392"/>
      <c r="FT26" s="392"/>
      <c r="FU26" s="392"/>
      <c r="FV26" s="392"/>
      <c r="FW26" s="392"/>
      <c r="FX26" s="392"/>
      <c r="FY26" s="392"/>
      <c r="FZ26" s="392"/>
      <c r="GA26" s="392"/>
      <c r="GB26" s="392"/>
      <c r="GC26" s="392"/>
      <c r="GD26" s="392"/>
      <c r="GE26" s="392"/>
      <c r="GF26" s="392"/>
      <c r="GG26" s="392"/>
      <c r="GH26" s="392"/>
      <c r="GI26" s="392"/>
      <c r="GJ26" s="392"/>
      <c r="GK26" s="392"/>
      <c r="GL26" s="392"/>
      <c r="GM26" s="392"/>
      <c r="GN26" s="392"/>
      <c r="GO26" s="392"/>
      <c r="GP26" s="392"/>
      <c r="GQ26" s="392"/>
      <c r="GR26" s="392"/>
      <c r="GS26" s="392"/>
      <c r="GT26" s="392"/>
      <c r="GU26" s="392"/>
      <c r="GV26" s="392"/>
      <c r="GW26" s="392"/>
      <c r="GX26" s="392"/>
      <c r="GY26" s="392"/>
      <c r="GZ26" s="392"/>
      <c r="HA26" s="392"/>
      <c r="HB26" s="392"/>
      <c r="HC26" s="392"/>
      <c r="HD26" s="392"/>
      <c r="HE26" s="392"/>
      <c r="HF26" s="392"/>
      <c r="HG26" s="392"/>
      <c r="HH26" s="392"/>
      <c r="HI26" s="392"/>
      <c r="HJ26" s="392"/>
      <c r="HK26" s="392"/>
      <c r="HL26" s="392"/>
      <c r="HM26" s="392"/>
      <c r="HN26" s="392"/>
      <c r="HO26" s="392"/>
      <c r="HP26" s="392"/>
      <c r="HQ26" s="392"/>
      <c r="HR26" s="392"/>
      <c r="HS26" s="392"/>
      <c r="HT26" s="392"/>
      <c r="HU26" s="392"/>
      <c r="HV26" s="392"/>
      <c r="HW26" s="392"/>
      <c r="HX26" s="392"/>
      <c r="HY26" s="392"/>
      <c r="HZ26" s="392"/>
      <c r="IA26" s="392"/>
      <c r="IB26" s="392"/>
      <c r="IC26" s="392"/>
      <c r="ID26" s="392"/>
      <c r="IE26" s="392"/>
      <c r="IF26" s="392"/>
      <c r="IG26" s="392"/>
      <c r="IH26" s="392"/>
      <c r="II26" s="392"/>
      <c r="IJ26" s="392"/>
      <c r="IK26" s="392"/>
      <c r="IL26" s="392"/>
      <c r="IM26" s="392"/>
      <c r="IN26" s="392"/>
      <c r="IO26" s="392"/>
      <c r="IP26" s="392"/>
      <c r="IQ26" s="392"/>
      <c r="IR26" s="392"/>
      <c r="IS26" s="392"/>
      <c r="IT26" s="392"/>
      <c r="IU26" s="392"/>
      <c r="IV26" s="392"/>
    </row>
    <row r="27" spans="1:256" ht="16.5" thickBot="1">
      <c r="A27" s="392"/>
      <c r="B27" s="2370" t="s">
        <v>180</v>
      </c>
      <c r="C27" s="2371"/>
      <c r="D27" s="2372">
        <v>8923.75</v>
      </c>
      <c r="E27" s="2373">
        <f>MEDIAN(E26:G26)</f>
        <v>23562</v>
      </c>
      <c r="F27" s="2373"/>
      <c r="G27" s="2374"/>
      <c r="H27" s="392"/>
      <c r="I27" s="392"/>
      <c r="J27" s="392"/>
      <c r="K27" s="392"/>
      <c r="L27" s="392"/>
      <c r="M27" s="392"/>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c r="AK27" s="392"/>
      <c r="AL27" s="392"/>
      <c r="AM27" s="392"/>
      <c r="AN27" s="392"/>
      <c r="AO27" s="392"/>
      <c r="AP27" s="392"/>
      <c r="AQ27" s="392"/>
      <c r="AR27" s="392"/>
      <c r="AS27" s="392"/>
      <c r="AT27" s="392"/>
      <c r="AU27" s="392"/>
      <c r="AV27" s="392"/>
      <c r="AW27" s="392"/>
      <c r="AX27" s="392"/>
      <c r="AY27" s="392"/>
      <c r="AZ27" s="392"/>
      <c r="BA27" s="392"/>
      <c r="BB27" s="392"/>
      <c r="BC27" s="392"/>
      <c r="BD27" s="392"/>
      <c r="BE27" s="392"/>
      <c r="BF27" s="392"/>
      <c r="BG27" s="392"/>
      <c r="BH27" s="392"/>
      <c r="BI27" s="392"/>
      <c r="BJ27" s="392"/>
      <c r="BK27" s="392"/>
      <c r="BL27" s="392"/>
      <c r="BM27" s="392"/>
      <c r="BN27" s="392"/>
      <c r="BO27" s="392"/>
      <c r="BP27" s="392"/>
      <c r="BQ27" s="392"/>
      <c r="BR27" s="392"/>
      <c r="BS27" s="392"/>
      <c r="BT27" s="392"/>
      <c r="BU27" s="392"/>
      <c r="BV27" s="392"/>
      <c r="BW27" s="392"/>
      <c r="BX27" s="392"/>
      <c r="BY27" s="392"/>
      <c r="BZ27" s="392"/>
      <c r="CA27" s="392"/>
      <c r="CB27" s="392"/>
      <c r="CC27" s="392"/>
      <c r="CD27" s="392"/>
      <c r="CE27" s="392"/>
      <c r="CF27" s="392"/>
      <c r="CG27" s="392"/>
      <c r="CH27" s="392"/>
      <c r="CI27" s="392"/>
      <c r="CJ27" s="392"/>
      <c r="CK27" s="392"/>
      <c r="CL27" s="392"/>
      <c r="CM27" s="392"/>
      <c r="CN27" s="392"/>
      <c r="CO27" s="392"/>
      <c r="CP27" s="392"/>
      <c r="CQ27" s="392"/>
      <c r="CR27" s="392"/>
      <c r="CS27" s="392"/>
      <c r="CT27" s="392"/>
      <c r="CU27" s="392"/>
      <c r="CV27" s="392"/>
      <c r="CW27" s="392"/>
      <c r="CX27" s="392"/>
      <c r="CY27" s="392"/>
      <c r="CZ27" s="392"/>
      <c r="DA27" s="392"/>
      <c r="DB27" s="392"/>
      <c r="DC27" s="392"/>
      <c r="DD27" s="392"/>
      <c r="DE27" s="392"/>
      <c r="DF27" s="392"/>
      <c r="DG27" s="392"/>
      <c r="DH27" s="392"/>
      <c r="DI27" s="392"/>
      <c r="DJ27" s="392"/>
      <c r="DK27" s="392"/>
      <c r="DL27" s="392"/>
      <c r="DM27" s="392"/>
      <c r="DN27" s="392"/>
      <c r="DO27" s="392"/>
      <c r="DP27" s="392"/>
      <c r="DQ27" s="392"/>
      <c r="DR27" s="392"/>
      <c r="DS27" s="392"/>
      <c r="DT27" s="392"/>
      <c r="DU27" s="392"/>
      <c r="DV27" s="392"/>
      <c r="DW27" s="392"/>
      <c r="DX27" s="392"/>
      <c r="DY27" s="392"/>
      <c r="DZ27" s="392"/>
      <c r="EA27" s="392"/>
      <c r="EB27" s="392"/>
      <c r="EC27" s="392"/>
      <c r="ED27" s="392"/>
      <c r="EE27" s="392"/>
      <c r="EF27" s="392"/>
      <c r="EG27" s="392"/>
      <c r="EH27" s="392"/>
      <c r="EI27" s="392"/>
      <c r="EJ27" s="392"/>
      <c r="EK27" s="392"/>
      <c r="EL27" s="392"/>
      <c r="EM27" s="392"/>
      <c r="EN27" s="392"/>
      <c r="EO27" s="392"/>
      <c r="EP27" s="392"/>
      <c r="EQ27" s="392"/>
      <c r="ER27" s="392"/>
      <c r="ES27" s="392"/>
      <c r="ET27" s="392"/>
      <c r="EU27" s="392"/>
      <c r="EV27" s="392"/>
      <c r="EW27" s="392"/>
      <c r="EX27" s="392"/>
      <c r="EY27" s="392"/>
      <c r="EZ27" s="392"/>
      <c r="FA27" s="392"/>
      <c r="FB27" s="392"/>
      <c r="FC27" s="392"/>
      <c r="FD27" s="392"/>
      <c r="FE27" s="392"/>
      <c r="FF27" s="392"/>
      <c r="FG27" s="392"/>
      <c r="FH27" s="392"/>
      <c r="FI27" s="392"/>
      <c r="FJ27" s="392"/>
      <c r="FK27" s="392"/>
      <c r="FL27" s="392"/>
      <c r="FM27" s="392"/>
      <c r="FN27" s="392"/>
      <c r="FO27" s="392"/>
      <c r="FP27" s="392"/>
      <c r="FQ27" s="392"/>
      <c r="FR27" s="392"/>
      <c r="FS27" s="392"/>
      <c r="FT27" s="392"/>
      <c r="FU27" s="392"/>
      <c r="FV27" s="392"/>
      <c r="FW27" s="392"/>
      <c r="FX27" s="392"/>
      <c r="FY27" s="392"/>
      <c r="FZ27" s="392"/>
      <c r="GA27" s="392"/>
      <c r="GB27" s="392"/>
      <c r="GC27" s="392"/>
      <c r="GD27" s="392"/>
      <c r="GE27" s="392"/>
      <c r="GF27" s="392"/>
      <c r="GG27" s="392"/>
      <c r="GH27" s="392"/>
      <c r="GI27" s="392"/>
      <c r="GJ27" s="392"/>
      <c r="GK27" s="392"/>
      <c r="GL27" s="392"/>
      <c r="GM27" s="392"/>
      <c r="GN27" s="392"/>
      <c r="GO27" s="392"/>
      <c r="GP27" s="392"/>
      <c r="GQ27" s="392"/>
      <c r="GR27" s="392"/>
      <c r="GS27" s="392"/>
      <c r="GT27" s="392"/>
      <c r="GU27" s="392"/>
      <c r="GV27" s="392"/>
      <c r="GW27" s="392"/>
      <c r="GX27" s="392"/>
      <c r="GY27" s="392"/>
      <c r="GZ27" s="392"/>
      <c r="HA27" s="392"/>
      <c r="HB27" s="392"/>
      <c r="HC27" s="392"/>
      <c r="HD27" s="392"/>
      <c r="HE27" s="392"/>
      <c r="HF27" s="392"/>
      <c r="HG27" s="392"/>
      <c r="HH27" s="392"/>
      <c r="HI27" s="392"/>
      <c r="HJ27" s="392"/>
      <c r="HK27" s="392"/>
      <c r="HL27" s="392"/>
      <c r="HM27" s="392"/>
      <c r="HN27" s="392"/>
      <c r="HO27" s="392"/>
      <c r="HP27" s="392"/>
      <c r="HQ27" s="392"/>
      <c r="HR27" s="392"/>
      <c r="HS27" s="392"/>
      <c r="HT27" s="392"/>
      <c r="HU27" s="392"/>
      <c r="HV27" s="392"/>
      <c r="HW27" s="392"/>
      <c r="HX27" s="392"/>
      <c r="HY27" s="392"/>
      <c r="HZ27" s="392"/>
      <c r="IA27" s="392"/>
      <c r="IB27" s="392"/>
      <c r="IC27" s="392"/>
      <c r="ID27" s="392"/>
      <c r="IE27" s="392"/>
      <c r="IF27" s="392"/>
      <c r="IG27" s="392"/>
      <c r="IH27" s="392"/>
      <c r="II27" s="392"/>
      <c r="IJ27" s="392"/>
      <c r="IK27" s="392"/>
      <c r="IL27" s="392"/>
      <c r="IM27" s="392"/>
      <c r="IN27" s="392"/>
      <c r="IO27" s="392"/>
      <c r="IP27" s="392"/>
      <c r="IQ27" s="392"/>
      <c r="IR27" s="392"/>
      <c r="IS27" s="392"/>
      <c r="IT27" s="392"/>
      <c r="IU27" s="392"/>
      <c r="IV27" s="392"/>
    </row>
    <row r="28" spans="1:256" s="420" customFormat="1" ht="22.5" customHeight="1" thickBot="1">
      <c r="B28" s="421"/>
      <c r="C28" s="421"/>
      <c r="D28" s="421"/>
      <c r="E28" s="422"/>
      <c r="F28" s="423"/>
      <c r="G28" s="423"/>
    </row>
    <row r="29" spans="1:256" ht="16.5" thickBot="1">
      <c r="A29" s="392"/>
      <c r="B29" s="2357" t="s">
        <v>623</v>
      </c>
      <c r="C29" s="2358"/>
      <c r="D29" s="2358"/>
      <c r="E29" s="2358"/>
      <c r="F29" s="2358"/>
      <c r="G29" s="2359"/>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392"/>
      <c r="BK29" s="392"/>
      <c r="BL29" s="392"/>
      <c r="BM29" s="392"/>
      <c r="BN29" s="392"/>
      <c r="BO29" s="392"/>
      <c r="BP29" s="392"/>
      <c r="BQ29" s="392"/>
      <c r="BR29" s="392"/>
      <c r="BS29" s="392"/>
      <c r="BT29" s="392"/>
      <c r="BU29" s="392"/>
      <c r="BV29" s="392"/>
      <c r="BW29" s="392"/>
      <c r="BX29" s="392"/>
      <c r="BY29" s="392"/>
      <c r="BZ29" s="392"/>
      <c r="CA29" s="392"/>
      <c r="CB29" s="392"/>
      <c r="CC29" s="392"/>
      <c r="CD29" s="392"/>
      <c r="CE29" s="392"/>
      <c r="CF29" s="392"/>
      <c r="CG29" s="392"/>
      <c r="CH29" s="392"/>
      <c r="CI29" s="392"/>
      <c r="CJ29" s="392"/>
      <c r="CK29" s="392"/>
      <c r="CL29" s="392"/>
      <c r="CM29" s="392"/>
      <c r="CN29" s="392"/>
      <c r="CO29" s="392"/>
      <c r="CP29" s="392"/>
      <c r="CQ29" s="392"/>
      <c r="CR29" s="392"/>
      <c r="CS29" s="392"/>
      <c r="CT29" s="392"/>
      <c r="CU29" s="392"/>
      <c r="CV29" s="392"/>
      <c r="CW29" s="392"/>
      <c r="CX29" s="392"/>
      <c r="CY29" s="392"/>
      <c r="CZ29" s="392"/>
      <c r="DA29" s="392"/>
      <c r="DB29" s="392"/>
      <c r="DC29" s="392"/>
      <c r="DD29" s="392"/>
      <c r="DE29" s="392"/>
      <c r="DF29" s="392"/>
      <c r="DG29" s="392"/>
      <c r="DH29" s="392"/>
      <c r="DI29" s="392"/>
      <c r="DJ29" s="392"/>
      <c r="DK29" s="392"/>
      <c r="DL29" s="392"/>
      <c r="DM29" s="392"/>
      <c r="DN29" s="392"/>
      <c r="DO29" s="392"/>
      <c r="DP29" s="392"/>
      <c r="DQ29" s="392"/>
      <c r="DR29" s="392"/>
      <c r="DS29" s="392"/>
      <c r="DT29" s="392"/>
      <c r="DU29" s="392"/>
      <c r="DV29" s="392"/>
      <c r="DW29" s="392"/>
      <c r="DX29" s="392"/>
      <c r="DY29" s="392"/>
      <c r="DZ29" s="392"/>
      <c r="EA29" s="392"/>
      <c r="EB29" s="392"/>
      <c r="EC29" s="392"/>
      <c r="ED29" s="392"/>
      <c r="EE29" s="392"/>
      <c r="EF29" s="392"/>
      <c r="EG29" s="392"/>
      <c r="EH29" s="392"/>
      <c r="EI29" s="392"/>
      <c r="EJ29" s="392"/>
      <c r="EK29" s="392"/>
      <c r="EL29" s="392"/>
      <c r="EM29" s="392"/>
      <c r="EN29" s="392"/>
      <c r="EO29" s="392"/>
      <c r="EP29" s="392"/>
      <c r="EQ29" s="392"/>
      <c r="ER29" s="392"/>
      <c r="ES29" s="392"/>
      <c r="ET29" s="392"/>
      <c r="EU29" s="392"/>
      <c r="EV29" s="392"/>
      <c r="EW29" s="392"/>
      <c r="EX29" s="392"/>
      <c r="EY29" s="392"/>
      <c r="EZ29" s="392"/>
      <c r="FA29" s="392"/>
      <c r="FB29" s="392"/>
      <c r="FC29" s="392"/>
      <c r="FD29" s="392"/>
      <c r="FE29" s="392"/>
      <c r="FF29" s="392"/>
      <c r="FG29" s="392"/>
      <c r="FH29" s="392"/>
      <c r="FI29" s="392"/>
      <c r="FJ29" s="392"/>
      <c r="FK29" s="392"/>
      <c r="FL29" s="392"/>
      <c r="FM29" s="392"/>
      <c r="FN29" s="392"/>
      <c r="FO29" s="392"/>
      <c r="FP29" s="392"/>
      <c r="FQ29" s="392"/>
      <c r="FR29" s="392"/>
      <c r="FS29" s="392"/>
      <c r="FT29" s="392"/>
      <c r="FU29" s="392"/>
      <c r="FV29" s="392"/>
      <c r="FW29" s="392"/>
      <c r="FX29" s="392"/>
      <c r="FY29" s="392"/>
      <c r="FZ29" s="392"/>
      <c r="GA29" s="392"/>
      <c r="GB29" s="392"/>
      <c r="GC29" s="392"/>
      <c r="GD29" s="392"/>
      <c r="GE29" s="392"/>
      <c r="GF29" s="392"/>
      <c r="GG29" s="392"/>
      <c r="GH29" s="392"/>
      <c r="GI29" s="392"/>
      <c r="GJ29" s="392"/>
      <c r="GK29" s="392"/>
      <c r="GL29" s="392"/>
      <c r="GM29" s="392"/>
      <c r="GN29" s="392"/>
      <c r="GO29" s="392"/>
      <c r="GP29" s="392"/>
      <c r="GQ29" s="392"/>
      <c r="GR29" s="392"/>
      <c r="GS29" s="392"/>
      <c r="GT29" s="392"/>
      <c r="GU29" s="392"/>
      <c r="GV29" s="392"/>
      <c r="GW29" s="392"/>
      <c r="GX29" s="392"/>
      <c r="GY29" s="392"/>
      <c r="GZ29" s="392"/>
      <c r="HA29" s="392"/>
      <c r="HB29" s="392"/>
      <c r="HC29" s="392"/>
      <c r="HD29" s="392"/>
      <c r="HE29" s="392"/>
      <c r="HF29" s="392"/>
      <c r="HG29" s="392"/>
      <c r="HH29" s="392"/>
      <c r="HI29" s="392"/>
      <c r="HJ29" s="392"/>
      <c r="HK29" s="392"/>
      <c r="HL29" s="392"/>
      <c r="HM29" s="392"/>
      <c r="HN29" s="392"/>
      <c r="HO29" s="392"/>
      <c r="HP29" s="392"/>
      <c r="HQ29" s="392"/>
      <c r="HR29" s="392"/>
      <c r="HS29" s="392"/>
      <c r="HT29" s="392"/>
      <c r="HU29" s="392"/>
      <c r="HV29" s="392"/>
      <c r="HW29" s="392"/>
      <c r="HX29" s="392"/>
      <c r="HY29" s="392"/>
      <c r="HZ29" s="392"/>
      <c r="IA29" s="392"/>
      <c r="IB29" s="392"/>
      <c r="IC29" s="392"/>
      <c r="ID29" s="392"/>
      <c r="IE29" s="392"/>
      <c r="IF29" s="392"/>
      <c r="IG29" s="392"/>
      <c r="IH29" s="392"/>
      <c r="II29" s="392"/>
      <c r="IJ29" s="392"/>
      <c r="IK29" s="392"/>
      <c r="IL29" s="392"/>
      <c r="IM29" s="392"/>
      <c r="IN29" s="392"/>
      <c r="IO29" s="392"/>
      <c r="IP29" s="392"/>
      <c r="IQ29" s="392"/>
      <c r="IR29" s="392"/>
      <c r="IS29" s="392"/>
      <c r="IT29" s="392"/>
      <c r="IU29" s="392"/>
      <c r="IV29" s="392"/>
    </row>
    <row r="30" spans="1:256" s="424" customFormat="1" ht="15.75">
      <c r="B30" s="1699" t="s">
        <v>174</v>
      </c>
      <c r="C30" s="1700" t="s">
        <v>624</v>
      </c>
      <c r="D30" s="1701"/>
      <c r="E30" s="1702"/>
      <c r="F30" s="1703"/>
      <c r="G30" s="1704"/>
    </row>
    <row r="31" spans="1:256" s="424" customFormat="1" ht="15.75">
      <c r="B31" s="425"/>
      <c r="C31" s="426" t="s">
        <v>175</v>
      </c>
      <c r="D31" s="2360" t="s">
        <v>177</v>
      </c>
      <c r="E31" s="2361"/>
      <c r="F31" s="427" t="s">
        <v>178</v>
      </c>
      <c r="G31" s="428" t="s">
        <v>179</v>
      </c>
    </row>
    <row r="32" spans="1:256" s="424" customFormat="1" ht="15" customHeight="1">
      <c r="B32" s="429">
        <v>43761</v>
      </c>
      <c r="C32" s="792" t="s">
        <v>1815</v>
      </c>
      <c r="D32" s="2362" t="s">
        <v>1816</v>
      </c>
      <c r="E32" s="2363"/>
      <c r="F32" s="793" t="s">
        <v>1817</v>
      </c>
      <c r="G32" s="794" t="s">
        <v>1818</v>
      </c>
    </row>
    <row r="33" spans="1:256" s="424" customFormat="1" ht="15" customHeight="1">
      <c r="B33" s="429">
        <v>43761</v>
      </c>
      <c r="C33" s="792" t="s">
        <v>1819</v>
      </c>
      <c r="D33" s="2362" t="s">
        <v>625</v>
      </c>
      <c r="E33" s="2363"/>
      <c r="F33" s="793" t="s">
        <v>626</v>
      </c>
      <c r="G33" s="794" t="s">
        <v>516</v>
      </c>
    </row>
    <row r="34" spans="1:256" s="424" customFormat="1" ht="15">
      <c r="B34" s="429">
        <v>43761</v>
      </c>
      <c r="C34" s="792" t="s">
        <v>2092</v>
      </c>
      <c r="D34" s="2362" t="s">
        <v>2093</v>
      </c>
      <c r="E34" s="2363"/>
      <c r="F34" s="793" t="s">
        <v>2094</v>
      </c>
      <c r="G34" s="794" t="s">
        <v>1980</v>
      </c>
    </row>
    <row r="35" spans="1:256" s="424" customFormat="1" ht="16.5" thickBot="1">
      <c r="B35" s="1705"/>
      <c r="C35" s="1706"/>
      <c r="D35" s="1707"/>
      <c r="E35" s="1708"/>
      <c r="F35" s="1709"/>
      <c r="G35" s="1710"/>
    </row>
    <row r="36" spans="1:256" s="420" customFormat="1" ht="6" customHeight="1" thickBot="1">
      <c r="B36" s="421"/>
      <c r="C36" s="421"/>
      <c r="D36" s="421"/>
      <c r="E36" s="422"/>
      <c r="F36" s="423"/>
      <c r="G36" s="423"/>
    </row>
    <row r="37" spans="1:256" ht="15.75">
      <c r="A37" s="392"/>
      <c r="B37" s="430" t="s">
        <v>13989</v>
      </c>
      <c r="C37" s="431" t="s">
        <v>627</v>
      </c>
      <c r="D37" s="431"/>
      <c r="E37" s="431"/>
      <c r="F37" s="431"/>
      <c r="G37" s="432" t="s">
        <v>22</v>
      </c>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c r="CA37" s="392"/>
      <c r="CB37" s="392"/>
      <c r="CC37" s="392"/>
      <c r="CD37" s="392"/>
      <c r="CE37" s="392"/>
      <c r="CF37" s="392"/>
      <c r="CG37" s="392"/>
      <c r="CH37" s="392"/>
      <c r="CI37" s="392"/>
      <c r="CJ37" s="392"/>
      <c r="CK37" s="392"/>
      <c r="CL37" s="392"/>
      <c r="CM37" s="392"/>
      <c r="CN37" s="392"/>
      <c r="CO37" s="392"/>
      <c r="CP37" s="392"/>
      <c r="CQ37" s="392"/>
      <c r="CR37" s="392"/>
      <c r="CS37" s="392"/>
      <c r="CT37" s="392"/>
      <c r="CU37" s="392"/>
      <c r="CV37" s="392"/>
      <c r="CW37" s="392"/>
      <c r="CX37" s="392"/>
      <c r="CY37" s="392"/>
      <c r="CZ37" s="392"/>
      <c r="DA37" s="392"/>
      <c r="DB37" s="392"/>
      <c r="DC37" s="392"/>
      <c r="DD37" s="392"/>
      <c r="DE37" s="392"/>
      <c r="DF37" s="392"/>
      <c r="DG37" s="392"/>
      <c r="DH37" s="392"/>
      <c r="DI37" s="392"/>
      <c r="DJ37" s="392"/>
      <c r="DK37" s="392"/>
      <c r="DL37" s="392"/>
      <c r="DM37" s="392"/>
      <c r="DN37" s="392"/>
      <c r="DO37" s="392"/>
      <c r="DP37" s="392"/>
      <c r="DQ37" s="392"/>
      <c r="DR37" s="392"/>
      <c r="DS37" s="392"/>
      <c r="DT37" s="392"/>
      <c r="DU37" s="392"/>
      <c r="DV37" s="392"/>
      <c r="DW37" s="392"/>
      <c r="DX37" s="392"/>
      <c r="DY37" s="392"/>
      <c r="DZ37" s="392"/>
      <c r="EA37" s="392"/>
      <c r="EB37" s="392"/>
      <c r="EC37" s="392"/>
      <c r="ED37" s="392"/>
      <c r="EE37" s="392"/>
      <c r="EF37" s="392"/>
      <c r="EG37" s="392"/>
      <c r="EH37" s="392"/>
      <c r="EI37" s="392"/>
      <c r="EJ37" s="392"/>
      <c r="EK37" s="392"/>
      <c r="EL37" s="392"/>
      <c r="EM37" s="392"/>
      <c r="EN37" s="392"/>
      <c r="EO37" s="392"/>
      <c r="EP37" s="392"/>
      <c r="EQ37" s="392"/>
      <c r="ER37" s="392"/>
      <c r="ES37" s="392"/>
      <c r="ET37" s="392"/>
      <c r="EU37" s="392"/>
      <c r="EV37" s="392"/>
      <c r="EW37" s="392"/>
      <c r="EX37" s="392"/>
      <c r="EY37" s="392"/>
      <c r="EZ37" s="392"/>
      <c r="FA37" s="392"/>
      <c r="FB37" s="392"/>
      <c r="FC37" s="392"/>
      <c r="FD37" s="392"/>
      <c r="FE37" s="392"/>
      <c r="FF37" s="392"/>
      <c r="FG37" s="392"/>
      <c r="FH37" s="392"/>
      <c r="FI37" s="392"/>
      <c r="FJ37" s="392"/>
      <c r="FK37" s="392"/>
      <c r="FL37" s="392"/>
      <c r="FM37" s="392"/>
      <c r="FN37" s="392"/>
      <c r="FO37" s="392"/>
      <c r="FP37" s="392"/>
      <c r="FQ37" s="392"/>
      <c r="FR37" s="392"/>
      <c r="FS37" s="392"/>
      <c r="FT37" s="392"/>
      <c r="FU37" s="392"/>
      <c r="FV37" s="392"/>
      <c r="FW37" s="392"/>
      <c r="FX37" s="392"/>
      <c r="FY37" s="392"/>
      <c r="FZ37" s="392"/>
      <c r="GA37" s="392"/>
      <c r="GB37" s="392"/>
      <c r="GC37" s="392"/>
      <c r="GD37" s="392"/>
      <c r="GE37" s="392"/>
      <c r="GF37" s="392"/>
      <c r="GG37" s="392"/>
      <c r="GH37" s="392"/>
      <c r="GI37" s="392"/>
      <c r="GJ37" s="392"/>
      <c r="GK37" s="392"/>
      <c r="GL37" s="392"/>
      <c r="GM37" s="392"/>
      <c r="GN37" s="392"/>
      <c r="GO37" s="392"/>
      <c r="GP37" s="392"/>
      <c r="GQ37" s="392"/>
      <c r="GR37" s="392"/>
      <c r="GS37" s="392"/>
      <c r="GT37" s="392"/>
      <c r="GU37" s="392"/>
      <c r="GV37" s="392"/>
      <c r="GW37" s="392"/>
      <c r="GX37" s="392"/>
      <c r="GY37" s="392"/>
      <c r="GZ37" s="392"/>
      <c r="HA37" s="392"/>
      <c r="HB37" s="392"/>
      <c r="HC37" s="392"/>
      <c r="HD37" s="392"/>
      <c r="HE37" s="392"/>
      <c r="HF37" s="392"/>
      <c r="HG37" s="392"/>
      <c r="HH37" s="392"/>
      <c r="HI37" s="392"/>
      <c r="HJ37" s="392"/>
      <c r="HK37" s="392"/>
      <c r="HL37" s="392"/>
      <c r="HM37" s="392"/>
      <c r="HN37" s="392"/>
      <c r="HO37" s="392"/>
      <c r="HP37" s="392"/>
      <c r="HQ37" s="392"/>
      <c r="HR37" s="392"/>
      <c r="HS37" s="392"/>
      <c r="HT37" s="392"/>
      <c r="HU37" s="392"/>
      <c r="HV37" s="392"/>
      <c r="HW37" s="392"/>
      <c r="HX37" s="392"/>
      <c r="HY37" s="392"/>
      <c r="HZ37" s="392"/>
      <c r="IA37" s="392"/>
      <c r="IB37" s="392"/>
      <c r="IC37" s="392"/>
      <c r="ID37" s="392"/>
      <c r="IE37" s="392"/>
      <c r="IF37" s="392"/>
      <c r="IG37" s="392"/>
      <c r="IH37" s="392"/>
      <c r="II37" s="392"/>
      <c r="IJ37" s="392"/>
      <c r="IK37" s="392"/>
      <c r="IL37" s="392"/>
      <c r="IM37" s="392"/>
      <c r="IN37" s="392"/>
      <c r="IO37" s="392"/>
      <c r="IP37" s="392"/>
      <c r="IQ37" s="392"/>
      <c r="IR37" s="392"/>
      <c r="IS37" s="392"/>
      <c r="IT37" s="392"/>
      <c r="IU37" s="392"/>
      <c r="IV37" s="392"/>
    </row>
    <row r="38" spans="1:256" ht="31.5">
      <c r="A38" s="392"/>
      <c r="B38" s="1004" t="s">
        <v>197</v>
      </c>
      <c r="C38" s="997" t="s">
        <v>161</v>
      </c>
      <c r="D38" s="997" t="s">
        <v>22</v>
      </c>
      <c r="E38" s="997" t="s">
        <v>162</v>
      </c>
      <c r="F38" s="998" t="s">
        <v>186</v>
      </c>
      <c r="G38" s="1005" t="s">
        <v>187</v>
      </c>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c r="CQ38" s="392"/>
      <c r="CR38" s="392"/>
      <c r="CS38" s="392"/>
      <c r="CT38" s="392"/>
      <c r="CU38" s="392"/>
      <c r="CV38" s="392"/>
      <c r="CW38" s="392"/>
      <c r="CX38" s="392"/>
      <c r="CY38" s="392"/>
      <c r="CZ38" s="392"/>
      <c r="DA38" s="392"/>
      <c r="DB38" s="392"/>
      <c r="DC38" s="392"/>
      <c r="DD38" s="392"/>
      <c r="DE38" s="392"/>
      <c r="DF38" s="392"/>
      <c r="DG38" s="392"/>
      <c r="DH38" s="392"/>
      <c r="DI38" s="392"/>
      <c r="DJ38" s="392"/>
      <c r="DK38" s="392"/>
      <c r="DL38" s="392"/>
      <c r="DM38" s="392"/>
      <c r="DN38" s="392"/>
      <c r="DO38" s="392"/>
      <c r="DP38" s="392"/>
      <c r="DQ38" s="392"/>
      <c r="DR38" s="392"/>
      <c r="DS38" s="392"/>
      <c r="DT38" s="392"/>
      <c r="DU38" s="392"/>
      <c r="DV38" s="392"/>
      <c r="DW38" s="392"/>
      <c r="DX38" s="392"/>
      <c r="DY38" s="392"/>
      <c r="DZ38" s="392"/>
      <c r="EA38" s="392"/>
      <c r="EB38" s="392"/>
      <c r="EC38" s="392"/>
      <c r="ED38" s="392"/>
      <c r="EE38" s="392"/>
      <c r="EF38" s="392"/>
      <c r="EG38" s="392"/>
      <c r="EH38" s="392"/>
      <c r="EI38" s="392"/>
      <c r="EJ38" s="392"/>
      <c r="EK38" s="392"/>
      <c r="EL38" s="392"/>
      <c r="EM38" s="392"/>
      <c r="EN38" s="392"/>
      <c r="EO38" s="392"/>
      <c r="EP38" s="392"/>
      <c r="EQ38" s="392"/>
      <c r="ER38" s="392"/>
      <c r="ES38" s="392"/>
      <c r="ET38" s="392"/>
      <c r="EU38" s="392"/>
      <c r="EV38" s="392"/>
      <c r="EW38" s="392"/>
      <c r="EX38" s="392"/>
      <c r="EY38" s="392"/>
      <c r="EZ38" s="392"/>
      <c r="FA38" s="392"/>
      <c r="FB38" s="392"/>
      <c r="FC38" s="392"/>
      <c r="FD38" s="392"/>
      <c r="FE38" s="392"/>
      <c r="FF38" s="392"/>
      <c r="FG38" s="392"/>
      <c r="FH38" s="392"/>
      <c r="FI38" s="392"/>
      <c r="FJ38" s="392"/>
      <c r="FK38" s="392"/>
      <c r="FL38" s="392"/>
      <c r="FM38" s="392"/>
      <c r="FN38" s="392"/>
      <c r="FO38" s="392"/>
      <c r="FP38" s="392"/>
      <c r="FQ38" s="392"/>
      <c r="FR38" s="392"/>
      <c r="FS38" s="392"/>
      <c r="FT38" s="392"/>
      <c r="FU38" s="392"/>
      <c r="FV38" s="392"/>
      <c r="FW38" s="392"/>
      <c r="FX38" s="392"/>
      <c r="FY38" s="392"/>
      <c r="FZ38" s="392"/>
      <c r="GA38" s="392"/>
      <c r="GB38" s="392"/>
      <c r="GC38" s="392"/>
      <c r="GD38" s="392"/>
      <c r="GE38" s="392"/>
      <c r="GF38" s="392"/>
      <c r="GG38" s="392"/>
      <c r="GH38" s="392"/>
      <c r="GI38" s="392"/>
      <c r="GJ38" s="392"/>
      <c r="GK38" s="392"/>
      <c r="GL38" s="392"/>
      <c r="GM38" s="392"/>
      <c r="GN38" s="392"/>
      <c r="GO38" s="392"/>
      <c r="GP38" s="392"/>
      <c r="GQ38" s="392"/>
      <c r="GR38" s="392"/>
      <c r="GS38" s="392"/>
      <c r="GT38" s="392"/>
      <c r="GU38" s="392"/>
      <c r="GV38" s="392"/>
      <c r="GW38" s="392"/>
      <c r="GX38" s="392"/>
      <c r="GY38" s="392"/>
      <c r="GZ38" s="392"/>
      <c r="HA38" s="392"/>
      <c r="HB38" s="392"/>
      <c r="HC38" s="392"/>
      <c r="HD38" s="392"/>
      <c r="HE38" s="392"/>
      <c r="HF38" s="392"/>
      <c r="HG38" s="392"/>
      <c r="HH38" s="392"/>
      <c r="HI38" s="392"/>
      <c r="HJ38" s="392"/>
      <c r="HK38" s="392"/>
      <c r="HL38" s="392"/>
      <c r="HM38" s="392"/>
      <c r="HN38" s="392"/>
      <c r="HO38" s="392"/>
      <c r="HP38" s="392"/>
      <c r="HQ38" s="392"/>
      <c r="HR38" s="392"/>
      <c r="HS38" s="392"/>
      <c r="HT38" s="392"/>
      <c r="HU38" s="392"/>
      <c r="HV38" s="392"/>
      <c r="HW38" s="392"/>
      <c r="HX38" s="392"/>
      <c r="HY38" s="392"/>
      <c r="HZ38" s="392"/>
      <c r="IA38" s="392"/>
      <c r="IB38" s="392"/>
      <c r="IC38" s="392"/>
      <c r="ID38" s="392"/>
      <c r="IE38" s="392"/>
      <c r="IF38" s="392"/>
      <c r="IG38" s="392"/>
      <c r="IH38" s="392"/>
      <c r="II38" s="392"/>
      <c r="IJ38" s="392"/>
      <c r="IK38" s="392"/>
      <c r="IL38" s="392"/>
      <c r="IM38" s="392"/>
      <c r="IN38" s="392"/>
      <c r="IO38" s="392"/>
      <c r="IP38" s="392"/>
      <c r="IQ38" s="392"/>
      <c r="IR38" s="392"/>
      <c r="IS38" s="392"/>
      <c r="IT38" s="392"/>
      <c r="IU38" s="392"/>
      <c r="IV38" s="392"/>
    </row>
    <row r="39" spans="1:256" ht="15.75">
      <c r="A39" s="392"/>
      <c r="B39" s="2364" t="s">
        <v>165</v>
      </c>
      <c r="C39" s="2365"/>
      <c r="D39" s="2365"/>
      <c r="E39" s="2365"/>
      <c r="F39" s="2365"/>
      <c r="G39" s="2366"/>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c r="CQ39" s="392"/>
      <c r="CR39" s="392"/>
      <c r="CS39" s="392"/>
      <c r="CT39" s="392"/>
      <c r="CU39" s="392"/>
      <c r="CV39" s="392"/>
      <c r="CW39" s="392"/>
      <c r="CX39" s="392"/>
      <c r="CY39" s="392"/>
      <c r="CZ39" s="392"/>
      <c r="DA39" s="392"/>
      <c r="DB39" s="392"/>
      <c r="DC39" s="392"/>
      <c r="DD39" s="392"/>
      <c r="DE39" s="392"/>
      <c r="DF39" s="392"/>
      <c r="DG39" s="392"/>
      <c r="DH39" s="392"/>
      <c r="DI39" s="392"/>
      <c r="DJ39" s="392"/>
      <c r="DK39" s="392"/>
      <c r="DL39" s="392"/>
      <c r="DM39" s="392"/>
      <c r="DN39" s="392"/>
      <c r="DO39" s="392"/>
      <c r="DP39" s="392"/>
      <c r="DQ39" s="392"/>
      <c r="DR39" s="392"/>
      <c r="DS39" s="392"/>
      <c r="DT39" s="392"/>
      <c r="DU39" s="392"/>
      <c r="DV39" s="392"/>
      <c r="DW39" s="392"/>
      <c r="DX39" s="392"/>
      <c r="DY39" s="392"/>
      <c r="DZ39" s="392"/>
      <c r="EA39" s="392"/>
      <c r="EB39" s="392"/>
      <c r="EC39" s="392"/>
      <c r="ED39" s="392"/>
      <c r="EE39" s="392"/>
      <c r="EF39" s="392"/>
      <c r="EG39" s="392"/>
      <c r="EH39" s="392"/>
      <c r="EI39" s="392"/>
      <c r="EJ39" s="392"/>
      <c r="EK39" s="392"/>
      <c r="EL39" s="392"/>
      <c r="EM39" s="392"/>
      <c r="EN39" s="392"/>
      <c r="EO39" s="392"/>
      <c r="EP39" s="392"/>
      <c r="EQ39" s="392"/>
      <c r="ER39" s="392"/>
      <c r="ES39" s="392"/>
      <c r="ET39" s="392"/>
      <c r="EU39" s="392"/>
      <c r="EV39" s="392"/>
      <c r="EW39" s="392"/>
      <c r="EX39" s="392"/>
      <c r="EY39" s="392"/>
      <c r="EZ39" s="392"/>
      <c r="FA39" s="392"/>
      <c r="FB39" s="392"/>
      <c r="FC39" s="392"/>
      <c r="FD39" s="392"/>
      <c r="FE39" s="392"/>
      <c r="FF39" s="392"/>
      <c r="FG39" s="392"/>
      <c r="FH39" s="392"/>
      <c r="FI39" s="392"/>
      <c r="FJ39" s="392"/>
      <c r="FK39" s="392"/>
      <c r="FL39" s="392"/>
      <c r="FM39" s="392"/>
      <c r="FN39" s="392"/>
      <c r="FO39" s="392"/>
      <c r="FP39" s="392"/>
      <c r="FQ39" s="392"/>
      <c r="FR39" s="392"/>
      <c r="FS39" s="392"/>
      <c r="FT39" s="392"/>
      <c r="FU39" s="392"/>
      <c r="FV39" s="392"/>
      <c r="FW39" s="392"/>
      <c r="FX39" s="392"/>
      <c r="FY39" s="392"/>
      <c r="FZ39" s="392"/>
      <c r="GA39" s="392"/>
      <c r="GB39" s="392"/>
      <c r="GC39" s="392"/>
      <c r="GD39" s="392"/>
      <c r="GE39" s="392"/>
      <c r="GF39" s="392"/>
      <c r="GG39" s="392"/>
      <c r="GH39" s="392"/>
      <c r="GI39" s="392"/>
      <c r="GJ39" s="392"/>
      <c r="GK39" s="392"/>
      <c r="GL39" s="392"/>
      <c r="GM39" s="392"/>
      <c r="GN39" s="392"/>
      <c r="GO39" s="392"/>
      <c r="GP39" s="392"/>
      <c r="GQ39" s="392"/>
      <c r="GR39" s="392"/>
      <c r="GS39" s="392"/>
      <c r="GT39" s="392"/>
      <c r="GU39" s="392"/>
      <c r="GV39" s="392"/>
      <c r="GW39" s="392"/>
      <c r="GX39" s="392"/>
      <c r="GY39" s="392"/>
      <c r="GZ39" s="392"/>
      <c r="HA39" s="392"/>
      <c r="HB39" s="392"/>
      <c r="HC39" s="392"/>
      <c r="HD39" s="392"/>
      <c r="HE39" s="392"/>
      <c r="HF39" s="392"/>
      <c r="HG39" s="392"/>
      <c r="HH39" s="392"/>
      <c r="HI39" s="392"/>
      <c r="HJ39" s="392"/>
      <c r="HK39" s="392"/>
      <c r="HL39" s="392"/>
      <c r="HM39" s="392"/>
      <c r="HN39" s="392"/>
      <c r="HO39" s="392"/>
      <c r="HP39" s="392"/>
      <c r="HQ39" s="392"/>
      <c r="HR39" s="392"/>
      <c r="HS39" s="392"/>
      <c r="HT39" s="392"/>
      <c r="HU39" s="392"/>
      <c r="HV39" s="392"/>
      <c r="HW39" s="392"/>
      <c r="HX39" s="392"/>
      <c r="HY39" s="392"/>
      <c r="HZ39" s="392"/>
      <c r="IA39" s="392"/>
      <c r="IB39" s="392"/>
      <c r="IC39" s="392"/>
      <c r="ID39" s="392"/>
      <c r="IE39" s="392"/>
      <c r="IF39" s="392"/>
      <c r="IG39" s="392"/>
      <c r="IH39" s="392"/>
      <c r="II39" s="392"/>
      <c r="IJ39" s="392"/>
      <c r="IK39" s="392"/>
      <c r="IL39" s="392"/>
      <c r="IM39" s="392"/>
      <c r="IN39" s="392"/>
      <c r="IO39" s="392"/>
      <c r="IP39" s="392"/>
      <c r="IQ39" s="392"/>
      <c r="IR39" s="392"/>
      <c r="IS39" s="392"/>
      <c r="IT39" s="392"/>
      <c r="IU39" s="392"/>
      <c r="IV39" s="392"/>
    </row>
    <row r="40" spans="1:256" ht="15.75">
      <c r="A40" s="392"/>
      <c r="B40" s="1006" t="s">
        <v>188</v>
      </c>
      <c r="C40" s="999" t="str">
        <f>C15</f>
        <v>ALONGADOR</v>
      </c>
      <c r="D40" s="1000" t="s">
        <v>22</v>
      </c>
      <c r="E40" s="1001">
        <v>1</v>
      </c>
      <c r="F40" s="1002">
        <f>E15</f>
        <v>1470</v>
      </c>
      <c r="G40" s="1007">
        <f>TRUNC(F40*E40,2)</f>
        <v>1470</v>
      </c>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c r="BS40" s="392"/>
      <c r="BT40" s="392"/>
      <c r="BU40" s="392"/>
      <c r="BV40" s="392"/>
      <c r="BW40" s="392"/>
      <c r="BX40" s="392"/>
      <c r="BY40" s="392"/>
      <c r="BZ40" s="392"/>
      <c r="CA40" s="392"/>
      <c r="CB40" s="392"/>
      <c r="CC40" s="392"/>
      <c r="CD40" s="392"/>
      <c r="CE40" s="392"/>
      <c r="CF40" s="392"/>
      <c r="CG40" s="392"/>
      <c r="CH40" s="392"/>
      <c r="CI40" s="392"/>
      <c r="CJ40" s="392"/>
      <c r="CK40" s="392"/>
      <c r="CL40" s="392"/>
      <c r="CM40" s="392"/>
      <c r="CN40" s="392"/>
      <c r="CO40" s="392"/>
      <c r="CP40" s="392"/>
      <c r="CQ40" s="392"/>
      <c r="CR40" s="392"/>
      <c r="CS40" s="392"/>
      <c r="CT40" s="392"/>
      <c r="CU40" s="392"/>
      <c r="CV40" s="392"/>
      <c r="CW40" s="392"/>
      <c r="CX40" s="392"/>
      <c r="CY40" s="392"/>
      <c r="CZ40" s="392"/>
      <c r="DA40" s="392"/>
      <c r="DB40" s="392"/>
      <c r="DC40" s="392"/>
      <c r="DD40" s="392"/>
      <c r="DE40" s="392"/>
      <c r="DF40" s="392"/>
      <c r="DG40" s="392"/>
      <c r="DH40" s="392"/>
      <c r="DI40" s="392"/>
      <c r="DJ40" s="392"/>
      <c r="DK40" s="392"/>
      <c r="DL40" s="392"/>
      <c r="DM40" s="392"/>
      <c r="DN40" s="392"/>
      <c r="DO40" s="392"/>
      <c r="DP40" s="392"/>
      <c r="DQ40" s="392"/>
      <c r="DR40" s="392"/>
      <c r="DS40" s="392"/>
      <c r="DT40" s="392"/>
      <c r="DU40" s="392"/>
      <c r="DV40" s="392"/>
      <c r="DW40" s="392"/>
      <c r="DX40" s="392"/>
      <c r="DY40" s="392"/>
      <c r="DZ40" s="392"/>
      <c r="EA40" s="392"/>
      <c r="EB40" s="392"/>
      <c r="EC40" s="392"/>
      <c r="ED40" s="392"/>
      <c r="EE40" s="392"/>
      <c r="EF40" s="392"/>
      <c r="EG40" s="392"/>
      <c r="EH40" s="392"/>
      <c r="EI40" s="392"/>
      <c r="EJ40" s="392"/>
      <c r="EK40" s="392"/>
      <c r="EL40" s="392"/>
      <c r="EM40" s="392"/>
      <c r="EN40" s="392"/>
      <c r="EO40" s="392"/>
      <c r="EP40" s="392"/>
      <c r="EQ40" s="392"/>
      <c r="ER40" s="392"/>
      <c r="ES40" s="392"/>
      <c r="ET40" s="392"/>
      <c r="EU40" s="392"/>
      <c r="EV40" s="392"/>
      <c r="EW40" s="392"/>
      <c r="EX40" s="392"/>
      <c r="EY40" s="392"/>
      <c r="EZ40" s="392"/>
      <c r="FA40" s="392"/>
      <c r="FB40" s="392"/>
      <c r="FC40" s="392"/>
      <c r="FD40" s="392"/>
      <c r="FE40" s="392"/>
      <c r="FF40" s="392"/>
      <c r="FG40" s="392"/>
      <c r="FH40" s="392"/>
      <c r="FI40" s="392"/>
      <c r="FJ40" s="392"/>
      <c r="FK40" s="392"/>
      <c r="FL40" s="392"/>
      <c r="FM40" s="392"/>
      <c r="FN40" s="392"/>
      <c r="FO40" s="392"/>
      <c r="FP40" s="392"/>
      <c r="FQ40" s="392"/>
      <c r="FR40" s="392"/>
      <c r="FS40" s="392"/>
      <c r="FT40" s="392"/>
      <c r="FU40" s="392"/>
      <c r="FV40" s="392"/>
      <c r="FW40" s="392"/>
      <c r="FX40" s="392"/>
      <c r="FY40" s="392"/>
      <c r="FZ40" s="392"/>
      <c r="GA40" s="392"/>
      <c r="GB40" s="392"/>
      <c r="GC40" s="392"/>
      <c r="GD40" s="392"/>
      <c r="GE40" s="392"/>
      <c r="GF40" s="392"/>
      <c r="GG40" s="392"/>
      <c r="GH40" s="392"/>
      <c r="GI40" s="392"/>
      <c r="GJ40" s="392"/>
      <c r="GK40" s="392"/>
      <c r="GL40" s="392"/>
      <c r="GM40" s="392"/>
      <c r="GN40" s="392"/>
      <c r="GO40" s="392"/>
      <c r="GP40" s="392"/>
      <c r="GQ40" s="392"/>
      <c r="GR40" s="392"/>
      <c r="GS40" s="392"/>
      <c r="GT40" s="392"/>
      <c r="GU40" s="392"/>
      <c r="GV40" s="392"/>
      <c r="GW40" s="392"/>
      <c r="GX40" s="392"/>
      <c r="GY40" s="392"/>
      <c r="GZ40" s="392"/>
      <c r="HA40" s="392"/>
      <c r="HB40" s="392"/>
      <c r="HC40" s="392"/>
      <c r="HD40" s="392"/>
      <c r="HE40" s="392"/>
      <c r="HF40" s="392"/>
      <c r="HG40" s="392"/>
      <c r="HH40" s="392"/>
      <c r="HI40" s="392"/>
      <c r="HJ40" s="392"/>
      <c r="HK40" s="392"/>
      <c r="HL40" s="392"/>
      <c r="HM40" s="392"/>
      <c r="HN40" s="392"/>
      <c r="HO40" s="392"/>
      <c r="HP40" s="392"/>
      <c r="HQ40" s="392"/>
      <c r="HR40" s="392"/>
      <c r="HS40" s="392"/>
      <c r="HT40" s="392"/>
      <c r="HU40" s="392"/>
      <c r="HV40" s="392"/>
      <c r="HW40" s="392"/>
      <c r="HX40" s="392"/>
      <c r="HY40" s="392"/>
      <c r="HZ40" s="392"/>
      <c r="IA40" s="392"/>
      <c r="IB40" s="392"/>
      <c r="IC40" s="392"/>
      <c r="ID40" s="392"/>
      <c r="IE40" s="392"/>
      <c r="IF40" s="392"/>
      <c r="IG40" s="392"/>
      <c r="IH40" s="392"/>
      <c r="II40" s="392"/>
      <c r="IJ40" s="392"/>
      <c r="IK40" s="392"/>
      <c r="IL40" s="392"/>
      <c r="IM40" s="392"/>
      <c r="IN40" s="392"/>
      <c r="IO40" s="392"/>
      <c r="IP40" s="392"/>
      <c r="IQ40" s="392"/>
      <c r="IR40" s="392"/>
      <c r="IS40" s="392"/>
      <c r="IT40" s="392"/>
      <c r="IU40" s="392"/>
      <c r="IV40" s="392"/>
    </row>
    <row r="41" spans="1:256" ht="30">
      <c r="A41" s="392" t="s">
        <v>391</v>
      </c>
      <c r="B41" s="1008">
        <v>93358</v>
      </c>
      <c r="C41" s="971" t="str">
        <f>IF($A41="INSUMO",VLOOKUP($B41,'BANCO DE DADOS JANEIRO-24 INS'!$A:$D,2,FALSE),VLOOKUP($B41,'BANCO DE DADOS JANEIRO-24 SERV'!$B:$E,2,FALSE))</f>
        <v>ESCAVAÇÃO MANUAL DE VALA COM PROFUNDIDADE MENOR OU IGUAL A 1,30 M. AF_02/2021</v>
      </c>
      <c r="D41" s="972" t="str">
        <f>IF($A41="INSUMO",VLOOKUP($B41,'BANCO DE DADOS JANEIRO-24 INS'!$A:$D,3,FALSE),VLOOKUP($B41,'BANCO DE DADOS JANEIRO-24 SERV'!$B:$E,3,FALSE))</f>
        <v>M3</v>
      </c>
      <c r="E41" s="1003">
        <f>(0.8*0.4*0.4)</f>
        <v>0.12800000000000003</v>
      </c>
      <c r="F41" s="973">
        <f>IF($A41="INSUMO",VLOOKUP($B41,'BANCO DE DADOS JANEIRO-24 INS'!$A:$D,4,FALSE),VLOOKUP($B41,'BANCO DE DADOS JANEIRO-24 SERV'!$B:$E,4,FALSE))</f>
        <v>80.38</v>
      </c>
      <c r="G41" s="1007">
        <f>TRUNC(F41*E41,2)</f>
        <v>10.28</v>
      </c>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c r="BK41" s="392"/>
      <c r="BL41" s="392"/>
      <c r="BM41" s="392"/>
      <c r="BN41" s="392"/>
      <c r="BO41" s="392"/>
      <c r="BP41" s="392"/>
      <c r="BQ41" s="392"/>
      <c r="BR41" s="392"/>
      <c r="BS41" s="392"/>
      <c r="BT41" s="392"/>
      <c r="BU41" s="392"/>
      <c r="BV41" s="392"/>
      <c r="BW41" s="392"/>
      <c r="BX41" s="392"/>
      <c r="BY41" s="392"/>
      <c r="BZ41" s="392"/>
      <c r="CA41" s="392"/>
      <c r="CB41" s="392"/>
      <c r="CC41" s="392"/>
      <c r="CD41" s="392"/>
      <c r="CE41" s="392"/>
      <c r="CF41" s="392"/>
      <c r="CG41" s="392"/>
      <c r="CH41" s="392"/>
      <c r="CI41" s="392"/>
      <c r="CJ41" s="392"/>
      <c r="CK41" s="392"/>
      <c r="CL41" s="392"/>
      <c r="CM41" s="392"/>
      <c r="CN41" s="392"/>
      <c r="CO41" s="392"/>
      <c r="CP41" s="392"/>
      <c r="CQ41" s="392"/>
      <c r="CR41" s="392"/>
      <c r="CS41" s="392"/>
      <c r="CT41" s="392"/>
      <c r="CU41" s="392"/>
      <c r="CV41" s="392"/>
      <c r="CW41" s="392"/>
      <c r="CX41" s="392"/>
      <c r="CY41" s="392"/>
      <c r="CZ41" s="392"/>
      <c r="DA41" s="392"/>
      <c r="DB41" s="392"/>
      <c r="DC41" s="392"/>
      <c r="DD41" s="392"/>
      <c r="DE41" s="392"/>
      <c r="DF41" s="392"/>
      <c r="DG41" s="392"/>
      <c r="DH41" s="392"/>
      <c r="DI41" s="392"/>
      <c r="DJ41" s="392"/>
      <c r="DK41" s="392"/>
      <c r="DL41" s="392"/>
      <c r="DM41" s="392"/>
      <c r="DN41" s="392"/>
      <c r="DO41" s="392"/>
      <c r="DP41" s="392"/>
      <c r="DQ41" s="392"/>
      <c r="DR41" s="392"/>
      <c r="DS41" s="392"/>
      <c r="DT41" s="392"/>
      <c r="DU41" s="392"/>
      <c r="DV41" s="392"/>
      <c r="DW41" s="392"/>
      <c r="DX41" s="392"/>
      <c r="DY41" s="392"/>
      <c r="DZ41" s="392"/>
      <c r="EA41" s="392"/>
      <c r="EB41" s="392"/>
      <c r="EC41" s="392"/>
      <c r="ED41" s="392"/>
      <c r="EE41" s="392"/>
      <c r="EF41" s="392"/>
      <c r="EG41" s="392"/>
      <c r="EH41" s="392"/>
      <c r="EI41" s="392"/>
      <c r="EJ41" s="392"/>
      <c r="EK41" s="392"/>
      <c r="EL41" s="392"/>
      <c r="EM41" s="392"/>
      <c r="EN41" s="392"/>
      <c r="EO41" s="392"/>
      <c r="EP41" s="392"/>
      <c r="EQ41" s="392"/>
      <c r="ER41" s="392"/>
      <c r="ES41" s="392"/>
      <c r="ET41" s="392"/>
      <c r="EU41" s="392"/>
      <c r="EV41" s="392"/>
      <c r="EW41" s="392"/>
      <c r="EX41" s="392"/>
      <c r="EY41" s="392"/>
      <c r="EZ41" s="392"/>
      <c r="FA41" s="392"/>
      <c r="FB41" s="392"/>
      <c r="FC41" s="392"/>
      <c r="FD41" s="392"/>
      <c r="FE41" s="392"/>
      <c r="FF41" s="392"/>
      <c r="FG41" s="392"/>
      <c r="FH41" s="392"/>
      <c r="FI41" s="392"/>
      <c r="FJ41" s="392"/>
      <c r="FK41" s="392"/>
      <c r="FL41" s="392"/>
      <c r="FM41" s="392"/>
      <c r="FN41" s="392"/>
      <c r="FO41" s="392"/>
      <c r="FP41" s="392"/>
      <c r="FQ41" s="392"/>
      <c r="FR41" s="392"/>
      <c r="FS41" s="392"/>
      <c r="FT41" s="392"/>
      <c r="FU41" s="392"/>
      <c r="FV41" s="392"/>
      <c r="FW41" s="392"/>
      <c r="FX41" s="392"/>
      <c r="FY41" s="392"/>
      <c r="FZ41" s="392"/>
      <c r="GA41" s="392"/>
      <c r="GB41" s="392"/>
      <c r="GC41" s="392"/>
      <c r="GD41" s="392"/>
      <c r="GE41" s="392"/>
      <c r="GF41" s="392"/>
      <c r="GG41" s="392"/>
      <c r="GH41" s="392"/>
      <c r="GI41" s="392"/>
      <c r="GJ41" s="392"/>
      <c r="GK41" s="392"/>
      <c r="GL41" s="392"/>
      <c r="GM41" s="392"/>
      <c r="GN41" s="392"/>
      <c r="GO41" s="392"/>
      <c r="GP41" s="392"/>
      <c r="GQ41" s="392"/>
      <c r="GR41" s="392"/>
      <c r="GS41" s="392"/>
      <c r="GT41" s="392"/>
      <c r="GU41" s="392"/>
      <c r="GV41" s="392"/>
      <c r="GW41" s="392"/>
      <c r="GX41" s="392"/>
      <c r="GY41" s="392"/>
      <c r="GZ41" s="392"/>
      <c r="HA41" s="392"/>
      <c r="HB41" s="392"/>
      <c r="HC41" s="392"/>
      <c r="HD41" s="392"/>
      <c r="HE41" s="392"/>
      <c r="HF41" s="392"/>
      <c r="HG41" s="392"/>
      <c r="HH41" s="392"/>
      <c r="HI41" s="392"/>
      <c r="HJ41" s="392"/>
      <c r="HK41" s="392"/>
      <c r="HL41" s="392"/>
      <c r="HM41" s="392"/>
      <c r="HN41" s="392"/>
      <c r="HO41" s="392"/>
      <c r="HP41" s="392"/>
      <c r="HQ41" s="392"/>
      <c r="HR41" s="392"/>
      <c r="HS41" s="392"/>
      <c r="HT41" s="392"/>
      <c r="HU41" s="392"/>
      <c r="HV41" s="392"/>
      <c r="HW41" s="392"/>
      <c r="HX41" s="392"/>
      <c r="HY41" s="392"/>
      <c r="HZ41" s="392"/>
      <c r="IA41" s="392"/>
      <c r="IB41" s="392"/>
      <c r="IC41" s="392"/>
      <c r="ID41" s="392"/>
      <c r="IE41" s="392"/>
      <c r="IF41" s="392"/>
      <c r="IG41" s="392"/>
      <c r="IH41" s="392"/>
      <c r="II41" s="392"/>
      <c r="IJ41" s="392"/>
      <c r="IK41" s="392"/>
      <c r="IL41" s="392"/>
      <c r="IM41" s="392"/>
      <c r="IN41" s="392"/>
      <c r="IO41" s="392"/>
      <c r="IP41" s="392"/>
      <c r="IQ41" s="392"/>
      <c r="IR41" s="392"/>
      <c r="IS41" s="392"/>
      <c r="IT41" s="392"/>
      <c r="IU41" s="392"/>
      <c r="IV41" s="392"/>
    </row>
    <row r="42" spans="1:256" ht="45">
      <c r="A42" s="392" t="s">
        <v>391</v>
      </c>
      <c r="B42" s="1008">
        <v>94965</v>
      </c>
      <c r="C42" s="971" t="str">
        <f>IF($A42="INSUMO",VLOOKUP($B42,'BANCO DE DADOS JANEIRO-24 INS'!$A:$D,2,FALSE),VLOOKUP($B42,'BANCO DE DADOS JANEIRO-24 SERV'!$B:$E,2,FALSE))</f>
        <v>CONCRETO FCK = 25MPA, TRAÇO 1:2,3:2,7 (EM MASSA SECA DE CIMENTO/ AREIA MÉDIA/ BRITA 1) - PREPARO MECÂNICO COM BETONEIRA 400 L. AF_05/2021</v>
      </c>
      <c r="D42" s="972" t="str">
        <f>IF($A42="INSUMO",VLOOKUP($B42,'BANCO DE DADOS JANEIRO-24 INS'!$A:$D,3,FALSE),VLOOKUP($B42,'BANCO DE DADOS JANEIRO-24 SERV'!$B:$E,3,FALSE))</f>
        <v>M3</v>
      </c>
      <c r="E42" s="1003">
        <f>(0.8*0.4*0.4)</f>
        <v>0.12800000000000003</v>
      </c>
      <c r="F42" s="973">
        <f>IF($A42="INSUMO",VLOOKUP($B42,'BANCO DE DADOS JANEIRO-24 INS'!$A:$D,4,FALSE),VLOOKUP($B42,'BANCO DE DADOS JANEIRO-24 SERV'!$B:$E,4,FALSE))</f>
        <v>568.95000000000005</v>
      </c>
      <c r="G42" s="1007">
        <f>TRUNC(F42*E42,2)</f>
        <v>72.819999999999993</v>
      </c>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392"/>
      <c r="BC42" s="392"/>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c r="CA42" s="392"/>
      <c r="CB42" s="392"/>
      <c r="CC42" s="392"/>
      <c r="CD42" s="392"/>
      <c r="CE42" s="392"/>
      <c r="CF42" s="392"/>
      <c r="CG42" s="392"/>
      <c r="CH42" s="392"/>
      <c r="CI42" s="392"/>
      <c r="CJ42" s="392"/>
      <c r="CK42" s="392"/>
      <c r="CL42" s="392"/>
      <c r="CM42" s="392"/>
      <c r="CN42" s="392"/>
      <c r="CO42" s="392"/>
      <c r="CP42" s="392"/>
      <c r="CQ42" s="392"/>
      <c r="CR42" s="392"/>
      <c r="CS42" s="392"/>
      <c r="CT42" s="392"/>
      <c r="CU42" s="392"/>
      <c r="CV42" s="392"/>
      <c r="CW42" s="392"/>
      <c r="CX42" s="392"/>
      <c r="CY42" s="392"/>
      <c r="CZ42" s="392"/>
      <c r="DA42" s="392"/>
      <c r="DB42" s="392"/>
      <c r="DC42" s="392"/>
      <c r="DD42" s="392"/>
      <c r="DE42" s="392"/>
      <c r="DF42" s="392"/>
      <c r="DG42" s="392"/>
      <c r="DH42" s="392"/>
      <c r="DI42" s="392"/>
      <c r="DJ42" s="392"/>
      <c r="DK42" s="392"/>
      <c r="DL42" s="392"/>
      <c r="DM42" s="392"/>
      <c r="DN42" s="392"/>
      <c r="DO42" s="392"/>
      <c r="DP42" s="392"/>
      <c r="DQ42" s="392"/>
      <c r="DR42" s="392"/>
      <c r="DS42" s="392"/>
      <c r="DT42" s="392"/>
      <c r="DU42" s="392"/>
      <c r="DV42" s="392"/>
      <c r="DW42" s="392"/>
      <c r="DX42" s="392"/>
      <c r="DY42" s="392"/>
      <c r="DZ42" s="392"/>
      <c r="EA42" s="392"/>
      <c r="EB42" s="392"/>
      <c r="EC42" s="392"/>
      <c r="ED42" s="392"/>
      <c r="EE42" s="392"/>
      <c r="EF42" s="392"/>
      <c r="EG42" s="392"/>
      <c r="EH42" s="392"/>
      <c r="EI42" s="392"/>
      <c r="EJ42" s="392"/>
      <c r="EK42" s="392"/>
      <c r="EL42" s="392"/>
      <c r="EM42" s="392"/>
      <c r="EN42" s="392"/>
      <c r="EO42" s="392"/>
      <c r="EP42" s="392"/>
      <c r="EQ42" s="392"/>
      <c r="ER42" s="392"/>
      <c r="ES42" s="392"/>
      <c r="ET42" s="392"/>
      <c r="EU42" s="392"/>
      <c r="EV42" s="392"/>
      <c r="EW42" s="392"/>
      <c r="EX42" s="392"/>
      <c r="EY42" s="392"/>
      <c r="EZ42" s="392"/>
      <c r="FA42" s="392"/>
      <c r="FB42" s="392"/>
      <c r="FC42" s="392"/>
      <c r="FD42" s="392"/>
      <c r="FE42" s="392"/>
      <c r="FF42" s="392"/>
      <c r="FG42" s="392"/>
      <c r="FH42" s="392"/>
      <c r="FI42" s="392"/>
      <c r="FJ42" s="392"/>
      <c r="FK42" s="392"/>
      <c r="FL42" s="392"/>
      <c r="FM42" s="392"/>
      <c r="FN42" s="392"/>
      <c r="FO42" s="392"/>
      <c r="FP42" s="392"/>
      <c r="FQ42" s="392"/>
      <c r="FR42" s="392"/>
      <c r="FS42" s="392"/>
      <c r="FT42" s="392"/>
      <c r="FU42" s="392"/>
      <c r="FV42" s="392"/>
      <c r="FW42" s="392"/>
      <c r="FX42" s="392"/>
      <c r="FY42" s="392"/>
      <c r="FZ42" s="392"/>
      <c r="GA42" s="392"/>
      <c r="GB42" s="392"/>
      <c r="GC42" s="392"/>
      <c r="GD42" s="392"/>
      <c r="GE42" s="392"/>
      <c r="GF42" s="392"/>
      <c r="GG42" s="392"/>
      <c r="GH42" s="392"/>
      <c r="GI42" s="392"/>
      <c r="GJ42" s="392"/>
      <c r="GK42" s="392"/>
      <c r="GL42" s="392"/>
      <c r="GM42" s="392"/>
      <c r="GN42" s="392"/>
      <c r="GO42" s="392"/>
      <c r="GP42" s="392"/>
      <c r="GQ42" s="392"/>
      <c r="GR42" s="392"/>
      <c r="GS42" s="392"/>
      <c r="GT42" s="392"/>
      <c r="GU42" s="392"/>
      <c r="GV42" s="392"/>
      <c r="GW42" s="392"/>
      <c r="GX42" s="392"/>
      <c r="GY42" s="392"/>
      <c r="GZ42" s="392"/>
      <c r="HA42" s="392"/>
      <c r="HB42" s="392"/>
      <c r="HC42" s="392"/>
      <c r="HD42" s="392"/>
      <c r="HE42" s="392"/>
      <c r="HF42" s="392"/>
      <c r="HG42" s="392"/>
      <c r="HH42" s="392"/>
      <c r="HI42" s="392"/>
      <c r="HJ42" s="392"/>
      <c r="HK42" s="392"/>
      <c r="HL42" s="392"/>
      <c r="HM42" s="392"/>
      <c r="HN42" s="392"/>
      <c r="HO42" s="392"/>
      <c r="HP42" s="392"/>
      <c r="HQ42" s="392"/>
      <c r="HR42" s="392"/>
      <c r="HS42" s="392"/>
      <c r="HT42" s="392"/>
      <c r="HU42" s="392"/>
      <c r="HV42" s="392"/>
      <c r="HW42" s="392"/>
      <c r="HX42" s="392"/>
      <c r="HY42" s="392"/>
      <c r="HZ42" s="392"/>
      <c r="IA42" s="392"/>
      <c r="IB42" s="392"/>
      <c r="IC42" s="392"/>
      <c r="ID42" s="392"/>
      <c r="IE42" s="392"/>
      <c r="IF42" s="392"/>
      <c r="IG42" s="392"/>
      <c r="IH42" s="392"/>
      <c r="II42" s="392"/>
      <c r="IJ42" s="392"/>
      <c r="IK42" s="392"/>
      <c r="IL42" s="392"/>
      <c r="IM42" s="392"/>
      <c r="IN42" s="392"/>
      <c r="IO42" s="392"/>
      <c r="IP42" s="392"/>
      <c r="IQ42" s="392"/>
      <c r="IR42" s="392"/>
      <c r="IS42" s="392"/>
      <c r="IT42" s="392"/>
      <c r="IU42" s="392"/>
      <c r="IV42" s="392"/>
    </row>
    <row r="43" spans="1:256" ht="15.75" thickBot="1">
      <c r="A43" s="392" t="s">
        <v>391</v>
      </c>
      <c r="B43" s="1009" t="s">
        <v>57</v>
      </c>
      <c r="C43" s="803" t="e">
        <f>IF($A43="INSUMO",VLOOKUP($B43,'BANCO DE DADOS JANEIRO-24 INS'!$A:$D,2,FALSE),VLOOKUP($B43,'BANCO DE DADOS JANEIRO-24 SERV'!$B:$E,2,FALSE))</f>
        <v>#N/A</v>
      </c>
      <c r="D43" s="804" t="e">
        <f>IF($A43="INSUMO",VLOOKUP($B43,'BANCO DE DADOS JANEIRO-24 INS'!$A:$D,3,FALSE),VLOOKUP($B43,'BANCO DE DADOS JANEIRO-24 SERV'!$B:$E,3,FALSE))</f>
        <v>#N/A</v>
      </c>
      <c r="E43" s="1010">
        <f>(0.8*0.4*0.4)</f>
        <v>0.12800000000000003</v>
      </c>
      <c r="F43" s="805" t="e">
        <f>IF($A43="INSUMO",VLOOKUP($B43,'BANCO DE DADOS JANEIRO-24 INS'!$A:$D,4,FALSE),VLOOKUP($B43,'BANCO DE DADOS JANEIRO-24 SERV'!$B:$E,4,FALSE))</f>
        <v>#N/A</v>
      </c>
      <c r="G43" s="1011" t="e">
        <f>TRUNC(F43*E43,2)</f>
        <v>#N/A</v>
      </c>
      <c r="H43" s="392"/>
      <c r="I43" s="392"/>
      <c r="J43" s="392"/>
      <c r="K43" s="392"/>
      <c r="L43" s="392"/>
      <c r="M43" s="392"/>
      <c r="N43" s="392"/>
      <c r="O43" s="392"/>
      <c r="P43" s="392"/>
      <c r="Q43" s="392"/>
      <c r="R43" s="392"/>
      <c r="S43" s="392"/>
      <c r="T43" s="392"/>
      <c r="U43" s="392"/>
      <c r="V43" s="392"/>
      <c r="W43" s="392"/>
      <c r="X43" s="392"/>
      <c r="Y43" s="392"/>
      <c r="Z43" s="392"/>
      <c r="AA43" s="392"/>
      <c r="AB43" s="392"/>
      <c r="AC43" s="392"/>
      <c r="AD43" s="392"/>
      <c r="AE43" s="392"/>
      <c r="AF43" s="392"/>
      <c r="AG43" s="392"/>
      <c r="AH43" s="392"/>
      <c r="AI43" s="392"/>
      <c r="AJ43" s="392"/>
      <c r="AK43" s="392"/>
      <c r="AL43" s="392"/>
      <c r="AM43" s="392"/>
      <c r="AN43" s="392"/>
      <c r="AO43" s="392"/>
      <c r="AP43" s="392"/>
      <c r="AQ43" s="392"/>
      <c r="AR43" s="392"/>
      <c r="AS43" s="392"/>
      <c r="AT43" s="392"/>
      <c r="AU43" s="392"/>
      <c r="AV43" s="392"/>
      <c r="AW43" s="392"/>
      <c r="AX43" s="392"/>
      <c r="AY43" s="392"/>
      <c r="AZ43" s="392"/>
      <c r="BA43" s="392"/>
      <c r="BB43" s="392"/>
      <c r="BC43" s="392"/>
      <c r="BD43" s="392"/>
      <c r="BE43" s="392"/>
      <c r="BF43" s="392"/>
      <c r="BG43" s="392"/>
      <c r="BH43" s="392"/>
      <c r="BI43" s="392"/>
      <c r="BJ43" s="392"/>
      <c r="BK43" s="392"/>
      <c r="BL43" s="392"/>
      <c r="BM43" s="392"/>
      <c r="BN43" s="392"/>
      <c r="BO43" s="392"/>
      <c r="BP43" s="392"/>
      <c r="BQ43" s="392"/>
      <c r="BR43" s="392"/>
      <c r="BS43" s="392"/>
      <c r="BT43" s="392"/>
      <c r="BU43" s="392"/>
      <c r="BV43" s="392"/>
      <c r="BW43" s="392"/>
      <c r="BX43" s="392"/>
      <c r="BY43" s="392"/>
      <c r="BZ43" s="392"/>
      <c r="CA43" s="392"/>
      <c r="CB43" s="392"/>
      <c r="CC43" s="392"/>
      <c r="CD43" s="392"/>
      <c r="CE43" s="392"/>
      <c r="CF43" s="392"/>
      <c r="CG43" s="392"/>
      <c r="CH43" s="392"/>
      <c r="CI43" s="392"/>
      <c r="CJ43" s="392"/>
      <c r="CK43" s="392"/>
      <c r="CL43" s="392"/>
      <c r="CM43" s="392"/>
      <c r="CN43" s="392"/>
      <c r="CO43" s="392"/>
      <c r="CP43" s="392"/>
      <c r="CQ43" s="392"/>
      <c r="CR43" s="392"/>
      <c r="CS43" s="392"/>
      <c r="CT43" s="392"/>
      <c r="CU43" s="392"/>
      <c r="CV43" s="392"/>
      <c r="CW43" s="392"/>
      <c r="CX43" s="392"/>
      <c r="CY43" s="392"/>
      <c r="CZ43" s="392"/>
      <c r="DA43" s="392"/>
      <c r="DB43" s="392"/>
      <c r="DC43" s="392"/>
      <c r="DD43" s="392"/>
      <c r="DE43" s="392"/>
      <c r="DF43" s="392"/>
      <c r="DG43" s="392"/>
      <c r="DH43" s="392"/>
      <c r="DI43" s="392"/>
      <c r="DJ43" s="392"/>
      <c r="DK43" s="392"/>
      <c r="DL43" s="392"/>
      <c r="DM43" s="392"/>
      <c r="DN43" s="392"/>
      <c r="DO43" s="392"/>
      <c r="DP43" s="392"/>
      <c r="DQ43" s="392"/>
      <c r="DR43" s="392"/>
      <c r="DS43" s="392"/>
      <c r="DT43" s="392"/>
      <c r="DU43" s="392"/>
      <c r="DV43" s="392"/>
      <c r="DW43" s="392"/>
      <c r="DX43" s="392"/>
      <c r="DY43" s="392"/>
      <c r="DZ43" s="392"/>
      <c r="EA43" s="392"/>
      <c r="EB43" s="392"/>
      <c r="EC43" s="392"/>
      <c r="ED43" s="392"/>
      <c r="EE43" s="392"/>
      <c r="EF43" s="392"/>
      <c r="EG43" s="392"/>
      <c r="EH43" s="392"/>
      <c r="EI43" s="392"/>
      <c r="EJ43" s="392"/>
      <c r="EK43" s="392"/>
      <c r="EL43" s="392"/>
      <c r="EM43" s="392"/>
      <c r="EN43" s="392"/>
      <c r="EO43" s="392"/>
      <c r="EP43" s="392"/>
      <c r="EQ43" s="392"/>
      <c r="ER43" s="392"/>
      <c r="ES43" s="392"/>
      <c r="ET43" s="392"/>
      <c r="EU43" s="392"/>
      <c r="EV43" s="392"/>
      <c r="EW43" s="392"/>
      <c r="EX43" s="392"/>
      <c r="EY43" s="392"/>
      <c r="EZ43" s="392"/>
      <c r="FA43" s="392"/>
      <c r="FB43" s="392"/>
      <c r="FC43" s="392"/>
      <c r="FD43" s="392"/>
      <c r="FE43" s="392"/>
      <c r="FF43" s="392"/>
      <c r="FG43" s="392"/>
      <c r="FH43" s="392"/>
      <c r="FI43" s="392"/>
      <c r="FJ43" s="392"/>
      <c r="FK43" s="392"/>
      <c r="FL43" s="392"/>
      <c r="FM43" s="392"/>
      <c r="FN43" s="392"/>
      <c r="FO43" s="392"/>
      <c r="FP43" s="392"/>
      <c r="FQ43" s="392"/>
      <c r="FR43" s="392"/>
      <c r="FS43" s="392"/>
      <c r="FT43" s="392"/>
      <c r="FU43" s="392"/>
      <c r="FV43" s="392"/>
      <c r="FW43" s="392"/>
      <c r="FX43" s="392"/>
      <c r="FY43" s="392"/>
      <c r="FZ43" s="392"/>
      <c r="GA43" s="392"/>
      <c r="GB43" s="392"/>
      <c r="GC43" s="392"/>
      <c r="GD43" s="392"/>
      <c r="GE43" s="392"/>
      <c r="GF43" s="392"/>
      <c r="GG43" s="392"/>
      <c r="GH43" s="392"/>
      <c r="GI43" s="392"/>
      <c r="GJ43" s="392"/>
      <c r="GK43" s="392"/>
      <c r="GL43" s="392"/>
      <c r="GM43" s="392"/>
      <c r="GN43" s="392"/>
      <c r="GO43" s="392"/>
      <c r="GP43" s="392"/>
      <c r="GQ43" s="392"/>
      <c r="GR43" s="392"/>
      <c r="GS43" s="392"/>
      <c r="GT43" s="392"/>
      <c r="GU43" s="392"/>
      <c r="GV43" s="392"/>
      <c r="GW43" s="392"/>
      <c r="GX43" s="392"/>
      <c r="GY43" s="392"/>
      <c r="GZ43" s="392"/>
      <c r="HA43" s="392"/>
      <c r="HB43" s="392"/>
      <c r="HC43" s="392"/>
      <c r="HD43" s="392"/>
      <c r="HE43" s="392"/>
      <c r="HF43" s="392"/>
      <c r="HG43" s="392"/>
      <c r="HH43" s="392"/>
      <c r="HI43" s="392"/>
      <c r="HJ43" s="392"/>
      <c r="HK43" s="392"/>
      <c r="HL43" s="392"/>
      <c r="HM43" s="392"/>
      <c r="HN43" s="392"/>
      <c r="HO43" s="392"/>
      <c r="HP43" s="392"/>
      <c r="HQ43" s="392"/>
      <c r="HR43" s="392"/>
      <c r="HS43" s="392"/>
      <c r="HT43" s="392"/>
      <c r="HU43" s="392"/>
      <c r="HV43" s="392"/>
      <c r="HW43" s="392"/>
      <c r="HX43" s="392"/>
      <c r="HY43" s="392"/>
      <c r="HZ43" s="392"/>
      <c r="IA43" s="392"/>
      <c r="IB43" s="392"/>
      <c r="IC43" s="392"/>
      <c r="ID43" s="392"/>
      <c r="IE43" s="392"/>
      <c r="IF43" s="392"/>
      <c r="IG43" s="392"/>
      <c r="IH43" s="392"/>
      <c r="II43" s="392"/>
      <c r="IJ43" s="392"/>
      <c r="IK43" s="392"/>
      <c r="IL43" s="392"/>
      <c r="IM43" s="392"/>
      <c r="IN43" s="392"/>
      <c r="IO43" s="392"/>
      <c r="IP43" s="392"/>
      <c r="IQ43" s="392"/>
      <c r="IR43" s="392"/>
      <c r="IS43" s="392"/>
      <c r="IT43" s="392"/>
      <c r="IU43" s="392"/>
      <c r="IV43" s="392"/>
    </row>
    <row r="44" spans="1:256" ht="16.5" thickBot="1">
      <c r="A44" s="392"/>
      <c r="B44" s="439" t="s">
        <v>1705</v>
      </c>
      <c r="C44" s="440"/>
      <c r="D44" s="441"/>
      <c r="E44" s="442"/>
      <c r="F44" s="443" t="s">
        <v>167</v>
      </c>
      <c r="G44" s="444" t="e">
        <f>TRUNC(SUM(G40:G43),2)</f>
        <v>#N/A</v>
      </c>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c r="BS44" s="392"/>
      <c r="BT44" s="392"/>
      <c r="BU44" s="392"/>
      <c r="BV44" s="392"/>
      <c r="BW44" s="392"/>
      <c r="BX44" s="392"/>
      <c r="BY44" s="392"/>
      <c r="BZ44" s="392"/>
      <c r="CA44" s="392"/>
      <c r="CB44" s="392"/>
      <c r="CC44" s="392"/>
      <c r="CD44" s="392"/>
      <c r="CE44" s="392"/>
      <c r="CF44" s="392"/>
      <c r="CG44" s="392"/>
      <c r="CH44" s="392"/>
      <c r="CI44" s="392"/>
      <c r="CJ44" s="392"/>
      <c r="CK44" s="392"/>
      <c r="CL44" s="392"/>
      <c r="CM44" s="392"/>
      <c r="CN44" s="392"/>
      <c r="CO44" s="392"/>
      <c r="CP44" s="392"/>
      <c r="CQ44" s="392"/>
      <c r="CR44" s="392"/>
      <c r="CS44" s="392"/>
      <c r="CT44" s="392"/>
      <c r="CU44" s="392"/>
      <c r="CV44" s="392"/>
      <c r="CW44" s="392"/>
      <c r="CX44" s="392"/>
      <c r="CY44" s="392"/>
      <c r="CZ44" s="392"/>
      <c r="DA44" s="392"/>
      <c r="DB44" s="392"/>
      <c r="DC44" s="392"/>
      <c r="DD44" s="392"/>
      <c r="DE44" s="392"/>
      <c r="DF44" s="392"/>
      <c r="DG44" s="392"/>
      <c r="DH44" s="392"/>
      <c r="DI44" s="392"/>
      <c r="DJ44" s="392"/>
      <c r="DK44" s="392"/>
      <c r="DL44" s="392"/>
      <c r="DM44" s="392"/>
      <c r="DN44" s="392"/>
      <c r="DO44" s="392"/>
      <c r="DP44" s="392"/>
      <c r="DQ44" s="392"/>
      <c r="DR44" s="392"/>
      <c r="DS44" s="392"/>
      <c r="DT44" s="392"/>
      <c r="DU44" s="392"/>
      <c r="DV44" s="392"/>
      <c r="DW44" s="392"/>
      <c r="DX44" s="392"/>
      <c r="DY44" s="392"/>
      <c r="DZ44" s="392"/>
      <c r="EA44" s="392"/>
      <c r="EB44" s="392"/>
      <c r="EC44" s="392"/>
      <c r="ED44" s="392"/>
      <c r="EE44" s="392"/>
      <c r="EF44" s="392"/>
      <c r="EG44" s="392"/>
      <c r="EH44" s="392"/>
      <c r="EI44" s="392"/>
      <c r="EJ44" s="392"/>
      <c r="EK44" s="392"/>
      <c r="EL44" s="392"/>
      <c r="EM44" s="392"/>
      <c r="EN44" s="392"/>
      <c r="EO44" s="392"/>
      <c r="EP44" s="392"/>
      <c r="EQ44" s="392"/>
      <c r="ER44" s="392"/>
      <c r="ES44" s="392"/>
      <c r="ET44" s="392"/>
      <c r="EU44" s="392"/>
      <c r="EV44" s="392"/>
      <c r="EW44" s="392"/>
      <c r="EX44" s="392"/>
      <c r="EY44" s="392"/>
      <c r="EZ44" s="392"/>
      <c r="FA44" s="392"/>
      <c r="FB44" s="392"/>
      <c r="FC44" s="392"/>
      <c r="FD44" s="392"/>
      <c r="FE44" s="392"/>
      <c r="FF44" s="392"/>
      <c r="FG44" s="392"/>
      <c r="FH44" s="392"/>
      <c r="FI44" s="392"/>
      <c r="FJ44" s="392"/>
      <c r="FK44" s="392"/>
      <c r="FL44" s="392"/>
      <c r="FM44" s="392"/>
      <c r="FN44" s="392"/>
      <c r="FO44" s="392"/>
      <c r="FP44" s="392"/>
      <c r="FQ44" s="392"/>
      <c r="FR44" s="392"/>
      <c r="FS44" s="392"/>
      <c r="FT44" s="392"/>
      <c r="FU44" s="392"/>
      <c r="FV44" s="392"/>
      <c r="FW44" s="392"/>
      <c r="FX44" s="392"/>
      <c r="FY44" s="392"/>
      <c r="FZ44" s="392"/>
      <c r="GA44" s="392"/>
      <c r="GB44" s="392"/>
      <c r="GC44" s="392"/>
      <c r="GD44" s="392"/>
      <c r="GE44" s="392"/>
      <c r="GF44" s="392"/>
      <c r="GG44" s="392"/>
      <c r="GH44" s="392"/>
      <c r="GI44" s="392"/>
      <c r="GJ44" s="392"/>
      <c r="GK44" s="392"/>
      <c r="GL44" s="392"/>
      <c r="GM44" s="392"/>
      <c r="GN44" s="392"/>
      <c r="GO44" s="392"/>
      <c r="GP44" s="392"/>
      <c r="GQ44" s="392"/>
      <c r="GR44" s="392"/>
      <c r="GS44" s="392"/>
      <c r="GT44" s="392"/>
      <c r="GU44" s="392"/>
      <c r="GV44" s="392"/>
      <c r="GW44" s="392"/>
      <c r="GX44" s="392"/>
      <c r="GY44" s="392"/>
      <c r="GZ44" s="392"/>
      <c r="HA44" s="392"/>
      <c r="HB44" s="392"/>
      <c r="HC44" s="392"/>
      <c r="HD44" s="392"/>
      <c r="HE44" s="392"/>
      <c r="HF44" s="392"/>
      <c r="HG44" s="392"/>
      <c r="HH44" s="392"/>
      <c r="HI44" s="392"/>
      <c r="HJ44" s="392"/>
      <c r="HK44" s="392"/>
      <c r="HL44" s="392"/>
      <c r="HM44" s="392"/>
      <c r="HN44" s="392"/>
      <c r="HO44" s="392"/>
      <c r="HP44" s="392"/>
      <c r="HQ44" s="392"/>
      <c r="HR44" s="392"/>
      <c r="HS44" s="392"/>
      <c r="HT44" s="392"/>
      <c r="HU44" s="392"/>
      <c r="HV44" s="392"/>
      <c r="HW44" s="392"/>
      <c r="HX44" s="392"/>
      <c r="HY44" s="392"/>
      <c r="HZ44" s="392"/>
      <c r="IA44" s="392"/>
      <c r="IB44" s="392"/>
      <c r="IC44" s="392"/>
      <c r="ID44" s="392"/>
      <c r="IE44" s="392"/>
      <c r="IF44" s="392"/>
      <c r="IG44" s="392"/>
      <c r="IH44" s="392"/>
      <c r="II44" s="392"/>
      <c r="IJ44" s="392"/>
      <c r="IK44" s="392"/>
      <c r="IL44" s="392"/>
      <c r="IM44" s="392"/>
      <c r="IN44" s="392"/>
      <c r="IO44" s="392"/>
      <c r="IP44" s="392"/>
      <c r="IQ44" s="392"/>
      <c r="IR44" s="392"/>
      <c r="IS44" s="392"/>
      <c r="IT44" s="392"/>
      <c r="IU44" s="392"/>
      <c r="IV44" s="392"/>
    </row>
    <row r="45" spans="1:256">
      <c r="A45" s="392"/>
      <c r="B45" s="445"/>
      <c r="C45" s="446"/>
      <c r="D45" s="445"/>
      <c r="E45" s="447"/>
      <c r="F45" s="447"/>
      <c r="G45" s="447"/>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392"/>
      <c r="BG45" s="392"/>
      <c r="BH45" s="392"/>
      <c r="BI45" s="392"/>
      <c r="BJ45" s="392"/>
      <c r="BK45" s="392"/>
      <c r="BL45" s="392"/>
      <c r="BM45" s="392"/>
      <c r="BN45" s="392"/>
      <c r="BO45" s="392"/>
      <c r="BP45" s="392"/>
      <c r="BQ45" s="392"/>
      <c r="BR45" s="392"/>
      <c r="BS45" s="392"/>
      <c r="BT45" s="392"/>
      <c r="BU45" s="392"/>
      <c r="BV45" s="392"/>
      <c r="BW45" s="392"/>
      <c r="BX45" s="392"/>
      <c r="BY45" s="392"/>
      <c r="BZ45" s="392"/>
      <c r="CA45" s="392"/>
      <c r="CB45" s="392"/>
      <c r="CC45" s="392"/>
      <c r="CD45" s="392"/>
      <c r="CE45" s="392"/>
      <c r="CF45" s="392"/>
      <c r="CG45" s="392"/>
      <c r="CH45" s="392"/>
      <c r="CI45" s="392"/>
      <c r="CJ45" s="392"/>
      <c r="CK45" s="392"/>
      <c r="CL45" s="392"/>
      <c r="CM45" s="392"/>
      <c r="CN45" s="392"/>
      <c r="CO45" s="392"/>
      <c r="CP45" s="392"/>
      <c r="CQ45" s="392"/>
      <c r="CR45" s="392"/>
      <c r="CS45" s="392"/>
      <c r="CT45" s="392"/>
      <c r="CU45" s="392"/>
      <c r="CV45" s="392"/>
      <c r="CW45" s="392"/>
      <c r="CX45" s="392"/>
      <c r="CY45" s="392"/>
      <c r="CZ45" s="392"/>
      <c r="DA45" s="392"/>
      <c r="DB45" s="392"/>
      <c r="DC45" s="392"/>
      <c r="DD45" s="392"/>
      <c r="DE45" s="392"/>
      <c r="DF45" s="392"/>
      <c r="DG45" s="392"/>
      <c r="DH45" s="392"/>
      <c r="DI45" s="392"/>
      <c r="DJ45" s="392"/>
      <c r="DK45" s="392"/>
      <c r="DL45" s="392"/>
      <c r="DM45" s="392"/>
      <c r="DN45" s="392"/>
      <c r="DO45" s="392"/>
      <c r="DP45" s="392"/>
      <c r="DQ45" s="392"/>
      <c r="DR45" s="392"/>
      <c r="DS45" s="392"/>
      <c r="DT45" s="392"/>
      <c r="DU45" s="392"/>
      <c r="DV45" s="392"/>
      <c r="DW45" s="392"/>
      <c r="DX45" s="392"/>
      <c r="DY45" s="392"/>
      <c r="DZ45" s="392"/>
      <c r="EA45" s="392"/>
      <c r="EB45" s="392"/>
      <c r="EC45" s="392"/>
      <c r="ED45" s="392"/>
      <c r="EE45" s="392"/>
      <c r="EF45" s="392"/>
      <c r="EG45" s="392"/>
      <c r="EH45" s="392"/>
      <c r="EI45" s="392"/>
      <c r="EJ45" s="392"/>
      <c r="EK45" s="392"/>
      <c r="EL45" s="392"/>
      <c r="EM45" s="392"/>
      <c r="EN45" s="392"/>
      <c r="EO45" s="392"/>
      <c r="EP45" s="392"/>
      <c r="EQ45" s="392"/>
      <c r="ER45" s="392"/>
      <c r="ES45" s="392"/>
      <c r="ET45" s="392"/>
      <c r="EU45" s="392"/>
      <c r="EV45" s="392"/>
      <c r="EW45" s="392"/>
      <c r="EX45" s="392"/>
      <c r="EY45" s="392"/>
      <c r="EZ45" s="392"/>
      <c r="FA45" s="392"/>
      <c r="FB45" s="392"/>
      <c r="FC45" s="392"/>
      <c r="FD45" s="392"/>
      <c r="FE45" s="392"/>
      <c r="FF45" s="392"/>
      <c r="FG45" s="392"/>
      <c r="FH45" s="392"/>
      <c r="FI45" s="392"/>
      <c r="FJ45" s="392"/>
      <c r="FK45" s="392"/>
      <c r="FL45" s="392"/>
      <c r="FM45" s="392"/>
      <c r="FN45" s="392"/>
      <c r="FO45" s="392"/>
      <c r="FP45" s="392"/>
      <c r="FQ45" s="392"/>
      <c r="FR45" s="392"/>
      <c r="FS45" s="392"/>
      <c r="FT45" s="392"/>
      <c r="FU45" s="392"/>
      <c r="FV45" s="392"/>
      <c r="FW45" s="392"/>
      <c r="FX45" s="392"/>
      <c r="FY45" s="392"/>
      <c r="FZ45" s="392"/>
      <c r="GA45" s="392"/>
      <c r="GB45" s="392"/>
      <c r="GC45" s="392"/>
      <c r="GD45" s="392"/>
      <c r="GE45" s="392"/>
      <c r="GF45" s="392"/>
      <c r="GG45" s="392"/>
      <c r="GH45" s="392"/>
      <c r="GI45" s="392"/>
      <c r="GJ45" s="392"/>
      <c r="GK45" s="392"/>
      <c r="GL45" s="392"/>
      <c r="GM45" s="392"/>
      <c r="GN45" s="392"/>
      <c r="GO45" s="392"/>
      <c r="GP45" s="392"/>
      <c r="GQ45" s="392"/>
      <c r="GR45" s="392"/>
      <c r="GS45" s="392"/>
      <c r="GT45" s="392"/>
      <c r="GU45" s="392"/>
      <c r="GV45" s="392"/>
      <c r="GW45" s="392"/>
      <c r="GX45" s="392"/>
      <c r="GY45" s="392"/>
      <c r="GZ45" s="392"/>
      <c r="HA45" s="392"/>
      <c r="HB45" s="392"/>
      <c r="HC45" s="392"/>
      <c r="HD45" s="392"/>
      <c r="HE45" s="392"/>
      <c r="HF45" s="392"/>
      <c r="HG45" s="392"/>
      <c r="HH45" s="392"/>
      <c r="HI45" s="392"/>
      <c r="HJ45" s="392"/>
      <c r="HK45" s="392"/>
      <c r="HL45" s="392"/>
      <c r="HM45" s="392"/>
      <c r="HN45" s="392"/>
      <c r="HO45" s="392"/>
      <c r="HP45" s="392"/>
      <c r="HQ45" s="392"/>
      <c r="HR45" s="392"/>
      <c r="HS45" s="392"/>
      <c r="HT45" s="392"/>
      <c r="HU45" s="392"/>
      <c r="HV45" s="392"/>
      <c r="HW45" s="392"/>
      <c r="HX45" s="392"/>
      <c r="HY45" s="392"/>
      <c r="HZ45" s="392"/>
      <c r="IA45" s="392"/>
      <c r="IB45" s="392"/>
      <c r="IC45" s="392"/>
      <c r="ID45" s="392"/>
      <c r="IE45" s="392"/>
      <c r="IF45" s="392"/>
      <c r="IG45" s="392"/>
      <c r="IH45" s="392"/>
      <c r="II45" s="392"/>
      <c r="IJ45" s="392"/>
      <c r="IK45" s="392"/>
      <c r="IL45" s="392"/>
      <c r="IM45" s="392"/>
      <c r="IN45" s="392"/>
      <c r="IO45" s="392"/>
      <c r="IP45" s="392"/>
      <c r="IQ45" s="392"/>
      <c r="IR45" s="392"/>
      <c r="IS45" s="392"/>
      <c r="IT45" s="392"/>
      <c r="IU45" s="392"/>
      <c r="IV45" s="392"/>
    </row>
    <row r="46" spans="1:256" ht="387.75" customHeight="1">
      <c r="A46" s="392"/>
      <c r="B46" s="2355"/>
      <c r="C46" s="2355"/>
      <c r="D46" s="2355"/>
      <c r="E46" s="2355"/>
      <c r="F46" s="2355"/>
      <c r="G46" s="2355"/>
      <c r="H46" s="392"/>
      <c r="I46" s="392"/>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c r="CA46" s="392"/>
      <c r="CB46" s="392"/>
      <c r="CC46" s="392"/>
      <c r="CD46" s="392"/>
      <c r="CE46" s="392"/>
      <c r="CF46" s="392"/>
      <c r="CG46" s="392"/>
      <c r="CH46" s="392"/>
      <c r="CI46" s="392"/>
      <c r="CJ46" s="392"/>
      <c r="CK46" s="392"/>
      <c r="CL46" s="392"/>
      <c r="CM46" s="392"/>
      <c r="CN46" s="392"/>
      <c r="CO46" s="392"/>
      <c r="CP46" s="392"/>
      <c r="CQ46" s="392"/>
      <c r="CR46" s="392"/>
      <c r="CS46" s="392"/>
      <c r="CT46" s="392"/>
      <c r="CU46" s="392"/>
      <c r="CV46" s="392"/>
      <c r="CW46" s="392"/>
      <c r="CX46" s="392"/>
      <c r="CY46" s="392"/>
      <c r="CZ46" s="392"/>
      <c r="DA46" s="392"/>
      <c r="DB46" s="392"/>
      <c r="DC46" s="392"/>
      <c r="DD46" s="392"/>
      <c r="DE46" s="392"/>
      <c r="DF46" s="392"/>
      <c r="DG46" s="392"/>
      <c r="DH46" s="392"/>
      <c r="DI46" s="392"/>
      <c r="DJ46" s="392"/>
      <c r="DK46" s="392"/>
      <c r="DL46" s="392"/>
      <c r="DM46" s="392"/>
      <c r="DN46" s="392"/>
      <c r="DO46" s="392"/>
      <c r="DP46" s="392"/>
      <c r="DQ46" s="392"/>
      <c r="DR46" s="392"/>
      <c r="DS46" s="392"/>
      <c r="DT46" s="392"/>
      <c r="DU46" s="392"/>
      <c r="DV46" s="392"/>
      <c r="DW46" s="392"/>
      <c r="DX46" s="392"/>
      <c r="DY46" s="392"/>
      <c r="DZ46" s="392"/>
      <c r="EA46" s="392"/>
      <c r="EB46" s="392"/>
      <c r="EC46" s="392"/>
      <c r="ED46" s="392"/>
      <c r="EE46" s="392"/>
      <c r="EF46" s="392"/>
      <c r="EG46" s="392"/>
      <c r="EH46" s="392"/>
      <c r="EI46" s="392"/>
      <c r="EJ46" s="392"/>
      <c r="EK46" s="392"/>
      <c r="EL46" s="392"/>
      <c r="EM46" s="392"/>
      <c r="EN46" s="392"/>
      <c r="EO46" s="392"/>
      <c r="EP46" s="392"/>
      <c r="EQ46" s="392"/>
      <c r="ER46" s="392"/>
      <c r="ES46" s="392"/>
      <c r="ET46" s="392"/>
      <c r="EU46" s="392"/>
      <c r="EV46" s="392"/>
      <c r="EW46" s="392"/>
      <c r="EX46" s="392"/>
      <c r="EY46" s="392"/>
      <c r="EZ46" s="392"/>
      <c r="FA46" s="392"/>
      <c r="FB46" s="392"/>
      <c r="FC46" s="392"/>
      <c r="FD46" s="392"/>
      <c r="FE46" s="392"/>
      <c r="FF46" s="392"/>
      <c r="FG46" s="392"/>
      <c r="FH46" s="392"/>
      <c r="FI46" s="392"/>
      <c r="FJ46" s="392"/>
      <c r="FK46" s="392"/>
      <c r="FL46" s="392"/>
      <c r="FM46" s="392"/>
      <c r="FN46" s="392"/>
      <c r="FO46" s="392"/>
      <c r="FP46" s="392"/>
      <c r="FQ46" s="392"/>
      <c r="FR46" s="392"/>
      <c r="FS46" s="392"/>
      <c r="FT46" s="392"/>
      <c r="FU46" s="392"/>
      <c r="FV46" s="392"/>
      <c r="FW46" s="392"/>
      <c r="FX46" s="392"/>
      <c r="FY46" s="392"/>
      <c r="FZ46" s="392"/>
      <c r="GA46" s="392"/>
      <c r="GB46" s="392"/>
      <c r="GC46" s="392"/>
      <c r="GD46" s="392"/>
      <c r="GE46" s="392"/>
      <c r="GF46" s="392"/>
      <c r="GG46" s="392"/>
      <c r="GH46" s="392"/>
      <c r="GI46" s="392"/>
      <c r="GJ46" s="392"/>
      <c r="GK46" s="392"/>
      <c r="GL46" s="392"/>
      <c r="GM46" s="392"/>
      <c r="GN46" s="392"/>
      <c r="GO46" s="392"/>
      <c r="GP46" s="392"/>
      <c r="GQ46" s="392"/>
      <c r="GR46" s="392"/>
      <c r="GS46" s="392"/>
      <c r="GT46" s="392"/>
      <c r="GU46" s="392"/>
      <c r="GV46" s="392"/>
      <c r="GW46" s="392"/>
      <c r="GX46" s="392"/>
      <c r="GY46" s="392"/>
      <c r="GZ46" s="392"/>
      <c r="HA46" s="392"/>
      <c r="HB46" s="392"/>
      <c r="HC46" s="392"/>
      <c r="HD46" s="392"/>
      <c r="HE46" s="392"/>
      <c r="HF46" s="392"/>
      <c r="HG46" s="392"/>
      <c r="HH46" s="392"/>
      <c r="HI46" s="392"/>
      <c r="HJ46" s="392"/>
      <c r="HK46" s="392"/>
      <c r="HL46" s="392"/>
      <c r="HM46" s="392"/>
      <c r="HN46" s="392"/>
      <c r="HO46" s="392"/>
      <c r="HP46" s="392"/>
      <c r="HQ46" s="392"/>
      <c r="HR46" s="392"/>
      <c r="HS46" s="392"/>
      <c r="HT46" s="392"/>
      <c r="HU46" s="392"/>
      <c r="HV46" s="392"/>
      <c r="HW46" s="392"/>
      <c r="HX46" s="392"/>
      <c r="HY46" s="392"/>
      <c r="HZ46" s="392"/>
      <c r="IA46" s="392"/>
      <c r="IB46" s="392"/>
      <c r="IC46" s="392"/>
      <c r="ID46" s="392"/>
      <c r="IE46" s="392"/>
      <c r="IF46" s="392"/>
      <c r="IG46" s="392"/>
      <c r="IH46" s="392"/>
      <c r="II46" s="392"/>
      <c r="IJ46" s="392"/>
      <c r="IK46" s="392"/>
      <c r="IL46" s="392"/>
      <c r="IM46" s="392"/>
      <c r="IN46" s="392"/>
      <c r="IO46" s="392"/>
      <c r="IP46" s="392"/>
      <c r="IQ46" s="392"/>
      <c r="IR46" s="392"/>
      <c r="IS46" s="392"/>
      <c r="IT46" s="392"/>
      <c r="IU46" s="392"/>
      <c r="IV46" s="392"/>
    </row>
    <row r="47" spans="1:256" ht="185.25" customHeight="1" thickBot="1">
      <c r="A47" s="392"/>
      <c r="B47" s="2356"/>
      <c r="C47" s="2356"/>
      <c r="D47" s="2356"/>
      <c r="E47" s="2356"/>
      <c r="F47" s="2356"/>
      <c r="G47" s="2356"/>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c r="CA47" s="392"/>
      <c r="CB47" s="392"/>
      <c r="CC47" s="392"/>
      <c r="CD47" s="392"/>
      <c r="CE47" s="392"/>
      <c r="CF47" s="392"/>
      <c r="CG47" s="392"/>
      <c r="CH47" s="392"/>
      <c r="CI47" s="392"/>
      <c r="CJ47" s="392"/>
      <c r="CK47" s="392"/>
      <c r="CL47" s="392"/>
      <c r="CM47" s="392"/>
      <c r="CN47" s="392"/>
      <c r="CO47" s="392"/>
      <c r="CP47" s="392"/>
      <c r="CQ47" s="392"/>
      <c r="CR47" s="392"/>
      <c r="CS47" s="392"/>
      <c r="CT47" s="392"/>
      <c r="CU47" s="392"/>
      <c r="CV47" s="392"/>
      <c r="CW47" s="392"/>
      <c r="CX47" s="392"/>
      <c r="CY47" s="392"/>
      <c r="CZ47" s="392"/>
      <c r="DA47" s="392"/>
      <c r="DB47" s="392"/>
      <c r="DC47" s="392"/>
      <c r="DD47" s="392"/>
      <c r="DE47" s="392"/>
      <c r="DF47" s="392"/>
      <c r="DG47" s="392"/>
      <c r="DH47" s="392"/>
      <c r="DI47" s="392"/>
      <c r="DJ47" s="392"/>
      <c r="DK47" s="392"/>
      <c r="DL47" s="392"/>
      <c r="DM47" s="392"/>
      <c r="DN47" s="392"/>
      <c r="DO47" s="392"/>
      <c r="DP47" s="392"/>
      <c r="DQ47" s="392"/>
      <c r="DR47" s="392"/>
      <c r="DS47" s="392"/>
      <c r="DT47" s="392"/>
      <c r="DU47" s="392"/>
      <c r="DV47" s="392"/>
      <c r="DW47" s="392"/>
      <c r="DX47" s="392"/>
      <c r="DY47" s="392"/>
      <c r="DZ47" s="392"/>
      <c r="EA47" s="392"/>
      <c r="EB47" s="392"/>
      <c r="EC47" s="392"/>
      <c r="ED47" s="392"/>
      <c r="EE47" s="392"/>
      <c r="EF47" s="392"/>
      <c r="EG47" s="392"/>
      <c r="EH47" s="392"/>
      <c r="EI47" s="392"/>
      <c r="EJ47" s="392"/>
      <c r="EK47" s="392"/>
      <c r="EL47" s="392"/>
      <c r="EM47" s="392"/>
      <c r="EN47" s="392"/>
      <c r="EO47" s="392"/>
      <c r="EP47" s="392"/>
      <c r="EQ47" s="392"/>
      <c r="ER47" s="392"/>
      <c r="ES47" s="392"/>
      <c r="ET47" s="392"/>
      <c r="EU47" s="392"/>
      <c r="EV47" s="392"/>
      <c r="EW47" s="392"/>
      <c r="EX47" s="392"/>
      <c r="EY47" s="392"/>
      <c r="EZ47" s="392"/>
      <c r="FA47" s="392"/>
      <c r="FB47" s="392"/>
      <c r="FC47" s="392"/>
      <c r="FD47" s="392"/>
      <c r="FE47" s="392"/>
      <c r="FF47" s="392"/>
      <c r="FG47" s="392"/>
      <c r="FH47" s="392"/>
      <c r="FI47" s="392"/>
      <c r="FJ47" s="392"/>
      <c r="FK47" s="392"/>
      <c r="FL47" s="392"/>
      <c r="FM47" s="392"/>
      <c r="FN47" s="392"/>
      <c r="FO47" s="392"/>
      <c r="FP47" s="392"/>
      <c r="FQ47" s="392"/>
      <c r="FR47" s="392"/>
      <c r="FS47" s="392"/>
      <c r="FT47" s="392"/>
      <c r="FU47" s="392"/>
      <c r="FV47" s="392"/>
      <c r="FW47" s="392"/>
      <c r="FX47" s="392"/>
      <c r="FY47" s="392"/>
      <c r="FZ47" s="392"/>
      <c r="GA47" s="392"/>
      <c r="GB47" s="392"/>
      <c r="GC47" s="392"/>
      <c r="GD47" s="392"/>
      <c r="GE47" s="392"/>
      <c r="GF47" s="392"/>
      <c r="GG47" s="392"/>
      <c r="GH47" s="392"/>
      <c r="GI47" s="392"/>
      <c r="GJ47" s="392"/>
      <c r="GK47" s="392"/>
      <c r="GL47" s="392"/>
      <c r="GM47" s="392"/>
      <c r="GN47" s="392"/>
      <c r="GO47" s="392"/>
      <c r="GP47" s="392"/>
      <c r="GQ47" s="392"/>
      <c r="GR47" s="392"/>
      <c r="GS47" s="392"/>
      <c r="GT47" s="392"/>
      <c r="GU47" s="392"/>
      <c r="GV47" s="392"/>
      <c r="GW47" s="392"/>
      <c r="GX47" s="392"/>
      <c r="GY47" s="392"/>
      <c r="GZ47" s="392"/>
      <c r="HA47" s="392"/>
      <c r="HB47" s="392"/>
      <c r="HC47" s="392"/>
      <c r="HD47" s="392"/>
      <c r="HE47" s="392"/>
      <c r="HF47" s="392"/>
      <c r="HG47" s="392"/>
      <c r="HH47" s="392"/>
      <c r="HI47" s="392"/>
      <c r="HJ47" s="392"/>
      <c r="HK47" s="392"/>
      <c r="HL47" s="392"/>
      <c r="HM47" s="392"/>
      <c r="HN47" s="392"/>
      <c r="HO47" s="392"/>
      <c r="HP47" s="392"/>
      <c r="HQ47" s="392"/>
      <c r="HR47" s="392"/>
      <c r="HS47" s="392"/>
      <c r="HT47" s="392"/>
      <c r="HU47" s="392"/>
      <c r="HV47" s="392"/>
      <c r="HW47" s="392"/>
      <c r="HX47" s="392"/>
      <c r="HY47" s="392"/>
      <c r="HZ47" s="392"/>
      <c r="IA47" s="392"/>
      <c r="IB47" s="392"/>
      <c r="IC47" s="392"/>
      <c r="ID47" s="392"/>
      <c r="IE47" s="392"/>
      <c r="IF47" s="392"/>
      <c r="IG47" s="392"/>
      <c r="IH47" s="392"/>
      <c r="II47" s="392"/>
      <c r="IJ47" s="392"/>
      <c r="IK47" s="392"/>
      <c r="IL47" s="392"/>
      <c r="IM47" s="392"/>
      <c r="IN47" s="392"/>
      <c r="IO47" s="392"/>
      <c r="IP47" s="392"/>
      <c r="IQ47" s="392"/>
      <c r="IR47" s="392"/>
      <c r="IS47" s="392"/>
      <c r="IT47" s="392"/>
      <c r="IU47" s="392"/>
      <c r="IV47" s="392"/>
    </row>
    <row r="48" spans="1:256" ht="31.5">
      <c r="A48" s="392"/>
      <c r="B48" s="581" t="s">
        <v>1706</v>
      </c>
      <c r="C48" s="2327" t="s">
        <v>1707</v>
      </c>
      <c r="D48" s="2328"/>
      <c r="E48" s="2328"/>
      <c r="F48" s="2329"/>
      <c r="G48" s="554" t="s">
        <v>22</v>
      </c>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c r="CQ48" s="392"/>
      <c r="CR48" s="392"/>
      <c r="CS48" s="392"/>
      <c r="CT48" s="392"/>
      <c r="CU48" s="392"/>
      <c r="CV48" s="392"/>
      <c r="CW48" s="392"/>
      <c r="CX48" s="392"/>
      <c r="CY48" s="392"/>
      <c r="CZ48" s="392"/>
      <c r="DA48" s="392"/>
      <c r="DB48" s="392"/>
      <c r="DC48" s="392"/>
      <c r="DD48" s="392"/>
      <c r="DE48" s="392"/>
      <c r="DF48" s="392"/>
      <c r="DG48" s="392"/>
      <c r="DH48" s="392"/>
      <c r="DI48" s="392"/>
      <c r="DJ48" s="392"/>
      <c r="DK48" s="392"/>
      <c r="DL48" s="392"/>
      <c r="DM48" s="392"/>
      <c r="DN48" s="392"/>
      <c r="DO48" s="392"/>
      <c r="DP48" s="392"/>
      <c r="DQ48" s="392"/>
      <c r="DR48" s="392"/>
      <c r="DS48" s="392"/>
      <c r="DT48" s="392"/>
      <c r="DU48" s="392"/>
      <c r="DV48" s="392"/>
      <c r="DW48" s="392"/>
      <c r="DX48" s="392"/>
      <c r="DY48" s="392"/>
      <c r="DZ48" s="392"/>
      <c r="EA48" s="392"/>
      <c r="EB48" s="392"/>
      <c r="EC48" s="392"/>
      <c r="ED48" s="392"/>
      <c r="EE48" s="392"/>
      <c r="EF48" s="392"/>
      <c r="EG48" s="392"/>
      <c r="EH48" s="392"/>
      <c r="EI48" s="392"/>
      <c r="EJ48" s="392"/>
      <c r="EK48" s="392"/>
      <c r="EL48" s="392"/>
      <c r="EM48" s="392"/>
      <c r="EN48" s="392"/>
      <c r="EO48" s="392"/>
      <c r="EP48" s="392"/>
      <c r="EQ48" s="392"/>
      <c r="ER48" s="392"/>
      <c r="ES48" s="392"/>
      <c r="ET48" s="392"/>
      <c r="EU48" s="392"/>
      <c r="EV48" s="392"/>
      <c r="EW48" s="392"/>
      <c r="EX48" s="392"/>
      <c r="EY48" s="392"/>
      <c r="EZ48" s="392"/>
      <c r="FA48" s="392"/>
      <c r="FB48" s="392"/>
      <c r="FC48" s="392"/>
      <c r="FD48" s="392"/>
      <c r="FE48" s="392"/>
      <c r="FF48" s="392"/>
      <c r="FG48" s="392"/>
      <c r="FH48" s="392"/>
      <c r="FI48" s="392"/>
      <c r="FJ48" s="392"/>
      <c r="FK48" s="392"/>
      <c r="FL48" s="392"/>
      <c r="FM48" s="392"/>
      <c r="FN48" s="392"/>
      <c r="FO48" s="392"/>
      <c r="FP48" s="392"/>
      <c r="FQ48" s="392"/>
      <c r="FR48" s="392"/>
      <c r="FS48" s="392"/>
      <c r="FT48" s="392"/>
      <c r="FU48" s="392"/>
      <c r="FV48" s="392"/>
      <c r="FW48" s="392"/>
      <c r="FX48" s="392"/>
      <c r="FY48" s="392"/>
      <c r="FZ48" s="392"/>
      <c r="GA48" s="392"/>
      <c r="GB48" s="392"/>
      <c r="GC48" s="392"/>
      <c r="GD48" s="392"/>
      <c r="GE48" s="392"/>
      <c r="GF48" s="392"/>
      <c r="GG48" s="392"/>
      <c r="GH48" s="392"/>
      <c r="GI48" s="392"/>
      <c r="GJ48" s="392"/>
      <c r="GK48" s="392"/>
      <c r="GL48" s="392"/>
      <c r="GM48" s="392"/>
      <c r="GN48" s="392"/>
      <c r="GO48" s="392"/>
      <c r="GP48" s="392"/>
      <c r="GQ48" s="392"/>
      <c r="GR48" s="392"/>
      <c r="GS48" s="392"/>
      <c r="GT48" s="392"/>
      <c r="GU48" s="392"/>
      <c r="GV48" s="392"/>
      <c r="GW48" s="392"/>
      <c r="GX48" s="392"/>
      <c r="GY48" s="392"/>
      <c r="GZ48" s="392"/>
      <c r="HA48" s="392"/>
      <c r="HB48" s="392"/>
      <c r="HC48" s="392"/>
      <c r="HD48" s="392"/>
      <c r="HE48" s="392"/>
      <c r="HF48" s="392"/>
      <c r="HG48" s="392"/>
      <c r="HH48" s="392"/>
      <c r="HI48" s="392"/>
      <c r="HJ48" s="392"/>
      <c r="HK48" s="392"/>
      <c r="HL48" s="392"/>
      <c r="HM48" s="392"/>
      <c r="HN48" s="392"/>
      <c r="HO48" s="392"/>
      <c r="HP48" s="392"/>
      <c r="HQ48" s="392"/>
      <c r="HR48" s="392"/>
      <c r="HS48" s="392"/>
      <c r="HT48" s="392"/>
      <c r="HU48" s="392"/>
      <c r="HV48" s="392"/>
      <c r="HW48" s="392"/>
      <c r="HX48" s="392"/>
      <c r="HY48" s="392"/>
      <c r="HZ48" s="392"/>
      <c r="IA48" s="392"/>
      <c r="IB48" s="392"/>
      <c r="IC48" s="392"/>
      <c r="ID48" s="392"/>
      <c r="IE48" s="392"/>
      <c r="IF48" s="392"/>
      <c r="IG48" s="392"/>
      <c r="IH48" s="392"/>
      <c r="II48" s="392"/>
      <c r="IJ48" s="392"/>
      <c r="IK48" s="392"/>
      <c r="IL48" s="392"/>
      <c r="IM48" s="392"/>
      <c r="IN48" s="392"/>
      <c r="IO48" s="392"/>
      <c r="IP48" s="392"/>
      <c r="IQ48" s="392"/>
      <c r="IR48" s="392"/>
      <c r="IS48" s="392"/>
      <c r="IT48" s="392"/>
      <c r="IU48" s="392"/>
      <c r="IV48" s="392"/>
    </row>
    <row r="49" spans="1:256" ht="31.5">
      <c r="A49" s="392"/>
      <c r="B49" s="366" t="s">
        <v>1708</v>
      </c>
      <c r="C49" s="582" t="s">
        <v>161</v>
      </c>
      <c r="D49" s="582" t="s">
        <v>22</v>
      </c>
      <c r="E49" s="2330" t="s">
        <v>162</v>
      </c>
      <c r="F49" s="2331"/>
      <c r="G49" s="2332"/>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2"/>
      <c r="CP49" s="392"/>
      <c r="CQ49" s="392"/>
      <c r="CR49" s="392"/>
      <c r="CS49" s="392"/>
      <c r="CT49" s="392"/>
      <c r="CU49" s="392"/>
      <c r="CV49" s="392"/>
      <c r="CW49" s="392"/>
      <c r="CX49" s="392"/>
      <c r="CY49" s="392"/>
      <c r="CZ49" s="392"/>
      <c r="DA49" s="392"/>
      <c r="DB49" s="392"/>
      <c r="DC49" s="392"/>
      <c r="DD49" s="392"/>
      <c r="DE49" s="392"/>
      <c r="DF49" s="392"/>
      <c r="DG49" s="392"/>
      <c r="DH49" s="392"/>
      <c r="DI49" s="392"/>
      <c r="DJ49" s="392"/>
      <c r="DK49" s="392"/>
      <c r="DL49" s="392"/>
      <c r="DM49" s="392"/>
      <c r="DN49" s="392"/>
      <c r="DO49" s="392"/>
      <c r="DP49" s="392"/>
      <c r="DQ49" s="392"/>
      <c r="DR49" s="392"/>
      <c r="DS49" s="392"/>
      <c r="DT49" s="392"/>
      <c r="DU49" s="392"/>
      <c r="DV49" s="392"/>
      <c r="DW49" s="392"/>
      <c r="DX49" s="392"/>
      <c r="DY49" s="392"/>
      <c r="DZ49" s="392"/>
      <c r="EA49" s="392"/>
      <c r="EB49" s="392"/>
      <c r="EC49" s="392"/>
      <c r="ED49" s="392"/>
      <c r="EE49" s="392"/>
      <c r="EF49" s="392"/>
      <c r="EG49" s="392"/>
      <c r="EH49" s="392"/>
      <c r="EI49" s="392"/>
      <c r="EJ49" s="392"/>
      <c r="EK49" s="392"/>
      <c r="EL49" s="392"/>
      <c r="EM49" s="392"/>
      <c r="EN49" s="392"/>
      <c r="EO49" s="392"/>
      <c r="EP49" s="392"/>
      <c r="EQ49" s="392"/>
      <c r="ER49" s="392"/>
      <c r="ES49" s="392"/>
      <c r="ET49" s="392"/>
      <c r="EU49" s="392"/>
      <c r="EV49" s="392"/>
      <c r="EW49" s="392"/>
      <c r="EX49" s="392"/>
      <c r="EY49" s="392"/>
      <c r="EZ49" s="392"/>
      <c r="FA49" s="392"/>
      <c r="FB49" s="392"/>
      <c r="FC49" s="392"/>
      <c r="FD49" s="392"/>
      <c r="FE49" s="392"/>
      <c r="FF49" s="392"/>
      <c r="FG49" s="392"/>
      <c r="FH49" s="392"/>
      <c r="FI49" s="392"/>
      <c r="FJ49" s="392"/>
      <c r="FK49" s="392"/>
      <c r="FL49" s="392"/>
      <c r="FM49" s="392"/>
      <c r="FN49" s="392"/>
      <c r="FO49" s="392"/>
      <c r="FP49" s="392"/>
      <c r="FQ49" s="392"/>
      <c r="FR49" s="392"/>
      <c r="FS49" s="392"/>
      <c r="FT49" s="392"/>
      <c r="FU49" s="392"/>
      <c r="FV49" s="392"/>
      <c r="FW49" s="392"/>
      <c r="FX49" s="392"/>
      <c r="FY49" s="392"/>
      <c r="FZ49" s="392"/>
      <c r="GA49" s="392"/>
      <c r="GB49" s="392"/>
      <c r="GC49" s="392"/>
      <c r="GD49" s="392"/>
      <c r="GE49" s="392"/>
      <c r="GF49" s="392"/>
      <c r="GG49" s="392"/>
      <c r="GH49" s="392"/>
      <c r="GI49" s="392"/>
      <c r="GJ49" s="392"/>
      <c r="GK49" s="392"/>
      <c r="GL49" s="392"/>
      <c r="GM49" s="392"/>
      <c r="GN49" s="392"/>
      <c r="GO49" s="392"/>
      <c r="GP49" s="392"/>
      <c r="GQ49" s="392"/>
      <c r="GR49" s="392"/>
      <c r="GS49" s="392"/>
      <c r="GT49" s="392"/>
      <c r="GU49" s="392"/>
      <c r="GV49" s="392"/>
      <c r="GW49" s="392"/>
      <c r="GX49" s="392"/>
      <c r="GY49" s="392"/>
      <c r="GZ49" s="392"/>
      <c r="HA49" s="392"/>
      <c r="HB49" s="392"/>
      <c r="HC49" s="392"/>
      <c r="HD49" s="392"/>
      <c r="HE49" s="392"/>
      <c r="HF49" s="392"/>
      <c r="HG49" s="392"/>
      <c r="HH49" s="392"/>
      <c r="HI49" s="392"/>
      <c r="HJ49" s="392"/>
      <c r="HK49" s="392"/>
      <c r="HL49" s="392"/>
      <c r="HM49" s="392"/>
      <c r="HN49" s="392"/>
      <c r="HO49" s="392"/>
      <c r="HP49" s="392"/>
      <c r="HQ49" s="392"/>
      <c r="HR49" s="392"/>
      <c r="HS49" s="392"/>
      <c r="HT49" s="392"/>
      <c r="HU49" s="392"/>
      <c r="HV49" s="392"/>
      <c r="HW49" s="392"/>
      <c r="HX49" s="392"/>
      <c r="HY49" s="392"/>
      <c r="HZ49" s="392"/>
      <c r="IA49" s="392"/>
      <c r="IB49" s="392"/>
      <c r="IC49" s="392"/>
      <c r="ID49" s="392"/>
      <c r="IE49" s="392"/>
      <c r="IF49" s="392"/>
      <c r="IG49" s="392"/>
      <c r="IH49" s="392"/>
      <c r="II49" s="392"/>
      <c r="IJ49" s="392"/>
      <c r="IK49" s="392"/>
      <c r="IL49" s="392"/>
      <c r="IM49" s="392"/>
      <c r="IN49" s="392"/>
      <c r="IO49" s="392"/>
      <c r="IP49" s="392"/>
      <c r="IQ49" s="392"/>
      <c r="IR49" s="392"/>
      <c r="IS49" s="392"/>
      <c r="IT49" s="392"/>
      <c r="IU49" s="392"/>
      <c r="IV49" s="392"/>
    </row>
    <row r="50" spans="1:256" ht="15.75">
      <c r="A50" s="392"/>
      <c r="B50" s="2333" t="s">
        <v>165</v>
      </c>
      <c r="C50" s="2334"/>
      <c r="D50" s="2334"/>
      <c r="E50" s="2334"/>
      <c r="F50" s="2334"/>
      <c r="G50" s="2335"/>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c r="CL50" s="392"/>
      <c r="CM50" s="392"/>
      <c r="CN50" s="392"/>
      <c r="CO50" s="392"/>
      <c r="CP50" s="392"/>
      <c r="CQ50" s="392"/>
      <c r="CR50" s="392"/>
      <c r="CS50" s="392"/>
      <c r="CT50" s="392"/>
      <c r="CU50" s="392"/>
      <c r="CV50" s="392"/>
      <c r="CW50" s="392"/>
      <c r="CX50" s="392"/>
      <c r="CY50" s="392"/>
      <c r="CZ50" s="392"/>
      <c r="DA50" s="392"/>
      <c r="DB50" s="392"/>
      <c r="DC50" s="392"/>
      <c r="DD50" s="392"/>
      <c r="DE50" s="392"/>
      <c r="DF50" s="392"/>
      <c r="DG50" s="392"/>
      <c r="DH50" s="392"/>
      <c r="DI50" s="392"/>
      <c r="DJ50" s="392"/>
      <c r="DK50" s="392"/>
      <c r="DL50" s="392"/>
      <c r="DM50" s="392"/>
      <c r="DN50" s="392"/>
      <c r="DO50" s="392"/>
      <c r="DP50" s="392"/>
      <c r="DQ50" s="392"/>
      <c r="DR50" s="392"/>
      <c r="DS50" s="392"/>
      <c r="DT50" s="392"/>
      <c r="DU50" s="392"/>
      <c r="DV50" s="392"/>
      <c r="DW50" s="392"/>
      <c r="DX50" s="392"/>
      <c r="DY50" s="392"/>
      <c r="DZ50" s="392"/>
      <c r="EA50" s="392"/>
      <c r="EB50" s="392"/>
      <c r="EC50" s="392"/>
      <c r="ED50" s="392"/>
      <c r="EE50" s="392"/>
      <c r="EF50" s="392"/>
      <c r="EG50" s="392"/>
      <c r="EH50" s="392"/>
      <c r="EI50" s="392"/>
      <c r="EJ50" s="392"/>
      <c r="EK50" s="392"/>
      <c r="EL50" s="392"/>
      <c r="EM50" s="392"/>
      <c r="EN50" s="392"/>
      <c r="EO50" s="392"/>
      <c r="EP50" s="392"/>
      <c r="EQ50" s="392"/>
      <c r="ER50" s="392"/>
      <c r="ES50" s="392"/>
      <c r="ET50" s="392"/>
      <c r="EU50" s="392"/>
      <c r="EV50" s="392"/>
      <c r="EW50" s="392"/>
      <c r="EX50" s="392"/>
      <c r="EY50" s="392"/>
      <c r="EZ50" s="392"/>
      <c r="FA50" s="392"/>
      <c r="FB50" s="392"/>
      <c r="FC50" s="392"/>
      <c r="FD50" s="392"/>
      <c r="FE50" s="392"/>
      <c r="FF50" s="392"/>
      <c r="FG50" s="392"/>
      <c r="FH50" s="392"/>
      <c r="FI50" s="392"/>
      <c r="FJ50" s="392"/>
      <c r="FK50" s="392"/>
      <c r="FL50" s="392"/>
      <c r="FM50" s="392"/>
      <c r="FN50" s="392"/>
      <c r="FO50" s="392"/>
      <c r="FP50" s="392"/>
      <c r="FQ50" s="392"/>
      <c r="FR50" s="392"/>
      <c r="FS50" s="392"/>
      <c r="FT50" s="392"/>
      <c r="FU50" s="392"/>
      <c r="FV50" s="392"/>
      <c r="FW50" s="392"/>
      <c r="FX50" s="392"/>
      <c r="FY50" s="392"/>
      <c r="FZ50" s="392"/>
      <c r="GA50" s="392"/>
      <c r="GB50" s="392"/>
      <c r="GC50" s="392"/>
      <c r="GD50" s="392"/>
      <c r="GE50" s="392"/>
      <c r="GF50" s="392"/>
      <c r="GG50" s="392"/>
      <c r="GH50" s="392"/>
      <c r="GI50" s="392"/>
      <c r="GJ50" s="392"/>
      <c r="GK50" s="392"/>
      <c r="GL50" s="392"/>
      <c r="GM50" s="392"/>
      <c r="GN50" s="392"/>
      <c r="GO50" s="392"/>
      <c r="GP50" s="392"/>
      <c r="GQ50" s="392"/>
      <c r="GR50" s="392"/>
      <c r="GS50" s="392"/>
      <c r="GT50" s="392"/>
      <c r="GU50" s="392"/>
      <c r="GV50" s="392"/>
      <c r="GW50" s="392"/>
      <c r="GX50" s="392"/>
      <c r="GY50" s="392"/>
      <c r="GZ50" s="392"/>
      <c r="HA50" s="392"/>
      <c r="HB50" s="392"/>
      <c r="HC50" s="392"/>
      <c r="HD50" s="392"/>
      <c r="HE50" s="392"/>
      <c r="HF50" s="392"/>
      <c r="HG50" s="392"/>
      <c r="HH50" s="392"/>
      <c r="HI50" s="392"/>
      <c r="HJ50" s="392"/>
      <c r="HK50" s="392"/>
      <c r="HL50" s="392"/>
      <c r="HM50" s="392"/>
      <c r="HN50" s="392"/>
      <c r="HO50" s="392"/>
      <c r="HP50" s="392"/>
      <c r="HQ50" s="392"/>
      <c r="HR50" s="392"/>
      <c r="HS50" s="392"/>
      <c r="HT50" s="392"/>
      <c r="HU50" s="392"/>
      <c r="HV50" s="392"/>
      <c r="HW50" s="392"/>
      <c r="HX50" s="392"/>
      <c r="HY50" s="392"/>
      <c r="HZ50" s="392"/>
      <c r="IA50" s="392"/>
      <c r="IB50" s="392"/>
      <c r="IC50" s="392"/>
      <c r="ID50" s="392"/>
      <c r="IE50" s="392"/>
      <c r="IF50" s="392"/>
      <c r="IG50" s="392"/>
      <c r="IH50" s="392"/>
      <c r="II50" s="392"/>
      <c r="IJ50" s="392"/>
      <c r="IK50" s="392"/>
      <c r="IL50" s="392"/>
      <c r="IM50" s="392"/>
      <c r="IN50" s="392"/>
      <c r="IO50" s="392"/>
      <c r="IP50" s="392"/>
      <c r="IQ50" s="392"/>
      <c r="IR50" s="392"/>
      <c r="IS50" s="392"/>
      <c r="IT50" s="392"/>
      <c r="IU50" s="392"/>
      <c r="IV50" s="392"/>
    </row>
    <row r="51" spans="1:256" ht="15">
      <c r="A51" s="392"/>
      <c r="B51" s="2318" t="str">
        <f>C41</f>
        <v>ESCAVAÇÃO MANUAL DE VALA COM PROFUNDIDADE MENOR OU IGUAL A 1,30 M. AF_02/2021</v>
      </c>
      <c r="C51" s="2319"/>
      <c r="D51" s="583" t="s">
        <v>19</v>
      </c>
      <c r="E51" s="2340" t="s">
        <v>1709</v>
      </c>
      <c r="F51" s="2340"/>
      <c r="G51" s="2341"/>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c r="CA51" s="392"/>
      <c r="CB51" s="392"/>
      <c r="CC51" s="392"/>
      <c r="CD51" s="392"/>
      <c r="CE51" s="392"/>
      <c r="CF51" s="392"/>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392"/>
      <c r="DG51" s="392"/>
      <c r="DH51" s="392"/>
      <c r="DI51" s="392"/>
      <c r="DJ51" s="392"/>
      <c r="DK51" s="392"/>
      <c r="DL51" s="392"/>
      <c r="DM51" s="392"/>
      <c r="DN51" s="392"/>
      <c r="DO51" s="392"/>
      <c r="DP51" s="392"/>
      <c r="DQ51" s="392"/>
      <c r="DR51" s="392"/>
      <c r="DS51" s="392"/>
      <c r="DT51" s="392"/>
      <c r="DU51" s="392"/>
      <c r="DV51" s="392"/>
      <c r="DW51" s="392"/>
      <c r="DX51" s="392"/>
      <c r="DY51" s="392"/>
      <c r="DZ51" s="392"/>
      <c r="EA51" s="392"/>
      <c r="EB51" s="392"/>
      <c r="EC51" s="392"/>
      <c r="ED51" s="392"/>
      <c r="EE51" s="392"/>
      <c r="EF51" s="392"/>
      <c r="EG51" s="392"/>
      <c r="EH51" s="392"/>
      <c r="EI51" s="392"/>
      <c r="EJ51" s="392"/>
      <c r="EK51" s="392"/>
      <c r="EL51" s="392"/>
      <c r="EM51" s="392"/>
      <c r="EN51" s="392"/>
      <c r="EO51" s="392"/>
      <c r="EP51" s="392"/>
      <c r="EQ51" s="392"/>
      <c r="ER51" s="392"/>
      <c r="ES51" s="392"/>
      <c r="ET51" s="392"/>
      <c r="EU51" s="392"/>
      <c r="EV51" s="392"/>
      <c r="EW51" s="392"/>
      <c r="EX51" s="392"/>
      <c r="EY51" s="392"/>
      <c r="EZ51" s="392"/>
      <c r="FA51" s="392"/>
      <c r="FB51" s="392"/>
      <c r="FC51" s="392"/>
      <c r="FD51" s="392"/>
      <c r="FE51" s="392"/>
      <c r="FF51" s="392"/>
      <c r="FG51" s="392"/>
      <c r="FH51" s="392"/>
      <c r="FI51" s="392"/>
      <c r="FJ51" s="392"/>
      <c r="FK51" s="392"/>
      <c r="FL51" s="392"/>
      <c r="FM51" s="392"/>
      <c r="FN51" s="392"/>
      <c r="FO51" s="392"/>
      <c r="FP51" s="392"/>
      <c r="FQ51" s="392"/>
      <c r="FR51" s="392"/>
      <c r="FS51" s="392"/>
      <c r="FT51" s="392"/>
      <c r="FU51" s="392"/>
      <c r="FV51" s="392"/>
      <c r="FW51" s="392"/>
      <c r="FX51" s="392"/>
      <c r="FY51" s="392"/>
      <c r="FZ51" s="392"/>
      <c r="GA51" s="392"/>
      <c r="GB51" s="392"/>
      <c r="GC51" s="392"/>
      <c r="GD51" s="392"/>
      <c r="GE51" s="392"/>
      <c r="GF51" s="392"/>
      <c r="GG51" s="392"/>
      <c r="GH51" s="392"/>
      <c r="GI51" s="392"/>
      <c r="GJ51" s="392"/>
      <c r="GK51" s="392"/>
      <c r="GL51" s="392"/>
      <c r="GM51" s="392"/>
      <c r="GN51" s="392"/>
      <c r="GO51" s="392"/>
      <c r="GP51" s="392"/>
      <c r="GQ51" s="392"/>
      <c r="GR51" s="392"/>
      <c r="GS51" s="392"/>
      <c r="GT51" s="392"/>
      <c r="GU51" s="392"/>
      <c r="GV51" s="392"/>
      <c r="GW51" s="392"/>
      <c r="GX51" s="392"/>
      <c r="GY51" s="392"/>
      <c r="GZ51" s="392"/>
      <c r="HA51" s="392"/>
      <c r="HB51" s="392"/>
      <c r="HC51" s="392"/>
      <c r="HD51" s="392"/>
      <c r="HE51" s="392"/>
      <c r="HF51" s="392"/>
      <c r="HG51" s="392"/>
      <c r="HH51" s="392"/>
      <c r="HI51" s="392"/>
      <c r="HJ51" s="392"/>
      <c r="HK51" s="392"/>
      <c r="HL51" s="392"/>
      <c r="HM51" s="392"/>
      <c r="HN51" s="392"/>
      <c r="HO51" s="392"/>
      <c r="HP51" s="392"/>
      <c r="HQ51" s="392"/>
      <c r="HR51" s="392"/>
      <c r="HS51" s="392"/>
      <c r="HT51" s="392"/>
      <c r="HU51" s="392"/>
      <c r="HV51" s="392"/>
      <c r="HW51" s="392"/>
      <c r="HX51" s="392"/>
      <c r="HY51" s="392"/>
      <c r="HZ51" s="392"/>
      <c r="IA51" s="392"/>
      <c r="IB51" s="392"/>
      <c r="IC51" s="392"/>
      <c r="ID51" s="392"/>
      <c r="IE51" s="392"/>
      <c r="IF51" s="392"/>
      <c r="IG51" s="392"/>
      <c r="IH51" s="392"/>
      <c r="II51" s="392"/>
      <c r="IJ51" s="392"/>
      <c r="IK51" s="392"/>
      <c r="IL51" s="392"/>
      <c r="IM51" s="392"/>
      <c r="IN51" s="392"/>
      <c r="IO51" s="392"/>
      <c r="IP51" s="392"/>
      <c r="IQ51" s="392"/>
      <c r="IR51" s="392"/>
      <c r="IS51" s="392"/>
      <c r="IT51" s="392"/>
      <c r="IU51" s="392"/>
      <c r="IV51" s="392"/>
    </row>
    <row r="52" spans="1:256" ht="35.25" customHeight="1">
      <c r="A52" s="392"/>
      <c r="B52" s="2318" t="str">
        <f>C42</f>
        <v>CONCRETO FCK = 25MPA, TRAÇO 1:2,3:2,7 (EM MASSA SECA DE CIMENTO/ AREIA MÉDIA/ BRITA 1) - PREPARO MECÂNICO COM BETONEIRA 400 L. AF_05/2021</v>
      </c>
      <c r="C52" s="2319"/>
      <c r="D52" s="322" t="s">
        <v>19</v>
      </c>
      <c r="E52" s="2320" t="str">
        <f>E51</f>
        <v>(0,8*0,4*0,4)</v>
      </c>
      <c r="F52" s="2320"/>
      <c r="G52" s="2321"/>
      <c r="H52" s="392"/>
      <c r="I52" s="392"/>
      <c r="J52" s="392"/>
      <c r="K52" s="392"/>
      <c r="L52" s="392"/>
      <c r="M52" s="392"/>
      <c r="N52" s="392"/>
      <c r="O52" s="392"/>
      <c r="P52" s="392"/>
      <c r="Q52" s="392"/>
      <c r="R52" s="392"/>
      <c r="S52" s="392"/>
      <c r="T52" s="392"/>
      <c r="U52" s="392"/>
      <c r="V52" s="392"/>
      <c r="W52" s="392"/>
      <c r="X52" s="392"/>
      <c r="Y52" s="392"/>
      <c r="Z52" s="392"/>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c r="CA52" s="392"/>
      <c r="CB52" s="392"/>
      <c r="CC52" s="392"/>
      <c r="CD52" s="392"/>
      <c r="CE52" s="392"/>
      <c r="CF52" s="392"/>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392"/>
      <c r="DG52" s="392"/>
      <c r="DH52" s="392"/>
      <c r="DI52" s="392"/>
      <c r="DJ52" s="392"/>
      <c r="DK52" s="392"/>
      <c r="DL52" s="392"/>
      <c r="DM52" s="392"/>
      <c r="DN52" s="392"/>
      <c r="DO52" s="392"/>
      <c r="DP52" s="392"/>
      <c r="DQ52" s="392"/>
      <c r="DR52" s="392"/>
      <c r="DS52" s="392"/>
      <c r="DT52" s="392"/>
      <c r="DU52" s="392"/>
      <c r="DV52" s="392"/>
      <c r="DW52" s="392"/>
      <c r="DX52" s="392"/>
      <c r="DY52" s="392"/>
      <c r="DZ52" s="392"/>
      <c r="EA52" s="392"/>
      <c r="EB52" s="392"/>
      <c r="EC52" s="392"/>
      <c r="ED52" s="392"/>
      <c r="EE52" s="392"/>
      <c r="EF52" s="392"/>
      <c r="EG52" s="392"/>
      <c r="EH52" s="392"/>
      <c r="EI52" s="392"/>
      <c r="EJ52" s="392"/>
      <c r="EK52" s="392"/>
      <c r="EL52" s="392"/>
      <c r="EM52" s="392"/>
      <c r="EN52" s="392"/>
      <c r="EO52" s="392"/>
      <c r="EP52" s="392"/>
      <c r="EQ52" s="392"/>
      <c r="ER52" s="392"/>
      <c r="ES52" s="392"/>
      <c r="ET52" s="392"/>
      <c r="EU52" s="392"/>
      <c r="EV52" s="392"/>
      <c r="EW52" s="392"/>
      <c r="EX52" s="392"/>
      <c r="EY52" s="392"/>
      <c r="EZ52" s="392"/>
      <c r="FA52" s="392"/>
      <c r="FB52" s="392"/>
      <c r="FC52" s="392"/>
      <c r="FD52" s="392"/>
      <c r="FE52" s="392"/>
      <c r="FF52" s="392"/>
      <c r="FG52" s="392"/>
      <c r="FH52" s="392"/>
      <c r="FI52" s="392"/>
      <c r="FJ52" s="392"/>
      <c r="FK52" s="392"/>
      <c r="FL52" s="392"/>
      <c r="FM52" s="392"/>
      <c r="FN52" s="392"/>
      <c r="FO52" s="392"/>
      <c r="FP52" s="392"/>
      <c r="FQ52" s="392"/>
      <c r="FR52" s="392"/>
      <c r="FS52" s="392"/>
      <c r="FT52" s="392"/>
      <c r="FU52" s="392"/>
      <c r="FV52" s="392"/>
      <c r="FW52" s="392"/>
      <c r="FX52" s="392"/>
      <c r="FY52" s="392"/>
      <c r="FZ52" s="392"/>
      <c r="GA52" s="392"/>
      <c r="GB52" s="392"/>
      <c r="GC52" s="392"/>
      <c r="GD52" s="392"/>
      <c r="GE52" s="392"/>
      <c r="GF52" s="392"/>
      <c r="GG52" s="392"/>
      <c r="GH52" s="392"/>
      <c r="GI52" s="392"/>
      <c r="GJ52" s="392"/>
      <c r="GK52" s="392"/>
      <c r="GL52" s="392"/>
      <c r="GM52" s="392"/>
      <c r="GN52" s="392"/>
      <c r="GO52" s="392"/>
      <c r="GP52" s="392"/>
      <c r="GQ52" s="392"/>
      <c r="GR52" s="392"/>
      <c r="GS52" s="392"/>
      <c r="GT52" s="392"/>
      <c r="GU52" s="392"/>
      <c r="GV52" s="392"/>
      <c r="GW52" s="392"/>
      <c r="GX52" s="392"/>
      <c r="GY52" s="392"/>
      <c r="GZ52" s="392"/>
      <c r="HA52" s="392"/>
      <c r="HB52" s="392"/>
      <c r="HC52" s="392"/>
      <c r="HD52" s="392"/>
      <c r="HE52" s="392"/>
      <c r="HF52" s="392"/>
      <c r="HG52" s="392"/>
      <c r="HH52" s="392"/>
      <c r="HI52" s="392"/>
      <c r="HJ52" s="392"/>
      <c r="HK52" s="392"/>
      <c r="HL52" s="392"/>
      <c r="HM52" s="392"/>
      <c r="HN52" s="392"/>
      <c r="HO52" s="392"/>
      <c r="HP52" s="392"/>
      <c r="HQ52" s="392"/>
      <c r="HR52" s="392"/>
      <c r="HS52" s="392"/>
      <c r="HT52" s="392"/>
      <c r="HU52" s="392"/>
      <c r="HV52" s="392"/>
      <c r="HW52" s="392"/>
      <c r="HX52" s="392"/>
      <c r="HY52" s="392"/>
      <c r="HZ52" s="392"/>
      <c r="IA52" s="392"/>
      <c r="IB52" s="392"/>
      <c r="IC52" s="392"/>
      <c r="ID52" s="392"/>
      <c r="IE52" s="392"/>
      <c r="IF52" s="392"/>
      <c r="IG52" s="392"/>
      <c r="IH52" s="392"/>
      <c r="II52" s="392"/>
      <c r="IJ52" s="392"/>
      <c r="IK52" s="392"/>
      <c r="IL52" s="392"/>
      <c r="IM52" s="392"/>
      <c r="IN52" s="392"/>
      <c r="IO52" s="392"/>
      <c r="IP52" s="392"/>
      <c r="IQ52" s="392"/>
      <c r="IR52" s="392"/>
      <c r="IS52" s="392"/>
      <c r="IT52" s="392"/>
      <c r="IU52" s="392"/>
      <c r="IV52" s="392"/>
    </row>
    <row r="53" spans="1:256" ht="31.5" customHeight="1">
      <c r="A53" s="392"/>
      <c r="B53" s="2318" t="e">
        <f>C43</f>
        <v>#N/A</v>
      </c>
      <c r="C53" s="2319"/>
      <c r="D53" s="322" t="s">
        <v>19</v>
      </c>
      <c r="E53" s="2320" t="str">
        <f>E51</f>
        <v>(0,8*0,4*0,4)</v>
      </c>
      <c r="F53" s="2320"/>
      <c r="G53" s="2321"/>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c r="BK53" s="392"/>
      <c r="BL53" s="392"/>
      <c r="BM53" s="392"/>
      <c r="BN53" s="392"/>
      <c r="BO53" s="392"/>
      <c r="BP53" s="392"/>
      <c r="BQ53" s="392"/>
      <c r="BR53" s="392"/>
      <c r="BS53" s="392"/>
      <c r="BT53" s="392"/>
      <c r="BU53" s="392"/>
      <c r="BV53" s="392"/>
      <c r="BW53" s="392"/>
      <c r="BX53" s="392"/>
      <c r="BY53" s="392"/>
      <c r="BZ53" s="392"/>
      <c r="CA53" s="392"/>
      <c r="CB53" s="392"/>
      <c r="CC53" s="392"/>
      <c r="CD53" s="392"/>
      <c r="CE53" s="392"/>
      <c r="CF53" s="392"/>
      <c r="CG53" s="392"/>
      <c r="CH53" s="392"/>
      <c r="CI53" s="392"/>
      <c r="CJ53" s="392"/>
      <c r="CK53" s="392"/>
      <c r="CL53" s="392"/>
      <c r="CM53" s="392"/>
      <c r="CN53" s="392"/>
      <c r="CO53" s="392"/>
      <c r="CP53" s="392"/>
      <c r="CQ53" s="392"/>
      <c r="CR53" s="392"/>
      <c r="CS53" s="392"/>
      <c r="CT53" s="392"/>
      <c r="CU53" s="392"/>
      <c r="CV53" s="392"/>
      <c r="CW53" s="392"/>
      <c r="CX53" s="392"/>
      <c r="CY53" s="392"/>
      <c r="CZ53" s="392"/>
      <c r="DA53" s="392"/>
      <c r="DB53" s="392"/>
      <c r="DC53" s="392"/>
      <c r="DD53" s="392"/>
      <c r="DE53" s="392"/>
      <c r="DF53" s="392"/>
      <c r="DG53" s="392"/>
      <c r="DH53" s="392"/>
      <c r="DI53" s="392"/>
      <c r="DJ53" s="392"/>
      <c r="DK53" s="392"/>
      <c r="DL53" s="392"/>
      <c r="DM53" s="392"/>
      <c r="DN53" s="392"/>
      <c r="DO53" s="392"/>
      <c r="DP53" s="392"/>
      <c r="DQ53" s="392"/>
      <c r="DR53" s="392"/>
      <c r="DS53" s="392"/>
      <c r="DT53" s="392"/>
      <c r="DU53" s="392"/>
      <c r="DV53" s="392"/>
      <c r="DW53" s="392"/>
      <c r="DX53" s="392"/>
      <c r="DY53" s="392"/>
      <c r="DZ53" s="392"/>
      <c r="EA53" s="392"/>
      <c r="EB53" s="392"/>
      <c r="EC53" s="392"/>
      <c r="ED53" s="392"/>
      <c r="EE53" s="392"/>
      <c r="EF53" s="392"/>
      <c r="EG53" s="392"/>
      <c r="EH53" s="392"/>
      <c r="EI53" s="392"/>
      <c r="EJ53" s="392"/>
      <c r="EK53" s="392"/>
      <c r="EL53" s="392"/>
      <c r="EM53" s="392"/>
      <c r="EN53" s="392"/>
      <c r="EO53" s="392"/>
      <c r="EP53" s="392"/>
      <c r="EQ53" s="392"/>
      <c r="ER53" s="392"/>
      <c r="ES53" s="392"/>
      <c r="ET53" s="392"/>
      <c r="EU53" s="392"/>
      <c r="EV53" s="392"/>
      <c r="EW53" s="392"/>
      <c r="EX53" s="392"/>
      <c r="EY53" s="392"/>
      <c r="EZ53" s="392"/>
      <c r="FA53" s="392"/>
      <c r="FB53" s="392"/>
      <c r="FC53" s="392"/>
      <c r="FD53" s="392"/>
      <c r="FE53" s="392"/>
      <c r="FF53" s="392"/>
      <c r="FG53" s="392"/>
      <c r="FH53" s="392"/>
      <c r="FI53" s="392"/>
      <c r="FJ53" s="392"/>
      <c r="FK53" s="392"/>
      <c r="FL53" s="392"/>
      <c r="FM53" s="392"/>
      <c r="FN53" s="392"/>
      <c r="FO53" s="392"/>
      <c r="FP53" s="392"/>
      <c r="FQ53" s="392"/>
      <c r="FR53" s="392"/>
      <c r="FS53" s="392"/>
      <c r="FT53" s="392"/>
      <c r="FU53" s="392"/>
      <c r="FV53" s="392"/>
      <c r="FW53" s="392"/>
      <c r="FX53" s="392"/>
      <c r="FY53" s="392"/>
      <c r="FZ53" s="392"/>
      <c r="GA53" s="392"/>
      <c r="GB53" s="392"/>
      <c r="GC53" s="392"/>
      <c r="GD53" s="392"/>
      <c r="GE53" s="392"/>
      <c r="GF53" s="392"/>
      <c r="GG53" s="392"/>
      <c r="GH53" s="392"/>
      <c r="GI53" s="392"/>
      <c r="GJ53" s="392"/>
      <c r="GK53" s="392"/>
      <c r="GL53" s="392"/>
      <c r="GM53" s="392"/>
      <c r="GN53" s="392"/>
      <c r="GO53" s="392"/>
      <c r="GP53" s="392"/>
      <c r="GQ53" s="392"/>
      <c r="GR53" s="392"/>
      <c r="GS53" s="392"/>
      <c r="GT53" s="392"/>
      <c r="GU53" s="392"/>
      <c r="GV53" s="392"/>
      <c r="GW53" s="392"/>
      <c r="GX53" s="392"/>
      <c r="GY53" s="392"/>
      <c r="GZ53" s="392"/>
      <c r="HA53" s="392"/>
      <c r="HB53" s="392"/>
      <c r="HC53" s="392"/>
      <c r="HD53" s="392"/>
      <c r="HE53" s="392"/>
      <c r="HF53" s="392"/>
      <c r="HG53" s="392"/>
      <c r="HH53" s="392"/>
      <c r="HI53" s="392"/>
      <c r="HJ53" s="392"/>
      <c r="HK53" s="392"/>
      <c r="HL53" s="392"/>
      <c r="HM53" s="392"/>
      <c r="HN53" s="392"/>
      <c r="HO53" s="392"/>
      <c r="HP53" s="392"/>
      <c r="HQ53" s="392"/>
      <c r="HR53" s="392"/>
      <c r="HS53" s="392"/>
      <c r="HT53" s="392"/>
      <c r="HU53" s="392"/>
      <c r="HV53" s="392"/>
      <c r="HW53" s="392"/>
      <c r="HX53" s="392"/>
      <c r="HY53" s="392"/>
      <c r="HZ53" s="392"/>
      <c r="IA53" s="392"/>
      <c r="IB53" s="392"/>
      <c r="IC53" s="392"/>
      <c r="ID53" s="392"/>
      <c r="IE53" s="392"/>
      <c r="IF53" s="392"/>
      <c r="IG53" s="392"/>
      <c r="IH53" s="392"/>
      <c r="II53" s="392"/>
      <c r="IJ53" s="392"/>
      <c r="IK53" s="392"/>
      <c r="IL53" s="392"/>
      <c r="IM53" s="392"/>
      <c r="IN53" s="392"/>
      <c r="IO53" s="392"/>
      <c r="IP53" s="392"/>
      <c r="IQ53" s="392"/>
      <c r="IR53" s="392"/>
      <c r="IS53" s="392"/>
      <c r="IT53" s="392"/>
      <c r="IU53" s="392"/>
      <c r="IV53" s="392"/>
    </row>
    <row r="54" spans="1:256" ht="13.5" thickBot="1">
      <c r="A54" s="392"/>
      <c r="B54" s="448"/>
      <c r="C54" s="448"/>
      <c r="D54" s="448"/>
      <c r="E54" s="448"/>
      <c r="F54" s="448"/>
      <c r="G54" s="448"/>
      <c r="H54" s="392"/>
      <c r="I54" s="392"/>
      <c r="J54" s="392"/>
      <c r="K54" s="392"/>
      <c r="L54" s="392"/>
      <c r="M54" s="392"/>
      <c r="N54" s="392"/>
      <c r="O54" s="392"/>
      <c r="P54" s="392"/>
      <c r="Q54" s="392"/>
      <c r="R54" s="392"/>
      <c r="S54" s="392"/>
      <c r="T54" s="392"/>
      <c r="U54" s="392"/>
      <c r="V54" s="392"/>
      <c r="W54" s="392"/>
      <c r="X54" s="392"/>
      <c r="Y54" s="392"/>
      <c r="Z54" s="392"/>
      <c r="AA54" s="392"/>
      <c r="AB54" s="392"/>
      <c r="AC54" s="392"/>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392"/>
      <c r="BK54" s="392"/>
      <c r="BL54" s="392"/>
      <c r="BM54" s="392"/>
      <c r="BN54" s="392"/>
      <c r="BO54" s="392"/>
      <c r="BP54" s="392"/>
      <c r="BQ54" s="392"/>
      <c r="BR54" s="392"/>
      <c r="BS54" s="392"/>
      <c r="BT54" s="392"/>
      <c r="BU54" s="392"/>
      <c r="BV54" s="392"/>
      <c r="BW54" s="392"/>
      <c r="BX54" s="392"/>
      <c r="BY54" s="392"/>
      <c r="BZ54" s="392"/>
      <c r="CA54" s="392"/>
      <c r="CB54" s="392"/>
      <c r="CC54" s="392"/>
      <c r="CD54" s="392"/>
      <c r="CE54" s="392"/>
      <c r="CF54" s="392"/>
      <c r="CG54" s="392"/>
      <c r="CH54" s="392"/>
      <c r="CI54" s="392"/>
      <c r="CJ54" s="392"/>
      <c r="CK54" s="392"/>
      <c r="CL54" s="392"/>
      <c r="CM54" s="392"/>
      <c r="CN54" s="392"/>
      <c r="CO54" s="392"/>
      <c r="CP54" s="392"/>
      <c r="CQ54" s="392"/>
      <c r="CR54" s="392"/>
      <c r="CS54" s="392"/>
      <c r="CT54" s="392"/>
      <c r="CU54" s="392"/>
      <c r="CV54" s="392"/>
      <c r="CW54" s="392"/>
      <c r="CX54" s="392"/>
      <c r="CY54" s="392"/>
      <c r="CZ54" s="392"/>
      <c r="DA54" s="392"/>
      <c r="DB54" s="392"/>
      <c r="DC54" s="392"/>
      <c r="DD54" s="392"/>
      <c r="DE54" s="392"/>
      <c r="DF54" s="392"/>
      <c r="DG54" s="392"/>
      <c r="DH54" s="392"/>
      <c r="DI54" s="392"/>
      <c r="DJ54" s="392"/>
      <c r="DK54" s="392"/>
      <c r="DL54" s="392"/>
      <c r="DM54" s="392"/>
      <c r="DN54" s="392"/>
      <c r="DO54" s="392"/>
      <c r="DP54" s="392"/>
      <c r="DQ54" s="392"/>
      <c r="DR54" s="392"/>
      <c r="DS54" s="392"/>
      <c r="DT54" s="392"/>
      <c r="DU54" s="392"/>
      <c r="DV54" s="392"/>
      <c r="DW54" s="392"/>
      <c r="DX54" s="392"/>
      <c r="DY54" s="392"/>
      <c r="DZ54" s="392"/>
      <c r="EA54" s="392"/>
      <c r="EB54" s="392"/>
      <c r="EC54" s="392"/>
      <c r="ED54" s="392"/>
      <c r="EE54" s="392"/>
      <c r="EF54" s="392"/>
      <c r="EG54" s="392"/>
      <c r="EH54" s="392"/>
      <c r="EI54" s="392"/>
      <c r="EJ54" s="392"/>
      <c r="EK54" s="392"/>
      <c r="EL54" s="392"/>
      <c r="EM54" s="392"/>
      <c r="EN54" s="392"/>
      <c r="EO54" s="392"/>
      <c r="EP54" s="392"/>
      <c r="EQ54" s="392"/>
      <c r="ER54" s="392"/>
      <c r="ES54" s="392"/>
      <c r="ET54" s="392"/>
      <c r="EU54" s="392"/>
      <c r="EV54" s="392"/>
      <c r="EW54" s="392"/>
      <c r="EX54" s="392"/>
      <c r="EY54" s="392"/>
      <c r="EZ54" s="392"/>
      <c r="FA54" s="392"/>
      <c r="FB54" s="392"/>
      <c r="FC54" s="392"/>
      <c r="FD54" s="392"/>
      <c r="FE54" s="392"/>
      <c r="FF54" s="392"/>
      <c r="FG54" s="392"/>
      <c r="FH54" s="392"/>
      <c r="FI54" s="392"/>
      <c r="FJ54" s="392"/>
      <c r="FK54" s="392"/>
      <c r="FL54" s="392"/>
      <c r="FM54" s="392"/>
      <c r="FN54" s="392"/>
      <c r="FO54" s="392"/>
      <c r="FP54" s="392"/>
      <c r="FQ54" s="392"/>
      <c r="FR54" s="392"/>
      <c r="FS54" s="392"/>
      <c r="FT54" s="392"/>
      <c r="FU54" s="392"/>
      <c r="FV54" s="392"/>
      <c r="FW54" s="392"/>
      <c r="FX54" s="392"/>
      <c r="FY54" s="392"/>
      <c r="FZ54" s="392"/>
      <c r="GA54" s="392"/>
      <c r="GB54" s="392"/>
      <c r="GC54" s="392"/>
      <c r="GD54" s="392"/>
      <c r="GE54" s="392"/>
      <c r="GF54" s="392"/>
      <c r="GG54" s="392"/>
      <c r="GH54" s="392"/>
      <c r="GI54" s="392"/>
      <c r="GJ54" s="392"/>
      <c r="GK54" s="392"/>
      <c r="GL54" s="392"/>
      <c r="GM54" s="392"/>
      <c r="GN54" s="392"/>
      <c r="GO54" s="392"/>
      <c r="GP54" s="392"/>
      <c r="GQ54" s="392"/>
      <c r="GR54" s="392"/>
      <c r="GS54" s="392"/>
      <c r="GT54" s="392"/>
      <c r="GU54" s="392"/>
      <c r="GV54" s="392"/>
      <c r="GW54" s="392"/>
      <c r="GX54" s="392"/>
      <c r="GY54" s="392"/>
      <c r="GZ54" s="392"/>
      <c r="HA54" s="392"/>
      <c r="HB54" s="392"/>
      <c r="HC54" s="392"/>
      <c r="HD54" s="392"/>
      <c r="HE54" s="392"/>
      <c r="HF54" s="392"/>
      <c r="HG54" s="392"/>
      <c r="HH54" s="392"/>
      <c r="HI54" s="392"/>
      <c r="HJ54" s="392"/>
      <c r="HK54" s="392"/>
      <c r="HL54" s="392"/>
      <c r="HM54" s="392"/>
      <c r="HN54" s="392"/>
      <c r="HO54" s="392"/>
      <c r="HP54" s="392"/>
      <c r="HQ54" s="392"/>
      <c r="HR54" s="392"/>
      <c r="HS54" s="392"/>
      <c r="HT54" s="392"/>
      <c r="HU54" s="392"/>
      <c r="HV54" s="392"/>
      <c r="HW54" s="392"/>
      <c r="HX54" s="392"/>
      <c r="HY54" s="392"/>
      <c r="HZ54" s="392"/>
      <c r="IA54" s="392"/>
      <c r="IB54" s="392"/>
      <c r="IC54" s="392"/>
      <c r="ID54" s="392"/>
      <c r="IE54" s="392"/>
      <c r="IF54" s="392"/>
      <c r="IG54" s="392"/>
      <c r="IH54" s="392"/>
      <c r="II54" s="392"/>
      <c r="IJ54" s="392"/>
      <c r="IK54" s="392"/>
      <c r="IL54" s="392"/>
      <c r="IM54" s="392"/>
      <c r="IN54" s="392"/>
      <c r="IO54" s="392"/>
      <c r="IP54" s="392"/>
      <c r="IQ54" s="392"/>
      <c r="IR54" s="392"/>
      <c r="IS54" s="392"/>
      <c r="IT54" s="392"/>
      <c r="IU54" s="392"/>
      <c r="IV54" s="392"/>
    </row>
    <row r="55" spans="1:256" ht="16.5" thickBot="1">
      <c r="A55" s="392"/>
      <c r="B55" s="594" t="s">
        <v>13990</v>
      </c>
      <c r="C55" s="595" t="s">
        <v>628</v>
      </c>
      <c r="D55" s="595"/>
      <c r="E55" s="595"/>
      <c r="F55" s="595"/>
      <c r="G55" s="596" t="s">
        <v>22</v>
      </c>
      <c r="H55" s="392"/>
      <c r="I55" s="392"/>
      <c r="J55" s="392"/>
      <c r="K55" s="392"/>
      <c r="L55" s="392"/>
      <c r="M55" s="392"/>
      <c r="N55" s="392"/>
      <c r="O55" s="392"/>
      <c r="P55" s="392"/>
      <c r="Q55" s="392"/>
      <c r="R55" s="392"/>
      <c r="S55" s="392"/>
      <c r="T55" s="392"/>
      <c r="U55" s="392"/>
      <c r="V55" s="392"/>
      <c r="W55" s="392"/>
      <c r="X55" s="392"/>
      <c r="Y55" s="392"/>
      <c r="Z55" s="392"/>
      <c r="AA55" s="392"/>
      <c r="AB55" s="392"/>
      <c r="AC55" s="392"/>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2"/>
      <c r="BF55" s="392"/>
      <c r="BG55" s="392"/>
      <c r="BH55" s="392"/>
      <c r="BI55" s="392"/>
      <c r="BJ55" s="392"/>
      <c r="BK55" s="392"/>
      <c r="BL55" s="392"/>
      <c r="BM55" s="392"/>
      <c r="BN55" s="392"/>
      <c r="BO55" s="392"/>
      <c r="BP55" s="392"/>
      <c r="BQ55" s="392"/>
      <c r="BR55" s="392"/>
      <c r="BS55" s="392"/>
      <c r="BT55" s="392"/>
      <c r="BU55" s="392"/>
      <c r="BV55" s="392"/>
      <c r="BW55" s="392"/>
      <c r="BX55" s="392"/>
      <c r="BY55" s="392"/>
      <c r="BZ55" s="392"/>
      <c r="CA55" s="392"/>
      <c r="CB55" s="392"/>
      <c r="CC55" s="392"/>
      <c r="CD55" s="392"/>
      <c r="CE55" s="392"/>
      <c r="CF55" s="392"/>
      <c r="CG55" s="392"/>
      <c r="CH55" s="392"/>
      <c r="CI55" s="392"/>
      <c r="CJ55" s="392"/>
      <c r="CK55" s="392"/>
      <c r="CL55" s="392"/>
      <c r="CM55" s="392"/>
      <c r="CN55" s="392"/>
      <c r="CO55" s="392"/>
      <c r="CP55" s="392"/>
      <c r="CQ55" s="392"/>
      <c r="CR55" s="392"/>
      <c r="CS55" s="392"/>
      <c r="CT55" s="392"/>
      <c r="CU55" s="392"/>
      <c r="CV55" s="392"/>
      <c r="CW55" s="392"/>
      <c r="CX55" s="392"/>
      <c r="CY55" s="392"/>
      <c r="CZ55" s="392"/>
      <c r="DA55" s="392"/>
      <c r="DB55" s="392"/>
      <c r="DC55" s="392"/>
      <c r="DD55" s="392"/>
      <c r="DE55" s="392"/>
      <c r="DF55" s="392"/>
      <c r="DG55" s="392"/>
      <c r="DH55" s="392"/>
      <c r="DI55" s="392"/>
      <c r="DJ55" s="392"/>
      <c r="DK55" s="392"/>
      <c r="DL55" s="392"/>
      <c r="DM55" s="392"/>
      <c r="DN55" s="392"/>
      <c r="DO55" s="392"/>
      <c r="DP55" s="392"/>
      <c r="DQ55" s="392"/>
      <c r="DR55" s="392"/>
      <c r="DS55" s="392"/>
      <c r="DT55" s="392"/>
      <c r="DU55" s="392"/>
      <c r="DV55" s="392"/>
      <c r="DW55" s="392"/>
      <c r="DX55" s="392"/>
      <c r="DY55" s="392"/>
      <c r="DZ55" s="392"/>
      <c r="EA55" s="392"/>
      <c r="EB55" s="392"/>
      <c r="EC55" s="392"/>
      <c r="ED55" s="392"/>
      <c r="EE55" s="392"/>
      <c r="EF55" s="392"/>
      <c r="EG55" s="392"/>
      <c r="EH55" s="392"/>
      <c r="EI55" s="392"/>
      <c r="EJ55" s="392"/>
      <c r="EK55" s="392"/>
      <c r="EL55" s="392"/>
      <c r="EM55" s="392"/>
      <c r="EN55" s="392"/>
      <c r="EO55" s="392"/>
      <c r="EP55" s="392"/>
      <c r="EQ55" s="392"/>
      <c r="ER55" s="392"/>
      <c r="ES55" s="392"/>
      <c r="ET55" s="392"/>
      <c r="EU55" s="392"/>
      <c r="EV55" s="392"/>
      <c r="EW55" s="392"/>
      <c r="EX55" s="392"/>
      <c r="EY55" s="392"/>
      <c r="EZ55" s="392"/>
      <c r="FA55" s="392"/>
      <c r="FB55" s="392"/>
      <c r="FC55" s="392"/>
      <c r="FD55" s="392"/>
      <c r="FE55" s="392"/>
      <c r="FF55" s="392"/>
      <c r="FG55" s="392"/>
      <c r="FH55" s="392"/>
      <c r="FI55" s="392"/>
      <c r="FJ55" s="392"/>
      <c r="FK55" s="392"/>
      <c r="FL55" s="392"/>
      <c r="FM55" s="392"/>
      <c r="FN55" s="392"/>
      <c r="FO55" s="392"/>
      <c r="FP55" s="392"/>
      <c r="FQ55" s="392"/>
      <c r="FR55" s="392"/>
      <c r="FS55" s="392"/>
      <c r="FT55" s="392"/>
      <c r="FU55" s="392"/>
      <c r="FV55" s="392"/>
      <c r="FW55" s="392"/>
      <c r="FX55" s="392"/>
      <c r="FY55" s="392"/>
      <c r="FZ55" s="392"/>
      <c r="GA55" s="392"/>
      <c r="GB55" s="392"/>
      <c r="GC55" s="392"/>
      <c r="GD55" s="392"/>
      <c r="GE55" s="392"/>
      <c r="GF55" s="392"/>
      <c r="GG55" s="392"/>
      <c r="GH55" s="392"/>
      <c r="GI55" s="392"/>
      <c r="GJ55" s="392"/>
      <c r="GK55" s="392"/>
      <c r="GL55" s="392"/>
      <c r="GM55" s="392"/>
      <c r="GN55" s="392"/>
      <c r="GO55" s="392"/>
      <c r="GP55" s="392"/>
      <c r="GQ55" s="392"/>
      <c r="GR55" s="392"/>
      <c r="GS55" s="392"/>
      <c r="GT55" s="392"/>
      <c r="GU55" s="392"/>
      <c r="GV55" s="392"/>
      <c r="GW55" s="392"/>
      <c r="GX55" s="392"/>
      <c r="GY55" s="392"/>
      <c r="GZ55" s="392"/>
      <c r="HA55" s="392"/>
      <c r="HB55" s="392"/>
      <c r="HC55" s="392"/>
      <c r="HD55" s="392"/>
      <c r="HE55" s="392"/>
      <c r="HF55" s="392"/>
      <c r="HG55" s="392"/>
      <c r="HH55" s="392"/>
      <c r="HI55" s="392"/>
      <c r="HJ55" s="392"/>
      <c r="HK55" s="392"/>
      <c r="HL55" s="392"/>
      <c r="HM55" s="392"/>
      <c r="HN55" s="392"/>
      <c r="HO55" s="392"/>
      <c r="HP55" s="392"/>
      <c r="HQ55" s="392"/>
      <c r="HR55" s="392"/>
      <c r="HS55" s="392"/>
      <c r="HT55" s="392"/>
      <c r="HU55" s="392"/>
      <c r="HV55" s="392"/>
      <c r="HW55" s="392"/>
      <c r="HX55" s="392"/>
      <c r="HY55" s="392"/>
      <c r="HZ55" s="392"/>
      <c r="IA55" s="392"/>
      <c r="IB55" s="392"/>
      <c r="IC55" s="392"/>
      <c r="ID55" s="392"/>
      <c r="IE55" s="392"/>
      <c r="IF55" s="392"/>
      <c r="IG55" s="392"/>
      <c r="IH55" s="392"/>
      <c r="II55" s="392"/>
      <c r="IJ55" s="392"/>
      <c r="IK55" s="392"/>
      <c r="IL55" s="392"/>
      <c r="IM55" s="392"/>
      <c r="IN55" s="392"/>
      <c r="IO55" s="392"/>
      <c r="IP55" s="392"/>
      <c r="IQ55" s="392"/>
      <c r="IR55" s="392"/>
      <c r="IS55" s="392"/>
      <c r="IT55" s="392"/>
      <c r="IU55" s="392"/>
      <c r="IV55" s="392"/>
    </row>
    <row r="56" spans="1:256" ht="31.5">
      <c r="A56" s="392"/>
      <c r="B56" s="590" t="s">
        <v>197</v>
      </c>
      <c r="C56" s="591" t="s">
        <v>161</v>
      </c>
      <c r="D56" s="591" t="s">
        <v>22</v>
      </c>
      <c r="E56" s="591" t="s">
        <v>162</v>
      </c>
      <c r="F56" s="592" t="s">
        <v>186</v>
      </c>
      <c r="G56" s="593" t="s">
        <v>187</v>
      </c>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2"/>
      <c r="CP56" s="392"/>
      <c r="CQ56" s="392"/>
      <c r="CR56" s="392"/>
      <c r="CS56" s="392"/>
      <c r="CT56" s="392"/>
      <c r="CU56" s="392"/>
      <c r="CV56" s="392"/>
      <c r="CW56" s="392"/>
      <c r="CX56" s="392"/>
      <c r="CY56" s="392"/>
      <c r="CZ56" s="392"/>
      <c r="DA56" s="392"/>
      <c r="DB56" s="392"/>
      <c r="DC56" s="392"/>
      <c r="DD56" s="392"/>
      <c r="DE56" s="392"/>
      <c r="DF56" s="392"/>
      <c r="DG56" s="392"/>
      <c r="DH56" s="392"/>
      <c r="DI56" s="392"/>
      <c r="DJ56" s="392"/>
      <c r="DK56" s="392"/>
      <c r="DL56" s="392"/>
      <c r="DM56" s="392"/>
      <c r="DN56" s="392"/>
      <c r="DO56" s="392"/>
      <c r="DP56" s="392"/>
      <c r="DQ56" s="392"/>
      <c r="DR56" s="392"/>
      <c r="DS56" s="392"/>
      <c r="DT56" s="392"/>
      <c r="DU56" s="392"/>
      <c r="DV56" s="392"/>
      <c r="DW56" s="392"/>
      <c r="DX56" s="392"/>
      <c r="DY56" s="392"/>
      <c r="DZ56" s="392"/>
      <c r="EA56" s="392"/>
      <c r="EB56" s="392"/>
      <c r="EC56" s="392"/>
      <c r="ED56" s="392"/>
      <c r="EE56" s="392"/>
      <c r="EF56" s="392"/>
      <c r="EG56" s="392"/>
      <c r="EH56" s="392"/>
      <c r="EI56" s="392"/>
      <c r="EJ56" s="392"/>
      <c r="EK56" s="392"/>
      <c r="EL56" s="392"/>
      <c r="EM56" s="392"/>
      <c r="EN56" s="392"/>
      <c r="EO56" s="392"/>
      <c r="EP56" s="392"/>
      <c r="EQ56" s="392"/>
      <c r="ER56" s="392"/>
      <c r="ES56" s="392"/>
      <c r="ET56" s="392"/>
      <c r="EU56" s="392"/>
      <c r="EV56" s="392"/>
      <c r="EW56" s="392"/>
      <c r="EX56" s="392"/>
      <c r="EY56" s="392"/>
      <c r="EZ56" s="392"/>
      <c r="FA56" s="392"/>
      <c r="FB56" s="392"/>
      <c r="FC56" s="392"/>
      <c r="FD56" s="392"/>
      <c r="FE56" s="392"/>
      <c r="FF56" s="392"/>
      <c r="FG56" s="392"/>
      <c r="FH56" s="392"/>
      <c r="FI56" s="392"/>
      <c r="FJ56" s="392"/>
      <c r="FK56" s="392"/>
      <c r="FL56" s="392"/>
      <c r="FM56" s="392"/>
      <c r="FN56" s="392"/>
      <c r="FO56" s="392"/>
      <c r="FP56" s="392"/>
      <c r="FQ56" s="392"/>
      <c r="FR56" s="392"/>
      <c r="FS56" s="392"/>
      <c r="FT56" s="392"/>
      <c r="FU56" s="392"/>
      <c r="FV56" s="392"/>
      <c r="FW56" s="392"/>
      <c r="FX56" s="392"/>
      <c r="FY56" s="392"/>
      <c r="FZ56" s="392"/>
      <c r="GA56" s="392"/>
      <c r="GB56" s="392"/>
      <c r="GC56" s="392"/>
      <c r="GD56" s="392"/>
      <c r="GE56" s="392"/>
      <c r="GF56" s="392"/>
      <c r="GG56" s="392"/>
      <c r="GH56" s="392"/>
      <c r="GI56" s="392"/>
      <c r="GJ56" s="392"/>
      <c r="GK56" s="392"/>
      <c r="GL56" s="392"/>
      <c r="GM56" s="392"/>
      <c r="GN56" s="392"/>
      <c r="GO56" s="392"/>
      <c r="GP56" s="392"/>
      <c r="GQ56" s="392"/>
      <c r="GR56" s="392"/>
      <c r="GS56" s="392"/>
      <c r="GT56" s="392"/>
      <c r="GU56" s="392"/>
      <c r="GV56" s="392"/>
      <c r="GW56" s="392"/>
      <c r="GX56" s="392"/>
      <c r="GY56" s="392"/>
      <c r="GZ56" s="392"/>
      <c r="HA56" s="392"/>
      <c r="HB56" s="392"/>
      <c r="HC56" s="392"/>
      <c r="HD56" s="392"/>
      <c r="HE56" s="392"/>
      <c r="HF56" s="392"/>
      <c r="HG56" s="392"/>
      <c r="HH56" s="392"/>
      <c r="HI56" s="392"/>
      <c r="HJ56" s="392"/>
      <c r="HK56" s="392"/>
      <c r="HL56" s="392"/>
      <c r="HM56" s="392"/>
      <c r="HN56" s="392"/>
      <c r="HO56" s="392"/>
      <c r="HP56" s="392"/>
      <c r="HQ56" s="392"/>
      <c r="HR56" s="392"/>
      <c r="HS56" s="392"/>
      <c r="HT56" s="392"/>
      <c r="HU56" s="392"/>
      <c r="HV56" s="392"/>
      <c r="HW56" s="392"/>
      <c r="HX56" s="392"/>
      <c r="HY56" s="392"/>
      <c r="HZ56" s="392"/>
      <c r="IA56" s="392"/>
      <c r="IB56" s="392"/>
      <c r="IC56" s="392"/>
      <c r="ID56" s="392"/>
      <c r="IE56" s="392"/>
      <c r="IF56" s="392"/>
      <c r="IG56" s="392"/>
      <c r="IH56" s="392"/>
      <c r="II56" s="392"/>
      <c r="IJ56" s="392"/>
      <c r="IK56" s="392"/>
      <c r="IL56" s="392"/>
      <c r="IM56" s="392"/>
      <c r="IN56" s="392"/>
      <c r="IO56" s="392"/>
      <c r="IP56" s="392"/>
      <c r="IQ56" s="392"/>
      <c r="IR56" s="392"/>
      <c r="IS56" s="392"/>
      <c r="IT56" s="392"/>
      <c r="IU56" s="392"/>
      <c r="IV56" s="392"/>
    </row>
    <row r="57" spans="1:256" ht="16.5" thickBot="1">
      <c r="A57" s="392"/>
      <c r="B57" s="2322" t="s">
        <v>165</v>
      </c>
      <c r="C57" s="2323"/>
      <c r="D57" s="2323"/>
      <c r="E57" s="2323"/>
      <c r="F57" s="2323"/>
      <c r="G57" s="2324"/>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c r="CA57" s="392"/>
      <c r="CB57" s="392"/>
      <c r="CC57" s="392"/>
      <c r="CD57" s="392"/>
      <c r="CE57" s="392"/>
      <c r="CF57" s="392"/>
      <c r="CG57" s="392"/>
      <c r="CH57" s="392"/>
      <c r="CI57" s="392"/>
      <c r="CJ57" s="392"/>
      <c r="CK57" s="392"/>
      <c r="CL57" s="392"/>
      <c r="CM57" s="392"/>
      <c r="CN57" s="392"/>
      <c r="CO57" s="392"/>
      <c r="CP57" s="392"/>
      <c r="CQ57" s="392"/>
      <c r="CR57" s="392"/>
      <c r="CS57" s="392"/>
      <c r="CT57" s="392"/>
      <c r="CU57" s="392"/>
      <c r="CV57" s="392"/>
      <c r="CW57" s="392"/>
      <c r="CX57" s="392"/>
      <c r="CY57" s="392"/>
      <c r="CZ57" s="392"/>
      <c r="DA57" s="392"/>
      <c r="DB57" s="392"/>
      <c r="DC57" s="392"/>
      <c r="DD57" s="392"/>
      <c r="DE57" s="392"/>
      <c r="DF57" s="392"/>
      <c r="DG57" s="392"/>
      <c r="DH57" s="392"/>
      <c r="DI57" s="392"/>
      <c r="DJ57" s="392"/>
      <c r="DK57" s="392"/>
      <c r="DL57" s="392"/>
      <c r="DM57" s="392"/>
      <c r="DN57" s="392"/>
      <c r="DO57" s="392"/>
      <c r="DP57" s="392"/>
      <c r="DQ57" s="392"/>
      <c r="DR57" s="392"/>
      <c r="DS57" s="392"/>
      <c r="DT57" s="392"/>
      <c r="DU57" s="392"/>
      <c r="DV57" s="392"/>
      <c r="DW57" s="392"/>
      <c r="DX57" s="392"/>
      <c r="DY57" s="392"/>
      <c r="DZ57" s="392"/>
      <c r="EA57" s="392"/>
      <c r="EB57" s="392"/>
      <c r="EC57" s="392"/>
      <c r="ED57" s="392"/>
      <c r="EE57" s="392"/>
      <c r="EF57" s="392"/>
      <c r="EG57" s="392"/>
      <c r="EH57" s="392"/>
      <c r="EI57" s="392"/>
      <c r="EJ57" s="392"/>
      <c r="EK57" s="392"/>
      <c r="EL57" s="392"/>
      <c r="EM57" s="392"/>
      <c r="EN57" s="392"/>
      <c r="EO57" s="392"/>
      <c r="EP57" s="392"/>
      <c r="EQ57" s="392"/>
      <c r="ER57" s="392"/>
      <c r="ES57" s="392"/>
      <c r="ET57" s="392"/>
      <c r="EU57" s="392"/>
      <c r="EV57" s="392"/>
      <c r="EW57" s="392"/>
      <c r="EX57" s="392"/>
      <c r="EY57" s="392"/>
      <c r="EZ57" s="392"/>
      <c r="FA57" s="392"/>
      <c r="FB57" s="392"/>
      <c r="FC57" s="392"/>
      <c r="FD57" s="392"/>
      <c r="FE57" s="392"/>
      <c r="FF57" s="392"/>
      <c r="FG57" s="392"/>
      <c r="FH57" s="392"/>
      <c r="FI57" s="392"/>
      <c r="FJ57" s="392"/>
      <c r="FK57" s="392"/>
      <c r="FL57" s="392"/>
      <c r="FM57" s="392"/>
      <c r="FN57" s="392"/>
      <c r="FO57" s="392"/>
      <c r="FP57" s="392"/>
      <c r="FQ57" s="392"/>
      <c r="FR57" s="392"/>
      <c r="FS57" s="392"/>
      <c r="FT57" s="392"/>
      <c r="FU57" s="392"/>
      <c r="FV57" s="392"/>
      <c r="FW57" s="392"/>
      <c r="FX57" s="392"/>
      <c r="FY57" s="392"/>
      <c r="FZ57" s="392"/>
      <c r="GA57" s="392"/>
      <c r="GB57" s="392"/>
      <c r="GC57" s="392"/>
      <c r="GD57" s="392"/>
      <c r="GE57" s="392"/>
      <c r="GF57" s="392"/>
      <c r="GG57" s="392"/>
      <c r="GH57" s="392"/>
      <c r="GI57" s="392"/>
      <c r="GJ57" s="392"/>
      <c r="GK57" s="392"/>
      <c r="GL57" s="392"/>
      <c r="GM57" s="392"/>
      <c r="GN57" s="392"/>
      <c r="GO57" s="392"/>
      <c r="GP57" s="392"/>
      <c r="GQ57" s="392"/>
      <c r="GR57" s="392"/>
      <c r="GS57" s="392"/>
      <c r="GT57" s="392"/>
      <c r="GU57" s="392"/>
      <c r="GV57" s="392"/>
      <c r="GW57" s="392"/>
      <c r="GX57" s="392"/>
      <c r="GY57" s="392"/>
      <c r="GZ57" s="392"/>
      <c r="HA57" s="392"/>
      <c r="HB57" s="392"/>
      <c r="HC57" s="392"/>
      <c r="HD57" s="392"/>
      <c r="HE57" s="392"/>
      <c r="HF57" s="392"/>
      <c r="HG57" s="392"/>
      <c r="HH57" s="392"/>
      <c r="HI57" s="392"/>
      <c r="HJ57" s="392"/>
      <c r="HK57" s="392"/>
      <c r="HL57" s="392"/>
      <c r="HM57" s="392"/>
      <c r="HN57" s="392"/>
      <c r="HO57" s="392"/>
      <c r="HP57" s="392"/>
      <c r="HQ57" s="392"/>
      <c r="HR57" s="392"/>
      <c r="HS57" s="392"/>
      <c r="HT57" s="392"/>
      <c r="HU57" s="392"/>
      <c r="HV57" s="392"/>
      <c r="HW57" s="392"/>
      <c r="HX57" s="392"/>
      <c r="HY57" s="392"/>
      <c r="HZ57" s="392"/>
      <c r="IA57" s="392"/>
      <c r="IB57" s="392"/>
      <c r="IC57" s="392"/>
      <c r="ID57" s="392"/>
      <c r="IE57" s="392"/>
      <c r="IF57" s="392"/>
      <c r="IG57" s="392"/>
      <c r="IH57" s="392"/>
      <c r="II57" s="392"/>
      <c r="IJ57" s="392"/>
      <c r="IK57" s="392"/>
      <c r="IL57" s="392"/>
      <c r="IM57" s="392"/>
      <c r="IN57" s="392"/>
      <c r="IO57" s="392"/>
      <c r="IP57" s="392"/>
      <c r="IQ57" s="392"/>
      <c r="IR57" s="392"/>
      <c r="IS57" s="392"/>
      <c r="IT57" s="392"/>
      <c r="IU57" s="392"/>
      <c r="IV57" s="392"/>
    </row>
    <row r="58" spans="1:256" ht="15.75">
      <c r="A58" s="392"/>
      <c r="B58" s="585" t="s">
        <v>193</v>
      </c>
      <c r="C58" s="586" t="str">
        <f>C16</f>
        <v>ROTAÇÃO DUPLA DIAGONAL DUPLO</v>
      </c>
      <c r="D58" s="587" t="s">
        <v>22</v>
      </c>
      <c r="E58" s="597">
        <v>1</v>
      </c>
      <c r="F58" s="588">
        <f>E16</f>
        <v>1470</v>
      </c>
      <c r="G58" s="589">
        <f>TRUNC(F58*E58,2)</f>
        <v>1470</v>
      </c>
      <c r="H58" s="392"/>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c r="BR58" s="392"/>
      <c r="BS58" s="392"/>
      <c r="BT58" s="392"/>
      <c r="BU58" s="392"/>
      <c r="BV58" s="392"/>
      <c r="BW58" s="392"/>
      <c r="BX58" s="392"/>
      <c r="BY58" s="392"/>
      <c r="BZ58" s="392"/>
      <c r="CA58" s="392"/>
      <c r="CB58" s="392"/>
      <c r="CC58" s="392"/>
      <c r="CD58" s="392"/>
      <c r="CE58" s="392"/>
      <c r="CF58" s="392"/>
      <c r="CG58" s="392"/>
      <c r="CH58" s="392"/>
      <c r="CI58" s="392"/>
      <c r="CJ58" s="392"/>
      <c r="CK58" s="392"/>
      <c r="CL58" s="392"/>
      <c r="CM58" s="392"/>
      <c r="CN58" s="392"/>
      <c r="CO58" s="392"/>
      <c r="CP58" s="392"/>
      <c r="CQ58" s="392"/>
      <c r="CR58" s="392"/>
      <c r="CS58" s="392"/>
      <c r="CT58" s="392"/>
      <c r="CU58" s="392"/>
      <c r="CV58" s="392"/>
      <c r="CW58" s="392"/>
      <c r="CX58" s="392"/>
      <c r="CY58" s="392"/>
      <c r="CZ58" s="392"/>
      <c r="DA58" s="392"/>
      <c r="DB58" s="392"/>
      <c r="DC58" s="392"/>
      <c r="DD58" s="392"/>
      <c r="DE58" s="392"/>
      <c r="DF58" s="392"/>
      <c r="DG58" s="392"/>
      <c r="DH58" s="392"/>
      <c r="DI58" s="392"/>
      <c r="DJ58" s="392"/>
      <c r="DK58" s="392"/>
      <c r="DL58" s="392"/>
      <c r="DM58" s="392"/>
      <c r="DN58" s="392"/>
      <c r="DO58" s="392"/>
      <c r="DP58" s="392"/>
      <c r="DQ58" s="392"/>
      <c r="DR58" s="392"/>
      <c r="DS58" s="392"/>
      <c r="DT58" s="392"/>
      <c r="DU58" s="392"/>
      <c r="DV58" s="392"/>
      <c r="DW58" s="392"/>
      <c r="DX58" s="392"/>
      <c r="DY58" s="392"/>
      <c r="DZ58" s="392"/>
      <c r="EA58" s="392"/>
      <c r="EB58" s="392"/>
      <c r="EC58" s="392"/>
      <c r="ED58" s="392"/>
      <c r="EE58" s="392"/>
      <c r="EF58" s="392"/>
      <c r="EG58" s="392"/>
      <c r="EH58" s="392"/>
      <c r="EI58" s="392"/>
      <c r="EJ58" s="392"/>
      <c r="EK58" s="392"/>
      <c r="EL58" s="392"/>
      <c r="EM58" s="392"/>
      <c r="EN58" s="392"/>
      <c r="EO58" s="392"/>
      <c r="EP58" s="392"/>
      <c r="EQ58" s="392"/>
      <c r="ER58" s="392"/>
      <c r="ES58" s="392"/>
      <c r="ET58" s="392"/>
      <c r="EU58" s="392"/>
      <c r="EV58" s="392"/>
      <c r="EW58" s="392"/>
      <c r="EX58" s="392"/>
      <c r="EY58" s="392"/>
      <c r="EZ58" s="392"/>
      <c r="FA58" s="392"/>
      <c r="FB58" s="392"/>
      <c r="FC58" s="392"/>
      <c r="FD58" s="392"/>
      <c r="FE58" s="392"/>
      <c r="FF58" s="392"/>
      <c r="FG58" s="392"/>
      <c r="FH58" s="392"/>
      <c r="FI58" s="392"/>
      <c r="FJ58" s="392"/>
      <c r="FK58" s="392"/>
      <c r="FL58" s="392"/>
      <c r="FM58" s="392"/>
      <c r="FN58" s="392"/>
      <c r="FO58" s="392"/>
      <c r="FP58" s="392"/>
      <c r="FQ58" s="392"/>
      <c r="FR58" s="392"/>
      <c r="FS58" s="392"/>
      <c r="FT58" s="392"/>
      <c r="FU58" s="392"/>
      <c r="FV58" s="392"/>
      <c r="FW58" s="392"/>
      <c r="FX58" s="392"/>
      <c r="FY58" s="392"/>
      <c r="FZ58" s="392"/>
      <c r="GA58" s="392"/>
      <c r="GB58" s="392"/>
      <c r="GC58" s="392"/>
      <c r="GD58" s="392"/>
      <c r="GE58" s="392"/>
      <c r="GF58" s="392"/>
      <c r="GG58" s="392"/>
      <c r="GH58" s="392"/>
      <c r="GI58" s="392"/>
      <c r="GJ58" s="392"/>
      <c r="GK58" s="392"/>
      <c r="GL58" s="392"/>
      <c r="GM58" s="392"/>
      <c r="GN58" s="392"/>
      <c r="GO58" s="392"/>
      <c r="GP58" s="392"/>
      <c r="GQ58" s="392"/>
      <c r="GR58" s="392"/>
      <c r="GS58" s="392"/>
      <c r="GT58" s="392"/>
      <c r="GU58" s="392"/>
      <c r="GV58" s="392"/>
      <c r="GW58" s="392"/>
      <c r="GX58" s="392"/>
      <c r="GY58" s="392"/>
      <c r="GZ58" s="392"/>
      <c r="HA58" s="392"/>
      <c r="HB58" s="392"/>
      <c r="HC58" s="392"/>
      <c r="HD58" s="392"/>
      <c r="HE58" s="392"/>
      <c r="HF58" s="392"/>
      <c r="HG58" s="392"/>
      <c r="HH58" s="392"/>
      <c r="HI58" s="392"/>
      <c r="HJ58" s="392"/>
      <c r="HK58" s="392"/>
      <c r="HL58" s="392"/>
      <c r="HM58" s="392"/>
      <c r="HN58" s="392"/>
      <c r="HO58" s="392"/>
      <c r="HP58" s="392"/>
      <c r="HQ58" s="392"/>
      <c r="HR58" s="392"/>
      <c r="HS58" s="392"/>
      <c r="HT58" s="392"/>
      <c r="HU58" s="392"/>
      <c r="HV58" s="392"/>
      <c r="HW58" s="392"/>
      <c r="HX58" s="392"/>
      <c r="HY58" s="392"/>
      <c r="HZ58" s="392"/>
      <c r="IA58" s="392"/>
      <c r="IB58" s="392"/>
      <c r="IC58" s="392"/>
      <c r="ID58" s="392"/>
      <c r="IE58" s="392"/>
      <c r="IF58" s="392"/>
      <c r="IG58" s="392"/>
      <c r="IH58" s="392"/>
      <c r="II58" s="392"/>
      <c r="IJ58" s="392"/>
      <c r="IK58" s="392"/>
      <c r="IL58" s="392"/>
      <c r="IM58" s="392"/>
      <c r="IN58" s="392"/>
      <c r="IO58" s="392"/>
      <c r="IP58" s="392"/>
      <c r="IQ58" s="392"/>
      <c r="IR58" s="392"/>
      <c r="IS58" s="392"/>
      <c r="IT58" s="392"/>
      <c r="IU58" s="392"/>
      <c r="IV58" s="392"/>
    </row>
    <row r="59" spans="1:256" ht="30">
      <c r="A59" s="392" t="s">
        <v>391</v>
      </c>
      <c r="B59" s="436">
        <v>93358</v>
      </c>
      <c r="C59" s="317" t="str">
        <f>IF($A59="INSUMO",VLOOKUP($B59,'BANCO DE DADOS JANEIRO-24 INS'!$A:$D,2,FALSE),VLOOKUP($B59,'BANCO DE DADOS JANEIRO-24 SERV'!$B:$E,2,FALSE))</f>
        <v>ESCAVAÇÃO MANUAL DE VALA COM PROFUNDIDADE MENOR OU IGUAL A 1,30 M. AF_02/2021</v>
      </c>
      <c r="D59" s="316" t="str">
        <f>IF($A59="INSUMO",VLOOKUP($B59,'BANCO DE DADOS JANEIRO-24 INS'!$A:$D,3,FALSE),VLOOKUP($B59,'BANCO DE DADOS JANEIRO-24 SERV'!$B:$E,3,FALSE))</f>
        <v>M3</v>
      </c>
      <c r="E59" s="598">
        <f>((0.3*0.4*0.4))</f>
        <v>4.8000000000000001E-2</v>
      </c>
      <c r="F59" s="320">
        <f>IF($A59="INSUMO",VLOOKUP($B59,'BANCO DE DADOS JANEIRO-24 INS'!$A:$D,4,FALSE),VLOOKUP($B59,'BANCO DE DADOS JANEIRO-24 SERV'!$B:$E,4,FALSE))</f>
        <v>80.38</v>
      </c>
      <c r="G59" s="435">
        <f>TRUNC(F59*E59,2)</f>
        <v>3.85</v>
      </c>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c r="BK59" s="392"/>
      <c r="BL59" s="392"/>
      <c r="BM59" s="392"/>
      <c r="BN59" s="392"/>
      <c r="BO59" s="392"/>
      <c r="BP59" s="392"/>
      <c r="BQ59" s="392"/>
      <c r="BR59" s="392"/>
      <c r="BS59" s="392"/>
      <c r="BT59" s="392"/>
      <c r="BU59" s="392"/>
      <c r="BV59" s="392"/>
      <c r="BW59" s="392"/>
      <c r="BX59" s="392"/>
      <c r="BY59" s="392"/>
      <c r="BZ59" s="392"/>
      <c r="CA59" s="392"/>
      <c r="CB59" s="392"/>
      <c r="CC59" s="392"/>
      <c r="CD59" s="392"/>
      <c r="CE59" s="392"/>
      <c r="CF59" s="392"/>
      <c r="CG59" s="392"/>
      <c r="CH59" s="392"/>
      <c r="CI59" s="392"/>
      <c r="CJ59" s="392"/>
      <c r="CK59" s="392"/>
      <c r="CL59" s="392"/>
      <c r="CM59" s="392"/>
      <c r="CN59" s="392"/>
      <c r="CO59" s="392"/>
      <c r="CP59" s="392"/>
      <c r="CQ59" s="392"/>
      <c r="CR59" s="392"/>
      <c r="CS59" s="392"/>
      <c r="CT59" s="392"/>
      <c r="CU59" s="392"/>
      <c r="CV59" s="392"/>
      <c r="CW59" s="392"/>
      <c r="CX59" s="392"/>
      <c r="CY59" s="392"/>
      <c r="CZ59" s="392"/>
      <c r="DA59" s="392"/>
      <c r="DB59" s="392"/>
      <c r="DC59" s="392"/>
      <c r="DD59" s="392"/>
      <c r="DE59" s="392"/>
      <c r="DF59" s="392"/>
      <c r="DG59" s="392"/>
      <c r="DH59" s="392"/>
      <c r="DI59" s="392"/>
      <c r="DJ59" s="392"/>
      <c r="DK59" s="392"/>
      <c r="DL59" s="392"/>
      <c r="DM59" s="392"/>
      <c r="DN59" s="392"/>
      <c r="DO59" s="392"/>
      <c r="DP59" s="392"/>
      <c r="DQ59" s="392"/>
      <c r="DR59" s="392"/>
      <c r="DS59" s="392"/>
      <c r="DT59" s="392"/>
      <c r="DU59" s="392"/>
      <c r="DV59" s="392"/>
      <c r="DW59" s="392"/>
      <c r="DX59" s="392"/>
      <c r="DY59" s="392"/>
      <c r="DZ59" s="392"/>
      <c r="EA59" s="392"/>
      <c r="EB59" s="392"/>
      <c r="EC59" s="392"/>
      <c r="ED59" s="392"/>
      <c r="EE59" s="392"/>
      <c r="EF59" s="392"/>
      <c r="EG59" s="392"/>
      <c r="EH59" s="392"/>
      <c r="EI59" s="392"/>
      <c r="EJ59" s="392"/>
      <c r="EK59" s="392"/>
      <c r="EL59" s="392"/>
      <c r="EM59" s="392"/>
      <c r="EN59" s="392"/>
      <c r="EO59" s="392"/>
      <c r="EP59" s="392"/>
      <c r="EQ59" s="392"/>
      <c r="ER59" s="392"/>
      <c r="ES59" s="392"/>
      <c r="ET59" s="392"/>
      <c r="EU59" s="392"/>
      <c r="EV59" s="392"/>
      <c r="EW59" s="392"/>
      <c r="EX59" s="392"/>
      <c r="EY59" s="392"/>
      <c r="EZ59" s="392"/>
      <c r="FA59" s="392"/>
      <c r="FB59" s="392"/>
      <c r="FC59" s="392"/>
      <c r="FD59" s="392"/>
      <c r="FE59" s="392"/>
      <c r="FF59" s="392"/>
      <c r="FG59" s="392"/>
      <c r="FH59" s="392"/>
      <c r="FI59" s="392"/>
      <c r="FJ59" s="392"/>
      <c r="FK59" s="392"/>
      <c r="FL59" s="392"/>
      <c r="FM59" s="392"/>
      <c r="FN59" s="392"/>
      <c r="FO59" s="392"/>
      <c r="FP59" s="392"/>
      <c r="FQ59" s="392"/>
      <c r="FR59" s="392"/>
      <c r="FS59" s="392"/>
      <c r="FT59" s="392"/>
      <c r="FU59" s="392"/>
      <c r="FV59" s="392"/>
      <c r="FW59" s="392"/>
      <c r="FX59" s="392"/>
      <c r="FY59" s="392"/>
      <c r="FZ59" s="392"/>
      <c r="GA59" s="392"/>
      <c r="GB59" s="392"/>
      <c r="GC59" s="392"/>
      <c r="GD59" s="392"/>
      <c r="GE59" s="392"/>
      <c r="GF59" s="392"/>
      <c r="GG59" s="392"/>
      <c r="GH59" s="392"/>
      <c r="GI59" s="392"/>
      <c r="GJ59" s="392"/>
      <c r="GK59" s="392"/>
      <c r="GL59" s="392"/>
      <c r="GM59" s="392"/>
      <c r="GN59" s="392"/>
      <c r="GO59" s="392"/>
      <c r="GP59" s="392"/>
      <c r="GQ59" s="392"/>
      <c r="GR59" s="392"/>
      <c r="GS59" s="392"/>
      <c r="GT59" s="392"/>
      <c r="GU59" s="392"/>
      <c r="GV59" s="392"/>
      <c r="GW59" s="392"/>
      <c r="GX59" s="392"/>
      <c r="GY59" s="392"/>
      <c r="GZ59" s="392"/>
      <c r="HA59" s="392"/>
      <c r="HB59" s="392"/>
      <c r="HC59" s="392"/>
      <c r="HD59" s="392"/>
      <c r="HE59" s="392"/>
      <c r="HF59" s="392"/>
      <c r="HG59" s="392"/>
      <c r="HH59" s="392"/>
      <c r="HI59" s="392"/>
      <c r="HJ59" s="392"/>
      <c r="HK59" s="392"/>
      <c r="HL59" s="392"/>
      <c r="HM59" s="392"/>
      <c r="HN59" s="392"/>
      <c r="HO59" s="392"/>
      <c r="HP59" s="392"/>
      <c r="HQ59" s="392"/>
      <c r="HR59" s="392"/>
      <c r="HS59" s="392"/>
      <c r="HT59" s="392"/>
      <c r="HU59" s="392"/>
      <c r="HV59" s="392"/>
      <c r="HW59" s="392"/>
      <c r="HX59" s="392"/>
      <c r="HY59" s="392"/>
      <c r="HZ59" s="392"/>
      <c r="IA59" s="392"/>
      <c r="IB59" s="392"/>
      <c r="IC59" s="392"/>
      <c r="ID59" s="392"/>
      <c r="IE59" s="392"/>
      <c r="IF59" s="392"/>
      <c r="IG59" s="392"/>
      <c r="IH59" s="392"/>
      <c r="II59" s="392"/>
      <c r="IJ59" s="392"/>
      <c r="IK59" s="392"/>
      <c r="IL59" s="392"/>
      <c r="IM59" s="392"/>
      <c r="IN59" s="392"/>
      <c r="IO59" s="392"/>
      <c r="IP59" s="392"/>
      <c r="IQ59" s="392"/>
      <c r="IR59" s="392"/>
      <c r="IS59" s="392"/>
      <c r="IT59" s="392"/>
      <c r="IU59" s="392"/>
      <c r="IV59" s="392"/>
    </row>
    <row r="60" spans="1:256" ht="45">
      <c r="A60" s="392" t="s">
        <v>391</v>
      </c>
      <c r="B60" s="436">
        <v>94965</v>
      </c>
      <c r="C60" s="317" t="str">
        <f>IF($A60="INSUMO",VLOOKUP($B60,'BANCO DE DADOS JANEIRO-24 INS'!$A:$D,2,FALSE),VLOOKUP($B60,'BANCO DE DADOS JANEIRO-24 SERV'!$B:$E,2,FALSE))</f>
        <v>CONCRETO FCK = 25MPA, TRAÇO 1:2,3:2,7 (EM MASSA SECA DE CIMENTO/ AREIA MÉDIA/ BRITA 1) - PREPARO MECÂNICO COM BETONEIRA 400 L. AF_05/2021</v>
      </c>
      <c r="D60" s="316" t="str">
        <f>IF($A60="INSUMO",VLOOKUP($B60,'BANCO DE DADOS JANEIRO-24 INS'!$A:$D,3,FALSE),VLOOKUP($B60,'BANCO DE DADOS JANEIRO-24 SERV'!$B:$E,3,FALSE))</f>
        <v>M3</v>
      </c>
      <c r="E60" s="598">
        <f>((0.3*0.4*0.4))</f>
        <v>4.8000000000000001E-2</v>
      </c>
      <c r="F60" s="320">
        <f>IF($A60="INSUMO",VLOOKUP($B60,'BANCO DE DADOS JANEIRO-24 INS'!$A:$D,4,FALSE),VLOOKUP($B60,'BANCO DE DADOS JANEIRO-24 SERV'!$B:$E,4,FALSE))</f>
        <v>568.95000000000005</v>
      </c>
      <c r="G60" s="435">
        <f>TRUNC(F60*E60,2)</f>
        <v>27.3</v>
      </c>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2"/>
      <c r="BQ60" s="392"/>
      <c r="BR60" s="392"/>
      <c r="BS60" s="392"/>
      <c r="BT60" s="392"/>
      <c r="BU60" s="392"/>
      <c r="BV60" s="392"/>
      <c r="BW60" s="392"/>
      <c r="BX60" s="392"/>
      <c r="BY60" s="392"/>
      <c r="BZ60" s="392"/>
      <c r="CA60" s="392"/>
      <c r="CB60" s="392"/>
      <c r="CC60" s="392"/>
      <c r="CD60" s="392"/>
      <c r="CE60" s="392"/>
      <c r="CF60" s="392"/>
      <c r="CG60" s="392"/>
      <c r="CH60" s="392"/>
      <c r="CI60" s="392"/>
      <c r="CJ60" s="392"/>
      <c r="CK60" s="392"/>
      <c r="CL60" s="392"/>
      <c r="CM60" s="392"/>
      <c r="CN60" s="392"/>
      <c r="CO60" s="392"/>
      <c r="CP60" s="392"/>
      <c r="CQ60" s="392"/>
      <c r="CR60" s="392"/>
      <c r="CS60" s="392"/>
      <c r="CT60" s="392"/>
      <c r="CU60" s="392"/>
      <c r="CV60" s="392"/>
      <c r="CW60" s="392"/>
      <c r="CX60" s="392"/>
      <c r="CY60" s="392"/>
      <c r="CZ60" s="392"/>
      <c r="DA60" s="392"/>
      <c r="DB60" s="392"/>
      <c r="DC60" s="392"/>
      <c r="DD60" s="392"/>
      <c r="DE60" s="392"/>
      <c r="DF60" s="392"/>
      <c r="DG60" s="392"/>
      <c r="DH60" s="392"/>
      <c r="DI60" s="392"/>
      <c r="DJ60" s="392"/>
      <c r="DK60" s="392"/>
      <c r="DL60" s="392"/>
      <c r="DM60" s="392"/>
      <c r="DN60" s="392"/>
      <c r="DO60" s="392"/>
      <c r="DP60" s="392"/>
      <c r="DQ60" s="392"/>
      <c r="DR60" s="392"/>
      <c r="DS60" s="392"/>
      <c r="DT60" s="392"/>
      <c r="DU60" s="392"/>
      <c r="DV60" s="392"/>
      <c r="DW60" s="392"/>
      <c r="DX60" s="392"/>
      <c r="DY60" s="392"/>
      <c r="DZ60" s="392"/>
      <c r="EA60" s="392"/>
      <c r="EB60" s="392"/>
      <c r="EC60" s="392"/>
      <c r="ED60" s="392"/>
      <c r="EE60" s="392"/>
      <c r="EF60" s="392"/>
      <c r="EG60" s="392"/>
      <c r="EH60" s="392"/>
      <c r="EI60" s="392"/>
      <c r="EJ60" s="392"/>
      <c r="EK60" s="392"/>
      <c r="EL60" s="392"/>
      <c r="EM60" s="392"/>
      <c r="EN60" s="392"/>
      <c r="EO60" s="392"/>
      <c r="EP60" s="392"/>
      <c r="EQ60" s="392"/>
      <c r="ER60" s="392"/>
      <c r="ES60" s="392"/>
      <c r="ET60" s="392"/>
      <c r="EU60" s="392"/>
      <c r="EV60" s="392"/>
      <c r="EW60" s="392"/>
      <c r="EX60" s="392"/>
      <c r="EY60" s="392"/>
      <c r="EZ60" s="392"/>
      <c r="FA60" s="392"/>
      <c r="FB60" s="392"/>
      <c r="FC60" s="392"/>
      <c r="FD60" s="392"/>
      <c r="FE60" s="392"/>
      <c r="FF60" s="392"/>
      <c r="FG60" s="392"/>
      <c r="FH60" s="392"/>
      <c r="FI60" s="392"/>
      <c r="FJ60" s="392"/>
      <c r="FK60" s="392"/>
      <c r="FL60" s="392"/>
      <c r="FM60" s="392"/>
      <c r="FN60" s="392"/>
      <c r="FO60" s="392"/>
      <c r="FP60" s="392"/>
      <c r="FQ60" s="392"/>
      <c r="FR60" s="392"/>
      <c r="FS60" s="392"/>
      <c r="FT60" s="392"/>
      <c r="FU60" s="392"/>
      <c r="FV60" s="392"/>
      <c r="FW60" s="392"/>
      <c r="FX60" s="392"/>
      <c r="FY60" s="392"/>
      <c r="FZ60" s="392"/>
      <c r="GA60" s="392"/>
      <c r="GB60" s="392"/>
      <c r="GC60" s="392"/>
      <c r="GD60" s="392"/>
      <c r="GE60" s="392"/>
      <c r="GF60" s="392"/>
      <c r="GG60" s="392"/>
      <c r="GH60" s="392"/>
      <c r="GI60" s="392"/>
      <c r="GJ60" s="392"/>
      <c r="GK60" s="392"/>
      <c r="GL60" s="392"/>
      <c r="GM60" s="392"/>
      <c r="GN60" s="392"/>
      <c r="GO60" s="392"/>
      <c r="GP60" s="392"/>
      <c r="GQ60" s="392"/>
      <c r="GR60" s="392"/>
      <c r="GS60" s="392"/>
      <c r="GT60" s="392"/>
      <c r="GU60" s="392"/>
      <c r="GV60" s="392"/>
      <c r="GW60" s="392"/>
      <c r="GX60" s="392"/>
      <c r="GY60" s="392"/>
      <c r="GZ60" s="392"/>
      <c r="HA60" s="392"/>
      <c r="HB60" s="392"/>
      <c r="HC60" s="392"/>
      <c r="HD60" s="392"/>
      <c r="HE60" s="392"/>
      <c r="HF60" s="392"/>
      <c r="HG60" s="392"/>
      <c r="HH60" s="392"/>
      <c r="HI60" s="392"/>
      <c r="HJ60" s="392"/>
      <c r="HK60" s="392"/>
      <c r="HL60" s="392"/>
      <c r="HM60" s="392"/>
      <c r="HN60" s="392"/>
      <c r="HO60" s="392"/>
      <c r="HP60" s="392"/>
      <c r="HQ60" s="392"/>
      <c r="HR60" s="392"/>
      <c r="HS60" s="392"/>
      <c r="HT60" s="392"/>
      <c r="HU60" s="392"/>
      <c r="HV60" s="392"/>
      <c r="HW60" s="392"/>
      <c r="HX60" s="392"/>
      <c r="HY60" s="392"/>
      <c r="HZ60" s="392"/>
      <c r="IA60" s="392"/>
      <c r="IB60" s="392"/>
      <c r="IC60" s="392"/>
      <c r="ID60" s="392"/>
      <c r="IE60" s="392"/>
      <c r="IF60" s="392"/>
      <c r="IG60" s="392"/>
      <c r="IH60" s="392"/>
      <c r="II60" s="392"/>
      <c r="IJ60" s="392"/>
      <c r="IK60" s="392"/>
      <c r="IL60" s="392"/>
      <c r="IM60" s="392"/>
      <c r="IN60" s="392"/>
      <c r="IO60" s="392"/>
      <c r="IP60" s="392"/>
      <c r="IQ60" s="392"/>
      <c r="IR60" s="392"/>
      <c r="IS60" s="392"/>
      <c r="IT60" s="392"/>
      <c r="IU60" s="392"/>
      <c r="IV60" s="392"/>
    </row>
    <row r="61" spans="1:256" ht="15.75" thickBot="1">
      <c r="A61" s="392" t="s">
        <v>391</v>
      </c>
      <c r="B61" s="437" t="s">
        <v>57</v>
      </c>
      <c r="C61" s="318" t="e">
        <f>IF($A61="INSUMO",VLOOKUP($B61,'BANCO DE DADOS JANEIRO-24 INS'!$A:$D,2,FALSE),VLOOKUP($B61,'BANCO DE DADOS JANEIRO-24 SERV'!$B:$E,2,FALSE))</f>
        <v>#N/A</v>
      </c>
      <c r="D61" s="319" t="e">
        <f>IF($A61="INSUMO",VLOOKUP($B61,'BANCO DE DADOS JANEIRO-24 INS'!$A:$D,3,FALSE),VLOOKUP($B61,'BANCO DE DADOS JANEIRO-24 SERV'!$B:$E,3,FALSE))</f>
        <v>#N/A</v>
      </c>
      <c r="E61" s="599">
        <f>((0.3*0.4*0.4))</f>
        <v>4.8000000000000001E-2</v>
      </c>
      <c r="F61" s="321" t="e">
        <f>IF($A61="INSUMO",VLOOKUP($B61,'BANCO DE DADOS JANEIRO-24 INS'!$A:$D,4,FALSE),VLOOKUP($B61,'BANCO DE DADOS JANEIRO-24 SERV'!$B:$E,4,FALSE))</f>
        <v>#N/A</v>
      </c>
      <c r="G61" s="438" t="e">
        <f>TRUNC(F61*E61,2)</f>
        <v>#N/A</v>
      </c>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2"/>
      <c r="BF61" s="392"/>
      <c r="BG61" s="392"/>
      <c r="BH61" s="392"/>
      <c r="BI61" s="392"/>
      <c r="BJ61" s="392"/>
      <c r="BK61" s="392"/>
      <c r="BL61" s="392"/>
      <c r="BM61" s="392"/>
      <c r="BN61" s="392"/>
      <c r="BO61" s="392"/>
      <c r="BP61" s="392"/>
      <c r="BQ61" s="392"/>
      <c r="BR61" s="392"/>
      <c r="BS61" s="392"/>
      <c r="BT61" s="392"/>
      <c r="BU61" s="392"/>
      <c r="BV61" s="392"/>
      <c r="BW61" s="392"/>
      <c r="BX61" s="392"/>
      <c r="BY61" s="392"/>
      <c r="BZ61" s="392"/>
      <c r="CA61" s="392"/>
      <c r="CB61" s="392"/>
      <c r="CC61" s="392"/>
      <c r="CD61" s="392"/>
      <c r="CE61" s="392"/>
      <c r="CF61" s="392"/>
      <c r="CG61" s="392"/>
      <c r="CH61" s="392"/>
      <c r="CI61" s="392"/>
      <c r="CJ61" s="392"/>
      <c r="CK61" s="392"/>
      <c r="CL61" s="392"/>
      <c r="CM61" s="392"/>
      <c r="CN61" s="392"/>
      <c r="CO61" s="392"/>
      <c r="CP61" s="392"/>
      <c r="CQ61" s="392"/>
      <c r="CR61" s="392"/>
      <c r="CS61" s="392"/>
      <c r="CT61" s="392"/>
      <c r="CU61" s="392"/>
      <c r="CV61" s="392"/>
      <c r="CW61" s="392"/>
      <c r="CX61" s="392"/>
      <c r="CY61" s="392"/>
      <c r="CZ61" s="392"/>
      <c r="DA61" s="392"/>
      <c r="DB61" s="392"/>
      <c r="DC61" s="392"/>
      <c r="DD61" s="392"/>
      <c r="DE61" s="392"/>
      <c r="DF61" s="392"/>
      <c r="DG61" s="392"/>
      <c r="DH61" s="392"/>
      <c r="DI61" s="392"/>
      <c r="DJ61" s="392"/>
      <c r="DK61" s="392"/>
      <c r="DL61" s="392"/>
      <c r="DM61" s="392"/>
      <c r="DN61" s="392"/>
      <c r="DO61" s="392"/>
      <c r="DP61" s="392"/>
      <c r="DQ61" s="392"/>
      <c r="DR61" s="392"/>
      <c r="DS61" s="392"/>
      <c r="DT61" s="392"/>
      <c r="DU61" s="392"/>
      <c r="DV61" s="392"/>
      <c r="DW61" s="392"/>
      <c r="DX61" s="392"/>
      <c r="DY61" s="392"/>
      <c r="DZ61" s="392"/>
      <c r="EA61" s="392"/>
      <c r="EB61" s="392"/>
      <c r="EC61" s="392"/>
      <c r="ED61" s="392"/>
      <c r="EE61" s="392"/>
      <c r="EF61" s="392"/>
      <c r="EG61" s="392"/>
      <c r="EH61" s="392"/>
      <c r="EI61" s="392"/>
      <c r="EJ61" s="392"/>
      <c r="EK61" s="392"/>
      <c r="EL61" s="392"/>
      <c r="EM61" s="392"/>
      <c r="EN61" s="392"/>
      <c r="EO61" s="392"/>
      <c r="EP61" s="392"/>
      <c r="EQ61" s="392"/>
      <c r="ER61" s="392"/>
      <c r="ES61" s="392"/>
      <c r="ET61" s="392"/>
      <c r="EU61" s="392"/>
      <c r="EV61" s="392"/>
      <c r="EW61" s="392"/>
      <c r="EX61" s="392"/>
      <c r="EY61" s="392"/>
      <c r="EZ61" s="392"/>
      <c r="FA61" s="392"/>
      <c r="FB61" s="392"/>
      <c r="FC61" s="392"/>
      <c r="FD61" s="392"/>
      <c r="FE61" s="392"/>
      <c r="FF61" s="392"/>
      <c r="FG61" s="392"/>
      <c r="FH61" s="392"/>
      <c r="FI61" s="392"/>
      <c r="FJ61" s="392"/>
      <c r="FK61" s="392"/>
      <c r="FL61" s="392"/>
      <c r="FM61" s="392"/>
      <c r="FN61" s="392"/>
      <c r="FO61" s="392"/>
      <c r="FP61" s="392"/>
      <c r="FQ61" s="392"/>
      <c r="FR61" s="392"/>
      <c r="FS61" s="392"/>
      <c r="FT61" s="392"/>
      <c r="FU61" s="392"/>
      <c r="FV61" s="392"/>
      <c r="FW61" s="392"/>
      <c r="FX61" s="392"/>
      <c r="FY61" s="392"/>
      <c r="FZ61" s="392"/>
      <c r="GA61" s="392"/>
      <c r="GB61" s="392"/>
      <c r="GC61" s="392"/>
      <c r="GD61" s="392"/>
      <c r="GE61" s="392"/>
      <c r="GF61" s="392"/>
      <c r="GG61" s="392"/>
      <c r="GH61" s="392"/>
      <c r="GI61" s="392"/>
      <c r="GJ61" s="392"/>
      <c r="GK61" s="392"/>
      <c r="GL61" s="392"/>
      <c r="GM61" s="392"/>
      <c r="GN61" s="392"/>
      <c r="GO61" s="392"/>
      <c r="GP61" s="392"/>
      <c r="GQ61" s="392"/>
      <c r="GR61" s="392"/>
      <c r="GS61" s="392"/>
      <c r="GT61" s="392"/>
      <c r="GU61" s="392"/>
      <c r="GV61" s="392"/>
      <c r="GW61" s="392"/>
      <c r="GX61" s="392"/>
      <c r="GY61" s="392"/>
      <c r="GZ61" s="392"/>
      <c r="HA61" s="392"/>
      <c r="HB61" s="392"/>
      <c r="HC61" s="392"/>
      <c r="HD61" s="392"/>
      <c r="HE61" s="392"/>
      <c r="HF61" s="392"/>
      <c r="HG61" s="392"/>
      <c r="HH61" s="392"/>
      <c r="HI61" s="392"/>
      <c r="HJ61" s="392"/>
      <c r="HK61" s="392"/>
      <c r="HL61" s="392"/>
      <c r="HM61" s="392"/>
      <c r="HN61" s="392"/>
      <c r="HO61" s="392"/>
      <c r="HP61" s="392"/>
      <c r="HQ61" s="392"/>
      <c r="HR61" s="392"/>
      <c r="HS61" s="392"/>
      <c r="HT61" s="392"/>
      <c r="HU61" s="392"/>
      <c r="HV61" s="392"/>
      <c r="HW61" s="392"/>
      <c r="HX61" s="392"/>
      <c r="HY61" s="392"/>
      <c r="HZ61" s="392"/>
      <c r="IA61" s="392"/>
      <c r="IB61" s="392"/>
      <c r="IC61" s="392"/>
      <c r="ID61" s="392"/>
      <c r="IE61" s="392"/>
      <c r="IF61" s="392"/>
      <c r="IG61" s="392"/>
      <c r="IH61" s="392"/>
      <c r="II61" s="392"/>
      <c r="IJ61" s="392"/>
      <c r="IK61" s="392"/>
      <c r="IL61" s="392"/>
      <c r="IM61" s="392"/>
      <c r="IN61" s="392"/>
      <c r="IO61" s="392"/>
      <c r="IP61" s="392"/>
      <c r="IQ61" s="392"/>
      <c r="IR61" s="392"/>
      <c r="IS61" s="392"/>
      <c r="IT61" s="392"/>
      <c r="IU61" s="392"/>
      <c r="IV61" s="392"/>
    </row>
    <row r="62" spans="1:256" ht="16.5" thickBot="1">
      <c r="A62" s="392"/>
      <c r="B62" s="439" t="s">
        <v>1705</v>
      </c>
      <c r="C62" s="440"/>
      <c r="D62" s="441"/>
      <c r="E62" s="442"/>
      <c r="F62" s="443" t="s">
        <v>167</v>
      </c>
      <c r="G62" s="444" t="e">
        <f>TRUNC(SUM(G58:G61),2)</f>
        <v>#N/A</v>
      </c>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392"/>
      <c r="AK62" s="392"/>
      <c r="AL62" s="392"/>
      <c r="AM62" s="392"/>
      <c r="AN62" s="392"/>
      <c r="AO62" s="392"/>
      <c r="AP62" s="392"/>
      <c r="AQ62" s="392"/>
      <c r="AR62" s="392"/>
      <c r="AS62" s="392"/>
      <c r="AT62" s="392"/>
      <c r="AU62" s="392"/>
      <c r="AV62" s="392"/>
      <c r="AW62" s="392"/>
      <c r="AX62" s="392"/>
      <c r="AY62" s="392"/>
      <c r="AZ62" s="392"/>
      <c r="BA62" s="392"/>
      <c r="BB62" s="392"/>
      <c r="BC62" s="392"/>
      <c r="BD62" s="392"/>
      <c r="BE62" s="392"/>
      <c r="BF62" s="392"/>
      <c r="BG62" s="392"/>
      <c r="BH62" s="392"/>
      <c r="BI62" s="392"/>
      <c r="BJ62" s="392"/>
      <c r="BK62" s="392"/>
      <c r="BL62" s="392"/>
      <c r="BM62" s="392"/>
      <c r="BN62" s="392"/>
      <c r="BO62" s="392"/>
      <c r="BP62" s="392"/>
      <c r="BQ62" s="392"/>
      <c r="BR62" s="392"/>
      <c r="BS62" s="392"/>
      <c r="BT62" s="392"/>
      <c r="BU62" s="392"/>
      <c r="BV62" s="392"/>
      <c r="BW62" s="392"/>
      <c r="BX62" s="392"/>
      <c r="BY62" s="392"/>
      <c r="BZ62" s="392"/>
      <c r="CA62" s="392"/>
      <c r="CB62" s="392"/>
      <c r="CC62" s="392"/>
      <c r="CD62" s="392"/>
      <c r="CE62" s="392"/>
      <c r="CF62" s="392"/>
      <c r="CG62" s="392"/>
      <c r="CH62" s="392"/>
      <c r="CI62" s="392"/>
      <c r="CJ62" s="392"/>
      <c r="CK62" s="392"/>
      <c r="CL62" s="392"/>
      <c r="CM62" s="392"/>
      <c r="CN62" s="392"/>
      <c r="CO62" s="392"/>
      <c r="CP62" s="392"/>
      <c r="CQ62" s="392"/>
      <c r="CR62" s="392"/>
      <c r="CS62" s="392"/>
      <c r="CT62" s="392"/>
      <c r="CU62" s="392"/>
      <c r="CV62" s="392"/>
      <c r="CW62" s="392"/>
      <c r="CX62" s="392"/>
      <c r="CY62" s="392"/>
      <c r="CZ62" s="392"/>
      <c r="DA62" s="392"/>
      <c r="DB62" s="392"/>
      <c r="DC62" s="392"/>
      <c r="DD62" s="392"/>
      <c r="DE62" s="392"/>
      <c r="DF62" s="392"/>
      <c r="DG62" s="392"/>
      <c r="DH62" s="392"/>
      <c r="DI62" s="392"/>
      <c r="DJ62" s="392"/>
      <c r="DK62" s="392"/>
      <c r="DL62" s="392"/>
      <c r="DM62" s="392"/>
      <c r="DN62" s="392"/>
      <c r="DO62" s="392"/>
      <c r="DP62" s="392"/>
      <c r="DQ62" s="392"/>
      <c r="DR62" s="392"/>
      <c r="DS62" s="392"/>
      <c r="DT62" s="392"/>
      <c r="DU62" s="392"/>
      <c r="DV62" s="392"/>
      <c r="DW62" s="392"/>
      <c r="DX62" s="392"/>
      <c r="DY62" s="392"/>
      <c r="DZ62" s="392"/>
      <c r="EA62" s="392"/>
      <c r="EB62" s="392"/>
      <c r="EC62" s="392"/>
      <c r="ED62" s="392"/>
      <c r="EE62" s="392"/>
      <c r="EF62" s="392"/>
      <c r="EG62" s="392"/>
      <c r="EH62" s="392"/>
      <c r="EI62" s="392"/>
      <c r="EJ62" s="392"/>
      <c r="EK62" s="392"/>
      <c r="EL62" s="392"/>
      <c r="EM62" s="392"/>
      <c r="EN62" s="392"/>
      <c r="EO62" s="392"/>
      <c r="EP62" s="392"/>
      <c r="EQ62" s="392"/>
      <c r="ER62" s="392"/>
      <c r="ES62" s="392"/>
      <c r="ET62" s="392"/>
      <c r="EU62" s="392"/>
      <c r="EV62" s="392"/>
      <c r="EW62" s="392"/>
      <c r="EX62" s="392"/>
      <c r="EY62" s="392"/>
      <c r="EZ62" s="392"/>
      <c r="FA62" s="392"/>
      <c r="FB62" s="392"/>
      <c r="FC62" s="392"/>
      <c r="FD62" s="392"/>
      <c r="FE62" s="392"/>
      <c r="FF62" s="392"/>
      <c r="FG62" s="392"/>
      <c r="FH62" s="392"/>
      <c r="FI62" s="392"/>
      <c r="FJ62" s="392"/>
      <c r="FK62" s="392"/>
      <c r="FL62" s="392"/>
      <c r="FM62" s="392"/>
      <c r="FN62" s="392"/>
      <c r="FO62" s="392"/>
      <c r="FP62" s="392"/>
      <c r="FQ62" s="392"/>
      <c r="FR62" s="392"/>
      <c r="FS62" s="392"/>
      <c r="FT62" s="392"/>
      <c r="FU62" s="392"/>
      <c r="FV62" s="392"/>
      <c r="FW62" s="392"/>
      <c r="FX62" s="392"/>
      <c r="FY62" s="392"/>
      <c r="FZ62" s="392"/>
      <c r="GA62" s="392"/>
      <c r="GB62" s="392"/>
      <c r="GC62" s="392"/>
      <c r="GD62" s="392"/>
      <c r="GE62" s="392"/>
      <c r="GF62" s="392"/>
      <c r="GG62" s="392"/>
      <c r="GH62" s="392"/>
      <c r="GI62" s="392"/>
      <c r="GJ62" s="392"/>
      <c r="GK62" s="392"/>
      <c r="GL62" s="392"/>
      <c r="GM62" s="392"/>
      <c r="GN62" s="392"/>
      <c r="GO62" s="392"/>
      <c r="GP62" s="392"/>
      <c r="GQ62" s="392"/>
      <c r="GR62" s="392"/>
      <c r="GS62" s="392"/>
      <c r="GT62" s="392"/>
      <c r="GU62" s="392"/>
      <c r="GV62" s="392"/>
      <c r="GW62" s="392"/>
      <c r="GX62" s="392"/>
      <c r="GY62" s="392"/>
      <c r="GZ62" s="392"/>
      <c r="HA62" s="392"/>
      <c r="HB62" s="392"/>
      <c r="HC62" s="392"/>
      <c r="HD62" s="392"/>
      <c r="HE62" s="392"/>
      <c r="HF62" s="392"/>
      <c r="HG62" s="392"/>
      <c r="HH62" s="392"/>
      <c r="HI62" s="392"/>
      <c r="HJ62" s="392"/>
      <c r="HK62" s="392"/>
      <c r="HL62" s="392"/>
      <c r="HM62" s="392"/>
      <c r="HN62" s="392"/>
      <c r="HO62" s="392"/>
      <c r="HP62" s="392"/>
      <c r="HQ62" s="392"/>
      <c r="HR62" s="392"/>
      <c r="HS62" s="392"/>
      <c r="HT62" s="392"/>
      <c r="HU62" s="392"/>
      <c r="HV62" s="392"/>
      <c r="HW62" s="392"/>
      <c r="HX62" s="392"/>
      <c r="HY62" s="392"/>
      <c r="HZ62" s="392"/>
      <c r="IA62" s="392"/>
      <c r="IB62" s="392"/>
      <c r="IC62" s="392"/>
      <c r="ID62" s="392"/>
      <c r="IE62" s="392"/>
      <c r="IF62" s="392"/>
      <c r="IG62" s="392"/>
      <c r="IH62" s="392"/>
      <c r="II62" s="392"/>
      <c r="IJ62" s="392"/>
      <c r="IK62" s="392"/>
      <c r="IL62" s="392"/>
      <c r="IM62" s="392"/>
      <c r="IN62" s="392"/>
      <c r="IO62" s="392"/>
      <c r="IP62" s="392"/>
      <c r="IQ62" s="392"/>
      <c r="IR62" s="392"/>
      <c r="IS62" s="392"/>
      <c r="IT62" s="392"/>
      <c r="IU62" s="392"/>
      <c r="IV62" s="392"/>
    </row>
    <row r="63" spans="1:256">
      <c r="A63" s="392"/>
      <c r="B63" s="448"/>
      <c r="C63" s="448"/>
      <c r="D63" s="448"/>
      <c r="E63" s="448"/>
      <c r="F63" s="448"/>
      <c r="G63" s="448"/>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K63" s="392"/>
      <c r="AL63" s="392"/>
      <c r="AM63" s="392"/>
      <c r="AN63" s="392"/>
      <c r="AO63" s="392"/>
      <c r="AP63" s="392"/>
      <c r="AQ63" s="392"/>
      <c r="AR63" s="392"/>
      <c r="AS63" s="392"/>
      <c r="AT63" s="392"/>
      <c r="AU63" s="392"/>
      <c r="AV63" s="392"/>
      <c r="AW63" s="392"/>
      <c r="AX63" s="392"/>
      <c r="AY63" s="392"/>
      <c r="AZ63" s="392"/>
      <c r="BA63" s="392"/>
      <c r="BB63" s="392"/>
      <c r="BC63" s="392"/>
      <c r="BD63" s="392"/>
      <c r="BE63" s="392"/>
      <c r="BF63" s="392"/>
      <c r="BG63" s="392"/>
      <c r="BH63" s="392"/>
      <c r="BI63" s="392"/>
      <c r="BJ63" s="392"/>
      <c r="BK63" s="392"/>
      <c r="BL63" s="392"/>
      <c r="BM63" s="392"/>
      <c r="BN63" s="392"/>
      <c r="BO63" s="392"/>
      <c r="BP63" s="392"/>
      <c r="BQ63" s="392"/>
      <c r="BR63" s="392"/>
      <c r="BS63" s="392"/>
      <c r="BT63" s="392"/>
      <c r="BU63" s="392"/>
      <c r="BV63" s="392"/>
      <c r="BW63" s="392"/>
      <c r="BX63" s="392"/>
      <c r="BY63" s="392"/>
      <c r="BZ63" s="392"/>
      <c r="CA63" s="392"/>
      <c r="CB63" s="392"/>
      <c r="CC63" s="392"/>
      <c r="CD63" s="392"/>
      <c r="CE63" s="392"/>
      <c r="CF63" s="392"/>
      <c r="CG63" s="392"/>
      <c r="CH63" s="392"/>
      <c r="CI63" s="392"/>
      <c r="CJ63" s="392"/>
      <c r="CK63" s="392"/>
      <c r="CL63" s="392"/>
      <c r="CM63" s="392"/>
      <c r="CN63" s="392"/>
      <c r="CO63" s="392"/>
      <c r="CP63" s="392"/>
      <c r="CQ63" s="392"/>
      <c r="CR63" s="392"/>
      <c r="CS63" s="392"/>
      <c r="CT63" s="392"/>
      <c r="CU63" s="392"/>
      <c r="CV63" s="392"/>
      <c r="CW63" s="392"/>
      <c r="CX63" s="392"/>
      <c r="CY63" s="392"/>
      <c r="CZ63" s="392"/>
      <c r="DA63" s="392"/>
      <c r="DB63" s="392"/>
      <c r="DC63" s="392"/>
      <c r="DD63" s="392"/>
      <c r="DE63" s="392"/>
      <c r="DF63" s="392"/>
      <c r="DG63" s="392"/>
      <c r="DH63" s="392"/>
      <c r="DI63" s="392"/>
      <c r="DJ63" s="392"/>
      <c r="DK63" s="392"/>
      <c r="DL63" s="392"/>
      <c r="DM63" s="392"/>
      <c r="DN63" s="392"/>
      <c r="DO63" s="392"/>
      <c r="DP63" s="392"/>
      <c r="DQ63" s="392"/>
      <c r="DR63" s="392"/>
      <c r="DS63" s="392"/>
      <c r="DT63" s="392"/>
      <c r="DU63" s="392"/>
      <c r="DV63" s="392"/>
      <c r="DW63" s="392"/>
      <c r="DX63" s="392"/>
      <c r="DY63" s="392"/>
      <c r="DZ63" s="392"/>
      <c r="EA63" s="392"/>
      <c r="EB63" s="392"/>
      <c r="EC63" s="392"/>
      <c r="ED63" s="392"/>
      <c r="EE63" s="392"/>
      <c r="EF63" s="392"/>
      <c r="EG63" s="392"/>
      <c r="EH63" s="392"/>
      <c r="EI63" s="392"/>
      <c r="EJ63" s="392"/>
      <c r="EK63" s="392"/>
      <c r="EL63" s="392"/>
      <c r="EM63" s="392"/>
      <c r="EN63" s="392"/>
      <c r="EO63" s="392"/>
      <c r="EP63" s="392"/>
      <c r="EQ63" s="392"/>
      <c r="ER63" s="392"/>
      <c r="ES63" s="392"/>
      <c r="ET63" s="392"/>
      <c r="EU63" s="392"/>
      <c r="EV63" s="392"/>
      <c r="EW63" s="392"/>
      <c r="EX63" s="392"/>
      <c r="EY63" s="392"/>
      <c r="EZ63" s="392"/>
      <c r="FA63" s="392"/>
      <c r="FB63" s="392"/>
      <c r="FC63" s="392"/>
      <c r="FD63" s="392"/>
      <c r="FE63" s="392"/>
      <c r="FF63" s="392"/>
      <c r="FG63" s="392"/>
      <c r="FH63" s="392"/>
      <c r="FI63" s="392"/>
      <c r="FJ63" s="392"/>
      <c r="FK63" s="392"/>
      <c r="FL63" s="392"/>
      <c r="FM63" s="392"/>
      <c r="FN63" s="392"/>
      <c r="FO63" s="392"/>
      <c r="FP63" s="392"/>
      <c r="FQ63" s="392"/>
      <c r="FR63" s="392"/>
      <c r="FS63" s="392"/>
      <c r="FT63" s="392"/>
      <c r="FU63" s="392"/>
      <c r="FV63" s="392"/>
      <c r="FW63" s="392"/>
      <c r="FX63" s="392"/>
      <c r="FY63" s="392"/>
      <c r="FZ63" s="392"/>
      <c r="GA63" s="392"/>
      <c r="GB63" s="392"/>
      <c r="GC63" s="392"/>
      <c r="GD63" s="392"/>
      <c r="GE63" s="392"/>
      <c r="GF63" s="392"/>
      <c r="GG63" s="392"/>
      <c r="GH63" s="392"/>
      <c r="GI63" s="392"/>
      <c r="GJ63" s="392"/>
      <c r="GK63" s="392"/>
      <c r="GL63" s="392"/>
      <c r="GM63" s="392"/>
      <c r="GN63" s="392"/>
      <c r="GO63" s="392"/>
      <c r="GP63" s="392"/>
      <c r="GQ63" s="392"/>
      <c r="GR63" s="392"/>
      <c r="GS63" s="392"/>
      <c r="GT63" s="392"/>
      <c r="GU63" s="392"/>
      <c r="GV63" s="392"/>
      <c r="GW63" s="392"/>
      <c r="GX63" s="392"/>
      <c r="GY63" s="392"/>
      <c r="GZ63" s="392"/>
      <c r="HA63" s="392"/>
      <c r="HB63" s="392"/>
      <c r="HC63" s="392"/>
      <c r="HD63" s="392"/>
      <c r="HE63" s="392"/>
      <c r="HF63" s="392"/>
      <c r="HG63" s="392"/>
      <c r="HH63" s="392"/>
      <c r="HI63" s="392"/>
      <c r="HJ63" s="392"/>
      <c r="HK63" s="392"/>
      <c r="HL63" s="392"/>
      <c r="HM63" s="392"/>
      <c r="HN63" s="392"/>
      <c r="HO63" s="392"/>
      <c r="HP63" s="392"/>
      <c r="HQ63" s="392"/>
      <c r="HR63" s="392"/>
      <c r="HS63" s="392"/>
      <c r="HT63" s="392"/>
      <c r="HU63" s="392"/>
      <c r="HV63" s="392"/>
      <c r="HW63" s="392"/>
      <c r="HX63" s="392"/>
      <c r="HY63" s="392"/>
      <c r="HZ63" s="392"/>
      <c r="IA63" s="392"/>
      <c r="IB63" s="392"/>
      <c r="IC63" s="392"/>
      <c r="ID63" s="392"/>
      <c r="IE63" s="392"/>
      <c r="IF63" s="392"/>
      <c r="IG63" s="392"/>
      <c r="IH63" s="392"/>
      <c r="II63" s="392"/>
      <c r="IJ63" s="392"/>
      <c r="IK63" s="392"/>
      <c r="IL63" s="392"/>
      <c r="IM63" s="392"/>
      <c r="IN63" s="392"/>
      <c r="IO63" s="392"/>
      <c r="IP63" s="392"/>
      <c r="IQ63" s="392"/>
      <c r="IR63" s="392"/>
      <c r="IS63" s="392"/>
      <c r="IT63" s="392"/>
      <c r="IU63" s="392"/>
      <c r="IV63" s="392"/>
    </row>
    <row r="64" spans="1:256" ht="409.5" customHeight="1">
      <c r="A64" s="392"/>
      <c r="B64" s="2355"/>
      <c r="C64" s="2355"/>
      <c r="D64" s="2355"/>
      <c r="E64" s="2355"/>
      <c r="F64" s="2355"/>
      <c r="G64" s="2355"/>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2"/>
      <c r="AG64" s="392"/>
      <c r="AH64" s="392"/>
      <c r="AI64" s="392"/>
      <c r="AJ64" s="392"/>
      <c r="AK64" s="392"/>
      <c r="AL64" s="392"/>
      <c r="AM64" s="392"/>
      <c r="AN64" s="392"/>
      <c r="AO64" s="392"/>
      <c r="AP64" s="392"/>
      <c r="AQ64" s="392"/>
      <c r="AR64" s="392"/>
      <c r="AS64" s="392"/>
      <c r="AT64" s="392"/>
      <c r="AU64" s="392"/>
      <c r="AV64" s="392"/>
      <c r="AW64" s="392"/>
      <c r="AX64" s="392"/>
      <c r="AY64" s="392"/>
      <c r="AZ64" s="392"/>
      <c r="BA64" s="392"/>
      <c r="BB64" s="392"/>
      <c r="BC64" s="392"/>
      <c r="BD64" s="392"/>
      <c r="BE64" s="392"/>
      <c r="BF64" s="392"/>
      <c r="BG64" s="392"/>
      <c r="BH64" s="392"/>
      <c r="BI64" s="392"/>
      <c r="BJ64" s="392"/>
      <c r="BK64" s="392"/>
      <c r="BL64" s="392"/>
      <c r="BM64" s="392"/>
      <c r="BN64" s="392"/>
      <c r="BO64" s="392"/>
      <c r="BP64" s="392"/>
      <c r="BQ64" s="392"/>
      <c r="BR64" s="392"/>
      <c r="BS64" s="392"/>
      <c r="BT64" s="392"/>
      <c r="BU64" s="392"/>
      <c r="BV64" s="392"/>
      <c r="BW64" s="392"/>
      <c r="BX64" s="392"/>
      <c r="BY64" s="392"/>
      <c r="BZ64" s="392"/>
      <c r="CA64" s="392"/>
      <c r="CB64" s="392"/>
      <c r="CC64" s="392"/>
      <c r="CD64" s="392"/>
      <c r="CE64" s="392"/>
      <c r="CF64" s="392"/>
      <c r="CG64" s="392"/>
      <c r="CH64" s="392"/>
      <c r="CI64" s="392"/>
      <c r="CJ64" s="392"/>
      <c r="CK64" s="392"/>
      <c r="CL64" s="392"/>
      <c r="CM64" s="392"/>
      <c r="CN64" s="392"/>
      <c r="CO64" s="392"/>
      <c r="CP64" s="392"/>
      <c r="CQ64" s="392"/>
      <c r="CR64" s="392"/>
      <c r="CS64" s="392"/>
      <c r="CT64" s="392"/>
      <c r="CU64" s="392"/>
      <c r="CV64" s="392"/>
      <c r="CW64" s="392"/>
      <c r="CX64" s="392"/>
      <c r="CY64" s="392"/>
      <c r="CZ64" s="392"/>
      <c r="DA64" s="392"/>
      <c r="DB64" s="392"/>
      <c r="DC64" s="392"/>
      <c r="DD64" s="392"/>
      <c r="DE64" s="392"/>
      <c r="DF64" s="392"/>
      <c r="DG64" s="392"/>
      <c r="DH64" s="392"/>
      <c r="DI64" s="392"/>
      <c r="DJ64" s="392"/>
      <c r="DK64" s="392"/>
      <c r="DL64" s="392"/>
      <c r="DM64" s="392"/>
      <c r="DN64" s="392"/>
      <c r="DO64" s="392"/>
      <c r="DP64" s="392"/>
      <c r="DQ64" s="392"/>
      <c r="DR64" s="392"/>
      <c r="DS64" s="392"/>
      <c r="DT64" s="392"/>
      <c r="DU64" s="392"/>
      <c r="DV64" s="392"/>
      <c r="DW64" s="392"/>
      <c r="DX64" s="392"/>
      <c r="DY64" s="392"/>
      <c r="DZ64" s="392"/>
      <c r="EA64" s="392"/>
      <c r="EB64" s="392"/>
      <c r="EC64" s="392"/>
      <c r="ED64" s="392"/>
      <c r="EE64" s="392"/>
      <c r="EF64" s="392"/>
      <c r="EG64" s="392"/>
      <c r="EH64" s="392"/>
      <c r="EI64" s="392"/>
      <c r="EJ64" s="392"/>
      <c r="EK64" s="392"/>
      <c r="EL64" s="392"/>
      <c r="EM64" s="392"/>
      <c r="EN64" s="392"/>
      <c r="EO64" s="392"/>
      <c r="EP64" s="392"/>
      <c r="EQ64" s="392"/>
      <c r="ER64" s="392"/>
      <c r="ES64" s="392"/>
      <c r="ET64" s="392"/>
      <c r="EU64" s="392"/>
      <c r="EV64" s="392"/>
      <c r="EW64" s="392"/>
      <c r="EX64" s="392"/>
      <c r="EY64" s="392"/>
      <c r="EZ64" s="392"/>
      <c r="FA64" s="392"/>
      <c r="FB64" s="392"/>
      <c r="FC64" s="392"/>
      <c r="FD64" s="392"/>
      <c r="FE64" s="392"/>
      <c r="FF64" s="392"/>
      <c r="FG64" s="392"/>
      <c r="FH64" s="392"/>
      <c r="FI64" s="392"/>
      <c r="FJ64" s="392"/>
      <c r="FK64" s="392"/>
      <c r="FL64" s="392"/>
      <c r="FM64" s="392"/>
      <c r="FN64" s="392"/>
      <c r="FO64" s="392"/>
      <c r="FP64" s="392"/>
      <c r="FQ64" s="392"/>
      <c r="FR64" s="392"/>
      <c r="FS64" s="392"/>
      <c r="FT64" s="392"/>
      <c r="FU64" s="392"/>
      <c r="FV64" s="392"/>
      <c r="FW64" s="392"/>
      <c r="FX64" s="392"/>
      <c r="FY64" s="392"/>
      <c r="FZ64" s="392"/>
      <c r="GA64" s="392"/>
      <c r="GB64" s="392"/>
      <c r="GC64" s="392"/>
      <c r="GD64" s="392"/>
      <c r="GE64" s="392"/>
      <c r="GF64" s="392"/>
      <c r="GG64" s="392"/>
      <c r="GH64" s="392"/>
      <c r="GI64" s="392"/>
      <c r="GJ64" s="392"/>
      <c r="GK64" s="392"/>
      <c r="GL64" s="392"/>
      <c r="GM64" s="392"/>
      <c r="GN64" s="392"/>
      <c r="GO64" s="392"/>
      <c r="GP64" s="392"/>
      <c r="GQ64" s="392"/>
      <c r="GR64" s="392"/>
      <c r="GS64" s="392"/>
      <c r="GT64" s="392"/>
      <c r="GU64" s="392"/>
      <c r="GV64" s="392"/>
      <c r="GW64" s="392"/>
      <c r="GX64" s="392"/>
      <c r="GY64" s="392"/>
      <c r="GZ64" s="392"/>
      <c r="HA64" s="392"/>
      <c r="HB64" s="392"/>
      <c r="HC64" s="392"/>
      <c r="HD64" s="392"/>
      <c r="HE64" s="392"/>
      <c r="HF64" s="392"/>
      <c r="HG64" s="392"/>
      <c r="HH64" s="392"/>
      <c r="HI64" s="392"/>
      <c r="HJ64" s="392"/>
      <c r="HK64" s="392"/>
      <c r="HL64" s="392"/>
      <c r="HM64" s="392"/>
      <c r="HN64" s="392"/>
      <c r="HO64" s="392"/>
      <c r="HP64" s="392"/>
      <c r="HQ64" s="392"/>
      <c r="HR64" s="392"/>
      <c r="HS64" s="392"/>
      <c r="HT64" s="392"/>
      <c r="HU64" s="392"/>
      <c r="HV64" s="392"/>
      <c r="HW64" s="392"/>
      <c r="HX64" s="392"/>
      <c r="HY64" s="392"/>
      <c r="HZ64" s="392"/>
      <c r="IA64" s="392"/>
      <c r="IB64" s="392"/>
      <c r="IC64" s="392"/>
      <c r="ID64" s="392"/>
      <c r="IE64" s="392"/>
      <c r="IF64" s="392"/>
      <c r="IG64" s="392"/>
      <c r="IH64" s="392"/>
      <c r="II64" s="392"/>
      <c r="IJ64" s="392"/>
      <c r="IK64" s="392"/>
      <c r="IL64" s="392"/>
      <c r="IM64" s="392"/>
      <c r="IN64" s="392"/>
      <c r="IO64" s="392"/>
      <c r="IP64" s="392"/>
      <c r="IQ64" s="392"/>
      <c r="IR64" s="392"/>
      <c r="IS64" s="392"/>
      <c r="IT64" s="392"/>
      <c r="IU64" s="392"/>
      <c r="IV64" s="392"/>
    </row>
    <row r="65" spans="1:256" ht="221.25" customHeight="1" thickBot="1">
      <c r="A65" s="392"/>
      <c r="B65" s="2356"/>
      <c r="C65" s="2356"/>
      <c r="D65" s="2356"/>
      <c r="E65" s="2356"/>
      <c r="F65" s="2356"/>
      <c r="G65" s="2356"/>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392"/>
      <c r="BK65" s="392"/>
      <c r="BL65" s="392"/>
      <c r="BM65" s="392"/>
      <c r="BN65" s="392"/>
      <c r="BO65" s="392"/>
      <c r="BP65" s="392"/>
      <c r="BQ65" s="392"/>
      <c r="BR65" s="392"/>
      <c r="BS65" s="392"/>
      <c r="BT65" s="392"/>
      <c r="BU65" s="392"/>
      <c r="BV65" s="392"/>
      <c r="BW65" s="392"/>
      <c r="BX65" s="392"/>
      <c r="BY65" s="392"/>
      <c r="BZ65" s="392"/>
      <c r="CA65" s="392"/>
      <c r="CB65" s="392"/>
      <c r="CC65" s="392"/>
      <c r="CD65" s="392"/>
      <c r="CE65" s="392"/>
      <c r="CF65" s="392"/>
      <c r="CG65" s="392"/>
      <c r="CH65" s="392"/>
      <c r="CI65" s="392"/>
      <c r="CJ65" s="392"/>
      <c r="CK65" s="392"/>
      <c r="CL65" s="392"/>
      <c r="CM65" s="392"/>
      <c r="CN65" s="392"/>
      <c r="CO65" s="392"/>
      <c r="CP65" s="392"/>
      <c r="CQ65" s="392"/>
      <c r="CR65" s="392"/>
      <c r="CS65" s="392"/>
      <c r="CT65" s="392"/>
      <c r="CU65" s="392"/>
      <c r="CV65" s="392"/>
      <c r="CW65" s="392"/>
      <c r="CX65" s="392"/>
      <c r="CY65" s="392"/>
      <c r="CZ65" s="392"/>
      <c r="DA65" s="392"/>
      <c r="DB65" s="392"/>
      <c r="DC65" s="392"/>
      <c r="DD65" s="392"/>
      <c r="DE65" s="392"/>
      <c r="DF65" s="392"/>
      <c r="DG65" s="392"/>
      <c r="DH65" s="392"/>
      <c r="DI65" s="392"/>
      <c r="DJ65" s="392"/>
      <c r="DK65" s="392"/>
      <c r="DL65" s="392"/>
      <c r="DM65" s="392"/>
      <c r="DN65" s="392"/>
      <c r="DO65" s="392"/>
      <c r="DP65" s="392"/>
      <c r="DQ65" s="392"/>
      <c r="DR65" s="392"/>
      <c r="DS65" s="392"/>
      <c r="DT65" s="392"/>
      <c r="DU65" s="392"/>
      <c r="DV65" s="392"/>
      <c r="DW65" s="392"/>
      <c r="DX65" s="392"/>
      <c r="DY65" s="392"/>
      <c r="DZ65" s="392"/>
      <c r="EA65" s="392"/>
      <c r="EB65" s="392"/>
      <c r="EC65" s="392"/>
      <c r="ED65" s="392"/>
      <c r="EE65" s="392"/>
      <c r="EF65" s="392"/>
      <c r="EG65" s="392"/>
      <c r="EH65" s="392"/>
      <c r="EI65" s="392"/>
      <c r="EJ65" s="392"/>
      <c r="EK65" s="392"/>
      <c r="EL65" s="392"/>
      <c r="EM65" s="392"/>
      <c r="EN65" s="392"/>
      <c r="EO65" s="392"/>
      <c r="EP65" s="392"/>
      <c r="EQ65" s="392"/>
      <c r="ER65" s="392"/>
      <c r="ES65" s="392"/>
      <c r="ET65" s="392"/>
      <c r="EU65" s="392"/>
      <c r="EV65" s="392"/>
      <c r="EW65" s="392"/>
      <c r="EX65" s="392"/>
      <c r="EY65" s="392"/>
      <c r="EZ65" s="392"/>
      <c r="FA65" s="392"/>
      <c r="FB65" s="392"/>
      <c r="FC65" s="392"/>
      <c r="FD65" s="392"/>
      <c r="FE65" s="392"/>
      <c r="FF65" s="392"/>
      <c r="FG65" s="392"/>
      <c r="FH65" s="392"/>
      <c r="FI65" s="392"/>
      <c r="FJ65" s="392"/>
      <c r="FK65" s="392"/>
      <c r="FL65" s="392"/>
      <c r="FM65" s="392"/>
      <c r="FN65" s="392"/>
      <c r="FO65" s="392"/>
      <c r="FP65" s="392"/>
      <c r="FQ65" s="392"/>
      <c r="FR65" s="392"/>
      <c r="FS65" s="392"/>
      <c r="FT65" s="392"/>
      <c r="FU65" s="392"/>
      <c r="FV65" s="392"/>
      <c r="FW65" s="392"/>
      <c r="FX65" s="392"/>
      <c r="FY65" s="392"/>
      <c r="FZ65" s="392"/>
      <c r="GA65" s="392"/>
      <c r="GB65" s="392"/>
      <c r="GC65" s="392"/>
      <c r="GD65" s="392"/>
      <c r="GE65" s="392"/>
      <c r="GF65" s="392"/>
      <c r="GG65" s="392"/>
      <c r="GH65" s="392"/>
      <c r="GI65" s="392"/>
      <c r="GJ65" s="392"/>
      <c r="GK65" s="392"/>
      <c r="GL65" s="392"/>
      <c r="GM65" s="392"/>
      <c r="GN65" s="392"/>
      <c r="GO65" s="392"/>
      <c r="GP65" s="392"/>
      <c r="GQ65" s="392"/>
      <c r="GR65" s="392"/>
      <c r="GS65" s="392"/>
      <c r="GT65" s="392"/>
      <c r="GU65" s="392"/>
      <c r="GV65" s="392"/>
      <c r="GW65" s="392"/>
      <c r="GX65" s="392"/>
      <c r="GY65" s="392"/>
      <c r="GZ65" s="392"/>
      <c r="HA65" s="392"/>
      <c r="HB65" s="392"/>
      <c r="HC65" s="392"/>
      <c r="HD65" s="392"/>
      <c r="HE65" s="392"/>
      <c r="HF65" s="392"/>
      <c r="HG65" s="392"/>
      <c r="HH65" s="392"/>
      <c r="HI65" s="392"/>
      <c r="HJ65" s="392"/>
      <c r="HK65" s="392"/>
      <c r="HL65" s="392"/>
      <c r="HM65" s="392"/>
      <c r="HN65" s="392"/>
      <c r="HO65" s="392"/>
      <c r="HP65" s="392"/>
      <c r="HQ65" s="392"/>
      <c r="HR65" s="392"/>
      <c r="HS65" s="392"/>
      <c r="HT65" s="392"/>
      <c r="HU65" s="392"/>
      <c r="HV65" s="392"/>
      <c r="HW65" s="392"/>
      <c r="HX65" s="392"/>
      <c r="HY65" s="392"/>
      <c r="HZ65" s="392"/>
      <c r="IA65" s="392"/>
      <c r="IB65" s="392"/>
      <c r="IC65" s="392"/>
      <c r="ID65" s="392"/>
      <c r="IE65" s="392"/>
      <c r="IF65" s="392"/>
      <c r="IG65" s="392"/>
      <c r="IH65" s="392"/>
      <c r="II65" s="392"/>
      <c r="IJ65" s="392"/>
      <c r="IK65" s="392"/>
      <c r="IL65" s="392"/>
      <c r="IM65" s="392"/>
      <c r="IN65" s="392"/>
      <c r="IO65" s="392"/>
      <c r="IP65" s="392"/>
      <c r="IQ65" s="392"/>
      <c r="IR65" s="392"/>
      <c r="IS65" s="392"/>
      <c r="IT65" s="392"/>
      <c r="IU65" s="392"/>
      <c r="IV65" s="392"/>
    </row>
    <row r="66" spans="1:256" ht="31.5">
      <c r="A66" s="392"/>
      <c r="B66" s="581" t="s">
        <v>1706</v>
      </c>
      <c r="C66" s="2327" t="s">
        <v>1710</v>
      </c>
      <c r="D66" s="2328"/>
      <c r="E66" s="2328"/>
      <c r="F66" s="2329"/>
      <c r="G66" s="554" t="s">
        <v>22</v>
      </c>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392"/>
      <c r="BK66" s="392"/>
      <c r="BL66" s="392"/>
      <c r="BM66" s="392"/>
      <c r="BN66" s="392"/>
      <c r="BO66" s="392"/>
      <c r="BP66" s="392"/>
      <c r="BQ66" s="392"/>
      <c r="BR66" s="392"/>
      <c r="BS66" s="392"/>
      <c r="BT66" s="392"/>
      <c r="BU66" s="392"/>
      <c r="BV66" s="392"/>
      <c r="BW66" s="392"/>
      <c r="BX66" s="392"/>
      <c r="BY66" s="392"/>
      <c r="BZ66" s="392"/>
      <c r="CA66" s="392"/>
      <c r="CB66" s="392"/>
      <c r="CC66" s="392"/>
      <c r="CD66" s="392"/>
      <c r="CE66" s="392"/>
      <c r="CF66" s="392"/>
      <c r="CG66" s="392"/>
      <c r="CH66" s="392"/>
      <c r="CI66" s="392"/>
      <c r="CJ66" s="392"/>
      <c r="CK66" s="392"/>
      <c r="CL66" s="392"/>
      <c r="CM66" s="392"/>
      <c r="CN66" s="392"/>
      <c r="CO66" s="392"/>
      <c r="CP66" s="392"/>
      <c r="CQ66" s="392"/>
      <c r="CR66" s="392"/>
      <c r="CS66" s="392"/>
      <c r="CT66" s="392"/>
      <c r="CU66" s="392"/>
      <c r="CV66" s="392"/>
      <c r="CW66" s="392"/>
      <c r="CX66" s="392"/>
      <c r="CY66" s="392"/>
      <c r="CZ66" s="392"/>
      <c r="DA66" s="392"/>
      <c r="DB66" s="392"/>
      <c r="DC66" s="392"/>
      <c r="DD66" s="392"/>
      <c r="DE66" s="392"/>
      <c r="DF66" s="392"/>
      <c r="DG66" s="392"/>
      <c r="DH66" s="392"/>
      <c r="DI66" s="392"/>
      <c r="DJ66" s="392"/>
      <c r="DK66" s="392"/>
      <c r="DL66" s="392"/>
      <c r="DM66" s="392"/>
      <c r="DN66" s="392"/>
      <c r="DO66" s="392"/>
      <c r="DP66" s="392"/>
      <c r="DQ66" s="392"/>
      <c r="DR66" s="392"/>
      <c r="DS66" s="392"/>
      <c r="DT66" s="392"/>
      <c r="DU66" s="392"/>
      <c r="DV66" s="392"/>
      <c r="DW66" s="392"/>
      <c r="DX66" s="392"/>
      <c r="DY66" s="392"/>
      <c r="DZ66" s="392"/>
      <c r="EA66" s="392"/>
      <c r="EB66" s="392"/>
      <c r="EC66" s="392"/>
      <c r="ED66" s="392"/>
      <c r="EE66" s="392"/>
      <c r="EF66" s="392"/>
      <c r="EG66" s="392"/>
      <c r="EH66" s="392"/>
      <c r="EI66" s="392"/>
      <c r="EJ66" s="392"/>
      <c r="EK66" s="392"/>
      <c r="EL66" s="392"/>
      <c r="EM66" s="392"/>
      <c r="EN66" s="392"/>
      <c r="EO66" s="392"/>
      <c r="EP66" s="392"/>
      <c r="EQ66" s="392"/>
      <c r="ER66" s="392"/>
      <c r="ES66" s="392"/>
      <c r="ET66" s="392"/>
      <c r="EU66" s="392"/>
      <c r="EV66" s="392"/>
      <c r="EW66" s="392"/>
      <c r="EX66" s="392"/>
      <c r="EY66" s="392"/>
      <c r="EZ66" s="392"/>
      <c r="FA66" s="392"/>
      <c r="FB66" s="392"/>
      <c r="FC66" s="392"/>
      <c r="FD66" s="392"/>
      <c r="FE66" s="392"/>
      <c r="FF66" s="392"/>
      <c r="FG66" s="392"/>
      <c r="FH66" s="392"/>
      <c r="FI66" s="392"/>
      <c r="FJ66" s="392"/>
      <c r="FK66" s="392"/>
      <c r="FL66" s="392"/>
      <c r="FM66" s="392"/>
      <c r="FN66" s="392"/>
      <c r="FO66" s="392"/>
      <c r="FP66" s="392"/>
      <c r="FQ66" s="392"/>
      <c r="FR66" s="392"/>
      <c r="FS66" s="392"/>
      <c r="FT66" s="392"/>
      <c r="FU66" s="392"/>
      <c r="FV66" s="392"/>
      <c r="FW66" s="392"/>
      <c r="FX66" s="392"/>
      <c r="FY66" s="392"/>
      <c r="FZ66" s="392"/>
      <c r="GA66" s="392"/>
      <c r="GB66" s="392"/>
      <c r="GC66" s="392"/>
      <c r="GD66" s="392"/>
      <c r="GE66" s="392"/>
      <c r="GF66" s="392"/>
      <c r="GG66" s="392"/>
      <c r="GH66" s="392"/>
      <c r="GI66" s="392"/>
      <c r="GJ66" s="392"/>
      <c r="GK66" s="392"/>
      <c r="GL66" s="392"/>
      <c r="GM66" s="392"/>
      <c r="GN66" s="392"/>
      <c r="GO66" s="392"/>
      <c r="GP66" s="392"/>
      <c r="GQ66" s="392"/>
      <c r="GR66" s="392"/>
      <c r="GS66" s="392"/>
      <c r="GT66" s="392"/>
      <c r="GU66" s="392"/>
      <c r="GV66" s="392"/>
      <c r="GW66" s="392"/>
      <c r="GX66" s="392"/>
      <c r="GY66" s="392"/>
      <c r="GZ66" s="392"/>
      <c r="HA66" s="392"/>
      <c r="HB66" s="392"/>
      <c r="HC66" s="392"/>
      <c r="HD66" s="392"/>
      <c r="HE66" s="392"/>
      <c r="HF66" s="392"/>
      <c r="HG66" s="392"/>
      <c r="HH66" s="392"/>
      <c r="HI66" s="392"/>
      <c r="HJ66" s="392"/>
      <c r="HK66" s="392"/>
      <c r="HL66" s="392"/>
      <c r="HM66" s="392"/>
      <c r="HN66" s="392"/>
      <c r="HO66" s="392"/>
      <c r="HP66" s="392"/>
      <c r="HQ66" s="392"/>
      <c r="HR66" s="392"/>
      <c r="HS66" s="392"/>
      <c r="HT66" s="392"/>
      <c r="HU66" s="392"/>
      <c r="HV66" s="392"/>
      <c r="HW66" s="392"/>
      <c r="HX66" s="392"/>
      <c r="HY66" s="392"/>
      <c r="HZ66" s="392"/>
      <c r="IA66" s="392"/>
      <c r="IB66" s="392"/>
      <c r="IC66" s="392"/>
      <c r="ID66" s="392"/>
      <c r="IE66" s="392"/>
      <c r="IF66" s="392"/>
      <c r="IG66" s="392"/>
      <c r="IH66" s="392"/>
      <c r="II66" s="392"/>
      <c r="IJ66" s="392"/>
      <c r="IK66" s="392"/>
      <c r="IL66" s="392"/>
      <c r="IM66" s="392"/>
      <c r="IN66" s="392"/>
      <c r="IO66" s="392"/>
      <c r="IP66" s="392"/>
      <c r="IQ66" s="392"/>
      <c r="IR66" s="392"/>
      <c r="IS66" s="392"/>
      <c r="IT66" s="392"/>
      <c r="IU66" s="392"/>
      <c r="IV66" s="392"/>
    </row>
    <row r="67" spans="1:256" ht="31.5">
      <c r="A67" s="392"/>
      <c r="B67" s="366" t="s">
        <v>1708</v>
      </c>
      <c r="C67" s="582" t="s">
        <v>161</v>
      </c>
      <c r="D67" s="582" t="s">
        <v>22</v>
      </c>
      <c r="E67" s="2330" t="s">
        <v>162</v>
      </c>
      <c r="F67" s="2331"/>
      <c r="G67" s="233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2"/>
      <c r="AZ67" s="392"/>
      <c r="BA67" s="392"/>
      <c r="BB67" s="392"/>
      <c r="BC67" s="392"/>
      <c r="BD67" s="392"/>
      <c r="BE67" s="392"/>
      <c r="BF67" s="392"/>
      <c r="BG67" s="392"/>
      <c r="BH67" s="392"/>
      <c r="BI67" s="392"/>
      <c r="BJ67" s="392"/>
      <c r="BK67" s="392"/>
      <c r="BL67" s="392"/>
      <c r="BM67" s="392"/>
      <c r="BN67" s="392"/>
      <c r="BO67" s="392"/>
      <c r="BP67" s="392"/>
      <c r="BQ67" s="392"/>
      <c r="BR67" s="392"/>
      <c r="BS67" s="392"/>
      <c r="BT67" s="392"/>
      <c r="BU67" s="392"/>
      <c r="BV67" s="392"/>
      <c r="BW67" s="392"/>
      <c r="BX67" s="392"/>
      <c r="BY67" s="392"/>
      <c r="BZ67" s="392"/>
      <c r="CA67" s="392"/>
      <c r="CB67" s="392"/>
      <c r="CC67" s="392"/>
      <c r="CD67" s="392"/>
      <c r="CE67" s="392"/>
      <c r="CF67" s="392"/>
      <c r="CG67" s="392"/>
      <c r="CH67" s="392"/>
      <c r="CI67" s="392"/>
      <c r="CJ67" s="392"/>
      <c r="CK67" s="392"/>
      <c r="CL67" s="392"/>
      <c r="CM67" s="392"/>
      <c r="CN67" s="392"/>
      <c r="CO67" s="392"/>
      <c r="CP67" s="392"/>
      <c r="CQ67" s="392"/>
      <c r="CR67" s="392"/>
      <c r="CS67" s="392"/>
      <c r="CT67" s="392"/>
      <c r="CU67" s="392"/>
      <c r="CV67" s="392"/>
      <c r="CW67" s="392"/>
      <c r="CX67" s="392"/>
      <c r="CY67" s="392"/>
      <c r="CZ67" s="392"/>
      <c r="DA67" s="392"/>
      <c r="DB67" s="392"/>
      <c r="DC67" s="392"/>
      <c r="DD67" s="392"/>
      <c r="DE67" s="392"/>
      <c r="DF67" s="392"/>
      <c r="DG67" s="392"/>
      <c r="DH67" s="392"/>
      <c r="DI67" s="392"/>
      <c r="DJ67" s="392"/>
      <c r="DK67" s="392"/>
      <c r="DL67" s="392"/>
      <c r="DM67" s="392"/>
      <c r="DN67" s="392"/>
      <c r="DO67" s="392"/>
      <c r="DP67" s="392"/>
      <c r="DQ67" s="392"/>
      <c r="DR67" s="392"/>
      <c r="DS67" s="392"/>
      <c r="DT67" s="392"/>
      <c r="DU67" s="392"/>
      <c r="DV67" s="392"/>
      <c r="DW67" s="392"/>
      <c r="DX67" s="392"/>
      <c r="DY67" s="392"/>
      <c r="DZ67" s="392"/>
      <c r="EA67" s="392"/>
      <c r="EB67" s="392"/>
      <c r="EC67" s="392"/>
      <c r="ED67" s="392"/>
      <c r="EE67" s="392"/>
      <c r="EF67" s="392"/>
      <c r="EG67" s="392"/>
      <c r="EH67" s="392"/>
      <c r="EI67" s="392"/>
      <c r="EJ67" s="392"/>
      <c r="EK67" s="392"/>
      <c r="EL67" s="392"/>
      <c r="EM67" s="392"/>
      <c r="EN67" s="392"/>
      <c r="EO67" s="392"/>
      <c r="EP67" s="392"/>
      <c r="EQ67" s="392"/>
      <c r="ER67" s="392"/>
      <c r="ES67" s="392"/>
      <c r="ET67" s="392"/>
      <c r="EU67" s="392"/>
      <c r="EV67" s="392"/>
      <c r="EW67" s="392"/>
      <c r="EX67" s="392"/>
      <c r="EY67" s="392"/>
      <c r="EZ67" s="392"/>
      <c r="FA67" s="392"/>
      <c r="FB67" s="392"/>
      <c r="FC67" s="392"/>
      <c r="FD67" s="392"/>
      <c r="FE67" s="392"/>
      <c r="FF67" s="392"/>
      <c r="FG67" s="392"/>
      <c r="FH67" s="392"/>
      <c r="FI67" s="392"/>
      <c r="FJ67" s="392"/>
      <c r="FK67" s="392"/>
      <c r="FL67" s="392"/>
      <c r="FM67" s="392"/>
      <c r="FN67" s="392"/>
      <c r="FO67" s="392"/>
      <c r="FP67" s="392"/>
      <c r="FQ67" s="392"/>
      <c r="FR67" s="392"/>
      <c r="FS67" s="392"/>
      <c r="FT67" s="392"/>
      <c r="FU67" s="392"/>
      <c r="FV67" s="392"/>
      <c r="FW67" s="392"/>
      <c r="FX67" s="392"/>
      <c r="FY67" s="392"/>
      <c r="FZ67" s="392"/>
      <c r="GA67" s="392"/>
      <c r="GB67" s="392"/>
      <c r="GC67" s="392"/>
      <c r="GD67" s="392"/>
      <c r="GE67" s="392"/>
      <c r="GF67" s="392"/>
      <c r="GG67" s="392"/>
      <c r="GH67" s="392"/>
      <c r="GI67" s="392"/>
      <c r="GJ67" s="392"/>
      <c r="GK67" s="392"/>
      <c r="GL67" s="392"/>
      <c r="GM67" s="392"/>
      <c r="GN67" s="392"/>
      <c r="GO67" s="392"/>
      <c r="GP67" s="392"/>
      <c r="GQ67" s="392"/>
      <c r="GR67" s="392"/>
      <c r="GS67" s="392"/>
      <c r="GT67" s="392"/>
      <c r="GU67" s="392"/>
      <c r="GV67" s="392"/>
      <c r="GW67" s="392"/>
      <c r="GX67" s="392"/>
      <c r="GY67" s="392"/>
      <c r="GZ67" s="392"/>
      <c r="HA67" s="392"/>
      <c r="HB67" s="392"/>
      <c r="HC67" s="392"/>
      <c r="HD67" s="392"/>
      <c r="HE67" s="392"/>
      <c r="HF67" s="392"/>
      <c r="HG67" s="392"/>
      <c r="HH67" s="392"/>
      <c r="HI67" s="392"/>
      <c r="HJ67" s="392"/>
      <c r="HK67" s="392"/>
      <c r="HL67" s="392"/>
      <c r="HM67" s="392"/>
      <c r="HN67" s="392"/>
      <c r="HO67" s="392"/>
      <c r="HP67" s="392"/>
      <c r="HQ67" s="392"/>
      <c r="HR67" s="392"/>
      <c r="HS67" s="392"/>
      <c r="HT67" s="392"/>
      <c r="HU67" s="392"/>
      <c r="HV67" s="392"/>
      <c r="HW67" s="392"/>
      <c r="HX67" s="392"/>
      <c r="HY67" s="392"/>
      <c r="HZ67" s="392"/>
      <c r="IA67" s="392"/>
      <c r="IB67" s="392"/>
      <c r="IC67" s="392"/>
      <c r="ID67" s="392"/>
      <c r="IE67" s="392"/>
      <c r="IF67" s="392"/>
      <c r="IG67" s="392"/>
      <c r="IH67" s="392"/>
      <c r="II67" s="392"/>
      <c r="IJ67" s="392"/>
      <c r="IK67" s="392"/>
      <c r="IL67" s="392"/>
      <c r="IM67" s="392"/>
      <c r="IN67" s="392"/>
      <c r="IO67" s="392"/>
      <c r="IP67" s="392"/>
      <c r="IQ67" s="392"/>
      <c r="IR67" s="392"/>
      <c r="IS67" s="392"/>
      <c r="IT67" s="392"/>
      <c r="IU67" s="392"/>
      <c r="IV67" s="392"/>
    </row>
    <row r="68" spans="1:256" ht="15.75">
      <c r="A68" s="392"/>
      <c r="B68" s="2333" t="s">
        <v>165</v>
      </c>
      <c r="C68" s="2334"/>
      <c r="D68" s="2334"/>
      <c r="E68" s="2334"/>
      <c r="F68" s="2334"/>
      <c r="G68" s="2335"/>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c r="BK68" s="392"/>
      <c r="BL68" s="392"/>
      <c r="BM68" s="392"/>
      <c r="BN68" s="392"/>
      <c r="BO68" s="392"/>
      <c r="BP68" s="392"/>
      <c r="BQ68" s="392"/>
      <c r="BR68" s="392"/>
      <c r="BS68" s="392"/>
      <c r="BT68" s="392"/>
      <c r="BU68" s="392"/>
      <c r="BV68" s="392"/>
      <c r="BW68" s="392"/>
      <c r="BX68" s="392"/>
      <c r="BY68" s="392"/>
      <c r="BZ68" s="392"/>
      <c r="CA68" s="392"/>
      <c r="CB68" s="392"/>
      <c r="CC68" s="392"/>
      <c r="CD68" s="392"/>
      <c r="CE68" s="392"/>
      <c r="CF68" s="392"/>
      <c r="CG68" s="392"/>
      <c r="CH68" s="392"/>
      <c r="CI68" s="392"/>
      <c r="CJ68" s="392"/>
      <c r="CK68" s="392"/>
      <c r="CL68" s="392"/>
      <c r="CM68" s="392"/>
      <c r="CN68" s="392"/>
      <c r="CO68" s="392"/>
      <c r="CP68" s="392"/>
      <c r="CQ68" s="392"/>
      <c r="CR68" s="392"/>
      <c r="CS68" s="392"/>
      <c r="CT68" s="392"/>
      <c r="CU68" s="392"/>
      <c r="CV68" s="392"/>
      <c r="CW68" s="392"/>
      <c r="CX68" s="392"/>
      <c r="CY68" s="392"/>
      <c r="CZ68" s="392"/>
      <c r="DA68" s="392"/>
      <c r="DB68" s="392"/>
      <c r="DC68" s="392"/>
      <c r="DD68" s="392"/>
      <c r="DE68" s="392"/>
      <c r="DF68" s="392"/>
      <c r="DG68" s="392"/>
      <c r="DH68" s="392"/>
      <c r="DI68" s="392"/>
      <c r="DJ68" s="392"/>
      <c r="DK68" s="392"/>
      <c r="DL68" s="392"/>
      <c r="DM68" s="392"/>
      <c r="DN68" s="392"/>
      <c r="DO68" s="392"/>
      <c r="DP68" s="392"/>
      <c r="DQ68" s="392"/>
      <c r="DR68" s="392"/>
      <c r="DS68" s="392"/>
      <c r="DT68" s="392"/>
      <c r="DU68" s="392"/>
      <c r="DV68" s="392"/>
      <c r="DW68" s="392"/>
      <c r="DX68" s="392"/>
      <c r="DY68" s="392"/>
      <c r="DZ68" s="392"/>
      <c r="EA68" s="392"/>
      <c r="EB68" s="392"/>
      <c r="EC68" s="392"/>
      <c r="ED68" s="392"/>
      <c r="EE68" s="392"/>
      <c r="EF68" s="392"/>
      <c r="EG68" s="392"/>
      <c r="EH68" s="392"/>
      <c r="EI68" s="392"/>
      <c r="EJ68" s="392"/>
      <c r="EK68" s="392"/>
      <c r="EL68" s="392"/>
      <c r="EM68" s="392"/>
      <c r="EN68" s="392"/>
      <c r="EO68" s="392"/>
      <c r="EP68" s="392"/>
      <c r="EQ68" s="392"/>
      <c r="ER68" s="392"/>
      <c r="ES68" s="392"/>
      <c r="ET68" s="392"/>
      <c r="EU68" s="392"/>
      <c r="EV68" s="392"/>
      <c r="EW68" s="392"/>
      <c r="EX68" s="392"/>
      <c r="EY68" s="392"/>
      <c r="EZ68" s="392"/>
      <c r="FA68" s="392"/>
      <c r="FB68" s="392"/>
      <c r="FC68" s="392"/>
      <c r="FD68" s="392"/>
      <c r="FE68" s="392"/>
      <c r="FF68" s="392"/>
      <c r="FG68" s="392"/>
      <c r="FH68" s="392"/>
      <c r="FI68" s="392"/>
      <c r="FJ68" s="392"/>
      <c r="FK68" s="392"/>
      <c r="FL68" s="392"/>
      <c r="FM68" s="392"/>
      <c r="FN68" s="392"/>
      <c r="FO68" s="392"/>
      <c r="FP68" s="392"/>
      <c r="FQ68" s="392"/>
      <c r="FR68" s="392"/>
      <c r="FS68" s="392"/>
      <c r="FT68" s="392"/>
      <c r="FU68" s="392"/>
      <c r="FV68" s="392"/>
      <c r="FW68" s="392"/>
      <c r="FX68" s="392"/>
      <c r="FY68" s="392"/>
      <c r="FZ68" s="392"/>
      <c r="GA68" s="392"/>
      <c r="GB68" s="392"/>
      <c r="GC68" s="392"/>
      <c r="GD68" s="392"/>
      <c r="GE68" s="392"/>
      <c r="GF68" s="392"/>
      <c r="GG68" s="392"/>
      <c r="GH68" s="392"/>
      <c r="GI68" s="392"/>
      <c r="GJ68" s="392"/>
      <c r="GK68" s="392"/>
      <c r="GL68" s="392"/>
      <c r="GM68" s="392"/>
      <c r="GN68" s="392"/>
      <c r="GO68" s="392"/>
      <c r="GP68" s="392"/>
      <c r="GQ68" s="392"/>
      <c r="GR68" s="392"/>
      <c r="GS68" s="392"/>
      <c r="GT68" s="392"/>
      <c r="GU68" s="392"/>
      <c r="GV68" s="392"/>
      <c r="GW68" s="392"/>
      <c r="GX68" s="392"/>
      <c r="GY68" s="392"/>
      <c r="GZ68" s="392"/>
      <c r="HA68" s="392"/>
      <c r="HB68" s="392"/>
      <c r="HC68" s="392"/>
      <c r="HD68" s="392"/>
      <c r="HE68" s="392"/>
      <c r="HF68" s="392"/>
      <c r="HG68" s="392"/>
      <c r="HH68" s="392"/>
      <c r="HI68" s="392"/>
      <c r="HJ68" s="392"/>
      <c r="HK68" s="392"/>
      <c r="HL68" s="392"/>
      <c r="HM68" s="392"/>
      <c r="HN68" s="392"/>
      <c r="HO68" s="392"/>
      <c r="HP68" s="392"/>
      <c r="HQ68" s="392"/>
      <c r="HR68" s="392"/>
      <c r="HS68" s="392"/>
      <c r="HT68" s="392"/>
      <c r="HU68" s="392"/>
      <c r="HV68" s="392"/>
      <c r="HW68" s="392"/>
      <c r="HX68" s="392"/>
      <c r="HY68" s="392"/>
      <c r="HZ68" s="392"/>
      <c r="IA68" s="392"/>
      <c r="IB68" s="392"/>
      <c r="IC68" s="392"/>
      <c r="ID68" s="392"/>
      <c r="IE68" s="392"/>
      <c r="IF68" s="392"/>
      <c r="IG68" s="392"/>
      <c r="IH68" s="392"/>
      <c r="II68" s="392"/>
      <c r="IJ68" s="392"/>
      <c r="IK68" s="392"/>
      <c r="IL68" s="392"/>
      <c r="IM68" s="392"/>
      <c r="IN68" s="392"/>
      <c r="IO68" s="392"/>
      <c r="IP68" s="392"/>
      <c r="IQ68" s="392"/>
      <c r="IR68" s="392"/>
      <c r="IS68" s="392"/>
      <c r="IT68" s="392"/>
      <c r="IU68" s="392"/>
      <c r="IV68" s="392"/>
    </row>
    <row r="69" spans="1:256" ht="26.25" customHeight="1">
      <c r="A69" s="392"/>
      <c r="B69" s="2318" t="str">
        <f>C59</f>
        <v>ESCAVAÇÃO MANUAL DE VALA COM PROFUNDIDADE MENOR OU IGUAL A 1,30 M. AF_02/2021</v>
      </c>
      <c r="C69" s="2319"/>
      <c r="D69" s="583" t="s">
        <v>19</v>
      </c>
      <c r="E69" s="2340" t="s">
        <v>1711</v>
      </c>
      <c r="F69" s="2340"/>
      <c r="G69" s="2341"/>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c r="BH69" s="392"/>
      <c r="BI69" s="392"/>
      <c r="BJ69" s="392"/>
      <c r="BK69" s="392"/>
      <c r="BL69" s="392"/>
      <c r="BM69" s="392"/>
      <c r="BN69" s="392"/>
      <c r="BO69" s="392"/>
      <c r="BP69" s="392"/>
      <c r="BQ69" s="392"/>
      <c r="BR69" s="392"/>
      <c r="BS69" s="392"/>
      <c r="BT69" s="392"/>
      <c r="BU69" s="392"/>
      <c r="BV69" s="392"/>
      <c r="BW69" s="392"/>
      <c r="BX69" s="392"/>
      <c r="BY69" s="392"/>
      <c r="BZ69" s="392"/>
      <c r="CA69" s="392"/>
      <c r="CB69" s="392"/>
      <c r="CC69" s="392"/>
      <c r="CD69" s="392"/>
      <c r="CE69" s="392"/>
      <c r="CF69" s="392"/>
      <c r="CG69" s="392"/>
      <c r="CH69" s="392"/>
      <c r="CI69" s="392"/>
      <c r="CJ69" s="392"/>
      <c r="CK69" s="392"/>
      <c r="CL69" s="392"/>
      <c r="CM69" s="392"/>
      <c r="CN69" s="392"/>
      <c r="CO69" s="392"/>
      <c r="CP69" s="392"/>
      <c r="CQ69" s="392"/>
      <c r="CR69" s="392"/>
      <c r="CS69" s="392"/>
      <c r="CT69" s="392"/>
      <c r="CU69" s="392"/>
      <c r="CV69" s="392"/>
      <c r="CW69" s="392"/>
      <c r="CX69" s="392"/>
      <c r="CY69" s="392"/>
      <c r="CZ69" s="392"/>
      <c r="DA69" s="392"/>
      <c r="DB69" s="392"/>
      <c r="DC69" s="392"/>
      <c r="DD69" s="392"/>
      <c r="DE69" s="392"/>
      <c r="DF69" s="392"/>
      <c r="DG69" s="392"/>
      <c r="DH69" s="392"/>
      <c r="DI69" s="392"/>
      <c r="DJ69" s="392"/>
      <c r="DK69" s="392"/>
      <c r="DL69" s="392"/>
      <c r="DM69" s="392"/>
      <c r="DN69" s="392"/>
      <c r="DO69" s="392"/>
      <c r="DP69" s="392"/>
      <c r="DQ69" s="392"/>
      <c r="DR69" s="392"/>
      <c r="DS69" s="392"/>
      <c r="DT69" s="392"/>
      <c r="DU69" s="392"/>
      <c r="DV69" s="392"/>
      <c r="DW69" s="392"/>
      <c r="DX69" s="392"/>
      <c r="DY69" s="392"/>
      <c r="DZ69" s="392"/>
      <c r="EA69" s="392"/>
      <c r="EB69" s="392"/>
      <c r="EC69" s="392"/>
      <c r="ED69" s="392"/>
      <c r="EE69" s="392"/>
      <c r="EF69" s="392"/>
      <c r="EG69" s="392"/>
      <c r="EH69" s="392"/>
      <c r="EI69" s="392"/>
      <c r="EJ69" s="392"/>
      <c r="EK69" s="392"/>
      <c r="EL69" s="392"/>
      <c r="EM69" s="392"/>
      <c r="EN69" s="392"/>
      <c r="EO69" s="392"/>
      <c r="EP69" s="392"/>
      <c r="EQ69" s="392"/>
      <c r="ER69" s="392"/>
      <c r="ES69" s="392"/>
      <c r="ET69" s="392"/>
      <c r="EU69" s="392"/>
      <c r="EV69" s="392"/>
      <c r="EW69" s="392"/>
      <c r="EX69" s="392"/>
      <c r="EY69" s="392"/>
      <c r="EZ69" s="392"/>
      <c r="FA69" s="392"/>
      <c r="FB69" s="392"/>
      <c r="FC69" s="392"/>
      <c r="FD69" s="392"/>
      <c r="FE69" s="392"/>
      <c r="FF69" s="392"/>
      <c r="FG69" s="392"/>
      <c r="FH69" s="392"/>
      <c r="FI69" s="392"/>
      <c r="FJ69" s="392"/>
      <c r="FK69" s="392"/>
      <c r="FL69" s="392"/>
      <c r="FM69" s="392"/>
      <c r="FN69" s="392"/>
      <c r="FO69" s="392"/>
      <c r="FP69" s="392"/>
      <c r="FQ69" s="392"/>
      <c r="FR69" s="392"/>
      <c r="FS69" s="392"/>
      <c r="FT69" s="392"/>
      <c r="FU69" s="392"/>
      <c r="FV69" s="392"/>
      <c r="FW69" s="392"/>
      <c r="FX69" s="392"/>
      <c r="FY69" s="392"/>
      <c r="FZ69" s="392"/>
      <c r="GA69" s="392"/>
      <c r="GB69" s="392"/>
      <c r="GC69" s="392"/>
      <c r="GD69" s="392"/>
      <c r="GE69" s="392"/>
      <c r="GF69" s="392"/>
      <c r="GG69" s="392"/>
      <c r="GH69" s="392"/>
      <c r="GI69" s="392"/>
      <c r="GJ69" s="392"/>
      <c r="GK69" s="392"/>
      <c r="GL69" s="392"/>
      <c r="GM69" s="392"/>
      <c r="GN69" s="392"/>
      <c r="GO69" s="392"/>
      <c r="GP69" s="392"/>
      <c r="GQ69" s="392"/>
      <c r="GR69" s="392"/>
      <c r="GS69" s="392"/>
      <c r="GT69" s="392"/>
      <c r="GU69" s="392"/>
      <c r="GV69" s="392"/>
      <c r="GW69" s="392"/>
      <c r="GX69" s="392"/>
      <c r="GY69" s="392"/>
      <c r="GZ69" s="392"/>
      <c r="HA69" s="392"/>
      <c r="HB69" s="392"/>
      <c r="HC69" s="392"/>
      <c r="HD69" s="392"/>
      <c r="HE69" s="392"/>
      <c r="HF69" s="392"/>
      <c r="HG69" s="392"/>
      <c r="HH69" s="392"/>
      <c r="HI69" s="392"/>
      <c r="HJ69" s="392"/>
      <c r="HK69" s="392"/>
      <c r="HL69" s="392"/>
      <c r="HM69" s="392"/>
      <c r="HN69" s="392"/>
      <c r="HO69" s="392"/>
      <c r="HP69" s="392"/>
      <c r="HQ69" s="392"/>
      <c r="HR69" s="392"/>
      <c r="HS69" s="392"/>
      <c r="HT69" s="392"/>
      <c r="HU69" s="392"/>
      <c r="HV69" s="392"/>
      <c r="HW69" s="392"/>
      <c r="HX69" s="392"/>
      <c r="HY69" s="392"/>
      <c r="HZ69" s="392"/>
      <c r="IA69" s="392"/>
      <c r="IB69" s="392"/>
      <c r="IC69" s="392"/>
      <c r="ID69" s="392"/>
      <c r="IE69" s="392"/>
      <c r="IF69" s="392"/>
      <c r="IG69" s="392"/>
      <c r="IH69" s="392"/>
      <c r="II69" s="392"/>
      <c r="IJ69" s="392"/>
      <c r="IK69" s="392"/>
      <c r="IL69" s="392"/>
      <c r="IM69" s="392"/>
      <c r="IN69" s="392"/>
      <c r="IO69" s="392"/>
      <c r="IP69" s="392"/>
      <c r="IQ69" s="392"/>
      <c r="IR69" s="392"/>
      <c r="IS69" s="392"/>
      <c r="IT69" s="392"/>
      <c r="IU69" s="392"/>
      <c r="IV69" s="392"/>
    </row>
    <row r="70" spans="1:256" ht="34.5" customHeight="1">
      <c r="A70" s="392"/>
      <c r="B70" s="2318" t="str">
        <f>C60</f>
        <v>CONCRETO FCK = 25MPA, TRAÇO 1:2,3:2,7 (EM MASSA SECA DE CIMENTO/ AREIA MÉDIA/ BRITA 1) - PREPARO MECÂNICO COM BETONEIRA 400 L. AF_05/2021</v>
      </c>
      <c r="C70" s="2319"/>
      <c r="D70" s="322" t="s">
        <v>19</v>
      </c>
      <c r="E70" s="2320" t="str">
        <f>E69</f>
        <v>(0,3*0,4*0,4)</v>
      </c>
      <c r="F70" s="2320"/>
      <c r="G70" s="2321"/>
      <c r="H70" s="392"/>
      <c r="I70" s="392"/>
      <c r="J70" s="392"/>
      <c r="K70" s="392"/>
      <c r="L70" s="392"/>
      <c r="M70" s="392"/>
      <c r="N70" s="392"/>
      <c r="O70" s="392"/>
      <c r="P70" s="392"/>
      <c r="Q70" s="392"/>
      <c r="R70" s="392"/>
      <c r="S70" s="392"/>
      <c r="T70" s="392"/>
      <c r="U70" s="392"/>
      <c r="V70" s="392"/>
      <c r="W70" s="392"/>
      <c r="X70" s="392"/>
      <c r="Y70" s="392"/>
      <c r="Z70" s="392"/>
      <c r="AA70" s="392"/>
      <c r="AB70" s="392"/>
      <c r="AC70" s="392"/>
      <c r="AD70" s="392"/>
      <c r="AE70" s="392"/>
      <c r="AF70" s="392"/>
      <c r="AG70" s="392"/>
      <c r="AH70" s="392"/>
      <c r="AI70" s="392"/>
      <c r="AJ70" s="392"/>
      <c r="AK70" s="392"/>
      <c r="AL70" s="392"/>
      <c r="AM70" s="392"/>
      <c r="AN70" s="392"/>
      <c r="AO70" s="392"/>
      <c r="AP70" s="392"/>
      <c r="AQ70" s="392"/>
      <c r="AR70" s="392"/>
      <c r="AS70" s="392"/>
      <c r="AT70" s="392"/>
      <c r="AU70" s="392"/>
      <c r="AV70" s="392"/>
      <c r="AW70" s="392"/>
      <c r="AX70" s="392"/>
      <c r="AY70" s="392"/>
      <c r="AZ70" s="392"/>
      <c r="BA70" s="392"/>
      <c r="BB70" s="392"/>
      <c r="BC70" s="392"/>
      <c r="BD70" s="392"/>
      <c r="BE70" s="392"/>
      <c r="BF70" s="392"/>
      <c r="BG70" s="392"/>
      <c r="BH70" s="392"/>
      <c r="BI70" s="392"/>
      <c r="BJ70" s="392"/>
      <c r="BK70" s="392"/>
      <c r="BL70" s="392"/>
      <c r="BM70" s="392"/>
      <c r="BN70" s="392"/>
      <c r="BO70" s="392"/>
      <c r="BP70" s="392"/>
      <c r="BQ70" s="392"/>
      <c r="BR70" s="392"/>
      <c r="BS70" s="392"/>
      <c r="BT70" s="392"/>
      <c r="BU70" s="392"/>
      <c r="BV70" s="392"/>
      <c r="BW70" s="392"/>
      <c r="BX70" s="392"/>
      <c r="BY70" s="392"/>
      <c r="BZ70" s="392"/>
      <c r="CA70" s="392"/>
      <c r="CB70" s="392"/>
      <c r="CC70" s="392"/>
      <c r="CD70" s="392"/>
      <c r="CE70" s="392"/>
      <c r="CF70" s="392"/>
      <c r="CG70" s="392"/>
      <c r="CH70" s="392"/>
      <c r="CI70" s="392"/>
      <c r="CJ70" s="392"/>
      <c r="CK70" s="392"/>
      <c r="CL70" s="392"/>
      <c r="CM70" s="392"/>
      <c r="CN70" s="392"/>
      <c r="CO70" s="392"/>
      <c r="CP70" s="392"/>
      <c r="CQ70" s="392"/>
      <c r="CR70" s="392"/>
      <c r="CS70" s="392"/>
      <c r="CT70" s="392"/>
      <c r="CU70" s="392"/>
      <c r="CV70" s="392"/>
      <c r="CW70" s="392"/>
      <c r="CX70" s="392"/>
      <c r="CY70" s="392"/>
      <c r="CZ70" s="392"/>
      <c r="DA70" s="392"/>
      <c r="DB70" s="392"/>
      <c r="DC70" s="392"/>
      <c r="DD70" s="392"/>
      <c r="DE70" s="392"/>
      <c r="DF70" s="392"/>
      <c r="DG70" s="392"/>
      <c r="DH70" s="392"/>
      <c r="DI70" s="392"/>
      <c r="DJ70" s="392"/>
      <c r="DK70" s="392"/>
      <c r="DL70" s="392"/>
      <c r="DM70" s="392"/>
      <c r="DN70" s="392"/>
      <c r="DO70" s="392"/>
      <c r="DP70" s="392"/>
      <c r="DQ70" s="392"/>
      <c r="DR70" s="392"/>
      <c r="DS70" s="392"/>
      <c r="DT70" s="392"/>
      <c r="DU70" s="392"/>
      <c r="DV70" s="392"/>
      <c r="DW70" s="392"/>
      <c r="DX70" s="392"/>
      <c r="DY70" s="392"/>
      <c r="DZ70" s="392"/>
      <c r="EA70" s="392"/>
      <c r="EB70" s="392"/>
      <c r="EC70" s="392"/>
      <c r="ED70" s="392"/>
      <c r="EE70" s="392"/>
      <c r="EF70" s="392"/>
      <c r="EG70" s="392"/>
      <c r="EH70" s="392"/>
      <c r="EI70" s="392"/>
      <c r="EJ70" s="392"/>
      <c r="EK70" s="392"/>
      <c r="EL70" s="392"/>
      <c r="EM70" s="392"/>
      <c r="EN70" s="392"/>
      <c r="EO70" s="392"/>
      <c r="EP70" s="392"/>
      <c r="EQ70" s="392"/>
      <c r="ER70" s="392"/>
      <c r="ES70" s="392"/>
      <c r="ET70" s="392"/>
      <c r="EU70" s="392"/>
      <c r="EV70" s="392"/>
      <c r="EW70" s="392"/>
      <c r="EX70" s="392"/>
      <c r="EY70" s="392"/>
      <c r="EZ70" s="392"/>
      <c r="FA70" s="392"/>
      <c r="FB70" s="392"/>
      <c r="FC70" s="392"/>
      <c r="FD70" s="392"/>
      <c r="FE70" s="392"/>
      <c r="FF70" s="392"/>
      <c r="FG70" s="392"/>
      <c r="FH70" s="392"/>
      <c r="FI70" s="392"/>
      <c r="FJ70" s="392"/>
      <c r="FK70" s="392"/>
      <c r="FL70" s="392"/>
      <c r="FM70" s="392"/>
      <c r="FN70" s="392"/>
      <c r="FO70" s="392"/>
      <c r="FP70" s="392"/>
      <c r="FQ70" s="392"/>
      <c r="FR70" s="392"/>
      <c r="FS70" s="392"/>
      <c r="FT70" s="392"/>
      <c r="FU70" s="392"/>
      <c r="FV70" s="392"/>
      <c r="FW70" s="392"/>
      <c r="FX70" s="392"/>
      <c r="FY70" s="392"/>
      <c r="FZ70" s="392"/>
      <c r="GA70" s="392"/>
      <c r="GB70" s="392"/>
      <c r="GC70" s="392"/>
      <c r="GD70" s="392"/>
      <c r="GE70" s="392"/>
      <c r="GF70" s="392"/>
      <c r="GG70" s="392"/>
      <c r="GH70" s="392"/>
      <c r="GI70" s="392"/>
      <c r="GJ70" s="392"/>
      <c r="GK70" s="392"/>
      <c r="GL70" s="392"/>
      <c r="GM70" s="392"/>
      <c r="GN70" s="392"/>
      <c r="GO70" s="392"/>
      <c r="GP70" s="392"/>
      <c r="GQ70" s="392"/>
      <c r="GR70" s="392"/>
      <c r="GS70" s="392"/>
      <c r="GT70" s="392"/>
      <c r="GU70" s="392"/>
      <c r="GV70" s="392"/>
      <c r="GW70" s="392"/>
      <c r="GX70" s="392"/>
      <c r="GY70" s="392"/>
      <c r="GZ70" s="392"/>
      <c r="HA70" s="392"/>
      <c r="HB70" s="392"/>
      <c r="HC70" s="392"/>
      <c r="HD70" s="392"/>
      <c r="HE70" s="392"/>
      <c r="HF70" s="392"/>
      <c r="HG70" s="392"/>
      <c r="HH70" s="392"/>
      <c r="HI70" s="392"/>
      <c r="HJ70" s="392"/>
      <c r="HK70" s="392"/>
      <c r="HL70" s="392"/>
      <c r="HM70" s="392"/>
      <c r="HN70" s="392"/>
      <c r="HO70" s="392"/>
      <c r="HP70" s="392"/>
      <c r="HQ70" s="392"/>
      <c r="HR70" s="392"/>
      <c r="HS70" s="392"/>
      <c r="HT70" s="392"/>
      <c r="HU70" s="392"/>
      <c r="HV70" s="392"/>
      <c r="HW70" s="392"/>
      <c r="HX70" s="392"/>
      <c r="HY70" s="392"/>
      <c r="HZ70" s="392"/>
      <c r="IA70" s="392"/>
      <c r="IB70" s="392"/>
      <c r="IC70" s="392"/>
      <c r="ID70" s="392"/>
      <c r="IE70" s="392"/>
      <c r="IF70" s="392"/>
      <c r="IG70" s="392"/>
      <c r="IH70" s="392"/>
      <c r="II70" s="392"/>
      <c r="IJ70" s="392"/>
      <c r="IK70" s="392"/>
      <c r="IL70" s="392"/>
      <c r="IM70" s="392"/>
      <c r="IN70" s="392"/>
      <c r="IO70" s="392"/>
      <c r="IP70" s="392"/>
      <c r="IQ70" s="392"/>
      <c r="IR70" s="392"/>
      <c r="IS70" s="392"/>
      <c r="IT70" s="392"/>
      <c r="IU70" s="392"/>
      <c r="IV70" s="392"/>
    </row>
    <row r="71" spans="1:256" ht="34.5" customHeight="1">
      <c r="A71" s="392"/>
      <c r="B71" s="2318" t="e">
        <f>C61</f>
        <v>#N/A</v>
      </c>
      <c r="C71" s="2319"/>
      <c r="D71" s="322" t="s">
        <v>19</v>
      </c>
      <c r="E71" s="2320" t="str">
        <f>E69</f>
        <v>(0,3*0,4*0,4)</v>
      </c>
      <c r="F71" s="2320"/>
      <c r="G71" s="2321"/>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392"/>
      <c r="BK71" s="392"/>
      <c r="BL71" s="392"/>
      <c r="BM71" s="392"/>
      <c r="BN71" s="392"/>
      <c r="BO71" s="392"/>
      <c r="BP71" s="392"/>
      <c r="BQ71" s="392"/>
      <c r="BR71" s="392"/>
      <c r="BS71" s="392"/>
      <c r="BT71" s="392"/>
      <c r="BU71" s="392"/>
      <c r="BV71" s="392"/>
      <c r="BW71" s="392"/>
      <c r="BX71" s="392"/>
      <c r="BY71" s="392"/>
      <c r="BZ71" s="392"/>
      <c r="CA71" s="392"/>
      <c r="CB71" s="392"/>
      <c r="CC71" s="392"/>
      <c r="CD71" s="392"/>
      <c r="CE71" s="392"/>
      <c r="CF71" s="392"/>
      <c r="CG71" s="392"/>
      <c r="CH71" s="392"/>
      <c r="CI71" s="392"/>
      <c r="CJ71" s="392"/>
      <c r="CK71" s="392"/>
      <c r="CL71" s="392"/>
      <c r="CM71" s="392"/>
      <c r="CN71" s="392"/>
      <c r="CO71" s="392"/>
      <c r="CP71" s="392"/>
      <c r="CQ71" s="392"/>
      <c r="CR71" s="392"/>
      <c r="CS71" s="392"/>
      <c r="CT71" s="392"/>
      <c r="CU71" s="392"/>
      <c r="CV71" s="392"/>
      <c r="CW71" s="392"/>
      <c r="CX71" s="392"/>
      <c r="CY71" s="392"/>
      <c r="CZ71" s="392"/>
      <c r="DA71" s="392"/>
      <c r="DB71" s="392"/>
      <c r="DC71" s="392"/>
      <c r="DD71" s="392"/>
      <c r="DE71" s="392"/>
      <c r="DF71" s="392"/>
      <c r="DG71" s="392"/>
      <c r="DH71" s="392"/>
      <c r="DI71" s="392"/>
      <c r="DJ71" s="392"/>
      <c r="DK71" s="392"/>
      <c r="DL71" s="392"/>
      <c r="DM71" s="392"/>
      <c r="DN71" s="392"/>
      <c r="DO71" s="392"/>
      <c r="DP71" s="392"/>
      <c r="DQ71" s="392"/>
      <c r="DR71" s="392"/>
      <c r="DS71" s="392"/>
      <c r="DT71" s="392"/>
      <c r="DU71" s="392"/>
      <c r="DV71" s="392"/>
      <c r="DW71" s="392"/>
      <c r="DX71" s="392"/>
      <c r="DY71" s="392"/>
      <c r="DZ71" s="392"/>
      <c r="EA71" s="392"/>
      <c r="EB71" s="392"/>
      <c r="EC71" s="392"/>
      <c r="ED71" s="392"/>
      <c r="EE71" s="392"/>
      <c r="EF71" s="392"/>
      <c r="EG71" s="392"/>
      <c r="EH71" s="392"/>
      <c r="EI71" s="392"/>
      <c r="EJ71" s="392"/>
      <c r="EK71" s="392"/>
      <c r="EL71" s="392"/>
      <c r="EM71" s="392"/>
      <c r="EN71" s="392"/>
      <c r="EO71" s="392"/>
      <c r="EP71" s="392"/>
      <c r="EQ71" s="392"/>
      <c r="ER71" s="392"/>
      <c r="ES71" s="392"/>
      <c r="ET71" s="392"/>
      <c r="EU71" s="392"/>
      <c r="EV71" s="392"/>
      <c r="EW71" s="392"/>
      <c r="EX71" s="392"/>
      <c r="EY71" s="392"/>
      <c r="EZ71" s="392"/>
      <c r="FA71" s="392"/>
      <c r="FB71" s="392"/>
      <c r="FC71" s="392"/>
      <c r="FD71" s="392"/>
      <c r="FE71" s="392"/>
      <c r="FF71" s="392"/>
      <c r="FG71" s="392"/>
      <c r="FH71" s="392"/>
      <c r="FI71" s="392"/>
      <c r="FJ71" s="392"/>
      <c r="FK71" s="392"/>
      <c r="FL71" s="392"/>
      <c r="FM71" s="392"/>
      <c r="FN71" s="392"/>
      <c r="FO71" s="392"/>
      <c r="FP71" s="392"/>
      <c r="FQ71" s="392"/>
      <c r="FR71" s="392"/>
      <c r="FS71" s="392"/>
      <c r="FT71" s="392"/>
      <c r="FU71" s="392"/>
      <c r="FV71" s="392"/>
      <c r="FW71" s="392"/>
      <c r="FX71" s="392"/>
      <c r="FY71" s="392"/>
      <c r="FZ71" s="392"/>
      <c r="GA71" s="392"/>
      <c r="GB71" s="392"/>
      <c r="GC71" s="392"/>
      <c r="GD71" s="392"/>
      <c r="GE71" s="392"/>
      <c r="GF71" s="392"/>
      <c r="GG71" s="392"/>
      <c r="GH71" s="392"/>
      <c r="GI71" s="392"/>
      <c r="GJ71" s="392"/>
      <c r="GK71" s="392"/>
      <c r="GL71" s="392"/>
      <c r="GM71" s="392"/>
      <c r="GN71" s="392"/>
      <c r="GO71" s="392"/>
      <c r="GP71" s="392"/>
      <c r="GQ71" s="392"/>
      <c r="GR71" s="392"/>
      <c r="GS71" s="392"/>
      <c r="GT71" s="392"/>
      <c r="GU71" s="392"/>
      <c r="GV71" s="392"/>
      <c r="GW71" s="392"/>
      <c r="GX71" s="392"/>
      <c r="GY71" s="392"/>
      <c r="GZ71" s="392"/>
      <c r="HA71" s="392"/>
      <c r="HB71" s="392"/>
      <c r="HC71" s="392"/>
      <c r="HD71" s="392"/>
      <c r="HE71" s="392"/>
      <c r="HF71" s="392"/>
      <c r="HG71" s="392"/>
      <c r="HH71" s="392"/>
      <c r="HI71" s="392"/>
      <c r="HJ71" s="392"/>
      <c r="HK71" s="392"/>
      <c r="HL71" s="392"/>
      <c r="HM71" s="392"/>
      <c r="HN71" s="392"/>
      <c r="HO71" s="392"/>
      <c r="HP71" s="392"/>
      <c r="HQ71" s="392"/>
      <c r="HR71" s="392"/>
      <c r="HS71" s="392"/>
      <c r="HT71" s="392"/>
      <c r="HU71" s="392"/>
      <c r="HV71" s="392"/>
      <c r="HW71" s="392"/>
      <c r="HX71" s="392"/>
      <c r="HY71" s="392"/>
      <c r="HZ71" s="392"/>
      <c r="IA71" s="392"/>
      <c r="IB71" s="392"/>
      <c r="IC71" s="392"/>
      <c r="ID71" s="392"/>
      <c r="IE71" s="392"/>
      <c r="IF71" s="392"/>
      <c r="IG71" s="392"/>
      <c r="IH71" s="392"/>
      <c r="II71" s="392"/>
      <c r="IJ71" s="392"/>
      <c r="IK71" s="392"/>
      <c r="IL71" s="392"/>
      <c r="IM71" s="392"/>
      <c r="IN71" s="392"/>
      <c r="IO71" s="392"/>
      <c r="IP71" s="392"/>
      <c r="IQ71" s="392"/>
      <c r="IR71" s="392"/>
      <c r="IS71" s="392"/>
      <c r="IT71" s="392"/>
      <c r="IU71" s="392"/>
      <c r="IV71" s="392"/>
    </row>
    <row r="72" spans="1:256" ht="13.5" thickBot="1">
      <c r="A72" s="392"/>
      <c r="B72" s="448"/>
      <c r="C72" s="448"/>
      <c r="D72" s="448"/>
      <c r="E72" s="448"/>
      <c r="F72" s="448"/>
      <c r="G72" s="448"/>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392"/>
      <c r="AN72" s="392"/>
      <c r="AO72" s="392"/>
      <c r="AP72" s="392"/>
      <c r="AQ72" s="392"/>
      <c r="AR72" s="392"/>
      <c r="AS72" s="392"/>
      <c r="AT72" s="392"/>
      <c r="AU72" s="392"/>
      <c r="AV72" s="392"/>
      <c r="AW72" s="392"/>
      <c r="AX72" s="392"/>
      <c r="AY72" s="392"/>
      <c r="AZ72" s="392"/>
      <c r="BA72" s="392"/>
      <c r="BB72" s="392"/>
      <c r="BC72" s="392"/>
      <c r="BD72" s="392"/>
      <c r="BE72" s="392"/>
      <c r="BF72" s="392"/>
      <c r="BG72" s="392"/>
      <c r="BH72" s="392"/>
      <c r="BI72" s="392"/>
      <c r="BJ72" s="392"/>
      <c r="BK72" s="392"/>
      <c r="BL72" s="392"/>
      <c r="BM72" s="392"/>
      <c r="BN72" s="392"/>
      <c r="BO72" s="392"/>
      <c r="BP72" s="392"/>
      <c r="BQ72" s="392"/>
      <c r="BR72" s="392"/>
      <c r="BS72" s="392"/>
      <c r="BT72" s="392"/>
      <c r="BU72" s="392"/>
      <c r="BV72" s="392"/>
      <c r="BW72" s="392"/>
      <c r="BX72" s="392"/>
      <c r="BY72" s="392"/>
      <c r="BZ72" s="392"/>
      <c r="CA72" s="392"/>
      <c r="CB72" s="392"/>
      <c r="CC72" s="392"/>
      <c r="CD72" s="392"/>
      <c r="CE72" s="392"/>
      <c r="CF72" s="392"/>
      <c r="CG72" s="392"/>
      <c r="CH72" s="392"/>
      <c r="CI72" s="392"/>
      <c r="CJ72" s="392"/>
      <c r="CK72" s="392"/>
      <c r="CL72" s="392"/>
      <c r="CM72" s="392"/>
      <c r="CN72" s="392"/>
      <c r="CO72" s="392"/>
      <c r="CP72" s="392"/>
      <c r="CQ72" s="392"/>
      <c r="CR72" s="392"/>
      <c r="CS72" s="392"/>
      <c r="CT72" s="392"/>
      <c r="CU72" s="392"/>
      <c r="CV72" s="392"/>
      <c r="CW72" s="392"/>
      <c r="CX72" s="392"/>
      <c r="CY72" s="392"/>
      <c r="CZ72" s="392"/>
      <c r="DA72" s="392"/>
      <c r="DB72" s="392"/>
      <c r="DC72" s="392"/>
      <c r="DD72" s="392"/>
      <c r="DE72" s="392"/>
      <c r="DF72" s="392"/>
      <c r="DG72" s="392"/>
      <c r="DH72" s="392"/>
      <c r="DI72" s="392"/>
      <c r="DJ72" s="392"/>
      <c r="DK72" s="392"/>
      <c r="DL72" s="392"/>
      <c r="DM72" s="392"/>
      <c r="DN72" s="392"/>
      <c r="DO72" s="392"/>
      <c r="DP72" s="392"/>
      <c r="DQ72" s="392"/>
      <c r="DR72" s="392"/>
      <c r="DS72" s="392"/>
      <c r="DT72" s="392"/>
      <c r="DU72" s="392"/>
      <c r="DV72" s="392"/>
      <c r="DW72" s="392"/>
      <c r="DX72" s="392"/>
      <c r="DY72" s="392"/>
      <c r="DZ72" s="392"/>
      <c r="EA72" s="392"/>
      <c r="EB72" s="392"/>
      <c r="EC72" s="392"/>
      <c r="ED72" s="392"/>
      <c r="EE72" s="392"/>
      <c r="EF72" s="392"/>
      <c r="EG72" s="392"/>
      <c r="EH72" s="392"/>
      <c r="EI72" s="392"/>
      <c r="EJ72" s="392"/>
      <c r="EK72" s="392"/>
      <c r="EL72" s="392"/>
      <c r="EM72" s="392"/>
      <c r="EN72" s="392"/>
      <c r="EO72" s="392"/>
      <c r="EP72" s="392"/>
      <c r="EQ72" s="392"/>
      <c r="ER72" s="392"/>
      <c r="ES72" s="392"/>
      <c r="ET72" s="392"/>
      <c r="EU72" s="392"/>
      <c r="EV72" s="392"/>
      <c r="EW72" s="392"/>
      <c r="EX72" s="392"/>
      <c r="EY72" s="392"/>
      <c r="EZ72" s="392"/>
      <c r="FA72" s="392"/>
      <c r="FB72" s="392"/>
      <c r="FC72" s="392"/>
      <c r="FD72" s="392"/>
      <c r="FE72" s="392"/>
      <c r="FF72" s="392"/>
      <c r="FG72" s="392"/>
      <c r="FH72" s="392"/>
      <c r="FI72" s="392"/>
      <c r="FJ72" s="392"/>
      <c r="FK72" s="392"/>
      <c r="FL72" s="392"/>
      <c r="FM72" s="392"/>
      <c r="FN72" s="392"/>
      <c r="FO72" s="392"/>
      <c r="FP72" s="392"/>
      <c r="FQ72" s="392"/>
      <c r="FR72" s="392"/>
      <c r="FS72" s="392"/>
      <c r="FT72" s="392"/>
      <c r="FU72" s="392"/>
      <c r="FV72" s="392"/>
      <c r="FW72" s="392"/>
      <c r="FX72" s="392"/>
      <c r="FY72" s="392"/>
      <c r="FZ72" s="392"/>
      <c r="GA72" s="392"/>
      <c r="GB72" s="392"/>
      <c r="GC72" s="392"/>
      <c r="GD72" s="392"/>
      <c r="GE72" s="392"/>
      <c r="GF72" s="392"/>
      <c r="GG72" s="392"/>
      <c r="GH72" s="392"/>
      <c r="GI72" s="392"/>
      <c r="GJ72" s="392"/>
      <c r="GK72" s="392"/>
      <c r="GL72" s="392"/>
      <c r="GM72" s="392"/>
      <c r="GN72" s="392"/>
      <c r="GO72" s="392"/>
      <c r="GP72" s="392"/>
      <c r="GQ72" s="392"/>
      <c r="GR72" s="392"/>
      <c r="GS72" s="392"/>
      <c r="GT72" s="392"/>
      <c r="GU72" s="392"/>
      <c r="GV72" s="392"/>
      <c r="GW72" s="392"/>
      <c r="GX72" s="392"/>
      <c r="GY72" s="392"/>
      <c r="GZ72" s="392"/>
      <c r="HA72" s="392"/>
      <c r="HB72" s="392"/>
      <c r="HC72" s="392"/>
      <c r="HD72" s="392"/>
      <c r="HE72" s="392"/>
      <c r="HF72" s="392"/>
      <c r="HG72" s="392"/>
      <c r="HH72" s="392"/>
      <c r="HI72" s="392"/>
      <c r="HJ72" s="392"/>
      <c r="HK72" s="392"/>
      <c r="HL72" s="392"/>
      <c r="HM72" s="392"/>
      <c r="HN72" s="392"/>
      <c r="HO72" s="392"/>
      <c r="HP72" s="392"/>
      <c r="HQ72" s="392"/>
      <c r="HR72" s="392"/>
      <c r="HS72" s="392"/>
      <c r="HT72" s="392"/>
      <c r="HU72" s="392"/>
      <c r="HV72" s="392"/>
      <c r="HW72" s="392"/>
      <c r="HX72" s="392"/>
      <c r="HY72" s="392"/>
      <c r="HZ72" s="392"/>
      <c r="IA72" s="392"/>
      <c r="IB72" s="392"/>
      <c r="IC72" s="392"/>
      <c r="ID72" s="392"/>
      <c r="IE72" s="392"/>
      <c r="IF72" s="392"/>
      <c r="IG72" s="392"/>
      <c r="IH72" s="392"/>
      <c r="II72" s="392"/>
      <c r="IJ72" s="392"/>
      <c r="IK72" s="392"/>
      <c r="IL72" s="392"/>
      <c r="IM72" s="392"/>
      <c r="IN72" s="392"/>
      <c r="IO72" s="392"/>
      <c r="IP72" s="392"/>
      <c r="IQ72" s="392"/>
      <c r="IR72" s="392"/>
      <c r="IS72" s="392"/>
      <c r="IT72" s="392"/>
      <c r="IU72" s="392"/>
      <c r="IV72" s="392"/>
    </row>
    <row r="73" spans="1:256" ht="16.5" thickBot="1">
      <c r="A73" s="392"/>
      <c r="B73" s="594" t="s">
        <v>13991</v>
      </c>
      <c r="C73" s="595" t="s">
        <v>629</v>
      </c>
      <c r="D73" s="595"/>
      <c r="E73" s="595"/>
      <c r="F73" s="595"/>
      <c r="G73" s="596" t="s">
        <v>22</v>
      </c>
      <c r="H73" s="392"/>
      <c r="I73" s="392"/>
      <c r="J73" s="392"/>
      <c r="K73" s="392"/>
      <c r="L73" s="392"/>
      <c r="M73" s="392"/>
      <c r="N73" s="392"/>
      <c r="O73" s="392"/>
      <c r="P73" s="392"/>
      <c r="Q73" s="392"/>
      <c r="R73" s="392"/>
      <c r="S73" s="392"/>
      <c r="T73" s="392"/>
      <c r="U73" s="392"/>
      <c r="V73" s="392"/>
      <c r="W73" s="392"/>
      <c r="X73" s="392"/>
      <c r="Y73" s="392"/>
      <c r="Z73" s="392"/>
      <c r="AA73" s="392"/>
      <c r="AB73" s="392"/>
      <c r="AC73" s="392"/>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2"/>
      <c r="AZ73" s="392"/>
      <c r="BA73" s="392"/>
      <c r="BB73" s="392"/>
      <c r="BC73" s="392"/>
      <c r="BD73" s="392"/>
      <c r="BE73" s="392"/>
      <c r="BF73" s="392"/>
      <c r="BG73" s="392"/>
      <c r="BH73" s="392"/>
      <c r="BI73" s="392"/>
      <c r="BJ73" s="392"/>
      <c r="BK73" s="392"/>
      <c r="BL73" s="392"/>
      <c r="BM73" s="392"/>
      <c r="BN73" s="392"/>
      <c r="BO73" s="392"/>
      <c r="BP73" s="392"/>
      <c r="BQ73" s="392"/>
      <c r="BR73" s="392"/>
      <c r="BS73" s="392"/>
      <c r="BT73" s="392"/>
      <c r="BU73" s="392"/>
      <c r="BV73" s="392"/>
      <c r="BW73" s="392"/>
      <c r="BX73" s="392"/>
      <c r="BY73" s="392"/>
      <c r="BZ73" s="392"/>
      <c r="CA73" s="392"/>
      <c r="CB73" s="392"/>
      <c r="CC73" s="392"/>
      <c r="CD73" s="392"/>
      <c r="CE73" s="392"/>
      <c r="CF73" s="392"/>
      <c r="CG73" s="392"/>
      <c r="CH73" s="392"/>
      <c r="CI73" s="392"/>
      <c r="CJ73" s="392"/>
      <c r="CK73" s="392"/>
      <c r="CL73" s="392"/>
      <c r="CM73" s="392"/>
      <c r="CN73" s="392"/>
      <c r="CO73" s="392"/>
      <c r="CP73" s="392"/>
      <c r="CQ73" s="392"/>
      <c r="CR73" s="392"/>
      <c r="CS73" s="392"/>
      <c r="CT73" s="392"/>
      <c r="CU73" s="392"/>
      <c r="CV73" s="392"/>
      <c r="CW73" s="392"/>
      <c r="CX73" s="392"/>
      <c r="CY73" s="392"/>
      <c r="CZ73" s="392"/>
      <c r="DA73" s="392"/>
      <c r="DB73" s="392"/>
      <c r="DC73" s="392"/>
      <c r="DD73" s="392"/>
      <c r="DE73" s="392"/>
      <c r="DF73" s="392"/>
      <c r="DG73" s="392"/>
      <c r="DH73" s="392"/>
      <c r="DI73" s="392"/>
      <c r="DJ73" s="392"/>
      <c r="DK73" s="392"/>
      <c r="DL73" s="392"/>
      <c r="DM73" s="392"/>
      <c r="DN73" s="392"/>
      <c r="DO73" s="392"/>
      <c r="DP73" s="392"/>
      <c r="DQ73" s="392"/>
      <c r="DR73" s="392"/>
      <c r="DS73" s="392"/>
      <c r="DT73" s="392"/>
      <c r="DU73" s="392"/>
      <c r="DV73" s="392"/>
      <c r="DW73" s="392"/>
      <c r="DX73" s="392"/>
      <c r="DY73" s="392"/>
      <c r="DZ73" s="392"/>
      <c r="EA73" s="392"/>
      <c r="EB73" s="392"/>
      <c r="EC73" s="392"/>
      <c r="ED73" s="392"/>
      <c r="EE73" s="392"/>
      <c r="EF73" s="392"/>
      <c r="EG73" s="392"/>
      <c r="EH73" s="392"/>
      <c r="EI73" s="392"/>
      <c r="EJ73" s="392"/>
      <c r="EK73" s="392"/>
      <c r="EL73" s="392"/>
      <c r="EM73" s="392"/>
      <c r="EN73" s="392"/>
      <c r="EO73" s="392"/>
      <c r="EP73" s="392"/>
      <c r="EQ73" s="392"/>
      <c r="ER73" s="392"/>
      <c r="ES73" s="392"/>
      <c r="ET73" s="392"/>
      <c r="EU73" s="392"/>
      <c r="EV73" s="392"/>
      <c r="EW73" s="392"/>
      <c r="EX73" s="392"/>
      <c r="EY73" s="392"/>
      <c r="EZ73" s="392"/>
      <c r="FA73" s="392"/>
      <c r="FB73" s="392"/>
      <c r="FC73" s="392"/>
      <c r="FD73" s="392"/>
      <c r="FE73" s="392"/>
      <c r="FF73" s="392"/>
      <c r="FG73" s="392"/>
      <c r="FH73" s="392"/>
      <c r="FI73" s="392"/>
      <c r="FJ73" s="392"/>
      <c r="FK73" s="392"/>
      <c r="FL73" s="392"/>
      <c r="FM73" s="392"/>
      <c r="FN73" s="392"/>
      <c r="FO73" s="392"/>
      <c r="FP73" s="392"/>
      <c r="FQ73" s="392"/>
      <c r="FR73" s="392"/>
      <c r="FS73" s="392"/>
      <c r="FT73" s="392"/>
      <c r="FU73" s="392"/>
      <c r="FV73" s="392"/>
      <c r="FW73" s="392"/>
      <c r="FX73" s="392"/>
      <c r="FY73" s="392"/>
      <c r="FZ73" s="392"/>
      <c r="GA73" s="392"/>
      <c r="GB73" s="392"/>
      <c r="GC73" s="392"/>
      <c r="GD73" s="392"/>
      <c r="GE73" s="392"/>
      <c r="GF73" s="392"/>
      <c r="GG73" s="392"/>
      <c r="GH73" s="392"/>
      <c r="GI73" s="392"/>
      <c r="GJ73" s="392"/>
      <c r="GK73" s="392"/>
      <c r="GL73" s="392"/>
      <c r="GM73" s="392"/>
      <c r="GN73" s="392"/>
      <c r="GO73" s="392"/>
      <c r="GP73" s="392"/>
      <c r="GQ73" s="392"/>
      <c r="GR73" s="392"/>
      <c r="GS73" s="392"/>
      <c r="GT73" s="392"/>
      <c r="GU73" s="392"/>
      <c r="GV73" s="392"/>
      <c r="GW73" s="392"/>
      <c r="GX73" s="392"/>
      <c r="GY73" s="392"/>
      <c r="GZ73" s="392"/>
      <c r="HA73" s="392"/>
      <c r="HB73" s="392"/>
      <c r="HC73" s="392"/>
      <c r="HD73" s="392"/>
      <c r="HE73" s="392"/>
      <c r="HF73" s="392"/>
      <c r="HG73" s="392"/>
      <c r="HH73" s="392"/>
      <c r="HI73" s="392"/>
      <c r="HJ73" s="392"/>
      <c r="HK73" s="392"/>
      <c r="HL73" s="392"/>
      <c r="HM73" s="392"/>
      <c r="HN73" s="392"/>
      <c r="HO73" s="392"/>
      <c r="HP73" s="392"/>
      <c r="HQ73" s="392"/>
      <c r="HR73" s="392"/>
      <c r="HS73" s="392"/>
      <c r="HT73" s="392"/>
      <c r="HU73" s="392"/>
      <c r="HV73" s="392"/>
      <c r="HW73" s="392"/>
      <c r="HX73" s="392"/>
      <c r="HY73" s="392"/>
      <c r="HZ73" s="392"/>
      <c r="IA73" s="392"/>
      <c r="IB73" s="392"/>
      <c r="IC73" s="392"/>
      <c r="ID73" s="392"/>
      <c r="IE73" s="392"/>
      <c r="IF73" s="392"/>
      <c r="IG73" s="392"/>
      <c r="IH73" s="392"/>
      <c r="II73" s="392"/>
      <c r="IJ73" s="392"/>
      <c r="IK73" s="392"/>
      <c r="IL73" s="392"/>
      <c r="IM73" s="392"/>
      <c r="IN73" s="392"/>
      <c r="IO73" s="392"/>
      <c r="IP73" s="392"/>
      <c r="IQ73" s="392"/>
      <c r="IR73" s="392"/>
      <c r="IS73" s="392"/>
      <c r="IT73" s="392"/>
      <c r="IU73" s="392"/>
      <c r="IV73" s="392"/>
    </row>
    <row r="74" spans="1:256" ht="31.5">
      <c r="A74" s="392"/>
      <c r="B74" s="590" t="s">
        <v>197</v>
      </c>
      <c r="C74" s="591" t="s">
        <v>161</v>
      </c>
      <c r="D74" s="591" t="s">
        <v>22</v>
      </c>
      <c r="E74" s="591" t="s">
        <v>162</v>
      </c>
      <c r="F74" s="592" t="s">
        <v>186</v>
      </c>
      <c r="G74" s="593" t="s">
        <v>187</v>
      </c>
      <c r="H74" s="392"/>
      <c r="I74" s="392"/>
      <c r="J74" s="392"/>
      <c r="K74" s="392"/>
      <c r="L74" s="392"/>
      <c r="M74" s="392"/>
      <c r="N74" s="392"/>
      <c r="O74" s="392"/>
      <c r="P74" s="392"/>
      <c r="Q74" s="392"/>
      <c r="R74" s="392"/>
      <c r="S74" s="392"/>
      <c r="T74" s="392"/>
      <c r="U74" s="392"/>
      <c r="V74" s="392"/>
      <c r="W74" s="392"/>
      <c r="X74" s="392"/>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2"/>
      <c r="AZ74" s="392"/>
      <c r="BA74" s="392"/>
      <c r="BB74" s="392"/>
      <c r="BC74" s="392"/>
      <c r="BD74" s="392"/>
      <c r="BE74" s="392"/>
      <c r="BF74" s="392"/>
      <c r="BG74" s="392"/>
      <c r="BH74" s="392"/>
      <c r="BI74" s="392"/>
      <c r="BJ74" s="392"/>
      <c r="BK74" s="392"/>
      <c r="BL74" s="392"/>
      <c r="BM74" s="392"/>
      <c r="BN74" s="392"/>
      <c r="BO74" s="392"/>
      <c r="BP74" s="392"/>
      <c r="BQ74" s="392"/>
      <c r="BR74" s="392"/>
      <c r="BS74" s="392"/>
      <c r="BT74" s="392"/>
      <c r="BU74" s="392"/>
      <c r="BV74" s="392"/>
      <c r="BW74" s="392"/>
      <c r="BX74" s="392"/>
      <c r="BY74" s="392"/>
      <c r="BZ74" s="392"/>
      <c r="CA74" s="392"/>
      <c r="CB74" s="392"/>
      <c r="CC74" s="392"/>
      <c r="CD74" s="392"/>
      <c r="CE74" s="392"/>
      <c r="CF74" s="392"/>
      <c r="CG74" s="392"/>
      <c r="CH74" s="392"/>
      <c r="CI74" s="392"/>
      <c r="CJ74" s="392"/>
      <c r="CK74" s="392"/>
      <c r="CL74" s="392"/>
      <c r="CM74" s="392"/>
      <c r="CN74" s="392"/>
      <c r="CO74" s="392"/>
      <c r="CP74" s="392"/>
      <c r="CQ74" s="392"/>
      <c r="CR74" s="392"/>
      <c r="CS74" s="392"/>
      <c r="CT74" s="392"/>
      <c r="CU74" s="392"/>
      <c r="CV74" s="392"/>
      <c r="CW74" s="392"/>
      <c r="CX74" s="392"/>
      <c r="CY74" s="392"/>
      <c r="CZ74" s="392"/>
      <c r="DA74" s="392"/>
      <c r="DB74" s="392"/>
      <c r="DC74" s="392"/>
      <c r="DD74" s="392"/>
      <c r="DE74" s="392"/>
      <c r="DF74" s="392"/>
      <c r="DG74" s="392"/>
      <c r="DH74" s="392"/>
      <c r="DI74" s="392"/>
      <c r="DJ74" s="392"/>
      <c r="DK74" s="392"/>
      <c r="DL74" s="392"/>
      <c r="DM74" s="392"/>
      <c r="DN74" s="392"/>
      <c r="DO74" s="392"/>
      <c r="DP74" s="392"/>
      <c r="DQ74" s="392"/>
      <c r="DR74" s="392"/>
      <c r="DS74" s="392"/>
      <c r="DT74" s="392"/>
      <c r="DU74" s="392"/>
      <c r="DV74" s="392"/>
      <c r="DW74" s="392"/>
      <c r="DX74" s="392"/>
      <c r="DY74" s="392"/>
      <c r="DZ74" s="392"/>
      <c r="EA74" s="392"/>
      <c r="EB74" s="392"/>
      <c r="EC74" s="392"/>
      <c r="ED74" s="392"/>
      <c r="EE74" s="392"/>
      <c r="EF74" s="392"/>
      <c r="EG74" s="392"/>
      <c r="EH74" s="392"/>
      <c r="EI74" s="392"/>
      <c r="EJ74" s="392"/>
      <c r="EK74" s="392"/>
      <c r="EL74" s="392"/>
      <c r="EM74" s="392"/>
      <c r="EN74" s="392"/>
      <c r="EO74" s="392"/>
      <c r="EP74" s="392"/>
      <c r="EQ74" s="392"/>
      <c r="ER74" s="392"/>
      <c r="ES74" s="392"/>
      <c r="ET74" s="392"/>
      <c r="EU74" s="392"/>
      <c r="EV74" s="392"/>
      <c r="EW74" s="392"/>
      <c r="EX74" s="392"/>
      <c r="EY74" s="392"/>
      <c r="EZ74" s="392"/>
      <c r="FA74" s="392"/>
      <c r="FB74" s="392"/>
      <c r="FC74" s="392"/>
      <c r="FD74" s="392"/>
      <c r="FE74" s="392"/>
      <c r="FF74" s="392"/>
      <c r="FG74" s="392"/>
      <c r="FH74" s="392"/>
      <c r="FI74" s="392"/>
      <c r="FJ74" s="392"/>
      <c r="FK74" s="392"/>
      <c r="FL74" s="392"/>
      <c r="FM74" s="392"/>
      <c r="FN74" s="392"/>
      <c r="FO74" s="392"/>
      <c r="FP74" s="392"/>
      <c r="FQ74" s="392"/>
      <c r="FR74" s="392"/>
      <c r="FS74" s="392"/>
      <c r="FT74" s="392"/>
      <c r="FU74" s="392"/>
      <c r="FV74" s="392"/>
      <c r="FW74" s="392"/>
      <c r="FX74" s="392"/>
      <c r="FY74" s="392"/>
      <c r="FZ74" s="392"/>
      <c r="GA74" s="392"/>
      <c r="GB74" s="392"/>
      <c r="GC74" s="392"/>
      <c r="GD74" s="392"/>
      <c r="GE74" s="392"/>
      <c r="GF74" s="392"/>
      <c r="GG74" s="392"/>
      <c r="GH74" s="392"/>
      <c r="GI74" s="392"/>
      <c r="GJ74" s="392"/>
      <c r="GK74" s="392"/>
      <c r="GL74" s="392"/>
      <c r="GM74" s="392"/>
      <c r="GN74" s="392"/>
      <c r="GO74" s="392"/>
      <c r="GP74" s="392"/>
      <c r="GQ74" s="392"/>
      <c r="GR74" s="392"/>
      <c r="GS74" s="392"/>
      <c r="GT74" s="392"/>
      <c r="GU74" s="392"/>
      <c r="GV74" s="392"/>
      <c r="GW74" s="392"/>
      <c r="GX74" s="392"/>
      <c r="GY74" s="392"/>
      <c r="GZ74" s="392"/>
      <c r="HA74" s="392"/>
      <c r="HB74" s="392"/>
      <c r="HC74" s="392"/>
      <c r="HD74" s="392"/>
      <c r="HE74" s="392"/>
      <c r="HF74" s="392"/>
      <c r="HG74" s="392"/>
      <c r="HH74" s="392"/>
      <c r="HI74" s="392"/>
      <c r="HJ74" s="392"/>
      <c r="HK74" s="392"/>
      <c r="HL74" s="392"/>
      <c r="HM74" s="392"/>
      <c r="HN74" s="392"/>
      <c r="HO74" s="392"/>
      <c r="HP74" s="392"/>
      <c r="HQ74" s="392"/>
      <c r="HR74" s="392"/>
      <c r="HS74" s="392"/>
      <c r="HT74" s="392"/>
      <c r="HU74" s="392"/>
      <c r="HV74" s="392"/>
      <c r="HW74" s="392"/>
      <c r="HX74" s="392"/>
      <c r="HY74" s="392"/>
      <c r="HZ74" s="392"/>
      <c r="IA74" s="392"/>
      <c r="IB74" s="392"/>
      <c r="IC74" s="392"/>
      <c r="ID74" s="392"/>
      <c r="IE74" s="392"/>
      <c r="IF74" s="392"/>
      <c r="IG74" s="392"/>
      <c r="IH74" s="392"/>
      <c r="II74" s="392"/>
      <c r="IJ74" s="392"/>
      <c r="IK74" s="392"/>
      <c r="IL74" s="392"/>
      <c r="IM74" s="392"/>
      <c r="IN74" s="392"/>
      <c r="IO74" s="392"/>
      <c r="IP74" s="392"/>
      <c r="IQ74" s="392"/>
      <c r="IR74" s="392"/>
      <c r="IS74" s="392"/>
      <c r="IT74" s="392"/>
      <c r="IU74" s="392"/>
      <c r="IV74" s="392"/>
    </row>
    <row r="75" spans="1:256" ht="16.5" thickBot="1">
      <c r="A75" s="392"/>
      <c r="B75" s="2322" t="s">
        <v>165</v>
      </c>
      <c r="C75" s="2323"/>
      <c r="D75" s="2323"/>
      <c r="E75" s="2323"/>
      <c r="F75" s="2323"/>
      <c r="G75" s="2324"/>
      <c r="H75" s="392"/>
      <c r="I75" s="392"/>
      <c r="J75" s="392"/>
      <c r="K75" s="392"/>
      <c r="L75" s="392"/>
      <c r="M75" s="392"/>
      <c r="N75" s="392"/>
      <c r="O75" s="392"/>
      <c r="P75" s="392"/>
      <c r="Q75" s="392"/>
      <c r="R75" s="392"/>
      <c r="S75" s="392"/>
      <c r="T75" s="392"/>
      <c r="U75" s="392"/>
      <c r="V75" s="392"/>
      <c r="W75" s="392"/>
      <c r="X75" s="392"/>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2"/>
      <c r="AZ75" s="392"/>
      <c r="BA75" s="392"/>
      <c r="BB75" s="392"/>
      <c r="BC75" s="392"/>
      <c r="BD75" s="392"/>
      <c r="BE75" s="392"/>
      <c r="BF75" s="392"/>
      <c r="BG75" s="392"/>
      <c r="BH75" s="392"/>
      <c r="BI75" s="392"/>
      <c r="BJ75" s="392"/>
      <c r="BK75" s="392"/>
      <c r="BL75" s="392"/>
      <c r="BM75" s="392"/>
      <c r="BN75" s="392"/>
      <c r="BO75" s="392"/>
      <c r="BP75" s="392"/>
      <c r="BQ75" s="392"/>
      <c r="BR75" s="392"/>
      <c r="BS75" s="392"/>
      <c r="BT75" s="392"/>
      <c r="BU75" s="392"/>
      <c r="BV75" s="392"/>
      <c r="BW75" s="392"/>
      <c r="BX75" s="392"/>
      <c r="BY75" s="392"/>
      <c r="BZ75" s="392"/>
      <c r="CA75" s="392"/>
      <c r="CB75" s="392"/>
      <c r="CC75" s="392"/>
      <c r="CD75" s="392"/>
      <c r="CE75" s="392"/>
      <c r="CF75" s="392"/>
      <c r="CG75" s="392"/>
      <c r="CH75" s="392"/>
      <c r="CI75" s="392"/>
      <c r="CJ75" s="392"/>
      <c r="CK75" s="392"/>
      <c r="CL75" s="392"/>
      <c r="CM75" s="392"/>
      <c r="CN75" s="392"/>
      <c r="CO75" s="392"/>
      <c r="CP75" s="392"/>
      <c r="CQ75" s="392"/>
      <c r="CR75" s="392"/>
      <c r="CS75" s="392"/>
      <c r="CT75" s="392"/>
      <c r="CU75" s="392"/>
      <c r="CV75" s="392"/>
      <c r="CW75" s="392"/>
      <c r="CX75" s="392"/>
      <c r="CY75" s="392"/>
      <c r="CZ75" s="392"/>
      <c r="DA75" s="392"/>
      <c r="DB75" s="392"/>
      <c r="DC75" s="392"/>
      <c r="DD75" s="392"/>
      <c r="DE75" s="392"/>
      <c r="DF75" s="392"/>
      <c r="DG75" s="392"/>
      <c r="DH75" s="392"/>
      <c r="DI75" s="392"/>
      <c r="DJ75" s="392"/>
      <c r="DK75" s="392"/>
      <c r="DL75" s="392"/>
      <c r="DM75" s="392"/>
      <c r="DN75" s="392"/>
      <c r="DO75" s="392"/>
      <c r="DP75" s="392"/>
      <c r="DQ75" s="392"/>
      <c r="DR75" s="392"/>
      <c r="DS75" s="392"/>
      <c r="DT75" s="392"/>
      <c r="DU75" s="392"/>
      <c r="DV75" s="392"/>
      <c r="DW75" s="392"/>
      <c r="DX75" s="392"/>
      <c r="DY75" s="392"/>
      <c r="DZ75" s="392"/>
      <c r="EA75" s="392"/>
      <c r="EB75" s="392"/>
      <c r="EC75" s="392"/>
      <c r="ED75" s="392"/>
      <c r="EE75" s="392"/>
      <c r="EF75" s="392"/>
      <c r="EG75" s="392"/>
      <c r="EH75" s="392"/>
      <c r="EI75" s="392"/>
      <c r="EJ75" s="392"/>
      <c r="EK75" s="392"/>
      <c r="EL75" s="392"/>
      <c r="EM75" s="392"/>
      <c r="EN75" s="392"/>
      <c r="EO75" s="392"/>
      <c r="EP75" s="392"/>
      <c r="EQ75" s="392"/>
      <c r="ER75" s="392"/>
      <c r="ES75" s="392"/>
      <c r="ET75" s="392"/>
      <c r="EU75" s="392"/>
      <c r="EV75" s="392"/>
      <c r="EW75" s="392"/>
      <c r="EX75" s="392"/>
      <c r="EY75" s="392"/>
      <c r="EZ75" s="392"/>
      <c r="FA75" s="392"/>
      <c r="FB75" s="392"/>
      <c r="FC75" s="392"/>
      <c r="FD75" s="392"/>
      <c r="FE75" s="392"/>
      <c r="FF75" s="392"/>
      <c r="FG75" s="392"/>
      <c r="FH75" s="392"/>
      <c r="FI75" s="392"/>
      <c r="FJ75" s="392"/>
      <c r="FK75" s="392"/>
      <c r="FL75" s="392"/>
      <c r="FM75" s="392"/>
      <c r="FN75" s="392"/>
      <c r="FO75" s="392"/>
      <c r="FP75" s="392"/>
      <c r="FQ75" s="392"/>
      <c r="FR75" s="392"/>
      <c r="FS75" s="392"/>
      <c r="FT75" s="392"/>
      <c r="FU75" s="392"/>
      <c r="FV75" s="392"/>
      <c r="FW75" s="392"/>
      <c r="FX75" s="392"/>
      <c r="FY75" s="392"/>
      <c r="FZ75" s="392"/>
      <c r="GA75" s="392"/>
      <c r="GB75" s="392"/>
      <c r="GC75" s="392"/>
      <c r="GD75" s="392"/>
      <c r="GE75" s="392"/>
      <c r="GF75" s="392"/>
      <c r="GG75" s="392"/>
      <c r="GH75" s="392"/>
      <c r="GI75" s="392"/>
      <c r="GJ75" s="392"/>
      <c r="GK75" s="392"/>
      <c r="GL75" s="392"/>
      <c r="GM75" s="392"/>
      <c r="GN75" s="392"/>
      <c r="GO75" s="392"/>
      <c r="GP75" s="392"/>
      <c r="GQ75" s="392"/>
      <c r="GR75" s="392"/>
      <c r="GS75" s="392"/>
      <c r="GT75" s="392"/>
      <c r="GU75" s="392"/>
      <c r="GV75" s="392"/>
      <c r="GW75" s="392"/>
      <c r="GX75" s="392"/>
      <c r="GY75" s="392"/>
      <c r="GZ75" s="392"/>
      <c r="HA75" s="392"/>
      <c r="HB75" s="392"/>
      <c r="HC75" s="392"/>
      <c r="HD75" s="392"/>
      <c r="HE75" s="392"/>
      <c r="HF75" s="392"/>
      <c r="HG75" s="392"/>
      <c r="HH75" s="392"/>
      <c r="HI75" s="392"/>
      <c r="HJ75" s="392"/>
      <c r="HK75" s="392"/>
      <c r="HL75" s="392"/>
      <c r="HM75" s="392"/>
      <c r="HN75" s="392"/>
      <c r="HO75" s="392"/>
      <c r="HP75" s="392"/>
      <c r="HQ75" s="392"/>
      <c r="HR75" s="392"/>
      <c r="HS75" s="392"/>
      <c r="HT75" s="392"/>
      <c r="HU75" s="392"/>
      <c r="HV75" s="392"/>
      <c r="HW75" s="392"/>
      <c r="HX75" s="392"/>
      <c r="HY75" s="392"/>
      <c r="HZ75" s="392"/>
      <c r="IA75" s="392"/>
      <c r="IB75" s="392"/>
      <c r="IC75" s="392"/>
      <c r="ID75" s="392"/>
      <c r="IE75" s="392"/>
      <c r="IF75" s="392"/>
      <c r="IG75" s="392"/>
      <c r="IH75" s="392"/>
      <c r="II75" s="392"/>
      <c r="IJ75" s="392"/>
      <c r="IK75" s="392"/>
      <c r="IL75" s="392"/>
      <c r="IM75" s="392"/>
      <c r="IN75" s="392"/>
      <c r="IO75" s="392"/>
      <c r="IP75" s="392"/>
      <c r="IQ75" s="392"/>
      <c r="IR75" s="392"/>
      <c r="IS75" s="392"/>
      <c r="IT75" s="392"/>
      <c r="IU75" s="392"/>
      <c r="IV75" s="392"/>
    </row>
    <row r="76" spans="1:256" ht="15.75">
      <c r="A76" s="392"/>
      <c r="B76" s="585" t="s">
        <v>604</v>
      </c>
      <c r="C76" s="586" t="str">
        <f>C17</f>
        <v>ROTAÇÃO VERTICAL DUPLA</v>
      </c>
      <c r="D76" s="587" t="s">
        <v>22</v>
      </c>
      <c r="E76" s="597">
        <v>1</v>
      </c>
      <c r="F76" s="588">
        <f>E17</f>
        <v>1330</v>
      </c>
      <c r="G76" s="589">
        <f>TRUNC(F76*E76,2)</f>
        <v>1330</v>
      </c>
      <c r="H76" s="392"/>
      <c r="I76" s="392"/>
      <c r="J76" s="392"/>
      <c r="K76" s="392"/>
      <c r="L76" s="392"/>
      <c r="M76" s="392"/>
      <c r="N76" s="392"/>
      <c r="O76" s="392"/>
      <c r="P76" s="392"/>
      <c r="Q76" s="392"/>
      <c r="R76" s="392"/>
      <c r="S76" s="392"/>
      <c r="T76" s="392"/>
      <c r="U76" s="392"/>
      <c r="V76" s="392"/>
      <c r="W76" s="392"/>
      <c r="X76" s="392"/>
      <c r="Y76" s="392"/>
      <c r="Z76" s="392"/>
      <c r="AA76" s="392"/>
      <c r="AB76" s="392"/>
      <c r="AC76" s="392"/>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2"/>
      <c r="AZ76" s="392"/>
      <c r="BA76" s="392"/>
      <c r="BB76" s="392"/>
      <c r="BC76" s="392"/>
      <c r="BD76" s="392"/>
      <c r="BE76" s="392"/>
      <c r="BF76" s="392"/>
      <c r="BG76" s="392"/>
      <c r="BH76" s="392"/>
      <c r="BI76" s="392"/>
      <c r="BJ76" s="392"/>
      <c r="BK76" s="392"/>
      <c r="BL76" s="392"/>
      <c r="BM76" s="392"/>
      <c r="BN76" s="392"/>
      <c r="BO76" s="392"/>
      <c r="BP76" s="392"/>
      <c r="BQ76" s="392"/>
      <c r="BR76" s="392"/>
      <c r="BS76" s="392"/>
      <c r="BT76" s="392"/>
      <c r="BU76" s="392"/>
      <c r="BV76" s="392"/>
      <c r="BW76" s="392"/>
      <c r="BX76" s="392"/>
      <c r="BY76" s="392"/>
      <c r="BZ76" s="392"/>
      <c r="CA76" s="392"/>
      <c r="CB76" s="392"/>
      <c r="CC76" s="392"/>
      <c r="CD76" s="392"/>
      <c r="CE76" s="392"/>
      <c r="CF76" s="392"/>
      <c r="CG76" s="392"/>
      <c r="CH76" s="392"/>
      <c r="CI76" s="392"/>
      <c r="CJ76" s="392"/>
      <c r="CK76" s="392"/>
      <c r="CL76" s="392"/>
      <c r="CM76" s="392"/>
      <c r="CN76" s="392"/>
      <c r="CO76" s="392"/>
      <c r="CP76" s="392"/>
      <c r="CQ76" s="392"/>
      <c r="CR76" s="392"/>
      <c r="CS76" s="392"/>
      <c r="CT76" s="392"/>
      <c r="CU76" s="392"/>
      <c r="CV76" s="392"/>
      <c r="CW76" s="392"/>
      <c r="CX76" s="392"/>
      <c r="CY76" s="392"/>
      <c r="CZ76" s="392"/>
      <c r="DA76" s="392"/>
      <c r="DB76" s="392"/>
      <c r="DC76" s="392"/>
      <c r="DD76" s="392"/>
      <c r="DE76" s="392"/>
      <c r="DF76" s="392"/>
      <c r="DG76" s="392"/>
      <c r="DH76" s="392"/>
      <c r="DI76" s="392"/>
      <c r="DJ76" s="392"/>
      <c r="DK76" s="392"/>
      <c r="DL76" s="392"/>
      <c r="DM76" s="392"/>
      <c r="DN76" s="392"/>
      <c r="DO76" s="392"/>
      <c r="DP76" s="392"/>
      <c r="DQ76" s="392"/>
      <c r="DR76" s="392"/>
      <c r="DS76" s="392"/>
      <c r="DT76" s="392"/>
      <c r="DU76" s="392"/>
      <c r="DV76" s="392"/>
      <c r="DW76" s="392"/>
      <c r="DX76" s="392"/>
      <c r="DY76" s="392"/>
      <c r="DZ76" s="392"/>
      <c r="EA76" s="392"/>
      <c r="EB76" s="392"/>
      <c r="EC76" s="392"/>
      <c r="ED76" s="392"/>
      <c r="EE76" s="392"/>
      <c r="EF76" s="392"/>
      <c r="EG76" s="392"/>
      <c r="EH76" s="392"/>
      <c r="EI76" s="392"/>
      <c r="EJ76" s="392"/>
      <c r="EK76" s="392"/>
      <c r="EL76" s="392"/>
      <c r="EM76" s="392"/>
      <c r="EN76" s="392"/>
      <c r="EO76" s="392"/>
      <c r="EP76" s="392"/>
      <c r="EQ76" s="392"/>
      <c r="ER76" s="392"/>
      <c r="ES76" s="392"/>
      <c r="ET76" s="392"/>
      <c r="EU76" s="392"/>
      <c r="EV76" s="392"/>
      <c r="EW76" s="392"/>
      <c r="EX76" s="392"/>
      <c r="EY76" s="392"/>
      <c r="EZ76" s="392"/>
      <c r="FA76" s="392"/>
      <c r="FB76" s="392"/>
      <c r="FC76" s="392"/>
      <c r="FD76" s="392"/>
      <c r="FE76" s="392"/>
      <c r="FF76" s="392"/>
      <c r="FG76" s="392"/>
      <c r="FH76" s="392"/>
      <c r="FI76" s="392"/>
      <c r="FJ76" s="392"/>
      <c r="FK76" s="392"/>
      <c r="FL76" s="392"/>
      <c r="FM76" s="392"/>
      <c r="FN76" s="392"/>
      <c r="FO76" s="392"/>
      <c r="FP76" s="392"/>
      <c r="FQ76" s="392"/>
      <c r="FR76" s="392"/>
      <c r="FS76" s="392"/>
      <c r="FT76" s="392"/>
      <c r="FU76" s="392"/>
      <c r="FV76" s="392"/>
      <c r="FW76" s="392"/>
      <c r="FX76" s="392"/>
      <c r="FY76" s="392"/>
      <c r="FZ76" s="392"/>
      <c r="GA76" s="392"/>
      <c r="GB76" s="392"/>
      <c r="GC76" s="392"/>
      <c r="GD76" s="392"/>
      <c r="GE76" s="392"/>
      <c r="GF76" s="392"/>
      <c r="GG76" s="392"/>
      <c r="GH76" s="392"/>
      <c r="GI76" s="392"/>
      <c r="GJ76" s="392"/>
      <c r="GK76" s="392"/>
      <c r="GL76" s="392"/>
      <c r="GM76" s="392"/>
      <c r="GN76" s="392"/>
      <c r="GO76" s="392"/>
      <c r="GP76" s="392"/>
      <c r="GQ76" s="392"/>
      <c r="GR76" s="392"/>
      <c r="GS76" s="392"/>
      <c r="GT76" s="392"/>
      <c r="GU76" s="392"/>
      <c r="GV76" s="392"/>
      <c r="GW76" s="392"/>
      <c r="GX76" s="392"/>
      <c r="GY76" s="392"/>
      <c r="GZ76" s="392"/>
      <c r="HA76" s="392"/>
      <c r="HB76" s="392"/>
      <c r="HC76" s="392"/>
      <c r="HD76" s="392"/>
      <c r="HE76" s="392"/>
      <c r="HF76" s="392"/>
      <c r="HG76" s="392"/>
      <c r="HH76" s="392"/>
      <c r="HI76" s="392"/>
      <c r="HJ76" s="392"/>
      <c r="HK76" s="392"/>
      <c r="HL76" s="392"/>
      <c r="HM76" s="392"/>
      <c r="HN76" s="392"/>
      <c r="HO76" s="392"/>
      <c r="HP76" s="392"/>
      <c r="HQ76" s="392"/>
      <c r="HR76" s="392"/>
      <c r="HS76" s="392"/>
      <c r="HT76" s="392"/>
      <c r="HU76" s="392"/>
      <c r="HV76" s="392"/>
      <c r="HW76" s="392"/>
      <c r="HX76" s="392"/>
      <c r="HY76" s="392"/>
      <c r="HZ76" s="392"/>
      <c r="IA76" s="392"/>
      <c r="IB76" s="392"/>
      <c r="IC76" s="392"/>
      <c r="ID76" s="392"/>
      <c r="IE76" s="392"/>
      <c r="IF76" s="392"/>
      <c r="IG76" s="392"/>
      <c r="IH76" s="392"/>
      <c r="II76" s="392"/>
      <c r="IJ76" s="392"/>
      <c r="IK76" s="392"/>
      <c r="IL76" s="392"/>
      <c r="IM76" s="392"/>
      <c r="IN76" s="392"/>
      <c r="IO76" s="392"/>
      <c r="IP76" s="392"/>
      <c r="IQ76" s="392"/>
      <c r="IR76" s="392"/>
      <c r="IS76" s="392"/>
      <c r="IT76" s="392"/>
      <c r="IU76" s="392"/>
      <c r="IV76" s="392"/>
    </row>
    <row r="77" spans="1:256" ht="30">
      <c r="A77" s="392" t="s">
        <v>391</v>
      </c>
      <c r="B77" s="436">
        <v>93358</v>
      </c>
      <c r="C77" s="317" t="str">
        <f>IF($A77="INSUMO",VLOOKUP($B77,'BANCO DE DADOS JANEIRO-24 INS'!$A:$D,2,FALSE),VLOOKUP($B77,'BANCO DE DADOS JANEIRO-24 SERV'!$B:$E,2,FALSE))</f>
        <v>ESCAVAÇÃO MANUAL DE VALA COM PROFUNDIDADE MENOR OU IGUAL A 1,30 M. AF_02/2021</v>
      </c>
      <c r="D77" s="316" t="str">
        <f>IF($A77="INSUMO",VLOOKUP($B77,'BANCO DE DADOS JANEIRO-24 INS'!$A:$D,3,FALSE),VLOOKUP($B77,'BANCO DE DADOS JANEIRO-24 SERV'!$B:$E,3,FALSE))</f>
        <v>M3</v>
      </c>
      <c r="E77" s="598">
        <f>((0.3*0.4*0.4))</f>
        <v>4.8000000000000001E-2</v>
      </c>
      <c r="F77" s="320">
        <f>IF($A77="INSUMO",VLOOKUP($B77,'BANCO DE DADOS JANEIRO-24 INS'!$A:$D,4,FALSE),VLOOKUP($B77,'BANCO DE DADOS JANEIRO-24 SERV'!$B:$E,4,FALSE))</f>
        <v>80.38</v>
      </c>
      <c r="G77" s="435">
        <f>TRUNC(F77*E77,2)</f>
        <v>3.85</v>
      </c>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c r="AE77" s="392"/>
      <c r="AF77" s="392"/>
      <c r="AG77" s="392"/>
      <c r="AH77" s="392"/>
      <c r="AI77" s="392"/>
      <c r="AJ77" s="392"/>
      <c r="AK77" s="392"/>
      <c r="AL77" s="392"/>
      <c r="AM77" s="392"/>
      <c r="AN77" s="392"/>
      <c r="AO77" s="392"/>
      <c r="AP77" s="392"/>
      <c r="AQ77" s="392"/>
      <c r="AR77" s="392"/>
      <c r="AS77" s="392"/>
      <c r="AT77" s="392"/>
      <c r="AU77" s="392"/>
      <c r="AV77" s="392"/>
      <c r="AW77" s="392"/>
      <c r="AX77" s="392"/>
      <c r="AY77" s="392"/>
      <c r="AZ77" s="392"/>
      <c r="BA77" s="392"/>
      <c r="BB77" s="392"/>
      <c r="BC77" s="392"/>
      <c r="BD77" s="392"/>
      <c r="BE77" s="392"/>
      <c r="BF77" s="392"/>
      <c r="BG77" s="392"/>
      <c r="BH77" s="392"/>
      <c r="BI77" s="392"/>
      <c r="BJ77" s="392"/>
      <c r="BK77" s="392"/>
      <c r="BL77" s="392"/>
      <c r="BM77" s="392"/>
      <c r="BN77" s="392"/>
      <c r="BO77" s="392"/>
      <c r="BP77" s="392"/>
      <c r="BQ77" s="392"/>
      <c r="BR77" s="392"/>
      <c r="BS77" s="392"/>
      <c r="BT77" s="392"/>
      <c r="BU77" s="392"/>
      <c r="BV77" s="392"/>
      <c r="BW77" s="392"/>
      <c r="BX77" s="392"/>
      <c r="BY77" s="392"/>
      <c r="BZ77" s="392"/>
      <c r="CA77" s="392"/>
      <c r="CB77" s="392"/>
      <c r="CC77" s="392"/>
      <c r="CD77" s="392"/>
      <c r="CE77" s="392"/>
      <c r="CF77" s="392"/>
      <c r="CG77" s="392"/>
      <c r="CH77" s="392"/>
      <c r="CI77" s="392"/>
      <c r="CJ77" s="392"/>
      <c r="CK77" s="392"/>
      <c r="CL77" s="392"/>
      <c r="CM77" s="392"/>
      <c r="CN77" s="392"/>
      <c r="CO77" s="392"/>
      <c r="CP77" s="392"/>
      <c r="CQ77" s="392"/>
      <c r="CR77" s="392"/>
      <c r="CS77" s="392"/>
      <c r="CT77" s="392"/>
      <c r="CU77" s="392"/>
      <c r="CV77" s="392"/>
      <c r="CW77" s="392"/>
      <c r="CX77" s="392"/>
      <c r="CY77" s="392"/>
      <c r="CZ77" s="392"/>
      <c r="DA77" s="392"/>
      <c r="DB77" s="392"/>
      <c r="DC77" s="392"/>
      <c r="DD77" s="392"/>
      <c r="DE77" s="392"/>
      <c r="DF77" s="392"/>
      <c r="DG77" s="392"/>
      <c r="DH77" s="392"/>
      <c r="DI77" s="392"/>
      <c r="DJ77" s="392"/>
      <c r="DK77" s="392"/>
      <c r="DL77" s="392"/>
      <c r="DM77" s="392"/>
      <c r="DN77" s="392"/>
      <c r="DO77" s="392"/>
      <c r="DP77" s="392"/>
      <c r="DQ77" s="392"/>
      <c r="DR77" s="392"/>
      <c r="DS77" s="392"/>
      <c r="DT77" s="392"/>
      <c r="DU77" s="392"/>
      <c r="DV77" s="392"/>
      <c r="DW77" s="392"/>
      <c r="DX77" s="392"/>
      <c r="DY77" s="392"/>
      <c r="DZ77" s="392"/>
      <c r="EA77" s="392"/>
      <c r="EB77" s="392"/>
      <c r="EC77" s="392"/>
      <c r="ED77" s="392"/>
      <c r="EE77" s="392"/>
      <c r="EF77" s="392"/>
      <c r="EG77" s="392"/>
      <c r="EH77" s="392"/>
      <c r="EI77" s="392"/>
      <c r="EJ77" s="392"/>
      <c r="EK77" s="392"/>
      <c r="EL77" s="392"/>
      <c r="EM77" s="392"/>
      <c r="EN77" s="392"/>
      <c r="EO77" s="392"/>
      <c r="EP77" s="392"/>
      <c r="EQ77" s="392"/>
      <c r="ER77" s="392"/>
      <c r="ES77" s="392"/>
      <c r="ET77" s="392"/>
      <c r="EU77" s="392"/>
      <c r="EV77" s="392"/>
      <c r="EW77" s="392"/>
      <c r="EX77" s="392"/>
      <c r="EY77" s="392"/>
      <c r="EZ77" s="392"/>
      <c r="FA77" s="392"/>
      <c r="FB77" s="392"/>
      <c r="FC77" s="392"/>
      <c r="FD77" s="392"/>
      <c r="FE77" s="392"/>
      <c r="FF77" s="392"/>
      <c r="FG77" s="392"/>
      <c r="FH77" s="392"/>
      <c r="FI77" s="392"/>
      <c r="FJ77" s="392"/>
      <c r="FK77" s="392"/>
      <c r="FL77" s="392"/>
      <c r="FM77" s="392"/>
      <c r="FN77" s="392"/>
      <c r="FO77" s="392"/>
      <c r="FP77" s="392"/>
      <c r="FQ77" s="392"/>
      <c r="FR77" s="392"/>
      <c r="FS77" s="392"/>
      <c r="FT77" s="392"/>
      <c r="FU77" s="392"/>
      <c r="FV77" s="392"/>
      <c r="FW77" s="392"/>
      <c r="FX77" s="392"/>
      <c r="FY77" s="392"/>
      <c r="FZ77" s="392"/>
      <c r="GA77" s="392"/>
      <c r="GB77" s="392"/>
      <c r="GC77" s="392"/>
      <c r="GD77" s="392"/>
      <c r="GE77" s="392"/>
      <c r="GF77" s="392"/>
      <c r="GG77" s="392"/>
      <c r="GH77" s="392"/>
      <c r="GI77" s="392"/>
      <c r="GJ77" s="392"/>
      <c r="GK77" s="392"/>
      <c r="GL77" s="392"/>
      <c r="GM77" s="392"/>
      <c r="GN77" s="392"/>
      <c r="GO77" s="392"/>
      <c r="GP77" s="392"/>
      <c r="GQ77" s="392"/>
      <c r="GR77" s="392"/>
      <c r="GS77" s="392"/>
      <c r="GT77" s="392"/>
      <c r="GU77" s="392"/>
      <c r="GV77" s="392"/>
      <c r="GW77" s="392"/>
      <c r="GX77" s="392"/>
      <c r="GY77" s="392"/>
      <c r="GZ77" s="392"/>
      <c r="HA77" s="392"/>
      <c r="HB77" s="392"/>
      <c r="HC77" s="392"/>
      <c r="HD77" s="392"/>
      <c r="HE77" s="392"/>
      <c r="HF77" s="392"/>
      <c r="HG77" s="392"/>
      <c r="HH77" s="392"/>
      <c r="HI77" s="392"/>
      <c r="HJ77" s="392"/>
      <c r="HK77" s="392"/>
      <c r="HL77" s="392"/>
      <c r="HM77" s="392"/>
      <c r="HN77" s="392"/>
      <c r="HO77" s="392"/>
      <c r="HP77" s="392"/>
      <c r="HQ77" s="392"/>
      <c r="HR77" s="392"/>
      <c r="HS77" s="392"/>
      <c r="HT77" s="392"/>
      <c r="HU77" s="392"/>
      <c r="HV77" s="392"/>
      <c r="HW77" s="392"/>
      <c r="HX77" s="392"/>
      <c r="HY77" s="392"/>
      <c r="HZ77" s="392"/>
      <c r="IA77" s="392"/>
      <c r="IB77" s="392"/>
      <c r="IC77" s="392"/>
      <c r="ID77" s="392"/>
      <c r="IE77" s="392"/>
      <c r="IF77" s="392"/>
      <c r="IG77" s="392"/>
      <c r="IH77" s="392"/>
      <c r="II77" s="392"/>
      <c r="IJ77" s="392"/>
      <c r="IK77" s="392"/>
      <c r="IL77" s="392"/>
      <c r="IM77" s="392"/>
      <c r="IN77" s="392"/>
      <c r="IO77" s="392"/>
      <c r="IP77" s="392"/>
      <c r="IQ77" s="392"/>
      <c r="IR77" s="392"/>
      <c r="IS77" s="392"/>
      <c r="IT77" s="392"/>
      <c r="IU77" s="392"/>
      <c r="IV77" s="392"/>
    </row>
    <row r="78" spans="1:256" ht="45">
      <c r="A78" s="392" t="s">
        <v>391</v>
      </c>
      <c r="B78" s="436">
        <v>94965</v>
      </c>
      <c r="C78" s="317" t="str">
        <f>IF($A78="INSUMO",VLOOKUP($B78,'BANCO DE DADOS JANEIRO-24 INS'!$A:$D,2,FALSE),VLOOKUP($B78,'BANCO DE DADOS JANEIRO-24 SERV'!$B:$E,2,FALSE))</f>
        <v>CONCRETO FCK = 25MPA, TRAÇO 1:2,3:2,7 (EM MASSA SECA DE CIMENTO/ AREIA MÉDIA/ BRITA 1) - PREPARO MECÂNICO COM BETONEIRA 400 L. AF_05/2021</v>
      </c>
      <c r="D78" s="316" t="str">
        <f>IF($A78="INSUMO",VLOOKUP($B78,'BANCO DE DADOS JANEIRO-24 INS'!$A:$D,3,FALSE),VLOOKUP($B78,'BANCO DE DADOS JANEIRO-24 SERV'!$B:$E,3,FALSE))</f>
        <v>M3</v>
      </c>
      <c r="E78" s="598">
        <f>E77</f>
        <v>4.8000000000000001E-2</v>
      </c>
      <c r="F78" s="320">
        <f>IF($A78="INSUMO",VLOOKUP($B78,'BANCO DE DADOS JANEIRO-24 INS'!$A:$D,4,FALSE),VLOOKUP($B78,'BANCO DE DADOS JANEIRO-24 SERV'!$B:$E,4,FALSE))</f>
        <v>568.95000000000005</v>
      </c>
      <c r="G78" s="435">
        <f>TRUNC(F78*E78,2)</f>
        <v>27.3</v>
      </c>
      <c r="H78" s="392"/>
      <c r="I78" s="392"/>
      <c r="J78" s="392"/>
      <c r="K78" s="392"/>
      <c r="L78" s="392"/>
      <c r="M78" s="392"/>
      <c r="N78" s="392"/>
      <c r="O78" s="392"/>
      <c r="P78" s="392"/>
      <c r="Q78" s="392"/>
      <c r="R78" s="392"/>
      <c r="S78" s="392"/>
      <c r="T78" s="392"/>
      <c r="U78" s="392"/>
      <c r="V78" s="392"/>
      <c r="W78" s="392"/>
      <c r="X78" s="392"/>
      <c r="Y78" s="392"/>
      <c r="Z78" s="392"/>
      <c r="AA78" s="392"/>
      <c r="AB78" s="392"/>
      <c r="AC78" s="392"/>
      <c r="AD78" s="392"/>
      <c r="AE78" s="392"/>
      <c r="AF78" s="392"/>
      <c r="AG78" s="392"/>
      <c r="AH78" s="392"/>
      <c r="AI78" s="392"/>
      <c r="AJ78" s="392"/>
      <c r="AK78" s="392"/>
      <c r="AL78" s="392"/>
      <c r="AM78" s="392"/>
      <c r="AN78" s="392"/>
      <c r="AO78" s="392"/>
      <c r="AP78" s="392"/>
      <c r="AQ78" s="392"/>
      <c r="AR78" s="392"/>
      <c r="AS78" s="392"/>
      <c r="AT78" s="392"/>
      <c r="AU78" s="392"/>
      <c r="AV78" s="392"/>
      <c r="AW78" s="392"/>
      <c r="AX78" s="392"/>
      <c r="AY78" s="392"/>
      <c r="AZ78" s="392"/>
      <c r="BA78" s="392"/>
      <c r="BB78" s="392"/>
      <c r="BC78" s="392"/>
      <c r="BD78" s="392"/>
      <c r="BE78" s="392"/>
      <c r="BF78" s="392"/>
      <c r="BG78" s="392"/>
      <c r="BH78" s="392"/>
      <c r="BI78" s="392"/>
      <c r="BJ78" s="392"/>
      <c r="BK78" s="392"/>
      <c r="BL78" s="392"/>
      <c r="BM78" s="392"/>
      <c r="BN78" s="392"/>
      <c r="BO78" s="392"/>
      <c r="BP78" s="392"/>
      <c r="BQ78" s="392"/>
      <c r="BR78" s="392"/>
      <c r="BS78" s="392"/>
      <c r="BT78" s="392"/>
      <c r="BU78" s="392"/>
      <c r="BV78" s="392"/>
      <c r="BW78" s="392"/>
      <c r="BX78" s="392"/>
      <c r="BY78" s="392"/>
      <c r="BZ78" s="392"/>
      <c r="CA78" s="392"/>
      <c r="CB78" s="392"/>
      <c r="CC78" s="392"/>
      <c r="CD78" s="392"/>
      <c r="CE78" s="392"/>
      <c r="CF78" s="392"/>
      <c r="CG78" s="392"/>
      <c r="CH78" s="392"/>
      <c r="CI78" s="392"/>
      <c r="CJ78" s="392"/>
      <c r="CK78" s="392"/>
      <c r="CL78" s="392"/>
      <c r="CM78" s="392"/>
      <c r="CN78" s="392"/>
      <c r="CO78" s="392"/>
      <c r="CP78" s="392"/>
      <c r="CQ78" s="392"/>
      <c r="CR78" s="392"/>
      <c r="CS78" s="392"/>
      <c r="CT78" s="392"/>
      <c r="CU78" s="392"/>
      <c r="CV78" s="392"/>
      <c r="CW78" s="392"/>
      <c r="CX78" s="392"/>
      <c r="CY78" s="392"/>
      <c r="CZ78" s="392"/>
      <c r="DA78" s="392"/>
      <c r="DB78" s="392"/>
      <c r="DC78" s="392"/>
      <c r="DD78" s="392"/>
      <c r="DE78" s="392"/>
      <c r="DF78" s="392"/>
      <c r="DG78" s="392"/>
      <c r="DH78" s="392"/>
      <c r="DI78" s="392"/>
      <c r="DJ78" s="392"/>
      <c r="DK78" s="392"/>
      <c r="DL78" s="392"/>
      <c r="DM78" s="392"/>
      <c r="DN78" s="392"/>
      <c r="DO78" s="392"/>
      <c r="DP78" s="392"/>
      <c r="DQ78" s="392"/>
      <c r="DR78" s="392"/>
      <c r="DS78" s="392"/>
      <c r="DT78" s="392"/>
      <c r="DU78" s="392"/>
      <c r="DV78" s="392"/>
      <c r="DW78" s="392"/>
      <c r="DX78" s="392"/>
      <c r="DY78" s="392"/>
      <c r="DZ78" s="392"/>
      <c r="EA78" s="392"/>
      <c r="EB78" s="392"/>
      <c r="EC78" s="392"/>
      <c r="ED78" s="392"/>
      <c r="EE78" s="392"/>
      <c r="EF78" s="392"/>
      <c r="EG78" s="392"/>
      <c r="EH78" s="392"/>
      <c r="EI78" s="392"/>
      <c r="EJ78" s="392"/>
      <c r="EK78" s="392"/>
      <c r="EL78" s="392"/>
      <c r="EM78" s="392"/>
      <c r="EN78" s="392"/>
      <c r="EO78" s="392"/>
      <c r="EP78" s="392"/>
      <c r="EQ78" s="392"/>
      <c r="ER78" s="392"/>
      <c r="ES78" s="392"/>
      <c r="ET78" s="392"/>
      <c r="EU78" s="392"/>
      <c r="EV78" s="392"/>
      <c r="EW78" s="392"/>
      <c r="EX78" s="392"/>
      <c r="EY78" s="392"/>
      <c r="EZ78" s="392"/>
      <c r="FA78" s="392"/>
      <c r="FB78" s="392"/>
      <c r="FC78" s="392"/>
      <c r="FD78" s="392"/>
      <c r="FE78" s="392"/>
      <c r="FF78" s="392"/>
      <c r="FG78" s="392"/>
      <c r="FH78" s="392"/>
      <c r="FI78" s="392"/>
      <c r="FJ78" s="392"/>
      <c r="FK78" s="392"/>
      <c r="FL78" s="392"/>
      <c r="FM78" s="392"/>
      <c r="FN78" s="392"/>
      <c r="FO78" s="392"/>
      <c r="FP78" s="392"/>
      <c r="FQ78" s="392"/>
      <c r="FR78" s="392"/>
      <c r="FS78" s="392"/>
      <c r="FT78" s="392"/>
      <c r="FU78" s="392"/>
      <c r="FV78" s="392"/>
      <c r="FW78" s="392"/>
      <c r="FX78" s="392"/>
      <c r="FY78" s="392"/>
      <c r="FZ78" s="392"/>
      <c r="GA78" s="392"/>
      <c r="GB78" s="392"/>
      <c r="GC78" s="392"/>
      <c r="GD78" s="392"/>
      <c r="GE78" s="392"/>
      <c r="GF78" s="392"/>
      <c r="GG78" s="392"/>
      <c r="GH78" s="392"/>
      <c r="GI78" s="392"/>
      <c r="GJ78" s="392"/>
      <c r="GK78" s="392"/>
      <c r="GL78" s="392"/>
      <c r="GM78" s="392"/>
      <c r="GN78" s="392"/>
      <c r="GO78" s="392"/>
      <c r="GP78" s="392"/>
      <c r="GQ78" s="392"/>
      <c r="GR78" s="392"/>
      <c r="GS78" s="392"/>
      <c r="GT78" s="392"/>
      <c r="GU78" s="392"/>
      <c r="GV78" s="392"/>
      <c r="GW78" s="392"/>
      <c r="GX78" s="392"/>
      <c r="GY78" s="392"/>
      <c r="GZ78" s="392"/>
      <c r="HA78" s="392"/>
      <c r="HB78" s="392"/>
      <c r="HC78" s="392"/>
      <c r="HD78" s="392"/>
      <c r="HE78" s="392"/>
      <c r="HF78" s="392"/>
      <c r="HG78" s="392"/>
      <c r="HH78" s="392"/>
      <c r="HI78" s="392"/>
      <c r="HJ78" s="392"/>
      <c r="HK78" s="392"/>
      <c r="HL78" s="392"/>
      <c r="HM78" s="392"/>
      <c r="HN78" s="392"/>
      <c r="HO78" s="392"/>
      <c r="HP78" s="392"/>
      <c r="HQ78" s="392"/>
      <c r="HR78" s="392"/>
      <c r="HS78" s="392"/>
      <c r="HT78" s="392"/>
      <c r="HU78" s="392"/>
      <c r="HV78" s="392"/>
      <c r="HW78" s="392"/>
      <c r="HX78" s="392"/>
      <c r="HY78" s="392"/>
      <c r="HZ78" s="392"/>
      <c r="IA78" s="392"/>
      <c r="IB78" s="392"/>
      <c r="IC78" s="392"/>
      <c r="ID78" s="392"/>
      <c r="IE78" s="392"/>
      <c r="IF78" s="392"/>
      <c r="IG78" s="392"/>
      <c r="IH78" s="392"/>
      <c r="II78" s="392"/>
      <c r="IJ78" s="392"/>
      <c r="IK78" s="392"/>
      <c r="IL78" s="392"/>
      <c r="IM78" s="392"/>
      <c r="IN78" s="392"/>
      <c r="IO78" s="392"/>
      <c r="IP78" s="392"/>
      <c r="IQ78" s="392"/>
      <c r="IR78" s="392"/>
      <c r="IS78" s="392"/>
      <c r="IT78" s="392"/>
      <c r="IU78" s="392"/>
      <c r="IV78" s="392"/>
    </row>
    <row r="79" spans="1:256" ht="15.75" thickBot="1">
      <c r="A79" s="392" t="s">
        <v>391</v>
      </c>
      <c r="B79" s="437" t="s">
        <v>57</v>
      </c>
      <c r="C79" s="318" t="e">
        <f>IF($A79="INSUMO",VLOOKUP($B79,'BANCO DE DADOS JANEIRO-24 INS'!$A:$D,2,FALSE),VLOOKUP($B79,'BANCO DE DADOS JANEIRO-24 SERV'!$B:$E,2,FALSE))</f>
        <v>#N/A</v>
      </c>
      <c r="D79" s="319" t="e">
        <f>IF($A79="INSUMO",VLOOKUP($B79,'BANCO DE DADOS JANEIRO-24 INS'!$A:$D,3,FALSE),VLOOKUP($B79,'BANCO DE DADOS JANEIRO-24 SERV'!$B:$E,3,FALSE))</f>
        <v>#N/A</v>
      </c>
      <c r="E79" s="599">
        <f>E77</f>
        <v>4.8000000000000001E-2</v>
      </c>
      <c r="F79" s="321" t="e">
        <f>IF($A79="INSUMO",VLOOKUP($B79,'BANCO DE DADOS JANEIRO-24 INS'!$A:$D,4,FALSE),VLOOKUP($B79,'BANCO DE DADOS JANEIRO-24 SERV'!$B:$E,4,FALSE))</f>
        <v>#N/A</v>
      </c>
      <c r="G79" s="438" t="e">
        <f>TRUNC(F79*E79,2)</f>
        <v>#N/A</v>
      </c>
      <c r="H79" s="392"/>
      <c r="I79" s="392"/>
      <c r="J79" s="392"/>
      <c r="K79" s="392"/>
      <c r="L79" s="392"/>
      <c r="M79" s="392"/>
      <c r="N79" s="392"/>
      <c r="O79" s="392"/>
      <c r="P79" s="392"/>
      <c r="Q79" s="392"/>
      <c r="R79" s="392"/>
      <c r="S79" s="392"/>
      <c r="T79" s="392"/>
      <c r="U79" s="392"/>
      <c r="V79" s="392"/>
      <c r="W79" s="392"/>
      <c r="X79" s="392"/>
      <c r="Y79" s="392"/>
      <c r="Z79" s="392"/>
      <c r="AA79" s="392"/>
      <c r="AB79" s="392"/>
      <c r="AC79" s="392"/>
      <c r="AD79" s="392"/>
      <c r="AE79" s="392"/>
      <c r="AF79" s="392"/>
      <c r="AG79" s="392"/>
      <c r="AH79" s="392"/>
      <c r="AI79" s="392"/>
      <c r="AJ79" s="392"/>
      <c r="AK79" s="392"/>
      <c r="AL79" s="392"/>
      <c r="AM79" s="392"/>
      <c r="AN79" s="392"/>
      <c r="AO79" s="392"/>
      <c r="AP79" s="392"/>
      <c r="AQ79" s="392"/>
      <c r="AR79" s="392"/>
      <c r="AS79" s="392"/>
      <c r="AT79" s="392"/>
      <c r="AU79" s="392"/>
      <c r="AV79" s="392"/>
      <c r="AW79" s="392"/>
      <c r="AX79" s="392"/>
      <c r="AY79" s="392"/>
      <c r="AZ79" s="392"/>
      <c r="BA79" s="392"/>
      <c r="BB79" s="392"/>
      <c r="BC79" s="392"/>
      <c r="BD79" s="392"/>
      <c r="BE79" s="392"/>
      <c r="BF79" s="392"/>
      <c r="BG79" s="392"/>
      <c r="BH79" s="392"/>
      <c r="BI79" s="392"/>
      <c r="BJ79" s="392"/>
      <c r="BK79" s="392"/>
      <c r="BL79" s="392"/>
      <c r="BM79" s="392"/>
      <c r="BN79" s="392"/>
      <c r="BO79" s="392"/>
      <c r="BP79" s="392"/>
      <c r="BQ79" s="392"/>
      <c r="BR79" s="392"/>
      <c r="BS79" s="392"/>
      <c r="BT79" s="392"/>
      <c r="BU79" s="392"/>
      <c r="BV79" s="392"/>
      <c r="BW79" s="392"/>
      <c r="BX79" s="392"/>
      <c r="BY79" s="392"/>
      <c r="BZ79" s="392"/>
      <c r="CA79" s="392"/>
      <c r="CB79" s="392"/>
      <c r="CC79" s="392"/>
      <c r="CD79" s="392"/>
      <c r="CE79" s="392"/>
      <c r="CF79" s="392"/>
      <c r="CG79" s="392"/>
      <c r="CH79" s="392"/>
      <c r="CI79" s="392"/>
      <c r="CJ79" s="392"/>
      <c r="CK79" s="392"/>
      <c r="CL79" s="392"/>
      <c r="CM79" s="392"/>
      <c r="CN79" s="392"/>
      <c r="CO79" s="392"/>
      <c r="CP79" s="392"/>
      <c r="CQ79" s="392"/>
      <c r="CR79" s="392"/>
      <c r="CS79" s="392"/>
      <c r="CT79" s="392"/>
      <c r="CU79" s="392"/>
      <c r="CV79" s="392"/>
      <c r="CW79" s="392"/>
      <c r="CX79" s="392"/>
      <c r="CY79" s="392"/>
      <c r="CZ79" s="392"/>
      <c r="DA79" s="392"/>
      <c r="DB79" s="392"/>
      <c r="DC79" s="392"/>
      <c r="DD79" s="392"/>
      <c r="DE79" s="392"/>
      <c r="DF79" s="392"/>
      <c r="DG79" s="392"/>
      <c r="DH79" s="392"/>
      <c r="DI79" s="392"/>
      <c r="DJ79" s="392"/>
      <c r="DK79" s="392"/>
      <c r="DL79" s="392"/>
      <c r="DM79" s="392"/>
      <c r="DN79" s="392"/>
      <c r="DO79" s="392"/>
      <c r="DP79" s="392"/>
      <c r="DQ79" s="392"/>
      <c r="DR79" s="392"/>
      <c r="DS79" s="392"/>
      <c r="DT79" s="392"/>
      <c r="DU79" s="392"/>
      <c r="DV79" s="392"/>
      <c r="DW79" s="392"/>
      <c r="DX79" s="392"/>
      <c r="DY79" s="392"/>
      <c r="DZ79" s="392"/>
      <c r="EA79" s="392"/>
      <c r="EB79" s="392"/>
      <c r="EC79" s="392"/>
      <c r="ED79" s="392"/>
      <c r="EE79" s="392"/>
      <c r="EF79" s="392"/>
      <c r="EG79" s="392"/>
      <c r="EH79" s="392"/>
      <c r="EI79" s="392"/>
      <c r="EJ79" s="392"/>
      <c r="EK79" s="392"/>
      <c r="EL79" s="392"/>
      <c r="EM79" s="392"/>
      <c r="EN79" s="392"/>
      <c r="EO79" s="392"/>
      <c r="EP79" s="392"/>
      <c r="EQ79" s="392"/>
      <c r="ER79" s="392"/>
      <c r="ES79" s="392"/>
      <c r="ET79" s="392"/>
      <c r="EU79" s="392"/>
      <c r="EV79" s="392"/>
      <c r="EW79" s="392"/>
      <c r="EX79" s="392"/>
      <c r="EY79" s="392"/>
      <c r="EZ79" s="392"/>
      <c r="FA79" s="392"/>
      <c r="FB79" s="392"/>
      <c r="FC79" s="392"/>
      <c r="FD79" s="392"/>
      <c r="FE79" s="392"/>
      <c r="FF79" s="392"/>
      <c r="FG79" s="392"/>
      <c r="FH79" s="392"/>
      <c r="FI79" s="392"/>
      <c r="FJ79" s="392"/>
      <c r="FK79" s="392"/>
      <c r="FL79" s="392"/>
      <c r="FM79" s="392"/>
      <c r="FN79" s="392"/>
      <c r="FO79" s="392"/>
      <c r="FP79" s="392"/>
      <c r="FQ79" s="392"/>
      <c r="FR79" s="392"/>
      <c r="FS79" s="392"/>
      <c r="FT79" s="392"/>
      <c r="FU79" s="392"/>
      <c r="FV79" s="392"/>
      <c r="FW79" s="392"/>
      <c r="FX79" s="392"/>
      <c r="FY79" s="392"/>
      <c r="FZ79" s="392"/>
      <c r="GA79" s="392"/>
      <c r="GB79" s="392"/>
      <c r="GC79" s="392"/>
      <c r="GD79" s="392"/>
      <c r="GE79" s="392"/>
      <c r="GF79" s="392"/>
      <c r="GG79" s="392"/>
      <c r="GH79" s="392"/>
      <c r="GI79" s="392"/>
      <c r="GJ79" s="392"/>
      <c r="GK79" s="392"/>
      <c r="GL79" s="392"/>
      <c r="GM79" s="392"/>
      <c r="GN79" s="392"/>
      <c r="GO79" s="392"/>
      <c r="GP79" s="392"/>
      <c r="GQ79" s="392"/>
      <c r="GR79" s="392"/>
      <c r="GS79" s="392"/>
      <c r="GT79" s="392"/>
      <c r="GU79" s="392"/>
      <c r="GV79" s="392"/>
      <c r="GW79" s="392"/>
      <c r="GX79" s="392"/>
      <c r="GY79" s="392"/>
      <c r="GZ79" s="392"/>
      <c r="HA79" s="392"/>
      <c r="HB79" s="392"/>
      <c r="HC79" s="392"/>
      <c r="HD79" s="392"/>
      <c r="HE79" s="392"/>
      <c r="HF79" s="392"/>
      <c r="HG79" s="392"/>
      <c r="HH79" s="392"/>
      <c r="HI79" s="392"/>
      <c r="HJ79" s="392"/>
      <c r="HK79" s="392"/>
      <c r="HL79" s="392"/>
      <c r="HM79" s="392"/>
      <c r="HN79" s="392"/>
      <c r="HO79" s="392"/>
      <c r="HP79" s="392"/>
      <c r="HQ79" s="392"/>
      <c r="HR79" s="392"/>
      <c r="HS79" s="392"/>
      <c r="HT79" s="392"/>
      <c r="HU79" s="392"/>
      <c r="HV79" s="392"/>
      <c r="HW79" s="392"/>
      <c r="HX79" s="392"/>
      <c r="HY79" s="392"/>
      <c r="HZ79" s="392"/>
      <c r="IA79" s="392"/>
      <c r="IB79" s="392"/>
      <c r="IC79" s="392"/>
      <c r="ID79" s="392"/>
      <c r="IE79" s="392"/>
      <c r="IF79" s="392"/>
      <c r="IG79" s="392"/>
      <c r="IH79" s="392"/>
      <c r="II79" s="392"/>
      <c r="IJ79" s="392"/>
      <c r="IK79" s="392"/>
      <c r="IL79" s="392"/>
      <c r="IM79" s="392"/>
      <c r="IN79" s="392"/>
      <c r="IO79" s="392"/>
      <c r="IP79" s="392"/>
      <c r="IQ79" s="392"/>
      <c r="IR79" s="392"/>
      <c r="IS79" s="392"/>
      <c r="IT79" s="392"/>
      <c r="IU79" s="392"/>
      <c r="IV79" s="392"/>
    </row>
    <row r="80" spans="1:256" ht="16.5" thickBot="1">
      <c r="A80" s="392"/>
      <c r="B80" s="439" t="s">
        <v>1705</v>
      </c>
      <c r="C80" s="440"/>
      <c r="D80" s="441"/>
      <c r="E80" s="442"/>
      <c r="F80" s="443" t="s">
        <v>167</v>
      </c>
      <c r="G80" s="444" t="e">
        <f>TRUNC(SUM(G76:G79),2)</f>
        <v>#N/A</v>
      </c>
      <c r="H80" s="392"/>
      <c r="I80" s="392"/>
      <c r="J80" s="392"/>
      <c r="K80" s="392"/>
      <c r="L80" s="392"/>
      <c r="M80" s="392"/>
      <c r="N80" s="392"/>
      <c r="O80" s="392"/>
      <c r="P80" s="392"/>
      <c r="Q80" s="392"/>
      <c r="R80" s="392"/>
      <c r="S80" s="392"/>
      <c r="T80" s="392"/>
      <c r="U80" s="392"/>
      <c r="V80" s="392"/>
      <c r="W80" s="392"/>
      <c r="X80" s="392"/>
      <c r="Y80" s="392"/>
      <c r="Z80" s="392"/>
      <c r="AA80" s="392"/>
      <c r="AB80" s="392"/>
      <c r="AC80" s="392"/>
      <c r="AD80" s="392"/>
      <c r="AE80" s="392"/>
      <c r="AF80" s="392"/>
      <c r="AG80" s="392"/>
      <c r="AH80" s="392"/>
      <c r="AI80" s="392"/>
      <c r="AJ80" s="392"/>
      <c r="AK80" s="392"/>
      <c r="AL80" s="392"/>
      <c r="AM80" s="392"/>
      <c r="AN80" s="392"/>
      <c r="AO80" s="392"/>
      <c r="AP80" s="392"/>
      <c r="AQ80" s="392"/>
      <c r="AR80" s="392"/>
      <c r="AS80" s="392"/>
      <c r="AT80" s="392"/>
      <c r="AU80" s="392"/>
      <c r="AV80" s="392"/>
      <c r="AW80" s="392"/>
      <c r="AX80" s="392"/>
      <c r="AY80" s="392"/>
      <c r="AZ80" s="392"/>
      <c r="BA80" s="392"/>
      <c r="BB80" s="392"/>
      <c r="BC80" s="392"/>
      <c r="BD80" s="392"/>
      <c r="BE80" s="392"/>
      <c r="BF80" s="392"/>
      <c r="BG80" s="392"/>
      <c r="BH80" s="392"/>
      <c r="BI80" s="392"/>
      <c r="BJ80" s="392"/>
      <c r="BK80" s="392"/>
      <c r="BL80" s="392"/>
      <c r="BM80" s="392"/>
      <c r="BN80" s="392"/>
      <c r="BO80" s="392"/>
      <c r="BP80" s="392"/>
      <c r="BQ80" s="392"/>
      <c r="BR80" s="392"/>
      <c r="BS80" s="392"/>
      <c r="BT80" s="392"/>
      <c r="BU80" s="392"/>
      <c r="BV80" s="392"/>
      <c r="BW80" s="392"/>
      <c r="BX80" s="392"/>
      <c r="BY80" s="392"/>
      <c r="BZ80" s="392"/>
      <c r="CA80" s="392"/>
      <c r="CB80" s="392"/>
      <c r="CC80" s="392"/>
      <c r="CD80" s="392"/>
      <c r="CE80" s="392"/>
      <c r="CF80" s="392"/>
      <c r="CG80" s="392"/>
      <c r="CH80" s="392"/>
      <c r="CI80" s="392"/>
      <c r="CJ80" s="392"/>
      <c r="CK80" s="392"/>
      <c r="CL80" s="392"/>
      <c r="CM80" s="392"/>
      <c r="CN80" s="392"/>
      <c r="CO80" s="392"/>
      <c r="CP80" s="392"/>
      <c r="CQ80" s="392"/>
      <c r="CR80" s="392"/>
      <c r="CS80" s="392"/>
      <c r="CT80" s="392"/>
      <c r="CU80" s="392"/>
      <c r="CV80" s="392"/>
      <c r="CW80" s="392"/>
      <c r="CX80" s="392"/>
      <c r="CY80" s="392"/>
      <c r="CZ80" s="392"/>
      <c r="DA80" s="392"/>
      <c r="DB80" s="392"/>
      <c r="DC80" s="392"/>
      <c r="DD80" s="392"/>
      <c r="DE80" s="392"/>
      <c r="DF80" s="392"/>
      <c r="DG80" s="392"/>
      <c r="DH80" s="392"/>
      <c r="DI80" s="392"/>
      <c r="DJ80" s="392"/>
      <c r="DK80" s="392"/>
      <c r="DL80" s="392"/>
      <c r="DM80" s="392"/>
      <c r="DN80" s="392"/>
      <c r="DO80" s="392"/>
      <c r="DP80" s="392"/>
      <c r="DQ80" s="392"/>
      <c r="DR80" s="392"/>
      <c r="DS80" s="392"/>
      <c r="DT80" s="392"/>
      <c r="DU80" s="392"/>
      <c r="DV80" s="392"/>
      <c r="DW80" s="392"/>
      <c r="DX80" s="392"/>
      <c r="DY80" s="392"/>
      <c r="DZ80" s="392"/>
      <c r="EA80" s="392"/>
      <c r="EB80" s="392"/>
      <c r="EC80" s="392"/>
      <c r="ED80" s="392"/>
      <c r="EE80" s="392"/>
      <c r="EF80" s="392"/>
      <c r="EG80" s="392"/>
      <c r="EH80" s="392"/>
      <c r="EI80" s="392"/>
      <c r="EJ80" s="392"/>
      <c r="EK80" s="392"/>
      <c r="EL80" s="392"/>
      <c r="EM80" s="392"/>
      <c r="EN80" s="392"/>
      <c r="EO80" s="392"/>
      <c r="EP80" s="392"/>
      <c r="EQ80" s="392"/>
      <c r="ER80" s="392"/>
      <c r="ES80" s="392"/>
      <c r="ET80" s="392"/>
      <c r="EU80" s="392"/>
      <c r="EV80" s="392"/>
      <c r="EW80" s="392"/>
      <c r="EX80" s="392"/>
      <c r="EY80" s="392"/>
      <c r="EZ80" s="392"/>
      <c r="FA80" s="392"/>
      <c r="FB80" s="392"/>
      <c r="FC80" s="392"/>
      <c r="FD80" s="392"/>
      <c r="FE80" s="392"/>
      <c r="FF80" s="392"/>
      <c r="FG80" s="392"/>
      <c r="FH80" s="392"/>
      <c r="FI80" s="392"/>
      <c r="FJ80" s="392"/>
      <c r="FK80" s="392"/>
      <c r="FL80" s="392"/>
      <c r="FM80" s="392"/>
      <c r="FN80" s="392"/>
      <c r="FO80" s="392"/>
      <c r="FP80" s="392"/>
      <c r="FQ80" s="392"/>
      <c r="FR80" s="392"/>
      <c r="FS80" s="392"/>
      <c r="FT80" s="392"/>
      <c r="FU80" s="392"/>
      <c r="FV80" s="392"/>
      <c r="FW80" s="392"/>
      <c r="FX80" s="392"/>
      <c r="FY80" s="392"/>
      <c r="FZ80" s="392"/>
      <c r="GA80" s="392"/>
      <c r="GB80" s="392"/>
      <c r="GC80" s="392"/>
      <c r="GD80" s="392"/>
      <c r="GE80" s="392"/>
      <c r="GF80" s="392"/>
      <c r="GG80" s="392"/>
      <c r="GH80" s="392"/>
      <c r="GI80" s="392"/>
      <c r="GJ80" s="392"/>
      <c r="GK80" s="392"/>
      <c r="GL80" s="392"/>
      <c r="GM80" s="392"/>
      <c r="GN80" s="392"/>
      <c r="GO80" s="392"/>
      <c r="GP80" s="392"/>
      <c r="GQ80" s="392"/>
      <c r="GR80" s="392"/>
      <c r="GS80" s="392"/>
      <c r="GT80" s="392"/>
      <c r="GU80" s="392"/>
      <c r="GV80" s="392"/>
      <c r="GW80" s="392"/>
      <c r="GX80" s="392"/>
      <c r="GY80" s="392"/>
      <c r="GZ80" s="392"/>
      <c r="HA80" s="392"/>
      <c r="HB80" s="392"/>
      <c r="HC80" s="392"/>
      <c r="HD80" s="392"/>
      <c r="HE80" s="392"/>
      <c r="HF80" s="392"/>
      <c r="HG80" s="392"/>
      <c r="HH80" s="392"/>
      <c r="HI80" s="392"/>
      <c r="HJ80" s="392"/>
      <c r="HK80" s="392"/>
      <c r="HL80" s="392"/>
      <c r="HM80" s="392"/>
      <c r="HN80" s="392"/>
      <c r="HO80" s="392"/>
      <c r="HP80" s="392"/>
      <c r="HQ80" s="392"/>
      <c r="HR80" s="392"/>
      <c r="HS80" s="392"/>
      <c r="HT80" s="392"/>
      <c r="HU80" s="392"/>
      <c r="HV80" s="392"/>
      <c r="HW80" s="392"/>
      <c r="HX80" s="392"/>
      <c r="HY80" s="392"/>
      <c r="HZ80" s="392"/>
      <c r="IA80" s="392"/>
      <c r="IB80" s="392"/>
      <c r="IC80" s="392"/>
      <c r="ID80" s="392"/>
      <c r="IE80" s="392"/>
      <c r="IF80" s="392"/>
      <c r="IG80" s="392"/>
      <c r="IH80" s="392"/>
      <c r="II80" s="392"/>
      <c r="IJ80" s="392"/>
      <c r="IK80" s="392"/>
      <c r="IL80" s="392"/>
      <c r="IM80" s="392"/>
      <c r="IN80" s="392"/>
      <c r="IO80" s="392"/>
      <c r="IP80" s="392"/>
      <c r="IQ80" s="392"/>
      <c r="IR80" s="392"/>
      <c r="IS80" s="392"/>
      <c r="IT80" s="392"/>
      <c r="IU80" s="392"/>
      <c r="IV80" s="392"/>
    </row>
    <row r="81" spans="1:256" ht="409.5" customHeight="1">
      <c r="A81" s="392"/>
      <c r="B81" s="2355"/>
      <c r="C81" s="2355"/>
      <c r="D81" s="2355"/>
      <c r="E81" s="2355"/>
      <c r="F81" s="2355"/>
      <c r="G81" s="2355"/>
      <c r="H81" s="392"/>
      <c r="I81" s="392"/>
      <c r="J81" s="392"/>
      <c r="K81" s="392"/>
      <c r="L81" s="392"/>
      <c r="M81" s="392"/>
      <c r="N81" s="392"/>
      <c r="O81" s="392"/>
      <c r="P81" s="392"/>
      <c r="Q81" s="392"/>
      <c r="R81" s="392"/>
      <c r="S81" s="392"/>
      <c r="T81" s="392"/>
      <c r="U81" s="392"/>
      <c r="V81" s="392"/>
      <c r="W81" s="392"/>
      <c r="X81" s="392"/>
      <c r="Y81" s="392"/>
      <c r="Z81" s="392"/>
      <c r="AA81" s="392"/>
      <c r="AB81" s="392"/>
      <c r="AC81" s="392"/>
      <c r="AD81" s="392"/>
      <c r="AE81" s="392"/>
      <c r="AF81" s="392"/>
      <c r="AG81" s="392"/>
      <c r="AH81" s="392"/>
      <c r="AI81" s="392"/>
      <c r="AJ81" s="392"/>
      <c r="AK81" s="392"/>
      <c r="AL81" s="392"/>
      <c r="AM81" s="392"/>
      <c r="AN81" s="392"/>
      <c r="AO81" s="392"/>
      <c r="AP81" s="392"/>
      <c r="AQ81" s="392"/>
      <c r="AR81" s="392"/>
      <c r="AS81" s="392"/>
      <c r="AT81" s="392"/>
      <c r="AU81" s="392"/>
      <c r="AV81" s="392"/>
      <c r="AW81" s="392"/>
      <c r="AX81" s="392"/>
      <c r="AY81" s="392"/>
      <c r="AZ81" s="392"/>
      <c r="BA81" s="392"/>
      <c r="BB81" s="392"/>
      <c r="BC81" s="392"/>
      <c r="BD81" s="392"/>
      <c r="BE81" s="392"/>
      <c r="BF81" s="392"/>
      <c r="BG81" s="392"/>
      <c r="BH81" s="392"/>
      <c r="BI81" s="392"/>
      <c r="BJ81" s="392"/>
      <c r="BK81" s="392"/>
      <c r="BL81" s="392"/>
      <c r="BM81" s="392"/>
      <c r="BN81" s="392"/>
      <c r="BO81" s="392"/>
      <c r="BP81" s="392"/>
      <c r="BQ81" s="392"/>
      <c r="BR81" s="392"/>
      <c r="BS81" s="392"/>
      <c r="BT81" s="392"/>
      <c r="BU81" s="392"/>
      <c r="BV81" s="392"/>
      <c r="BW81" s="392"/>
      <c r="BX81" s="392"/>
      <c r="BY81" s="392"/>
      <c r="BZ81" s="392"/>
      <c r="CA81" s="392"/>
      <c r="CB81" s="392"/>
      <c r="CC81" s="392"/>
      <c r="CD81" s="392"/>
      <c r="CE81" s="392"/>
      <c r="CF81" s="392"/>
      <c r="CG81" s="392"/>
      <c r="CH81" s="392"/>
      <c r="CI81" s="392"/>
      <c r="CJ81" s="392"/>
      <c r="CK81" s="392"/>
      <c r="CL81" s="392"/>
      <c r="CM81" s="392"/>
      <c r="CN81" s="392"/>
      <c r="CO81" s="392"/>
      <c r="CP81" s="392"/>
      <c r="CQ81" s="392"/>
      <c r="CR81" s="392"/>
      <c r="CS81" s="392"/>
      <c r="CT81" s="392"/>
      <c r="CU81" s="392"/>
      <c r="CV81" s="392"/>
      <c r="CW81" s="392"/>
      <c r="CX81" s="392"/>
      <c r="CY81" s="392"/>
      <c r="CZ81" s="392"/>
      <c r="DA81" s="392"/>
      <c r="DB81" s="392"/>
      <c r="DC81" s="392"/>
      <c r="DD81" s="392"/>
      <c r="DE81" s="392"/>
      <c r="DF81" s="392"/>
      <c r="DG81" s="392"/>
      <c r="DH81" s="392"/>
      <c r="DI81" s="392"/>
      <c r="DJ81" s="392"/>
      <c r="DK81" s="392"/>
      <c r="DL81" s="392"/>
      <c r="DM81" s="392"/>
      <c r="DN81" s="392"/>
      <c r="DO81" s="392"/>
      <c r="DP81" s="392"/>
      <c r="DQ81" s="392"/>
      <c r="DR81" s="392"/>
      <c r="DS81" s="392"/>
      <c r="DT81" s="392"/>
      <c r="DU81" s="392"/>
      <c r="DV81" s="392"/>
      <c r="DW81" s="392"/>
      <c r="DX81" s="392"/>
      <c r="DY81" s="392"/>
      <c r="DZ81" s="392"/>
      <c r="EA81" s="392"/>
      <c r="EB81" s="392"/>
      <c r="EC81" s="392"/>
      <c r="ED81" s="392"/>
      <c r="EE81" s="392"/>
      <c r="EF81" s="392"/>
      <c r="EG81" s="392"/>
      <c r="EH81" s="392"/>
      <c r="EI81" s="392"/>
      <c r="EJ81" s="392"/>
      <c r="EK81" s="392"/>
      <c r="EL81" s="392"/>
      <c r="EM81" s="392"/>
      <c r="EN81" s="392"/>
      <c r="EO81" s="392"/>
      <c r="EP81" s="392"/>
      <c r="EQ81" s="392"/>
      <c r="ER81" s="392"/>
      <c r="ES81" s="392"/>
      <c r="ET81" s="392"/>
      <c r="EU81" s="392"/>
      <c r="EV81" s="392"/>
      <c r="EW81" s="392"/>
      <c r="EX81" s="392"/>
      <c r="EY81" s="392"/>
      <c r="EZ81" s="392"/>
      <c r="FA81" s="392"/>
      <c r="FB81" s="392"/>
      <c r="FC81" s="392"/>
      <c r="FD81" s="392"/>
      <c r="FE81" s="392"/>
      <c r="FF81" s="392"/>
      <c r="FG81" s="392"/>
      <c r="FH81" s="392"/>
      <c r="FI81" s="392"/>
      <c r="FJ81" s="392"/>
      <c r="FK81" s="392"/>
      <c r="FL81" s="392"/>
      <c r="FM81" s="392"/>
      <c r="FN81" s="392"/>
      <c r="FO81" s="392"/>
      <c r="FP81" s="392"/>
      <c r="FQ81" s="392"/>
      <c r="FR81" s="392"/>
      <c r="FS81" s="392"/>
      <c r="FT81" s="392"/>
      <c r="FU81" s="392"/>
      <c r="FV81" s="392"/>
      <c r="FW81" s="392"/>
      <c r="FX81" s="392"/>
      <c r="FY81" s="392"/>
      <c r="FZ81" s="392"/>
      <c r="GA81" s="392"/>
      <c r="GB81" s="392"/>
      <c r="GC81" s="392"/>
      <c r="GD81" s="392"/>
      <c r="GE81" s="392"/>
      <c r="GF81" s="392"/>
      <c r="GG81" s="392"/>
      <c r="GH81" s="392"/>
      <c r="GI81" s="392"/>
      <c r="GJ81" s="392"/>
      <c r="GK81" s="392"/>
      <c r="GL81" s="392"/>
      <c r="GM81" s="392"/>
      <c r="GN81" s="392"/>
      <c r="GO81" s="392"/>
      <c r="GP81" s="392"/>
      <c r="GQ81" s="392"/>
      <c r="GR81" s="392"/>
      <c r="GS81" s="392"/>
      <c r="GT81" s="392"/>
      <c r="GU81" s="392"/>
      <c r="GV81" s="392"/>
      <c r="GW81" s="392"/>
      <c r="GX81" s="392"/>
      <c r="GY81" s="392"/>
      <c r="GZ81" s="392"/>
      <c r="HA81" s="392"/>
      <c r="HB81" s="392"/>
      <c r="HC81" s="392"/>
      <c r="HD81" s="392"/>
      <c r="HE81" s="392"/>
      <c r="HF81" s="392"/>
      <c r="HG81" s="392"/>
      <c r="HH81" s="392"/>
      <c r="HI81" s="392"/>
      <c r="HJ81" s="392"/>
      <c r="HK81" s="392"/>
      <c r="HL81" s="392"/>
      <c r="HM81" s="392"/>
      <c r="HN81" s="392"/>
      <c r="HO81" s="392"/>
      <c r="HP81" s="392"/>
      <c r="HQ81" s="392"/>
      <c r="HR81" s="392"/>
      <c r="HS81" s="392"/>
      <c r="HT81" s="392"/>
      <c r="HU81" s="392"/>
      <c r="HV81" s="392"/>
      <c r="HW81" s="392"/>
      <c r="HX81" s="392"/>
      <c r="HY81" s="392"/>
      <c r="HZ81" s="392"/>
      <c r="IA81" s="392"/>
      <c r="IB81" s="392"/>
      <c r="IC81" s="392"/>
      <c r="ID81" s="392"/>
      <c r="IE81" s="392"/>
      <c r="IF81" s="392"/>
      <c r="IG81" s="392"/>
      <c r="IH81" s="392"/>
      <c r="II81" s="392"/>
      <c r="IJ81" s="392"/>
      <c r="IK81" s="392"/>
      <c r="IL81" s="392"/>
      <c r="IM81" s="392"/>
      <c r="IN81" s="392"/>
      <c r="IO81" s="392"/>
      <c r="IP81" s="392"/>
      <c r="IQ81" s="392"/>
      <c r="IR81" s="392"/>
      <c r="IS81" s="392"/>
      <c r="IT81" s="392"/>
      <c r="IU81" s="392"/>
      <c r="IV81" s="392"/>
    </row>
    <row r="82" spans="1:256" ht="234" customHeight="1" thickBot="1">
      <c r="A82" s="392"/>
      <c r="B82" s="2356"/>
      <c r="C82" s="2356"/>
      <c r="D82" s="2356"/>
      <c r="E82" s="2356"/>
      <c r="F82" s="2356"/>
      <c r="G82" s="2356"/>
      <c r="H82" s="392"/>
      <c r="I82" s="392"/>
      <c r="J82" s="392"/>
      <c r="K82" s="392"/>
      <c r="L82" s="392"/>
      <c r="M82" s="392"/>
      <c r="N82" s="392"/>
      <c r="O82" s="392"/>
      <c r="P82" s="392"/>
      <c r="Q82" s="392"/>
      <c r="R82" s="392"/>
      <c r="S82" s="392"/>
      <c r="T82" s="392"/>
      <c r="U82" s="392"/>
      <c r="V82" s="392"/>
      <c r="W82" s="392"/>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2"/>
      <c r="AZ82" s="392"/>
      <c r="BA82" s="392"/>
      <c r="BB82" s="392"/>
      <c r="BC82" s="392"/>
      <c r="BD82" s="392"/>
      <c r="BE82" s="392"/>
      <c r="BF82" s="392"/>
      <c r="BG82" s="392"/>
      <c r="BH82" s="392"/>
      <c r="BI82" s="392"/>
      <c r="BJ82" s="392"/>
      <c r="BK82" s="392"/>
      <c r="BL82" s="392"/>
      <c r="BM82" s="392"/>
      <c r="BN82" s="392"/>
      <c r="BO82" s="392"/>
      <c r="BP82" s="392"/>
      <c r="BQ82" s="392"/>
      <c r="BR82" s="392"/>
      <c r="BS82" s="392"/>
      <c r="BT82" s="392"/>
      <c r="BU82" s="392"/>
      <c r="BV82" s="392"/>
      <c r="BW82" s="392"/>
      <c r="BX82" s="392"/>
      <c r="BY82" s="392"/>
      <c r="BZ82" s="392"/>
      <c r="CA82" s="392"/>
      <c r="CB82" s="392"/>
      <c r="CC82" s="392"/>
      <c r="CD82" s="392"/>
      <c r="CE82" s="392"/>
      <c r="CF82" s="392"/>
      <c r="CG82" s="392"/>
      <c r="CH82" s="392"/>
      <c r="CI82" s="392"/>
      <c r="CJ82" s="392"/>
      <c r="CK82" s="392"/>
      <c r="CL82" s="392"/>
      <c r="CM82" s="392"/>
      <c r="CN82" s="392"/>
      <c r="CO82" s="392"/>
      <c r="CP82" s="392"/>
      <c r="CQ82" s="392"/>
      <c r="CR82" s="392"/>
      <c r="CS82" s="392"/>
      <c r="CT82" s="392"/>
      <c r="CU82" s="392"/>
      <c r="CV82" s="392"/>
      <c r="CW82" s="392"/>
      <c r="CX82" s="392"/>
      <c r="CY82" s="392"/>
      <c r="CZ82" s="392"/>
      <c r="DA82" s="392"/>
      <c r="DB82" s="392"/>
      <c r="DC82" s="392"/>
      <c r="DD82" s="392"/>
      <c r="DE82" s="392"/>
      <c r="DF82" s="392"/>
      <c r="DG82" s="392"/>
      <c r="DH82" s="392"/>
      <c r="DI82" s="392"/>
      <c r="DJ82" s="392"/>
      <c r="DK82" s="392"/>
      <c r="DL82" s="392"/>
      <c r="DM82" s="392"/>
      <c r="DN82" s="392"/>
      <c r="DO82" s="392"/>
      <c r="DP82" s="392"/>
      <c r="DQ82" s="392"/>
      <c r="DR82" s="392"/>
      <c r="DS82" s="392"/>
      <c r="DT82" s="392"/>
      <c r="DU82" s="392"/>
      <c r="DV82" s="392"/>
      <c r="DW82" s="392"/>
      <c r="DX82" s="392"/>
      <c r="DY82" s="392"/>
      <c r="DZ82" s="392"/>
      <c r="EA82" s="392"/>
      <c r="EB82" s="392"/>
      <c r="EC82" s="392"/>
      <c r="ED82" s="392"/>
      <c r="EE82" s="392"/>
      <c r="EF82" s="392"/>
      <c r="EG82" s="392"/>
      <c r="EH82" s="392"/>
      <c r="EI82" s="392"/>
      <c r="EJ82" s="392"/>
      <c r="EK82" s="392"/>
      <c r="EL82" s="392"/>
      <c r="EM82" s="392"/>
      <c r="EN82" s="392"/>
      <c r="EO82" s="392"/>
      <c r="EP82" s="392"/>
      <c r="EQ82" s="392"/>
      <c r="ER82" s="392"/>
      <c r="ES82" s="392"/>
      <c r="ET82" s="392"/>
      <c r="EU82" s="392"/>
      <c r="EV82" s="392"/>
      <c r="EW82" s="392"/>
      <c r="EX82" s="392"/>
      <c r="EY82" s="392"/>
      <c r="EZ82" s="392"/>
      <c r="FA82" s="392"/>
      <c r="FB82" s="392"/>
      <c r="FC82" s="392"/>
      <c r="FD82" s="392"/>
      <c r="FE82" s="392"/>
      <c r="FF82" s="392"/>
      <c r="FG82" s="392"/>
      <c r="FH82" s="392"/>
      <c r="FI82" s="392"/>
      <c r="FJ82" s="392"/>
      <c r="FK82" s="392"/>
      <c r="FL82" s="392"/>
      <c r="FM82" s="392"/>
      <c r="FN82" s="392"/>
      <c r="FO82" s="392"/>
      <c r="FP82" s="392"/>
      <c r="FQ82" s="392"/>
      <c r="FR82" s="392"/>
      <c r="FS82" s="392"/>
      <c r="FT82" s="392"/>
      <c r="FU82" s="392"/>
      <c r="FV82" s="392"/>
      <c r="FW82" s="392"/>
      <c r="FX82" s="392"/>
      <c r="FY82" s="392"/>
      <c r="FZ82" s="392"/>
      <c r="GA82" s="392"/>
      <c r="GB82" s="392"/>
      <c r="GC82" s="392"/>
      <c r="GD82" s="392"/>
      <c r="GE82" s="392"/>
      <c r="GF82" s="392"/>
      <c r="GG82" s="392"/>
      <c r="GH82" s="392"/>
      <c r="GI82" s="392"/>
      <c r="GJ82" s="392"/>
      <c r="GK82" s="392"/>
      <c r="GL82" s="392"/>
      <c r="GM82" s="392"/>
      <c r="GN82" s="392"/>
      <c r="GO82" s="392"/>
      <c r="GP82" s="392"/>
      <c r="GQ82" s="392"/>
      <c r="GR82" s="392"/>
      <c r="GS82" s="392"/>
      <c r="GT82" s="392"/>
      <c r="GU82" s="392"/>
      <c r="GV82" s="392"/>
      <c r="GW82" s="392"/>
      <c r="GX82" s="392"/>
      <c r="GY82" s="392"/>
      <c r="GZ82" s="392"/>
      <c r="HA82" s="392"/>
      <c r="HB82" s="392"/>
      <c r="HC82" s="392"/>
      <c r="HD82" s="392"/>
      <c r="HE82" s="392"/>
      <c r="HF82" s="392"/>
      <c r="HG82" s="392"/>
      <c r="HH82" s="392"/>
      <c r="HI82" s="392"/>
      <c r="HJ82" s="392"/>
      <c r="HK82" s="392"/>
      <c r="HL82" s="392"/>
      <c r="HM82" s="392"/>
      <c r="HN82" s="392"/>
      <c r="HO82" s="392"/>
      <c r="HP82" s="392"/>
      <c r="HQ82" s="392"/>
      <c r="HR82" s="392"/>
      <c r="HS82" s="392"/>
      <c r="HT82" s="392"/>
      <c r="HU82" s="392"/>
      <c r="HV82" s="392"/>
      <c r="HW82" s="392"/>
      <c r="HX82" s="392"/>
      <c r="HY82" s="392"/>
      <c r="HZ82" s="392"/>
      <c r="IA82" s="392"/>
      <c r="IB82" s="392"/>
      <c r="IC82" s="392"/>
      <c r="ID82" s="392"/>
      <c r="IE82" s="392"/>
      <c r="IF82" s="392"/>
      <c r="IG82" s="392"/>
      <c r="IH82" s="392"/>
      <c r="II82" s="392"/>
      <c r="IJ82" s="392"/>
      <c r="IK82" s="392"/>
      <c r="IL82" s="392"/>
      <c r="IM82" s="392"/>
      <c r="IN82" s="392"/>
      <c r="IO82" s="392"/>
      <c r="IP82" s="392"/>
      <c r="IQ82" s="392"/>
      <c r="IR82" s="392"/>
      <c r="IS82" s="392"/>
      <c r="IT82" s="392"/>
      <c r="IU82" s="392"/>
      <c r="IV82" s="392"/>
    </row>
    <row r="83" spans="1:256" ht="31.5">
      <c r="A83" s="392"/>
      <c r="B83" s="581" t="s">
        <v>1706</v>
      </c>
      <c r="C83" s="2327" t="s">
        <v>1712</v>
      </c>
      <c r="D83" s="2328"/>
      <c r="E83" s="2328"/>
      <c r="F83" s="2329"/>
      <c r="G83" s="554" t="s">
        <v>22</v>
      </c>
      <c r="H83" s="392"/>
      <c r="I83" s="392"/>
      <c r="J83" s="392"/>
      <c r="K83" s="392"/>
      <c r="L83" s="392"/>
      <c r="M83" s="392"/>
      <c r="N83" s="392"/>
      <c r="O83" s="392"/>
      <c r="P83" s="392"/>
      <c r="Q83" s="392"/>
      <c r="R83" s="392"/>
      <c r="S83" s="392"/>
      <c r="T83" s="392"/>
      <c r="U83" s="392"/>
      <c r="V83" s="392"/>
      <c r="W83" s="392"/>
      <c r="X83" s="392"/>
      <c r="Y83" s="392"/>
      <c r="Z83" s="392"/>
      <c r="AA83" s="392"/>
      <c r="AB83" s="392"/>
      <c r="AC83" s="392"/>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392"/>
      <c r="BK83" s="392"/>
      <c r="BL83" s="392"/>
      <c r="BM83" s="392"/>
      <c r="BN83" s="392"/>
      <c r="BO83" s="392"/>
      <c r="BP83" s="392"/>
      <c r="BQ83" s="392"/>
      <c r="BR83" s="392"/>
      <c r="BS83" s="392"/>
      <c r="BT83" s="392"/>
      <c r="BU83" s="392"/>
      <c r="BV83" s="392"/>
      <c r="BW83" s="392"/>
      <c r="BX83" s="392"/>
      <c r="BY83" s="392"/>
      <c r="BZ83" s="392"/>
      <c r="CA83" s="392"/>
      <c r="CB83" s="392"/>
      <c r="CC83" s="392"/>
      <c r="CD83" s="392"/>
      <c r="CE83" s="392"/>
      <c r="CF83" s="392"/>
      <c r="CG83" s="392"/>
      <c r="CH83" s="392"/>
      <c r="CI83" s="392"/>
      <c r="CJ83" s="392"/>
      <c r="CK83" s="392"/>
      <c r="CL83" s="392"/>
      <c r="CM83" s="392"/>
      <c r="CN83" s="392"/>
      <c r="CO83" s="392"/>
      <c r="CP83" s="392"/>
      <c r="CQ83" s="392"/>
      <c r="CR83" s="392"/>
      <c r="CS83" s="392"/>
      <c r="CT83" s="392"/>
      <c r="CU83" s="392"/>
      <c r="CV83" s="392"/>
      <c r="CW83" s="392"/>
      <c r="CX83" s="392"/>
      <c r="CY83" s="392"/>
      <c r="CZ83" s="392"/>
      <c r="DA83" s="392"/>
      <c r="DB83" s="392"/>
      <c r="DC83" s="392"/>
      <c r="DD83" s="392"/>
      <c r="DE83" s="392"/>
      <c r="DF83" s="392"/>
      <c r="DG83" s="392"/>
      <c r="DH83" s="392"/>
      <c r="DI83" s="392"/>
      <c r="DJ83" s="392"/>
      <c r="DK83" s="392"/>
      <c r="DL83" s="392"/>
      <c r="DM83" s="392"/>
      <c r="DN83" s="392"/>
      <c r="DO83" s="392"/>
      <c r="DP83" s="392"/>
      <c r="DQ83" s="392"/>
      <c r="DR83" s="392"/>
      <c r="DS83" s="392"/>
      <c r="DT83" s="392"/>
      <c r="DU83" s="392"/>
      <c r="DV83" s="392"/>
      <c r="DW83" s="392"/>
      <c r="DX83" s="392"/>
      <c r="DY83" s="392"/>
      <c r="DZ83" s="392"/>
      <c r="EA83" s="392"/>
      <c r="EB83" s="392"/>
      <c r="EC83" s="392"/>
      <c r="ED83" s="392"/>
      <c r="EE83" s="392"/>
      <c r="EF83" s="392"/>
      <c r="EG83" s="392"/>
      <c r="EH83" s="392"/>
      <c r="EI83" s="392"/>
      <c r="EJ83" s="392"/>
      <c r="EK83" s="392"/>
      <c r="EL83" s="392"/>
      <c r="EM83" s="392"/>
      <c r="EN83" s="392"/>
      <c r="EO83" s="392"/>
      <c r="EP83" s="392"/>
      <c r="EQ83" s="392"/>
      <c r="ER83" s="392"/>
      <c r="ES83" s="392"/>
      <c r="ET83" s="392"/>
      <c r="EU83" s="392"/>
      <c r="EV83" s="392"/>
      <c r="EW83" s="392"/>
      <c r="EX83" s="392"/>
      <c r="EY83" s="392"/>
      <c r="EZ83" s="392"/>
      <c r="FA83" s="392"/>
      <c r="FB83" s="392"/>
      <c r="FC83" s="392"/>
      <c r="FD83" s="392"/>
      <c r="FE83" s="392"/>
      <c r="FF83" s="392"/>
      <c r="FG83" s="392"/>
      <c r="FH83" s="392"/>
      <c r="FI83" s="392"/>
      <c r="FJ83" s="392"/>
      <c r="FK83" s="392"/>
      <c r="FL83" s="392"/>
      <c r="FM83" s="392"/>
      <c r="FN83" s="392"/>
      <c r="FO83" s="392"/>
      <c r="FP83" s="392"/>
      <c r="FQ83" s="392"/>
      <c r="FR83" s="392"/>
      <c r="FS83" s="392"/>
      <c r="FT83" s="392"/>
      <c r="FU83" s="392"/>
      <c r="FV83" s="392"/>
      <c r="FW83" s="392"/>
      <c r="FX83" s="392"/>
      <c r="FY83" s="392"/>
      <c r="FZ83" s="392"/>
      <c r="GA83" s="392"/>
      <c r="GB83" s="392"/>
      <c r="GC83" s="392"/>
      <c r="GD83" s="392"/>
      <c r="GE83" s="392"/>
      <c r="GF83" s="392"/>
      <c r="GG83" s="392"/>
      <c r="GH83" s="392"/>
      <c r="GI83" s="392"/>
      <c r="GJ83" s="392"/>
      <c r="GK83" s="392"/>
      <c r="GL83" s="392"/>
      <c r="GM83" s="392"/>
      <c r="GN83" s="392"/>
      <c r="GO83" s="392"/>
      <c r="GP83" s="392"/>
      <c r="GQ83" s="392"/>
      <c r="GR83" s="392"/>
      <c r="GS83" s="392"/>
      <c r="GT83" s="392"/>
      <c r="GU83" s="392"/>
      <c r="GV83" s="392"/>
      <c r="GW83" s="392"/>
      <c r="GX83" s="392"/>
      <c r="GY83" s="392"/>
      <c r="GZ83" s="392"/>
      <c r="HA83" s="392"/>
      <c r="HB83" s="392"/>
      <c r="HC83" s="392"/>
      <c r="HD83" s="392"/>
      <c r="HE83" s="392"/>
      <c r="HF83" s="392"/>
      <c r="HG83" s="392"/>
      <c r="HH83" s="392"/>
      <c r="HI83" s="392"/>
      <c r="HJ83" s="392"/>
      <c r="HK83" s="392"/>
      <c r="HL83" s="392"/>
      <c r="HM83" s="392"/>
      <c r="HN83" s="392"/>
      <c r="HO83" s="392"/>
      <c r="HP83" s="392"/>
      <c r="HQ83" s="392"/>
      <c r="HR83" s="392"/>
      <c r="HS83" s="392"/>
      <c r="HT83" s="392"/>
      <c r="HU83" s="392"/>
      <c r="HV83" s="392"/>
      <c r="HW83" s="392"/>
      <c r="HX83" s="392"/>
      <c r="HY83" s="392"/>
      <c r="HZ83" s="392"/>
      <c r="IA83" s="392"/>
      <c r="IB83" s="392"/>
      <c r="IC83" s="392"/>
      <c r="ID83" s="392"/>
      <c r="IE83" s="392"/>
      <c r="IF83" s="392"/>
      <c r="IG83" s="392"/>
      <c r="IH83" s="392"/>
      <c r="II83" s="392"/>
      <c r="IJ83" s="392"/>
      <c r="IK83" s="392"/>
      <c r="IL83" s="392"/>
      <c r="IM83" s="392"/>
      <c r="IN83" s="392"/>
      <c r="IO83" s="392"/>
      <c r="IP83" s="392"/>
      <c r="IQ83" s="392"/>
      <c r="IR83" s="392"/>
      <c r="IS83" s="392"/>
      <c r="IT83" s="392"/>
      <c r="IU83" s="392"/>
      <c r="IV83" s="392"/>
    </row>
    <row r="84" spans="1:256" ht="31.5">
      <c r="A84" s="392"/>
      <c r="B84" s="366" t="s">
        <v>1708</v>
      </c>
      <c r="C84" s="582" t="s">
        <v>161</v>
      </c>
      <c r="D84" s="582" t="s">
        <v>22</v>
      </c>
      <c r="E84" s="2330" t="s">
        <v>162</v>
      </c>
      <c r="F84" s="2331"/>
      <c r="G84" s="2332"/>
      <c r="H84" s="392"/>
      <c r="I84" s="392"/>
      <c r="J84" s="392"/>
      <c r="K84" s="392"/>
      <c r="L84" s="392"/>
      <c r="M84" s="392"/>
      <c r="N84" s="392"/>
      <c r="O84" s="392"/>
      <c r="P84" s="392"/>
      <c r="Q84" s="392"/>
      <c r="R84" s="392"/>
      <c r="S84" s="392"/>
      <c r="T84" s="392"/>
      <c r="U84" s="392"/>
      <c r="V84" s="392"/>
      <c r="W84" s="392"/>
      <c r="X84" s="392"/>
      <c r="Y84" s="392"/>
      <c r="Z84" s="392"/>
      <c r="AA84" s="392"/>
      <c r="AB84" s="392"/>
      <c r="AC84" s="392"/>
      <c r="AD84" s="392"/>
      <c r="AE84" s="392"/>
      <c r="AF84" s="392"/>
      <c r="AG84" s="392"/>
      <c r="AH84" s="392"/>
      <c r="AI84" s="392"/>
      <c r="AJ84" s="392"/>
      <c r="AK84" s="392"/>
      <c r="AL84" s="392"/>
      <c r="AM84" s="392"/>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392"/>
      <c r="BK84" s="392"/>
      <c r="BL84" s="392"/>
      <c r="BM84" s="392"/>
      <c r="BN84" s="392"/>
      <c r="BO84" s="392"/>
      <c r="BP84" s="392"/>
      <c r="BQ84" s="392"/>
      <c r="BR84" s="392"/>
      <c r="BS84" s="392"/>
      <c r="BT84" s="392"/>
      <c r="BU84" s="392"/>
      <c r="BV84" s="392"/>
      <c r="BW84" s="392"/>
      <c r="BX84" s="392"/>
      <c r="BY84" s="392"/>
      <c r="BZ84" s="392"/>
      <c r="CA84" s="392"/>
      <c r="CB84" s="392"/>
      <c r="CC84" s="392"/>
      <c r="CD84" s="392"/>
      <c r="CE84" s="392"/>
      <c r="CF84" s="392"/>
      <c r="CG84" s="392"/>
      <c r="CH84" s="392"/>
      <c r="CI84" s="392"/>
      <c r="CJ84" s="392"/>
      <c r="CK84" s="392"/>
      <c r="CL84" s="392"/>
      <c r="CM84" s="392"/>
      <c r="CN84" s="392"/>
      <c r="CO84" s="392"/>
      <c r="CP84" s="392"/>
      <c r="CQ84" s="392"/>
      <c r="CR84" s="392"/>
      <c r="CS84" s="392"/>
      <c r="CT84" s="392"/>
      <c r="CU84" s="392"/>
      <c r="CV84" s="392"/>
      <c r="CW84" s="392"/>
      <c r="CX84" s="392"/>
      <c r="CY84" s="392"/>
      <c r="CZ84" s="392"/>
      <c r="DA84" s="392"/>
      <c r="DB84" s="392"/>
      <c r="DC84" s="392"/>
      <c r="DD84" s="392"/>
      <c r="DE84" s="392"/>
      <c r="DF84" s="392"/>
      <c r="DG84" s="392"/>
      <c r="DH84" s="392"/>
      <c r="DI84" s="392"/>
      <c r="DJ84" s="392"/>
      <c r="DK84" s="392"/>
      <c r="DL84" s="392"/>
      <c r="DM84" s="392"/>
      <c r="DN84" s="392"/>
      <c r="DO84" s="392"/>
      <c r="DP84" s="392"/>
      <c r="DQ84" s="392"/>
      <c r="DR84" s="392"/>
      <c r="DS84" s="392"/>
      <c r="DT84" s="392"/>
      <c r="DU84" s="392"/>
      <c r="DV84" s="392"/>
      <c r="DW84" s="392"/>
      <c r="DX84" s="392"/>
      <c r="DY84" s="392"/>
      <c r="DZ84" s="392"/>
      <c r="EA84" s="392"/>
      <c r="EB84" s="392"/>
      <c r="EC84" s="392"/>
      <c r="ED84" s="392"/>
      <c r="EE84" s="392"/>
      <c r="EF84" s="392"/>
      <c r="EG84" s="392"/>
      <c r="EH84" s="392"/>
      <c r="EI84" s="392"/>
      <c r="EJ84" s="392"/>
      <c r="EK84" s="392"/>
      <c r="EL84" s="392"/>
      <c r="EM84" s="392"/>
      <c r="EN84" s="392"/>
      <c r="EO84" s="392"/>
      <c r="EP84" s="392"/>
      <c r="EQ84" s="392"/>
      <c r="ER84" s="392"/>
      <c r="ES84" s="392"/>
      <c r="ET84" s="392"/>
      <c r="EU84" s="392"/>
      <c r="EV84" s="392"/>
      <c r="EW84" s="392"/>
      <c r="EX84" s="392"/>
      <c r="EY84" s="392"/>
      <c r="EZ84" s="392"/>
      <c r="FA84" s="392"/>
      <c r="FB84" s="392"/>
      <c r="FC84" s="392"/>
      <c r="FD84" s="392"/>
      <c r="FE84" s="392"/>
      <c r="FF84" s="392"/>
      <c r="FG84" s="392"/>
      <c r="FH84" s="392"/>
      <c r="FI84" s="392"/>
      <c r="FJ84" s="392"/>
      <c r="FK84" s="392"/>
      <c r="FL84" s="392"/>
      <c r="FM84" s="392"/>
      <c r="FN84" s="392"/>
      <c r="FO84" s="392"/>
      <c r="FP84" s="392"/>
      <c r="FQ84" s="392"/>
      <c r="FR84" s="392"/>
      <c r="FS84" s="392"/>
      <c r="FT84" s="392"/>
      <c r="FU84" s="392"/>
      <c r="FV84" s="392"/>
      <c r="FW84" s="392"/>
      <c r="FX84" s="392"/>
      <c r="FY84" s="392"/>
      <c r="FZ84" s="392"/>
      <c r="GA84" s="392"/>
      <c r="GB84" s="392"/>
      <c r="GC84" s="392"/>
      <c r="GD84" s="392"/>
      <c r="GE84" s="392"/>
      <c r="GF84" s="392"/>
      <c r="GG84" s="392"/>
      <c r="GH84" s="392"/>
      <c r="GI84" s="392"/>
      <c r="GJ84" s="392"/>
      <c r="GK84" s="392"/>
      <c r="GL84" s="392"/>
      <c r="GM84" s="392"/>
      <c r="GN84" s="392"/>
      <c r="GO84" s="392"/>
      <c r="GP84" s="392"/>
      <c r="GQ84" s="392"/>
      <c r="GR84" s="392"/>
      <c r="GS84" s="392"/>
      <c r="GT84" s="392"/>
      <c r="GU84" s="392"/>
      <c r="GV84" s="392"/>
      <c r="GW84" s="392"/>
      <c r="GX84" s="392"/>
      <c r="GY84" s="392"/>
      <c r="GZ84" s="392"/>
      <c r="HA84" s="392"/>
      <c r="HB84" s="392"/>
      <c r="HC84" s="392"/>
      <c r="HD84" s="392"/>
      <c r="HE84" s="392"/>
      <c r="HF84" s="392"/>
      <c r="HG84" s="392"/>
      <c r="HH84" s="392"/>
      <c r="HI84" s="392"/>
      <c r="HJ84" s="392"/>
      <c r="HK84" s="392"/>
      <c r="HL84" s="392"/>
      <c r="HM84" s="392"/>
      <c r="HN84" s="392"/>
      <c r="HO84" s="392"/>
      <c r="HP84" s="392"/>
      <c r="HQ84" s="392"/>
      <c r="HR84" s="392"/>
      <c r="HS84" s="392"/>
      <c r="HT84" s="392"/>
      <c r="HU84" s="392"/>
      <c r="HV84" s="392"/>
      <c r="HW84" s="392"/>
      <c r="HX84" s="392"/>
      <c r="HY84" s="392"/>
      <c r="HZ84" s="392"/>
      <c r="IA84" s="392"/>
      <c r="IB84" s="392"/>
      <c r="IC84" s="392"/>
      <c r="ID84" s="392"/>
      <c r="IE84" s="392"/>
      <c r="IF84" s="392"/>
      <c r="IG84" s="392"/>
      <c r="IH84" s="392"/>
      <c r="II84" s="392"/>
      <c r="IJ84" s="392"/>
      <c r="IK84" s="392"/>
      <c r="IL84" s="392"/>
      <c r="IM84" s="392"/>
      <c r="IN84" s="392"/>
      <c r="IO84" s="392"/>
      <c r="IP84" s="392"/>
      <c r="IQ84" s="392"/>
      <c r="IR84" s="392"/>
      <c r="IS84" s="392"/>
      <c r="IT84" s="392"/>
      <c r="IU84" s="392"/>
      <c r="IV84" s="392"/>
    </row>
    <row r="85" spans="1:256" ht="15.75">
      <c r="A85" s="392"/>
      <c r="B85" s="2333" t="s">
        <v>165</v>
      </c>
      <c r="C85" s="2334"/>
      <c r="D85" s="2334"/>
      <c r="E85" s="2334"/>
      <c r="F85" s="2334"/>
      <c r="G85" s="2335"/>
      <c r="H85" s="392"/>
      <c r="I85" s="392"/>
      <c r="J85" s="392"/>
      <c r="K85" s="392"/>
      <c r="L85" s="392"/>
      <c r="M85" s="392"/>
      <c r="N85" s="392"/>
      <c r="O85" s="392"/>
      <c r="P85" s="392"/>
      <c r="Q85" s="392"/>
      <c r="R85" s="392"/>
      <c r="S85" s="392"/>
      <c r="T85" s="392"/>
      <c r="U85" s="392"/>
      <c r="V85" s="392"/>
      <c r="W85" s="392"/>
      <c r="X85" s="392"/>
      <c r="Y85" s="392"/>
      <c r="Z85" s="392"/>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c r="BK85" s="392"/>
      <c r="BL85" s="392"/>
      <c r="BM85" s="392"/>
      <c r="BN85" s="392"/>
      <c r="BO85" s="392"/>
      <c r="BP85" s="392"/>
      <c r="BQ85" s="392"/>
      <c r="BR85" s="392"/>
      <c r="BS85" s="392"/>
      <c r="BT85" s="392"/>
      <c r="BU85" s="392"/>
      <c r="BV85" s="392"/>
      <c r="BW85" s="392"/>
      <c r="BX85" s="392"/>
      <c r="BY85" s="392"/>
      <c r="BZ85" s="392"/>
      <c r="CA85" s="392"/>
      <c r="CB85" s="392"/>
      <c r="CC85" s="392"/>
      <c r="CD85" s="392"/>
      <c r="CE85" s="392"/>
      <c r="CF85" s="392"/>
      <c r="CG85" s="392"/>
      <c r="CH85" s="392"/>
      <c r="CI85" s="392"/>
      <c r="CJ85" s="392"/>
      <c r="CK85" s="392"/>
      <c r="CL85" s="392"/>
      <c r="CM85" s="392"/>
      <c r="CN85" s="392"/>
      <c r="CO85" s="392"/>
      <c r="CP85" s="392"/>
      <c r="CQ85" s="392"/>
      <c r="CR85" s="392"/>
      <c r="CS85" s="392"/>
      <c r="CT85" s="392"/>
      <c r="CU85" s="392"/>
      <c r="CV85" s="392"/>
      <c r="CW85" s="392"/>
      <c r="CX85" s="392"/>
      <c r="CY85" s="392"/>
      <c r="CZ85" s="392"/>
      <c r="DA85" s="392"/>
      <c r="DB85" s="392"/>
      <c r="DC85" s="392"/>
      <c r="DD85" s="392"/>
      <c r="DE85" s="392"/>
      <c r="DF85" s="392"/>
      <c r="DG85" s="392"/>
      <c r="DH85" s="392"/>
      <c r="DI85" s="392"/>
      <c r="DJ85" s="392"/>
      <c r="DK85" s="392"/>
      <c r="DL85" s="392"/>
      <c r="DM85" s="392"/>
      <c r="DN85" s="392"/>
      <c r="DO85" s="392"/>
      <c r="DP85" s="392"/>
      <c r="DQ85" s="392"/>
      <c r="DR85" s="392"/>
      <c r="DS85" s="392"/>
      <c r="DT85" s="392"/>
      <c r="DU85" s="392"/>
      <c r="DV85" s="392"/>
      <c r="DW85" s="392"/>
      <c r="DX85" s="392"/>
      <c r="DY85" s="392"/>
      <c r="DZ85" s="392"/>
      <c r="EA85" s="392"/>
      <c r="EB85" s="392"/>
      <c r="EC85" s="392"/>
      <c r="ED85" s="392"/>
      <c r="EE85" s="392"/>
      <c r="EF85" s="392"/>
      <c r="EG85" s="392"/>
      <c r="EH85" s="392"/>
      <c r="EI85" s="392"/>
      <c r="EJ85" s="392"/>
      <c r="EK85" s="392"/>
      <c r="EL85" s="392"/>
      <c r="EM85" s="392"/>
      <c r="EN85" s="392"/>
      <c r="EO85" s="392"/>
      <c r="EP85" s="392"/>
      <c r="EQ85" s="392"/>
      <c r="ER85" s="392"/>
      <c r="ES85" s="392"/>
      <c r="ET85" s="392"/>
      <c r="EU85" s="392"/>
      <c r="EV85" s="392"/>
      <c r="EW85" s="392"/>
      <c r="EX85" s="392"/>
      <c r="EY85" s="392"/>
      <c r="EZ85" s="392"/>
      <c r="FA85" s="392"/>
      <c r="FB85" s="392"/>
      <c r="FC85" s="392"/>
      <c r="FD85" s="392"/>
      <c r="FE85" s="392"/>
      <c r="FF85" s="392"/>
      <c r="FG85" s="392"/>
      <c r="FH85" s="392"/>
      <c r="FI85" s="392"/>
      <c r="FJ85" s="392"/>
      <c r="FK85" s="392"/>
      <c r="FL85" s="392"/>
      <c r="FM85" s="392"/>
      <c r="FN85" s="392"/>
      <c r="FO85" s="392"/>
      <c r="FP85" s="392"/>
      <c r="FQ85" s="392"/>
      <c r="FR85" s="392"/>
      <c r="FS85" s="392"/>
      <c r="FT85" s="392"/>
      <c r="FU85" s="392"/>
      <c r="FV85" s="392"/>
      <c r="FW85" s="392"/>
      <c r="FX85" s="392"/>
      <c r="FY85" s="392"/>
      <c r="FZ85" s="392"/>
      <c r="GA85" s="392"/>
      <c r="GB85" s="392"/>
      <c r="GC85" s="392"/>
      <c r="GD85" s="392"/>
      <c r="GE85" s="392"/>
      <c r="GF85" s="392"/>
      <c r="GG85" s="392"/>
      <c r="GH85" s="392"/>
      <c r="GI85" s="392"/>
      <c r="GJ85" s="392"/>
      <c r="GK85" s="392"/>
      <c r="GL85" s="392"/>
      <c r="GM85" s="392"/>
      <c r="GN85" s="392"/>
      <c r="GO85" s="392"/>
      <c r="GP85" s="392"/>
      <c r="GQ85" s="392"/>
      <c r="GR85" s="392"/>
      <c r="GS85" s="392"/>
      <c r="GT85" s="392"/>
      <c r="GU85" s="392"/>
      <c r="GV85" s="392"/>
      <c r="GW85" s="392"/>
      <c r="GX85" s="392"/>
      <c r="GY85" s="392"/>
      <c r="GZ85" s="392"/>
      <c r="HA85" s="392"/>
      <c r="HB85" s="392"/>
      <c r="HC85" s="392"/>
      <c r="HD85" s="392"/>
      <c r="HE85" s="392"/>
      <c r="HF85" s="392"/>
      <c r="HG85" s="392"/>
      <c r="HH85" s="392"/>
      <c r="HI85" s="392"/>
      <c r="HJ85" s="392"/>
      <c r="HK85" s="392"/>
      <c r="HL85" s="392"/>
      <c r="HM85" s="392"/>
      <c r="HN85" s="392"/>
      <c r="HO85" s="392"/>
      <c r="HP85" s="392"/>
      <c r="HQ85" s="392"/>
      <c r="HR85" s="392"/>
      <c r="HS85" s="392"/>
      <c r="HT85" s="392"/>
      <c r="HU85" s="392"/>
      <c r="HV85" s="392"/>
      <c r="HW85" s="392"/>
      <c r="HX85" s="392"/>
      <c r="HY85" s="392"/>
      <c r="HZ85" s="392"/>
      <c r="IA85" s="392"/>
      <c r="IB85" s="392"/>
      <c r="IC85" s="392"/>
      <c r="ID85" s="392"/>
      <c r="IE85" s="392"/>
      <c r="IF85" s="392"/>
      <c r="IG85" s="392"/>
      <c r="IH85" s="392"/>
      <c r="II85" s="392"/>
      <c r="IJ85" s="392"/>
      <c r="IK85" s="392"/>
      <c r="IL85" s="392"/>
      <c r="IM85" s="392"/>
      <c r="IN85" s="392"/>
      <c r="IO85" s="392"/>
      <c r="IP85" s="392"/>
      <c r="IQ85" s="392"/>
      <c r="IR85" s="392"/>
      <c r="IS85" s="392"/>
      <c r="IT85" s="392"/>
      <c r="IU85" s="392"/>
      <c r="IV85" s="392"/>
    </row>
    <row r="86" spans="1:256" ht="15">
      <c r="A86" s="392"/>
      <c r="B86" s="2318" t="str">
        <f>C77</f>
        <v>ESCAVAÇÃO MANUAL DE VALA COM PROFUNDIDADE MENOR OU IGUAL A 1,30 M. AF_02/2021</v>
      </c>
      <c r="C86" s="2319"/>
      <c r="D86" s="583" t="s">
        <v>19</v>
      </c>
      <c r="E86" s="2340" t="s">
        <v>1711</v>
      </c>
      <c r="F86" s="2340"/>
      <c r="G86" s="2341"/>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392"/>
      <c r="BQ86" s="392"/>
      <c r="BR86" s="392"/>
      <c r="BS86" s="392"/>
      <c r="BT86" s="392"/>
      <c r="BU86" s="392"/>
      <c r="BV86" s="392"/>
      <c r="BW86" s="392"/>
      <c r="BX86" s="392"/>
      <c r="BY86" s="392"/>
      <c r="BZ86" s="392"/>
      <c r="CA86" s="392"/>
      <c r="CB86" s="392"/>
      <c r="CC86" s="392"/>
      <c r="CD86" s="392"/>
      <c r="CE86" s="392"/>
      <c r="CF86" s="392"/>
      <c r="CG86" s="392"/>
      <c r="CH86" s="392"/>
      <c r="CI86" s="392"/>
      <c r="CJ86" s="392"/>
      <c r="CK86" s="392"/>
      <c r="CL86" s="392"/>
      <c r="CM86" s="392"/>
      <c r="CN86" s="392"/>
      <c r="CO86" s="392"/>
      <c r="CP86" s="392"/>
      <c r="CQ86" s="392"/>
      <c r="CR86" s="392"/>
      <c r="CS86" s="392"/>
      <c r="CT86" s="392"/>
      <c r="CU86" s="392"/>
      <c r="CV86" s="392"/>
      <c r="CW86" s="392"/>
      <c r="CX86" s="392"/>
      <c r="CY86" s="392"/>
      <c r="CZ86" s="392"/>
      <c r="DA86" s="392"/>
      <c r="DB86" s="392"/>
      <c r="DC86" s="392"/>
      <c r="DD86" s="392"/>
      <c r="DE86" s="392"/>
      <c r="DF86" s="392"/>
      <c r="DG86" s="392"/>
      <c r="DH86" s="392"/>
      <c r="DI86" s="392"/>
      <c r="DJ86" s="392"/>
      <c r="DK86" s="392"/>
      <c r="DL86" s="392"/>
      <c r="DM86" s="392"/>
      <c r="DN86" s="392"/>
      <c r="DO86" s="392"/>
      <c r="DP86" s="392"/>
      <c r="DQ86" s="392"/>
      <c r="DR86" s="392"/>
      <c r="DS86" s="392"/>
      <c r="DT86" s="392"/>
      <c r="DU86" s="392"/>
      <c r="DV86" s="392"/>
      <c r="DW86" s="392"/>
      <c r="DX86" s="392"/>
      <c r="DY86" s="392"/>
      <c r="DZ86" s="392"/>
      <c r="EA86" s="392"/>
      <c r="EB86" s="392"/>
      <c r="EC86" s="392"/>
      <c r="ED86" s="392"/>
      <c r="EE86" s="392"/>
      <c r="EF86" s="392"/>
      <c r="EG86" s="392"/>
      <c r="EH86" s="392"/>
      <c r="EI86" s="392"/>
      <c r="EJ86" s="392"/>
      <c r="EK86" s="392"/>
      <c r="EL86" s="392"/>
      <c r="EM86" s="392"/>
      <c r="EN86" s="392"/>
      <c r="EO86" s="392"/>
      <c r="EP86" s="392"/>
      <c r="EQ86" s="392"/>
      <c r="ER86" s="392"/>
      <c r="ES86" s="392"/>
      <c r="ET86" s="392"/>
      <c r="EU86" s="392"/>
      <c r="EV86" s="392"/>
      <c r="EW86" s="392"/>
      <c r="EX86" s="392"/>
      <c r="EY86" s="392"/>
      <c r="EZ86" s="392"/>
      <c r="FA86" s="392"/>
      <c r="FB86" s="392"/>
      <c r="FC86" s="392"/>
      <c r="FD86" s="392"/>
      <c r="FE86" s="392"/>
      <c r="FF86" s="392"/>
      <c r="FG86" s="392"/>
      <c r="FH86" s="392"/>
      <c r="FI86" s="392"/>
      <c r="FJ86" s="392"/>
      <c r="FK86" s="392"/>
      <c r="FL86" s="392"/>
      <c r="FM86" s="392"/>
      <c r="FN86" s="392"/>
      <c r="FO86" s="392"/>
      <c r="FP86" s="392"/>
      <c r="FQ86" s="392"/>
      <c r="FR86" s="392"/>
      <c r="FS86" s="392"/>
      <c r="FT86" s="392"/>
      <c r="FU86" s="392"/>
      <c r="FV86" s="392"/>
      <c r="FW86" s="392"/>
      <c r="FX86" s="392"/>
      <c r="FY86" s="392"/>
      <c r="FZ86" s="392"/>
      <c r="GA86" s="392"/>
      <c r="GB86" s="392"/>
      <c r="GC86" s="392"/>
      <c r="GD86" s="392"/>
      <c r="GE86" s="392"/>
      <c r="GF86" s="392"/>
      <c r="GG86" s="392"/>
      <c r="GH86" s="392"/>
      <c r="GI86" s="392"/>
      <c r="GJ86" s="392"/>
      <c r="GK86" s="392"/>
      <c r="GL86" s="392"/>
      <c r="GM86" s="392"/>
      <c r="GN86" s="392"/>
      <c r="GO86" s="392"/>
      <c r="GP86" s="392"/>
      <c r="GQ86" s="392"/>
      <c r="GR86" s="392"/>
      <c r="GS86" s="392"/>
      <c r="GT86" s="392"/>
      <c r="GU86" s="392"/>
      <c r="GV86" s="392"/>
      <c r="GW86" s="392"/>
      <c r="GX86" s="392"/>
      <c r="GY86" s="392"/>
      <c r="GZ86" s="392"/>
      <c r="HA86" s="392"/>
      <c r="HB86" s="392"/>
      <c r="HC86" s="392"/>
      <c r="HD86" s="392"/>
      <c r="HE86" s="392"/>
      <c r="HF86" s="392"/>
      <c r="HG86" s="392"/>
      <c r="HH86" s="392"/>
      <c r="HI86" s="392"/>
      <c r="HJ86" s="392"/>
      <c r="HK86" s="392"/>
      <c r="HL86" s="392"/>
      <c r="HM86" s="392"/>
      <c r="HN86" s="392"/>
      <c r="HO86" s="392"/>
      <c r="HP86" s="392"/>
      <c r="HQ86" s="392"/>
      <c r="HR86" s="392"/>
      <c r="HS86" s="392"/>
      <c r="HT86" s="392"/>
      <c r="HU86" s="392"/>
      <c r="HV86" s="392"/>
      <c r="HW86" s="392"/>
      <c r="HX86" s="392"/>
      <c r="HY86" s="392"/>
      <c r="HZ86" s="392"/>
      <c r="IA86" s="392"/>
      <c r="IB86" s="392"/>
      <c r="IC86" s="392"/>
      <c r="ID86" s="392"/>
      <c r="IE86" s="392"/>
      <c r="IF86" s="392"/>
      <c r="IG86" s="392"/>
      <c r="IH86" s="392"/>
      <c r="II86" s="392"/>
      <c r="IJ86" s="392"/>
      <c r="IK86" s="392"/>
      <c r="IL86" s="392"/>
      <c r="IM86" s="392"/>
      <c r="IN86" s="392"/>
      <c r="IO86" s="392"/>
      <c r="IP86" s="392"/>
      <c r="IQ86" s="392"/>
      <c r="IR86" s="392"/>
      <c r="IS86" s="392"/>
      <c r="IT86" s="392"/>
      <c r="IU86" s="392"/>
      <c r="IV86" s="392"/>
    </row>
    <row r="87" spans="1:256" ht="34.5" customHeight="1">
      <c r="A87" s="392"/>
      <c r="B87" s="2318" t="str">
        <f>C78</f>
        <v>CONCRETO FCK = 25MPA, TRAÇO 1:2,3:2,7 (EM MASSA SECA DE CIMENTO/ AREIA MÉDIA/ BRITA 1) - PREPARO MECÂNICO COM BETONEIRA 400 L. AF_05/2021</v>
      </c>
      <c r="C87" s="2319"/>
      <c r="D87" s="322" t="s">
        <v>19</v>
      </c>
      <c r="E87" s="2320" t="str">
        <f>E86</f>
        <v>(0,3*0,4*0,4)</v>
      </c>
      <c r="F87" s="2320"/>
      <c r="G87" s="2321"/>
      <c r="H87" s="392"/>
      <c r="I87" s="392"/>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c r="CA87" s="392"/>
      <c r="CB87" s="392"/>
      <c r="CC87" s="392"/>
      <c r="CD87" s="392"/>
      <c r="CE87" s="392"/>
      <c r="CF87" s="392"/>
      <c r="CG87" s="392"/>
      <c r="CH87" s="392"/>
      <c r="CI87" s="392"/>
      <c r="CJ87" s="392"/>
      <c r="CK87" s="392"/>
      <c r="CL87" s="392"/>
      <c r="CM87" s="392"/>
      <c r="CN87" s="392"/>
      <c r="CO87" s="392"/>
      <c r="CP87" s="392"/>
      <c r="CQ87" s="392"/>
      <c r="CR87" s="392"/>
      <c r="CS87" s="392"/>
      <c r="CT87" s="392"/>
      <c r="CU87" s="392"/>
      <c r="CV87" s="392"/>
      <c r="CW87" s="392"/>
      <c r="CX87" s="392"/>
      <c r="CY87" s="392"/>
      <c r="CZ87" s="392"/>
      <c r="DA87" s="392"/>
      <c r="DB87" s="392"/>
      <c r="DC87" s="392"/>
      <c r="DD87" s="392"/>
      <c r="DE87" s="392"/>
      <c r="DF87" s="392"/>
      <c r="DG87" s="392"/>
      <c r="DH87" s="392"/>
      <c r="DI87" s="392"/>
      <c r="DJ87" s="392"/>
      <c r="DK87" s="392"/>
      <c r="DL87" s="392"/>
      <c r="DM87" s="392"/>
      <c r="DN87" s="392"/>
      <c r="DO87" s="392"/>
      <c r="DP87" s="392"/>
      <c r="DQ87" s="392"/>
      <c r="DR87" s="392"/>
      <c r="DS87" s="392"/>
      <c r="DT87" s="392"/>
      <c r="DU87" s="392"/>
      <c r="DV87" s="392"/>
      <c r="DW87" s="392"/>
      <c r="DX87" s="392"/>
      <c r="DY87" s="392"/>
      <c r="DZ87" s="392"/>
      <c r="EA87" s="392"/>
      <c r="EB87" s="392"/>
      <c r="EC87" s="392"/>
      <c r="ED87" s="392"/>
      <c r="EE87" s="392"/>
      <c r="EF87" s="392"/>
      <c r="EG87" s="392"/>
      <c r="EH87" s="392"/>
      <c r="EI87" s="392"/>
      <c r="EJ87" s="392"/>
      <c r="EK87" s="392"/>
      <c r="EL87" s="392"/>
      <c r="EM87" s="392"/>
      <c r="EN87" s="392"/>
      <c r="EO87" s="392"/>
      <c r="EP87" s="392"/>
      <c r="EQ87" s="392"/>
      <c r="ER87" s="392"/>
      <c r="ES87" s="392"/>
      <c r="ET87" s="392"/>
      <c r="EU87" s="392"/>
      <c r="EV87" s="392"/>
      <c r="EW87" s="392"/>
      <c r="EX87" s="392"/>
      <c r="EY87" s="392"/>
      <c r="EZ87" s="392"/>
      <c r="FA87" s="392"/>
      <c r="FB87" s="392"/>
      <c r="FC87" s="392"/>
      <c r="FD87" s="392"/>
      <c r="FE87" s="392"/>
      <c r="FF87" s="392"/>
      <c r="FG87" s="392"/>
      <c r="FH87" s="392"/>
      <c r="FI87" s="392"/>
      <c r="FJ87" s="392"/>
      <c r="FK87" s="392"/>
      <c r="FL87" s="392"/>
      <c r="FM87" s="392"/>
      <c r="FN87" s="392"/>
      <c r="FO87" s="392"/>
      <c r="FP87" s="392"/>
      <c r="FQ87" s="392"/>
      <c r="FR87" s="392"/>
      <c r="FS87" s="392"/>
      <c r="FT87" s="392"/>
      <c r="FU87" s="392"/>
      <c r="FV87" s="392"/>
      <c r="FW87" s="392"/>
      <c r="FX87" s="392"/>
      <c r="FY87" s="392"/>
      <c r="FZ87" s="392"/>
      <c r="GA87" s="392"/>
      <c r="GB87" s="392"/>
      <c r="GC87" s="392"/>
      <c r="GD87" s="392"/>
      <c r="GE87" s="392"/>
      <c r="GF87" s="392"/>
      <c r="GG87" s="392"/>
      <c r="GH87" s="392"/>
      <c r="GI87" s="392"/>
      <c r="GJ87" s="392"/>
      <c r="GK87" s="392"/>
      <c r="GL87" s="392"/>
      <c r="GM87" s="392"/>
      <c r="GN87" s="392"/>
      <c r="GO87" s="392"/>
      <c r="GP87" s="392"/>
      <c r="GQ87" s="392"/>
      <c r="GR87" s="392"/>
      <c r="GS87" s="392"/>
      <c r="GT87" s="392"/>
      <c r="GU87" s="392"/>
      <c r="GV87" s="392"/>
      <c r="GW87" s="392"/>
      <c r="GX87" s="392"/>
      <c r="GY87" s="392"/>
      <c r="GZ87" s="392"/>
      <c r="HA87" s="392"/>
      <c r="HB87" s="392"/>
      <c r="HC87" s="392"/>
      <c r="HD87" s="392"/>
      <c r="HE87" s="392"/>
      <c r="HF87" s="392"/>
      <c r="HG87" s="392"/>
      <c r="HH87" s="392"/>
      <c r="HI87" s="392"/>
      <c r="HJ87" s="392"/>
      <c r="HK87" s="392"/>
      <c r="HL87" s="392"/>
      <c r="HM87" s="392"/>
      <c r="HN87" s="392"/>
      <c r="HO87" s="392"/>
      <c r="HP87" s="392"/>
      <c r="HQ87" s="392"/>
      <c r="HR87" s="392"/>
      <c r="HS87" s="392"/>
      <c r="HT87" s="392"/>
      <c r="HU87" s="392"/>
      <c r="HV87" s="392"/>
      <c r="HW87" s="392"/>
      <c r="HX87" s="392"/>
      <c r="HY87" s="392"/>
      <c r="HZ87" s="392"/>
      <c r="IA87" s="392"/>
      <c r="IB87" s="392"/>
      <c r="IC87" s="392"/>
      <c r="ID87" s="392"/>
      <c r="IE87" s="392"/>
      <c r="IF87" s="392"/>
      <c r="IG87" s="392"/>
      <c r="IH87" s="392"/>
      <c r="II87" s="392"/>
      <c r="IJ87" s="392"/>
      <c r="IK87" s="392"/>
      <c r="IL87" s="392"/>
      <c r="IM87" s="392"/>
      <c r="IN87" s="392"/>
      <c r="IO87" s="392"/>
      <c r="IP87" s="392"/>
      <c r="IQ87" s="392"/>
      <c r="IR87" s="392"/>
      <c r="IS87" s="392"/>
      <c r="IT87" s="392"/>
      <c r="IU87" s="392"/>
      <c r="IV87" s="392"/>
    </row>
    <row r="88" spans="1:256" ht="34.5" customHeight="1">
      <c r="A88" s="392"/>
      <c r="B88" s="2318" t="e">
        <f>C79</f>
        <v>#N/A</v>
      </c>
      <c r="C88" s="2319"/>
      <c r="D88" s="322" t="s">
        <v>19</v>
      </c>
      <c r="E88" s="2320" t="str">
        <f>E86</f>
        <v>(0,3*0,4*0,4)</v>
      </c>
      <c r="F88" s="2320"/>
      <c r="G88" s="2321"/>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c r="AN88" s="3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c r="CA88" s="392"/>
      <c r="CB88" s="392"/>
      <c r="CC88" s="392"/>
      <c r="CD88" s="392"/>
      <c r="CE88" s="392"/>
      <c r="CF88" s="392"/>
      <c r="CG88" s="392"/>
      <c r="CH88" s="392"/>
      <c r="CI88" s="392"/>
      <c r="CJ88" s="392"/>
      <c r="CK88" s="392"/>
      <c r="CL88" s="392"/>
      <c r="CM88" s="392"/>
      <c r="CN88" s="392"/>
      <c r="CO88" s="392"/>
      <c r="CP88" s="392"/>
      <c r="CQ88" s="392"/>
      <c r="CR88" s="392"/>
      <c r="CS88" s="392"/>
      <c r="CT88" s="392"/>
      <c r="CU88" s="392"/>
      <c r="CV88" s="392"/>
      <c r="CW88" s="392"/>
      <c r="CX88" s="392"/>
      <c r="CY88" s="392"/>
      <c r="CZ88" s="392"/>
      <c r="DA88" s="392"/>
      <c r="DB88" s="392"/>
      <c r="DC88" s="392"/>
      <c r="DD88" s="392"/>
      <c r="DE88" s="392"/>
      <c r="DF88" s="392"/>
      <c r="DG88" s="392"/>
      <c r="DH88" s="392"/>
      <c r="DI88" s="392"/>
      <c r="DJ88" s="392"/>
      <c r="DK88" s="392"/>
      <c r="DL88" s="392"/>
      <c r="DM88" s="392"/>
      <c r="DN88" s="392"/>
      <c r="DO88" s="392"/>
      <c r="DP88" s="392"/>
      <c r="DQ88" s="392"/>
      <c r="DR88" s="392"/>
      <c r="DS88" s="392"/>
      <c r="DT88" s="392"/>
      <c r="DU88" s="392"/>
      <c r="DV88" s="392"/>
      <c r="DW88" s="392"/>
      <c r="DX88" s="392"/>
      <c r="DY88" s="392"/>
      <c r="DZ88" s="392"/>
      <c r="EA88" s="392"/>
      <c r="EB88" s="392"/>
      <c r="EC88" s="392"/>
      <c r="ED88" s="392"/>
      <c r="EE88" s="392"/>
      <c r="EF88" s="392"/>
      <c r="EG88" s="392"/>
      <c r="EH88" s="392"/>
      <c r="EI88" s="392"/>
      <c r="EJ88" s="392"/>
      <c r="EK88" s="392"/>
      <c r="EL88" s="392"/>
      <c r="EM88" s="392"/>
      <c r="EN88" s="392"/>
      <c r="EO88" s="392"/>
      <c r="EP88" s="392"/>
      <c r="EQ88" s="392"/>
      <c r="ER88" s="392"/>
      <c r="ES88" s="392"/>
      <c r="ET88" s="392"/>
      <c r="EU88" s="392"/>
      <c r="EV88" s="392"/>
      <c r="EW88" s="392"/>
      <c r="EX88" s="392"/>
      <c r="EY88" s="392"/>
      <c r="EZ88" s="392"/>
      <c r="FA88" s="392"/>
      <c r="FB88" s="392"/>
      <c r="FC88" s="392"/>
      <c r="FD88" s="392"/>
      <c r="FE88" s="392"/>
      <c r="FF88" s="392"/>
      <c r="FG88" s="392"/>
      <c r="FH88" s="392"/>
      <c r="FI88" s="392"/>
      <c r="FJ88" s="392"/>
      <c r="FK88" s="392"/>
      <c r="FL88" s="392"/>
      <c r="FM88" s="392"/>
      <c r="FN88" s="392"/>
      <c r="FO88" s="392"/>
      <c r="FP88" s="392"/>
      <c r="FQ88" s="392"/>
      <c r="FR88" s="392"/>
      <c r="FS88" s="392"/>
      <c r="FT88" s="392"/>
      <c r="FU88" s="392"/>
      <c r="FV88" s="392"/>
      <c r="FW88" s="392"/>
      <c r="FX88" s="392"/>
      <c r="FY88" s="392"/>
      <c r="FZ88" s="392"/>
      <c r="GA88" s="392"/>
      <c r="GB88" s="392"/>
      <c r="GC88" s="392"/>
      <c r="GD88" s="392"/>
      <c r="GE88" s="392"/>
      <c r="GF88" s="392"/>
      <c r="GG88" s="392"/>
      <c r="GH88" s="392"/>
      <c r="GI88" s="392"/>
      <c r="GJ88" s="392"/>
      <c r="GK88" s="392"/>
      <c r="GL88" s="392"/>
      <c r="GM88" s="392"/>
      <c r="GN88" s="392"/>
      <c r="GO88" s="392"/>
      <c r="GP88" s="392"/>
      <c r="GQ88" s="392"/>
      <c r="GR88" s="392"/>
      <c r="GS88" s="392"/>
      <c r="GT88" s="392"/>
      <c r="GU88" s="392"/>
      <c r="GV88" s="392"/>
      <c r="GW88" s="392"/>
      <c r="GX88" s="392"/>
      <c r="GY88" s="392"/>
      <c r="GZ88" s="392"/>
      <c r="HA88" s="392"/>
      <c r="HB88" s="392"/>
      <c r="HC88" s="392"/>
      <c r="HD88" s="392"/>
      <c r="HE88" s="392"/>
      <c r="HF88" s="392"/>
      <c r="HG88" s="392"/>
      <c r="HH88" s="392"/>
      <c r="HI88" s="392"/>
      <c r="HJ88" s="392"/>
      <c r="HK88" s="392"/>
      <c r="HL88" s="392"/>
      <c r="HM88" s="392"/>
      <c r="HN88" s="392"/>
      <c r="HO88" s="392"/>
      <c r="HP88" s="392"/>
      <c r="HQ88" s="392"/>
      <c r="HR88" s="392"/>
      <c r="HS88" s="392"/>
      <c r="HT88" s="392"/>
      <c r="HU88" s="392"/>
      <c r="HV88" s="392"/>
      <c r="HW88" s="392"/>
      <c r="HX88" s="392"/>
      <c r="HY88" s="392"/>
      <c r="HZ88" s="392"/>
      <c r="IA88" s="392"/>
      <c r="IB88" s="392"/>
      <c r="IC88" s="392"/>
      <c r="ID88" s="392"/>
      <c r="IE88" s="392"/>
      <c r="IF88" s="392"/>
      <c r="IG88" s="392"/>
      <c r="IH88" s="392"/>
      <c r="II88" s="392"/>
      <c r="IJ88" s="392"/>
      <c r="IK88" s="392"/>
      <c r="IL88" s="392"/>
      <c r="IM88" s="392"/>
      <c r="IN88" s="392"/>
      <c r="IO88" s="392"/>
      <c r="IP88" s="392"/>
      <c r="IQ88" s="392"/>
      <c r="IR88" s="392"/>
      <c r="IS88" s="392"/>
      <c r="IT88" s="392"/>
      <c r="IU88" s="392"/>
      <c r="IV88" s="392"/>
    </row>
    <row r="89" spans="1:256" ht="13.5" thickBot="1">
      <c r="A89" s="392"/>
      <c r="B89" s="448"/>
      <c r="C89" s="448"/>
      <c r="D89" s="448"/>
      <c r="E89" s="448"/>
      <c r="F89" s="448"/>
      <c r="G89" s="448"/>
      <c r="H89" s="392"/>
      <c r="I89" s="392"/>
      <c r="J89" s="392"/>
      <c r="K89" s="392"/>
      <c r="L89" s="392"/>
      <c r="M89" s="392"/>
      <c r="N89" s="392"/>
      <c r="O89" s="392"/>
      <c r="P89" s="392"/>
      <c r="Q89" s="392"/>
      <c r="R89" s="392"/>
      <c r="S89" s="392"/>
      <c r="T89" s="392"/>
      <c r="U89" s="392"/>
      <c r="V89" s="392"/>
      <c r="W89" s="392"/>
      <c r="X89" s="392"/>
      <c r="Y89" s="392"/>
      <c r="Z89" s="392"/>
      <c r="AA89" s="392"/>
      <c r="AB89" s="392"/>
      <c r="AC89" s="392"/>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c r="BF89" s="392"/>
      <c r="BG89" s="392"/>
      <c r="BH89" s="392"/>
      <c r="BI89" s="392"/>
      <c r="BJ89" s="392"/>
      <c r="BK89" s="392"/>
      <c r="BL89" s="392"/>
      <c r="BM89" s="392"/>
      <c r="BN89" s="392"/>
      <c r="BO89" s="392"/>
      <c r="BP89" s="392"/>
      <c r="BQ89" s="392"/>
      <c r="BR89" s="392"/>
      <c r="BS89" s="392"/>
      <c r="BT89" s="392"/>
      <c r="BU89" s="392"/>
      <c r="BV89" s="392"/>
      <c r="BW89" s="392"/>
      <c r="BX89" s="392"/>
      <c r="BY89" s="392"/>
      <c r="BZ89" s="392"/>
      <c r="CA89" s="392"/>
      <c r="CB89" s="392"/>
      <c r="CC89" s="392"/>
      <c r="CD89" s="392"/>
      <c r="CE89" s="392"/>
      <c r="CF89" s="392"/>
      <c r="CG89" s="392"/>
      <c r="CH89" s="392"/>
      <c r="CI89" s="392"/>
      <c r="CJ89" s="392"/>
      <c r="CK89" s="392"/>
      <c r="CL89" s="392"/>
      <c r="CM89" s="392"/>
      <c r="CN89" s="392"/>
      <c r="CO89" s="392"/>
      <c r="CP89" s="392"/>
      <c r="CQ89" s="392"/>
      <c r="CR89" s="392"/>
      <c r="CS89" s="392"/>
      <c r="CT89" s="392"/>
      <c r="CU89" s="392"/>
      <c r="CV89" s="392"/>
      <c r="CW89" s="392"/>
      <c r="CX89" s="392"/>
      <c r="CY89" s="392"/>
      <c r="CZ89" s="392"/>
      <c r="DA89" s="392"/>
      <c r="DB89" s="392"/>
      <c r="DC89" s="392"/>
      <c r="DD89" s="392"/>
      <c r="DE89" s="392"/>
      <c r="DF89" s="392"/>
      <c r="DG89" s="392"/>
      <c r="DH89" s="392"/>
      <c r="DI89" s="392"/>
      <c r="DJ89" s="392"/>
      <c r="DK89" s="392"/>
      <c r="DL89" s="392"/>
      <c r="DM89" s="392"/>
      <c r="DN89" s="392"/>
      <c r="DO89" s="392"/>
      <c r="DP89" s="392"/>
      <c r="DQ89" s="392"/>
      <c r="DR89" s="392"/>
      <c r="DS89" s="392"/>
      <c r="DT89" s="392"/>
      <c r="DU89" s="392"/>
      <c r="DV89" s="392"/>
      <c r="DW89" s="392"/>
      <c r="DX89" s="392"/>
      <c r="DY89" s="392"/>
      <c r="DZ89" s="392"/>
      <c r="EA89" s="392"/>
      <c r="EB89" s="392"/>
      <c r="EC89" s="392"/>
      <c r="ED89" s="392"/>
      <c r="EE89" s="392"/>
      <c r="EF89" s="392"/>
      <c r="EG89" s="392"/>
      <c r="EH89" s="392"/>
      <c r="EI89" s="392"/>
      <c r="EJ89" s="392"/>
      <c r="EK89" s="392"/>
      <c r="EL89" s="392"/>
      <c r="EM89" s="392"/>
      <c r="EN89" s="392"/>
      <c r="EO89" s="392"/>
      <c r="EP89" s="392"/>
      <c r="EQ89" s="392"/>
      <c r="ER89" s="392"/>
      <c r="ES89" s="392"/>
      <c r="ET89" s="392"/>
      <c r="EU89" s="392"/>
      <c r="EV89" s="392"/>
      <c r="EW89" s="392"/>
      <c r="EX89" s="392"/>
      <c r="EY89" s="392"/>
      <c r="EZ89" s="392"/>
      <c r="FA89" s="392"/>
      <c r="FB89" s="392"/>
      <c r="FC89" s="392"/>
      <c r="FD89" s="392"/>
      <c r="FE89" s="392"/>
      <c r="FF89" s="392"/>
      <c r="FG89" s="392"/>
      <c r="FH89" s="392"/>
      <c r="FI89" s="392"/>
      <c r="FJ89" s="392"/>
      <c r="FK89" s="392"/>
      <c r="FL89" s="392"/>
      <c r="FM89" s="392"/>
      <c r="FN89" s="392"/>
      <c r="FO89" s="392"/>
      <c r="FP89" s="392"/>
      <c r="FQ89" s="392"/>
      <c r="FR89" s="392"/>
      <c r="FS89" s="392"/>
      <c r="FT89" s="392"/>
      <c r="FU89" s="392"/>
      <c r="FV89" s="392"/>
      <c r="FW89" s="392"/>
      <c r="FX89" s="392"/>
      <c r="FY89" s="392"/>
      <c r="FZ89" s="392"/>
      <c r="GA89" s="392"/>
      <c r="GB89" s="392"/>
      <c r="GC89" s="392"/>
      <c r="GD89" s="392"/>
      <c r="GE89" s="392"/>
      <c r="GF89" s="392"/>
      <c r="GG89" s="392"/>
      <c r="GH89" s="392"/>
      <c r="GI89" s="392"/>
      <c r="GJ89" s="392"/>
      <c r="GK89" s="392"/>
      <c r="GL89" s="392"/>
      <c r="GM89" s="392"/>
      <c r="GN89" s="392"/>
      <c r="GO89" s="392"/>
      <c r="GP89" s="392"/>
      <c r="GQ89" s="392"/>
      <c r="GR89" s="392"/>
      <c r="GS89" s="392"/>
      <c r="GT89" s="392"/>
      <c r="GU89" s="392"/>
      <c r="GV89" s="392"/>
      <c r="GW89" s="392"/>
      <c r="GX89" s="392"/>
      <c r="GY89" s="392"/>
      <c r="GZ89" s="392"/>
      <c r="HA89" s="392"/>
      <c r="HB89" s="392"/>
      <c r="HC89" s="392"/>
      <c r="HD89" s="392"/>
      <c r="HE89" s="392"/>
      <c r="HF89" s="392"/>
      <c r="HG89" s="392"/>
      <c r="HH89" s="392"/>
      <c r="HI89" s="392"/>
      <c r="HJ89" s="392"/>
      <c r="HK89" s="392"/>
      <c r="HL89" s="392"/>
      <c r="HM89" s="392"/>
      <c r="HN89" s="392"/>
      <c r="HO89" s="392"/>
      <c r="HP89" s="392"/>
      <c r="HQ89" s="392"/>
      <c r="HR89" s="392"/>
      <c r="HS89" s="392"/>
      <c r="HT89" s="392"/>
      <c r="HU89" s="392"/>
      <c r="HV89" s="392"/>
      <c r="HW89" s="392"/>
      <c r="HX89" s="392"/>
      <c r="HY89" s="392"/>
      <c r="HZ89" s="392"/>
      <c r="IA89" s="392"/>
      <c r="IB89" s="392"/>
      <c r="IC89" s="392"/>
      <c r="ID89" s="392"/>
      <c r="IE89" s="392"/>
      <c r="IF89" s="392"/>
      <c r="IG89" s="392"/>
      <c r="IH89" s="392"/>
      <c r="II89" s="392"/>
      <c r="IJ89" s="392"/>
      <c r="IK89" s="392"/>
      <c r="IL89" s="392"/>
      <c r="IM89" s="392"/>
      <c r="IN89" s="392"/>
      <c r="IO89" s="392"/>
      <c r="IP89" s="392"/>
      <c r="IQ89" s="392"/>
      <c r="IR89" s="392"/>
      <c r="IS89" s="392"/>
      <c r="IT89" s="392"/>
      <c r="IU89" s="392"/>
      <c r="IV89" s="392"/>
    </row>
    <row r="90" spans="1:256" ht="16.5" thickBot="1">
      <c r="A90" s="392"/>
      <c r="B90" s="594" t="s">
        <v>13992</v>
      </c>
      <c r="C90" s="595" t="s">
        <v>630</v>
      </c>
      <c r="D90" s="595"/>
      <c r="E90" s="595"/>
      <c r="F90" s="595"/>
      <c r="G90" s="596" t="s">
        <v>22</v>
      </c>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2"/>
      <c r="BF90" s="392"/>
      <c r="BG90" s="392"/>
      <c r="BH90" s="392"/>
      <c r="BI90" s="392"/>
      <c r="BJ90" s="392"/>
      <c r="BK90" s="392"/>
      <c r="BL90" s="392"/>
      <c r="BM90" s="392"/>
      <c r="BN90" s="392"/>
      <c r="BO90" s="392"/>
      <c r="BP90" s="392"/>
      <c r="BQ90" s="392"/>
      <c r="BR90" s="392"/>
      <c r="BS90" s="392"/>
      <c r="BT90" s="392"/>
      <c r="BU90" s="392"/>
      <c r="BV90" s="392"/>
      <c r="BW90" s="392"/>
      <c r="BX90" s="392"/>
      <c r="BY90" s="392"/>
      <c r="BZ90" s="392"/>
      <c r="CA90" s="392"/>
      <c r="CB90" s="392"/>
      <c r="CC90" s="392"/>
      <c r="CD90" s="392"/>
      <c r="CE90" s="392"/>
      <c r="CF90" s="392"/>
      <c r="CG90" s="392"/>
      <c r="CH90" s="392"/>
      <c r="CI90" s="392"/>
      <c r="CJ90" s="392"/>
      <c r="CK90" s="392"/>
      <c r="CL90" s="392"/>
      <c r="CM90" s="392"/>
      <c r="CN90" s="392"/>
      <c r="CO90" s="392"/>
      <c r="CP90" s="392"/>
      <c r="CQ90" s="392"/>
      <c r="CR90" s="392"/>
      <c r="CS90" s="392"/>
      <c r="CT90" s="392"/>
      <c r="CU90" s="392"/>
      <c r="CV90" s="392"/>
      <c r="CW90" s="392"/>
      <c r="CX90" s="392"/>
      <c r="CY90" s="392"/>
      <c r="CZ90" s="392"/>
      <c r="DA90" s="392"/>
      <c r="DB90" s="392"/>
      <c r="DC90" s="392"/>
      <c r="DD90" s="392"/>
      <c r="DE90" s="392"/>
      <c r="DF90" s="392"/>
      <c r="DG90" s="392"/>
      <c r="DH90" s="392"/>
      <c r="DI90" s="392"/>
      <c r="DJ90" s="392"/>
      <c r="DK90" s="392"/>
      <c r="DL90" s="392"/>
      <c r="DM90" s="392"/>
      <c r="DN90" s="392"/>
      <c r="DO90" s="392"/>
      <c r="DP90" s="392"/>
      <c r="DQ90" s="392"/>
      <c r="DR90" s="392"/>
      <c r="DS90" s="392"/>
      <c r="DT90" s="392"/>
      <c r="DU90" s="392"/>
      <c r="DV90" s="392"/>
      <c r="DW90" s="392"/>
      <c r="DX90" s="392"/>
      <c r="DY90" s="392"/>
      <c r="DZ90" s="392"/>
      <c r="EA90" s="392"/>
      <c r="EB90" s="392"/>
      <c r="EC90" s="392"/>
      <c r="ED90" s="392"/>
      <c r="EE90" s="392"/>
      <c r="EF90" s="392"/>
      <c r="EG90" s="392"/>
      <c r="EH90" s="392"/>
      <c r="EI90" s="392"/>
      <c r="EJ90" s="392"/>
      <c r="EK90" s="392"/>
      <c r="EL90" s="392"/>
      <c r="EM90" s="392"/>
      <c r="EN90" s="392"/>
      <c r="EO90" s="392"/>
      <c r="EP90" s="392"/>
      <c r="EQ90" s="392"/>
      <c r="ER90" s="392"/>
      <c r="ES90" s="392"/>
      <c r="ET90" s="392"/>
      <c r="EU90" s="392"/>
      <c r="EV90" s="392"/>
      <c r="EW90" s="392"/>
      <c r="EX90" s="392"/>
      <c r="EY90" s="392"/>
      <c r="EZ90" s="392"/>
      <c r="FA90" s="392"/>
      <c r="FB90" s="392"/>
      <c r="FC90" s="392"/>
      <c r="FD90" s="392"/>
      <c r="FE90" s="392"/>
      <c r="FF90" s="392"/>
      <c r="FG90" s="392"/>
      <c r="FH90" s="392"/>
      <c r="FI90" s="392"/>
      <c r="FJ90" s="392"/>
      <c r="FK90" s="392"/>
      <c r="FL90" s="392"/>
      <c r="FM90" s="392"/>
      <c r="FN90" s="392"/>
      <c r="FO90" s="392"/>
      <c r="FP90" s="392"/>
      <c r="FQ90" s="392"/>
      <c r="FR90" s="392"/>
      <c r="FS90" s="392"/>
      <c r="FT90" s="392"/>
      <c r="FU90" s="392"/>
      <c r="FV90" s="392"/>
      <c r="FW90" s="392"/>
      <c r="FX90" s="392"/>
      <c r="FY90" s="392"/>
      <c r="FZ90" s="392"/>
      <c r="GA90" s="392"/>
      <c r="GB90" s="392"/>
      <c r="GC90" s="392"/>
      <c r="GD90" s="392"/>
      <c r="GE90" s="392"/>
      <c r="GF90" s="392"/>
      <c r="GG90" s="392"/>
      <c r="GH90" s="392"/>
      <c r="GI90" s="392"/>
      <c r="GJ90" s="392"/>
      <c r="GK90" s="392"/>
      <c r="GL90" s="392"/>
      <c r="GM90" s="392"/>
      <c r="GN90" s="392"/>
      <c r="GO90" s="392"/>
      <c r="GP90" s="392"/>
      <c r="GQ90" s="392"/>
      <c r="GR90" s="392"/>
      <c r="GS90" s="392"/>
      <c r="GT90" s="392"/>
      <c r="GU90" s="392"/>
      <c r="GV90" s="392"/>
      <c r="GW90" s="392"/>
      <c r="GX90" s="392"/>
      <c r="GY90" s="392"/>
      <c r="GZ90" s="392"/>
      <c r="HA90" s="392"/>
      <c r="HB90" s="392"/>
      <c r="HC90" s="392"/>
      <c r="HD90" s="392"/>
      <c r="HE90" s="392"/>
      <c r="HF90" s="392"/>
      <c r="HG90" s="392"/>
      <c r="HH90" s="392"/>
      <c r="HI90" s="392"/>
      <c r="HJ90" s="392"/>
      <c r="HK90" s="392"/>
      <c r="HL90" s="392"/>
      <c r="HM90" s="392"/>
      <c r="HN90" s="392"/>
      <c r="HO90" s="392"/>
      <c r="HP90" s="392"/>
      <c r="HQ90" s="392"/>
      <c r="HR90" s="392"/>
      <c r="HS90" s="392"/>
      <c r="HT90" s="392"/>
      <c r="HU90" s="392"/>
      <c r="HV90" s="392"/>
      <c r="HW90" s="392"/>
      <c r="HX90" s="392"/>
      <c r="HY90" s="392"/>
      <c r="HZ90" s="392"/>
      <c r="IA90" s="392"/>
      <c r="IB90" s="392"/>
      <c r="IC90" s="392"/>
      <c r="ID90" s="392"/>
      <c r="IE90" s="392"/>
      <c r="IF90" s="392"/>
      <c r="IG90" s="392"/>
      <c r="IH90" s="392"/>
      <c r="II90" s="392"/>
      <c r="IJ90" s="392"/>
      <c r="IK90" s="392"/>
      <c r="IL90" s="392"/>
      <c r="IM90" s="392"/>
      <c r="IN90" s="392"/>
      <c r="IO90" s="392"/>
      <c r="IP90" s="392"/>
      <c r="IQ90" s="392"/>
      <c r="IR90" s="392"/>
      <c r="IS90" s="392"/>
      <c r="IT90" s="392"/>
      <c r="IU90" s="392"/>
      <c r="IV90" s="392"/>
    </row>
    <row r="91" spans="1:256" ht="31.5">
      <c r="A91" s="392"/>
      <c r="B91" s="590" t="s">
        <v>197</v>
      </c>
      <c r="C91" s="591" t="s">
        <v>161</v>
      </c>
      <c r="D91" s="591" t="s">
        <v>22</v>
      </c>
      <c r="E91" s="591" t="s">
        <v>162</v>
      </c>
      <c r="F91" s="592" t="s">
        <v>186</v>
      </c>
      <c r="G91" s="593" t="s">
        <v>187</v>
      </c>
      <c r="H91" s="392"/>
      <c r="I91" s="392"/>
      <c r="J91" s="392"/>
      <c r="K91" s="392"/>
      <c r="L91" s="392"/>
      <c r="M91" s="392"/>
      <c r="N91" s="392"/>
      <c r="O91" s="392"/>
      <c r="P91" s="392"/>
      <c r="Q91" s="392"/>
      <c r="R91" s="392"/>
      <c r="S91" s="392"/>
      <c r="T91" s="392"/>
      <c r="U91" s="392"/>
      <c r="V91" s="392"/>
      <c r="W91" s="392"/>
      <c r="X91" s="392"/>
      <c r="Y91" s="392"/>
      <c r="Z91" s="392"/>
      <c r="AA91" s="392"/>
      <c r="AB91" s="392"/>
      <c r="AC91" s="392"/>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2"/>
      <c r="BF91" s="392"/>
      <c r="BG91" s="392"/>
      <c r="BH91" s="392"/>
      <c r="BI91" s="392"/>
      <c r="BJ91" s="392"/>
      <c r="BK91" s="392"/>
      <c r="BL91" s="392"/>
      <c r="BM91" s="392"/>
      <c r="BN91" s="392"/>
      <c r="BO91" s="392"/>
      <c r="BP91" s="392"/>
      <c r="BQ91" s="392"/>
      <c r="BR91" s="392"/>
      <c r="BS91" s="392"/>
      <c r="BT91" s="392"/>
      <c r="BU91" s="392"/>
      <c r="BV91" s="392"/>
      <c r="BW91" s="392"/>
      <c r="BX91" s="392"/>
      <c r="BY91" s="392"/>
      <c r="BZ91" s="392"/>
      <c r="CA91" s="392"/>
      <c r="CB91" s="392"/>
      <c r="CC91" s="392"/>
      <c r="CD91" s="392"/>
      <c r="CE91" s="392"/>
      <c r="CF91" s="392"/>
      <c r="CG91" s="392"/>
      <c r="CH91" s="392"/>
      <c r="CI91" s="392"/>
      <c r="CJ91" s="392"/>
      <c r="CK91" s="392"/>
      <c r="CL91" s="392"/>
      <c r="CM91" s="392"/>
      <c r="CN91" s="392"/>
      <c r="CO91" s="392"/>
      <c r="CP91" s="392"/>
      <c r="CQ91" s="392"/>
      <c r="CR91" s="392"/>
      <c r="CS91" s="392"/>
      <c r="CT91" s="392"/>
      <c r="CU91" s="392"/>
      <c r="CV91" s="392"/>
      <c r="CW91" s="392"/>
      <c r="CX91" s="392"/>
      <c r="CY91" s="392"/>
      <c r="CZ91" s="392"/>
      <c r="DA91" s="392"/>
      <c r="DB91" s="392"/>
      <c r="DC91" s="392"/>
      <c r="DD91" s="392"/>
      <c r="DE91" s="392"/>
      <c r="DF91" s="392"/>
      <c r="DG91" s="392"/>
      <c r="DH91" s="392"/>
      <c r="DI91" s="392"/>
      <c r="DJ91" s="392"/>
      <c r="DK91" s="392"/>
      <c r="DL91" s="392"/>
      <c r="DM91" s="392"/>
      <c r="DN91" s="392"/>
      <c r="DO91" s="392"/>
      <c r="DP91" s="392"/>
      <c r="DQ91" s="392"/>
      <c r="DR91" s="392"/>
      <c r="DS91" s="392"/>
      <c r="DT91" s="392"/>
      <c r="DU91" s="392"/>
      <c r="DV91" s="392"/>
      <c r="DW91" s="392"/>
      <c r="DX91" s="392"/>
      <c r="DY91" s="392"/>
      <c r="DZ91" s="392"/>
      <c r="EA91" s="392"/>
      <c r="EB91" s="392"/>
      <c r="EC91" s="392"/>
      <c r="ED91" s="392"/>
      <c r="EE91" s="392"/>
      <c r="EF91" s="392"/>
      <c r="EG91" s="392"/>
      <c r="EH91" s="392"/>
      <c r="EI91" s="392"/>
      <c r="EJ91" s="392"/>
      <c r="EK91" s="392"/>
      <c r="EL91" s="392"/>
      <c r="EM91" s="392"/>
      <c r="EN91" s="392"/>
      <c r="EO91" s="392"/>
      <c r="EP91" s="392"/>
      <c r="EQ91" s="392"/>
      <c r="ER91" s="392"/>
      <c r="ES91" s="392"/>
      <c r="ET91" s="392"/>
      <c r="EU91" s="392"/>
      <c r="EV91" s="392"/>
      <c r="EW91" s="392"/>
      <c r="EX91" s="392"/>
      <c r="EY91" s="392"/>
      <c r="EZ91" s="392"/>
      <c r="FA91" s="392"/>
      <c r="FB91" s="392"/>
      <c r="FC91" s="392"/>
      <c r="FD91" s="392"/>
      <c r="FE91" s="392"/>
      <c r="FF91" s="392"/>
      <c r="FG91" s="392"/>
      <c r="FH91" s="392"/>
      <c r="FI91" s="392"/>
      <c r="FJ91" s="392"/>
      <c r="FK91" s="392"/>
      <c r="FL91" s="392"/>
      <c r="FM91" s="392"/>
      <c r="FN91" s="392"/>
      <c r="FO91" s="392"/>
      <c r="FP91" s="392"/>
      <c r="FQ91" s="392"/>
      <c r="FR91" s="392"/>
      <c r="FS91" s="392"/>
      <c r="FT91" s="392"/>
      <c r="FU91" s="392"/>
      <c r="FV91" s="392"/>
      <c r="FW91" s="392"/>
      <c r="FX91" s="392"/>
      <c r="FY91" s="392"/>
      <c r="FZ91" s="392"/>
      <c r="GA91" s="392"/>
      <c r="GB91" s="392"/>
      <c r="GC91" s="392"/>
      <c r="GD91" s="392"/>
      <c r="GE91" s="392"/>
      <c r="GF91" s="392"/>
      <c r="GG91" s="392"/>
      <c r="GH91" s="392"/>
      <c r="GI91" s="392"/>
      <c r="GJ91" s="392"/>
      <c r="GK91" s="392"/>
      <c r="GL91" s="392"/>
      <c r="GM91" s="392"/>
      <c r="GN91" s="392"/>
      <c r="GO91" s="392"/>
      <c r="GP91" s="392"/>
      <c r="GQ91" s="392"/>
      <c r="GR91" s="392"/>
      <c r="GS91" s="392"/>
      <c r="GT91" s="392"/>
      <c r="GU91" s="392"/>
      <c r="GV91" s="392"/>
      <c r="GW91" s="392"/>
      <c r="GX91" s="392"/>
      <c r="GY91" s="392"/>
      <c r="GZ91" s="392"/>
      <c r="HA91" s="392"/>
      <c r="HB91" s="392"/>
      <c r="HC91" s="392"/>
      <c r="HD91" s="392"/>
      <c r="HE91" s="392"/>
      <c r="HF91" s="392"/>
      <c r="HG91" s="392"/>
      <c r="HH91" s="392"/>
      <c r="HI91" s="392"/>
      <c r="HJ91" s="392"/>
      <c r="HK91" s="392"/>
      <c r="HL91" s="392"/>
      <c r="HM91" s="392"/>
      <c r="HN91" s="392"/>
      <c r="HO91" s="392"/>
      <c r="HP91" s="392"/>
      <c r="HQ91" s="392"/>
      <c r="HR91" s="392"/>
      <c r="HS91" s="392"/>
      <c r="HT91" s="392"/>
      <c r="HU91" s="392"/>
      <c r="HV91" s="392"/>
      <c r="HW91" s="392"/>
      <c r="HX91" s="392"/>
      <c r="HY91" s="392"/>
      <c r="HZ91" s="392"/>
      <c r="IA91" s="392"/>
      <c r="IB91" s="392"/>
      <c r="IC91" s="392"/>
      <c r="ID91" s="392"/>
      <c r="IE91" s="392"/>
      <c r="IF91" s="392"/>
      <c r="IG91" s="392"/>
      <c r="IH91" s="392"/>
      <c r="II91" s="392"/>
      <c r="IJ91" s="392"/>
      <c r="IK91" s="392"/>
      <c r="IL91" s="392"/>
      <c r="IM91" s="392"/>
      <c r="IN91" s="392"/>
      <c r="IO91" s="392"/>
      <c r="IP91" s="392"/>
      <c r="IQ91" s="392"/>
      <c r="IR91" s="392"/>
      <c r="IS91" s="392"/>
      <c r="IT91" s="392"/>
      <c r="IU91" s="392"/>
      <c r="IV91" s="392"/>
    </row>
    <row r="92" spans="1:256" ht="16.5" thickBot="1">
      <c r="A92" s="392"/>
      <c r="B92" s="2322" t="s">
        <v>165</v>
      </c>
      <c r="C92" s="2323"/>
      <c r="D92" s="2323"/>
      <c r="E92" s="2323"/>
      <c r="F92" s="2323"/>
      <c r="G92" s="2324"/>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392"/>
      <c r="AK92" s="392"/>
      <c r="AL92" s="392"/>
      <c r="AM92" s="392"/>
      <c r="AN92" s="392"/>
      <c r="AO92" s="392"/>
      <c r="AP92" s="392"/>
      <c r="AQ92" s="392"/>
      <c r="AR92" s="392"/>
      <c r="AS92" s="392"/>
      <c r="AT92" s="392"/>
      <c r="AU92" s="392"/>
      <c r="AV92" s="392"/>
      <c r="AW92" s="392"/>
      <c r="AX92" s="392"/>
      <c r="AY92" s="392"/>
      <c r="AZ92" s="392"/>
      <c r="BA92" s="392"/>
      <c r="BB92" s="392"/>
      <c r="BC92" s="392"/>
      <c r="BD92" s="392"/>
      <c r="BE92" s="392"/>
      <c r="BF92" s="392"/>
      <c r="BG92" s="392"/>
      <c r="BH92" s="392"/>
      <c r="BI92" s="392"/>
      <c r="BJ92" s="392"/>
      <c r="BK92" s="392"/>
      <c r="BL92" s="392"/>
      <c r="BM92" s="392"/>
      <c r="BN92" s="392"/>
      <c r="BO92" s="392"/>
      <c r="BP92" s="392"/>
      <c r="BQ92" s="392"/>
      <c r="BR92" s="392"/>
      <c r="BS92" s="392"/>
      <c r="BT92" s="392"/>
      <c r="BU92" s="392"/>
      <c r="BV92" s="392"/>
      <c r="BW92" s="392"/>
      <c r="BX92" s="392"/>
      <c r="BY92" s="392"/>
      <c r="BZ92" s="392"/>
      <c r="CA92" s="392"/>
      <c r="CB92" s="392"/>
      <c r="CC92" s="392"/>
      <c r="CD92" s="392"/>
      <c r="CE92" s="392"/>
      <c r="CF92" s="392"/>
      <c r="CG92" s="392"/>
      <c r="CH92" s="392"/>
      <c r="CI92" s="392"/>
      <c r="CJ92" s="392"/>
      <c r="CK92" s="392"/>
      <c r="CL92" s="392"/>
      <c r="CM92" s="392"/>
      <c r="CN92" s="392"/>
      <c r="CO92" s="392"/>
      <c r="CP92" s="392"/>
      <c r="CQ92" s="392"/>
      <c r="CR92" s="392"/>
      <c r="CS92" s="392"/>
      <c r="CT92" s="392"/>
      <c r="CU92" s="392"/>
      <c r="CV92" s="392"/>
      <c r="CW92" s="392"/>
      <c r="CX92" s="392"/>
      <c r="CY92" s="392"/>
      <c r="CZ92" s="392"/>
      <c r="DA92" s="392"/>
      <c r="DB92" s="392"/>
      <c r="DC92" s="392"/>
      <c r="DD92" s="392"/>
      <c r="DE92" s="392"/>
      <c r="DF92" s="392"/>
      <c r="DG92" s="392"/>
      <c r="DH92" s="392"/>
      <c r="DI92" s="392"/>
      <c r="DJ92" s="392"/>
      <c r="DK92" s="392"/>
      <c r="DL92" s="392"/>
      <c r="DM92" s="392"/>
      <c r="DN92" s="392"/>
      <c r="DO92" s="392"/>
      <c r="DP92" s="392"/>
      <c r="DQ92" s="392"/>
      <c r="DR92" s="392"/>
      <c r="DS92" s="392"/>
      <c r="DT92" s="392"/>
      <c r="DU92" s="392"/>
      <c r="DV92" s="392"/>
      <c r="DW92" s="392"/>
      <c r="DX92" s="392"/>
      <c r="DY92" s="392"/>
      <c r="DZ92" s="392"/>
      <c r="EA92" s="392"/>
      <c r="EB92" s="392"/>
      <c r="EC92" s="392"/>
      <c r="ED92" s="392"/>
      <c r="EE92" s="392"/>
      <c r="EF92" s="392"/>
      <c r="EG92" s="392"/>
      <c r="EH92" s="392"/>
      <c r="EI92" s="392"/>
      <c r="EJ92" s="392"/>
      <c r="EK92" s="392"/>
      <c r="EL92" s="392"/>
      <c r="EM92" s="392"/>
      <c r="EN92" s="392"/>
      <c r="EO92" s="392"/>
      <c r="EP92" s="392"/>
      <c r="EQ92" s="392"/>
      <c r="ER92" s="392"/>
      <c r="ES92" s="392"/>
      <c r="ET92" s="392"/>
      <c r="EU92" s="392"/>
      <c r="EV92" s="392"/>
      <c r="EW92" s="392"/>
      <c r="EX92" s="392"/>
      <c r="EY92" s="392"/>
      <c r="EZ92" s="392"/>
      <c r="FA92" s="392"/>
      <c r="FB92" s="392"/>
      <c r="FC92" s="392"/>
      <c r="FD92" s="392"/>
      <c r="FE92" s="392"/>
      <c r="FF92" s="392"/>
      <c r="FG92" s="392"/>
      <c r="FH92" s="392"/>
      <c r="FI92" s="392"/>
      <c r="FJ92" s="392"/>
      <c r="FK92" s="392"/>
      <c r="FL92" s="392"/>
      <c r="FM92" s="392"/>
      <c r="FN92" s="392"/>
      <c r="FO92" s="392"/>
      <c r="FP92" s="392"/>
      <c r="FQ92" s="392"/>
      <c r="FR92" s="392"/>
      <c r="FS92" s="392"/>
      <c r="FT92" s="392"/>
      <c r="FU92" s="392"/>
      <c r="FV92" s="392"/>
      <c r="FW92" s="392"/>
      <c r="FX92" s="392"/>
      <c r="FY92" s="392"/>
      <c r="FZ92" s="392"/>
      <c r="GA92" s="392"/>
      <c r="GB92" s="392"/>
      <c r="GC92" s="392"/>
      <c r="GD92" s="392"/>
      <c r="GE92" s="392"/>
      <c r="GF92" s="392"/>
      <c r="GG92" s="392"/>
      <c r="GH92" s="392"/>
      <c r="GI92" s="392"/>
      <c r="GJ92" s="392"/>
      <c r="GK92" s="392"/>
      <c r="GL92" s="392"/>
      <c r="GM92" s="392"/>
      <c r="GN92" s="392"/>
      <c r="GO92" s="392"/>
      <c r="GP92" s="392"/>
      <c r="GQ92" s="392"/>
      <c r="GR92" s="392"/>
      <c r="GS92" s="392"/>
      <c r="GT92" s="392"/>
      <c r="GU92" s="392"/>
      <c r="GV92" s="392"/>
      <c r="GW92" s="392"/>
      <c r="GX92" s="392"/>
      <c r="GY92" s="392"/>
      <c r="GZ92" s="392"/>
      <c r="HA92" s="392"/>
      <c r="HB92" s="392"/>
      <c r="HC92" s="392"/>
      <c r="HD92" s="392"/>
      <c r="HE92" s="392"/>
      <c r="HF92" s="392"/>
      <c r="HG92" s="392"/>
      <c r="HH92" s="392"/>
      <c r="HI92" s="392"/>
      <c r="HJ92" s="392"/>
      <c r="HK92" s="392"/>
      <c r="HL92" s="392"/>
      <c r="HM92" s="392"/>
      <c r="HN92" s="392"/>
      <c r="HO92" s="392"/>
      <c r="HP92" s="392"/>
      <c r="HQ92" s="392"/>
      <c r="HR92" s="392"/>
      <c r="HS92" s="392"/>
      <c r="HT92" s="392"/>
      <c r="HU92" s="392"/>
      <c r="HV92" s="392"/>
      <c r="HW92" s="392"/>
      <c r="HX92" s="392"/>
      <c r="HY92" s="392"/>
      <c r="HZ92" s="392"/>
      <c r="IA92" s="392"/>
      <c r="IB92" s="392"/>
      <c r="IC92" s="392"/>
      <c r="ID92" s="392"/>
      <c r="IE92" s="392"/>
      <c r="IF92" s="392"/>
      <c r="IG92" s="392"/>
      <c r="IH92" s="392"/>
      <c r="II92" s="392"/>
      <c r="IJ92" s="392"/>
      <c r="IK92" s="392"/>
      <c r="IL92" s="392"/>
      <c r="IM92" s="392"/>
      <c r="IN92" s="392"/>
      <c r="IO92" s="392"/>
      <c r="IP92" s="392"/>
      <c r="IQ92" s="392"/>
      <c r="IR92" s="392"/>
      <c r="IS92" s="392"/>
      <c r="IT92" s="392"/>
      <c r="IU92" s="392"/>
      <c r="IV92" s="392"/>
    </row>
    <row r="93" spans="1:256" ht="15.75">
      <c r="A93" s="392"/>
      <c r="B93" s="585" t="s">
        <v>606</v>
      </c>
      <c r="C93" s="586" t="str">
        <f>C18</f>
        <v>SURF DUPLO</v>
      </c>
      <c r="D93" s="587" t="s">
        <v>22</v>
      </c>
      <c r="E93" s="597">
        <v>1</v>
      </c>
      <c r="F93" s="588">
        <f>E18</f>
        <v>2030</v>
      </c>
      <c r="G93" s="589">
        <f>TRUNC(F93*E93,2)</f>
        <v>2030</v>
      </c>
      <c r="H93" s="392"/>
      <c r="I93" s="392"/>
      <c r="J93" s="392"/>
      <c r="K93" s="392"/>
      <c r="L93" s="392"/>
      <c r="M93" s="392"/>
      <c r="N93" s="392"/>
      <c r="O93" s="392"/>
      <c r="P93" s="392"/>
      <c r="Q93" s="392"/>
      <c r="R93" s="392"/>
      <c r="S93" s="392"/>
      <c r="T93" s="392"/>
      <c r="U93" s="392"/>
      <c r="V93" s="392"/>
      <c r="W93" s="392"/>
      <c r="X93" s="392"/>
      <c r="Y93" s="392"/>
      <c r="Z93" s="392"/>
      <c r="AA93" s="392"/>
      <c r="AB93" s="392"/>
      <c r="AC93" s="392"/>
      <c r="AD93" s="392"/>
      <c r="AE93" s="392"/>
      <c r="AF93" s="392"/>
      <c r="AG93" s="392"/>
      <c r="AH93" s="392"/>
      <c r="AI93" s="392"/>
      <c r="AJ93" s="392"/>
      <c r="AK93" s="392"/>
      <c r="AL93" s="392"/>
      <c r="AM93" s="392"/>
      <c r="AN93" s="392"/>
      <c r="AO93" s="392"/>
      <c r="AP93" s="392"/>
      <c r="AQ93" s="392"/>
      <c r="AR93" s="392"/>
      <c r="AS93" s="392"/>
      <c r="AT93" s="392"/>
      <c r="AU93" s="392"/>
      <c r="AV93" s="392"/>
      <c r="AW93" s="392"/>
      <c r="AX93" s="392"/>
      <c r="AY93" s="392"/>
      <c r="AZ93" s="392"/>
      <c r="BA93" s="392"/>
      <c r="BB93" s="392"/>
      <c r="BC93" s="392"/>
      <c r="BD93" s="392"/>
      <c r="BE93" s="392"/>
      <c r="BF93" s="392"/>
      <c r="BG93" s="392"/>
      <c r="BH93" s="392"/>
      <c r="BI93" s="392"/>
      <c r="BJ93" s="392"/>
      <c r="BK93" s="392"/>
      <c r="BL93" s="392"/>
      <c r="BM93" s="392"/>
      <c r="BN93" s="392"/>
      <c r="BO93" s="392"/>
      <c r="BP93" s="392"/>
      <c r="BQ93" s="392"/>
      <c r="BR93" s="392"/>
      <c r="BS93" s="392"/>
      <c r="BT93" s="392"/>
      <c r="BU93" s="392"/>
      <c r="BV93" s="392"/>
      <c r="BW93" s="392"/>
      <c r="BX93" s="392"/>
      <c r="BY93" s="392"/>
      <c r="BZ93" s="392"/>
      <c r="CA93" s="392"/>
      <c r="CB93" s="392"/>
      <c r="CC93" s="392"/>
      <c r="CD93" s="392"/>
      <c r="CE93" s="392"/>
      <c r="CF93" s="392"/>
      <c r="CG93" s="392"/>
      <c r="CH93" s="392"/>
      <c r="CI93" s="392"/>
      <c r="CJ93" s="392"/>
      <c r="CK93" s="392"/>
      <c r="CL93" s="392"/>
      <c r="CM93" s="392"/>
      <c r="CN93" s="392"/>
      <c r="CO93" s="392"/>
      <c r="CP93" s="392"/>
      <c r="CQ93" s="392"/>
      <c r="CR93" s="392"/>
      <c r="CS93" s="392"/>
      <c r="CT93" s="392"/>
      <c r="CU93" s="392"/>
      <c r="CV93" s="392"/>
      <c r="CW93" s="392"/>
      <c r="CX93" s="392"/>
      <c r="CY93" s="392"/>
      <c r="CZ93" s="392"/>
      <c r="DA93" s="392"/>
      <c r="DB93" s="392"/>
      <c r="DC93" s="392"/>
      <c r="DD93" s="392"/>
      <c r="DE93" s="392"/>
      <c r="DF93" s="392"/>
      <c r="DG93" s="392"/>
      <c r="DH93" s="392"/>
      <c r="DI93" s="392"/>
      <c r="DJ93" s="392"/>
      <c r="DK93" s="392"/>
      <c r="DL93" s="392"/>
      <c r="DM93" s="392"/>
      <c r="DN93" s="392"/>
      <c r="DO93" s="392"/>
      <c r="DP93" s="392"/>
      <c r="DQ93" s="392"/>
      <c r="DR93" s="392"/>
      <c r="DS93" s="392"/>
      <c r="DT93" s="392"/>
      <c r="DU93" s="392"/>
      <c r="DV93" s="392"/>
      <c r="DW93" s="392"/>
      <c r="DX93" s="392"/>
      <c r="DY93" s="392"/>
      <c r="DZ93" s="392"/>
      <c r="EA93" s="392"/>
      <c r="EB93" s="392"/>
      <c r="EC93" s="392"/>
      <c r="ED93" s="392"/>
      <c r="EE93" s="392"/>
      <c r="EF93" s="392"/>
      <c r="EG93" s="392"/>
      <c r="EH93" s="392"/>
      <c r="EI93" s="392"/>
      <c r="EJ93" s="392"/>
      <c r="EK93" s="392"/>
      <c r="EL93" s="392"/>
      <c r="EM93" s="392"/>
      <c r="EN93" s="392"/>
      <c r="EO93" s="392"/>
      <c r="EP93" s="392"/>
      <c r="EQ93" s="392"/>
      <c r="ER93" s="392"/>
      <c r="ES93" s="392"/>
      <c r="ET93" s="392"/>
      <c r="EU93" s="392"/>
      <c r="EV93" s="392"/>
      <c r="EW93" s="392"/>
      <c r="EX93" s="392"/>
      <c r="EY93" s="392"/>
      <c r="EZ93" s="392"/>
      <c r="FA93" s="392"/>
      <c r="FB93" s="392"/>
      <c r="FC93" s="392"/>
      <c r="FD93" s="392"/>
      <c r="FE93" s="392"/>
      <c r="FF93" s="392"/>
      <c r="FG93" s="392"/>
      <c r="FH93" s="392"/>
      <c r="FI93" s="392"/>
      <c r="FJ93" s="392"/>
      <c r="FK93" s="392"/>
      <c r="FL93" s="392"/>
      <c r="FM93" s="392"/>
      <c r="FN93" s="392"/>
      <c r="FO93" s="392"/>
      <c r="FP93" s="392"/>
      <c r="FQ93" s="392"/>
      <c r="FR93" s="392"/>
      <c r="FS93" s="392"/>
      <c r="FT93" s="392"/>
      <c r="FU93" s="392"/>
      <c r="FV93" s="392"/>
      <c r="FW93" s="392"/>
      <c r="FX93" s="392"/>
      <c r="FY93" s="392"/>
      <c r="FZ93" s="392"/>
      <c r="GA93" s="392"/>
      <c r="GB93" s="392"/>
      <c r="GC93" s="392"/>
      <c r="GD93" s="392"/>
      <c r="GE93" s="392"/>
      <c r="GF93" s="392"/>
      <c r="GG93" s="392"/>
      <c r="GH93" s="392"/>
      <c r="GI93" s="392"/>
      <c r="GJ93" s="392"/>
      <c r="GK93" s="392"/>
      <c r="GL93" s="392"/>
      <c r="GM93" s="392"/>
      <c r="GN93" s="392"/>
      <c r="GO93" s="392"/>
      <c r="GP93" s="392"/>
      <c r="GQ93" s="392"/>
      <c r="GR93" s="392"/>
      <c r="GS93" s="392"/>
      <c r="GT93" s="392"/>
      <c r="GU93" s="392"/>
      <c r="GV93" s="392"/>
      <c r="GW93" s="392"/>
      <c r="GX93" s="392"/>
      <c r="GY93" s="392"/>
      <c r="GZ93" s="392"/>
      <c r="HA93" s="392"/>
      <c r="HB93" s="392"/>
      <c r="HC93" s="392"/>
      <c r="HD93" s="392"/>
      <c r="HE93" s="392"/>
      <c r="HF93" s="392"/>
      <c r="HG93" s="392"/>
      <c r="HH93" s="392"/>
      <c r="HI93" s="392"/>
      <c r="HJ93" s="392"/>
      <c r="HK93" s="392"/>
      <c r="HL93" s="392"/>
      <c r="HM93" s="392"/>
      <c r="HN93" s="392"/>
      <c r="HO93" s="392"/>
      <c r="HP93" s="392"/>
      <c r="HQ93" s="392"/>
      <c r="HR93" s="392"/>
      <c r="HS93" s="392"/>
      <c r="HT93" s="392"/>
      <c r="HU93" s="392"/>
      <c r="HV93" s="392"/>
      <c r="HW93" s="392"/>
      <c r="HX93" s="392"/>
      <c r="HY93" s="392"/>
      <c r="HZ93" s="392"/>
      <c r="IA93" s="392"/>
      <c r="IB93" s="392"/>
      <c r="IC93" s="392"/>
      <c r="ID93" s="392"/>
      <c r="IE93" s="392"/>
      <c r="IF93" s="392"/>
      <c r="IG93" s="392"/>
      <c r="IH93" s="392"/>
      <c r="II93" s="392"/>
      <c r="IJ93" s="392"/>
      <c r="IK93" s="392"/>
      <c r="IL93" s="392"/>
      <c r="IM93" s="392"/>
      <c r="IN93" s="392"/>
      <c r="IO93" s="392"/>
      <c r="IP93" s="392"/>
      <c r="IQ93" s="392"/>
      <c r="IR93" s="392"/>
      <c r="IS93" s="392"/>
      <c r="IT93" s="392"/>
      <c r="IU93" s="392"/>
      <c r="IV93" s="392"/>
    </row>
    <row r="94" spans="1:256" ht="30">
      <c r="A94" s="392" t="s">
        <v>391</v>
      </c>
      <c r="B94" s="436">
        <v>93358</v>
      </c>
      <c r="C94" s="317" t="str">
        <f>IF($A94="INSUMO",VLOOKUP($B94,'BANCO DE DADOS JANEIRO-24 INS'!$A:$D,2,FALSE),VLOOKUP($B94,'BANCO DE DADOS JANEIRO-24 SERV'!$B:$E,2,FALSE))</f>
        <v>ESCAVAÇÃO MANUAL DE VALA COM PROFUNDIDADE MENOR OU IGUAL A 1,30 M. AF_02/2021</v>
      </c>
      <c r="D94" s="316" t="str">
        <f>IF($A94="INSUMO",VLOOKUP($B94,'BANCO DE DADOS JANEIRO-24 INS'!$A:$D,3,FALSE),VLOOKUP($B94,'BANCO DE DADOS JANEIRO-24 SERV'!$B:$E,3,FALSE))</f>
        <v>M3</v>
      </c>
      <c r="E94" s="598">
        <f>(0.8*0.4*0.4)</f>
        <v>0.12800000000000003</v>
      </c>
      <c r="F94" s="320">
        <f>IF($A94="INSUMO",VLOOKUP($B94,'BANCO DE DADOS JANEIRO-24 INS'!$A:$D,4,FALSE),VLOOKUP($B94,'BANCO DE DADOS JANEIRO-24 SERV'!$B:$E,4,FALSE))</f>
        <v>80.38</v>
      </c>
      <c r="G94" s="435">
        <f>TRUNC(F94*E94,2)</f>
        <v>10.28</v>
      </c>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c r="AE94" s="392"/>
      <c r="AF94" s="392"/>
      <c r="AG94" s="392"/>
      <c r="AH94" s="392"/>
      <c r="AI94" s="392"/>
      <c r="AJ94" s="392"/>
      <c r="AK94" s="392"/>
      <c r="AL94" s="392"/>
      <c r="AM94" s="392"/>
      <c r="AN94" s="392"/>
      <c r="AO94" s="392"/>
      <c r="AP94" s="392"/>
      <c r="AQ94" s="392"/>
      <c r="AR94" s="392"/>
      <c r="AS94" s="392"/>
      <c r="AT94" s="392"/>
      <c r="AU94" s="392"/>
      <c r="AV94" s="392"/>
      <c r="AW94" s="392"/>
      <c r="AX94" s="392"/>
      <c r="AY94" s="392"/>
      <c r="AZ94" s="392"/>
      <c r="BA94" s="392"/>
      <c r="BB94" s="392"/>
      <c r="BC94" s="392"/>
      <c r="BD94" s="392"/>
      <c r="BE94" s="392"/>
      <c r="BF94" s="392"/>
      <c r="BG94" s="392"/>
      <c r="BH94" s="392"/>
      <c r="BI94" s="392"/>
      <c r="BJ94" s="392"/>
      <c r="BK94" s="392"/>
      <c r="BL94" s="392"/>
      <c r="BM94" s="392"/>
      <c r="BN94" s="392"/>
      <c r="BO94" s="392"/>
      <c r="BP94" s="392"/>
      <c r="BQ94" s="392"/>
      <c r="BR94" s="392"/>
      <c r="BS94" s="392"/>
      <c r="BT94" s="392"/>
      <c r="BU94" s="392"/>
      <c r="BV94" s="392"/>
      <c r="BW94" s="392"/>
      <c r="BX94" s="392"/>
      <c r="BY94" s="392"/>
      <c r="BZ94" s="392"/>
      <c r="CA94" s="392"/>
      <c r="CB94" s="392"/>
      <c r="CC94" s="392"/>
      <c r="CD94" s="392"/>
      <c r="CE94" s="392"/>
      <c r="CF94" s="392"/>
      <c r="CG94" s="392"/>
      <c r="CH94" s="392"/>
      <c r="CI94" s="392"/>
      <c r="CJ94" s="392"/>
      <c r="CK94" s="392"/>
      <c r="CL94" s="392"/>
      <c r="CM94" s="392"/>
      <c r="CN94" s="392"/>
      <c r="CO94" s="392"/>
      <c r="CP94" s="392"/>
      <c r="CQ94" s="392"/>
      <c r="CR94" s="392"/>
      <c r="CS94" s="392"/>
      <c r="CT94" s="392"/>
      <c r="CU94" s="392"/>
      <c r="CV94" s="392"/>
      <c r="CW94" s="392"/>
      <c r="CX94" s="392"/>
      <c r="CY94" s="392"/>
      <c r="CZ94" s="392"/>
      <c r="DA94" s="392"/>
      <c r="DB94" s="392"/>
      <c r="DC94" s="392"/>
      <c r="DD94" s="392"/>
      <c r="DE94" s="392"/>
      <c r="DF94" s="392"/>
      <c r="DG94" s="392"/>
      <c r="DH94" s="392"/>
      <c r="DI94" s="392"/>
      <c r="DJ94" s="392"/>
      <c r="DK94" s="392"/>
      <c r="DL94" s="392"/>
      <c r="DM94" s="392"/>
      <c r="DN94" s="392"/>
      <c r="DO94" s="392"/>
      <c r="DP94" s="392"/>
      <c r="DQ94" s="392"/>
      <c r="DR94" s="392"/>
      <c r="DS94" s="392"/>
      <c r="DT94" s="392"/>
      <c r="DU94" s="392"/>
      <c r="DV94" s="392"/>
      <c r="DW94" s="392"/>
      <c r="DX94" s="392"/>
      <c r="DY94" s="392"/>
      <c r="DZ94" s="392"/>
      <c r="EA94" s="392"/>
      <c r="EB94" s="392"/>
      <c r="EC94" s="392"/>
      <c r="ED94" s="392"/>
      <c r="EE94" s="392"/>
      <c r="EF94" s="392"/>
      <c r="EG94" s="392"/>
      <c r="EH94" s="392"/>
      <c r="EI94" s="392"/>
      <c r="EJ94" s="392"/>
      <c r="EK94" s="392"/>
      <c r="EL94" s="392"/>
      <c r="EM94" s="392"/>
      <c r="EN94" s="392"/>
      <c r="EO94" s="392"/>
      <c r="EP94" s="392"/>
      <c r="EQ94" s="392"/>
      <c r="ER94" s="392"/>
      <c r="ES94" s="392"/>
      <c r="ET94" s="392"/>
      <c r="EU94" s="392"/>
      <c r="EV94" s="392"/>
      <c r="EW94" s="392"/>
      <c r="EX94" s="392"/>
      <c r="EY94" s="392"/>
      <c r="EZ94" s="392"/>
      <c r="FA94" s="392"/>
      <c r="FB94" s="392"/>
      <c r="FC94" s="392"/>
      <c r="FD94" s="392"/>
      <c r="FE94" s="392"/>
      <c r="FF94" s="392"/>
      <c r="FG94" s="392"/>
      <c r="FH94" s="392"/>
      <c r="FI94" s="392"/>
      <c r="FJ94" s="392"/>
      <c r="FK94" s="392"/>
      <c r="FL94" s="392"/>
      <c r="FM94" s="392"/>
      <c r="FN94" s="392"/>
      <c r="FO94" s="392"/>
      <c r="FP94" s="392"/>
      <c r="FQ94" s="392"/>
      <c r="FR94" s="392"/>
      <c r="FS94" s="392"/>
      <c r="FT94" s="392"/>
      <c r="FU94" s="392"/>
      <c r="FV94" s="392"/>
      <c r="FW94" s="392"/>
      <c r="FX94" s="392"/>
      <c r="FY94" s="392"/>
      <c r="FZ94" s="392"/>
      <c r="GA94" s="392"/>
      <c r="GB94" s="392"/>
      <c r="GC94" s="392"/>
      <c r="GD94" s="392"/>
      <c r="GE94" s="392"/>
      <c r="GF94" s="392"/>
      <c r="GG94" s="392"/>
      <c r="GH94" s="392"/>
      <c r="GI94" s="392"/>
      <c r="GJ94" s="392"/>
      <c r="GK94" s="392"/>
      <c r="GL94" s="392"/>
      <c r="GM94" s="392"/>
      <c r="GN94" s="392"/>
      <c r="GO94" s="392"/>
      <c r="GP94" s="392"/>
      <c r="GQ94" s="392"/>
      <c r="GR94" s="392"/>
      <c r="GS94" s="392"/>
      <c r="GT94" s="392"/>
      <c r="GU94" s="392"/>
      <c r="GV94" s="392"/>
      <c r="GW94" s="392"/>
      <c r="GX94" s="392"/>
      <c r="GY94" s="392"/>
      <c r="GZ94" s="392"/>
      <c r="HA94" s="392"/>
      <c r="HB94" s="392"/>
      <c r="HC94" s="392"/>
      <c r="HD94" s="392"/>
      <c r="HE94" s="392"/>
      <c r="HF94" s="392"/>
      <c r="HG94" s="392"/>
      <c r="HH94" s="392"/>
      <c r="HI94" s="392"/>
      <c r="HJ94" s="392"/>
      <c r="HK94" s="392"/>
      <c r="HL94" s="392"/>
      <c r="HM94" s="392"/>
      <c r="HN94" s="392"/>
      <c r="HO94" s="392"/>
      <c r="HP94" s="392"/>
      <c r="HQ94" s="392"/>
      <c r="HR94" s="392"/>
      <c r="HS94" s="392"/>
      <c r="HT94" s="392"/>
      <c r="HU94" s="392"/>
      <c r="HV94" s="392"/>
      <c r="HW94" s="392"/>
      <c r="HX94" s="392"/>
      <c r="HY94" s="392"/>
      <c r="HZ94" s="392"/>
      <c r="IA94" s="392"/>
      <c r="IB94" s="392"/>
      <c r="IC94" s="392"/>
      <c r="ID94" s="392"/>
      <c r="IE94" s="392"/>
      <c r="IF94" s="392"/>
      <c r="IG94" s="392"/>
      <c r="IH94" s="392"/>
      <c r="II94" s="392"/>
      <c r="IJ94" s="392"/>
      <c r="IK94" s="392"/>
      <c r="IL94" s="392"/>
      <c r="IM94" s="392"/>
      <c r="IN94" s="392"/>
      <c r="IO94" s="392"/>
      <c r="IP94" s="392"/>
      <c r="IQ94" s="392"/>
      <c r="IR94" s="392"/>
      <c r="IS94" s="392"/>
      <c r="IT94" s="392"/>
      <c r="IU94" s="392"/>
      <c r="IV94" s="392"/>
    </row>
    <row r="95" spans="1:256" ht="45">
      <c r="A95" s="392" t="s">
        <v>391</v>
      </c>
      <c r="B95" s="436">
        <v>94965</v>
      </c>
      <c r="C95" s="317" t="str">
        <f>IF($A95="INSUMO",VLOOKUP($B95,'BANCO DE DADOS JANEIRO-24 INS'!$A:$D,2,FALSE),VLOOKUP($B95,'BANCO DE DADOS JANEIRO-24 SERV'!$B:$E,2,FALSE))</f>
        <v>CONCRETO FCK = 25MPA, TRAÇO 1:2,3:2,7 (EM MASSA SECA DE CIMENTO/ AREIA MÉDIA/ BRITA 1) - PREPARO MECÂNICO COM BETONEIRA 400 L. AF_05/2021</v>
      </c>
      <c r="D95" s="316" t="str">
        <f>IF($A95="INSUMO",VLOOKUP($B95,'BANCO DE DADOS JANEIRO-24 INS'!$A:$D,3,FALSE),VLOOKUP($B95,'BANCO DE DADOS JANEIRO-24 SERV'!$B:$E,3,FALSE))</f>
        <v>M3</v>
      </c>
      <c r="E95" s="598">
        <f>E94</f>
        <v>0.12800000000000003</v>
      </c>
      <c r="F95" s="320">
        <f>IF($A95="INSUMO",VLOOKUP($B95,'BANCO DE DADOS JANEIRO-24 INS'!$A:$D,4,FALSE),VLOOKUP($B95,'BANCO DE DADOS JANEIRO-24 SERV'!$B:$E,4,FALSE))</f>
        <v>568.95000000000005</v>
      </c>
      <c r="G95" s="435">
        <f>TRUNC(F95*E95,2)</f>
        <v>72.819999999999993</v>
      </c>
      <c r="H95" s="392"/>
      <c r="I95" s="392"/>
      <c r="J95" s="392"/>
      <c r="K95" s="392"/>
      <c r="L95" s="392"/>
      <c r="M95" s="392"/>
      <c r="N95" s="392"/>
      <c r="O95" s="392"/>
      <c r="P95" s="392"/>
      <c r="Q95" s="392"/>
      <c r="R95" s="392"/>
      <c r="S95" s="392"/>
      <c r="T95" s="392"/>
      <c r="U95" s="392"/>
      <c r="V95" s="392"/>
      <c r="W95" s="392"/>
      <c r="X95" s="392"/>
      <c r="Y95" s="392"/>
      <c r="Z95" s="392"/>
      <c r="AA95" s="392"/>
      <c r="AB95" s="392"/>
      <c r="AC95" s="392"/>
      <c r="AD95" s="392"/>
      <c r="AE95" s="392"/>
      <c r="AF95" s="392"/>
      <c r="AG95" s="392"/>
      <c r="AH95" s="392"/>
      <c r="AI95" s="392"/>
      <c r="AJ95" s="392"/>
      <c r="AK95" s="392"/>
      <c r="AL95" s="392"/>
      <c r="AM95" s="392"/>
      <c r="AN95" s="392"/>
      <c r="AO95" s="392"/>
      <c r="AP95" s="392"/>
      <c r="AQ95" s="392"/>
      <c r="AR95" s="392"/>
      <c r="AS95" s="392"/>
      <c r="AT95" s="392"/>
      <c r="AU95" s="392"/>
      <c r="AV95" s="392"/>
      <c r="AW95" s="392"/>
      <c r="AX95" s="392"/>
      <c r="AY95" s="392"/>
      <c r="AZ95" s="392"/>
      <c r="BA95" s="392"/>
      <c r="BB95" s="392"/>
      <c r="BC95" s="392"/>
      <c r="BD95" s="392"/>
      <c r="BE95" s="392"/>
      <c r="BF95" s="392"/>
      <c r="BG95" s="392"/>
      <c r="BH95" s="392"/>
      <c r="BI95" s="392"/>
      <c r="BJ95" s="392"/>
      <c r="BK95" s="392"/>
      <c r="BL95" s="392"/>
      <c r="BM95" s="392"/>
      <c r="BN95" s="392"/>
      <c r="BO95" s="392"/>
      <c r="BP95" s="392"/>
      <c r="BQ95" s="392"/>
      <c r="BR95" s="392"/>
      <c r="BS95" s="392"/>
      <c r="BT95" s="392"/>
      <c r="BU95" s="392"/>
      <c r="BV95" s="392"/>
      <c r="BW95" s="392"/>
      <c r="BX95" s="392"/>
      <c r="BY95" s="392"/>
      <c r="BZ95" s="392"/>
      <c r="CA95" s="392"/>
      <c r="CB95" s="392"/>
      <c r="CC95" s="392"/>
      <c r="CD95" s="392"/>
      <c r="CE95" s="392"/>
      <c r="CF95" s="392"/>
      <c r="CG95" s="392"/>
      <c r="CH95" s="392"/>
      <c r="CI95" s="392"/>
      <c r="CJ95" s="392"/>
      <c r="CK95" s="392"/>
      <c r="CL95" s="392"/>
      <c r="CM95" s="392"/>
      <c r="CN95" s="392"/>
      <c r="CO95" s="392"/>
      <c r="CP95" s="392"/>
      <c r="CQ95" s="392"/>
      <c r="CR95" s="392"/>
      <c r="CS95" s="392"/>
      <c r="CT95" s="392"/>
      <c r="CU95" s="392"/>
      <c r="CV95" s="392"/>
      <c r="CW95" s="392"/>
      <c r="CX95" s="392"/>
      <c r="CY95" s="392"/>
      <c r="CZ95" s="392"/>
      <c r="DA95" s="392"/>
      <c r="DB95" s="392"/>
      <c r="DC95" s="392"/>
      <c r="DD95" s="392"/>
      <c r="DE95" s="392"/>
      <c r="DF95" s="392"/>
      <c r="DG95" s="392"/>
      <c r="DH95" s="392"/>
      <c r="DI95" s="392"/>
      <c r="DJ95" s="392"/>
      <c r="DK95" s="392"/>
      <c r="DL95" s="392"/>
      <c r="DM95" s="392"/>
      <c r="DN95" s="392"/>
      <c r="DO95" s="392"/>
      <c r="DP95" s="392"/>
      <c r="DQ95" s="392"/>
      <c r="DR95" s="392"/>
      <c r="DS95" s="392"/>
      <c r="DT95" s="392"/>
      <c r="DU95" s="392"/>
      <c r="DV95" s="392"/>
      <c r="DW95" s="392"/>
      <c r="DX95" s="392"/>
      <c r="DY95" s="392"/>
      <c r="DZ95" s="392"/>
      <c r="EA95" s="392"/>
      <c r="EB95" s="392"/>
      <c r="EC95" s="392"/>
      <c r="ED95" s="392"/>
      <c r="EE95" s="392"/>
      <c r="EF95" s="392"/>
      <c r="EG95" s="392"/>
      <c r="EH95" s="392"/>
      <c r="EI95" s="392"/>
      <c r="EJ95" s="392"/>
      <c r="EK95" s="392"/>
      <c r="EL95" s="392"/>
      <c r="EM95" s="392"/>
      <c r="EN95" s="392"/>
      <c r="EO95" s="392"/>
      <c r="EP95" s="392"/>
      <c r="EQ95" s="392"/>
      <c r="ER95" s="392"/>
      <c r="ES95" s="392"/>
      <c r="ET95" s="392"/>
      <c r="EU95" s="392"/>
      <c r="EV95" s="392"/>
      <c r="EW95" s="392"/>
      <c r="EX95" s="392"/>
      <c r="EY95" s="392"/>
      <c r="EZ95" s="392"/>
      <c r="FA95" s="392"/>
      <c r="FB95" s="392"/>
      <c r="FC95" s="392"/>
      <c r="FD95" s="392"/>
      <c r="FE95" s="392"/>
      <c r="FF95" s="392"/>
      <c r="FG95" s="392"/>
      <c r="FH95" s="392"/>
      <c r="FI95" s="392"/>
      <c r="FJ95" s="392"/>
      <c r="FK95" s="392"/>
      <c r="FL95" s="392"/>
      <c r="FM95" s="392"/>
      <c r="FN95" s="392"/>
      <c r="FO95" s="392"/>
      <c r="FP95" s="392"/>
      <c r="FQ95" s="392"/>
      <c r="FR95" s="392"/>
      <c r="FS95" s="392"/>
      <c r="FT95" s="392"/>
      <c r="FU95" s="392"/>
      <c r="FV95" s="392"/>
      <c r="FW95" s="392"/>
      <c r="FX95" s="392"/>
      <c r="FY95" s="392"/>
      <c r="FZ95" s="392"/>
      <c r="GA95" s="392"/>
      <c r="GB95" s="392"/>
      <c r="GC95" s="392"/>
      <c r="GD95" s="392"/>
      <c r="GE95" s="392"/>
      <c r="GF95" s="392"/>
      <c r="GG95" s="392"/>
      <c r="GH95" s="392"/>
      <c r="GI95" s="392"/>
      <c r="GJ95" s="392"/>
      <c r="GK95" s="392"/>
      <c r="GL95" s="392"/>
      <c r="GM95" s="392"/>
      <c r="GN95" s="392"/>
      <c r="GO95" s="392"/>
      <c r="GP95" s="392"/>
      <c r="GQ95" s="392"/>
      <c r="GR95" s="392"/>
      <c r="GS95" s="392"/>
      <c r="GT95" s="392"/>
      <c r="GU95" s="392"/>
      <c r="GV95" s="392"/>
      <c r="GW95" s="392"/>
      <c r="GX95" s="392"/>
      <c r="GY95" s="392"/>
      <c r="GZ95" s="392"/>
      <c r="HA95" s="392"/>
      <c r="HB95" s="392"/>
      <c r="HC95" s="392"/>
      <c r="HD95" s="392"/>
      <c r="HE95" s="392"/>
      <c r="HF95" s="392"/>
      <c r="HG95" s="392"/>
      <c r="HH95" s="392"/>
      <c r="HI95" s="392"/>
      <c r="HJ95" s="392"/>
      <c r="HK95" s="392"/>
      <c r="HL95" s="392"/>
      <c r="HM95" s="392"/>
      <c r="HN95" s="392"/>
      <c r="HO95" s="392"/>
      <c r="HP95" s="392"/>
      <c r="HQ95" s="392"/>
      <c r="HR95" s="392"/>
      <c r="HS95" s="392"/>
      <c r="HT95" s="392"/>
      <c r="HU95" s="392"/>
      <c r="HV95" s="392"/>
      <c r="HW95" s="392"/>
      <c r="HX95" s="392"/>
      <c r="HY95" s="392"/>
      <c r="HZ95" s="392"/>
      <c r="IA95" s="392"/>
      <c r="IB95" s="392"/>
      <c r="IC95" s="392"/>
      <c r="ID95" s="392"/>
      <c r="IE95" s="392"/>
      <c r="IF95" s="392"/>
      <c r="IG95" s="392"/>
      <c r="IH95" s="392"/>
      <c r="II95" s="392"/>
      <c r="IJ95" s="392"/>
      <c r="IK95" s="392"/>
      <c r="IL95" s="392"/>
      <c r="IM95" s="392"/>
      <c r="IN95" s="392"/>
      <c r="IO95" s="392"/>
      <c r="IP95" s="392"/>
      <c r="IQ95" s="392"/>
      <c r="IR95" s="392"/>
      <c r="IS95" s="392"/>
      <c r="IT95" s="392"/>
      <c r="IU95" s="392"/>
      <c r="IV95" s="392"/>
    </row>
    <row r="96" spans="1:256" ht="15.75" thickBot="1">
      <c r="A96" s="392" t="s">
        <v>391</v>
      </c>
      <c r="B96" s="437" t="s">
        <v>57</v>
      </c>
      <c r="C96" s="318" t="e">
        <f>IF($A96="INSUMO",VLOOKUP($B96,'BANCO DE DADOS JANEIRO-24 INS'!$A:$D,2,FALSE),VLOOKUP($B96,'BANCO DE DADOS JANEIRO-24 SERV'!$B:$E,2,FALSE))</f>
        <v>#N/A</v>
      </c>
      <c r="D96" s="319" t="e">
        <f>IF($A96="INSUMO",VLOOKUP($B96,'BANCO DE DADOS JANEIRO-24 INS'!$A:$D,3,FALSE),VLOOKUP($B96,'BANCO DE DADOS JANEIRO-24 SERV'!$B:$E,3,FALSE))</f>
        <v>#N/A</v>
      </c>
      <c r="E96" s="599">
        <f>E94</f>
        <v>0.12800000000000003</v>
      </c>
      <c r="F96" s="321" t="e">
        <f>IF($A96="INSUMO",VLOOKUP($B96,'BANCO DE DADOS JANEIRO-24 INS'!$A:$D,4,FALSE),VLOOKUP($B96,'BANCO DE DADOS JANEIRO-24 SERV'!$B:$E,4,FALSE))</f>
        <v>#N/A</v>
      </c>
      <c r="G96" s="438" t="e">
        <f>TRUNC(F96*E96,2)</f>
        <v>#N/A</v>
      </c>
      <c r="H96" s="392"/>
      <c r="I96" s="392"/>
      <c r="J96" s="392"/>
      <c r="K96" s="392"/>
      <c r="L96" s="392"/>
      <c r="M96" s="392"/>
      <c r="N96" s="392"/>
      <c r="O96" s="392"/>
      <c r="P96" s="392"/>
      <c r="Q96" s="392"/>
      <c r="R96" s="392"/>
      <c r="S96" s="392"/>
      <c r="T96" s="392"/>
      <c r="U96" s="392"/>
      <c r="V96" s="392"/>
      <c r="W96" s="392"/>
      <c r="X96" s="392"/>
      <c r="Y96" s="392"/>
      <c r="Z96" s="392"/>
      <c r="AA96" s="392"/>
      <c r="AB96" s="392"/>
      <c r="AC96" s="392"/>
      <c r="AD96" s="392"/>
      <c r="AE96" s="392"/>
      <c r="AF96" s="392"/>
      <c r="AG96" s="392"/>
      <c r="AH96" s="392"/>
      <c r="AI96" s="392"/>
      <c r="AJ96" s="392"/>
      <c r="AK96" s="392"/>
      <c r="AL96" s="392"/>
      <c r="AM96" s="392"/>
      <c r="AN96" s="392"/>
      <c r="AO96" s="392"/>
      <c r="AP96" s="392"/>
      <c r="AQ96" s="392"/>
      <c r="AR96" s="392"/>
      <c r="AS96" s="392"/>
      <c r="AT96" s="392"/>
      <c r="AU96" s="392"/>
      <c r="AV96" s="392"/>
      <c r="AW96" s="392"/>
      <c r="AX96" s="392"/>
      <c r="AY96" s="392"/>
      <c r="AZ96" s="392"/>
      <c r="BA96" s="392"/>
      <c r="BB96" s="392"/>
      <c r="BC96" s="392"/>
      <c r="BD96" s="392"/>
      <c r="BE96" s="392"/>
      <c r="BF96" s="392"/>
      <c r="BG96" s="392"/>
      <c r="BH96" s="392"/>
      <c r="BI96" s="392"/>
      <c r="BJ96" s="392"/>
      <c r="BK96" s="392"/>
      <c r="BL96" s="392"/>
      <c r="BM96" s="392"/>
      <c r="BN96" s="392"/>
      <c r="BO96" s="392"/>
      <c r="BP96" s="392"/>
      <c r="BQ96" s="392"/>
      <c r="BR96" s="392"/>
      <c r="BS96" s="392"/>
      <c r="BT96" s="392"/>
      <c r="BU96" s="392"/>
      <c r="BV96" s="392"/>
      <c r="BW96" s="392"/>
      <c r="BX96" s="392"/>
      <c r="BY96" s="392"/>
      <c r="BZ96" s="392"/>
      <c r="CA96" s="392"/>
      <c r="CB96" s="392"/>
      <c r="CC96" s="392"/>
      <c r="CD96" s="392"/>
      <c r="CE96" s="392"/>
      <c r="CF96" s="392"/>
      <c r="CG96" s="392"/>
      <c r="CH96" s="392"/>
      <c r="CI96" s="392"/>
      <c r="CJ96" s="392"/>
      <c r="CK96" s="392"/>
      <c r="CL96" s="392"/>
      <c r="CM96" s="392"/>
      <c r="CN96" s="392"/>
      <c r="CO96" s="392"/>
      <c r="CP96" s="392"/>
      <c r="CQ96" s="392"/>
      <c r="CR96" s="392"/>
      <c r="CS96" s="392"/>
      <c r="CT96" s="392"/>
      <c r="CU96" s="392"/>
      <c r="CV96" s="392"/>
      <c r="CW96" s="392"/>
      <c r="CX96" s="392"/>
      <c r="CY96" s="392"/>
      <c r="CZ96" s="392"/>
      <c r="DA96" s="392"/>
      <c r="DB96" s="392"/>
      <c r="DC96" s="392"/>
      <c r="DD96" s="392"/>
      <c r="DE96" s="392"/>
      <c r="DF96" s="392"/>
      <c r="DG96" s="392"/>
      <c r="DH96" s="392"/>
      <c r="DI96" s="392"/>
      <c r="DJ96" s="392"/>
      <c r="DK96" s="392"/>
      <c r="DL96" s="392"/>
      <c r="DM96" s="392"/>
      <c r="DN96" s="392"/>
      <c r="DO96" s="392"/>
      <c r="DP96" s="392"/>
      <c r="DQ96" s="392"/>
      <c r="DR96" s="392"/>
      <c r="DS96" s="392"/>
      <c r="DT96" s="392"/>
      <c r="DU96" s="392"/>
      <c r="DV96" s="392"/>
      <c r="DW96" s="392"/>
      <c r="DX96" s="392"/>
      <c r="DY96" s="392"/>
      <c r="DZ96" s="392"/>
      <c r="EA96" s="392"/>
      <c r="EB96" s="392"/>
      <c r="EC96" s="392"/>
      <c r="ED96" s="392"/>
      <c r="EE96" s="392"/>
      <c r="EF96" s="392"/>
      <c r="EG96" s="392"/>
      <c r="EH96" s="392"/>
      <c r="EI96" s="392"/>
      <c r="EJ96" s="392"/>
      <c r="EK96" s="392"/>
      <c r="EL96" s="392"/>
      <c r="EM96" s="392"/>
      <c r="EN96" s="392"/>
      <c r="EO96" s="392"/>
      <c r="EP96" s="392"/>
      <c r="EQ96" s="392"/>
      <c r="ER96" s="392"/>
      <c r="ES96" s="392"/>
      <c r="ET96" s="392"/>
      <c r="EU96" s="392"/>
      <c r="EV96" s="392"/>
      <c r="EW96" s="392"/>
      <c r="EX96" s="392"/>
      <c r="EY96" s="392"/>
      <c r="EZ96" s="392"/>
      <c r="FA96" s="392"/>
      <c r="FB96" s="392"/>
      <c r="FC96" s="392"/>
      <c r="FD96" s="392"/>
      <c r="FE96" s="392"/>
      <c r="FF96" s="392"/>
      <c r="FG96" s="392"/>
      <c r="FH96" s="392"/>
      <c r="FI96" s="392"/>
      <c r="FJ96" s="392"/>
      <c r="FK96" s="392"/>
      <c r="FL96" s="392"/>
      <c r="FM96" s="392"/>
      <c r="FN96" s="392"/>
      <c r="FO96" s="392"/>
      <c r="FP96" s="392"/>
      <c r="FQ96" s="392"/>
      <c r="FR96" s="392"/>
      <c r="FS96" s="392"/>
      <c r="FT96" s="392"/>
      <c r="FU96" s="392"/>
      <c r="FV96" s="392"/>
      <c r="FW96" s="392"/>
      <c r="FX96" s="392"/>
      <c r="FY96" s="392"/>
      <c r="FZ96" s="392"/>
      <c r="GA96" s="392"/>
      <c r="GB96" s="392"/>
      <c r="GC96" s="392"/>
      <c r="GD96" s="392"/>
      <c r="GE96" s="392"/>
      <c r="GF96" s="392"/>
      <c r="GG96" s="392"/>
      <c r="GH96" s="392"/>
      <c r="GI96" s="392"/>
      <c r="GJ96" s="392"/>
      <c r="GK96" s="392"/>
      <c r="GL96" s="392"/>
      <c r="GM96" s="392"/>
      <c r="GN96" s="392"/>
      <c r="GO96" s="392"/>
      <c r="GP96" s="392"/>
      <c r="GQ96" s="392"/>
      <c r="GR96" s="392"/>
      <c r="GS96" s="392"/>
      <c r="GT96" s="392"/>
      <c r="GU96" s="392"/>
      <c r="GV96" s="392"/>
      <c r="GW96" s="392"/>
      <c r="GX96" s="392"/>
      <c r="GY96" s="392"/>
      <c r="GZ96" s="392"/>
      <c r="HA96" s="392"/>
      <c r="HB96" s="392"/>
      <c r="HC96" s="392"/>
      <c r="HD96" s="392"/>
      <c r="HE96" s="392"/>
      <c r="HF96" s="392"/>
      <c r="HG96" s="392"/>
      <c r="HH96" s="392"/>
      <c r="HI96" s="392"/>
      <c r="HJ96" s="392"/>
      <c r="HK96" s="392"/>
      <c r="HL96" s="392"/>
      <c r="HM96" s="392"/>
      <c r="HN96" s="392"/>
      <c r="HO96" s="392"/>
      <c r="HP96" s="392"/>
      <c r="HQ96" s="392"/>
      <c r="HR96" s="392"/>
      <c r="HS96" s="392"/>
      <c r="HT96" s="392"/>
      <c r="HU96" s="392"/>
      <c r="HV96" s="392"/>
      <c r="HW96" s="392"/>
      <c r="HX96" s="392"/>
      <c r="HY96" s="392"/>
      <c r="HZ96" s="392"/>
      <c r="IA96" s="392"/>
      <c r="IB96" s="392"/>
      <c r="IC96" s="392"/>
      <c r="ID96" s="392"/>
      <c r="IE96" s="392"/>
      <c r="IF96" s="392"/>
      <c r="IG96" s="392"/>
      <c r="IH96" s="392"/>
      <c r="II96" s="392"/>
      <c r="IJ96" s="392"/>
      <c r="IK96" s="392"/>
      <c r="IL96" s="392"/>
      <c r="IM96" s="392"/>
      <c r="IN96" s="392"/>
      <c r="IO96" s="392"/>
      <c r="IP96" s="392"/>
      <c r="IQ96" s="392"/>
      <c r="IR96" s="392"/>
      <c r="IS96" s="392"/>
      <c r="IT96" s="392"/>
      <c r="IU96" s="392"/>
      <c r="IV96" s="392"/>
    </row>
    <row r="97" spans="1:256" ht="16.5" thickBot="1">
      <c r="A97" s="392"/>
      <c r="B97" s="439" t="s">
        <v>1705</v>
      </c>
      <c r="C97" s="440"/>
      <c r="D97" s="441"/>
      <c r="E97" s="442"/>
      <c r="F97" s="443" t="s">
        <v>167</v>
      </c>
      <c r="G97" s="444" t="e">
        <f>TRUNC(SUM(G93:G96),2)</f>
        <v>#N/A</v>
      </c>
      <c r="H97" s="392"/>
      <c r="I97" s="392"/>
      <c r="J97" s="392"/>
      <c r="K97" s="392"/>
      <c r="L97" s="392"/>
      <c r="M97" s="392"/>
      <c r="N97" s="392"/>
      <c r="O97" s="392"/>
      <c r="P97" s="392"/>
      <c r="Q97" s="392"/>
      <c r="R97" s="392"/>
      <c r="S97" s="392"/>
      <c r="T97" s="392"/>
      <c r="U97" s="392"/>
      <c r="V97" s="392"/>
      <c r="W97" s="392"/>
      <c r="X97" s="392"/>
      <c r="Y97" s="392"/>
      <c r="Z97" s="392"/>
      <c r="AA97" s="392"/>
      <c r="AB97" s="392"/>
      <c r="AC97" s="392"/>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2"/>
      <c r="BF97" s="392"/>
      <c r="BG97" s="392"/>
      <c r="BH97" s="392"/>
      <c r="BI97" s="392"/>
      <c r="BJ97" s="392"/>
      <c r="BK97" s="392"/>
      <c r="BL97" s="392"/>
      <c r="BM97" s="392"/>
      <c r="BN97" s="392"/>
      <c r="BO97" s="392"/>
      <c r="BP97" s="392"/>
      <c r="BQ97" s="392"/>
      <c r="BR97" s="392"/>
      <c r="BS97" s="392"/>
      <c r="BT97" s="392"/>
      <c r="BU97" s="392"/>
      <c r="BV97" s="392"/>
      <c r="BW97" s="392"/>
      <c r="BX97" s="392"/>
      <c r="BY97" s="392"/>
      <c r="BZ97" s="392"/>
      <c r="CA97" s="392"/>
      <c r="CB97" s="392"/>
      <c r="CC97" s="392"/>
      <c r="CD97" s="392"/>
      <c r="CE97" s="392"/>
      <c r="CF97" s="392"/>
      <c r="CG97" s="392"/>
      <c r="CH97" s="392"/>
      <c r="CI97" s="392"/>
      <c r="CJ97" s="392"/>
      <c r="CK97" s="392"/>
      <c r="CL97" s="392"/>
      <c r="CM97" s="392"/>
      <c r="CN97" s="392"/>
      <c r="CO97" s="392"/>
      <c r="CP97" s="392"/>
      <c r="CQ97" s="392"/>
      <c r="CR97" s="392"/>
      <c r="CS97" s="392"/>
      <c r="CT97" s="392"/>
      <c r="CU97" s="392"/>
      <c r="CV97" s="392"/>
      <c r="CW97" s="392"/>
      <c r="CX97" s="392"/>
      <c r="CY97" s="392"/>
      <c r="CZ97" s="392"/>
      <c r="DA97" s="392"/>
      <c r="DB97" s="392"/>
      <c r="DC97" s="392"/>
      <c r="DD97" s="392"/>
      <c r="DE97" s="392"/>
      <c r="DF97" s="392"/>
      <c r="DG97" s="392"/>
      <c r="DH97" s="392"/>
      <c r="DI97" s="392"/>
      <c r="DJ97" s="392"/>
      <c r="DK97" s="392"/>
      <c r="DL97" s="392"/>
      <c r="DM97" s="392"/>
      <c r="DN97" s="392"/>
      <c r="DO97" s="392"/>
      <c r="DP97" s="392"/>
      <c r="DQ97" s="392"/>
      <c r="DR97" s="392"/>
      <c r="DS97" s="392"/>
      <c r="DT97" s="392"/>
      <c r="DU97" s="392"/>
      <c r="DV97" s="392"/>
      <c r="DW97" s="392"/>
      <c r="DX97" s="392"/>
      <c r="DY97" s="392"/>
      <c r="DZ97" s="392"/>
      <c r="EA97" s="392"/>
      <c r="EB97" s="392"/>
      <c r="EC97" s="392"/>
      <c r="ED97" s="392"/>
      <c r="EE97" s="392"/>
      <c r="EF97" s="392"/>
      <c r="EG97" s="392"/>
      <c r="EH97" s="392"/>
      <c r="EI97" s="392"/>
      <c r="EJ97" s="392"/>
      <c r="EK97" s="392"/>
      <c r="EL97" s="392"/>
      <c r="EM97" s="392"/>
      <c r="EN97" s="392"/>
      <c r="EO97" s="392"/>
      <c r="EP97" s="392"/>
      <c r="EQ97" s="392"/>
      <c r="ER97" s="392"/>
      <c r="ES97" s="392"/>
      <c r="ET97" s="392"/>
      <c r="EU97" s="392"/>
      <c r="EV97" s="392"/>
      <c r="EW97" s="392"/>
      <c r="EX97" s="392"/>
      <c r="EY97" s="392"/>
      <c r="EZ97" s="392"/>
      <c r="FA97" s="392"/>
      <c r="FB97" s="392"/>
      <c r="FC97" s="392"/>
      <c r="FD97" s="392"/>
      <c r="FE97" s="392"/>
      <c r="FF97" s="392"/>
      <c r="FG97" s="392"/>
      <c r="FH97" s="392"/>
      <c r="FI97" s="392"/>
      <c r="FJ97" s="392"/>
      <c r="FK97" s="392"/>
      <c r="FL97" s="392"/>
      <c r="FM97" s="392"/>
      <c r="FN97" s="392"/>
      <c r="FO97" s="392"/>
      <c r="FP97" s="392"/>
      <c r="FQ97" s="392"/>
      <c r="FR97" s="392"/>
      <c r="FS97" s="392"/>
      <c r="FT97" s="392"/>
      <c r="FU97" s="392"/>
      <c r="FV97" s="392"/>
      <c r="FW97" s="392"/>
      <c r="FX97" s="392"/>
      <c r="FY97" s="392"/>
      <c r="FZ97" s="392"/>
      <c r="GA97" s="392"/>
      <c r="GB97" s="392"/>
      <c r="GC97" s="392"/>
      <c r="GD97" s="392"/>
      <c r="GE97" s="392"/>
      <c r="GF97" s="392"/>
      <c r="GG97" s="392"/>
      <c r="GH97" s="392"/>
      <c r="GI97" s="392"/>
      <c r="GJ97" s="392"/>
      <c r="GK97" s="392"/>
      <c r="GL97" s="392"/>
      <c r="GM97" s="392"/>
      <c r="GN97" s="392"/>
      <c r="GO97" s="392"/>
      <c r="GP97" s="392"/>
      <c r="GQ97" s="392"/>
      <c r="GR97" s="392"/>
      <c r="GS97" s="392"/>
      <c r="GT97" s="392"/>
      <c r="GU97" s="392"/>
      <c r="GV97" s="392"/>
      <c r="GW97" s="392"/>
      <c r="GX97" s="392"/>
      <c r="GY97" s="392"/>
      <c r="GZ97" s="392"/>
      <c r="HA97" s="392"/>
      <c r="HB97" s="392"/>
      <c r="HC97" s="392"/>
      <c r="HD97" s="392"/>
      <c r="HE97" s="392"/>
      <c r="HF97" s="392"/>
      <c r="HG97" s="392"/>
      <c r="HH97" s="392"/>
      <c r="HI97" s="392"/>
      <c r="HJ97" s="392"/>
      <c r="HK97" s="392"/>
      <c r="HL97" s="392"/>
      <c r="HM97" s="392"/>
      <c r="HN97" s="392"/>
      <c r="HO97" s="392"/>
      <c r="HP97" s="392"/>
      <c r="HQ97" s="392"/>
      <c r="HR97" s="392"/>
      <c r="HS97" s="392"/>
      <c r="HT97" s="392"/>
      <c r="HU97" s="392"/>
      <c r="HV97" s="392"/>
      <c r="HW97" s="392"/>
      <c r="HX97" s="392"/>
      <c r="HY97" s="392"/>
      <c r="HZ97" s="392"/>
      <c r="IA97" s="392"/>
      <c r="IB97" s="392"/>
      <c r="IC97" s="392"/>
      <c r="ID97" s="392"/>
      <c r="IE97" s="392"/>
      <c r="IF97" s="392"/>
      <c r="IG97" s="392"/>
      <c r="IH97" s="392"/>
      <c r="II97" s="392"/>
      <c r="IJ97" s="392"/>
      <c r="IK97" s="392"/>
      <c r="IL97" s="392"/>
      <c r="IM97" s="392"/>
      <c r="IN97" s="392"/>
      <c r="IO97" s="392"/>
      <c r="IP97" s="392"/>
      <c r="IQ97" s="392"/>
      <c r="IR97" s="392"/>
      <c r="IS97" s="392"/>
      <c r="IT97" s="392"/>
      <c r="IU97" s="392"/>
      <c r="IV97" s="392"/>
    </row>
    <row r="98" spans="1:256">
      <c r="A98" s="392"/>
      <c r="B98" s="448"/>
      <c r="C98" s="448"/>
      <c r="D98" s="448"/>
      <c r="E98" s="448"/>
      <c r="F98" s="448"/>
      <c r="G98" s="448"/>
      <c r="H98" s="392"/>
      <c r="I98" s="392"/>
      <c r="J98" s="392"/>
      <c r="K98" s="392"/>
      <c r="L98" s="392"/>
      <c r="M98" s="392"/>
      <c r="N98" s="392"/>
      <c r="O98" s="392"/>
      <c r="P98" s="392"/>
      <c r="Q98" s="392"/>
      <c r="R98" s="392"/>
      <c r="S98" s="392"/>
      <c r="T98" s="392"/>
      <c r="U98" s="392"/>
      <c r="V98" s="392"/>
      <c r="W98" s="392"/>
      <c r="X98" s="392"/>
      <c r="Y98" s="392"/>
      <c r="Z98" s="392"/>
      <c r="AA98" s="392"/>
      <c r="AB98" s="392"/>
      <c r="AC98" s="392"/>
      <c r="AD98" s="392"/>
      <c r="AE98" s="392"/>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c r="BI98" s="392"/>
      <c r="BJ98" s="392"/>
      <c r="BK98" s="392"/>
      <c r="BL98" s="392"/>
      <c r="BM98" s="392"/>
      <c r="BN98" s="392"/>
      <c r="BO98" s="392"/>
      <c r="BP98" s="392"/>
      <c r="BQ98" s="392"/>
      <c r="BR98" s="392"/>
      <c r="BS98" s="392"/>
      <c r="BT98" s="392"/>
      <c r="BU98" s="392"/>
      <c r="BV98" s="392"/>
      <c r="BW98" s="392"/>
      <c r="BX98" s="392"/>
      <c r="BY98" s="392"/>
      <c r="BZ98" s="392"/>
      <c r="CA98" s="392"/>
      <c r="CB98" s="392"/>
      <c r="CC98" s="392"/>
      <c r="CD98" s="392"/>
      <c r="CE98" s="392"/>
      <c r="CF98" s="392"/>
      <c r="CG98" s="392"/>
      <c r="CH98" s="392"/>
      <c r="CI98" s="392"/>
      <c r="CJ98" s="392"/>
      <c r="CK98" s="392"/>
      <c r="CL98" s="392"/>
      <c r="CM98" s="392"/>
      <c r="CN98" s="392"/>
      <c r="CO98" s="392"/>
      <c r="CP98" s="392"/>
      <c r="CQ98" s="392"/>
      <c r="CR98" s="392"/>
      <c r="CS98" s="392"/>
      <c r="CT98" s="392"/>
      <c r="CU98" s="392"/>
      <c r="CV98" s="392"/>
      <c r="CW98" s="392"/>
      <c r="CX98" s="392"/>
      <c r="CY98" s="392"/>
      <c r="CZ98" s="392"/>
      <c r="DA98" s="392"/>
      <c r="DB98" s="392"/>
      <c r="DC98" s="392"/>
      <c r="DD98" s="392"/>
      <c r="DE98" s="392"/>
      <c r="DF98" s="392"/>
      <c r="DG98" s="392"/>
      <c r="DH98" s="392"/>
      <c r="DI98" s="392"/>
      <c r="DJ98" s="392"/>
      <c r="DK98" s="392"/>
      <c r="DL98" s="392"/>
      <c r="DM98" s="392"/>
      <c r="DN98" s="392"/>
      <c r="DO98" s="392"/>
      <c r="DP98" s="392"/>
      <c r="DQ98" s="392"/>
      <c r="DR98" s="392"/>
      <c r="DS98" s="392"/>
      <c r="DT98" s="392"/>
      <c r="DU98" s="392"/>
      <c r="DV98" s="392"/>
      <c r="DW98" s="392"/>
      <c r="DX98" s="392"/>
      <c r="DY98" s="392"/>
      <c r="DZ98" s="392"/>
      <c r="EA98" s="392"/>
      <c r="EB98" s="392"/>
      <c r="EC98" s="392"/>
      <c r="ED98" s="392"/>
      <c r="EE98" s="392"/>
      <c r="EF98" s="392"/>
      <c r="EG98" s="392"/>
      <c r="EH98" s="392"/>
      <c r="EI98" s="392"/>
      <c r="EJ98" s="392"/>
      <c r="EK98" s="392"/>
      <c r="EL98" s="392"/>
      <c r="EM98" s="392"/>
      <c r="EN98" s="392"/>
      <c r="EO98" s="392"/>
      <c r="EP98" s="392"/>
      <c r="EQ98" s="392"/>
      <c r="ER98" s="392"/>
      <c r="ES98" s="392"/>
      <c r="ET98" s="392"/>
      <c r="EU98" s="392"/>
      <c r="EV98" s="392"/>
      <c r="EW98" s="392"/>
      <c r="EX98" s="392"/>
      <c r="EY98" s="392"/>
      <c r="EZ98" s="392"/>
      <c r="FA98" s="392"/>
      <c r="FB98" s="392"/>
      <c r="FC98" s="392"/>
      <c r="FD98" s="392"/>
      <c r="FE98" s="392"/>
      <c r="FF98" s="392"/>
      <c r="FG98" s="392"/>
      <c r="FH98" s="392"/>
      <c r="FI98" s="392"/>
      <c r="FJ98" s="392"/>
      <c r="FK98" s="392"/>
      <c r="FL98" s="392"/>
      <c r="FM98" s="392"/>
      <c r="FN98" s="392"/>
      <c r="FO98" s="392"/>
      <c r="FP98" s="392"/>
      <c r="FQ98" s="392"/>
      <c r="FR98" s="392"/>
      <c r="FS98" s="392"/>
      <c r="FT98" s="392"/>
      <c r="FU98" s="392"/>
      <c r="FV98" s="392"/>
      <c r="FW98" s="392"/>
      <c r="FX98" s="392"/>
      <c r="FY98" s="392"/>
      <c r="FZ98" s="392"/>
      <c r="GA98" s="392"/>
      <c r="GB98" s="392"/>
      <c r="GC98" s="392"/>
      <c r="GD98" s="392"/>
      <c r="GE98" s="392"/>
      <c r="GF98" s="392"/>
      <c r="GG98" s="392"/>
      <c r="GH98" s="392"/>
      <c r="GI98" s="392"/>
      <c r="GJ98" s="392"/>
      <c r="GK98" s="392"/>
      <c r="GL98" s="392"/>
      <c r="GM98" s="392"/>
      <c r="GN98" s="392"/>
      <c r="GO98" s="392"/>
      <c r="GP98" s="392"/>
      <c r="GQ98" s="392"/>
      <c r="GR98" s="392"/>
      <c r="GS98" s="392"/>
      <c r="GT98" s="392"/>
      <c r="GU98" s="392"/>
      <c r="GV98" s="392"/>
      <c r="GW98" s="392"/>
      <c r="GX98" s="392"/>
      <c r="GY98" s="392"/>
      <c r="GZ98" s="392"/>
      <c r="HA98" s="392"/>
      <c r="HB98" s="392"/>
      <c r="HC98" s="392"/>
      <c r="HD98" s="392"/>
      <c r="HE98" s="392"/>
      <c r="HF98" s="392"/>
      <c r="HG98" s="392"/>
      <c r="HH98" s="392"/>
      <c r="HI98" s="392"/>
      <c r="HJ98" s="392"/>
      <c r="HK98" s="392"/>
      <c r="HL98" s="392"/>
      <c r="HM98" s="392"/>
      <c r="HN98" s="392"/>
      <c r="HO98" s="392"/>
      <c r="HP98" s="392"/>
      <c r="HQ98" s="392"/>
      <c r="HR98" s="392"/>
      <c r="HS98" s="392"/>
      <c r="HT98" s="392"/>
      <c r="HU98" s="392"/>
      <c r="HV98" s="392"/>
      <c r="HW98" s="392"/>
      <c r="HX98" s="392"/>
      <c r="HY98" s="392"/>
      <c r="HZ98" s="392"/>
      <c r="IA98" s="392"/>
      <c r="IB98" s="392"/>
      <c r="IC98" s="392"/>
      <c r="ID98" s="392"/>
      <c r="IE98" s="392"/>
      <c r="IF98" s="392"/>
      <c r="IG98" s="392"/>
      <c r="IH98" s="392"/>
      <c r="II98" s="392"/>
      <c r="IJ98" s="392"/>
      <c r="IK98" s="392"/>
      <c r="IL98" s="392"/>
      <c r="IM98" s="392"/>
      <c r="IN98" s="392"/>
      <c r="IO98" s="392"/>
      <c r="IP98" s="392"/>
      <c r="IQ98" s="392"/>
      <c r="IR98" s="392"/>
      <c r="IS98" s="392"/>
      <c r="IT98" s="392"/>
      <c r="IU98" s="392"/>
      <c r="IV98" s="392"/>
    </row>
    <row r="99" spans="1:256" ht="409.5" customHeight="1">
      <c r="A99" s="392"/>
      <c r="B99" s="2355"/>
      <c r="C99" s="2355"/>
      <c r="D99" s="2355"/>
      <c r="E99" s="2355"/>
      <c r="F99" s="2355"/>
      <c r="G99" s="2355"/>
      <c r="H99" s="392"/>
      <c r="I99" s="392"/>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2"/>
      <c r="BF99" s="392"/>
      <c r="BG99" s="392"/>
      <c r="BH99" s="392"/>
      <c r="BI99" s="392"/>
      <c r="BJ99" s="392"/>
      <c r="BK99" s="392"/>
      <c r="BL99" s="392"/>
      <c r="BM99" s="392"/>
      <c r="BN99" s="392"/>
      <c r="BO99" s="392"/>
      <c r="BP99" s="392"/>
      <c r="BQ99" s="392"/>
      <c r="BR99" s="392"/>
      <c r="BS99" s="392"/>
      <c r="BT99" s="392"/>
      <c r="BU99" s="392"/>
      <c r="BV99" s="392"/>
      <c r="BW99" s="392"/>
      <c r="BX99" s="392"/>
      <c r="BY99" s="392"/>
      <c r="BZ99" s="392"/>
      <c r="CA99" s="392"/>
      <c r="CB99" s="392"/>
      <c r="CC99" s="392"/>
      <c r="CD99" s="392"/>
      <c r="CE99" s="392"/>
      <c r="CF99" s="392"/>
      <c r="CG99" s="392"/>
      <c r="CH99" s="392"/>
      <c r="CI99" s="392"/>
      <c r="CJ99" s="392"/>
      <c r="CK99" s="392"/>
      <c r="CL99" s="392"/>
      <c r="CM99" s="392"/>
      <c r="CN99" s="392"/>
      <c r="CO99" s="392"/>
      <c r="CP99" s="392"/>
      <c r="CQ99" s="392"/>
      <c r="CR99" s="392"/>
      <c r="CS99" s="392"/>
      <c r="CT99" s="392"/>
      <c r="CU99" s="392"/>
      <c r="CV99" s="392"/>
      <c r="CW99" s="392"/>
      <c r="CX99" s="392"/>
      <c r="CY99" s="392"/>
      <c r="CZ99" s="392"/>
      <c r="DA99" s="392"/>
      <c r="DB99" s="392"/>
      <c r="DC99" s="392"/>
      <c r="DD99" s="392"/>
      <c r="DE99" s="392"/>
      <c r="DF99" s="392"/>
      <c r="DG99" s="392"/>
      <c r="DH99" s="392"/>
      <c r="DI99" s="392"/>
      <c r="DJ99" s="392"/>
      <c r="DK99" s="392"/>
      <c r="DL99" s="392"/>
      <c r="DM99" s="392"/>
      <c r="DN99" s="392"/>
      <c r="DO99" s="392"/>
      <c r="DP99" s="392"/>
      <c r="DQ99" s="392"/>
      <c r="DR99" s="392"/>
      <c r="DS99" s="392"/>
      <c r="DT99" s="392"/>
      <c r="DU99" s="392"/>
      <c r="DV99" s="392"/>
      <c r="DW99" s="392"/>
      <c r="DX99" s="392"/>
      <c r="DY99" s="392"/>
      <c r="DZ99" s="392"/>
      <c r="EA99" s="392"/>
      <c r="EB99" s="392"/>
      <c r="EC99" s="392"/>
      <c r="ED99" s="392"/>
      <c r="EE99" s="392"/>
      <c r="EF99" s="392"/>
      <c r="EG99" s="392"/>
      <c r="EH99" s="392"/>
      <c r="EI99" s="392"/>
      <c r="EJ99" s="392"/>
      <c r="EK99" s="392"/>
      <c r="EL99" s="392"/>
      <c r="EM99" s="392"/>
      <c r="EN99" s="392"/>
      <c r="EO99" s="392"/>
      <c r="EP99" s="392"/>
      <c r="EQ99" s="392"/>
      <c r="ER99" s="392"/>
      <c r="ES99" s="392"/>
      <c r="ET99" s="392"/>
      <c r="EU99" s="392"/>
      <c r="EV99" s="392"/>
      <c r="EW99" s="392"/>
      <c r="EX99" s="392"/>
      <c r="EY99" s="392"/>
      <c r="EZ99" s="392"/>
      <c r="FA99" s="392"/>
      <c r="FB99" s="392"/>
      <c r="FC99" s="392"/>
      <c r="FD99" s="392"/>
      <c r="FE99" s="392"/>
      <c r="FF99" s="392"/>
      <c r="FG99" s="392"/>
      <c r="FH99" s="392"/>
      <c r="FI99" s="392"/>
      <c r="FJ99" s="392"/>
      <c r="FK99" s="392"/>
      <c r="FL99" s="392"/>
      <c r="FM99" s="392"/>
      <c r="FN99" s="392"/>
      <c r="FO99" s="392"/>
      <c r="FP99" s="392"/>
      <c r="FQ99" s="392"/>
      <c r="FR99" s="392"/>
      <c r="FS99" s="392"/>
      <c r="FT99" s="392"/>
      <c r="FU99" s="392"/>
      <c r="FV99" s="392"/>
      <c r="FW99" s="392"/>
      <c r="FX99" s="392"/>
      <c r="FY99" s="392"/>
      <c r="FZ99" s="392"/>
      <c r="GA99" s="392"/>
      <c r="GB99" s="392"/>
      <c r="GC99" s="392"/>
      <c r="GD99" s="392"/>
      <c r="GE99" s="392"/>
      <c r="GF99" s="392"/>
      <c r="GG99" s="392"/>
      <c r="GH99" s="392"/>
      <c r="GI99" s="392"/>
      <c r="GJ99" s="392"/>
      <c r="GK99" s="392"/>
      <c r="GL99" s="392"/>
      <c r="GM99" s="392"/>
      <c r="GN99" s="392"/>
      <c r="GO99" s="392"/>
      <c r="GP99" s="392"/>
      <c r="GQ99" s="392"/>
      <c r="GR99" s="392"/>
      <c r="GS99" s="392"/>
      <c r="GT99" s="392"/>
      <c r="GU99" s="392"/>
      <c r="GV99" s="392"/>
      <c r="GW99" s="392"/>
      <c r="GX99" s="392"/>
      <c r="GY99" s="392"/>
      <c r="GZ99" s="392"/>
      <c r="HA99" s="392"/>
      <c r="HB99" s="392"/>
      <c r="HC99" s="392"/>
      <c r="HD99" s="392"/>
      <c r="HE99" s="392"/>
      <c r="HF99" s="392"/>
      <c r="HG99" s="392"/>
      <c r="HH99" s="392"/>
      <c r="HI99" s="392"/>
      <c r="HJ99" s="392"/>
      <c r="HK99" s="392"/>
      <c r="HL99" s="392"/>
      <c r="HM99" s="392"/>
      <c r="HN99" s="392"/>
      <c r="HO99" s="392"/>
      <c r="HP99" s="392"/>
      <c r="HQ99" s="392"/>
      <c r="HR99" s="392"/>
      <c r="HS99" s="392"/>
      <c r="HT99" s="392"/>
      <c r="HU99" s="392"/>
      <c r="HV99" s="392"/>
      <c r="HW99" s="392"/>
      <c r="HX99" s="392"/>
      <c r="HY99" s="392"/>
      <c r="HZ99" s="392"/>
      <c r="IA99" s="392"/>
      <c r="IB99" s="392"/>
      <c r="IC99" s="392"/>
      <c r="ID99" s="392"/>
      <c r="IE99" s="392"/>
      <c r="IF99" s="392"/>
      <c r="IG99" s="392"/>
      <c r="IH99" s="392"/>
      <c r="II99" s="392"/>
      <c r="IJ99" s="392"/>
      <c r="IK99" s="392"/>
      <c r="IL99" s="392"/>
      <c r="IM99" s="392"/>
      <c r="IN99" s="392"/>
      <c r="IO99" s="392"/>
      <c r="IP99" s="392"/>
      <c r="IQ99" s="392"/>
      <c r="IR99" s="392"/>
      <c r="IS99" s="392"/>
      <c r="IT99" s="392"/>
      <c r="IU99" s="392"/>
      <c r="IV99" s="392"/>
    </row>
    <row r="100" spans="1:256" ht="101.25" customHeight="1" thickBot="1">
      <c r="A100" s="392"/>
      <c r="B100" s="2356"/>
      <c r="C100" s="2356"/>
      <c r="D100" s="2356"/>
      <c r="E100" s="2356"/>
      <c r="F100" s="2356"/>
      <c r="G100" s="2356"/>
      <c r="H100" s="392"/>
      <c r="I100" s="392"/>
      <c r="J100" s="392"/>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392"/>
      <c r="AL100" s="392"/>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392"/>
      <c r="BR100" s="392"/>
      <c r="BS100" s="392"/>
      <c r="BT100" s="392"/>
      <c r="BU100" s="392"/>
      <c r="BV100" s="392"/>
      <c r="BW100" s="392"/>
      <c r="BX100" s="392"/>
      <c r="BY100" s="392"/>
      <c r="BZ100" s="392"/>
      <c r="CA100" s="392"/>
      <c r="CB100" s="392"/>
      <c r="CC100" s="392"/>
      <c r="CD100" s="392"/>
      <c r="CE100" s="392"/>
      <c r="CF100" s="392"/>
      <c r="CG100" s="392"/>
      <c r="CH100" s="392"/>
      <c r="CI100" s="392"/>
      <c r="CJ100" s="392"/>
      <c r="CK100" s="392"/>
      <c r="CL100" s="392"/>
      <c r="CM100" s="392"/>
      <c r="CN100" s="392"/>
      <c r="CO100" s="392"/>
      <c r="CP100" s="392"/>
      <c r="CQ100" s="392"/>
      <c r="CR100" s="392"/>
      <c r="CS100" s="392"/>
      <c r="CT100" s="392"/>
      <c r="CU100" s="392"/>
      <c r="CV100" s="392"/>
      <c r="CW100" s="392"/>
      <c r="CX100" s="392"/>
      <c r="CY100" s="392"/>
      <c r="CZ100" s="392"/>
      <c r="DA100" s="392"/>
      <c r="DB100" s="392"/>
      <c r="DC100" s="392"/>
      <c r="DD100" s="392"/>
      <c r="DE100" s="392"/>
      <c r="DF100" s="392"/>
      <c r="DG100" s="392"/>
      <c r="DH100" s="392"/>
      <c r="DI100" s="392"/>
      <c r="DJ100" s="392"/>
      <c r="DK100" s="392"/>
      <c r="DL100" s="392"/>
      <c r="DM100" s="392"/>
      <c r="DN100" s="392"/>
      <c r="DO100" s="392"/>
      <c r="DP100" s="392"/>
      <c r="DQ100" s="392"/>
      <c r="DR100" s="392"/>
      <c r="DS100" s="392"/>
      <c r="DT100" s="392"/>
      <c r="DU100" s="392"/>
      <c r="DV100" s="392"/>
      <c r="DW100" s="392"/>
      <c r="DX100" s="392"/>
      <c r="DY100" s="392"/>
      <c r="DZ100" s="392"/>
      <c r="EA100" s="392"/>
      <c r="EB100" s="392"/>
      <c r="EC100" s="392"/>
      <c r="ED100" s="392"/>
      <c r="EE100" s="392"/>
      <c r="EF100" s="392"/>
      <c r="EG100" s="392"/>
      <c r="EH100" s="392"/>
      <c r="EI100" s="392"/>
      <c r="EJ100" s="392"/>
      <c r="EK100" s="392"/>
      <c r="EL100" s="392"/>
      <c r="EM100" s="392"/>
      <c r="EN100" s="392"/>
      <c r="EO100" s="392"/>
      <c r="EP100" s="392"/>
      <c r="EQ100" s="392"/>
      <c r="ER100" s="392"/>
      <c r="ES100" s="392"/>
      <c r="ET100" s="392"/>
      <c r="EU100" s="392"/>
      <c r="EV100" s="392"/>
      <c r="EW100" s="392"/>
      <c r="EX100" s="392"/>
      <c r="EY100" s="392"/>
      <c r="EZ100" s="392"/>
      <c r="FA100" s="392"/>
      <c r="FB100" s="392"/>
      <c r="FC100" s="392"/>
      <c r="FD100" s="392"/>
      <c r="FE100" s="392"/>
      <c r="FF100" s="392"/>
      <c r="FG100" s="392"/>
      <c r="FH100" s="392"/>
      <c r="FI100" s="392"/>
      <c r="FJ100" s="392"/>
      <c r="FK100" s="392"/>
      <c r="FL100" s="392"/>
      <c r="FM100" s="392"/>
      <c r="FN100" s="392"/>
      <c r="FO100" s="392"/>
      <c r="FP100" s="392"/>
      <c r="FQ100" s="392"/>
      <c r="FR100" s="392"/>
      <c r="FS100" s="392"/>
      <c r="FT100" s="392"/>
      <c r="FU100" s="392"/>
      <c r="FV100" s="392"/>
      <c r="FW100" s="392"/>
      <c r="FX100" s="392"/>
      <c r="FY100" s="392"/>
      <c r="FZ100" s="392"/>
      <c r="GA100" s="392"/>
      <c r="GB100" s="392"/>
      <c r="GC100" s="392"/>
      <c r="GD100" s="392"/>
      <c r="GE100" s="392"/>
      <c r="GF100" s="392"/>
      <c r="GG100" s="392"/>
      <c r="GH100" s="392"/>
      <c r="GI100" s="392"/>
      <c r="GJ100" s="392"/>
      <c r="GK100" s="392"/>
      <c r="GL100" s="392"/>
      <c r="GM100" s="392"/>
      <c r="GN100" s="392"/>
      <c r="GO100" s="392"/>
      <c r="GP100" s="392"/>
      <c r="GQ100" s="392"/>
      <c r="GR100" s="392"/>
      <c r="GS100" s="392"/>
      <c r="GT100" s="392"/>
      <c r="GU100" s="392"/>
      <c r="GV100" s="392"/>
      <c r="GW100" s="392"/>
      <c r="GX100" s="392"/>
      <c r="GY100" s="392"/>
      <c r="GZ100" s="392"/>
      <c r="HA100" s="392"/>
      <c r="HB100" s="392"/>
      <c r="HC100" s="392"/>
      <c r="HD100" s="392"/>
      <c r="HE100" s="392"/>
      <c r="HF100" s="392"/>
      <c r="HG100" s="392"/>
      <c r="HH100" s="392"/>
      <c r="HI100" s="392"/>
      <c r="HJ100" s="392"/>
      <c r="HK100" s="392"/>
      <c r="HL100" s="392"/>
      <c r="HM100" s="392"/>
      <c r="HN100" s="392"/>
      <c r="HO100" s="392"/>
      <c r="HP100" s="392"/>
      <c r="HQ100" s="392"/>
      <c r="HR100" s="392"/>
      <c r="HS100" s="392"/>
      <c r="HT100" s="392"/>
      <c r="HU100" s="392"/>
      <c r="HV100" s="392"/>
      <c r="HW100" s="392"/>
      <c r="HX100" s="392"/>
      <c r="HY100" s="392"/>
      <c r="HZ100" s="392"/>
      <c r="IA100" s="392"/>
      <c r="IB100" s="392"/>
      <c r="IC100" s="392"/>
      <c r="ID100" s="392"/>
      <c r="IE100" s="392"/>
      <c r="IF100" s="392"/>
      <c r="IG100" s="392"/>
      <c r="IH100" s="392"/>
      <c r="II100" s="392"/>
      <c r="IJ100" s="392"/>
      <c r="IK100" s="392"/>
      <c r="IL100" s="392"/>
      <c r="IM100" s="392"/>
      <c r="IN100" s="392"/>
      <c r="IO100" s="392"/>
      <c r="IP100" s="392"/>
      <c r="IQ100" s="392"/>
      <c r="IR100" s="392"/>
      <c r="IS100" s="392"/>
      <c r="IT100" s="392"/>
      <c r="IU100" s="392"/>
      <c r="IV100" s="392"/>
    </row>
    <row r="101" spans="1:256" ht="31.5">
      <c r="A101" s="392"/>
      <c r="B101" s="581" t="s">
        <v>1706</v>
      </c>
      <c r="C101" s="2327" t="s">
        <v>1713</v>
      </c>
      <c r="D101" s="2328"/>
      <c r="E101" s="2328"/>
      <c r="F101" s="2329"/>
      <c r="G101" s="554" t="s">
        <v>22</v>
      </c>
      <c r="H101" s="392"/>
      <c r="I101" s="392"/>
      <c r="J101" s="392"/>
      <c r="K101" s="392"/>
      <c r="L101" s="392"/>
      <c r="M101" s="392"/>
      <c r="N101" s="392"/>
      <c r="O101" s="392"/>
      <c r="P101" s="392"/>
      <c r="Q101" s="392"/>
      <c r="R101" s="392"/>
      <c r="S101" s="392"/>
      <c r="T101" s="392"/>
      <c r="U101" s="392"/>
      <c r="V101" s="392"/>
      <c r="W101" s="392"/>
      <c r="X101" s="392"/>
      <c r="Y101" s="392"/>
      <c r="Z101" s="392"/>
      <c r="AA101" s="392"/>
      <c r="AB101" s="392"/>
      <c r="AC101" s="392"/>
      <c r="AD101" s="392"/>
      <c r="AE101" s="392"/>
      <c r="AF101" s="392"/>
      <c r="AG101" s="392"/>
      <c r="AH101" s="392"/>
      <c r="AI101" s="392"/>
      <c r="AJ101" s="392"/>
      <c r="AK101" s="392"/>
      <c r="AL101" s="392"/>
      <c r="AM101" s="392"/>
      <c r="AN101" s="392"/>
      <c r="AO101" s="392"/>
      <c r="AP101" s="392"/>
      <c r="AQ101" s="392"/>
      <c r="AR101" s="392"/>
      <c r="AS101" s="392"/>
      <c r="AT101" s="392"/>
      <c r="AU101" s="392"/>
      <c r="AV101" s="392"/>
      <c r="AW101" s="392"/>
      <c r="AX101" s="392"/>
      <c r="AY101" s="392"/>
      <c r="AZ101" s="392"/>
      <c r="BA101" s="392"/>
      <c r="BB101" s="392"/>
      <c r="BC101" s="392"/>
      <c r="BD101" s="392"/>
      <c r="BE101" s="392"/>
      <c r="BF101" s="392"/>
      <c r="BG101" s="392"/>
      <c r="BH101" s="392"/>
      <c r="BI101" s="392"/>
      <c r="BJ101" s="392"/>
      <c r="BK101" s="392"/>
      <c r="BL101" s="392"/>
      <c r="BM101" s="392"/>
      <c r="BN101" s="392"/>
      <c r="BO101" s="392"/>
      <c r="BP101" s="392"/>
      <c r="BQ101" s="392"/>
      <c r="BR101" s="392"/>
      <c r="BS101" s="392"/>
      <c r="BT101" s="392"/>
      <c r="BU101" s="392"/>
      <c r="BV101" s="392"/>
      <c r="BW101" s="392"/>
      <c r="BX101" s="392"/>
      <c r="BY101" s="392"/>
      <c r="BZ101" s="392"/>
      <c r="CA101" s="392"/>
      <c r="CB101" s="392"/>
      <c r="CC101" s="392"/>
      <c r="CD101" s="392"/>
      <c r="CE101" s="392"/>
      <c r="CF101" s="392"/>
      <c r="CG101" s="392"/>
      <c r="CH101" s="392"/>
      <c r="CI101" s="392"/>
      <c r="CJ101" s="392"/>
      <c r="CK101" s="392"/>
      <c r="CL101" s="392"/>
      <c r="CM101" s="392"/>
      <c r="CN101" s="392"/>
      <c r="CO101" s="392"/>
      <c r="CP101" s="392"/>
      <c r="CQ101" s="392"/>
      <c r="CR101" s="392"/>
      <c r="CS101" s="392"/>
      <c r="CT101" s="392"/>
      <c r="CU101" s="392"/>
      <c r="CV101" s="392"/>
      <c r="CW101" s="392"/>
      <c r="CX101" s="392"/>
      <c r="CY101" s="392"/>
      <c r="CZ101" s="392"/>
      <c r="DA101" s="392"/>
      <c r="DB101" s="392"/>
      <c r="DC101" s="392"/>
      <c r="DD101" s="392"/>
      <c r="DE101" s="392"/>
      <c r="DF101" s="392"/>
      <c r="DG101" s="392"/>
      <c r="DH101" s="392"/>
      <c r="DI101" s="392"/>
      <c r="DJ101" s="392"/>
      <c r="DK101" s="392"/>
      <c r="DL101" s="392"/>
      <c r="DM101" s="392"/>
      <c r="DN101" s="392"/>
      <c r="DO101" s="392"/>
      <c r="DP101" s="392"/>
      <c r="DQ101" s="392"/>
      <c r="DR101" s="392"/>
      <c r="DS101" s="392"/>
      <c r="DT101" s="392"/>
      <c r="DU101" s="392"/>
      <c r="DV101" s="392"/>
      <c r="DW101" s="392"/>
      <c r="DX101" s="392"/>
      <c r="DY101" s="392"/>
      <c r="DZ101" s="392"/>
      <c r="EA101" s="392"/>
      <c r="EB101" s="392"/>
      <c r="EC101" s="392"/>
      <c r="ED101" s="392"/>
      <c r="EE101" s="392"/>
      <c r="EF101" s="392"/>
      <c r="EG101" s="392"/>
      <c r="EH101" s="392"/>
      <c r="EI101" s="392"/>
      <c r="EJ101" s="392"/>
      <c r="EK101" s="392"/>
      <c r="EL101" s="392"/>
      <c r="EM101" s="392"/>
      <c r="EN101" s="392"/>
      <c r="EO101" s="392"/>
      <c r="EP101" s="392"/>
      <c r="EQ101" s="392"/>
      <c r="ER101" s="392"/>
      <c r="ES101" s="392"/>
      <c r="ET101" s="392"/>
      <c r="EU101" s="392"/>
      <c r="EV101" s="392"/>
      <c r="EW101" s="392"/>
      <c r="EX101" s="392"/>
      <c r="EY101" s="392"/>
      <c r="EZ101" s="392"/>
      <c r="FA101" s="392"/>
      <c r="FB101" s="392"/>
      <c r="FC101" s="392"/>
      <c r="FD101" s="392"/>
      <c r="FE101" s="392"/>
      <c r="FF101" s="392"/>
      <c r="FG101" s="392"/>
      <c r="FH101" s="392"/>
      <c r="FI101" s="392"/>
      <c r="FJ101" s="392"/>
      <c r="FK101" s="392"/>
      <c r="FL101" s="392"/>
      <c r="FM101" s="392"/>
      <c r="FN101" s="392"/>
      <c r="FO101" s="392"/>
      <c r="FP101" s="392"/>
      <c r="FQ101" s="392"/>
      <c r="FR101" s="392"/>
      <c r="FS101" s="392"/>
      <c r="FT101" s="392"/>
      <c r="FU101" s="392"/>
      <c r="FV101" s="392"/>
      <c r="FW101" s="392"/>
      <c r="FX101" s="392"/>
      <c r="FY101" s="392"/>
      <c r="FZ101" s="392"/>
      <c r="GA101" s="392"/>
      <c r="GB101" s="392"/>
      <c r="GC101" s="392"/>
      <c r="GD101" s="392"/>
      <c r="GE101" s="392"/>
      <c r="GF101" s="392"/>
      <c r="GG101" s="392"/>
      <c r="GH101" s="392"/>
      <c r="GI101" s="392"/>
      <c r="GJ101" s="392"/>
      <c r="GK101" s="392"/>
      <c r="GL101" s="392"/>
      <c r="GM101" s="392"/>
      <c r="GN101" s="392"/>
      <c r="GO101" s="392"/>
      <c r="GP101" s="392"/>
      <c r="GQ101" s="392"/>
      <c r="GR101" s="392"/>
      <c r="GS101" s="392"/>
      <c r="GT101" s="392"/>
      <c r="GU101" s="392"/>
      <c r="GV101" s="392"/>
      <c r="GW101" s="392"/>
      <c r="GX101" s="392"/>
      <c r="GY101" s="392"/>
      <c r="GZ101" s="392"/>
      <c r="HA101" s="392"/>
      <c r="HB101" s="392"/>
      <c r="HC101" s="392"/>
      <c r="HD101" s="392"/>
      <c r="HE101" s="392"/>
      <c r="HF101" s="392"/>
      <c r="HG101" s="392"/>
      <c r="HH101" s="392"/>
      <c r="HI101" s="392"/>
      <c r="HJ101" s="392"/>
      <c r="HK101" s="392"/>
      <c r="HL101" s="392"/>
      <c r="HM101" s="392"/>
      <c r="HN101" s="392"/>
      <c r="HO101" s="392"/>
      <c r="HP101" s="392"/>
      <c r="HQ101" s="392"/>
      <c r="HR101" s="392"/>
      <c r="HS101" s="392"/>
      <c r="HT101" s="392"/>
      <c r="HU101" s="392"/>
      <c r="HV101" s="392"/>
      <c r="HW101" s="392"/>
      <c r="HX101" s="392"/>
      <c r="HY101" s="392"/>
      <c r="HZ101" s="392"/>
      <c r="IA101" s="392"/>
      <c r="IB101" s="392"/>
      <c r="IC101" s="392"/>
      <c r="ID101" s="392"/>
      <c r="IE101" s="392"/>
      <c r="IF101" s="392"/>
      <c r="IG101" s="392"/>
      <c r="IH101" s="392"/>
      <c r="II101" s="392"/>
      <c r="IJ101" s="392"/>
      <c r="IK101" s="392"/>
      <c r="IL101" s="392"/>
      <c r="IM101" s="392"/>
      <c r="IN101" s="392"/>
      <c r="IO101" s="392"/>
      <c r="IP101" s="392"/>
      <c r="IQ101" s="392"/>
      <c r="IR101" s="392"/>
      <c r="IS101" s="392"/>
      <c r="IT101" s="392"/>
      <c r="IU101" s="392"/>
      <c r="IV101" s="392"/>
    </row>
    <row r="102" spans="1:256" ht="31.5">
      <c r="A102" s="392"/>
      <c r="B102" s="366" t="s">
        <v>1708</v>
      </c>
      <c r="C102" s="582" t="s">
        <v>161</v>
      </c>
      <c r="D102" s="582" t="s">
        <v>22</v>
      </c>
      <c r="E102" s="2330" t="s">
        <v>162</v>
      </c>
      <c r="F102" s="2331"/>
      <c r="G102" s="2332"/>
      <c r="H102" s="392"/>
      <c r="I102" s="392"/>
      <c r="J102" s="392"/>
      <c r="K102" s="392"/>
      <c r="L102" s="392"/>
      <c r="M102" s="392"/>
      <c r="N102" s="392"/>
      <c r="O102" s="392"/>
      <c r="P102" s="392"/>
      <c r="Q102" s="392"/>
      <c r="R102" s="392"/>
      <c r="S102" s="392"/>
      <c r="T102" s="392"/>
      <c r="U102" s="392"/>
      <c r="V102" s="392"/>
      <c r="W102" s="392"/>
      <c r="X102" s="392"/>
      <c r="Y102" s="392"/>
      <c r="Z102" s="392"/>
      <c r="AA102" s="392"/>
      <c r="AB102" s="392"/>
      <c r="AC102" s="392"/>
      <c r="AD102" s="392"/>
      <c r="AE102" s="392"/>
      <c r="AF102" s="392"/>
      <c r="AG102" s="392"/>
      <c r="AH102" s="392"/>
      <c r="AI102" s="392"/>
      <c r="AJ102" s="392"/>
      <c r="AK102" s="392"/>
      <c r="AL102" s="392"/>
      <c r="AM102" s="392"/>
      <c r="AN102" s="392"/>
      <c r="AO102" s="392"/>
      <c r="AP102" s="392"/>
      <c r="AQ102" s="392"/>
      <c r="AR102" s="392"/>
      <c r="AS102" s="392"/>
      <c r="AT102" s="392"/>
      <c r="AU102" s="392"/>
      <c r="AV102" s="392"/>
      <c r="AW102" s="392"/>
      <c r="AX102" s="392"/>
      <c r="AY102" s="392"/>
      <c r="AZ102" s="392"/>
      <c r="BA102" s="392"/>
      <c r="BB102" s="392"/>
      <c r="BC102" s="392"/>
      <c r="BD102" s="392"/>
      <c r="BE102" s="392"/>
      <c r="BF102" s="392"/>
      <c r="BG102" s="392"/>
      <c r="BH102" s="392"/>
      <c r="BI102" s="392"/>
      <c r="BJ102" s="392"/>
      <c r="BK102" s="392"/>
      <c r="BL102" s="392"/>
      <c r="BM102" s="392"/>
      <c r="BN102" s="392"/>
      <c r="BO102" s="392"/>
      <c r="BP102" s="392"/>
      <c r="BQ102" s="392"/>
      <c r="BR102" s="392"/>
      <c r="BS102" s="392"/>
      <c r="BT102" s="392"/>
      <c r="BU102" s="392"/>
      <c r="BV102" s="392"/>
      <c r="BW102" s="392"/>
      <c r="BX102" s="392"/>
      <c r="BY102" s="392"/>
      <c r="BZ102" s="392"/>
      <c r="CA102" s="392"/>
      <c r="CB102" s="392"/>
      <c r="CC102" s="392"/>
      <c r="CD102" s="392"/>
      <c r="CE102" s="392"/>
      <c r="CF102" s="392"/>
      <c r="CG102" s="392"/>
      <c r="CH102" s="392"/>
      <c r="CI102" s="392"/>
      <c r="CJ102" s="392"/>
      <c r="CK102" s="392"/>
      <c r="CL102" s="392"/>
      <c r="CM102" s="392"/>
      <c r="CN102" s="392"/>
      <c r="CO102" s="392"/>
      <c r="CP102" s="392"/>
      <c r="CQ102" s="392"/>
      <c r="CR102" s="392"/>
      <c r="CS102" s="392"/>
      <c r="CT102" s="392"/>
      <c r="CU102" s="392"/>
      <c r="CV102" s="392"/>
      <c r="CW102" s="392"/>
      <c r="CX102" s="392"/>
      <c r="CY102" s="392"/>
      <c r="CZ102" s="392"/>
      <c r="DA102" s="392"/>
      <c r="DB102" s="392"/>
      <c r="DC102" s="392"/>
      <c r="DD102" s="392"/>
      <c r="DE102" s="392"/>
      <c r="DF102" s="392"/>
      <c r="DG102" s="392"/>
      <c r="DH102" s="392"/>
      <c r="DI102" s="392"/>
      <c r="DJ102" s="392"/>
      <c r="DK102" s="392"/>
      <c r="DL102" s="392"/>
      <c r="DM102" s="392"/>
      <c r="DN102" s="392"/>
      <c r="DO102" s="392"/>
      <c r="DP102" s="392"/>
      <c r="DQ102" s="392"/>
      <c r="DR102" s="392"/>
      <c r="DS102" s="392"/>
      <c r="DT102" s="392"/>
      <c r="DU102" s="392"/>
      <c r="DV102" s="392"/>
      <c r="DW102" s="392"/>
      <c r="DX102" s="392"/>
      <c r="DY102" s="392"/>
      <c r="DZ102" s="392"/>
      <c r="EA102" s="392"/>
      <c r="EB102" s="392"/>
      <c r="EC102" s="392"/>
      <c r="ED102" s="392"/>
      <c r="EE102" s="392"/>
      <c r="EF102" s="392"/>
      <c r="EG102" s="392"/>
      <c r="EH102" s="392"/>
      <c r="EI102" s="392"/>
      <c r="EJ102" s="392"/>
      <c r="EK102" s="392"/>
      <c r="EL102" s="392"/>
      <c r="EM102" s="392"/>
      <c r="EN102" s="392"/>
      <c r="EO102" s="392"/>
      <c r="EP102" s="392"/>
      <c r="EQ102" s="392"/>
      <c r="ER102" s="392"/>
      <c r="ES102" s="392"/>
      <c r="ET102" s="392"/>
      <c r="EU102" s="392"/>
      <c r="EV102" s="392"/>
      <c r="EW102" s="392"/>
      <c r="EX102" s="392"/>
      <c r="EY102" s="392"/>
      <c r="EZ102" s="392"/>
      <c r="FA102" s="392"/>
      <c r="FB102" s="392"/>
      <c r="FC102" s="392"/>
      <c r="FD102" s="392"/>
      <c r="FE102" s="392"/>
      <c r="FF102" s="392"/>
      <c r="FG102" s="392"/>
      <c r="FH102" s="392"/>
      <c r="FI102" s="392"/>
      <c r="FJ102" s="392"/>
      <c r="FK102" s="392"/>
      <c r="FL102" s="392"/>
      <c r="FM102" s="392"/>
      <c r="FN102" s="392"/>
      <c r="FO102" s="392"/>
      <c r="FP102" s="392"/>
      <c r="FQ102" s="392"/>
      <c r="FR102" s="392"/>
      <c r="FS102" s="392"/>
      <c r="FT102" s="392"/>
      <c r="FU102" s="392"/>
      <c r="FV102" s="392"/>
      <c r="FW102" s="392"/>
      <c r="FX102" s="392"/>
      <c r="FY102" s="392"/>
      <c r="FZ102" s="392"/>
      <c r="GA102" s="392"/>
      <c r="GB102" s="392"/>
      <c r="GC102" s="392"/>
      <c r="GD102" s="392"/>
      <c r="GE102" s="392"/>
      <c r="GF102" s="392"/>
      <c r="GG102" s="392"/>
      <c r="GH102" s="392"/>
      <c r="GI102" s="392"/>
      <c r="GJ102" s="392"/>
      <c r="GK102" s="392"/>
      <c r="GL102" s="392"/>
      <c r="GM102" s="392"/>
      <c r="GN102" s="392"/>
      <c r="GO102" s="392"/>
      <c r="GP102" s="392"/>
      <c r="GQ102" s="392"/>
      <c r="GR102" s="392"/>
      <c r="GS102" s="392"/>
      <c r="GT102" s="392"/>
      <c r="GU102" s="392"/>
      <c r="GV102" s="392"/>
      <c r="GW102" s="392"/>
      <c r="GX102" s="392"/>
      <c r="GY102" s="392"/>
      <c r="GZ102" s="392"/>
      <c r="HA102" s="392"/>
      <c r="HB102" s="392"/>
      <c r="HC102" s="392"/>
      <c r="HD102" s="392"/>
      <c r="HE102" s="392"/>
      <c r="HF102" s="392"/>
      <c r="HG102" s="392"/>
      <c r="HH102" s="392"/>
      <c r="HI102" s="392"/>
      <c r="HJ102" s="392"/>
      <c r="HK102" s="392"/>
      <c r="HL102" s="392"/>
      <c r="HM102" s="392"/>
      <c r="HN102" s="392"/>
      <c r="HO102" s="392"/>
      <c r="HP102" s="392"/>
      <c r="HQ102" s="392"/>
      <c r="HR102" s="392"/>
      <c r="HS102" s="392"/>
      <c r="HT102" s="392"/>
      <c r="HU102" s="392"/>
      <c r="HV102" s="392"/>
      <c r="HW102" s="392"/>
      <c r="HX102" s="392"/>
      <c r="HY102" s="392"/>
      <c r="HZ102" s="392"/>
      <c r="IA102" s="392"/>
      <c r="IB102" s="392"/>
      <c r="IC102" s="392"/>
      <c r="ID102" s="392"/>
      <c r="IE102" s="392"/>
      <c r="IF102" s="392"/>
      <c r="IG102" s="392"/>
      <c r="IH102" s="392"/>
      <c r="II102" s="392"/>
      <c r="IJ102" s="392"/>
      <c r="IK102" s="392"/>
      <c r="IL102" s="392"/>
      <c r="IM102" s="392"/>
      <c r="IN102" s="392"/>
      <c r="IO102" s="392"/>
      <c r="IP102" s="392"/>
      <c r="IQ102" s="392"/>
      <c r="IR102" s="392"/>
      <c r="IS102" s="392"/>
      <c r="IT102" s="392"/>
      <c r="IU102" s="392"/>
      <c r="IV102" s="392"/>
    </row>
    <row r="103" spans="1:256" ht="15.75">
      <c r="A103" s="392"/>
      <c r="B103" s="2333" t="s">
        <v>165</v>
      </c>
      <c r="C103" s="2334"/>
      <c r="D103" s="2334"/>
      <c r="E103" s="2334"/>
      <c r="F103" s="2334"/>
      <c r="G103" s="2335"/>
      <c r="H103" s="392"/>
      <c r="I103" s="392"/>
      <c r="J103" s="392"/>
      <c r="K103" s="392"/>
      <c r="L103" s="392"/>
      <c r="M103" s="392"/>
      <c r="N103" s="392"/>
      <c r="O103" s="392"/>
      <c r="P103" s="392"/>
      <c r="Q103" s="392"/>
      <c r="R103" s="392"/>
      <c r="S103" s="392"/>
      <c r="T103" s="392"/>
      <c r="U103" s="392"/>
      <c r="V103" s="392"/>
      <c r="W103" s="392"/>
      <c r="X103" s="392"/>
      <c r="Y103" s="392"/>
      <c r="Z103" s="392"/>
      <c r="AA103" s="392"/>
      <c r="AB103" s="392"/>
      <c r="AC103" s="392"/>
      <c r="AD103" s="392"/>
      <c r="AE103" s="392"/>
      <c r="AF103" s="392"/>
      <c r="AG103" s="392"/>
      <c r="AH103" s="392"/>
      <c r="AI103" s="392"/>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c r="BK103" s="392"/>
      <c r="BL103" s="392"/>
      <c r="BM103" s="392"/>
      <c r="BN103" s="392"/>
      <c r="BO103" s="392"/>
      <c r="BP103" s="392"/>
      <c r="BQ103" s="392"/>
      <c r="BR103" s="392"/>
      <c r="BS103" s="392"/>
      <c r="BT103" s="392"/>
      <c r="BU103" s="392"/>
      <c r="BV103" s="392"/>
      <c r="BW103" s="392"/>
      <c r="BX103" s="392"/>
      <c r="BY103" s="392"/>
      <c r="BZ103" s="392"/>
      <c r="CA103" s="392"/>
      <c r="CB103" s="392"/>
      <c r="CC103" s="392"/>
      <c r="CD103" s="392"/>
      <c r="CE103" s="392"/>
      <c r="CF103" s="392"/>
      <c r="CG103" s="392"/>
      <c r="CH103" s="392"/>
      <c r="CI103" s="39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c r="DD103" s="392"/>
      <c r="DE103" s="392"/>
      <c r="DF103" s="392"/>
      <c r="DG103" s="392"/>
      <c r="DH103" s="392"/>
      <c r="DI103" s="392"/>
      <c r="DJ103" s="392"/>
      <c r="DK103" s="392"/>
      <c r="DL103" s="392"/>
      <c r="DM103" s="392"/>
      <c r="DN103" s="392"/>
      <c r="DO103" s="392"/>
      <c r="DP103" s="392"/>
      <c r="DQ103" s="392"/>
      <c r="DR103" s="392"/>
      <c r="DS103" s="392"/>
      <c r="DT103" s="392"/>
      <c r="DU103" s="392"/>
      <c r="DV103" s="392"/>
      <c r="DW103" s="392"/>
      <c r="DX103" s="392"/>
      <c r="DY103" s="392"/>
      <c r="DZ103" s="392"/>
      <c r="EA103" s="392"/>
      <c r="EB103" s="392"/>
      <c r="EC103" s="392"/>
      <c r="ED103" s="392"/>
      <c r="EE103" s="392"/>
      <c r="EF103" s="392"/>
      <c r="EG103" s="392"/>
      <c r="EH103" s="392"/>
      <c r="EI103" s="392"/>
      <c r="EJ103" s="392"/>
      <c r="EK103" s="392"/>
      <c r="EL103" s="392"/>
      <c r="EM103" s="392"/>
      <c r="EN103" s="392"/>
      <c r="EO103" s="392"/>
      <c r="EP103" s="392"/>
      <c r="EQ103" s="392"/>
      <c r="ER103" s="392"/>
      <c r="ES103" s="392"/>
      <c r="ET103" s="392"/>
      <c r="EU103" s="392"/>
      <c r="EV103" s="392"/>
      <c r="EW103" s="392"/>
      <c r="EX103" s="392"/>
      <c r="EY103" s="392"/>
      <c r="EZ103" s="392"/>
      <c r="FA103" s="392"/>
      <c r="FB103" s="392"/>
      <c r="FC103" s="392"/>
      <c r="FD103" s="392"/>
      <c r="FE103" s="392"/>
      <c r="FF103" s="392"/>
      <c r="FG103" s="392"/>
      <c r="FH103" s="392"/>
      <c r="FI103" s="392"/>
      <c r="FJ103" s="392"/>
      <c r="FK103" s="392"/>
      <c r="FL103" s="392"/>
      <c r="FM103" s="392"/>
      <c r="FN103" s="392"/>
      <c r="FO103" s="392"/>
      <c r="FP103" s="392"/>
      <c r="FQ103" s="392"/>
      <c r="FR103" s="392"/>
      <c r="FS103" s="392"/>
      <c r="FT103" s="392"/>
      <c r="FU103" s="392"/>
      <c r="FV103" s="392"/>
      <c r="FW103" s="392"/>
      <c r="FX103" s="392"/>
      <c r="FY103" s="392"/>
      <c r="FZ103" s="392"/>
      <c r="GA103" s="392"/>
      <c r="GB103" s="392"/>
      <c r="GC103" s="392"/>
      <c r="GD103" s="392"/>
      <c r="GE103" s="392"/>
      <c r="GF103" s="392"/>
      <c r="GG103" s="392"/>
      <c r="GH103" s="392"/>
      <c r="GI103" s="392"/>
      <c r="GJ103" s="392"/>
      <c r="GK103" s="392"/>
      <c r="GL103" s="392"/>
      <c r="GM103" s="392"/>
      <c r="GN103" s="392"/>
      <c r="GO103" s="392"/>
      <c r="GP103" s="392"/>
      <c r="GQ103" s="392"/>
      <c r="GR103" s="392"/>
      <c r="GS103" s="392"/>
      <c r="GT103" s="392"/>
      <c r="GU103" s="392"/>
      <c r="GV103" s="392"/>
      <c r="GW103" s="392"/>
      <c r="GX103" s="392"/>
      <c r="GY103" s="392"/>
      <c r="GZ103" s="392"/>
      <c r="HA103" s="392"/>
      <c r="HB103" s="392"/>
      <c r="HC103" s="392"/>
      <c r="HD103" s="392"/>
      <c r="HE103" s="392"/>
      <c r="HF103" s="392"/>
      <c r="HG103" s="392"/>
      <c r="HH103" s="392"/>
      <c r="HI103" s="392"/>
      <c r="HJ103" s="392"/>
      <c r="HK103" s="392"/>
      <c r="HL103" s="392"/>
      <c r="HM103" s="392"/>
      <c r="HN103" s="392"/>
      <c r="HO103" s="392"/>
      <c r="HP103" s="392"/>
      <c r="HQ103" s="392"/>
      <c r="HR103" s="392"/>
      <c r="HS103" s="392"/>
      <c r="HT103" s="392"/>
      <c r="HU103" s="392"/>
      <c r="HV103" s="392"/>
      <c r="HW103" s="392"/>
      <c r="HX103" s="392"/>
      <c r="HY103" s="392"/>
      <c r="HZ103" s="392"/>
      <c r="IA103" s="392"/>
      <c r="IB103" s="392"/>
      <c r="IC103" s="392"/>
      <c r="ID103" s="392"/>
      <c r="IE103" s="392"/>
      <c r="IF103" s="392"/>
      <c r="IG103" s="392"/>
      <c r="IH103" s="392"/>
      <c r="II103" s="392"/>
      <c r="IJ103" s="392"/>
      <c r="IK103" s="392"/>
      <c r="IL103" s="392"/>
      <c r="IM103" s="392"/>
      <c r="IN103" s="392"/>
      <c r="IO103" s="392"/>
      <c r="IP103" s="392"/>
      <c r="IQ103" s="392"/>
      <c r="IR103" s="392"/>
      <c r="IS103" s="392"/>
      <c r="IT103" s="392"/>
      <c r="IU103" s="392"/>
      <c r="IV103" s="392"/>
    </row>
    <row r="104" spans="1:256" ht="15">
      <c r="A104" s="392"/>
      <c r="B104" s="2318" t="str">
        <f>C94</f>
        <v>ESCAVAÇÃO MANUAL DE VALA COM PROFUNDIDADE MENOR OU IGUAL A 1,30 M. AF_02/2021</v>
      </c>
      <c r="C104" s="2319"/>
      <c r="D104" s="583" t="s">
        <v>19</v>
      </c>
      <c r="E104" s="2340" t="s">
        <v>1709</v>
      </c>
      <c r="F104" s="2340"/>
      <c r="G104" s="2341"/>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392"/>
      <c r="BK104" s="392"/>
      <c r="BL104" s="392"/>
      <c r="BM104" s="392"/>
      <c r="BN104" s="392"/>
      <c r="BO104" s="392"/>
      <c r="BP104" s="392"/>
      <c r="BQ104" s="392"/>
      <c r="BR104" s="392"/>
      <c r="BS104" s="392"/>
      <c r="BT104" s="392"/>
      <c r="BU104" s="392"/>
      <c r="BV104" s="392"/>
      <c r="BW104" s="392"/>
      <c r="BX104" s="392"/>
      <c r="BY104" s="392"/>
      <c r="BZ104" s="392"/>
      <c r="CA104" s="392"/>
      <c r="CB104" s="392"/>
      <c r="CC104" s="392"/>
      <c r="CD104" s="392"/>
      <c r="CE104" s="392"/>
      <c r="CF104" s="392"/>
      <c r="CG104" s="392"/>
      <c r="CH104" s="392"/>
      <c r="CI104" s="39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c r="DD104" s="392"/>
      <c r="DE104" s="392"/>
      <c r="DF104" s="392"/>
      <c r="DG104" s="392"/>
      <c r="DH104" s="392"/>
      <c r="DI104" s="392"/>
      <c r="DJ104" s="392"/>
      <c r="DK104" s="392"/>
      <c r="DL104" s="392"/>
      <c r="DM104" s="392"/>
      <c r="DN104" s="392"/>
      <c r="DO104" s="392"/>
      <c r="DP104" s="392"/>
      <c r="DQ104" s="392"/>
      <c r="DR104" s="392"/>
      <c r="DS104" s="392"/>
      <c r="DT104" s="392"/>
      <c r="DU104" s="392"/>
      <c r="DV104" s="392"/>
      <c r="DW104" s="392"/>
      <c r="DX104" s="392"/>
      <c r="DY104" s="392"/>
      <c r="DZ104" s="392"/>
      <c r="EA104" s="392"/>
      <c r="EB104" s="392"/>
      <c r="EC104" s="392"/>
      <c r="ED104" s="392"/>
      <c r="EE104" s="392"/>
      <c r="EF104" s="392"/>
      <c r="EG104" s="392"/>
      <c r="EH104" s="392"/>
      <c r="EI104" s="392"/>
      <c r="EJ104" s="392"/>
      <c r="EK104" s="392"/>
      <c r="EL104" s="392"/>
      <c r="EM104" s="392"/>
      <c r="EN104" s="392"/>
      <c r="EO104" s="392"/>
      <c r="EP104" s="392"/>
      <c r="EQ104" s="392"/>
      <c r="ER104" s="392"/>
      <c r="ES104" s="392"/>
      <c r="ET104" s="392"/>
      <c r="EU104" s="392"/>
      <c r="EV104" s="392"/>
      <c r="EW104" s="392"/>
      <c r="EX104" s="392"/>
      <c r="EY104" s="392"/>
      <c r="EZ104" s="392"/>
      <c r="FA104" s="392"/>
      <c r="FB104" s="392"/>
      <c r="FC104" s="392"/>
      <c r="FD104" s="392"/>
      <c r="FE104" s="392"/>
      <c r="FF104" s="392"/>
      <c r="FG104" s="392"/>
      <c r="FH104" s="392"/>
      <c r="FI104" s="392"/>
      <c r="FJ104" s="392"/>
      <c r="FK104" s="392"/>
      <c r="FL104" s="392"/>
      <c r="FM104" s="392"/>
      <c r="FN104" s="392"/>
      <c r="FO104" s="392"/>
      <c r="FP104" s="392"/>
      <c r="FQ104" s="392"/>
      <c r="FR104" s="392"/>
      <c r="FS104" s="392"/>
      <c r="FT104" s="392"/>
      <c r="FU104" s="392"/>
      <c r="FV104" s="392"/>
      <c r="FW104" s="392"/>
      <c r="FX104" s="392"/>
      <c r="FY104" s="392"/>
      <c r="FZ104" s="392"/>
      <c r="GA104" s="392"/>
      <c r="GB104" s="392"/>
      <c r="GC104" s="392"/>
      <c r="GD104" s="392"/>
      <c r="GE104" s="392"/>
      <c r="GF104" s="392"/>
      <c r="GG104" s="392"/>
      <c r="GH104" s="392"/>
      <c r="GI104" s="392"/>
      <c r="GJ104" s="392"/>
      <c r="GK104" s="392"/>
      <c r="GL104" s="392"/>
      <c r="GM104" s="392"/>
      <c r="GN104" s="392"/>
      <c r="GO104" s="392"/>
      <c r="GP104" s="392"/>
      <c r="GQ104" s="392"/>
      <c r="GR104" s="392"/>
      <c r="GS104" s="392"/>
      <c r="GT104" s="392"/>
      <c r="GU104" s="392"/>
      <c r="GV104" s="392"/>
      <c r="GW104" s="392"/>
      <c r="GX104" s="392"/>
      <c r="GY104" s="392"/>
      <c r="GZ104" s="392"/>
      <c r="HA104" s="392"/>
      <c r="HB104" s="392"/>
      <c r="HC104" s="392"/>
      <c r="HD104" s="392"/>
      <c r="HE104" s="392"/>
      <c r="HF104" s="392"/>
      <c r="HG104" s="392"/>
      <c r="HH104" s="392"/>
      <c r="HI104" s="392"/>
      <c r="HJ104" s="392"/>
      <c r="HK104" s="392"/>
      <c r="HL104" s="392"/>
      <c r="HM104" s="392"/>
      <c r="HN104" s="392"/>
      <c r="HO104" s="392"/>
      <c r="HP104" s="392"/>
      <c r="HQ104" s="392"/>
      <c r="HR104" s="392"/>
      <c r="HS104" s="392"/>
      <c r="HT104" s="392"/>
      <c r="HU104" s="392"/>
      <c r="HV104" s="392"/>
      <c r="HW104" s="392"/>
      <c r="HX104" s="392"/>
      <c r="HY104" s="392"/>
      <c r="HZ104" s="392"/>
      <c r="IA104" s="392"/>
      <c r="IB104" s="392"/>
      <c r="IC104" s="392"/>
      <c r="ID104" s="392"/>
      <c r="IE104" s="392"/>
      <c r="IF104" s="392"/>
      <c r="IG104" s="392"/>
      <c r="IH104" s="392"/>
      <c r="II104" s="392"/>
      <c r="IJ104" s="392"/>
      <c r="IK104" s="392"/>
      <c r="IL104" s="392"/>
      <c r="IM104" s="392"/>
      <c r="IN104" s="392"/>
      <c r="IO104" s="392"/>
      <c r="IP104" s="392"/>
      <c r="IQ104" s="392"/>
      <c r="IR104" s="392"/>
      <c r="IS104" s="392"/>
      <c r="IT104" s="392"/>
      <c r="IU104" s="392"/>
      <c r="IV104" s="392"/>
    </row>
    <row r="105" spans="1:256" ht="36" customHeight="1">
      <c r="A105" s="392"/>
      <c r="B105" s="2318" t="str">
        <f>C95</f>
        <v>CONCRETO FCK = 25MPA, TRAÇO 1:2,3:2,7 (EM MASSA SECA DE CIMENTO/ AREIA MÉDIA/ BRITA 1) - PREPARO MECÂNICO COM BETONEIRA 400 L. AF_05/2021</v>
      </c>
      <c r="C105" s="2319"/>
      <c r="D105" s="322" t="s">
        <v>19</v>
      </c>
      <c r="E105" s="2320" t="str">
        <f>E104</f>
        <v>(0,8*0,4*0,4)</v>
      </c>
      <c r="F105" s="2320"/>
      <c r="G105" s="2321"/>
      <c r="H105" s="392"/>
      <c r="I105" s="392"/>
      <c r="J105" s="392"/>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392"/>
      <c r="BK105" s="392"/>
      <c r="BL105" s="392"/>
      <c r="BM105" s="392"/>
      <c r="BN105" s="392"/>
      <c r="BO105" s="392"/>
      <c r="BP105" s="392"/>
      <c r="BQ105" s="392"/>
      <c r="BR105" s="392"/>
      <c r="BS105" s="392"/>
      <c r="BT105" s="392"/>
      <c r="BU105" s="392"/>
      <c r="BV105" s="392"/>
      <c r="BW105" s="392"/>
      <c r="BX105" s="392"/>
      <c r="BY105" s="392"/>
      <c r="BZ105" s="392"/>
      <c r="CA105" s="392"/>
      <c r="CB105" s="392"/>
      <c r="CC105" s="392"/>
      <c r="CD105" s="392"/>
      <c r="CE105" s="392"/>
      <c r="CF105" s="392"/>
      <c r="CG105" s="392"/>
      <c r="CH105" s="392"/>
      <c r="CI105" s="392"/>
      <c r="CJ105" s="392"/>
      <c r="CK105" s="392"/>
      <c r="CL105" s="392"/>
      <c r="CM105" s="392"/>
      <c r="CN105" s="392"/>
      <c r="CO105" s="392"/>
      <c r="CP105" s="392"/>
      <c r="CQ105" s="392"/>
      <c r="CR105" s="392"/>
      <c r="CS105" s="392"/>
      <c r="CT105" s="392"/>
      <c r="CU105" s="392"/>
      <c r="CV105" s="392"/>
      <c r="CW105" s="392"/>
      <c r="CX105" s="392"/>
      <c r="CY105" s="392"/>
      <c r="CZ105" s="392"/>
      <c r="DA105" s="392"/>
      <c r="DB105" s="392"/>
      <c r="DC105" s="392"/>
      <c r="DD105" s="392"/>
      <c r="DE105" s="392"/>
      <c r="DF105" s="392"/>
      <c r="DG105" s="392"/>
      <c r="DH105" s="392"/>
      <c r="DI105" s="392"/>
      <c r="DJ105" s="392"/>
      <c r="DK105" s="392"/>
      <c r="DL105" s="392"/>
      <c r="DM105" s="392"/>
      <c r="DN105" s="392"/>
      <c r="DO105" s="392"/>
      <c r="DP105" s="392"/>
      <c r="DQ105" s="392"/>
      <c r="DR105" s="392"/>
      <c r="DS105" s="392"/>
      <c r="DT105" s="392"/>
      <c r="DU105" s="392"/>
      <c r="DV105" s="392"/>
      <c r="DW105" s="392"/>
      <c r="DX105" s="392"/>
      <c r="DY105" s="392"/>
      <c r="DZ105" s="392"/>
      <c r="EA105" s="392"/>
      <c r="EB105" s="392"/>
      <c r="EC105" s="392"/>
      <c r="ED105" s="392"/>
      <c r="EE105" s="392"/>
      <c r="EF105" s="392"/>
      <c r="EG105" s="392"/>
      <c r="EH105" s="392"/>
      <c r="EI105" s="392"/>
      <c r="EJ105" s="392"/>
      <c r="EK105" s="392"/>
      <c r="EL105" s="392"/>
      <c r="EM105" s="392"/>
      <c r="EN105" s="392"/>
      <c r="EO105" s="392"/>
      <c r="EP105" s="392"/>
      <c r="EQ105" s="392"/>
      <c r="ER105" s="392"/>
      <c r="ES105" s="392"/>
      <c r="ET105" s="392"/>
      <c r="EU105" s="392"/>
      <c r="EV105" s="392"/>
      <c r="EW105" s="392"/>
      <c r="EX105" s="392"/>
      <c r="EY105" s="392"/>
      <c r="EZ105" s="392"/>
      <c r="FA105" s="392"/>
      <c r="FB105" s="392"/>
      <c r="FC105" s="392"/>
      <c r="FD105" s="392"/>
      <c r="FE105" s="392"/>
      <c r="FF105" s="392"/>
      <c r="FG105" s="392"/>
      <c r="FH105" s="392"/>
      <c r="FI105" s="392"/>
      <c r="FJ105" s="392"/>
      <c r="FK105" s="392"/>
      <c r="FL105" s="392"/>
      <c r="FM105" s="392"/>
      <c r="FN105" s="392"/>
      <c r="FO105" s="392"/>
      <c r="FP105" s="392"/>
      <c r="FQ105" s="392"/>
      <c r="FR105" s="392"/>
      <c r="FS105" s="392"/>
      <c r="FT105" s="392"/>
      <c r="FU105" s="392"/>
      <c r="FV105" s="392"/>
      <c r="FW105" s="392"/>
      <c r="FX105" s="392"/>
      <c r="FY105" s="392"/>
      <c r="FZ105" s="392"/>
      <c r="GA105" s="392"/>
      <c r="GB105" s="392"/>
      <c r="GC105" s="392"/>
      <c r="GD105" s="392"/>
      <c r="GE105" s="392"/>
      <c r="GF105" s="392"/>
      <c r="GG105" s="392"/>
      <c r="GH105" s="392"/>
      <c r="GI105" s="392"/>
      <c r="GJ105" s="392"/>
      <c r="GK105" s="392"/>
      <c r="GL105" s="392"/>
      <c r="GM105" s="392"/>
      <c r="GN105" s="392"/>
      <c r="GO105" s="392"/>
      <c r="GP105" s="392"/>
      <c r="GQ105" s="392"/>
      <c r="GR105" s="392"/>
      <c r="GS105" s="392"/>
      <c r="GT105" s="392"/>
      <c r="GU105" s="392"/>
      <c r="GV105" s="392"/>
      <c r="GW105" s="392"/>
      <c r="GX105" s="392"/>
      <c r="GY105" s="392"/>
      <c r="GZ105" s="392"/>
      <c r="HA105" s="392"/>
      <c r="HB105" s="392"/>
      <c r="HC105" s="392"/>
      <c r="HD105" s="392"/>
      <c r="HE105" s="392"/>
      <c r="HF105" s="392"/>
      <c r="HG105" s="392"/>
      <c r="HH105" s="392"/>
      <c r="HI105" s="392"/>
      <c r="HJ105" s="392"/>
      <c r="HK105" s="392"/>
      <c r="HL105" s="392"/>
      <c r="HM105" s="392"/>
      <c r="HN105" s="392"/>
      <c r="HO105" s="392"/>
      <c r="HP105" s="392"/>
      <c r="HQ105" s="392"/>
      <c r="HR105" s="392"/>
      <c r="HS105" s="392"/>
      <c r="HT105" s="392"/>
      <c r="HU105" s="392"/>
      <c r="HV105" s="392"/>
      <c r="HW105" s="392"/>
      <c r="HX105" s="392"/>
      <c r="HY105" s="392"/>
      <c r="HZ105" s="392"/>
      <c r="IA105" s="392"/>
      <c r="IB105" s="392"/>
      <c r="IC105" s="392"/>
      <c r="ID105" s="392"/>
      <c r="IE105" s="392"/>
      <c r="IF105" s="392"/>
      <c r="IG105" s="392"/>
      <c r="IH105" s="392"/>
      <c r="II105" s="392"/>
      <c r="IJ105" s="392"/>
      <c r="IK105" s="392"/>
      <c r="IL105" s="392"/>
      <c r="IM105" s="392"/>
      <c r="IN105" s="392"/>
      <c r="IO105" s="392"/>
      <c r="IP105" s="392"/>
      <c r="IQ105" s="392"/>
      <c r="IR105" s="392"/>
      <c r="IS105" s="392"/>
      <c r="IT105" s="392"/>
      <c r="IU105" s="392"/>
      <c r="IV105" s="392"/>
    </row>
    <row r="106" spans="1:256" ht="34.5" customHeight="1">
      <c r="A106" s="392"/>
      <c r="B106" s="2318" t="e">
        <f>C96</f>
        <v>#N/A</v>
      </c>
      <c r="C106" s="2319"/>
      <c r="D106" s="322" t="s">
        <v>19</v>
      </c>
      <c r="E106" s="2320" t="str">
        <f>E104</f>
        <v>(0,8*0,4*0,4)</v>
      </c>
      <c r="F106" s="2320"/>
      <c r="G106" s="2321"/>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c r="AG106" s="392"/>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2"/>
      <c r="BF106" s="392"/>
      <c r="BG106" s="392"/>
      <c r="BH106" s="392"/>
      <c r="BI106" s="392"/>
      <c r="BJ106" s="392"/>
      <c r="BK106" s="392"/>
      <c r="BL106" s="392"/>
      <c r="BM106" s="392"/>
      <c r="BN106" s="392"/>
      <c r="BO106" s="392"/>
      <c r="BP106" s="392"/>
      <c r="BQ106" s="392"/>
      <c r="BR106" s="392"/>
      <c r="BS106" s="392"/>
      <c r="BT106" s="392"/>
      <c r="BU106" s="392"/>
      <c r="BV106" s="392"/>
      <c r="BW106" s="392"/>
      <c r="BX106" s="392"/>
      <c r="BY106" s="392"/>
      <c r="BZ106" s="392"/>
      <c r="CA106" s="392"/>
      <c r="CB106" s="392"/>
      <c r="CC106" s="392"/>
      <c r="CD106" s="392"/>
      <c r="CE106" s="392"/>
      <c r="CF106" s="392"/>
      <c r="CG106" s="392"/>
      <c r="CH106" s="392"/>
      <c r="CI106" s="392"/>
      <c r="CJ106" s="392"/>
      <c r="CK106" s="392"/>
      <c r="CL106" s="392"/>
      <c r="CM106" s="392"/>
      <c r="CN106" s="392"/>
      <c r="CO106" s="392"/>
      <c r="CP106" s="392"/>
      <c r="CQ106" s="392"/>
      <c r="CR106" s="392"/>
      <c r="CS106" s="392"/>
      <c r="CT106" s="392"/>
      <c r="CU106" s="392"/>
      <c r="CV106" s="392"/>
      <c r="CW106" s="392"/>
      <c r="CX106" s="392"/>
      <c r="CY106" s="392"/>
      <c r="CZ106" s="392"/>
      <c r="DA106" s="392"/>
      <c r="DB106" s="392"/>
      <c r="DC106" s="392"/>
      <c r="DD106" s="392"/>
      <c r="DE106" s="392"/>
      <c r="DF106" s="392"/>
      <c r="DG106" s="392"/>
      <c r="DH106" s="392"/>
      <c r="DI106" s="392"/>
      <c r="DJ106" s="392"/>
      <c r="DK106" s="392"/>
      <c r="DL106" s="392"/>
      <c r="DM106" s="392"/>
      <c r="DN106" s="392"/>
      <c r="DO106" s="392"/>
      <c r="DP106" s="392"/>
      <c r="DQ106" s="392"/>
      <c r="DR106" s="392"/>
      <c r="DS106" s="392"/>
      <c r="DT106" s="392"/>
      <c r="DU106" s="392"/>
      <c r="DV106" s="392"/>
      <c r="DW106" s="392"/>
      <c r="DX106" s="392"/>
      <c r="DY106" s="392"/>
      <c r="DZ106" s="392"/>
      <c r="EA106" s="392"/>
      <c r="EB106" s="392"/>
      <c r="EC106" s="392"/>
      <c r="ED106" s="392"/>
      <c r="EE106" s="392"/>
      <c r="EF106" s="392"/>
      <c r="EG106" s="392"/>
      <c r="EH106" s="392"/>
      <c r="EI106" s="392"/>
      <c r="EJ106" s="392"/>
      <c r="EK106" s="392"/>
      <c r="EL106" s="392"/>
      <c r="EM106" s="392"/>
      <c r="EN106" s="392"/>
      <c r="EO106" s="392"/>
      <c r="EP106" s="392"/>
      <c r="EQ106" s="392"/>
      <c r="ER106" s="392"/>
      <c r="ES106" s="392"/>
      <c r="ET106" s="392"/>
      <c r="EU106" s="392"/>
      <c r="EV106" s="392"/>
      <c r="EW106" s="392"/>
      <c r="EX106" s="392"/>
      <c r="EY106" s="392"/>
      <c r="EZ106" s="392"/>
      <c r="FA106" s="392"/>
      <c r="FB106" s="392"/>
      <c r="FC106" s="392"/>
      <c r="FD106" s="392"/>
      <c r="FE106" s="392"/>
      <c r="FF106" s="392"/>
      <c r="FG106" s="392"/>
      <c r="FH106" s="392"/>
      <c r="FI106" s="392"/>
      <c r="FJ106" s="392"/>
      <c r="FK106" s="392"/>
      <c r="FL106" s="392"/>
      <c r="FM106" s="392"/>
      <c r="FN106" s="392"/>
      <c r="FO106" s="392"/>
      <c r="FP106" s="392"/>
      <c r="FQ106" s="392"/>
      <c r="FR106" s="392"/>
      <c r="FS106" s="392"/>
      <c r="FT106" s="392"/>
      <c r="FU106" s="392"/>
      <c r="FV106" s="392"/>
      <c r="FW106" s="392"/>
      <c r="FX106" s="392"/>
      <c r="FY106" s="392"/>
      <c r="FZ106" s="392"/>
      <c r="GA106" s="392"/>
      <c r="GB106" s="392"/>
      <c r="GC106" s="392"/>
      <c r="GD106" s="392"/>
      <c r="GE106" s="392"/>
      <c r="GF106" s="392"/>
      <c r="GG106" s="392"/>
      <c r="GH106" s="392"/>
      <c r="GI106" s="392"/>
      <c r="GJ106" s="392"/>
      <c r="GK106" s="392"/>
      <c r="GL106" s="392"/>
      <c r="GM106" s="392"/>
      <c r="GN106" s="392"/>
      <c r="GO106" s="392"/>
      <c r="GP106" s="392"/>
      <c r="GQ106" s="392"/>
      <c r="GR106" s="392"/>
      <c r="GS106" s="392"/>
      <c r="GT106" s="392"/>
      <c r="GU106" s="392"/>
      <c r="GV106" s="392"/>
      <c r="GW106" s="392"/>
      <c r="GX106" s="392"/>
      <c r="GY106" s="392"/>
      <c r="GZ106" s="392"/>
      <c r="HA106" s="392"/>
      <c r="HB106" s="392"/>
      <c r="HC106" s="392"/>
      <c r="HD106" s="392"/>
      <c r="HE106" s="392"/>
      <c r="HF106" s="392"/>
      <c r="HG106" s="392"/>
      <c r="HH106" s="392"/>
      <c r="HI106" s="392"/>
      <c r="HJ106" s="392"/>
      <c r="HK106" s="392"/>
      <c r="HL106" s="392"/>
      <c r="HM106" s="392"/>
      <c r="HN106" s="392"/>
      <c r="HO106" s="392"/>
      <c r="HP106" s="392"/>
      <c r="HQ106" s="392"/>
      <c r="HR106" s="392"/>
      <c r="HS106" s="392"/>
      <c r="HT106" s="392"/>
      <c r="HU106" s="392"/>
      <c r="HV106" s="392"/>
      <c r="HW106" s="392"/>
      <c r="HX106" s="392"/>
      <c r="HY106" s="392"/>
      <c r="HZ106" s="392"/>
      <c r="IA106" s="392"/>
      <c r="IB106" s="392"/>
      <c r="IC106" s="392"/>
      <c r="ID106" s="392"/>
      <c r="IE106" s="392"/>
      <c r="IF106" s="392"/>
      <c r="IG106" s="392"/>
      <c r="IH106" s="392"/>
      <c r="II106" s="392"/>
      <c r="IJ106" s="392"/>
      <c r="IK106" s="392"/>
      <c r="IL106" s="392"/>
      <c r="IM106" s="392"/>
      <c r="IN106" s="392"/>
      <c r="IO106" s="392"/>
      <c r="IP106" s="392"/>
      <c r="IQ106" s="392"/>
      <c r="IR106" s="392"/>
      <c r="IS106" s="392"/>
      <c r="IT106" s="392"/>
      <c r="IU106" s="392"/>
      <c r="IV106" s="392"/>
    </row>
    <row r="107" spans="1:256" ht="13.5" thickBot="1">
      <c r="A107" s="392"/>
      <c r="B107" s="448"/>
      <c r="C107" s="448"/>
      <c r="D107" s="448"/>
      <c r="E107" s="448"/>
      <c r="F107" s="448"/>
      <c r="G107" s="448"/>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392"/>
      <c r="BK107" s="392"/>
      <c r="BL107" s="392"/>
      <c r="BM107" s="392"/>
      <c r="BN107" s="392"/>
      <c r="BO107" s="392"/>
      <c r="BP107" s="392"/>
      <c r="BQ107" s="392"/>
      <c r="BR107" s="392"/>
      <c r="BS107" s="392"/>
      <c r="BT107" s="392"/>
      <c r="BU107" s="392"/>
      <c r="BV107" s="392"/>
      <c r="BW107" s="392"/>
      <c r="BX107" s="392"/>
      <c r="BY107" s="392"/>
      <c r="BZ107" s="392"/>
      <c r="CA107" s="392"/>
      <c r="CB107" s="392"/>
      <c r="CC107" s="392"/>
      <c r="CD107" s="392"/>
      <c r="CE107" s="392"/>
      <c r="CF107" s="392"/>
      <c r="CG107" s="392"/>
      <c r="CH107" s="392"/>
      <c r="CI107" s="392"/>
      <c r="CJ107" s="392"/>
      <c r="CK107" s="392"/>
      <c r="CL107" s="392"/>
      <c r="CM107" s="392"/>
      <c r="CN107" s="392"/>
      <c r="CO107" s="392"/>
      <c r="CP107" s="392"/>
      <c r="CQ107" s="392"/>
      <c r="CR107" s="392"/>
      <c r="CS107" s="392"/>
      <c r="CT107" s="392"/>
      <c r="CU107" s="392"/>
      <c r="CV107" s="392"/>
      <c r="CW107" s="392"/>
      <c r="CX107" s="392"/>
      <c r="CY107" s="392"/>
      <c r="CZ107" s="392"/>
      <c r="DA107" s="392"/>
      <c r="DB107" s="392"/>
      <c r="DC107" s="392"/>
      <c r="DD107" s="392"/>
      <c r="DE107" s="392"/>
      <c r="DF107" s="392"/>
      <c r="DG107" s="392"/>
      <c r="DH107" s="392"/>
      <c r="DI107" s="392"/>
      <c r="DJ107" s="392"/>
      <c r="DK107" s="392"/>
      <c r="DL107" s="392"/>
      <c r="DM107" s="392"/>
      <c r="DN107" s="392"/>
      <c r="DO107" s="392"/>
      <c r="DP107" s="392"/>
      <c r="DQ107" s="392"/>
      <c r="DR107" s="392"/>
      <c r="DS107" s="392"/>
      <c r="DT107" s="392"/>
      <c r="DU107" s="392"/>
      <c r="DV107" s="392"/>
      <c r="DW107" s="392"/>
      <c r="DX107" s="392"/>
      <c r="DY107" s="392"/>
      <c r="DZ107" s="392"/>
      <c r="EA107" s="392"/>
      <c r="EB107" s="392"/>
      <c r="EC107" s="392"/>
      <c r="ED107" s="392"/>
      <c r="EE107" s="392"/>
      <c r="EF107" s="392"/>
      <c r="EG107" s="392"/>
      <c r="EH107" s="392"/>
      <c r="EI107" s="392"/>
      <c r="EJ107" s="392"/>
      <c r="EK107" s="392"/>
      <c r="EL107" s="392"/>
      <c r="EM107" s="392"/>
      <c r="EN107" s="392"/>
      <c r="EO107" s="392"/>
      <c r="EP107" s="392"/>
      <c r="EQ107" s="392"/>
      <c r="ER107" s="392"/>
      <c r="ES107" s="392"/>
      <c r="ET107" s="392"/>
      <c r="EU107" s="392"/>
      <c r="EV107" s="392"/>
      <c r="EW107" s="392"/>
      <c r="EX107" s="392"/>
      <c r="EY107" s="392"/>
      <c r="EZ107" s="392"/>
      <c r="FA107" s="392"/>
      <c r="FB107" s="392"/>
      <c r="FC107" s="392"/>
      <c r="FD107" s="392"/>
      <c r="FE107" s="392"/>
      <c r="FF107" s="392"/>
      <c r="FG107" s="392"/>
      <c r="FH107" s="392"/>
      <c r="FI107" s="392"/>
      <c r="FJ107" s="392"/>
      <c r="FK107" s="392"/>
      <c r="FL107" s="392"/>
      <c r="FM107" s="392"/>
      <c r="FN107" s="392"/>
      <c r="FO107" s="392"/>
      <c r="FP107" s="392"/>
      <c r="FQ107" s="392"/>
      <c r="FR107" s="392"/>
      <c r="FS107" s="392"/>
      <c r="FT107" s="392"/>
      <c r="FU107" s="392"/>
      <c r="FV107" s="392"/>
      <c r="FW107" s="392"/>
      <c r="FX107" s="392"/>
      <c r="FY107" s="392"/>
      <c r="FZ107" s="392"/>
      <c r="GA107" s="392"/>
      <c r="GB107" s="392"/>
      <c r="GC107" s="392"/>
      <c r="GD107" s="392"/>
      <c r="GE107" s="392"/>
      <c r="GF107" s="392"/>
      <c r="GG107" s="392"/>
      <c r="GH107" s="392"/>
      <c r="GI107" s="392"/>
      <c r="GJ107" s="392"/>
      <c r="GK107" s="392"/>
      <c r="GL107" s="392"/>
      <c r="GM107" s="392"/>
      <c r="GN107" s="392"/>
      <c r="GO107" s="392"/>
      <c r="GP107" s="392"/>
      <c r="GQ107" s="392"/>
      <c r="GR107" s="392"/>
      <c r="GS107" s="392"/>
      <c r="GT107" s="392"/>
      <c r="GU107" s="392"/>
      <c r="GV107" s="392"/>
      <c r="GW107" s="392"/>
      <c r="GX107" s="392"/>
      <c r="GY107" s="392"/>
      <c r="GZ107" s="392"/>
      <c r="HA107" s="392"/>
      <c r="HB107" s="392"/>
      <c r="HC107" s="392"/>
      <c r="HD107" s="392"/>
      <c r="HE107" s="392"/>
      <c r="HF107" s="392"/>
      <c r="HG107" s="392"/>
      <c r="HH107" s="392"/>
      <c r="HI107" s="392"/>
      <c r="HJ107" s="392"/>
      <c r="HK107" s="392"/>
      <c r="HL107" s="392"/>
      <c r="HM107" s="392"/>
      <c r="HN107" s="392"/>
      <c r="HO107" s="392"/>
      <c r="HP107" s="392"/>
      <c r="HQ107" s="392"/>
      <c r="HR107" s="392"/>
      <c r="HS107" s="392"/>
      <c r="HT107" s="392"/>
      <c r="HU107" s="392"/>
      <c r="HV107" s="392"/>
      <c r="HW107" s="392"/>
      <c r="HX107" s="392"/>
      <c r="HY107" s="392"/>
      <c r="HZ107" s="392"/>
      <c r="IA107" s="392"/>
      <c r="IB107" s="392"/>
      <c r="IC107" s="392"/>
      <c r="ID107" s="392"/>
      <c r="IE107" s="392"/>
      <c r="IF107" s="392"/>
      <c r="IG107" s="392"/>
      <c r="IH107" s="392"/>
      <c r="II107" s="392"/>
      <c r="IJ107" s="392"/>
      <c r="IK107" s="392"/>
      <c r="IL107" s="392"/>
      <c r="IM107" s="392"/>
      <c r="IN107" s="392"/>
      <c r="IO107" s="392"/>
      <c r="IP107" s="392"/>
      <c r="IQ107" s="392"/>
      <c r="IR107" s="392"/>
      <c r="IS107" s="392"/>
      <c r="IT107" s="392"/>
      <c r="IU107" s="392"/>
      <c r="IV107" s="392"/>
    </row>
    <row r="108" spans="1:256" ht="16.5" thickBot="1">
      <c r="A108" s="392"/>
      <c r="B108" s="594" t="s">
        <v>13993</v>
      </c>
      <c r="C108" s="595" t="s">
        <v>631</v>
      </c>
      <c r="D108" s="595"/>
      <c r="E108" s="595"/>
      <c r="F108" s="595"/>
      <c r="G108" s="596" t="s">
        <v>22</v>
      </c>
      <c r="H108" s="392"/>
      <c r="I108" s="392"/>
      <c r="J108" s="392"/>
      <c r="K108" s="392"/>
      <c r="L108" s="392"/>
      <c r="M108" s="392"/>
      <c r="N108" s="392"/>
      <c r="O108" s="392"/>
      <c r="P108" s="392"/>
      <c r="Q108" s="392"/>
      <c r="R108" s="392"/>
      <c r="S108" s="392"/>
      <c r="T108" s="392"/>
      <c r="U108" s="392"/>
      <c r="V108" s="392"/>
      <c r="W108" s="392"/>
      <c r="X108" s="392"/>
      <c r="Y108" s="392"/>
      <c r="Z108" s="392"/>
      <c r="AA108" s="392"/>
      <c r="AB108" s="392"/>
      <c r="AC108" s="392"/>
      <c r="AD108" s="392"/>
      <c r="AE108" s="392"/>
      <c r="AF108" s="392"/>
      <c r="AG108" s="392"/>
      <c r="AH108" s="392"/>
      <c r="AI108" s="392"/>
      <c r="AJ108" s="392"/>
      <c r="AK108" s="392"/>
      <c r="AL108" s="392"/>
      <c r="AM108" s="392"/>
      <c r="AN108" s="392"/>
      <c r="AO108" s="392"/>
      <c r="AP108" s="392"/>
      <c r="AQ108" s="392"/>
      <c r="AR108" s="392"/>
      <c r="AS108" s="392"/>
      <c r="AT108" s="392"/>
      <c r="AU108" s="392"/>
      <c r="AV108" s="392"/>
      <c r="AW108" s="392"/>
      <c r="AX108" s="392"/>
      <c r="AY108" s="392"/>
      <c r="AZ108" s="392"/>
      <c r="BA108" s="392"/>
      <c r="BB108" s="392"/>
      <c r="BC108" s="392"/>
      <c r="BD108" s="392"/>
      <c r="BE108" s="392"/>
      <c r="BF108" s="392"/>
      <c r="BG108" s="392"/>
      <c r="BH108" s="392"/>
      <c r="BI108" s="392"/>
      <c r="BJ108" s="392"/>
      <c r="BK108" s="392"/>
      <c r="BL108" s="392"/>
      <c r="BM108" s="392"/>
      <c r="BN108" s="392"/>
      <c r="BO108" s="392"/>
      <c r="BP108" s="392"/>
      <c r="BQ108" s="392"/>
      <c r="BR108" s="392"/>
      <c r="BS108" s="392"/>
      <c r="BT108" s="392"/>
      <c r="BU108" s="392"/>
      <c r="BV108" s="392"/>
      <c r="BW108" s="392"/>
      <c r="BX108" s="392"/>
      <c r="BY108" s="392"/>
      <c r="BZ108" s="392"/>
      <c r="CA108" s="392"/>
      <c r="CB108" s="392"/>
      <c r="CC108" s="392"/>
      <c r="CD108" s="392"/>
      <c r="CE108" s="392"/>
      <c r="CF108" s="392"/>
      <c r="CG108" s="392"/>
      <c r="CH108" s="392"/>
      <c r="CI108" s="392"/>
      <c r="CJ108" s="392"/>
      <c r="CK108" s="392"/>
      <c r="CL108" s="392"/>
      <c r="CM108" s="392"/>
      <c r="CN108" s="392"/>
      <c r="CO108" s="392"/>
      <c r="CP108" s="392"/>
      <c r="CQ108" s="392"/>
      <c r="CR108" s="392"/>
      <c r="CS108" s="392"/>
      <c r="CT108" s="392"/>
      <c r="CU108" s="392"/>
      <c r="CV108" s="392"/>
      <c r="CW108" s="392"/>
      <c r="CX108" s="392"/>
      <c r="CY108" s="392"/>
      <c r="CZ108" s="392"/>
      <c r="DA108" s="392"/>
      <c r="DB108" s="392"/>
      <c r="DC108" s="392"/>
      <c r="DD108" s="392"/>
      <c r="DE108" s="392"/>
      <c r="DF108" s="392"/>
      <c r="DG108" s="392"/>
      <c r="DH108" s="392"/>
      <c r="DI108" s="392"/>
      <c r="DJ108" s="392"/>
      <c r="DK108" s="392"/>
      <c r="DL108" s="392"/>
      <c r="DM108" s="392"/>
      <c r="DN108" s="392"/>
      <c r="DO108" s="392"/>
      <c r="DP108" s="392"/>
      <c r="DQ108" s="392"/>
      <c r="DR108" s="392"/>
      <c r="DS108" s="392"/>
      <c r="DT108" s="392"/>
      <c r="DU108" s="392"/>
      <c r="DV108" s="392"/>
      <c r="DW108" s="392"/>
      <c r="DX108" s="392"/>
      <c r="DY108" s="392"/>
      <c r="DZ108" s="392"/>
      <c r="EA108" s="392"/>
      <c r="EB108" s="392"/>
      <c r="EC108" s="392"/>
      <c r="ED108" s="392"/>
      <c r="EE108" s="392"/>
      <c r="EF108" s="392"/>
      <c r="EG108" s="392"/>
      <c r="EH108" s="392"/>
      <c r="EI108" s="392"/>
      <c r="EJ108" s="392"/>
      <c r="EK108" s="392"/>
      <c r="EL108" s="392"/>
      <c r="EM108" s="392"/>
      <c r="EN108" s="392"/>
      <c r="EO108" s="392"/>
      <c r="EP108" s="392"/>
      <c r="EQ108" s="392"/>
      <c r="ER108" s="392"/>
      <c r="ES108" s="392"/>
      <c r="ET108" s="392"/>
      <c r="EU108" s="392"/>
      <c r="EV108" s="392"/>
      <c r="EW108" s="392"/>
      <c r="EX108" s="392"/>
      <c r="EY108" s="392"/>
      <c r="EZ108" s="392"/>
      <c r="FA108" s="392"/>
      <c r="FB108" s="392"/>
      <c r="FC108" s="392"/>
      <c r="FD108" s="392"/>
      <c r="FE108" s="392"/>
      <c r="FF108" s="392"/>
      <c r="FG108" s="392"/>
      <c r="FH108" s="392"/>
      <c r="FI108" s="392"/>
      <c r="FJ108" s="392"/>
      <c r="FK108" s="392"/>
      <c r="FL108" s="392"/>
      <c r="FM108" s="392"/>
      <c r="FN108" s="392"/>
      <c r="FO108" s="392"/>
      <c r="FP108" s="392"/>
      <c r="FQ108" s="392"/>
      <c r="FR108" s="392"/>
      <c r="FS108" s="392"/>
      <c r="FT108" s="392"/>
      <c r="FU108" s="392"/>
      <c r="FV108" s="392"/>
      <c r="FW108" s="392"/>
      <c r="FX108" s="392"/>
      <c r="FY108" s="392"/>
      <c r="FZ108" s="392"/>
      <c r="GA108" s="392"/>
      <c r="GB108" s="392"/>
      <c r="GC108" s="392"/>
      <c r="GD108" s="392"/>
      <c r="GE108" s="392"/>
      <c r="GF108" s="392"/>
      <c r="GG108" s="392"/>
      <c r="GH108" s="392"/>
      <c r="GI108" s="392"/>
      <c r="GJ108" s="392"/>
      <c r="GK108" s="392"/>
      <c r="GL108" s="392"/>
      <c r="GM108" s="392"/>
      <c r="GN108" s="392"/>
      <c r="GO108" s="392"/>
      <c r="GP108" s="392"/>
      <c r="GQ108" s="392"/>
      <c r="GR108" s="392"/>
      <c r="GS108" s="392"/>
      <c r="GT108" s="392"/>
      <c r="GU108" s="392"/>
      <c r="GV108" s="392"/>
      <c r="GW108" s="392"/>
      <c r="GX108" s="392"/>
      <c r="GY108" s="392"/>
      <c r="GZ108" s="392"/>
      <c r="HA108" s="392"/>
      <c r="HB108" s="392"/>
      <c r="HC108" s="392"/>
      <c r="HD108" s="392"/>
      <c r="HE108" s="392"/>
      <c r="HF108" s="392"/>
      <c r="HG108" s="392"/>
      <c r="HH108" s="392"/>
      <c r="HI108" s="392"/>
      <c r="HJ108" s="392"/>
      <c r="HK108" s="392"/>
      <c r="HL108" s="392"/>
      <c r="HM108" s="392"/>
      <c r="HN108" s="392"/>
      <c r="HO108" s="392"/>
      <c r="HP108" s="392"/>
      <c r="HQ108" s="392"/>
      <c r="HR108" s="392"/>
      <c r="HS108" s="392"/>
      <c r="HT108" s="392"/>
      <c r="HU108" s="392"/>
      <c r="HV108" s="392"/>
      <c r="HW108" s="392"/>
      <c r="HX108" s="392"/>
      <c r="HY108" s="392"/>
      <c r="HZ108" s="392"/>
      <c r="IA108" s="392"/>
      <c r="IB108" s="392"/>
      <c r="IC108" s="392"/>
      <c r="ID108" s="392"/>
      <c r="IE108" s="392"/>
      <c r="IF108" s="392"/>
      <c r="IG108" s="392"/>
      <c r="IH108" s="392"/>
      <c r="II108" s="392"/>
      <c r="IJ108" s="392"/>
      <c r="IK108" s="392"/>
      <c r="IL108" s="392"/>
      <c r="IM108" s="392"/>
      <c r="IN108" s="392"/>
      <c r="IO108" s="392"/>
      <c r="IP108" s="392"/>
      <c r="IQ108" s="392"/>
      <c r="IR108" s="392"/>
      <c r="IS108" s="392"/>
      <c r="IT108" s="392"/>
      <c r="IU108" s="392"/>
      <c r="IV108" s="392"/>
    </row>
    <row r="109" spans="1:256" ht="31.5">
      <c r="A109" s="392"/>
      <c r="B109" s="590" t="s">
        <v>197</v>
      </c>
      <c r="C109" s="591" t="s">
        <v>161</v>
      </c>
      <c r="D109" s="591" t="s">
        <v>22</v>
      </c>
      <c r="E109" s="591" t="s">
        <v>162</v>
      </c>
      <c r="F109" s="592" t="s">
        <v>186</v>
      </c>
      <c r="G109" s="593" t="s">
        <v>187</v>
      </c>
      <c r="H109" s="392"/>
      <c r="I109" s="392"/>
      <c r="J109" s="392"/>
      <c r="K109" s="392"/>
      <c r="L109" s="392"/>
      <c r="M109" s="392"/>
      <c r="N109" s="392"/>
      <c r="O109" s="392"/>
      <c r="P109" s="392"/>
      <c r="Q109" s="392"/>
      <c r="R109" s="392"/>
      <c r="S109" s="392"/>
      <c r="T109" s="392"/>
      <c r="U109" s="392"/>
      <c r="V109" s="392"/>
      <c r="W109" s="392"/>
      <c r="X109" s="392"/>
      <c r="Y109" s="392"/>
      <c r="Z109" s="392"/>
      <c r="AA109" s="392"/>
      <c r="AB109" s="392"/>
      <c r="AC109" s="392"/>
      <c r="AD109" s="392"/>
      <c r="AE109" s="392"/>
      <c r="AF109" s="392"/>
      <c r="AG109" s="392"/>
      <c r="AH109" s="392"/>
      <c r="AI109" s="392"/>
      <c r="AJ109" s="392"/>
      <c r="AK109" s="392"/>
      <c r="AL109" s="392"/>
      <c r="AM109" s="392"/>
      <c r="AN109" s="392"/>
      <c r="AO109" s="392"/>
      <c r="AP109" s="392"/>
      <c r="AQ109" s="392"/>
      <c r="AR109" s="392"/>
      <c r="AS109" s="392"/>
      <c r="AT109" s="392"/>
      <c r="AU109" s="392"/>
      <c r="AV109" s="392"/>
      <c r="AW109" s="392"/>
      <c r="AX109" s="392"/>
      <c r="AY109" s="392"/>
      <c r="AZ109" s="392"/>
      <c r="BA109" s="392"/>
      <c r="BB109" s="392"/>
      <c r="BC109" s="392"/>
      <c r="BD109" s="392"/>
      <c r="BE109" s="392"/>
      <c r="BF109" s="392"/>
      <c r="BG109" s="392"/>
      <c r="BH109" s="392"/>
      <c r="BI109" s="392"/>
      <c r="BJ109" s="392"/>
      <c r="BK109" s="392"/>
      <c r="BL109" s="392"/>
      <c r="BM109" s="392"/>
      <c r="BN109" s="392"/>
      <c r="BO109" s="392"/>
      <c r="BP109" s="392"/>
      <c r="BQ109" s="392"/>
      <c r="BR109" s="392"/>
      <c r="BS109" s="392"/>
      <c r="BT109" s="392"/>
      <c r="BU109" s="392"/>
      <c r="BV109" s="392"/>
      <c r="BW109" s="392"/>
      <c r="BX109" s="392"/>
      <c r="BY109" s="392"/>
      <c r="BZ109" s="392"/>
      <c r="CA109" s="392"/>
      <c r="CB109" s="392"/>
      <c r="CC109" s="392"/>
      <c r="CD109" s="392"/>
      <c r="CE109" s="392"/>
      <c r="CF109" s="392"/>
      <c r="CG109" s="392"/>
      <c r="CH109" s="392"/>
      <c r="CI109" s="392"/>
      <c r="CJ109" s="392"/>
      <c r="CK109" s="392"/>
      <c r="CL109" s="392"/>
      <c r="CM109" s="392"/>
      <c r="CN109" s="392"/>
      <c r="CO109" s="392"/>
      <c r="CP109" s="392"/>
      <c r="CQ109" s="392"/>
      <c r="CR109" s="392"/>
      <c r="CS109" s="392"/>
      <c r="CT109" s="392"/>
      <c r="CU109" s="392"/>
      <c r="CV109" s="392"/>
      <c r="CW109" s="392"/>
      <c r="CX109" s="392"/>
      <c r="CY109" s="392"/>
      <c r="CZ109" s="392"/>
      <c r="DA109" s="392"/>
      <c r="DB109" s="392"/>
      <c r="DC109" s="392"/>
      <c r="DD109" s="392"/>
      <c r="DE109" s="392"/>
      <c r="DF109" s="392"/>
      <c r="DG109" s="392"/>
      <c r="DH109" s="392"/>
      <c r="DI109" s="392"/>
      <c r="DJ109" s="392"/>
      <c r="DK109" s="392"/>
      <c r="DL109" s="392"/>
      <c r="DM109" s="392"/>
      <c r="DN109" s="392"/>
      <c r="DO109" s="392"/>
      <c r="DP109" s="392"/>
      <c r="DQ109" s="392"/>
      <c r="DR109" s="392"/>
      <c r="DS109" s="392"/>
      <c r="DT109" s="392"/>
      <c r="DU109" s="392"/>
      <c r="DV109" s="392"/>
      <c r="DW109" s="392"/>
      <c r="DX109" s="392"/>
      <c r="DY109" s="392"/>
      <c r="DZ109" s="392"/>
      <c r="EA109" s="392"/>
      <c r="EB109" s="392"/>
      <c r="EC109" s="392"/>
      <c r="ED109" s="392"/>
      <c r="EE109" s="392"/>
      <c r="EF109" s="392"/>
      <c r="EG109" s="392"/>
      <c r="EH109" s="392"/>
      <c r="EI109" s="392"/>
      <c r="EJ109" s="392"/>
      <c r="EK109" s="392"/>
      <c r="EL109" s="392"/>
      <c r="EM109" s="392"/>
      <c r="EN109" s="392"/>
      <c r="EO109" s="392"/>
      <c r="EP109" s="392"/>
      <c r="EQ109" s="392"/>
      <c r="ER109" s="392"/>
      <c r="ES109" s="392"/>
      <c r="ET109" s="392"/>
      <c r="EU109" s="392"/>
      <c r="EV109" s="392"/>
      <c r="EW109" s="392"/>
      <c r="EX109" s="392"/>
      <c r="EY109" s="392"/>
      <c r="EZ109" s="392"/>
      <c r="FA109" s="392"/>
      <c r="FB109" s="392"/>
      <c r="FC109" s="392"/>
      <c r="FD109" s="392"/>
      <c r="FE109" s="392"/>
      <c r="FF109" s="392"/>
      <c r="FG109" s="392"/>
      <c r="FH109" s="392"/>
      <c r="FI109" s="392"/>
      <c r="FJ109" s="392"/>
      <c r="FK109" s="392"/>
      <c r="FL109" s="392"/>
      <c r="FM109" s="392"/>
      <c r="FN109" s="392"/>
      <c r="FO109" s="392"/>
      <c r="FP109" s="392"/>
      <c r="FQ109" s="392"/>
      <c r="FR109" s="392"/>
      <c r="FS109" s="392"/>
      <c r="FT109" s="392"/>
      <c r="FU109" s="392"/>
      <c r="FV109" s="392"/>
      <c r="FW109" s="392"/>
      <c r="FX109" s="392"/>
      <c r="FY109" s="392"/>
      <c r="FZ109" s="392"/>
      <c r="GA109" s="392"/>
      <c r="GB109" s="392"/>
      <c r="GC109" s="392"/>
      <c r="GD109" s="392"/>
      <c r="GE109" s="392"/>
      <c r="GF109" s="392"/>
      <c r="GG109" s="392"/>
      <c r="GH109" s="392"/>
      <c r="GI109" s="392"/>
      <c r="GJ109" s="392"/>
      <c r="GK109" s="392"/>
      <c r="GL109" s="392"/>
      <c r="GM109" s="392"/>
      <c r="GN109" s="392"/>
      <c r="GO109" s="392"/>
      <c r="GP109" s="392"/>
      <c r="GQ109" s="392"/>
      <c r="GR109" s="392"/>
      <c r="GS109" s="392"/>
      <c r="GT109" s="392"/>
      <c r="GU109" s="392"/>
      <c r="GV109" s="392"/>
      <c r="GW109" s="392"/>
      <c r="GX109" s="392"/>
      <c r="GY109" s="392"/>
      <c r="GZ109" s="392"/>
      <c r="HA109" s="392"/>
      <c r="HB109" s="392"/>
      <c r="HC109" s="392"/>
      <c r="HD109" s="392"/>
      <c r="HE109" s="392"/>
      <c r="HF109" s="392"/>
      <c r="HG109" s="392"/>
      <c r="HH109" s="392"/>
      <c r="HI109" s="392"/>
      <c r="HJ109" s="392"/>
      <c r="HK109" s="392"/>
      <c r="HL109" s="392"/>
      <c r="HM109" s="392"/>
      <c r="HN109" s="392"/>
      <c r="HO109" s="392"/>
      <c r="HP109" s="392"/>
      <c r="HQ109" s="392"/>
      <c r="HR109" s="392"/>
      <c r="HS109" s="392"/>
      <c r="HT109" s="392"/>
      <c r="HU109" s="392"/>
      <c r="HV109" s="392"/>
      <c r="HW109" s="392"/>
      <c r="HX109" s="392"/>
      <c r="HY109" s="392"/>
      <c r="HZ109" s="392"/>
      <c r="IA109" s="392"/>
      <c r="IB109" s="392"/>
      <c r="IC109" s="392"/>
      <c r="ID109" s="392"/>
      <c r="IE109" s="392"/>
      <c r="IF109" s="392"/>
      <c r="IG109" s="392"/>
      <c r="IH109" s="392"/>
      <c r="II109" s="392"/>
      <c r="IJ109" s="392"/>
      <c r="IK109" s="392"/>
      <c r="IL109" s="392"/>
      <c r="IM109" s="392"/>
      <c r="IN109" s="392"/>
      <c r="IO109" s="392"/>
      <c r="IP109" s="392"/>
      <c r="IQ109" s="392"/>
      <c r="IR109" s="392"/>
      <c r="IS109" s="392"/>
      <c r="IT109" s="392"/>
      <c r="IU109" s="392"/>
      <c r="IV109" s="392"/>
    </row>
    <row r="110" spans="1:256" ht="16.5" thickBot="1">
      <c r="A110" s="392"/>
      <c r="B110" s="2322" t="s">
        <v>165</v>
      </c>
      <c r="C110" s="2323"/>
      <c r="D110" s="2323"/>
      <c r="E110" s="2323"/>
      <c r="F110" s="2323"/>
      <c r="G110" s="2324"/>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c r="BK110" s="392"/>
      <c r="BL110" s="392"/>
      <c r="BM110" s="392"/>
      <c r="BN110" s="392"/>
      <c r="BO110" s="392"/>
      <c r="BP110" s="392"/>
      <c r="BQ110" s="392"/>
      <c r="BR110" s="392"/>
      <c r="BS110" s="392"/>
      <c r="BT110" s="392"/>
      <c r="BU110" s="392"/>
      <c r="BV110" s="392"/>
      <c r="BW110" s="392"/>
      <c r="BX110" s="392"/>
      <c r="BY110" s="392"/>
      <c r="BZ110" s="392"/>
      <c r="CA110" s="392"/>
      <c r="CB110" s="392"/>
      <c r="CC110" s="392"/>
      <c r="CD110" s="392"/>
      <c r="CE110" s="392"/>
      <c r="CF110" s="392"/>
      <c r="CG110" s="392"/>
      <c r="CH110" s="392"/>
      <c r="CI110" s="39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c r="DD110" s="392"/>
      <c r="DE110" s="392"/>
      <c r="DF110" s="392"/>
      <c r="DG110" s="392"/>
      <c r="DH110" s="392"/>
      <c r="DI110" s="392"/>
      <c r="DJ110" s="392"/>
      <c r="DK110" s="392"/>
      <c r="DL110" s="392"/>
      <c r="DM110" s="392"/>
      <c r="DN110" s="392"/>
      <c r="DO110" s="392"/>
      <c r="DP110" s="392"/>
      <c r="DQ110" s="392"/>
      <c r="DR110" s="392"/>
      <c r="DS110" s="392"/>
      <c r="DT110" s="392"/>
      <c r="DU110" s="392"/>
      <c r="DV110" s="392"/>
      <c r="DW110" s="392"/>
      <c r="DX110" s="392"/>
      <c r="DY110" s="392"/>
      <c r="DZ110" s="392"/>
      <c r="EA110" s="392"/>
      <c r="EB110" s="392"/>
      <c r="EC110" s="392"/>
      <c r="ED110" s="392"/>
      <c r="EE110" s="392"/>
      <c r="EF110" s="392"/>
      <c r="EG110" s="392"/>
      <c r="EH110" s="392"/>
      <c r="EI110" s="392"/>
      <c r="EJ110" s="392"/>
      <c r="EK110" s="392"/>
      <c r="EL110" s="392"/>
      <c r="EM110" s="392"/>
      <c r="EN110" s="392"/>
      <c r="EO110" s="392"/>
      <c r="EP110" s="392"/>
      <c r="EQ110" s="392"/>
      <c r="ER110" s="392"/>
      <c r="ES110" s="392"/>
      <c r="ET110" s="392"/>
      <c r="EU110" s="392"/>
      <c r="EV110" s="392"/>
      <c r="EW110" s="392"/>
      <c r="EX110" s="392"/>
      <c r="EY110" s="392"/>
      <c r="EZ110" s="392"/>
      <c r="FA110" s="392"/>
      <c r="FB110" s="392"/>
      <c r="FC110" s="392"/>
      <c r="FD110" s="392"/>
      <c r="FE110" s="392"/>
      <c r="FF110" s="392"/>
      <c r="FG110" s="392"/>
      <c r="FH110" s="392"/>
      <c r="FI110" s="392"/>
      <c r="FJ110" s="392"/>
      <c r="FK110" s="392"/>
      <c r="FL110" s="392"/>
      <c r="FM110" s="392"/>
      <c r="FN110" s="392"/>
      <c r="FO110" s="392"/>
      <c r="FP110" s="392"/>
      <c r="FQ110" s="392"/>
      <c r="FR110" s="392"/>
      <c r="FS110" s="392"/>
      <c r="FT110" s="392"/>
      <c r="FU110" s="392"/>
      <c r="FV110" s="392"/>
      <c r="FW110" s="392"/>
      <c r="FX110" s="392"/>
      <c r="FY110" s="392"/>
      <c r="FZ110" s="392"/>
      <c r="GA110" s="392"/>
      <c r="GB110" s="392"/>
      <c r="GC110" s="392"/>
      <c r="GD110" s="392"/>
      <c r="GE110" s="392"/>
      <c r="GF110" s="392"/>
      <c r="GG110" s="392"/>
      <c r="GH110" s="392"/>
      <c r="GI110" s="392"/>
      <c r="GJ110" s="392"/>
      <c r="GK110" s="392"/>
      <c r="GL110" s="392"/>
      <c r="GM110" s="392"/>
      <c r="GN110" s="392"/>
      <c r="GO110" s="392"/>
      <c r="GP110" s="392"/>
      <c r="GQ110" s="392"/>
      <c r="GR110" s="392"/>
      <c r="GS110" s="392"/>
      <c r="GT110" s="392"/>
      <c r="GU110" s="392"/>
      <c r="GV110" s="392"/>
      <c r="GW110" s="392"/>
      <c r="GX110" s="392"/>
      <c r="GY110" s="392"/>
      <c r="GZ110" s="392"/>
      <c r="HA110" s="392"/>
      <c r="HB110" s="392"/>
      <c r="HC110" s="392"/>
      <c r="HD110" s="392"/>
      <c r="HE110" s="392"/>
      <c r="HF110" s="392"/>
      <c r="HG110" s="392"/>
      <c r="HH110" s="392"/>
      <c r="HI110" s="392"/>
      <c r="HJ110" s="392"/>
      <c r="HK110" s="392"/>
      <c r="HL110" s="392"/>
      <c r="HM110" s="392"/>
      <c r="HN110" s="392"/>
      <c r="HO110" s="392"/>
      <c r="HP110" s="392"/>
      <c r="HQ110" s="392"/>
      <c r="HR110" s="392"/>
      <c r="HS110" s="392"/>
      <c r="HT110" s="392"/>
      <c r="HU110" s="392"/>
      <c r="HV110" s="392"/>
      <c r="HW110" s="392"/>
      <c r="HX110" s="392"/>
      <c r="HY110" s="392"/>
      <c r="HZ110" s="392"/>
      <c r="IA110" s="392"/>
      <c r="IB110" s="392"/>
      <c r="IC110" s="392"/>
      <c r="ID110" s="392"/>
      <c r="IE110" s="392"/>
      <c r="IF110" s="392"/>
      <c r="IG110" s="392"/>
      <c r="IH110" s="392"/>
      <c r="II110" s="392"/>
      <c r="IJ110" s="392"/>
      <c r="IK110" s="392"/>
      <c r="IL110" s="392"/>
      <c r="IM110" s="392"/>
      <c r="IN110" s="392"/>
      <c r="IO110" s="392"/>
      <c r="IP110" s="392"/>
      <c r="IQ110" s="392"/>
      <c r="IR110" s="392"/>
      <c r="IS110" s="392"/>
      <c r="IT110" s="392"/>
      <c r="IU110" s="392"/>
      <c r="IV110" s="392"/>
    </row>
    <row r="111" spans="1:256" ht="15.75">
      <c r="A111" s="392"/>
      <c r="B111" s="585" t="s">
        <v>608</v>
      </c>
      <c r="C111" s="586" t="str">
        <f>C19</f>
        <v>PRESSÃO DE PERNAS DUPLO</v>
      </c>
      <c r="D111" s="587" t="s">
        <v>22</v>
      </c>
      <c r="E111" s="597">
        <v>1</v>
      </c>
      <c r="F111" s="588">
        <f>E19</f>
        <v>1890</v>
      </c>
      <c r="G111" s="589">
        <f>TRUNC(F111*E111,2)</f>
        <v>1890</v>
      </c>
      <c r="H111" s="392"/>
      <c r="I111" s="392"/>
      <c r="J111" s="392"/>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c r="BK111" s="392"/>
      <c r="BL111" s="392"/>
      <c r="BM111" s="392"/>
      <c r="BN111" s="392"/>
      <c r="BO111" s="392"/>
      <c r="BP111" s="392"/>
      <c r="BQ111" s="392"/>
      <c r="BR111" s="392"/>
      <c r="BS111" s="392"/>
      <c r="BT111" s="392"/>
      <c r="BU111" s="392"/>
      <c r="BV111" s="392"/>
      <c r="BW111" s="392"/>
      <c r="BX111" s="392"/>
      <c r="BY111" s="392"/>
      <c r="BZ111" s="392"/>
      <c r="CA111" s="392"/>
      <c r="CB111" s="392"/>
      <c r="CC111" s="392"/>
      <c r="CD111" s="392"/>
      <c r="CE111" s="392"/>
      <c r="CF111" s="392"/>
      <c r="CG111" s="392"/>
      <c r="CH111" s="392"/>
      <c r="CI111" s="392"/>
      <c r="CJ111" s="392"/>
      <c r="CK111" s="392"/>
      <c r="CL111" s="392"/>
      <c r="CM111" s="392"/>
      <c r="CN111" s="392"/>
      <c r="CO111" s="392"/>
      <c r="CP111" s="392"/>
      <c r="CQ111" s="392"/>
      <c r="CR111" s="392"/>
      <c r="CS111" s="392"/>
      <c r="CT111" s="392"/>
      <c r="CU111" s="392"/>
      <c r="CV111" s="392"/>
      <c r="CW111" s="392"/>
      <c r="CX111" s="392"/>
      <c r="CY111" s="392"/>
      <c r="CZ111" s="392"/>
      <c r="DA111" s="392"/>
      <c r="DB111" s="392"/>
      <c r="DC111" s="392"/>
      <c r="DD111" s="392"/>
      <c r="DE111" s="392"/>
      <c r="DF111" s="392"/>
      <c r="DG111" s="392"/>
      <c r="DH111" s="392"/>
      <c r="DI111" s="392"/>
      <c r="DJ111" s="392"/>
      <c r="DK111" s="392"/>
      <c r="DL111" s="392"/>
      <c r="DM111" s="392"/>
      <c r="DN111" s="392"/>
      <c r="DO111" s="392"/>
      <c r="DP111" s="392"/>
      <c r="DQ111" s="392"/>
      <c r="DR111" s="392"/>
      <c r="DS111" s="392"/>
      <c r="DT111" s="392"/>
      <c r="DU111" s="392"/>
      <c r="DV111" s="392"/>
      <c r="DW111" s="392"/>
      <c r="DX111" s="392"/>
      <c r="DY111" s="392"/>
      <c r="DZ111" s="392"/>
      <c r="EA111" s="392"/>
      <c r="EB111" s="392"/>
      <c r="EC111" s="392"/>
      <c r="ED111" s="392"/>
      <c r="EE111" s="392"/>
      <c r="EF111" s="392"/>
      <c r="EG111" s="392"/>
      <c r="EH111" s="392"/>
      <c r="EI111" s="392"/>
      <c r="EJ111" s="392"/>
      <c r="EK111" s="392"/>
      <c r="EL111" s="392"/>
      <c r="EM111" s="392"/>
      <c r="EN111" s="392"/>
      <c r="EO111" s="392"/>
      <c r="EP111" s="392"/>
      <c r="EQ111" s="392"/>
      <c r="ER111" s="392"/>
      <c r="ES111" s="392"/>
      <c r="ET111" s="392"/>
      <c r="EU111" s="392"/>
      <c r="EV111" s="392"/>
      <c r="EW111" s="392"/>
      <c r="EX111" s="392"/>
      <c r="EY111" s="392"/>
      <c r="EZ111" s="392"/>
      <c r="FA111" s="392"/>
      <c r="FB111" s="392"/>
      <c r="FC111" s="392"/>
      <c r="FD111" s="392"/>
      <c r="FE111" s="392"/>
      <c r="FF111" s="392"/>
      <c r="FG111" s="392"/>
      <c r="FH111" s="392"/>
      <c r="FI111" s="392"/>
      <c r="FJ111" s="392"/>
      <c r="FK111" s="392"/>
      <c r="FL111" s="392"/>
      <c r="FM111" s="392"/>
      <c r="FN111" s="392"/>
      <c r="FO111" s="392"/>
      <c r="FP111" s="392"/>
      <c r="FQ111" s="392"/>
      <c r="FR111" s="392"/>
      <c r="FS111" s="392"/>
      <c r="FT111" s="392"/>
      <c r="FU111" s="392"/>
      <c r="FV111" s="392"/>
      <c r="FW111" s="392"/>
      <c r="FX111" s="392"/>
      <c r="FY111" s="392"/>
      <c r="FZ111" s="392"/>
      <c r="GA111" s="392"/>
      <c r="GB111" s="392"/>
      <c r="GC111" s="392"/>
      <c r="GD111" s="392"/>
      <c r="GE111" s="392"/>
      <c r="GF111" s="392"/>
      <c r="GG111" s="392"/>
      <c r="GH111" s="392"/>
      <c r="GI111" s="392"/>
      <c r="GJ111" s="392"/>
      <c r="GK111" s="392"/>
      <c r="GL111" s="392"/>
      <c r="GM111" s="392"/>
      <c r="GN111" s="392"/>
      <c r="GO111" s="392"/>
      <c r="GP111" s="392"/>
      <c r="GQ111" s="392"/>
      <c r="GR111" s="392"/>
      <c r="GS111" s="392"/>
      <c r="GT111" s="392"/>
      <c r="GU111" s="392"/>
      <c r="GV111" s="392"/>
      <c r="GW111" s="392"/>
      <c r="GX111" s="392"/>
      <c r="GY111" s="392"/>
      <c r="GZ111" s="392"/>
      <c r="HA111" s="392"/>
      <c r="HB111" s="392"/>
      <c r="HC111" s="392"/>
      <c r="HD111" s="392"/>
      <c r="HE111" s="392"/>
      <c r="HF111" s="392"/>
      <c r="HG111" s="392"/>
      <c r="HH111" s="392"/>
      <c r="HI111" s="392"/>
      <c r="HJ111" s="392"/>
      <c r="HK111" s="392"/>
      <c r="HL111" s="392"/>
      <c r="HM111" s="392"/>
      <c r="HN111" s="392"/>
      <c r="HO111" s="392"/>
      <c r="HP111" s="392"/>
      <c r="HQ111" s="392"/>
      <c r="HR111" s="392"/>
      <c r="HS111" s="392"/>
      <c r="HT111" s="392"/>
      <c r="HU111" s="392"/>
      <c r="HV111" s="392"/>
      <c r="HW111" s="392"/>
      <c r="HX111" s="392"/>
      <c r="HY111" s="392"/>
      <c r="HZ111" s="392"/>
      <c r="IA111" s="392"/>
      <c r="IB111" s="392"/>
      <c r="IC111" s="392"/>
      <c r="ID111" s="392"/>
      <c r="IE111" s="392"/>
      <c r="IF111" s="392"/>
      <c r="IG111" s="392"/>
      <c r="IH111" s="392"/>
      <c r="II111" s="392"/>
      <c r="IJ111" s="392"/>
      <c r="IK111" s="392"/>
      <c r="IL111" s="392"/>
      <c r="IM111" s="392"/>
      <c r="IN111" s="392"/>
      <c r="IO111" s="392"/>
      <c r="IP111" s="392"/>
      <c r="IQ111" s="392"/>
      <c r="IR111" s="392"/>
      <c r="IS111" s="392"/>
      <c r="IT111" s="392"/>
      <c r="IU111" s="392"/>
      <c r="IV111" s="392"/>
    </row>
    <row r="112" spans="1:256" ht="30">
      <c r="A112" s="392" t="s">
        <v>391</v>
      </c>
      <c r="B112" s="436">
        <v>93358</v>
      </c>
      <c r="C112" s="317" t="str">
        <f>IF($A112="INSUMO",VLOOKUP($B112,'BANCO DE DADOS JANEIRO-24 INS'!$A:$D,2,FALSE),VLOOKUP($B112,'BANCO DE DADOS JANEIRO-24 SERV'!$B:$E,2,FALSE))</f>
        <v>ESCAVAÇÃO MANUAL DE VALA COM PROFUNDIDADE MENOR OU IGUAL A 1,30 M. AF_02/2021</v>
      </c>
      <c r="D112" s="316" t="str">
        <f>IF($A112="INSUMO",VLOOKUP($B112,'BANCO DE DADOS JANEIRO-24 INS'!$A:$D,3,FALSE),VLOOKUP($B112,'BANCO DE DADOS JANEIRO-24 SERV'!$B:$E,3,FALSE))</f>
        <v>M3</v>
      </c>
      <c r="E112" s="598">
        <f>(0.8*0.4*0.4)</f>
        <v>0.12800000000000003</v>
      </c>
      <c r="F112" s="320">
        <f>IF($A112="INSUMO",VLOOKUP($B112,'BANCO DE DADOS JANEIRO-24 INS'!$A:$D,4,FALSE),VLOOKUP($B112,'BANCO DE DADOS JANEIRO-24 SERV'!$B:$E,4,FALSE))</f>
        <v>80.38</v>
      </c>
      <c r="G112" s="435">
        <f>TRUNC(F112*E112,2)</f>
        <v>10.28</v>
      </c>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2"/>
      <c r="BF112" s="392"/>
      <c r="BG112" s="392"/>
      <c r="BH112" s="392"/>
      <c r="BI112" s="392"/>
      <c r="BJ112" s="392"/>
      <c r="BK112" s="392"/>
      <c r="BL112" s="392"/>
      <c r="BM112" s="392"/>
      <c r="BN112" s="392"/>
      <c r="BO112" s="392"/>
      <c r="BP112" s="392"/>
      <c r="BQ112" s="392"/>
      <c r="BR112" s="392"/>
      <c r="BS112" s="392"/>
      <c r="BT112" s="392"/>
      <c r="BU112" s="392"/>
      <c r="BV112" s="392"/>
      <c r="BW112" s="392"/>
      <c r="BX112" s="392"/>
      <c r="BY112" s="392"/>
      <c r="BZ112" s="392"/>
      <c r="CA112" s="392"/>
      <c r="CB112" s="392"/>
      <c r="CC112" s="392"/>
      <c r="CD112" s="392"/>
      <c r="CE112" s="392"/>
      <c r="CF112" s="392"/>
      <c r="CG112" s="392"/>
      <c r="CH112" s="392"/>
      <c r="CI112" s="392"/>
      <c r="CJ112" s="392"/>
      <c r="CK112" s="392"/>
      <c r="CL112" s="392"/>
      <c r="CM112" s="392"/>
      <c r="CN112" s="392"/>
      <c r="CO112" s="392"/>
      <c r="CP112" s="392"/>
      <c r="CQ112" s="392"/>
      <c r="CR112" s="392"/>
      <c r="CS112" s="392"/>
      <c r="CT112" s="392"/>
      <c r="CU112" s="392"/>
      <c r="CV112" s="392"/>
      <c r="CW112" s="392"/>
      <c r="CX112" s="392"/>
      <c r="CY112" s="392"/>
      <c r="CZ112" s="392"/>
      <c r="DA112" s="392"/>
      <c r="DB112" s="392"/>
      <c r="DC112" s="392"/>
      <c r="DD112" s="392"/>
      <c r="DE112" s="392"/>
      <c r="DF112" s="392"/>
      <c r="DG112" s="392"/>
      <c r="DH112" s="392"/>
      <c r="DI112" s="392"/>
      <c r="DJ112" s="392"/>
      <c r="DK112" s="392"/>
      <c r="DL112" s="392"/>
      <c r="DM112" s="392"/>
      <c r="DN112" s="392"/>
      <c r="DO112" s="392"/>
      <c r="DP112" s="392"/>
      <c r="DQ112" s="392"/>
      <c r="DR112" s="392"/>
      <c r="DS112" s="392"/>
      <c r="DT112" s="392"/>
      <c r="DU112" s="392"/>
      <c r="DV112" s="392"/>
      <c r="DW112" s="392"/>
      <c r="DX112" s="392"/>
      <c r="DY112" s="392"/>
      <c r="DZ112" s="392"/>
      <c r="EA112" s="392"/>
      <c r="EB112" s="392"/>
      <c r="EC112" s="392"/>
      <c r="ED112" s="392"/>
      <c r="EE112" s="392"/>
      <c r="EF112" s="392"/>
      <c r="EG112" s="392"/>
      <c r="EH112" s="392"/>
      <c r="EI112" s="392"/>
      <c r="EJ112" s="392"/>
      <c r="EK112" s="392"/>
      <c r="EL112" s="392"/>
      <c r="EM112" s="392"/>
      <c r="EN112" s="392"/>
      <c r="EO112" s="392"/>
      <c r="EP112" s="392"/>
      <c r="EQ112" s="392"/>
      <c r="ER112" s="392"/>
      <c r="ES112" s="392"/>
      <c r="ET112" s="392"/>
      <c r="EU112" s="392"/>
      <c r="EV112" s="392"/>
      <c r="EW112" s="392"/>
      <c r="EX112" s="392"/>
      <c r="EY112" s="392"/>
      <c r="EZ112" s="392"/>
      <c r="FA112" s="392"/>
      <c r="FB112" s="392"/>
      <c r="FC112" s="392"/>
      <c r="FD112" s="392"/>
      <c r="FE112" s="392"/>
      <c r="FF112" s="392"/>
      <c r="FG112" s="392"/>
      <c r="FH112" s="392"/>
      <c r="FI112" s="392"/>
      <c r="FJ112" s="392"/>
      <c r="FK112" s="392"/>
      <c r="FL112" s="392"/>
      <c r="FM112" s="392"/>
      <c r="FN112" s="392"/>
      <c r="FO112" s="392"/>
      <c r="FP112" s="392"/>
      <c r="FQ112" s="392"/>
      <c r="FR112" s="392"/>
      <c r="FS112" s="392"/>
      <c r="FT112" s="392"/>
      <c r="FU112" s="392"/>
      <c r="FV112" s="392"/>
      <c r="FW112" s="392"/>
      <c r="FX112" s="392"/>
      <c r="FY112" s="392"/>
      <c r="FZ112" s="392"/>
      <c r="GA112" s="392"/>
      <c r="GB112" s="392"/>
      <c r="GC112" s="392"/>
      <c r="GD112" s="392"/>
      <c r="GE112" s="392"/>
      <c r="GF112" s="392"/>
      <c r="GG112" s="392"/>
      <c r="GH112" s="392"/>
      <c r="GI112" s="392"/>
      <c r="GJ112" s="392"/>
      <c r="GK112" s="392"/>
      <c r="GL112" s="392"/>
      <c r="GM112" s="392"/>
      <c r="GN112" s="392"/>
      <c r="GO112" s="392"/>
      <c r="GP112" s="392"/>
      <c r="GQ112" s="392"/>
      <c r="GR112" s="392"/>
      <c r="GS112" s="392"/>
      <c r="GT112" s="392"/>
      <c r="GU112" s="392"/>
      <c r="GV112" s="392"/>
      <c r="GW112" s="392"/>
      <c r="GX112" s="392"/>
      <c r="GY112" s="392"/>
      <c r="GZ112" s="392"/>
      <c r="HA112" s="392"/>
      <c r="HB112" s="392"/>
      <c r="HC112" s="392"/>
      <c r="HD112" s="392"/>
      <c r="HE112" s="392"/>
      <c r="HF112" s="392"/>
      <c r="HG112" s="392"/>
      <c r="HH112" s="392"/>
      <c r="HI112" s="392"/>
      <c r="HJ112" s="392"/>
      <c r="HK112" s="392"/>
      <c r="HL112" s="392"/>
      <c r="HM112" s="392"/>
      <c r="HN112" s="392"/>
      <c r="HO112" s="392"/>
      <c r="HP112" s="392"/>
      <c r="HQ112" s="392"/>
      <c r="HR112" s="392"/>
      <c r="HS112" s="392"/>
      <c r="HT112" s="392"/>
      <c r="HU112" s="392"/>
      <c r="HV112" s="392"/>
      <c r="HW112" s="392"/>
      <c r="HX112" s="392"/>
      <c r="HY112" s="392"/>
      <c r="HZ112" s="392"/>
      <c r="IA112" s="392"/>
      <c r="IB112" s="392"/>
      <c r="IC112" s="392"/>
      <c r="ID112" s="392"/>
      <c r="IE112" s="392"/>
      <c r="IF112" s="392"/>
      <c r="IG112" s="392"/>
      <c r="IH112" s="392"/>
      <c r="II112" s="392"/>
      <c r="IJ112" s="392"/>
      <c r="IK112" s="392"/>
      <c r="IL112" s="392"/>
      <c r="IM112" s="392"/>
      <c r="IN112" s="392"/>
      <c r="IO112" s="392"/>
      <c r="IP112" s="392"/>
      <c r="IQ112" s="392"/>
      <c r="IR112" s="392"/>
      <c r="IS112" s="392"/>
      <c r="IT112" s="392"/>
      <c r="IU112" s="392"/>
      <c r="IV112" s="392"/>
    </row>
    <row r="113" spans="1:256" ht="45">
      <c r="A113" s="392" t="s">
        <v>391</v>
      </c>
      <c r="B113" s="436">
        <v>94965</v>
      </c>
      <c r="C113" s="317" t="str">
        <f>IF($A113="INSUMO",VLOOKUP($B113,'BANCO DE DADOS JANEIRO-24 INS'!$A:$D,2,FALSE),VLOOKUP($B113,'BANCO DE DADOS JANEIRO-24 SERV'!$B:$E,2,FALSE))</f>
        <v>CONCRETO FCK = 25MPA, TRAÇO 1:2,3:2,7 (EM MASSA SECA DE CIMENTO/ AREIA MÉDIA/ BRITA 1) - PREPARO MECÂNICO COM BETONEIRA 400 L. AF_05/2021</v>
      </c>
      <c r="D113" s="316" t="str">
        <f>IF($A113="INSUMO",VLOOKUP($B113,'BANCO DE DADOS JANEIRO-24 INS'!$A:$D,3,FALSE),VLOOKUP($B113,'BANCO DE DADOS JANEIRO-24 SERV'!$B:$E,3,FALSE))</f>
        <v>M3</v>
      </c>
      <c r="E113" s="598">
        <f>E112</f>
        <v>0.12800000000000003</v>
      </c>
      <c r="F113" s="320">
        <f>IF($A113="INSUMO",VLOOKUP($B113,'BANCO DE DADOS JANEIRO-24 INS'!$A:$D,4,FALSE),VLOOKUP($B113,'BANCO DE DADOS JANEIRO-24 SERV'!$B:$E,4,FALSE))</f>
        <v>568.95000000000005</v>
      </c>
      <c r="G113" s="435">
        <f>TRUNC(F113*E113,2)</f>
        <v>72.819999999999993</v>
      </c>
      <c r="H113" s="392"/>
      <c r="I113" s="392"/>
      <c r="J113" s="392"/>
      <c r="K113" s="392"/>
      <c r="L113" s="392"/>
      <c r="M113" s="392"/>
      <c r="N113" s="392"/>
      <c r="O113" s="392"/>
      <c r="P113" s="392"/>
      <c r="Q113" s="392"/>
      <c r="R113" s="392"/>
      <c r="S113" s="392"/>
      <c r="T113" s="392"/>
      <c r="U113" s="392"/>
      <c r="V113" s="392"/>
      <c r="W113" s="392"/>
      <c r="X113" s="392"/>
      <c r="Y113" s="392"/>
      <c r="Z113" s="392"/>
      <c r="AA113" s="392"/>
      <c r="AB113" s="392"/>
      <c r="AC113" s="392"/>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2"/>
      <c r="BF113" s="392"/>
      <c r="BG113" s="392"/>
      <c r="BH113" s="392"/>
      <c r="BI113" s="392"/>
      <c r="BJ113" s="392"/>
      <c r="BK113" s="392"/>
      <c r="BL113" s="392"/>
      <c r="BM113" s="392"/>
      <c r="BN113" s="392"/>
      <c r="BO113" s="392"/>
      <c r="BP113" s="392"/>
      <c r="BQ113" s="392"/>
      <c r="BR113" s="392"/>
      <c r="BS113" s="392"/>
      <c r="BT113" s="392"/>
      <c r="BU113" s="392"/>
      <c r="BV113" s="392"/>
      <c r="BW113" s="392"/>
      <c r="BX113" s="392"/>
      <c r="BY113" s="392"/>
      <c r="BZ113" s="392"/>
      <c r="CA113" s="392"/>
      <c r="CB113" s="392"/>
      <c r="CC113" s="392"/>
      <c r="CD113" s="392"/>
      <c r="CE113" s="392"/>
      <c r="CF113" s="392"/>
      <c r="CG113" s="392"/>
      <c r="CH113" s="392"/>
      <c r="CI113" s="392"/>
      <c r="CJ113" s="392"/>
      <c r="CK113" s="392"/>
      <c r="CL113" s="392"/>
      <c r="CM113" s="392"/>
      <c r="CN113" s="392"/>
      <c r="CO113" s="392"/>
      <c r="CP113" s="392"/>
      <c r="CQ113" s="392"/>
      <c r="CR113" s="392"/>
      <c r="CS113" s="392"/>
      <c r="CT113" s="392"/>
      <c r="CU113" s="392"/>
      <c r="CV113" s="392"/>
      <c r="CW113" s="392"/>
      <c r="CX113" s="392"/>
      <c r="CY113" s="392"/>
      <c r="CZ113" s="392"/>
      <c r="DA113" s="392"/>
      <c r="DB113" s="392"/>
      <c r="DC113" s="392"/>
      <c r="DD113" s="392"/>
      <c r="DE113" s="392"/>
      <c r="DF113" s="392"/>
      <c r="DG113" s="392"/>
      <c r="DH113" s="392"/>
      <c r="DI113" s="392"/>
      <c r="DJ113" s="392"/>
      <c r="DK113" s="392"/>
      <c r="DL113" s="392"/>
      <c r="DM113" s="392"/>
      <c r="DN113" s="392"/>
      <c r="DO113" s="392"/>
      <c r="DP113" s="392"/>
      <c r="DQ113" s="392"/>
      <c r="DR113" s="392"/>
      <c r="DS113" s="392"/>
      <c r="DT113" s="392"/>
      <c r="DU113" s="392"/>
      <c r="DV113" s="392"/>
      <c r="DW113" s="392"/>
      <c r="DX113" s="392"/>
      <c r="DY113" s="392"/>
      <c r="DZ113" s="392"/>
      <c r="EA113" s="392"/>
      <c r="EB113" s="392"/>
      <c r="EC113" s="392"/>
      <c r="ED113" s="392"/>
      <c r="EE113" s="392"/>
      <c r="EF113" s="392"/>
      <c r="EG113" s="392"/>
      <c r="EH113" s="392"/>
      <c r="EI113" s="392"/>
      <c r="EJ113" s="392"/>
      <c r="EK113" s="392"/>
      <c r="EL113" s="392"/>
      <c r="EM113" s="392"/>
      <c r="EN113" s="392"/>
      <c r="EO113" s="392"/>
      <c r="EP113" s="392"/>
      <c r="EQ113" s="392"/>
      <c r="ER113" s="392"/>
      <c r="ES113" s="392"/>
      <c r="ET113" s="392"/>
      <c r="EU113" s="392"/>
      <c r="EV113" s="392"/>
      <c r="EW113" s="392"/>
      <c r="EX113" s="392"/>
      <c r="EY113" s="392"/>
      <c r="EZ113" s="392"/>
      <c r="FA113" s="392"/>
      <c r="FB113" s="392"/>
      <c r="FC113" s="392"/>
      <c r="FD113" s="392"/>
      <c r="FE113" s="392"/>
      <c r="FF113" s="392"/>
      <c r="FG113" s="392"/>
      <c r="FH113" s="392"/>
      <c r="FI113" s="392"/>
      <c r="FJ113" s="392"/>
      <c r="FK113" s="392"/>
      <c r="FL113" s="392"/>
      <c r="FM113" s="392"/>
      <c r="FN113" s="392"/>
      <c r="FO113" s="392"/>
      <c r="FP113" s="392"/>
      <c r="FQ113" s="392"/>
      <c r="FR113" s="392"/>
      <c r="FS113" s="392"/>
      <c r="FT113" s="392"/>
      <c r="FU113" s="392"/>
      <c r="FV113" s="392"/>
      <c r="FW113" s="392"/>
      <c r="FX113" s="392"/>
      <c r="FY113" s="392"/>
      <c r="FZ113" s="392"/>
      <c r="GA113" s="392"/>
      <c r="GB113" s="392"/>
      <c r="GC113" s="392"/>
      <c r="GD113" s="392"/>
      <c r="GE113" s="392"/>
      <c r="GF113" s="392"/>
      <c r="GG113" s="392"/>
      <c r="GH113" s="392"/>
      <c r="GI113" s="392"/>
      <c r="GJ113" s="392"/>
      <c r="GK113" s="392"/>
      <c r="GL113" s="392"/>
      <c r="GM113" s="392"/>
      <c r="GN113" s="392"/>
      <c r="GO113" s="392"/>
      <c r="GP113" s="392"/>
      <c r="GQ113" s="392"/>
      <c r="GR113" s="392"/>
      <c r="GS113" s="392"/>
      <c r="GT113" s="392"/>
      <c r="GU113" s="392"/>
      <c r="GV113" s="392"/>
      <c r="GW113" s="392"/>
      <c r="GX113" s="392"/>
      <c r="GY113" s="392"/>
      <c r="GZ113" s="392"/>
      <c r="HA113" s="392"/>
      <c r="HB113" s="392"/>
      <c r="HC113" s="392"/>
      <c r="HD113" s="392"/>
      <c r="HE113" s="392"/>
      <c r="HF113" s="392"/>
      <c r="HG113" s="392"/>
      <c r="HH113" s="392"/>
      <c r="HI113" s="392"/>
      <c r="HJ113" s="392"/>
      <c r="HK113" s="392"/>
      <c r="HL113" s="392"/>
      <c r="HM113" s="392"/>
      <c r="HN113" s="392"/>
      <c r="HO113" s="392"/>
      <c r="HP113" s="392"/>
      <c r="HQ113" s="392"/>
      <c r="HR113" s="392"/>
      <c r="HS113" s="392"/>
      <c r="HT113" s="392"/>
      <c r="HU113" s="392"/>
      <c r="HV113" s="392"/>
      <c r="HW113" s="392"/>
      <c r="HX113" s="392"/>
      <c r="HY113" s="392"/>
      <c r="HZ113" s="392"/>
      <c r="IA113" s="392"/>
      <c r="IB113" s="392"/>
      <c r="IC113" s="392"/>
      <c r="ID113" s="392"/>
      <c r="IE113" s="392"/>
      <c r="IF113" s="392"/>
      <c r="IG113" s="392"/>
      <c r="IH113" s="392"/>
      <c r="II113" s="392"/>
      <c r="IJ113" s="392"/>
      <c r="IK113" s="392"/>
      <c r="IL113" s="392"/>
      <c r="IM113" s="392"/>
      <c r="IN113" s="392"/>
      <c r="IO113" s="392"/>
      <c r="IP113" s="392"/>
      <c r="IQ113" s="392"/>
      <c r="IR113" s="392"/>
      <c r="IS113" s="392"/>
      <c r="IT113" s="392"/>
      <c r="IU113" s="392"/>
      <c r="IV113" s="392"/>
    </row>
    <row r="114" spans="1:256" ht="15.75" thickBot="1">
      <c r="A114" s="392" t="s">
        <v>391</v>
      </c>
      <c r="B114" s="437" t="s">
        <v>57</v>
      </c>
      <c r="C114" s="318" t="e">
        <f>IF($A114="INSUMO",VLOOKUP($B114,'BANCO DE DADOS JANEIRO-24 INS'!$A:$D,2,FALSE),VLOOKUP($B114,'BANCO DE DADOS JANEIRO-24 SERV'!$B:$E,2,FALSE))</f>
        <v>#N/A</v>
      </c>
      <c r="D114" s="319" t="e">
        <f>IF($A114="INSUMO",VLOOKUP($B114,'BANCO DE DADOS JANEIRO-24 INS'!$A:$D,3,FALSE),VLOOKUP($B114,'BANCO DE DADOS JANEIRO-24 SERV'!$B:$E,3,FALSE))</f>
        <v>#N/A</v>
      </c>
      <c r="E114" s="599">
        <f>E112</f>
        <v>0.12800000000000003</v>
      </c>
      <c r="F114" s="321" t="e">
        <f>IF($A114="INSUMO",VLOOKUP($B114,'BANCO DE DADOS JANEIRO-24 INS'!$A:$D,4,FALSE),VLOOKUP($B114,'BANCO DE DADOS JANEIRO-24 SERV'!$B:$E,4,FALSE))</f>
        <v>#N/A</v>
      </c>
      <c r="G114" s="438" t="e">
        <f>TRUNC(F114*E114,2)</f>
        <v>#N/A</v>
      </c>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c r="AK114" s="392"/>
      <c r="AL114" s="392"/>
      <c r="AM114" s="392"/>
      <c r="AN114" s="392"/>
      <c r="AO114" s="392"/>
      <c r="AP114" s="392"/>
      <c r="AQ114" s="392"/>
      <c r="AR114" s="392"/>
      <c r="AS114" s="392"/>
      <c r="AT114" s="392"/>
      <c r="AU114" s="392"/>
      <c r="AV114" s="392"/>
      <c r="AW114" s="392"/>
      <c r="AX114" s="392"/>
      <c r="AY114" s="392"/>
      <c r="AZ114" s="392"/>
      <c r="BA114" s="392"/>
      <c r="BB114" s="392"/>
      <c r="BC114" s="392"/>
      <c r="BD114" s="392"/>
      <c r="BE114" s="392"/>
      <c r="BF114" s="392"/>
      <c r="BG114" s="392"/>
      <c r="BH114" s="392"/>
      <c r="BI114" s="392"/>
      <c r="BJ114" s="392"/>
      <c r="BK114" s="392"/>
      <c r="BL114" s="392"/>
      <c r="BM114" s="392"/>
      <c r="BN114" s="392"/>
      <c r="BO114" s="392"/>
      <c r="BP114" s="392"/>
      <c r="BQ114" s="392"/>
      <c r="BR114" s="392"/>
      <c r="BS114" s="392"/>
      <c r="BT114" s="392"/>
      <c r="BU114" s="392"/>
      <c r="BV114" s="392"/>
      <c r="BW114" s="392"/>
      <c r="BX114" s="392"/>
      <c r="BY114" s="392"/>
      <c r="BZ114" s="392"/>
      <c r="CA114" s="392"/>
      <c r="CB114" s="392"/>
      <c r="CC114" s="392"/>
      <c r="CD114" s="392"/>
      <c r="CE114" s="392"/>
      <c r="CF114" s="392"/>
      <c r="CG114" s="392"/>
      <c r="CH114" s="392"/>
      <c r="CI114" s="392"/>
      <c r="CJ114" s="392"/>
      <c r="CK114" s="392"/>
      <c r="CL114" s="392"/>
      <c r="CM114" s="392"/>
      <c r="CN114" s="392"/>
      <c r="CO114" s="392"/>
      <c r="CP114" s="392"/>
      <c r="CQ114" s="392"/>
      <c r="CR114" s="392"/>
      <c r="CS114" s="392"/>
      <c r="CT114" s="392"/>
      <c r="CU114" s="392"/>
      <c r="CV114" s="392"/>
      <c r="CW114" s="392"/>
      <c r="CX114" s="392"/>
      <c r="CY114" s="392"/>
      <c r="CZ114" s="392"/>
      <c r="DA114" s="392"/>
      <c r="DB114" s="392"/>
      <c r="DC114" s="392"/>
      <c r="DD114" s="392"/>
      <c r="DE114" s="392"/>
      <c r="DF114" s="392"/>
      <c r="DG114" s="392"/>
      <c r="DH114" s="392"/>
      <c r="DI114" s="392"/>
      <c r="DJ114" s="392"/>
      <c r="DK114" s="392"/>
      <c r="DL114" s="392"/>
      <c r="DM114" s="392"/>
      <c r="DN114" s="392"/>
      <c r="DO114" s="392"/>
      <c r="DP114" s="392"/>
      <c r="DQ114" s="392"/>
      <c r="DR114" s="392"/>
      <c r="DS114" s="392"/>
      <c r="DT114" s="392"/>
      <c r="DU114" s="392"/>
      <c r="DV114" s="392"/>
      <c r="DW114" s="392"/>
      <c r="DX114" s="392"/>
      <c r="DY114" s="392"/>
      <c r="DZ114" s="392"/>
      <c r="EA114" s="392"/>
      <c r="EB114" s="392"/>
      <c r="EC114" s="392"/>
      <c r="ED114" s="392"/>
      <c r="EE114" s="392"/>
      <c r="EF114" s="392"/>
      <c r="EG114" s="392"/>
      <c r="EH114" s="392"/>
      <c r="EI114" s="392"/>
      <c r="EJ114" s="392"/>
      <c r="EK114" s="392"/>
      <c r="EL114" s="392"/>
      <c r="EM114" s="392"/>
      <c r="EN114" s="392"/>
      <c r="EO114" s="392"/>
      <c r="EP114" s="392"/>
      <c r="EQ114" s="392"/>
      <c r="ER114" s="392"/>
      <c r="ES114" s="392"/>
      <c r="ET114" s="392"/>
      <c r="EU114" s="392"/>
      <c r="EV114" s="392"/>
      <c r="EW114" s="392"/>
      <c r="EX114" s="392"/>
      <c r="EY114" s="392"/>
      <c r="EZ114" s="392"/>
      <c r="FA114" s="392"/>
      <c r="FB114" s="392"/>
      <c r="FC114" s="392"/>
      <c r="FD114" s="392"/>
      <c r="FE114" s="392"/>
      <c r="FF114" s="392"/>
      <c r="FG114" s="392"/>
      <c r="FH114" s="392"/>
      <c r="FI114" s="392"/>
      <c r="FJ114" s="392"/>
      <c r="FK114" s="392"/>
      <c r="FL114" s="392"/>
      <c r="FM114" s="392"/>
      <c r="FN114" s="392"/>
      <c r="FO114" s="392"/>
      <c r="FP114" s="392"/>
      <c r="FQ114" s="392"/>
      <c r="FR114" s="392"/>
      <c r="FS114" s="392"/>
      <c r="FT114" s="392"/>
      <c r="FU114" s="392"/>
      <c r="FV114" s="392"/>
      <c r="FW114" s="392"/>
      <c r="FX114" s="392"/>
      <c r="FY114" s="392"/>
      <c r="FZ114" s="392"/>
      <c r="GA114" s="392"/>
      <c r="GB114" s="392"/>
      <c r="GC114" s="392"/>
      <c r="GD114" s="392"/>
      <c r="GE114" s="392"/>
      <c r="GF114" s="392"/>
      <c r="GG114" s="392"/>
      <c r="GH114" s="392"/>
      <c r="GI114" s="392"/>
      <c r="GJ114" s="392"/>
      <c r="GK114" s="392"/>
      <c r="GL114" s="392"/>
      <c r="GM114" s="392"/>
      <c r="GN114" s="392"/>
      <c r="GO114" s="392"/>
      <c r="GP114" s="392"/>
      <c r="GQ114" s="392"/>
      <c r="GR114" s="392"/>
      <c r="GS114" s="392"/>
      <c r="GT114" s="392"/>
      <c r="GU114" s="392"/>
      <c r="GV114" s="392"/>
      <c r="GW114" s="392"/>
      <c r="GX114" s="392"/>
      <c r="GY114" s="392"/>
      <c r="GZ114" s="392"/>
      <c r="HA114" s="392"/>
      <c r="HB114" s="392"/>
      <c r="HC114" s="392"/>
      <c r="HD114" s="392"/>
      <c r="HE114" s="392"/>
      <c r="HF114" s="392"/>
      <c r="HG114" s="392"/>
      <c r="HH114" s="392"/>
      <c r="HI114" s="392"/>
      <c r="HJ114" s="392"/>
      <c r="HK114" s="392"/>
      <c r="HL114" s="392"/>
      <c r="HM114" s="392"/>
      <c r="HN114" s="392"/>
      <c r="HO114" s="392"/>
      <c r="HP114" s="392"/>
      <c r="HQ114" s="392"/>
      <c r="HR114" s="392"/>
      <c r="HS114" s="392"/>
      <c r="HT114" s="392"/>
      <c r="HU114" s="392"/>
      <c r="HV114" s="392"/>
      <c r="HW114" s="392"/>
      <c r="HX114" s="392"/>
      <c r="HY114" s="392"/>
      <c r="HZ114" s="392"/>
      <c r="IA114" s="392"/>
      <c r="IB114" s="392"/>
      <c r="IC114" s="392"/>
      <c r="ID114" s="392"/>
      <c r="IE114" s="392"/>
      <c r="IF114" s="392"/>
      <c r="IG114" s="392"/>
      <c r="IH114" s="392"/>
      <c r="II114" s="392"/>
      <c r="IJ114" s="392"/>
      <c r="IK114" s="392"/>
      <c r="IL114" s="392"/>
      <c r="IM114" s="392"/>
      <c r="IN114" s="392"/>
      <c r="IO114" s="392"/>
      <c r="IP114" s="392"/>
      <c r="IQ114" s="392"/>
      <c r="IR114" s="392"/>
      <c r="IS114" s="392"/>
      <c r="IT114" s="392"/>
      <c r="IU114" s="392"/>
      <c r="IV114" s="392"/>
    </row>
    <row r="115" spans="1:256" ht="16.5" thickBot="1">
      <c r="A115" s="392"/>
      <c r="B115" s="439" t="s">
        <v>1705</v>
      </c>
      <c r="C115" s="440"/>
      <c r="D115" s="441"/>
      <c r="E115" s="442"/>
      <c r="F115" s="443" t="s">
        <v>167</v>
      </c>
      <c r="G115" s="444" t="e">
        <f>TRUNC(SUM(G111:G114),2)</f>
        <v>#N/A</v>
      </c>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c r="AE115" s="392"/>
      <c r="AF115" s="392"/>
      <c r="AG115" s="392"/>
      <c r="AH115" s="392"/>
      <c r="AI115" s="392"/>
      <c r="AJ115" s="392"/>
      <c r="AK115" s="392"/>
      <c r="AL115" s="392"/>
      <c r="AM115" s="392"/>
      <c r="AN115" s="392"/>
      <c r="AO115" s="392"/>
      <c r="AP115" s="392"/>
      <c r="AQ115" s="392"/>
      <c r="AR115" s="392"/>
      <c r="AS115" s="392"/>
      <c r="AT115" s="392"/>
      <c r="AU115" s="392"/>
      <c r="AV115" s="392"/>
      <c r="AW115" s="392"/>
      <c r="AX115" s="392"/>
      <c r="AY115" s="392"/>
      <c r="AZ115" s="392"/>
      <c r="BA115" s="392"/>
      <c r="BB115" s="392"/>
      <c r="BC115" s="392"/>
      <c r="BD115" s="392"/>
      <c r="BE115" s="392"/>
      <c r="BF115" s="392"/>
      <c r="BG115" s="392"/>
      <c r="BH115" s="392"/>
      <c r="BI115" s="392"/>
      <c r="BJ115" s="392"/>
      <c r="BK115" s="392"/>
      <c r="BL115" s="392"/>
      <c r="BM115" s="392"/>
      <c r="BN115" s="392"/>
      <c r="BO115" s="392"/>
      <c r="BP115" s="392"/>
      <c r="BQ115" s="392"/>
      <c r="BR115" s="392"/>
      <c r="BS115" s="392"/>
      <c r="BT115" s="392"/>
      <c r="BU115" s="392"/>
      <c r="BV115" s="392"/>
      <c r="BW115" s="392"/>
      <c r="BX115" s="392"/>
      <c r="BY115" s="392"/>
      <c r="BZ115" s="392"/>
      <c r="CA115" s="392"/>
      <c r="CB115" s="392"/>
      <c r="CC115" s="392"/>
      <c r="CD115" s="392"/>
      <c r="CE115" s="392"/>
      <c r="CF115" s="392"/>
      <c r="CG115" s="392"/>
      <c r="CH115" s="392"/>
      <c r="CI115" s="392"/>
      <c r="CJ115" s="392"/>
      <c r="CK115" s="392"/>
      <c r="CL115" s="392"/>
      <c r="CM115" s="392"/>
      <c r="CN115" s="392"/>
      <c r="CO115" s="392"/>
      <c r="CP115" s="392"/>
      <c r="CQ115" s="392"/>
      <c r="CR115" s="392"/>
      <c r="CS115" s="392"/>
      <c r="CT115" s="392"/>
      <c r="CU115" s="392"/>
      <c r="CV115" s="392"/>
      <c r="CW115" s="392"/>
      <c r="CX115" s="392"/>
      <c r="CY115" s="392"/>
      <c r="CZ115" s="392"/>
      <c r="DA115" s="392"/>
      <c r="DB115" s="392"/>
      <c r="DC115" s="392"/>
      <c r="DD115" s="392"/>
      <c r="DE115" s="392"/>
      <c r="DF115" s="392"/>
      <c r="DG115" s="392"/>
      <c r="DH115" s="392"/>
      <c r="DI115" s="392"/>
      <c r="DJ115" s="392"/>
      <c r="DK115" s="392"/>
      <c r="DL115" s="392"/>
      <c r="DM115" s="392"/>
      <c r="DN115" s="392"/>
      <c r="DO115" s="392"/>
      <c r="DP115" s="392"/>
      <c r="DQ115" s="392"/>
      <c r="DR115" s="392"/>
      <c r="DS115" s="392"/>
      <c r="DT115" s="392"/>
      <c r="DU115" s="392"/>
      <c r="DV115" s="392"/>
      <c r="DW115" s="392"/>
      <c r="DX115" s="392"/>
      <c r="DY115" s="392"/>
      <c r="DZ115" s="392"/>
      <c r="EA115" s="392"/>
      <c r="EB115" s="392"/>
      <c r="EC115" s="392"/>
      <c r="ED115" s="392"/>
      <c r="EE115" s="392"/>
      <c r="EF115" s="392"/>
      <c r="EG115" s="392"/>
      <c r="EH115" s="392"/>
      <c r="EI115" s="392"/>
      <c r="EJ115" s="392"/>
      <c r="EK115" s="392"/>
      <c r="EL115" s="392"/>
      <c r="EM115" s="392"/>
      <c r="EN115" s="392"/>
      <c r="EO115" s="392"/>
      <c r="EP115" s="392"/>
      <c r="EQ115" s="392"/>
      <c r="ER115" s="392"/>
      <c r="ES115" s="392"/>
      <c r="ET115" s="392"/>
      <c r="EU115" s="392"/>
      <c r="EV115" s="392"/>
      <c r="EW115" s="392"/>
      <c r="EX115" s="392"/>
      <c r="EY115" s="392"/>
      <c r="EZ115" s="392"/>
      <c r="FA115" s="392"/>
      <c r="FB115" s="392"/>
      <c r="FC115" s="392"/>
      <c r="FD115" s="392"/>
      <c r="FE115" s="392"/>
      <c r="FF115" s="392"/>
      <c r="FG115" s="392"/>
      <c r="FH115" s="392"/>
      <c r="FI115" s="392"/>
      <c r="FJ115" s="392"/>
      <c r="FK115" s="392"/>
      <c r="FL115" s="392"/>
      <c r="FM115" s="392"/>
      <c r="FN115" s="392"/>
      <c r="FO115" s="392"/>
      <c r="FP115" s="392"/>
      <c r="FQ115" s="392"/>
      <c r="FR115" s="392"/>
      <c r="FS115" s="392"/>
      <c r="FT115" s="392"/>
      <c r="FU115" s="392"/>
      <c r="FV115" s="392"/>
      <c r="FW115" s="392"/>
      <c r="FX115" s="392"/>
      <c r="FY115" s="392"/>
      <c r="FZ115" s="392"/>
      <c r="GA115" s="392"/>
      <c r="GB115" s="392"/>
      <c r="GC115" s="392"/>
      <c r="GD115" s="392"/>
      <c r="GE115" s="392"/>
      <c r="GF115" s="392"/>
      <c r="GG115" s="392"/>
      <c r="GH115" s="392"/>
      <c r="GI115" s="392"/>
      <c r="GJ115" s="392"/>
      <c r="GK115" s="392"/>
      <c r="GL115" s="392"/>
      <c r="GM115" s="392"/>
      <c r="GN115" s="392"/>
      <c r="GO115" s="392"/>
      <c r="GP115" s="392"/>
      <c r="GQ115" s="392"/>
      <c r="GR115" s="392"/>
      <c r="GS115" s="392"/>
      <c r="GT115" s="392"/>
      <c r="GU115" s="392"/>
      <c r="GV115" s="392"/>
      <c r="GW115" s="392"/>
      <c r="GX115" s="392"/>
      <c r="GY115" s="392"/>
      <c r="GZ115" s="392"/>
      <c r="HA115" s="392"/>
      <c r="HB115" s="392"/>
      <c r="HC115" s="392"/>
      <c r="HD115" s="392"/>
      <c r="HE115" s="392"/>
      <c r="HF115" s="392"/>
      <c r="HG115" s="392"/>
      <c r="HH115" s="392"/>
      <c r="HI115" s="392"/>
      <c r="HJ115" s="392"/>
      <c r="HK115" s="392"/>
      <c r="HL115" s="392"/>
      <c r="HM115" s="392"/>
      <c r="HN115" s="392"/>
      <c r="HO115" s="392"/>
      <c r="HP115" s="392"/>
      <c r="HQ115" s="392"/>
      <c r="HR115" s="392"/>
      <c r="HS115" s="392"/>
      <c r="HT115" s="392"/>
      <c r="HU115" s="392"/>
      <c r="HV115" s="392"/>
      <c r="HW115" s="392"/>
      <c r="HX115" s="392"/>
      <c r="HY115" s="392"/>
      <c r="HZ115" s="392"/>
      <c r="IA115" s="392"/>
      <c r="IB115" s="392"/>
      <c r="IC115" s="392"/>
      <c r="ID115" s="392"/>
      <c r="IE115" s="392"/>
      <c r="IF115" s="392"/>
      <c r="IG115" s="392"/>
      <c r="IH115" s="392"/>
      <c r="II115" s="392"/>
      <c r="IJ115" s="392"/>
      <c r="IK115" s="392"/>
      <c r="IL115" s="392"/>
      <c r="IM115" s="392"/>
      <c r="IN115" s="392"/>
      <c r="IO115" s="392"/>
      <c r="IP115" s="392"/>
      <c r="IQ115" s="392"/>
      <c r="IR115" s="392"/>
      <c r="IS115" s="392"/>
      <c r="IT115" s="392"/>
      <c r="IU115" s="392"/>
      <c r="IV115" s="392"/>
    </row>
    <row r="116" spans="1:256" ht="409.5" customHeight="1">
      <c r="A116" s="392"/>
      <c r="B116" s="2355"/>
      <c r="C116" s="2355"/>
      <c r="D116" s="2355"/>
      <c r="E116" s="2355"/>
      <c r="F116" s="2355"/>
      <c r="G116" s="2355"/>
      <c r="H116" s="392"/>
      <c r="I116" s="392"/>
      <c r="J116" s="392"/>
      <c r="K116" s="392"/>
      <c r="L116" s="392"/>
      <c r="M116" s="392"/>
      <c r="N116" s="392"/>
      <c r="O116" s="392"/>
      <c r="P116" s="392"/>
      <c r="Q116" s="392"/>
      <c r="R116" s="392"/>
      <c r="S116" s="392"/>
      <c r="T116" s="392"/>
      <c r="U116" s="392"/>
      <c r="V116" s="392"/>
      <c r="W116" s="392"/>
      <c r="X116" s="392"/>
      <c r="Y116" s="392"/>
      <c r="Z116" s="392"/>
      <c r="AA116" s="392"/>
      <c r="AB116" s="392"/>
      <c r="AC116" s="392"/>
      <c r="AD116" s="392"/>
      <c r="AE116" s="392"/>
      <c r="AF116" s="392"/>
      <c r="AG116" s="392"/>
      <c r="AH116" s="392"/>
      <c r="AI116" s="392"/>
      <c r="AJ116" s="392"/>
      <c r="AK116" s="392"/>
      <c r="AL116" s="392"/>
      <c r="AM116" s="392"/>
      <c r="AN116" s="392"/>
      <c r="AO116" s="392"/>
      <c r="AP116" s="392"/>
      <c r="AQ116" s="392"/>
      <c r="AR116" s="392"/>
      <c r="AS116" s="392"/>
      <c r="AT116" s="392"/>
      <c r="AU116" s="392"/>
      <c r="AV116" s="392"/>
      <c r="AW116" s="392"/>
      <c r="AX116" s="392"/>
      <c r="AY116" s="392"/>
      <c r="AZ116" s="392"/>
      <c r="BA116" s="392"/>
      <c r="BB116" s="392"/>
      <c r="BC116" s="392"/>
      <c r="BD116" s="392"/>
      <c r="BE116" s="392"/>
      <c r="BF116" s="392"/>
      <c r="BG116" s="392"/>
      <c r="BH116" s="392"/>
      <c r="BI116" s="392"/>
      <c r="BJ116" s="392"/>
      <c r="BK116" s="392"/>
      <c r="BL116" s="392"/>
      <c r="BM116" s="392"/>
      <c r="BN116" s="392"/>
      <c r="BO116" s="392"/>
      <c r="BP116" s="392"/>
      <c r="BQ116" s="392"/>
      <c r="BR116" s="392"/>
      <c r="BS116" s="392"/>
      <c r="BT116" s="392"/>
      <c r="BU116" s="392"/>
      <c r="BV116" s="392"/>
      <c r="BW116" s="392"/>
      <c r="BX116" s="392"/>
      <c r="BY116" s="392"/>
      <c r="BZ116" s="392"/>
      <c r="CA116" s="392"/>
      <c r="CB116" s="392"/>
      <c r="CC116" s="392"/>
      <c r="CD116" s="392"/>
      <c r="CE116" s="392"/>
      <c r="CF116" s="392"/>
      <c r="CG116" s="392"/>
      <c r="CH116" s="392"/>
      <c r="CI116" s="39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c r="DD116" s="392"/>
      <c r="DE116" s="392"/>
      <c r="DF116" s="392"/>
      <c r="DG116" s="392"/>
      <c r="DH116" s="392"/>
      <c r="DI116" s="392"/>
      <c r="DJ116" s="392"/>
      <c r="DK116" s="392"/>
      <c r="DL116" s="392"/>
      <c r="DM116" s="392"/>
      <c r="DN116" s="392"/>
      <c r="DO116" s="392"/>
      <c r="DP116" s="392"/>
      <c r="DQ116" s="392"/>
      <c r="DR116" s="392"/>
      <c r="DS116" s="392"/>
      <c r="DT116" s="392"/>
      <c r="DU116" s="392"/>
      <c r="DV116" s="392"/>
      <c r="DW116" s="392"/>
      <c r="DX116" s="392"/>
      <c r="DY116" s="392"/>
      <c r="DZ116" s="392"/>
      <c r="EA116" s="392"/>
      <c r="EB116" s="392"/>
      <c r="EC116" s="392"/>
      <c r="ED116" s="392"/>
      <c r="EE116" s="392"/>
      <c r="EF116" s="392"/>
      <c r="EG116" s="392"/>
      <c r="EH116" s="392"/>
      <c r="EI116" s="392"/>
      <c r="EJ116" s="392"/>
      <c r="EK116" s="392"/>
      <c r="EL116" s="392"/>
      <c r="EM116" s="392"/>
      <c r="EN116" s="392"/>
      <c r="EO116" s="392"/>
      <c r="EP116" s="392"/>
      <c r="EQ116" s="392"/>
      <c r="ER116" s="392"/>
      <c r="ES116" s="392"/>
      <c r="ET116" s="392"/>
      <c r="EU116" s="392"/>
      <c r="EV116" s="392"/>
      <c r="EW116" s="392"/>
      <c r="EX116" s="392"/>
      <c r="EY116" s="392"/>
      <c r="EZ116" s="392"/>
      <c r="FA116" s="392"/>
      <c r="FB116" s="392"/>
      <c r="FC116" s="392"/>
      <c r="FD116" s="392"/>
      <c r="FE116" s="392"/>
      <c r="FF116" s="392"/>
      <c r="FG116" s="392"/>
      <c r="FH116" s="392"/>
      <c r="FI116" s="392"/>
      <c r="FJ116" s="392"/>
      <c r="FK116" s="392"/>
      <c r="FL116" s="392"/>
      <c r="FM116" s="392"/>
      <c r="FN116" s="392"/>
      <c r="FO116" s="392"/>
      <c r="FP116" s="392"/>
      <c r="FQ116" s="392"/>
      <c r="FR116" s="392"/>
      <c r="FS116" s="392"/>
      <c r="FT116" s="392"/>
      <c r="FU116" s="392"/>
      <c r="FV116" s="392"/>
      <c r="FW116" s="392"/>
      <c r="FX116" s="392"/>
      <c r="FY116" s="392"/>
      <c r="FZ116" s="392"/>
      <c r="GA116" s="392"/>
      <c r="GB116" s="392"/>
      <c r="GC116" s="392"/>
      <c r="GD116" s="392"/>
      <c r="GE116" s="392"/>
      <c r="GF116" s="392"/>
      <c r="GG116" s="392"/>
      <c r="GH116" s="392"/>
      <c r="GI116" s="392"/>
      <c r="GJ116" s="392"/>
      <c r="GK116" s="392"/>
      <c r="GL116" s="392"/>
      <c r="GM116" s="392"/>
      <c r="GN116" s="392"/>
      <c r="GO116" s="392"/>
      <c r="GP116" s="392"/>
      <c r="GQ116" s="392"/>
      <c r="GR116" s="392"/>
      <c r="GS116" s="392"/>
      <c r="GT116" s="392"/>
      <c r="GU116" s="392"/>
      <c r="GV116" s="392"/>
      <c r="GW116" s="392"/>
      <c r="GX116" s="392"/>
      <c r="GY116" s="392"/>
      <c r="GZ116" s="392"/>
      <c r="HA116" s="392"/>
      <c r="HB116" s="392"/>
      <c r="HC116" s="392"/>
      <c r="HD116" s="392"/>
      <c r="HE116" s="392"/>
      <c r="HF116" s="392"/>
      <c r="HG116" s="392"/>
      <c r="HH116" s="392"/>
      <c r="HI116" s="392"/>
      <c r="HJ116" s="392"/>
      <c r="HK116" s="392"/>
      <c r="HL116" s="392"/>
      <c r="HM116" s="392"/>
      <c r="HN116" s="392"/>
      <c r="HO116" s="392"/>
      <c r="HP116" s="392"/>
      <c r="HQ116" s="392"/>
      <c r="HR116" s="392"/>
      <c r="HS116" s="392"/>
      <c r="HT116" s="392"/>
      <c r="HU116" s="392"/>
      <c r="HV116" s="392"/>
      <c r="HW116" s="392"/>
      <c r="HX116" s="392"/>
      <c r="HY116" s="392"/>
      <c r="HZ116" s="392"/>
      <c r="IA116" s="392"/>
      <c r="IB116" s="392"/>
      <c r="IC116" s="392"/>
      <c r="ID116" s="392"/>
      <c r="IE116" s="392"/>
      <c r="IF116" s="392"/>
      <c r="IG116" s="392"/>
      <c r="IH116" s="392"/>
      <c r="II116" s="392"/>
      <c r="IJ116" s="392"/>
      <c r="IK116" s="392"/>
      <c r="IL116" s="392"/>
      <c r="IM116" s="392"/>
      <c r="IN116" s="392"/>
      <c r="IO116" s="392"/>
      <c r="IP116" s="392"/>
      <c r="IQ116" s="392"/>
      <c r="IR116" s="392"/>
      <c r="IS116" s="392"/>
      <c r="IT116" s="392"/>
      <c r="IU116" s="392"/>
      <c r="IV116" s="392"/>
    </row>
    <row r="117" spans="1:256" ht="192" customHeight="1" thickBot="1">
      <c r="A117" s="392"/>
      <c r="B117" s="2356"/>
      <c r="C117" s="2356"/>
      <c r="D117" s="2356"/>
      <c r="E117" s="2356"/>
      <c r="F117" s="2356"/>
      <c r="G117" s="2356"/>
      <c r="H117" s="392"/>
      <c r="I117" s="392"/>
      <c r="J117" s="392"/>
      <c r="K117" s="392"/>
      <c r="L117" s="392"/>
      <c r="M117" s="392"/>
      <c r="N117" s="392"/>
      <c r="O117" s="392"/>
      <c r="P117" s="392"/>
      <c r="Q117" s="392"/>
      <c r="R117" s="392"/>
      <c r="S117" s="392"/>
      <c r="T117" s="392"/>
      <c r="U117" s="392"/>
      <c r="V117" s="392"/>
      <c r="W117" s="392"/>
      <c r="X117" s="392"/>
      <c r="Y117" s="392"/>
      <c r="Z117" s="392"/>
      <c r="AA117" s="392"/>
      <c r="AB117" s="392"/>
      <c r="AC117" s="392"/>
      <c r="AD117" s="392"/>
      <c r="AE117" s="392"/>
      <c r="AF117" s="392"/>
      <c r="AG117" s="392"/>
      <c r="AH117" s="392"/>
      <c r="AI117" s="392"/>
      <c r="AJ117" s="392"/>
      <c r="AK117" s="392"/>
      <c r="AL117" s="392"/>
      <c r="AM117" s="392"/>
      <c r="AN117" s="392"/>
      <c r="AO117" s="392"/>
      <c r="AP117" s="392"/>
      <c r="AQ117" s="392"/>
      <c r="AR117" s="392"/>
      <c r="AS117" s="392"/>
      <c r="AT117" s="392"/>
      <c r="AU117" s="392"/>
      <c r="AV117" s="392"/>
      <c r="AW117" s="392"/>
      <c r="AX117" s="392"/>
      <c r="AY117" s="392"/>
      <c r="AZ117" s="392"/>
      <c r="BA117" s="392"/>
      <c r="BB117" s="392"/>
      <c r="BC117" s="392"/>
      <c r="BD117" s="392"/>
      <c r="BE117" s="392"/>
      <c r="BF117" s="392"/>
      <c r="BG117" s="392"/>
      <c r="BH117" s="392"/>
      <c r="BI117" s="392"/>
      <c r="BJ117" s="392"/>
      <c r="BK117" s="392"/>
      <c r="BL117" s="392"/>
      <c r="BM117" s="392"/>
      <c r="BN117" s="392"/>
      <c r="BO117" s="392"/>
      <c r="BP117" s="392"/>
      <c r="BQ117" s="392"/>
      <c r="BR117" s="392"/>
      <c r="BS117" s="392"/>
      <c r="BT117" s="392"/>
      <c r="BU117" s="392"/>
      <c r="BV117" s="392"/>
      <c r="BW117" s="392"/>
      <c r="BX117" s="392"/>
      <c r="BY117" s="392"/>
      <c r="BZ117" s="392"/>
      <c r="CA117" s="392"/>
      <c r="CB117" s="392"/>
      <c r="CC117" s="392"/>
      <c r="CD117" s="392"/>
      <c r="CE117" s="392"/>
      <c r="CF117" s="392"/>
      <c r="CG117" s="392"/>
      <c r="CH117" s="392"/>
      <c r="CI117" s="392"/>
      <c r="CJ117" s="392"/>
      <c r="CK117" s="392"/>
      <c r="CL117" s="392"/>
      <c r="CM117" s="392"/>
      <c r="CN117" s="392"/>
      <c r="CO117" s="392"/>
      <c r="CP117" s="392"/>
      <c r="CQ117" s="392"/>
      <c r="CR117" s="392"/>
      <c r="CS117" s="392"/>
      <c r="CT117" s="392"/>
      <c r="CU117" s="392"/>
      <c r="CV117" s="392"/>
      <c r="CW117" s="392"/>
      <c r="CX117" s="392"/>
      <c r="CY117" s="392"/>
      <c r="CZ117" s="392"/>
      <c r="DA117" s="392"/>
      <c r="DB117" s="392"/>
      <c r="DC117" s="392"/>
      <c r="DD117" s="392"/>
      <c r="DE117" s="392"/>
      <c r="DF117" s="392"/>
      <c r="DG117" s="392"/>
      <c r="DH117" s="392"/>
      <c r="DI117" s="392"/>
      <c r="DJ117" s="392"/>
      <c r="DK117" s="392"/>
      <c r="DL117" s="392"/>
      <c r="DM117" s="392"/>
      <c r="DN117" s="392"/>
      <c r="DO117" s="392"/>
      <c r="DP117" s="392"/>
      <c r="DQ117" s="392"/>
      <c r="DR117" s="392"/>
      <c r="DS117" s="392"/>
      <c r="DT117" s="392"/>
      <c r="DU117" s="392"/>
      <c r="DV117" s="392"/>
      <c r="DW117" s="392"/>
      <c r="DX117" s="392"/>
      <c r="DY117" s="392"/>
      <c r="DZ117" s="392"/>
      <c r="EA117" s="392"/>
      <c r="EB117" s="392"/>
      <c r="EC117" s="392"/>
      <c r="ED117" s="392"/>
      <c r="EE117" s="392"/>
      <c r="EF117" s="392"/>
      <c r="EG117" s="392"/>
      <c r="EH117" s="392"/>
      <c r="EI117" s="392"/>
      <c r="EJ117" s="392"/>
      <c r="EK117" s="392"/>
      <c r="EL117" s="392"/>
      <c r="EM117" s="392"/>
      <c r="EN117" s="392"/>
      <c r="EO117" s="392"/>
      <c r="EP117" s="392"/>
      <c r="EQ117" s="392"/>
      <c r="ER117" s="392"/>
      <c r="ES117" s="392"/>
      <c r="ET117" s="392"/>
      <c r="EU117" s="392"/>
      <c r="EV117" s="392"/>
      <c r="EW117" s="392"/>
      <c r="EX117" s="392"/>
      <c r="EY117" s="392"/>
      <c r="EZ117" s="392"/>
      <c r="FA117" s="392"/>
      <c r="FB117" s="392"/>
      <c r="FC117" s="392"/>
      <c r="FD117" s="392"/>
      <c r="FE117" s="392"/>
      <c r="FF117" s="392"/>
      <c r="FG117" s="392"/>
      <c r="FH117" s="392"/>
      <c r="FI117" s="392"/>
      <c r="FJ117" s="392"/>
      <c r="FK117" s="392"/>
      <c r="FL117" s="392"/>
      <c r="FM117" s="392"/>
      <c r="FN117" s="392"/>
      <c r="FO117" s="392"/>
      <c r="FP117" s="392"/>
      <c r="FQ117" s="392"/>
      <c r="FR117" s="392"/>
      <c r="FS117" s="392"/>
      <c r="FT117" s="392"/>
      <c r="FU117" s="392"/>
      <c r="FV117" s="392"/>
      <c r="FW117" s="392"/>
      <c r="FX117" s="392"/>
      <c r="FY117" s="392"/>
      <c r="FZ117" s="392"/>
      <c r="GA117" s="392"/>
      <c r="GB117" s="392"/>
      <c r="GC117" s="392"/>
      <c r="GD117" s="392"/>
      <c r="GE117" s="392"/>
      <c r="GF117" s="392"/>
      <c r="GG117" s="392"/>
      <c r="GH117" s="392"/>
      <c r="GI117" s="392"/>
      <c r="GJ117" s="392"/>
      <c r="GK117" s="392"/>
      <c r="GL117" s="392"/>
      <c r="GM117" s="392"/>
      <c r="GN117" s="392"/>
      <c r="GO117" s="392"/>
      <c r="GP117" s="392"/>
      <c r="GQ117" s="392"/>
      <c r="GR117" s="392"/>
      <c r="GS117" s="392"/>
      <c r="GT117" s="392"/>
      <c r="GU117" s="392"/>
      <c r="GV117" s="392"/>
      <c r="GW117" s="392"/>
      <c r="GX117" s="392"/>
      <c r="GY117" s="392"/>
      <c r="GZ117" s="392"/>
      <c r="HA117" s="392"/>
      <c r="HB117" s="392"/>
      <c r="HC117" s="392"/>
      <c r="HD117" s="392"/>
      <c r="HE117" s="392"/>
      <c r="HF117" s="392"/>
      <c r="HG117" s="392"/>
      <c r="HH117" s="392"/>
      <c r="HI117" s="392"/>
      <c r="HJ117" s="392"/>
      <c r="HK117" s="392"/>
      <c r="HL117" s="392"/>
      <c r="HM117" s="392"/>
      <c r="HN117" s="392"/>
      <c r="HO117" s="392"/>
      <c r="HP117" s="392"/>
      <c r="HQ117" s="392"/>
      <c r="HR117" s="392"/>
      <c r="HS117" s="392"/>
      <c r="HT117" s="392"/>
      <c r="HU117" s="392"/>
      <c r="HV117" s="392"/>
      <c r="HW117" s="392"/>
      <c r="HX117" s="392"/>
      <c r="HY117" s="392"/>
      <c r="HZ117" s="392"/>
      <c r="IA117" s="392"/>
      <c r="IB117" s="392"/>
      <c r="IC117" s="392"/>
      <c r="ID117" s="392"/>
      <c r="IE117" s="392"/>
      <c r="IF117" s="392"/>
      <c r="IG117" s="392"/>
      <c r="IH117" s="392"/>
      <c r="II117" s="392"/>
      <c r="IJ117" s="392"/>
      <c r="IK117" s="392"/>
      <c r="IL117" s="392"/>
      <c r="IM117" s="392"/>
      <c r="IN117" s="392"/>
      <c r="IO117" s="392"/>
      <c r="IP117" s="392"/>
      <c r="IQ117" s="392"/>
      <c r="IR117" s="392"/>
      <c r="IS117" s="392"/>
      <c r="IT117" s="392"/>
      <c r="IU117" s="392"/>
      <c r="IV117" s="392"/>
    </row>
    <row r="118" spans="1:256" ht="31.5">
      <c r="A118" s="392"/>
      <c r="B118" s="581" t="s">
        <v>1706</v>
      </c>
      <c r="C118" s="2327" t="s">
        <v>1714</v>
      </c>
      <c r="D118" s="2328"/>
      <c r="E118" s="2328"/>
      <c r="F118" s="2329"/>
      <c r="G118" s="554" t="s">
        <v>22</v>
      </c>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392"/>
      <c r="AL118" s="392"/>
      <c r="AM118" s="392"/>
      <c r="AN118" s="392"/>
      <c r="AO118" s="392"/>
      <c r="AP118" s="392"/>
      <c r="AQ118" s="392"/>
      <c r="AR118" s="392"/>
      <c r="AS118" s="392"/>
      <c r="AT118" s="392"/>
      <c r="AU118" s="392"/>
      <c r="AV118" s="392"/>
      <c r="AW118" s="392"/>
      <c r="AX118" s="392"/>
      <c r="AY118" s="392"/>
      <c r="AZ118" s="392"/>
      <c r="BA118" s="392"/>
      <c r="BB118" s="392"/>
      <c r="BC118" s="392"/>
      <c r="BD118" s="392"/>
      <c r="BE118" s="392"/>
      <c r="BF118" s="392"/>
      <c r="BG118" s="392"/>
      <c r="BH118" s="392"/>
      <c r="BI118" s="392"/>
      <c r="BJ118" s="392"/>
      <c r="BK118" s="392"/>
      <c r="BL118" s="392"/>
      <c r="BM118" s="392"/>
      <c r="BN118" s="392"/>
      <c r="BO118" s="392"/>
      <c r="BP118" s="392"/>
      <c r="BQ118" s="392"/>
      <c r="BR118" s="392"/>
      <c r="BS118" s="392"/>
      <c r="BT118" s="392"/>
      <c r="BU118" s="392"/>
      <c r="BV118" s="392"/>
      <c r="BW118" s="392"/>
      <c r="BX118" s="392"/>
      <c r="BY118" s="392"/>
      <c r="BZ118" s="392"/>
      <c r="CA118" s="392"/>
      <c r="CB118" s="392"/>
      <c r="CC118" s="392"/>
      <c r="CD118" s="392"/>
      <c r="CE118" s="392"/>
      <c r="CF118" s="392"/>
      <c r="CG118" s="392"/>
      <c r="CH118" s="392"/>
      <c r="CI118" s="392"/>
      <c r="CJ118" s="392"/>
      <c r="CK118" s="392"/>
      <c r="CL118" s="392"/>
      <c r="CM118" s="392"/>
      <c r="CN118" s="392"/>
      <c r="CO118" s="392"/>
      <c r="CP118" s="392"/>
      <c r="CQ118" s="392"/>
      <c r="CR118" s="392"/>
      <c r="CS118" s="392"/>
      <c r="CT118" s="392"/>
      <c r="CU118" s="392"/>
      <c r="CV118" s="392"/>
      <c r="CW118" s="392"/>
      <c r="CX118" s="392"/>
      <c r="CY118" s="392"/>
      <c r="CZ118" s="392"/>
      <c r="DA118" s="392"/>
      <c r="DB118" s="392"/>
      <c r="DC118" s="392"/>
      <c r="DD118" s="392"/>
      <c r="DE118" s="392"/>
      <c r="DF118" s="392"/>
      <c r="DG118" s="392"/>
      <c r="DH118" s="392"/>
      <c r="DI118" s="392"/>
      <c r="DJ118" s="392"/>
      <c r="DK118" s="392"/>
      <c r="DL118" s="392"/>
      <c r="DM118" s="392"/>
      <c r="DN118" s="392"/>
      <c r="DO118" s="392"/>
      <c r="DP118" s="392"/>
      <c r="DQ118" s="392"/>
      <c r="DR118" s="392"/>
      <c r="DS118" s="392"/>
      <c r="DT118" s="392"/>
      <c r="DU118" s="392"/>
      <c r="DV118" s="392"/>
      <c r="DW118" s="392"/>
      <c r="DX118" s="392"/>
      <c r="DY118" s="392"/>
      <c r="DZ118" s="392"/>
      <c r="EA118" s="392"/>
      <c r="EB118" s="392"/>
      <c r="EC118" s="392"/>
      <c r="ED118" s="392"/>
      <c r="EE118" s="392"/>
      <c r="EF118" s="392"/>
      <c r="EG118" s="392"/>
      <c r="EH118" s="392"/>
      <c r="EI118" s="392"/>
      <c r="EJ118" s="392"/>
      <c r="EK118" s="392"/>
      <c r="EL118" s="392"/>
      <c r="EM118" s="392"/>
      <c r="EN118" s="392"/>
      <c r="EO118" s="392"/>
      <c r="EP118" s="392"/>
      <c r="EQ118" s="392"/>
      <c r="ER118" s="392"/>
      <c r="ES118" s="392"/>
      <c r="ET118" s="392"/>
      <c r="EU118" s="392"/>
      <c r="EV118" s="392"/>
      <c r="EW118" s="392"/>
      <c r="EX118" s="392"/>
      <c r="EY118" s="392"/>
      <c r="EZ118" s="392"/>
      <c r="FA118" s="392"/>
      <c r="FB118" s="392"/>
      <c r="FC118" s="392"/>
      <c r="FD118" s="392"/>
      <c r="FE118" s="392"/>
      <c r="FF118" s="392"/>
      <c r="FG118" s="392"/>
      <c r="FH118" s="392"/>
      <c r="FI118" s="392"/>
      <c r="FJ118" s="392"/>
      <c r="FK118" s="392"/>
      <c r="FL118" s="392"/>
      <c r="FM118" s="392"/>
      <c r="FN118" s="392"/>
      <c r="FO118" s="392"/>
      <c r="FP118" s="392"/>
      <c r="FQ118" s="392"/>
      <c r="FR118" s="392"/>
      <c r="FS118" s="392"/>
      <c r="FT118" s="392"/>
      <c r="FU118" s="392"/>
      <c r="FV118" s="392"/>
      <c r="FW118" s="392"/>
      <c r="FX118" s="392"/>
      <c r="FY118" s="392"/>
      <c r="FZ118" s="392"/>
      <c r="GA118" s="392"/>
      <c r="GB118" s="392"/>
      <c r="GC118" s="392"/>
      <c r="GD118" s="392"/>
      <c r="GE118" s="392"/>
      <c r="GF118" s="392"/>
      <c r="GG118" s="392"/>
      <c r="GH118" s="392"/>
      <c r="GI118" s="392"/>
      <c r="GJ118" s="392"/>
      <c r="GK118" s="392"/>
      <c r="GL118" s="392"/>
      <c r="GM118" s="392"/>
      <c r="GN118" s="392"/>
      <c r="GO118" s="392"/>
      <c r="GP118" s="392"/>
      <c r="GQ118" s="392"/>
      <c r="GR118" s="392"/>
      <c r="GS118" s="392"/>
      <c r="GT118" s="392"/>
      <c r="GU118" s="392"/>
      <c r="GV118" s="392"/>
      <c r="GW118" s="392"/>
      <c r="GX118" s="392"/>
      <c r="GY118" s="392"/>
      <c r="GZ118" s="392"/>
      <c r="HA118" s="392"/>
      <c r="HB118" s="392"/>
      <c r="HC118" s="392"/>
      <c r="HD118" s="392"/>
      <c r="HE118" s="392"/>
      <c r="HF118" s="392"/>
      <c r="HG118" s="392"/>
      <c r="HH118" s="392"/>
      <c r="HI118" s="392"/>
      <c r="HJ118" s="392"/>
      <c r="HK118" s="392"/>
      <c r="HL118" s="392"/>
      <c r="HM118" s="392"/>
      <c r="HN118" s="392"/>
      <c r="HO118" s="392"/>
      <c r="HP118" s="392"/>
      <c r="HQ118" s="392"/>
      <c r="HR118" s="392"/>
      <c r="HS118" s="392"/>
      <c r="HT118" s="392"/>
      <c r="HU118" s="392"/>
      <c r="HV118" s="392"/>
      <c r="HW118" s="392"/>
      <c r="HX118" s="392"/>
      <c r="HY118" s="392"/>
      <c r="HZ118" s="392"/>
      <c r="IA118" s="392"/>
      <c r="IB118" s="392"/>
      <c r="IC118" s="392"/>
      <c r="ID118" s="392"/>
      <c r="IE118" s="392"/>
      <c r="IF118" s="392"/>
      <c r="IG118" s="392"/>
      <c r="IH118" s="392"/>
      <c r="II118" s="392"/>
      <c r="IJ118" s="392"/>
      <c r="IK118" s="392"/>
      <c r="IL118" s="392"/>
      <c r="IM118" s="392"/>
      <c r="IN118" s="392"/>
      <c r="IO118" s="392"/>
      <c r="IP118" s="392"/>
      <c r="IQ118" s="392"/>
      <c r="IR118" s="392"/>
      <c r="IS118" s="392"/>
      <c r="IT118" s="392"/>
      <c r="IU118" s="392"/>
      <c r="IV118" s="392"/>
    </row>
    <row r="119" spans="1:256" ht="31.5">
      <c r="A119" s="392"/>
      <c r="B119" s="366" t="s">
        <v>1708</v>
      </c>
      <c r="C119" s="582" t="s">
        <v>161</v>
      </c>
      <c r="D119" s="582" t="s">
        <v>22</v>
      </c>
      <c r="E119" s="2330" t="s">
        <v>162</v>
      </c>
      <c r="F119" s="2331"/>
      <c r="G119" s="233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K119" s="392"/>
      <c r="AL119" s="392"/>
      <c r="AM119" s="392"/>
      <c r="AN119" s="392"/>
      <c r="AO119" s="392"/>
      <c r="AP119" s="392"/>
      <c r="AQ119" s="392"/>
      <c r="AR119" s="392"/>
      <c r="AS119" s="392"/>
      <c r="AT119" s="392"/>
      <c r="AU119" s="392"/>
      <c r="AV119" s="392"/>
      <c r="AW119" s="392"/>
      <c r="AX119" s="392"/>
      <c r="AY119" s="392"/>
      <c r="AZ119" s="392"/>
      <c r="BA119" s="392"/>
      <c r="BB119" s="392"/>
      <c r="BC119" s="392"/>
      <c r="BD119" s="392"/>
      <c r="BE119" s="392"/>
      <c r="BF119" s="392"/>
      <c r="BG119" s="392"/>
      <c r="BH119" s="392"/>
      <c r="BI119" s="392"/>
      <c r="BJ119" s="392"/>
      <c r="BK119" s="392"/>
      <c r="BL119" s="392"/>
      <c r="BM119" s="392"/>
      <c r="BN119" s="392"/>
      <c r="BO119" s="392"/>
      <c r="BP119" s="392"/>
      <c r="BQ119" s="392"/>
      <c r="BR119" s="392"/>
      <c r="BS119" s="392"/>
      <c r="BT119" s="392"/>
      <c r="BU119" s="392"/>
      <c r="BV119" s="392"/>
      <c r="BW119" s="392"/>
      <c r="BX119" s="392"/>
      <c r="BY119" s="392"/>
      <c r="BZ119" s="392"/>
      <c r="CA119" s="392"/>
      <c r="CB119" s="392"/>
      <c r="CC119" s="392"/>
      <c r="CD119" s="392"/>
      <c r="CE119" s="392"/>
      <c r="CF119" s="392"/>
      <c r="CG119" s="392"/>
      <c r="CH119" s="392"/>
      <c r="CI119" s="392"/>
      <c r="CJ119" s="392"/>
      <c r="CK119" s="392"/>
      <c r="CL119" s="392"/>
      <c r="CM119" s="392"/>
      <c r="CN119" s="392"/>
      <c r="CO119" s="392"/>
      <c r="CP119" s="392"/>
      <c r="CQ119" s="392"/>
      <c r="CR119" s="392"/>
      <c r="CS119" s="392"/>
      <c r="CT119" s="392"/>
      <c r="CU119" s="392"/>
      <c r="CV119" s="392"/>
      <c r="CW119" s="392"/>
      <c r="CX119" s="392"/>
      <c r="CY119" s="392"/>
      <c r="CZ119" s="392"/>
      <c r="DA119" s="392"/>
      <c r="DB119" s="392"/>
      <c r="DC119" s="392"/>
      <c r="DD119" s="392"/>
      <c r="DE119" s="392"/>
      <c r="DF119" s="392"/>
      <c r="DG119" s="392"/>
      <c r="DH119" s="392"/>
      <c r="DI119" s="392"/>
      <c r="DJ119" s="392"/>
      <c r="DK119" s="392"/>
      <c r="DL119" s="392"/>
      <c r="DM119" s="392"/>
      <c r="DN119" s="392"/>
      <c r="DO119" s="392"/>
      <c r="DP119" s="392"/>
      <c r="DQ119" s="392"/>
      <c r="DR119" s="392"/>
      <c r="DS119" s="392"/>
      <c r="DT119" s="392"/>
      <c r="DU119" s="392"/>
      <c r="DV119" s="392"/>
      <c r="DW119" s="392"/>
      <c r="DX119" s="392"/>
      <c r="DY119" s="392"/>
      <c r="DZ119" s="392"/>
      <c r="EA119" s="392"/>
      <c r="EB119" s="392"/>
      <c r="EC119" s="392"/>
      <c r="ED119" s="392"/>
      <c r="EE119" s="392"/>
      <c r="EF119" s="392"/>
      <c r="EG119" s="392"/>
      <c r="EH119" s="392"/>
      <c r="EI119" s="392"/>
      <c r="EJ119" s="392"/>
      <c r="EK119" s="392"/>
      <c r="EL119" s="392"/>
      <c r="EM119" s="392"/>
      <c r="EN119" s="392"/>
      <c r="EO119" s="392"/>
      <c r="EP119" s="392"/>
      <c r="EQ119" s="392"/>
      <c r="ER119" s="392"/>
      <c r="ES119" s="392"/>
      <c r="ET119" s="392"/>
      <c r="EU119" s="392"/>
      <c r="EV119" s="392"/>
      <c r="EW119" s="392"/>
      <c r="EX119" s="392"/>
      <c r="EY119" s="392"/>
      <c r="EZ119" s="392"/>
      <c r="FA119" s="392"/>
      <c r="FB119" s="392"/>
      <c r="FC119" s="392"/>
      <c r="FD119" s="392"/>
      <c r="FE119" s="392"/>
      <c r="FF119" s="392"/>
      <c r="FG119" s="392"/>
      <c r="FH119" s="392"/>
      <c r="FI119" s="392"/>
      <c r="FJ119" s="392"/>
      <c r="FK119" s="392"/>
      <c r="FL119" s="392"/>
      <c r="FM119" s="392"/>
      <c r="FN119" s="392"/>
      <c r="FO119" s="392"/>
      <c r="FP119" s="392"/>
      <c r="FQ119" s="392"/>
      <c r="FR119" s="392"/>
      <c r="FS119" s="392"/>
      <c r="FT119" s="392"/>
      <c r="FU119" s="392"/>
      <c r="FV119" s="392"/>
      <c r="FW119" s="392"/>
      <c r="FX119" s="392"/>
      <c r="FY119" s="392"/>
      <c r="FZ119" s="392"/>
      <c r="GA119" s="392"/>
      <c r="GB119" s="392"/>
      <c r="GC119" s="392"/>
      <c r="GD119" s="392"/>
      <c r="GE119" s="392"/>
      <c r="GF119" s="392"/>
      <c r="GG119" s="392"/>
      <c r="GH119" s="392"/>
      <c r="GI119" s="392"/>
      <c r="GJ119" s="392"/>
      <c r="GK119" s="392"/>
      <c r="GL119" s="392"/>
      <c r="GM119" s="392"/>
      <c r="GN119" s="392"/>
      <c r="GO119" s="392"/>
      <c r="GP119" s="392"/>
      <c r="GQ119" s="392"/>
      <c r="GR119" s="392"/>
      <c r="GS119" s="392"/>
      <c r="GT119" s="392"/>
      <c r="GU119" s="392"/>
      <c r="GV119" s="392"/>
      <c r="GW119" s="392"/>
      <c r="GX119" s="392"/>
      <c r="GY119" s="392"/>
      <c r="GZ119" s="392"/>
      <c r="HA119" s="392"/>
      <c r="HB119" s="392"/>
      <c r="HC119" s="392"/>
      <c r="HD119" s="392"/>
      <c r="HE119" s="392"/>
      <c r="HF119" s="392"/>
      <c r="HG119" s="392"/>
      <c r="HH119" s="392"/>
      <c r="HI119" s="392"/>
      <c r="HJ119" s="392"/>
      <c r="HK119" s="392"/>
      <c r="HL119" s="392"/>
      <c r="HM119" s="392"/>
      <c r="HN119" s="392"/>
      <c r="HO119" s="392"/>
      <c r="HP119" s="392"/>
      <c r="HQ119" s="392"/>
      <c r="HR119" s="392"/>
      <c r="HS119" s="392"/>
      <c r="HT119" s="392"/>
      <c r="HU119" s="392"/>
      <c r="HV119" s="392"/>
      <c r="HW119" s="392"/>
      <c r="HX119" s="392"/>
      <c r="HY119" s="392"/>
      <c r="HZ119" s="392"/>
      <c r="IA119" s="392"/>
      <c r="IB119" s="392"/>
      <c r="IC119" s="392"/>
      <c r="ID119" s="392"/>
      <c r="IE119" s="392"/>
      <c r="IF119" s="392"/>
      <c r="IG119" s="392"/>
      <c r="IH119" s="392"/>
      <c r="II119" s="392"/>
      <c r="IJ119" s="392"/>
      <c r="IK119" s="392"/>
      <c r="IL119" s="392"/>
      <c r="IM119" s="392"/>
      <c r="IN119" s="392"/>
      <c r="IO119" s="392"/>
      <c r="IP119" s="392"/>
      <c r="IQ119" s="392"/>
      <c r="IR119" s="392"/>
      <c r="IS119" s="392"/>
      <c r="IT119" s="392"/>
      <c r="IU119" s="392"/>
      <c r="IV119" s="392"/>
    </row>
    <row r="120" spans="1:256" ht="15.75">
      <c r="A120" s="392"/>
      <c r="B120" s="2333" t="s">
        <v>165</v>
      </c>
      <c r="C120" s="2334"/>
      <c r="D120" s="2334"/>
      <c r="E120" s="2334"/>
      <c r="F120" s="2334"/>
      <c r="G120" s="2335"/>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2"/>
      <c r="AR120" s="392"/>
      <c r="AS120" s="392"/>
      <c r="AT120" s="392"/>
      <c r="AU120" s="392"/>
      <c r="AV120" s="392"/>
      <c r="AW120" s="392"/>
      <c r="AX120" s="392"/>
      <c r="AY120" s="392"/>
      <c r="AZ120" s="392"/>
      <c r="BA120" s="392"/>
      <c r="BB120" s="392"/>
      <c r="BC120" s="392"/>
      <c r="BD120" s="392"/>
      <c r="BE120" s="392"/>
      <c r="BF120" s="392"/>
      <c r="BG120" s="392"/>
      <c r="BH120" s="392"/>
      <c r="BI120" s="392"/>
      <c r="BJ120" s="392"/>
      <c r="BK120" s="392"/>
      <c r="BL120" s="392"/>
      <c r="BM120" s="392"/>
      <c r="BN120" s="392"/>
      <c r="BO120" s="392"/>
      <c r="BP120" s="392"/>
      <c r="BQ120" s="392"/>
      <c r="BR120" s="392"/>
      <c r="BS120" s="392"/>
      <c r="BT120" s="392"/>
      <c r="BU120" s="392"/>
      <c r="BV120" s="392"/>
      <c r="BW120" s="392"/>
      <c r="BX120" s="392"/>
      <c r="BY120" s="392"/>
      <c r="BZ120" s="392"/>
      <c r="CA120" s="392"/>
      <c r="CB120" s="392"/>
      <c r="CC120" s="392"/>
      <c r="CD120" s="392"/>
      <c r="CE120" s="392"/>
      <c r="CF120" s="392"/>
      <c r="CG120" s="392"/>
      <c r="CH120" s="392"/>
      <c r="CI120" s="392"/>
      <c r="CJ120" s="392"/>
      <c r="CK120" s="392"/>
      <c r="CL120" s="392"/>
      <c r="CM120" s="392"/>
      <c r="CN120" s="392"/>
      <c r="CO120" s="392"/>
      <c r="CP120" s="392"/>
      <c r="CQ120" s="392"/>
      <c r="CR120" s="392"/>
      <c r="CS120" s="392"/>
      <c r="CT120" s="392"/>
      <c r="CU120" s="392"/>
      <c r="CV120" s="392"/>
      <c r="CW120" s="392"/>
      <c r="CX120" s="392"/>
      <c r="CY120" s="392"/>
      <c r="CZ120" s="392"/>
      <c r="DA120" s="392"/>
      <c r="DB120" s="392"/>
      <c r="DC120" s="392"/>
      <c r="DD120" s="392"/>
      <c r="DE120" s="392"/>
      <c r="DF120" s="392"/>
      <c r="DG120" s="392"/>
      <c r="DH120" s="392"/>
      <c r="DI120" s="392"/>
      <c r="DJ120" s="392"/>
      <c r="DK120" s="392"/>
      <c r="DL120" s="392"/>
      <c r="DM120" s="392"/>
      <c r="DN120" s="392"/>
      <c r="DO120" s="392"/>
      <c r="DP120" s="392"/>
      <c r="DQ120" s="392"/>
      <c r="DR120" s="392"/>
      <c r="DS120" s="392"/>
      <c r="DT120" s="392"/>
      <c r="DU120" s="392"/>
      <c r="DV120" s="392"/>
      <c r="DW120" s="392"/>
      <c r="DX120" s="392"/>
      <c r="DY120" s="392"/>
      <c r="DZ120" s="392"/>
      <c r="EA120" s="392"/>
      <c r="EB120" s="392"/>
      <c r="EC120" s="392"/>
      <c r="ED120" s="392"/>
      <c r="EE120" s="392"/>
      <c r="EF120" s="392"/>
      <c r="EG120" s="392"/>
      <c r="EH120" s="392"/>
      <c r="EI120" s="392"/>
      <c r="EJ120" s="392"/>
      <c r="EK120" s="392"/>
      <c r="EL120" s="392"/>
      <c r="EM120" s="392"/>
      <c r="EN120" s="392"/>
      <c r="EO120" s="392"/>
      <c r="EP120" s="392"/>
      <c r="EQ120" s="392"/>
      <c r="ER120" s="392"/>
      <c r="ES120" s="392"/>
      <c r="ET120" s="392"/>
      <c r="EU120" s="392"/>
      <c r="EV120" s="392"/>
      <c r="EW120" s="392"/>
      <c r="EX120" s="392"/>
      <c r="EY120" s="392"/>
      <c r="EZ120" s="392"/>
      <c r="FA120" s="392"/>
      <c r="FB120" s="392"/>
      <c r="FC120" s="392"/>
      <c r="FD120" s="392"/>
      <c r="FE120" s="392"/>
      <c r="FF120" s="392"/>
      <c r="FG120" s="392"/>
      <c r="FH120" s="392"/>
      <c r="FI120" s="392"/>
      <c r="FJ120" s="392"/>
      <c r="FK120" s="392"/>
      <c r="FL120" s="392"/>
      <c r="FM120" s="392"/>
      <c r="FN120" s="392"/>
      <c r="FO120" s="392"/>
      <c r="FP120" s="392"/>
      <c r="FQ120" s="392"/>
      <c r="FR120" s="392"/>
      <c r="FS120" s="392"/>
      <c r="FT120" s="392"/>
      <c r="FU120" s="392"/>
      <c r="FV120" s="392"/>
      <c r="FW120" s="392"/>
      <c r="FX120" s="392"/>
      <c r="FY120" s="392"/>
      <c r="FZ120" s="392"/>
      <c r="GA120" s="392"/>
      <c r="GB120" s="392"/>
      <c r="GC120" s="392"/>
      <c r="GD120" s="392"/>
      <c r="GE120" s="392"/>
      <c r="GF120" s="392"/>
      <c r="GG120" s="392"/>
      <c r="GH120" s="392"/>
      <c r="GI120" s="392"/>
      <c r="GJ120" s="392"/>
      <c r="GK120" s="392"/>
      <c r="GL120" s="392"/>
      <c r="GM120" s="392"/>
      <c r="GN120" s="392"/>
      <c r="GO120" s="392"/>
      <c r="GP120" s="392"/>
      <c r="GQ120" s="392"/>
      <c r="GR120" s="392"/>
      <c r="GS120" s="392"/>
      <c r="GT120" s="392"/>
      <c r="GU120" s="392"/>
      <c r="GV120" s="392"/>
      <c r="GW120" s="392"/>
      <c r="GX120" s="392"/>
      <c r="GY120" s="392"/>
      <c r="GZ120" s="392"/>
      <c r="HA120" s="392"/>
      <c r="HB120" s="392"/>
      <c r="HC120" s="392"/>
      <c r="HD120" s="392"/>
      <c r="HE120" s="392"/>
      <c r="HF120" s="392"/>
      <c r="HG120" s="392"/>
      <c r="HH120" s="392"/>
      <c r="HI120" s="392"/>
      <c r="HJ120" s="392"/>
      <c r="HK120" s="392"/>
      <c r="HL120" s="392"/>
      <c r="HM120" s="392"/>
      <c r="HN120" s="392"/>
      <c r="HO120" s="392"/>
      <c r="HP120" s="392"/>
      <c r="HQ120" s="392"/>
      <c r="HR120" s="392"/>
      <c r="HS120" s="392"/>
      <c r="HT120" s="392"/>
      <c r="HU120" s="392"/>
      <c r="HV120" s="392"/>
      <c r="HW120" s="392"/>
      <c r="HX120" s="392"/>
      <c r="HY120" s="392"/>
      <c r="HZ120" s="392"/>
      <c r="IA120" s="392"/>
      <c r="IB120" s="392"/>
      <c r="IC120" s="392"/>
      <c r="ID120" s="392"/>
      <c r="IE120" s="392"/>
      <c r="IF120" s="392"/>
      <c r="IG120" s="392"/>
      <c r="IH120" s="392"/>
      <c r="II120" s="392"/>
      <c r="IJ120" s="392"/>
      <c r="IK120" s="392"/>
      <c r="IL120" s="392"/>
      <c r="IM120" s="392"/>
      <c r="IN120" s="392"/>
      <c r="IO120" s="392"/>
      <c r="IP120" s="392"/>
      <c r="IQ120" s="392"/>
      <c r="IR120" s="392"/>
      <c r="IS120" s="392"/>
      <c r="IT120" s="392"/>
      <c r="IU120" s="392"/>
      <c r="IV120" s="392"/>
    </row>
    <row r="121" spans="1:256" ht="15">
      <c r="A121" s="392"/>
      <c r="B121" s="2318" t="str">
        <f>C112</f>
        <v>ESCAVAÇÃO MANUAL DE VALA COM PROFUNDIDADE MENOR OU IGUAL A 1,30 M. AF_02/2021</v>
      </c>
      <c r="C121" s="2319"/>
      <c r="D121" s="583" t="s">
        <v>19</v>
      </c>
      <c r="E121" s="2340" t="s">
        <v>1709</v>
      </c>
      <c r="F121" s="2340"/>
      <c r="G121" s="2341"/>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392"/>
      <c r="AE121" s="392"/>
      <c r="AF121" s="392"/>
      <c r="AG121" s="392"/>
      <c r="AH121" s="392"/>
      <c r="AI121" s="392"/>
      <c r="AJ121" s="392"/>
      <c r="AK121" s="392"/>
      <c r="AL121" s="392"/>
      <c r="AM121" s="392"/>
      <c r="AN121" s="392"/>
      <c r="AO121" s="392"/>
      <c r="AP121" s="392"/>
      <c r="AQ121" s="392"/>
      <c r="AR121" s="392"/>
      <c r="AS121" s="392"/>
      <c r="AT121" s="392"/>
      <c r="AU121" s="392"/>
      <c r="AV121" s="392"/>
      <c r="AW121" s="392"/>
      <c r="AX121" s="392"/>
      <c r="AY121" s="392"/>
      <c r="AZ121" s="392"/>
      <c r="BA121" s="392"/>
      <c r="BB121" s="392"/>
      <c r="BC121" s="392"/>
      <c r="BD121" s="392"/>
      <c r="BE121" s="392"/>
      <c r="BF121" s="392"/>
      <c r="BG121" s="392"/>
      <c r="BH121" s="392"/>
      <c r="BI121" s="392"/>
      <c r="BJ121" s="392"/>
      <c r="BK121" s="392"/>
      <c r="BL121" s="392"/>
      <c r="BM121" s="392"/>
      <c r="BN121" s="392"/>
      <c r="BO121" s="392"/>
      <c r="BP121" s="392"/>
      <c r="BQ121" s="392"/>
      <c r="BR121" s="392"/>
      <c r="BS121" s="392"/>
      <c r="BT121" s="392"/>
      <c r="BU121" s="392"/>
      <c r="BV121" s="392"/>
      <c r="BW121" s="392"/>
      <c r="BX121" s="392"/>
      <c r="BY121" s="392"/>
      <c r="BZ121" s="392"/>
      <c r="CA121" s="392"/>
      <c r="CB121" s="392"/>
      <c r="CC121" s="392"/>
      <c r="CD121" s="392"/>
      <c r="CE121" s="392"/>
      <c r="CF121" s="392"/>
      <c r="CG121" s="392"/>
      <c r="CH121" s="392"/>
      <c r="CI121" s="392"/>
      <c r="CJ121" s="392"/>
      <c r="CK121" s="392"/>
      <c r="CL121" s="392"/>
      <c r="CM121" s="392"/>
      <c r="CN121" s="392"/>
      <c r="CO121" s="392"/>
      <c r="CP121" s="392"/>
      <c r="CQ121" s="392"/>
      <c r="CR121" s="392"/>
      <c r="CS121" s="392"/>
      <c r="CT121" s="392"/>
      <c r="CU121" s="392"/>
      <c r="CV121" s="392"/>
      <c r="CW121" s="392"/>
      <c r="CX121" s="392"/>
      <c r="CY121" s="392"/>
      <c r="CZ121" s="392"/>
      <c r="DA121" s="392"/>
      <c r="DB121" s="392"/>
      <c r="DC121" s="392"/>
      <c r="DD121" s="392"/>
      <c r="DE121" s="392"/>
      <c r="DF121" s="392"/>
      <c r="DG121" s="392"/>
      <c r="DH121" s="392"/>
      <c r="DI121" s="392"/>
      <c r="DJ121" s="392"/>
      <c r="DK121" s="392"/>
      <c r="DL121" s="392"/>
      <c r="DM121" s="392"/>
      <c r="DN121" s="392"/>
      <c r="DO121" s="392"/>
      <c r="DP121" s="392"/>
      <c r="DQ121" s="392"/>
      <c r="DR121" s="392"/>
      <c r="DS121" s="392"/>
      <c r="DT121" s="392"/>
      <c r="DU121" s="392"/>
      <c r="DV121" s="392"/>
      <c r="DW121" s="392"/>
      <c r="DX121" s="392"/>
      <c r="DY121" s="392"/>
      <c r="DZ121" s="392"/>
      <c r="EA121" s="392"/>
      <c r="EB121" s="392"/>
      <c r="EC121" s="392"/>
      <c r="ED121" s="392"/>
      <c r="EE121" s="392"/>
      <c r="EF121" s="392"/>
      <c r="EG121" s="392"/>
      <c r="EH121" s="392"/>
      <c r="EI121" s="392"/>
      <c r="EJ121" s="392"/>
      <c r="EK121" s="392"/>
      <c r="EL121" s="392"/>
      <c r="EM121" s="392"/>
      <c r="EN121" s="392"/>
      <c r="EO121" s="392"/>
      <c r="EP121" s="392"/>
      <c r="EQ121" s="392"/>
      <c r="ER121" s="392"/>
      <c r="ES121" s="392"/>
      <c r="ET121" s="392"/>
      <c r="EU121" s="392"/>
      <c r="EV121" s="392"/>
      <c r="EW121" s="392"/>
      <c r="EX121" s="392"/>
      <c r="EY121" s="392"/>
      <c r="EZ121" s="392"/>
      <c r="FA121" s="392"/>
      <c r="FB121" s="392"/>
      <c r="FC121" s="392"/>
      <c r="FD121" s="392"/>
      <c r="FE121" s="392"/>
      <c r="FF121" s="392"/>
      <c r="FG121" s="392"/>
      <c r="FH121" s="392"/>
      <c r="FI121" s="392"/>
      <c r="FJ121" s="392"/>
      <c r="FK121" s="392"/>
      <c r="FL121" s="392"/>
      <c r="FM121" s="392"/>
      <c r="FN121" s="392"/>
      <c r="FO121" s="392"/>
      <c r="FP121" s="392"/>
      <c r="FQ121" s="392"/>
      <c r="FR121" s="392"/>
      <c r="FS121" s="392"/>
      <c r="FT121" s="392"/>
      <c r="FU121" s="392"/>
      <c r="FV121" s="392"/>
      <c r="FW121" s="392"/>
      <c r="FX121" s="392"/>
      <c r="FY121" s="392"/>
      <c r="FZ121" s="392"/>
      <c r="GA121" s="392"/>
      <c r="GB121" s="392"/>
      <c r="GC121" s="392"/>
      <c r="GD121" s="392"/>
      <c r="GE121" s="392"/>
      <c r="GF121" s="392"/>
      <c r="GG121" s="392"/>
      <c r="GH121" s="392"/>
      <c r="GI121" s="392"/>
      <c r="GJ121" s="392"/>
      <c r="GK121" s="392"/>
      <c r="GL121" s="392"/>
      <c r="GM121" s="392"/>
      <c r="GN121" s="392"/>
      <c r="GO121" s="392"/>
      <c r="GP121" s="392"/>
      <c r="GQ121" s="392"/>
      <c r="GR121" s="392"/>
      <c r="GS121" s="392"/>
      <c r="GT121" s="392"/>
      <c r="GU121" s="392"/>
      <c r="GV121" s="392"/>
      <c r="GW121" s="392"/>
      <c r="GX121" s="392"/>
      <c r="GY121" s="392"/>
      <c r="GZ121" s="392"/>
      <c r="HA121" s="392"/>
      <c r="HB121" s="392"/>
      <c r="HC121" s="392"/>
      <c r="HD121" s="392"/>
      <c r="HE121" s="392"/>
      <c r="HF121" s="392"/>
      <c r="HG121" s="392"/>
      <c r="HH121" s="392"/>
      <c r="HI121" s="392"/>
      <c r="HJ121" s="392"/>
      <c r="HK121" s="392"/>
      <c r="HL121" s="392"/>
      <c r="HM121" s="392"/>
      <c r="HN121" s="392"/>
      <c r="HO121" s="392"/>
      <c r="HP121" s="392"/>
      <c r="HQ121" s="392"/>
      <c r="HR121" s="392"/>
      <c r="HS121" s="392"/>
      <c r="HT121" s="392"/>
      <c r="HU121" s="392"/>
      <c r="HV121" s="392"/>
      <c r="HW121" s="392"/>
      <c r="HX121" s="392"/>
      <c r="HY121" s="392"/>
      <c r="HZ121" s="392"/>
      <c r="IA121" s="392"/>
      <c r="IB121" s="392"/>
      <c r="IC121" s="392"/>
      <c r="ID121" s="392"/>
      <c r="IE121" s="392"/>
      <c r="IF121" s="392"/>
      <c r="IG121" s="392"/>
      <c r="IH121" s="392"/>
      <c r="II121" s="392"/>
      <c r="IJ121" s="392"/>
      <c r="IK121" s="392"/>
      <c r="IL121" s="392"/>
      <c r="IM121" s="392"/>
      <c r="IN121" s="392"/>
      <c r="IO121" s="392"/>
      <c r="IP121" s="392"/>
      <c r="IQ121" s="392"/>
      <c r="IR121" s="392"/>
      <c r="IS121" s="392"/>
      <c r="IT121" s="392"/>
      <c r="IU121" s="392"/>
      <c r="IV121" s="392"/>
    </row>
    <row r="122" spans="1:256" ht="36" customHeight="1">
      <c r="A122" s="392"/>
      <c r="B122" s="2318" t="str">
        <f>C113</f>
        <v>CONCRETO FCK = 25MPA, TRAÇO 1:2,3:2,7 (EM MASSA SECA DE CIMENTO/ AREIA MÉDIA/ BRITA 1) - PREPARO MECÂNICO COM BETONEIRA 400 L. AF_05/2021</v>
      </c>
      <c r="C122" s="2319"/>
      <c r="D122" s="322" t="s">
        <v>19</v>
      </c>
      <c r="E122" s="2320" t="str">
        <f>E121</f>
        <v>(0,8*0,4*0,4)</v>
      </c>
      <c r="F122" s="2320"/>
      <c r="G122" s="2321"/>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392"/>
      <c r="AE122" s="392"/>
      <c r="AF122" s="392"/>
      <c r="AG122" s="392"/>
      <c r="AH122" s="392"/>
      <c r="AI122" s="392"/>
      <c r="AJ122" s="392"/>
      <c r="AK122" s="392"/>
      <c r="AL122" s="392"/>
      <c r="AM122" s="392"/>
      <c r="AN122" s="392"/>
      <c r="AO122" s="392"/>
      <c r="AP122" s="392"/>
      <c r="AQ122" s="392"/>
      <c r="AR122" s="392"/>
      <c r="AS122" s="392"/>
      <c r="AT122" s="392"/>
      <c r="AU122" s="392"/>
      <c r="AV122" s="392"/>
      <c r="AW122" s="392"/>
      <c r="AX122" s="392"/>
      <c r="AY122" s="392"/>
      <c r="AZ122" s="392"/>
      <c r="BA122" s="392"/>
      <c r="BB122" s="392"/>
      <c r="BC122" s="392"/>
      <c r="BD122" s="392"/>
      <c r="BE122" s="392"/>
      <c r="BF122" s="392"/>
      <c r="BG122" s="392"/>
      <c r="BH122" s="392"/>
      <c r="BI122" s="392"/>
      <c r="BJ122" s="392"/>
      <c r="BK122" s="392"/>
      <c r="BL122" s="392"/>
      <c r="BM122" s="392"/>
      <c r="BN122" s="392"/>
      <c r="BO122" s="392"/>
      <c r="BP122" s="392"/>
      <c r="BQ122" s="392"/>
      <c r="BR122" s="392"/>
      <c r="BS122" s="392"/>
      <c r="BT122" s="392"/>
      <c r="BU122" s="392"/>
      <c r="BV122" s="392"/>
      <c r="BW122" s="392"/>
      <c r="BX122" s="392"/>
      <c r="BY122" s="392"/>
      <c r="BZ122" s="392"/>
      <c r="CA122" s="392"/>
      <c r="CB122" s="392"/>
      <c r="CC122" s="392"/>
      <c r="CD122" s="392"/>
      <c r="CE122" s="392"/>
      <c r="CF122" s="392"/>
      <c r="CG122" s="392"/>
      <c r="CH122" s="392"/>
      <c r="CI122" s="39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c r="DD122" s="392"/>
      <c r="DE122" s="392"/>
      <c r="DF122" s="392"/>
      <c r="DG122" s="392"/>
      <c r="DH122" s="392"/>
      <c r="DI122" s="392"/>
      <c r="DJ122" s="392"/>
      <c r="DK122" s="392"/>
      <c r="DL122" s="392"/>
      <c r="DM122" s="392"/>
      <c r="DN122" s="392"/>
      <c r="DO122" s="392"/>
      <c r="DP122" s="392"/>
      <c r="DQ122" s="392"/>
      <c r="DR122" s="392"/>
      <c r="DS122" s="392"/>
      <c r="DT122" s="392"/>
      <c r="DU122" s="392"/>
      <c r="DV122" s="392"/>
      <c r="DW122" s="392"/>
      <c r="DX122" s="392"/>
      <c r="DY122" s="392"/>
      <c r="DZ122" s="392"/>
      <c r="EA122" s="392"/>
      <c r="EB122" s="392"/>
      <c r="EC122" s="392"/>
      <c r="ED122" s="392"/>
      <c r="EE122" s="392"/>
      <c r="EF122" s="392"/>
      <c r="EG122" s="392"/>
      <c r="EH122" s="392"/>
      <c r="EI122" s="392"/>
      <c r="EJ122" s="392"/>
      <c r="EK122" s="392"/>
      <c r="EL122" s="392"/>
      <c r="EM122" s="392"/>
      <c r="EN122" s="392"/>
      <c r="EO122" s="392"/>
      <c r="EP122" s="392"/>
      <c r="EQ122" s="392"/>
      <c r="ER122" s="392"/>
      <c r="ES122" s="392"/>
      <c r="ET122" s="392"/>
      <c r="EU122" s="392"/>
      <c r="EV122" s="392"/>
      <c r="EW122" s="392"/>
      <c r="EX122" s="392"/>
      <c r="EY122" s="392"/>
      <c r="EZ122" s="392"/>
      <c r="FA122" s="392"/>
      <c r="FB122" s="392"/>
      <c r="FC122" s="392"/>
      <c r="FD122" s="392"/>
      <c r="FE122" s="392"/>
      <c r="FF122" s="392"/>
      <c r="FG122" s="392"/>
      <c r="FH122" s="392"/>
      <c r="FI122" s="392"/>
      <c r="FJ122" s="392"/>
      <c r="FK122" s="392"/>
      <c r="FL122" s="392"/>
      <c r="FM122" s="392"/>
      <c r="FN122" s="392"/>
      <c r="FO122" s="392"/>
      <c r="FP122" s="392"/>
      <c r="FQ122" s="392"/>
      <c r="FR122" s="392"/>
      <c r="FS122" s="392"/>
      <c r="FT122" s="392"/>
      <c r="FU122" s="392"/>
      <c r="FV122" s="392"/>
      <c r="FW122" s="392"/>
      <c r="FX122" s="392"/>
      <c r="FY122" s="392"/>
      <c r="FZ122" s="392"/>
      <c r="GA122" s="392"/>
      <c r="GB122" s="392"/>
      <c r="GC122" s="392"/>
      <c r="GD122" s="392"/>
      <c r="GE122" s="392"/>
      <c r="GF122" s="392"/>
      <c r="GG122" s="392"/>
      <c r="GH122" s="392"/>
      <c r="GI122" s="392"/>
      <c r="GJ122" s="392"/>
      <c r="GK122" s="392"/>
      <c r="GL122" s="392"/>
      <c r="GM122" s="392"/>
      <c r="GN122" s="392"/>
      <c r="GO122" s="392"/>
      <c r="GP122" s="392"/>
      <c r="GQ122" s="392"/>
      <c r="GR122" s="392"/>
      <c r="GS122" s="392"/>
      <c r="GT122" s="392"/>
      <c r="GU122" s="392"/>
      <c r="GV122" s="392"/>
      <c r="GW122" s="392"/>
      <c r="GX122" s="392"/>
      <c r="GY122" s="392"/>
      <c r="GZ122" s="392"/>
      <c r="HA122" s="392"/>
      <c r="HB122" s="392"/>
      <c r="HC122" s="392"/>
      <c r="HD122" s="392"/>
      <c r="HE122" s="392"/>
      <c r="HF122" s="392"/>
      <c r="HG122" s="392"/>
      <c r="HH122" s="392"/>
      <c r="HI122" s="392"/>
      <c r="HJ122" s="392"/>
      <c r="HK122" s="392"/>
      <c r="HL122" s="392"/>
      <c r="HM122" s="392"/>
      <c r="HN122" s="392"/>
      <c r="HO122" s="392"/>
      <c r="HP122" s="392"/>
      <c r="HQ122" s="392"/>
      <c r="HR122" s="392"/>
      <c r="HS122" s="392"/>
      <c r="HT122" s="392"/>
      <c r="HU122" s="392"/>
      <c r="HV122" s="392"/>
      <c r="HW122" s="392"/>
      <c r="HX122" s="392"/>
      <c r="HY122" s="392"/>
      <c r="HZ122" s="392"/>
      <c r="IA122" s="392"/>
      <c r="IB122" s="392"/>
      <c r="IC122" s="392"/>
      <c r="ID122" s="392"/>
      <c r="IE122" s="392"/>
      <c r="IF122" s="392"/>
      <c r="IG122" s="392"/>
      <c r="IH122" s="392"/>
      <c r="II122" s="392"/>
      <c r="IJ122" s="392"/>
      <c r="IK122" s="392"/>
      <c r="IL122" s="392"/>
      <c r="IM122" s="392"/>
      <c r="IN122" s="392"/>
      <c r="IO122" s="392"/>
      <c r="IP122" s="392"/>
      <c r="IQ122" s="392"/>
      <c r="IR122" s="392"/>
      <c r="IS122" s="392"/>
      <c r="IT122" s="392"/>
      <c r="IU122" s="392"/>
      <c r="IV122" s="392"/>
    </row>
    <row r="123" spans="1:256" ht="34.5" customHeight="1">
      <c r="A123" s="392"/>
      <c r="B123" s="2318" t="e">
        <f>C114</f>
        <v>#N/A</v>
      </c>
      <c r="C123" s="2319"/>
      <c r="D123" s="322" t="s">
        <v>19</v>
      </c>
      <c r="E123" s="2320" t="str">
        <f>E121</f>
        <v>(0,8*0,4*0,4)</v>
      </c>
      <c r="F123" s="2320"/>
      <c r="G123" s="2321"/>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c r="AG123" s="392"/>
      <c r="AH123" s="392"/>
      <c r="AI123" s="392"/>
      <c r="AJ123" s="392"/>
      <c r="AK123" s="392"/>
      <c r="AL123" s="392"/>
      <c r="AM123" s="392"/>
      <c r="AN123" s="392"/>
      <c r="AO123" s="392"/>
      <c r="AP123" s="392"/>
      <c r="AQ123" s="392"/>
      <c r="AR123" s="392"/>
      <c r="AS123" s="392"/>
      <c r="AT123" s="392"/>
      <c r="AU123" s="392"/>
      <c r="AV123" s="392"/>
      <c r="AW123" s="392"/>
      <c r="AX123" s="392"/>
      <c r="AY123" s="392"/>
      <c r="AZ123" s="392"/>
      <c r="BA123" s="392"/>
      <c r="BB123" s="392"/>
      <c r="BC123" s="392"/>
      <c r="BD123" s="392"/>
      <c r="BE123" s="392"/>
      <c r="BF123" s="392"/>
      <c r="BG123" s="392"/>
      <c r="BH123" s="392"/>
      <c r="BI123" s="392"/>
      <c r="BJ123" s="392"/>
      <c r="BK123" s="392"/>
      <c r="BL123" s="392"/>
      <c r="BM123" s="392"/>
      <c r="BN123" s="392"/>
      <c r="BO123" s="392"/>
      <c r="BP123" s="392"/>
      <c r="BQ123" s="392"/>
      <c r="BR123" s="392"/>
      <c r="BS123" s="392"/>
      <c r="BT123" s="392"/>
      <c r="BU123" s="392"/>
      <c r="BV123" s="392"/>
      <c r="BW123" s="392"/>
      <c r="BX123" s="392"/>
      <c r="BY123" s="392"/>
      <c r="BZ123" s="392"/>
      <c r="CA123" s="392"/>
      <c r="CB123" s="392"/>
      <c r="CC123" s="392"/>
      <c r="CD123" s="392"/>
      <c r="CE123" s="392"/>
      <c r="CF123" s="392"/>
      <c r="CG123" s="392"/>
      <c r="CH123" s="392"/>
      <c r="CI123" s="392"/>
      <c r="CJ123" s="392"/>
      <c r="CK123" s="392"/>
      <c r="CL123" s="392"/>
      <c r="CM123" s="392"/>
      <c r="CN123" s="392"/>
      <c r="CO123" s="392"/>
      <c r="CP123" s="392"/>
      <c r="CQ123" s="392"/>
      <c r="CR123" s="392"/>
      <c r="CS123" s="392"/>
      <c r="CT123" s="392"/>
      <c r="CU123" s="392"/>
      <c r="CV123" s="392"/>
      <c r="CW123" s="392"/>
      <c r="CX123" s="392"/>
      <c r="CY123" s="392"/>
      <c r="CZ123" s="392"/>
      <c r="DA123" s="392"/>
      <c r="DB123" s="392"/>
      <c r="DC123" s="392"/>
      <c r="DD123" s="392"/>
      <c r="DE123" s="392"/>
      <c r="DF123" s="392"/>
      <c r="DG123" s="392"/>
      <c r="DH123" s="392"/>
      <c r="DI123" s="392"/>
      <c r="DJ123" s="392"/>
      <c r="DK123" s="392"/>
      <c r="DL123" s="392"/>
      <c r="DM123" s="392"/>
      <c r="DN123" s="392"/>
      <c r="DO123" s="392"/>
      <c r="DP123" s="392"/>
      <c r="DQ123" s="392"/>
      <c r="DR123" s="392"/>
      <c r="DS123" s="392"/>
      <c r="DT123" s="392"/>
      <c r="DU123" s="392"/>
      <c r="DV123" s="392"/>
      <c r="DW123" s="392"/>
      <c r="DX123" s="392"/>
      <c r="DY123" s="392"/>
      <c r="DZ123" s="392"/>
      <c r="EA123" s="392"/>
      <c r="EB123" s="392"/>
      <c r="EC123" s="392"/>
      <c r="ED123" s="392"/>
      <c r="EE123" s="392"/>
      <c r="EF123" s="392"/>
      <c r="EG123" s="392"/>
      <c r="EH123" s="392"/>
      <c r="EI123" s="392"/>
      <c r="EJ123" s="392"/>
      <c r="EK123" s="392"/>
      <c r="EL123" s="392"/>
      <c r="EM123" s="392"/>
      <c r="EN123" s="392"/>
      <c r="EO123" s="392"/>
      <c r="EP123" s="392"/>
      <c r="EQ123" s="392"/>
      <c r="ER123" s="392"/>
      <c r="ES123" s="392"/>
      <c r="ET123" s="392"/>
      <c r="EU123" s="392"/>
      <c r="EV123" s="392"/>
      <c r="EW123" s="392"/>
      <c r="EX123" s="392"/>
      <c r="EY123" s="392"/>
      <c r="EZ123" s="392"/>
      <c r="FA123" s="392"/>
      <c r="FB123" s="392"/>
      <c r="FC123" s="392"/>
      <c r="FD123" s="392"/>
      <c r="FE123" s="392"/>
      <c r="FF123" s="392"/>
      <c r="FG123" s="392"/>
      <c r="FH123" s="392"/>
      <c r="FI123" s="392"/>
      <c r="FJ123" s="392"/>
      <c r="FK123" s="392"/>
      <c r="FL123" s="392"/>
      <c r="FM123" s="392"/>
      <c r="FN123" s="392"/>
      <c r="FO123" s="392"/>
      <c r="FP123" s="392"/>
      <c r="FQ123" s="392"/>
      <c r="FR123" s="392"/>
      <c r="FS123" s="392"/>
      <c r="FT123" s="392"/>
      <c r="FU123" s="392"/>
      <c r="FV123" s="392"/>
      <c r="FW123" s="392"/>
      <c r="FX123" s="392"/>
      <c r="FY123" s="392"/>
      <c r="FZ123" s="392"/>
      <c r="GA123" s="392"/>
      <c r="GB123" s="392"/>
      <c r="GC123" s="392"/>
      <c r="GD123" s="392"/>
      <c r="GE123" s="392"/>
      <c r="GF123" s="392"/>
      <c r="GG123" s="392"/>
      <c r="GH123" s="392"/>
      <c r="GI123" s="392"/>
      <c r="GJ123" s="392"/>
      <c r="GK123" s="392"/>
      <c r="GL123" s="392"/>
      <c r="GM123" s="392"/>
      <c r="GN123" s="392"/>
      <c r="GO123" s="392"/>
      <c r="GP123" s="392"/>
      <c r="GQ123" s="392"/>
      <c r="GR123" s="392"/>
      <c r="GS123" s="392"/>
      <c r="GT123" s="392"/>
      <c r="GU123" s="392"/>
      <c r="GV123" s="392"/>
      <c r="GW123" s="392"/>
      <c r="GX123" s="392"/>
      <c r="GY123" s="392"/>
      <c r="GZ123" s="392"/>
      <c r="HA123" s="392"/>
      <c r="HB123" s="392"/>
      <c r="HC123" s="392"/>
      <c r="HD123" s="392"/>
      <c r="HE123" s="392"/>
      <c r="HF123" s="392"/>
      <c r="HG123" s="392"/>
      <c r="HH123" s="392"/>
      <c r="HI123" s="392"/>
      <c r="HJ123" s="392"/>
      <c r="HK123" s="392"/>
      <c r="HL123" s="392"/>
      <c r="HM123" s="392"/>
      <c r="HN123" s="392"/>
      <c r="HO123" s="392"/>
      <c r="HP123" s="392"/>
      <c r="HQ123" s="392"/>
      <c r="HR123" s="392"/>
      <c r="HS123" s="392"/>
      <c r="HT123" s="392"/>
      <c r="HU123" s="392"/>
      <c r="HV123" s="392"/>
      <c r="HW123" s="392"/>
      <c r="HX123" s="392"/>
      <c r="HY123" s="392"/>
      <c r="HZ123" s="392"/>
      <c r="IA123" s="392"/>
      <c r="IB123" s="392"/>
      <c r="IC123" s="392"/>
      <c r="ID123" s="392"/>
      <c r="IE123" s="392"/>
      <c r="IF123" s="392"/>
      <c r="IG123" s="392"/>
      <c r="IH123" s="392"/>
      <c r="II123" s="392"/>
      <c r="IJ123" s="392"/>
      <c r="IK123" s="392"/>
      <c r="IL123" s="392"/>
      <c r="IM123" s="392"/>
      <c r="IN123" s="392"/>
      <c r="IO123" s="392"/>
      <c r="IP123" s="392"/>
      <c r="IQ123" s="392"/>
      <c r="IR123" s="392"/>
      <c r="IS123" s="392"/>
      <c r="IT123" s="392"/>
      <c r="IU123" s="392"/>
      <c r="IV123" s="392"/>
    </row>
    <row r="124" spans="1:256" ht="13.5" thickBot="1">
      <c r="A124" s="392"/>
      <c r="B124" s="448"/>
      <c r="C124" s="448"/>
      <c r="D124" s="448"/>
      <c r="E124" s="448"/>
      <c r="F124" s="448"/>
      <c r="G124" s="448"/>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c r="AG124" s="392"/>
      <c r="AH124" s="392"/>
      <c r="AI124" s="392"/>
      <c r="AJ124" s="392"/>
      <c r="AK124" s="392"/>
      <c r="AL124" s="392"/>
      <c r="AM124" s="392"/>
      <c r="AN124" s="392"/>
      <c r="AO124" s="392"/>
      <c r="AP124" s="392"/>
      <c r="AQ124" s="392"/>
      <c r="AR124" s="392"/>
      <c r="AS124" s="392"/>
      <c r="AT124" s="392"/>
      <c r="AU124" s="392"/>
      <c r="AV124" s="392"/>
      <c r="AW124" s="392"/>
      <c r="AX124" s="392"/>
      <c r="AY124" s="392"/>
      <c r="AZ124" s="392"/>
      <c r="BA124" s="392"/>
      <c r="BB124" s="392"/>
      <c r="BC124" s="392"/>
      <c r="BD124" s="392"/>
      <c r="BE124" s="392"/>
      <c r="BF124" s="392"/>
      <c r="BG124" s="392"/>
      <c r="BH124" s="392"/>
      <c r="BI124" s="392"/>
      <c r="BJ124" s="392"/>
      <c r="BK124" s="392"/>
      <c r="BL124" s="392"/>
      <c r="BM124" s="392"/>
      <c r="BN124" s="392"/>
      <c r="BO124" s="392"/>
      <c r="BP124" s="392"/>
      <c r="BQ124" s="392"/>
      <c r="BR124" s="392"/>
      <c r="BS124" s="392"/>
      <c r="BT124" s="392"/>
      <c r="BU124" s="392"/>
      <c r="BV124" s="392"/>
      <c r="BW124" s="392"/>
      <c r="BX124" s="392"/>
      <c r="BY124" s="392"/>
      <c r="BZ124" s="392"/>
      <c r="CA124" s="392"/>
      <c r="CB124" s="392"/>
      <c r="CC124" s="392"/>
      <c r="CD124" s="392"/>
      <c r="CE124" s="392"/>
      <c r="CF124" s="392"/>
      <c r="CG124" s="392"/>
      <c r="CH124" s="392"/>
      <c r="CI124" s="392"/>
      <c r="CJ124" s="392"/>
      <c r="CK124" s="392"/>
      <c r="CL124" s="392"/>
      <c r="CM124" s="392"/>
      <c r="CN124" s="392"/>
      <c r="CO124" s="392"/>
      <c r="CP124" s="392"/>
      <c r="CQ124" s="392"/>
      <c r="CR124" s="392"/>
      <c r="CS124" s="392"/>
      <c r="CT124" s="392"/>
      <c r="CU124" s="392"/>
      <c r="CV124" s="392"/>
      <c r="CW124" s="392"/>
      <c r="CX124" s="392"/>
      <c r="CY124" s="392"/>
      <c r="CZ124" s="392"/>
      <c r="DA124" s="392"/>
      <c r="DB124" s="392"/>
      <c r="DC124" s="392"/>
      <c r="DD124" s="392"/>
      <c r="DE124" s="392"/>
      <c r="DF124" s="392"/>
      <c r="DG124" s="392"/>
      <c r="DH124" s="392"/>
      <c r="DI124" s="392"/>
      <c r="DJ124" s="392"/>
      <c r="DK124" s="392"/>
      <c r="DL124" s="392"/>
      <c r="DM124" s="392"/>
      <c r="DN124" s="392"/>
      <c r="DO124" s="392"/>
      <c r="DP124" s="392"/>
      <c r="DQ124" s="392"/>
      <c r="DR124" s="392"/>
      <c r="DS124" s="392"/>
      <c r="DT124" s="392"/>
      <c r="DU124" s="392"/>
      <c r="DV124" s="392"/>
      <c r="DW124" s="392"/>
      <c r="DX124" s="392"/>
      <c r="DY124" s="392"/>
      <c r="DZ124" s="392"/>
      <c r="EA124" s="392"/>
      <c r="EB124" s="392"/>
      <c r="EC124" s="392"/>
      <c r="ED124" s="392"/>
      <c r="EE124" s="392"/>
      <c r="EF124" s="392"/>
      <c r="EG124" s="392"/>
      <c r="EH124" s="392"/>
      <c r="EI124" s="392"/>
      <c r="EJ124" s="392"/>
      <c r="EK124" s="392"/>
      <c r="EL124" s="392"/>
      <c r="EM124" s="392"/>
      <c r="EN124" s="392"/>
      <c r="EO124" s="392"/>
      <c r="EP124" s="392"/>
      <c r="EQ124" s="392"/>
      <c r="ER124" s="392"/>
      <c r="ES124" s="392"/>
      <c r="ET124" s="392"/>
      <c r="EU124" s="392"/>
      <c r="EV124" s="392"/>
      <c r="EW124" s="392"/>
      <c r="EX124" s="392"/>
      <c r="EY124" s="392"/>
      <c r="EZ124" s="392"/>
      <c r="FA124" s="392"/>
      <c r="FB124" s="392"/>
      <c r="FC124" s="392"/>
      <c r="FD124" s="392"/>
      <c r="FE124" s="392"/>
      <c r="FF124" s="392"/>
      <c r="FG124" s="392"/>
      <c r="FH124" s="392"/>
      <c r="FI124" s="392"/>
      <c r="FJ124" s="392"/>
      <c r="FK124" s="392"/>
      <c r="FL124" s="392"/>
      <c r="FM124" s="392"/>
      <c r="FN124" s="392"/>
      <c r="FO124" s="392"/>
      <c r="FP124" s="392"/>
      <c r="FQ124" s="392"/>
      <c r="FR124" s="392"/>
      <c r="FS124" s="392"/>
      <c r="FT124" s="392"/>
      <c r="FU124" s="392"/>
      <c r="FV124" s="392"/>
      <c r="FW124" s="392"/>
      <c r="FX124" s="392"/>
      <c r="FY124" s="392"/>
      <c r="FZ124" s="392"/>
      <c r="GA124" s="392"/>
      <c r="GB124" s="392"/>
      <c r="GC124" s="392"/>
      <c r="GD124" s="392"/>
      <c r="GE124" s="392"/>
      <c r="GF124" s="392"/>
      <c r="GG124" s="392"/>
      <c r="GH124" s="392"/>
      <c r="GI124" s="392"/>
      <c r="GJ124" s="392"/>
      <c r="GK124" s="392"/>
      <c r="GL124" s="392"/>
      <c r="GM124" s="392"/>
      <c r="GN124" s="392"/>
      <c r="GO124" s="392"/>
      <c r="GP124" s="392"/>
      <c r="GQ124" s="392"/>
      <c r="GR124" s="392"/>
      <c r="GS124" s="392"/>
      <c r="GT124" s="392"/>
      <c r="GU124" s="392"/>
      <c r="GV124" s="392"/>
      <c r="GW124" s="392"/>
      <c r="GX124" s="392"/>
      <c r="GY124" s="392"/>
      <c r="GZ124" s="392"/>
      <c r="HA124" s="392"/>
      <c r="HB124" s="392"/>
      <c r="HC124" s="392"/>
      <c r="HD124" s="392"/>
      <c r="HE124" s="392"/>
      <c r="HF124" s="392"/>
      <c r="HG124" s="392"/>
      <c r="HH124" s="392"/>
      <c r="HI124" s="392"/>
      <c r="HJ124" s="392"/>
      <c r="HK124" s="392"/>
      <c r="HL124" s="392"/>
      <c r="HM124" s="392"/>
      <c r="HN124" s="392"/>
      <c r="HO124" s="392"/>
      <c r="HP124" s="392"/>
      <c r="HQ124" s="392"/>
      <c r="HR124" s="392"/>
      <c r="HS124" s="392"/>
      <c r="HT124" s="392"/>
      <c r="HU124" s="392"/>
      <c r="HV124" s="392"/>
      <c r="HW124" s="392"/>
      <c r="HX124" s="392"/>
      <c r="HY124" s="392"/>
      <c r="HZ124" s="392"/>
      <c r="IA124" s="392"/>
      <c r="IB124" s="392"/>
      <c r="IC124" s="392"/>
      <c r="ID124" s="392"/>
      <c r="IE124" s="392"/>
      <c r="IF124" s="392"/>
      <c r="IG124" s="392"/>
      <c r="IH124" s="392"/>
      <c r="II124" s="392"/>
      <c r="IJ124" s="392"/>
      <c r="IK124" s="392"/>
      <c r="IL124" s="392"/>
      <c r="IM124" s="392"/>
      <c r="IN124" s="392"/>
      <c r="IO124" s="392"/>
      <c r="IP124" s="392"/>
      <c r="IQ124" s="392"/>
      <c r="IR124" s="392"/>
      <c r="IS124" s="392"/>
      <c r="IT124" s="392"/>
      <c r="IU124" s="392"/>
      <c r="IV124" s="392"/>
    </row>
    <row r="125" spans="1:256" ht="16.5" thickBot="1">
      <c r="A125" s="392"/>
      <c r="B125" s="594" t="s">
        <v>13994</v>
      </c>
      <c r="C125" s="595" t="s">
        <v>632</v>
      </c>
      <c r="D125" s="595"/>
      <c r="E125" s="595"/>
      <c r="F125" s="595"/>
      <c r="G125" s="596" t="s">
        <v>22</v>
      </c>
      <c r="H125" s="392"/>
      <c r="I125" s="392"/>
      <c r="J125" s="392"/>
      <c r="K125" s="392"/>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c r="AG125" s="392"/>
      <c r="AH125" s="392"/>
      <c r="AI125" s="392"/>
      <c r="AJ125" s="392"/>
      <c r="AK125" s="392"/>
      <c r="AL125" s="392"/>
      <c r="AM125" s="392"/>
      <c r="AN125" s="392"/>
      <c r="AO125" s="392"/>
      <c r="AP125" s="392"/>
      <c r="AQ125" s="392"/>
      <c r="AR125" s="392"/>
      <c r="AS125" s="392"/>
      <c r="AT125" s="392"/>
      <c r="AU125" s="392"/>
      <c r="AV125" s="392"/>
      <c r="AW125" s="392"/>
      <c r="AX125" s="392"/>
      <c r="AY125" s="392"/>
      <c r="AZ125" s="392"/>
      <c r="BA125" s="392"/>
      <c r="BB125" s="392"/>
      <c r="BC125" s="392"/>
      <c r="BD125" s="392"/>
      <c r="BE125" s="392"/>
      <c r="BF125" s="392"/>
      <c r="BG125" s="392"/>
      <c r="BH125" s="392"/>
      <c r="BI125" s="392"/>
      <c r="BJ125" s="392"/>
      <c r="BK125" s="392"/>
      <c r="BL125" s="392"/>
      <c r="BM125" s="392"/>
      <c r="BN125" s="392"/>
      <c r="BO125" s="392"/>
      <c r="BP125" s="392"/>
      <c r="BQ125" s="392"/>
      <c r="BR125" s="392"/>
      <c r="BS125" s="392"/>
      <c r="BT125" s="392"/>
      <c r="BU125" s="392"/>
      <c r="BV125" s="392"/>
      <c r="BW125" s="392"/>
      <c r="BX125" s="392"/>
      <c r="BY125" s="392"/>
      <c r="BZ125" s="392"/>
      <c r="CA125" s="392"/>
      <c r="CB125" s="392"/>
      <c r="CC125" s="392"/>
      <c r="CD125" s="392"/>
      <c r="CE125" s="392"/>
      <c r="CF125" s="392"/>
      <c r="CG125" s="392"/>
      <c r="CH125" s="392"/>
      <c r="CI125" s="392"/>
      <c r="CJ125" s="392"/>
      <c r="CK125" s="392"/>
      <c r="CL125" s="392"/>
      <c r="CM125" s="392"/>
      <c r="CN125" s="392"/>
      <c r="CO125" s="392"/>
      <c r="CP125" s="392"/>
      <c r="CQ125" s="392"/>
      <c r="CR125" s="392"/>
      <c r="CS125" s="392"/>
      <c r="CT125" s="392"/>
      <c r="CU125" s="392"/>
      <c r="CV125" s="392"/>
      <c r="CW125" s="392"/>
      <c r="CX125" s="392"/>
      <c r="CY125" s="392"/>
      <c r="CZ125" s="392"/>
      <c r="DA125" s="392"/>
      <c r="DB125" s="392"/>
      <c r="DC125" s="392"/>
      <c r="DD125" s="392"/>
      <c r="DE125" s="392"/>
      <c r="DF125" s="392"/>
      <c r="DG125" s="392"/>
      <c r="DH125" s="392"/>
      <c r="DI125" s="392"/>
      <c r="DJ125" s="392"/>
      <c r="DK125" s="392"/>
      <c r="DL125" s="392"/>
      <c r="DM125" s="392"/>
      <c r="DN125" s="392"/>
      <c r="DO125" s="392"/>
      <c r="DP125" s="392"/>
      <c r="DQ125" s="392"/>
      <c r="DR125" s="392"/>
      <c r="DS125" s="392"/>
      <c r="DT125" s="392"/>
      <c r="DU125" s="392"/>
      <c r="DV125" s="392"/>
      <c r="DW125" s="392"/>
      <c r="DX125" s="392"/>
      <c r="DY125" s="392"/>
      <c r="DZ125" s="392"/>
      <c r="EA125" s="392"/>
      <c r="EB125" s="392"/>
      <c r="EC125" s="392"/>
      <c r="ED125" s="392"/>
      <c r="EE125" s="392"/>
      <c r="EF125" s="392"/>
      <c r="EG125" s="392"/>
      <c r="EH125" s="392"/>
      <c r="EI125" s="392"/>
      <c r="EJ125" s="392"/>
      <c r="EK125" s="392"/>
      <c r="EL125" s="392"/>
      <c r="EM125" s="392"/>
      <c r="EN125" s="392"/>
      <c r="EO125" s="392"/>
      <c r="EP125" s="392"/>
      <c r="EQ125" s="392"/>
      <c r="ER125" s="392"/>
      <c r="ES125" s="392"/>
      <c r="ET125" s="392"/>
      <c r="EU125" s="392"/>
      <c r="EV125" s="392"/>
      <c r="EW125" s="392"/>
      <c r="EX125" s="392"/>
      <c r="EY125" s="392"/>
      <c r="EZ125" s="392"/>
      <c r="FA125" s="392"/>
      <c r="FB125" s="392"/>
      <c r="FC125" s="392"/>
      <c r="FD125" s="392"/>
      <c r="FE125" s="392"/>
      <c r="FF125" s="392"/>
      <c r="FG125" s="392"/>
      <c r="FH125" s="392"/>
      <c r="FI125" s="392"/>
      <c r="FJ125" s="392"/>
      <c r="FK125" s="392"/>
      <c r="FL125" s="392"/>
      <c r="FM125" s="392"/>
      <c r="FN125" s="392"/>
      <c r="FO125" s="392"/>
      <c r="FP125" s="392"/>
      <c r="FQ125" s="392"/>
      <c r="FR125" s="392"/>
      <c r="FS125" s="392"/>
      <c r="FT125" s="392"/>
      <c r="FU125" s="392"/>
      <c r="FV125" s="392"/>
      <c r="FW125" s="392"/>
      <c r="FX125" s="392"/>
      <c r="FY125" s="392"/>
      <c r="FZ125" s="392"/>
      <c r="GA125" s="392"/>
      <c r="GB125" s="392"/>
      <c r="GC125" s="392"/>
      <c r="GD125" s="392"/>
      <c r="GE125" s="392"/>
      <c r="GF125" s="392"/>
      <c r="GG125" s="392"/>
      <c r="GH125" s="392"/>
      <c r="GI125" s="392"/>
      <c r="GJ125" s="392"/>
      <c r="GK125" s="392"/>
      <c r="GL125" s="392"/>
      <c r="GM125" s="392"/>
      <c r="GN125" s="392"/>
      <c r="GO125" s="392"/>
      <c r="GP125" s="392"/>
      <c r="GQ125" s="392"/>
      <c r="GR125" s="392"/>
      <c r="GS125" s="392"/>
      <c r="GT125" s="392"/>
      <c r="GU125" s="392"/>
      <c r="GV125" s="392"/>
      <c r="GW125" s="392"/>
      <c r="GX125" s="392"/>
      <c r="GY125" s="392"/>
      <c r="GZ125" s="392"/>
      <c r="HA125" s="392"/>
      <c r="HB125" s="392"/>
      <c r="HC125" s="392"/>
      <c r="HD125" s="392"/>
      <c r="HE125" s="392"/>
      <c r="HF125" s="392"/>
      <c r="HG125" s="392"/>
      <c r="HH125" s="392"/>
      <c r="HI125" s="392"/>
      <c r="HJ125" s="392"/>
      <c r="HK125" s="392"/>
      <c r="HL125" s="392"/>
      <c r="HM125" s="392"/>
      <c r="HN125" s="392"/>
      <c r="HO125" s="392"/>
      <c r="HP125" s="392"/>
      <c r="HQ125" s="392"/>
      <c r="HR125" s="392"/>
      <c r="HS125" s="392"/>
      <c r="HT125" s="392"/>
      <c r="HU125" s="392"/>
      <c r="HV125" s="392"/>
      <c r="HW125" s="392"/>
      <c r="HX125" s="392"/>
      <c r="HY125" s="392"/>
      <c r="HZ125" s="392"/>
      <c r="IA125" s="392"/>
      <c r="IB125" s="392"/>
      <c r="IC125" s="392"/>
      <c r="ID125" s="392"/>
      <c r="IE125" s="392"/>
      <c r="IF125" s="392"/>
      <c r="IG125" s="392"/>
      <c r="IH125" s="392"/>
      <c r="II125" s="392"/>
      <c r="IJ125" s="392"/>
      <c r="IK125" s="392"/>
      <c r="IL125" s="392"/>
      <c r="IM125" s="392"/>
      <c r="IN125" s="392"/>
      <c r="IO125" s="392"/>
      <c r="IP125" s="392"/>
      <c r="IQ125" s="392"/>
      <c r="IR125" s="392"/>
      <c r="IS125" s="392"/>
      <c r="IT125" s="392"/>
      <c r="IU125" s="392"/>
      <c r="IV125" s="392"/>
    </row>
    <row r="126" spans="1:256" ht="31.5">
      <c r="A126" s="392"/>
      <c r="B126" s="590" t="s">
        <v>197</v>
      </c>
      <c r="C126" s="591" t="s">
        <v>161</v>
      </c>
      <c r="D126" s="591" t="s">
        <v>22</v>
      </c>
      <c r="E126" s="591" t="s">
        <v>162</v>
      </c>
      <c r="F126" s="592" t="s">
        <v>186</v>
      </c>
      <c r="G126" s="593" t="s">
        <v>187</v>
      </c>
      <c r="H126" s="392"/>
      <c r="I126" s="392"/>
      <c r="J126" s="392"/>
      <c r="K126" s="392"/>
      <c r="L126" s="392"/>
      <c r="M126" s="392"/>
      <c r="N126" s="392"/>
      <c r="O126" s="392"/>
      <c r="P126" s="392"/>
      <c r="Q126" s="392"/>
      <c r="R126" s="392"/>
      <c r="S126" s="392"/>
      <c r="T126" s="392"/>
      <c r="U126" s="392"/>
      <c r="V126" s="392"/>
      <c r="W126" s="392"/>
      <c r="X126" s="392"/>
      <c r="Y126" s="392"/>
      <c r="Z126" s="392"/>
      <c r="AA126" s="392"/>
      <c r="AB126" s="392"/>
      <c r="AC126" s="392"/>
      <c r="AD126" s="392"/>
      <c r="AE126" s="392"/>
      <c r="AF126" s="392"/>
      <c r="AG126" s="392"/>
      <c r="AH126" s="392"/>
      <c r="AI126" s="392"/>
      <c r="AJ126" s="392"/>
      <c r="AK126" s="392"/>
      <c r="AL126" s="392"/>
      <c r="AM126" s="392"/>
      <c r="AN126" s="392"/>
      <c r="AO126" s="392"/>
      <c r="AP126" s="392"/>
      <c r="AQ126" s="392"/>
      <c r="AR126" s="392"/>
      <c r="AS126" s="392"/>
      <c r="AT126" s="392"/>
      <c r="AU126" s="392"/>
      <c r="AV126" s="392"/>
      <c r="AW126" s="392"/>
      <c r="AX126" s="392"/>
      <c r="AY126" s="392"/>
      <c r="AZ126" s="392"/>
      <c r="BA126" s="392"/>
      <c r="BB126" s="392"/>
      <c r="BC126" s="392"/>
      <c r="BD126" s="392"/>
      <c r="BE126" s="392"/>
      <c r="BF126" s="392"/>
      <c r="BG126" s="392"/>
      <c r="BH126" s="392"/>
      <c r="BI126" s="392"/>
      <c r="BJ126" s="392"/>
      <c r="BK126" s="392"/>
      <c r="BL126" s="392"/>
      <c r="BM126" s="392"/>
      <c r="BN126" s="392"/>
      <c r="BO126" s="392"/>
      <c r="BP126" s="392"/>
      <c r="BQ126" s="392"/>
      <c r="BR126" s="392"/>
      <c r="BS126" s="392"/>
      <c r="BT126" s="392"/>
      <c r="BU126" s="392"/>
      <c r="BV126" s="392"/>
      <c r="BW126" s="392"/>
      <c r="BX126" s="392"/>
      <c r="BY126" s="392"/>
      <c r="BZ126" s="392"/>
      <c r="CA126" s="392"/>
      <c r="CB126" s="392"/>
      <c r="CC126" s="392"/>
      <c r="CD126" s="392"/>
      <c r="CE126" s="392"/>
      <c r="CF126" s="392"/>
      <c r="CG126" s="392"/>
      <c r="CH126" s="392"/>
      <c r="CI126" s="392"/>
      <c r="CJ126" s="392"/>
      <c r="CK126" s="392"/>
      <c r="CL126" s="392"/>
      <c r="CM126" s="392"/>
      <c r="CN126" s="392"/>
      <c r="CO126" s="392"/>
      <c r="CP126" s="392"/>
      <c r="CQ126" s="392"/>
      <c r="CR126" s="392"/>
      <c r="CS126" s="392"/>
      <c r="CT126" s="392"/>
      <c r="CU126" s="392"/>
      <c r="CV126" s="392"/>
      <c r="CW126" s="392"/>
      <c r="CX126" s="392"/>
      <c r="CY126" s="392"/>
      <c r="CZ126" s="392"/>
      <c r="DA126" s="392"/>
      <c r="DB126" s="392"/>
      <c r="DC126" s="392"/>
      <c r="DD126" s="392"/>
      <c r="DE126" s="392"/>
      <c r="DF126" s="392"/>
      <c r="DG126" s="392"/>
      <c r="DH126" s="392"/>
      <c r="DI126" s="392"/>
      <c r="DJ126" s="392"/>
      <c r="DK126" s="392"/>
      <c r="DL126" s="392"/>
      <c r="DM126" s="392"/>
      <c r="DN126" s="392"/>
      <c r="DO126" s="392"/>
      <c r="DP126" s="392"/>
      <c r="DQ126" s="392"/>
      <c r="DR126" s="392"/>
      <c r="DS126" s="392"/>
      <c r="DT126" s="392"/>
      <c r="DU126" s="392"/>
      <c r="DV126" s="392"/>
      <c r="DW126" s="392"/>
      <c r="DX126" s="392"/>
      <c r="DY126" s="392"/>
      <c r="DZ126" s="392"/>
      <c r="EA126" s="392"/>
      <c r="EB126" s="392"/>
      <c r="EC126" s="392"/>
      <c r="ED126" s="392"/>
      <c r="EE126" s="392"/>
      <c r="EF126" s="392"/>
      <c r="EG126" s="392"/>
      <c r="EH126" s="392"/>
      <c r="EI126" s="392"/>
      <c r="EJ126" s="392"/>
      <c r="EK126" s="392"/>
      <c r="EL126" s="392"/>
      <c r="EM126" s="392"/>
      <c r="EN126" s="392"/>
      <c r="EO126" s="392"/>
      <c r="EP126" s="392"/>
      <c r="EQ126" s="392"/>
      <c r="ER126" s="392"/>
      <c r="ES126" s="392"/>
      <c r="ET126" s="392"/>
      <c r="EU126" s="392"/>
      <c r="EV126" s="392"/>
      <c r="EW126" s="392"/>
      <c r="EX126" s="392"/>
      <c r="EY126" s="392"/>
      <c r="EZ126" s="392"/>
      <c r="FA126" s="392"/>
      <c r="FB126" s="392"/>
      <c r="FC126" s="392"/>
      <c r="FD126" s="392"/>
      <c r="FE126" s="392"/>
      <c r="FF126" s="392"/>
      <c r="FG126" s="392"/>
      <c r="FH126" s="392"/>
      <c r="FI126" s="392"/>
      <c r="FJ126" s="392"/>
      <c r="FK126" s="392"/>
      <c r="FL126" s="392"/>
      <c r="FM126" s="392"/>
      <c r="FN126" s="392"/>
      <c r="FO126" s="392"/>
      <c r="FP126" s="392"/>
      <c r="FQ126" s="392"/>
      <c r="FR126" s="392"/>
      <c r="FS126" s="392"/>
      <c r="FT126" s="392"/>
      <c r="FU126" s="392"/>
      <c r="FV126" s="392"/>
      <c r="FW126" s="392"/>
      <c r="FX126" s="392"/>
      <c r="FY126" s="392"/>
      <c r="FZ126" s="392"/>
      <c r="GA126" s="392"/>
      <c r="GB126" s="392"/>
      <c r="GC126" s="392"/>
      <c r="GD126" s="392"/>
      <c r="GE126" s="392"/>
      <c r="GF126" s="392"/>
      <c r="GG126" s="392"/>
      <c r="GH126" s="392"/>
      <c r="GI126" s="392"/>
      <c r="GJ126" s="392"/>
      <c r="GK126" s="392"/>
      <c r="GL126" s="392"/>
      <c r="GM126" s="392"/>
      <c r="GN126" s="392"/>
      <c r="GO126" s="392"/>
      <c r="GP126" s="392"/>
      <c r="GQ126" s="392"/>
      <c r="GR126" s="392"/>
      <c r="GS126" s="392"/>
      <c r="GT126" s="392"/>
      <c r="GU126" s="392"/>
      <c r="GV126" s="392"/>
      <c r="GW126" s="392"/>
      <c r="GX126" s="392"/>
      <c r="GY126" s="392"/>
      <c r="GZ126" s="392"/>
      <c r="HA126" s="392"/>
      <c r="HB126" s="392"/>
      <c r="HC126" s="392"/>
      <c r="HD126" s="392"/>
      <c r="HE126" s="392"/>
      <c r="HF126" s="392"/>
      <c r="HG126" s="392"/>
      <c r="HH126" s="392"/>
      <c r="HI126" s="392"/>
      <c r="HJ126" s="392"/>
      <c r="HK126" s="392"/>
      <c r="HL126" s="392"/>
      <c r="HM126" s="392"/>
      <c r="HN126" s="392"/>
      <c r="HO126" s="392"/>
      <c r="HP126" s="392"/>
      <c r="HQ126" s="392"/>
      <c r="HR126" s="392"/>
      <c r="HS126" s="392"/>
      <c r="HT126" s="392"/>
      <c r="HU126" s="392"/>
      <c r="HV126" s="392"/>
      <c r="HW126" s="392"/>
      <c r="HX126" s="392"/>
      <c r="HY126" s="392"/>
      <c r="HZ126" s="392"/>
      <c r="IA126" s="392"/>
      <c r="IB126" s="392"/>
      <c r="IC126" s="392"/>
      <c r="ID126" s="392"/>
      <c r="IE126" s="392"/>
      <c r="IF126" s="392"/>
      <c r="IG126" s="392"/>
      <c r="IH126" s="392"/>
      <c r="II126" s="392"/>
      <c r="IJ126" s="392"/>
      <c r="IK126" s="392"/>
      <c r="IL126" s="392"/>
      <c r="IM126" s="392"/>
      <c r="IN126" s="392"/>
      <c r="IO126" s="392"/>
      <c r="IP126" s="392"/>
      <c r="IQ126" s="392"/>
      <c r="IR126" s="392"/>
      <c r="IS126" s="392"/>
      <c r="IT126" s="392"/>
      <c r="IU126" s="392"/>
      <c r="IV126" s="392"/>
    </row>
    <row r="127" spans="1:256" ht="16.5" thickBot="1">
      <c r="A127" s="392"/>
      <c r="B127" s="2322" t="s">
        <v>165</v>
      </c>
      <c r="C127" s="2323"/>
      <c r="D127" s="2323"/>
      <c r="E127" s="2323"/>
      <c r="F127" s="2323"/>
      <c r="G127" s="2324"/>
      <c r="H127" s="392"/>
      <c r="I127" s="392"/>
      <c r="J127" s="392"/>
      <c r="K127" s="392"/>
      <c r="L127" s="392"/>
      <c r="M127" s="392"/>
      <c r="N127" s="392"/>
      <c r="O127" s="392"/>
      <c r="P127" s="392"/>
      <c r="Q127" s="392"/>
      <c r="R127" s="392"/>
      <c r="S127" s="392"/>
      <c r="T127" s="392"/>
      <c r="U127" s="392"/>
      <c r="V127" s="392"/>
      <c r="W127" s="392"/>
      <c r="X127" s="392"/>
      <c r="Y127" s="392"/>
      <c r="Z127" s="392"/>
      <c r="AA127" s="392"/>
      <c r="AB127" s="392"/>
      <c r="AC127" s="392"/>
      <c r="AD127" s="392"/>
      <c r="AE127" s="392"/>
      <c r="AF127" s="392"/>
      <c r="AG127" s="392"/>
      <c r="AH127" s="392"/>
      <c r="AI127" s="392"/>
      <c r="AJ127" s="392"/>
      <c r="AK127" s="392"/>
      <c r="AL127" s="392"/>
      <c r="AM127" s="392"/>
      <c r="AN127" s="392"/>
      <c r="AO127" s="392"/>
      <c r="AP127" s="392"/>
      <c r="AQ127" s="392"/>
      <c r="AR127" s="392"/>
      <c r="AS127" s="392"/>
      <c r="AT127" s="392"/>
      <c r="AU127" s="392"/>
      <c r="AV127" s="392"/>
      <c r="AW127" s="392"/>
      <c r="AX127" s="392"/>
      <c r="AY127" s="392"/>
      <c r="AZ127" s="392"/>
      <c r="BA127" s="392"/>
      <c r="BB127" s="392"/>
      <c r="BC127" s="392"/>
      <c r="BD127" s="392"/>
      <c r="BE127" s="392"/>
      <c r="BF127" s="392"/>
      <c r="BG127" s="392"/>
      <c r="BH127" s="392"/>
      <c r="BI127" s="392"/>
      <c r="BJ127" s="392"/>
      <c r="BK127" s="392"/>
      <c r="BL127" s="392"/>
      <c r="BM127" s="392"/>
      <c r="BN127" s="392"/>
      <c r="BO127" s="392"/>
      <c r="BP127" s="392"/>
      <c r="BQ127" s="392"/>
      <c r="BR127" s="392"/>
      <c r="BS127" s="392"/>
      <c r="BT127" s="392"/>
      <c r="BU127" s="392"/>
      <c r="BV127" s="392"/>
      <c r="BW127" s="392"/>
      <c r="BX127" s="392"/>
      <c r="BY127" s="392"/>
      <c r="BZ127" s="392"/>
      <c r="CA127" s="392"/>
      <c r="CB127" s="392"/>
      <c r="CC127" s="392"/>
      <c r="CD127" s="392"/>
      <c r="CE127" s="392"/>
      <c r="CF127" s="392"/>
      <c r="CG127" s="392"/>
      <c r="CH127" s="392"/>
      <c r="CI127" s="392"/>
      <c r="CJ127" s="392"/>
      <c r="CK127" s="392"/>
      <c r="CL127" s="392"/>
      <c r="CM127" s="392"/>
      <c r="CN127" s="392"/>
      <c r="CO127" s="392"/>
      <c r="CP127" s="392"/>
      <c r="CQ127" s="392"/>
      <c r="CR127" s="392"/>
      <c r="CS127" s="392"/>
      <c r="CT127" s="392"/>
      <c r="CU127" s="392"/>
      <c r="CV127" s="392"/>
      <c r="CW127" s="392"/>
      <c r="CX127" s="392"/>
      <c r="CY127" s="392"/>
      <c r="CZ127" s="392"/>
      <c r="DA127" s="392"/>
      <c r="DB127" s="392"/>
      <c r="DC127" s="392"/>
      <c r="DD127" s="392"/>
      <c r="DE127" s="392"/>
      <c r="DF127" s="392"/>
      <c r="DG127" s="392"/>
      <c r="DH127" s="392"/>
      <c r="DI127" s="392"/>
      <c r="DJ127" s="392"/>
      <c r="DK127" s="392"/>
      <c r="DL127" s="392"/>
      <c r="DM127" s="392"/>
      <c r="DN127" s="392"/>
      <c r="DO127" s="392"/>
      <c r="DP127" s="392"/>
      <c r="DQ127" s="392"/>
      <c r="DR127" s="392"/>
      <c r="DS127" s="392"/>
      <c r="DT127" s="392"/>
      <c r="DU127" s="392"/>
      <c r="DV127" s="392"/>
      <c r="DW127" s="392"/>
      <c r="DX127" s="392"/>
      <c r="DY127" s="392"/>
      <c r="DZ127" s="392"/>
      <c r="EA127" s="392"/>
      <c r="EB127" s="392"/>
      <c r="EC127" s="392"/>
      <c r="ED127" s="392"/>
      <c r="EE127" s="392"/>
      <c r="EF127" s="392"/>
      <c r="EG127" s="392"/>
      <c r="EH127" s="392"/>
      <c r="EI127" s="392"/>
      <c r="EJ127" s="392"/>
      <c r="EK127" s="392"/>
      <c r="EL127" s="392"/>
      <c r="EM127" s="392"/>
      <c r="EN127" s="392"/>
      <c r="EO127" s="392"/>
      <c r="EP127" s="392"/>
      <c r="EQ127" s="392"/>
      <c r="ER127" s="392"/>
      <c r="ES127" s="392"/>
      <c r="ET127" s="392"/>
      <c r="EU127" s="392"/>
      <c r="EV127" s="392"/>
      <c r="EW127" s="392"/>
      <c r="EX127" s="392"/>
      <c r="EY127" s="392"/>
      <c r="EZ127" s="392"/>
      <c r="FA127" s="392"/>
      <c r="FB127" s="392"/>
      <c r="FC127" s="392"/>
      <c r="FD127" s="392"/>
      <c r="FE127" s="392"/>
      <c r="FF127" s="392"/>
      <c r="FG127" s="392"/>
      <c r="FH127" s="392"/>
      <c r="FI127" s="392"/>
      <c r="FJ127" s="392"/>
      <c r="FK127" s="392"/>
      <c r="FL127" s="392"/>
      <c r="FM127" s="392"/>
      <c r="FN127" s="392"/>
      <c r="FO127" s="392"/>
      <c r="FP127" s="392"/>
      <c r="FQ127" s="392"/>
      <c r="FR127" s="392"/>
      <c r="FS127" s="392"/>
      <c r="FT127" s="392"/>
      <c r="FU127" s="392"/>
      <c r="FV127" s="392"/>
      <c r="FW127" s="392"/>
      <c r="FX127" s="392"/>
      <c r="FY127" s="392"/>
      <c r="FZ127" s="392"/>
      <c r="GA127" s="392"/>
      <c r="GB127" s="392"/>
      <c r="GC127" s="392"/>
      <c r="GD127" s="392"/>
      <c r="GE127" s="392"/>
      <c r="GF127" s="392"/>
      <c r="GG127" s="392"/>
      <c r="GH127" s="392"/>
      <c r="GI127" s="392"/>
      <c r="GJ127" s="392"/>
      <c r="GK127" s="392"/>
      <c r="GL127" s="392"/>
      <c r="GM127" s="392"/>
      <c r="GN127" s="392"/>
      <c r="GO127" s="392"/>
      <c r="GP127" s="392"/>
      <c r="GQ127" s="392"/>
      <c r="GR127" s="392"/>
      <c r="GS127" s="392"/>
      <c r="GT127" s="392"/>
      <c r="GU127" s="392"/>
      <c r="GV127" s="392"/>
      <c r="GW127" s="392"/>
      <c r="GX127" s="392"/>
      <c r="GY127" s="392"/>
      <c r="GZ127" s="392"/>
      <c r="HA127" s="392"/>
      <c r="HB127" s="392"/>
      <c r="HC127" s="392"/>
      <c r="HD127" s="392"/>
      <c r="HE127" s="392"/>
      <c r="HF127" s="392"/>
      <c r="HG127" s="392"/>
      <c r="HH127" s="392"/>
      <c r="HI127" s="392"/>
      <c r="HJ127" s="392"/>
      <c r="HK127" s="392"/>
      <c r="HL127" s="392"/>
      <c r="HM127" s="392"/>
      <c r="HN127" s="392"/>
      <c r="HO127" s="392"/>
      <c r="HP127" s="392"/>
      <c r="HQ127" s="392"/>
      <c r="HR127" s="392"/>
      <c r="HS127" s="392"/>
      <c r="HT127" s="392"/>
      <c r="HU127" s="392"/>
      <c r="HV127" s="392"/>
      <c r="HW127" s="392"/>
      <c r="HX127" s="392"/>
      <c r="HY127" s="392"/>
      <c r="HZ127" s="392"/>
      <c r="IA127" s="392"/>
      <c r="IB127" s="392"/>
      <c r="IC127" s="392"/>
      <c r="ID127" s="392"/>
      <c r="IE127" s="392"/>
      <c r="IF127" s="392"/>
      <c r="IG127" s="392"/>
      <c r="IH127" s="392"/>
      <c r="II127" s="392"/>
      <c r="IJ127" s="392"/>
      <c r="IK127" s="392"/>
      <c r="IL127" s="392"/>
      <c r="IM127" s="392"/>
      <c r="IN127" s="392"/>
      <c r="IO127" s="392"/>
      <c r="IP127" s="392"/>
      <c r="IQ127" s="392"/>
      <c r="IR127" s="392"/>
      <c r="IS127" s="392"/>
      <c r="IT127" s="392"/>
      <c r="IU127" s="392"/>
      <c r="IV127" s="392"/>
    </row>
    <row r="128" spans="1:256" ht="15.75">
      <c r="A128" s="392"/>
      <c r="B128" s="585" t="s">
        <v>610</v>
      </c>
      <c r="C128" s="586" t="str">
        <f>C20</f>
        <v>ESKI</v>
      </c>
      <c r="D128" s="587" t="s">
        <v>22</v>
      </c>
      <c r="E128" s="597">
        <v>1</v>
      </c>
      <c r="F128" s="588">
        <f>E20</f>
        <v>1960</v>
      </c>
      <c r="G128" s="589">
        <f>TRUNC(F128*E128,2)</f>
        <v>1960</v>
      </c>
      <c r="H128" s="392"/>
      <c r="I128" s="392"/>
      <c r="J128" s="392"/>
      <c r="K128" s="392"/>
      <c r="L128" s="392"/>
      <c r="M128" s="392"/>
      <c r="N128" s="392"/>
      <c r="O128" s="392"/>
      <c r="P128" s="392"/>
      <c r="Q128" s="392"/>
      <c r="R128" s="392"/>
      <c r="S128" s="392"/>
      <c r="T128" s="392"/>
      <c r="U128" s="392"/>
      <c r="V128" s="392"/>
      <c r="W128" s="392"/>
      <c r="X128" s="392"/>
      <c r="Y128" s="392"/>
      <c r="Z128" s="392"/>
      <c r="AA128" s="392"/>
      <c r="AB128" s="392"/>
      <c r="AC128" s="392"/>
      <c r="AD128" s="392"/>
      <c r="AE128" s="392"/>
      <c r="AF128" s="392"/>
      <c r="AG128" s="392"/>
      <c r="AH128" s="392"/>
      <c r="AI128" s="392"/>
      <c r="AJ128" s="392"/>
      <c r="AK128" s="392"/>
      <c r="AL128" s="392"/>
      <c r="AM128" s="392"/>
      <c r="AN128" s="392"/>
      <c r="AO128" s="392"/>
      <c r="AP128" s="392"/>
      <c r="AQ128" s="392"/>
      <c r="AR128" s="392"/>
      <c r="AS128" s="392"/>
      <c r="AT128" s="392"/>
      <c r="AU128" s="392"/>
      <c r="AV128" s="392"/>
      <c r="AW128" s="392"/>
      <c r="AX128" s="392"/>
      <c r="AY128" s="392"/>
      <c r="AZ128" s="392"/>
      <c r="BA128" s="392"/>
      <c r="BB128" s="392"/>
      <c r="BC128" s="392"/>
      <c r="BD128" s="392"/>
      <c r="BE128" s="392"/>
      <c r="BF128" s="392"/>
      <c r="BG128" s="392"/>
      <c r="BH128" s="392"/>
      <c r="BI128" s="392"/>
      <c r="BJ128" s="392"/>
      <c r="BK128" s="392"/>
      <c r="BL128" s="392"/>
      <c r="BM128" s="392"/>
      <c r="BN128" s="392"/>
      <c r="BO128" s="392"/>
      <c r="BP128" s="392"/>
      <c r="BQ128" s="392"/>
      <c r="BR128" s="392"/>
      <c r="BS128" s="392"/>
      <c r="BT128" s="392"/>
      <c r="BU128" s="392"/>
      <c r="BV128" s="392"/>
      <c r="BW128" s="392"/>
      <c r="BX128" s="392"/>
      <c r="BY128" s="392"/>
      <c r="BZ128" s="392"/>
      <c r="CA128" s="392"/>
      <c r="CB128" s="392"/>
      <c r="CC128" s="392"/>
      <c r="CD128" s="392"/>
      <c r="CE128" s="392"/>
      <c r="CF128" s="392"/>
      <c r="CG128" s="392"/>
      <c r="CH128" s="392"/>
      <c r="CI128" s="392"/>
      <c r="CJ128" s="392"/>
      <c r="CK128" s="392"/>
      <c r="CL128" s="392"/>
      <c r="CM128" s="392"/>
      <c r="CN128" s="392"/>
      <c r="CO128" s="392"/>
      <c r="CP128" s="392"/>
      <c r="CQ128" s="392"/>
      <c r="CR128" s="392"/>
      <c r="CS128" s="392"/>
      <c r="CT128" s="392"/>
      <c r="CU128" s="392"/>
      <c r="CV128" s="392"/>
      <c r="CW128" s="392"/>
      <c r="CX128" s="392"/>
      <c r="CY128" s="392"/>
      <c r="CZ128" s="392"/>
      <c r="DA128" s="392"/>
      <c r="DB128" s="392"/>
      <c r="DC128" s="392"/>
      <c r="DD128" s="392"/>
      <c r="DE128" s="392"/>
      <c r="DF128" s="392"/>
      <c r="DG128" s="392"/>
      <c r="DH128" s="392"/>
      <c r="DI128" s="392"/>
      <c r="DJ128" s="392"/>
      <c r="DK128" s="392"/>
      <c r="DL128" s="392"/>
      <c r="DM128" s="392"/>
      <c r="DN128" s="392"/>
      <c r="DO128" s="392"/>
      <c r="DP128" s="392"/>
      <c r="DQ128" s="392"/>
      <c r="DR128" s="392"/>
      <c r="DS128" s="392"/>
      <c r="DT128" s="392"/>
      <c r="DU128" s="392"/>
      <c r="DV128" s="392"/>
      <c r="DW128" s="392"/>
      <c r="DX128" s="392"/>
      <c r="DY128" s="392"/>
      <c r="DZ128" s="392"/>
      <c r="EA128" s="392"/>
      <c r="EB128" s="392"/>
      <c r="EC128" s="392"/>
      <c r="ED128" s="392"/>
      <c r="EE128" s="392"/>
      <c r="EF128" s="392"/>
      <c r="EG128" s="392"/>
      <c r="EH128" s="392"/>
      <c r="EI128" s="392"/>
      <c r="EJ128" s="392"/>
      <c r="EK128" s="392"/>
      <c r="EL128" s="392"/>
      <c r="EM128" s="392"/>
      <c r="EN128" s="392"/>
      <c r="EO128" s="392"/>
      <c r="EP128" s="392"/>
      <c r="EQ128" s="392"/>
      <c r="ER128" s="392"/>
      <c r="ES128" s="392"/>
      <c r="ET128" s="392"/>
      <c r="EU128" s="392"/>
      <c r="EV128" s="392"/>
      <c r="EW128" s="392"/>
      <c r="EX128" s="392"/>
      <c r="EY128" s="392"/>
      <c r="EZ128" s="392"/>
      <c r="FA128" s="392"/>
      <c r="FB128" s="392"/>
      <c r="FC128" s="392"/>
      <c r="FD128" s="392"/>
      <c r="FE128" s="392"/>
      <c r="FF128" s="392"/>
      <c r="FG128" s="392"/>
      <c r="FH128" s="392"/>
      <c r="FI128" s="392"/>
      <c r="FJ128" s="392"/>
      <c r="FK128" s="392"/>
      <c r="FL128" s="392"/>
      <c r="FM128" s="392"/>
      <c r="FN128" s="392"/>
      <c r="FO128" s="392"/>
      <c r="FP128" s="392"/>
      <c r="FQ128" s="392"/>
      <c r="FR128" s="392"/>
      <c r="FS128" s="392"/>
      <c r="FT128" s="392"/>
      <c r="FU128" s="392"/>
      <c r="FV128" s="392"/>
      <c r="FW128" s="392"/>
      <c r="FX128" s="392"/>
      <c r="FY128" s="392"/>
      <c r="FZ128" s="392"/>
      <c r="GA128" s="392"/>
      <c r="GB128" s="392"/>
      <c r="GC128" s="392"/>
      <c r="GD128" s="392"/>
      <c r="GE128" s="392"/>
      <c r="GF128" s="392"/>
      <c r="GG128" s="392"/>
      <c r="GH128" s="392"/>
      <c r="GI128" s="392"/>
      <c r="GJ128" s="392"/>
      <c r="GK128" s="392"/>
      <c r="GL128" s="392"/>
      <c r="GM128" s="392"/>
      <c r="GN128" s="392"/>
      <c r="GO128" s="392"/>
      <c r="GP128" s="392"/>
      <c r="GQ128" s="392"/>
      <c r="GR128" s="392"/>
      <c r="GS128" s="392"/>
      <c r="GT128" s="392"/>
      <c r="GU128" s="392"/>
      <c r="GV128" s="392"/>
      <c r="GW128" s="392"/>
      <c r="GX128" s="392"/>
      <c r="GY128" s="392"/>
      <c r="GZ128" s="392"/>
      <c r="HA128" s="392"/>
      <c r="HB128" s="392"/>
      <c r="HC128" s="392"/>
      <c r="HD128" s="392"/>
      <c r="HE128" s="392"/>
      <c r="HF128" s="392"/>
      <c r="HG128" s="392"/>
      <c r="HH128" s="392"/>
      <c r="HI128" s="392"/>
      <c r="HJ128" s="392"/>
      <c r="HK128" s="392"/>
      <c r="HL128" s="392"/>
      <c r="HM128" s="392"/>
      <c r="HN128" s="392"/>
      <c r="HO128" s="392"/>
      <c r="HP128" s="392"/>
      <c r="HQ128" s="392"/>
      <c r="HR128" s="392"/>
      <c r="HS128" s="392"/>
      <c r="HT128" s="392"/>
      <c r="HU128" s="392"/>
      <c r="HV128" s="392"/>
      <c r="HW128" s="392"/>
      <c r="HX128" s="392"/>
      <c r="HY128" s="392"/>
      <c r="HZ128" s="392"/>
      <c r="IA128" s="392"/>
      <c r="IB128" s="392"/>
      <c r="IC128" s="392"/>
      <c r="ID128" s="392"/>
      <c r="IE128" s="392"/>
      <c r="IF128" s="392"/>
      <c r="IG128" s="392"/>
      <c r="IH128" s="392"/>
      <c r="II128" s="392"/>
      <c r="IJ128" s="392"/>
      <c r="IK128" s="392"/>
      <c r="IL128" s="392"/>
      <c r="IM128" s="392"/>
      <c r="IN128" s="392"/>
      <c r="IO128" s="392"/>
      <c r="IP128" s="392"/>
      <c r="IQ128" s="392"/>
      <c r="IR128" s="392"/>
      <c r="IS128" s="392"/>
      <c r="IT128" s="392"/>
      <c r="IU128" s="392"/>
      <c r="IV128" s="392"/>
    </row>
    <row r="129" spans="1:256" ht="30">
      <c r="A129" s="392" t="s">
        <v>391</v>
      </c>
      <c r="B129" s="436">
        <v>93358</v>
      </c>
      <c r="C129" s="317" t="str">
        <f>IF($A129="INSUMO",VLOOKUP($B129,'BANCO DE DADOS JANEIRO-24 INS'!$A:$D,2,FALSE),VLOOKUP($B129,'BANCO DE DADOS JANEIRO-24 SERV'!$B:$E,2,FALSE))</f>
        <v>ESCAVAÇÃO MANUAL DE VALA COM PROFUNDIDADE MENOR OU IGUAL A 1,30 M. AF_02/2021</v>
      </c>
      <c r="D129" s="316" t="str">
        <f>IF($A129="INSUMO",VLOOKUP($B129,'BANCO DE DADOS JANEIRO-24 INS'!$A:$D,3,FALSE),VLOOKUP($B129,'BANCO DE DADOS JANEIRO-24 SERV'!$B:$E,3,FALSE))</f>
        <v>M3</v>
      </c>
      <c r="E129" s="598">
        <f>((0.3*0.3*0.6)*2)</f>
        <v>0.108</v>
      </c>
      <c r="F129" s="320">
        <f>IF($A129="INSUMO",VLOOKUP($B129,'BANCO DE DADOS JANEIRO-24 INS'!$A:$D,4,FALSE),VLOOKUP($B129,'BANCO DE DADOS JANEIRO-24 SERV'!$B:$E,4,FALSE))</f>
        <v>80.38</v>
      </c>
      <c r="G129" s="435">
        <f>TRUNC(F129*E129,2)</f>
        <v>8.68</v>
      </c>
      <c r="H129" s="392"/>
      <c r="I129" s="392"/>
      <c r="J129" s="392"/>
      <c r="K129" s="392"/>
      <c r="L129" s="392"/>
      <c r="M129" s="392"/>
      <c r="N129" s="392"/>
      <c r="O129" s="392"/>
      <c r="P129" s="392"/>
      <c r="Q129" s="392"/>
      <c r="R129" s="392"/>
      <c r="S129" s="392"/>
      <c r="T129" s="392"/>
      <c r="U129" s="392"/>
      <c r="V129" s="392"/>
      <c r="W129" s="392"/>
      <c r="X129" s="392"/>
      <c r="Y129" s="392"/>
      <c r="Z129" s="392"/>
      <c r="AA129" s="392"/>
      <c r="AB129" s="392"/>
      <c r="AC129" s="392"/>
      <c r="AD129" s="392"/>
      <c r="AE129" s="392"/>
      <c r="AF129" s="392"/>
      <c r="AG129" s="392"/>
      <c r="AH129" s="392"/>
      <c r="AI129" s="392"/>
      <c r="AJ129" s="392"/>
      <c r="AK129" s="392"/>
      <c r="AL129" s="392"/>
      <c r="AM129" s="392"/>
      <c r="AN129" s="392"/>
      <c r="AO129" s="392"/>
      <c r="AP129" s="392"/>
      <c r="AQ129" s="392"/>
      <c r="AR129" s="392"/>
      <c r="AS129" s="392"/>
      <c r="AT129" s="392"/>
      <c r="AU129" s="392"/>
      <c r="AV129" s="392"/>
      <c r="AW129" s="392"/>
      <c r="AX129" s="392"/>
      <c r="AY129" s="392"/>
      <c r="AZ129" s="392"/>
      <c r="BA129" s="392"/>
      <c r="BB129" s="392"/>
      <c r="BC129" s="392"/>
      <c r="BD129" s="392"/>
      <c r="BE129" s="392"/>
      <c r="BF129" s="392"/>
      <c r="BG129" s="392"/>
      <c r="BH129" s="392"/>
      <c r="BI129" s="392"/>
      <c r="BJ129" s="392"/>
      <c r="BK129" s="392"/>
      <c r="BL129" s="392"/>
      <c r="BM129" s="392"/>
      <c r="BN129" s="392"/>
      <c r="BO129" s="392"/>
      <c r="BP129" s="392"/>
      <c r="BQ129" s="392"/>
      <c r="BR129" s="392"/>
      <c r="BS129" s="392"/>
      <c r="BT129" s="392"/>
      <c r="BU129" s="392"/>
      <c r="BV129" s="392"/>
      <c r="BW129" s="392"/>
      <c r="BX129" s="392"/>
      <c r="BY129" s="392"/>
      <c r="BZ129" s="392"/>
      <c r="CA129" s="392"/>
      <c r="CB129" s="392"/>
      <c r="CC129" s="392"/>
      <c r="CD129" s="392"/>
      <c r="CE129" s="392"/>
      <c r="CF129" s="392"/>
      <c r="CG129" s="392"/>
      <c r="CH129" s="392"/>
      <c r="CI129" s="392"/>
      <c r="CJ129" s="392"/>
      <c r="CK129" s="392"/>
      <c r="CL129" s="392"/>
      <c r="CM129" s="392"/>
      <c r="CN129" s="392"/>
      <c r="CO129" s="392"/>
      <c r="CP129" s="392"/>
      <c r="CQ129" s="392"/>
      <c r="CR129" s="392"/>
      <c r="CS129" s="392"/>
      <c r="CT129" s="392"/>
      <c r="CU129" s="392"/>
      <c r="CV129" s="392"/>
      <c r="CW129" s="392"/>
      <c r="CX129" s="392"/>
      <c r="CY129" s="392"/>
      <c r="CZ129" s="392"/>
      <c r="DA129" s="392"/>
      <c r="DB129" s="392"/>
      <c r="DC129" s="392"/>
      <c r="DD129" s="392"/>
      <c r="DE129" s="392"/>
      <c r="DF129" s="392"/>
      <c r="DG129" s="392"/>
      <c r="DH129" s="392"/>
      <c r="DI129" s="392"/>
      <c r="DJ129" s="392"/>
      <c r="DK129" s="392"/>
      <c r="DL129" s="392"/>
      <c r="DM129" s="392"/>
      <c r="DN129" s="392"/>
      <c r="DO129" s="392"/>
      <c r="DP129" s="392"/>
      <c r="DQ129" s="392"/>
      <c r="DR129" s="392"/>
      <c r="DS129" s="392"/>
      <c r="DT129" s="392"/>
      <c r="DU129" s="392"/>
      <c r="DV129" s="392"/>
      <c r="DW129" s="392"/>
      <c r="DX129" s="392"/>
      <c r="DY129" s="392"/>
      <c r="DZ129" s="392"/>
      <c r="EA129" s="392"/>
      <c r="EB129" s="392"/>
      <c r="EC129" s="392"/>
      <c r="ED129" s="392"/>
      <c r="EE129" s="392"/>
      <c r="EF129" s="392"/>
      <c r="EG129" s="392"/>
      <c r="EH129" s="392"/>
      <c r="EI129" s="392"/>
      <c r="EJ129" s="392"/>
      <c r="EK129" s="392"/>
      <c r="EL129" s="392"/>
      <c r="EM129" s="392"/>
      <c r="EN129" s="392"/>
      <c r="EO129" s="392"/>
      <c r="EP129" s="392"/>
      <c r="EQ129" s="392"/>
      <c r="ER129" s="392"/>
      <c r="ES129" s="392"/>
      <c r="ET129" s="392"/>
      <c r="EU129" s="392"/>
      <c r="EV129" s="392"/>
      <c r="EW129" s="392"/>
      <c r="EX129" s="392"/>
      <c r="EY129" s="392"/>
      <c r="EZ129" s="392"/>
      <c r="FA129" s="392"/>
      <c r="FB129" s="392"/>
      <c r="FC129" s="392"/>
      <c r="FD129" s="392"/>
      <c r="FE129" s="392"/>
      <c r="FF129" s="392"/>
      <c r="FG129" s="392"/>
      <c r="FH129" s="392"/>
      <c r="FI129" s="392"/>
      <c r="FJ129" s="392"/>
      <c r="FK129" s="392"/>
      <c r="FL129" s="392"/>
      <c r="FM129" s="392"/>
      <c r="FN129" s="392"/>
      <c r="FO129" s="392"/>
      <c r="FP129" s="392"/>
      <c r="FQ129" s="392"/>
      <c r="FR129" s="392"/>
      <c r="FS129" s="392"/>
      <c r="FT129" s="392"/>
      <c r="FU129" s="392"/>
      <c r="FV129" s="392"/>
      <c r="FW129" s="392"/>
      <c r="FX129" s="392"/>
      <c r="FY129" s="392"/>
      <c r="FZ129" s="392"/>
      <c r="GA129" s="392"/>
      <c r="GB129" s="392"/>
      <c r="GC129" s="392"/>
      <c r="GD129" s="392"/>
      <c r="GE129" s="392"/>
      <c r="GF129" s="392"/>
      <c r="GG129" s="392"/>
      <c r="GH129" s="392"/>
      <c r="GI129" s="392"/>
      <c r="GJ129" s="392"/>
      <c r="GK129" s="392"/>
      <c r="GL129" s="392"/>
      <c r="GM129" s="392"/>
      <c r="GN129" s="392"/>
      <c r="GO129" s="392"/>
      <c r="GP129" s="392"/>
      <c r="GQ129" s="392"/>
      <c r="GR129" s="392"/>
      <c r="GS129" s="392"/>
      <c r="GT129" s="392"/>
      <c r="GU129" s="392"/>
      <c r="GV129" s="392"/>
      <c r="GW129" s="392"/>
      <c r="GX129" s="392"/>
      <c r="GY129" s="392"/>
      <c r="GZ129" s="392"/>
      <c r="HA129" s="392"/>
      <c r="HB129" s="392"/>
      <c r="HC129" s="392"/>
      <c r="HD129" s="392"/>
      <c r="HE129" s="392"/>
      <c r="HF129" s="392"/>
      <c r="HG129" s="392"/>
      <c r="HH129" s="392"/>
      <c r="HI129" s="392"/>
      <c r="HJ129" s="392"/>
      <c r="HK129" s="392"/>
      <c r="HL129" s="392"/>
      <c r="HM129" s="392"/>
      <c r="HN129" s="392"/>
      <c r="HO129" s="392"/>
      <c r="HP129" s="392"/>
      <c r="HQ129" s="392"/>
      <c r="HR129" s="392"/>
      <c r="HS129" s="392"/>
      <c r="HT129" s="392"/>
      <c r="HU129" s="392"/>
      <c r="HV129" s="392"/>
      <c r="HW129" s="392"/>
      <c r="HX129" s="392"/>
      <c r="HY129" s="392"/>
      <c r="HZ129" s="392"/>
      <c r="IA129" s="392"/>
      <c r="IB129" s="392"/>
      <c r="IC129" s="392"/>
      <c r="ID129" s="392"/>
      <c r="IE129" s="392"/>
      <c r="IF129" s="392"/>
      <c r="IG129" s="392"/>
      <c r="IH129" s="392"/>
      <c r="II129" s="392"/>
      <c r="IJ129" s="392"/>
      <c r="IK129" s="392"/>
      <c r="IL129" s="392"/>
      <c r="IM129" s="392"/>
      <c r="IN129" s="392"/>
      <c r="IO129" s="392"/>
      <c r="IP129" s="392"/>
      <c r="IQ129" s="392"/>
      <c r="IR129" s="392"/>
      <c r="IS129" s="392"/>
      <c r="IT129" s="392"/>
      <c r="IU129" s="392"/>
      <c r="IV129" s="392"/>
    </row>
    <row r="130" spans="1:256" ht="45">
      <c r="A130" s="392" t="s">
        <v>391</v>
      </c>
      <c r="B130" s="436">
        <v>94965</v>
      </c>
      <c r="C130" s="317" t="str">
        <f>IF($A130="INSUMO",VLOOKUP($B130,'BANCO DE DADOS JANEIRO-24 INS'!$A:$D,2,FALSE),VLOOKUP($B130,'BANCO DE DADOS JANEIRO-24 SERV'!$B:$E,2,FALSE))</f>
        <v>CONCRETO FCK = 25MPA, TRAÇO 1:2,3:2,7 (EM MASSA SECA DE CIMENTO/ AREIA MÉDIA/ BRITA 1) - PREPARO MECÂNICO COM BETONEIRA 400 L. AF_05/2021</v>
      </c>
      <c r="D130" s="316" t="str">
        <f>IF($A130="INSUMO",VLOOKUP($B130,'BANCO DE DADOS JANEIRO-24 INS'!$A:$D,3,FALSE),VLOOKUP($B130,'BANCO DE DADOS JANEIRO-24 SERV'!$B:$E,3,FALSE))</f>
        <v>M3</v>
      </c>
      <c r="E130" s="598">
        <f>E129</f>
        <v>0.108</v>
      </c>
      <c r="F130" s="320">
        <f>IF($A130="INSUMO",VLOOKUP($B130,'BANCO DE DADOS JANEIRO-24 INS'!$A:$D,4,FALSE),VLOOKUP($B130,'BANCO DE DADOS JANEIRO-24 SERV'!$B:$E,4,FALSE))</f>
        <v>568.95000000000005</v>
      </c>
      <c r="G130" s="435">
        <f>TRUNC(F130*E130,2)</f>
        <v>61.44</v>
      </c>
      <c r="H130" s="392"/>
      <c r="I130" s="392"/>
      <c r="J130" s="392"/>
      <c r="K130" s="392"/>
      <c r="L130" s="392"/>
      <c r="M130" s="392"/>
      <c r="N130" s="392"/>
      <c r="O130" s="392"/>
      <c r="P130" s="392"/>
      <c r="Q130" s="392"/>
      <c r="R130" s="392"/>
      <c r="S130" s="392"/>
      <c r="T130" s="392"/>
      <c r="U130" s="392"/>
      <c r="V130" s="392"/>
      <c r="W130" s="392"/>
      <c r="X130" s="392"/>
      <c r="Y130" s="392"/>
      <c r="Z130" s="392"/>
      <c r="AA130" s="392"/>
      <c r="AB130" s="392"/>
      <c r="AC130" s="392"/>
      <c r="AD130" s="392"/>
      <c r="AE130" s="392"/>
      <c r="AF130" s="392"/>
      <c r="AG130" s="392"/>
      <c r="AH130" s="392"/>
      <c r="AI130" s="392"/>
      <c r="AJ130" s="392"/>
      <c r="AK130" s="392"/>
      <c r="AL130" s="392"/>
      <c r="AM130" s="392"/>
      <c r="AN130" s="392"/>
      <c r="AO130" s="392"/>
      <c r="AP130" s="392"/>
      <c r="AQ130" s="392"/>
      <c r="AR130" s="392"/>
      <c r="AS130" s="392"/>
      <c r="AT130" s="392"/>
      <c r="AU130" s="392"/>
      <c r="AV130" s="392"/>
      <c r="AW130" s="392"/>
      <c r="AX130" s="392"/>
      <c r="AY130" s="392"/>
      <c r="AZ130" s="392"/>
      <c r="BA130" s="392"/>
      <c r="BB130" s="392"/>
      <c r="BC130" s="392"/>
      <c r="BD130" s="392"/>
      <c r="BE130" s="392"/>
      <c r="BF130" s="392"/>
      <c r="BG130" s="392"/>
      <c r="BH130" s="392"/>
      <c r="BI130" s="392"/>
      <c r="BJ130" s="392"/>
      <c r="BK130" s="392"/>
      <c r="BL130" s="392"/>
      <c r="BM130" s="392"/>
      <c r="BN130" s="392"/>
      <c r="BO130" s="392"/>
      <c r="BP130" s="392"/>
      <c r="BQ130" s="392"/>
      <c r="BR130" s="392"/>
      <c r="BS130" s="392"/>
      <c r="BT130" s="392"/>
      <c r="BU130" s="392"/>
      <c r="BV130" s="392"/>
      <c r="BW130" s="392"/>
      <c r="BX130" s="392"/>
      <c r="BY130" s="392"/>
      <c r="BZ130" s="392"/>
      <c r="CA130" s="392"/>
      <c r="CB130" s="392"/>
      <c r="CC130" s="392"/>
      <c r="CD130" s="392"/>
      <c r="CE130" s="392"/>
      <c r="CF130" s="392"/>
      <c r="CG130" s="392"/>
      <c r="CH130" s="392"/>
      <c r="CI130" s="392"/>
      <c r="CJ130" s="392"/>
      <c r="CK130" s="392"/>
      <c r="CL130" s="392"/>
      <c r="CM130" s="392"/>
      <c r="CN130" s="392"/>
      <c r="CO130" s="392"/>
      <c r="CP130" s="392"/>
      <c r="CQ130" s="392"/>
      <c r="CR130" s="392"/>
      <c r="CS130" s="392"/>
      <c r="CT130" s="392"/>
      <c r="CU130" s="392"/>
      <c r="CV130" s="392"/>
      <c r="CW130" s="392"/>
      <c r="CX130" s="392"/>
      <c r="CY130" s="392"/>
      <c r="CZ130" s="392"/>
      <c r="DA130" s="392"/>
      <c r="DB130" s="392"/>
      <c r="DC130" s="392"/>
      <c r="DD130" s="392"/>
      <c r="DE130" s="392"/>
      <c r="DF130" s="392"/>
      <c r="DG130" s="392"/>
      <c r="DH130" s="392"/>
      <c r="DI130" s="392"/>
      <c r="DJ130" s="392"/>
      <c r="DK130" s="392"/>
      <c r="DL130" s="392"/>
      <c r="DM130" s="392"/>
      <c r="DN130" s="392"/>
      <c r="DO130" s="392"/>
      <c r="DP130" s="392"/>
      <c r="DQ130" s="392"/>
      <c r="DR130" s="392"/>
      <c r="DS130" s="392"/>
      <c r="DT130" s="392"/>
      <c r="DU130" s="392"/>
      <c r="DV130" s="392"/>
      <c r="DW130" s="392"/>
      <c r="DX130" s="392"/>
      <c r="DY130" s="392"/>
      <c r="DZ130" s="392"/>
      <c r="EA130" s="392"/>
      <c r="EB130" s="392"/>
      <c r="EC130" s="392"/>
      <c r="ED130" s="392"/>
      <c r="EE130" s="392"/>
      <c r="EF130" s="392"/>
      <c r="EG130" s="392"/>
      <c r="EH130" s="392"/>
      <c r="EI130" s="392"/>
      <c r="EJ130" s="392"/>
      <c r="EK130" s="392"/>
      <c r="EL130" s="392"/>
      <c r="EM130" s="392"/>
      <c r="EN130" s="392"/>
      <c r="EO130" s="392"/>
      <c r="EP130" s="392"/>
      <c r="EQ130" s="392"/>
      <c r="ER130" s="392"/>
      <c r="ES130" s="392"/>
      <c r="ET130" s="392"/>
      <c r="EU130" s="392"/>
      <c r="EV130" s="392"/>
      <c r="EW130" s="392"/>
      <c r="EX130" s="392"/>
      <c r="EY130" s="392"/>
      <c r="EZ130" s="392"/>
      <c r="FA130" s="392"/>
      <c r="FB130" s="392"/>
      <c r="FC130" s="392"/>
      <c r="FD130" s="392"/>
      <c r="FE130" s="392"/>
      <c r="FF130" s="392"/>
      <c r="FG130" s="392"/>
      <c r="FH130" s="392"/>
      <c r="FI130" s="392"/>
      <c r="FJ130" s="392"/>
      <c r="FK130" s="392"/>
      <c r="FL130" s="392"/>
      <c r="FM130" s="392"/>
      <c r="FN130" s="392"/>
      <c r="FO130" s="392"/>
      <c r="FP130" s="392"/>
      <c r="FQ130" s="392"/>
      <c r="FR130" s="392"/>
      <c r="FS130" s="392"/>
      <c r="FT130" s="392"/>
      <c r="FU130" s="392"/>
      <c r="FV130" s="392"/>
      <c r="FW130" s="392"/>
      <c r="FX130" s="392"/>
      <c r="FY130" s="392"/>
      <c r="FZ130" s="392"/>
      <c r="GA130" s="392"/>
      <c r="GB130" s="392"/>
      <c r="GC130" s="392"/>
      <c r="GD130" s="392"/>
      <c r="GE130" s="392"/>
      <c r="GF130" s="392"/>
      <c r="GG130" s="392"/>
      <c r="GH130" s="392"/>
      <c r="GI130" s="392"/>
      <c r="GJ130" s="392"/>
      <c r="GK130" s="392"/>
      <c r="GL130" s="392"/>
      <c r="GM130" s="392"/>
      <c r="GN130" s="392"/>
      <c r="GO130" s="392"/>
      <c r="GP130" s="392"/>
      <c r="GQ130" s="392"/>
      <c r="GR130" s="392"/>
      <c r="GS130" s="392"/>
      <c r="GT130" s="392"/>
      <c r="GU130" s="392"/>
      <c r="GV130" s="392"/>
      <c r="GW130" s="392"/>
      <c r="GX130" s="392"/>
      <c r="GY130" s="392"/>
      <c r="GZ130" s="392"/>
      <c r="HA130" s="392"/>
      <c r="HB130" s="392"/>
      <c r="HC130" s="392"/>
      <c r="HD130" s="392"/>
      <c r="HE130" s="392"/>
      <c r="HF130" s="392"/>
      <c r="HG130" s="392"/>
      <c r="HH130" s="392"/>
      <c r="HI130" s="392"/>
      <c r="HJ130" s="392"/>
      <c r="HK130" s="392"/>
      <c r="HL130" s="392"/>
      <c r="HM130" s="392"/>
      <c r="HN130" s="392"/>
      <c r="HO130" s="392"/>
      <c r="HP130" s="392"/>
      <c r="HQ130" s="392"/>
      <c r="HR130" s="392"/>
      <c r="HS130" s="392"/>
      <c r="HT130" s="392"/>
      <c r="HU130" s="392"/>
      <c r="HV130" s="392"/>
      <c r="HW130" s="392"/>
      <c r="HX130" s="392"/>
      <c r="HY130" s="392"/>
      <c r="HZ130" s="392"/>
      <c r="IA130" s="392"/>
      <c r="IB130" s="392"/>
      <c r="IC130" s="392"/>
      <c r="ID130" s="392"/>
      <c r="IE130" s="392"/>
      <c r="IF130" s="392"/>
      <c r="IG130" s="392"/>
      <c r="IH130" s="392"/>
      <c r="II130" s="392"/>
      <c r="IJ130" s="392"/>
      <c r="IK130" s="392"/>
      <c r="IL130" s="392"/>
      <c r="IM130" s="392"/>
      <c r="IN130" s="392"/>
      <c r="IO130" s="392"/>
      <c r="IP130" s="392"/>
      <c r="IQ130" s="392"/>
      <c r="IR130" s="392"/>
      <c r="IS130" s="392"/>
      <c r="IT130" s="392"/>
      <c r="IU130" s="392"/>
      <c r="IV130" s="392"/>
    </row>
    <row r="131" spans="1:256" ht="15.75" thickBot="1">
      <c r="A131" s="392" t="s">
        <v>391</v>
      </c>
      <c r="B131" s="437" t="s">
        <v>57</v>
      </c>
      <c r="C131" s="318" t="e">
        <f>IF($A131="INSUMO",VLOOKUP($B131,'BANCO DE DADOS JANEIRO-24 INS'!$A:$D,2,FALSE),VLOOKUP($B131,'BANCO DE DADOS JANEIRO-24 SERV'!$B:$E,2,FALSE))</f>
        <v>#N/A</v>
      </c>
      <c r="D131" s="319" t="e">
        <f>IF($A131="INSUMO",VLOOKUP($B131,'BANCO DE DADOS JANEIRO-24 INS'!$A:$D,3,FALSE),VLOOKUP($B131,'BANCO DE DADOS JANEIRO-24 SERV'!$B:$E,3,FALSE))</f>
        <v>#N/A</v>
      </c>
      <c r="E131" s="599">
        <f>E129</f>
        <v>0.108</v>
      </c>
      <c r="F131" s="321" t="e">
        <f>IF($A131="INSUMO",VLOOKUP($B131,'BANCO DE DADOS JANEIRO-24 INS'!$A:$D,4,FALSE),VLOOKUP($B131,'BANCO DE DADOS JANEIRO-24 SERV'!$B:$E,4,FALSE))</f>
        <v>#N/A</v>
      </c>
      <c r="G131" s="438" t="e">
        <f>TRUNC(F131*E131,2)</f>
        <v>#N/A</v>
      </c>
      <c r="H131" s="392"/>
      <c r="I131" s="392"/>
      <c r="J131" s="392"/>
      <c r="K131" s="392"/>
      <c r="L131" s="392"/>
      <c r="M131" s="392"/>
      <c r="N131" s="392"/>
      <c r="O131" s="392"/>
      <c r="P131" s="392"/>
      <c r="Q131" s="392"/>
      <c r="R131" s="392"/>
      <c r="S131" s="392"/>
      <c r="T131" s="392"/>
      <c r="U131" s="392"/>
      <c r="V131" s="392"/>
      <c r="W131" s="392"/>
      <c r="X131" s="392"/>
      <c r="Y131" s="392"/>
      <c r="Z131" s="392"/>
      <c r="AA131" s="392"/>
      <c r="AB131" s="392"/>
      <c r="AC131" s="392"/>
      <c r="AD131" s="392"/>
      <c r="AE131" s="392"/>
      <c r="AF131" s="392"/>
      <c r="AG131" s="392"/>
      <c r="AH131" s="392"/>
      <c r="AI131" s="392"/>
      <c r="AJ131" s="392"/>
      <c r="AK131" s="392"/>
      <c r="AL131" s="392"/>
      <c r="AM131" s="392"/>
      <c r="AN131" s="392"/>
      <c r="AO131" s="392"/>
      <c r="AP131" s="392"/>
      <c r="AQ131" s="392"/>
      <c r="AR131" s="392"/>
      <c r="AS131" s="392"/>
      <c r="AT131" s="392"/>
      <c r="AU131" s="392"/>
      <c r="AV131" s="392"/>
      <c r="AW131" s="392"/>
      <c r="AX131" s="392"/>
      <c r="AY131" s="392"/>
      <c r="AZ131" s="392"/>
      <c r="BA131" s="392"/>
      <c r="BB131" s="392"/>
      <c r="BC131" s="392"/>
      <c r="BD131" s="392"/>
      <c r="BE131" s="392"/>
      <c r="BF131" s="392"/>
      <c r="BG131" s="392"/>
      <c r="BH131" s="392"/>
      <c r="BI131" s="392"/>
      <c r="BJ131" s="392"/>
      <c r="BK131" s="392"/>
      <c r="BL131" s="392"/>
      <c r="BM131" s="392"/>
      <c r="BN131" s="392"/>
      <c r="BO131" s="392"/>
      <c r="BP131" s="392"/>
      <c r="BQ131" s="392"/>
      <c r="BR131" s="392"/>
      <c r="BS131" s="392"/>
      <c r="BT131" s="392"/>
      <c r="BU131" s="392"/>
      <c r="BV131" s="392"/>
      <c r="BW131" s="392"/>
      <c r="BX131" s="392"/>
      <c r="BY131" s="392"/>
      <c r="BZ131" s="392"/>
      <c r="CA131" s="392"/>
      <c r="CB131" s="392"/>
      <c r="CC131" s="392"/>
      <c r="CD131" s="392"/>
      <c r="CE131" s="392"/>
      <c r="CF131" s="392"/>
      <c r="CG131" s="392"/>
      <c r="CH131" s="392"/>
      <c r="CI131" s="392"/>
      <c r="CJ131" s="392"/>
      <c r="CK131" s="392"/>
      <c r="CL131" s="392"/>
      <c r="CM131" s="392"/>
      <c r="CN131" s="392"/>
      <c r="CO131" s="392"/>
      <c r="CP131" s="392"/>
      <c r="CQ131" s="392"/>
      <c r="CR131" s="392"/>
      <c r="CS131" s="392"/>
      <c r="CT131" s="392"/>
      <c r="CU131" s="392"/>
      <c r="CV131" s="392"/>
      <c r="CW131" s="392"/>
      <c r="CX131" s="392"/>
      <c r="CY131" s="392"/>
      <c r="CZ131" s="392"/>
      <c r="DA131" s="392"/>
      <c r="DB131" s="392"/>
      <c r="DC131" s="392"/>
      <c r="DD131" s="392"/>
      <c r="DE131" s="392"/>
      <c r="DF131" s="392"/>
      <c r="DG131" s="392"/>
      <c r="DH131" s="392"/>
      <c r="DI131" s="392"/>
      <c r="DJ131" s="392"/>
      <c r="DK131" s="392"/>
      <c r="DL131" s="392"/>
      <c r="DM131" s="392"/>
      <c r="DN131" s="392"/>
      <c r="DO131" s="392"/>
      <c r="DP131" s="392"/>
      <c r="DQ131" s="392"/>
      <c r="DR131" s="392"/>
      <c r="DS131" s="392"/>
      <c r="DT131" s="392"/>
      <c r="DU131" s="392"/>
      <c r="DV131" s="392"/>
      <c r="DW131" s="392"/>
      <c r="DX131" s="392"/>
      <c r="DY131" s="392"/>
      <c r="DZ131" s="392"/>
      <c r="EA131" s="392"/>
      <c r="EB131" s="392"/>
      <c r="EC131" s="392"/>
      <c r="ED131" s="392"/>
      <c r="EE131" s="392"/>
      <c r="EF131" s="392"/>
      <c r="EG131" s="392"/>
      <c r="EH131" s="392"/>
      <c r="EI131" s="392"/>
      <c r="EJ131" s="392"/>
      <c r="EK131" s="392"/>
      <c r="EL131" s="392"/>
      <c r="EM131" s="392"/>
      <c r="EN131" s="392"/>
      <c r="EO131" s="392"/>
      <c r="EP131" s="392"/>
      <c r="EQ131" s="392"/>
      <c r="ER131" s="392"/>
      <c r="ES131" s="392"/>
      <c r="ET131" s="392"/>
      <c r="EU131" s="392"/>
      <c r="EV131" s="392"/>
      <c r="EW131" s="392"/>
      <c r="EX131" s="392"/>
      <c r="EY131" s="392"/>
      <c r="EZ131" s="392"/>
      <c r="FA131" s="392"/>
      <c r="FB131" s="392"/>
      <c r="FC131" s="392"/>
      <c r="FD131" s="392"/>
      <c r="FE131" s="392"/>
      <c r="FF131" s="392"/>
      <c r="FG131" s="392"/>
      <c r="FH131" s="392"/>
      <c r="FI131" s="392"/>
      <c r="FJ131" s="392"/>
      <c r="FK131" s="392"/>
      <c r="FL131" s="392"/>
      <c r="FM131" s="392"/>
      <c r="FN131" s="392"/>
      <c r="FO131" s="392"/>
      <c r="FP131" s="392"/>
      <c r="FQ131" s="392"/>
      <c r="FR131" s="392"/>
      <c r="FS131" s="392"/>
      <c r="FT131" s="392"/>
      <c r="FU131" s="392"/>
      <c r="FV131" s="392"/>
      <c r="FW131" s="392"/>
      <c r="FX131" s="392"/>
      <c r="FY131" s="392"/>
      <c r="FZ131" s="392"/>
      <c r="GA131" s="392"/>
      <c r="GB131" s="392"/>
      <c r="GC131" s="392"/>
      <c r="GD131" s="392"/>
      <c r="GE131" s="392"/>
      <c r="GF131" s="392"/>
      <c r="GG131" s="392"/>
      <c r="GH131" s="392"/>
      <c r="GI131" s="392"/>
      <c r="GJ131" s="392"/>
      <c r="GK131" s="392"/>
      <c r="GL131" s="392"/>
      <c r="GM131" s="392"/>
      <c r="GN131" s="392"/>
      <c r="GO131" s="392"/>
      <c r="GP131" s="392"/>
      <c r="GQ131" s="392"/>
      <c r="GR131" s="392"/>
      <c r="GS131" s="392"/>
      <c r="GT131" s="392"/>
      <c r="GU131" s="392"/>
      <c r="GV131" s="392"/>
      <c r="GW131" s="392"/>
      <c r="GX131" s="392"/>
      <c r="GY131" s="392"/>
      <c r="GZ131" s="392"/>
      <c r="HA131" s="392"/>
      <c r="HB131" s="392"/>
      <c r="HC131" s="392"/>
      <c r="HD131" s="392"/>
      <c r="HE131" s="392"/>
      <c r="HF131" s="392"/>
      <c r="HG131" s="392"/>
      <c r="HH131" s="392"/>
      <c r="HI131" s="392"/>
      <c r="HJ131" s="392"/>
      <c r="HK131" s="392"/>
      <c r="HL131" s="392"/>
      <c r="HM131" s="392"/>
      <c r="HN131" s="392"/>
      <c r="HO131" s="392"/>
      <c r="HP131" s="392"/>
      <c r="HQ131" s="392"/>
      <c r="HR131" s="392"/>
      <c r="HS131" s="392"/>
      <c r="HT131" s="392"/>
      <c r="HU131" s="392"/>
      <c r="HV131" s="392"/>
      <c r="HW131" s="392"/>
      <c r="HX131" s="392"/>
      <c r="HY131" s="392"/>
      <c r="HZ131" s="392"/>
      <c r="IA131" s="392"/>
      <c r="IB131" s="392"/>
      <c r="IC131" s="392"/>
      <c r="ID131" s="392"/>
      <c r="IE131" s="392"/>
      <c r="IF131" s="392"/>
      <c r="IG131" s="392"/>
      <c r="IH131" s="392"/>
      <c r="II131" s="392"/>
      <c r="IJ131" s="392"/>
      <c r="IK131" s="392"/>
      <c r="IL131" s="392"/>
      <c r="IM131" s="392"/>
      <c r="IN131" s="392"/>
      <c r="IO131" s="392"/>
      <c r="IP131" s="392"/>
      <c r="IQ131" s="392"/>
      <c r="IR131" s="392"/>
      <c r="IS131" s="392"/>
      <c r="IT131" s="392"/>
      <c r="IU131" s="392"/>
      <c r="IV131" s="392"/>
    </row>
    <row r="132" spans="1:256" ht="16.5" thickBot="1">
      <c r="A132" s="392"/>
      <c r="B132" s="439" t="s">
        <v>1705</v>
      </c>
      <c r="C132" s="440"/>
      <c r="D132" s="441"/>
      <c r="E132" s="442"/>
      <c r="F132" s="443" t="s">
        <v>167</v>
      </c>
      <c r="G132" s="444" t="e">
        <f>TRUNC(SUM(G128:G131),2)</f>
        <v>#N/A</v>
      </c>
      <c r="H132" s="392"/>
      <c r="I132" s="392"/>
      <c r="J132" s="392"/>
      <c r="K132" s="392"/>
      <c r="L132" s="392"/>
      <c r="M132" s="392"/>
      <c r="N132" s="392"/>
      <c r="O132" s="392"/>
      <c r="P132" s="392"/>
      <c r="Q132" s="392"/>
      <c r="R132" s="392"/>
      <c r="S132" s="392"/>
      <c r="T132" s="392"/>
      <c r="U132" s="392"/>
      <c r="V132" s="392"/>
      <c r="W132" s="392"/>
      <c r="X132" s="392"/>
      <c r="Y132" s="392"/>
      <c r="Z132" s="392"/>
      <c r="AA132" s="392"/>
      <c r="AB132" s="392"/>
      <c r="AC132" s="392"/>
      <c r="AD132" s="392"/>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392"/>
      <c r="BF132" s="392"/>
      <c r="BG132" s="392"/>
      <c r="BH132" s="392"/>
      <c r="BI132" s="392"/>
      <c r="BJ132" s="392"/>
      <c r="BK132" s="392"/>
      <c r="BL132" s="392"/>
      <c r="BM132" s="392"/>
      <c r="BN132" s="392"/>
      <c r="BO132" s="392"/>
      <c r="BP132" s="392"/>
      <c r="BQ132" s="392"/>
      <c r="BR132" s="392"/>
      <c r="BS132" s="392"/>
      <c r="BT132" s="392"/>
      <c r="BU132" s="392"/>
      <c r="BV132" s="392"/>
      <c r="BW132" s="392"/>
      <c r="BX132" s="392"/>
      <c r="BY132" s="392"/>
      <c r="BZ132" s="392"/>
      <c r="CA132" s="392"/>
      <c r="CB132" s="392"/>
      <c r="CC132" s="392"/>
      <c r="CD132" s="392"/>
      <c r="CE132" s="392"/>
      <c r="CF132" s="392"/>
      <c r="CG132" s="392"/>
      <c r="CH132" s="392"/>
      <c r="CI132" s="39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c r="DD132" s="392"/>
      <c r="DE132" s="392"/>
      <c r="DF132" s="392"/>
      <c r="DG132" s="392"/>
      <c r="DH132" s="392"/>
      <c r="DI132" s="392"/>
      <c r="DJ132" s="392"/>
      <c r="DK132" s="392"/>
      <c r="DL132" s="392"/>
      <c r="DM132" s="392"/>
      <c r="DN132" s="392"/>
      <c r="DO132" s="392"/>
      <c r="DP132" s="392"/>
      <c r="DQ132" s="392"/>
      <c r="DR132" s="392"/>
      <c r="DS132" s="392"/>
      <c r="DT132" s="392"/>
      <c r="DU132" s="392"/>
      <c r="DV132" s="392"/>
      <c r="DW132" s="392"/>
      <c r="DX132" s="392"/>
      <c r="DY132" s="392"/>
      <c r="DZ132" s="392"/>
      <c r="EA132" s="392"/>
      <c r="EB132" s="392"/>
      <c r="EC132" s="392"/>
      <c r="ED132" s="392"/>
      <c r="EE132" s="392"/>
      <c r="EF132" s="392"/>
      <c r="EG132" s="392"/>
      <c r="EH132" s="392"/>
      <c r="EI132" s="392"/>
      <c r="EJ132" s="392"/>
      <c r="EK132" s="392"/>
      <c r="EL132" s="392"/>
      <c r="EM132" s="392"/>
      <c r="EN132" s="392"/>
      <c r="EO132" s="392"/>
      <c r="EP132" s="392"/>
      <c r="EQ132" s="392"/>
      <c r="ER132" s="392"/>
      <c r="ES132" s="392"/>
      <c r="ET132" s="392"/>
      <c r="EU132" s="392"/>
      <c r="EV132" s="392"/>
      <c r="EW132" s="392"/>
      <c r="EX132" s="392"/>
      <c r="EY132" s="392"/>
      <c r="EZ132" s="392"/>
      <c r="FA132" s="392"/>
      <c r="FB132" s="392"/>
      <c r="FC132" s="392"/>
      <c r="FD132" s="392"/>
      <c r="FE132" s="392"/>
      <c r="FF132" s="392"/>
      <c r="FG132" s="392"/>
      <c r="FH132" s="392"/>
      <c r="FI132" s="392"/>
      <c r="FJ132" s="392"/>
      <c r="FK132" s="392"/>
      <c r="FL132" s="392"/>
      <c r="FM132" s="392"/>
      <c r="FN132" s="392"/>
      <c r="FO132" s="392"/>
      <c r="FP132" s="392"/>
      <c r="FQ132" s="392"/>
      <c r="FR132" s="392"/>
      <c r="FS132" s="392"/>
      <c r="FT132" s="392"/>
      <c r="FU132" s="392"/>
      <c r="FV132" s="392"/>
      <c r="FW132" s="392"/>
      <c r="FX132" s="392"/>
      <c r="FY132" s="392"/>
      <c r="FZ132" s="392"/>
      <c r="GA132" s="392"/>
      <c r="GB132" s="392"/>
      <c r="GC132" s="392"/>
      <c r="GD132" s="392"/>
      <c r="GE132" s="392"/>
      <c r="GF132" s="392"/>
      <c r="GG132" s="392"/>
      <c r="GH132" s="392"/>
      <c r="GI132" s="392"/>
      <c r="GJ132" s="392"/>
      <c r="GK132" s="392"/>
      <c r="GL132" s="392"/>
      <c r="GM132" s="392"/>
      <c r="GN132" s="392"/>
      <c r="GO132" s="392"/>
      <c r="GP132" s="392"/>
      <c r="GQ132" s="392"/>
      <c r="GR132" s="392"/>
      <c r="GS132" s="392"/>
      <c r="GT132" s="392"/>
      <c r="GU132" s="392"/>
      <c r="GV132" s="392"/>
      <c r="GW132" s="392"/>
      <c r="GX132" s="392"/>
      <c r="GY132" s="392"/>
      <c r="GZ132" s="392"/>
      <c r="HA132" s="392"/>
      <c r="HB132" s="392"/>
      <c r="HC132" s="392"/>
      <c r="HD132" s="392"/>
      <c r="HE132" s="392"/>
      <c r="HF132" s="392"/>
      <c r="HG132" s="392"/>
      <c r="HH132" s="392"/>
      <c r="HI132" s="392"/>
      <c r="HJ132" s="392"/>
      <c r="HK132" s="392"/>
      <c r="HL132" s="392"/>
      <c r="HM132" s="392"/>
      <c r="HN132" s="392"/>
      <c r="HO132" s="392"/>
      <c r="HP132" s="392"/>
      <c r="HQ132" s="392"/>
      <c r="HR132" s="392"/>
      <c r="HS132" s="392"/>
      <c r="HT132" s="392"/>
      <c r="HU132" s="392"/>
      <c r="HV132" s="392"/>
      <c r="HW132" s="392"/>
      <c r="HX132" s="392"/>
      <c r="HY132" s="392"/>
      <c r="HZ132" s="392"/>
      <c r="IA132" s="392"/>
      <c r="IB132" s="392"/>
      <c r="IC132" s="392"/>
      <c r="ID132" s="392"/>
      <c r="IE132" s="392"/>
      <c r="IF132" s="392"/>
      <c r="IG132" s="392"/>
      <c r="IH132" s="392"/>
      <c r="II132" s="392"/>
      <c r="IJ132" s="392"/>
      <c r="IK132" s="392"/>
      <c r="IL132" s="392"/>
      <c r="IM132" s="392"/>
      <c r="IN132" s="392"/>
      <c r="IO132" s="392"/>
      <c r="IP132" s="392"/>
      <c r="IQ132" s="392"/>
      <c r="IR132" s="392"/>
      <c r="IS132" s="392"/>
      <c r="IT132" s="392"/>
      <c r="IU132" s="392"/>
      <c r="IV132" s="392"/>
    </row>
    <row r="133" spans="1:256" ht="409.5" customHeight="1">
      <c r="A133" s="392"/>
      <c r="B133" s="2355"/>
      <c r="C133" s="2355"/>
      <c r="D133" s="2355"/>
      <c r="E133" s="2355"/>
      <c r="F133" s="2355"/>
      <c r="G133" s="2355"/>
      <c r="H133" s="392"/>
      <c r="I133" s="392"/>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2"/>
      <c r="BF133" s="392"/>
      <c r="BG133" s="392"/>
      <c r="BH133" s="392"/>
      <c r="BI133" s="392"/>
      <c r="BJ133" s="392"/>
      <c r="BK133" s="392"/>
      <c r="BL133" s="392"/>
      <c r="BM133" s="392"/>
      <c r="BN133" s="392"/>
      <c r="BO133" s="392"/>
      <c r="BP133" s="392"/>
      <c r="BQ133" s="392"/>
      <c r="BR133" s="392"/>
      <c r="BS133" s="392"/>
      <c r="BT133" s="392"/>
      <c r="BU133" s="392"/>
      <c r="BV133" s="392"/>
      <c r="BW133" s="392"/>
      <c r="BX133" s="392"/>
      <c r="BY133" s="392"/>
      <c r="BZ133" s="392"/>
      <c r="CA133" s="392"/>
      <c r="CB133" s="392"/>
      <c r="CC133" s="392"/>
      <c r="CD133" s="392"/>
      <c r="CE133" s="392"/>
      <c r="CF133" s="392"/>
      <c r="CG133" s="392"/>
      <c r="CH133" s="392"/>
      <c r="CI133" s="39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c r="DD133" s="392"/>
      <c r="DE133" s="392"/>
      <c r="DF133" s="392"/>
      <c r="DG133" s="392"/>
      <c r="DH133" s="392"/>
      <c r="DI133" s="392"/>
      <c r="DJ133" s="392"/>
      <c r="DK133" s="392"/>
      <c r="DL133" s="392"/>
      <c r="DM133" s="392"/>
      <c r="DN133" s="392"/>
      <c r="DO133" s="392"/>
      <c r="DP133" s="392"/>
      <c r="DQ133" s="392"/>
      <c r="DR133" s="392"/>
      <c r="DS133" s="392"/>
      <c r="DT133" s="392"/>
      <c r="DU133" s="392"/>
      <c r="DV133" s="392"/>
      <c r="DW133" s="392"/>
      <c r="DX133" s="392"/>
      <c r="DY133" s="392"/>
      <c r="DZ133" s="392"/>
      <c r="EA133" s="392"/>
      <c r="EB133" s="392"/>
      <c r="EC133" s="392"/>
      <c r="ED133" s="392"/>
      <c r="EE133" s="392"/>
      <c r="EF133" s="392"/>
      <c r="EG133" s="392"/>
      <c r="EH133" s="392"/>
      <c r="EI133" s="392"/>
      <c r="EJ133" s="392"/>
      <c r="EK133" s="392"/>
      <c r="EL133" s="392"/>
      <c r="EM133" s="392"/>
      <c r="EN133" s="392"/>
      <c r="EO133" s="392"/>
      <c r="EP133" s="392"/>
      <c r="EQ133" s="392"/>
      <c r="ER133" s="392"/>
      <c r="ES133" s="392"/>
      <c r="ET133" s="392"/>
      <c r="EU133" s="392"/>
      <c r="EV133" s="392"/>
      <c r="EW133" s="392"/>
      <c r="EX133" s="392"/>
      <c r="EY133" s="392"/>
      <c r="EZ133" s="392"/>
      <c r="FA133" s="392"/>
      <c r="FB133" s="392"/>
      <c r="FC133" s="392"/>
      <c r="FD133" s="392"/>
      <c r="FE133" s="392"/>
      <c r="FF133" s="392"/>
      <c r="FG133" s="392"/>
      <c r="FH133" s="392"/>
      <c r="FI133" s="392"/>
      <c r="FJ133" s="392"/>
      <c r="FK133" s="392"/>
      <c r="FL133" s="392"/>
      <c r="FM133" s="392"/>
      <c r="FN133" s="392"/>
      <c r="FO133" s="392"/>
      <c r="FP133" s="392"/>
      <c r="FQ133" s="392"/>
      <c r="FR133" s="392"/>
      <c r="FS133" s="392"/>
      <c r="FT133" s="392"/>
      <c r="FU133" s="392"/>
      <c r="FV133" s="392"/>
      <c r="FW133" s="392"/>
      <c r="FX133" s="392"/>
      <c r="FY133" s="392"/>
      <c r="FZ133" s="392"/>
      <c r="GA133" s="392"/>
      <c r="GB133" s="392"/>
      <c r="GC133" s="392"/>
      <c r="GD133" s="392"/>
      <c r="GE133" s="392"/>
      <c r="GF133" s="392"/>
      <c r="GG133" s="392"/>
      <c r="GH133" s="392"/>
      <c r="GI133" s="392"/>
      <c r="GJ133" s="392"/>
      <c r="GK133" s="392"/>
      <c r="GL133" s="392"/>
      <c r="GM133" s="392"/>
      <c r="GN133" s="392"/>
      <c r="GO133" s="392"/>
      <c r="GP133" s="392"/>
      <c r="GQ133" s="392"/>
      <c r="GR133" s="392"/>
      <c r="GS133" s="392"/>
      <c r="GT133" s="392"/>
      <c r="GU133" s="392"/>
      <c r="GV133" s="392"/>
      <c r="GW133" s="392"/>
      <c r="GX133" s="392"/>
      <c r="GY133" s="392"/>
      <c r="GZ133" s="392"/>
      <c r="HA133" s="392"/>
      <c r="HB133" s="392"/>
      <c r="HC133" s="392"/>
      <c r="HD133" s="392"/>
      <c r="HE133" s="392"/>
      <c r="HF133" s="392"/>
      <c r="HG133" s="392"/>
      <c r="HH133" s="392"/>
      <c r="HI133" s="392"/>
      <c r="HJ133" s="392"/>
      <c r="HK133" s="392"/>
      <c r="HL133" s="392"/>
      <c r="HM133" s="392"/>
      <c r="HN133" s="392"/>
      <c r="HO133" s="392"/>
      <c r="HP133" s="392"/>
      <c r="HQ133" s="392"/>
      <c r="HR133" s="392"/>
      <c r="HS133" s="392"/>
      <c r="HT133" s="392"/>
      <c r="HU133" s="392"/>
      <c r="HV133" s="392"/>
      <c r="HW133" s="392"/>
      <c r="HX133" s="392"/>
      <c r="HY133" s="392"/>
      <c r="HZ133" s="392"/>
      <c r="IA133" s="392"/>
      <c r="IB133" s="392"/>
      <c r="IC133" s="392"/>
      <c r="ID133" s="392"/>
      <c r="IE133" s="392"/>
      <c r="IF133" s="392"/>
      <c r="IG133" s="392"/>
      <c r="IH133" s="392"/>
      <c r="II133" s="392"/>
      <c r="IJ133" s="392"/>
      <c r="IK133" s="392"/>
      <c r="IL133" s="392"/>
      <c r="IM133" s="392"/>
      <c r="IN133" s="392"/>
      <c r="IO133" s="392"/>
      <c r="IP133" s="392"/>
      <c r="IQ133" s="392"/>
      <c r="IR133" s="392"/>
      <c r="IS133" s="392"/>
      <c r="IT133" s="392"/>
      <c r="IU133" s="392"/>
      <c r="IV133" s="392"/>
    </row>
    <row r="134" spans="1:256" ht="138.75" customHeight="1" thickBot="1">
      <c r="A134" s="392"/>
      <c r="B134" s="2356"/>
      <c r="C134" s="2356"/>
      <c r="D134" s="2356"/>
      <c r="E134" s="2356"/>
      <c r="F134" s="2356"/>
      <c r="G134" s="2356"/>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2"/>
      <c r="BF134" s="392"/>
      <c r="BG134" s="392"/>
      <c r="BH134" s="392"/>
      <c r="BI134" s="392"/>
      <c r="BJ134" s="392"/>
      <c r="BK134" s="392"/>
      <c r="BL134" s="392"/>
      <c r="BM134" s="392"/>
      <c r="BN134" s="392"/>
      <c r="BO134" s="392"/>
      <c r="BP134" s="392"/>
      <c r="BQ134" s="392"/>
      <c r="BR134" s="392"/>
      <c r="BS134" s="392"/>
      <c r="BT134" s="392"/>
      <c r="BU134" s="392"/>
      <c r="BV134" s="392"/>
      <c r="BW134" s="392"/>
      <c r="BX134" s="392"/>
      <c r="BY134" s="392"/>
      <c r="BZ134" s="392"/>
      <c r="CA134" s="392"/>
      <c r="CB134" s="392"/>
      <c r="CC134" s="392"/>
      <c r="CD134" s="392"/>
      <c r="CE134" s="392"/>
      <c r="CF134" s="392"/>
      <c r="CG134" s="392"/>
      <c r="CH134" s="392"/>
      <c r="CI134" s="39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c r="DD134" s="392"/>
      <c r="DE134" s="392"/>
      <c r="DF134" s="392"/>
      <c r="DG134" s="392"/>
      <c r="DH134" s="392"/>
      <c r="DI134" s="392"/>
      <c r="DJ134" s="392"/>
      <c r="DK134" s="392"/>
      <c r="DL134" s="392"/>
      <c r="DM134" s="392"/>
      <c r="DN134" s="392"/>
      <c r="DO134" s="392"/>
      <c r="DP134" s="392"/>
      <c r="DQ134" s="392"/>
      <c r="DR134" s="392"/>
      <c r="DS134" s="392"/>
      <c r="DT134" s="392"/>
      <c r="DU134" s="392"/>
      <c r="DV134" s="392"/>
      <c r="DW134" s="392"/>
      <c r="DX134" s="392"/>
      <c r="DY134" s="392"/>
      <c r="DZ134" s="392"/>
      <c r="EA134" s="392"/>
      <c r="EB134" s="392"/>
      <c r="EC134" s="392"/>
      <c r="ED134" s="392"/>
      <c r="EE134" s="392"/>
      <c r="EF134" s="392"/>
      <c r="EG134" s="392"/>
      <c r="EH134" s="392"/>
      <c r="EI134" s="392"/>
      <c r="EJ134" s="392"/>
      <c r="EK134" s="392"/>
      <c r="EL134" s="392"/>
      <c r="EM134" s="392"/>
      <c r="EN134" s="392"/>
      <c r="EO134" s="392"/>
      <c r="EP134" s="392"/>
      <c r="EQ134" s="392"/>
      <c r="ER134" s="392"/>
      <c r="ES134" s="392"/>
      <c r="ET134" s="392"/>
      <c r="EU134" s="392"/>
      <c r="EV134" s="392"/>
      <c r="EW134" s="392"/>
      <c r="EX134" s="392"/>
      <c r="EY134" s="392"/>
      <c r="EZ134" s="392"/>
      <c r="FA134" s="392"/>
      <c r="FB134" s="392"/>
      <c r="FC134" s="392"/>
      <c r="FD134" s="392"/>
      <c r="FE134" s="392"/>
      <c r="FF134" s="392"/>
      <c r="FG134" s="392"/>
      <c r="FH134" s="392"/>
      <c r="FI134" s="392"/>
      <c r="FJ134" s="392"/>
      <c r="FK134" s="392"/>
      <c r="FL134" s="392"/>
      <c r="FM134" s="392"/>
      <c r="FN134" s="392"/>
      <c r="FO134" s="392"/>
      <c r="FP134" s="392"/>
      <c r="FQ134" s="392"/>
      <c r="FR134" s="392"/>
      <c r="FS134" s="392"/>
      <c r="FT134" s="392"/>
      <c r="FU134" s="392"/>
      <c r="FV134" s="392"/>
      <c r="FW134" s="392"/>
      <c r="FX134" s="392"/>
      <c r="FY134" s="392"/>
      <c r="FZ134" s="392"/>
      <c r="GA134" s="392"/>
      <c r="GB134" s="392"/>
      <c r="GC134" s="392"/>
      <c r="GD134" s="392"/>
      <c r="GE134" s="392"/>
      <c r="GF134" s="392"/>
      <c r="GG134" s="392"/>
      <c r="GH134" s="392"/>
      <c r="GI134" s="392"/>
      <c r="GJ134" s="392"/>
      <c r="GK134" s="392"/>
      <c r="GL134" s="392"/>
      <c r="GM134" s="392"/>
      <c r="GN134" s="392"/>
      <c r="GO134" s="392"/>
      <c r="GP134" s="392"/>
      <c r="GQ134" s="392"/>
      <c r="GR134" s="392"/>
      <c r="GS134" s="392"/>
      <c r="GT134" s="392"/>
      <c r="GU134" s="392"/>
      <c r="GV134" s="392"/>
      <c r="GW134" s="392"/>
      <c r="GX134" s="392"/>
      <c r="GY134" s="392"/>
      <c r="GZ134" s="392"/>
      <c r="HA134" s="392"/>
      <c r="HB134" s="392"/>
      <c r="HC134" s="392"/>
      <c r="HD134" s="392"/>
      <c r="HE134" s="392"/>
      <c r="HF134" s="392"/>
      <c r="HG134" s="392"/>
      <c r="HH134" s="392"/>
      <c r="HI134" s="392"/>
      <c r="HJ134" s="392"/>
      <c r="HK134" s="392"/>
      <c r="HL134" s="392"/>
      <c r="HM134" s="392"/>
      <c r="HN134" s="392"/>
      <c r="HO134" s="392"/>
      <c r="HP134" s="392"/>
      <c r="HQ134" s="392"/>
      <c r="HR134" s="392"/>
      <c r="HS134" s="392"/>
      <c r="HT134" s="392"/>
      <c r="HU134" s="392"/>
      <c r="HV134" s="392"/>
      <c r="HW134" s="392"/>
      <c r="HX134" s="392"/>
      <c r="HY134" s="392"/>
      <c r="HZ134" s="392"/>
      <c r="IA134" s="392"/>
      <c r="IB134" s="392"/>
      <c r="IC134" s="392"/>
      <c r="ID134" s="392"/>
      <c r="IE134" s="392"/>
      <c r="IF134" s="392"/>
      <c r="IG134" s="392"/>
      <c r="IH134" s="392"/>
      <c r="II134" s="392"/>
      <c r="IJ134" s="392"/>
      <c r="IK134" s="392"/>
      <c r="IL134" s="392"/>
      <c r="IM134" s="392"/>
      <c r="IN134" s="392"/>
      <c r="IO134" s="392"/>
      <c r="IP134" s="392"/>
      <c r="IQ134" s="392"/>
      <c r="IR134" s="392"/>
      <c r="IS134" s="392"/>
      <c r="IT134" s="392"/>
      <c r="IU134" s="392"/>
      <c r="IV134" s="392"/>
    </row>
    <row r="135" spans="1:256" ht="31.5">
      <c r="A135" s="392"/>
      <c r="B135" s="581" t="s">
        <v>1706</v>
      </c>
      <c r="C135" s="2327" t="s">
        <v>1715</v>
      </c>
      <c r="D135" s="2328"/>
      <c r="E135" s="2328"/>
      <c r="F135" s="2329"/>
      <c r="G135" s="554" t="s">
        <v>22</v>
      </c>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392"/>
      <c r="BF135" s="392"/>
      <c r="BG135" s="392"/>
      <c r="BH135" s="392"/>
      <c r="BI135" s="392"/>
      <c r="BJ135" s="392"/>
      <c r="BK135" s="392"/>
      <c r="BL135" s="392"/>
      <c r="BM135" s="392"/>
      <c r="BN135" s="392"/>
      <c r="BO135" s="392"/>
      <c r="BP135" s="392"/>
      <c r="BQ135" s="392"/>
      <c r="BR135" s="392"/>
      <c r="BS135" s="392"/>
      <c r="BT135" s="392"/>
      <c r="BU135" s="392"/>
      <c r="BV135" s="392"/>
      <c r="BW135" s="392"/>
      <c r="BX135" s="392"/>
      <c r="BY135" s="392"/>
      <c r="BZ135" s="392"/>
      <c r="CA135" s="392"/>
      <c r="CB135" s="392"/>
      <c r="CC135" s="392"/>
      <c r="CD135" s="392"/>
      <c r="CE135" s="392"/>
      <c r="CF135" s="392"/>
      <c r="CG135" s="392"/>
      <c r="CH135" s="392"/>
      <c r="CI135" s="39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c r="DD135" s="392"/>
      <c r="DE135" s="392"/>
      <c r="DF135" s="392"/>
      <c r="DG135" s="392"/>
      <c r="DH135" s="392"/>
      <c r="DI135" s="392"/>
      <c r="DJ135" s="392"/>
      <c r="DK135" s="392"/>
      <c r="DL135" s="392"/>
      <c r="DM135" s="392"/>
      <c r="DN135" s="392"/>
      <c r="DO135" s="392"/>
      <c r="DP135" s="392"/>
      <c r="DQ135" s="392"/>
      <c r="DR135" s="392"/>
      <c r="DS135" s="392"/>
      <c r="DT135" s="392"/>
      <c r="DU135" s="392"/>
      <c r="DV135" s="392"/>
      <c r="DW135" s="392"/>
      <c r="DX135" s="392"/>
      <c r="DY135" s="392"/>
      <c r="DZ135" s="392"/>
      <c r="EA135" s="392"/>
      <c r="EB135" s="392"/>
      <c r="EC135" s="392"/>
      <c r="ED135" s="392"/>
      <c r="EE135" s="392"/>
      <c r="EF135" s="392"/>
      <c r="EG135" s="392"/>
      <c r="EH135" s="392"/>
      <c r="EI135" s="392"/>
      <c r="EJ135" s="392"/>
      <c r="EK135" s="392"/>
      <c r="EL135" s="392"/>
      <c r="EM135" s="392"/>
      <c r="EN135" s="392"/>
      <c r="EO135" s="392"/>
      <c r="EP135" s="392"/>
      <c r="EQ135" s="392"/>
      <c r="ER135" s="392"/>
      <c r="ES135" s="392"/>
      <c r="ET135" s="392"/>
      <c r="EU135" s="392"/>
      <c r="EV135" s="392"/>
      <c r="EW135" s="392"/>
      <c r="EX135" s="392"/>
      <c r="EY135" s="392"/>
      <c r="EZ135" s="392"/>
      <c r="FA135" s="392"/>
      <c r="FB135" s="392"/>
      <c r="FC135" s="392"/>
      <c r="FD135" s="392"/>
      <c r="FE135" s="392"/>
      <c r="FF135" s="392"/>
      <c r="FG135" s="392"/>
      <c r="FH135" s="392"/>
      <c r="FI135" s="392"/>
      <c r="FJ135" s="392"/>
      <c r="FK135" s="392"/>
      <c r="FL135" s="392"/>
      <c r="FM135" s="392"/>
      <c r="FN135" s="392"/>
      <c r="FO135" s="392"/>
      <c r="FP135" s="392"/>
      <c r="FQ135" s="392"/>
      <c r="FR135" s="392"/>
      <c r="FS135" s="392"/>
      <c r="FT135" s="392"/>
      <c r="FU135" s="392"/>
      <c r="FV135" s="392"/>
      <c r="FW135" s="392"/>
      <c r="FX135" s="392"/>
      <c r="FY135" s="392"/>
      <c r="FZ135" s="392"/>
      <c r="GA135" s="392"/>
      <c r="GB135" s="392"/>
      <c r="GC135" s="392"/>
      <c r="GD135" s="392"/>
      <c r="GE135" s="392"/>
      <c r="GF135" s="392"/>
      <c r="GG135" s="392"/>
      <c r="GH135" s="392"/>
      <c r="GI135" s="392"/>
      <c r="GJ135" s="392"/>
      <c r="GK135" s="392"/>
      <c r="GL135" s="392"/>
      <c r="GM135" s="392"/>
      <c r="GN135" s="392"/>
      <c r="GO135" s="392"/>
      <c r="GP135" s="392"/>
      <c r="GQ135" s="392"/>
      <c r="GR135" s="392"/>
      <c r="GS135" s="392"/>
      <c r="GT135" s="392"/>
      <c r="GU135" s="392"/>
      <c r="GV135" s="392"/>
      <c r="GW135" s="392"/>
      <c r="GX135" s="392"/>
      <c r="GY135" s="392"/>
      <c r="GZ135" s="392"/>
      <c r="HA135" s="392"/>
      <c r="HB135" s="392"/>
      <c r="HC135" s="392"/>
      <c r="HD135" s="392"/>
      <c r="HE135" s="392"/>
      <c r="HF135" s="392"/>
      <c r="HG135" s="392"/>
      <c r="HH135" s="392"/>
      <c r="HI135" s="392"/>
      <c r="HJ135" s="392"/>
      <c r="HK135" s="392"/>
      <c r="HL135" s="392"/>
      <c r="HM135" s="392"/>
      <c r="HN135" s="392"/>
      <c r="HO135" s="392"/>
      <c r="HP135" s="392"/>
      <c r="HQ135" s="392"/>
      <c r="HR135" s="392"/>
      <c r="HS135" s="392"/>
      <c r="HT135" s="392"/>
      <c r="HU135" s="392"/>
      <c r="HV135" s="392"/>
      <c r="HW135" s="392"/>
      <c r="HX135" s="392"/>
      <c r="HY135" s="392"/>
      <c r="HZ135" s="392"/>
      <c r="IA135" s="392"/>
      <c r="IB135" s="392"/>
      <c r="IC135" s="392"/>
      <c r="ID135" s="392"/>
      <c r="IE135" s="392"/>
      <c r="IF135" s="392"/>
      <c r="IG135" s="392"/>
      <c r="IH135" s="392"/>
      <c r="II135" s="392"/>
      <c r="IJ135" s="392"/>
      <c r="IK135" s="392"/>
      <c r="IL135" s="392"/>
      <c r="IM135" s="392"/>
      <c r="IN135" s="392"/>
      <c r="IO135" s="392"/>
      <c r="IP135" s="392"/>
      <c r="IQ135" s="392"/>
      <c r="IR135" s="392"/>
      <c r="IS135" s="392"/>
      <c r="IT135" s="392"/>
      <c r="IU135" s="392"/>
      <c r="IV135" s="392"/>
    </row>
    <row r="136" spans="1:256" ht="31.5">
      <c r="A136" s="392"/>
      <c r="B136" s="366" t="s">
        <v>1708</v>
      </c>
      <c r="C136" s="582" t="s">
        <v>161</v>
      </c>
      <c r="D136" s="582" t="s">
        <v>22</v>
      </c>
      <c r="E136" s="2330" t="s">
        <v>162</v>
      </c>
      <c r="F136" s="2331"/>
      <c r="G136" s="2332"/>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c r="AD136" s="392"/>
      <c r="AE136" s="392"/>
      <c r="AF136" s="392"/>
      <c r="AG136" s="392"/>
      <c r="AH136" s="392"/>
      <c r="AI136" s="392"/>
      <c r="AJ136" s="392"/>
      <c r="AK136" s="392"/>
      <c r="AL136" s="392"/>
      <c r="AM136" s="392"/>
      <c r="AN136" s="392"/>
      <c r="AO136" s="392"/>
      <c r="AP136" s="392"/>
      <c r="AQ136" s="392"/>
      <c r="AR136" s="392"/>
      <c r="AS136" s="392"/>
      <c r="AT136" s="392"/>
      <c r="AU136" s="392"/>
      <c r="AV136" s="392"/>
      <c r="AW136" s="392"/>
      <c r="AX136" s="392"/>
      <c r="AY136" s="392"/>
      <c r="AZ136" s="392"/>
      <c r="BA136" s="392"/>
      <c r="BB136" s="392"/>
      <c r="BC136" s="392"/>
      <c r="BD136" s="392"/>
      <c r="BE136" s="392"/>
      <c r="BF136" s="392"/>
      <c r="BG136" s="392"/>
      <c r="BH136" s="392"/>
      <c r="BI136" s="392"/>
      <c r="BJ136" s="392"/>
      <c r="BK136" s="392"/>
      <c r="BL136" s="392"/>
      <c r="BM136" s="392"/>
      <c r="BN136" s="392"/>
      <c r="BO136" s="392"/>
      <c r="BP136" s="392"/>
      <c r="BQ136" s="392"/>
      <c r="BR136" s="392"/>
      <c r="BS136" s="392"/>
      <c r="BT136" s="392"/>
      <c r="BU136" s="392"/>
      <c r="BV136" s="392"/>
      <c r="BW136" s="392"/>
      <c r="BX136" s="392"/>
      <c r="BY136" s="392"/>
      <c r="BZ136" s="392"/>
      <c r="CA136" s="392"/>
      <c r="CB136" s="392"/>
      <c r="CC136" s="392"/>
      <c r="CD136" s="392"/>
      <c r="CE136" s="392"/>
      <c r="CF136" s="392"/>
      <c r="CG136" s="392"/>
      <c r="CH136" s="392"/>
      <c r="CI136" s="39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c r="DD136" s="392"/>
      <c r="DE136" s="392"/>
      <c r="DF136" s="392"/>
      <c r="DG136" s="392"/>
      <c r="DH136" s="392"/>
      <c r="DI136" s="392"/>
      <c r="DJ136" s="392"/>
      <c r="DK136" s="392"/>
      <c r="DL136" s="392"/>
      <c r="DM136" s="392"/>
      <c r="DN136" s="392"/>
      <c r="DO136" s="392"/>
      <c r="DP136" s="392"/>
      <c r="DQ136" s="392"/>
      <c r="DR136" s="392"/>
      <c r="DS136" s="392"/>
      <c r="DT136" s="392"/>
      <c r="DU136" s="392"/>
      <c r="DV136" s="392"/>
      <c r="DW136" s="392"/>
      <c r="DX136" s="392"/>
      <c r="DY136" s="392"/>
      <c r="DZ136" s="392"/>
      <c r="EA136" s="392"/>
      <c r="EB136" s="392"/>
      <c r="EC136" s="392"/>
      <c r="ED136" s="392"/>
      <c r="EE136" s="392"/>
      <c r="EF136" s="392"/>
      <c r="EG136" s="392"/>
      <c r="EH136" s="392"/>
      <c r="EI136" s="392"/>
      <c r="EJ136" s="392"/>
      <c r="EK136" s="392"/>
      <c r="EL136" s="392"/>
      <c r="EM136" s="392"/>
      <c r="EN136" s="392"/>
      <c r="EO136" s="392"/>
      <c r="EP136" s="392"/>
      <c r="EQ136" s="392"/>
      <c r="ER136" s="392"/>
      <c r="ES136" s="392"/>
      <c r="ET136" s="392"/>
      <c r="EU136" s="392"/>
      <c r="EV136" s="392"/>
      <c r="EW136" s="392"/>
      <c r="EX136" s="392"/>
      <c r="EY136" s="392"/>
      <c r="EZ136" s="392"/>
      <c r="FA136" s="392"/>
      <c r="FB136" s="392"/>
      <c r="FC136" s="392"/>
      <c r="FD136" s="392"/>
      <c r="FE136" s="392"/>
      <c r="FF136" s="392"/>
      <c r="FG136" s="392"/>
      <c r="FH136" s="392"/>
      <c r="FI136" s="392"/>
      <c r="FJ136" s="392"/>
      <c r="FK136" s="392"/>
      <c r="FL136" s="392"/>
      <c r="FM136" s="392"/>
      <c r="FN136" s="392"/>
      <c r="FO136" s="392"/>
      <c r="FP136" s="392"/>
      <c r="FQ136" s="392"/>
      <c r="FR136" s="392"/>
      <c r="FS136" s="392"/>
      <c r="FT136" s="392"/>
      <c r="FU136" s="392"/>
      <c r="FV136" s="392"/>
      <c r="FW136" s="392"/>
      <c r="FX136" s="392"/>
      <c r="FY136" s="392"/>
      <c r="FZ136" s="392"/>
      <c r="GA136" s="392"/>
      <c r="GB136" s="392"/>
      <c r="GC136" s="392"/>
      <c r="GD136" s="392"/>
      <c r="GE136" s="392"/>
      <c r="GF136" s="392"/>
      <c r="GG136" s="392"/>
      <c r="GH136" s="392"/>
      <c r="GI136" s="392"/>
      <c r="GJ136" s="392"/>
      <c r="GK136" s="392"/>
      <c r="GL136" s="392"/>
      <c r="GM136" s="392"/>
      <c r="GN136" s="392"/>
      <c r="GO136" s="392"/>
      <c r="GP136" s="392"/>
      <c r="GQ136" s="392"/>
      <c r="GR136" s="392"/>
      <c r="GS136" s="392"/>
      <c r="GT136" s="392"/>
      <c r="GU136" s="392"/>
      <c r="GV136" s="392"/>
      <c r="GW136" s="392"/>
      <c r="GX136" s="392"/>
      <c r="GY136" s="392"/>
      <c r="GZ136" s="392"/>
      <c r="HA136" s="392"/>
      <c r="HB136" s="392"/>
      <c r="HC136" s="392"/>
      <c r="HD136" s="392"/>
      <c r="HE136" s="392"/>
      <c r="HF136" s="392"/>
      <c r="HG136" s="392"/>
      <c r="HH136" s="392"/>
      <c r="HI136" s="392"/>
      <c r="HJ136" s="392"/>
      <c r="HK136" s="392"/>
      <c r="HL136" s="392"/>
      <c r="HM136" s="392"/>
      <c r="HN136" s="392"/>
      <c r="HO136" s="392"/>
      <c r="HP136" s="392"/>
      <c r="HQ136" s="392"/>
      <c r="HR136" s="392"/>
      <c r="HS136" s="392"/>
      <c r="HT136" s="392"/>
      <c r="HU136" s="392"/>
      <c r="HV136" s="392"/>
      <c r="HW136" s="392"/>
      <c r="HX136" s="392"/>
      <c r="HY136" s="392"/>
      <c r="HZ136" s="392"/>
      <c r="IA136" s="392"/>
      <c r="IB136" s="392"/>
      <c r="IC136" s="392"/>
      <c r="ID136" s="392"/>
      <c r="IE136" s="392"/>
      <c r="IF136" s="392"/>
      <c r="IG136" s="392"/>
      <c r="IH136" s="392"/>
      <c r="II136" s="392"/>
      <c r="IJ136" s="392"/>
      <c r="IK136" s="392"/>
      <c r="IL136" s="392"/>
      <c r="IM136" s="392"/>
      <c r="IN136" s="392"/>
      <c r="IO136" s="392"/>
      <c r="IP136" s="392"/>
      <c r="IQ136" s="392"/>
      <c r="IR136" s="392"/>
      <c r="IS136" s="392"/>
      <c r="IT136" s="392"/>
      <c r="IU136" s="392"/>
      <c r="IV136" s="392"/>
    </row>
    <row r="137" spans="1:256" ht="16.5" thickBot="1">
      <c r="A137" s="392"/>
      <c r="B137" s="2350" t="s">
        <v>165</v>
      </c>
      <c r="C137" s="2351"/>
      <c r="D137" s="2351"/>
      <c r="E137" s="2351"/>
      <c r="F137" s="2351"/>
      <c r="G137" s="2352"/>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c r="AD137" s="392"/>
      <c r="AE137" s="392"/>
      <c r="AF137" s="392"/>
      <c r="AG137" s="392"/>
      <c r="AH137" s="392"/>
      <c r="AI137" s="392"/>
      <c r="AJ137" s="392"/>
      <c r="AK137" s="392"/>
      <c r="AL137" s="392"/>
      <c r="AM137" s="392"/>
      <c r="AN137" s="392"/>
      <c r="AO137" s="392"/>
      <c r="AP137" s="392"/>
      <c r="AQ137" s="392"/>
      <c r="AR137" s="392"/>
      <c r="AS137" s="392"/>
      <c r="AT137" s="392"/>
      <c r="AU137" s="392"/>
      <c r="AV137" s="392"/>
      <c r="AW137" s="392"/>
      <c r="AX137" s="392"/>
      <c r="AY137" s="392"/>
      <c r="AZ137" s="392"/>
      <c r="BA137" s="392"/>
      <c r="BB137" s="392"/>
      <c r="BC137" s="392"/>
      <c r="BD137" s="392"/>
      <c r="BE137" s="392"/>
      <c r="BF137" s="392"/>
      <c r="BG137" s="392"/>
      <c r="BH137" s="392"/>
      <c r="BI137" s="392"/>
      <c r="BJ137" s="392"/>
      <c r="BK137" s="392"/>
      <c r="BL137" s="392"/>
      <c r="BM137" s="392"/>
      <c r="BN137" s="392"/>
      <c r="BO137" s="392"/>
      <c r="BP137" s="392"/>
      <c r="BQ137" s="392"/>
      <c r="BR137" s="392"/>
      <c r="BS137" s="392"/>
      <c r="BT137" s="392"/>
      <c r="BU137" s="392"/>
      <c r="BV137" s="392"/>
      <c r="BW137" s="392"/>
      <c r="BX137" s="392"/>
      <c r="BY137" s="392"/>
      <c r="BZ137" s="392"/>
      <c r="CA137" s="392"/>
      <c r="CB137" s="392"/>
      <c r="CC137" s="392"/>
      <c r="CD137" s="392"/>
      <c r="CE137" s="392"/>
      <c r="CF137" s="392"/>
      <c r="CG137" s="392"/>
      <c r="CH137" s="392"/>
      <c r="CI137" s="39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c r="DD137" s="392"/>
      <c r="DE137" s="392"/>
      <c r="DF137" s="392"/>
      <c r="DG137" s="392"/>
      <c r="DH137" s="392"/>
      <c r="DI137" s="392"/>
      <c r="DJ137" s="392"/>
      <c r="DK137" s="392"/>
      <c r="DL137" s="392"/>
      <c r="DM137" s="392"/>
      <c r="DN137" s="392"/>
      <c r="DO137" s="392"/>
      <c r="DP137" s="392"/>
      <c r="DQ137" s="392"/>
      <c r="DR137" s="392"/>
      <c r="DS137" s="392"/>
      <c r="DT137" s="392"/>
      <c r="DU137" s="392"/>
      <c r="DV137" s="392"/>
      <c r="DW137" s="392"/>
      <c r="DX137" s="392"/>
      <c r="DY137" s="392"/>
      <c r="DZ137" s="392"/>
      <c r="EA137" s="392"/>
      <c r="EB137" s="392"/>
      <c r="EC137" s="392"/>
      <c r="ED137" s="392"/>
      <c r="EE137" s="392"/>
      <c r="EF137" s="392"/>
      <c r="EG137" s="392"/>
      <c r="EH137" s="392"/>
      <c r="EI137" s="392"/>
      <c r="EJ137" s="392"/>
      <c r="EK137" s="392"/>
      <c r="EL137" s="392"/>
      <c r="EM137" s="392"/>
      <c r="EN137" s="392"/>
      <c r="EO137" s="392"/>
      <c r="EP137" s="392"/>
      <c r="EQ137" s="392"/>
      <c r="ER137" s="392"/>
      <c r="ES137" s="392"/>
      <c r="ET137" s="392"/>
      <c r="EU137" s="392"/>
      <c r="EV137" s="392"/>
      <c r="EW137" s="392"/>
      <c r="EX137" s="392"/>
      <c r="EY137" s="392"/>
      <c r="EZ137" s="392"/>
      <c r="FA137" s="392"/>
      <c r="FB137" s="392"/>
      <c r="FC137" s="392"/>
      <c r="FD137" s="392"/>
      <c r="FE137" s="392"/>
      <c r="FF137" s="392"/>
      <c r="FG137" s="392"/>
      <c r="FH137" s="392"/>
      <c r="FI137" s="392"/>
      <c r="FJ137" s="392"/>
      <c r="FK137" s="392"/>
      <c r="FL137" s="392"/>
      <c r="FM137" s="392"/>
      <c r="FN137" s="392"/>
      <c r="FO137" s="392"/>
      <c r="FP137" s="392"/>
      <c r="FQ137" s="392"/>
      <c r="FR137" s="392"/>
      <c r="FS137" s="392"/>
      <c r="FT137" s="392"/>
      <c r="FU137" s="392"/>
      <c r="FV137" s="392"/>
      <c r="FW137" s="392"/>
      <c r="FX137" s="392"/>
      <c r="FY137" s="392"/>
      <c r="FZ137" s="392"/>
      <c r="GA137" s="392"/>
      <c r="GB137" s="392"/>
      <c r="GC137" s="392"/>
      <c r="GD137" s="392"/>
      <c r="GE137" s="392"/>
      <c r="GF137" s="392"/>
      <c r="GG137" s="392"/>
      <c r="GH137" s="392"/>
      <c r="GI137" s="392"/>
      <c r="GJ137" s="392"/>
      <c r="GK137" s="392"/>
      <c r="GL137" s="392"/>
      <c r="GM137" s="392"/>
      <c r="GN137" s="392"/>
      <c r="GO137" s="392"/>
      <c r="GP137" s="392"/>
      <c r="GQ137" s="392"/>
      <c r="GR137" s="392"/>
      <c r="GS137" s="392"/>
      <c r="GT137" s="392"/>
      <c r="GU137" s="392"/>
      <c r="GV137" s="392"/>
      <c r="GW137" s="392"/>
      <c r="GX137" s="392"/>
      <c r="GY137" s="392"/>
      <c r="GZ137" s="392"/>
      <c r="HA137" s="392"/>
      <c r="HB137" s="392"/>
      <c r="HC137" s="392"/>
      <c r="HD137" s="392"/>
      <c r="HE137" s="392"/>
      <c r="HF137" s="392"/>
      <c r="HG137" s="392"/>
      <c r="HH137" s="392"/>
      <c r="HI137" s="392"/>
      <c r="HJ137" s="392"/>
      <c r="HK137" s="392"/>
      <c r="HL137" s="392"/>
      <c r="HM137" s="392"/>
      <c r="HN137" s="392"/>
      <c r="HO137" s="392"/>
      <c r="HP137" s="392"/>
      <c r="HQ137" s="392"/>
      <c r="HR137" s="392"/>
      <c r="HS137" s="392"/>
      <c r="HT137" s="392"/>
      <c r="HU137" s="392"/>
      <c r="HV137" s="392"/>
      <c r="HW137" s="392"/>
      <c r="HX137" s="392"/>
      <c r="HY137" s="392"/>
      <c r="HZ137" s="392"/>
      <c r="IA137" s="392"/>
      <c r="IB137" s="392"/>
      <c r="IC137" s="392"/>
      <c r="ID137" s="392"/>
      <c r="IE137" s="392"/>
      <c r="IF137" s="392"/>
      <c r="IG137" s="392"/>
      <c r="IH137" s="392"/>
      <c r="II137" s="392"/>
      <c r="IJ137" s="392"/>
      <c r="IK137" s="392"/>
      <c r="IL137" s="392"/>
      <c r="IM137" s="392"/>
      <c r="IN137" s="392"/>
      <c r="IO137" s="392"/>
      <c r="IP137" s="392"/>
      <c r="IQ137" s="392"/>
      <c r="IR137" s="392"/>
      <c r="IS137" s="392"/>
      <c r="IT137" s="392"/>
      <c r="IU137" s="392"/>
      <c r="IV137" s="392"/>
    </row>
    <row r="138" spans="1:256" ht="15">
      <c r="A138" s="392"/>
      <c r="B138" s="2342" t="str">
        <f>C129</f>
        <v>ESCAVAÇÃO MANUAL DE VALA COM PROFUNDIDADE MENOR OU IGUAL A 1,30 M. AF_02/2021</v>
      </c>
      <c r="C138" s="2343"/>
      <c r="D138" s="600" t="s">
        <v>19</v>
      </c>
      <c r="E138" s="2353" t="s">
        <v>1716</v>
      </c>
      <c r="F138" s="2353"/>
      <c r="G138" s="2354"/>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92"/>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392"/>
      <c r="BF138" s="392"/>
      <c r="BG138" s="392"/>
      <c r="BH138" s="392"/>
      <c r="BI138" s="392"/>
      <c r="BJ138" s="392"/>
      <c r="BK138" s="392"/>
      <c r="BL138" s="392"/>
      <c r="BM138" s="392"/>
      <c r="BN138" s="392"/>
      <c r="BO138" s="392"/>
      <c r="BP138" s="392"/>
      <c r="BQ138" s="392"/>
      <c r="BR138" s="392"/>
      <c r="BS138" s="392"/>
      <c r="BT138" s="392"/>
      <c r="BU138" s="392"/>
      <c r="BV138" s="392"/>
      <c r="BW138" s="392"/>
      <c r="BX138" s="392"/>
      <c r="BY138" s="392"/>
      <c r="BZ138" s="392"/>
      <c r="CA138" s="392"/>
      <c r="CB138" s="392"/>
      <c r="CC138" s="392"/>
      <c r="CD138" s="392"/>
      <c r="CE138" s="392"/>
      <c r="CF138" s="392"/>
      <c r="CG138" s="392"/>
      <c r="CH138" s="392"/>
      <c r="CI138" s="39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c r="DD138" s="392"/>
      <c r="DE138" s="392"/>
      <c r="DF138" s="392"/>
      <c r="DG138" s="392"/>
      <c r="DH138" s="392"/>
      <c r="DI138" s="392"/>
      <c r="DJ138" s="392"/>
      <c r="DK138" s="392"/>
      <c r="DL138" s="392"/>
      <c r="DM138" s="392"/>
      <c r="DN138" s="392"/>
      <c r="DO138" s="392"/>
      <c r="DP138" s="392"/>
      <c r="DQ138" s="392"/>
      <c r="DR138" s="392"/>
      <c r="DS138" s="392"/>
      <c r="DT138" s="392"/>
      <c r="DU138" s="392"/>
      <c r="DV138" s="392"/>
      <c r="DW138" s="392"/>
      <c r="DX138" s="392"/>
      <c r="DY138" s="392"/>
      <c r="DZ138" s="392"/>
      <c r="EA138" s="392"/>
      <c r="EB138" s="392"/>
      <c r="EC138" s="392"/>
      <c r="ED138" s="392"/>
      <c r="EE138" s="392"/>
      <c r="EF138" s="392"/>
      <c r="EG138" s="392"/>
      <c r="EH138" s="392"/>
      <c r="EI138" s="392"/>
      <c r="EJ138" s="392"/>
      <c r="EK138" s="392"/>
      <c r="EL138" s="392"/>
      <c r="EM138" s="392"/>
      <c r="EN138" s="392"/>
      <c r="EO138" s="392"/>
      <c r="EP138" s="392"/>
      <c r="EQ138" s="392"/>
      <c r="ER138" s="392"/>
      <c r="ES138" s="392"/>
      <c r="ET138" s="392"/>
      <c r="EU138" s="392"/>
      <c r="EV138" s="392"/>
      <c r="EW138" s="392"/>
      <c r="EX138" s="392"/>
      <c r="EY138" s="392"/>
      <c r="EZ138" s="392"/>
      <c r="FA138" s="392"/>
      <c r="FB138" s="392"/>
      <c r="FC138" s="392"/>
      <c r="FD138" s="392"/>
      <c r="FE138" s="392"/>
      <c r="FF138" s="392"/>
      <c r="FG138" s="392"/>
      <c r="FH138" s="392"/>
      <c r="FI138" s="392"/>
      <c r="FJ138" s="392"/>
      <c r="FK138" s="392"/>
      <c r="FL138" s="392"/>
      <c r="FM138" s="392"/>
      <c r="FN138" s="392"/>
      <c r="FO138" s="392"/>
      <c r="FP138" s="392"/>
      <c r="FQ138" s="392"/>
      <c r="FR138" s="392"/>
      <c r="FS138" s="392"/>
      <c r="FT138" s="392"/>
      <c r="FU138" s="392"/>
      <c r="FV138" s="392"/>
      <c r="FW138" s="392"/>
      <c r="FX138" s="392"/>
      <c r="FY138" s="392"/>
      <c r="FZ138" s="392"/>
      <c r="GA138" s="392"/>
      <c r="GB138" s="392"/>
      <c r="GC138" s="392"/>
      <c r="GD138" s="392"/>
      <c r="GE138" s="392"/>
      <c r="GF138" s="392"/>
      <c r="GG138" s="392"/>
      <c r="GH138" s="392"/>
      <c r="GI138" s="392"/>
      <c r="GJ138" s="392"/>
      <c r="GK138" s="392"/>
      <c r="GL138" s="392"/>
      <c r="GM138" s="392"/>
      <c r="GN138" s="392"/>
      <c r="GO138" s="392"/>
      <c r="GP138" s="392"/>
      <c r="GQ138" s="392"/>
      <c r="GR138" s="392"/>
      <c r="GS138" s="392"/>
      <c r="GT138" s="392"/>
      <c r="GU138" s="392"/>
      <c r="GV138" s="392"/>
      <c r="GW138" s="392"/>
      <c r="GX138" s="392"/>
      <c r="GY138" s="392"/>
      <c r="GZ138" s="392"/>
      <c r="HA138" s="392"/>
      <c r="HB138" s="392"/>
      <c r="HC138" s="392"/>
      <c r="HD138" s="392"/>
      <c r="HE138" s="392"/>
      <c r="HF138" s="392"/>
      <c r="HG138" s="392"/>
      <c r="HH138" s="392"/>
      <c r="HI138" s="392"/>
      <c r="HJ138" s="392"/>
      <c r="HK138" s="392"/>
      <c r="HL138" s="392"/>
      <c r="HM138" s="392"/>
      <c r="HN138" s="392"/>
      <c r="HO138" s="392"/>
      <c r="HP138" s="392"/>
      <c r="HQ138" s="392"/>
      <c r="HR138" s="392"/>
      <c r="HS138" s="392"/>
      <c r="HT138" s="392"/>
      <c r="HU138" s="392"/>
      <c r="HV138" s="392"/>
      <c r="HW138" s="392"/>
      <c r="HX138" s="392"/>
      <c r="HY138" s="392"/>
      <c r="HZ138" s="392"/>
      <c r="IA138" s="392"/>
      <c r="IB138" s="392"/>
      <c r="IC138" s="392"/>
      <c r="ID138" s="392"/>
      <c r="IE138" s="392"/>
      <c r="IF138" s="392"/>
      <c r="IG138" s="392"/>
      <c r="IH138" s="392"/>
      <c r="II138" s="392"/>
      <c r="IJ138" s="392"/>
      <c r="IK138" s="392"/>
      <c r="IL138" s="392"/>
      <c r="IM138" s="392"/>
      <c r="IN138" s="392"/>
      <c r="IO138" s="392"/>
      <c r="IP138" s="392"/>
      <c r="IQ138" s="392"/>
      <c r="IR138" s="392"/>
      <c r="IS138" s="392"/>
      <c r="IT138" s="392"/>
      <c r="IU138" s="392"/>
      <c r="IV138" s="392"/>
    </row>
    <row r="139" spans="1:256" ht="36" customHeight="1">
      <c r="A139" s="392"/>
      <c r="B139" s="2344" t="str">
        <f>C130</f>
        <v>CONCRETO FCK = 25MPA, TRAÇO 1:2,3:2,7 (EM MASSA SECA DE CIMENTO/ AREIA MÉDIA/ BRITA 1) - PREPARO MECÂNICO COM BETONEIRA 400 L. AF_05/2021</v>
      </c>
      <c r="C139" s="2345"/>
      <c r="D139" s="322" t="s">
        <v>19</v>
      </c>
      <c r="E139" s="2320" t="str">
        <f>E138</f>
        <v>(0,30*0,30*0,6)*2</v>
      </c>
      <c r="F139" s="2320"/>
      <c r="G139" s="2321"/>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2"/>
      <c r="BF139" s="392"/>
      <c r="BG139" s="392"/>
      <c r="BH139" s="392"/>
      <c r="BI139" s="392"/>
      <c r="BJ139" s="392"/>
      <c r="BK139" s="392"/>
      <c r="BL139" s="392"/>
      <c r="BM139" s="392"/>
      <c r="BN139" s="392"/>
      <c r="BO139" s="392"/>
      <c r="BP139" s="392"/>
      <c r="BQ139" s="392"/>
      <c r="BR139" s="392"/>
      <c r="BS139" s="392"/>
      <c r="BT139" s="392"/>
      <c r="BU139" s="392"/>
      <c r="BV139" s="392"/>
      <c r="BW139" s="392"/>
      <c r="BX139" s="392"/>
      <c r="BY139" s="392"/>
      <c r="BZ139" s="392"/>
      <c r="CA139" s="392"/>
      <c r="CB139" s="392"/>
      <c r="CC139" s="392"/>
      <c r="CD139" s="392"/>
      <c r="CE139" s="392"/>
      <c r="CF139" s="392"/>
      <c r="CG139" s="392"/>
      <c r="CH139" s="392"/>
      <c r="CI139" s="39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c r="DD139" s="392"/>
      <c r="DE139" s="392"/>
      <c r="DF139" s="392"/>
      <c r="DG139" s="392"/>
      <c r="DH139" s="392"/>
      <c r="DI139" s="392"/>
      <c r="DJ139" s="392"/>
      <c r="DK139" s="392"/>
      <c r="DL139" s="392"/>
      <c r="DM139" s="392"/>
      <c r="DN139" s="392"/>
      <c r="DO139" s="392"/>
      <c r="DP139" s="392"/>
      <c r="DQ139" s="392"/>
      <c r="DR139" s="392"/>
      <c r="DS139" s="392"/>
      <c r="DT139" s="392"/>
      <c r="DU139" s="392"/>
      <c r="DV139" s="392"/>
      <c r="DW139" s="392"/>
      <c r="DX139" s="392"/>
      <c r="DY139" s="392"/>
      <c r="DZ139" s="392"/>
      <c r="EA139" s="392"/>
      <c r="EB139" s="392"/>
      <c r="EC139" s="392"/>
      <c r="ED139" s="392"/>
      <c r="EE139" s="392"/>
      <c r="EF139" s="392"/>
      <c r="EG139" s="392"/>
      <c r="EH139" s="392"/>
      <c r="EI139" s="392"/>
      <c r="EJ139" s="392"/>
      <c r="EK139" s="392"/>
      <c r="EL139" s="392"/>
      <c r="EM139" s="392"/>
      <c r="EN139" s="392"/>
      <c r="EO139" s="392"/>
      <c r="EP139" s="392"/>
      <c r="EQ139" s="392"/>
      <c r="ER139" s="392"/>
      <c r="ES139" s="392"/>
      <c r="ET139" s="392"/>
      <c r="EU139" s="392"/>
      <c r="EV139" s="392"/>
      <c r="EW139" s="392"/>
      <c r="EX139" s="392"/>
      <c r="EY139" s="392"/>
      <c r="EZ139" s="392"/>
      <c r="FA139" s="392"/>
      <c r="FB139" s="392"/>
      <c r="FC139" s="392"/>
      <c r="FD139" s="392"/>
      <c r="FE139" s="392"/>
      <c r="FF139" s="392"/>
      <c r="FG139" s="392"/>
      <c r="FH139" s="392"/>
      <c r="FI139" s="392"/>
      <c r="FJ139" s="392"/>
      <c r="FK139" s="392"/>
      <c r="FL139" s="392"/>
      <c r="FM139" s="392"/>
      <c r="FN139" s="392"/>
      <c r="FO139" s="392"/>
      <c r="FP139" s="392"/>
      <c r="FQ139" s="392"/>
      <c r="FR139" s="392"/>
      <c r="FS139" s="392"/>
      <c r="FT139" s="392"/>
      <c r="FU139" s="392"/>
      <c r="FV139" s="392"/>
      <c r="FW139" s="392"/>
      <c r="FX139" s="392"/>
      <c r="FY139" s="392"/>
      <c r="FZ139" s="392"/>
      <c r="GA139" s="392"/>
      <c r="GB139" s="392"/>
      <c r="GC139" s="392"/>
      <c r="GD139" s="392"/>
      <c r="GE139" s="392"/>
      <c r="GF139" s="392"/>
      <c r="GG139" s="392"/>
      <c r="GH139" s="392"/>
      <c r="GI139" s="392"/>
      <c r="GJ139" s="392"/>
      <c r="GK139" s="392"/>
      <c r="GL139" s="392"/>
      <c r="GM139" s="392"/>
      <c r="GN139" s="392"/>
      <c r="GO139" s="392"/>
      <c r="GP139" s="392"/>
      <c r="GQ139" s="392"/>
      <c r="GR139" s="392"/>
      <c r="GS139" s="392"/>
      <c r="GT139" s="392"/>
      <c r="GU139" s="392"/>
      <c r="GV139" s="392"/>
      <c r="GW139" s="392"/>
      <c r="GX139" s="392"/>
      <c r="GY139" s="392"/>
      <c r="GZ139" s="392"/>
      <c r="HA139" s="392"/>
      <c r="HB139" s="392"/>
      <c r="HC139" s="392"/>
      <c r="HD139" s="392"/>
      <c r="HE139" s="392"/>
      <c r="HF139" s="392"/>
      <c r="HG139" s="392"/>
      <c r="HH139" s="392"/>
      <c r="HI139" s="392"/>
      <c r="HJ139" s="392"/>
      <c r="HK139" s="392"/>
      <c r="HL139" s="392"/>
      <c r="HM139" s="392"/>
      <c r="HN139" s="392"/>
      <c r="HO139" s="392"/>
      <c r="HP139" s="392"/>
      <c r="HQ139" s="392"/>
      <c r="HR139" s="392"/>
      <c r="HS139" s="392"/>
      <c r="HT139" s="392"/>
      <c r="HU139" s="392"/>
      <c r="HV139" s="392"/>
      <c r="HW139" s="392"/>
      <c r="HX139" s="392"/>
      <c r="HY139" s="392"/>
      <c r="HZ139" s="392"/>
      <c r="IA139" s="392"/>
      <c r="IB139" s="392"/>
      <c r="IC139" s="392"/>
      <c r="ID139" s="392"/>
      <c r="IE139" s="392"/>
      <c r="IF139" s="392"/>
      <c r="IG139" s="392"/>
      <c r="IH139" s="392"/>
      <c r="II139" s="392"/>
      <c r="IJ139" s="392"/>
      <c r="IK139" s="392"/>
      <c r="IL139" s="392"/>
      <c r="IM139" s="392"/>
      <c r="IN139" s="392"/>
      <c r="IO139" s="392"/>
      <c r="IP139" s="392"/>
      <c r="IQ139" s="392"/>
      <c r="IR139" s="392"/>
      <c r="IS139" s="392"/>
      <c r="IT139" s="392"/>
      <c r="IU139" s="392"/>
      <c r="IV139" s="392"/>
    </row>
    <row r="140" spans="1:256" ht="34.5" customHeight="1" thickBot="1">
      <c r="A140" s="392"/>
      <c r="B140" s="2346" t="e">
        <f>C131</f>
        <v>#N/A</v>
      </c>
      <c r="C140" s="2347"/>
      <c r="D140" s="584" t="s">
        <v>19</v>
      </c>
      <c r="E140" s="2348" t="str">
        <f>E138</f>
        <v>(0,30*0,30*0,6)*2</v>
      </c>
      <c r="F140" s="2348"/>
      <c r="G140" s="2349"/>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392"/>
      <c r="BF140" s="392"/>
      <c r="BG140" s="392"/>
      <c r="BH140" s="392"/>
      <c r="BI140" s="392"/>
      <c r="BJ140" s="392"/>
      <c r="BK140" s="392"/>
      <c r="BL140" s="392"/>
      <c r="BM140" s="392"/>
      <c r="BN140" s="392"/>
      <c r="BO140" s="392"/>
      <c r="BP140" s="392"/>
      <c r="BQ140" s="392"/>
      <c r="BR140" s="392"/>
      <c r="BS140" s="392"/>
      <c r="BT140" s="392"/>
      <c r="BU140" s="392"/>
      <c r="BV140" s="392"/>
      <c r="BW140" s="392"/>
      <c r="BX140" s="392"/>
      <c r="BY140" s="392"/>
      <c r="BZ140" s="392"/>
      <c r="CA140" s="392"/>
      <c r="CB140" s="392"/>
      <c r="CC140" s="392"/>
      <c r="CD140" s="392"/>
      <c r="CE140" s="392"/>
      <c r="CF140" s="392"/>
      <c r="CG140" s="392"/>
      <c r="CH140" s="392"/>
      <c r="CI140" s="39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c r="DD140" s="392"/>
      <c r="DE140" s="392"/>
      <c r="DF140" s="392"/>
      <c r="DG140" s="392"/>
      <c r="DH140" s="392"/>
      <c r="DI140" s="392"/>
      <c r="DJ140" s="392"/>
      <c r="DK140" s="392"/>
      <c r="DL140" s="392"/>
      <c r="DM140" s="392"/>
      <c r="DN140" s="392"/>
      <c r="DO140" s="392"/>
      <c r="DP140" s="392"/>
      <c r="DQ140" s="392"/>
      <c r="DR140" s="392"/>
      <c r="DS140" s="392"/>
      <c r="DT140" s="392"/>
      <c r="DU140" s="392"/>
      <c r="DV140" s="392"/>
      <c r="DW140" s="392"/>
      <c r="DX140" s="392"/>
      <c r="DY140" s="392"/>
      <c r="DZ140" s="392"/>
      <c r="EA140" s="392"/>
      <c r="EB140" s="392"/>
      <c r="EC140" s="392"/>
      <c r="ED140" s="392"/>
      <c r="EE140" s="392"/>
      <c r="EF140" s="392"/>
      <c r="EG140" s="392"/>
      <c r="EH140" s="392"/>
      <c r="EI140" s="392"/>
      <c r="EJ140" s="392"/>
      <c r="EK140" s="392"/>
      <c r="EL140" s="392"/>
      <c r="EM140" s="392"/>
      <c r="EN140" s="392"/>
      <c r="EO140" s="392"/>
      <c r="EP140" s="392"/>
      <c r="EQ140" s="392"/>
      <c r="ER140" s="392"/>
      <c r="ES140" s="392"/>
      <c r="ET140" s="392"/>
      <c r="EU140" s="392"/>
      <c r="EV140" s="392"/>
      <c r="EW140" s="392"/>
      <c r="EX140" s="392"/>
      <c r="EY140" s="392"/>
      <c r="EZ140" s="392"/>
      <c r="FA140" s="392"/>
      <c r="FB140" s="392"/>
      <c r="FC140" s="392"/>
      <c r="FD140" s="392"/>
      <c r="FE140" s="392"/>
      <c r="FF140" s="392"/>
      <c r="FG140" s="392"/>
      <c r="FH140" s="392"/>
      <c r="FI140" s="392"/>
      <c r="FJ140" s="392"/>
      <c r="FK140" s="392"/>
      <c r="FL140" s="392"/>
      <c r="FM140" s="392"/>
      <c r="FN140" s="392"/>
      <c r="FO140" s="392"/>
      <c r="FP140" s="392"/>
      <c r="FQ140" s="392"/>
      <c r="FR140" s="392"/>
      <c r="FS140" s="392"/>
      <c r="FT140" s="392"/>
      <c r="FU140" s="392"/>
      <c r="FV140" s="392"/>
      <c r="FW140" s="392"/>
      <c r="FX140" s="392"/>
      <c r="FY140" s="392"/>
      <c r="FZ140" s="392"/>
      <c r="GA140" s="392"/>
      <c r="GB140" s="392"/>
      <c r="GC140" s="392"/>
      <c r="GD140" s="392"/>
      <c r="GE140" s="392"/>
      <c r="GF140" s="392"/>
      <c r="GG140" s="392"/>
      <c r="GH140" s="392"/>
      <c r="GI140" s="392"/>
      <c r="GJ140" s="392"/>
      <c r="GK140" s="392"/>
      <c r="GL140" s="392"/>
      <c r="GM140" s="392"/>
      <c r="GN140" s="392"/>
      <c r="GO140" s="392"/>
      <c r="GP140" s="392"/>
      <c r="GQ140" s="392"/>
      <c r="GR140" s="392"/>
      <c r="GS140" s="392"/>
      <c r="GT140" s="392"/>
      <c r="GU140" s="392"/>
      <c r="GV140" s="392"/>
      <c r="GW140" s="392"/>
      <c r="GX140" s="392"/>
      <c r="GY140" s="392"/>
      <c r="GZ140" s="392"/>
      <c r="HA140" s="392"/>
      <c r="HB140" s="392"/>
      <c r="HC140" s="392"/>
      <c r="HD140" s="392"/>
      <c r="HE140" s="392"/>
      <c r="HF140" s="392"/>
      <c r="HG140" s="392"/>
      <c r="HH140" s="392"/>
      <c r="HI140" s="392"/>
      <c r="HJ140" s="392"/>
      <c r="HK140" s="392"/>
      <c r="HL140" s="392"/>
      <c r="HM140" s="392"/>
      <c r="HN140" s="392"/>
      <c r="HO140" s="392"/>
      <c r="HP140" s="392"/>
      <c r="HQ140" s="392"/>
      <c r="HR140" s="392"/>
      <c r="HS140" s="392"/>
      <c r="HT140" s="392"/>
      <c r="HU140" s="392"/>
      <c r="HV140" s="392"/>
      <c r="HW140" s="392"/>
      <c r="HX140" s="392"/>
      <c r="HY140" s="392"/>
      <c r="HZ140" s="392"/>
      <c r="IA140" s="392"/>
      <c r="IB140" s="392"/>
      <c r="IC140" s="392"/>
      <c r="ID140" s="392"/>
      <c r="IE140" s="392"/>
      <c r="IF140" s="392"/>
      <c r="IG140" s="392"/>
      <c r="IH140" s="392"/>
      <c r="II140" s="392"/>
      <c r="IJ140" s="392"/>
      <c r="IK140" s="392"/>
      <c r="IL140" s="392"/>
      <c r="IM140" s="392"/>
      <c r="IN140" s="392"/>
      <c r="IO140" s="392"/>
      <c r="IP140" s="392"/>
      <c r="IQ140" s="392"/>
      <c r="IR140" s="392"/>
      <c r="IS140" s="392"/>
      <c r="IT140" s="392"/>
      <c r="IU140" s="392"/>
      <c r="IV140" s="392"/>
    </row>
    <row r="141" spans="1:256" ht="13.5" thickBot="1">
      <c r="A141" s="392"/>
      <c r="B141" s="448"/>
      <c r="C141" s="448"/>
      <c r="D141" s="448"/>
      <c r="E141" s="448"/>
      <c r="F141" s="448"/>
      <c r="G141" s="448"/>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392"/>
      <c r="BF141" s="392"/>
      <c r="BG141" s="392"/>
      <c r="BH141" s="392"/>
      <c r="BI141" s="392"/>
      <c r="BJ141" s="392"/>
      <c r="BK141" s="392"/>
      <c r="BL141" s="392"/>
      <c r="BM141" s="392"/>
      <c r="BN141" s="392"/>
      <c r="BO141" s="392"/>
      <c r="BP141" s="392"/>
      <c r="BQ141" s="392"/>
      <c r="BR141" s="392"/>
      <c r="BS141" s="392"/>
      <c r="BT141" s="392"/>
      <c r="BU141" s="392"/>
      <c r="BV141" s="392"/>
      <c r="BW141" s="392"/>
      <c r="BX141" s="392"/>
      <c r="BY141" s="392"/>
      <c r="BZ141" s="392"/>
      <c r="CA141" s="392"/>
      <c r="CB141" s="392"/>
      <c r="CC141" s="392"/>
      <c r="CD141" s="392"/>
      <c r="CE141" s="392"/>
      <c r="CF141" s="392"/>
      <c r="CG141" s="392"/>
      <c r="CH141" s="392"/>
      <c r="CI141" s="39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c r="DD141" s="392"/>
      <c r="DE141" s="392"/>
      <c r="DF141" s="392"/>
      <c r="DG141" s="392"/>
      <c r="DH141" s="392"/>
      <c r="DI141" s="392"/>
      <c r="DJ141" s="392"/>
      <c r="DK141" s="392"/>
      <c r="DL141" s="392"/>
      <c r="DM141" s="392"/>
      <c r="DN141" s="392"/>
      <c r="DO141" s="392"/>
      <c r="DP141" s="392"/>
      <c r="DQ141" s="392"/>
      <c r="DR141" s="392"/>
      <c r="DS141" s="392"/>
      <c r="DT141" s="392"/>
      <c r="DU141" s="392"/>
      <c r="DV141" s="392"/>
      <c r="DW141" s="392"/>
      <c r="DX141" s="392"/>
      <c r="DY141" s="392"/>
      <c r="DZ141" s="392"/>
      <c r="EA141" s="392"/>
      <c r="EB141" s="392"/>
      <c r="EC141" s="392"/>
      <c r="ED141" s="392"/>
      <c r="EE141" s="392"/>
      <c r="EF141" s="392"/>
      <c r="EG141" s="392"/>
      <c r="EH141" s="392"/>
      <c r="EI141" s="392"/>
      <c r="EJ141" s="392"/>
      <c r="EK141" s="392"/>
      <c r="EL141" s="392"/>
      <c r="EM141" s="392"/>
      <c r="EN141" s="392"/>
      <c r="EO141" s="392"/>
      <c r="EP141" s="392"/>
      <c r="EQ141" s="392"/>
      <c r="ER141" s="392"/>
      <c r="ES141" s="392"/>
      <c r="ET141" s="392"/>
      <c r="EU141" s="392"/>
      <c r="EV141" s="392"/>
      <c r="EW141" s="392"/>
      <c r="EX141" s="392"/>
      <c r="EY141" s="392"/>
      <c r="EZ141" s="392"/>
      <c r="FA141" s="392"/>
      <c r="FB141" s="392"/>
      <c r="FC141" s="392"/>
      <c r="FD141" s="392"/>
      <c r="FE141" s="392"/>
      <c r="FF141" s="392"/>
      <c r="FG141" s="392"/>
      <c r="FH141" s="392"/>
      <c r="FI141" s="392"/>
      <c r="FJ141" s="392"/>
      <c r="FK141" s="392"/>
      <c r="FL141" s="392"/>
      <c r="FM141" s="392"/>
      <c r="FN141" s="392"/>
      <c r="FO141" s="392"/>
      <c r="FP141" s="392"/>
      <c r="FQ141" s="392"/>
      <c r="FR141" s="392"/>
      <c r="FS141" s="392"/>
      <c r="FT141" s="392"/>
      <c r="FU141" s="392"/>
      <c r="FV141" s="392"/>
      <c r="FW141" s="392"/>
      <c r="FX141" s="392"/>
      <c r="FY141" s="392"/>
      <c r="FZ141" s="392"/>
      <c r="GA141" s="392"/>
      <c r="GB141" s="392"/>
      <c r="GC141" s="392"/>
      <c r="GD141" s="392"/>
      <c r="GE141" s="392"/>
      <c r="GF141" s="392"/>
      <c r="GG141" s="392"/>
      <c r="GH141" s="392"/>
      <c r="GI141" s="392"/>
      <c r="GJ141" s="392"/>
      <c r="GK141" s="392"/>
      <c r="GL141" s="392"/>
      <c r="GM141" s="392"/>
      <c r="GN141" s="392"/>
      <c r="GO141" s="392"/>
      <c r="GP141" s="392"/>
      <c r="GQ141" s="392"/>
      <c r="GR141" s="392"/>
      <c r="GS141" s="392"/>
      <c r="GT141" s="392"/>
      <c r="GU141" s="392"/>
      <c r="GV141" s="392"/>
      <c r="GW141" s="392"/>
      <c r="GX141" s="392"/>
      <c r="GY141" s="392"/>
      <c r="GZ141" s="392"/>
      <c r="HA141" s="392"/>
      <c r="HB141" s="392"/>
      <c r="HC141" s="392"/>
      <c r="HD141" s="392"/>
      <c r="HE141" s="392"/>
      <c r="HF141" s="392"/>
      <c r="HG141" s="392"/>
      <c r="HH141" s="392"/>
      <c r="HI141" s="392"/>
      <c r="HJ141" s="392"/>
      <c r="HK141" s="392"/>
      <c r="HL141" s="392"/>
      <c r="HM141" s="392"/>
      <c r="HN141" s="392"/>
      <c r="HO141" s="392"/>
      <c r="HP141" s="392"/>
      <c r="HQ141" s="392"/>
      <c r="HR141" s="392"/>
      <c r="HS141" s="392"/>
      <c r="HT141" s="392"/>
      <c r="HU141" s="392"/>
      <c r="HV141" s="392"/>
      <c r="HW141" s="392"/>
      <c r="HX141" s="392"/>
      <c r="HY141" s="392"/>
      <c r="HZ141" s="392"/>
      <c r="IA141" s="392"/>
      <c r="IB141" s="392"/>
      <c r="IC141" s="392"/>
      <c r="ID141" s="392"/>
      <c r="IE141" s="392"/>
      <c r="IF141" s="392"/>
      <c r="IG141" s="392"/>
      <c r="IH141" s="392"/>
      <c r="II141" s="392"/>
      <c r="IJ141" s="392"/>
      <c r="IK141" s="392"/>
      <c r="IL141" s="392"/>
      <c r="IM141" s="392"/>
      <c r="IN141" s="392"/>
      <c r="IO141" s="392"/>
      <c r="IP141" s="392"/>
      <c r="IQ141" s="392"/>
      <c r="IR141" s="392"/>
      <c r="IS141" s="392"/>
      <c r="IT141" s="392"/>
      <c r="IU141" s="392"/>
      <c r="IV141" s="392"/>
    </row>
    <row r="142" spans="1:256" ht="16.5" thickBot="1">
      <c r="A142" s="392"/>
      <c r="B142" s="594" t="s">
        <v>13995</v>
      </c>
      <c r="C142" s="595" t="s">
        <v>633</v>
      </c>
      <c r="D142" s="595"/>
      <c r="E142" s="595"/>
      <c r="F142" s="595"/>
      <c r="G142" s="596" t="s">
        <v>22</v>
      </c>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c r="AE142" s="392"/>
      <c r="AF142" s="392"/>
      <c r="AG142" s="392"/>
      <c r="AH142" s="392"/>
      <c r="AI142" s="392"/>
      <c r="AJ142" s="392"/>
      <c r="AK142" s="392"/>
      <c r="AL142" s="392"/>
      <c r="AM142" s="392"/>
      <c r="AN142" s="392"/>
      <c r="AO142" s="392"/>
      <c r="AP142" s="392"/>
      <c r="AQ142" s="392"/>
      <c r="AR142" s="392"/>
      <c r="AS142" s="392"/>
      <c r="AT142" s="392"/>
      <c r="AU142" s="392"/>
      <c r="AV142" s="392"/>
      <c r="AW142" s="392"/>
      <c r="AX142" s="392"/>
      <c r="AY142" s="392"/>
      <c r="AZ142" s="392"/>
      <c r="BA142" s="392"/>
      <c r="BB142" s="392"/>
      <c r="BC142" s="392"/>
      <c r="BD142" s="392"/>
      <c r="BE142" s="392"/>
      <c r="BF142" s="392"/>
      <c r="BG142" s="392"/>
      <c r="BH142" s="392"/>
      <c r="BI142" s="392"/>
      <c r="BJ142" s="392"/>
      <c r="BK142" s="392"/>
      <c r="BL142" s="392"/>
      <c r="BM142" s="392"/>
      <c r="BN142" s="392"/>
      <c r="BO142" s="392"/>
      <c r="BP142" s="392"/>
      <c r="BQ142" s="392"/>
      <c r="BR142" s="392"/>
      <c r="BS142" s="392"/>
      <c r="BT142" s="392"/>
      <c r="BU142" s="392"/>
      <c r="BV142" s="392"/>
      <c r="BW142" s="392"/>
      <c r="BX142" s="392"/>
      <c r="BY142" s="392"/>
      <c r="BZ142" s="392"/>
      <c r="CA142" s="392"/>
      <c r="CB142" s="392"/>
      <c r="CC142" s="392"/>
      <c r="CD142" s="392"/>
      <c r="CE142" s="392"/>
      <c r="CF142" s="392"/>
      <c r="CG142" s="392"/>
      <c r="CH142" s="392"/>
      <c r="CI142" s="39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c r="DD142" s="392"/>
      <c r="DE142" s="392"/>
      <c r="DF142" s="392"/>
      <c r="DG142" s="392"/>
      <c r="DH142" s="392"/>
      <c r="DI142" s="392"/>
      <c r="DJ142" s="392"/>
      <c r="DK142" s="392"/>
      <c r="DL142" s="392"/>
      <c r="DM142" s="392"/>
      <c r="DN142" s="392"/>
      <c r="DO142" s="392"/>
      <c r="DP142" s="392"/>
      <c r="DQ142" s="392"/>
      <c r="DR142" s="392"/>
      <c r="DS142" s="392"/>
      <c r="DT142" s="392"/>
      <c r="DU142" s="392"/>
      <c r="DV142" s="392"/>
      <c r="DW142" s="392"/>
      <c r="DX142" s="392"/>
      <c r="DY142" s="392"/>
      <c r="DZ142" s="392"/>
      <c r="EA142" s="392"/>
      <c r="EB142" s="392"/>
      <c r="EC142" s="392"/>
      <c r="ED142" s="392"/>
      <c r="EE142" s="392"/>
      <c r="EF142" s="392"/>
      <c r="EG142" s="392"/>
      <c r="EH142" s="392"/>
      <c r="EI142" s="392"/>
      <c r="EJ142" s="392"/>
      <c r="EK142" s="392"/>
      <c r="EL142" s="392"/>
      <c r="EM142" s="392"/>
      <c r="EN142" s="392"/>
      <c r="EO142" s="392"/>
      <c r="EP142" s="392"/>
      <c r="EQ142" s="392"/>
      <c r="ER142" s="392"/>
      <c r="ES142" s="392"/>
      <c r="ET142" s="392"/>
      <c r="EU142" s="392"/>
      <c r="EV142" s="392"/>
      <c r="EW142" s="392"/>
      <c r="EX142" s="392"/>
      <c r="EY142" s="392"/>
      <c r="EZ142" s="392"/>
      <c r="FA142" s="392"/>
      <c r="FB142" s="392"/>
      <c r="FC142" s="392"/>
      <c r="FD142" s="392"/>
      <c r="FE142" s="392"/>
      <c r="FF142" s="392"/>
      <c r="FG142" s="392"/>
      <c r="FH142" s="392"/>
      <c r="FI142" s="392"/>
      <c r="FJ142" s="392"/>
      <c r="FK142" s="392"/>
      <c r="FL142" s="392"/>
      <c r="FM142" s="392"/>
      <c r="FN142" s="392"/>
      <c r="FO142" s="392"/>
      <c r="FP142" s="392"/>
      <c r="FQ142" s="392"/>
      <c r="FR142" s="392"/>
      <c r="FS142" s="392"/>
      <c r="FT142" s="392"/>
      <c r="FU142" s="392"/>
      <c r="FV142" s="392"/>
      <c r="FW142" s="392"/>
      <c r="FX142" s="392"/>
      <c r="FY142" s="392"/>
      <c r="FZ142" s="392"/>
      <c r="GA142" s="392"/>
      <c r="GB142" s="392"/>
      <c r="GC142" s="392"/>
      <c r="GD142" s="392"/>
      <c r="GE142" s="392"/>
      <c r="GF142" s="392"/>
      <c r="GG142" s="392"/>
      <c r="GH142" s="392"/>
      <c r="GI142" s="392"/>
      <c r="GJ142" s="392"/>
      <c r="GK142" s="392"/>
      <c r="GL142" s="392"/>
      <c r="GM142" s="392"/>
      <c r="GN142" s="392"/>
      <c r="GO142" s="392"/>
      <c r="GP142" s="392"/>
      <c r="GQ142" s="392"/>
      <c r="GR142" s="392"/>
      <c r="GS142" s="392"/>
      <c r="GT142" s="392"/>
      <c r="GU142" s="392"/>
      <c r="GV142" s="392"/>
      <c r="GW142" s="392"/>
      <c r="GX142" s="392"/>
      <c r="GY142" s="392"/>
      <c r="GZ142" s="392"/>
      <c r="HA142" s="392"/>
      <c r="HB142" s="392"/>
      <c r="HC142" s="392"/>
      <c r="HD142" s="392"/>
      <c r="HE142" s="392"/>
      <c r="HF142" s="392"/>
      <c r="HG142" s="392"/>
      <c r="HH142" s="392"/>
      <c r="HI142" s="392"/>
      <c r="HJ142" s="392"/>
      <c r="HK142" s="392"/>
      <c r="HL142" s="392"/>
      <c r="HM142" s="392"/>
      <c r="HN142" s="392"/>
      <c r="HO142" s="392"/>
      <c r="HP142" s="392"/>
      <c r="HQ142" s="392"/>
      <c r="HR142" s="392"/>
      <c r="HS142" s="392"/>
      <c r="HT142" s="392"/>
      <c r="HU142" s="392"/>
      <c r="HV142" s="392"/>
      <c r="HW142" s="392"/>
      <c r="HX142" s="392"/>
      <c r="HY142" s="392"/>
      <c r="HZ142" s="392"/>
      <c r="IA142" s="392"/>
      <c r="IB142" s="392"/>
      <c r="IC142" s="392"/>
      <c r="ID142" s="392"/>
      <c r="IE142" s="392"/>
      <c r="IF142" s="392"/>
      <c r="IG142" s="392"/>
      <c r="IH142" s="392"/>
      <c r="II142" s="392"/>
      <c r="IJ142" s="392"/>
      <c r="IK142" s="392"/>
      <c r="IL142" s="392"/>
      <c r="IM142" s="392"/>
      <c r="IN142" s="392"/>
      <c r="IO142" s="392"/>
      <c r="IP142" s="392"/>
      <c r="IQ142" s="392"/>
      <c r="IR142" s="392"/>
      <c r="IS142" s="392"/>
      <c r="IT142" s="392"/>
      <c r="IU142" s="392"/>
      <c r="IV142" s="392"/>
    </row>
    <row r="143" spans="1:256" ht="31.5">
      <c r="A143" s="392"/>
      <c r="B143" s="590" t="s">
        <v>197</v>
      </c>
      <c r="C143" s="591" t="s">
        <v>161</v>
      </c>
      <c r="D143" s="591" t="s">
        <v>22</v>
      </c>
      <c r="E143" s="591" t="s">
        <v>162</v>
      </c>
      <c r="F143" s="592" t="s">
        <v>186</v>
      </c>
      <c r="G143" s="593" t="s">
        <v>187</v>
      </c>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c r="BO143" s="392"/>
      <c r="BP143" s="392"/>
      <c r="BQ143" s="392"/>
      <c r="BR143" s="392"/>
      <c r="BS143" s="392"/>
      <c r="BT143" s="392"/>
      <c r="BU143" s="392"/>
      <c r="BV143" s="392"/>
      <c r="BW143" s="392"/>
      <c r="BX143" s="392"/>
      <c r="BY143" s="392"/>
      <c r="BZ143" s="392"/>
      <c r="CA143" s="392"/>
      <c r="CB143" s="392"/>
      <c r="CC143" s="392"/>
      <c r="CD143" s="392"/>
      <c r="CE143" s="392"/>
      <c r="CF143" s="392"/>
      <c r="CG143" s="392"/>
      <c r="CH143" s="392"/>
      <c r="CI143" s="39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c r="DD143" s="392"/>
      <c r="DE143" s="392"/>
      <c r="DF143" s="392"/>
      <c r="DG143" s="392"/>
      <c r="DH143" s="392"/>
      <c r="DI143" s="392"/>
      <c r="DJ143" s="392"/>
      <c r="DK143" s="392"/>
      <c r="DL143" s="392"/>
      <c r="DM143" s="392"/>
      <c r="DN143" s="392"/>
      <c r="DO143" s="392"/>
      <c r="DP143" s="392"/>
      <c r="DQ143" s="392"/>
      <c r="DR143" s="392"/>
      <c r="DS143" s="392"/>
      <c r="DT143" s="392"/>
      <c r="DU143" s="392"/>
      <c r="DV143" s="392"/>
      <c r="DW143" s="392"/>
      <c r="DX143" s="392"/>
      <c r="DY143" s="392"/>
      <c r="DZ143" s="392"/>
      <c r="EA143" s="392"/>
      <c r="EB143" s="392"/>
      <c r="EC143" s="392"/>
      <c r="ED143" s="392"/>
      <c r="EE143" s="392"/>
      <c r="EF143" s="392"/>
      <c r="EG143" s="392"/>
      <c r="EH143" s="392"/>
      <c r="EI143" s="392"/>
      <c r="EJ143" s="392"/>
      <c r="EK143" s="392"/>
      <c r="EL143" s="392"/>
      <c r="EM143" s="392"/>
      <c r="EN143" s="392"/>
      <c r="EO143" s="392"/>
      <c r="EP143" s="392"/>
      <c r="EQ143" s="392"/>
      <c r="ER143" s="392"/>
      <c r="ES143" s="392"/>
      <c r="ET143" s="392"/>
      <c r="EU143" s="392"/>
      <c r="EV143" s="392"/>
      <c r="EW143" s="392"/>
      <c r="EX143" s="392"/>
      <c r="EY143" s="392"/>
      <c r="EZ143" s="392"/>
      <c r="FA143" s="392"/>
      <c r="FB143" s="392"/>
      <c r="FC143" s="392"/>
      <c r="FD143" s="392"/>
      <c r="FE143" s="392"/>
      <c r="FF143" s="392"/>
      <c r="FG143" s="392"/>
      <c r="FH143" s="392"/>
      <c r="FI143" s="392"/>
      <c r="FJ143" s="392"/>
      <c r="FK143" s="392"/>
      <c r="FL143" s="392"/>
      <c r="FM143" s="392"/>
      <c r="FN143" s="392"/>
      <c r="FO143" s="392"/>
      <c r="FP143" s="392"/>
      <c r="FQ143" s="392"/>
      <c r="FR143" s="392"/>
      <c r="FS143" s="392"/>
      <c r="FT143" s="392"/>
      <c r="FU143" s="392"/>
      <c r="FV143" s="392"/>
      <c r="FW143" s="392"/>
      <c r="FX143" s="392"/>
      <c r="FY143" s="392"/>
      <c r="FZ143" s="392"/>
      <c r="GA143" s="392"/>
      <c r="GB143" s="392"/>
      <c r="GC143" s="392"/>
      <c r="GD143" s="392"/>
      <c r="GE143" s="392"/>
      <c r="GF143" s="392"/>
      <c r="GG143" s="392"/>
      <c r="GH143" s="392"/>
      <c r="GI143" s="392"/>
      <c r="GJ143" s="392"/>
      <c r="GK143" s="392"/>
      <c r="GL143" s="392"/>
      <c r="GM143" s="392"/>
      <c r="GN143" s="392"/>
      <c r="GO143" s="392"/>
      <c r="GP143" s="392"/>
      <c r="GQ143" s="392"/>
      <c r="GR143" s="392"/>
      <c r="GS143" s="392"/>
      <c r="GT143" s="392"/>
      <c r="GU143" s="392"/>
      <c r="GV143" s="392"/>
      <c r="GW143" s="392"/>
      <c r="GX143" s="392"/>
      <c r="GY143" s="392"/>
      <c r="GZ143" s="392"/>
      <c r="HA143" s="392"/>
      <c r="HB143" s="392"/>
      <c r="HC143" s="392"/>
      <c r="HD143" s="392"/>
      <c r="HE143" s="392"/>
      <c r="HF143" s="392"/>
      <c r="HG143" s="392"/>
      <c r="HH143" s="392"/>
      <c r="HI143" s="392"/>
      <c r="HJ143" s="392"/>
      <c r="HK143" s="392"/>
      <c r="HL143" s="392"/>
      <c r="HM143" s="392"/>
      <c r="HN143" s="392"/>
      <c r="HO143" s="392"/>
      <c r="HP143" s="392"/>
      <c r="HQ143" s="392"/>
      <c r="HR143" s="392"/>
      <c r="HS143" s="392"/>
      <c r="HT143" s="392"/>
      <c r="HU143" s="392"/>
      <c r="HV143" s="392"/>
      <c r="HW143" s="392"/>
      <c r="HX143" s="392"/>
      <c r="HY143" s="392"/>
      <c r="HZ143" s="392"/>
      <c r="IA143" s="392"/>
      <c r="IB143" s="392"/>
      <c r="IC143" s="392"/>
      <c r="ID143" s="392"/>
      <c r="IE143" s="392"/>
      <c r="IF143" s="392"/>
      <c r="IG143" s="392"/>
      <c r="IH143" s="392"/>
      <c r="II143" s="392"/>
      <c r="IJ143" s="392"/>
      <c r="IK143" s="392"/>
      <c r="IL143" s="392"/>
      <c r="IM143" s="392"/>
      <c r="IN143" s="392"/>
      <c r="IO143" s="392"/>
      <c r="IP143" s="392"/>
      <c r="IQ143" s="392"/>
      <c r="IR143" s="392"/>
      <c r="IS143" s="392"/>
      <c r="IT143" s="392"/>
      <c r="IU143" s="392"/>
      <c r="IV143" s="392"/>
    </row>
    <row r="144" spans="1:256" ht="16.5" thickBot="1">
      <c r="A144" s="392"/>
      <c r="B144" s="2322" t="s">
        <v>165</v>
      </c>
      <c r="C144" s="2323"/>
      <c r="D144" s="2323"/>
      <c r="E144" s="2323"/>
      <c r="F144" s="2323"/>
      <c r="G144" s="2324"/>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c r="CG144" s="392"/>
      <c r="CH144" s="392"/>
      <c r="CI144" s="39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c r="DD144" s="392"/>
      <c r="DE144" s="392"/>
      <c r="DF144" s="392"/>
      <c r="DG144" s="392"/>
      <c r="DH144" s="392"/>
      <c r="DI144" s="392"/>
      <c r="DJ144" s="392"/>
      <c r="DK144" s="392"/>
      <c r="DL144" s="392"/>
      <c r="DM144" s="392"/>
      <c r="DN144" s="392"/>
      <c r="DO144" s="392"/>
      <c r="DP144" s="392"/>
      <c r="DQ144" s="392"/>
      <c r="DR144" s="392"/>
      <c r="DS144" s="392"/>
      <c r="DT144" s="392"/>
      <c r="DU144" s="392"/>
      <c r="DV144" s="392"/>
      <c r="DW144" s="392"/>
      <c r="DX144" s="392"/>
      <c r="DY144" s="392"/>
      <c r="DZ144" s="392"/>
      <c r="EA144" s="392"/>
      <c r="EB144" s="392"/>
      <c r="EC144" s="392"/>
      <c r="ED144" s="392"/>
      <c r="EE144" s="392"/>
      <c r="EF144" s="392"/>
      <c r="EG144" s="392"/>
      <c r="EH144" s="392"/>
      <c r="EI144" s="392"/>
      <c r="EJ144" s="392"/>
      <c r="EK144" s="392"/>
      <c r="EL144" s="392"/>
      <c r="EM144" s="392"/>
      <c r="EN144" s="392"/>
      <c r="EO144" s="392"/>
      <c r="EP144" s="392"/>
      <c r="EQ144" s="392"/>
      <c r="ER144" s="392"/>
      <c r="ES144" s="392"/>
      <c r="ET144" s="392"/>
      <c r="EU144" s="392"/>
      <c r="EV144" s="392"/>
      <c r="EW144" s="392"/>
      <c r="EX144" s="392"/>
      <c r="EY144" s="392"/>
      <c r="EZ144" s="392"/>
      <c r="FA144" s="392"/>
      <c r="FB144" s="392"/>
      <c r="FC144" s="392"/>
      <c r="FD144" s="392"/>
      <c r="FE144" s="392"/>
      <c r="FF144" s="392"/>
      <c r="FG144" s="392"/>
      <c r="FH144" s="392"/>
      <c r="FI144" s="392"/>
      <c r="FJ144" s="392"/>
      <c r="FK144" s="392"/>
      <c r="FL144" s="392"/>
      <c r="FM144" s="392"/>
      <c r="FN144" s="392"/>
      <c r="FO144" s="392"/>
      <c r="FP144" s="392"/>
      <c r="FQ144" s="392"/>
      <c r="FR144" s="392"/>
      <c r="FS144" s="392"/>
      <c r="FT144" s="392"/>
      <c r="FU144" s="392"/>
      <c r="FV144" s="392"/>
      <c r="FW144" s="392"/>
      <c r="FX144" s="392"/>
      <c r="FY144" s="392"/>
      <c r="FZ144" s="392"/>
      <c r="GA144" s="392"/>
      <c r="GB144" s="392"/>
      <c r="GC144" s="392"/>
      <c r="GD144" s="392"/>
      <c r="GE144" s="392"/>
      <c r="GF144" s="392"/>
      <c r="GG144" s="392"/>
      <c r="GH144" s="392"/>
      <c r="GI144" s="392"/>
      <c r="GJ144" s="392"/>
      <c r="GK144" s="392"/>
      <c r="GL144" s="392"/>
      <c r="GM144" s="392"/>
      <c r="GN144" s="392"/>
      <c r="GO144" s="392"/>
      <c r="GP144" s="392"/>
      <c r="GQ144" s="392"/>
      <c r="GR144" s="392"/>
      <c r="GS144" s="392"/>
      <c r="GT144" s="392"/>
      <c r="GU144" s="392"/>
      <c r="GV144" s="392"/>
      <c r="GW144" s="392"/>
      <c r="GX144" s="392"/>
      <c r="GY144" s="392"/>
      <c r="GZ144" s="392"/>
      <c r="HA144" s="392"/>
      <c r="HB144" s="392"/>
      <c r="HC144" s="392"/>
      <c r="HD144" s="392"/>
      <c r="HE144" s="392"/>
      <c r="HF144" s="392"/>
      <c r="HG144" s="392"/>
      <c r="HH144" s="392"/>
      <c r="HI144" s="392"/>
      <c r="HJ144" s="392"/>
      <c r="HK144" s="392"/>
      <c r="HL144" s="392"/>
      <c r="HM144" s="392"/>
      <c r="HN144" s="392"/>
      <c r="HO144" s="392"/>
      <c r="HP144" s="392"/>
      <c r="HQ144" s="392"/>
      <c r="HR144" s="392"/>
      <c r="HS144" s="392"/>
      <c r="HT144" s="392"/>
      <c r="HU144" s="392"/>
      <c r="HV144" s="392"/>
      <c r="HW144" s="392"/>
      <c r="HX144" s="392"/>
      <c r="HY144" s="392"/>
      <c r="HZ144" s="392"/>
      <c r="IA144" s="392"/>
      <c r="IB144" s="392"/>
      <c r="IC144" s="392"/>
      <c r="ID144" s="392"/>
      <c r="IE144" s="392"/>
      <c r="IF144" s="392"/>
      <c r="IG144" s="392"/>
      <c r="IH144" s="392"/>
      <c r="II144" s="392"/>
      <c r="IJ144" s="392"/>
      <c r="IK144" s="392"/>
      <c r="IL144" s="392"/>
      <c r="IM144" s="392"/>
      <c r="IN144" s="392"/>
      <c r="IO144" s="392"/>
      <c r="IP144" s="392"/>
      <c r="IQ144" s="392"/>
      <c r="IR144" s="392"/>
      <c r="IS144" s="392"/>
      <c r="IT144" s="392"/>
      <c r="IU144" s="392"/>
      <c r="IV144" s="392"/>
    </row>
    <row r="145" spans="1:256" ht="15.75">
      <c r="A145" s="392"/>
      <c r="B145" s="585" t="s">
        <v>612</v>
      </c>
      <c r="C145" s="586" t="str">
        <f>C21</f>
        <v>SIMULADOR DE CAVALGADA</v>
      </c>
      <c r="D145" s="587" t="s">
        <v>22</v>
      </c>
      <c r="E145" s="597">
        <v>1</v>
      </c>
      <c r="F145" s="588">
        <f>E21</f>
        <v>1680</v>
      </c>
      <c r="G145" s="589">
        <f>TRUNC(F145*E145,2)</f>
        <v>1680</v>
      </c>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c r="CG145" s="392"/>
      <c r="CH145" s="392"/>
      <c r="CI145" s="392"/>
      <c r="CJ145" s="392"/>
      <c r="CK145" s="392"/>
      <c r="CL145" s="392"/>
      <c r="CM145" s="392"/>
      <c r="CN145" s="392"/>
      <c r="CO145" s="392"/>
      <c r="CP145" s="392"/>
      <c r="CQ145" s="392"/>
      <c r="CR145" s="392"/>
      <c r="CS145" s="392"/>
      <c r="CT145" s="392"/>
      <c r="CU145" s="392"/>
      <c r="CV145" s="392"/>
      <c r="CW145" s="392"/>
      <c r="CX145" s="392"/>
      <c r="CY145" s="392"/>
      <c r="CZ145" s="392"/>
      <c r="DA145" s="392"/>
      <c r="DB145" s="392"/>
      <c r="DC145" s="392"/>
      <c r="DD145" s="392"/>
      <c r="DE145" s="392"/>
      <c r="DF145" s="392"/>
      <c r="DG145" s="392"/>
      <c r="DH145" s="392"/>
      <c r="DI145" s="392"/>
      <c r="DJ145" s="392"/>
      <c r="DK145" s="392"/>
      <c r="DL145" s="392"/>
      <c r="DM145" s="392"/>
      <c r="DN145" s="392"/>
      <c r="DO145" s="392"/>
      <c r="DP145" s="392"/>
      <c r="DQ145" s="392"/>
      <c r="DR145" s="392"/>
      <c r="DS145" s="392"/>
      <c r="DT145" s="392"/>
      <c r="DU145" s="392"/>
      <c r="DV145" s="392"/>
      <c r="DW145" s="392"/>
      <c r="DX145" s="392"/>
      <c r="DY145" s="392"/>
      <c r="DZ145" s="392"/>
      <c r="EA145" s="392"/>
      <c r="EB145" s="392"/>
      <c r="EC145" s="392"/>
      <c r="ED145" s="392"/>
      <c r="EE145" s="392"/>
      <c r="EF145" s="392"/>
      <c r="EG145" s="392"/>
      <c r="EH145" s="392"/>
      <c r="EI145" s="392"/>
      <c r="EJ145" s="392"/>
      <c r="EK145" s="392"/>
      <c r="EL145" s="392"/>
      <c r="EM145" s="392"/>
      <c r="EN145" s="392"/>
      <c r="EO145" s="392"/>
      <c r="EP145" s="392"/>
      <c r="EQ145" s="392"/>
      <c r="ER145" s="392"/>
      <c r="ES145" s="392"/>
      <c r="ET145" s="392"/>
      <c r="EU145" s="392"/>
      <c r="EV145" s="392"/>
      <c r="EW145" s="392"/>
      <c r="EX145" s="392"/>
      <c r="EY145" s="392"/>
      <c r="EZ145" s="392"/>
      <c r="FA145" s="392"/>
      <c r="FB145" s="392"/>
      <c r="FC145" s="392"/>
      <c r="FD145" s="392"/>
      <c r="FE145" s="392"/>
      <c r="FF145" s="392"/>
      <c r="FG145" s="392"/>
      <c r="FH145" s="392"/>
      <c r="FI145" s="392"/>
      <c r="FJ145" s="392"/>
      <c r="FK145" s="392"/>
      <c r="FL145" s="392"/>
      <c r="FM145" s="392"/>
      <c r="FN145" s="392"/>
      <c r="FO145" s="392"/>
      <c r="FP145" s="392"/>
      <c r="FQ145" s="392"/>
      <c r="FR145" s="392"/>
      <c r="FS145" s="392"/>
      <c r="FT145" s="392"/>
      <c r="FU145" s="392"/>
      <c r="FV145" s="392"/>
      <c r="FW145" s="392"/>
      <c r="FX145" s="392"/>
      <c r="FY145" s="392"/>
      <c r="FZ145" s="392"/>
      <c r="GA145" s="392"/>
      <c r="GB145" s="392"/>
      <c r="GC145" s="392"/>
      <c r="GD145" s="392"/>
      <c r="GE145" s="392"/>
      <c r="GF145" s="392"/>
      <c r="GG145" s="392"/>
      <c r="GH145" s="392"/>
      <c r="GI145" s="392"/>
      <c r="GJ145" s="392"/>
      <c r="GK145" s="392"/>
      <c r="GL145" s="392"/>
      <c r="GM145" s="392"/>
      <c r="GN145" s="392"/>
      <c r="GO145" s="392"/>
      <c r="GP145" s="392"/>
      <c r="GQ145" s="392"/>
      <c r="GR145" s="392"/>
      <c r="GS145" s="392"/>
      <c r="GT145" s="392"/>
      <c r="GU145" s="392"/>
      <c r="GV145" s="392"/>
      <c r="GW145" s="392"/>
      <c r="GX145" s="392"/>
      <c r="GY145" s="392"/>
      <c r="GZ145" s="392"/>
      <c r="HA145" s="392"/>
      <c r="HB145" s="392"/>
      <c r="HC145" s="392"/>
      <c r="HD145" s="392"/>
      <c r="HE145" s="392"/>
      <c r="HF145" s="392"/>
      <c r="HG145" s="392"/>
      <c r="HH145" s="392"/>
      <c r="HI145" s="392"/>
      <c r="HJ145" s="392"/>
      <c r="HK145" s="392"/>
      <c r="HL145" s="392"/>
      <c r="HM145" s="392"/>
      <c r="HN145" s="392"/>
      <c r="HO145" s="392"/>
      <c r="HP145" s="392"/>
      <c r="HQ145" s="392"/>
      <c r="HR145" s="392"/>
      <c r="HS145" s="392"/>
      <c r="HT145" s="392"/>
      <c r="HU145" s="392"/>
      <c r="HV145" s="392"/>
      <c r="HW145" s="392"/>
      <c r="HX145" s="392"/>
      <c r="HY145" s="392"/>
      <c r="HZ145" s="392"/>
      <c r="IA145" s="392"/>
      <c r="IB145" s="392"/>
      <c r="IC145" s="392"/>
      <c r="ID145" s="392"/>
      <c r="IE145" s="392"/>
      <c r="IF145" s="392"/>
      <c r="IG145" s="392"/>
      <c r="IH145" s="392"/>
      <c r="II145" s="392"/>
      <c r="IJ145" s="392"/>
      <c r="IK145" s="392"/>
      <c r="IL145" s="392"/>
      <c r="IM145" s="392"/>
      <c r="IN145" s="392"/>
      <c r="IO145" s="392"/>
      <c r="IP145" s="392"/>
      <c r="IQ145" s="392"/>
      <c r="IR145" s="392"/>
      <c r="IS145" s="392"/>
      <c r="IT145" s="392"/>
      <c r="IU145" s="392"/>
      <c r="IV145" s="392"/>
    </row>
    <row r="146" spans="1:256" ht="30">
      <c r="A146" s="392" t="s">
        <v>391</v>
      </c>
      <c r="B146" s="436">
        <v>93358</v>
      </c>
      <c r="C146" s="317" t="str">
        <f>IF($A146="INSUMO",VLOOKUP($B146,'BANCO DE DADOS JANEIRO-24 INS'!$A:$D,2,FALSE),VLOOKUP($B146,'BANCO DE DADOS JANEIRO-24 SERV'!$B:$E,2,FALSE))</f>
        <v>ESCAVAÇÃO MANUAL DE VALA COM PROFUNDIDADE MENOR OU IGUAL A 1,30 M. AF_02/2021</v>
      </c>
      <c r="D146" s="316" t="str">
        <f>IF($A146="INSUMO",VLOOKUP($B146,'BANCO DE DADOS JANEIRO-24 INS'!$A:$D,3,FALSE),VLOOKUP($B146,'BANCO DE DADOS JANEIRO-24 SERV'!$B:$E,3,FALSE))</f>
        <v>M3</v>
      </c>
      <c r="E146" s="598">
        <f>((0.3*0.3*0.6)*2)</f>
        <v>0.108</v>
      </c>
      <c r="F146" s="320">
        <f>IF($A146="INSUMO",VLOOKUP($B146,'BANCO DE DADOS JANEIRO-24 INS'!$A:$D,4,FALSE),VLOOKUP($B146,'BANCO DE DADOS JANEIRO-24 SERV'!$B:$E,4,FALSE))</f>
        <v>80.38</v>
      </c>
      <c r="G146" s="435">
        <f>TRUNC(F146*E146,2)</f>
        <v>8.68</v>
      </c>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c r="CG146" s="392"/>
      <c r="CH146" s="392"/>
      <c r="CI146" s="392"/>
      <c r="CJ146" s="392"/>
      <c r="CK146" s="392"/>
      <c r="CL146" s="392"/>
      <c r="CM146" s="392"/>
      <c r="CN146" s="392"/>
      <c r="CO146" s="392"/>
      <c r="CP146" s="392"/>
      <c r="CQ146" s="392"/>
      <c r="CR146" s="392"/>
      <c r="CS146" s="392"/>
      <c r="CT146" s="392"/>
      <c r="CU146" s="392"/>
      <c r="CV146" s="392"/>
      <c r="CW146" s="392"/>
      <c r="CX146" s="392"/>
      <c r="CY146" s="392"/>
      <c r="CZ146" s="392"/>
      <c r="DA146" s="392"/>
      <c r="DB146" s="392"/>
      <c r="DC146" s="392"/>
      <c r="DD146" s="392"/>
      <c r="DE146" s="392"/>
      <c r="DF146" s="392"/>
      <c r="DG146" s="392"/>
      <c r="DH146" s="392"/>
      <c r="DI146" s="392"/>
      <c r="DJ146" s="392"/>
      <c r="DK146" s="392"/>
      <c r="DL146" s="392"/>
      <c r="DM146" s="392"/>
      <c r="DN146" s="392"/>
      <c r="DO146" s="392"/>
      <c r="DP146" s="392"/>
      <c r="DQ146" s="392"/>
      <c r="DR146" s="392"/>
      <c r="DS146" s="392"/>
      <c r="DT146" s="392"/>
      <c r="DU146" s="392"/>
      <c r="DV146" s="392"/>
      <c r="DW146" s="392"/>
      <c r="DX146" s="392"/>
      <c r="DY146" s="392"/>
      <c r="DZ146" s="392"/>
      <c r="EA146" s="392"/>
      <c r="EB146" s="392"/>
      <c r="EC146" s="392"/>
      <c r="ED146" s="392"/>
      <c r="EE146" s="392"/>
      <c r="EF146" s="392"/>
      <c r="EG146" s="392"/>
      <c r="EH146" s="392"/>
      <c r="EI146" s="392"/>
      <c r="EJ146" s="392"/>
      <c r="EK146" s="392"/>
      <c r="EL146" s="392"/>
      <c r="EM146" s="392"/>
      <c r="EN146" s="392"/>
      <c r="EO146" s="392"/>
      <c r="EP146" s="392"/>
      <c r="EQ146" s="392"/>
      <c r="ER146" s="392"/>
      <c r="ES146" s="392"/>
      <c r="ET146" s="392"/>
      <c r="EU146" s="392"/>
      <c r="EV146" s="392"/>
      <c r="EW146" s="392"/>
      <c r="EX146" s="392"/>
      <c r="EY146" s="392"/>
      <c r="EZ146" s="392"/>
      <c r="FA146" s="392"/>
      <c r="FB146" s="392"/>
      <c r="FC146" s="392"/>
      <c r="FD146" s="392"/>
      <c r="FE146" s="392"/>
      <c r="FF146" s="392"/>
      <c r="FG146" s="392"/>
      <c r="FH146" s="392"/>
      <c r="FI146" s="392"/>
      <c r="FJ146" s="392"/>
      <c r="FK146" s="392"/>
      <c r="FL146" s="392"/>
      <c r="FM146" s="392"/>
      <c r="FN146" s="392"/>
      <c r="FO146" s="392"/>
      <c r="FP146" s="392"/>
      <c r="FQ146" s="392"/>
      <c r="FR146" s="392"/>
      <c r="FS146" s="392"/>
      <c r="FT146" s="392"/>
      <c r="FU146" s="392"/>
      <c r="FV146" s="392"/>
      <c r="FW146" s="392"/>
      <c r="FX146" s="392"/>
      <c r="FY146" s="392"/>
      <c r="FZ146" s="392"/>
      <c r="GA146" s="392"/>
      <c r="GB146" s="392"/>
      <c r="GC146" s="392"/>
      <c r="GD146" s="392"/>
      <c r="GE146" s="392"/>
      <c r="GF146" s="392"/>
      <c r="GG146" s="392"/>
      <c r="GH146" s="392"/>
      <c r="GI146" s="392"/>
      <c r="GJ146" s="392"/>
      <c r="GK146" s="392"/>
      <c r="GL146" s="392"/>
      <c r="GM146" s="392"/>
      <c r="GN146" s="392"/>
      <c r="GO146" s="392"/>
      <c r="GP146" s="392"/>
      <c r="GQ146" s="392"/>
      <c r="GR146" s="392"/>
      <c r="GS146" s="392"/>
      <c r="GT146" s="392"/>
      <c r="GU146" s="392"/>
      <c r="GV146" s="392"/>
      <c r="GW146" s="392"/>
      <c r="GX146" s="392"/>
      <c r="GY146" s="392"/>
      <c r="GZ146" s="392"/>
      <c r="HA146" s="392"/>
      <c r="HB146" s="392"/>
      <c r="HC146" s="392"/>
      <c r="HD146" s="392"/>
      <c r="HE146" s="392"/>
      <c r="HF146" s="392"/>
      <c r="HG146" s="392"/>
      <c r="HH146" s="392"/>
      <c r="HI146" s="392"/>
      <c r="HJ146" s="392"/>
      <c r="HK146" s="392"/>
      <c r="HL146" s="392"/>
      <c r="HM146" s="392"/>
      <c r="HN146" s="392"/>
      <c r="HO146" s="392"/>
      <c r="HP146" s="392"/>
      <c r="HQ146" s="392"/>
      <c r="HR146" s="392"/>
      <c r="HS146" s="392"/>
      <c r="HT146" s="392"/>
      <c r="HU146" s="392"/>
      <c r="HV146" s="392"/>
      <c r="HW146" s="392"/>
      <c r="HX146" s="392"/>
      <c r="HY146" s="392"/>
      <c r="HZ146" s="392"/>
      <c r="IA146" s="392"/>
      <c r="IB146" s="392"/>
      <c r="IC146" s="392"/>
      <c r="ID146" s="392"/>
      <c r="IE146" s="392"/>
      <c r="IF146" s="392"/>
      <c r="IG146" s="392"/>
      <c r="IH146" s="392"/>
      <c r="II146" s="392"/>
      <c r="IJ146" s="392"/>
      <c r="IK146" s="392"/>
      <c r="IL146" s="392"/>
      <c r="IM146" s="392"/>
      <c r="IN146" s="392"/>
      <c r="IO146" s="392"/>
      <c r="IP146" s="392"/>
      <c r="IQ146" s="392"/>
      <c r="IR146" s="392"/>
      <c r="IS146" s="392"/>
      <c r="IT146" s="392"/>
      <c r="IU146" s="392"/>
      <c r="IV146" s="392"/>
    </row>
    <row r="147" spans="1:256" ht="45">
      <c r="A147" s="392" t="s">
        <v>391</v>
      </c>
      <c r="B147" s="436">
        <v>94965</v>
      </c>
      <c r="C147" s="317" t="str">
        <f>IF($A147="INSUMO",VLOOKUP($B147,'BANCO DE DADOS JANEIRO-24 INS'!$A:$D,2,FALSE),VLOOKUP($B147,'BANCO DE DADOS JANEIRO-24 SERV'!$B:$E,2,FALSE))</f>
        <v>CONCRETO FCK = 25MPA, TRAÇO 1:2,3:2,7 (EM MASSA SECA DE CIMENTO/ AREIA MÉDIA/ BRITA 1) - PREPARO MECÂNICO COM BETONEIRA 400 L. AF_05/2021</v>
      </c>
      <c r="D147" s="316" t="str">
        <f>IF($A147="INSUMO",VLOOKUP($B147,'BANCO DE DADOS JANEIRO-24 INS'!$A:$D,3,FALSE),VLOOKUP($B147,'BANCO DE DADOS JANEIRO-24 SERV'!$B:$E,3,FALSE))</f>
        <v>M3</v>
      </c>
      <c r="E147" s="598">
        <f>E146</f>
        <v>0.108</v>
      </c>
      <c r="F147" s="320">
        <f>IF($A147="INSUMO",VLOOKUP($B147,'BANCO DE DADOS JANEIRO-24 INS'!$A:$D,4,FALSE),VLOOKUP($B147,'BANCO DE DADOS JANEIRO-24 SERV'!$B:$E,4,FALSE))</f>
        <v>568.95000000000005</v>
      </c>
      <c r="G147" s="435">
        <f>TRUNC(F147*E147,2)</f>
        <v>61.44</v>
      </c>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c r="AE147" s="392"/>
      <c r="AF147" s="392"/>
      <c r="AG147" s="392"/>
      <c r="AH147" s="392"/>
      <c r="AI147" s="392"/>
      <c r="AJ147" s="392"/>
      <c r="AK147" s="392"/>
      <c r="AL147" s="392"/>
      <c r="AM147" s="392"/>
      <c r="AN147" s="392"/>
      <c r="AO147" s="392"/>
      <c r="AP147" s="392"/>
      <c r="AQ147" s="392"/>
      <c r="AR147" s="392"/>
      <c r="AS147" s="392"/>
      <c r="AT147" s="392"/>
      <c r="AU147" s="392"/>
      <c r="AV147" s="392"/>
      <c r="AW147" s="392"/>
      <c r="AX147" s="392"/>
      <c r="AY147" s="392"/>
      <c r="AZ147" s="392"/>
      <c r="BA147" s="392"/>
      <c r="BB147" s="392"/>
      <c r="BC147" s="392"/>
      <c r="BD147" s="392"/>
      <c r="BE147" s="392"/>
      <c r="BF147" s="392"/>
      <c r="BG147" s="392"/>
      <c r="BH147" s="392"/>
      <c r="BI147" s="392"/>
      <c r="BJ147" s="392"/>
      <c r="BK147" s="392"/>
      <c r="BL147" s="392"/>
      <c r="BM147" s="392"/>
      <c r="BN147" s="392"/>
      <c r="BO147" s="392"/>
      <c r="BP147" s="392"/>
      <c r="BQ147" s="392"/>
      <c r="BR147" s="392"/>
      <c r="BS147" s="392"/>
      <c r="BT147" s="392"/>
      <c r="BU147" s="392"/>
      <c r="BV147" s="392"/>
      <c r="BW147" s="392"/>
      <c r="BX147" s="392"/>
      <c r="BY147" s="392"/>
      <c r="BZ147" s="392"/>
      <c r="CA147" s="392"/>
      <c r="CB147" s="392"/>
      <c r="CC147" s="392"/>
      <c r="CD147" s="392"/>
      <c r="CE147" s="392"/>
      <c r="CF147" s="392"/>
      <c r="CG147" s="392"/>
      <c r="CH147" s="392"/>
      <c r="CI147" s="392"/>
      <c r="CJ147" s="392"/>
      <c r="CK147" s="392"/>
      <c r="CL147" s="392"/>
      <c r="CM147" s="392"/>
      <c r="CN147" s="392"/>
      <c r="CO147" s="392"/>
      <c r="CP147" s="392"/>
      <c r="CQ147" s="392"/>
      <c r="CR147" s="392"/>
      <c r="CS147" s="392"/>
      <c r="CT147" s="392"/>
      <c r="CU147" s="392"/>
      <c r="CV147" s="392"/>
      <c r="CW147" s="392"/>
      <c r="CX147" s="392"/>
      <c r="CY147" s="392"/>
      <c r="CZ147" s="392"/>
      <c r="DA147" s="392"/>
      <c r="DB147" s="392"/>
      <c r="DC147" s="392"/>
      <c r="DD147" s="392"/>
      <c r="DE147" s="392"/>
      <c r="DF147" s="392"/>
      <c r="DG147" s="392"/>
      <c r="DH147" s="392"/>
      <c r="DI147" s="392"/>
      <c r="DJ147" s="392"/>
      <c r="DK147" s="392"/>
      <c r="DL147" s="392"/>
      <c r="DM147" s="392"/>
      <c r="DN147" s="392"/>
      <c r="DO147" s="392"/>
      <c r="DP147" s="392"/>
      <c r="DQ147" s="392"/>
      <c r="DR147" s="392"/>
      <c r="DS147" s="392"/>
      <c r="DT147" s="392"/>
      <c r="DU147" s="392"/>
      <c r="DV147" s="392"/>
      <c r="DW147" s="392"/>
      <c r="DX147" s="392"/>
      <c r="DY147" s="392"/>
      <c r="DZ147" s="392"/>
      <c r="EA147" s="392"/>
      <c r="EB147" s="392"/>
      <c r="EC147" s="392"/>
      <c r="ED147" s="392"/>
      <c r="EE147" s="392"/>
      <c r="EF147" s="392"/>
      <c r="EG147" s="392"/>
      <c r="EH147" s="392"/>
      <c r="EI147" s="392"/>
      <c r="EJ147" s="392"/>
      <c r="EK147" s="392"/>
      <c r="EL147" s="392"/>
      <c r="EM147" s="392"/>
      <c r="EN147" s="392"/>
      <c r="EO147" s="392"/>
      <c r="EP147" s="392"/>
      <c r="EQ147" s="392"/>
      <c r="ER147" s="392"/>
      <c r="ES147" s="392"/>
      <c r="ET147" s="392"/>
      <c r="EU147" s="392"/>
      <c r="EV147" s="392"/>
      <c r="EW147" s="392"/>
      <c r="EX147" s="392"/>
      <c r="EY147" s="392"/>
      <c r="EZ147" s="392"/>
      <c r="FA147" s="392"/>
      <c r="FB147" s="392"/>
      <c r="FC147" s="392"/>
      <c r="FD147" s="392"/>
      <c r="FE147" s="392"/>
      <c r="FF147" s="392"/>
      <c r="FG147" s="392"/>
      <c r="FH147" s="392"/>
      <c r="FI147" s="392"/>
      <c r="FJ147" s="392"/>
      <c r="FK147" s="392"/>
      <c r="FL147" s="392"/>
      <c r="FM147" s="392"/>
      <c r="FN147" s="392"/>
      <c r="FO147" s="392"/>
      <c r="FP147" s="392"/>
      <c r="FQ147" s="392"/>
      <c r="FR147" s="392"/>
      <c r="FS147" s="392"/>
      <c r="FT147" s="392"/>
      <c r="FU147" s="392"/>
      <c r="FV147" s="392"/>
      <c r="FW147" s="392"/>
      <c r="FX147" s="392"/>
      <c r="FY147" s="392"/>
      <c r="FZ147" s="392"/>
      <c r="GA147" s="392"/>
      <c r="GB147" s="392"/>
      <c r="GC147" s="392"/>
      <c r="GD147" s="392"/>
      <c r="GE147" s="392"/>
      <c r="GF147" s="392"/>
      <c r="GG147" s="392"/>
      <c r="GH147" s="392"/>
      <c r="GI147" s="392"/>
      <c r="GJ147" s="392"/>
      <c r="GK147" s="392"/>
      <c r="GL147" s="392"/>
      <c r="GM147" s="392"/>
      <c r="GN147" s="392"/>
      <c r="GO147" s="392"/>
      <c r="GP147" s="392"/>
      <c r="GQ147" s="392"/>
      <c r="GR147" s="392"/>
      <c r="GS147" s="392"/>
      <c r="GT147" s="392"/>
      <c r="GU147" s="392"/>
      <c r="GV147" s="392"/>
      <c r="GW147" s="392"/>
      <c r="GX147" s="392"/>
      <c r="GY147" s="392"/>
      <c r="GZ147" s="392"/>
      <c r="HA147" s="392"/>
      <c r="HB147" s="392"/>
      <c r="HC147" s="392"/>
      <c r="HD147" s="392"/>
      <c r="HE147" s="392"/>
      <c r="HF147" s="392"/>
      <c r="HG147" s="392"/>
      <c r="HH147" s="392"/>
      <c r="HI147" s="392"/>
      <c r="HJ147" s="392"/>
      <c r="HK147" s="392"/>
      <c r="HL147" s="392"/>
      <c r="HM147" s="392"/>
      <c r="HN147" s="392"/>
      <c r="HO147" s="392"/>
      <c r="HP147" s="392"/>
      <c r="HQ147" s="392"/>
      <c r="HR147" s="392"/>
      <c r="HS147" s="392"/>
      <c r="HT147" s="392"/>
      <c r="HU147" s="392"/>
      <c r="HV147" s="392"/>
      <c r="HW147" s="392"/>
      <c r="HX147" s="392"/>
      <c r="HY147" s="392"/>
      <c r="HZ147" s="392"/>
      <c r="IA147" s="392"/>
      <c r="IB147" s="392"/>
      <c r="IC147" s="392"/>
      <c r="ID147" s="392"/>
      <c r="IE147" s="392"/>
      <c r="IF147" s="392"/>
      <c r="IG147" s="392"/>
      <c r="IH147" s="392"/>
      <c r="II147" s="392"/>
      <c r="IJ147" s="392"/>
      <c r="IK147" s="392"/>
      <c r="IL147" s="392"/>
      <c r="IM147" s="392"/>
      <c r="IN147" s="392"/>
      <c r="IO147" s="392"/>
      <c r="IP147" s="392"/>
      <c r="IQ147" s="392"/>
      <c r="IR147" s="392"/>
      <c r="IS147" s="392"/>
      <c r="IT147" s="392"/>
      <c r="IU147" s="392"/>
      <c r="IV147" s="392"/>
    </row>
    <row r="148" spans="1:256" ht="15.75" thickBot="1">
      <c r="A148" s="392" t="s">
        <v>391</v>
      </c>
      <c r="B148" s="437" t="s">
        <v>57</v>
      </c>
      <c r="C148" s="318" t="e">
        <f>IF($A148="INSUMO",VLOOKUP($B148,'BANCO DE DADOS JANEIRO-24 INS'!$A:$D,2,FALSE),VLOOKUP($B148,'BANCO DE DADOS JANEIRO-24 SERV'!$B:$E,2,FALSE))</f>
        <v>#N/A</v>
      </c>
      <c r="D148" s="319" t="e">
        <f>IF($A148="INSUMO",VLOOKUP($B148,'BANCO DE DADOS JANEIRO-24 INS'!$A:$D,3,FALSE),VLOOKUP($B148,'BANCO DE DADOS JANEIRO-24 SERV'!$B:$E,3,FALSE))</f>
        <v>#N/A</v>
      </c>
      <c r="E148" s="599">
        <f>E146</f>
        <v>0.108</v>
      </c>
      <c r="F148" s="321" t="e">
        <f>IF($A148="INSUMO",VLOOKUP($B148,'BANCO DE DADOS JANEIRO-24 INS'!$A:$D,4,FALSE),VLOOKUP($B148,'BANCO DE DADOS JANEIRO-24 SERV'!$B:$E,4,FALSE))</f>
        <v>#N/A</v>
      </c>
      <c r="G148" s="438" t="e">
        <f>TRUNC(F148*E148,2)</f>
        <v>#N/A</v>
      </c>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392"/>
      <c r="AF148" s="392"/>
      <c r="AG148" s="392"/>
      <c r="AH148" s="392"/>
      <c r="AI148" s="392"/>
      <c r="AJ148" s="392"/>
      <c r="AK148" s="392"/>
      <c r="AL148" s="392"/>
      <c r="AM148" s="392"/>
      <c r="AN148" s="392"/>
      <c r="AO148" s="392"/>
      <c r="AP148" s="392"/>
      <c r="AQ148" s="392"/>
      <c r="AR148" s="392"/>
      <c r="AS148" s="392"/>
      <c r="AT148" s="392"/>
      <c r="AU148" s="392"/>
      <c r="AV148" s="392"/>
      <c r="AW148" s="392"/>
      <c r="AX148" s="392"/>
      <c r="AY148" s="392"/>
      <c r="AZ148" s="392"/>
      <c r="BA148" s="392"/>
      <c r="BB148" s="392"/>
      <c r="BC148" s="392"/>
      <c r="BD148" s="392"/>
      <c r="BE148" s="392"/>
      <c r="BF148" s="392"/>
      <c r="BG148" s="392"/>
      <c r="BH148" s="392"/>
      <c r="BI148" s="392"/>
      <c r="BJ148" s="392"/>
      <c r="BK148" s="392"/>
      <c r="BL148" s="392"/>
      <c r="BM148" s="392"/>
      <c r="BN148" s="392"/>
      <c r="BO148" s="392"/>
      <c r="BP148" s="392"/>
      <c r="BQ148" s="392"/>
      <c r="BR148" s="392"/>
      <c r="BS148" s="392"/>
      <c r="BT148" s="392"/>
      <c r="BU148" s="392"/>
      <c r="BV148" s="392"/>
      <c r="BW148" s="392"/>
      <c r="BX148" s="392"/>
      <c r="BY148" s="392"/>
      <c r="BZ148" s="392"/>
      <c r="CA148" s="392"/>
      <c r="CB148" s="392"/>
      <c r="CC148" s="392"/>
      <c r="CD148" s="392"/>
      <c r="CE148" s="392"/>
      <c r="CF148" s="392"/>
      <c r="CG148" s="392"/>
      <c r="CH148" s="392"/>
      <c r="CI148" s="392"/>
      <c r="CJ148" s="392"/>
      <c r="CK148" s="392"/>
      <c r="CL148" s="392"/>
      <c r="CM148" s="392"/>
      <c r="CN148" s="392"/>
      <c r="CO148" s="392"/>
      <c r="CP148" s="392"/>
      <c r="CQ148" s="392"/>
      <c r="CR148" s="392"/>
      <c r="CS148" s="392"/>
      <c r="CT148" s="392"/>
      <c r="CU148" s="392"/>
      <c r="CV148" s="392"/>
      <c r="CW148" s="392"/>
      <c r="CX148" s="392"/>
      <c r="CY148" s="392"/>
      <c r="CZ148" s="392"/>
      <c r="DA148" s="392"/>
      <c r="DB148" s="392"/>
      <c r="DC148" s="392"/>
      <c r="DD148" s="392"/>
      <c r="DE148" s="392"/>
      <c r="DF148" s="392"/>
      <c r="DG148" s="392"/>
      <c r="DH148" s="392"/>
      <c r="DI148" s="392"/>
      <c r="DJ148" s="392"/>
      <c r="DK148" s="392"/>
      <c r="DL148" s="392"/>
      <c r="DM148" s="392"/>
      <c r="DN148" s="392"/>
      <c r="DO148" s="392"/>
      <c r="DP148" s="392"/>
      <c r="DQ148" s="392"/>
      <c r="DR148" s="392"/>
      <c r="DS148" s="392"/>
      <c r="DT148" s="392"/>
      <c r="DU148" s="392"/>
      <c r="DV148" s="392"/>
      <c r="DW148" s="392"/>
      <c r="DX148" s="392"/>
      <c r="DY148" s="392"/>
      <c r="DZ148" s="392"/>
      <c r="EA148" s="392"/>
      <c r="EB148" s="392"/>
      <c r="EC148" s="392"/>
      <c r="ED148" s="392"/>
      <c r="EE148" s="392"/>
      <c r="EF148" s="392"/>
      <c r="EG148" s="392"/>
      <c r="EH148" s="392"/>
      <c r="EI148" s="392"/>
      <c r="EJ148" s="392"/>
      <c r="EK148" s="392"/>
      <c r="EL148" s="392"/>
      <c r="EM148" s="392"/>
      <c r="EN148" s="392"/>
      <c r="EO148" s="392"/>
      <c r="EP148" s="392"/>
      <c r="EQ148" s="392"/>
      <c r="ER148" s="392"/>
      <c r="ES148" s="392"/>
      <c r="ET148" s="392"/>
      <c r="EU148" s="392"/>
      <c r="EV148" s="392"/>
      <c r="EW148" s="392"/>
      <c r="EX148" s="392"/>
      <c r="EY148" s="392"/>
      <c r="EZ148" s="392"/>
      <c r="FA148" s="392"/>
      <c r="FB148" s="392"/>
      <c r="FC148" s="392"/>
      <c r="FD148" s="392"/>
      <c r="FE148" s="392"/>
      <c r="FF148" s="392"/>
      <c r="FG148" s="392"/>
      <c r="FH148" s="392"/>
      <c r="FI148" s="392"/>
      <c r="FJ148" s="392"/>
      <c r="FK148" s="392"/>
      <c r="FL148" s="392"/>
      <c r="FM148" s="392"/>
      <c r="FN148" s="392"/>
      <c r="FO148" s="392"/>
      <c r="FP148" s="392"/>
      <c r="FQ148" s="392"/>
      <c r="FR148" s="392"/>
      <c r="FS148" s="392"/>
      <c r="FT148" s="392"/>
      <c r="FU148" s="392"/>
      <c r="FV148" s="392"/>
      <c r="FW148" s="392"/>
      <c r="FX148" s="392"/>
      <c r="FY148" s="392"/>
      <c r="FZ148" s="392"/>
      <c r="GA148" s="392"/>
      <c r="GB148" s="392"/>
      <c r="GC148" s="392"/>
      <c r="GD148" s="392"/>
      <c r="GE148" s="392"/>
      <c r="GF148" s="392"/>
      <c r="GG148" s="392"/>
      <c r="GH148" s="392"/>
      <c r="GI148" s="392"/>
      <c r="GJ148" s="392"/>
      <c r="GK148" s="392"/>
      <c r="GL148" s="392"/>
      <c r="GM148" s="392"/>
      <c r="GN148" s="392"/>
      <c r="GO148" s="392"/>
      <c r="GP148" s="392"/>
      <c r="GQ148" s="392"/>
      <c r="GR148" s="392"/>
      <c r="GS148" s="392"/>
      <c r="GT148" s="392"/>
      <c r="GU148" s="392"/>
      <c r="GV148" s="392"/>
      <c r="GW148" s="392"/>
      <c r="GX148" s="392"/>
      <c r="GY148" s="392"/>
      <c r="GZ148" s="392"/>
      <c r="HA148" s="392"/>
      <c r="HB148" s="392"/>
      <c r="HC148" s="392"/>
      <c r="HD148" s="392"/>
      <c r="HE148" s="392"/>
      <c r="HF148" s="392"/>
      <c r="HG148" s="392"/>
      <c r="HH148" s="392"/>
      <c r="HI148" s="392"/>
      <c r="HJ148" s="392"/>
      <c r="HK148" s="392"/>
      <c r="HL148" s="392"/>
      <c r="HM148" s="392"/>
      <c r="HN148" s="392"/>
      <c r="HO148" s="392"/>
      <c r="HP148" s="392"/>
      <c r="HQ148" s="392"/>
      <c r="HR148" s="392"/>
      <c r="HS148" s="392"/>
      <c r="HT148" s="392"/>
      <c r="HU148" s="392"/>
      <c r="HV148" s="392"/>
      <c r="HW148" s="392"/>
      <c r="HX148" s="392"/>
      <c r="HY148" s="392"/>
      <c r="HZ148" s="392"/>
      <c r="IA148" s="392"/>
      <c r="IB148" s="392"/>
      <c r="IC148" s="392"/>
      <c r="ID148" s="392"/>
      <c r="IE148" s="392"/>
      <c r="IF148" s="392"/>
      <c r="IG148" s="392"/>
      <c r="IH148" s="392"/>
      <c r="II148" s="392"/>
      <c r="IJ148" s="392"/>
      <c r="IK148" s="392"/>
      <c r="IL148" s="392"/>
      <c r="IM148" s="392"/>
      <c r="IN148" s="392"/>
      <c r="IO148" s="392"/>
      <c r="IP148" s="392"/>
      <c r="IQ148" s="392"/>
      <c r="IR148" s="392"/>
      <c r="IS148" s="392"/>
      <c r="IT148" s="392"/>
      <c r="IU148" s="392"/>
      <c r="IV148" s="392"/>
    </row>
    <row r="149" spans="1:256" ht="16.5" thickBot="1">
      <c r="A149" s="392"/>
      <c r="B149" s="439" t="s">
        <v>1705</v>
      </c>
      <c r="C149" s="440"/>
      <c r="D149" s="441"/>
      <c r="E149" s="442"/>
      <c r="F149" s="443" t="s">
        <v>167</v>
      </c>
      <c r="G149" s="444" t="e">
        <f>TRUNC(SUM(G145:G148),2)</f>
        <v>#N/A</v>
      </c>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392"/>
      <c r="AF149" s="392"/>
      <c r="AG149" s="392"/>
      <c r="AH149" s="392"/>
      <c r="AI149" s="392"/>
      <c r="AJ149" s="392"/>
      <c r="AK149" s="392"/>
      <c r="AL149" s="392"/>
      <c r="AM149" s="392"/>
      <c r="AN149" s="392"/>
      <c r="AO149" s="392"/>
      <c r="AP149" s="392"/>
      <c r="AQ149" s="392"/>
      <c r="AR149" s="392"/>
      <c r="AS149" s="392"/>
      <c r="AT149" s="392"/>
      <c r="AU149" s="392"/>
      <c r="AV149" s="392"/>
      <c r="AW149" s="392"/>
      <c r="AX149" s="392"/>
      <c r="AY149" s="392"/>
      <c r="AZ149" s="392"/>
      <c r="BA149" s="392"/>
      <c r="BB149" s="392"/>
      <c r="BC149" s="392"/>
      <c r="BD149" s="392"/>
      <c r="BE149" s="392"/>
      <c r="BF149" s="392"/>
      <c r="BG149" s="392"/>
      <c r="BH149" s="392"/>
      <c r="BI149" s="392"/>
      <c r="BJ149" s="392"/>
      <c r="BK149" s="392"/>
      <c r="BL149" s="392"/>
      <c r="BM149" s="392"/>
      <c r="BN149" s="392"/>
      <c r="BO149" s="392"/>
      <c r="BP149" s="392"/>
      <c r="BQ149" s="392"/>
      <c r="BR149" s="392"/>
      <c r="BS149" s="392"/>
      <c r="BT149" s="392"/>
      <c r="BU149" s="392"/>
      <c r="BV149" s="392"/>
      <c r="BW149" s="392"/>
      <c r="BX149" s="392"/>
      <c r="BY149" s="392"/>
      <c r="BZ149" s="392"/>
      <c r="CA149" s="392"/>
      <c r="CB149" s="392"/>
      <c r="CC149" s="392"/>
      <c r="CD149" s="392"/>
      <c r="CE149" s="392"/>
      <c r="CF149" s="392"/>
      <c r="CG149" s="392"/>
      <c r="CH149" s="392"/>
      <c r="CI149" s="392"/>
      <c r="CJ149" s="392"/>
      <c r="CK149" s="392"/>
      <c r="CL149" s="392"/>
      <c r="CM149" s="392"/>
      <c r="CN149" s="392"/>
      <c r="CO149" s="392"/>
      <c r="CP149" s="392"/>
      <c r="CQ149" s="392"/>
      <c r="CR149" s="392"/>
      <c r="CS149" s="392"/>
      <c r="CT149" s="392"/>
      <c r="CU149" s="392"/>
      <c r="CV149" s="392"/>
      <c r="CW149" s="392"/>
      <c r="CX149" s="392"/>
      <c r="CY149" s="392"/>
      <c r="CZ149" s="392"/>
      <c r="DA149" s="392"/>
      <c r="DB149" s="392"/>
      <c r="DC149" s="392"/>
      <c r="DD149" s="392"/>
      <c r="DE149" s="392"/>
      <c r="DF149" s="392"/>
      <c r="DG149" s="392"/>
      <c r="DH149" s="392"/>
      <c r="DI149" s="392"/>
      <c r="DJ149" s="392"/>
      <c r="DK149" s="392"/>
      <c r="DL149" s="392"/>
      <c r="DM149" s="392"/>
      <c r="DN149" s="392"/>
      <c r="DO149" s="392"/>
      <c r="DP149" s="392"/>
      <c r="DQ149" s="392"/>
      <c r="DR149" s="392"/>
      <c r="DS149" s="392"/>
      <c r="DT149" s="392"/>
      <c r="DU149" s="392"/>
      <c r="DV149" s="392"/>
      <c r="DW149" s="392"/>
      <c r="DX149" s="392"/>
      <c r="DY149" s="392"/>
      <c r="DZ149" s="392"/>
      <c r="EA149" s="392"/>
      <c r="EB149" s="392"/>
      <c r="EC149" s="392"/>
      <c r="ED149" s="392"/>
      <c r="EE149" s="392"/>
      <c r="EF149" s="392"/>
      <c r="EG149" s="392"/>
      <c r="EH149" s="392"/>
      <c r="EI149" s="392"/>
      <c r="EJ149" s="392"/>
      <c r="EK149" s="392"/>
      <c r="EL149" s="392"/>
      <c r="EM149" s="392"/>
      <c r="EN149" s="392"/>
      <c r="EO149" s="392"/>
      <c r="EP149" s="392"/>
      <c r="EQ149" s="392"/>
      <c r="ER149" s="392"/>
      <c r="ES149" s="392"/>
      <c r="ET149" s="392"/>
      <c r="EU149" s="392"/>
      <c r="EV149" s="392"/>
      <c r="EW149" s="392"/>
      <c r="EX149" s="392"/>
      <c r="EY149" s="392"/>
      <c r="EZ149" s="392"/>
      <c r="FA149" s="392"/>
      <c r="FB149" s="392"/>
      <c r="FC149" s="392"/>
      <c r="FD149" s="392"/>
      <c r="FE149" s="392"/>
      <c r="FF149" s="392"/>
      <c r="FG149" s="392"/>
      <c r="FH149" s="392"/>
      <c r="FI149" s="392"/>
      <c r="FJ149" s="392"/>
      <c r="FK149" s="392"/>
      <c r="FL149" s="392"/>
      <c r="FM149" s="392"/>
      <c r="FN149" s="392"/>
      <c r="FO149" s="392"/>
      <c r="FP149" s="392"/>
      <c r="FQ149" s="392"/>
      <c r="FR149" s="392"/>
      <c r="FS149" s="392"/>
      <c r="FT149" s="392"/>
      <c r="FU149" s="392"/>
      <c r="FV149" s="392"/>
      <c r="FW149" s="392"/>
      <c r="FX149" s="392"/>
      <c r="FY149" s="392"/>
      <c r="FZ149" s="392"/>
      <c r="GA149" s="392"/>
      <c r="GB149" s="392"/>
      <c r="GC149" s="392"/>
      <c r="GD149" s="392"/>
      <c r="GE149" s="392"/>
      <c r="GF149" s="392"/>
      <c r="GG149" s="392"/>
      <c r="GH149" s="392"/>
      <c r="GI149" s="392"/>
      <c r="GJ149" s="392"/>
      <c r="GK149" s="392"/>
      <c r="GL149" s="392"/>
      <c r="GM149" s="392"/>
      <c r="GN149" s="392"/>
      <c r="GO149" s="392"/>
      <c r="GP149" s="392"/>
      <c r="GQ149" s="392"/>
      <c r="GR149" s="392"/>
      <c r="GS149" s="392"/>
      <c r="GT149" s="392"/>
      <c r="GU149" s="392"/>
      <c r="GV149" s="392"/>
      <c r="GW149" s="392"/>
      <c r="GX149" s="392"/>
      <c r="GY149" s="392"/>
      <c r="GZ149" s="392"/>
      <c r="HA149" s="392"/>
      <c r="HB149" s="392"/>
      <c r="HC149" s="392"/>
      <c r="HD149" s="392"/>
      <c r="HE149" s="392"/>
      <c r="HF149" s="392"/>
      <c r="HG149" s="392"/>
      <c r="HH149" s="392"/>
      <c r="HI149" s="392"/>
      <c r="HJ149" s="392"/>
      <c r="HK149" s="392"/>
      <c r="HL149" s="392"/>
      <c r="HM149" s="392"/>
      <c r="HN149" s="392"/>
      <c r="HO149" s="392"/>
      <c r="HP149" s="392"/>
      <c r="HQ149" s="392"/>
      <c r="HR149" s="392"/>
      <c r="HS149" s="392"/>
      <c r="HT149" s="392"/>
      <c r="HU149" s="392"/>
      <c r="HV149" s="392"/>
      <c r="HW149" s="392"/>
      <c r="HX149" s="392"/>
      <c r="HY149" s="392"/>
      <c r="HZ149" s="392"/>
      <c r="IA149" s="392"/>
      <c r="IB149" s="392"/>
      <c r="IC149" s="392"/>
      <c r="ID149" s="392"/>
      <c r="IE149" s="392"/>
      <c r="IF149" s="392"/>
      <c r="IG149" s="392"/>
      <c r="IH149" s="392"/>
      <c r="II149" s="392"/>
      <c r="IJ149" s="392"/>
      <c r="IK149" s="392"/>
      <c r="IL149" s="392"/>
      <c r="IM149" s="392"/>
      <c r="IN149" s="392"/>
      <c r="IO149" s="392"/>
      <c r="IP149" s="392"/>
      <c r="IQ149" s="392"/>
      <c r="IR149" s="392"/>
      <c r="IS149" s="392"/>
      <c r="IT149" s="392"/>
      <c r="IU149" s="392"/>
      <c r="IV149" s="392"/>
    </row>
    <row r="150" spans="1:256" ht="409.5" customHeight="1">
      <c r="A150" s="392"/>
      <c r="B150" s="2325"/>
      <c r="C150" s="2325"/>
      <c r="D150" s="2325"/>
      <c r="E150" s="2325"/>
      <c r="F150" s="2325"/>
      <c r="G150" s="2325"/>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c r="AG150" s="392"/>
      <c r="AH150" s="392"/>
      <c r="AI150" s="392"/>
      <c r="AJ150" s="392"/>
      <c r="AK150" s="392"/>
      <c r="AL150" s="392"/>
      <c r="AM150" s="392"/>
      <c r="AN150" s="392"/>
      <c r="AO150" s="392"/>
      <c r="AP150" s="392"/>
      <c r="AQ150" s="392"/>
      <c r="AR150" s="392"/>
      <c r="AS150" s="392"/>
      <c r="AT150" s="392"/>
      <c r="AU150" s="392"/>
      <c r="AV150" s="392"/>
      <c r="AW150" s="392"/>
      <c r="AX150" s="392"/>
      <c r="AY150" s="392"/>
      <c r="AZ150" s="392"/>
      <c r="BA150" s="392"/>
      <c r="BB150" s="392"/>
      <c r="BC150" s="392"/>
      <c r="BD150" s="392"/>
      <c r="BE150" s="392"/>
      <c r="BF150" s="392"/>
      <c r="BG150" s="392"/>
      <c r="BH150" s="392"/>
      <c r="BI150" s="392"/>
      <c r="BJ150" s="392"/>
      <c r="BK150" s="392"/>
      <c r="BL150" s="392"/>
      <c r="BM150" s="392"/>
      <c r="BN150" s="392"/>
      <c r="BO150" s="392"/>
      <c r="BP150" s="392"/>
      <c r="BQ150" s="392"/>
      <c r="BR150" s="392"/>
      <c r="BS150" s="392"/>
      <c r="BT150" s="392"/>
      <c r="BU150" s="392"/>
      <c r="BV150" s="392"/>
      <c r="BW150" s="392"/>
      <c r="BX150" s="392"/>
      <c r="BY150" s="392"/>
      <c r="BZ150" s="392"/>
      <c r="CA150" s="392"/>
      <c r="CB150" s="392"/>
      <c r="CC150" s="392"/>
      <c r="CD150" s="392"/>
      <c r="CE150" s="392"/>
      <c r="CF150" s="392"/>
      <c r="CG150" s="392"/>
      <c r="CH150" s="392"/>
      <c r="CI150" s="392"/>
      <c r="CJ150" s="392"/>
      <c r="CK150" s="392"/>
      <c r="CL150" s="392"/>
      <c r="CM150" s="392"/>
      <c r="CN150" s="392"/>
      <c r="CO150" s="392"/>
      <c r="CP150" s="392"/>
      <c r="CQ150" s="392"/>
      <c r="CR150" s="392"/>
      <c r="CS150" s="392"/>
      <c r="CT150" s="392"/>
      <c r="CU150" s="392"/>
      <c r="CV150" s="392"/>
      <c r="CW150" s="392"/>
      <c r="CX150" s="392"/>
      <c r="CY150" s="392"/>
      <c r="CZ150" s="392"/>
      <c r="DA150" s="392"/>
      <c r="DB150" s="392"/>
      <c r="DC150" s="392"/>
      <c r="DD150" s="392"/>
      <c r="DE150" s="392"/>
      <c r="DF150" s="392"/>
      <c r="DG150" s="392"/>
      <c r="DH150" s="392"/>
      <c r="DI150" s="392"/>
      <c r="DJ150" s="392"/>
      <c r="DK150" s="392"/>
      <c r="DL150" s="392"/>
      <c r="DM150" s="392"/>
      <c r="DN150" s="392"/>
      <c r="DO150" s="392"/>
      <c r="DP150" s="392"/>
      <c r="DQ150" s="392"/>
      <c r="DR150" s="392"/>
      <c r="DS150" s="392"/>
      <c r="DT150" s="392"/>
      <c r="DU150" s="392"/>
      <c r="DV150" s="392"/>
      <c r="DW150" s="392"/>
      <c r="DX150" s="392"/>
      <c r="DY150" s="392"/>
      <c r="DZ150" s="392"/>
      <c r="EA150" s="392"/>
      <c r="EB150" s="392"/>
      <c r="EC150" s="392"/>
      <c r="ED150" s="392"/>
      <c r="EE150" s="392"/>
      <c r="EF150" s="392"/>
      <c r="EG150" s="392"/>
      <c r="EH150" s="392"/>
      <c r="EI150" s="392"/>
      <c r="EJ150" s="392"/>
      <c r="EK150" s="392"/>
      <c r="EL150" s="392"/>
      <c r="EM150" s="392"/>
      <c r="EN150" s="392"/>
      <c r="EO150" s="392"/>
      <c r="EP150" s="392"/>
      <c r="EQ150" s="392"/>
      <c r="ER150" s="392"/>
      <c r="ES150" s="392"/>
      <c r="ET150" s="392"/>
      <c r="EU150" s="392"/>
      <c r="EV150" s="392"/>
      <c r="EW150" s="392"/>
      <c r="EX150" s="392"/>
      <c r="EY150" s="392"/>
      <c r="EZ150" s="392"/>
      <c r="FA150" s="392"/>
      <c r="FB150" s="392"/>
      <c r="FC150" s="392"/>
      <c r="FD150" s="392"/>
      <c r="FE150" s="392"/>
      <c r="FF150" s="392"/>
      <c r="FG150" s="392"/>
      <c r="FH150" s="392"/>
      <c r="FI150" s="392"/>
      <c r="FJ150" s="392"/>
      <c r="FK150" s="392"/>
      <c r="FL150" s="392"/>
      <c r="FM150" s="392"/>
      <c r="FN150" s="392"/>
      <c r="FO150" s="392"/>
      <c r="FP150" s="392"/>
      <c r="FQ150" s="392"/>
      <c r="FR150" s="392"/>
      <c r="FS150" s="392"/>
      <c r="FT150" s="392"/>
      <c r="FU150" s="392"/>
      <c r="FV150" s="392"/>
      <c r="FW150" s="392"/>
      <c r="FX150" s="392"/>
      <c r="FY150" s="392"/>
      <c r="FZ150" s="392"/>
      <c r="GA150" s="392"/>
      <c r="GB150" s="392"/>
      <c r="GC150" s="392"/>
      <c r="GD150" s="392"/>
      <c r="GE150" s="392"/>
      <c r="GF150" s="392"/>
      <c r="GG150" s="392"/>
      <c r="GH150" s="392"/>
      <c r="GI150" s="392"/>
      <c r="GJ150" s="392"/>
      <c r="GK150" s="392"/>
      <c r="GL150" s="392"/>
      <c r="GM150" s="392"/>
      <c r="GN150" s="392"/>
      <c r="GO150" s="392"/>
      <c r="GP150" s="392"/>
      <c r="GQ150" s="392"/>
      <c r="GR150" s="392"/>
      <c r="GS150" s="392"/>
      <c r="GT150" s="392"/>
      <c r="GU150" s="392"/>
      <c r="GV150" s="392"/>
      <c r="GW150" s="392"/>
      <c r="GX150" s="392"/>
      <c r="GY150" s="392"/>
      <c r="GZ150" s="392"/>
      <c r="HA150" s="392"/>
      <c r="HB150" s="392"/>
      <c r="HC150" s="392"/>
      <c r="HD150" s="392"/>
      <c r="HE150" s="392"/>
      <c r="HF150" s="392"/>
      <c r="HG150" s="392"/>
      <c r="HH150" s="392"/>
      <c r="HI150" s="392"/>
      <c r="HJ150" s="392"/>
      <c r="HK150" s="392"/>
      <c r="HL150" s="392"/>
      <c r="HM150" s="392"/>
      <c r="HN150" s="392"/>
      <c r="HO150" s="392"/>
      <c r="HP150" s="392"/>
      <c r="HQ150" s="392"/>
      <c r="HR150" s="392"/>
      <c r="HS150" s="392"/>
      <c r="HT150" s="392"/>
      <c r="HU150" s="392"/>
      <c r="HV150" s="392"/>
      <c r="HW150" s="392"/>
      <c r="HX150" s="392"/>
      <c r="HY150" s="392"/>
      <c r="HZ150" s="392"/>
      <c r="IA150" s="392"/>
      <c r="IB150" s="392"/>
      <c r="IC150" s="392"/>
      <c r="ID150" s="392"/>
      <c r="IE150" s="392"/>
      <c r="IF150" s="392"/>
      <c r="IG150" s="392"/>
      <c r="IH150" s="392"/>
      <c r="II150" s="392"/>
      <c r="IJ150" s="392"/>
      <c r="IK150" s="392"/>
      <c r="IL150" s="392"/>
      <c r="IM150" s="392"/>
      <c r="IN150" s="392"/>
      <c r="IO150" s="392"/>
      <c r="IP150" s="392"/>
      <c r="IQ150" s="392"/>
      <c r="IR150" s="392"/>
      <c r="IS150" s="392"/>
      <c r="IT150" s="392"/>
      <c r="IU150" s="392"/>
      <c r="IV150" s="392"/>
    </row>
    <row r="151" spans="1:256" ht="168.75" customHeight="1" thickBot="1">
      <c r="A151" s="392"/>
      <c r="B151" s="2326"/>
      <c r="C151" s="2326"/>
      <c r="D151" s="2326"/>
      <c r="E151" s="2326"/>
      <c r="F151" s="2326"/>
      <c r="G151" s="2326"/>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c r="AE151" s="392"/>
      <c r="AF151" s="392"/>
      <c r="AG151" s="392"/>
      <c r="AH151" s="392"/>
      <c r="AI151" s="392"/>
      <c r="AJ151" s="392"/>
      <c r="AK151" s="392"/>
      <c r="AL151" s="392"/>
      <c r="AM151" s="392"/>
      <c r="AN151" s="392"/>
      <c r="AO151" s="392"/>
      <c r="AP151" s="392"/>
      <c r="AQ151" s="392"/>
      <c r="AR151" s="392"/>
      <c r="AS151" s="392"/>
      <c r="AT151" s="392"/>
      <c r="AU151" s="392"/>
      <c r="AV151" s="392"/>
      <c r="AW151" s="392"/>
      <c r="AX151" s="392"/>
      <c r="AY151" s="392"/>
      <c r="AZ151" s="392"/>
      <c r="BA151" s="392"/>
      <c r="BB151" s="392"/>
      <c r="BC151" s="392"/>
      <c r="BD151" s="392"/>
      <c r="BE151" s="392"/>
      <c r="BF151" s="392"/>
      <c r="BG151" s="392"/>
      <c r="BH151" s="392"/>
      <c r="BI151" s="392"/>
      <c r="BJ151" s="392"/>
      <c r="BK151" s="392"/>
      <c r="BL151" s="392"/>
      <c r="BM151" s="392"/>
      <c r="BN151" s="392"/>
      <c r="BO151" s="392"/>
      <c r="BP151" s="392"/>
      <c r="BQ151" s="392"/>
      <c r="BR151" s="392"/>
      <c r="BS151" s="392"/>
      <c r="BT151" s="392"/>
      <c r="BU151" s="392"/>
      <c r="BV151" s="392"/>
      <c r="BW151" s="392"/>
      <c r="BX151" s="392"/>
      <c r="BY151" s="392"/>
      <c r="BZ151" s="392"/>
      <c r="CA151" s="392"/>
      <c r="CB151" s="392"/>
      <c r="CC151" s="392"/>
      <c r="CD151" s="392"/>
      <c r="CE151" s="392"/>
      <c r="CF151" s="392"/>
      <c r="CG151" s="392"/>
      <c r="CH151" s="392"/>
      <c r="CI151" s="39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c r="DD151" s="392"/>
      <c r="DE151" s="392"/>
      <c r="DF151" s="392"/>
      <c r="DG151" s="392"/>
      <c r="DH151" s="392"/>
      <c r="DI151" s="392"/>
      <c r="DJ151" s="392"/>
      <c r="DK151" s="392"/>
      <c r="DL151" s="392"/>
      <c r="DM151" s="392"/>
      <c r="DN151" s="392"/>
      <c r="DO151" s="392"/>
      <c r="DP151" s="392"/>
      <c r="DQ151" s="392"/>
      <c r="DR151" s="392"/>
      <c r="DS151" s="392"/>
      <c r="DT151" s="392"/>
      <c r="DU151" s="392"/>
      <c r="DV151" s="392"/>
      <c r="DW151" s="392"/>
      <c r="DX151" s="392"/>
      <c r="DY151" s="392"/>
      <c r="DZ151" s="392"/>
      <c r="EA151" s="392"/>
      <c r="EB151" s="392"/>
      <c r="EC151" s="392"/>
      <c r="ED151" s="392"/>
      <c r="EE151" s="392"/>
      <c r="EF151" s="392"/>
      <c r="EG151" s="392"/>
      <c r="EH151" s="392"/>
      <c r="EI151" s="392"/>
      <c r="EJ151" s="392"/>
      <c r="EK151" s="392"/>
      <c r="EL151" s="392"/>
      <c r="EM151" s="392"/>
      <c r="EN151" s="392"/>
      <c r="EO151" s="392"/>
      <c r="EP151" s="392"/>
      <c r="EQ151" s="392"/>
      <c r="ER151" s="392"/>
      <c r="ES151" s="392"/>
      <c r="ET151" s="392"/>
      <c r="EU151" s="392"/>
      <c r="EV151" s="392"/>
      <c r="EW151" s="392"/>
      <c r="EX151" s="392"/>
      <c r="EY151" s="392"/>
      <c r="EZ151" s="392"/>
      <c r="FA151" s="392"/>
      <c r="FB151" s="392"/>
      <c r="FC151" s="392"/>
      <c r="FD151" s="392"/>
      <c r="FE151" s="392"/>
      <c r="FF151" s="392"/>
      <c r="FG151" s="392"/>
      <c r="FH151" s="392"/>
      <c r="FI151" s="392"/>
      <c r="FJ151" s="392"/>
      <c r="FK151" s="392"/>
      <c r="FL151" s="392"/>
      <c r="FM151" s="392"/>
      <c r="FN151" s="392"/>
      <c r="FO151" s="392"/>
      <c r="FP151" s="392"/>
      <c r="FQ151" s="392"/>
      <c r="FR151" s="392"/>
      <c r="FS151" s="392"/>
      <c r="FT151" s="392"/>
      <c r="FU151" s="392"/>
      <c r="FV151" s="392"/>
      <c r="FW151" s="392"/>
      <c r="FX151" s="392"/>
      <c r="FY151" s="392"/>
      <c r="FZ151" s="392"/>
      <c r="GA151" s="392"/>
      <c r="GB151" s="392"/>
      <c r="GC151" s="392"/>
      <c r="GD151" s="392"/>
      <c r="GE151" s="392"/>
      <c r="GF151" s="392"/>
      <c r="GG151" s="392"/>
      <c r="GH151" s="392"/>
      <c r="GI151" s="392"/>
      <c r="GJ151" s="392"/>
      <c r="GK151" s="392"/>
      <c r="GL151" s="392"/>
      <c r="GM151" s="392"/>
      <c r="GN151" s="392"/>
      <c r="GO151" s="392"/>
      <c r="GP151" s="392"/>
      <c r="GQ151" s="392"/>
      <c r="GR151" s="392"/>
      <c r="GS151" s="392"/>
      <c r="GT151" s="392"/>
      <c r="GU151" s="392"/>
      <c r="GV151" s="392"/>
      <c r="GW151" s="392"/>
      <c r="GX151" s="392"/>
      <c r="GY151" s="392"/>
      <c r="GZ151" s="392"/>
      <c r="HA151" s="392"/>
      <c r="HB151" s="392"/>
      <c r="HC151" s="392"/>
      <c r="HD151" s="392"/>
      <c r="HE151" s="392"/>
      <c r="HF151" s="392"/>
      <c r="HG151" s="392"/>
      <c r="HH151" s="392"/>
      <c r="HI151" s="392"/>
      <c r="HJ151" s="392"/>
      <c r="HK151" s="392"/>
      <c r="HL151" s="392"/>
      <c r="HM151" s="392"/>
      <c r="HN151" s="392"/>
      <c r="HO151" s="392"/>
      <c r="HP151" s="392"/>
      <c r="HQ151" s="392"/>
      <c r="HR151" s="392"/>
      <c r="HS151" s="392"/>
      <c r="HT151" s="392"/>
      <c r="HU151" s="392"/>
      <c r="HV151" s="392"/>
      <c r="HW151" s="392"/>
      <c r="HX151" s="392"/>
      <c r="HY151" s="392"/>
      <c r="HZ151" s="392"/>
      <c r="IA151" s="392"/>
      <c r="IB151" s="392"/>
      <c r="IC151" s="392"/>
      <c r="ID151" s="392"/>
      <c r="IE151" s="392"/>
      <c r="IF151" s="392"/>
      <c r="IG151" s="392"/>
      <c r="IH151" s="392"/>
      <c r="II151" s="392"/>
      <c r="IJ151" s="392"/>
      <c r="IK151" s="392"/>
      <c r="IL151" s="392"/>
      <c r="IM151" s="392"/>
      <c r="IN151" s="392"/>
      <c r="IO151" s="392"/>
      <c r="IP151" s="392"/>
      <c r="IQ151" s="392"/>
      <c r="IR151" s="392"/>
      <c r="IS151" s="392"/>
      <c r="IT151" s="392"/>
      <c r="IU151" s="392"/>
      <c r="IV151" s="392"/>
    </row>
    <row r="152" spans="1:256" ht="31.5">
      <c r="A152" s="392"/>
      <c r="B152" s="581" t="s">
        <v>1706</v>
      </c>
      <c r="C152" s="2327" t="s">
        <v>1717</v>
      </c>
      <c r="D152" s="2328"/>
      <c r="E152" s="2328"/>
      <c r="F152" s="2329"/>
      <c r="G152" s="554" t="s">
        <v>22</v>
      </c>
      <c r="H152" s="392"/>
      <c r="I152" s="392"/>
      <c r="J152" s="392"/>
      <c r="K152" s="392"/>
      <c r="L152" s="392"/>
      <c r="M152" s="392"/>
      <c r="N152" s="392"/>
      <c r="O152" s="392"/>
      <c r="P152" s="392"/>
      <c r="Q152" s="392"/>
      <c r="R152" s="392"/>
      <c r="S152" s="392"/>
      <c r="T152" s="392"/>
      <c r="U152" s="392"/>
      <c r="V152" s="392"/>
      <c r="W152" s="392"/>
      <c r="X152" s="392"/>
      <c r="Y152" s="392"/>
      <c r="Z152" s="392"/>
      <c r="AA152" s="392"/>
      <c r="AB152" s="392"/>
      <c r="AC152" s="392"/>
      <c r="AD152" s="392"/>
      <c r="AE152" s="392"/>
      <c r="AF152" s="392"/>
      <c r="AG152" s="392"/>
      <c r="AH152" s="392"/>
      <c r="AI152" s="392"/>
      <c r="AJ152" s="392"/>
      <c r="AK152" s="392"/>
      <c r="AL152" s="392"/>
      <c r="AM152" s="392"/>
      <c r="AN152" s="392"/>
      <c r="AO152" s="392"/>
      <c r="AP152" s="392"/>
      <c r="AQ152" s="392"/>
      <c r="AR152" s="392"/>
      <c r="AS152" s="392"/>
      <c r="AT152" s="392"/>
      <c r="AU152" s="392"/>
      <c r="AV152" s="392"/>
      <c r="AW152" s="392"/>
      <c r="AX152" s="392"/>
      <c r="AY152" s="392"/>
      <c r="AZ152" s="392"/>
      <c r="BA152" s="392"/>
      <c r="BB152" s="392"/>
      <c r="BC152" s="392"/>
      <c r="BD152" s="392"/>
      <c r="BE152" s="392"/>
      <c r="BF152" s="392"/>
      <c r="BG152" s="392"/>
      <c r="BH152" s="392"/>
      <c r="BI152" s="392"/>
      <c r="BJ152" s="392"/>
      <c r="BK152" s="392"/>
      <c r="BL152" s="392"/>
      <c r="BM152" s="392"/>
      <c r="BN152" s="392"/>
      <c r="BO152" s="392"/>
      <c r="BP152" s="392"/>
      <c r="BQ152" s="392"/>
      <c r="BR152" s="392"/>
      <c r="BS152" s="392"/>
      <c r="BT152" s="392"/>
      <c r="BU152" s="392"/>
      <c r="BV152" s="392"/>
      <c r="BW152" s="392"/>
      <c r="BX152" s="392"/>
      <c r="BY152" s="392"/>
      <c r="BZ152" s="392"/>
      <c r="CA152" s="392"/>
      <c r="CB152" s="392"/>
      <c r="CC152" s="392"/>
      <c r="CD152" s="392"/>
      <c r="CE152" s="392"/>
      <c r="CF152" s="392"/>
      <c r="CG152" s="392"/>
      <c r="CH152" s="392"/>
      <c r="CI152" s="39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c r="DD152" s="392"/>
      <c r="DE152" s="392"/>
      <c r="DF152" s="392"/>
      <c r="DG152" s="392"/>
      <c r="DH152" s="392"/>
      <c r="DI152" s="392"/>
      <c r="DJ152" s="392"/>
      <c r="DK152" s="392"/>
      <c r="DL152" s="392"/>
      <c r="DM152" s="392"/>
      <c r="DN152" s="392"/>
      <c r="DO152" s="392"/>
      <c r="DP152" s="392"/>
      <c r="DQ152" s="392"/>
      <c r="DR152" s="392"/>
      <c r="DS152" s="392"/>
      <c r="DT152" s="392"/>
      <c r="DU152" s="392"/>
      <c r="DV152" s="392"/>
      <c r="DW152" s="392"/>
      <c r="DX152" s="392"/>
      <c r="DY152" s="392"/>
      <c r="DZ152" s="392"/>
      <c r="EA152" s="392"/>
      <c r="EB152" s="392"/>
      <c r="EC152" s="392"/>
      <c r="ED152" s="392"/>
      <c r="EE152" s="392"/>
      <c r="EF152" s="392"/>
      <c r="EG152" s="392"/>
      <c r="EH152" s="392"/>
      <c r="EI152" s="392"/>
      <c r="EJ152" s="392"/>
      <c r="EK152" s="392"/>
      <c r="EL152" s="392"/>
      <c r="EM152" s="392"/>
      <c r="EN152" s="392"/>
      <c r="EO152" s="392"/>
      <c r="EP152" s="392"/>
      <c r="EQ152" s="392"/>
      <c r="ER152" s="392"/>
      <c r="ES152" s="392"/>
      <c r="ET152" s="392"/>
      <c r="EU152" s="392"/>
      <c r="EV152" s="392"/>
      <c r="EW152" s="392"/>
      <c r="EX152" s="392"/>
      <c r="EY152" s="392"/>
      <c r="EZ152" s="392"/>
      <c r="FA152" s="392"/>
      <c r="FB152" s="392"/>
      <c r="FC152" s="392"/>
      <c r="FD152" s="392"/>
      <c r="FE152" s="392"/>
      <c r="FF152" s="392"/>
      <c r="FG152" s="392"/>
      <c r="FH152" s="392"/>
      <c r="FI152" s="392"/>
      <c r="FJ152" s="392"/>
      <c r="FK152" s="392"/>
      <c r="FL152" s="392"/>
      <c r="FM152" s="392"/>
      <c r="FN152" s="392"/>
      <c r="FO152" s="392"/>
      <c r="FP152" s="392"/>
      <c r="FQ152" s="392"/>
      <c r="FR152" s="392"/>
      <c r="FS152" s="392"/>
      <c r="FT152" s="392"/>
      <c r="FU152" s="392"/>
      <c r="FV152" s="392"/>
      <c r="FW152" s="392"/>
      <c r="FX152" s="392"/>
      <c r="FY152" s="392"/>
      <c r="FZ152" s="392"/>
      <c r="GA152" s="392"/>
      <c r="GB152" s="392"/>
      <c r="GC152" s="392"/>
      <c r="GD152" s="392"/>
      <c r="GE152" s="392"/>
      <c r="GF152" s="392"/>
      <c r="GG152" s="392"/>
      <c r="GH152" s="392"/>
      <c r="GI152" s="392"/>
      <c r="GJ152" s="392"/>
      <c r="GK152" s="392"/>
      <c r="GL152" s="392"/>
      <c r="GM152" s="392"/>
      <c r="GN152" s="392"/>
      <c r="GO152" s="392"/>
      <c r="GP152" s="392"/>
      <c r="GQ152" s="392"/>
      <c r="GR152" s="392"/>
      <c r="GS152" s="392"/>
      <c r="GT152" s="392"/>
      <c r="GU152" s="392"/>
      <c r="GV152" s="392"/>
      <c r="GW152" s="392"/>
      <c r="GX152" s="392"/>
      <c r="GY152" s="392"/>
      <c r="GZ152" s="392"/>
      <c r="HA152" s="392"/>
      <c r="HB152" s="392"/>
      <c r="HC152" s="392"/>
      <c r="HD152" s="392"/>
      <c r="HE152" s="392"/>
      <c r="HF152" s="392"/>
      <c r="HG152" s="392"/>
      <c r="HH152" s="392"/>
      <c r="HI152" s="392"/>
      <c r="HJ152" s="392"/>
      <c r="HK152" s="392"/>
      <c r="HL152" s="392"/>
      <c r="HM152" s="392"/>
      <c r="HN152" s="392"/>
      <c r="HO152" s="392"/>
      <c r="HP152" s="392"/>
      <c r="HQ152" s="392"/>
      <c r="HR152" s="392"/>
      <c r="HS152" s="392"/>
      <c r="HT152" s="392"/>
      <c r="HU152" s="392"/>
      <c r="HV152" s="392"/>
      <c r="HW152" s="392"/>
      <c r="HX152" s="392"/>
      <c r="HY152" s="392"/>
      <c r="HZ152" s="392"/>
      <c r="IA152" s="392"/>
      <c r="IB152" s="392"/>
      <c r="IC152" s="392"/>
      <c r="ID152" s="392"/>
      <c r="IE152" s="392"/>
      <c r="IF152" s="392"/>
      <c r="IG152" s="392"/>
      <c r="IH152" s="392"/>
      <c r="II152" s="392"/>
      <c r="IJ152" s="392"/>
      <c r="IK152" s="392"/>
      <c r="IL152" s="392"/>
      <c r="IM152" s="392"/>
      <c r="IN152" s="392"/>
      <c r="IO152" s="392"/>
      <c r="IP152" s="392"/>
      <c r="IQ152" s="392"/>
      <c r="IR152" s="392"/>
      <c r="IS152" s="392"/>
      <c r="IT152" s="392"/>
      <c r="IU152" s="392"/>
      <c r="IV152" s="392"/>
    </row>
    <row r="153" spans="1:256" ht="31.5">
      <c r="A153" s="392"/>
      <c r="B153" s="366" t="s">
        <v>1708</v>
      </c>
      <c r="C153" s="582" t="s">
        <v>161</v>
      </c>
      <c r="D153" s="582" t="s">
        <v>22</v>
      </c>
      <c r="E153" s="2330" t="s">
        <v>162</v>
      </c>
      <c r="F153" s="2331"/>
      <c r="G153" s="2332"/>
      <c r="H153" s="392"/>
      <c r="I153" s="392"/>
      <c r="J153" s="392"/>
      <c r="K153" s="392"/>
      <c r="L153" s="392"/>
      <c r="M153" s="392"/>
      <c r="N153" s="392"/>
      <c r="O153" s="392"/>
      <c r="P153" s="392"/>
      <c r="Q153" s="392"/>
      <c r="R153" s="392"/>
      <c r="S153" s="392"/>
      <c r="T153" s="392"/>
      <c r="U153" s="392"/>
      <c r="V153" s="392"/>
      <c r="W153" s="392"/>
      <c r="X153" s="392"/>
      <c r="Y153" s="392"/>
      <c r="Z153" s="392"/>
      <c r="AA153" s="392"/>
      <c r="AB153" s="392"/>
      <c r="AC153" s="392"/>
      <c r="AD153" s="392"/>
      <c r="AE153" s="392"/>
      <c r="AF153" s="392"/>
      <c r="AG153" s="392"/>
      <c r="AH153" s="392"/>
      <c r="AI153" s="392"/>
      <c r="AJ153" s="392"/>
      <c r="AK153" s="392"/>
      <c r="AL153" s="392"/>
      <c r="AM153" s="392"/>
      <c r="AN153" s="392"/>
      <c r="AO153" s="392"/>
      <c r="AP153" s="392"/>
      <c r="AQ153" s="392"/>
      <c r="AR153" s="392"/>
      <c r="AS153" s="392"/>
      <c r="AT153" s="392"/>
      <c r="AU153" s="392"/>
      <c r="AV153" s="392"/>
      <c r="AW153" s="392"/>
      <c r="AX153" s="392"/>
      <c r="AY153" s="392"/>
      <c r="AZ153" s="392"/>
      <c r="BA153" s="392"/>
      <c r="BB153" s="392"/>
      <c r="BC153" s="392"/>
      <c r="BD153" s="392"/>
      <c r="BE153" s="392"/>
      <c r="BF153" s="392"/>
      <c r="BG153" s="392"/>
      <c r="BH153" s="392"/>
      <c r="BI153" s="392"/>
      <c r="BJ153" s="392"/>
      <c r="BK153" s="392"/>
      <c r="BL153" s="392"/>
      <c r="BM153" s="392"/>
      <c r="BN153" s="392"/>
      <c r="BO153" s="392"/>
      <c r="BP153" s="392"/>
      <c r="BQ153" s="392"/>
      <c r="BR153" s="392"/>
      <c r="BS153" s="392"/>
      <c r="BT153" s="392"/>
      <c r="BU153" s="392"/>
      <c r="BV153" s="392"/>
      <c r="BW153" s="392"/>
      <c r="BX153" s="392"/>
      <c r="BY153" s="392"/>
      <c r="BZ153" s="392"/>
      <c r="CA153" s="392"/>
      <c r="CB153" s="392"/>
      <c r="CC153" s="392"/>
      <c r="CD153" s="392"/>
      <c r="CE153" s="392"/>
      <c r="CF153" s="392"/>
      <c r="CG153" s="392"/>
      <c r="CH153" s="392"/>
      <c r="CI153" s="39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c r="DD153" s="392"/>
      <c r="DE153" s="392"/>
      <c r="DF153" s="392"/>
      <c r="DG153" s="392"/>
      <c r="DH153" s="392"/>
      <c r="DI153" s="392"/>
      <c r="DJ153" s="392"/>
      <c r="DK153" s="392"/>
      <c r="DL153" s="392"/>
      <c r="DM153" s="392"/>
      <c r="DN153" s="392"/>
      <c r="DO153" s="392"/>
      <c r="DP153" s="392"/>
      <c r="DQ153" s="392"/>
      <c r="DR153" s="392"/>
      <c r="DS153" s="392"/>
      <c r="DT153" s="392"/>
      <c r="DU153" s="392"/>
      <c r="DV153" s="392"/>
      <c r="DW153" s="392"/>
      <c r="DX153" s="392"/>
      <c r="DY153" s="392"/>
      <c r="DZ153" s="392"/>
      <c r="EA153" s="392"/>
      <c r="EB153" s="392"/>
      <c r="EC153" s="392"/>
      <c r="ED153" s="392"/>
      <c r="EE153" s="392"/>
      <c r="EF153" s="392"/>
      <c r="EG153" s="392"/>
      <c r="EH153" s="392"/>
      <c r="EI153" s="392"/>
      <c r="EJ153" s="392"/>
      <c r="EK153" s="392"/>
      <c r="EL153" s="392"/>
      <c r="EM153" s="392"/>
      <c r="EN153" s="392"/>
      <c r="EO153" s="392"/>
      <c r="EP153" s="392"/>
      <c r="EQ153" s="392"/>
      <c r="ER153" s="392"/>
      <c r="ES153" s="392"/>
      <c r="ET153" s="392"/>
      <c r="EU153" s="392"/>
      <c r="EV153" s="392"/>
      <c r="EW153" s="392"/>
      <c r="EX153" s="392"/>
      <c r="EY153" s="392"/>
      <c r="EZ153" s="392"/>
      <c r="FA153" s="392"/>
      <c r="FB153" s="392"/>
      <c r="FC153" s="392"/>
      <c r="FD153" s="392"/>
      <c r="FE153" s="392"/>
      <c r="FF153" s="392"/>
      <c r="FG153" s="392"/>
      <c r="FH153" s="392"/>
      <c r="FI153" s="392"/>
      <c r="FJ153" s="392"/>
      <c r="FK153" s="392"/>
      <c r="FL153" s="392"/>
      <c r="FM153" s="392"/>
      <c r="FN153" s="392"/>
      <c r="FO153" s="392"/>
      <c r="FP153" s="392"/>
      <c r="FQ153" s="392"/>
      <c r="FR153" s="392"/>
      <c r="FS153" s="392"/>
      <c r="FT153" s="392"/>
      <c r="FU153" s="392"/>
      <c r="FV153" s="392"/>
      <c r="FW153" s="392"/>
      <c r="FX153" s="392"/>
      <c r="FY153" s="392"/>
      <c r="FZ153" s="392"/>
      <c r="GA153" s="392"/>
      <c r="GB153" s="392"/>
      <c r="GC153" s="392"/>
      <c r="GD153" s="392"/>
      <c r="GE153" s="392"/>
      <c r="GF153" s="392"/>
      <c r="GG153" s="392"/>
      <c r="GH153" s="392"/>
      <c r="GI153" s="392"/>
      <c r="GJ153" s="392"/>
      <c r="GK153" s="392"/>
      <c r="GL153" s="392"/>
      <c r="GM153" s="392"/>
      <c r="GN153" s="392"/>
      <c r="GO153" s="392"/>
      <c r="GP153" s="392"/>
      <c r="GQ153" s="392"/>
      <c r="GR153" s="392"/>
      <c r="GS153" s="392"/>
      <c r="GT153" s="392"/>
      <c r="GU153" s="392"/>
      <c r="GV153" s="392"/>
      <c r="GW153" s="392"/>
      <c r="GX153" s="392"/>
      <c r="GY153" s="392"/>
      <c r="GZ153" s="392"/>
      <c r="HA153" s="392"/>
      <c r="HB153" s="392"/>
      <c r="HC153" s="392"/>
      <c r="HD153" s="392"/>
      <c r="HE153" s="392"/>
      <c r="HF153" s="392"/>
      <c r="HG153" s="392"/>
      <c r="HH153" s="392"/>
      <c r="HI153" s="392"/>
      <c r="HJ153" s="392"/>
      <c r="HK153" s="392"/>
      <c r="HL153" s="392"/>
      <c r="HM153" s="392"/>
      <c r="HN153" s="392"/>
      <c r="HO153" s="392"/>
      <c r="HP153" s="392"/>
      <c r="HQ153" s="392"/>
      <c r="HR153" s="392"/>
      <c r="HS153" s="392"/>
      <c r="HT153" s="392"/>
      <c r="HU153" s="392"/>
      <c r="HV153" s="392"/>
      <c r="HW153" s="392"/>
      <c r="HX153" s="392"/>
      <c r="HY153" s="392"/>
      <c r="HZ153" s="392"/>
      <c r="IA153" s="392"/>
      <c r="IB153" s="392"/>
      <c r="IC153" s="392"/>
      <c r="ID153" s="392"/>
      <c r="IE153" s="392"/>
      <c r="IF153" s="392"/>
      <c r="IG153" s="392"/>
      <c r="IH153" s="392"/>
      <c r="II153" s="392"/>
      <c r="IJ153" s="392"/>
      <c r="IK153" s="392"/>
      <c r="IL153" s="392"/>
      <c r="IM153" s="392"/>
      <c r="IN153" s="392"/>
      <c r="IO153" s="392"/>
      <c r="IP153" s="392"/>
      <c r="IQ153" s="392"/>
      <c r="IR153" s="392"/>
      <c r="IS153" s="392"/>
      <c r="IT153" s="392"/>
      <c r="IU153" s="392"/>
      <c r="IV153" s="392"/>
    </row>
    <row r="154" spans="1:256" ht="15.75">
      <c r="A154" s="392"/>
      <c r="B154" s="2333" t="s">
        <v>165</v>
      </c>
      <c r="C154" s="2334"/>
      <c r="D154" s="2334"/>
      <c r="E154" s="2334"/>
      <c r="F154" s="2334"/>
      <c r="G154" s="2335"/>
      <c r="H154" s="392"/>
      <c r="I154" s="392"/>
      <c r="J154" s="392"/>
      <c r="K154" s="392"/>
      <c r="L154" s="392"/>
      <c r="M154" s="392"/>
      <c r="N154" s="392"/>
      <c r="O154" s="392"/>
      <c r="P154" s="392"/>
      <c r="Q154" s="392"/>
      <c r="R154" s="392"/>
      <c r="S154" s="392"/>
      <c r="T154" s="392"/>
      <c r="U154" s="392"/>
      <c r="V154" s="392"/>
      <c r="W154" s="392"/>
      <c r="X154" s="392"/>
      <c r="Y154" s="392"/>
      <c r="Z154" s="392"/>
      <c r="AA154" s="392"/>
      <c r="AB154" s="392"/>
      <c r="AC154" s="392"/>
      <c r="AD154" s="392"/>
      <c r="AE154" s="392"/>
      <c r="AF154" s="392"/>
      <c r="AG154" s="392"/>
      <c r="AH154" s="392"/>
      <c r="AI154" s="392"/>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c r="BK154" s="392"/>
      <c r="BL154" s="392"/>
      <c r="BM154" s="392"/>
      <c r="BN154" s="392"/>
      <c r="BO154" s="392"/>
      <c r="BP154" s="392"/>
      <c r="BQ154" s="392"/>
      <c r="BR154" s="392"/>
      <c r="BS154" s="392"/>
      <c r="BT154" s="392"/>
      <c r="BU154" s="392"/>
      <c r="BV154" s="392"/>
      <c r="BW154" s="392"/>
      <c r="BX154" s="392"/>
      <c r="BY154" s="392"/>
      <c r="BZ154" s="392"/>
      <c r="CA154" s="392"/>
      <c r="CB154" s="392"/>
      <c r="CC154" s="392"/>
      <c r="CD154" s="392"/>
      <c r="CE154" s="392"/>
      <c r="CF154" s="392"/>
      <c r="CG154" s="392"/>
      <c r="CH154" s="392"/>
      <c r="CI154" s="39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c r="DD154" s="392"/>
      <c r="DE154" s="392"/>
      <c r="DF154" s="392"/>
      <c r="DG154" s="392"/>
      <c r="DH154" s="392"/>
      <c r="DI154" s="392"/>
      <c r="DJ154" s="392"/>
      <c r="DK154" s="392"/>
      <c r="DL154" s="392"/>
      <c r="DM154" s="392"/>
      <c r="DN154" s="392"/>
      <c r="DO154" s="392"/>
      <c r="DP154" s="392"/>
      <c r="DQ154" s="392"/>
      <c r="DR154" s="392"/>
      <c r="DS154" s="392"/>
      <c r="DT154" s="392"/>
      <c r="DU154" s="392"/>
      <c r="DV154" s="392"/>
      <c r="DW154" s="392"/>
      <c r="DX154" s="392"/>
      <c r="DY154" s="392"/>
      <c r="DZ154" s="392"/>
      <c r="EA154" s="392"/>
      <c r="EB154" s="392"/>
      <c r="EC154" s="392"/>
      <c r="ED154" s="392"/>
      <c r="EE154" s="392"/>
      <c r="EF154" s="392"/>
      <c r="EG154" s="392"/>
      <c r="EH154" s="392"/>
      <c r="EI154" s="392"/>
      <c r="EJ154" s="392"/>
      <c r="EK154" s="392"/>
      <c r="EL154" s="392"/>
      <c r="EM154" s="392"/>
      <c r="EN154" s="392"/>
      <c r="EO154" s="392"/>
      <c r="EP154" s="392"/>
      <c r="EQ154" s="392"/>
      <c r="ER154" s="392"/>
      <c r="ES154" s="392"/>
      <c r="ET154" s="392"/>
      <c r="EU154" s="392"/>
      <c r="EV154" s="392"/>
      <c r="EW154" s="392"/>
      <c r="EX154" s="392"/>
      <c r="EY154" s="392"/>
      <c r="EZ154" s="392"/>
      <c r="FA154" s="392"/>
      <c r="FB154" s="392"/>
      <c r="FC154" s="392"/>
      <c r="FD154" s="392"/>
      <c r="FE154" s="392"/>
      <c r="FF154" s="392"/>
      <c r="FG154" s="392"/>
      <c r="FH154" s="392"/>
      <c r="FI154" s="392"/>
      <c r="FJ154" s="392"/>
      <c r="FK154" s="392"/>
      <c r="FL154" s="392"/>
      <c r="FM154" s="392"/>
      <c r="FN154" s="392"/>
      <c r="FO154" s="392"/>
      <c r="FP154" s="392"/>
      <c r="FQ154" s="392"/>
      <c r="FR154" s="392"/>
      <c r="FS154" s="392"/>
      <c r="FT154" s="392"/>
      <c r="FU154" s="392"/>
      <c r="FV154" s="392"/>
      <c r="FW154" s="392"/>
      <c r="FX154" s="392"/>
      <c r="FY154" s="392"/>
      <c r="FZ154" s="392"/>
      <c r="GA154" s="392"/>
      <c r="GB154" s="392"/>
      <c r="GC154" s="392"/>
      <c r="GD154" s="392"/>
      <c r="GE154" s="392"/>
      <c r="GF154" s="392"/>
      <c r="GG154" s="392"/>
      <c r="GH154" s="392"/>
      <c r="GI154" s="392"/>
      <c r="GJ154" s="392"/>
      <c r="GK154" s="392"/>
      <c r="GL154" s="392"/>
      <c r="GM154" s="392"/>
      <c r="GN154" s="392"/>
      <c r="GO154" s="392"/>
      <c r="GP154" s="392"/>
      <c r="GQ154" s="392"/>
      <c r="GR154" s="392"/>
      <c r="GS154" s="392"/>
      <c r="GT154" s="392"/>
      <c r="GU154" s="392"/>
      <c r="GV154" s="392"/>
      <c r="GW154" s="392"/>
      <c r="GX154" s="392"/>
      <c r="GY154" s="392"/>
      <c r="GZ154" s="392"/>
      <c r="HA154" s="392"/>
      <c r="HB154" s="392"/>
      <c r="HC154" s="392"/>
      <c r="HD154" s="392"/>
      <c r="HE154" s="392"/>
      <c r="HF154" s="392"/>
      <c r="HG154" s="392"/>
      <c r="HH154" s="392"/>
      <c r="HI154" s="392"/>
      <c r="HJ154" s="392"/>
      <c r="HK154" s="392"/>
      <c r="HL154" s="392"/>
      <c r="HM154" s="392"/>
      <c r="HN154" s="392"/>
      <c r="HO154" s="392"/>
      <c r="HP154" s="392"/>
      <c r="HQ154" s="392"/>
      <c r="HR154" s="392"/>
      <c r="HS154" s="392"/>
      <c r="HT154" s="392"/>
      <c r="HU154" s="392"/>
      <c r="HV154" s="392"/>
      <c r="HW154" s="392"/>
      <c r="HX154" s="392"/>
      <c r="HY154" s="392"/>
      <c r="HZ154" s="392"/>
      <c r="IA154" s="392"/>
      <c r="IB154" s="392"/>
      <c r="IC154" s="392"/>
      <c r="ID154" s="392"/>
      <c r="IE154" s="392"/>
      <c r="IF154" s="392"/>
      <c r="IG154" s="392"/>
      <c r="IH154" s="392"/>
      <c r="II154" s="392"/>
      <c r="IJ154" s="392"/>
      <c r="IK154" s="392"/>
      <c r="IL154" s="392"/>
      <c r="IM154" s="392"/>
      <c r="IN154" s="392"/>
      <c r="IO154" s="392"/>
      <c r="IP154" s="392"/>
      <c r="IQ154" s="392"/>
      <c r="IR154" s="392"/>
      <c r="IS154" s="392"/>
      <c r="IT154" s="392"/>
      <c r="IU154" s="392"/>
      <c r="IV154" s="392"/>
    </row>
    <row r="155" spans="1:256" ht="15">
      <c r="A155" s="392"/>
      <c r="B155" s="2318" t="str">
        <f>C146</f>
        <v>ESCAVAÇÃO MANUAL DE VALA COM PROFUNDIDADE MENOR OU IGUAL A 1,30 M. AF_02/2021</v>
      </c>
      <c r="C155" s="2319"/>
      <c r="D155" s="583" t="s">
        <v>19</v>
      </c>
      <c r="E155" s="2340" t="s">
        <v>1718</v>
      </c>
      <c r="F155" s="2340"/>
      <c r="G155" s="2341"/>
      <c r="H155" s="392"/>
      <c r="I155" s="392"/>
      <c r="J155" s="392"/>
      <c r="K155" s="392"/>
      <c r="L155" s="392"/>
      <c r="M155" s="392"/>
      <c r="N155" s="392"/>
      <c r="O155" s="392"/>
      <c r="P155" s="392"/>
      <c r="Q155" s="392"/>
      <c r="R155" s="392"/>
      <c r="S155" s="392"/>
      <c r="T155" s="392"/>
      <c r="U155" s="392"/>
      <c r="V155" s="392"/>
      <c r="W155" s="392"/>
      <c r="X155" s="392"/>
      <c r="Y155" s="392"/>
      <c r="Z155" s="392"/>
      <c r="AA155" s="392"/>
      <c r="AB155" s="392"/>
      <c r="AC155" s="392"/>
      <c r="AD155" s="392"/>
      <c r="AE155" s="392"/>
      <c r="AF155" s="392"/>
      <c r="AG155" s="392"/>
      <c r="AH155" s="392"/>
      <c r="AI155" s="392"/>
      <c r="AJ155" s="392"/>
      <c r="AK155" s="392"/>
      <c r="AL155" s="392"/>
      <c r="AM155" s="392"/>
      <c r="AN155" s="392"/>
      <c r="AO155" s="392"/>
      <c r="AP155" s="392"/>
      <c r="AQ155" s="392"/>
      <c r="AR155" s="392"/>
      <c r="AS155" s="392"/>
      <c r="AT155" s="392"/>
      <c r="AU155" s="392"/>
      <c r="AV155" s="392"/>
      <c r="AW155" s="392"/>
      <c r="AX155" s="392"/>
      <c r="AY155" s="392"/>
      <c r="AZ155" s="392"/>
      <c r="BA155" s="392"/>
      <c r="BB155" s="392"/>
      <c r="BC155" s="392"/>
      <c r="BD155" s="392"/>
      <c r="BE155" s="392"/>
      <c r="BF155" s="392"/>
      <c r="BG155" s="392"/>
      <c r="BH155" s="392"/>
      <c r="BI155" s="392"/>
      <c r="BJ155" s="392"/>
      <c r="BK155" s="392"/>
      <c r="BL155" s="392"/>
      <c r="BM155" s="392"/>
      <c r="BN155" s="392"/>
      <c r="BO155" s="392"/>
      <c r="BP155" s="392"/>
      <c r="BQ155" s="392"/>
      <c r="BR155" s="392"/>
      <c r="BS155" s="392"/>
      <c r="BT155" s="392"/>
      <c r="BU155" s="392"/>
      <c r="BV155" s="392"/>
      <c r="BW155" s="392"/>
      <c r="BX155" s="392"/>
      <c r="BY155" s="392"/>
      <c r="BZ155" s="392"/>
      <c r="CA155" s="392"/>
      <c r="CB155" s="392"/>
      <c r="CC155" s="392"/>
      <c r="CD155" s="392"/>
      <c r="CE155" s="392"/>
      <c r="CF155" s="392"/>
      <c r="CG155" s="392"/>
      <c r="CH155" s="392"/>
      <c r="CI155" s="39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c r="DD155" s="392"/>
      <c r="DE155" s="392"/>
      <c r="DF155" s="392"/>
      <c r="DG155" s="392"/>
      <c r="DH155" s="392"/>
      <c r="DI155" s="392"/>
      <c r="DJ155" s="392"/>
      <c r="DK155" s="392"/>
      <c r="DL155" s="392"/>
      <c r="DM155" s="392"/>
      <c r="DN155" s="392"/>
      <c r="DO155" s="392"/>
      <c r="DP155" s="392"/>
      <c r="DQ155" s="392"/>
      <c r="DR155" s="392"/>
      <c r="DS155" s="392"/>
      <c r="DT155" s="392"/>
      <c r="DU155" s="392"/>
      <c r="DV155" s="392"/>
      <c r="DW155" s="392"/>
      <c r="DX155" s="392"/>
      <c r="DY155" s="392"/>
      <c r="DZ155" s="392"/>
      <c r="EA155" s="392"/>
      <c r="EB155" s="392"/>
      <c r="EC155" s="392"/>
      <c r="ED155" s="392"/>
      <c r="EE155" s="392"/>
      <c r="EF155" s="392"/>
      <c r="EG155" s="392"/>
      <c r="EH155" s="392"/>
      <c r="EI155" s="392"/>
      <c r="EJ155" s="392"/>
      <c r="EK155" s="392"/>
      <c r="EL155" s="392"/>
      <c r="EM155" s="392"/>
      <c r="EN155" s="392"/>
      <c r="EO155" s="392"/>
      <c r="EP155" s="392"/>
      <c r="EQ155" s="392"/>
      <c r="ER155" s="392"/>
      <c r="ES155" s="392"/>
      <c r="ET155" s="392"/>
      <c r="EU155" s="392"/>
      <c r="EV155" s="392"/>
      <c r="EW155" s="392"/>
      <c r="EX155" s="392"/>
      <c r="EY155" s="392"/>
      <c r="EZ155" s="392"/>
      <c r="FA155" s="392"/>
      <c r="FB155" s="392"/>
      <c r="FC155" s="392"/>
      <c r="FD155" s="392"/>
      <c r="FE155" s="392"/>
      <c r="FF155" s="392"/>
      <c r="FG155" s="392"/>
      <c r="FH155" s="392"/>
      <c r="FI155" s="392"/>
      <c r="FJ155" s="392"/>
      <c r="FK155" s="392"/>
      <c r="FL155" s="392"/>
      <c r="FM155" s="392"/>
      <c r="FN155" s="392"/>
      <c r="FO155" s="392"/>
      <c r="FP155" s="392"/>
      <c r="FQ155" s="392"/>
      <c r="FR155" s="392"/>
      <c r="FS155" s="392"/>
      <c r="FT155" s="392"/>
      <c r="FU155" s="392"/>
      <c r="FV155" s="392"/>
      <c r="FW155" s="392"/>
      <c r="FX155" s="392"/>
      <c r="FY155" s="392"/>
      <c r="FZ155" s="392"/>
      <c r="GA155" s="392"/>
      <c r="GB155" s="392"/>
      <c r="GC155" s="392"/>
      <c r="GD155" s="392"/>
      <c r="GE155" s="392"/>
      <c r="GF155" s="392"/>
      <c r="GG155" s="392"/>
      <c r="GH155" s="392"/>
      <c r="GI155" s="392"/>
      <c r="GJ155" s="392"/>
      <c r="GK155" s="392"/>
      <c r="GL155" s="392"/>
      <c r="GM155" s="392"/>
      <c r="GN155" s="392"/>
      <c r="GO155" s="392"/>
      <c r="GP155" s="392"/>
      <c r="GQ155" s="392"/>
      <c r="GR155" s="392"/>
      <c r="GS155" s="392"/>
      <c r="GT155" s="392"/>
      <c r="GU155" s="392"/>
      <c r="GV155" s="392"/>
      <c r="GW155" s="392"/>
      <c r="GX155" s="392"/>
      <c r="GY155" s="392"/>
      <c r="GZ155" s="392"/>
      <c r="HA155" s="392"/>
      <c r="HB155" s="392"/>
      <c r="HC155" s="392"/>
      <c r="HD155" s="392"/>
      <c r="HE155" s="392"/>
      <c r="HF155" s="392"/>
      <c r="HG155" s="392"/>
      <c r="HH155" s="392"/>
      <c r="HI155" s="392"/>
      <c r="HJ155" s="392"/>
      <c r="HK155" s="392"/>
      <c r="HL155" s="392"/>
      <c r="HM155" s="392"/>
      <c r="HN155" s="392"/>
      <c r="HO155" s="392"/>
      <c r="HP155" s="392"/>
      <c r="HQ155" s="392"/>
      <c r="HR155" s="392"/>
      <c r="HS155" s="392"/>
      <c r="HT155" s="392"/>
      <c r="HU155" s="392"/>
      <c r="HV155" s="392"/>
      <c r="HW155" s="392"/>
      <c r="HX155" s="392"/>
      <c r="HY155" s="392"/>
      <c r="HZ155" s="392"/>
      <c r="IA155" s="392"/>
      <c r="IB155" s="392"/>
      <c r="IC155" s="392"/>
      <c r="ID155" s="392"/>
      <c r="IE155" s="392"/>
      <c r="IF155" s="392"/>
      <c r="IG155" s="392"/>
      <c r="IH155" s="392"/>
      <c r="II155" s="392"/>
      <c r="IJ155" s="392"/>
      <c r="IK155" s="392"/>
      <c r="IL155" s="392"/>
      <c r="IM155" s="392"/>
      <c r="IN155" s="392"/>
      <c r="IO155" s="392"/>
      <c r="IP155" s="392"/>
      <c r="IQ155" s="392"/>
      <c r="IR155" s="392"/>
      <c r="IS155" s="392"/>
      <c r="IT155" s="392"/>
      <c r="IU155" s="392"/>
      <c r="IV155" s="392"/>
    </row>
    <row r="156" spans="1:256" ht="36" customHeight="1">
      <c r="A156" s="392"/>
      <c r="B156" s="2318" t="str">
        <f>C147</f>
        <v>CONCRETO FCK = 25MPA, TRAÇO 1:2,3:2,7 (EM MASSA SECA DE CIMENTO/ AREIA MÉDIA/ BRITA 1) - PREPARO MECÂNICO COM BETONEIRA 400 L. AF_05/2021</v>
      </c>
      <c r="C156" s="2319"/>
      <c r="D156" s="322" t="s">
        <v>19</v>
      </c>
      <c r="E156" s="2320" t="str">
        <f>E155</f>
        <v>(0,30*0,30*0,60)*2</v>
      </c>
      <c r="F156" s="2320"/>
      <c r="G156" s="2321"/>
      <c r="H156" s="392"/>
      <c r="I156" s="392"/>
      <c r="J156" s="392"/>
      <c r="K156" s="392"/>
      <c r="L156" s="392"/>
      <c r="M156" s="392"/>
      <c r="N156" s="392"/>
      <c r="O156" s="392"/>
      <c r="P156" s="392"/>
      <c r="Q156" s="392"/>
      <c r="R156" s="392"/>
      <c r="S156" s="392"/>
      <c r="T156" s="392"/>
      <c r="U156" s="392"/>
      <c r="V156" s="392"/>
      <c r="W156" s="392"/>
      <c r="X156" s="392"/>
      <c r="Y156" s="392"/>
      <c r="Z156" s="392"/>
      <c r="AA156" s="392"/>
      <c r="AB156" s="392"/>
      <c r="AC156" s="392"/>
      <c r="AD156" s="392"/>
      <c r="AE156" s="392"/>
      <c r="AF156" s="392"/>
      <c r="AG156" s="392"/>
      <c r="AH156" s="392"/>
      <c r="AI156" s="392"/>
      <c r="AJ156" s="392"/>
      <c r="AK156" s="392"/>
      <c r="AL156" s="392"/>
      <c r="AM156" s="392"/>
      <c r="AN156" s="392"/>
      <c r="AO156" s="392"/>
      <c r="AP156" s="392"/>
      <c r="AQ156" s="392"/>
      <c r="AR156" s="392"/>
      <c r="AS156" s="392"/>
      <c r="AT156" s="392"/>
      <c r="AU156" s="392"/>
      <c r="AV156" s="392"/>
      <c r="AW156" s="392"/>
      <c r="AX156" s="392"/>
      <c r="AY156" s="392"/>
      <c r="AZ156" s="392"/>
      <c r="BA156" s="392"/>
      <c r="BB156" s="392"/>
      <c r="BC156" s="392"/>
      <c r="BD156" s="392"/>
      <c r="BE156" s="392"/>
      <c r="BF156" s="392"/>
      <c r="BG156" s="392"/>
      <c r="BH156" s="392"/>
      <c r="BI156" s="392"/>
      <c r="BJ156" s="392"/>
      <c r="BK156" s="392"/>
      <c r="BL156" s="392"/>
      <c r="BM156" s="392"/>
      <c r="BN156" s="392"/>
      <c r="BO156" s="392"/>
      <c r="BP156" s="392"/>
      <c r="BQ156" s="392"/>
      <c r="BR156" s="392"/>
      <c r="BS156" s="392"/>
      <c r="BT156" s="392"/>
      <c r="BU156" s="392"/>
      <c r="BV156" s="392"/>
      <c r="BW156" s="392"/>
      <c r="BX156" s="392"/>
      <c r="BY156" s="392"/>
      <c r="BZ156" s="392"/>
      <c r="CA156" s="392"/>
      <c r="CB156" s="392"/>
      <c r="CC156" s="392"/>
      <c r="CD156" s="392"/>
      <c r="CE156" s="392"/>
      <c r="CF156" s="392"/>
      <c r="CG156" s="392"/>
      <c r="CH156" s="392"/>
      <c r="CI156" s="39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c r="DD156" s="392"/>
      <c r="DE156" s="392"/>
      <c r="DF156" s="392"/>
      <c r="DG156" s="392"/>
      <c r="DH156" s="392"/>
      <c r="DI156" s="392"/>
      <c r="DJ156" s="392"/>
      <c r="DK156" s="392"/>
      <c r="DL156" s="392"/>
      <c r="DM156" s="392"/>
      <c r="DN156" s="392"/>
      <c r="DO156" s="392"/>
      <c r="DP156" s="392"/>
      <c r="DQ156" s="392"/>
      <c r="DR156" s="392"/>
      <c r="DS156" s="392"/>
      <c r="DT156" s="392"/>
      <c r="DU156" s="392"/>
      <c r="DV156" s="392"/>
      <c r="DW156" s="392"/>
      <c r="DX156" s="392"/>
      <c r="DY156" s="392"/>
      <c r="DZ156" s="392"/>
      <c r="EA156" s="392"/>
      <c r="EB156" s="392"/>
      <c r="EC156" s="392"/>
      <c r="ED156" s="392"/>
      <c r="EE156" s="392"/>
      <c r="EF156" s="392"/>
      <c r="EG156" s="392"/>
      <c r="EH156" s="392"/>
      <c r="EI156" s="392"/>
      <c r="EJ156" s="392"/>
      <c r="EK156" s="392"/>
      <c r="EL156" s="392"/>
      <c r="EM156" s="392"/>
      <c r="EN156" s="392"/>
      <c r="EO156" s="392"/>
      <c r="EP156" s="392"/>
      <c r="EQ156" s="392"/>
      <c r="ER156" s="392"/>
      <c r="ES156" s="392"/>
      <c r="ET156" s="392"/>
      <c r="EU156" s="392"/>
      <c r="EV156" s="392"/>
      <c r="EW156" s="392"/>
      <c r="EX156" s="392"/>
      <c r="EY156" s="392"/>
      <c r="EZ156" s="392"/>
      <c r="FA156" s="392"/>
      <c r="FB156" s="392"/>
      <c r="FC156" s="392"/>
      <c r="FD156" s="392"/>
      <c r="FE156" s="392"/>
      <c r="FF156" s="392"/>
      <c r="FG156" s="392"/>
      <c r="FH156" s="392"/>
      <c r="FI156" s="392"/>
      <c r="FJ156" s="392"/>
      <c r="FK156" s="392"/>
      <c r="FL156" s="392"/>
      <c r="FM156" s="392"/>
      <c r="FN156" s="392"/>
      <c r="FO156" s="392"/>
      <c r="FP156" s="392"/>
      <c r="FQ156" s="392"/>
      <c r="FR156" s="392"/>
      <c r="FS156" s="392"/>
      <c r="FT156" s="392"/>
      <c r="FU156" s="392"/>
      <c r="FV156" s="392"/>
      <c r="FW156" s="392"/>
      <c r="FX156" s="392"/>
      <c r="FY156" s="392"/>
      <c r="FZ156" s="392"/>
      <c r="GA156" s="392"/>
      <c r="GB156" s="392"/>
      <c r="GC156" s="392"/>
      <c r="GD156" s="392"/>
      <c r="GE156" s="392"/>
      <c r="GF156" s="392"/>
      <c r="GG156" s="392"/>
      <c r="GH156" s="392"/>
      <c r="GI156" s="392"/>
      <c r="GJ156" s="392"/>
      <c r="GK156" s="392"/>
      <c r="GL156" s="392"/>
      <c r="GM156" s="392"/>
      <c r="GN156" s="392"/>
      <c r="GO156" s="392"/>
      <c r="GP156" s="392"/>
      <c r="GQ156" s="392"/>
      <c r="GR156" s="392"/>
      <c r="GS156" s="392"/>
      <c r="GT156" s="392"/>
      <c r="GU156" s="392"/>
      <c r="GV156" s="392"/>
      <c r="GW156" s="392"/>
      <c r="GX156" s="392"/>
      <c r="GY156" s="392"/>
      <c r="GZ156" s="392"/>
      <c r="HA156" s="392"/>
      <c r="HB156" s="392"/>
      <c r="HC156" s="392"/>
      <c r="HD156" s="392"/>
      <c r="HE156" s="392"/>
      <c r="HF156" s="392"/>
      <c r="HG156" s="392"/>
      <c r="HH156" s="392"/>
      <c r="HI156" s="392"/>
      <c r="HJ156" s="392"/>
      <c r="HK156" s="392"/>
      <c r="HL156" s="392"/>
      <c r="HM156" s="392"/>
      <c r="HN156" s="392"/>
      <c r="HO156" s="392"/>
      <c r="HP156" s="392"/>
      <c r="HQ156" s="392"/>
      <c r="HR156" s="392"/>
      <c r="HS156" s="392"/>
      <c r="HT156" s="392"/>
      <c r="HU156" s="392"/>
      <c r="HV156" s="392"/>
      <c r="HW156" s="392"/>
      <c r="HX156" s="392"/>
      <c r="HY156" s="392"/>
      <c r="HZ156" s="392"/>
      <c r="IA156" s="392"/>
      <c r="IB156" s="392"/>
      <c r="IC156" s="392"/>
      <c r="ID156" s="392"/>
      <c r="IE156" s="392"/>
      <c r="IF156" s="392"/>
      <c r="IG156" s="392"/>
      <c r="IH156" s="392"/>
      <c r="II156" s="392"/>
      <c r="IJ156" s="392"/>
      <c r="IK156" s="392"/>
      <c r="IL156" s="392"/>
      <c r="IM156" s="392"/>
      <c r="IN156" s="392"/>
      <c r="IO156" s="392"/>
      <c r="IP156" s="392"/>
      <c r="IQ156" s="392"/>
      <c r="IR156" s="392"/>
      <c r="IS156" s="392"/>
      <c r="IT156" s="392"/>
      <c r="IU156" s="392"/>
      <c r="IV156" s="392"/>
    </row>
    <row r="157" spans="1:256" ht="34.5" customHeight="1">
      <c r="A157" s="392"/>
      <c r="B157" s="2318" t="e">
        <f>C148</f>
        <v>#N/A</v>
      </c>
      <c r="C157" s="2319"/>
      <c r="D157" s="322" t="s">
        <v>19</v>
      </c>
      <c r="E157" s="2320" t="str">
        <f>E155</f>
        <v>(0,30*0,30*0,60)*2</v>
      </c>
      <c r="F157" s="2320"/>
      <c r="G157" s="2321"/>
      <c r="H157" s="392"/>
      <c r="I157" s="392"/>
      <c r="J157" s="392"/>
      <c r="K157" s="392"/>
      <c r="L157" s="392"/>
      <c r="M157" s="392"/>
      <c r="N157" s="392"/>
      <c r="O157" s="392"/>
      <c r="P157" s="392"/>
      <c r="Q157" s="392"/>
      <c r="R157" s="392"/>
      <c r="S157" s="392"/>
      <c r="T157" s="392"/>
      <c r="U157" s="392"/>
      <c r="V157" s="392"/>
      <c r="W157" s="392"/>
      <c r="X157" s="392"/>
      <c r="Y157" s="392"/>
      <c r="Z157" s="392"/>
      <c r="AA157" s="392"/>
      <c r="AB157" s="392"/>
      <c r="AC157" s="392"/>
      <c r="AD157" s="392"/>
      <c r="AE157" s="392"/>
      <c r="AF157" s="392"/>
      <c r="AG157" s="392"/>
      <c r="AH157" s="392"/>
      <c r="AI157" s="392"/>
      <c r="AJ157" s="392"/>
      <c r="AK157" s="392"/>
      <c r="AL157" s="392"/>
      <c r="AM157" s="392"/>
      <c r="AN157" s="392"/>
      <c r="AO157" s="392"/>
      <c r="AP157" s="392"/>
      <c r="AQ157" s="392"/>
      <c r="AR157" s="392"/>
      <c r="AS157" s="392"/>
      <c r="AT157" s="392"/>
      <c r="AU157" s="392"/>
      <c r="AV157" s="392"/>
      <c r="AW157" s="392"/>
      <c r="AX157" s="392"/>
      <c r="AY157" s="392"/>
      <c r="AZ157" s="392"/>
      <c r="BA157" s="392"/>
      <c r="BB157" s="392"/>
      <c r="BC157" s="392"/>
      <c r="BD157" s="392"/>
      <c r="BE157" s="392"/>
      <c r="BF157" s="392"/>
      <c r="BG157" s="392"/>
      <c r="BH157" s="392"/>
      <c r="BI157" s="392"/>
      <c r="BJ157" s="392"/>
      <c r="BK157" s="392"/>
      <c r="BL157" s="392"/>
      <c r="BM157" s="392"/>
      <c r="BN157" s="392"/>
      <c r="BO157" s="392"/>
      <c r="BP157" s="392"/>
      <c r="BQ157" s="392"/>
      <c r="BR157" s="392"/>
      <c r="BS157" s="392"/>
      <c r="BT157" s="392"/>
      <c r="BU157" s="392"/>
      <c r="BV157" s="392"/>
      <c r="BW157" s="392"/>
      <c r="BX157" s="392"/>
      <c r="BY157" s="392"/>
      <c r="BZ157" s="392"/>
      <c r="CA157" s="392"/>
      <c r="CB157" s="392"/>
      <c r="CC157" s="392"/>
      <c r="CD157" s="392"/>
      <c r="CE157" s="392"/>
      <c r="CF157" s="392"/>
      <c r="CG157" s="392"/>
      <c r="CH157" s="392"/>
      <c r="CI157" s="39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c r="DD157" s="392"/>
      <c r="DE157" s="392"/>
      <c r="DF157" s="392"/>
      <c r="DG157" s="392"/>
      <c r="DH157" s="392"/>
      <c r="DI157" s="392"/>
      <c r="DJ157" s="392"/>
      <c r="DK157" s="392"/>
      <c r="DL157" s="392"/>
      <c r="DM157" s="392"/>
      <c r="DN157" s="392"/>
      <c r="DO157" s="392"/>
      <c r="DP157" s="392"/>
      <c r="DQ157" s="392"/>
      <c r="DR157" s="392"/>
      <c r="DS157" s="392"/>
      <c r="DT157" s="392"/>
      <c r="DU157" s="392"/>
      <c r="DV157" s="392"/>
      <c r="DW157" s="392"/>
      <c r="DX157" s="392"/>
      <c r="DY157" s="392"/>
      <c r="DZ157" s="392"/>
      <c r="EA157" s="392"/>
      <c r="EB157" s="392"/>
      <c r="EC157" s="392"/>
      <c r="ED157" s="392"/>
      <c r="EE157" s="392"/>
      <c r="EF157" s="392"/>
      <c r="EG157" s="392"/>
      <c r="EH157" s="392"/>
      <c r="EI157" s="392"/>
      <c r="EJ157" s="392"/>
      <c r="EK157" s="392"/>
      <c r="EL157" s="392"/>
      <c r="EM157" s="392"/>
      <c r="EN157" s="392"/>
      <c r="EO157" s="392"/>
      <c r="EP157" s="392"/>
      <c r="EQ157" s="392"/>
      <c r="ER157" s="392"/>
      <c r="ES157" s="392"/>
      <c r="ET157" s="392"/>
      <c r="EU157" s="392"/>
      <c r="EV157" s="392"/>
      <c r="EW157" s="392"/>
      <c r="EX157" s="392"/>
      <c r="EY157" s="392"/>
      <c r="EZ157" s="392"/>
      <c r="FA157" s="392"/>
      <c r="FB157" s="392"/>
      <c r="FC157" s="392"/>
      <c r="FD157" s="392"/>
      <c r="FE157" s="392"/>
      <c r="FF157" s="392"/>
      <c r="FG157" s="392"/>
      <c r="FH157" s="392"/>
      <c r="FI157" s="392"/>
      <c r="FJ157" s="392"/>
      <c r="FK157" s="392"/>
      <c r="FL157" s="392"/>
      <c r="FM157" s="392"/>
      <c r="FN157" s="392"/>
      <c r="FO157" s="392"/>
      <c r="FP157" s="392"/>
      <c r="FQ157" s="392"/>
      <c r="FR157" s="392"/>
      <c r="FS157" s="392"/>
      <c r="FT157" s="392"/>
      <c r="FU157" s="392"/>
      <c r="FV157" s="392"/>
      <c r="FW157" s="392"/>
      <c r="FX157" s="392"/>
      <c r="FY157" s="392"/>
      <c r="FZ157" s="392"/>
      <c r="GA157" s="392"/>
      <c r="GB157" s="392"/>
      <c r="GC157" s="392"/>
      <c r="GD157" s="392"/>
      <c r="GE157" s="392"/>
      <c r="GF157" s="392"/>
      <c r="GG157" s="392"/>
      <c r="GH157" s="392"/>
      <c r="GI157" s="392"/>
      <c r="GJ157" s="392"/>
      <c r="GK157" s="392"/>
      <c r="GL157" s="392"/>
      <c r="GM157" s="392"/>
      <c r="GN157" s="392"/>
      <c r="GO157" s="392"/>
      <c r="GP157" s="392"/>
      <c r="GQ157" s="392"/>
      <c r="GR157" s="392"/>
      <c r="GS157" s="392"/>
      <c r="GT157" s="392"/>
      <c r="GU157" s="392"/>
      <c r="GV157" s="392"/>
      <c r="GW157" s="392"/>
      <c r="GX157" s="392"/>
      <c r="GY157" s="392"/>
      <c r="GZ157" s="392"/>
      <c r="HA157" s="392"/>
      <c r="HB157" s="392"/>
      <c r="HC157" s="392"/>
      <c r="HD157" s="392"/>
      <c r="HE157" s="392"/>
      <c r="HF157" s="392"/>
      <c r="HG157" s="392"/>
      <c r="HH157" s="392"/>
      <c r="HI157" s="392"/>
      <c r="HJ157" s="392"/>
      <c r="HK157" s="392"/>
      <c r="HL157" s="392"/>
      <c r="HM157" s="392"/>
      <c r="HN157" s="392"/>
      <c r="HO157" s="392"/>
      <c r="HP157" s="392"/>
      <c r="HQ157" s="392"/>
      <c r="HR157" s="392"/>
      <c r="HS157" s="392"/>
      <c r="HT157" s="392"/>
      <c r="HU157" s="392"/>
      <c r="HV157" s="392"/>
      <c r="HW157" s="392"/>
      <c r="HX157" s="392"/>
      <c r="HY157" s="392"/>
      <c r="HZ157" s="392"/>
      <c r="IA157" s="392"/>
      <c r="IB157" s="392"/>
      <c r="IC157" s="392"/>
      <c r="ID157" s="392"/>
      <c r="IE157" s="392"/>
      <c r="IF157" s="392"/>
      <c r="IG157" s="392"/>
      <c r="IH157" s="392"/>
      <c r="II157" s="392"/>
      <c r="IJ157" s="392"/>
      <c r="IK157" s="392"/>
      <c r="IL157" s="392"/>
      <c r="IM157" s="392"/>
      <c r="IN157" s="392"/>
      <c r="IO157" s="392"/>
      <c r="IP157" s="392"/>
      <c r="IQ157" s="392"/>
      <c r="IR157" s="392"/>
      <c r="IS157" s="392"/>
      <c r="IT157" s="392"/>
      <c r="IU157" s="392"/>
      <c r="IV157" s="392"/>
    </row>
    <row r="158" spans="1:256" ht="13.5" thickBot="1">
      <c r="A158" s="392"/>
      <c r="B158" s="448"/>
      <c r="C158" s="448"/>
      <c r="D158" s="448"/>
      <c r="E158" s="448"/>
      <c r="F158" s="448"/>
      <c r="G158" s="448"/>
      <c r="H158" s="392"/>
      <c r="I158" s="392"/>
      <c r="J158" s="392"/>
      <c r="K158" s="392"/>
      <c r="L158" s="392"/>
      <c r="M158" s="392"/>
      <c r="N158" s="392"/>
      <c r="O158" s="392"/>
      <c r="P158" s="392"/>
      <c r="Q158" s="392"/>
      <c r="R158" s="392"/>
      <c r="S158" s="392"/>
      <c r="T158" s="392"/>
      <c r="U158" s="392"/>
      <c r="V158" s="392"/>
      <c r="W158" s="392"/>
      <c r="X158" s="392"/>
      <c r="Y158" s="392"/>
      <c r="Z158" s="392"/>
      <c r="AA158" s="392"/>
      <c r="AB158" s="392"/>
      <c r="AC158" s="392"/>
      <c r="AD158" s="392"/>
      <c r="AE158" s="392"/>
      <c r="AF158" s="392"/>
      <c r="AG158" s="392"/>
      <c r="AH158" s="392"/>
      <c r="AI158" s="392"/>
      <c r="AJ158" s="392"/>
      <c r="AK158" s="392"/>
      <c r="AL158" s="392"/>
      <c r="AM158" s="392"/>
      <c r="AN158" s="392"/>
      <c r="AO158" s="392"/>
      <c r="AP158" s="392"/>
      <c r="AQ158" s="392"/>
      <c r="AR158" s="392"/>
      <c r="AS158" s="392"/>
      <c r="AT158" s="392"/>
      <c r="AU158" s="392"/>
      <c r="AV158" s="392"/>
      <c r="AW158" s="392"/>
      <c r="AX158" s="392"/>
      <c r="AY158" s="392"/>
      <c r="AZ158" s="392"/>
      <c r="BA158" s="392"/>
      <c r="BB158" s="392"/>
      <c r="BC158" s="392"/>
      <c r="BD158" s="392"/>
      <c r="BE158" s="392"/>
      <c r="BF158" s="392"/>
      <c r="BG158" s="392"/>
      <c r="BH158" s="392"/>
      <c r="BI158" s="392"/>
      <c r="BJ158" s="392"/>
      <c r="BK158" s="392"/>
      <c r="BL158" s="392"/>
      <c r="BM158" s="392"/>
      <c r="BN158" s="392"/>
      <c r="BO158" s="392"/>
      <c r="BP158" s="392"/>
      <c r="BQ158" s="392"/>
      <c r="BR158" s="392"/>
      <c r="BS158" s="392"/>
      <c r="BT158" s="392"/>
      <c r="BU158" s="392"/>
      <c r="BV158" s="392"/>
      <c r="BW158" s="392"/>
      <c r="BX158" s="392"/>
      <c r="BY158" s="392"/>
      <c r="BZ158" s="392"/>
      <c r="CA158" s="392"/>
      <c r="CB158" s="392"/>
      <c r="CC158" s="392"/>
      <c r="CD158" s="392"/>
      <c r="CE158" s="392"/>
      <c r="CF158" s="392"/>
      <c r="CG158" s="392"/>
      <c r="CH158" s="392"/>
      <c r="CI158" s="392"/>
      <c r="CJ158" s="392"/>
      <c r="CK158" s="392"/>
      <c r="CL158" s="392"/>
      <c r="CM158" s="392"/>
      <c r="CN158" s="392"/>
      <c r="CO158" s="392"/>
      <c r="CP158" s="392"/>
      <c r="CQ158" s="392"/>
      <c r="CR158" s="392"/>
      <c r="CS158" s="392"/>
      <c r="CT158" s="392"/>
      <c r="CU158" s="392"/>
      <c r="CV158" s="392"/>
      <c r="CW158" s="392"/>
      <c r="CX158" s="392"/>
      <c r="CY158" s="392"/>
      <c r="CZ158" s="392"/>
      <c r="DA158" s="392"/>
      <c r="DB158" s="392"/>
      <c r="DC158" s="392"/>
      <c r="DD158" s="392"/>
      <c r="DE158" s="392"/>
      <c r="DF158" s="392"/>
      <c r="DG158" s="392"/>
      <c r="DH158" s="392"/>
      <c r="DI158" s="392"/>
      <c r="DJ158" s="392"/>
      <c r="DK158" s="392"/>
      <c r="DL158" s="392"/>
      <c r="DM158" s="392"/>
      <c r="DN158" s="392"/>
      <c r="DO158" s="392"/>
      <c r="DP158" s="392"/>
      <c r="DQ158" s="392"/>
      <c r="DR158" s="392"/>
      <c r="DS158" s="392"/>
      <c r="DT158" s="392"/>
      <c r="DU158" s="392"/>
      <c r="DV158" s="392"/>
      <c r="DW158" s="392"/>
      <c r="DX158" s="392"/>
      <c r="DY158" s="392"/>
      <c r="DZ158" s="392"/>
      <c r="EA158" s="392"/>
      <c r="EB158" s="392"/>
      <c r="EC158" s="392"/>
      <c r="ED158" s="392"/>
      <c r="EE158" s="392"/>
      <c r="EF158" s="392"/>
      <c r="EG158" s="392"/>
      <c r="EH158" s="392"/>
      <c r="EI158" s="392"/>
      <c r="EJ158" s="392"/>
      <c r="EK158" s="392"/>
      <c r="EL158" s="392"/>
      <c r="EM158" s="392"/>
      <c r="EN158" s="392"/>
      <c r="EO158" s="392"/>
      <c r="EP158" s="392"/>
      <c r="EQ158" s="392"/>
      <c r="ER158" s="392"/>
      <c r="ES158" s="392"/>
      <c r="ET158" s="392"/>
      <c r="EU158" s="392"/>
      <c r="EV158" s="392"/>
      <c r="EW158" s="392"/>
      <c r="EX158" s="392"/>
      <c r="EY158" s="392"/>
      <c r="EZ158" s="392"/>
      <c r="FA158" s="392"/>
      <c r="FB158" s="392"/>
      <c r="FC158" s="392"/>
      <c r="FD158" s="392"/>
      <c r="FE158" s="392"/>
      <c r="FF158" s="392"/>
      <c r="FG158" s="392"/>
      <c r="FH158" s="392"/>
      <c r="FI158" s="392"/>
      <c r="FJ158" s="392"/>
      <c r="FK158" s="392"/>
      <c r="FL158" s="392"/>
      <c r="FM158" s="392"/>
      <c r="FN158" s="392"/>
      <c r="FO158" s="392"/>
      <c r="FP158" s="392"/>
      <c r="FQ158" s="392"/>
      <c r="FR158" s="392"/>
      <c r="FS158" s="392"/>
      <c r="FT158" s="392"/>
      <c r="FU158" s="392"/>
      <c r="FV158" s="392"/>
      <c r="FW158" s="392"/>
      <c r="FX158" s="392"/>
      <c r="FY158" s="392"/>
      <c r="FZ158" s="392"/>
      <c r="GA158" s="392"/>
      <c r="GB158" s="392"/>
      <c r="GC158" s="392"/>
      <c r="GD158" s="392"/>
      <c r="GE158" s="392"/>
      <c r="GF158" s="392"/>
      <c r="GG158" s="392"/>
      <c r="GH158" s="392"/>
      <c r="GI158" s="392"/>
      <c r="GJ158" s="392"/>
      <c r="GK158" s="392"/>
      <c r="GL158" s="392"/>
      <c r="GM158" s="392"/>
      <c r="GN158" s="392"/>
      <c r="GO158" s="392"/>
      <c r="GP158" s="392"/>
      <c r="GQ158" s="392"/>
      <c r="GR158" s="392"/>
      <c r="GS158" s="392"/>
      <c r="GT158" s="392"/>
      <c r="GU158" s="392"/>
      <c r="GV158" s="392"/>
      <c r="GW158" s="392"/>
      <c r="GX158" s="392"/>
      <c r="GY158" s="392"/>
      <c r="GZ158" s="392"/>
      <c r="HA158" s="392"/>
      <c r="HB158" s="392"/>
      <c r="HC158" s="392"/>
      <c r="HD158" s="392"/>
      <c r="HE158" s="392"/>
      <c r="HF158" s="392"/>
      <c r="HG158" s="392"/>
      <c r="HH158" s="392"/>
      <c r="HI158" s="392"/>
      <c r="HJ158" s="392"/>
      <c r="HK158" s="392"/>
      <c r="HL158" s="392"/>
      <c r="HM158" s="392"/>
      <c r="HN158" s="392"/>
      <c r="HO158" s="392"/>
      <c r="HP158" s="392"/>
      <c r="HQ158" s="392"/>
      <c r="HR158" s="392"/>
      <c r="HS158" s="392"/>
      <c r="HT158" s="392"/>
      <c r="HU158" s="392"/>
      <c r="HV158" s="392"/>
      <c r="HW158" s="392"/>
      <c r="HX158" s="392"/>
      <c r="HY158" s="392"/>
      <c r="HZ158" s="392"/>
      <c r="IA158" s="392"/>
      <c r="IB158" s="392"/>
      <c r="IC158" s="392"/>
      <c r="ID158" s="392"/>
      <c r="IE158" s="392"/>
      <c r="IF158" s="392"/>
      <c r="IG158" s="392"/>
      <c r="IH158" s="392"/>
      <c r="II158" s="392"/>
      <c r="IJ158" s="392"/>
      <c r="IK158" s="392"/>
      <c r="IL158" s="392"/>
      <c r="IM158" s="392"/>
      <c r="IN158" s="392"/>
      <c r="IO158" s="392"/>
      <c r="IP158" s="392"/>
      <c r="IQ158" s="392"/>
      <c r="IR158" s="392"/>
      <c r="IS158" s="392"/>
      <c r="IT158" s="392"/>
      <c r="IU158" s="392"/>
      <c r="IV158" s="392"/>
    </row>
    <row r="159" spans="1:256" ht="16.5" thickBot="1">
      <c r="A159" s="392"/>
      <c r="B159" s="594" t="s">
        <v>13996</v>
      </c>
      <c r="C159" s="595" t="s">
        <v>634</v>
      </c>
      <c r="D159" s="595"/>
      <c r="E159" s="595"/>
      <c r="F159" s="595"/>
      <c r="G159" s="596" t="s">
        <v>22</v>
      </c>
      <c r="H159" s="392"/>
      <c r="I159" s="392"/>
      <c r="J159" s="392"/>
      <c r="K159" s="392"/>
      <c r="L159" s="392"/>
      <c r="M159" s="392"/>
      <c r="N159" s="392"/>
      <c r="O159" s="392"/>
      <c r="P159" s="392"/>
      <c r="Q159" s="392"/>
      <c r="R159" s="392"/>
      <c r="S159" s="392"/>
      <c r="T159" s="392"/>
      <c r="U159" s="392"/>
      <c r="V159" s="392"/>
      <c r="W159" s="392"/>
      <c r="X159" s="392"/>
      <c r="Y159" s="392"/>
      <c r="Z159" s="392"/>
      <c r="AA159" s="392"/>
      <c r="AB159" s="392"/>
      <c r="AC159" s="392"/>
      <c r="AD159" s="392"/>
      <c r="AE159" s="392"/>
      <c r="AF159" s="392"/>
      <c r="AG159" s="392"/>
      <c r="AH159" s="392"/>
      <c r="AI159" s="392"/>
      <c r="AJ159" s="392"/>
      <c r="AK159" s="392"/>
      <c r="AL159" s="392"/>
      <c r="AM159" s="392"/>
      <c r="AN159" s="392"/>
      <c r="AO159" s="392"/>
      <c r="AP159" s="392"/>
      <c r="AQ159" s="392"/>
      <c r="AR159" s="392"/>
      <c r="AS159" s="392"/>
      <c r="AT159" s="392"/>
      <c r="AU159" s="392"/>
      <c r="AV159" s="392"/>
      <c r="AW159" s="392"/>
      <c r="AX159" s="392"/>
      <c r="AY159" s="392"/>
      <c r="AZ159" s="392"/>
      <c r="BA159" s="392"/>
      <c r="BB159" s="392"/>
      <c r="BC159" s="392"/>
      <c r="BD159" s="392"/>
      <c r="BE159" s="392"/>
      <c r="BF159" s="392"/>
      <c r="BG159" s="392"/>
      <c r="BH159" s="392"/>
      <c r="BI159" s="392"/>
      <c r="BJ159" s="392"/>
      <c r="BK159" s="392"/>
      <c r="BL159" s="392"/>
      <c r="BM159" s="392"/>
      <c r="BN159" s="392"/>
      <c r="BO159" s="392"/>
      <c r="BP159" s="392"/>
      <c r="BQ159" s="392"/>
      <c r="BR159" s="392"/>
      <c r="BS159" s="392"/>
      <c r="BT159" s="392"/>
      <c r="BU159" s="392"/>
      <c r="BV159" s="392"/>
      <c r="BW159" s="392"/>
      <c r="BX159" s="392"/>
      <c r="BY159" s="392"/>
      <c r="BZ159" s="392"/>
      <c r="CA159" s="392"/>
      <c r="CB159" s="392"/>
      <c r="CC159" s="392"/>
      <c r="CD159" s="392"/>
      <c r="CE159" s="392"/>
      <c r="CF159" s="392"/>
      <c r="CG159" s="392"/>
      <c r="CH159" s="392"/>
      <c r="CI159" s="39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c r="DD159" s="392"/>
      <c r="DE159" s="392"/>
      <c r="DF159" s="392"/>
      <c r="DG159" s="392"/>
      <c r="DH159" s="392"/>
      <c r="DI159" s="392"/>
      <c r="DJ159" s="392"/>
      <c r="DK159" s="392"/>
      <c r="DL159" s="392"/>
      <c r="DM159" s="392"/>
      <c r="DN159" s="392"/>
      <c r="DO159" s="392"/>
      <c r="DP159" s="392"/>
      <c r="DQ159" s="392"/>
      <c r="DR159" s="392"/>
      <c r="DS159" s="392"/>
      <c r="DT159" s="392"/>
      <c r="DU159" s="392"/>
      <c r="DV159" s="392"/>
      <c r="DW159" s="392"/>
      <c r="DX159" s="392"/>
      <c r="DY159" s="392"/>
      <c r="DZ159" s="392"/>
      <c r="EA159" s="392"/>
      <c r="EB159" s="392"/>
      <c r="EC159" s="392"/>
      <c r="ED159" s="392"/>
      <c r="EE159" s="392"/>
      <c r="EF159" s="392"/>
      <c r="EG159" s="392"/>
      <c r="EH159" s="392"/>
      <c r="EI159" s="392"/>
      <c r="EJ159" s="392"/>
      <c r="EK159" s="392"/>
      <c r="EL159" s="392"/>
      <c r="EM159" s="392"/>
      <c r="EN159" s="392"/>
      <c r="EO159" s="392"/>
      <c r="EP159" s="392"/>
      <c r="EQ159" s="392"/>
      <c r="ER159" s="392"/>
      <c r="ES159" s="392"/>
      <c r="ET159" s="392"/>
      <c r="EU159" s="392"/>
      <c r="EV159" s="392"/>
      <c r="EW159" s="392"/>
      <c r="EX159" s="392"/>
      <c r="EY159" s="392"/>
      <c r="EZ159" s="392"/>
      <c r="FA159" s="392"/>
      <c r="FB159" s="392"/>
      <c r="FC159" s="392"/>
      <c r="FD159" s="392"/>
      <c r="FE159" s="392"/>
      <c r="FF159" s="392"/>
      <c r="FG159" s="392"/>
      <c r="FH159" s="392"/>
      <c r="FI159" s="392"/>
      <c r="FJ159" s="392"/>
      <c r="FK159" s="392"/>
      <c r="FL159" s="392"/>
      <c r="FM159" s="392"/>
      <c r="FN159" s="392"/>
      <c r="FO159" s="392"/>
      <c r="FP159" s="392"/>
      <c r="FQ159" s="392"/>
      <c r="FR159" s="392"/>
      <c r="FS159" s="392"/>
      <c r="FT159" s="392"/>
      <c r="FU159" s="392"/>
      <c r="FV159" s="392"/>
      <c r="FW159" s="392"/>
      <c r="FX159" s="392"/>
      <c r="FY159" s="392"/>
      <c r="FZ159" s="392"/>
      <c r="GA159" s="392"/>
      <c r="GB159" s="392"/>
      <c r="GC159" s="392"/>
      <c r="GD159" s="392"/>
      <c r="GE159" s="392"/>
      <c r="GF159" s="392"/>
      <c r="GG159" s="392"/>
      <c r="GH159" s="392"/>
      <c r="GI159" s="392"/>
      <c r="GJ159" s="392"/>
      <c r="GK159" s="392"/>
      <c r="GL159" s="392"/>
      <c r="GM159" s="392"/>
      <c r="GN159" s="392"/>
      <c r="GO159" s="392"/>
      <c r="GP159" s="392"/>
      <c r="GQ159" s="392"/>
      <c r="GR159" s="392"/>
      <c r="GS159" s="392"/>
      <c r="GT159" s="392"/>
      <c r="GU159" s="392"/>
      <c r="GV159" s="392"/>
      <c r="GW159" s="392"/>
      <c r="GX159" s="392"/>
      <c r="GY159" s="392"/>
      <c r="GZ159" s="392"/>
      <c r="HA159" s="392"/>
      <c r="HB159" s="392"/>
      <c r="HC159" s="392"/>
      <c r="HD159" s="392"/>
      <c r="HE159" s="392"/>
      <c r="HF159" s="392"/>
      <c r="HG159" s="392"/>
      <c r="HH159" s="392"/>
      <c r="HI159" s="392"/>
      <c r="HJ159" s="392"/>
      <c r="HK159" s="392"/>
      <c r="HL159" s="392"/>
      <c r="HM159" s="392"/>
      <c r="HN159" s="392"/>
      <c r="HO159" s="392"/>
      <c r="HP159" s="392"/>
      <c r="HQ159" s="392"/>
      <c r="HR159" s="392"/>
      <c r="HS159" s="392"/>
      <c r="HT159" s="392"/>
      <c r="HU159" s="392"/>
      <c r="HV159" s="392"/>
      <c r="HW159" s="392"/>
      <c r="HX159" s="392"/>
      <c r="HY159" s="392"/>
      <c r="HZ159" s="392"/>
      <c r="IA159" s="392"/>
      <c r="IB159" s="392"/>
      <c r="IC159" s="392"/>
      <c r="ID159" s="392"/>
      <c r="IE159" s="392"/>
      <c r="IF159" s="392"/>
      <c r="IG159" s="392"/>
      <c r="IH159" s="392"/>
      <c r="II159" s="392"/>
      <c r="IJ159" s="392"/>
      <c r="IK159" s="392"/>
      <c r="IL159" s="392"/>
      <c r="IM159" s="392"/>
      <c r="IN159" s="392"/>
      <c r="IO159" s="392"/>
      <c r="IP159" s="392"/>
      <c r="IQ159" s="392"/>
      <c r="IR159" s="392"/>
      <c r="IS159" s="392"/>
      <c r="IT159" s="392"/>
      <c r="IU159" s="392"/>
      <c r="IV159" s="392"/>
    </row>
    <row r="160" spans="1:256" ht="31.5">
      <c r="A160" s="392"/>
      <c r="B160" s="590" t="s">
        <v>197</v>
      </c>
      <c r="C160" s="591" t="s">
        <v>161</v>
      </c>
      <c r="D160" s="591" t="s">
        <v>22</v>
      </c>
      <c r="E160" s="591" t="s">
        <v>162</v>
      </c>
      <c r="F160" s="592" t="s">
        <v>186</v>
      </c>
      <c r="G160" s="593" t="s">
        <v>187</v>
      </c>
      <c r="H160" s="392"/>
      <c r="I160" s="392"/>
      <c r="J160" s="392"/>
      <c r="K160" s="392"/>
      <c r="L160" s="392"/>
      <c r="M160" s="392"/>
      <c r="N160" s="392"/>
      <c r="O160" s="392"/>
      <c r="P160" s="392"/>
      <c r="Q160" s="392"/>
      <c r="R160" s="392"/>
      <c r="S160" s="392"/>
      <c r="T160" s="392"/>
      <c r="U160" s="392"/>
      <c r="V160" s="392"/>
      <c r="W160" s="392"/>
      <c r="X160" s="392"/>
      <c r="Y160" s="392"/>
      <c r="Z160" s="392"/>
      <c r="AA160" s="392"/>
      <c r="AB160" s="392"/>
      <c r="AC160" s="392"/>
      <c r="AD160" s="392"/>
      <c r="AE160" s="392"/>
      <c r="AF160" s="392"/>
      <c r="AG160" s="392"/>
      <c r="AH160" s="392"/>
      <c r="AI160" s="392"/>
      <c r="AJ160" s="392"/>
      <c r="AK160" s="392"/>
      <c r="AL160" s="392"/>
      <c r="AM160" s="392"/>
      <c r="AN160" s="392"/>
      <c r="AO160" s="392"/>
      <c r="AP160" s="392"/>
      <c r="AQ160" s="392"/>
      <c r="AR160" s="392"/>
      <c r="AS160" s="392"/>
      <c r="AT160" s="392"/>
      <c r="AU160" s="392"/>
      <c r="AV160" s="392"/>
      <c r="AW160" s="392"/>
      <c r="AX160" s="392"/>
      <c r="AY160" s="392"/>
      <c r="AZ160" s="392"/>
      <c r="BA160" s="392"/>
      <c r="BB160" s="392"/>
      <c r="BC160" s="392"/>
      <c r="BD160" s="392"/>
      <c r="BE160" s="392"/>
      <c r="BF160" s="392"/>
      <c r="BG160" s="392"/>
      <c r="BH160" s="392"/>
      <c r="BI160" s="392"/>
      <c r="BJ160" s="392"/>
      <c r="BK160" s="392"/>
      <c r="BL160" s="392"/>
      <c r="BM160" s="392"/>
      <c r="BN160" s="392"/>
      <c r="BO160" s="392"/>
      <c r="BP160" s="392"/>
      <c r="BQ160" s="392"/>
      <c r="BR160" s="392"/>
      <c r="BS160" s="392"/>
      <c r="BT160" s="392"/>
      <c r="BU160" s="392"/>
      <c r="BV160" s="392"/>
      <c r="BW160" s="392"/>
      <c r="BX160" s="392"/>
      <c r="BY160" s="392"/>
      <c r="BZ160" s="392"/>
      <c r="CA160" s="392"/>
      <c r="CB160" s="392"/>
      <c r="CC160" s="392"/>
      <c r="CD160" s="392"/>
      <c r="CE160" s="392"/>
      <c r="CF160" s="392"/>
      <c r="CG160" s="392"/>
      <c r="CH160" s="392"/>
      <c r="CI160" s="39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c r="DD160" s="392"/>
      <c r="DE160" s="392"/>
      <c r="DF160" s="392"/>
      <c r="DG160" s="392"/>
      <c r="DH160" s="392"/>
      <c r="DI160" s="392"/>
      <c r="DJ160" s="392"/>
      <c r="DK160" s="392"/>
      <c r="DL160" s="392"/>
      <c r="DM160" s="392"/>
      <c r="DN160" s="392"/>
      <c r="DO160" s="392"/>
      <c r="DP160" s="392"/>
      <c r="DQ160" s="392"/>
      <c r="DR160" s="392"/>
      <c r="DS160" s="392"/>
      <c r="DT160" s="392"/>
      <c r="DU160" s="392"/>
      <c r="DV160" s="392"/>
      <c r="DW160" s="392"/>
      <c r="DX160" s="392"/>
      <c r="DY160" s="392"/>
      <c r="DZ160" s="392"/>
      <c r="EA160" s="392"/>
      <c r="EB160" s="392"/>
      <c r="EC160" s="392"/>
      <c r="ED160" s="392"/>
      <c r="EE160" s="392"/>
      <c r="EF160" s="392"/>
      <c r="EG160" s="392"/>
      <c r="EH160" s="392"/>
      <c r="EI160" s="392"/>
      <c r="EJ160" s="392"/>
      <c r="EK160" s="392"/>
      <c r="EL160" s="392"/>
      <c r="EM160" s="392"/>
      <c r="EN160" s="392"/>
      <c r="EO160" s="392"/>
      <c r="EP160" s="392"/>
      <c r="EQ160" s="392"/>
      <c r="ER160" s="392"/>
      <c r="ES160" s="392"/>
      <c r="ET160" s="392"/>
      <c r="EU160" s="392"/>
      <c r="EV160" s="392"/>
      <c r="EW160" s="392"/>
      <c r="EX160" s="392"/>
      <c r="EY160" s="392"/>
      <c r="EZ160" s="392"/>
      <c r="FA160" s="392"/>
      <c r="FB160" s="392"/>
      <c r="FC160" s="392"/>
      <c r="FD160" s="392"/>
      <c r="FE160" s="392"/>
      <c r="FF160" s="392"/>
      <c r="FG160" s="392"/>
      <c r="FH160" s="392"/>
      <c r="FI160" s="392"/>
      <c r="FJ160" s="392"/>
      <c r="FK160" s="392"/>
      <c r="FL160" s="392"/>
      <c r="FM160" s="392"/>
      <c r="FN160" s="392"/>
      <c r="FO160" s="392"/>
      <c r="FP160" s="392"/>
      <c r="FQ160" s="392"/>
      <c r="FR160" s="392"/>
      <c r="FS160" s="392"/>
      <c r="FT160" s="392"/>
      <c r="FU160" s="392"/>
      <c r="FV160" s="392"/>
      <c r="FW160" s="392"/>
      <c r="FX160" s="392"/>
      <c r="FY160" s="392"/>
      <c r="FZ160" s="392"/>
      <c r="GA160" s="392"/>
      <c r="GB160" s="392"/>
      <c r="GC160" s="392"/>
      <c r="GD160" s="392"/>
      <c r="GE160" s="392"/>
      <c r="GF160" s="392"/>
      <c r="GG160" s="392"/>
      <c r="GH160" s="392"/>
      <c r="GI160" s="392"/>
      <c r="GJ160" s="392"/>
      <c r="GK160" s="392"/>
      <c r="GL160" s="392"/>
      <c r="GM160" s="392"/>
      <c r="GN160" s="392"/>
      <c r="GO160" s="392"/>
      <c r="GP160" s="392"/>
      <c r="GQ160" s="392"/>
      <c r="GR160" s="392"/>
      <c r="GS160" s="392"/>
      <c r="GT160" s="392"/>
      <c r="GU160" s="392"/>
      <c r="GV160" s="392"/>
      <c r="GW160" s="392"/>
      <c r="GX160" s="392"/>
      <c r="GY160" s="392"/>
      <c r="GZ160" s="392"/>
      <c r="HA160" s="392"/>
      <c r="HB160" s="392"/>
      <c r="HC160" s="392"/>
      <c r="HD160" s="392"/>
      <c r="HE160" s="392"/>
      <c r="HF160" s="392"/>
      <c r="HG160" s="392"/>
      <c r="HH160" s="392"/>
      <c r="HI160" s="392"/>
      <c r="HJ160" s="392"/>
      <c r="HK160" s="392"/>
      <c r="HL160" s="392"/>
      <c r="HM160" s="392"/>
      <c r="HN160" s="392"/>
      <c r="HO160" s="392"/>
      <c r="HP160" s="392"/>
      <c r="HQ160" s="392"/>
      <c r="HR160" s="392"/>
      <c r="HS160" s="392"/>
      <c r="HT160" s="392"/>
      <c r="HU160" s="392"/>
      <c r="HV160" s="392"/>
      <c r="HW160" s="392"/>
      <c r="HX160" s="392"/>
      <c r="HY160" s="392"/>
      <c r="HZ160" s="392"/>
      <c r="IA160" s="392"/>
      <c r="IB160" s="392"/>
      <c r="IC160" s="392"/>
      <c r="ID160" s="392"/>
      <c r="IE160" s="392"/>
      <c r="IF160" s="392"/>
      <c r="IG160" s="392"/>
      <c r="IH160" s="392"/>
      <c r="II160" s="392"/>
      <c r="IJ160" s="392"/>
      <c r="IK160" s="392"/>
      <c r="IL160" s="392"/>
      <c r="IM160" s="392"/>
      <c r="IN160" s="392"/>
      <c r="IO160" s="392"/>
      <c r="IP160" s="392"/>
      <c r="IQ160" s="392"/>
      <c r="IR160" s="392"/>
      <c r="IS160" s="392"/>
      <c r="IT160" s="392"/>
      <c r="IU160" s="392"/>
      <c r="IV160" s="392"/>
    </row>
    <row r="161" spans="1:256" ht="16.5" thickBot="1">
      <c r="A161" s="392"/>
      <c r="B161" s="2322" t="s">
        <v>165</v>
      </c>
      <c r="C161" s="2323"/>
      <c r="D161" s="2323"/>
      <c r="E161" s="2323"/>
      <c r="F161" s="2323"/>
      <c r="G161" s="2324"/>
      <c r="H161" s="392"/>
      <c r="I161" s="392"/>
      <c r="J161" s="392"/>
      <c r="K161" s="392"/>
      <c r="L161" s="392"/>
      <c r="M161" s="392"/>
      <c r="N161" s="392"/>
      <c r="O161" s="392"/>
      <c r="P161" s="392"/>
      <c r="Q161" s="392"/>
      <c r="R161" s="392"/>
      <c r="S161" s="392"/>
      <c r="T161" s="392"/>
      <c r="U161" s="392"/>
      <c r="V161" s="392"/>
      <c r="W161" s="392"/>
      <c r="X161" s="392"/>
      <c r="Y161" s="392"/>
      <c r="Z161" s="392"/>
      <c r="AA161" s="392"/>
      <c r="AB161" s="392"/>
      <c r="AC161" s="392"/>
      <c r="AD161" s="392"/>
      <c r="AE161" s="392"/>
      <c r="AF161" s="392"/>
      <c r="AG161" s="392"/>
      <c r="AH161" s="392"/>
      <c r="AI161" s="392"/>
      <c r="AJ161" s="392"/>
      <c r="AK161" s="392"/>
      <c r="AL161" s="392"/>
      <c r="AM161" s="392"/>
      <c r="AN161" s="392"/>
      <c r="AO161" s="392"/>
      <c r="AP161" s="392"/>
      <c r="AQ161" s="392"/>
      <c r="AR161" s="392"/>
      <c r="AS161" s="392"/>
      <c r="AT161" s="392"/>
      <c r="AU161" s="392"/>
      <c r="AV161" s="392"/>
      <c r="AW161" s="392"/>
      <c r="AX161" s="392"/>
      <c r="AY161" s="392"/>
      <c r="AZ161" s="392"/>
      <c r="BA161" s="392"/>
      <c r="BB161" s="392"/>
      <c r="BC161" s="392"/>
      <c r="BD161" s="392"/>
      <c r="BE161" s="392"/>
      <c r="BF161" s="392"/>
      <c r="BG161" s="392"/>
      <c r="BH161" s="392"/>
      <c r="BI161" s="392"/>
      <c r="BJ161" s="392"/>
      <c r="BK161" s="392"/>
      <c r="BL161" s="392"/>
      <c r="BM161" s="392"/>
      <c r="BN161" s="392"/>
      <c r="BO161" s="392"/>
      <c r="BP161" s="392"/>
      <c r="BQ161" s="392"/>
      <c r="BR161" s="392"/>
      <c r="BS161" s="392"/>
      <c r="BT161" s="392"/>
      <c r="BU161" s="392"/>
      <c r="BV161" s="392"/>
      <c r="BW161" s="392"/>
      <c r="BX161" s="392"/>
      <c r="BY161" s="392"/>
      <c r="BZ161" s="392"/>
      <c r="CA161" s="392"/>
      <c r="CB161" s="392"/>
      <c r="CC161" s="392"/>
      <c r="CD161" s="392"/>
      <c r="CE161" s="392"/>
      <c r="CF161" s="392"/>
      <c r="CG161" s="392"/>
      <c r="CH161" s="392"/>
      <c r="CI161" s="39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c r="DD161" s="392"/>
      <c r="DE161" s="392"/>
      <c r="DF161" s="392"/>
      <c r="DG161" s="392"/>
      <c r="DH161" s="392"/>
      <c r="DI161" s="392"/>
      <c r="DJ161" s="392"/>
      <c r="DK161" s="392"/>
      <c r="DL161" s="392"/>
      <c r="DM161" s="392"/>
      <c r="DN161" s="392"/>
      <c r="DO161" s="392"/>
      <c r="DP161" s="392"/>
      <c r="DQ161" s="392"/>
      <c r="DR161" s="392"/>
      <c r="DS161" s="392"/>
      <c r="DT161" s="392"/>
      <c r="DU161" s="392"/>
      <c r="DV161" s="392"/>
      <c r="DW161" s="392"/>
      <c r="DX161" s="392"/>
      <c r="DY161" s="392"/>
      <c r="DZ161" s="392"/>
      <c r="EA161" s="392"/>
      <c r="EB161" s="392"/>
      <c r="EC161" s="392"/>
      <c r="ED161" s="392"/>
      <c r="EE161" s="392"/>
      <c r="EF161" s="392"/>
      <c r="EG161" s="392"/>
      <c r="EH161" s="392"/>
      <c r="EI161" s="392"/>
      <c r="EJ161" s="392"/>
      <c r="EK161" s="392"/>
      <c r="EL161" s="392"/>
      <c r="EM161" s="392"/>
      <c r="EN161" s="392"/>
      <c r="EO161" s="392"/>
      <c r="EP161" s="392"/>
      <c r="EQ161" s="392"/>
      <c r="ER161" s="392"/>
      <c r="ES161" s="392"/>
      <c r="ET161" s="392"/>
      <c r="EU161" s="392"/>
      <c r="EV161" s="392"/>
      <c r="EW161" s="392"/>
      <c r="EX161" s="392"/>
      <c r="EY161" s="392"/>
      <c r="EZ161" s="392"/>
      <c r="FA161" s="392"/>
      <c r="FB161" s="392"/>
      <c r="FC161" s="392"/>
      <c r="FD161" s="392"/>
      <c r="FE161" s="392"/>
      <c r="FF161" s="392"/>
      <c r="FG161" s="392"/>
      <c r="FH161" s="392"/>
      <c r="FI161" s="392"/>
      <c r="FJ161" s="392"/>
      <c r="FK161" s="392"/>
      <c r="FL161" s="392"/>
      <c r="FM161" s="392"/>
      <c r="FN161" s="392"/>
      <c r="FO161" s="392"/>
      <c r="FP161" s="392"/>
      <c r="FQ161" s="392"/>
      <c r="FR161" s="392"/>
      <c r="FS161" s="392"/>
      <c r="FT161" s="392"/>
      <c r="FU161" s="392"/>
      <c r="FV161" s="392"/>
      <c r="FW161" s="392"/>
      <c r="FX161" s="392"/>
      <c r="FY161" s="392"/>
      <c r="FZ161" s="392"/>
      <c r="GA161" s="392"/>
      <c r="GB161" s="392"/>
      <c r="GC161" s="392"/>
      <c r="GD161" s="392"/>
      <c r="GE161" s="392"/>
      <c r="GF161" s="392"/>
      <c r="GG161" s="392"/>
      <c r="GH161" s="392"/>
      <c r="GI161" s="392"/>
      <c r="GJ161" s="392"/>
      <c r="GK161" s="392"/>
      <c r="GL161" s="392"/>
      <c r="GM161" s="392"/>
      <c r="GN161" s="392"/>
      <c r="GO161" s="392"/>
      <c r="GP161" s="392"/>
      <c r="GQ161" s="392"/>
      <c r="GR161" s="392"/>
      <c r="GS161" s="392"/>
      <c r="GT161" s="392"/>
      <c r="GU161" s="392"/>
      <c r="GV161" s="392"/>
      <c r="GW161" s="392"/>
      <c r="GX161" s="392"/>
      <c r="GY161" s="392"/>
      <c r="GZ161" s="392"/>
      <c r="HA161" s="392"/>
      <c r="HB161" s="392"/>
      <c r="HC161" s="392"/>
      <c r="HD161" s="392"/>
      <c r="HE161" s="392"/>
      <c r="HF161" s="392"/>
      <c r="HG161" s="392"/>
      <c r="HH161" s="392"/>
      <c r="HI161" s="392"/>
      <c r="HJ161" s="392"/>
      <c r="HK161" s="392"/>
      <c r="HL161" s="392"/>
      <c r="HM161" s="392"/>
      <c r="HN161" s="392"/>
      <c r="HO161" s="392"/>
      <c r="HP161" s="392"/>
      <c r="HQ161" s="392"/>
      <c r="HR161" s="392"/>
      <c r="HS161" s="392"/>
      <c r="HT161" s="392"/>
      <c r="HU161" s="392"/>
      <c r="HV161" s="392"/>
      <c r="HW161" s="392"/>
      <c r="HX161" s="392"/>
      <c r="HY161" s="392"/>
      <c r="HZ161" s="392"/>
      <c r="IA161" s="392"/>
      <c r="IB161" s="392"/>
      <c r="IC161" s="392"/>
      <c r="ID161" s="392"/>
      <c r="IE161" s="392"/>
      <c r="IF161" s="392"/>
      <c r="IG161" s="392"/>
      <c r="IH161" s="392"/>
      <c r="II161" s="392"/>
      <c r="IJ161" s="392"/>
      <c r="IK161" s="392"/>
      <c r="IL161" s="392"/>
      <c r="IM161" s="392"/>
      <c r="IN161" s="392"/>
      <c r="IO161" s="392"/>
      <c r="IP161" s="392"/>
      <c r="IQ161" s="392"/>
      <c r="IR161" s="392"/>
      <c r="IS161" s="392"/>
      <c r="IT161" s="392"/>
      <c r="IU161" s="392"/>
      <c r="IV161" s="392"/>
    </row>
    <row r="162" spans="1:256" ht="15.75">
      <c r="A162" s="392"/>
      <c r="B162" s="585" t="s">
        <v>614</v>
      </c>
      <c r="C162" s="586" t="str">
        <f>C22</f>
        <v>REMADA SENTADA</v>
      </c>
      <c r="D162" s="587" t="s">
        <v>22</v>
      </c>
      <c r="E162" s="597">
        <v>1</v>
      </c>
      <c r="F162" s="588">
        <f>E22</f>
        <v>1960</v>
      </c>
      <c r="G162" s="589">
        <f>TRUNC(F162*E162,2)</f>
        <v>1960</v>
      </c>
      <c r="H162" s="392"/>
      <c r="I162" s="392"/>
      <c r="J162" s="392"/>
      <c r="K162" s="392"/>
      <c r="L162" s="392"/>
      <c r="M162" s="392"/>
      <c r="N162" s="392"/>
      <c r="O162" s="392"/>
      <c r="P162" s="392"/>
      <c r="Q162" s="392"/>
      <c r="R162" s="392"/>
      <c r="S162" s="392"/>
      <c r="T162" s="392"/>
      <c r="U162" s="392"/>
      <c r="V162" s="392"/>
      <c r="W162" s="392"/>
      <c r="X162" s="392"/>
      <c r="Y162" s="392"/>
      <c r="Z162" s="392"/>
      <c r="AA162" s="392"/>
      <c r="AB162" s="392"/>
      <c r="AC162" s="392"/>
      <c r="AD162" s="392"/>
      <c r="AE162" s="392"/>
      <c r="AF162" s="392"/>
      <c r="AG162" s="392"/>
      <c r="AH162" s="392"/>
      <c r="AI162" s="392"/>
      <c r="AJ162" s="392"/>
      <c r="AK162" s="392"/>
      <c r="AL162" s="392"/>
      <c r="AM162" s="392"/>
      <c r="AN162" s="392"/>
      <c r="AO162" s="392"/>
      <c r="AP162" s="392"/>
      <c r="AQ162" s="392"/>
      <c r="AR162" s="392"/>
      <c r="AS162" s="392"/>
      <c r="AT162" s="392"/>
      <c r="AU162" s="392"/>
      <c r="AV162" s="392"/>
      <c r="AW162" s="392"/>
      <c r="AX162" s="392"/>
      <c r="AY162" s="392"/>
      <c r="AZ162" s="392"/>
      <c r="BA162" s="392"/>
      <c r="BB162" s="392"/>
      <c r="BC162" s="392"/>
      <c r="BD162" s="392"/>
      <c r="BE162" s="392"/>
      <c r="BF162" s="392"/>
      <c r="BG162" s="392"/>
      <c r="BH162" s="392"/>
      <c r="BI162" s="392"/>
      <c r="BJ162" s="392"/>
      <c r="BK162" s="392"/>
      <c r="BL162" s="392"/>
      <c r="BM162" s="392"/>
      <c r="BN162" s="392"/>
      <c r="BO162" s="392"/>
      <c r="BP162" s="392"/>
      <c r="BQ162" s="392"/>
      <c r="BR162" s="392"/>
      <c r="BS162" s="392"/>
      <c r="BT162" s="392"/>
      <c r="BU162" s="392"/>
      <c r="BV162" s="392"/>
      <c r="BW162" s="392"/>
      <c r="BX162" s="392"/>
      <c r="BY162" s="392"/>
      <c r="BZ162" s="392"/>
      <c r="CA162" s="392"/>
      <c r="CB162" s="392"/>
      <c r="CC162" s="392"/>
      <c r="CD162" s="392"/>
      <c r="CE162" s="392"/>
      <c r="CF162" s="392"/>
      <c r="CG162" s="392"/>
      <c r="CH162" s="392"/>
      <c r="CI162" s="39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c r="DD162" s="392"/>
      <c r="DE162" s="392"/>
      <c r="DF162" s="392"/>
      <c r="DG162" s="392"/>
      <c r="DH162" s="392"/>
      <c r="DI162" s="392"/>
      <c r="DJ162" s="392"/>
      <c r="DK162" s="392"/>
      <c r="DL162" s="392"/>
      <c r="DM162" s="392"/>
      <c r="DN162" s="392"/>
      <c r="DO162" s="392"/>
      <c r="DP162" s="392"/>
      <c r="DQ162" s="392"/>
      <c r="DR162" s="392"/>
      <c r="DS162" s="392"/>
      <c r="DT162" s="392"/>
      <c r="DU162" s="392"/>
      <c r="DV162" s="392"/>
      <c r="DW162" s="392"/>
      <c r="DX162" s="392"/>
      <c r="DY162" s="392"/>
      <c r="DZ162" s="392"/>
      <c r="EA162" s="392"/>
      <c r="EB162" s="392"/>
      <c r="EC162" s="392"/>
      <c r="ED162" s="392"/>
      <c r="EE162" s="392"/>
      <c r="EF162" s="392"/>
      <c r="EG162" s="392"/>
      <c r="EH162" s="392"/>
      <c r="EI162" s="392"/>
      <c r="EJ162" s="392"/>
      <c r="EK162" s="392"/>
      <c r="EL162" s="392"/>
      <c r="EM162" s="392"/>
      <c r="EN162" s="392"/>
      <c r="EO162" s="392"/>
      <c r="EP162" s="392"/>
      <c r="EQ162" s="392"/>
      <c r="ER162" s="392"/>
      <c r="ES162" s="392"/>
      <c r="ET162" s="392"/>
      <c r="EU162" s="392"/>
      <c r="EV162" s="392"/>
      <c r="EW162" s="392"/>
      <c r="EX162" s="392"/>
      <c r="EY162" s="392"/>
      <c r="EZ162" s="392"/>
      <c r="FA162" s="392"/>
      <c r="FB162" s="392"/>
      <c r="FC162" s="392"/>
      <c r="FD162" s="392"/>
      <c r="FE162" s="392"/>
      <c r="FF162" s="392"/>
      <c r="FG162" s="392"/>
      <c r="FH162" s="392"/>
      <c r="FI162" s="392"/>
      <c r="FJ162" s="392"/>
      <c r="FK162" s="392"/>
      <c r="FL162" s="392"/>
      <c r="FM162" s="392"/>
      <c r="FN162" s="392"/>
      <c r="FO162" s="392"/>
      <c r="FP162" s="392"/>
      <c r="FQ162" s="392"/>
      <c r="FR162" s="392"/>
      <c r="FS162" s="392"/>
      <c r="FT162" s="392"/>
      <c r="FU162" s="392"/>
      <c r="FV162" s="392"/>
      <c r="FW162" s="392"/>
      <c r="FX162" s="392"/>
      <c r="FY162" s="392"/>
      <c r="FZ162" s="392"/>
      <c r="GA162" s="392"/>
      <c r="GB162" s="392"/>
      <c r="GC162" s="392"/>
      <c r="GD162" s="392"/>
      <c r="GE162" s="392"/>
      <c r="GF162" s="392"/>
      <c r="GG162" s="392"/>
      <c r="GH162" s="392"/>
      <c r="GI162" s="392"/>
      <c r="GJ162" s="392"/>
      <c r="GK162" s="392"/>
      <c r="GL162" s="392"/>
      <c r="GM162" s="392"/>
      <c r="GN162" s="392"/>
      <c r="GO162" s="392"/>
      <c r="GP162" s="392"/>
      <c r="GQ162" s="392"/>
      <c r="GR162" s="392"/>
      <c r="GS162" s="392"/>
      <c r="GT162" s="392"/>
      <c r="GU162" s="392"/>
      <c r="GV162" s="392"/>
      <c r="GW162" s="392"/>
      <c r="GX162" s="392"/>
      <c r="GY162" s="392"/>
      <c r="GZ162" s="392"/>
      <c r="HA162" s="392"/>
      <c r="HB162" s="392"/>
      <c r="HC162" s="392"/>
      <c r="HD162" s="392"/>
      <c r="HE162" s="392"/>
      <c r="HF162" s="392"/>
      <c r="HG162" s="392"/>
      <c r="HH162" s="392"/>
      <c r="HI162" s="392"/>
      <c r="HJ162" s="392"/>
      <c r="HK162" s="392"/>
      <c r="HL162" s="392"/>
      <c r="HM162" s="392"/>
      <c r="HN162" s="392"/>
      <c r="HO162" s="392"/>
      <c r="HP162" s="392"/>
      <c r="HQ162" s="392"/>
      <c r="HR162" s="392"/>
      <c r="HS162" s="392"/>
      <c r="HT162" s="392"/>
      <c r="HU162" s="392"/>
      <c r="HV162" s="392"/>
      <c r="HW162" s="392"/>
      <c r="HX162" s="392"/>
      <c r="HY162" s="392"/>
      <c r="HZ162" s="392"/>
      <c r="IA162" s="392"/>
      <c r="IB162" s="392"/>
      <c r="IC162" s="392"/>
      <c r="ID162" s="392"/>
      <c r="IE162" s="392"/>
      <c r="IF162" s="392"/>
      <c r="IG162" s="392"/>
      <c r="IH162" s="392"/>
      <c r="II162" s="392"/>
      <c r="IJ162" s="392"/>
      <c r="IK162" s="392"/>
      <c r="IL162" s="392"/>
      <c r="IM162" s="392"/>
      <c r="IN162" s="392"/>
      <c r="IO162" s="392"/>
      <c r="IP162" s="392"/>
      <c r="IQ162" s="392"/>
      <c r="IR162" s="392"/>
      <c r="IS162" s="392"/>
      <c r="IT162" s="392"/>
      <c r="IU162" s="392"/>
      <c r="IV162" s="392"/>
    </row>
    <row r="163" spans="1:256" ht="30">
      <c r="A163" s="392" t="s">
        <v>391</v>
      </c>
      <c r="B163" s="436">
        <v>93358</v>
      </c>
      <c r="C163" s="317" t="str">
        <f>IF($A163="INSUMO",VLOOKUP($B163,'BANCO DE DADOS JANEIRO-24 INS'!$A:$D,2,FALSE),VLOOKUP($B163,'BANCO DE DADOS JANEIRO-24 SERV'!$B:$E,2,FALSE))</f>
        <v>ESCAVAÇÃO MANUAL DE VALA COM PROFUNDIDADE MENOR OU IGUAL A 1,30 M. AF_02/2021</v>
      </c>
      <c r="D163" s="316" t="str">
        <f>IF($A163="INSUMO",VLOOKUP($B163,'BANCO DE DADOS JANEIRO-24 INS'!$A:$D,3,FALSE),VLOOKUP($B163,'BANCO DE DADOS JANEIRO-24 SERV'!$B:$E,3,FALSE))</f>
        <v>M3</v>
      </c>
      <c r="E163" s="598">
        <f>((0.3*0.3*0.6)+(0.3*0.3*0.3))</f>
        <v>8.1000000000000003E-2</v>
      </c>
      <c r="F163" s="320">
        <f>IF($A163="INSUMO",VLOOKUP($B163,'BANCO DE DADOS JANEIRO-24 INS'!$A:$D,4,FALSE),VLOOKUP($B163,'BANCO DE DADOS JANEIRO-24 SERV'!$B:$E,4,FALSE))</f>
        <v>80.38</v>
      </c>
      <c r="G163" s="435">
        <f>TRUNC(F163*E163,2)</f>
        <v>6.51</v>
      </c>
      <c r="H163" s="392"/>
      <c r="I163" s="392"/>
      <c r="J163" s="392"/>
      <c r="K163" s="392"/>
      <c r="L163" s="392"/>
      <c r="M163" s="392"/>
      <c r="N163" s="392"/>
      <c r="O163" s="392"/>
      <c r="P163" s="392"/>
      <c r="Q163" s="392"/>
      <c r="R163" s="392"/>
      <c r="S163" s="392"/>
      <c r="T163" s="392"/>
      <c r="U163" s="392"/>
      <c r="V163" s="392"/>
      <c r="W163" s="392"/>
      <c r="X163" s="392"/>
      <c r="Y163" s="392"/>
      <c r="Z163" s="392"/>
      <c r="AA163" s="392"/>
      <c r="AB163" s="392"/>
      <c r="AC163" s="392"/>
      <c r="AD163" s="392"/>
      <c r="AE163" s="392"/>
      <c r="AF163" s="392"/>
      <c r="AG163" s="392"/>
      <c r="AH163" s="392"/>
      <c r="AI163" s="392"/>
      <c r="AJ163" s="392"/>
      <c r="AK163" s="392"/>
      <c r="AL163" s="392"/>
      <c r="AM163" s="392"/>
      <c r="AN163" s="392"/>
      <c r="AO163" s="392"/>
      <c r="AP163" s="392"/>
      <c r="AQ163" s="392"/>
      <c r="AR163" s="392"/>
      <c r="AS163" s="392"/>
      <c r="AT163" s="392"/>
      <c r="AU163" s="392"/>
      <c r="AV163" s="392"/>
      <c r="AW163" s="392"/>
      <c r="AX163" s="392"/>
      <c r="AY163" s="392"/>
      <c r="AZ163" s="392"/>
      <c r="BA163" s="392"/>
      <c r="BB163" s="392"/>
      <c r="BC163" s="392"/>
      <c r="BD163" s="392"/>
      <c r="BE163" s="392"/>
      <c r="BF163" s="392"/>
      <c r="BG163" s="392"/>
      <c r="BH163" s="392"/>
      <c r="BI163" s="392"/>
      <c r="BJ163" s="392"/>
      <c r="BK163" s="392"/>
      <c r="BL163" s="392"/>
      <c r="BM163" s="392"/>
      <c r="BN163" s="392"/>
      <c r="BO163" s="392"/>
      <c r="BP163" s="392"/>
      <c r="BQ163" s="392"/>
      <c r="BR163" s="392"/>
      <c r="BS163" s="392"/>
      <c r="BT163" s="392"/>
      <c r="BU163" s="392"/>
      <c r="BV163" s="392"/>
      <c r="BW163" s="392"/>
      <c r="BX163" s="392"/>
      <c r="BY163" s="392"/>
      <c r="BZ163" s="392"/>
      <c r="CA163" s="392"/>
      <c r="CB163" s="392"/>
      <c r="CC163" s="392"/>
      <c r="CD163" s="392"/>
      <c r="CE163" s="392"/>
      <c r="CF163" s="392"/>
      <c r="CG163" s="392"/>
      <c r="CH163" s="392"/>
      <c r="CI163" s="39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c r="DD163" s="392"/>
      <c r="DE163" s="392"/>
      <c r="DF163" s="392"/>
      <c r="DG163" s="392"/>
      <c r="DH163" s="392"/>
      <c r="DI163" s="392"/>
      <c r="DJ163" s="392"/>
      <c r="DK163" s="392"/>
      <c r="DL163" s="392"/>
      <c r="DM163" s="392"/>
      <c r="DN163" s="392"/>
      <c r="DO163" s="392"/>
      <c r="DP163" s="392"/>
      <c r="DQ163" s="392"/>
      <c r="DR163" s="392"/>
      <c r="DS163" s="392"/>
      <c r="DT163" s="392"/>
      <c r="DU163" s="392"/>
      <c r="DV163" s="392"/>
      <c r="DW163" s="392"/>
      <c r="DX163" s="392"/>
      <c r="DY163" s="392"/>
      <c r="DZ163" s="392"/>
      <c r="EA163" s="392"/>
      <c r="EB163" s="392"/>
      <c r="EC163" s="392"/>
      <c r="ED163" s="392"/>
      <c r="EE163" s="392"/>
      <c r="EF163" s="392"/>
      <c r="EG163" s="392"/>
      <c r="EH163" s="392"/>
      <c r="EI163" s="392"/>
      <c r="EJ163" s="392"/>
      <c r="EK163" s="392"/>
      <c r="EL163" s="392"/>
      <c r="EM163" s="392"/>
      <c r="EN163" s="392"/>
      <c r="EO163" s="392"/>
      <c r="EP163" s="392"/>
      <c r="EQ163" s="392"/>
      <c r="ER163" s="392"/>
      <c r="ES163" s="392"/>
      <c r="ET163" s="392"/>
      <c r="EU163" s="392"/>
      <c r="EV163" s="392"/>
      <c r="EW163" s="392"/>
      <c r="EX163" s="392"/>
      <c r="EY163" s="392"/>
      <c r="EZ163" s="392"/>
      <c r="FA163" s="392"/>
      <c r="FB163" s="392"/>
      <c r="FC163" s="392"/>
      <c r="FD163" s="392"/>
      <c r="FE163" s="392"/>
      <c r="FF163" s="392"/>
      <c r="FG163" s="392"/>
      <c r="FH163" s="392"/>
      <c r="FI163" s="392"/>
      <c r="FJ163" s="392"/>
      <c r="FK163" s="392"/>
      <c r="FL163" s="392"/>
      <c r="FM163" s="392"/>
      <c r="FN163" s="392"/>
      <c r="FO163" s="392"/>
      <c r="FP163" s="392"/>
      <c r="FQ163" s="392"/>
      <c r="FR163" s="392"/>
      <c r="FS163" s="392"/>
      <c r="FT163" s="392"/>
      <c r="FU163" s="392"/>
      <c r="FV163" s="392"/>
      <c r="FW163" s="392"/>
      <c r="FX163" s="392"/>
      <c r="FY163" s="392"/>
      <c r="FZ163" s="392"/>
      <c r="GA163" s="392"/>
      <c r="GB163" s="392"/>
      <c r="GC163" s="392"/>
      <c r="GD163" s="392"/>
      <c r="GE163" s="392"/>
      <c r="GF163" s="392"/>
      <c r="GG163" s="392"/>
      <c r="GH163" s="392"/>
      <c r="GI163" s="392"/>
      <c r="GJ163" s="392"/>
      <c r="GK163" s="392"/>
      <c r="GL163" s="392"/>
      <c r="GM163" s="392"/>
      <c r="GN163" s="392"/>
      <c r="GO163" s="392"/>
      <c r="GP163" s="392"/>
      <c r="GQ163" s="392"/>
      <c r="GR163" s="392"/>
      <c r="GS163" s="392"/>
      <c r="GT163" s="392"/>
      <c r="GU163" s="392"/>
      <c r="GV163" s="392"/>
      <c r="GW163" s="392"/>
      <c r="GX163" s="392"/>
      <c r="GY163" s="392"/>
      <c r="GZ163" s="392"/>
      <c r="HA163" s="392"/>
      <c r="HB163" s="392"/>
      <c r="HC163" s="392"/>
      <c r="HD163" s="392"/>
      <c r="HE163" s="392"/>
      <c r="HF163" s="392"/>
      <c r="HG163" s="392"/>
      <c r="HH163" s="392"/>
      <c r="HI163" s="392"/>
      <c r="HJ163" s="392"/>
      <c r="HK163" s="392"/>
      <c r="HL163" s="392"/>
      <c r="HM163" s="392"/>
      <c r="HN163" s="392"/>
      <c r="HO163" s="392"/>
      <c r="HP163" s="392"/>
      <c r="HQ163" s="392"/>
      <c r="HR163" s="392"/>
      <c r="HS163" s="392"/>
      <c r="HT163" s="392"/>
      <c r="HU163" s="392"/>
      <c r="HV163" s="392"/>
      <c r="HW163" s="392"/>
      <c r="HX163" s="392"/>
      <c r="HY163" s="392"/>
      <c r="HZ163" s="392"/>
      <c r="IA163" s="392"/>
      <c r="IB163" s="392"/>
      <c r="IC163" s="392"/>
      <c r="ID163" s="392"/>
      <c r="IE163" s="392"/>
      <c r="IF163" s="392"/>
      <c r="IG163" s="392"/>
      <c r="IH163" s="392"/>
      <c r="II163" s="392"/>
      <c r="IJ163" s="392"/>
      <c r="IK163" s="392"/>
      <c r="IL163" s="392"/>
      <c r="IM163" s="392"/>
      <c r="IN163" s="392"/>
      <c r="IO163" s="392"/>
      <c r="IP163" s="392"/>
      <c r="IQ163" s="392"/>
      <c r="IR163" s="392"/>
      <c r="IS163" s="392"/>
      <c r="IT163" s="392"/>
      <c r="IU163" s="392"/>
      <c r="IV163" s="392"/>
    </row>
    <row r="164" spans="1:256" ht="45">
      <c r="A164" s="392" t="s">
        <v>391</v>
      </c>
      <c r="B164" s="436">
        <v>94965</v>
      </c>
      <c r="C164" s="317" t="str">
        <f>IF($A164="INSUMO",VLOOKUP($B164,'BANCO DE DADOS JANEIRO-24 INS'!$A:$D,2,FALSE),VLOOKUP($B164,'BANCO DE DADOS JANEIRO-24 SERV'!$B:$E,2,FALSE))</f>
        <v>CONCRETO FCK = 25MPA, TRAÇO 1:2,3:2,7 (EM MASSA SECA DE CIMENTO/ AREIA MÉDIA/ BRITA 1) - PREPARO MECÂNICO COM BETONEIRA 400 L. AF_05/2021</v>
      </c>
      <c r="D164" s="316" t="str">
        <f>IF($A164="INSUMO",VLOOKUP($B164,'BANCO DE DADOS JANEIRO-24 INS'!$A:$D,3,FALSE),VLOOKUP($B164,'BANCO DE DADOS JANEIRO-24 SERV'!$B:$E,3,FALSE))</f>
        <v>M3</v>
      </c>
      <c r="E164" s="598">
        <f>E163</f>
        <v>8.1000000000000003E-2</v>
      </c>
      <c r="F164" s="320">
        <f>IF($A164="INSUMO",VLOOKUP($B164,'BANCO DE DADOS JANEIRO-24 INS'!$A:$D,4,FALSE),VLOOKUP($B164,'BANCO DE DADOS JANEIRO-24 SERV'!$B:$E,4,FALSE))</f>
        <v>568.95000000000005</v>
      </c>
      <c r="G164" s="435">
        <f>TRUNC(F164*E164,2)</f>
        <v>46.08</v>
      </c>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c r="AE164" s="392"/>
      <c r="AF164" s="392"/>
      <c r="AG164" s="392"/>
      <c r="AH164" s="392"/>
      <c r="AI164" s="392"/>
      <c r="AJ164" s="392"/>
      <c r="AK164" s="392"/>
      <c r="AL164" s="392"/>
      <c r="AM164" s="392"/>
      <c r="AN164" s="392"/>
      <c r="AO164" s="392"/>
      <c r="AP164" s="392"/>
      <c r="AQ164" s="392"/>
      <c r="AR164" s="392"/>
      <c r="AS164" s="392"/>
      <c r="AT164" s="392"/>
      <c r="AU164" s="392"/>
      <c r="AV164" s="392"/>
      <c r="AW164" s="392"/>
      <c r="AX164" s="392"/>
      <c r="AY164" s="392"/>
      <c r="AZ164" s="392"/>
      <c r="BA164" s="392"/>
      <c r="BB164" s="392"/>
      <c r="BC164" s="392"/>
      <c r="BD164" s="392"/>
      <c r="BE164" s="392"/>
      <c r="BF164" s="392"/>
      <c r="BG164" s="392"/>
      <c r="BH164" s="392"/>
      <c r="BI164" s="392"/>
      <c r="BJ164" s="392"/>
      <c r="BK164" s="392"/>
      <c r="BL164" s="392"/>
      <c r="BM164" s="392"/>
      <c r="BN164" s="392"/>
      <c r="BO164" s="392"/>
      <c r="BP164" s="392"/>
      <c r="BQ164" s="392"/>
      <c r="BR164" s="392"/>
      <c r="BS164" s="392"/>
      <c r="BT164" s="392"/>
      <c r="BU164" s="392"/>
      <c r="BV164" s="392"/>
      <c r="BW164" s="392"/>
      <c r="BX164" s="392"/>
      <c r="BY164" s="392"/>
      <c r="BZ164" s="392"/>
      <c r="CA164" s="392"/>
      <c r="CB164" s="392"/>
      <c r="CC164" s="392"/>
      <c r="CD164" s="392"/>
      <c r="CE164" s="392"/>
      <c r="CF164" s="392"/>
      <c r="CG164" s="392"/>
      <c r="CH164" s="392"/>
      <c r="CI164" s="39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c r="DD164" s="392"/>
      <c r="DE164" s="392"/>
      <c r="DF164" s="392"/>
      <c r="DG164" s="392"/>
      <c r="DH164" s="392"/>
      <c r="DI164" s="392"/>
      <c r="DJ164" s="392"/>
      <c r="DK164" s="392"/>
      <c r="DL164" s="392"/>
      <c r="DM164" s="392"/>
      <c r="DN164" s="392"/>
      <c r="DO164" s="392"/>
      <c r="DP164" s="392"/>
      <c r="DQ164" s="392"/>
      <c r="DR164" s="392"/>
      <c r="DS164" s="392"/>
      <c r="DT164" s="392"/>
      <c r="DU164" s="392"/>
      <c r="DV164" s="392"/>
      <c r="DW164" s="392"/>
      <c r="DX164" s="392"/>
      <c r="DY164" s="392"/>
      <c r="DZ164" s="392"/>
      <c r="EA164" s="392"/>
      <c r="EB164" s="392"/>
      <c r="EC164" s="392"/>
      <c r="ED164" s="392"/>
      <c r="EE164" s="392"/>
      <c r="EF164" s="392"/>
      <c r="EG164" s="392"/>
      <c r="EH164" s="392"/>
      <c r="EI164" s="392"/>
      <c r="EJ164" s="392"/>
      <c r="EK164" s="392"/>
      <c r="EL164" s="392"/>
      <c r="EM164" s="392"/>
      <c r="EN164" s="392"/>
      <c r="EO164" s="392"/>
      <c r="EP164" s="392"/>
      <c r="EQ164" s="392"/>
      <c r="ER164" s="392"/>
      <c r="ES164" s="392"/>
      <c r="ET164" s="392"/>
      <c r="EU164" s="392"/>
      <c r="EV164" s="392"/>
      <c r="EW164" s="392"/>
      <c r="EX164" s="392"/>
      <c r="EY164" s="392"/>
      <c r="EZ164" s="392"/>
      <c r="FA164" s="392"/>
      <c r="FB164" s="392"/>
      <c r="FC164" s="392"/>
      <c r="FD164" s="392"/>
      <c r="FE164" s="392"/>
      <c r="FF164" s="392"/>
      <c r="FG164" s="392"/>
      <c r="FH164" s="392"/>
      <c r="FI164" s="392"/>
      <c r="FJ164" s="392"/>
      <c r="FK164" s="392"/>
      <c r="FL164" s="392"/>
      <c r="FM164" s="392"/>
      <c r="FN164" s="392"/>
      <c r="FO164" s="392"/>
      <c r="FP164" s="392"/>
      <c r="FQ164" s="392"/>
      <c r="FR164" s="392"/>
      <c r="FS164" s="392"/>
      <c r="FT164" s="392"/>
      <c r="FU164" s="392"/>
      <c r="FV164" s="392"/>
      <c r="FW164" s="392"/>
      <c r="FX164" s="392"/>
      <c r="FY164" s="392"/>
      <c r="FZ164" s="392"/>
      <c r="GA164" s="392"/>
      <c r="GB164" s="392"/>
      <c r="GC164" s="392"/>
      <c r="GD164" s="392"/>
      <c r="GE164" s="392"/>
      <c r="GF164" s="392"/>
      <c r="GG164" s="392"/>
      <c r="GH164" s="392"/>
      <c r="GI164" s="392"/>
      <c r="GJ164" s="392"/>
      <c r="GK164" s="392"/>
      <c r="GL164" s="392"/>
      <c r="GM164" s="392"/>
      <c r="GN164" s="392"/>
      <c r="GO164" s="392"/>
      <c r="GP164" s="392"/>
      <c r="GQ164" s="392"/>
      <c r="GR164" s="392"/>
      <c r="GS164" s="392"/>
      <c r="GT164" s="392"/>
      <c r="GU164" s="392"/>
      <c r="GV164" s="392"/>
      <c r="GW164" s="392"/>
      <c r="GX164" s="392"/>
      <c r="GY164" s="392"/>
      <c r="GZ164" s="392"/>
      <c r="HA164" s="392"/>
      <c r="HB164" s="392"/>
      <c r="HC164" s="392"/>
      <c r="HD164" s="392"/>
      <c r="HE164" s="392"/>
      <c r="HF164" s="392"/>
      <c r="HG164" s="392"/>
      <c r="HH164" s="392"/>
      <c r="HI164" s="392"/>
      <c r="HJ164" s="392"/>
      <c r="HK164" s="392"/>
      <c r="HL164" s="392"/>
      <c r="HM164" s="392"/>
      <c r="HN164" s="392"/>
      <c r="HO164" s="392"/>
      <c r="HP164" s="392"/>
      <c r="HQ164" s="392"/>
      <c r="HR164" s="392"/>
      <c r="HS164" s="392"/>
      <c r="HT164" s="392"/>
      <c r="HU164" s="392"/>
      <c r="HV164" s="392"/>
      <c r="HW164" s="392"/>
      <c r="HX164" s="392"/>
      <c r="HY164" s="392"/>
      <c r="HZ164" s="392"/>
      <c r="IA164" s="392"/>
      <c r="IB164" s="392"/>
      <c r="IC164" s="392"/>
      <c r="ID164" s="392"/>
      <c r="IE164" s="392"/>
      <c r="IF164" s="392"/>
      <c r="IG164" s="392"/>
      <c r="IH164" s="392"/>
      <c r="II164" s="392"/>
      <c r="IJ164" s="392"/>
      <c r="IK164" s="392"/>
      <c r="IL164" s="392"/>
      <c r="IM164" s="392"/>
      <c r="IN164" s="392"/>
      <c r="IO164" s="392"/>
      <c r="IP164" s="392"/>
      <c r="IQ164" s="392"/>
      <c r="IR164" s="392"/>
      <c r="IS164" s="392"/>
      <c r="IT164" s="392"/>
      <c r="IU164" s="392"/>
      <c r="IV164" s="392"/>
    </row>
    <row r="165" spans="1:256" ht="15.75" thickBot="1">
      <c r="A165" s="392" t="s">
        <v>391</v>
      </c>
      <c r="B165" s="437" t="s">
        <v>57</v>
      </c>
      <c r="C165" s="318" t="e">
        <f>IF($A165="INSUMO",VLOOKUP($B165,'BANCO DE DADOS JANEIRO-24 INS'!$A:$D,2,FALSE),VLOOKUP($B165,'BANCO DE DADOS JANEIRO-24 SERV'!$B:$E,2,FALSE))</f>
        <v>#N/A</v>
      </c>
      <c r="D165" s="319" t="e">
        <f>IF($A165="INSUMO",VLOOKUP($B165,'BANCO DE DADOS JANEIRO-24 INS'!$A:$D,3,FALSE),VLOOKUP($B165,'BANCO DE DADOS JANEIRO-24 SERV'!$B:$E,3,FALSE))</f>
        <v>#N/A</v>
      </c>
      <c r="E165" s="599">
        <f>E164</f>
        <v>8.1000000000000003E-2</v>
      </c>
      <c r="F165" s="321" t="e">
        <f>IF($A165="INSUMO",VLOOKUP($B165,'BANCO DE DADOS JANEIRO-24 INS'!$A:$D,4,FALSE),VLOOKUP($B165,'BANCO DE DADOS JANEIRO-24 SERV'!$B:$E,4,FALSE))</f>
        <v>#N/A</v>
      </c>
      <c r="G165" s="438" t="e">
        <f>TRUNC(F165*E165,2)</f>
        <v>#N/A</v>
      </c>
      <c r="H165" s="392"/>
      <c r="I165" s="392"/>
      <c r="J165" s="392"/>
      <c r="K165" s="392"/>
      <c r="L165" s="392"/>
      <c r="M165" s="392"/>
      <c r="N165" s="392"/>
      <c r="O165" s="392"/>
      <c r="P165" s="392"/>
      <c r="Q165" s="392"/>
      <c r="R165" s="392"/>
      <c r="S165" s="392"/>
      <c r="T165" s="392"/>
      <c r="U165" s="392"/>
      <c r="V165" s="392"/>
      <c r="W165" s="392"/>
      <c r="X165" s="392"/>
      <c r="Y165" s="392"/>
      <c r="Z165" s="392"/>
      <c r="AA165" s="392"/>
      <c r="AB165" s="392"/>
      <c r="AC165" s="392"/>
      <c r="AD165" s="392"/>
      <c r="AE165" s="392"/>
      <c r="AF165" s="392"/>
      <c r="AG165" s="392"/>
      <c r="AH165" s="392"/>
      <c r="AI165" s="392"/>
      <c r="AJ165" s="392"/>
      <c r="AK165" s="392"/>
      <c r="AL165" s="392"/>
      <c r="AM165" s="392"/>
      <c r="AN165" s="392"/>
      <c r="AO165" s="392"/>
      <c r="AP165" s="392"/>
      <c r="AQ165" s="392"/>
      <c r="AR165" s="392"/>
      <c r="AS165" s="392"/>
      <c r="AT165" s="392"/>
      <c r="AU165" s="392"/>
      <c r="AV165" s="392"/>
      <c r="AW165" s="392"/>
      <c r="AX165" s="392"/>
      <c r="AY165" s="392"/>
      <c r="AZ165" s="392"/>
      <c r="BA165" s="392"/>
      <c r="BB165" s="392"/>
      <c r="BC165" s="392"/>
      <c r="BD165" s="392"/>
      <c r="BE165" s="392"/>
      <c r="BF165" s="392"/>
      <c r="BG165" s="392"/>
      <c r="BH165" s="392"/>
      <c r="BI165" s="392"/>
      <c r="BJ165" s="392"/>
      <c r="BK165" s="392"/>
      <c r="BL165" s="392"/>
      <c r="BM165" s="392"/>
      <c r="BN165" s="392"/>
      <c r="BO165" s="392"/>
      <c r="BP165" s="392"/>
      <c r="BQ165" s="392"/>
      <c r="BR165" s="392"/>
      <c r="BS165" s="392"/>
      <c r="BT165" s="392"/>
      <c r="BU165" s="392"/>
      <c r="BV165" s="392"/>
      <c r="BW165" s="392"/>
      <c r="BX165" s="392"/>
      <c r="BY165" s="392"/>
      <c r="BZ165" s="392"/>
      <c r="CA165" s="392"/>
      <c r="CB165" s="392"/>
      <c r="CC165" s="392"/>
      <c r="CD165" s="392"/>
      <c r="CE165" s="392"/>
      <c r="CF165" s="392"/>
      <c r="CG165" s="392"/>
      <c r="CH165" s="392"/>
      <c r="CI165" s="39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c r="DD165" s="392"/>
      <c r="DE165" s="392"/>
      <c r="DF165" s="392"/>
      <c r="DG165" s="392"/>
      <c r="DH165" s="392"/>
      <c r="DI165" s="392"/>
      <c r="DJ165" s="392"/>
      <c r="DK165" s="392"/>
      <c r="DL165" s="392"/>
      <c r="DM165" s="392"/>
      <c r="DN165" s="392"/>
      <c r="DO165" s="392"/>
      <c r="DP165" s="392"/>
      <c r="DQ165" s="392"/>
      <c r="DR165" s="392"/>
      <c r="DS165" s="392"/>
      <c r="DT165" s="392"/>
      <c r="DU165" s="392"/>
      <c r="DV165" s="392"/>
      <c r="DW165" s="392"/>
      <c r="DX165" s="392"/>
      <c r="DY165" s="392"/>
      <c r="DZ165" s="392"/>
      <c r="EA165" s="392"/>
      <c r="EB165" s="392"/>
      <c r="EC165" s="392"/>
      <c r="ED165" s="392"/>
      <c r="EE165" s="392"/>
      <c r="EF165" s="392"/>
      <c r="EG165" s="392"/>
      <c r="EH165" s="392"/>
      <c r="EI165" s="392"/>
      <c r="EJ165" s="392"/>
      <c r="EK165" s="392"/>
      <c r="EL165" s="392"/>
      <c r="EM165" s="392"/>
      <c r="EN165" s="392"/>
      <c r="EO165" s="392"/>
      <c r="EP165" s="392"/>
      <c r="EQ165" s="392"/>
      <c r="ER165" s="392"/>
      <c r="ES165" s="392"/>
      <c r="ET165" s="392"/>
      <c r="EU165" s="392"/>
      <c r="EV165" s="392"/>
      <c r="EW165" s="392"/>
      <c r="EX165" s="392"/>
      <c r="EY165" s="392"/>
      <c r="EZ165" s="392"/>
      <c r="FA165" s="392"/>
      <c r="FB165" s="392"/>
      <c r="FC165" s="392"/>
      <c r="FD165" s="392"/>
      <c r="FE165" s="392"/>
      <c r="FF165" s="392"/>
      <c r="FG165" s="392"/>
      <c r="FH165" s="392"/>
      <c r="FI165" s="392"/>
      <c r="FJ165" s="392"/>
      <c r="FK165" s="392"/>
      <c r="FL165" s="392"/>
      <c r="FM165" s="392"/>
      <c r="FN165" s="392"/>
      <c r="FO165" s="392"/>
      <c r="FP165" s="392"/>
      <c r="FQ165" s="392"/>
      <c r="FR165" s="392"/>
      <c r="FS165" s="392"/>
      <c r="FT165" s="392"/>
      <c r="FU165" s="392"/>
      <c r="FV165" s="392"/>
      <c r="FW165" s="392"/>
      <c r="FX165" s="392"/>
      <c r="FY165" s="392"/>
      <c r="FZ165" s="392"/>
      <c r="GA165" s="392"/>
      <c r="GB165" s="392"/>
      <c r="GC165" s="392"/>
      <c r="GD165" s="392"/>
      <c r="GE165" s="392"/>
      <c r="GF165" s="392"/>
      <c r="GG165" s="392"/>
      <c r="GH165" s="392"/>
      <c r="GI165" s="392"/>
      <c r="GJ165" s="392"/>
      <c r="GK165" s="392"/>
      <c r="GL165" s="392"/>
      <c r="GM165" s="392"/>
      <c r="GN165" s="392"/>
      <c r="GO165" s="392"/>
      <c r="GP165" s="392"/>
      <c r="GQ165" s="392"/>
      <c r="GR165" s="392"/>
      <c r="GS165" s="392"/>
      <c r="GT165" s="392"/>
      <c r="GU165" s="392"/>
      <c r="GV165" s="392"/>
      <c r="GW165" s="392"/>
      <c r="GX165" s="392"/>
      <c r="GY165" s="392"/>
      <c r="GZ165" s="392"/>
      <c r="HA165" s="392"/>
      <c r="HB165" s="392"/>
      <c r="HC165" s="392"/>
      <c r="HD165" s="392"/>
      <c r="HE165" s="392"/>
      <c r="HF165" s="392"/>
      <c r="HG165" s="392"/>
      <c r="HH165" s="392"/>
      <c r="HI165" s="392"/>
      <c r="HJ165" s="392"/>
      <c r="HK165" s="392"/>
      <c r="HL165" s="392"/>
      <c r="HM165" s="392"/>
      <c r="HN165" s="392"/>
      <c r="HO165" s="392"/>
      <c r="HP165" s="392"/>
      <c r="HQ165" s="392"/>
      <c r="HR165" s="392"/>
      <c r="HS165" s="392"/>
      <c r="HT165" s="392"/>
      <c r="HU165" s="392"/>
      <c r="HV165" s="392"/>
      <c r="HW165" s="392"/>
      <c r="HX165" s="392"/>
      <c r="HY165" s="392"/>
      <c r="HZ165" s="392"/>
      <c r="IA165" s="392"/>
      <c r="IB165" s="392"/>
      <c r="IC165" s="392"/>
      <c r="ID165" s="392"/>
      <c r="IE165" s="392"/>
      <c r="IF165" s="392"/>
      <c r="IG165" s="392"/>
      <c r="IH165" s="392"/>
      <c r="II165" s="392"/>
      <c r="IJ165" s="392"/>
      <c r="IK165" s="392"/>
      <c r="IL165" s="392"/>
      <c r="IM165" s="392"/>
      <c r="IN165" s="392"/>
      <c r="IO165" s="392"/>
      <c r="IP165" s="392"/>
      <c r="IQ165" s="392"/>
      <c r="IR165" s="392"/>
      <c r="IS165" s="392"/>
      <c r="IT165" s="392"/>
      <c r="IU165" s="392"/>
      <c r="IV165" s="392"/>
    </row>
    <row r="166" spans="1:256" ht="16.5" thickBot="1">
      <c r="A166" s="392"/>
      <c r="B166" s="439" t="s">
        <v>1705</v>
      </c>
      <c r="C166" s="440"/>
      <c r="D166" s="441"/>
      <c r="E166" s="442"/>
      <c r="F166" s="443" t="s">
        <v>167</v>
      </c>
      <c r="G166" s="444" t="e">
        <f>TRUNC(SUM(G162:G165),2)</f>
        <v>#N/A</v>
      </c>
      <c r="H166" s="392"/>
      <c r="I166" s="392"/>
      <c r="J166" s="392"/>
      <c r="K166" s="392"/>
      <c r="L166" s="392"/>
      <c r="M166" s="392"/>
      <c r="N166" s="392"/>
      <c r="O166" s="392"/>
      <c r="P166" s="392"/>
      <c r="Q166" s="392"/>
      <c r="R166" s="392"/>
      <c r="S166" s="392"/>
      <c r="T166" s="392"/>
      <c r="U166" s="392"/>
      <c r="V166" s="392"/>
      <c r="W166" s="392"/>
      <c r="X166" s="392"/>
      <c r="Y166" s="392"/>
      <c r="Z166" s="392"/>
      <c r="AA166" s="392"/>
      <c r="AB166" s="392"/>
      <c r="AC166" s="392"/>
      <c r="AD166" s="392"/>
      <c r="AE166" s="392"/>
      <c r="AF166" s="392"/>
      <c r="AG166" s="392"/>
      <c r="AH166" s="392"/>
      <c r="AI166" s="392"/>
      <c r="AJ166" s="392"/>
      <c r="AK166" s="392"/>
      <c r="AL166" s="392"/>
      <c r="AM166" s="392"/>
      <c r="AN166" s="392"/>
      <c r="AO166" s="392"/>
      <c r="AP166" s="392"/>
      <c r="AQ166" s="392"/>
      <c r="AR166" s="392"/>
      <c r="AS166" s="392"/>
      <c r="AT166" s="392"/>
      <c r="AU166" s="392"/>
      <c r="AV166" s="392"/>
      <c r="AW166" s="392"/>
      <c r="AX166" s="392"/>
      <c r="AY166" s="392"/>
      <c r="AZ166" s="392"/>
      <c r="BA166" s="392"/>
      <c r="BB166" s="392"/>
      <c r="BC166" s="392"/>
      <c r="BD166" s="392"/>
      <c r="BE166" s="392"/>
      <c r="BF166" s="392"/>
      <c r="BG166" s="392"/>
      <c r="BH166" s="392"/>
      <c r="BI166" s="392"/>
      <c r="BJ166" s="392"/>
      <c r="BK166" s="392"/>
      <c r="BL166" s="392"/>
      <c r="BM166" s="392"/>
      <c r="BN166" s="392"/>
      <c r="BO166" s="392"/>
      <c r="BP166" s="392"/>
      <c r="BQ166" s="392"/>
      <c r="BR166" s="392"/>
      <c r="BS166" s="392"/>
      <c r="BT166" s="392"/>
      <c r="BU166" s="392"/>
      <c r="BV166" s="392"/>
      <c r="BW166" s="392"/>
      <c r="BX166" s="392"/>
      <c r="BY166" s="392"/>
      <c r="BZ166" s="392"/>
      <c r="CA166" s="392"/>
      <c r="CB166" s="392"/>
      <c r="CC166" s="392"/>
      <c r="CD166" s="392"/>
      <c r="CE166" s="392"/>
      <c r="CF166" s="392"/>
      <c r="CG166" s="392"/>
      <c r="CH166" s="392"/>
      <c r="CI166" s="39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c r="DD166" s="392"/>
      <c r="DE166" s="392"/>
      <c r="DF166" s="392"/>
      <c r="DG166" s="392"/>
      <c r="DH166" s="392"/>
      <c r="DI166" s="392"/>
      <c r="DJ166" s="392"/>
      <c r="DK166" s="392"/>
      <c r="DL166" s="392"/>
      <c r="DM166" s="392"/>
      <c r="DN166" s="392"/>
      <c r="DO166" s="392"/>
      <c r="DP166" s="392"/>
      <c r="DQ166" s="392"/>
      <c r="DR166" s="392"/>
      <c r="DS166" s="392"/>
      <c r="DT166" s="392"/>
      <c r="DU166" s="392"/>
      <c r="DV166" s="392"/>
      <c r="DW166" s="392"/>
      <c r="DX166" s="392"/>
      <c r="DY166" s="392"/>
      <c r="DZ166" s="392"/>
      <c r="EA166" s="392"/>
      <c r="EB166" s="392"/>
      <c r="EC166" s="392"/>
      <c r="ED166" s="392"/>
      <c r="EE166" s="392"/>
      <c r="EF166" s="392"/>
      <c r="EG166" s="392"/>
      <c r="EH166" s="392"/>
      <c r="EI166" s="392"/>
      <c r="EJ166" s="392"/>
      <c r="EK166" s="392"/>
      <c r="EL166" s="392"/>
      <c r="EM166" s="392"/>
      <c r="EN166" s="392"/>
      <c r="EO166" s="392"/>
      <c r="EP166" s="392"/>
      <c r="EQ166" s="392"/>
      <c r="ER166" s="392"/>
      <c r="ES166" s="392"/>
      <c r="ET166" s="392"/>
      <c r="EU166" s="392"/>
      <c r="EV166" s="392"/>
      <c r="EW166" s="392"/>
      <c r="EX166" s="392"/>
      <c r="EY166" s="392"/>
      <c r="EZ166" s="392"/>
      <c r="FA166" s="392"/>
      <c r="FB166" s="392"/>
      <c r="FC166" s="392"/>
      <c r="FD166" s="392"/>
      <c r="FE166" s="392"/>
      <c r="FF166" s="392"/>
      <c r="FG166" s="392"/>
      <c r="FH166" s="392"/>
      <c r="FI166" s="392"/>
      <c r="FJ166" s="392"/>
      <c r="FK166" s="392"/>
      <c r="FL166" s="392"/>
      <c r="FM166" s="392"/>
      <c r="FN166" s="392"/>
      <c r="FO166" s="392"/>
      <c r="FP166" s="392"/>
      <c r="FQ166" s="392"/>
      <c r="FR166" s="392"/>
      <c r="FS166" s="392"/>
      <c r="FT166" s="392"/>
      <c r="FU166" s="392"/>
      <c r="FV166" s="392"/>
      <c r="FW166" s="392"/>
      <c r="FX166" s="392"/>
      <c r="FY166" s="392"/>
      <c r="FZ166" s="392"/>
      <c r="GA166" s="392"/>
      <c r="GB166" s="392"/>
      <c r="GC166" s="392"/>
      <c r="GD166" s="392"/>
      <c r="GE166" s="392"/>
      <c r="GF166" s="392"/>
      <c r="GG166" s="392"/>
      <c r="GH166" s="392"/>
      <c r="GI166" s="392"/>
      <c r="GJ166" s="392"/>
      <c r="GK166" s="392"/>
      <c r="GL166" s="392"/>
      <c r="GM166" s="392"/>
      <c r="GN166" s="392"/>
      <c r="GO166" s="392"/>
      <c r="GP166" s="392"/>
      <c r="GQ166" s="392"/>
      <c r="GR166" s="392"/>
      <c r="GS166" s="392"/>
      <c r="GT166" s="392"/>
      <c r="GU166" s="392"/>
      <c r="GV166" s="392"/>
      <c r="GW166" s="392"/>
      <c r="GX166" s="392"/>
      <c r="GY166" s="392"/>
      <c r="GZ166" s="392"/>
      <c r="HA166" s="392"/>
      <c r="HB166" s="392"/>
      <c r="HC166" s="392"/>
      <c r="HD166" s="392"/>
      <c r="HE166" s="392"/>
      <c r="HF166" s="392"/>
      <c r="HG166" s="392"/>
      <c r="HH166" s="392"/>
      <c r="HI166" s="392"/>
      <c r="HJ166" s="392"/>
      <c r="HK166" s="392"/>
      <c r="HL166" s="392"/>
      <c r="HM166" s="392"/>
      <c r="HN166" s="392"/>
      <c r="HO166" s="392"/>
      <c r="HP166" s="392"/>
      <c r="HQ166" s="392"/>
      <c r="HR166" s="392"/>
      <c r="HS166" s="392"/>
      <c r="HT166" s="392"/>
      <c r="HU166" s="392"/>
      <c r="HV166" s="392"/>
      <c r="HW166" s="392"/>
      <c r="HX166" s="392"/>
      <c r="HY166" s="392"/>
      <c r="HZ166" s="392"/>
      <c r="IA166" s="392"/>
      <c r="IB166" s="392"/>
      <c r="IC166" s="392"/>
      <c r="ID166" s="392"/>
      <c r="IE166" s="392"/>
      <c r="IF166" s="392"/>
      <c r="IG166" s="392"/>
      <c r="IH166" s="392"/>
      <c r="II166" s="392"/>
      <c r="IJ166" s="392"/>
      <c r="IK166" s="392"/>
      <c r="IL166" s="392"/>
      <c r="IM166" s="392"/>
      <c r="IN166" s="392"/>
      <c r="IO166" s="392"/>
      <c r="IP166" s="392"/>
      <c r="IQ166" s="392"/>
      <c r="IR166" s="392"/>
      <c r="IS166" s="392"/>
      <c r="IT166" s="392"/>
      <c r="IU166" s="392"/>
      <c r="IV166" s="392"/>
    </row>
    <row r="167" spans="1:256" ht="409.5" customHeight="1">
      <c r="A167" s="392"/>
      <c r="B167" s="2325"/>
      <c r="C167" s="2325"/>
      <c r="D167" s="2325"/>
      <c r="E167" s="2325"/>
      <c r="F167" s="2325"/>
      <c r="G167" s="2325"/>
      <c r="H167" s="392"/>
      <c r="I167" s="392"/>
      <c r="J167" s="392"/>
      <c r="K167" s="392"/>
      <c r="L167" s="392"/>
      <c r="M167" s="392"/>
      <c r="N167" s="392"/>
      <c r="O167" s="392"/>
      <c r="P167" s="392"/>
      <c r="Q167" s="392"/>
      <c r="R167" s="392"/>
      <c r="S167" s="392"/>
      <c r="T167" s="392"/>
      <c r="U167" s="392"/>
      <c r="V167" s="392"/>
      <c r="W167" s="392"/>
      <c r="X167" s="392"/>
      <c r="Y167" s="392"/>
      <c r="Z167" s="392"/>
      <c r="AA167" s="392"/>
      <c r="AB167" s="392"/>
      <c r="AC167" s="392"/>
      <c r="AD167" s="392"/>
      <c r="AE167" s="392"/>
      <c r="AF167" s="392"/>
      <c r="AG167" s="392"/>
      <c r="AH167" s="392"/>
      <c r="AI167" s="392"/>
      <c r="AJ167" s="392"/>
      <c r="AK167" s="392"/>
      <c r="AL167" s="392"/>
      <c r="AM167" s="392"/>
      <c r="AN167" s="392"/>
      <c r="AO167" s="392"/>
      <c r="AP167" s="392"/>
      <c r="AQ167" s="392"/>
      <c r="AR167" s="392"/>
      <c r="AS167" s="392"/>
      <c r="AT167" s="392"/>
      <c r="AU167" s="392"/>
      <c r="AV167" s="392"/>
      <c r="AW167" s="392"/>
      <c r="AX167" s="392"/>
      <c r="AY167" s="392"/>
      <c r="AZ167" s="392"/>
      <c r="BA167" s="392"/>
      <c r="BB167" s="392"/>
      <c r="BC167" s="392"/>
      <c r="BD167" s="392"/>
      <c r="BE167" s="392"/>
      <c r="BF167" s="392"/>
      <c r="BG167" s="392"/>
      <c r="BH167" s="392"/>
      <c r="BI167" s="392"/>
      <c r="BJ167" s="392"/>
      <c r="BK167" s="392"/>
      <c r="BL167" s="392"/>
      <c r="BM167" s="392"/>
      <c r="BN167" s="392"/>
      <c r="BO167" s="392"/>
      <c r="BP167" s="392"/>
      <c r="BQ167" s="392"/>
      <c r="BR167" s="392"/>
      <c r="BS167" s="392"/>
      <c r="BT167" s="392"/>
      <c r="BU167" s="392"/>
      <c r="BV167" s="392"/>
      <c r="BW167" s="392"/>
      <c r="BX167" s="392"/>
      <c r="BY167" s="392"/>
      <c r="BZ167" s="392"/>
      <c r="CA167" s="392"/>
      <c r="CB167" s="392"/>
      <c r="CC167" s="392"/>
      <c r="CD167" s="392"/>
      <c r="CE167" s="392"/>
      <c r="CF167" s="392"/>
      <c r="CG167" s="392"/>
      <c r="CH167" s="392"/>
      <c r="CI167" s="392"/>
      <c r="CJ167" s="392"/>
      <c r="CK167" s="392"/>
      <c r="CL167" s="392"/>
      <c r="CM167" s="392"/>
      <c r="CN167" s="392"/>
      <c r="CO167" s="392"/>
      <c r="CP167" s="392"/>
      <c r="CQ167" s="392"/>
      <c r="CR167" s="392"/>
      <c r="CS167" s="392"/>
      <c r="CT167" s="392"/>
      <c r="CU167" s="392"/>
      <c r="CV167" s="392"/>
      <c r="CW167" s="392"/>
      <c r="CX167" s="392"/>
      <c r="CY167" s="392"/>
      <c r="CZ167" s="392"/>
      <c r="DA167" s="392"/>
      <c r="DB167" s="392"/>
      <c r="DC167" s="392"/>
      <c r="DD167" s="392"/>
      <c r="DE167" s="392"/>
      <c r="DF167" s="392"/>
      <c r="DG167" s="392"/>
      <c r="DH167" s="392"/>
      <c r="DI167" s="392"/>
      <c r="DJ167" s="392"/>
      <c r="DK167" s="392"/>
      <c r="DL167" s="392"/>
      <c r="DM167" s="392"/>
      <c r="DN167" s="392"/>
      <c r="DO167" s="392"/>
      <c r="DP167" s="392"/>
      <c r="DQ167" s="392"/>
      <c r="DR167" s="392"/>
      <c r="DS167" s="392"/>
      <c r="DT167" s="392"/>
      <c r="DU167" s="392"/>
      <c r="DV167" s="392"/>
      <c r="DW167" s="392"/>
      <c r="DX167" s="392"/>
      <c r="DY167" s="392"/>
      <c r="DZ167" s="392"/>
      <c r="EA167" s="392"/>
      <c r="EB167" s="392"/>
      <c r="EC167" s="392"/>
      <c r="ED167" s="392"/>
      <c r="EE167" s="392"/>
      <c r="EF167" s="392"/>
      <c r="EG167" s="392"/>
      <c r="EH167" s="392"/>
      <c r="EI167" s="392"/>
      <c r="EJ167" s="392"/>
      <c r="EK167" s="392"/>
      <c r="EL167" s="392"/>
      <c r="EM167" s="392"/>
      <c r="EN167" s="392"/>
      <c r="EO167" s="392"/>
      <c r="EP167" s="392"/>
      <c r="EQ167" s="392"/>
      <c r="ER167" s="392"/>
      <c r="ES167" s="392"/>
      <c r="ET167" s="392"/>
      <c r="EU167" s="392"/>
      <c r="EV167" s="392"/>
      <c r="EW167" s="392"/>
      <c r="EX167" s="392"/>
      <c r="EY167" s="392"/>
      <c r="EZ167" s="392"/>
      <c r="FA167" s="392"/>
      <c r="FB167" s="392"/>
      <c r="FC167" s="392"/>
      <c r="FD167" s="392"/>
      <c r="FE167" s="392"/>
      <c r="FF167" s="392"/>
      <c r="FG167" s="392"/>
      <c r="FH167" s="392"/>
      <c r="FI167" s="392"/>
      <c r="FJ167" s="392"/>
      <c r="FK167" s="392"/>
      <c r="FL167" s="392"/>
      <c r="FM167" s="392"/>
      <c r="FN167" s="392"/>
      <c r="FO167" s="392"/>
      <c r="FP167" s="392"/>
      <c r="FQ167" s="392"/>
      <c r="FR167" s="392"/>
      <c r="FS167" s="392"/>
      <c r="FT167" s="392"/>
      <c r="FU167" s="392"/>
      <c r="FV167" s="392"/>
      <c r="FW167" s="392"/>
      <c r="FX167" s="392"/>
      <c r="FY167" s="392"/>
      <c r="FZ167" s="392"/>
      <c r="GA167" s="392"/>
      <c r="GB167" s="392"/>
      <c r="GC167" s="392"/>
      <c r="GD167" s="392"/>
      <c r="GE167" s="392"/>
      <c r="GF167" s="392"/>
      <c r="GG167" s="392"/>
      <c r="GH167" s="392"/>
      <c r="GI167" s="392"/>
      <c r="GJ167" s="392"/>
      <c r="GK167" s="392"/>
      <c r="GL167" s="392"/>
      <c r="GM167" s="392"/>
      <c r="GN167" s="392"/>
      <c r="GO167" s="392"/>
      <c r="GP167" s="392"/>
      <c r="GQ167" s="392"/>
      <c r="GR167" s="392"/>
      <c r="GS167" s="392"/>
      <c r="GT167" s="392"/>
      <c r="GU167" s="392"/>
      <c r="GV167" s="392"/>
      <c r="GW167" s="392"/>
      <c r="GX167" s="392"/>
      <c r="GY167" s="392"/>
      <c r="GZ167" s="392"/>
      <c r="HA167" s="392"/>
      <c r="HB167" s="392"/>
      <c r="HC167" s="392"/>
      <c r="HD167" s="392"/>
      <c r="HE167" s="392"/>
      <c r="HF167" s="392"/>
      <c r="HG167" s="392"/>
      <c r="HH167" s="392"/>
      <c r="HI167" s="392"/>
      <c r="HJ167" s="392"/>
      <c r="HK167" s="392"/>
      <c r="HL167" s="392"/>
      <c r="HM167" s="392"/>
      <c r="HN167" s="392"/>
      <c r="HO167" s="392"/>
      <c r="HP167" s="392"/>
      <c r="HQ167" s="392"/>
      <c r="HR167" s="392"/>
      <c r="HS167" s="392"/>
      <c r="HT167" s="392"/>
      <c r="HU167" s="392"/>
      <c r="HV167" s="392"/>
      <c r="HW167" s="392"/>
      <c r="HX167" s="392"/>
      <c r="HY167" s="392"/>
      <c r="HZ167" s="392"/>
      <c r="IA167" s="392"/>
      <c r="IB167" s="392"/>
      <c r="IC167" s="392"/>
      <c r="ID167" s="392"/>
      <c r="IE167" s="392"/>
      <c r="IF167" s="392"/>
      <c r="IG167" s="392"/>
      <c r="IH167" s="392"/>
      <c r="II167" s="392"/>
      <c r="IJ167" s="392"/>
      <c r="IK167" s="392"/>
      <c r="IL167" s="392"/>
      <c r="IM167" s="392"/>
      <c r="IN167" s="392"/>
      <c r="IO167" s="392"/>
      <c r="IP167" s="392"/>
      <c r="IQ167" s="392"/>
      <c r="IR167" s="392"/>
      <c r="IS167" s="392"/>
      <c r="IT167" s="392"/>
      <c r="IU167" s="392"/>
      <c r="IV167" s="392"/>
    </row>
    <row r="168" spans="1:256" ht="65.25" customHeight="1" thickBot="1">
      <c r="A168" s="392"/>
      <c r="B168" s="2326"/>
      <c r="C168" s="2326"/>
      <c r="D168" s="2326"/>
      <c r="E168" s="2326"/>
      <c r="F168" s="2326"/>
      <c r="G168" s="2326"/>
      <c r="H168" s="392"/>
      <c r="I168" s="392"/>
      <c r="J168" s="392"/>
      <c r="K168" s="392"/>
      <c r="L168" s="392"/>
      <c r="M168" s="392"/>
      <c r="N168" s="392"/>
      <c r="O168" s="392"/>
      <c r="P168" s="392"/>
      <c r="Q168" s="392"/>
      <c r="R168" s="392"/>
      <c r="S168" s="392"/>
      <c r="T168" s="392"/>
      <c r="U168" s="392"/>
      <c r="V168" s="392"/>
      <c r="W168" s="392"/>
      <c r="X168" s="392"/>
      <c r="Y168" s="392"/>
      <c r="Z168" s="392"/>
      <c r="AA168" s="392"/>
      <c r="AB168" s="392"/>
      <c r="AC168" s="392"/>
      <c r="AD168" s="392"/>
      <c r="AE168" s="392"/>
      <c r="AF168" s="392"/>
      <c r="AG168" s="392"/>
      <c r="AH168" s="392"/>
      <c r="AI168" s="392"/>
      <c r="AJ168" s="392"/>
      <c r="AK168" s="392"/>
      <c r="AL168" s="392"/>
      <c r="AM168" s="392"/>
      <c r="AN168" s="392"/>
      <c r="AO168" s="392"/>
      <c r="AP168" s="392"/>
      <c r="AQ168" s="392"/>
      <c r="AR168" s="392"/>
      <c r="AS168" s="392"/>
      <c r="AT168" s="392"/>
      <c r="AU168" s="392"/>
      <c r="AV168" s="392"/>
      <c r="AW168" s="392"/>
      <c r="AX168" s="392"/>
      <c r="AY168" s="392"/>
      <c r="AZ168" s="392"/>
      <c r="BA168" s="392"/>
      <c r="BB168" s="392"/>
      <c r="BC168" s="392"/>
      <c r="BD168" s="392"/>
      <c r="BE168" s="392"/>
      <c r="BF168" s="392"/>
      <c r="BG168" s="392"/>
      <c r="BH168" s="392"/>
      <c r="BI168" s="392"/>
      <c r="BJ168" s="392"/>
      <c r="BK168" s="392"/>
      <c r="BL168" s="392"/>
      <c r="BM168" s="392"/>
      <c r="BN168" s="392"/>
      <c r="BO168" s="392"/>
      <c r="BP168" s="392"/>
      <c r="BQ168" s="392"/>
      <c r="BR168" s="392"/>
      <c r="BS168" s="392"/>
      <c r="BT168" s="392"/>
      <c r="BU168" s="392"/>
      <c r="BV168" s="392"/>
      <c r="BW168" s="392"/>
      <c r="BX168" s="392"/>
      <c r="BY168" s="392"/>
      <c r="BZ168" s="392"/>
      <c r="CA168" s="392"/>
      <c r="CB168" s="392"/>
      <c r="CC168" s="392"/>
      <c r="CD168" s="392"/>
      <c r="CE168" s="392"/>
      <c r="CF168" s="392"/>
      <c r="CG168" s="392"/>
      <c r="CH168" s="392"/>
      <c r="CI168" s="392"/>
      <c r="CJ168" s="392"/>
      <c r="CK168" s="392"/>
      <c r="CL168" s="392"/>
      <c r="CM168" s="392"/>
      <c r="CN168" s="392"/>
      <c r="CO168" s="392"/>
      <c r="CP168" s="392"/>
      <c r="CQ168" s="392"/>
      <c r="CR168" s="392"/>
      <c r="CS168" s="392"/>
      <c r="CT168" s="392"/>
      <c r="CU168" s="392"/>
      <c r="CV168" s="392"/>
      <c r="CW168" s="392"/>
      <c r="CX168" s="392"/>
      <c r="CY168" s="392"/>
      <c r="CZ168" s="392"/>
      <c r="DA168" s="392"/>
      <c r="DB168" s="392"/>
      <c r="DC168" s="392"/>
      <c r="DD168" s="392"/>
      <c r="DE168" s="392"/>
      <c r="DF168" s="392"/>
      <c r="DG168" s="392"/>
      <c r="DH168" s="392"/>
      <c r="DI168" s="392"/>
      <c r="DJ168" s="392"/>
      <c r="DK168" s="392"/>
      <c r="DL168" s="392"/>
      <c r="DM168" s="392"/>
      <c r="DN168" s="392"/>
      <c r="DO168" s="392"/>
      <c r="DP168" s="392"/>
      <c r="DQ168" s="392"/>
      <c r="DR168" s="392"/>
      <c r="DS168" s="392"/>
      <c r="DT168" s="392"/>
      <c r="DU168" s="392"/>
      <c r="DV168" s="392"/>
      <c r="DW168" s="392"/>
      <c r="DX168" s="392"/>
      <c r="DY168" s="392"/>
      <c r="DZ168" s="392"/>
      <c r="EA168" s="392"/>
      <c r="EB168" s="392"/>
      <c r="EC168" s="392"/>
      <c r="ED168" s="392"/>
      <c r="EE168" s="392"/>
      <c r="EF168" s="392"/>
      <c r="EG168" s="392"/>
      <c r="EH168" s="392"/>
      <c r="EI168" s="392"/>
      <c r="EJ168" s="392"/>
      <c r="EK168" s="392"/>
      <c r="EL168" s="392"/>
      <c r="EM168" s="392"/>
      <c r="EN168" s="392"/>
      <c r="EO168" s="392"/>
      <c r="EP168" s="392"/>
      <c r="EQ168" s="392"/>
      <c r="ER168" s="392"/>
      <c r="ES168" s="392"/>
      <c r="ET168" s="392"/>
      <c r="EU168" s="392"/>
      <c r="EV168" s="392"/>
      <c r="EW168" s="392"/>
      <c r="EX168" s="392"/>
      <c r="EY168" s="392"/>
      <c r="EZ168" s="392"/>
      <c r="FA168" s="392"/>
      <c r="FB168" s="392"/>
      <c r="FC168" s="392"/>
      <c r="FD168" s="392"/>
      <c r="FE168" s="392"/>
      <c r="FF168" s="392"/>
      <c r="FG168" s="392"/>
      <c r="FH168" s="392"/>
      <c r="FI168" s="392"/>
      <c r="FJ168" s="392"/>
      <c r="FK168" s="392"/>
      <c r="FL168" s="392"/>
      <c r="FM168" s="392"/>
      <c r="FN168" s="392"/>
      <c r="FO168" s="392"/>
      <c r="FP168" s="392"/>
      <c r="FQ168" s="392"/>
      <c r="FR168" s="392"/>
      <c r="FS168" s="392"/>
      <c r="FT168" s="392"/>
      <c r="FU168" s="392"/>
      <c r="FV168" s="392"/>
      <c r="FW168" s="392"/>
      <c r="FX168" s="392"/>
      <c r="FY168" s="392"/>
      <c r="FZ168" s="392"/>
      <c r="GA168" s="392"/>
      <c r="GB168" s="392"/>
      <c r="GC168" s="392"/>
      <c r="GD168" s="392"/>
      <c r="GE168" s="392"/>
      <c r="GF168" s="392"/>
      <c r="GG168" s="392"/>
      <c r="GH168" s="392"/>
      <c r="GI168" s="392"/>
      <c r="GJ168" s="392"/>
      <c r="GK168" s="392"/>
      <c r="GL168" s="392"/>
      <c r="GM168" s="392"/>
      <c r="GN168" s="392"/>
      <c r="GO168" s="392"/>
      <c r="GP168" s="392"/>
      <c r="GQ168" s="392"/>
      <c r="GR168" s="392"/>
      <c r="GS168" s="392"/>
      <c r="GT168" s="392"/>
      <c r="GU168" s="392"/>
      <c r="GV168" s="392"/>
      <c r="GW168" s="392"/>
      <c r="GX168" s="392"/>
      <c r="GY168" s="392"/>
      <c r="GZ168" s="392"/>
      <c r="HA168" s="392"/>
      <c r="HB168" s="392"/>
      <c r="HC168" s="392"/>
      <c r="HD168" s="392"/>
      <c r="HE168" s="392"/>
      <c r="HF168" s="392"/>
      <c r="HG168" s="392"/>
      <c r="HH168" s="392"/>
      <c r="HI168" s="392"/>
      <c r="HJ168" s="392"/>
      <c r="HK168" s="392"/>
      <c r="HL168" s="392"/>
      <c r="HM168" s="392"/>
      <c r="HN168" s="392"/>
      <c r="HO168" s="392"/>
      <c r="HP168" s="392"/>
      <c r="HQ168" s="392"/>
      <c r="HR168" s="392"/>
      <c r="HS168" s="392"/>
      <c r="HT168" s="392"/>
      <c r="HU168" s="392"/>
      <c r="HV168" s="392"/>
      <c r="HW168" s="392"/>
      <c r="HX168" s="392"/>
      <c r="HY168" s="392"/>
      <c r="HZ168" s="392"/>
      <c r="IA168" s="392"/>
      <c r="IB168" s="392"/>
      <c r="IC168" s="392"/>
      <c r="ID168" s="392"/>
      <c r="IE168" s="392"/>
      <c r="IF168" s="392"/>
      <c r="IG168" s="392"/>
      <c r="IH168" s="392"/>
      <c r="II168" s="392"/>
      <c r="IJ168" s="392"/>
      <c r="IK168" s="392"/>
      <c r="IL168" s="392"/>
      <c r="IM168" s="392"/>
      <c r="IN168" s="392"/>
      <c r="IO168" s="392"/>
      <c r="IP168" s="392"/>
      <c r="IQ168" s="392"/>
      <c r="IR168" s="392"/>
      <c r="IS168" s="392"/>
      <c r="IT168" s="392"/>
      <c r="IU168" s="392"/>
      <c r="IV168" s="392"/>
    </row>
    <row r="169" spans="1:256" ht="31.5">
      <c r="A169" s="392"/>
      <c r="B169" s="581" t="s">
        <v>1706</v>
      </c>
      <c r="C169" s="2327" t="s">
        <v>1719</v>
      </c>
      <c r="D169" s="2328"/>
      <c r="E169" s="2328"/>
      <c r="F169" s="2329"/>
      <c r="G169" s="554" t="s">
        <v>22</v>
      </c>
      <c r="H169" s="392"/>
      <c r="I169" s="392"/>
      <c r="J169" s="392"/>
      <c r="K169" s="392"/>
      <c r="L169" s="392"/>
      <c r="M169" s="392"/>
      <c r="N169" s="392"/>
      <c r="O169" s="392"/>
      <c r="P169" s="392"/>
      <c r="Q169" s="392"/>
      <c r="R169" s="392"/>
      <c r="S169" s="392"/>
      <c r="T169" s="392"/>
      <c r="U169" s="392"/>
      <c r="V169" s="392"/>
      <c r="W169" s="392"/>
      <c r="X169" s="392"/>
      <c r="Y169" s="392"/>
      <c r="Z169" s="392"/>
      <c r="AA169" s="392"/>
      <c r="AB169" s="392"/>
      <c r="AC169" s="392"/>
      <c r="AD169" s="392"/>
      <c r="AE169" s="392"/>
      <c r="AF169" s="392"/>
      <c r="AG169" s="392"/>
      <c r="AH169" s="392"/>
      <c r="AI169" s="392"/>
      <c r="AJ169" s="392"/>
      <c r="AK169" s="392"/>
      <c r="AL169" s="392"/>
      <c r="AM169" s="392"/>
      <c r="AN169" s="392"/>
      <c r="AO169" s="392"/>
      <c r="AP169" s="392"/>
      <c r="AQ169" s="392"/>
      <c r="AR169" s="392"/>
      <c r="AS169" s="392"/>
      <c r="AT169" s="392"/>
      <c r="AU169" s="392"/>
      <c r="AV169" s="392"/>
      <c r="AW169" s="392"/>
      <c r="AX169" s="392"/>
      <c r="AY169" s="392"/>
      <c r="AZ169" s="392"/>
      <c r="BA169" s="392"/>
      <c r="BB169" s="392"/>
      <c r="BC169" s="392"/>
      <c r="BD169" s="392"/>
      <c r="BE169" s="392"/>
      <c r="BF169" s="392"/>
      <c r="BG169" s="392"/>
      <c r="BH169" s="392"/>
      <c r="BI169" s="392"/>
      <c r="BJ169" s="392"/>
      <c r="BK169" s="392"/>
      <c r="BL169" s="392"/>
      <c r="BM169" s="392"/>
      <c r="BN169" s="392"/>
      <c r="BO169" s="392"/>
      <c r="BP169" s="392"/>
      <c r="BQ169" s="392"/>
      <c r="BR169" s="392"/>
      <c r="BS169" s="392"/>
      <c r="BT169" s="392"/>
      <c r="BU169" s="392"/>
      <c r="BV169" s="392"/>
      <c r="BW169" s="392"/>
      <c r="BX169" s="392"/>
      <c r="BY169" s="392"/>
      <c r="BZ169" s="392"/>
      <c r="CA169" s="392"/>
      <c r="CB169" s="392"/>
      <c r="CC169" s="392"/>
      <c r="CD169" s="392"/>
      <c r="CE169" s="392"/>
      <c r="CF169" s="392"/>
      <c r="CG169" s="392"/>
      <c r="CH169" s="392"/>
      <c r="CI169" s="392"/>
      <c r="CJ169" s="392"/>
      <c r="CK169" s="392"/>
      <c r="CL169" s="392"/>
      <c r="CM169" s="392"/>
      <c r="CN169" s="392"/>
      <c r="CO169" s="392"/>
      <c r="CP169" s="392"/>
      <c r="CQ169" s="392"/>
      <c r="CR169" s="392"/>
      <c r="CS169" s="392"/>
      <c r="CT169" s="392"/>
      <c r="CU169" s="392"/>
      <c r="CV169" s="392"/>
      <c r="CW169" s="392"/>
      <c r="CX169" s="392"/>
      <c r="CY169" s="392"/>
      <c r="CZ169" s="392"/>
      <c r="DA169" s="392"/>
      <c r="DB169" s="392"/>
      <c r="DC169" s="392"/>
      <c r="DD169" s="392"/>
      <c r="DE169" s="392"/>
      <c r="DF169" s="392"/>
      <c r="DG169" s="392"/>
      <c r="DH169" s="392"/>
      <c r="DI169" s="392"/>
      <c r="DJ169" s="392"/>
      <c r="DK169" s="392"/>
      <c r="DL169" s="392"/>
      <c r="DM169" s="392"/>
      <c r="DN169" s="392"/>
      <c r="DO169" s="392"/>
      <c r="DP169" s="392"/>
      <c r="DQ169" s="392"/>
      <c r="DR169" s="392"/>
      <c r="DS169" s="392"/>
      <c r="DT169" s="392"/>
      <c r="DU169" s="392"/>
      <c r="DV169" s="392"/>
      <c r="DW169" s="392"/>
      <c r="DX169" s="392"/>
      <c r="DY169" s="392"/>
      <c r="DZ169" s="392"/>
      <c r="EA169" s="392"/>
      <c r="EB169" s="392"/>
      <c r="EC169" s="392"/>
      <c r="ED169" s="392"/>
      <c r="EE169" s="392"/>
      <c r="EF169" s="392"/>
      <c r="EG169" s="392"/>
      <c r="EH169" s="392"/>
      <c r="EI169" s="392"/>
      <c r="EJ169" s="392"/>
      <c r="EK169" s="392"/>
      <c r="EL169" s="392"/>
      <c r="EM169" s="392"/>
      <c r="EN169" s="392"/>
      <c r="EO169" s="392"/>
      <c r="EP169" s="392"/>
      <c r="EQ169" s="392"/>
      <c r="ER169" s="392"/>
      <c r="ES169" s="392"/>
      <c r="ET169" s="392"/>
      <c r="EU169" s="392"/>
      <c r="EV169" s="392"/>
      <c r="EW169" s="392"/>
      <c r="EX169" s="392"/>
      <c r="EY169" s="392"/>
      <c r="EZ169" s="392"/>
      <c r="FA169" s="392"/>
      <c r="FB169" s="392"/>
      <c r="FC169" s="392"/>
      <c r="FD169" s="392"/>
      <c r="FE169" s="392"/>
      <c r="FF169" s="392"/>
      <c r="FG169" s="392"/>
      <c r="FH169" s="392"/>
      <c r="FI169" s="392"/>
      <c r="FJ169" s="392"/>
      <c r="FK169" s="392"/>
      <c r="FL169" s="392"/>
      <c r="FM169" s="392"/>
      <c r="FN169" s="392"/>
      <c r="FO169" s="392"/>
      <c r="FP169" s="392"/>
      <c r="FQ169" s="392"/>
      <c r="FR169" s="392"/>
      <c r="FS169" s="392"/>
      <c r="FT169" s="392"/>
      <c r="FU169" s="392"/>
      <c r="FV169" s="392"/>
      <c r="FW169" s="392"/>
      <c r="FX169" s="392"/>
      <c r="FY169" s="392"/>
      <c r="FZ169" s="392"/>
      <c r="GA169" s="392"/>
      <c r="GB169" s="392"/>
      <c r="GC169" s="392"/>
      <c r="GD169" s="392"/>
      <c r="GE169" s="392"/>
      <c r="GF169" s="392"/>
      <c r="GG169" s="392"/>
      <c r="GH169" s="392"/>
      <c r="GI169" s="392"/>
      <c r="GJ169" s="392"/>
      <c r="GK169" s="392"/>
      <c r="GL169" s="392"/>
      <c r="GM169" s="392"/>
      <c r="GN169" s="392"/>
      <c r="GO169" s="392"/>
      <c r="GP169" s="392"/>
      <c r="GQ169" s="392"/>
      <c r="GR169" s="392"/>
      <c r="GS169" s="392"/>
      <c r="GT169" s="392"/>
      <c r="GU169" s="392"/>
      <c r="GV169" s="392"/>
      <c r="GW169" s="392"/>
      <c r="GX169" s="392"/>
      <c r="GY169" s="392"/>
      <c r="GZ169" s="392"/>
      <c r="HA169" s="392"/>
      <c r="HB169" s="392"/>
      <c r="HC169" s="392"/>
      <c r="HD169" s="392"/>
      <c r="HE169" s="392"/>
      <c r="HF169" s="392"/>
      <c r="HG169" s="392"/>
      <c r="HH169" s="392"/>
      <c r="HI169" s="392"/>
      <c r="HJ169" s="392"/>
      <c r="HK169" s="392"/>
      <c r="HL169" s="392"/>
      <c r="HM169" s="392"/>
      <c r="HN169" s="392"/>
      <c r="HO169" s="392"/>
      <c r="HP169" s="392"/>
      <c r="HQ169" s="392"/>
      <c r="HR169" s="392"/>
      <c r="HS169" s="392"/>
      <c r="HT169" s="392"/>
      <c r="HU169" s="392"/>
      <c r="HV169" s="392"/>
      <c r="HW169" s="392"/>
      <c r="HX169" s="392"/>
      <c r="HY169" s="392"/>
      <c r="HZ169" s="392"/>
      <c r="IA169" s="392"/>
      <c r="IB169" s="392"/>
      <c r="IC169" s="392"/>
      <c r="ID169" s="392"/>
      <c r="IE169" s="392"/>
      <c r="IF169" s="392"/>
      <c r="IG169" s="392"/>
      <c r="IH169" s="392"/>
      <c r="II169" s="392"/>
      <c r="IJ169" s="392"/>
      <c r="IK169" s="392"/>
      <c r="IL169" s="392"/>
      <c r="IM169" s="392"/>
      <c r="IN169" s="392"/>
      <c r="IO169" s="392"/>
      <c r="IP169" s="392"/>
      <c r="IQ169" s="392"/>
      <c r="IR169" s="392"/>
      <c r="IS169" s="392"/>
      <c r="IT169" s="392"/>
      <c r="IU169" s="392"/>
      <c r="IV169" s="392"/>
    </row>
    <row r="170" spans="1:256" ht="31.5">
      <c r="A170" s="392"/>
      <c r="B170" s="366" t="s">
        <v>1708</v>
      </c>
      <c r="C170" s="582" t="s">
        <v>161</v>
      </c>
      <c r="D170" s="582" t="s">
        <v>22</v>
      </c>
      <c r="E170" s="2330" t="s">
        <v>162</v>
      </c>
      <c r="F170" s="2331"/>
      <c r="G170" s="2332"/>
      <c r="H170" s="392"/>
      <c r="I170" s="392"/>
      <c r="J170" s="392"/>
      <c r="K170" s="392"/>
      <c r="L170" s="392"/>
      <c r="M170" s="392"/>
      <c r="N170" s="392"/>
      <c r="O170" s="392"/>
      <c r="P170" s="392"/>
      <c r="Q170" s="392"/>
      <c r="R170" s="392"/>
      <c r="S170" s="392"/>
      <c r="T170" s="392"/>
      <c r="U170" s="392"/>
      <c r="V170" s="392"/>
      <c r="W170" s="392"/>
      <c r="X170" s="392"/>
      <c r="Y170" s="392"/>
      <c r="Z170" s="392"/>
      <c r="AA170" s="392"/>
      <c r="AB170" s="392"/>
      <c r="AC170" s="392"/>
      <c r="AD170" s="392"/>
      <c r="AE170" s="392"/>
      <c r="AF170" s="392"/>
      <c r="AG170" s="392"/>
      <c r="AH170" s="392"/>
      <c r="AI170" s="392"/>
      <c r="AJ170" s="392"/>
      <c r="AK170" s="392"/>
      <c r="AL170" s="392"/>
      <c r="AM170" s="392"/>
      <c r="AN170" s="392"/>
      <c r="AO170" s="392"/>
      <c r="AP170" s="392"/>
      <c r="AQ170" s="392"/>
      <c r="AR170" s="392"/>
      <c r="AS170" s="392"/>
      <c r="AT170" s="392"/>
      <c r="AU170" s="392"/>
      <c r="AV170" s="392"/>
      <c r="AW170" s="392"/>
      <c r="AX170" s="392"/>
      <c r="AY170" s="392"/>
      <c r="AZ170" s="392"/>
      <c r="BA170" s="392"/>
      <c r="BB170" s="392"/>
      <c r="BC170" s="392"/>
      <c r="BD170" s="392"/>
      <c r="BE170" s="392"/>
      <c r="BF170" s="392"/>
      <c r="BG170" s="392"/>
      <c r="BH170" s="392"/>
      <c r="BI170" s="392"/>
      <c r="BJ170" s="392"/>
      <c r="BK170" s="392"/>
      <c r="BL170" s="392"/>
      <c r="BM170" s="392"/>
      <c r="BN170" s="392"/>
      <c r="BO170" s="392"/>
      <c r="BP170" s="392"/>
      <c r="BQ170" s="392"/>
      <c r="BR170" s="392"/>
      <c r="BS170" s="392"/>
      <c r="BT170" s="392"/>
      <c r="BU170" s="392"/>
      <c r="BV170" s="392"/>
      <c r="BW170" s="392"/>
      <c r="BX170" s="392"/>
      <c r="BY170" s="392"/>
      <c r="BZ170" s="392"/>
      <c r="CA170" s="392"/>
      <c r="CB170" s="392"/>
      <c r="CC170" s="392"/>
      <c r="CD170" s="392"/>
      <c r="CE170" s="392"/>
      <c r="CF170" s="392"/>
      <c r="CG170" s="392"/>
      <c r="CH170" s="392"/>
      <c r="CI170" s="392"/>
      <c r="CJ170" s="392"/>
      <c r="CK170" s="392"/>
      <c r="CL170" s="392"/>
      <c r="CM170" s="392"/>
      <c r="CN170" s="392"/>
      <c r="CO170" s="392"/>
      <c r="CP170" s="392"/>
      <c r="CQ170" s="392"/>
      <c r="CR170" s="392"/>
      <c r="CS170" s="392"/>
      <c r="CT170" s="392"/>
      <c r="CU170" s="392"/>
      <c r="CV170" s="392"/>
      <c r="CW170" s="392"/>
      <c r="CX170" s="392"/>
      <c r="CY170" s="392"/>
      <c r="CZ170" s="392"/>
      <c r="DA170" s="392"/>
      <c r="DB170" s="392"/>
      <c r="DC170" s="392"/>
      <c r="DD170" s="392"/>
      <c r="DE170" s="392"/>
      <c r="DF170" s="392"/>
      <c r="DG170" s="392"/>
      <c r="DH170" s="392"/>
      <c r="DI170" s="392"/>
      <c r="DJ170" s="392"/>
      <c r="DK170" s="392"/>
      <c r="DL170" s="392"/>
      <c r="DM170" s="392"/>
      <c r="DN170" s="392"/>
      <c r="DO170" s="392"/>
      <c r="DP170" s="392"/>
      <c r="DQ170" s="392"/>
      <c r="DR170" s="392"/>
      <c r="DS170" s="392"/>
      <c r="DT170" s="392"/>
      <c r="DU170" s="392"/>
      <c r="DV170" s="392"/>
      <c r="DW170" s="392"/>
      <c r="DX170" s="392"/>
      <c r="DY170" s="392"/>
      <c r="DZ170" s="392"/>
      <c r="EA170" s="392"/>
      <c r="EB170" s="392"/>
      <c r="EC170" s="392"/>
      <c r="ED170" s="392"/>
      <c r="EE170" s="392"/>
      <c r="EF170" s="392"/>
      <c r="EG170" s="392"/>
      <c r="EH170" s="392"/>
      <c r="EI170" s="392"/>
      <c r="EJ170" s="392"/>
      <c r="EK170" s="392"/>
      <c r="EL170" s="392"/>
      <c r="EM170" s="392"/>
      <c r="EN170" s="392"/>
      <c r="EO170" s="392"/>
      <c r="EP170" s="392"/>
      <c r="EQ170" s="392"/>
      <c r="ER170" s="392"/>
      <c r="ES170" s="392"/>
      <c r="ET170" s="392"/>
      <c r="EU170" s="392"/>
      <c r="EV170" s="392"/>
      <c r="EW170" s="392"/>
      <c r="EX170" s="392"/>
      <c r="EY170" s="392"/>
      <c r="EZ170" s="392"/>
      <c r="FA170" s="392"/>
      <c r="FB170" s="392"/>
      <c r="FC170" s="392"/>
      <c r="FD170" s="392"/>
      <c r="FE170" s="392"/>
      <c r="FF170" s="392"/>
      <c r="FG170" s="392"/>
      <c r="FH170" s="392"/>
      <c r="FI170" s="392"/>
      <c r="FJ170" s="392"/>
      <c r="FK170" s="392"/>
      <c r="FL170" s="392"/>
      <c r="FM170" s="392"/>
      <c r="FN170" s="392"/>
      <c r="FO170" s="392"/>
      <c r="FP170" s="392"/>
      <c r="FQ170" s="392"/>
      <c r="FR170" s="392"/>
      <c r="FS170" s="392"/>
      <c r="FT170" s="392"/>
      <c r="FU170" s="392"/>
      <c r="FV170" s="392"/>
      <c r="FW170" s="392"/>
      <c r="FX170" s="392"/>
      <c r="FY170" s="392"/>
      <c r="FZ170" s="392"/>
      <c r="GA170" s="392"/>
      <c r="GB170" s="392"/>
      <c r="GC170" s="392"/>
      <c r="GD170" s="392"/>
      <c r="GE170" s="392"/>
      <c r="GF170" s="392"/>
      <c r="GG170" s="392"/>
      <c r="GH170" s="392"/>
      <c r="GI170" s="392"/>
      <c r="GJ170" s="392"/>
      <c r="GK170" s="392"/>
      <c r="GL170" s="392"/>
      <c r="GM170" s="392"/>
      <c r="GN170" s="392"/>
      <c r="GO170" s="392"/>
      <c r="GP170" s="392"/>
      <c r="GQ170" s="392"/>
      <c r="GR170" s="392"/>
      <c r="GS170" s="392"/>
      <c r="GT170" s="392"/>
      <c r="GU170" s="392"/>
      <c r="GV170" s="392"/>
      <c r="GW170" s="392"/>
      <c r="GX170" s="392"/>
      <c r="GY170" s="392"/>
      <c r="GZ170" s="392"/>
      <c r="HA170" s="392"/>
      <c r="HB170" s="392"/>
      <c r="HC170" s="392"/>
      <c r="HD170" s="392"/>
      <c r="HE170" s="392"/>
      <c r="HF170" s="392"/>
      <c r="HG170" s="392"/>
      <c r="HH170" s="392"/>
      <c r="HI170" s="392"/>
      <c r="HJ170" s="392"/>
      <c r="HK170" s="392"/>
      <c r="HL170" s="392"/>
      <c r="HM170" s="392"/>
      <c r="HN170" s="392"/>
      <c r="HO170" s="392"/>
      <c r="HP170" s="392"/>
      <c r="HQ170" s="392"/>
      <c r="HR170" s="392"/>
      <c r="HS170" s="392"/>
      <c r="HT170" s="392"/>
      <c r="HU170" s="392"/>
      <c r="HV170" s="392"/>
      <c r="HW170" s="392"/>
      <c r="HX170" s="392"/>
      <c r="HY170" s="392"/>
      <c r="HZ170" s="392"/>
      <c r="IA170" s="392"/>
      <c r="IB170" s="392"/>
      <c r="IC170" s="392"/>
      <c r="ID170" s="392"/>
      <c r="IE170" s="392"/>
      <c r="IF170" s="392"/>
      <c r="IG170" s="392"/>
      <c r="IH170" s="392"/>
      <c r="II170" s="392"/>
      <c r="IJ170" s="392"/>
      <c r="IK170" s="392"/>
      <c r="IL170" s="392"/>
      <c r="IM170" s="392"/>
      <c r="IN170" s="392"/>
      <c r="IO170" s="392"/>
      <c r="IP170" s="392"/>
      <c r="IQ170" s="392"/>
      <c r="IR170" s="392"/>
      <c r="IS170" s="392"/>
      <c r="IT170" s="392"/>
      <c r="IU170" s="392"/>
      <c r="IV170" s="392"/>
    </row>
    <row r="171" spans="1:256" ht="16.5" thickBot="1">
      <c r="A171" s="392"/>
      <c r="B171" s="2350" t="s">
        <v>165</v>
      </c>
      <c r="C171" s="2351"/>
      <c r="D171" s="2351"/>
      <c r="E171" s="2351"/>
      <c r="F171" s="2351"/>
      <c r="G171" s="2352"/>
      <c r="H171" s="392"/>
      <c r="I171" s="392"/>
      <c r="J171" s="392"/>
      <c r="K171" s="392"/>
      <c r="L171" s="392"/>
      <c r="M171" s="392"/>
      <c r="N171" s="392"/>
      <c r="O171" s="392"/>
      <c r="P171" s="392"/>
      <c r="Q171" s="392"/>
      <c r="R171" s="392"/>
      <c r="S171" s="392"/>
      <c r="T171" s="392"/>
      <c r="U171" s="392"/>
      <c r="V171" s="392"/>
      <c r="W171" s="392"/>
      <c r="X171" s="392"/>
      <c r="Y171" s="392"/>
      <c r="Z171" s="392"/>
      <c r="AA171" s="392"/>
      <c r="AB171" s="392"/>
      <c r="AC171" s="392"/>
      <c r="AD171" s="392"/>
      <c r="AE171" s="392"/>
      <c r="AF171" s="392"/>
      <c r="AG171" s="392"/>
      <c r="AH171" s="392"/>
      <c r="AI171" s="392"/>
      <c r="AJ171" s="392"/>
      <c r="AK171" s="392"/>
      <c r="AL171" s="392"/>
      <c r="AM171" s="392"/>
      <c r="AN171" s="392"/>
      <c r="AO171" s="392"/>
      <c r="AP171" s="392"/>
      <c r="AQ171" s="392"/>
      <c r="AR171" s="392"/>
      <c r="AS171" s="392"/>
      <c r="AT171" s="392"/>
      <c r="AU171" s="392"/>
      <c r="AV171" s="392"/>
      <c r="AW171" s="392"/>
      <c r="AX171" s="392"/>
      <c r="AY171" s="392"/>
      <c r="AZ171" s="392"/>
      <c r="BA171" s="392"/>
      <c r="BB171" s="392"/>
      <c r="BC171" s="392"/>
      <c r="BD171" s="392"/>
      <c r="BE171" s="392"/>
      <c r="BF171" s="392"/>
      <c r="BG171" s="392"/>
      <c r="BH171" s="392"/>
      <c r="BI171" s="392"/>
      <c r="BJ171" s="392"/>
      <c r="BK171" s="392"/>
      <c r="BL171" s="392"/>
      <c r="BM171" s="392"/>
      <c r="BN171" s="392"/>
      <c r="BO171" s="392"/>
      <c r="BP171" s="392"/>
      <c r="BQ171" s="392"/>
      <c r="BR171" s="392"/>
      <c r="BS171" s="392"/>
      <c r="BT171" s="392"/>
      <c r="BU171" s="392"/>
      <c r="BV171" s="392"/>
      <c r="BW171" s="392"/>
      <c r="BX171" s="392"/>
      <c r="BY171" s="392"/>
      <c r="BZ171" s="392"/>
      <c r="CA171" s="392"/>
      <c r="CB171" s="392"/>
      <c r="CC171" s="392"/>
      <c r="CD171" s="392"/>
      <c r="CE171" s="392"/>
      <c r="CF171" s="392"/>
      <c r="CG171" s="392"/>
      <c r="CH171" s="392"/>
      <c r="CI171" s="392"/>
      <c r="CJ171" s="392"/>
      <c r="CK171" s="392"/>
      <c r="CL171" s="392"/>
      <c r="CM171" s="392"/>
      <c r="CN171" s="392"/>
      <c r="CO171" s="392"/>
      <c r="CP171" s="392"/>
      <c r="CQ171" s="392"/>
      <c r="CR171" s="392"/>
      <c r="CS171" s="392"/>
      <c r="CT171" s="392"/>
      <c r="CU171" s="392"/>
      <c r="CV171" s="392"/>
      <c r="CW171" s="392"/>
      <c r="CX171" s="392"/>
      <c r="CY171" s="392"/>
      <c r="CZ171" s="392"/>
      <c r="DA171" s="392"/>
      <c r="DB171" s="392"/>
      <c r="DC171" s="392"/>
      <c r="DD171" s="392"/>
      <c r="DE171" s="392"/>
      <c r="DF171" s="392"/>
      <c r="DG171" s="392"/>
      <c r="DH171" s="392"/>
      <c r="DI171" s="392"/>
      <c r="DJ171" s="392"/>
      <c r="DK171" s="392"/>
      <c r="DL171" s="392"/>
      <c r="DM171" s="392"/>
      <c r="DN171" s="392"/>
      <c r="DO171" s="392"/>
      <c r="DP171" s="392"/>
      <c r="DQ171" s="392"/>
      <c r="DR171" s="392"/>
      <c r="DS171" s="392"/>
      <c r="DT171" s="392"/>
      <c r="DU171" s="392"/>
      <c r="DV171" s="392"/>
      <c r="DW171" s="392"/>
      <c r="DX171" s="392"/>
      <c r="DY171" s="392"/>
      <c r="DZ171" s="392"/>
      <c r="EA171" s="392"/>
      <c r="EB171" s="392"/>
      <c r="EC171" s="392"/>
      <c r="ED171" s="392"/>
      <c r="EE171" s="392"/>
      <c r="EF171" s="392"/>
      <c r="EG171" s="392"/>
      <c r="EH171" s="392"/>
      <c r="EI171" s="392"/>
      <c r="EJ171" s="392"/>
      <c r="EK171" s="392"/>
      <c r="EL171" s="392"/>
      <c r="EM171" s="392"/>
      <c r="EN171" s="392"/>
      <c r="EO171" s="392"/>
      <c r="EP171" s="392"/>
      <c r="EQ171" s="392"/>
      <c r="ER171" s="392"/>
      <c r="ES171" s="392"/>
      <c r="ET171" s="392"/>
      <c r="EU171" s="392"/>
      <c r="EV171" s="392"/>
      <c r="EW171" s="392"/>
      <c r="EX171" s="392"/>
      <c r="EY171" s="392"/>
      <c r="EZ171" s="392"/>
      <c r="FA171" s="392"/>
      <c r="FB171" s="392"/>
      <c r="FC171" s="392"/>
      <c r="FD171" s="392"/>
      <c r="FE171" s="392"/>
      <c r="FF171" s="392"/>
      <c r="FG171" s="392"/>
      <c r="FH171" s="392"/>
      <c r="FI171" s="392"/>
      <c r="FJ171" s="392"/>
      <c r="FK171" s="392"/>
      <c r="FL171" s="392"/>
      <c r="FM171" s="392"/>
      <c r="FN171" s="392"/>
      <c r="FO171" s="392"/>
      <c r="FP171" s="392"/>
      <c r="FQ171" s="392"/>
      <c r="FR171" s="392"/>
      <c r="FS171" s="392"/>
      <c r="FT171" s="392"/>
      <c r="FU171" s="392"/>
      <c r="FV171" s="392"/>
      <c r="FW171" s="392"/>
      <c r="FX171" s="392"/>
      <c r="FY171" s="392"/>
      <c r="FZ171" s="392"/>
      <c r="GA171" s="392"/>
      <c r="GB171" s="392"/>
      <c r="GC171" s="392"/>
      <c r="GD171" s="392"/>
      <c r="GE171" s="392"/>
      <c r="GF171" s="392"/>
      <c r="GG171" s="392"/>
      <c r="GH171" s="392"/>
      <c r="GI171" s="392"/>
      <c r="GJ171" s="392"/>
      <c r="GK171" s="392"/>
      <c r="GL171" s="392"/>
      <c r="GM171" s="392"/>
      <c r="GN171" s="392"/>
      <c r="GO171" s="392"/>
      <c r="GP171" s="392"/>
      <c r="GQ171" s="392"/>
      <c r="GR171" s="392"/>
      <c r="GS171" s="392"/>
      <c r="GT171" s="392"/>
      <c r="GU171" s="392"/>
      <c r="GV171" s="392"/>
      <c r="GW171" s="392"/>
      <c r="GX171" s="392"/>
      <c r="GY171" s="392"/>
      <c r="GZ171" s="392"/>
      <c r="HA171" s="392"/>
      <c r="HB171" s="392"/>
      <c r="HC171" s="392"/>
      <c r="HD171" s="392"/>
      <c r="HE171" s="392"/>
      <c r="HF171" s="392"/>
      <c r="HG171" s="392"/>
      <c r="HH171" s="392"/>
      <c r="HI171" s="392"/>
      <c r="HJ171" s="392"/>
      <c r="HK171" s="392"/>
      <c r="HL171" s="392"/>
      <c r="HM171" s="392"/>
      <c r="HN171" s="392"/>
      <c r="HO171" s="392"/>
      <c r="HP171" s="392"/>
      <c r="HQ171" s="392"/>
      <c r="HR171" s="392"/>
      <c r="HS171" s="392"/>
      <c r="HT171" s="392"/>
      <c r="HU171" s="392"/>
      <c r="HV171" s="392"/>
      <c r="HW171" s="392"/>
      <c r="HX171" s="392"/>
      <c r="HY171" s="392"/>
      <c r="HZ171" s="392"/>
      <c r="IA171" s="392"/>
      <c r="IB171" s="392"/>
      <c r="IC171" s="392"/>
      <c r="ID171" s="392"/>
      <c r="IE171" s="392"/>
      <c r="IF171" s="392"/>
      <c r="IG171" s="392"/>
      <c r="IH171" s="392"/>
      <c r="II171" s="392"/>
      <c r="IJ171" s="392"/>
      <c r="IK171" s="392"/>
      <c r="IL171" s="392"/>
      <c r="IM171" s="392"/>
      <c r="IN171" s="392"/>
      <c r="IO171" s="392"/>
      <c r="IP171" s="392"/>
      <c r="IQ171" s="392"/>
      <c r="IR171" s="392"/>
      <c r="IS171" s="392"/>
      <c r="IT171" s="392"/>
      <c r="IU171" s="392"/>
      <c r="IV171" s="392"/>
    </row>
    <row r="172" spans="1:256" ht="15">
      <c r="A172" s="392"/>
      <c r="B172" s="2342" t="str">
        <f>C163</f>
        <v>ESCAVAÇÃO MANUAL DE VALA COM PROFUNDIDADE MENOR OU IGUAL A 1,30 M. AF_02/2021</v>
      </c>
      <c r="C172" s="2343"/>
      <c r="D172" s="600" t="s">
        <v>19</v>
      </c>
      <c r="E172" s="2320" t="s">
        <v>1993</v>
      </c>
      <c r="F172" s="2320"/>
      <c r="G172" s="2321"/>
      <c r="H172" s="392"/>
      <c r="I172" s="392"/>
      <c r="J172" s="392"/>
      <c r="K172" s="392"/>
      <c r="L172" s="392"/>
      <c r="M172" s="392"/>
      <c r="N172" s="392"/>
      <c r="O172" s="392"/>
      <c r="P172" s="392"/>
      <c r="Q172" s="392"/>
      <c r="R172" s="392"/>
      <c r="S172" s="392"/>
      <c r="T172" s="392"/>
      <c r="U172" s="392"/>
      <c r="V172" s="392"/>
      <c r="W172" s="392"/>
      <c r="X172" s="392"/>
      <c r="Y172" s="392"/>
      <c r="Z172" s="392"/>
      <c r="AA172" s="392"/>
      <c r="AB172" s="392"/>
      <c r="AC172" s="392"/>
      <c r="AD172" s="392"/>
      <c r="AE172" s="392"/>
      <c r="AF172" s="392"/>
      <c r="AG172" s="392"/>
      <c r="AH172" s="392"/>
      <c r="AI172" s="392"/>
      <c r="AJ172" s="392"/>
      <c r="AK172" s="392"/>
      <c r="AL172" s="392"/>
      <c r="AM172" s="392"/>
      <c r="AN172" s="392"/>
      <c r="AO172" s="392"/>
      <c r="AP172" s="392"/>
      <c r="AQ172" s="392"/>
      <c r="AR172" s="392"/>
      <c r="AS172" s="392"/>
      <c r="AT172" s="392"/>
      <c r="AU172" s="392"/>
      <c r="AV172" s="392"/>
      <c r="AW172" s="392"/>
      <c r="AX172" s="392"/>
      <c r="AY172" s="392"/>
      <c r="AZ172" s="392"/>
      <c r="BA172" s="392"/>
      <c r="BB172" s="392"/>
      <c r="BC172" s="392"/>
      <c r="BD172" s="392"/>
      <c r="BE172" s="392"/>
      <c r="BF172" s="392"/>
      <c r="BG172" s="392"/>
      <c r="BH172" s="392"/>
      <c r="BI172" s="392"/>
      <c r="BJ172" s="392"/>
      <c r="BK172" s="392"/>
      <c r="BL172" s="392"/>
      <c r="BM172" s="392"/>
      <c r="BN172" s="392"/>
      <c r="BO172" s="392"/>
      <c r="BP172" s="392"/>
      <c r="BQ172" s="392"/>
      <c r="BR172" s="392"/>
      <c r="BS172" s="392"/>
      <c r="BT172" s="392"/>
      <c r="BU172" s="392"/>
      <c r="BV172" s="392"/>
      <c r="BW172" s="392"/>
      <c r="BX172" s="392"/>
      <c r="BY172" s="392"/>
      <c r="BZ172" s="392"/>
      <c r="CA172" s="392"/>
      <c r="CB172" s="392"/>
      <c r="CC172" s="392"/>
      <c r="CD172" s="392"/>
      <c r="CE172" s="392"/>
      <c r="CF172" s="392"/>
      <c r="CG172" s="392"/>
      <c r="CH172" s="392"/>
      <c r="CI172" s="392"/>
      <c r="CJ172" s="392"/>
      <c r="CK172" s="392"/>
      <c r="CL172" s="392"/>
      <c r="CM172" s="392"/>
      <c r="CN172" s="392"/>
      <c r="CO172" s="392"/>
      <c r="CP172" s="392"/>
      <c r="CQ172" s="392"/>
      <c r="CR172" s="392"/>
      <c r="CS172" s="392"/>
      <c r="CT172" s="392"/>
      <c r="CU172" s="392"/>
      <c r="CV172" s="392"/>
      <c r="CW172" s="392"/>
      <c r="CX172" s="392"/>
      <c r="CY172" s="392"/>
      <c r="CZ172" s="392"/>
      <c r="DA172" s="392"/>
      <c r="DB172" s="392"/>
      <c r="DC172" s="392"/>
      <c r="DD172" s="392"/>
      <c r="DE172" s="392"/>
      <c r="DF172" s="392"/>
      <c r="DG172" s="392"/>
      <c r="DH172" s="392"/>
      <c r="DI172" s="392"/>
      <c r="DJ172" s="392"/>
      <c r="DK172" s="392"/>
      <c r="DL172" s="392"/>
      <c r="DM172" s="392"/>
      <c r="DN172" s="392"/>
      <c r="DO172" s="392"/>
      <c r="DP172" s="392"/>
      <c r="DQ172" s="392"/>
      <c r="DR172" s="392"/>
      <c r="DS172" s="392"/>
      <c r="DT172" s="392"/>
      <c r="DU172" s="392"/>
      <c r="DV172" s="392"/>
      <c r="DW172" s="392"/>
      <c r="DX172" s="392"/>
      <c r="DY172" s="392"/>
      <c r="DZ172" s="392"/>
      <c r="EA172" s="392"/>
      <c r="EB172" s="392"/>
      <c r="EC172" s="392"/>
      <c r="ED172" s="392"/>
      <c r="EE172" s="392"/>
      <c r="EF172" s="392"/>
      <c r="EG172" s="392"/>
      <c r="EH172" s="392"/>
      <c r="EI172" s="392"/>
      <c r="EJ172" s="392"/>
      <c r="EK172" s="392"/>
      <c r="EL172" s="392"/>
      <c r="EM172" s="392"/>
      <c r="EN172" s="392"/>
      <c r="EO172" s="392"/>
      <c r="EP172" s="392"/>
      <c r="EQ172" s="392"/>
      <c r="ER172" s="392"/>
      <c r="ES172" s="392"/>
      <c r="ET172" s="392"/>
      <c r="EU172" s="392"/>
      <c r="EV172" s="392"/>
      <c r="EW172" s="392"/>
      <c r="EX172" s="392"/>
      <c r="EY172" s="392"/>
      <c r="EZ172" s="392"/>
      <c r="FA172" s="392"/>
      <c r="FB172" s="392"/>
      <c r="FC172" s="392"/>
      <c r="FD172" s="392"/>
      <c r="FE172" s="392"/>
      <c r="FF172" s="392"/>
      <c r="FG172" s="392"/>
      <c r="FH172" s="392"/>
      <c r="FI172" s="392"/>
      <c r="FJ172" s="392"/>
      <c r="FK172" s="392"/>
      <c r="FL172" s="392"/>
      <c r="FM172" s="392"/>
      <c r="FN172" s="392"/>
      <c r="FO172" s="392"/>
      <c r="FP172" s="392"/>
      <c r="FQ172" s="392"/>
      <c r="FR172" s="392"/>
      <c r="FS172" s="392"/>
      <c r="FT172" s="392"/>
      <c r="FU172" s="392"/>
      <c r="FV172" s="392"/>
      <c r="FW172" s="392"/>
      <c r="FX172" s="392"/>
      <c r="FY172" s="392"/>
      <c r="FZ172" s="392"/>
      <c r="GA172" s="392"/>
      <c r="GB172" s="392"/>
      <c r="GC172" s="392"/>
      <c r="GD172" s="392"/>
      <c r="GE172" s="392"/>
      <c r="GF172" s="392"/>
      <c r="GG172" s="392"/>
      <c r="GH172" s="392"/>
      <c r="GI172" s="392"/>
      <c r="GJ172" s="392"/>
      <c r="GK172" s="392"/>
      <c r="GL172" s="392"/>
      <c r="GM172" s="392"/>
      <c r="GN172" s="392"/>
      <c r="GO172" s="392"/>
      <c r="GP172" s="392"/>
      <c r="GQ172" s="392"/>
      <c r="GR172" s="392"/>
      <c r="GS172" s="392"/>
      <c r="GT172" s="392"/>
      <c r="GU172" s="392"/>
      <c r="GV172" s="392"/>
      <c r="GW172" s="392"/>
      <c r="GX172" s="392"/>
      <c r="GY172" s="392"/>
      <c r="GZ172" s="392"/>
      <c r="HA172" s="392"/>
      <c r="HB172" s="392"/>
      <c r="HC172" s="392"/>
      <c r="HD172" s="392"/>
      <c r="HE172" s="392"/>
      <c r="HF172" s="392"/>
      <c r="HG172" s="392"/>
      <c r="HH172" s="392"/>
      <c r="HI172" s="392"/>
      <c r="HJ172" s="392"/>
      <c r="HK172" s="392"/>
      <c r="HL172" s="392"/>
      <c r="HM172" s="392"/>
      <c r="HN172" s="392"/>
      <c r="HO172" s="392"/>
      <c r="HP172" s="392"/>
      <c r="HQ172" s="392"/>
      <c r="HR172" s="392"/>
      <c r="HS172" s="392"/>
      <c r="HT172" s="392"/>
      <c r="HU172" s="392"/>
      <c r="HV172" s="392"/>
      <c r="HW172" s="392"/>
      <c r="HX172" s="392"/>
      <c r="HY172" s="392"/>
      <c r="HZ172" s="392"/>
      <c r="IA172" s="392"/>
      <c r="IB172" s="392"/>
      <c r="IC172" s="392"/>
      <c r="ID172" s="392"/>
      <c r="IE172" s="392"/>
      <c r="IF172" s="392"/>
      <c r="IG172" s="392"/>
      <c r="IH172" s="392"/>
      <c r="II172" s="392"/>
      <c r="IJ172" s="392"/>
      <c r="IK172" s="392"/>
      <c r="IL172" s="392"/>
      <c r="IM172" s="392"/>
      <c r="IN172" s="392"/>
      <c r="IO172" s="392"/>
      <c r="IP172" s="392"/>
      <c r="IQ172" s="392"/>
      <c r="IR172" s="392"/>
      <c r="IS172" s="392"/>
      <c r="IT172" s="392"/>
      <c r="IU172" s="392"/>
      <c r="IV172" s="392"/>
    </row>
    <row r="173" spans="1:256" ht="36" customHeight="1">
      <c r="A173" s="392"/>
      <c r="B173" s="2344" t="str">
        <f>C164</f>
        <v>CONCRETO FCK = 25MPA, TRAÇO 1:2,3:2,7 (EM MASSA SECA DE CIMENTO/ AREIA MÉDIA/ BRITA 1) - PREPARO MECÂNICO COM BETONEIRA 400 L. AF_05/2021</v>
      </c>
      <c r="C173" s="2345"/>
      <c r="D173" s="322" t="s">
        <v>19</v>
      </c>
      <c r="E173" s="2320" t="str">
        <f>E172</f>
        <v>(0,30*0,30*0,60)+(0,3*0,3*0,30)</v>
      </c>
      <c r="F173" s="2320"/>
      <c r="G173" s="2321"/>
      <c r="H173" s="392"/>
      <c r="I173" s="392"/>
      <c r="J173" s="392"/>
      <c r="K173" s="392"/>
      <c r="L173" s="392"/>
      <c r="M173" s="392"/>
      <c r="N173" s="392"/>
      <c r="O173" s="392"/>
      <c r="P173" s="392"/>
      <c r="Q173" s="392"/>
      <c r="R173" s="392"/>
      <c r="S173" s="392"/>
      <c r="T173" s="392"/>
      <c r="U173" s="392"/>
      <c r="V173" s="392"/>
      <c r="W173" s="392"/>
      <c r="X173" s="392"/>
      <c r="Y173" s="392"/>
      <c r="Z173" s="392"/>
      <c r="AA173" s="392"/>
      <c r="AB173" s="392"/>
      <c r="AC173" s="392"/>
      <c r="AD173" s="392"/>
      <c r="AE173" s="392"/>
      <c r="AF173" s="392"/>
      <c r="AG173" s="392"/>
      <c r="AH173" s="392"/>
      <c r="AI173" s="392"/>
      <c r="AJ173" s="392"/>
      <c r="AK173" s="392"/>
      <c r="AL173" s="392"/>
      <c r="AM173" s="392"/>
      <c r="AN173" s="392"/>
      <c r="AO173" s="392"/>
      <c r="AP173" s="392"/>
      <c r="AQ173" s="392"/>
      <c r="AR173" s="392"/>
      <c r="AS173" s="392"/>
      <c r="AT173" s="392"/>
      <c r="AU173" s="392"/>
      <c r="AV173" s="392"/>
      <c r="AW173" s="392"/>
      <c r="AX173" s="392"/>
      <c r="AY173" s="392"/>
      <c r="AZ173" s="392"/>
      <c r="BA173" s="392"/>
      <c r="BB173" s="392"/>
      <c r="BC173" s="392"/>
      <c r="BD173" s="392"/>
      <c r="BE173" s="392"/>
      <c r="BF173" s="392"/>
      <c r="BG173" s="392"/>
      <c r="BH173" s="392"/>
      <c r="BI173" s="392"/>
      <c r="BJ173" s="392"/>
      <c r="BK173" s="392"/>
      <c r="BL173" s="392"/>
      <c r="BM173" s="392"/>
      <c r="BN173" s="392"/>
      <c r="BO173" s="392"/>
      <c r="BP173" s="392"/>
      <c r="BQ173" s="392"/>
      <c r="BR173" s="392"/>
      <c r="BS173" s="392"/>
      <c r="BT173" s="392"/>
      <c r="BU173" s="392"/>
      <c r="BV173" s="392"/>
      <c r="BW173" s="392"/>
      <c r="BX173" s="392"/>
      <c r="BY173" s="392"/>
      <c r="BZ173" s="392"/>
      <c r="CA173" s="392"/>
      <c r="CB173" s="392"/>
      <c r="CC173" s="392"/>
      <c r="CD173" s="392"/>
      <c r="CE173" s="392"/>
      <c r="CF173" s="392"/>
      <c r="CG173" s="392"/>
      <c r="CH173" s="392"/>
      <c r="CI173" s="392"/>
      <c r="CJ173" s="392"/>
      <c r="CK173" s="392"/>
      <c r="CL173" s="392"/>
      <c r="CM173" s="392"/>
      <c r="CN173" s="392"/>
      <c r="CO173" s="392"/>
      <c r="CP173" s="392"/>
      <c r="CQ173" s="392"/>
      <c r="CR173" s="392"/>
      <c r="CS173" s="392"/>
      <c r="CT173" s="392"/>
      <c r="CU173" s="392"/>
      <c r="CV173" s="392"/>
      <c r="CW173" s="392"/>
      <c r="CX173" s="392"/>
      <c r="CY173" s="392"/>
      <c r="CZ173" s="392"/>
      <c r="DA173" s="392"/>
      <c r="DB173" s="392"/>
      <c r="DC173" s="392"/>
      <c r="DD173" s="392"/>
      <c r="DE173" s="392"/>
      <c r="DF173" s="392"/>
      <c r="DG173" s="392"/>
      <c r="DH173" s="392"/>
      <c r="DI173" s="392"/>
      <c r="DJ173" s="392"/>
      <c r="DK173" s="392"/>
      <c r="DL173" s="392"/>
      <c r="DM173" s="392"/>
      <c r="DN173" s="392"/>
      <c r="DO173" s="392"/>
      <c r="DP173" s="392"/>
      <c r="DQ173" s="392"/>
      <c r="DR173" s="392"/>
      <c r="DS173" s="392"/>
      <c r="DT173" s="392"/>
      <c r="DU173" s="392"/>
      <c r="DV173" s="392"/>
      <c r="DW173" s="392"/>
      <c r="DX173" s="392"/>
      <c r="DY173" s="392"/>
      <c r="DZ173" s="392"/>
      <c r="EA173" s="392"/>
      <c r="EB173" s="392"/>
      <c r="EC173" s="392"/>
      <c r="ED173" s="392"/>
      <c r="EE173" s="392"/>
      <c r="EF173" s="392"/>
      <c r="EG173" s="392"/>
      <c r="EH173" s="392"/>
      <c r="EI173" s="392"/>
      <c r="EJ173" s="392"/>
      <c r="EK173" s="392"/>
      <c r="EL173" s="392"/>
      <c r="EM173" s="392"/>
      <c r="EN173" s="392"/>
      <c r="EO173" s="392"/>
      <c r="EP173" s="392"/>
      <c r="EQ173" s="392"/>
      <c r="ER173" s="392"/>
      <c r="ES173" s="392"/>
      <c r="ET173" s="392"/>
      <c r="EU173" s="392"/>
      <c r="EV173" s="392"/>
      <c r="EW173" s="392"/>
      <c r="EX173" s="392"/>
      <c r="EY173" s="392"/>
      <c r="EZ173" s="392"/>
      <c r="FA173" s="392"/>
      <c r="FB173" s="392"/>
      <c r="FC173" s="392"/>
      <c r="FD173" s="392"/>
      <c r="FE173" s="392"/>
      <c r="FF173" s="392"/>
      <c r="FG173" s="392"/>
      <c r="FH173" s="392"/>
      <c r="FI173" s="392"/>
      <c r="FJ173" s="392"/>
      <c r="FK173" s="392"/>
      <c r="FL173" s="392"/>
      <c r="FM173" s="392"/>
      <c r="FN173" s="392"/>
      <c r="FO173" s="392"/>
      <c r="FP173" s="392"/>
      <c r="FQ173" s="392"/>
      <c r="FR173" s="392"/>
      <c r="FS173" s="392"/>
      <c r="FT173" s="392"/>
      <c r="FU173" s="392"/>
      <c r="FV173" s="392"/>
      <c r="FW173" s="392"/>
      <c r="FX173" s="392"/>
      <c r="FY173" s="392"/>
      <c r="FZ173" s="392"/>
      <c r="GA173" s="392"/>
      <c r="GB173" s="392"/>
      <c r="GC173" s="392"/>
      <c r="GD173" s="392"/>
      <c r="GE173" s="392"/>
      <c r="GF173" s="392"/>
      <c r="GG173" s="392"/>
      <c r="GH173" s="392"/>
      <c r="GI173" s="392"/>
      <c r="GJ173" s="392"/>
      <c r="GK173" s="392"/>
      <c r="GL173" s="392"/>
      <c r="GM173" s="392"/>
      <c r="GN173" s="392"/>
      <c r="GO173" s="392"/>
      <c r="GP173" s="392"/>
      <c r="GQ173" s="392"/>
      <c r="GR173" s="392"/>
      <c r="GS173" s="392"/>
      <c r="GT173" s="392"/>
      <c r="GU173" s="392"/>
      <c r="GV173" s="392"/>
      <c r="GW173" s="392"/>
      <c r="GX173" s="392"/>
      <c r="GY173" s="392"/>
      <c r="GZ173" s="392"/>
      <c r="HA173" s="392"/>
      <c r="HB173" s="392"/>
      <c r="HC173" s="392"/>
      <c r="HD173" s="392"/>
      <c r="HE173" s="392"/>
      <c r="HF173" s="392"/>
      <c r="HG173" s="392"/>
      <c r="HH173" s="392"/>
      <c r="HI173" s="392"/>
      <c r="HJ173" s="392"/>
      <c r="HK173" s="392"/>
      <c r="HL173" s="392"/>
      <c r="HM173" s="392"/>
      <c r="HN173" s="392"/>
      <c r="HO173" s="392"/>
      <c r="HP173" s="392"/>
      <c r="HQ173" s="392"/>
      <c r="HR173" s="392"/>
      <c r="HS173" s="392"/>
      <c r="HT173" s="392"/>
      <c r="HU173" s="392"/>
      <c r="HV173" s="392"/>
      <c r="HW173" s="392"/>
      <c r="HX173" s="392"/>
      <c r="HY173" s="392"/>
      <c r="HZ173" s="392"/>
      <c r="IA173" s="392"/>
      <c r="IB173" s="392"/>
      <c r="IC173" s="392"/>
      <c r="ID173" s="392"/>
      <c r="IE173" s="392"/>
      <c r="IF173" s="392"/>
      <c r="IG173" s="392"/>
      <c r="IH173" s="392"/>
      <c r="II173" s="392"/>
      <c r="IJ173" s="392"/>
      <c r="IK173" s="392"/>
      <c r="IL173" s="392"/>
      <c r="IM173" s="392"/>
      <c r="IN173" s="392"/>
      <c r="IO173" s="392"/>
      <c r="IP173" s="392"/>
      <c r="IQ173" s="392"/>
      <c r="IR173" s="392"/>
      <c r="IS173" s="392"/>
      <c r="IT173" s="392"/>
      <c r="IU173" s="392"/>
      <c r="IV173" s="392"/>
    </row>
    <row r="174" spans="1:256" ht="15.75" thickBot="1">
      <c r="A174" s="392"/>
      <c r="B174" s="2346" t="e">
        <f>C165</f>
        <v>#N/A</v>
      </c>
      <c r="C174" s="2347"/>
      <c r="D174" s="584" t="s">
        <v>19</v>
      </c>
      <c r="E174" s="2348" t="str">
        <f>E172</f>
        <v>(0,30*0,30*0,60)+(0,3*0,3*0,30)</v>
      </c>
      <c r="F174" s="2348"/>
      <c r="G174" s="2349"/>
      <c r="H174" s="392"/>
      <c r="I174" s="392"/>
      <c r="J174" s="392"/>
      <c r="K174" s="392"/>
      <c r="L174" s="392"/>
      <c r="M174" s="392"/>
      <c r="N174" s="392"/>
      <c r="O174" s="392"/>
      <c r="P174" s="392"/>
      <c r="Q174" s="392"/>
      <c r="R174" s="392"/>
      <c r="S174" s="392"/>
      <c r="T174" s="392"/>
      <c r="U174" s="392"/>
      <c r="V174" s="392"/>
      <c r="W174" s="392"/>
      <c r="X174" s="392"/>
      <c r="Y174" s="392"/>
      <c r="Z174" s="392"/>
      <c r="AA174" s="392"/>
      <c r="AB174" s="392"/>
      <c r="AC174" s="392"/>
      <c r="AD174" s="392"/>
      <c r="AE174" s="392"/>
      <c r="AF174" s="392"/>
      <c r="AG174" s="392"/>
      <c r="AH174" s="392"/>
      <c r="AI174" s="392"/>
      <c r="AJ174" s="392"/>
      <c r="AK174" s="392"/>
      <c r="AL174" s="392"/>
      <c r="AM174" s="392"/>
      <c r="AN174" s="392"/>
      <c r="AO174" s="392"/>
      <c r="AP174" s="392"/>
      <c r="AQ174" s="392"/>
      <c r="AR174" s="392"/>
      <c r="AS174" s="392"/>
      <c r="AT174" s="392"/>
      <c r="AU174" s="392"/>
      <c r="AV174" s="392"/>
      <c r="AW174" s="392"/>
      <c r="AX174" s="392"/>
      <c r="AY174" s="392"/>
      <c r="AZ174" s="392"/>
      <c r="BA174" s="392"/>
      <c r="BB174" s="392"/>
      <c r="BC174" s="392"/>
      <c r="BD174" s="392"/>
      <c r="BE174" s="392"/>
      <c r="BF174" s="392"/>
      <c r="BG174" s="392"/>
      <c r="BH174" s="392"/>
      <c r="BI174" s="392"/>
      <c r="BJ174" s="392"/>
      <c r="BK174" s="392"/>
      <c r="BL174" s="392"/>
      <c r="BM174" s="392"/>
      <c r="BN174" s="392"/>
      <c r="BO174" s="392"/>
      <c r="BP174" s="392"/>
      <c r="BQ174" s="392"/>
      <c r="BR174" s="392"/>
      <c r="BS174" s="392"/>
      <c r="BT174" s="392"/>
      <c r="BU174" s="392"/>
      <c r="BV174" s="392"/>
      <c r="BW174" s="392"/>
      <c r="BX174" s="392"/>
      <c r="BY174" s="392"/>
      <c r="BZ174" s="392"/>
      <c r="CA174" s="392"/>
      <c r="CB174" s="392"/>
      <c r="CC174" s="392"/>
      <c r="CD174" s="392"/>
      <c r="CE174" s="392"/>
      <c r="CF174" s="392"/>
      <c r="CG174" s="392"/>
      <c r="CH174" s="392"/>
      <c r="CI174" s="392"/>
      <c r="CJ174" s="392"/>
      <c r="CK174" s="392"/>
      <c r="CL174" s="392"/>
      <c r="CM174" s="392"/>
      <c r="CN174" s="392"/>
      <c r="CO174" s="392"/>
      <c r="CP174" s="392"/>
      <c r="CQ174" s="392"/>
      <c r="CR174" s="392"/>
      <c r="CS174" s="392"/>
      <c r="CT174" s="392"/>
      <c r="CU174" s="392"/>
      <c r="CV174" s="392"/>
      <c r="CW174" s="392"/>
      <c r="CX174" s="392"/>
      <c r="CY174" s="392"/>
      <c r="CZ174" s="392"/>
      <c r="DA174" s="392"/>
      <c r="DB174" s="392"/>
      <c r="DC174" s="392"/>
      <c r="DD174" s="392"/>
      <c r="DE174" s="392"/>
      <c r="DF174" s="392"/>
      <c r="DG174" s="392"/>
      <c r="DH174" s="392"/>
      <c r="DI174" s="392"/>
      <c r="DJ174" s="392"/>
      <c r="DK174" s="392"/>
      <c r="DL174" s="392"/>
      <c r="DM174" s="392"/>
      <c r="DN174" s="392"/>
      <c r="DO174" s="392"/>
      <c r="DP174" s="392"/>
      <c r="DQ174" s="392"/>
      <c r="DR174" s="392"/>
      <c r="DS174" s="392"/>
      <c r="DT174" s="392"/>
      <c r="DU174" s="392"/>
      <c r="DV174" s="392"/>
      <c r="DW174" s="392"/>
      <c r="DX174" s="392"/>
      <c r="DY174" s="392"/>
      <c r="DZ174" s="392"/>
      <c r="EA174" s="392"/>
      <c r="EB174" s="392"/>
      <c r="EC174" s="392"/>
      <c r="ED174" s="392"/>
      <c r="EE174" s="392"/>
      <c r="EF174" s="392"/>
      <c r="EG174" s="392"/>
      <c r="EH174" s="392"/>
      <c r="EI174" s="392"/>
      <c r="EJ174" s="392"/>
      <c r="EK174" s="392"/>
      <c r="EL174" s="392"/>
      <c r="EM174" s="392"/>
      <c r="EN174" s="392"/>
      <c r="EO174" s="392"/>
      <c r="EP174" s="392"/>
      <c r="EQ174" s="392"/>
      <c r="ER174" s="392"/>
      <c r="ES174" s="392"/>
      <c r="ET174" s="392"/>
      <c r="EU174" s="392"/>
      <c r="EV174" s="392"/>
      <c r="EW174" s="392"/>
      <c r="EX174" s="392"/>
      <c r="EY174" s="392"/>
      <c r="EZ174" s="392"/>
      <c r="FA174" s="392"/>
      <c r="FB174" s="392"/>
      <c r="FC174" s="392"/>
      <c r="FD174" s="392"/>
      <c r="FE174" s="392"/>
      <c r="FF174" s="392"/>
      <c r="FG174" s="392"/>
      <c r="FH174" s="392"/>
      <c r="FI174" s="392"/>
      <c r="FJ174" s="392"/>
      <c r="FK174" s="392"/>
      <c r="FL174" s="392"/>
      <c r="FM174" s="392"/>
      <c r="FN174" s="392"/>
      <c r="FO174" s="392"/>
      <c r="FP174" s="392"/>
      <c r="FQ174" s="392"/>
      <c r="FR174" s="392"/>
      <c r="FS174" s="392"/>
      <c r="FT174" s="392"/>
      <c r="FU174" s="392"/>
      <c r="FV174" s="392"/>
      <c r="FW174" s="392"/>
      <c r="FX174" s="392"/>
      <c r="FY174" s="392"/>
      <c r="FZ174" s="392"/>
      <c r="GA174" s="392"/>
      <c r="GB174" s="392"/>
      <c r="GC174" s="392"/>
      <c r="GD174" s="392"/>
      <c r="GE174" s="392"/>
      <c r="GF174" s="392"/>
      <c r="GG174" s="392"/>
      <c r="GH174" s="392"/>
      <c r="GI174" s="392"/>
      <c r="GJ174" s="392"/>
      <c r="GK174" s="392"/>
      <c r="GL174" s="392"/>
      <c r="GM174" s="392"/>
      <c r="GN174" s="392"/>
      <c r="GO174" s="392"/>
      <c r="GP174" s="392"/>
      <c r="GQ174" s="392"/>
      <c r="GR174" s="392"/>
      <c r="GS174" s="392"/>
      <c r="GT174" s="392"/>
      <c r="GU174" s="392"/>
      <c r="GV174" s="392"/>
      <c r="GW174" s="392"/>
      <c r="GX174" s="392"/>
      <c r="GY174" s="392"/>
      <c r="GZ174" s="392"/>
      <c r="HA174" s="392"/>
      <c r="HB174" s="392"/>
      <c r="HC174" s="392"/>
      <c r="HD174" s="392"/>
      <c r="HE174" s="392"/>
      <c r="HF174" s="392"/>
      <c r="HG174" s="392"/>
      <c r="HH174" s="392"/>
      <c r="HI174" s="392"/>
      <c r="HJ174" s="392"/>
      <c r="HK174" s="392"/>
      <c r="HL174" s="392"/>
      <c r="HM174" s="392"/>
      <c r="HN174" s="392"/>
      <c r="HO174" s="392"/>
      <c r="HP174" s="392"/>
      <c r="HQ174" s="392"/>
      <c r="HR174" s="392"/>
      <c r="HS174" s="392"/>
      <c r="HT174" s="392"/>
      <c r="HU174" s="392"/>
      <c r="HV174" s="392"/>
      <c r="HW174" s="392"/>
      <c r="HX174" s="392"/>
      <c r="HY174" s="392"/>
      <c r="HZ174" s="392"/>
      <c r="IA174" s="392"/>
      <c r="IB174" s="392"/>
      <c r="IC174" s="392"/>
      <c r="ID174" s="392"/>
      <c r="IE174" s="392"/>
      <c r="IF174" s="392"/>
      <c r="IG174" s="392"/>
      <c r="IH174" s="392"/>
      <c r="II174" s="392"/>
      <c r="IJ174" s="392"/>
      <c r="IK174" s="392"/>
      <c r="IL174" s="392"/>
      <c r="IM174" s="392"/>
      <c r="IN174" s="392"/>
      <c r="IO174" s="392"/>
      <c r="IP174" s="392"/>
      <c r="IQ174" s="392"/>
      <c r="IR174" s="392"/>
      <c r="IS174" s="392"/>
      <c r="IT174" s="392"/>
      <c r="IU174" s="392"/>
      <c r="IV174" s="392"/>
    </row>
    <row r="175" spans="1:256" ht="13.5" thickBot="1">
      <c r="A175" s="392"/>
      <c r="B175" s="448"/>
      <c r="C175" s="448"/>
      <c r="D175" s="448"/>
      <c r="E175" s="448"/>
      <c r="F175" s="448"/>
      <c r="G175" s="448"/>
      <c r="H175" s="392"/>
      <c r="I175" s="392"/>
      <c r="J175" s="392"/>
      <c r="K175" s="392"/>
      <c r="L175" s="392"/>
      <c r="M175" s="392"/>
      <c r="N175" s="392"/>
      <c r="O175" s="392"/>
      <c r="P175" s="392"/>
      <c r="Q175" s="392"/>
      <c r="R175" s="392"/>
      <c r="S175" s="392"/>
      <c r="T175" s="392"/>
      <c r="U175" s="392"/>
      <c r="V175" s="392"/>
      <c r="W175" s="392"/>
      <c r="X175" s="392"/>
      <c r="Y175" s="392"/>
      <c r="Z175" s="392"/>
      <c r="AA175" s="392"/>
      <c r="AB175" s="392"/>
      <c r="AC175" s="392"/>
      <c r="AD175" s="392"/>
      <c r="AE175" s="392"/>
      <c r="AF175" s="392"/>
      <c r="AG175" s="392"/>
      <c r="AH175" s="392"/>
      <c r="AI175" s="392"/>
      <c r="AJ175" s="392"/>
      <c r="AK175" s="392"/>
      <c r="AL175" s="392"/>
      <c r="AM175" s="392"/>
      <c r="AN175" s="392"/>
      <c r="AO175" s="392"/>
      <c r="AP175" s="392"/>
      <c r="AQ175" s="392"/>
      <c r="AR175" s="392"/>
      <c r="AS175" s="392"/>
      <c r="AT175" s="392"/>
      <c r="AU175" s="392"/>
      <c r="AV175" s="392"/>
      <c r="AW175" s="392"/>
      <c r="AX175" s="392"/>
      <c r="AY175" s="392"/>
      <c r="AZ175" s="392"/>
      <c r="BA175" s="392"/>
      <c r="BB175" s="392"/>
      <c r="BC175" s="392"/>
      <c r="BD175" s="392"/>
      <c r="BE175" s="392"/>
      <c r="BF175" s="392"/>
      <c r="BG175" s="392"/>
      <c r="BH175" s="392"/>
      <c r="BI175" s="392"/>
      <c r="BJ175" s="392"/>
      <c r="BK175" s="392"/>
      <c r="BL175" s="392"/>
      <c r="BM175" s="392"/>
      <c r="BN175" s="392"/>
      <c r="BO175" s="392"/>
      <c r="BP175" s="392"/>
      <c r="BQ175" s="392"/>
      <c r="BR175" s="392"/>
      <c r="BS175" s="392"/>
      <c r="BT175" s="392"/>
      <c r="BU175" s="392"/>
      <c r="BV175" s="392"/>
      <c r="BW175" s="392"/>
      <c r="BX175" s="392"/>
      <c r="BY175" s="392"/>
      <c r="BZ175" s="392"/>
      <c r="CA175" s="392"/>
      <c r="CB175" s="392"/>
      <c r="CC175" s="392"/>
      <c r="CD175" s="392"/>
      <c r="CE175" s="392"/>
      <c r="CF175" s="392"/>
      <c r="CG175" s="392"/>
      <c r="CH175" s="392"/>
      <c r="CI175" s="392"/>
      <c r="CJ175" s="392"/>
      <c r="CK175" s="392"/>
      <c r="CL175" s="392"/>
      <c r="CM175" s="392"/>
      <c r="CN175" s="392"/>
      <c r="CO175" s="392"/>
      <c r="CP175" s="392"/>
      <c r="CQ175" s="392"/>
      <c r="CR175" s="392"/>
      <c r="CS175" s="392"/>
      <c r="CT175" s="392"/>
      <c r="CU175" s="392"/>
      <c r="CV175" s="392"/>
      <c r="CW175" s="392"/>
      <c r="CX175" s="392"/>
      <c r="CY175" s="392"/>
      <c r="CZ175" s="392"/>
      <c r="DA175" s="392"/>
      <c r="DB175" s="392"/>
      <c r="DC175" s="392"/>
      <c r="DD175" s="392"/>
      <c r="DE175" s="392"/>
      <c r="DF175" s="392"/>
      <c r="DG175" s="392"/>
      <c r="DH175" s="392"/>
      <c r="DI175" s="392"/>
      <c r="DJ175" s="392"/>
      <c r="DK175" s="392"/>
      <c r="DL175" s="392"/>
      <c r="DM175" s="392"/>
      <c r="DN175" s="392"/>
      <c r="DO175" s="392"/>
      <c r="DP175" s="392"/>
      <c r="DQ175" s="392"/>
      <c r="DR175" s="392"/>
      <c r="DS175" s="392"/>
      <c r="DT175" s="392"/>
      <c r="DU175" s="392"/>
      <c r="DV175" s="392"/>
      <c r="DW175" s="392"/>
      <c r="DX175" s="392"/>
      <c r="DY175" s="392"/>
      <c r="DZ175" s="392"/>
      <c r="EA175" s="392"/>
      <c r="EB175" s="392"/>
      <c r="EC175" s="392"/>
      <c r="ED175" s="392"/>
      <c r="EE175" s="392"/>
      <c r="EF175" s="392"/>
      <c r="EG175" s="392"/>
      <c r="EH175" s="392"/>
      <c r="EI175" s="392"/>
      <c r="EJ175" s="392"/>
      <c r="EK175" s="392"/>
      <c r="EL175" s="392"/>
      <c r="EM175" s="392"/>
      <c r="EN175" s="392"/>
      <c r="EO175" s="392"/>
      <c r="EP175" s="392"/>
      <c r="EQ175" s="392"/>
      <c r="ER175" s="392"/>
      <c r="ES175" s="392"/>
      <c r="ET175" s="392"/>
      <c r="EU175" s="392"/>
      <c r="EV175" s="392"/>
      <c r="EW175" s="392"/>
      <c r="EX175" s="392"/>
      <c r="EY175" s="392"/>
      <c r="EZ175" s="392"/>
      <c r="FA175" s="392"/>
      <c r="FB175" s="392"/>
      <c r="FC175" s="392"/>
      <c r="FD175" s="392"/>
      <c r="FE175" s="392"/>
      <c r="FF175" s="392"/>
      <c r="FG175" s="392"/>
      <c r="FH175" s="392"/>
      <c r="FI175" s="392"/>
      <c r="FJ175" s="392"/>
      <c r="FK175" s="392"/>
      <c r="FL175" s="392"/>
      <c r="FM175" s="392"/>
      <c r="FN175" s="392"/>
      <c r="FO175" s="392"/>
      <c r="FP175" s="392"/>
      <c r="FQ175" s="392"/>
      <c r="FR175" s="392"/>
      <c r="FS175" s="392"/>
      <c r="FT175" s="392"/>
      <c r="FU175" s="392"/>
      <c r="FV175" s="392"/>
      <c r="FW175" s="392"/>
      <c r="FX175" s="392"/>
      <c r="FY175" s="392"/>
      <c r="FZ175" s="392"/>
      <c r="GA175" s="392"/>
      <c r="GB175" s="392"/>
      <c r="GC175" s="392"/>
      <c r="GD175" s="392"/>
      <c r="GE175" s="392"/>
      <c r="GF175" s="392"/>
      <c r="GG175" s="392"/>
      <c r="GH175" s="392"/>
      <c r="GI175" s="392"/>
      <c r="GJ175" s="392"/>
      <c r="GK175" s="392"/>
      <c r="GL175" s="392"/>
      <c r="GM175" s="392"/>
      <c r="GN175" s="392"/>
      <c r="GO175" s="392"/>
      <c r="GP175" s="392"/>
      <c r="GQ175" s="392"/>
      <c r="GR175" s="392"/>
      <c r="GS175" s="392"/>
      <c r="GT175" s="392"/>
      <c r="GU175" s="392"/>
      <c r="GV175" s="392"/>
      <c r="GW175" s="392"/>
      <c r="GX175" s="392"/>
      <c r="GY175" s="392"/>
      <c r="GZ175" s="392"/>
      <c r="HA175" s="392"/>
      <c r="HB175" s="392"/>
      <c r="HC175" s="392"/>
      <c r="HD175" s="392"/>
      <c r="HE175" s="392"/>
      <c r="HF175" s="392"/>
      <c r="HG175" s="392"/>
      <c r="HH175" s="392"/>
      <c r="HI175" s="392"/>
      <c r="HJ175" s="392"/>
      <c r="HK175" s="392"/>
      <c r="HL175" s="392"/>
      <c r="HM175" s="392"/>
      <c r="HN175" s="392"/>
      <c r="HO175" s="392"/>
      <c r="HP175" s="392"/>
      <c r="HQ175" s="392"/>
      <c r="HR175" s="392"/>
      <c r="HS175" s="392"/>
      <c r="HT175" s="392"/>
      <c r="HU175" s="392"/>
      <c r="HV175" s="392"/>
      <c r="HW175" s="392"/>
      <c r="HX175" s="392"/>
      <c r="HY175" s="392"/>
      <c r="HZ175" s="392"/>
      <c r="IA175" s="392"/>
      <c r="IB175" s="392"/>
      <c r="IC175" s="392"/>
      <c r="ID175" s="392"/>
      <c r="IE175" s="392"/>
      <c r="IF175" s="392"/>
      <c r="IG175" s="392"/>
      <c r="IH175" s="392"/>
      <c r="II175" s="392"/>
      <c r="IJ175" s="392"/>
      <c r="IK175" s="392"/>
      <c r="IL175" s="392"/>
      <c r="IM175" s="392"/>
      <c r="IN175" s="392"/>
      <c r="IO175" s="392"/>
      <c r="IP175" s="392"/>
      <c r="IQ175" s="392"/>
      <c r="IR175" s="392"/>
      <c r="IS175" s="392"/>
      <c r="IT175" s="392"/>
      <c r="IU175" s="392"/>
      <c r="IV175" s="392"/>
    </row>
    <row r="176" spans="1:256" ht="16.5" thickBot="1">
      <c r="A176" s="392"/>
      <c r="B176" s="594" t="s">
        <v>13997</v>
      </c>
      <c r="C176" s="595" t="s">
        <v>635</v>
      </c>
      <c r="D176" s="595"/>
      <c r="E176" s="595"/>
      <c r="F176" s="595"/>
      <c r="G176" s="596" t="s">
        <v>22</v>
      </c>
      <c r="H176" s="392"/>
      <c r="I176" s="392"/>
      <c r="J176" s="392"/>
      <c r="K176" s="392"/>
      <c r="L176" s="392"/>
      <c r="M176" s="392"/>
      <c r="N176" s="392"/>
      <c r="O176" s="392"/>
      <c r="P176" s="392"/>
      <c r="Q176" s="392"/>
      <c r="R176" s="392"/>
      <c r="S176" s="392"/>
      <c r="T176" s="392"/>
      <c r="U176" s="392"/>
      <c r="V176" s="392"/>
      <c r="W176" s="392"/>
      <c r="X176" s="392"/>
      <c r="Y176" s="392"/>
      <c r="Z176" s="392"/>
      <c r="AA176" s="392"/>
      <c r="AB176" s="392"/>
      <c r="AC176" s="392"/>
      <c r="AD176" s="392"/>
      <c r="AE176" s="392"/>
      <c r="AF176" s="392"/>
      <c r="AG176" s="392"/>
      <c r="AH176" s="392"/>
      <c r="AI176" s="392"/>
      <c r="AJ176" s="392"/>
      <c r="AK176" s="392"/>
      <c r="AL176" s="392"/>
      <c r="AM176" s="392"/>
      <c r="AN176" s="392"/>
      <c r="AO176" s="392"/>
      <c r="AP176" s="392"/>
      <c r="AQ176" s="392"/>
      <c r="AR176" s="392"/>
      <c r="AS176" s="392"/>
      <c r="AT176" s="392"/>
      <c r="AU176" s="392"/>
      <c r="AV176" s="392"/>
      <c r="AW176" s="392"/>
      <c r="AX176" s="392"/>
      <c r="AY176" s="392"/>
      <c r="AZ176" s="392"/>
      <c r="BA176" s="392"/>
      <c r="BB176" s="392"/>
      <c r="BC176" s="392"/>
      <c r="BD176" s="392"/>
      <c r="BE176" s="392"/>
      <c r="BF176" s="392"/>
      <c r="BG176" s="392"/>
      <c r="BH176" s="392"/>
      <c r="BI176" s="392"/>
      <c r="BJ176" s="392"/>
      <c r="BK176" s="392"/>
      <c r="BL176" s="392"/>
      <c r="BM176" s="392"/>
      <c r="BN176" s="392"/>
      <c r="BO176" s="392"/>
      <c r="BP176" s="392"/>
      <c r="BQ176" s="392"/>
      <c r="BR176" s="392"/>
      <c r="BS176" s="392"/>
      <c r="BT176" s="392"/>
      <c r="BU176" s="392"/>
      <c r="BV176" s="392"/>
      <c r="BW176" s="392"/>
      <c r="BX176" s="392"/>
      <c r="BY176" s="392"/>
      <c r="BZ176" s="392"/>
      <c r="CA176" s="392"/>
      <c r="CB176" s="392"/>
      <c r="CC176" s="392"/>
      <c r="CD176" s="392"/>
      <c r="CE176" s="392"/>
      <c r="CF176" s="392"/>
      <c r="CG176" s="392"/>
      <c r="CH176" s="392"/>
      <c r="CI176" s="392"/>
      <c r="CJ176" s="392"/>
      <c r="CK176" s="392"/>
      <c r="CL176" s="392"/>
      <c r="CM176" s="392"/>
      <c r="CN176" s="392"/>
      <c r="CO176" s="392"/>
      <c r="CP176" s="392"/>
      <c r="CQ176" s="392"/>
      <c r="CR176" s="392"/>
      <c r="CS176" s="392"/>
      <c r="CT176" s="392"/>
      <c r="CU176" s="392"/>
      <c r="CV176" s="392"/>
      <c r="CW176" s="392"/>
      <c r="CX176" s="392"/>
      <c r="CY176" s="392"/>
      <c r="CZ176" s="392"/>
      <c r="DA176" s="392"/>
      <c r="DB176" s="392"/>
      <c r="DC176" s="392"/>
      <c r="DD176" s="392"/>
      <c r="DE176" s="392"/>
      <c r="DF176" s="392"/>
      <c r="DG176" s="392"/>
      <c r="DH176" s="392"/>
      <c r="DI176" s="392"/>
      <c r="DJ176" s="392"/>
      <c r="DK176" s="392"/>
      <c r="DL176" s="392"/>
      <c r="DM176" s="392"/>
      <c r="DN176" s="392"/>
      <c r="DO176" s="392"/>
      <c r="DP176" s="392"/>
      <c r="DQ176" s="392"/>
      <c r="DR176" s="392"/>
      <c r="DS176" s="392"/>
      <c r="DT176" s="392"/>
      <c r="DU176" s="392"/>
      <c r="DV176" s="392"/>
      <c r="DW176" s="392"/>
      <c r="DX176" s="392"/>
      <c r="DY176" s="392"/>
      <c r="DZ176" s="392"/>
      <c r="EA176" s="392"/>
      <c r="EB176" s="392"/>
      <c r="EC176" s="392"/>
      <c r="ED176" s="392"/>
      <c r="EE176" s="392"/>
      <c r="EF176" s="392"/>
      <c r="EG176" s="392"/>
      <c r="EH176" s="392"/>
      <c r="EI176" s="392"/>
      <c r="EJ176" s="392"/>
      <c r="EK176" s="392"/>
      <c r="EL176" s="392"/>
      <c r="EM176" s="392"/>
      <c r="EN176" s="392"/>
      <c r="EO176" s="392"/>
      <c r="EP176" s="392"/>
      <c r="EQ176" s="392"/>
      <c r="ER176" s="392"/>
      <c r="ES176" s="392"/>
      <c r="ET176" s="392"/>
      <c r="EU176" s="392"/>
      <c r="EV176" s="392"/>
      <c r="EW176" s="392"/>
      <c r="EX176" s="392"/>
      <c r="EY176" s="392"/>
      <c r="EZ176" s="392"/>
      <c r="FA176" s="392"/>
      <c r="FB176" s="392"/>
      <c r="FC176" s="392"/>
      <c r="FD176" s="392"/>
      <c r="FE176" s="392"/>
      <c r="FF176" s="392"/>
      <c r="FG176" s="392"/>
      <c r="FH176" s="392"/>
      <c r="FI176" s="392"/>
      <c r="FJ176" s="392"/>
      <c r="FK176" s="392"/>
      <c r="FL176" s="392"/>
      <c r="FM176" s="392"/>
      <c r="FN176" s="392"/>
      <c r="FO176" s="392"/>
      <c r="FP176" s="392"/>
      <c r="FQ176" s="392"/>
      <c r="FR176" s="392"/>
      <c r="FS176" s="392"/>
      <c r="FT176" s="392"/>
      <c r="FU176" s="392"/>
      <c r="FV176" s="392"/>
      <c r="FW176" s="392"/>
      <c r="FX176" s="392"/>
      <c r="FY176" s="392"/>
      <c r="FZ176" s="392"/>
      <c r="GA176" s="392"/>
      <c r="GB176" s="392"/>
      <c r="GC176" s="392"/>
      <c r="GD176" s="392"/>
      <c r="GE176" s="392"/>
      <c r="GF176" s="392"/>
      <c r="GG176" s="392"/>
      <c r="GH176" s="392"/>
      <c r="GI176" s="392"/>
      <c r="GJ176" s="392"/>
      <c r="GK176" s="392"/>
      <c r="GL176" s="392"/>
      <c r="GM176" s="392"/>
      <c r="GN176" s="392"/>
      <c r="GO176" s="392"/>
      <c r="GP176" s="392"/>
      <c r="GQ176" s="392"/>
      <c r="GR176" s="392"/>
      <c r="GS176" s="392"/>
      <c r="GT176" s="392"/>
      <c r="GU176" s="392"/>
      <c r="GV176" s="392"/>
      <c r="GW176" s="392"/>
      <c r="GX176" s="392"/>
      <c r="GY176" s="392"/>
      <c r="GZ176" s="392"/>
      <c r="HA176" s="392"/>
      <c r="HB176" s="392"/>
      <c r="HC176" s="392"/>
      <c r="HD176" s="392"/>
      <c r="HE176" s="392"/>
      <c r="HF176" s="392"/>
      <c r="HG176" s="392"/>
      <c r="HH176" s="392"/>
      <c r="HI176" s="392"/>
      <c r="HJ176" s="392"/>
      <c r="HK176" s="392"/>
      <c r="HL176" s="392"/>
      <c r="HM176" s="392"/>
      <c r="HN176" s="392"/>
      <c r="HO176" s="392"/>
      <c r="HP176" s="392"/>
      <c r="HQ176" s="392"/>
      <c r="HR176" s="392"/>
      <c r="HS176" s="392"/>
      <c r="HT176" s="392"/>
      <c r="HU176" s="392"/>
      <c r="HV176" s="392"/>
      <c r="HW176" s="392"/>
      <c r="HX176" s="392"/>
      <c r="HY176" s="392"/>
      <c r="HZ176" s="392"/>
      <c r="IA176" s="392"/>
      <c r="IB176" s="392"/>
      <c r="IC176" s="392"/>
      <c r="ID176" s="392"/>
      <c r="IE176" s="392"/>
      <c r="IF176" s="392"/>
      <c r="IG176" s="392"/>
      <c r="IH176" s="392"/>
      <c r="II176" s="392"/>
      <c r="IJ176" s="392"/>
      <c r="IK176" s="392"/>
      <c r="IL176" s="392"/>
      <c r="IM176" s="392"/>
      <c r="IN176" s="392"/>
      <c r="IO176" s="392"/>
      <c r="IP176" s="392"/>
      <c r="IQ176" s="392"/>
      <c r="IR176" s="392"/>
      <c r="IS176" s="392"/>
      <c r="IT176" s="392"/>
      <c r="IU176" s="392"/>
      <c r="IV176" s="392"/>
    </row>
    <row r="177" spans="1:256" ht="31.5">
      <c r="A177" s="392"/>
      <c r="B177" s="590" t="s">
        <v>197</v>
      </c>
      <c r="C177" s="591" t="s">
        <v>161</v>
      </c>
      <c r="D177" s="591" t="s">
        <v>22</v>
      </c>
      <c r="E177" s="591" t="s">
        <v>162</v>
      </c>
      <c r="F177" s="592" t="s">
        <v>186</v>
      </c>
      <c r="G177" s="593" t="s">
        <v>187</v>
      </c>
      <c r="H177" s="392"/>
      <c r="I177" s="392"/>
      <c r="J177" s="392"/>
      <c r="K177" s="392"/>
      <c r="L177" s="392"/>
      <c r="M177" s="392"/>
      <c r="N177" s="392"/>
      <c r="O177" s="392"/>
      <c r="P177" s="392"/>
      <c r="Q177" s="392"/>
      <c r="R177" s="392"/>
      <c r="S177" s="392"/>
      <c r="T177" s="392"/>
      <c r="U177" s="392"/>
      <c r="V177" s="392"/>
      <c r="W177" s="392"/>
      <c r="X177" s="392"/>
      <c r="Y177" s="392"/>
      <c r="Z177" s="392"/>
      <c r="AA177" s="392"/>
      <c r="AB177" s="392"/>
      <c r="AC177" s="392"/>
      <c r="AD177" s="392"/>
      <c r="AE177" s="392"/>
      <c r="AF177" s="392"/>
      <c r="AG177" s="392"/>
      <c r="AH177" s="392"/>
      <c r="AI177" s="392"/>
      <c r="AJ177" s="392"/>
      <c r="AK177" s="392"/>
      <c r="AL177" s="392"/>
      <c r="AM177" s="392"/>
      <c r="AN177" s="392"/>
      <c r="AO177" s="392"/>
      <c r="AP177" s="392"/>
      <c r="AQ177" s="392"/>
      <c r="AR177" s="392"/>
      <c r="AS177" s="392"/>
      <c r="AT177" s="392"/>
      <c r="AU177" s="392"/>
      <c r="AV177" s="392"/>
      <c r="AW177" s="392"/>
      <c r="AX177" s="392"/>
      <c r="AY177" s="392"/>
      <c r="AZ177" s="392"/>
      <c r="BA177" s="392"/>
      <c r="BB177" s="392"/>
      <c r="BC177" s="392"/>
      <c r="BD177" s="392"/>
      <c r="BE177" s="392"/>
      <c r="BF177" s="392"/>
      <c r="BG177" s="392"/>
      <c r="BH177" s="392"/>
      <c r="BI177" s="392"/>
      <c r="BJ177" s="392"/>
      <c r="BK177" s="392"/>
      <c r="BL177" s="392"/>
      <c r="BM177" s="392"/>
      <c r="BN177" s="392"/>
      <c r="BO177" s="392"/>
      <c r="BP177" s="392"/>
      <c r="BQ177" s="392"/>
      <c r="BR177" s="392"/>
      <c r="BS177" s="392"/>
      <c r="BT177" s="392"/>
      <c r="BU177" s="392"/>
      <c r="BV177" s="392"/>
      <c r="BW177" s="392"/>
      <c r="BX177" s="392"/>
      <c r="BY177" s="392"/>
      <c r="BZ177" s="392"/>
      <c r="CA177" s="392"/>
      <c r="CB177" s="392"/>
      <c r="CC177" s="392"/>
      <c r="CD177" s="392"/>
      <c r="CE177" s="392"/>
      <c r="CF177" s="392"/>
      <c r="CG177" s="392"/>
      <c r="CH177" s="392"/>
      <c r="CI177" s="392"/>
      <c r="CJ177" s="392"/>
      <c r="CK177" s="392"/>
      <c r="CL177" s="392"/>
      <c r="CM177" s="392"/>
      <c r="CN177" s="392"/>
      <c r="CO177" s="392"/>
      <c r="CP177" s="392"/>
      <c r="CQ177" s="392"/>
      <c r="CR177" s="392"/>
      <c r="CS177" s="392"/>
      <c r="CT177" s="392"/>
      <c r="CU177" s="392"/>
      <c r="CV177" s="392"/>
      <c r="CW177" s="392"/>
      <c r="CX177" s="392"/>
      <c r="CY177" s="392"/>
      <c r="CZ177" s="392"/>
      <c r="DA177" s="392"/>
      <c r="DB177" s="392"/>
      <c r="DC177" s="392"/>
      <c r="DD177" s="392"/>
      <c r="DE177" s="392"/>
      <c r="DF177" s="392"/>
      <c r="DG177" s="392"/>
      <c r="DH177" s="392"/>
      <c r="DI177" s="392"/>
      <c r="DJ177" s="392"/>
      <c r="DK177" s="392"/>
      <c r="DL177" s="392"/>
      <c r="DM177" s="392"/>
      <c r="DN177" s="392"/>
      <c r="DO177" s="392"/>
      <c r="DP177" s="392"/>
      <c r="DQ177" s="392"/>
      <c r="DR177" s="392"/>
      <c r="DS177" s="392"/>
      <c r="DT177" s="392"/>
      <c r="DU177" s="392"/>
      <c r="DV177" s="392"/>
      <c r="DW177" s="392"/>
      <c r="DX177" s="392"/>
      <c r="DY177" s="392"/>
      <c r="DZ177" s="392"/>
      <c r="EA177" s="392"/>
      <c r="EB177" s="392"/>
      <c r="EC177" s="392"/>
      <c r="ED177" s="392"/>
      <c r="EE177" s="392"/>
      <c r="EF177" s="392"/>
      <c r="EG177" s="392"/>
      <c r="EH177" s="392"/>
      <c r="EI177" s="392"/>
      <c r="EJ177" s="392"/>
      <c r="EK177" s="392"/>
      <c r="EL177" s="392"/>
      <c r="EM177" s="392"/>
      <c r="EN177" s="392"/>
      <c r="EO177" s="392"/>
      <c r="EP177" s="392"/>
      <c r="EQ177" s="392"/>
      <c r="ER177" s="392"/>
      <c r="ES177" s="392"/>
      <c r="ET177" s="392"/>
      <c r="EU177" s="392"/>
      <c r="EV177" s="392"/>
      <c r="EW177" s="392"/>
      <c r="EX177" s="392"/>
      <c r="EY177" s="392"/>
      <c r="EZ177" s="392"/>
      <c r="FA177" s="392"/>
      <c r="FB177" s="392"/>
      <c r="FC177" s="392"/>
      <c r="FD177" s="392"/>
      <c r="FE177" s="392"/>
      <c r="FF177" s="392"/>
      <c r="FG177" s="392"/>
      <c r="FH177" s="392"/>
      <c r="FI177" s="392"/>
      <c r="FJ177" s="392"/>
      <c r="FK177" s="392"/>
      <c r="FL177" s="392"/>
      <c r="FM177" s="392"/>
      <c r="FN177" s="392"/>
      <c r="FO177" s="392"/>
      <c r="FP177" s="392"/>
      <c r="FQ177" s="392"/>
      <c r="FR177" s="392"/>
      <c r="FS177" s="392"/>
      <c r="FT177" s="392"/>
      <c r="FU177" s="392"/>
      <c r="FV177" s="392"/>
      <c r="FW177" s="392"/>
      <c r="FX177" s="392"/>
      <c r="FY177" s="392"/>
      <c r="FZ177" s="392"/>
      <c r="GA177" s="392"/>
      <c r="GB177" s="392"/>
      <c r="GC177" s="392"/>
      <c r="GD177" s="392"/>
      <c r="GE177" s="392"/>
      <c r="GF177" s="392"/>
      <c r="GG177" s="392"/>
      <c r="GH177" s="392"/>
      <c r="GI177" s="392"/>
      <c r="GJ177" s="392"/>
      <c r="GK177" s="392"/>
      <c r="GL177" s="392"/>
      <c r="GM177" s="392"/>
      <c r="GN177" s="392"/>
      <c r="GO177" s="392"/>
      <c r="GP177" s="392"/>
      <c r="GQ177" s="392"/>
      <c r="GR177" s="392"/>
      <c r="GS177" s="392"/>
      <c r="GT177" s="392"/>
      <c r="GU177" s="392"/>
      <c r="GV177" s="392"/>
      <c r="GW177" s="392"/>
      <c r="GX177" s="392"/>
      <c r="GY177" s="392"/>
      <c r="GZ177" s="392"/>
      <c r="HA177" s="392"/>
      <c r="HB177" s="392"/>
      <c r="HC177" s="392"/>
      <c r="HD177" s="392"/>
      <c r="HE177" s="392"/>
      <c r="HF177" s="392"/>
      <c r="HG177" s="392"/>
      <c r="HH177" s="392"/>
      <c r="HI177" s="392"/>
      <c r="HJ177" s="392"/>
      <c r="HK177" s="392"/>
      <c r="HL177" s="392"/>
      <c r="HM177" s="392"/>
      <c r="HN177" s="392"/>
      <c r="HO177" s="392"/>
      <c r="HP177" s="392"/>
      <c r="HQ177" s="392"/>
      <c r="HR177" s="392"/>
      <c r="HS177" s="392"/>
      <c r="HT177" s="392"/>
      <c r="HU177" s="392"/>
      <c r="HV177" s="392"/>
      <c r="HW177" s="392"/>
      <c r="HX177" s="392"/>
      <c r="HY177" s="392"/>
      <c r="HZ177" s="392"/>
      <c r="IA177" s="392"/>
      <c r="IB177" s="392"/>
      <c r="IC177" s="392"/>
      <c r="ID177" s="392"/>
      <c r="IE177" s="392"/>
      <c r="IF177" s="392"/>
      <c r="IG177" s="392"/>
      <c r="IH177" s="392"/>
      <c r="II177" s="392"/>
      <c r="IJ177" s="392"/>
      <c r="IK177" s="392"/>
      <c r="IL177" s="392"/>
      <c r="IM177" s="392"/>
      <c r="IN177" s="392"/>
      <c r="IO177" s="392"/>
      <c r="IP177" s="392"/>
      <c r="IQ177" s="392"/>
      <c r="IR177" s="392"/>
      <c r="IS177" s="392"/>
      <c r="IT177" s="392"/>
      <c r="IU177" s="392"/>
      <c r="IV177" s="392"/>
    </row>
    <row r="178" spans="1:256" ht="16.5" thickBot="1">
      <c r="A178" s="392"/>
      <c r="B178" s="2322" t="s">
        <v>165</v>
      </c>
      <c r="C178" s="2323"/>
      <c r="D178" s="2323"/>
      <c r="E178" s="2323"/>
      <c r="F178" s="2323"/>
      <c r="G178" s="2324"/>
      <c r="H178" s="392"/>
      <c r="I178" s="392"/>
      <c r="J178" s="392"/>
      <c r="K178" s="392"/>
      <c r="L178" s="392"/>
      <c r="M178" s="392"/>
      <c r="N178" s="392"/>
      <c r="O178" s="392"/>
      <c r="P178" s="392"/>
      <c r="Q178" s="392"/>
      <c r="R178" s="392"/>
      <c r="S178" s="392"/>
      <c r="T178" s="392"/>
      <c r="U178" s="392"/>
      <c r="V178" s="392"/>
      <c r="W178" s="392"/>
      <c r="X178" s="392"/>
      <c r="Y178" s="392"/>
      <c r="Z178" s="392"/>
      <c r="AA178" s="392"/>
      <c r="AB178" s="392"/>
      <c r="AC178" s="392"/>
      <c r="AD178" s="392"/>
      <c r="AE178" s="392"/>
      <c r="AF178" s="392"/>
      <c r="AG178" s="392"/>
      <c r="AH178" s="392"/>
      <c r="AI178" s="392"/>
      <c r="AJ178" s="392"/>
      <c r="AK178" s="392"/>
      <c r="AL178" s="392"/>
      <c r="AM178" s="392"/>
      <c r="AN178" s="392"/>
      <c r="AO178" s="392"/>
      <c r="AP178" s="392"/>
      <c r="AQ178" s="392"/>
      <c r="AR178" s="392"/>
      <c r="AS178" s="392"/>
      <c r="AT178" s="392"/>
      <c r="AU178" s="392"/>
      <c r="AV178" s="392"/>
      <c r="AW178" s="392"/>
      <c r="AX178" s="392"/>
      <c r="AY178" s="392"/>
      <c r="AZ178" s="392"/>
      <c r="BA178" s="392"/>
      <c r="BB178" s="392"/>
      <c r="BC178" s="392"/>
      <c r="BD178" s="392"/>
      <c r="BE178" s="392"/>
      <c r="BF178" s="392"/>
      <c r="BG178" s="392"/>
      <c r="BH178" s="392"/>
      <c r="BI178" s="392"/>
      <c r="BJ178" s="392"/>
      <c r="BK178" s="392"/>
      <c r="BL178" s="392"/>
      <c r="BM178" s="392"/>
      <c r="BN178" s="392"/>
      <c r="BO178" s="392"/>
      <c r="BP178" s="392"/>
      <c r="BQ178" s="392"/>
      <c r="BR178" s="392"/>
      <c r="BS178" s="392"/>
      <c r="BT178" s="392"/>
      <c r="BU178" s="392"/>
      <c r="BV178" s="392"/>
      <c r="BW178" s="392"/>
      <c r="BX178" s="392"/>
      <c r="BY178" s="392"/>
      <c r="BZ178" s="392"/>
      <c r="CA178" s="392"/>
      <c r="CB178" s="392"/>
      <c r="CC178" s="392"/>
      <c r="CD178" s="392"/>
      <c r="CE178" s="392"/>
      <c r="CF178" s="392"/>
      <c r="CG178" s="392"/>
      <c r="CH178" s="392"/>
      <c r="CI178" s="392"/>
      <c r="CJ178" s="392"/>
      <c r="CK178" s="392"/>
      <c r="CL178" s="392"/>
      <c r="CM178" s="392"/>
      <c r="CN178" s="392"/>
      <c r="CO178" s="392"/>
      <c r="CP178" s="392"/>
      <c r="CQ178" s="392"/>
      <c r="CR178" s="392"/>
      <c r="CS178" s="392"/>
      <c r="CT178" s="392"/>
      <c r="CU178" s="392"/>
      <c r="CV178" s="392"/>
      <c r="CW178" s="392"/>
      <c r="CX178" s="392"/>
      <c r="CY178" s="392"/>
      <c r="CZ178" s="392"/>
      <c r="DA178" s="392"/>
      <c r="DB178" s="392"/>
      <c r="DC178" s="392"/>
      <c r="DD178" s="392"/>
      <c r="DE178" s="392"/>
      <c r="DF178" s="392"/>
      <c r="DG178" s="392"/>
      <c r="DH178" s="392"/>
      <c r="DI178" s="392"/>
      <c r="DJ178" s="392"/>
      <c r="DK178" s="392"/>
      <c r="DL178" s="392"/>
      <c r="DM178" s="392"/>
      <c r="DN178" s="392"/>
      <c r="DO178" s="392"/>
      <c r="DP178" s="392"/>
      <c r="DQ178" s="392"/>
      <c r="DR178" s="392"/>
      <c r="DS178" s="392"/>
      <c r="DT178" s="392"/>
      <c r="DU178" s="392"/>
      <c r="DV178" s="392"/>
      <c r="DW178" s="392"/>
      <c r="DX178" s="392"/>
      <c r="DY178" s="392"/>
      <c r="DZ178" s="392"/>
      <c r="EA178" s="392"/>
      <c r="EB178" s="392"/>
      <c r="EC178" s="392"/>
      <c r="ED178" s="392"/>
      <c r="EE178" s="392"/>
      <c r="EF178" s="392"/>
      <c r="EG178" s="392"/>
      <c r="EH178" s="392"/>
      <c r="EI178" s="392"/>
      <c r="EJ178" s="392"/>
      <c r="EK178" s="392"/>
      <c r="EL178" s="392"/>
      <c r="EM178" s="392"/>
      <c r="EN178" s="392"/>
      <c r="EO178" s="392"/>
      <c r="EP178" s="392"/>
      <c r="EQ178" s="392"/>
      <c r="ER178" s="392"/>
      <c r="ES178" s="392"/>
      <c r="ET178" s="392"/>
      <c r="EU178" s="392"/>
      <c r="EV178" s="392"/>
      <c r="EW178" s="392"/>
      <c r="EX178" s="392"/>
      <c r="EY178" s="392"/>
      <c r="EZ178" s="392"/>
      <c r="FA178" s="392"/>
      <c r="FB178" s="392"/>
      <c r="FC178" s="392"/>
      <c r="FD178" s="392"/>
      <c r="FE178" s="392"/>
      <c r="FF178" s="392"/>
      <c r="FG178" s="392"/>
      <c r="FH178" s="392"/>
      <c r="FI178" s="392"/>
      <c r="FJ178" s="392"/>
      <c r="FK178" s="392"/>
      <c r="FL178" s="392"/>
      <c r="FM178" s="392"/>
      <c r="FN178" s="392"/>
      <c r="FO178" s="392"/>
      <c r="FP178" s="392"/>
      <c r="FQ178" s="392"/>
      <c r="FR178" s="392"/>
      <c r="FS178" s="392"/>
      <c r="FT178" s="392"/>
      <c r="FU178" s="392"/>
      <c r="FV178" s="392"/>
      <c r="FW178" s="392"/>
      <c r="FX178" s="392"/>
      <c r="FY178" s="392"/>
      <c r="FZ178" s="392"/>
      <c r="GA178" s="392"/>
      <c r="GB178" s="392"/>
      <c r="GC178" s="392"/>
      <c r="GD178" s="392"/>
      <c r="GE178" s="392"/>
      <c r="GF178" s="392"/>
      <c r="GG178" s="392"/>
      <c r="GH178" s="392"/>
      <c r="GI178" s="392"/>
      <c r="GJ178" s="392"/>
      <c r="GK178" s="392"/>
      <c r="GL178" s="392"/>
      <c r="GM178" s="392"/>
      <c r="GN178" s="392"/>
      <c r="GO178" s="392"/>
      <c r="GP178" s="392"/>
      <c r="GQ178" s="392"/>
      <c r="GR178" s="392"/>
      <c r="GS178" s="392"/>
      <c r="GT178" s="392"/>
      <c r="GU178" s="392"/>
      <c r="GV178" s="392"/>
      <c r="GW178" s="392"/>
      <c r="GX178" s="392"/>
      <c r="GY178" s="392"/>
      <c r="GZ178" s="392"/>
      <c r="HA178" s="392"/>
      <c r="HB178" s="392"/>
      <c r="HC178" s="392"/>
      <c r="HD178" s="392"/>
      <c r="HE178" s="392"/>
      <c r="HF178" s="392"/>
      <c r="HG178" s="392"/>
      <c r="HH178" s="392"/>
      <c r="HI178" s="392"/>
      <c r="HJ178" s="392"/>
      <c r="HK178" s="392"/>
      <c r="HL178" s="392"/>
      <c r="HM178" s="392"/>
      <c r="HN178" s="392"/>
      <c r="HO178" s="392"/>
      <c r="HP178" s="392"/>
      <c r="HQ178" s="392"/>
      <c r="HR178" s="392"/>
      <c r="HS178" s="392"/>
      <c r="HT178" s="392"/>
      <c r="HU178" s="392"/>
      <c r="HV178" s="392"/>
      <c r="HW178" s="392"/>
      <c r="HX178" s="392"/>
      <c r="HY178" s="392"/>
      <c r="HZ178" s="392"/>
      <c r="IA178" s="392"/>
      <c r="IB178" s="392"/>
      <c r="IC178" s="392"/>
      <c r="ID178" s="392"/>
      <c r="IE178" s="392"/>
      <c r="IF178" s="392"/>
      <c r="IG178" s="392"/>
      <c r="IH178" s="392"/>
      <c r="II178" s="392"/>
      <c r="IJ178" s="392"/>
      <c r="IK178" s="392"/>
      <c r="IL178" s="392"/>
      <c r="IM178" s="392"/>
      <c r="IN178" s="392"/>
      <c r="IO178" s="392"/>
      <c r="IP178" s="392"/>
      <c r="IQ178" s="392"/>
      <c r="IR178" s="392"/>
      <c r="IS178" s="392"/>
      <c r="IT178" s="392"/>
      <c r="IU178" s="392"/>
      <c r="IV178" s="392"/>
    </row>
    <row r="179" spans="1:256" ht="15.75">
      <c r="A179" s="392"/>
      <c r="B179" s="585" t="s">
        <v>616</v>
      </c>
      <c r="C179" s="586" t="str">
        <f>C23</f>
        <v>SIMULADOR DE CAMINHADA</v>
      </c>
      <c r="D179" s="587" t="s">
        <v>22</v>
      </c>
      <c r="E179" s="597">
        <v>1</v>
      </c>
      <c r="F179" s="588">
        <f>E23</f>
        <v>1540</v>
      </c>
      <c r="G179" s="589">
        <f>TRUNC(F179*E179,2)</f>
        <v>1540</v>
      </c>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c r="AE179" s="392"/>
      <c r="AF179" s="392"/>
      <c r="AG179" s="392"/>
      <c r="AH179" s="392"/>
      <c r="AI179" s="392"/>
      <c r="AJ179" s="392"/>
      <c r="AK179" s="392"/>
      <c r="AL179" s="392"/>
      <c r="AM179" s="392"/>
      <c r="AN179" s="392"/>
      <c r="AO179" s="392"/>
      <c r="AP179" s="392"/>
      <c r="AQ179" s="392"/>
      <c r="AR179" s="392"/>
      <c r="AS179" s="392"/>
      <c r="AT179" s="392"/>
      <c r="AU179" s="392"/>
      <c r="AV179" s="392"/>
      <c r="AW179" s="392"/>
      <c r="AX179" s="392"/>
      <c r="AY179" s="392"/>
      <c r="AZ179" s="392"/>
      <c r="BA179" s="392"/>
      <c r="BB179" s="392"/>
      <c r="BC179" s="392"/>
      <c r="BD179" s="392"/>
      <c r="BE179" s="392"/>
      <c r="BF179" s="392"/>
      <c r="BG179" s="392"/>
      <c r="BH179" s="392"/>
      <c r="BI179" s="392"/>
      <c r="BJ179" s="392"/>
      <c r="BK179" s="392"/>
      <c r="BL179" s="392"/>
      <c r="BM179" s="392"/>
      <c r="BN179" s="392"/>
      <c r="BO179" s="392"/>
      <c r="BP179" s="392"/>
      <c r="BQ179" s="392"/>
      <c r="BR179" s="392"/>
      <c r="BS179" s="392"/>
      <c r="BT179" s="392"/>
      <c r="BU179" s="392"/>
      <c r="BV179" s="392"/>
      <c r="BW179" s="392"/>
      <c r="BX179" s="392"/>
      <c r="BY179" s="392"/>
      <c r="BZ179" s="392"/>
      <c r="CA179" s="392"/>
      <c r="CB179" s="392"/>
      <c r="CC179" s="392"/>
      <c r="CD179" s="392"/>
      <c r="CE179" s="392"/>
      <c r="CF179" s="392"/>
      <c r="CG179" s="392"/>
      <c r="CH179" s="392"/>
      <c r="CI179" s="392"/>
      <c r="CJ179" s="392"/>
      <c r="CK179" s="392"/>
      <c r="CL179" s="392"/>
      <c r="CM179" s="392"/>
      <c r="CN179" s="392"/>
      <c r="CO179" s="392"/>
      <c r="CP179" s="392"/>
      <c r="CQ179" s="392"/>
      <c r="CR179" s="392"/>
      <c r="CS179" s="392"/>
      <c r="CT179" s="392"/>
      <c r="CU179" s="392"/>
      <c r="CV179" s="392"/>
      <c r="CW179" s="392"/>
      <c r="CX179" s="392"/>
      <c r="CY179" s="392"/>
      <c r="CZ179" s="392"/>
      <c r="DA179" s="392"/>
      <c r="DB179" s="392"/>
      <c r="DC179" s="392"/>
      <c r="DD179" s="392"/>
      <c r="DE179" s="392"/>
      <c r="DF179" s="392"/>
      <c r="DG179" s="392"/>
      <c r="DH179" s="392"/>
      <c r="DI179" s="392"/>
      <c r="DJ179" s="392"/>
      <c r="DK179" s="392"/>
      <c r="DL179" s="392"/>
      <c r="DM179" s="392"/>
      <c r="DN179" s="392"/>
      <c r="DO179" s="392"/>
      <c r="DP179" s="392"/>
      <c r="DQ179" s="392"/>
      <c r="DR179" s="392"/>
      <c r="DS179" s="392"/>
      <c r="DT179" s="392"/>
      <c r="DU179" s="392"/>
      <c r="DV179" s="392"/>
      <c r="DW179" s="392"/>
      <c r="DX179" s="392"/>
      <c r="DY179" s="392"/>
      <c r="DZ179" s="392"/>
      <c r="EA179" s="392"/>
      <c r="EB179" s="392"/>
      <c r="EC179" s="392"/>
      <c r="ED179" s="392"/>
      <c r="EE179" s="392"/>
      <c r="EF179" s="392"/>
      <c r="EG179" s="392"/>
      <c r="EH179" s="392"/>
      <c r="EI179" s="392"/>
      <c r="EJ179" s="392"/>
      <c r="EK179" s="392"/>
      <c r="EL179" s="392"/>
      <c r="EM179" s="392"/>
      <c r="EN179" s="392"/>
      <c r="EO179" s="392"/>
      <c r="EP179" s="392"/>
      <c r="EQ179" s="392"/>
      <c r="ER179" s="392"/>
      <c r="ES179" s="392"/>
      <c r="ET179" s="392"/>
      <c r="EU179" s="392"/>
      <c r="EV179" s="392"/>
      <c r="EW179" s="392"/>
      <c r="EX179" s="392"/>
      <c r="EY179" s="392"/>
      <c r="EZ179" s="392"/>
      <c r="FA179" s="392"/>
      <c r="FB179" s="392"/>
      <c r="FC179" s="392"/>
      <c r="FD179" s="392"/>
      <c r="FE179" s="392"/>
      <c r="FF179" s="392"/>
      <c r="FG179" s="392"/>
      <c r="FH179" s="392"/>
      <c r="FI179" s="392"/>
      <c r="FJ179" s="392"/>
      <c r="FK179" s="392"/>
      <c r="FL179" s="392"/>
      <c r="FM179" s="392"/>
      <c r="FN179" s="392"/>
      <c r="FO179" s="392"/>
      <c r="FP179" s="392"/>
      <c r="FQ179" s="392"/>
      <c r="FR179" s="392"/>
      <c r="FS179" s="392"/>
      <c r="FT179" s="392"/>
      <c r="FU179" s="392"/>
      <c r="FV179" s="392"/>
      <c r="FW179" s="392"/>
      <c r="FX179" s="392"/>
      <c r="FY179" s="392"/>
      <c r="FZ179" s="392"/>
      <c r="GA179" s="392"/>
      <c r="GB179" s="392"/>
      <c r="GC179" s="392"/>
      <c r="GD179" s="392"/>
      <c r="GE179" s="392"/>
      <c r="GF179" s="392"/>
      <c r="GG179" s="392"/>
      <c r="GH179" s="392"/>
      <c r="GI179" s="392"/>
      <c r="GJ179" s="392"/>
      <c r="GK179" s="392"/>
      <c r="GL179" s="392"/>
      <c r="GM179" s="392"/>
      <c r="GN179" s="392"/>
      <c r="GO179" s="392"/>
      <c r="GP179" s="392"/>
      <c r="GQ179" s="392"/>
      <c r="GR179" s="392"/>
      <c r="GS179" s="392"/>
      <c r="GT179" s="392"/>
      <c r="GU179" s="392"/>
      <c r="GV179" s="392"/>
      <c r="GW179" s="392"/>
      <c r="GX179" s="392"/>
      <c r="GY179" s="392"/>
      <c r="GZ179" s="392"/>
      <c r="HA179" s="392"/>
      <c r="HB179" s="392"/>
      <c r="HC179" s="392"/>
      <c r="HD179" s="392"/>
      <c r="HE179" s="392"/>
      <c r="HF179" s="392"/>
      <c r="HG179" s="392"/>
      <c r="HH179" s="392"/>
      <c r="HI179" s="392"/>
      <c r="HJ179" s="392"/>
      <c r="HK179" s="392"/>
      <c r="HL179" s="392"/>
      <c r="HM179" s="392"/>
      <c r="HN179" s="392"/>
      <c r="HO179" s="392"/>
      <c r="HP179" s="392"/>
      <c r="HQ179" s="392"/>
      <c r="HR179" s="392"/>
      <c r="HS179" s="392"/>
      <c r="HT179" s="392"/>
      <c r="HU179" s="392"/>
      <c r="HV179" s="392"/>
      <c r="HW179" s="392"/>
      <c r="HX179" s="392"/>
      <c r="HY179" s="392"/>
      <c r="HZ179" s="392"/>
      <c r="IA179" s="392"/>
      <c r="IB179" s="392"/>
      <c r="IC179" s="392"/>
      <c r="ID179" s="392"/>
      <c r="IE179" s="392"/>
      <c r="IF179" s="392"/>
      <c r="IG179" s="392"/>
      <c r="IH179" s="392"/>
      <c r="II179" s="392"/>
      <c r="IJ179" s="392"/>
      <c r="IK179" s="392"/>
      <c r="IL179" s="392"/>
      <c r="IM179" s="392"/>
      <c r="IN179" s="392"/>
      <c r="IO179" s="392"/>
      <c r="IP179" s="392"/>
      <c r="IQ179" s="392"/>
      <c r="IR179" s="392"/>
      <c r="IS179" s="392"/>
      <c r="IT179" s="392"/>
      <c r="IU179" s="392"/>
      <c r="IV179" s="392"/>
    </row>
    <row r="180" spans="1:256" ht="30">
      <c r="A180" s="392" t="s">
        <v>391</v>
      </c>
      <c r="B180" s="436">
        <v>93358</v>
      </c>
      <c r="C180" s="317" t="str">
        <f>IF($A180="INSUMO",VLOOKUP($B180,'BANCO DE DADOS JANEIRO-24 INS'!$A:$D,2,FALSE),VLOOKUP($B180,'BANCO DE DADOS JANEIRO-24 SERV'!$B:$E,2,FALSE))</f>
        <v>ESCAVAÇÃO MANUAL DE VALA COM PROFUNDIDADE MENOR OU IGUAL A 1,30 M. AF_02/2021</v>
      </c>
      <c r="D180" s="316" t="str">
        <f>IF($A180="INSUMO",VLOOKUP($B180,'BANCO DE DADOS JANEIRO-24 INS'!$A:$D,3,FALSE),VLOOKUP($B180,'BANCO DE DADOS JANEIRO-24 SERV'!$B:$E,3,FALSE))</f>
        <v>M3</v>
      </c>
      <c r="E180" s="598">
        <f>(((0.3*0.3*0.3)*3))</f>
        <v>8.1000000000000003E-2</v>
      </c>
      <c r="F180" s="320">
        <f>IF($A180="INSUMO",VLOOKUP($B180,'BANCO DE DADOS JANEIRO-24 INS'!$A:$D,4,FALSE),VLOOKUP($B180,'BANCO DE DADOS JANEIRO-24 SERV'!$B:$E,4,FALSE))</f>
        <v>80.38</v>
      </c>
      <c r="G180" s="435">
        <f>TRUNC(F180*E180,2)</f>
        <v>6.51</v>
      </c>
      <c r="H180" s="392"/>
      <c r="I180" s="392"/>
      <c r="J180" s="392"/>
      <c r="K180" s="392"/>
      <c r="L180" s="392"/>
      <c r="M180" s="392"/>
      <c r="N180" s="392"/>
      <c r="O180" s="392"/>
      <c r="P180" s="392"/>
      <c r="Q180" s="392"/>
      <c r="R180" s="392"/>
      <c r="S180" s="392"/>
      <c r="T180" s="392"/>
      <c r="U180" s="392"/>
      <c r="V180" s="392"/>
      <c r="W180" s="392"/>
      <c r="X180" s="392"/>
      <c r="Y180" s="392"/>
      <c r="Z180" s="392"/>
      <c r="AA180" s="392"/>
      <c r="AB180" s="392"/>
      <c r="AC180" s="392"/>
      <c r="AD180" s="392"/>
      <c r="AE180" s="392"/>
      <c r="AF180" s="392"/>
      <c r="AG180" s="392"/>
      <c r="AH180" s="392"/>
      <c r="AI180" s="392"/>
      <c r="AJ180" s="392"/>
      <c r="AK180" s="392"/>
      <c r="AL180" s="392"/>
      <c r="AM180" s="392"/>
      <c r="AN180" s="392"/>
      <c r="AO180" s="392"/>
      <c r="AP180" s="392"/>
      <c r="AQ180" s="392"/>
      <c r="AR180" s="392"/>
      <c r="AS180" s="392"/>
      <c r="AT180" s="392"/>
      <c r="AU180" s="392"/>
      <c r="AV180" s="392"/>
      <c r="AW180" s="392"/>
      <c r="AX180" s="392"/>
      <c r="AY180" s="392"/>
      <c r="AZ180" s="392"/>
      <c r="BA180" s="392"/>
      <c r="BB180" s="392"/>
      <c r="BC180" s="392"/>
      <c r="BD180" s="392"/>
      <c r="BE180" s="392"/>
      <c r="BF180" s="392"/>
      <c r="BG180" s="392"/>
      <c r="BH180" s="392"/>
      <c r="BI180" s="392"/>
      <c r="BJ180" s="392"/>
      <c r="BK180" s="392"/>
      <c r="BL180" s="392"/>
      <c r="BM180" s="392"/>
      <c r="BN180" s="392"/>
      <c r="BO180" s="392"/>
      <c r="BP180" s="392"/>
      <c r="BQ180" s="392"/>
      <c r="BR180" s="392"/>
      <c r="BS180" s="392"/>
      <c r="BT180" s="392"/>
      <c r="BU180" s="392"/>
      <c r="BV180" s="392"/>
      <c r="BW180" s="392"/>
      <c r="BX180" s="392"/>
      <c r="BY180" s="392"/>
      <c r="BZ180" s="392"/>
      <c r="CA180" s="392"/>
      <c r="CB180" s="392"/>
      <c r="CC180" s="392"/>
      <c r="CD180" s="392"/>
      <c r="CE180" s="392"/>
      <c r="CF180" s="392"/>
      <c r="CG180" s="392"/>
      <c r="CH180" s="392"/>
      <c r="CI180" s="392"/>
      <c r="CJ180" s="392"/>
      <c r="CK180" s="392"/>
      <c r="CL180" s="392"/>
      <c r="CM180" s="392"/>
      <c r="CN180" s="392"/>
      <c r="CO180" s="392"/>
      <c r="CP180" s="392"/>
      <c r="CQ180" s="392"/>
      <c r="CR180" s="392"/>
      <c r="CS180" s="392"/>
      <c r="CT180" s="392"/>
      <c r="CU180" s="392"/>
      <c r="CV180" s="392"/>
      <c r="CW180" s="392"/>
      <c r="CX180" s="392"/>
      <c r="CY180" s="392"/>
      <c r="CZ180" s="392"/>
      <c r="DA180" s="392"/>
      <c r="DB180" s="392"/>
      <c r="DC180" s="392"/>
      <c r="DD180" s="392"/>
      <c r="DE180" s="392"/>
      <c r="DF180" s="392"/>
      <c r="DG180" s="392"/>
      <c r="DH180" s="392"/>
      <c r="DI180" s="392"/>
      <c r="DJ180" s="392"/>
      <c r="DK180" s="392"/>
      <c r="DL180" s="392"/>
      <c r="DM180" s="392"/>
      <c r="DN180" s="392"/>
      <c r="DO180" s="392"/>
      <c r="DP180" s="392"/>
      <c r="DQ180" s="392"/>
      <c r="DR180" s="392"/>
      <c r="DS180" s="392"/>
      <c r="DT180" s="392"/>
      <c r="DU180" s="392"/>
      <c r="DV180" s="392"/>
      <c r="DW180" s="392"/>
      <c r="DX180" s="392"/>
      <c r="DY180" s="392"/>
      <c r="DZ180" s="392"/>
      <c r="EA180" s="392"/>
      <c r="EB180" s="392"/>
      <c r="EC180" s="392"/>
      <c r="ED180" s="392"/>
      <c r="EE180" s="392"/>
      <c r="EF180" s="392"/>
      <c r="EG180" s="392"/>
      <c r="EH180" s="392"/>
      <c r="EI180" s="392"/>
      <c r="EJ180" s="392"/>
      <c r="EK180" s="392"/>
      <c r="EL180" s="392"/>
      <c r="EM180" s="392"/>
      <c r="EN180" s="392"/>
      <c r="EO180" s="392"/>
      <c r="EP180" s="392"/>
      <c r="EQ180" s="392"/>
      <c r="ER180" s="392"/>
      <c r="ES180" s="392"/>
      <c r="ET180" s="392"/>
      <c r="EU180" s="392"/>
      <c r="EV180" s="392"/>
      <c r="EW180" s="392"/>
      <c r="EX180" s="392"/>
      <c r="EY180" s="392"/>
      <c r="EZ180" s="392"/>
      <c r="FA180" s="392"/>
      <c r="FB180" s="392"/>
      <c r="FC180" s="392"/>
      <c r="FD180" s="392"/>
      <c r="FE180" s="392"/>
      <c r="FF180" s="392"/>
      <c r="FG180" s="392"/>
      <c r="FH180" s="392"/>
      <c r="FI180" s="392"/>
      <c r="FJ180" s="392"/>
      <c r="FK180" s="392"/>
      <c r="FL180" s="392"/>
      <c r="FM180" s="392"/>
      <c r="FN180" s="392"/>
      <c r="FO180" s="392"/>
      <c r="FP180" s="392"/>
      <c r="FQ180" s="392"/>
      <c r="FR180" s="392"/>
      <c r="FS180" s="392"/>
      <c r="FT180" s="392"/>
      <c r="FU180" s="392"/>
      <c r="FV180" s="392"/>
      <c r="FW180" s="392"/>
      <c r="FX180" s="392"/>
      <c r="FY180" s="392"/>
      <c r="FZ180" s="392"/>
      <c r="GA180" s="392"/>
      <c r="GB180" s="392"/>
      <c r="GC180" s="392"/>
      <c r="GD180" s="392"/>
      <c r="GE180" s="392"/>
      <c r="GF180" s="392"/>
      <c r="GG180" s="392"/>
      <c r="GH180" s="392"/>
      <c r="GI180" s="392"/>
      <c r="GJ180" s="392"/>
      <c r="GK180" s="392"/>
      <c r="GL180" s="392"/>
      <c r="GM180" s="392"/>
      <c r="GN180" s="392"/>
      <c r="GO180" s="392"/>
      <c r="GP180" s="392"/>
      <c r="GQ180" s="392"/>
      <c r="GR180" s="392"/>
      <c r="GS180" s="392"/>
      <c r="GT180" s="392"/>
      <c r="GU180" s="392"/>
      <c r="GV180" s="392"/>
      <c r="GW180" s="392"/>
      <c r="GX180" s="392"/>
      <c r="GY180" s="392"/>
      <c r="GZ180" s="392"/>
      <c r="HA180" s="392"/>
      <c r="HB180" s="392"/>
      <c r="HC180" s="392"/>
      <c r="HD180" s="392"/>
      <c r="HE180" s="392"/>
      <c r="HF180" s="392"/>
      <c r="HG180" s="392"/>
      <c r="HH180" s="392"/>
      <c r="HI180" s="392"/>
      <c r="HJ180" s="392"/>
      <c r="HK180" s="392"/>
      <c r="HL180" s="392"/>
      <c r="HM180" s="392"/>
      <c r="HN180" s="392"/>
      <c r="HO180" s="392"/>
      <c r="HP180" s="392"/>
      <c r="HQ180" s="392"/>
      <c r="HR180" s="392"/>
      <c r="HS180" s="392"/>
      <c r="HT180" s="392"/>
      <c r="HU180" s="392"/>
      <c r="HV180" s="392"/>
      <c r="HW180" s="392"/>
      <c r="HX180" s="392"/>
      <c r="HY180" s="392"/>
      <c r="HZ180" s="392"/>
      <c r="IA180" s="392"/>
      <c r="IB180" s="392"/>
      <c r="IC180" s="392"/>
      <c r="ID180" s="392"/>
      <c r="IE180" s="392"/>
      <c r="IF180" s="392"/>
      <c r="IG180" s="392"/>
      <c r="IH180" s="392"/>
      <c r="II180" s="392"/>
      <c r="IJ180" s="392"/>
      <c r="IK180" s="392"/>
      <c r="IL180" s="392"/>
      <c r="IM180" s="392"/>
      <c r="IN180" s="392"/>
      <c r="IO180" s="392"/>
      <c r="IP180" s="392"/>
      <c r="IQ180" s="392"/>
      <c r="IR180" s="392"/>
      <c r="IS180" s="392"/>
      <c r="IT180" s="392"/>
      <c r="IU180" s="392"/>
      <c r="IV180" s="392"/>
    </row>
    <row r="181" spans="1:256" ht="45">
      <c r="A181" s="392" t="s">
        <v>391</v>
      </c>
      <c r="B181" s="436">
        <v>94965</v>
      </c>
      <c r="C181" s="317" t="str">
        <f>IF($A181="INSUMO",VLOOKUP($B181,'BANCO DE DADOS JANEIRO-24 INS'!$A:$D,2,FALSE),VLOOKUP($B181,'BANCO DE DADOS JANEIRO-24 SERV'!$B:$E,2,FALSE))</f>
        <v>CONCRETO FCK = 25MPA, TRAÇO 1:2,3:2,7 (EM MASSA SECA DE CIMENTO/ AREIA MÉDIA/ BRITA 1) - PREPARO MECÂNICO COM BETONEIRA 400 L. AF_05/2021</v>
      </c>
      <c r="D181" s="316" t="str">
        <f>IF($A181="INSUMO",VLOOKUP($B181,'BANCO DE DADOS JANEIRO-24 INS'!$A:$D,3,FALSE),VLOOKUP($B181,'BANCO DE DADOS JANEIRO-24 SERV'!$B:$E,3,FALSE))</f>
        <v>M3</v>
      </c>
      <c r="E181" s="598">
        <f>E180</f>
        <v>8.1000000000000003E-2</v>
      </c>
      <c r="F181" s="320">
        <f>IF($A181="INSUMO",VLOOKUP($B181,'BANCO DE DADOS JANEIRO-24 INS'!$A:$D,4,FALSE),VLOOKUP($B181,'BANCO DE DADOS JANEIRO-24 SERV'!$B:$E,4,FALSE))</f>
        <v>568.95000000000005</v>
      </c>
      <c r="G181" s="435">
        <f>TRUNC(F181*E181,2)</f>
        <v>46.08</v>
      </c>
      <c r="H181" s="392"/>
      <c r="I181" s="392"/>
      <c r="J181" s="392"/>
      <c r="K181" s="392"/>
      <c r="L181" s="392"/>
      <c r="M181" s="392"/>
      <c r="N181" s="392"/>
      <c r="O181" s="392"/>
      <c r="P181" s="392"/>
      <c r="Q181" s="392"/>
      <c r="R181" s="392"/>
      <c r="S181" s="392"/>
      <c r="T181" s="392"/>
      <c r="U181" s="392"/>
      <c r="V181" s="392"/>
      <c r="W181" s="392"/>
      <c r="X181" s="392"/>
      <c r="Y181" s="392"/>
      <c r="Z181" s="392"/>
      <c r="AA181" s="392"/>
      <c r="AB181" s="392"/>
      <c r="AC181" s="392"/>
      <c r="AD181" s="392"/>
      <c r="AE181" s="392"/>
      <c r="AF181" s="392"/>
      <c r="AG181" s="392"/>
      <c r="AH181" s="392"/>
      <c r="AI181" s="392"/>
      <c r="AJ181" s="392"/>
      <c r="AK181" s="392"/>
      <c r="AL181" s="392"/>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392"/>
      <c r="BR181" s="392"/>
      <c r="BS181" s="392"/>
      <c r="BT181" s="392"/>
      <c r="BU181" s="392"/>
      <c r="BV181" s="392"/>
      <c r="BW181" s="392"/>
      <c r="BX181" s="392"/>
      <c r="BY181" s="392"/>
      <c r="BZ181" s="392"/>
      <c r="CA181" s="392"/>
      <c r="CB181" s="392"/>
      <c r="CC181" s="392"/>
      <c r="CD181" s="392"/>
      <c r="CE181" s="392"/>
      <c r="CF181" s="392"/>
      <c r="CG181" s="392"/>
      <c r="CH181" s="392"/>
      <c r="CI181" s="392"/>
      <c r="CJ181" s="392"/>
      <c r="CK181" s="392"/>
      <c r="CL181" s="392"/>
      <c r="CM181" s="392"/>
      <c r="CN181" s="392"/>
      <c r="CO181" s="392"/>
      <c r="CP181" s="392"/>
      <c r="CQ181" s="392"/>
      <c r="CR181" s="392"/>
      <c r="CS181" s="392"/>
      <c r="CT181" s="392"/>
      <c r="CU181" s="392"/>
      <c r="CV181" s="392"/>
      <c r="CW181" s="392"/>
      <c r="CX181" s="392"/>
      <c r="CY181" s="392"/>
      <c r="CZ181" s="392"/>
      <c r="DA181" s="392"/>
      <c r="DB181" s="392"/>
      <c r="DC181" s="392"/>
      <c r="DD181" s="392"/>
      <c r="DE181" s="392"/>
      <c r="DF181" s="392"/>
      <c r="DG181" s="392"/>
      <c r="DH181" s="392"/>
      <c r="DI181" s="392"/>
      <c r="DJ181" s="392"/>
      <c r="DK181" s="392"/>
      <c r="DL181" s="392"/>
      <c r="DM181" s="392"/>
      <c r="DN181" s="392"/>
      <c r="DO181" s="392"/>
      <c r="DP181" s="392"/>
      <c r="DQ181" s="392"/>
      <c r="DR181" s="392"/>
      <c r="DS181" s="392"/>
      <c r="DT181" s="392"/>
      <c r="DU181" s="392"/>
      <c r="DV181" s="392"/>
      <c r="DW181" s="392"/>
      <c r="DX181" s="392"/>
      <c r="DY181" s="392"/>
      <c r="DZ181" s="392"/>
      <c r="EA181" s="392"/>
      <c r="EB181" s="392"/>
      <c r="EC181" s="392"/>
      <c r="ED181" s="392"/>
      <c r="EE181" s="392"/>
      <c r="EF181" s="392"/>
      <c r="EG181" s="392"/>
      <c r="EH181" s="392"/>
      <c r="EI181" s="392"/>
      <c r="EJ181" s="392"/>
      <c r="EK181" s="392"/>
      <c r="EL181" s="392"/>
      <c r="EM181" s="392"/>
      <c r="EN181" s="392"/>
      <c r="EO181" s="392"/>
      <c r="EP181" s="392"/>
      <c r="EQ181" s="392"/>
      <c r="ER181" s="392"/>
      <c r="ES181" s="392"/>
      <c r="ET181" s="392"/>
      <c r="EU181" s="392"/>
      <c r="EV181" s="392"/>
      <c r="EW181" s="392"/>
      <c r="EX181" s="392"/>
      <c r="EY181" s="392"/>
      <c r="EZ181" s="392"/>
      <c r="FA181" s="392"/>
      <c r="FB181" s="392"/>
      <c r="FC181" s="392"/>
      <c r="FD181" s="392"/>
      <c r="FE181" s="392"/>
      <c r="FF181" s="392"/>
      <c r="FG181" s="392"/>
      <c r="FH181" s="392"/>
      <c r="FI181" s="392"/>
      <c r="FJ181" s="392"/>
      <c r="FK181" s="392"/>
      <c r="FL181" s="392"/>
      <c r="FM181" s="392"/>
      <c r="FN181" s="392"/>
      <c r="FO181" s="392"/>
      <c r="FP181" s="392"/>
      <c r="FQ181" s="392"/>
      <c r="FR181" s="392"/>
      <c r="FS181" s="392"/>
      <c r="FT181" s="392"/>
      <c r="FU181" s="392"/>
      <c r="FV181" s="392"/>
      <c r="FW181" s="392"/>
      <c r="FX181" s="392"/>
      <c r="FY181" s="392"/>
      <c r="FZ181" s="392"/>
      <c r="GA181" s="392"/>
      <c r="GB181" s="392"/>
      <c r="GC181" s="392"/>
      <c r="GD181" s="392"/>
      <c r="GE181" s="392"/>
      <c r="GF181" s="392"/>
      <c r="GG181" s="392"/>
      <c r="GH181" s="392"/>
      <c r="GI181" s="392"/>
      <c r="GJ181" s="392"/>
      <c r="GK181" s="392"/>
      <c r="GL181" s="392"/>
      <c r="GM181" s="392"/>
      <c r="GN181" s="392"/>
      <c r="GO181" s="392"/>
      <c r="GP181" s="392"/>
      <c r="GQ181" s="392"/>
      <c r="GR181" s="392"/>
      <c r="GS181" s="392"/>
      <c r="GT181" s="392"/>
      <c r="GU181" s="392"/>
      <c r="GV181" s="392"/>
      <c r="GW181" s="392"/>
      <c r="GX181" s="392"/>
      <c r="GY181" s="392"/>
      <c r="GZ181" s="392"/>
      <c r="HA181" s="392"/>
      <c r="HB181" s="392"/>
      <c r="HC181" s="392"/>
      <c r="HD181" s="392"/>
      <c r="HE181" s="392"/>
      <c r="HF181" s="392"/>
      <c r="HG181" s="392"/>
      <c r="HH181" s="392"/>
      <c r="HI181" s="392"/>
      <c r="HJ181" s="392"/>
      <c r="HK181" s="392"/>
      <c r="HL181" s="392"/>
      <c r="HM181" s="392"/>
      <c r="HN181" s="392"/>
      <c r="HO181" s="392"/>
      <c r="HP181" s="392"/>
      <c r="HQ181" s="392"/>
      <c r="HR181" s="392"/>
      <c r="HS181" s="392"/>
      <c r="HT181" s="392"/>
      <c r="HU181" s="392"/>
      <c r="HV181" s="392"/>
      <c r="HW181" s="392"/>
      <c r="HX181" s="392"/>
      <c r="HY181" s="392"/>
      <c r="HZ181" s="392"/>
      <c r="IA181" s="392"/>
      <c r="IB181" s="392"/>
      <c r="IC181" s="392"/>
      <c r="ID181" s="392"/>
      <c r="IE181" s="392"/>
      <c r="IF181" s="392"/>
      <c r="IG181" s="392"/>
      <c r="IH181" s="392"/>
      <c r="II181" s="392"/>
      <c r="IJ181" s="392"/>
      <c r="IK181" s="392"/>
      <c r="IL181" s="392"/>
      <c r="IM181" s="392"/>
      <c r="IN181" s="392"/>
      <c r="IO181" s="392"/>
      <c r="IP181" s="392"/>
      <c r="IQ181" s="392"/>
      <c r="IR181" s="392"/>
      <c r="IS181" s="392"/>
      <c r="IT181" s="392"/>
      <c r="IU181" s="392"/>
      <c r="IV181" s="392"/>
    </row>
    <row r="182" spans="1:256" ht="15.75" thickBot="1">
      <c r="A182" s="392" t="s">
        <v>391</v>
      </c>
      <c r="B182" s="437" t="s">
        <v>57</v>
      </c>
      <c r="C182" s="318" t="e">
        <f>IF($A182="INSUMO",VLOOKUP($B182,'BANCO DE DADOS JANEIRO-24 INS'!$A:$D,2,FALSE),VLOOKUP($B182,'BANCO DE DADOS JANEIRO-24 SERV'!$B:$E,2,FALSE))</f>
        <v>#N/A</v>
      </c>
      <c r="D182" s="319" t="e">
        <f>IF($A182="INSUMO",VLOOKUP($B182,'BANCO DE DADOS JANEIRO-24 INS'!$A:$D,3,FALSE),VLOOKUP($B182,'BANCO DE DADOS JANEIRO-24 SERV'!$B:$E,3,FALSE))</f>
        <v>#N/A</v>
      </c>
      <c r="E182" s="599">
        <f>E180</f>
        <v>8.1000000000000003E-2</v>
      </c>
      <c r="F182" s="321" t="e">
        <f>IF($A182="INSUMO",VLOOKUP($B182,'BANCO DE DADOS JANEIRO-24 INS'!$A:$D,4,FALSE),VLOOKUP($B182,'BANCO DE DADOS JANEIRO-24 SERV'!$B:$E,4,FALSE))</f>
        <v>#N/A</v>
      </c>
      <c r="G182" s="438" t="e">
        <f>TRUNC(F182*E182,2)</f>
        <v>#N/A</v>
      </c>
      <c r="H182" s="392"/>
      <c r="I182" s="392"/>
      <c r="J182" s="392"/>
      <c r="K182" s="392"/>
      <c r="L182" s="392"/>
      <c r="M182" s="392"/>
      <c r="N182" s="392"/>
      <c r="O182" s="392"/>
      <c r="P182" s="392"/>
      <c r="Q182" s="392"/>
      <c r="R182" s="392"/>
      <c r="S182" s="392"/>
      <c r="T182" s="392"/>
      <c r="U182" s="392"/>
      <c r="V182" s="392"/>
      <c r="W182" s="392"/>
      <c r="X182" s="392"/>
      <c r="Y182" s="392"/>
      <c r="Z182" s="392"/>
      <c r="AA182" s="392"/>
      <c r="AB182" s="392"/>
      <c r="AC182" s="392"/>
      <c r="AD182" s="392"/>
      <c r="AE182" s="392"/>
      <c r="AF182" s="392"/>
      <c r="AG182" s="392"/>
      <c r="AH182" s="392"/>
      <c r="AI182" s="392"/>
      <c r="AJ182" s="392"/>
      <c r="AK182" s="392"/>
      <c r="AL182" s="392"/>
      <c r="AM182" s="392"/>
      <c r="AN182" s="392"/>
      <c r="AO182" s="392"/>
      <c r="AP182" s="392"/>
      <c r="AQ182" s="392"/>
      <c r="AR182" s="392"/>
      <c r="AS182" s="392"/>
      <c r="AT182" s="392"/>
      <c r="AU182" s="392"/>
      <c r="AV182" s="392"/>
      <c r="AW182" s="392"/>
      <c r="AX182" s="392"/>
      <c r="AY182" s="392"/>
      <c r="AZ182" s="392"/>
      <c r="BA182" s="392"/>
      <c r="BB182" s="392"/>
      <c r="BC182" s="392"/>
      <c r="BD182" s="392"/>
      <c r="BE182" s="392"/>
      <c r="BF182" s="392"/>
      <c r="BG182" s="392"/>
      <c r="BH182" s="392"/>
      <c r="BI182" s="392"/>
      <c r="BJ182" s="392"/>
      <c r="BK182" s="392"/>
      <c r="BL182" s="392"/>
      <c r="BM182" s="392"/>
      <c r="BN182" s="392"/>
      <c r="BO182" s="392"/>
      <c r="BP182" s="392"/>
      <c r="BQ182" s="392"/>
      <c r="BR182" s="392"/>
      <c r="BS182" s="392"/>
      <c r="BT182" s="392"/>
      <c r="BU182" s="392"/>
      <c r="BV182" s="392"/>
      <c r="BW182" s="392"/>
      <c r="BX182" s="392"/>
      <c r="BY182" s="392"/>
      <c r="BZ182" s="392"/>
      <c r="CA182" s="392"/>
      <c r="CB182" s="392"/>
      <c r="CC182" s="392"/>
      <c r="CD182" s="392"/>
      <c r="CE182" s="392"/>
      <c r="CF182" s="392"/>
      <c r="CG182" s="392"/>
      <c r="CH182" s="392"/>
      <c r="CI182" s="392"/>
      <c r="CJ182" s="392"/>
      <c r="CK182" s="392"/>
      <c r="CL182" s="392"/>
      <c r="CM182" s="392"/>
      <c r="CN182" s="392"/>
      <c r="CO182" s="392"/>
      <c r="CP182" s="392"/>
      <c r="CQ182" s="392"/>
      <c r="CR182" s="392"/>
      <c r="CS182" s="392"/>
      <c r="CT182" s="392"/>
      <c r="CU182" s="392"/>
      <c r="CV182" s="392"/>
      <c r="CW182" s="392"/>
      <c r="CX182" s="392"/>
      <c r="CY182" s="392"/>
      <c r="CZ182" s="392"/>
      <c r="DA182" s="392"/>
      <c r="DB182" s="392"/>
      <c r="DC182" s="392"/>
      <c r="DD182" s="392"/>
      <c r="DE182" s="392"/>
      <c r="DF182" s="392"/>
      <c r="DG182" s="392"/>
      <c r="DH182" s="392"/>
      <c r="DI182" s="392"/>
      <c r="DJ182" s="392"/>
      <c r="DK182" s="392"/>
      <c r="DL182" s="392"/>
      <c r="DM182" s="392"/>
      <c r="DN182" s="392"/>
      <c r="DO182" s="392"/>
      <c r="DP182" s="392"/>
      <c r="DQ182" s="392"/>
      <c r="DR182" s="392"/>
      <c r="DS182" s="392"/>
      <c r="DT182" s="392"/>
      <c r="DU182" s="392"/>
      <c r="DV182" s="392"/>
      <c r="DW182" s="392"/>
      <c r="DX182" s="392"/>
      <c r="DY182" s="392"/>
      <c r="DZ182" s="392"/>
      <c r="EA182" s="392"/>
      <c r="EB182" s="392"/>
      <c r="EC182" s="392"/>
      <c r="ED182" s="392"/>
      <c r="EE182" s="392"/>
      <c r="EF182" s="392"/>
      <c r="EG182" s="392"/>
      <c r="EH182" s="392"/>
      <c r="EI182" s="392"/>
      <c r="EJ182" s="392"/>
      <c r="EK182" s="392"/>
      <c r="EL182" s="392"/>
      <c r="EM182" s="392"/>
      <c r="EN182" s="392"/>
      <c r="EO182" s="392"/>
      <c r="EP182" s="392"/>
      <c r="EQ182" s="392"/>
      <c r="ER182" s="392"/>
      <c r="ES182" s="392"/>
      <c r="ET182" s="392"/>
      <c r="EU182" s="392"/>
      <c r="EV182" s="392"/>
      <c r="EW182" s="392"/>
      <c r="EX182" s="392"/>
      <c r="EY182" s="392"/>
      <c r="EZ182" s="392"/>
      <c r="FA182" s="392"/>
      <c r="FB182" s="392"/>
      <c r="FC182" s="392"/>
      <c r="FD182" s="392"/>
      <c r="FE182" s="392"/>
      <c r="FF182" s="392"/>
      <c r="FG182" s="392"/>
      <c r="FH182" s="392"/>
      <c r="FI182" s="392"/>
      <c r="FJ182" s="392"/>
      <c r="FK182" s="392"/>
      <c r="FL182" s="392"/>
      <c r="FM182" s="392"/>
      <c r="FN182" s="392"/>
      <c r="FO182" s="392"/>
      <c r="FP182" s="392"/>
      <c r="FQ182" s="392"/>
      <c r="FR182" s="392"/>
      <c r="FS182" s="392"/>
      <c r="FT182" s="392"/>
      <c r="FU182" s="392"/>
      <c r="FV182" s="392"/>
      <c r="FW182" s="392"/>
      <c r="FX182" s="392"/>
      <c r="FY182" s="392"/>
      <c r="FZ182" s="392"/>
      <c r="GA182" s="392"/>
      <c r="GB182" s="392"/>
      <c r="GC182" s="392"/>
      <c r="GD182" s="392"/>
      <c r="GE182" s="392"/>
      <c r="GF182" s="392"/>
      <c r="GG182" s="392"/>
      <c r="GH182" s="392"/>
      <c r="GI182" s="392"/>
      <c r="GJ182" s="392"/>
      <c r="GK182" s="392"/>
      <c r="GL182" s="392"/>
      <c r="GM182" s="392"/>
      <c r="GN182" s="392"/>
      <c r="GO182" s="392"/>
      <c r="GP182" s="392"/>
      <c r="GQ182" s="392"/>
      <c r="GR182" s="392"/>
      <c r="GS182" s="392"/>
      <c r="GT182" s="392"/>
      <c r="GU182" s="392"/>
      <c r="GV182" s="392"/>
      <c r="GW182" s="392"/>
      <c r="GX182" s="392"/>
      <c r="GY182" s="392"/>
      <c r="GZ182" s="392"/>
      <c r="HA182" s="392"/>
      <c r="HB182" s="392"/>
      <c r="HC182" s="392"/>
      <c r="HD182" s="392"/>
      <c r="HE182" s="392"/>
      <c r="HF182" s="392"/>
      <c r="HG182" s="392"/>
      <c r="HH182" s="392"/>
      <c r="HI182" s="392"/>
      <c r="HJ182" s="392"/>
      <c r="HK182" s="392"/>
      <c r="HL182" s="392"/>
      <c r="HM182" s="392"/>
      <c r="HN182" s="392"/>
      <c r="HO182" s="392"/>
      <c r="HP182" s="392"/>
      <c r="HQ182" s="392"/>
      <c r="HR182" s="392"/>
      <c r="HS182" s="392"/>
      <c r="HT182" s="392"/>
      <c r="HU182" s="392"/>
      <c r="HV182" s="392"/>
      <c r="HW182" s="392"/>
      <c r="HX182" s="392"/>
      <c r="HY182" s="392"/>
      <c r="HZ182" s="392"/>
      <c r="IA182" s="392"/>
      <c r="IB182" s="392"/>
      <c r="IC182" s="392"/>
      <c r="ID182" s="392"/>
      <c r="IE182" s="392"/>
      <c r="IF182" s="392"/>
      <c r="IG182" s="392"/>
      <c r="IH182" s="392"/>
      <c r="II182" s="392"/>
      <c r="IJ182" s="392"/>
      <c r="IK182" s="392"/>
      <c r="IL182" s="392"/>
      <c r="IM182" s="392"/>
      <c r="IN182" s="392"/>
      <c r="IO182" s="392"/>
      <c r="IP182" s="392"/>
      <c r="IQ182" s="392"/>
      <c r="IR182" s="392"/>
      <c r="IS182" s="392"/>
      <c r="IT182" s="392"/>
      <c r="IU182" s="392"/>
      <c r="IV182" s="392"/>
    </row>
    <row r="183" spans="1:256" ht="16.5" thickBot="1">
      <c r="A183" s="392"/>
      <c r="B183" s="439" t="s">
        <v>1705</v>
      </c>
      <c r="C183" s="440"/>
      <c r="D183" s="441"/>
      <c r="E183" s="442"/>
      <c r="F183" s="443" t="s">
        <v>167</v>
      </c>
      <c r="G183" s="444" t="e">
        <f>TRUNC(SUM(G179:G182),2)</f>
        <v>#N/A</v>
      </c>
      <c r="H183" s="392"/>
      <c r="I183" s="392"/>
      <c r="J183" s="392"/>
      <c r="K183" s="392"/>
      <c r="L183" s="392"/>
      <c r="M183" s="392"/>
      <c r="N183" s="392"/>
      <c r="O183" s="392"/>
      <c r="P183" s="392"/>
      <c r="Q183" s="392"/>
      <c r="R183" s="392"/>
      <c r="S183" s="392"/>
      <c r="T183" s="392"/>
      <c r="U183" s="392"/>
      <c r="V183" s="392"/>
      <c r="W183" s="392"/>
      <c r="X183" s="392"/>
      <c r="Y183" s="392"/>
      <c r="Z183" s="392"/>
      <c r="AA183" s="392"/>
      <c r="AB183" s="392"/>
      <c r="AC183" s="392"/>
      <c r="AD183" s="392"/>
      <c r="AE183" s="392"/>
      <c r="AF183" s="392"/>
      <c r="AG183" s="392"/>
      <c r="AH183" s="392"/>
      <c r="AI183" s="392"/>
      <c r="AJ183" s="392"/>
      <c r="AK183" s="392"/>
      <c r="AL183" s="392"/>
      <c r="AM183" s="392"/>
      <c r="AN183" s="392"/>
      <c r="AO183" s="392"/>
      <c r="AP183" s="392"/>
      <c r="AQ183" s="392"/>
      <c r="AR183" s="392"/>
      <c r="AS183" s="392"/>
      <c r="AT183" s="392"/>
      <c r="AU183" s="392"/>
      <c r="AV183" s="392"/>
      <c r="AW183" s="392"/>
      <c r="AX183" s="392"/>
      <c r="AY183" s="392"/>
      <c r="AZ183" s="392"/>
      <c r="BA183" s="392"/>
      <c r="BB183" s="392"/>
      <c r="BC183" s="392"/>
      <c r="BD183" s="392"/>
      <c r="BE183" s="392"/>
      <c r="BF183" s="392"/>
      <c r="BG183" s="392"/>
      <c r="BH183" s="392"/>
      <c r="BI183" s="392"/>
      <c r="BJ183" s="392"/>
      <c r="BK183" s="392"/>
      <c r="BL183" s="392"/>
      <c r="BM183" s="392"/>
      <c r="BN183" s="392"/>
      <c r="BO183" s="392"/>
      <c r="BP183" s="392"/>
      <c r="BQ183" s="392"/>
      <c r="BR183" s="392"/>
      <c r="BS183" s="392"/>
      <c r="BT183" s="392"/>
      <c r="BU183" s="392"/>
      <c r="BV183" s="392"/>
      <c r="BW183" s="392"/>
      <c r="BX183" s="392"/>
      <c r="BY183" s="392"/>
      <c r="BZ183" s="392"/>
      <c r="CA183" s="392"/>
      <c r="CB183" s="392"/>
      <c r="CC183" s="392"/>
      <c r="CD183" s="392"/>
      <c r="CE183" s="392"/>
      <c r="CF183" s="392"/>
      <c r="CG183" s="392"/>
      <c r="CH183" s="392"/>
      <c r="CI183" s="392"/>
      <c r="CJ183" s="392"/>
      <c r="CK183" s="392"/>
      <c r="CL183" s="392"/>
      <c r="CM183" s="392"/>
      <c r="CN183" s="392"/>
      <c r="CO183" s="392"/>
      <c r="CP183" s="392"/>
      <c r="CQ183" s="392"/>
      <c r="CR183" s="392"/>
      <c r="CS183" s="392"/>
      <c r="CT183" s="392"/>
      <c r="CU183" s="392"/>
      <c r="CV183" s="392"/>
      <c r="CW183" s="392"/>
      <c r="CX183" s="392"/>
      <c r="CY183" s="392"/>
      <c r="CZ183" s="392"/>
      <c r="DA183" s="392"/>
      <c r="DB183" s="392"/>
      <c r="DC183" s="392"/>
      <c r="DD183" s="392"/>
      <c r="DE183" s="392"/>
      <c r="DF183" s="392"/>
      <c r="DG183" s="392"/>
      <c r="DH183" s="392"/>
      <c r="DI183" s="392"/>
      <c r="DJ183" s="392"/>
      <c r="DK183" s="392"/>
      <c r="DL183" s="392"/>
      <c r="DM183" s="392"/>
      <c r="DN183" s="392"/>
      <c r="DO183" s="392"/>
      <c r="DP183" s="392"/>
      <c r="DQ183" s="392"/>
      <c r="DR183" s="392"/>
      <c r="DS183" s="392"/>
      <c r="DT183" s="392"/>
      <c r="DU183" s="392"/>
      <c r="DV183" s="392"/>
      <c r="DW183" s="392"/>
      <c r="DX183" s="392"/>
      <c r="DY183" s="392"/>
      <c r="DZ183" s="392"/>
      <c r="EA183" s="392"/>
      <c r="EB183" s="392"/>
      <c r="EC183" s="392"/>
      <c r="ED183" s="392"/>
      <c r="EE183" s="392"/>
      <c r="EF183" s="392"/>
      <c r="EG183" s="392"/>
      <c r="EH183" s="392"/>
      <c r="EI183" s="392"/>
      <c r="EJ183" s="392"/>
      <c r="EK183" s="392"/>
      <c r="EL183" s="392"/>
      <c r="EM183" s="392"/>
      <c r="EN183" s="392"/>
      <c r="EO183" s="392"/>
      <c r="EP183" s="392"/>
      <c r="EQ183" s="392"/>
      <c r="ER183" s="392"/>
      <c r="ES183" s="392"/>
      <c r="ET183" s="392"/>
      <c r="EU183" s="392"/>
      <c r="EV183" s="392"/>
      <c r="EW183" s="392"/>
      <c r="EX183" s="392"/>
      <c r="EY183" s="392"/>
      <c r="EZ183" s="392"/>
      <c r="FA183" s="392"/>
      <c r="FB183" s="392"/>
      <c r="FC183" s="392"/>
      <c r="FD183" s="392"/>
      <c r="FE183" s="392"/>
      <c r="FF183" s="392"/>
      <c r="FG183" s="392"/>
      <c r="FH183" s="392"/>
      <c r="FI183" s="392"/>
      <c r="FJ183" s="392"/>
      <c r="FK183" s="392"/>
      <c r="FL183" s="392"/>
      <c r="FM183" s="392"/>
      <c r="FN183" s="392"/>
      <c r="FO183" s="392"/>
      <c r="FP183" s="392"/>
      <c r="FQ183" s="392"/>
      <c r="FR183" s="392"/>
      <c r="FS183" s="392"/>
      <c r="FT183" s="392"/>
      <c r="FU183" s="392"/>
      <c r="FV183" s="392"/>
      <c r="FW183" s="392"/>
      <c r="FX183" s="392"/>
      <c r="FY183" s="392"/>
      <c r="FZ183" s="392"/>
      <c r="GA183" s="392"/>
      <c r="GB183" s="392"/>
      <c r="GC183" s="392"/>
      <c r="GD183" s="392"/>
      <c r="GE183" s="392"/>
      <c r="GF183" s="392"/>
      <c r="GG183" s="392"/>
      <c r="GH183" s="392"/>
      <c r="GI183" s="392"/>
      <c r="GJ183" s="392"/>
      <c r="GK183" s="392"/>
      <c r="GL183" s="392"/>
      <c r="GM183" s="392"/>
      <c r="GN183" s="392"/>
      <c r="GO183" s="392"/>
      <c r="GP183" s="392"/>
      <c r="GQ183" s="392"/>
      <c r="GR183" s="392"/>
      <c r="GS183" s="392"/>
      <c r="GT183" s="392"/>
      <c r="GU183" s="392"/>
      <c r="GV183" s="392"/>
      <c r="GW183" s="392"/>
      <c r="GX183" s="392"/>
      <c r="GY183" s="392"/>
      <c r="GZ183" s="392"/>
      <c r="HA183" s="392"/>
      <c r="HB183" s="392"/>
      <c r="HC183" s="392"/>
      <c r="HD183" s="392"/>
      <c r="HE183" s="392"/>
      <c r="HF183" s="392"/>
      <c r="HG183" s="392"/>
      <c r="HH183" s="392"/>
      <c r="HI183" s="392"/>
      <c r="HJ183" s="392"/>
      <c r="HK183" s="392"/>
      <c r="HL183" s="392"/>
      <c r="HM183" s="392"/>
      <c r="HN183" s="392"/>
      <c r="HO183" s="392"/>
      <c r="HP183" s="392"/>
      <c r="HQ183" s="392"/>
      <c r="HR183" s="392"/>
      <c r="HS183" s="392"/>
      <c r="HT183" s="392"/>
      <c r="HU183" s="392"/>
      <c r="HV183" s="392"/>
      <c r="HW183" s="392"/>
      <c r="HX183" s="392"/>
      <c r="HY183" s="392"/>
      <c r="HZ183" s="392"/>
      <c r="IA183" s="392"/>
      <c r="IB183" s="392"/>
      <c r="IC183" s="392"/>
      <c r="ID183" s="392"/>
      <c r="IE183" s="392"/>
      <c r="IF183" s="392"/>
      <c r="IG183" s="392"/>
      <c r="IH183" s="392"/>
      <c r="II183" s="392"/>
      <c r="IJ183" s="392"/>
      <c r="IK183" s="392"/>
      <c r="IL183" s="392"/>
      <c r="IM183" s="392"/>
      <c r="IN183" s="392"/>
      <c r="IO183" s="392"/>
      <c r="IP183" s="392"/>
      <c r="IQ183" s="392"/>
      <c r="IR183" s="392"/>
      <c r="IS183" s="392"/>
      <c r="IT183" s="392"/>
      <c r="IU183" s="392"/>
      <c r="IV183" s="392"/>
    </row>
    <row r="184" spans="1:256" ht="364.5" customHeight="1">
      <c r="A184" s="392"/>
      <c r="B184" s="2325"/>
      <c r="C184" s="2325"/>
      <c r="D184" s="2325"/>
      <c r="E184" s="2325"/>
      <c r="F184" s="2325"/>
      <c r="G184" s="2325"/>
      <c r="H184" s="392"/>
      <c r="I184" s="392"/>
      <c r="J184" s="392"/>
      <c r="K184" s="392"/>
      <c r="L184" s="392"/>
      <c r="M184" s="392"/>
      <c r="N184" s="392"/>
      <c r="O184" s="392"/>
      <c r="P184" s="392"/>
      <c r="Q184" s="392"/>
      <c r="R184" s="392"/>
      <c r="S184" s="392"/>
      <c r="T184" s="392"/>
      <c r="U184" s="392"/>
      <c r="V184" s="392"/>
      <c r="W184" s="392"/>
      <c r="X184" s="392"/>
      <c r="Y184" s="392"/>
      <c r="Z184" s="392"/>
      <c r="AA184" s="392"/>
      <c r="AB184" s="392"/>
      <c r="AC184" s="392"/>
      <c r="AD184" s="392"/>
      <c r="AE184" s="392"/>
      <c r="AF184" s="392"/>
      <c r="AG184" s="392"/>
      <c r="AH184" s="392"/>
      <c r="AI184" s="392"/>
      <c r="AJ184" s="392"/>
      <c r="AK184" s="392"/>
      <c r="AL184" s="392"/>
      <c r="AM184" s="392"/>
      <c r="AN184" s="392"/>
      <c r="AO184" s="392"/>
      <c r="AP184" s="392"/>
      <c r="AQ184" s="392"/>
      <c r="AR184" s="392"/>
      <c r="AS184" s="392"/>
      <c r="AT184" s="392"/>
      <c r="AU184" s="392"/>
      <c r="AV184" s="392"/>
      <c r="AW184" s="392"/>
      <c r="AX184" s="392"/>
      <c r="AY184" s="392"/>
      <c r="AZ184" s="392"/>
      <c r="BA184" s="392"/>
      <c r="BB184" s="392"/>
      <c r="BC184" s="392"/>
      <c r="BD184" s="392"/>
      <c r="BE184" s="392"/>
      <c r="BF184" s="392"/>
      <c r="BG184" s="392"/>
      <c r="BH184" s="392"/>
      <c r="BI184" s="392"/>
      <c r="BJ184" s="392"/>
      <c r="BK184" s="392"/>
      <c r="BL184" s="392"/>
      <c r="BM184" s="392"/>
      <c r="BN184" s="392"/>
      <c r="BO184" s="392"/>
      <c r="BP184" s="392"/>
      <c r="BQ184" s="392"/>
      <c r="BR184" s="392"/>
      <c r="BS184" s="392"/>
      <c r="BT184" s="392"/>
      <c r="BU184" s="392"/>
      <c r="BV184" s="392"/>
      <c r="BW184" s="392"/>
      <c r="BX184" s="392"/>
      <c r="BY184" s="392"/>
      <c r="BZ184" s="392"/>
      <c r="CA184" s="392"/>
      <c r="CB184" s="392"/>
      <c r="CC184" s="392"/>
      <c r="CD184" s="392"/>
      <c r="CE184" s="392"/>
      <c r="CF184" s="392"/>
      <c r="CG184" s="392"/>
      <c r="CH184" s="392"/>
      <c r="CI184" s="392"/>
      <c r="CJ184" s="392"/>
      <c r="CK184" s="392"/>
      <c r="CL184" s="392"/>
      <c r="CM184" s="392"/>
      <c r="CN184" s="392"/>
      <c r="CO184" s="392"/>
      <c r="CP184" s="392"/>
      <c r="CQ184" s="392"/>
      <c r="CR184" s="392"/>
      <c r="CS184" s="392"/>
      <c r="CT184" s="392"/>
      <c r="CU184" s="392"/>
      <c r="CV184" s="392"/>
      <c r="CW184" s="392"/>
      <c r="CX184" s="392"/>
      <c r="CY184" s="392"/>
      <c r="CZ184" s="392"/>
      <c r="DA184" s="392"/>
      <c r="DB184" s="392"/>
      <c r="DC184" s="392"/>
      <c r="DD184" s="392"/>
      <c r="DE184" s="392"/>
      <c r="DF184" s="392"/>
      <c r="DG184" s="392"/>
      <c r="DH184" s="392"/>
      <c r="DI184" s="392"/>
      <c r="DJ184" s="392"/>
      <c r="DK184" s="392"/>
      <c r="DL184" s="392"/>
      <c r="DM184" s="392"/>
      <c r="DN184" s="392"/>
      <c r="DO184" s="392"/>
      <c r="DP184" s="392"/>
      <c r="DQ184" s="392"/>
      <c r="DR184" s="392"/>
      <c r="DS184" s="392"/>
      <c r="DT184" s="392"/>
      <c r="DU184" s="392"/>
      <c r="DV184" s="392"/>
      <c r="DW184" s="392"/>
      <c r="DX184" s="392"/>
      <c r="DY184" s="392"/>
      <c r="DZ184" s="392"/>
      <c r="EA184" s="392"/>
      <c r="EB184" s="392"/>
      <c r="EC184" s="392"/>
      <c r="ED184" s="392"/>
      <c r="EE184" s="392"/>
      <c r="EF184" s="392"/>
      <c r="EG184" s="392"/>
      <c r="EH184" s="392"/>
      <c r="EI184" s="392"/>
      <c r="EJ184" s="392"/>
      <c r="EK184" s="392"/>
      <c r="EL184" s="392"/>
      <c r="EM184" s="392"/>
      <c r="EN184" s="392"/>
      <c r="EO184" s="392"/>
      <c r="EP184" s="392"/>
      <c r="EQ184" s="392"/>
      <c r="ER184" s="392"/>
      <c r="ES184" s="392"/>
      <c r="ET184" s="392"/>
      <c r="EU184" s="392"/>
      <c r="EV184" s="392"/>
      <c r="EW184" s="392"/>
      <c r="EX184" s="392"/>
      <c r="EY184" s="392"/>
      <c r="EZ184" s="392"/>
      <c r="FA184" s="392"/>
      <c r="FB184" s="392"/>
      <c r="FC184" s="392"/>
      <c r="FD184" s="392"/>
      <c r="FE184" s="392"/>
      <c r="FF184" s="392"/>
      <c r="FG184" s="392"/>
      <c r="FH184" s="392"/>
      <c r="FI184" s="392"/>
      <c r="FJ184" s="392"/>
      <c r="FK184" s="392"/>
      <c r="FL184" s="392"/>
      <c r="FM184" s="392"/>
      <c r="FN184" s="392"/>
      <c r="FO184" s="392"/>
      <c r="FP184" s="392"/>
      <c r="FQ184" s="392"/>
      <c r="FR184" s="392"/>
      <c r="FS184" s="392"/>
      <c r="FT184" s="392"/>
      <c r="FU184" s="392"/>
      <c r="FV184" s="392"/>
      <c r="FW184" s="392"/>
      <c r="FX184" s="392"/>
      <c r="FY184" s="392"/>
      <c r="FZ184" s="392"/>
      <c r="GA184" s="392"/>
      <c r="GB184" s="392"/>
      <c r="GC184" s="392"/>
      <c r="GD184" s="392"/>
      <c r="GE184" s="392"/>
      <c r="GF184" s="392"/>
      <c r="GG184" s="392"/>
      <c r="GH184" s="392"/>
      <c r="GI184" s="392"/>
      <c r="GJ184" s="392"/>
      <c r="GK184" s="392"/>
      <c r="GL184" s="392"/>
      <c r="GM184" s="392"/>
      <c r="GN184" s="392"/>
      <c r="GO184" s="392"/>
      <c r="GP184" s="392"/>
      <c r="GQ184" s="392"/>
      <c r="GR184" s="392"/>
      <c r="GS184" s="392"/>
      <c r="GT184" s="392"/>
      <c r="GU184" s="392"/>
      <c r="GV184" s="392"/>
      <c r="GW184" s="392"/>
      <c r="GX184" s="392"/>
      <c r="GY184" s="392"/>
      <c r="GZ184" s="392"/>
      <c r="HA184" s="392"/>
      <c r="HB184" s="392"/>
      <c r="HC184" s="392"/>
      <c r="HD184" s="392"/>
      <c r="HE184" s="392"/>
      <c r="HF184" s="392"/>
      <c r="HG184" s="392"/>
      <c r="HH184" s="392"/>
      <c r="HI184" s="392"/>
      <c r="HJ184" s="392"/>
      <c r="HK184" s="392"/>
      <c r="HL184" s="392"/>
      <c r="HM184" s="392"/>
      <c r="HN184" s="392"/>
      <c r="HO184" s="392"/>
      <c r="HP184" s="392"/>
      <c r="HQ184" s="392"/>
      <c r="HR184" s="392"/>
      <c r="HS184" s="392"/>
      <c r="HT184" s="392"/>
      <c r="HU184" s="392"/>
      <c r="HV184" s="392"/>
      <c r="HW184" s="392"/>
      <c r="HX184" s="392"/>
      <c r="HY184" s="392"/>
      <c r="HZ184" s="392"/>
      <c r="IA184" s="392"/>
      <c r="IB184" s="392"/>
      <c r="IC184" s="392"/>
      <c r="ID184" s="392"/>
      <c r="IE184" s="392"/>
      <c r="IF184" s="392"/>
      <c r="IG184" s="392"/>
      <c r="IH184" s="392"/>
      <c r="II184" s="392"/>
      <c r="IJ184" s="392"/>
      <c r="IK184" s="392"/>
      <c r="IL184" s="392"/>
      <c r="IM184" s="392"/>
      <c r="IN184" s="392"/>
      <c r="IO184" s="392"/>
      <c r="IP184" s="392"/>
      <c r="IQ184" s="392"/>
      <c r="IR184" s="392"/>
      <c r="IS184" s="392"/>
      <c r="IT184" s="392"/>
      <c r="IU184" s="392"/>
      <c r="IV184" s="392"/>
    </row>
    <row r="185" spans="1:256" ht="182.25" customHeight="1" thickBot="1">
      <c r="A185" s="392"/>
      <c r="B185" s="2326"/>
      <c r="C185" s="2326"/>
      <c r="D185" s="2326"/>
      <c r="E185" s="2326"/>
      <c r="F185" s="2326"/>
      <c r="G185" s="2326"/>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392"/>
      <c r="AL185" s="392"/>
      <c r="AM185" s="392"/>
      <c r="AN185" s="392"/>
      <c r="AO185" s="392"/>
      <c r="AP185" s="392"/>
      <c r="AQ185" s="392"/>
      <c r="AR185" s="392"/>
      <c r="AS185" s="392"/>
      <c r="AT185" s="392"/>
      <c r="AU185" s="392"/>
      <c r="AV185" s="392"/>
      <c r="AW185" s="392"/>
      <c r="AX185" s="392"/>
      <c r="AY185" s="392"/>
      <c r="AZ185" s="392"/>
      <c r="BA185" s="392"/>
      <c r="BB185" s="392"/>
      <c r="BC185" s="392"/>
      <c r="BD185" s="392"/>
      <c r="BE185" s="392"/>
      <c r="BF185" s="392"/>
      <c r="BG185" s="392"/>
      <c r="BH185" s="392"/>
      <c r="BI185" s="392"/>
      <c r="BJ185" s="392"/>
      <c r="BK185" s="392"/>
      <c r="BL185" s="392"/>
      <c r="BM185" s="392"/>
      <c r="BN185" s="392"/>
      <c r="BO185" s="392"/>
      <c r="BP185" s="392"/>
      <c r="BQ185" s="392"/>
      <c r="BR185" s="392"/>
      <c r="BS185" s="392"/>
      <c r="BT185" s="392"/>
      <c r="BU185" s="392"/>
      <c r="BV185" s="392"/>
      <c r="BW185" s="392"/>
      <c r="BX185" s="392"/>
      <c r="BY185" s="392"/>
      <c r="BZ185" s="392"/>
      <c r="CA185" s="392"/>
      <c r="CB185" s="392"/>
      <c r="CC185" s="392"/>
      <c r="CD185" s="392"/>
      <c r="CE185" s="392"/>
      <c r="CF185" s="392"/>
      <c r="CG185" s="392"/>
      <c r="CH185" s="392"/>
      <c r="CI185" s="392"/>
      <c r="CJ185" s="392"/>
      <c r="CK185" s="392"/>
      <c r="CL185" s="392"/>
      <c r="CM185" s="392"/>
      <c r="CN185" s="392"/>
      <c r="CO185" s="392"/>
      <c r="CP185" s="392"/>
      <c r="CQ185" s="392"/>
      <c r="CR185" s="392"/>
      <c r="CS185" s="392"/>
      <c r="CT185" s="392"/>
      <c r="CU185" s="392"/>
      <c r="CV185" s="392"/>
      <c r="CW185" s="392"/>
      <c r="CX185" s="392"/>
      <c r="CY185" s="392"/>
      <c r="CZ185" s="392"/>
      <c r="DA185" s="392"/>
      <c r="DB185" s="392"/>
      <c r="DC185" s="392"/>
      <c r="DD185" s="392"/>
      <c r="DE185" s="392"/>
      <c r="DF185" s="392"/>
      <c r="DG185" s="392"/>
      <c r="DH185" s="392"/>
      <c r="DI185" s="392"/>
      <c r="DJ185" s="392"/>
      <c r="DK185" s="392"/>
      <c r="DL185" s="392"/>
      <c r="DM185" s="392"/>
      <c r="DN185" s="392"/>
      <c r="DO185" s="392"/>
      <c r="DP185" s="392"/>
      <c r="DQ185" s="392"/>
      <c r="DR185" s="392"/>
      <c r="DS185" s="392"/>
      <c r="DT185" s="392"/>
      <c r="DU185" s="392"/>
      <c r="DV185" s="392"/>
      <c r="DW185" s="392"/>
      <c r="DX185" s="392"/>
      <c r="DY185" s="392"/>
      <c r="DZ185" s="392"/>
      <c r="EA185" s="392"/>
      <c r="EB185" s="392"/>
      <c r="EC185" s="392"/>
      <c r="ED185" s="392"/>
      <c r="EE185" s="392"/>
      <c r="EF185" s="392"/>
      <c r="EG185" s="392"/>
      <c r="EH185" s="392"/>
      <c r="EI185" s="392"/>
      <c r="EJ185" s="392"/>
      <c r="EK185" s="392"/>
      <c r="EL185" s="392"/>
      <c r="EM185" s="392"/>
      <c r="EN185" s="392"/>
      <c r="EO185" s="392"/>
      <c r="EP185" s="392"/>
      <c r="EQ185" s="392"/>
      <c r="ER185" s="392"/>
      <c r="ES185" s="392"/>
      <c r="ET185" s="392"/>
      <c r="EU185" s="392"/>
      <c r="EV185" s="392"/>
      <c r="EW185" s="392"/>
      <c r="EX185" s="392"/>
      <c r="EY185" s="392"/>
      <c r="EZ185" s="392"/>
      <c r="FA185" s="392"/>
      <c r="FB185" s="392"/>
      <c r="FC185" s="392"/>
      <c r="FD185" s="392"/>
      <c r="FE185" s="392"/>
      <c r="FF185" s="392"/>
      <c r="FG185" s="392"/>
      <c r="FH185" s="392"/>
      <c r="FI185" s="392"/>
      <c r="FJ185" s="392"/>
      <c r="FK185" s="392"/>
      <c r="FL185" s="392"/>
      <c r="FM185" s="392"/>
      <c r="FN185" s="392"/>
      <c r="FO185" s="392"/>
      <c r="FP185" s="392"/>
      <c r="FQ185" s="392"/>
      <c r="FR185" s="392"/>
      <c r="FS185" s="392"/>
      <c r="FT185" s="392"/>
      <c r="FU185" s="392"/>
      <c r="FV185" s="392"/>
      <c r="FW185" s="392"/>
      <c r="FX185" s="392"/>
      <c r="FY185" s="392"/>
      <c r="FZ185" s="392"/>
      <c r="GA185" s="392"/>
      <c r="GB185" s="392"/>
      <c r="GC185" s="392"/>
      <c r="GD185" s="392"/>
      <c r="GE185" s="392"/>
      <c r="GF185" s="392"/>
      <c r="GG185" s="392"/>
      <c r="GH185" s="392"/>
      <c r="GI185" s="392"/>
      <c r="GJ185" s="392"/>
      <c r="GK185" s="392"/>
      <c r="GL185" s="392"/>
      <c r="GM185" s="392"/>
      <c r="GN185" s="392"/>
      <c r="GO185" s="392"/>
      <c r="GP185" s="392"/>
      <c r="GQ185" s="392"/>
      <c r="GR185" s="392"/>
      <c r="GS185" s="392"/>
      <c r="GT185" s="392"/>
      <c r="GU185" s="392"/>
      <c r="GV185" s="392"/>
      <c r="GW185" s="392"/>
      <c r="GX185" s="392"/>
      <c r="GY185" s="392"/>
      <c r="GZ185" s="392"/>
      <c r="HA185" s="392"/>
      <c r="HB185" s="392"/>
      <c r="HC185" s="392"/>
      <c r="HD185" s="392"/>
      <c r="HE185" s="392"/>
      <c r="HF185" s="392"/>
      <c r="HG185" s="392"/>
      <c r="HH185" s="392"/>
      <c r="HI185" s="392"/>
      <c r="HJ185" s="392"/>
      <c r="HK185" s="392"/>
      <c r="HL185" s="392"/>
      <c r="HM185" s="392"/>
      <c r="HN185" s="392"/>
      <c r="HO185" s="392"/>
      <c r="HP185" s="392"/>
      <c r="HQ185" s="392"/>
      <c r="HR185" s="392"/>
      <c r="HS185" s="392"/>
      <c r="HT185" s="392"/>
      <c r="HU185" s="392"/>
      <c r="HV185" s="392"/>
      <c r="HW185" s="392"/>
      <c r="HX185" s="392"/>
      <c r="HY185" s="392"/>
      <c r="HZ185" s="392"/>
      <c r="IA185" s="392"/>
      <c r="IB185" s="392"/>
      <c r="IC185" s="392"/>
      <c r="ID185" s="392"/>
      <c r="IE185" s="392"/>
      <c r="IF185" s="392"/>
      <c r="IG185" s="392"/>
      <c r="IH185" s="392"/>
      <c r="II185" s="392"/>
      <c r="IJ185" s="392"/>
      <c r="IK185" s="392"/>
      <c r="IL185" s="392"/>
      <c r="IM185" s="392"/>
      <c r="IN185" s="392"/>
      <c r="IO185" s="392"/>
      <c r="IP185" s="392"/>
      <c r="IQ185" s="392"/>
      <c r="IR185" s="392"/>
      <c r="IS185" s="392"/>
      <c r="IT185" s="392"/>
      <c r="IU185" s="392"/>
      <c r="IV185" s="392"/>
    </row>
    <row r="186" spans="1:256" ht="31.5">
      <c r="A186" s="392"/>
      <c r="B186" s="581" t="s">
        <v>1706</v>
      </c>
      <c r="C186" s="2327" t="s">
        <v>1720</v>
      </c>
      <c r="D186" s="2328"/>
      <c r="E186" s="2328"/>
      <c r="F186" s="2329"/>
      <c r="G186" s="554" t="s">
        <v>22</v>
      </c>
      <c r="H186" s="392"/>
      <c r="I186" s="392"/>
      <c r="J186" s="392"/>
      <c r="K186" s="392"/>
      <c r="L186" s="392"/>
      <c r="M186" s="392"/>
      <c r="N186" s="392"/>
      <c r="O186" s="392"/>
      <c r="P186" s="392"/>
      <c r="Q186" s="392"/>
      <c r="R186" s="392"/>
      <c r="S186" s="392"/>
      <c r="T186" s="392"/>
      <c r="U186" s="392"/>
      <c r="V186" s="392"/>
      <c r="W186" s="392"/>
      <c r="X186" s="392"/>
      <c r="Y186" s="392"/>
      <c r="Z186" s="392"/>
      <c r="AA186" s="392"/>
      <c r="AB186" s="392"/>
      <c r="AC186" s="392"/>
      <c r="AD186" s="392"/>
      <c r="AE186" s="392"/>
      <c r="AF186" s="392"/>
      <c r="AG186" s="392"/>
      <c r="AH186" s="392"/>
      <c r="AI186" s="392"/>
      <c r="AJ186" s="392"/>
      <c r="AK186" s="392"/>
      <c r="AL186" s="392"/>
      <c r="AM186" s="392"/>
      <c r="AN186" s="392"/>
      <c r="AO186" s="392"/>
      <c r="AP186" s="392"/>
      <c r="AQ186" s="392"/>
      <c r="AR186" s="392"/>
      <c r="AS186" s="392"/>
      <c r="AT186" s="392"/>
      <c r="AU186" s="392"/>
      <c r="AV186" s="392"/>
      <c r="AW186" s="392"/>
      <c r="AX186" s="392"/>
      <c r="AY186" s="392"/>
      <c r="AZ186" s="392"/>
      <c r="BA186" s="392"/>
      <c r="BB186" s="392"/>
      <c r="BC186" s="392"/>
      <c r="BD186" s="392"/>
      <c r="BE186" s="392"/>
      <c r="BF186" s="392"/>
      <c r="BG186" s="392"/>
      <c r="BH186" s="392"/>
      <c r="BI186" s="392"/>
      <c r="BJ186" s="392"/>
      <c r="BK186" s="392"/>
      <c r="BL186" s="392"/>
      <c r="BM186" s="392"/>
      <c r="BN186" s="392"/>
      <c r="BO186" s="392"/>
      <c r="BP186" s="392"/>
      <c r="BQ186" s="392"/>
      <c r="BR186" s="392"/>
      <c r="BS186" s="392"/>
      <c r="BT186" s="392"/>
      <c r="BU186" s="392"/>
      <c r="BV186" s="392"/>
      <c r="BW186" s="392"/>
      <c r="BX186" s="392"/>
      <c r="BY186" s="392"/>
      <c r="BZ186" s="392"/>
      <c r="CA186" s="392"/>
      <c r="CB186" s="392"/>
      <c r="CC186" s="392"/>
      <c r="CD186" s="392"/>
      <c r="CE186" s="392"/>
      <c r="CF186" s="392"/>
      <c r="CG186" s="392"/>
      <c r="CH186" s="392"/>
      <c r="CI186" s="392"/>
      <c r="CJ186" s="392"/>
      <c r="CK186" s="392"/>
      <c r="CL186" s="392"/>
      <c r="CM186" s="392"/>
      <c r="CN186" s="392"/>
      <c r="CO186" s="392"/>
      <c r="CP186" s="392"/>
      <c r="CQ186" s="392"/>
      <c r="CR186" s="392"/>
      <c r="CS186" s="392"/>
      <c r="CT186" s="392"/>
      <c r="CU186" s="392"/>
      <c r="CV186" s="392"/>
      <c r="CW186" s="392"/>
      <c r="CX186" s="392"/>
      <c r="CY186" s="392"/>
      <c r="CZ186" s="392"/>
      <c r="DA186" s="392"/>
      <c r="DB186" s="392"/>
      <c r="DC186" s="392"/>
      <c r="DD186" s="392"/>
      <c r="DE186" s="392"/>
      <c r="DF186" s="392"/>
      <c r="DG186" s="392"/>
      <c r="DH186" s="392"/>
      <c r="DI186" s="392"/>
      <c r="DJ186" s="392"/>
      <c r="DK186" s="392"/>
      <c r="DL186" s="392"/>
      <c r="DM186" s="392"/>
      <c r="DN186" s="392"/>
      <c r="DO186" s="392"/>
      <c r="DP186" s="392"/>
      <c r="DQ186" s="392"/>
      <c r="DR186" s="392"/>
      <c r="DS186" s="392"/>
      <c r="DT186" s="392"/>
      <c r="DU186" s="392"/>
      <c r="DV186" s="392"/>
      <c r="DW186" s="392"/>
      <c r="DX186" s="392"/>
      <c r="DY186" s="392"/>
      <c r="DZ186" s="392"/>
      <c r="EA186" s="392"/>
      <c r="EB186" s="392"/>
      <c r="EC186" s="392"/>
      <c r="ED186" s="392"/>
      <c r="EE186" s="392"/>
      <c r="EF186" s="392"/>
      <c r="EG186" s="392"/>
      <c r="EH186" s="392"/>
      <c r="EI186" s="392"/>
      <c r="EJ186" s="392"/>
      <c r="EK186" s="392"/>
      <c r="EL186" s="392"/>
      <c r="EM186" s="392"/>
      <c r="EN186" s="392"/>
      <c r="EO186" s="392"/>
      <c r="EP186" s="392"/>
      <c r="EQ186" s="392"/>
      <c r="ER186" s="392"/>
      <c r="ES186" s="392"/>
      <c r="ET186" s="392"/>
      <c r="EU186" s="392"/>
      <c r="EV186" s="392"/>
      <c r="EW186" s="392"/>
      <c r="EX186" s="392"/>
      <c r="EY186" s="392"/>
      <c r="EZ186" s="392"/>
      <c r="FA186" s="392"/>
      <c r="FB186" s="392"/>
      <c r="FC186" s="392"/>
      <c r="FD186" s="392"/>
      <c r="FE186" s="392"/>
      <c r="FF186" s="392"/>
      <c r="FG186" s="392"/>
      <c r="FH186" s="392"/>
      <c r="FI186" s="392"/>
      <c r="FJ186" s="392"/>
      <c r="FK186" s="392"/>
      <c r="FL186" s="392"/>
      <c r="FM186" s="392"/>
      <c r="FN186" s="392"/>
      <c r="FO186" s="392"/>
      <c r="FP186" s="392"/>
      <c r="FQ186" s="392"/>
      <c r="FR186" s="392"/>
      <c r="FS186" s="392"/>
      <c r="FT186" s="392"/>
      <c r="FU186" s="392"/>
      <c r="FV186" s="392"/>
      <c r="FW186" s="392"/>
      <c r="FX186" s="392"/>
      <c r="FY186" s="392"/>
      <c r="FZ186" s="392"/>
      <c r="GA186" s="392"/>
      <c r="GB186" s="392"/>
      <c r="GC186" s="392"/>
      <c r="GD186" s="392"/>
      <c r="GE186" s="392"/>
      <c r="GF186" s="392"/>
      <c r="GG186" s="392"/>
      <c r="GH186" s="392"/>
      <c r="GI186" s="392"/>
      <c r="GJ186" s="392"/>
      <c r="GK186" s="392"/>
      <c r="GL186" s="392"/>
      <c r="GM186" s="392"/>
      <c r="GN186" s="392"/>
      <c r="GO186" s="392"/>
      <c r="GP186" s="392"/>
      <c r="GQ186" s="392"/>
      <c r="GR186" s="392"/>
      <c r="GS186" s="392"/>
      <c r="GT186" s="392"/>
      <c r="GU186" s="392"/>
      <c r="GV186" s="392"/>
      <c r="GW186" s="392"/>
      <c r="GX186" s="392"/>
      <c r="GY186" s="392"/>
      <c r="GZ186" s="392"/>
      <c r="HA186" s="392"/>
      <c r="HB186" s="392"/>
      <c r="HC186" s="392"/>
      <c r="HD186" s="392"/>
      <c r="HE186" s="392"/>
      <c r="HF186" s="392"/>
      <c r="HG186" s="392"/>
      <c r="HH186" s="392"/>
      <c r="HI186" s="392"/>
      <c r="HJ186" s="392"/>
      <c r="HK186" s="392"/>
      <c r="HL186" s="392"/>
      <c r="HM186" s="392"/>
      <c r="HN186" s="392"/>
      <c r="HO186" s="392"/>
      <c r="HP186" s="392"/>
      <c r="HQ186" s="392"/>
      <c r="HR186" s="392"/>
      <c r="HS186" s="392"/>
      <c r="HT186" s="392"/>
      <c r="HU186" s="392"/>
      <c r="HV186" s="392"/>
      <c r="HW186" s="392"/>
      <c r="HX186" s="392"/>
      <c r="HY186" s="392"/>
      <c r="HZ186" s="392"/>
      <c r="IA186" s="392"/>
      <c r="IB186" s="392"/>
      <c r="IC186" s="392"/>
      <c r="ID186" s="392"/>
      <c r="IE186" s="392"/>
      <c r="IF186" s="392"/>
      <c r="IG186" s="392"/>
      <c r="IH186" s="392"/>
      <c r="II186" s="392"/>
      <c r="IJ186" s="392"/>
      <c r="IK186" s="392"/>
      <c r="IL186" s="392"/>
      <c r="IM186" s="392"/>
      <c r="IN186" s="392"/>
      <c r="IO186" s="392"/>
      <c r="IP186" s="392"/>
      <c r="IQ186" s="392"/>
      <c r="IR186" s="392"/>
      <c r="IS186" s="392"/>
      <c r="IT186" s="392"/>
      <c r="IU186" s="392"/>
      <c r="IV186" s="392"/>
    </row>
    <row r="187" spans="1:256" ht="31.5">
      <c r="A187" s="392"/>
      <c r="B187" s="366" t="s">
        <v>1708</v>
      </c>
      <c r="C187" s="582" t="s">
        <v>161</v>
      </c>
      <c r="D187" s="582" t="s">
        <v>22</v>
      </c>
      <c r="E187" s="2330" t="s">
        <v>162</v>
      </c>
      <c r="F187" s="2331"/>
      <c r="G187" s="2332"/>
      <c r="H187" s="392"/>
      <c r="I187" s="392"/>
      <c r="J187" s="392"/>
      <c r="K187" s="392"/>
      <c r="L187" s="392"/>
      <c r="M187" s="392"/>
      <c r="N187" s="392"/>
      <c r="O187" s="392"/>
      <c r="P187" s="392"/>
      <c r="Q187" s="392"/>
      <c r="R187" s="392"/>
      <c r="S187" s="392"/>
      <c r="T187" s="392"/>
      <c r="U187" s="392"/>
      <c r="V187" s="392"/>
      <c r="W187" s="392"/>
      <c r="X187" s="392"/>
      <c r="Y187" s="392"/>
      <c r="Z187" s="392"/>
      <c r="AA187" s="392"/>
      <c r="AB187" s="392"/>
      <c r="AC187" s="392"/>
      <c r="AD187" s="392"/>
      <c r="AE187" s="392"/>
      <c r="AF187" s="392"/>
      <c r="AG187" s="392"/>
      <c r="AH187" s="392"/>
      <c r="AI187" s="392"/>
      <c r="AJ187" s="392"/>
      <c r="AK187" s="392"/>
      <c r="AL187" s="392"/>
      <c r="AM187" s="392"/>
      <c r="AN187" s="392"/>
      <c r="AO187" s="392"/>
      <c r="AP187" s="392"/>
      <c r="AQ187" s="392"/>
      <c r="AR187" s="392"/>
      <c r="AS187" s="392"/>
      <c r="AT187" s="392"/>
      <c r="AU187" s="392"/>
      <c r="AV187" s="392"/>
      <c r="AW187" s="392"/>
      <c r="AX187" s="392"/>
      <c r="AY187" s="392"/>
      <c r="AZ187" s="392"/>
      <c r="BA187" s="392"/>
      <c r="BB187" s="392"/>
      <c r="BC187" s="392"/>
      <c r="BD187" s="392"/>
      <c r="BE187" s="392"/>
      <c r="BF187" s="392"/>
      <c r="BG187" s="392"/>
      <c r="BH187" s="392"/>
      <c r="BI187" s="392"/>
      <c r="BJ187" s="392"/>
      <c r="BK187" s="392"/>
      <c r="BL187" s="392"/>
      <c r="BM187" s="392"/>
      <c r="BN187" s="392"/>
      <c r="BO187" s="392"/>
      <c r="BP187" s="392"/>
      <c r="BQ187" s="392"/>
      <c r="BR187" s="392"/>
      <c r="BS187" s="392"/>
      <c r="BT187" s="392"/>
      <c r="BU187" s="392"/>
      <c r="BV187" s="392"/>
      <c r="BW187" s="392"/>
      <c r="BX187" s="392"/>
      <c r="BY187" s="392"/>
      <c r="BZ187" s="392"/>
      <c r="CA187" s="392"/>
      <c r="CB187" s="392"/>
      <c r="CC187" s="392"/>
      <c r="CD187" s="392"/>
      <c r="CE187" s="392"/>
      <c r="CF187" s="392"/>
      <c r="CG187" s="392"/>
      <c r="CH187" s="392"/>
      <c r="CI187" s="392"/>
      <c r="CJ187" s="392"/>
      <c r="CK187" s="392"/>
      <c r="CL187" s="392"/>
      <c r="CM187" s="392"/>
      <c r="CN187" s="392"/>
      <c r="CO187" s="392"/>
      <c r="CP187" s="392"/>
      <c r="CQ187" s="392"/>
      <c r="CR187" s="392"/>
      <c r="CS187" s="392"/>
      <c r="CT187" s="392"/>
      <c r="CU187" s="392"/>
      <c r="CV187" s="392"/>
      <c r="CW187" s="392"/>
      <c r="CX187" s="392"/>
      <c r="CY187" s="392"/>
      <c r="CZ187" s="392"/>
      <c r="DA187" s="392"/>
      <c r="DB187" s="392"/>
      <c r="DC187" s="392"/>
      <c r="DD187" s="392"/>
      <c r="DE187" s="392"/>
      <c r="DF187" s="392"/>
      <c r="DG187" s="392"/>
      <c r="DH187" s="392"/>
      <c r="DI187" s="392"/>
      <c r="DJ187" s="392"/>
      <c r="DK187" s="392"/>
      <c r="DL187" s="392"/>
      <c r="DM187" s="392"/>
      <c r="DN187" s="392"/>
      <c r="DO187" s="392"/>
      <c r="DP187" s="392"/>
      <c r="DQ187" s="392"/>
      <c r="DR187" s="392"/>
      <c r="DS187" s="392"/>
      <c r="DT187" s="392"/>
      <c r="DU187" s="392"/>
      <c r="DV187" s="392"/>
      <c r="DW187" s="392"/>
      <c r="DX187" s="392"/>
      <c r="DY187" s="392"/>
      <c r="DZ187" s="392"/>
      <c r="EA187" s="392"/>
      <c r="EB187" s="392"/>
      <c r="EC187" s="392"/>
      <c r="ED187" s="392"/>
      <c r="EE187" s="392"/>
      <c r="EF187" s="392"/>
      <c r="EG187" s="392"/>
      <c r="EH187" s="392"/>
      <c r="EI187" s="392"/>
      <c r="EJ187" s="392"/>
      <c r="EK187" s="392"/>
      <c r="EL187" s="392"/>
      <c r="EM187" s="392"/>
      <c r="EN187" s="392"/>
      <c r="EO187" s="392"/>
      <c r="EP187" s="392"/>
      <c r="EQ187" s="392"/>
      <c r="ER187" s="392"/>
      <c r="ES187" s="392"/>
      <c r="ET187" s="392"/>
      <c r="EU187" s="392"/>
      <c r="EV187" s="392"/>
      <c r="EW187" s="392"/>
      <c r="EX187" s="392"/>
      <c r="EY187" s="392"/>
      <c r="EZ187" s="392"/>
      <c r="FA187" s="392"/>
      <c r="FB187" s="392"/>
      <c r="FC187" s="392"/>
      <c r="FD187" s="392"/>
      <c r="FE187" s="392"/>
      <c r="FF187" s="392"/>
      <c r="FG187" s="392"/>
      <c r="FH187" s="392"/>
      <c r="FI187" s="392"/>
      <c r="FJ187" s="392"/>
      <c r="FK187" s="392"/>
      <c r="FL187" s="392"/>
      <c r="FM187" s="392"/>
      <c r="FN187" s="392"/>
      <c r="FO187" s="392"/>
      <c r="FP187" s="392"/>
      <c r="FQ187" s="392"/>
      <c r="FR187" s="392"/>
      <c r="FS187" s="392"/>
      <c r="FT187" s="392"/>
      <c r="FU187" s="392"/>
      <c r="FV187" s="392"/>
      <c r="FW187" s="392"/>
      <c r="FX187" s="392"/>
      <c r="FY187" s="392"/>
      <c r="FZ187" s="392"/>
      <c r="GA187" s="392"/>
      <c r="GB187" s="392"/>
      <c r="GC187" s="392"/>
      <c r="GD187" s="392"/>
      <c r="GE187" s="392"/>
      <c r="GF187" s="392"/>
      <c r="GG187" s="392"/>
      <c r="GH187" s="392"/>
      <c r="GI187" s="392"/>
      <c r="GJ187" s="392"/>
      <c r="GK187" s="392"/>
      <c r="GL187" s="392"/>
      <c r="GM187" s="392"/>
      <c r="GN187" s="392"/>
      <c r="GO187" s="392"/>
      <c r="GP187" s="392"/>
      <c r="GQ187" s="392"/>
      <c r="GR187" s="392"/>
      <c r="GS187" s="392"/>
      <c r="GT187" s="392"/>
      <c r="GU187" s="392"/>
      <c r="GV187" s="392"/>
      <c r="GW187" s="392"/>
      <c r="GX187" s="392"/>
      <c r="GY187" s="392"/>
      <c r="GZ187" s="392"/>
      <c r="HA187" s="392"/>
      <c r="HB187" s="392"/>
      <c r="HC187" s="392"/>
      <c r="HD187" s="392"/>
      <c r="HE187" s="392"/>
      <c r="HF187" s="392"/>
      <c r="HG187" s="392"/>
      <c r="HH187" s="392"/>
      <c r="HI187" s="392"/>
      <c r="HJ187" s="392"/>
      <c r="HK187" s="392"/>
      <c r="HL187" s="392"/>
      <c r="HM187" s="392"/>
      <c r="HN187" s="392"/>
      <c r="HO187" s="392"/>
      <c r="HP187" s="392"/>
      <c r="HQ187" s="392"/>
      <c r="HR187" s="392"/>
      <c r="HS187" s="392"/>
      <c r="HT187" s="392"/>
      <c r="HU187" s="392"/>
      <c r="HV187" s="392"/>
      <c r="HW187" s="392"/>
      <c r="HX187" s="392"/>
      <c r="HY187" s="392"/>
      <c r="HZ187" s="392"/>
      <c r="IA187" s="392"/>
      <c r="IB187" s="392"/>
      <c r="IC187" s="392"/>
      <c r="ID187" s="392"/>
      <c r="IE187" s="392"/>
      <c r="IF187" s="392"/>
      <c r="IG187" s="392"/>
      <c r="IH187" s="392"/>
      <c r="II187" s="392"/>
      <c r="IJ187" s="392"/>
      <c r="IK187" s="392"/>
      <c r="IL187" s="392"/>
      <c r="IM187" s="392"/>
      <c r="IN187" s="392"/>
      <c r="IO187" s="392"/>
      <c r="IP187" s="392"/>
      <c r="IQ187" s="392"/>
      <c r="IR187" s="392"/>
      <c r="IS187" s="392"/>
      <c r="IT187" s="392"/>
      <c r="IU187" s="392"/>
      <c r="IV187" s="392"/>
    </row>
    <row r="188" spans="1:256" ht="15.75">
      <c r="A188" s="392"/>
      <c r="B188" s="2333" t="s">
        <v>165</v>
      </c>
      <c r="C188" s="2334"/>
      <c r="D188" s="2334"/>
      <c r="E188" s="2334"/>
      <c r="F188" s="2334"/>
      <c r="G188" s="2335"/>
      <c r="H188" s="392"/>
      <c r="I188" s="392"/>
      <c r="J188" s="392"/>
      <c r="K188" s="392"/>
      <c r="L188" s="392"/>
      <c r="M188" s="392"/>
      <c r="N188" s="392"/>
      <c r="O188" s="392"/>
      <c r="P188" s="392"/>
      <c r="Q188" s="392"/>
      <c r="R188" s="392"/>
      <c r="S188" s="392"/>
      <c r="T188" s="392"/>
      <c r="U188" s="392"/>
      <c r="V188" s="392"/>
      <c r="W188" s="392"/>
      <c r="X188" s="392"/>
      <c r="Y188" s="392"/>
      <c r="Z188" s="392"/>
      <c r="AA188" s="392"/>
      <c r="AB188" s="392"/>
      <c r="AC188" s="392"/>
      <c r="AD188" s="392"/>
      <c r="AE188" s="392"/>
      <c r="AF188" s="392"/>
      <c r="AG188" s="392"/>
      <c r="AH188" s="392"/>
      <c r="AI188" s="392"/>
      <c r="AJ188" s="392"/>
      <c r="AK188" s="392"/>
      <c r="AL188" s="392"/>
      <c r="AM188" s="392"/>
      <c r="AN188" s="392"/>
      <c r="AO188" s="392"/>
      <c r="AP188" s="392"/>
      <c r="AQ188" s="392"/>
      <c r="AR188" s="392"/>
      <c r="AS188" s="392"/>
      <c r="AT188" s="392"/>
      <c r="AU188" s="392"/>
      <c r="AV188" s="392"/>
      <c r="AW188" s="392"/>
      <c r="AX188" s="392"/>
      <c r="AY188" s="392"/>
      <c r="AZ188" s="392"/>
      <c r="BA188" s="392"/>
      <c r="BB188" s="392"/>
      <c r="BC188" s="392"/>
      <c r="BD188" s="392"/>
      <c r="BE188" s="392"/>
      <c r="BF188" s="392"/>
      <c r="BG188" s="392"/>
      <c r="BH188" s="392"/>
      <c r="BI188" s="392"/>
      <c r="BJ188" s="392"/>
      <c r="BK188" s="392"/>
      <c r="BL188" s="392"/>
      <c r="BM188" s="392"/>
      <c r="BN188" s="392"/>
      <c r="BO188" s="392"/>
      <c r="BP188" s="392"/>
      <c r="BQ188" s="392"/>
      <c r="BR188" s="392"/>
      <c r="BS188" s="392"/>
      <c r="BT188" s="392"/>
      <c r="BU188" s="392"/>
      <c r="BV188" s="392"/>
      <c r="BW188" s="392"/>
      <c r="BX188" s="392"/>
      <c r="BY188" s="392"/>
      <c r="BZ188" s="392"/>
      <c r="CA188" s="392"/>
      <c r="CB188" s="392"/>
      <c r="CC188" s="392"/>
      <c r="CD188" s="392"/>
      <c r="CE188" s="392"/>
      <c r="CF188" s="392"/>
      <c r="CG188" s="392"/>
      <c r="CH188" s="392"/>
      <c r="CI188" s="392"/>
      <c r="CJ188" s="392"/>
      <c r="CK188" s="392"/>
      <c r="CL188" s="392"/>
      <c r="CM188" s="392"/>
      <c r="CN188" s="392"/>
      <c r="CO188" s="392"/>
      <c r="CP188" s="392"/>
      <c r="CQ188" s="392"/>
      <c r="CR188" s="392"/>
      <c r="CS188" s="392"/>
      <c r="CT188" s="392"/>
      <c r="CU188" s="392"/>
      <c r="CV188" s="392"/>
      <c r="CW188" s="392"/>
      <c r="CX188" s="392"/>
      <c r="CY188" s="392"/>
      <c r="CZ188" s="392"/>
      <c r="DA188" s="392"/>
      <c r="DB188" s="392"/>
      <c r="DC188" s="392"/>
      <c r="DD188" s="392"/>
      <c r="DE188" s="392"/>
      <c r="DF188" s="392"/>
      <c r="DG188" s="392"/>
      <c r="DH188" s="392"/>
      <c r="DI188" s="392"/>
      <c r="DJ188" s="392"/>
      <c r="DK188" s="392"/>
      <c r="DL188" s="392"/>
      <c r="DM188" s="392"/>
      <c r="DN188" s="392"/>
      <c r="DO188" s="392"/>
      <c r="DP188" s="392"/>
      <c r="DQ188" s="392"/>
      <c r="DR188" s="392"/>
      <c r="DS188" s="392"/>
      <c r="DT188" s="392"/>
      <c r="DU188" s="392"/>
      <c r="DV188" s="392"/>
      <c r="DW188" s="392"/>
      <c r="DX188" s="392"/>
      <c r="DY188" s="392"/>
      <c r="DZ188" s="392"/>
      <c r="EA188" s="392"/>
      <c r="EB188" s="392"/>
      <c r="EC188" s="392"/>
      <c r="ED188" s="392"/>
      <c r="EE188" s="392"/>
      <c r="EF188" s="392"/>
      <c r="EG188" s="392"/>
      <c r="EH188" s="392"/>
      <c r="EI188" s="392"/>
      <c r="EJ188" s="392"/>
      <c r="EK188" s="392"/>
      <c r="EL188" s="392"/>
      <c r="EM188" s="392"/>
      <c r="EN188" s="392"/>
      <c r="EO188" s="392"/>
      <c r="EP188" s="392"/>
      <c r="EQ188" s="392"/>
      <c r="ER188" s="392"/>
      <c r="ES188" s="392"/>
      <c r="ET188" s="392"/>
      <c r="EU188" s="392"/>
      <c r="EV188" s="392"/>
      <c r="EW188" s="392"/>
      <c r="EX188" s="392"/>
      <c r="EY188" s="392"/>
      <c r="EZ188" s="392"/>
      <c r="FA188" s="392"/>
      <c r="FB188" s="392"/>
      <c r="FC188" s="392"/>
      <c r="FD188" s="392"/>
      <c r="FE188" s="392"/>
      <c r="FF188" s="392"/>
      <c r="FG188" s="392"/>
      <c r="FH188" s="392"/>
      <c r="FI188" s="392"/>
      <c r="FJ188" s="392"/>
      <c r="FK188" s="392"/>
      <c r="FL188" s="392"/>
      <c r="FM188" s="392"/>
      <c r="FN188" s="392"/>
      <c r="FO188" s="392"/>
      <c r="FP188" s="392"/>
      <c r="FQ188" s="392"/>
      <c r="FR188" s="392"/>
      <c r="FS188" s="392"/>
      <c r="FT188" s="392"/>
      <c r="FU188" s="392"/>
      <c r="FV188" s="392"/>
      <c r="FW188" s="392"/>
      <c r="FX188" s="392"/>
      <c r="FY188" s="392"/>
      <c r="FZ188" s="392"/>
      <c r="GA188" s="392"/>
      <c r="GB188" s="392"/>
      <c r="GC188" s="392"/>
      <c r="GD188" s="392"/>
      <c r="GE188" s="392"/>
      <c r="GF188" s="392"/>
      <c r="GG188" s="392"/>
      <c r="GH188" s="392"/>
      <c r="GI188" s="392"/>
      <c r="GJ188" s="392"/>
      <c r="GK188" s="392"/>
      <c r="GL188" s="392"/>
      <c r="GM188" s="392"/>
      <c r="GN188" s="392"/>
      <c r="GO188" s="392"/>
      <c r="GP188" s="392"/>
      <c r="GQ188" s="392"/>
      <c r="GR188" s="392"/>
      <c r="GS188" s="392"/>
      <c r="GT188" s="392"/>
      <c r="GU188" s="392"/>
      <c r="GV188" s="392"/>
      <c r="GW188" s="392"/>
      <c r="GX188" s="392"/>
      <c r="GY188" s="392"/>
      <c r="GZ188" s="392"/>
      <c r="HA188" s="392"/>
      <c r="HB188" s="392"/>
      <c r="HC188" s="392"/>
      <c r="HD188" s="392"/>
      <c r="HE188" s="392"/>
      <c r="HF188" s="392"/>
      <c r="HG188" s="392"/>
      <c r="HH188" s="392"/>
      <c r="HI188" s="392"/>
      <c r="HJ188" s="392"/>
      <c r="HK188" s="392"/>
      <c r="HL188" s="392"/>
      <c r="HM188" s="392"/>
      <c r="HN188" s="392"/>
      <c r="HO188" s="392"/>
      <c r="HP188" s="392"/>
      <c r="HQ188" s="392"/>
      <c r="HR188" s="392"/>
      <c r="HS188" s="392"/>
      <c r="HT188" s="392"/>
      <c r="HU188" s="392"/>
      <c r="HV188" s="392"/>
      <c r="HW188" s="392"/>
      <c r="HX188" s="392"/>
      <c r="HY188" s="392"/>
      <c r="HZ188" s="392"/>
      <c r="IA188" s="392"/>
      <c r="IB188" s="392"/>
      <c r="IC188" s="392"/>
      <c r="ID188" s="392"/>
      <c r="IE188" s="392"/>
      <c r="IF188" s="392"/>
      <c r="IG188" s="392"/>
      <c r="IH188" s="392"/>
      <c r="II188" s="392"/>
      <c r="IJ188" s="392"/>
      <c r="IK188" s="392"/>
      <c r="IL188" s="392"/>
      <c r="IM188" s="392"/>
      <c r="IN188" s="392"/>
      <c r="IO188" s="392"/>
      <c r="IP188" s="392"/>
      <c r="IQ188" s="392"/>
      <c r="IR188" s="392"/>
      <c r="IS188" s="392"/>
      <c r="IT188" s="392"/>
      <c r="IU188" s="392"/>
      <c r="IV188" s="392"/>
    </row>
    <row r="189" spans="1:256" ht="15">
      <c r="A189" s="392"/>
      <c r="B189" s="2318" t="str">
        <f>C180</f>
        <v>ESCAVAÇÃO MANUAL DE VALA COM PROFUNDIDADE MENOR OU IGUAL A 1,30 M. AF_02/2021</v>
      </c>
      <c r="C189" s="2319"/>
      <c r="D189" s="583" t="s">
        <v>19</v>
      </c>
      <c r="E189" s="2340" t="s">
        <v>1721</v>
      </c>
      <c r="F189" s="2340"/>
      <c r="G189" s="2341"/>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c r="AE189" s="392"/>
      <c r="AF189" s="392"/>
      <c r="AG189" s="392"/>
      <c r="AH189" s="392"/>
      <c r="AI189" s="392"/>
      <c r="AJ189" s="392"/>
      <c r="AK189" s="392"/>
      <c r="AL189" s="392"/>
      <c r="AM189" s="392"/>
      <c r="AN189" s="392"/>
      <c r="AO189" s="392"/>
      <c r="AP189" s="392"/>
      <c r="AQ189" s="392"/>
      <c r="AR189" s="392"/>
      <c r="AS189" s="392"/>
      <c r="AT189" s="392"/>
      <c r="AU189" s="392"/>
      <c r="AV189" s="392"/>
      <c r="AW189" s="392"/>
      <c r="AX189" s="392"/>
      <c r="AY189" s="392"/>
      <c r="AZ189" s="392"/>
      <c r="BA189" s="392"/>
      <c r="BB189" s="392"/>
      <c r="BC189" s="392"/>
      <c r="BD189" s="392"/>
      <c r="BE189" s="392"/>
      <c r="BF189" s="392"/>
      <c r="BG189" s="392"/>
      <c r="BH189" s="392"/>
      <c r="BI189" s="392"/>
      <c r="BJ189" s="392"/>
      <c r="BK189" s="392"/>
      <c r="BL189" s="392"/>
      <c r="BM189" s="392"/>
      <c r="BN189" s="392"/>
      <c r="BO189" s="392"/>
      <c r="BP189" s="392"/>
      <c r="BQ189" s="392"/>
      <c r="BR189" s="392"/>
      <c r="BS189" s="392"/>
      <c r="BT189" s="392"/>
      <c r="BU189" s="392"/>
      <c r="BV189" s="392"/>
      <c r="BW189" s="392"/>
      <c r="BX189" s="392"/>
      <c r="BY189" s="392"/>
      <c r="BZ189" s="392"/>
      <c r="CA189" s="392"/>
      <c r="CB189" s="392"/>
      <c r="CC189" s="392"/>
      <c r="CD189" s="392"/>
      <c r="CE189" s="392"/>
      <c r="CF189" s="392"/>
      <c r="CG189" s="392"/>
      <c r="CH189" s="392"/>
      <c r="CI189" s="392"/>
      <c r="CJ189" s="392"/>
      <c r="CK189" s="392"/>
      <c r="CL189" s="392"/>
      <c r="CM189" s="392"/>
      <c r="CN189" s="392"/>
      <c r="CO189" s="392"/>
      <c r="CP189" s="392"/>
      <c r="CQ189" s="392"/>
      <c r="CR189" s="392"/>
      <c r="CS189" s="392"/>
      <c r="CT189" s="392"/>
      <c r="CU189" s="392"/>
      <c r="CV189" s="392"/>
      <c r="CW189" s="392"/>
      <c r="CX189" s="392"/>
      <c r="CY189" s="392"/>
      <c r="CZ189" s="392"/>
      <c r="DA189" s="392"/>
      <c r="DB189" s="392"/>
      <c r="DC189" s="392"/>
      <c r="DD189" s="392"/>
      <c r="DE189" s="392"/>
      <c r="DF189" s="392"/>
      <c r="DG189" s="392"/>
      <c r="DH189" s="392"/>
      <c r="DI189" s="392"/>
      <c r="DJ189" s="392"/>
      <c r="DK189" s="392"/>
      <c r="DL189" s="392"/>
      <c r="DM189" s="392"/>
      <c r="DN189" s="392"/>
      <c r="DO189" s="392"/>
      <c r="DP189" s="392"/>
      <c r="DQ189" s="392"/>
      <c r="DR189" s="392"/>
      <c r="DS189" s="392"/>
      <c r="DT189" s="392"/>
      <c r="DU189" s="392"/>
      <c r="DV189" s="392"/>
      <c r="DW189" s="392"/>
      <c r="DX189" s="392"/>
      <c r="DY189" s="392"/>
      <c r="DZ189" s="392"/>
      <c r="EA189" s="392"/>
      <c r="EB189" s="392"/>
      <c r="EC189" s="392"/>
      <c r="ED189" s="392"/>
      <c r="EE189" s="392"/>
      <c r="EF189" s="392"/>
      <c r="EG189" s="392"/>
      <c r="EH189" s="392"/>
      <c r="EI189" s="392"/>
      <c r="EJ189" s="392"/>
      <c r="EK189" s="392"/>
      <c r="EL189" s="392"/>
      <c r="EM189" s="392"/>
      <c r="EN189" s="392"/>
      <c r="EO189" s="392"/>
      <c r="EP189" s="392"/>
      <c r="EQ189" s="392"/>
      <c r="ER189" s="392"/>
      <c r="ES189" s="392"/>
      <c r="ET189" s="392"/>
      <c r="EU189" s="392"/>
      <c r="EV189" s="392"/>
      <c r="EW189" s="392"/>
      <c r="EX189" s="392"/>
      <c r="EY189" s="392"/>
      <c r="EZ189" s="392"/>
      <c r="FA189" s="392"/>
      <c r="FB189" s="392"/>
      <c r="FC189" s="392"/>
      <c r="FD189" s="392"/>
      <c r="FE189" s="392"/>
      <c r="FF189" s="392"/>
      <c r="FG189" s="392"/>
      <c r="FH189" s="392"/>
      <c r="FI189" s="392"/>
      <c r="FJ189" s="392"/>
      <c r="FK189" s="392"/>
      <c r="FL189" s="392"/>
      <c r="FM189" s="392"/>
      <c r="FN189" s="392"/>
      <c r="FO189" s="392"/>
      <c r="FP189" s="392"/>
      <c r="FQ189" s="392"/>
      <c r="FR189" s="392"/>
      <c r="FS189" s="392"/>
      <c r="FT189" s="392"/>
      <c r="FU189" s="392"/>
      <c r="FV189" s="392"/>
      <c r="FW189" s="392"/>
      <c r="FX189" s="392"/>
      <c r="FY189" s="392"/>
      <c r="FZ189" s="392"/>
      <c r="GA189" s="392"/>
      <c r="GB189" s="392"/>
      <c r="GC189" s="392"/>
      <c r="GD189" s="392"/>
      <c r="GE189" s="392"/>
      <c r="GF189" s="392"/>
      <c r="GG189" s="392"/>
      <c r="GH189" s="392"/>
      <c r="GI189" s="392"/>
      <c r="GJ189" s="392"/>
      <c r="GK189" s="392"/>
      <c r="GL189" s="392"/>
      <c r="GM189" s="392"/>
      <c r="GN189" s="392"/>
      <c r="GO189" s="392"/>
      <c r="GP189" s="392"/>
      <c r="GQ189" s="392"/>
      <c r="GR189" s="392"/>
      <c r="GS189" s="392"/>
      <c r="GT189" s="392"/>
      <c r="GU189" s="392"/>
      <c r="GV189" s="392"/>
      <c r="GW189" s="392"/>
      <c r="GX189" s="392"/>
      <c r="GY189" s="392"/>
      <c r="GZ189" s="392"/>
      <c r="HA189" s="392"/>
      <c r="HB189" s="392"/>
      <c r="HC189" s="392"/>
      <c r="HD189" s="392"/>
      <c r="HE189" s="392"/>
      <c r="HF189" s="392"/>
      <c r="HG189" s="392"/>
      <c r="HH189" s="392"/>
      <c r="HI189" s="392"/>
      <c r="HJ189" s="392"/>
      <c r="HK189" s="392"/>
      <c r="HL189" s="392"/>
      <c r="HM189" s="392"/>
      <c r="HN189" s="392"/>
      <c r="HO189" s="392"/>
      <c r="HP189" s="392"/>
      <c r="HQ189" s="392"/>
      <c r="HR189" s="392"/>
      <c r="HS189" s="392"/>
      <c r="HT189" s="392"/>
      <c r="HU189" s="392"/>
      <c r="HV189" s="392"/>
      <c r="HW189" s="392"/>
      <c r="HX189" s="392"/>
      <c r="HY189" s="392"/>
      <c r="HZ189" s="392"/>
      <c r="IA189" s="392"/>
      <c r="IB189" s="392"/>
      <c r="IC189" s="392"/>
      <c r="ID189" s="392"/>
      <c r="IE189" s="392"/>
      <c r="IF189" s="392"/>
      <c r="IG189" s="392"/>
      <c r="IH189" s="392"/>
      <c r="II189" s="392"/>
      <c r="IJ189" s="392"/>
      <c r="IK189" s="392"/>
      <c r="IL189" s="392"/>
      <c r="IM189" s="392"/>
      <c r="IN189" s="392"/>
      <c r="IO189" s="392"/>
      <c r="IP189" s="392"/>
      <c r="IQ189" s="392"/>
      <c r="IR189" s="392"/>
      <c r="IS189" s="392"/>
      <c r="IT189" s="392"/>
      <c r="IU189" s="392"/>
      <c r="IV189" s="392"/>
    </row>
    <row r="190" spans="1:256" ht="36" customHeight="1">
      <c r="A190" s="392"/>
      <c r="B190" s="2318" t="str">
        <f>C181</f>
        <v>CONCRETO FCK = 25MPA, TRAÇO 1:2,3:2,7 (EM MASSA SECA DE CIMENTO/ AREIA MÉDIA/ BRITA 1) - PREPARO MECÂNICO COM BETONEIRA 400 L. AF_05/2021</v>
      </c>
      <c r="C190" s="2319"/>
      <c r="D190" s="322" t="s">
        <v>19</v>
      </c>
      <c r="E190" s="2320" t="str">
        <f>E189</f>
        <v>(0,30*0,30*0,30)*3</v>
      </c>
      <c r="F190" s="2320"/>
      <c r="G190" s="2321"/>
      <c r="H190" s="392"/>
      <c r="I190" s="392"/>
      <c r="J190" s="392"/>
      <c r="K190" s="392"/>
      <c r="L190" s="392"/>
      <c r="M190" s="392"/>
      <c r="N190" s="392"/>
      <c r="O190" s="392"/>
      <c r="P190" s="392"/>
      <c r="Q190" s="392"/>
      <c r="R190" s="392"/>
      <c r="S190" s="392"/>
      <c r="T190" s="392"/>
      <c r="U190" s="392"/>
      <c r="V190" s="392"/>
      <c r="W190" s="392"/>
      <c r="X190" s="392"/>
      <c r="Y190" s="392"/>
      <c r="Z190" s="392"/>
      <c r="AA190" s="392"/>
      <c r="AB190" s="392"/>
      <c r="AC190" s="392"/>
      <c r="AD190" s="392"/>
      <c r="AE190" s="392"/>
      <c r="AF190" s="392"/>
      <c r="AG190" s="392"/>
      <c r="AH190" s="392"/>
      <c r="AI190" s="392"/>
      <c r="AJ190" s="392"/>
      <c r="AK190" s="392"/>
      <c r="AL190" s="392"/>
      <c r="AM190" s="392"/>
      <c r="AN190" s="392"/>
      <c r="AO190" s="392"/>
      <c r="AP190" s="392"/>
      <c r="AQ190" s="392"/>
      <c r="AR190" s="392"/>
      <c r="AS190" s="392"/>
      <c r="AT190" s="392"/>
      <c r="AU190" s="392"/>
      <c r="AV190" s="392"/>
      <c r="AW190" s="392"/>
      <c r="AX190" s="392"/>
      <c r="AY190" s="392"/>
      <c r="AZ190" s="392"/>
      <c r="BA190" s="392"/>
      <c r="BB190" s="392"/>
      <c r="BC190" s="392"/>
      <c r="BD190" s="392"/>
      <c r="BE190" s="392"/>
      <c r="BF190" s="392"/>
      <c r="BG190" s="392"/>
      <c r="BH190" s="392"/>
      <c r="BI190" s="392"/>
      <c r="BJ190" s="392"/>
      <c r="BK190" s="392"/>
      <c r="BL190" s="392"/>
      <c r="BM190" s="392"/>
      <c r="BN190" s="392"/>
      <c r="BO190" s="392"/>
      <c r="BP190" s="392"/>
      <c r="BQ190" s="392"/>
      <c r="BR190" s="392"/>
      <c r="BS190" s="392"/>
      <c r="BT190" s="392"/>
      <c r="BU190" s="392"/>
      <c r="BV190" s="392"/>
      <c r="BW190" s="392"/>
      <c r="BX190" s="392"/>
      <c r="BY190" s="392"/>
      <c r="BZ190" s="392"/>
      <c r="CA190" s="392"/>
      <c r="CB190" s="392"/>
      <c r="CC190" s="392"/>
      <c r="CD190" s="392"/>
      <c r="CE190" s="392"/>
      <c r="CF190" s="392"/>
      <c r="CG190" s="392"/>
      <c r="CH190" s="392"/>
      <c r="CI190" s="392"/>
      <c r="CJ190" s="392"/>
      <c r="CK190" s="392"/>
      <c r="CL190" s="392"/>
      <c r="CM190" s="392"/>
      <c r="CN190" s="392"/>
      <c r="CO190" s="392"/>
      <c r="CP190" s="392"/>
      <c r="CQ190" s="392"/>
      <c r="CR190" s="392"/>
      <c r="CS190" s="392"/>
      <c r="CT190" s="392"/>
      <c r="CU190" s="392"/>
      <c r="CV190" s="392"/>
      <c r="CW190" s="392"/>
      <c r="CX190" s="392"/>
      <c r="CY190" s="392"/>
      <c r="CZ190" s="392"/>
      <c r="DA190" s="392"/>
      <c r="DB190" s="392"/>
      <c r="DC190" s="392"/>
      <c r="DD190" s="392"/>
      <c r="DE190" s="392"/>
      <c r="DF190" s="392"/>
      <c r="DG190" s="392"/>
      <c r="DH190" s="392"/>
      <c r="DI190" s="392"/>
      <c r="DJ190" s="392"/>
      <c r="DK190" s="392"/>
      <c r="DL190" s="392"/>
      <c r="DM190" s="392"/>
      <c r="DN190" s="392"/>
      <c r="DO190" s="392"/>
      <c r="DP190" s="392"/>
      <c r="DQ190" s="392"/>
      <c r="DR190" s="392"/>
      <c r="DS190" s="392"/>
      <c r="DT190" s="392"/>
      <c r="DU190" s="392"/>
      <c r="DV190" s="392"/>
      <c r="DW190" s="392"/>
      <c r="DX190" s="392"/>
      <c r="DY190" s="392"/>
      <c r="DZ190" s="392"/>
      <c r="EA190" s="392"/>
      <c r="EB190" s="392"/>
      <c r="EC190" s="392"/>
      <c r="ED190" s="392"/>
      <c r="EE190" s="392"/>
      <c r="EF190" s="392"/>
      <c r="EG190" s="392"/>
      <c r="EH190" s="392"/>
      <c r="EI190" s="392"/>
      <c r="EJ190" s="392"/>
      <c r="EK190" s="392"/>
      <c r="EL190" s="392"/>
      <c r="EM190" s="392"/>
      <c r="EN190" s="392"/>
      <c r="EO190" s="392"/>
      <c r="EP190" s="392"/>
      <c r="EQ190" s="392"/>
      <c r="ER190" s="392"/>
      <c r="ES190" s="392"/>
      <c r="ET190" s="392"/>
      <c r="EU190" s="392"/>
      <c r="EV190" s="392"/>
      <c r="EW190" s="392"/>
      <c r="EX190" s="392"/>
      <c r="EY190" s="392"/>
      <c r="EZ190" s="392"/>
      <c r="FA190" s="392"/>
      <c r="FB190" s="392"/>
      <c r="FC190" s="392"/>
      <c r="FD190" s="392"/>
      <c r="FE190" s="392"/>
      <c r="FF190" s="392"/>
      <c r="FG190" s="392"/>
      <c r="FH190" s="392"/>
      <c r="FI190" s="392"/>
      <c r="FJ190" s="392"/>
      <c r="FK190" s="392"/>
      <c r="FL190" s="392"/>
      <c r="FM190" s="392"/>
      <c r="FN190" s="392"/>
      <c r="FO190" s="392"/>
      <c r="FP190" s="392"/>
      <c r="FQ190" s="392"/>
      <c r="FR190" s="392"/>
      <c r="FS190" s="392"/>
      <c r="FT190" s="392"/>
      <c r="FU190" s="392"/>
      <c r="FV190" s="392"/>
      <c r="FW190" s="392"/>
      <c r="FX190" s="392"/>
      <c r="FY190" s="392"/>
      <c r="FZ190" s="392"/>
      <c r="GA190" s="392"/>
      <c r="GB190" s="392"/>
      <c r="GC190" s="392"/>
      <c r="GD190" s="392"/>
      <c r="GE190" s="392"/>
      <c r="GF190" s="392"/>
      <c r="GG190" s="392"/>
      <c r="GH190" s="392"/>
      <c r="GI190" s="392"/>
      <c r="GJ190" s="392"/>
      <c r="GK190" s="392"/>
      <c r="GL190" s="392"/>
      <c r="GM190" s="392"/>
      <c r="GN190" s="392"/>
      <c r="GO190" s="392"/>
      <c r="GP190" s="392"/>
      <c r="GQ190" s="392"/>
      <c r="GR190" s="392"/>
      <c r="GS190" s="392"/>
      <c r="GT190" s="392"/>
      <c r="GU190" s="392"/>
      <c r="GV190" s="392"/>
      <c r="GW190" s="392"/>
      <c r="GX190" s="392"/>
      <c r="GY190" s="392"/>
      <c r="GZ190" s="392"/>
      <c r="HA190" s="392"/>
      <c r="HB190" s="392"/>
      <c r="HC190" s="392"/>
      <c r="HD190" s="392"/>
      <c r="HE190" s="392"/>
      <c r="HF190" s="392"/>
      <c r="HG190" s="392"/>
      <c r="HH190" s="392"/>
      <c r="HI190" s="392"/>
      <c r="HJ190" s="392"/>
      <c r="HK190" s="392"/>
      <c r="HL190" s="392"/>
      <c r="HM190" s="392"/>
      <c r="HN190" s="392"/>
      <c r="HO190" s="392"/>
      <c r="HP190" s="392"/>
      <c r="HQ190" s="392"/>
      <c r="HR190" s="392"/>
      <c r="HS190" s="392"/>
      <c r="HT190" s="392"/>
      <c r="HU190" s="392"/>
      <c r="HV190" s="392"/>
      <c r="HW190" s="392"/>
      <c r="HX190" s="392"/>
      <c r="HY190" s="392"/>
      <c r="HZ190" s="392"/>
      <c r="IA190" s="392"/>
      <c r="IB190" s="392"/>
      <c r="IC190" s="392"/>
      <c r="ID190" s="392"/>
      <c r="IE190" s="392"/>
      <c r="IF190" s="392"/>
      <c r="IG190" s="392"/>
      <c r="IH190" s="392"/>
      <c r="II190" s="392"/>
      <c r="IJ190" s="392"/>
      <c r="IK190" s="392"/>
      <c r="IL190" s="392"/>
      <c r="IM190" s="392"/>
      <c r="IN190" s="392"/>
      <c r="IO190" s="392"/>
      <c r="IP190" s="392"/>
      <c r="IQ190" s="392"/>
      <c r="IR190" s="392"/>
      <c r="IS190" s="392"/>
      <c r="IT190" s="392"/>
      <c r="IU190" s="392"/>
      <c r="IV190" s="392"/>
    </row>
    <row r="191" spans="1:256" ht="34.5" customHeight="1">
      <c r="A191" s="392"/>
      <c r="B191" s="2318" t="e">
        <f>C182</f>
        <v>#N/A</v>
      </c>
      <c r="C191" s="2319"/>
      <c r="D191" s="322" t="s">
        <v>19</v>
      </c>
      <c r="E191" s="2320" t="str">
        <f>E189</f>
        <v>(0,30*0,30*0,30)*3</v>
      </c>
      <c r="F191" s="2320"/>
      <c r="G191" s="2321"/>
      <c r="H191" s="392"/>
      <c r="I191" s="392"/>
      <c r="J191" s="392"/>
      <c r="K191" s="392"/>
      <c r="L191" s="392"/>
      <c r="M191" s="392"/>
      <c r="N191" s="392"/>
      <c r="O191" s="392"/>
      <c r="P191" s="392"/>
      <c r="Q191" s="392"/>
      <c r="R191" s="392"/>
      <c r="S191" s="392"/>
      <c r="T191" s="392"/>
      <c r="U191" s="392"/>
      <c r="V191" s="392"/>
      <c r="W191" s="392"/>
      <c r="X191" s="392"/>
      <c r="Y191" s="392"/>
      <c r="Z191" s="392"/>
      <c r="AA191" s="392"/>
      <c r="AB191" s="392"/>
      <c r="AC191" s="392"/>
      <c r="AD191" s="392"/>
      <c r="AE191" s="392"/>
      <c r="AF191" s="392"/>
      <c r="AG191" s="392"/>
      <c r="AH191" s="392"/>
      <c r="AI191" s="392"/>
      <c r="AJ191" s="392"/>
      <c r="AK191" s="392"/>
      <c r="AL191" s="392"/>
      <c r="AM191" s="392"/>
      <c r="AN191" s="392"/>
      <c r="AO191" s="392"/>
      <c r="AP191" s="392"/>
      <c r="AQ191" s="392"/>
      <c r="AR191" s="392"/>
      <c r="AS191" s="392"/>
      <c r="AT191" s="392"/>
      <c r="AU191" s="392"/>
      <c r="AV191" s="392"/>
      <c r="AW191" s="392"/>
      <c r="AX191" s="392"/>
      <c r="AY191" s="392"/>
      <c r="AZ191" s="392"/>
      <c r="BA191" s="392"/>
      <c r="BB191" s="392"/>
      <c r="BC191" s="392"/>
      <c r="BD191" s="392"/>
      <c r="BE191" s="392"/>
      <c r="BF191" s="392"/>
      <c r="BG191" s="392"/>
      <c r="BH191" s="392"/>
      <c r="BI191" s="392"/>
      <c r="BJ191" s="392"/>
      <c r="BK191" s="392"/>
      <c r="BL191" s="392"/>
      <c r="BM191" s="392"/>
      <c r="BN191" s="392"/>
      <c r="BO191" s="392"/>
      <c r="BP191" s="392"/>
      <c r="BQ191" s="392"/>
      <c r="BR191" s="392"/>
      <c r="BS191" s="392"/>
      <c r="BT191" s="392"/>
      <c r="BU191" s="392"/>
      <c r="BV191" s="392"/>
      <c r="BW191" s="392"/>
      <c r="BX191" s="392"/>
      <c r="BY191" s="392"/>
      <c r="BZ191" s="392"/>
      <c r="CA191" s="392"/>
      <c r="CB191" s="392"/>
      <c r="CC191" s="392"/>
      <c r="CD191" s="392"/>
      <c r="CE191" s="392"/>
      <c r="CF191" s="392"/>
      <c r="CG191" s="392"/>
      <c r="CH191" s="392"/>
      <c r="CI191" s="392"/>
      <c r="CJ191" s="392"/>
      <c r="CK191" s="392"/>
      <c r="CL191" s="392"/>
      <c r="CM191" s="392"/>
      <c r="CN191" s="392"/>
      <c r="CO191" s="392"/>
      <c r="CP191" s="392"/>
      <c r="CQ191" s="392"/>
      <c r="CR191" s="392"/>
      <c r="CS191" s="392"/>
      <c r="CT191" s="392"/>
      <c r="CU191" s="392"/>
      <c r="CV191" s="392"/>
      <c r="CW191" s="392"/>
      <c r="CX191" s="392"/>
      <c r="CY191" s="392"/>
      <c r="CZ191" s="392"/>
      <c r="DA191" s="392"/>
      <c r="DB191" s="392"/>
      <c r="DC191" s="392"/>
      <c r="DD191" s="392"/>
      <c r="DE191" s="392"/>
      <c r="DF191" s="392"/>
      <c r="DG191" s="392"/>
      <c r="DH191" s="392"/>
      <c r="DI191" s="392"/>
      <c r="DJ191" s="392"/>
      <c r="DK191" s="392"/>
      <c r="DL191" s="392"/>
      <c r="DM191" s="392"/>
      <c r="DN191" s="392"/>
      <c r="DO191" s="392"/>
      <c r="DP191" s="392"/>
      <c r="DQ191" s="392"/>
      <c r="DR191" s="392"/>
      <c r="DS191" s="392"/>
      <c r="DT191" s="392"/>
      <c r="DU191" s="392"/>
      <c r="DV191" s="392"/>
      <c r="DW191" s="392"/>
      <c r="DX191" s="392"/>
      <c r="DY191" s="392"/>
      <c r="DZ191" s="392"/>
      <c r="EA191" s="392"/>
      <c r="EB191" s="392"/>
      <c r="EC191" s="392"/>
      <c r="ED191" s="392"/>
      <c r="EE191" s="392"/>
      <c r="EF191" s="392"/>
      <c r="EG191" s="392"/>
      <c r="EH191" s="392"/>
      <c r="EI191" s="392"/>
      <c r="EJ191" s="392"/>
      <c r="EK191" s="392"/>
      <c r="EL191" s="392"/>
      <c r="EM191" s="392"/>
      <c r="EN191" s="392"/>
      <c r="EO191" s="392"/>
      <c r="EP191" s="392"/>
      <c r="EQ191" s="392"/>
      <c r="ER191" s="392"/>
      <c r="ES191" s="392"/>
      <c r="ET191" s="392"/>
      <c r="EU191" s="392"/>
      <c r="EV191" s="392"/>
      <c r="EW191" s="392"/>
      <c r="EX191" s="392"/>
      <c r="EY191" s="392"/>
      <c r="EZ191" s="392"/>
      <c r="FA191" s="392"/>
      <c r="FB191" s="392"/>
      <c r="FC191" s="392"/>
      <c r="FD191" s="392"/>
      <c r="FE191" s="392"/>
      <c r="FF191" s="392"/>
      <c r="FG191" s="392"/>
      <c r="FH191" s="392"/>
      <c r="FI191" s="392"/>
      <c r="FJ191" s="392"/>
      <c r="FK191" s="392"/>
      <c r="FL191" s="392"/>
      <c r="FM191" s="392"/>
      <c r="FN191" s="392"/>
      <c r="FO191" s="392"/>
      <c r="FP191" s="392"/>
      <c r="FQ191" s="392"/>
      <c r="FR191" s="392"/>
      <c r="FS191" s="392"/>
      <c r="FT191" s="392"/>
      <c r="FU191" s="392"/>
      <c r="FV191" s="392"/>
      <c r="FW191" s="392"/>
      <c r="FX191" s="392"/>
      <c r="FY191" s="392"/>
      <c r="FZ191" s="392"/>
      <c r="GA191" s="392"/>
      <c r="GB191" s="392"/>
      <c r="GC191" s="392"/>
      <c r="GD191" s="392"/>
      <c r="GE191" s="392"/>
      <c r="GF191" s="392"/>
      <c r="GG191" s="392"/>
      <c r="GH191" s="392"/>
      <c r="GI191" s="392"/>
      <c r="GJ191" s="392"/>
      <c r="GK191" s="392"/>
      <c r="GL191" s="392"/>
      <c r="GM191" s="392"/>
      <c r="GN191" s="392"/>
      <c r="GO191" s="392"/>
      <c r="GP191" s="392"/>
      <c r="GQ191" s="392"/>
      <c r="GR191" s="392"/>
      <c r="GS191" s="392"/>
      <c r="GT191" s="392"/>
      <c r="GU191" s="392"/>
      <c r="GV191" s="392"/>
      <c r="GW191" s="392"/>
      <c r="GX191" s="392"/>
      <c r="GY191" s="392"/>
      <c r="GZ191" s="392"/>
      <c r="HA191" s="392"/>
      <c r="HB191" s="392"/>
      <c r="HC191" s="392"/>
      <c r="HD191" s="392"/>
      <c r="HE191" s="392"/>
      <c r="HF191" s="392"/>
      <c r="HG191" s="392"/>
      <c r="HH191" s="392"/>
      <c r="HI191" s="392"/>
      <c r="HJ191" s="392"/>
      <c r="HK191" s="392"/>
      <c r="HL191" s="392"/>
      <c r="HM191" s="392"/>
      <c r="HN191" s="392"/>
      <c r="HO191" s="392"/>
      <c r="HP191" s="392"/>
      <c r="HQ191" s="392"/>
      <c r="HR191" s="392"/>
      <c r="HS191" s="392"/>
      <c r="HT191" s="392"/>
      <c r="HU191" s="392"/>
      <c r="HV191" s="392"/>
      <c r="HW191" s="392"/>
      <c r="HX191" s="392"/>
      <c r="HY191" s="392"/>
      <c r="HZ191" s="392"/>
      <c r="IA191" s="392"/>
      <c r="IB191" s="392"/>
      <c r="IC191" s="392"/>
      <c r="ID191" s="392"/>
      <c r="IE191" s="392"/>
      <c r="IF191" s="392"/>
      <c r="IG191" s="392"/>
      <c r="IH191" s="392"/>
      <c r="II191" s="392"/>
      <c r="IJ191" s="392"/>
      <c r="IK191" s="392"/>
      <c r="IL191" s="392"/>
      <c r="IM191" s="392"/>
      <c r="IN191" s="392"/>
      <c r="IO191" s="392"/>
      <c r="IP191" s="392"/>
      <c r="IQ191" s="392"/>
      <c r="IR191" s="392"/>
      <c r="IS191" s="392"/>
      <c r="IT191" s="392"/>
      <c r="IU191" s="392"/>
      <c r="IV191" s="392"/>
    </row>
    <row r="192" spans="1:256" ht="13.5" thickBot="1">
      <c r="A192" s="392"/>
      <c r="B192" s="448"/>
      <c r="C192" s="448"/>
      <c r="D192" s="448"/>
      <c r="E192" s="448"/>
      <c r="F192" s="448"/>
      <c r="G192" s="448"/>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c r="AE192" s="392"/>
      <c r="AF192" s="392"/>
      <c r="AG192" s="392"/>
      <c r="AH192" s="392"/>
      <c r="AI192" s="392"/>
      <c r="AJ192" s="392"/>
      <c r="AK192" s="392"/>
      <c r="AL192" s="392"/>
      <c r="AM192" s="392"/>
      <c r="AN192" s="392"/>
      <c r="AO192" s="392"/>
      <c r="AP192" s="392"/>
      <c r="AQ192" s="392"/>
      <c r="AR192" s="392"/>
      <c r="AS192" s="392"/>
      <c r="AT192" s="392"/>
      <c r="AU192" s="392"/>
      <c r="AV192" s="392"/>
      <c r="AW192" s="392"/>
      <c r="AX192" s="392"/>
      <c r="AY192" s="392"/>
      <c r="AZ192" s="392"/>
      <c r="BA192" s="392"/>
      <c r="BB192" s="392"/>
      <c r="BC192" s="392"/>
      <c r="BD192" s="392"/>
      <c r="BE192" s="392"/>
      <c r="BF192" s="392"/>
      <c r="BG192" s="392"/>
      <c r="BH192" s="392"/>
      <c r="BI192" s="392"/>
      <c r="BJ192" s="392"/>
      <c r="BK192" s="392"/>
      <c r="BL192" s="392"/>
      <c r="BM192" s="392"/>
      <c r="BN192" s="392"/>
      <c r="BO192" s="392"/>
      <c r="BP192" s="392"/>
      <c r="BQ192" s="392"/>
      <c r="BR192" s="392"/>
      <c r="BS192" s="392"/>
      <c r="BT192" s="392"/>
      <c r="BU192" s="392"/>
      <c r="BV192" s="392"/>
      <c r="BW192" s="392"/>
      <c r="BX192" s="392"/>
      <c r="BY192" s="392"/>
      <c r="BZ192" s="392"/>
      <c r="CA192" s="392"/>
      <c r="CB192" s="392"/>
      <c r="CC192" s="392"/>
      <c r="CD192" s="392"/>
      <c r="CE192" s="392"/>
      <c r="CF192" s="392"/>
      <c r="CG192" s="392"/>
      <c r="CH192" s="392"/>
      <c r="CI192" s="392"/>
      <c r="CJ192" s="392"/>
      <c r="CK192" s="392"/>
      <c r="CL192" s="392"/>
      <c r="CM192" s="392"/>
      <c r="CN192" s="392"/>
      <c r="CO192" s="392"/>
      <c r="CP192" s="392"/>
      <c r="CQ192" s="392"/>
      <c r="CR192" s="392"/>
      <c r="CS192" s="392"/>
      <c r="CT192" s="392"/>
      <c r="CU192" s="392"/>
      <c r="CV192" s="392"/>
      <c r="CW192" s="392"/>
      <c r="CX192" s="392"/>
      <c r="CY192" s="392"/>
      <c r="CZ192" s="392"/>
      <c r="DA192" s="392"/>
      <c r="DB192" s="392"/>
      <c r="DC192" s="392"/>
      <c r="DD192" s="392"/>
      <c r="DE192" s="392"/>
      <c r="DF192" s="392"/>
      <c r="DG192" s="392"/>
      <c r="DH192" s="392"/>
      <c r="DI192" s="392"/>
      <c r="DJ192" s="392"/>
      <c r="DK192" s="392"/>
      <c r="DL192" s="392"/>
      <c r="DM192" s="392"/>
      <c r="DN192" s="392"/>
      <c r="DO192" s="392"/>
      <c r="DP192" s="392"/>
      <c r="DQ192" s="392"/>
      <c r="DR192" s="392"/>
      <c r="DS192" s="392"/>
      <c r="DT192" s="392"/>
      <c r="DU192" s="392"/>
      <c r="DV192" s="392"/>
      <c r="DW192" s="392"/>
      <c r="DX192" s="392"/>
      <c r="DY192" s="392"/>
      <c r="DZ192" s="392"/>
      <c r="EA192" s="392"/>
      <c r="EB192" s="392"/>
      <c r="EC192" s="392"/>
      <c r="ED192" s="392"/>
      <c r="EE192" s="392"/>
      <c r="EF192" s="392"/>
      <c r="EG192" s="392"/>
      <c r="EH192" s="392"/>
      <c r="EI192" s="392"/>
      <c r="EJ192" s="392"/>
      <c r="EK192" s="392"/>
      <c r="EL192" s="392"/>
      <c r="EM192" s="392"/>
      <c r="EN192" s="392"/>
      <c r="EO192" s="392"/>
      <c r="EP192" s="392"/>
      <c r="EQ192" s="392"/>
      <c r="ER192" s="392"/>
      <c r="ES192" s="392"/>
      <c r="ET192" s="392"/>
      <c r="EU192" s="392"/>
      <c r="EV192" s="392"/>
      <c r="EW192" s="392"/>
      <c r="EX192" s="392"/>
      <c r="EY192" s="392"/>
      <c r="EZ192" s="392"/>
      <c r="FA192" s="392"/>
      <c r="FB192" s="392"/>
      <c r="FC192" s="392"/>
      <c r="FD192" s="392"/>
      <c r="FE192" s="392"/>
      <c r="FF192" s="392"/>
      <c r="FG192" s="392"/>
      <c r="FH192" s="392"/>
      <c r="FI192" s="392"/>
      <c r="FJ192" s="392"/>
      <c r="FK192" s="392"/>
      <c r="FL192" s="392"/>
      <c r="FM192" s="392"/>
      <c r="FN192" s="392"/>
      <c r="FO192" s="392"/>
      <c r="FP192" s="392"/>
      <c r="FQ192" s="392"/>
      <c r="FR192" s="392"/>
      <c r="FS192" s="392"/>
      <c r="FT192" s="392"/>
      <c r="FU192" s="392"/>
      <c r="FV192" s="392"/>
      <c r="FW192" s="392"/>
      <c r="FX192" s="392"/>
      <c r="FY192" s="392"/>
      <c r="FZ192" s="392"/>
      <c r="GA192" s="392"/>
      <c r="GB192" s="392"/>
      <c r="GC192" s="392"/>
      <c r="GD192" s="392"/>
      <c r="GE192" s="392"/>
      <c r="GF192" s="392"/>
      <c r="GG192" s="392"/>
      <c r="GH192" s="392"/>
      <c r="GI192" s="392"/>
      <c r="GJ192" s="392"/>
      <c r="GK192" s="392"/>
      <c r="GL192" s="392"/>
      <c r="GM192" s="392"/>
      <c r="GN192" s="392"/>
      <c r="GO192" s="392"/>
      <c r="GP192" s="392"/>
      <c r="GQ192" s="392"/>
      <c r="GR192" s="392"/>
      <c r="GS192" s="392"/>
      <c r="GT192" s="392"/>
      <c r="GU192" s="392"/>
      <c r="GV192" s="392"/>
      <c r="GW192" s="392"/>
      <c r="GX192" s="392"/>
      <c r="GY192" s="392"/>
      <c r="GZ192" s="392"/>
      <c r="HA192" s="392"/>
      <c r="HB192" s="392"/>
      <c r="HC192" s="392"/>
      <c r="HD192" s="392"/>
      <c r="HE192" s="392"/>
      <c r="HF192" s="392"/>
      <c r="HG192" s="392"/>
      <c r="HH192" s="392"/>
      <c r="HI192" s="392"/>
      <c r="HJ192" s="392"/>
      <c r="HK192" s="392"/>
      <c r="HL192" s="392"/>
      <c r="HM192" s="392"/>
      <c r="HN192" s="392"/>
      <c r="HO192" s="392"/>
      <c r="HP192" s="392"/>
      <c r="HQ192" s="392"/>
      <c r="HR192" s="392"/>
      <c r="HS192" s="392"/>
      <c r="HT192" s="392"/>
      <c r="HU192" s="392"/>
      <c r="HV192" s="392"/>
      <c r="HW192" s="392"/>
      <c r="HX192" s="392"/>
      <c r="HY192" s="392"/>
      <c r="HZ192" s="392"/>
      <c r="IA192" s="392"/>
      <c r="IB192" s="392"/>
      <c r="IC192" s="392"/>
      <c r="ID192" s="392"/>
      <c r="IE192" s="392"/>
      <c r="IF192" s="392"/>
      <c r="IG192" s="392"/>
      <c r="IH192" s="392"/>
      <c r="II192" s="392"/>
      <c r="IJ192" s="392"/>
      <c r="IK192" s="392"/>
      <c r="IL192" s="392"/>
      <c r="IM192" s="392"/>
      <c r="IN192" s="392"/>
      <c r="IO192" s="392"/>
      <c r="IP192" s="392"/>
      <c r="IQ192" s="392"/>
      <c r="IR192" s="392"/>
      <c r="IS192" s="392"/>
      <c r="IT192" s="392"/>
      <c r="IU192" s="392"/>
      <c r="IV192" s="392"/>
    </row>
    <row r="193" spans="1:256" ht="16.5" thickBot="1">
      <c r="A193" s="392"/>
      <c r="B193" s="594" t="s">
        <v>13998</v>
      </c>
      <c r="C193" s="595" t="s">
        <v>636</v>
      </c>
      <c r="D193" s="595"/>
      <c r="E193" s="595"/>
      <c r="F193" s="595"/>
      <c r="G193" s="596" t="s">
        <v>22</v>
      </c>
      <c r="H193" s="392"/>
      <c r="I193" s="392"/>
      <c r="J193" s="392"/>
      <c r="K193" s="392"/>
      <c r="L193" s="392"/>
      <c r="M193" s="392"/>
      <c r="N193" s="392"/>
      <c r="O193" s="392"/>
      <c r="P193" s="392"/>
      <c r="Q193" s="392"/>
      <c r="R193" s="392"/>
      <c r="S193" s="392"/>
      <c r="T193" s="392"/>
      <c r="U193" s="392"/>
      <c r="V193" s="392"/>
      <c r="W193" s="392"/>
      <c r="X193" s="392"/>
      <c r="Y193" s="392"/>
      <c r="Z193" s="392"/>
      <c r="AA193" s="392"/>
      <c r="AB193" s="392"/>
      <c r="AC193" s="392"/>
      <c r="AD193" s="392"/>
      <c r="AE193" s="392"/>
      <c r="AF193" s="392"/>
      <c r="AG193" s="392"/>
      <c r="AH193" s="392"/>
      <c r="AI193" s="392"/>
      <c r="AJ193" s="392"/>
      <c r="AK193" s="392"/>
      <c r="AL193" s="392"/>
      <c r="AM193" s="392"/>
      <c r="AN193" s="392"/>
      <c r="AO193" s="392"/>
      <c r="AP193" s="392"/>
      <c r="AQ193" s="392"/>
      <c r="AR193" s="392"/>
      <c r="AS193" s="392"/>
      <c r="AT193" s="392"/>
      <c r="AU193" s="392"/>
      <c r="AV193" s="392"/>
      <c r="AW193" s="392"/>
      <c r="AX193" s="392"/>
      <c r="AY193" s="392"/>
      <c r="AZ193" s="392"/>
      <c r="BA193" s="392"/>
      <c r="BB193" s="392"/>
      <c r="BC193" s="392"/>
      <c r="BD193" s="392"/>
      <c r="BE193" s="392"/>
      <c r="BF193" s="392"/>
      <c r="BG193" s="392"/>
      <c r="BH193" s="392"/>
      <c r="BI193" s="392"/>
      <c r="BJ193" s="392"/>
      <c r="BK193" s="392"/>
      <c r="BL193" s="392"/>
      <c r="BM193" s="392"/>
      <c r="BN193" s="392"/>
      <c r="BO193" s="392"/>
      <c r="BP193" s="392"/>
      <c r="BQ193" s="392"/>
      <c r="BR193" s="392"/>
      <c r="BS193" s="392"/>
      <c r="BT193" s="392"/>
      <c r="BU193" s="392"/>
      <c r="BV193" s="392"/>
      <c r="BW193" s="392"/>
      <c r="BX193" s="392"/>
      <c r="BY193" s="392"/>
      <c r="BZ193" s="392"/>
      <c r="CA193" s="392"/>
      <c r="CB193" s="392"/>
      <c r="CC193" s="392"/>
      <c r="CD193" s="392"/>
      <c r="CE193" s="392"/>
      <c r="CF193" s="392"/>
      <c r="CG193" s="392"/>
      <c r="CH193" s="392"/>
      <c r="CI193" s="392"/>
      <c r="CJ193" s="392"/>
      <c r="CK193" s="392"/>
      <c r="CL193" s="392"/>
      <c r="CM193" s="392"/>
      <c r="CN193" s="392"/>
      <c r="CO193" s="392"/>
      <c r="CP193" s="392"/>
      <c r="CQ193" s="392"/>
      <c r="CR193" s="392"/>
      <c r="CS193" s="392"/>
      <c r="CT193" s="392"/>
      <c r="CU193" s="392"/>
      <c r="CV193" s="392"/>
      <c r="CW193" s="392"/>
      <c r="CX193" s="392"/>
      <c r="CY193" s="392"/>
      <c r="CZ193" s="392"/>
      <c r="DA193" s="392"/>
      <c r="DB193" s="392"/>
      <c r="DC193" s="392"/>
      <c r="DD193" s="392"/>
      <c r="DE193" s="392"/>
      <c r="DF193" s="392"/>
      <c r="DG193" s="392"/>
      <c r="DH193" s="392"/>
      <c r="DI193" s="392"/>
      <c r="DJ193" s="392"/>
      <c r="DK193" s="392"/>
      <c r="DL193" s="392"/>
      <c r="DM193" s="392"/>
      <c r="DN193" s="392"/>
      <c r="DO193" s="392"/>
      <c r="DP193" s="392"/>
      <c r="DQ193" s="392"/>
      <c r="DR193" s="392"/>
      <c r="DS193" s="392"/>
      <c r="DT193" s="392"/>
      <c r="DU193" s="392"/>
      <c r="DV193" s="392"/>
      <c r="DW193" s="392"/>
      <c r="DX193" s="392"/>
      <c r="DY193" s="392"/>
      <c r="DZ193" s="392"/>
      <c r="EA193" s="392"/>
      <c r="EB193" s="392"/>
      <c r="EC193" s="392"/>
      <c r="ED193" s="392"/>
      <c r="EE193" s="392"/>
      <c r="EF193" s="392"/>
      <c r="EG193" s="392"/>
      <c r="EH193" s="392"/>
      <c r="EI193" s="392"/>
      <c r="EJ193" s="392"/>
      <c r="EK193" s="392"/>
      <c r="EL193" s="392"/>
      <c r="EM193" s="392"/>
      <c r="EN193" s="392"/>
      <c r="EO193" s="392"/>
      <c r="EP193" s="392"/>
      <c r="EQ193" s="392"/>
      <c r="ER193" s="392"/>
      <c r="ES193" s="392"/>
      <c r="ET193" s="392"/>
      <c r="EU193" s="392"/>
      <c r="EV193" s="392"/>
      <c r="EW193" s="392"/>
      <c r="EX193" s="392"/>
      <c r="EY193" s="392"/>
      <c r="EZ193" s="392"/>
      <c r="FA193" s="392"/>
      <c r="FB193" s="392"/>
      <c r="FC193" s="392"/>
      <c r="FD193" s="392"/>
      <c r="FE193" s="392"/>
      <c r="FF193" s="392"/>
      <c r="FG193" s="392"/>
      <c r="FH193" s="392"/>
      <c r="FI193" s="392"/>
      <c r="FJ193" s="392"/>
      <c r="FK193" s="392"/>
      <c r="FL193" s="392"/>
      <c r="FM193" s="392"/>
      <c r="FN193" s="392"/>
      <c r="FO193" s="392"/>
      <c r="FP193" s="392"/>
      <c r="FQ193" s="392"/>
      <c r="FR193" s="392"/>
      <c r="FS193" s="392"/>
      <c r="FT193" s="392"/>
      <c r="FU193" s="392"/>
      <c r="FV193" s="392"/>
      <c r="FW193" s="392"/>
      <c r="FX193" s="392"/>
      <c r="FY193" s="392"/>
      <c r="FZ193" s="392"/>
      <c r="GA193" s="392"/>
      <c r="GB193" s="392"/>
      <c r="GC193" s="392"/>
      <c r="GD193" s="392"/>
      <c r="GE193" s="392"/>
      <c r="GF193" s="392"/>
      <c r="GG193" s="392"/>
      <c r="GH193" s="392"/>
      <c r="GI193" s="392"/>
      <c r="GJ193" s="392"/>
      <c r="GK193" s="392"/>
      <c r="GL193" s="392"/>
      <c r="GM193" s="392"/>
      <c r="GN193" s="392"/>
      <c r="GO193" s="392"/>
      <c r="GP193" s="392"/>
      <c r="GQ193" s="392"/>
      <c r="GR193" s="392"/>
      <c r="GS193" s="392"/>
      <c r="GT193" s="392"/>
      <c r="GU193" s="392"/>
      <c r="GV193" s="392"/>
      <c r="GW193" s="392"/>
      <c r="GX193" s="392"/>
      <c r="GY193" s="392"/>
      <c r="GZ193" s="392"/>
      <c r="HA193" s="392"/>
      <c r="HB193" s="392"/>
      <c r="HC193" s="392"/>
      <c r="HD193" s="392"/>
      <c r="HE193" s="392"/>
      <c r="HF193" s="392"/>
      <c r="HG193" s="392"/>
      <c r="HH193" s="392"/>
      <c r="HI193" s="392"/>
      <c r="HJ193" s="392"/>
      <c r="HK193" s="392"/>
      <c r="HL193" s="392"/>
      <c r="HM193" s="392"/>
      <c r="HN193" s="392"/>
      <c r="HO193" s="392"/>
      <c r="HP193" s="392"/>
      <c r="HQ193" s="392"/>
      <c r="HR193" s="392"/>
      <c r="HS193" s="392"/>
      <c r="HT193" s="392"/>
      <c r="HU193" s="392"/>
      <c r="HV193" s="392"/>
      <c r="HW193" s="392"/>
      <c r="HX193" s="392"/>
      <c r="HY193" s="392"/>
      <c r="HZ193" s="392"/>
      <c r="IA193" s="392"/>
      <c r="IB193" s="392"/>
      <c r="IC193" s="392"/>
      <c r="ID193" s="392"/>
      <c r="IE193" s="392"/>
      <c r="IF193" s="392"/>
      <c r="IG193" s="392"/>
      <c r="IH193" s="392"/>
      <c r="II193" s="392"/>
      <c r="IJ193" s="392"/>
      <c r="IK193" s="392"/>
      <c r="IL193" s="392"/>
      <c r="IM193" s="392"/>
      <c r="IN193" s="392"/>
      <c r="IO193" s="392"/>
      <c r="IP193" s="392"/>
      <c r="IQ193" s="392"/>
      <c r="IR193" s="392"/>
      <c r="IS193" s="392"/>
      <c r="IT193" s="392"/>
      <c r="IU193" s="392"/>
      <c r="IV193" s="392"/>
    </row>
    <row r="194" spans="1:256" ht="31.5">
      <c r="A194" s="392"/>
      <c r="B194" s="590" t="s">
        <v>197</v>
      </c>
      <c r="C194" s="591" t="s">
        <v>161</v>
      </c>
      <c r="D194" s="591" t="s">
        <v>22</v>
      </c>
      <c r="E194" s="591" t="s">
        <v>162</v>
      </c>
      <c r="F194" s="592" t="s">
        <v>186</v>
      </c>
      <c r="G194" s="593" t="s">
        <v>187</v>
      </c>
      <c r="H194" s="392"/>
      <c r="I194" s="392"/>
      <c r="J194" s="392"/>
      <c r="K194" s="392"/>
      <c r="L194" s="392"/>
      <c r="M194" s="392"/>
      <c r="N194" s="392"/>
      <c r="O194" s="392"/>
      <c r="P194" s="392"/>
      <c r="Q194" s="392"/>
      <c r="R194" s="392"/>
      <c r="S194" s="392"/>
      <c r="T194" s="392"/>
      <c r="U194" s="392"/>
      <c r="V194" s="392"/>
      <c r="W194" s="392"/>
      <c r="X194" s="392"/>
      <c r="Y194" s="392"/>
      <c r="Z194" s="392"/>
      <c r="AA194" s="392"/>
      <c r="AB194" s="392"/>
      <c r="AC194" s="392"/>
      <c r="AD194" s="392"/>
      <c r="AE194" s="392"/>
      <c r="AF194" s="392"/>
      <c r="AG194" s="392"/>
      <c r="AH194" s="392"/>
      <c r="AI194" s="392"/>
      <c r="AJ194" s="392"/>
      <c r="AK194" s="392"/>
      <c r="AL194" s="392"/>
      <c r="AM194" s="392"/>
      <c r="AN194" s="392"/>
      <c r="AO194" s="392"/>
      <c r="AP194" s="392"/>
      <c r="AQ194" s="392"/>
      <c r="AR194" s="392"/>
      <c r="AS194" s="392"/>
      <c r="AT194" s="392"/>
      <c r="AU194" s="392"/>
      <c r="AV194" s="392"/>
      <c r="AW194" s="392"/>
      <c r="AX194" s="392"/>
      <c r="AY194" s="392"/>
      <c r="AZ194" s="392"/>
      <c r="BA194" s="392"/>
      <c r="BB194" s="392"/>
      <c r="BC194" s="392"/>
      <c r="BD194" s="392"/>
      <c r="BE194" s="392"/>
      <c r="BF194" s="392"/>
      <c r="BG194" s="392"/>
      <c r="BH194" s="392"/>
      <c r="BI194" s="392"/>
      <c r="BJ194" s="392"/>
      <c r="BK194" s="392"/>
      <c r="BL194" s="392"/>
      <c r="BM194" s="392"/>
      <c r="BN194" s="392"/>
      <c r="BO194" s="392"/>
      <c r="BP194" s="392"/>
      <c r="BQ194" s="392"/>
      <c r="BR194" s="392"/>
      <c r="BS194" s="392"/>
      <c r="BT194" s="392"/>
      <c r="BU194" s="392"/>
      <c r="BV194" s="392"/>
      <c r="BW194" s="392"/>
      <c r="BX194" s="392"/>
      <c r="BY194" s="392"/>
      <c r="BZ194" s="392"/>
      <c r="CA194" s="392"/>
      <c r="CB194" s="392"/>
      <c r="CC194" s="392"/>
      <c r="CD194" s="392"/>
      <c r="CE194" s="392"/>
      <c r="CF194" s="392"/>
      <c r="CG194" s="392"/>
      <c r="CH194" s="392"/>
      <c r="CI194" s="392"/>
      <c r="CJ194" s="392"/>
      <c r="CK194" s="392"/>
      <c r="CL194" s="392"/>
      <c r="CM194" s="392"/>
      <c r="CN194" s="392"/>
      <c r="CO194" s="392"/>
      <c r="CP194" s="392"/>
      <c r="CQ194" s="392"/>
      <c r="CR194" s="392"/>
      <c r="CS194" s="392"/>
      <c r="CT194" s="392"/>
      <c r="CU194" s="392"/>
      <c r="CV194" s="392"/>
      <c r="CW194" s="392"/>
      <c r="CX194" s="392"/>
      <c r="CY194" s="392"/>
      <c r="CZ194" s="392"/>
      <c r="DA194" s="392"/>
      <c r="DB194" s="392"/>
      <c r="DC194" s="392"/>
      <c r="DD194" s="392"/>
      <c r="DE194" s="392"/>
      <c r="DF194" s="392"/>
      <c r="DG194" s="392"/>
      <c r="DH194" s="392"/>
      <c r="DI194" s="392"/>
      <c r="DJ194" s="392"/>
      <c r="DK194" s="392"/>
      <c r="DL194" s="392"/>
      <c r="DM194" s="392"/>
      <c r="DN194" s="392"/>
      <c r="DO194" s="392"/>
      <c r="DP194" s="392"/>
      <c r="DQ194" s="392"/>
      <c r="DR194" s="392"/>
      <c r="DS194" s="392"/>
      <c r="DT194" s="392"/>
      <c r="DU194" s="392"/>
      <c r="DV194" s="392"/>
      <c r="DW194" s="392"/>
      <c r="DX194" s="392"/>
      <c r="DY194" s="392"/>
      <c r="DZ194" s="392"/>
      <c r="EA194" s="392"/>
      <c r="EB194" s="392"/>
      <c r="EC194" s="392"/>
      <c r="ED194" s="392"/>
      <c r="EE194" s="392"/>
      <c r="EF194" s="392"/>
      <c r="EG194" s="392"/>
      <c r="EH194" s="392"/>
      <c r="EI194" s="392"/>
      <c r="EJ194" s="392"/>
      <c r="EK194" s="392"/>
      <c r="EL194" s="392"/>
      <c r="EM194" s="392"/>
      <c r="EN194" s="392"/>
      <c r="EO194" s="392"/>
      <c r="EP194" s="392"/>
      <c r="EQ194" s="392"/>
      <c r="ER194" s="392"/>
      <c r="ES194" s="392"/>
      <c r="ET194" s="392"/>
      <c r="EU194" s="392"/>
      <c r="EV194" s="392"/>
      <c r="EW194" s="392"/>
      <c r="EX194" s="392"/>
      <c r="EY194" s="392"/>
      <c r="EZ194" s="392"/>
      <c r="FA194" s="392"/>
      <c r="FB194" s="392"/>
      <c r="FC194" s="392"/>
      <c r="FD194" s="392"/>
      <c r="FE194" s="392"/>
      <c r="FF194" s="392"/>
      <c r="FG194" s="392"/>
      <c r="FH194" s="392"/>
      <c r="FI194" s="392"/>
      <c r="FJ194" s="392"/>
      <c r="FK194" s="392"/>
      <c r="FL194" s="392"/>
      <c r="FM194" s="392"/>
      <c r="FN194" s="392"/>
      <c r="FO194" s="392"/>
      <c r="FP194" s="392"/>
      <c r="FQ194" s="392"/>
      <c r="FR194" s="392"/>
      <c r="FS194" s="392"/>
      <c r="FT194" s="392"/>
      <c r="FU194" s="392"/>
      <c r="FV194" s="392"/>
      <c r="FW194" s="392"/>
      <c r="FX194" s="392"/>
      <c r="FY194" s="392"/>
      <c r="FZ194" s="392"/>
      <c r="GA194" s="392"/>
      <c r="GB194" s="392"/>
      <c r="GC194" s="392"/>
      <c r="GD194" s="392"/>
      <c r="GE194" s="392"/>
      <c r="GF194" s="392"/>
      <c r="GG194" s="392"/>
      <c r="GH194" s="392"/>
      <c r="GI194" s="392"/>
      <c r="GJ194" s="392"/>
      <c r="GK194" s="392"/>
      <c r="GL194" s="392"/>
      <c r="GM194" s="392"/>
      <c r="GN194" s="392"/>
      <c r="GO194" s="392"/>
      <c r="GP194" s="392"/>
      <c r="GQ194" s="392"/>
      <c r="GR194" s="392"/>
      <c r="GS194" s="392"/>
      <c r="GT194" s="392"/>
      <c r="GU194" s="392"/>
      <c r="GV194" s="392"/>
      <c r="GW194" s="392"/>
      <c r="GX194" s="392"/>
      <c r="GY194" s="392"/>
      <c r="GZ194" s="392"/>
      <c r="HA194" s="392"/>
      <c r="HB194" s="392"/>
      <c r="HC194" s="392"/>
      <c r="HD194" s="392"/>
      <c r="HE194" s="392"/>
      <c r="HF194" s="392"/>
      <c r="HG194" s="392"/>
      <c r="HH194" s="392"/>
      <c r="HI194" s="392"/>
      <c r="HJ194" s="392"/>
      <c r="HK194" s="392"/>
      <c r="HL194" s="392"/>
      <c r="HM194" s="392"/>
      <c r="HN194" s="392"/>
      <c r="HO194" s="392"/>
      <c r="HP194" s="392"/>
      <c r="HQ194" s="392"/>
      <c r="HR194" s="392"/>
      <c r="HS194" s="392"/>
      <c r="HT194" s="392"/>
      <c r="HU194" s="392"/>
      <c r="HV194" s="392"/>
      <c r="HW194" s="392"/>
      <c r="HX194" s="392"/>
      <c r="HY194" s="392"/>
      <c r="HZ194" s="392"/>
      <c r="IA194" s="392"/>
      <c r="IB194" s="392"/>
      <c r="IC194" s="392"/>
      <c r="ID194" s="392"/>
      <c r="IE194" s="392"/>
      <c r="IF194" s="392"/>
      <c r="IG194" s="392"/>
      <c r="IH194" s="392"/>
      <c r="II194" s="392"/>
      <c r="IJ194" s="392"/>
      <c r="IK194" s="392"/>
      <c r="IL194" s="392"/>
      <c r="IM194" s="392"/>
      <c r="IN194" s="392"/>
      <c r="IO194" s="392"/>
      <c r="IP194" s="392"/>
      <c r="IQ194" s="392"/>
      <c r="IR194" s="392"/>
      <c r="IS194" s="392"/>
      <c r="IT194" s="392"/>
      <c r="IU194" s="392"/>
      <c r="IV194" s="392"/>
    </row>
    <row r="195" spans="1:256" ht="16.5" thickBot="1">
      <c r="A195" s="392"/>
      <c r="B195" s="2322" t="s">
        <v>165</v>
      </c>
      <c r="C195" s="2323"/>
      <c r="D195" s="2323"/>
      <c r="E195" s="2323"/>
      <c r="F195" s="2323"/>
      <c r="G195" s="2324"/>
      <c r="H195" s="392"/>
      <c r="I195" s="392"/>
      <c r="J195" s="392"/>
      <c r="K195" s="392"/>
      <c r="L195" s="392"/>
      <c r="M195" s="392"/>
      <c r="N195" s="392"/>
      <c r="O195" s="392"/>
      <c r="P195" s="392"/>
      <c r="Q195" s="392"/>
      <c r="R195" s="392"/>
      <c r="S195" s="392"/>
      <c r="T195" s="392"/>
      <c r="U195" s="392"/>
      <c r="V195" s="392"/>
      <c r="W195" s="392"/>
      <c r="X195" s="392"/>
      <c r="Y195" s="392"/>
      <c r="Z195" s="392"/>
      <c r="AA195" s="392"/>
      <c r="AB195" s="392"/>
      <c r="AC195" s="392"/>
      <c r="AD195" s="392"/>
      <c r="AE195" s="392"/>
      <c r="AF195" s="392"/>
      <c r="AG195" s="392"/>
      <c r="AH195" s="392"/>
      <c r="AI195" s="392"/>
      <c r="AJ195" s="392"/>
      <c r="AK195" s="392"/>
      <c r="AL195" s="392"/>
      <c r="AM195" s="392"/>
      <c r="AN195" s="392"/>
      <c r="AO195" s="392"/>
      <c r="AP195" s="392"/>
      <c r="AQ195" s="392"/>
      <c r="AR195" s="392"/>
      <c r="AS195" s="392"/>
      <c r="AT195" s="392"/>
      <c r="AU195" s="392"/>
      <c r="AV195" s="392"/>
      <c r="AW195" s="392"/>
      <c r="AX195" s="392"/>
      <c r="AY195" s="392"/>
      <c r="AZ195" s="392"/>
      <c r="BA195" s="392"/>
      <c r="BB195" s="392"/>
      <c r="BC195" s="392"/>
      <c r="BD195" s="392"/>
      <c r="BE195" s="392"/>
      <c r="BF195" s="392"/>
      <c r="BG195" s="392"/>
      <c r="BH195" s="392"/>
      <c r="BI195" s="392"/>
      <c r="BJ195" s="392"/>
      <c r="BK195" s="392"/>
      <c r="BL195" s="392"/>
      <c r="BM195" s="392"/>
      <c r="BN195" s="392"/>
      <c r="BO195" s="392"/>
      <c r="BP195" s="392"/>
      <c r="BQ195" s="392"/>
      <c r="BR195" s="392"/>
      <c r="BS195" s="392"/>
      <c r="BT195" s="392"/>
      <c r="BU195" s="392"/>
      <c r="BV195" s="392"/>
      <c r="BW195" s="392"/>
      <c r="BX195" s="392"/>
      <c r="BY195" s="392"/>
      <c r="BZ195" s="392"/>
      <c r="CA195" s="392"/>
      <c r="CB195" s="392"/>
      <c r="CC195" s="392"/>
      <c r="CD195" s="392"/>
      <c r="CE195" s="392"/>
      <c r="CF195" s="392"/>
      <c r="CG195" s="392"/>
      <c r="CH195" s="392"/>
      <c r="CI195" s="392"/>
      <c r="CJ195" s="392"/>
      <c r="CK195" s="392"/>
      <c r="CL195" s="392"/>
      <c r="CM195" s="392"/>
      <c r="CN195" s="392"/>
      <c r="CO195" s="392"/>
      <c r="CP195" s="392"/>
      <c r="CQ195" s="392"/>
      <c r="CR195" s="392"/>
      <c r="CS195" s="392"/>
      <c r="CT195" s="392"/>
      <c r="CU195" s="392"/>
      <c r="CV195" s="392"/>
      <c r="CW195" s="392"/>
      <c r="CX195" s="392"/>
      <c r="CY195" s="392"/>
      <c r="CZ195" s="392"/>
      <c r="DA195" s="392"/>
      <c r="DB195" s="392"/>
      <c r="DC195" s="392"/>
      <c r="DD195" s="392"/>
      <c r="DE195" s="392"/>
      <c r="DF195" s="392"/>
      <c r="DG195" s="392"/>
      <c r="DH195" s="392"/>
      <c r="DI195" s="392"/>
      <c r="DJ195" s="392"/>
      <c r="DK195" s="392"/>
      <c r="DL195" s="392"/>
      <c r="DM195" s="392"/>
      <c r="DN195" s="392"/>
      <c r="DO195" s="392"/>
      <c r="DP195" s="392"/>
      <c r="DQ195" s="392"/>
      <c r="DR195" s="392"/>
      <c r="DS195" s="392"/>
      <c r="DT195" s="392"/>
      <c r="DU195" s="392"/>
      <c r="DV195" s="392"/>
      <c r="DW195" s="392"/>
      <c r="DX195" s="392"/>
      <c r="DY195" s="392"/>
      <c r="DZ195" s="392"/>
      <c r="EA195" s="392"/>
      <c r="EB195" s="392"/>
      <c r="EC195" s="392"/>
      <c r="ED195" s="392"/>
      <c r="EE195" s="392"/>
      <c r="EF195" s="392"/>
      <c r="EG195" s="392"/>
      <c r="EH195" s="392"/>
      <c r="EI195" s="392"/>
      <c r="EJ195" s="392"/>
      <c r="EK195" s="392"/>
      <c r="EL195" s="392"/>
      <c r="EM195" s="392"/>
      <c r="EN195" s="392"/>
      <c r="EO195" s="392"/>
      <c r="EP195" s="392"/>
      <c r="EQ195" s="392"/>
      <c r="ER195" s="392"/>
      <c r="ES195" s="392"/>
      <c r="ET195" s="392"/>
      <c r="EU195" s="392"/>
      <c r="EV195" s="392"/>
      <c r="EW195" s="392"/>
      <c r="EX195" s="392"/>
      <c r="EY195" s="392"/>
      <c r="EZ195" s="392"/>
      <c r="FA195" s="392"/>
      <c r="FB195" s="392"/>
      <c r="FC195" s="392"/>
      <c r="FD195" s="392"/>
      <c r="FE195" s="392"/>
      <c r="FF195" s="392"/>
      <c r="FG195" s="392"/>
      <c r="FH195" s="392"/>
      <c r="FI195" s="392"/>
      <c r="FJ195" s="392"/>
      <c r="FK195" s="392"/>
      <c r="FL195" s="392"/>
      <c r="FM195" s="392"/>
      <c r="FN195" s="392"/>
      <c r="FO195" s="392"/>
      <c r="FP195" s="392"/>
      <c r="FQ195" s="392"/>
      <c r="FR195" s="392"/>
      <c r="FS195" s="392"/>
      <c r="FT195" s="392"/>
      <c r="FU195" s="392"/>
      <c r="FV195" s="392"/>
      <c r="FW195" s="392"/>
      <c r="FX195" s="392"/>
      <c r="FY195" s="392"/>
      <c r="FZ195" s="392"/>
      <c r="GA195" s="392"/>
      <c r="GB195" s="392"/>
      <c r="GC195" s="392"/>
      <c r="GD195" s="392"/>
      <c r="GE195" s="392"/>
      <c r="GF195" s="392"/>
      <c r="GG195" s="392"/>
      <c r="GH195" s="392"/>
      <c r="GI195" s="392"/>
      <c r="GJ195" s="392"/>
      <c r="GK195" s="392"/>
      <c r="GL195" s="392"/>
      <c r="GM195" s="392"/>
      <c r="GN195" s="392"/>
      <c r="GO195" s="392"/>
      <c r="GP195" s="392"/>
      <c r="GQ195" s="392"/>
      <c r="GR195" s="392"/>
      <c r="GS195" s="392"/>
      <c r="GT195" s="392"/>
      <c r="GU195" s="392"/>
      <c r="GV195" s="392"/>
      <c r="GW195" s="392"/>
      <c r="GX195" s="392"/>
      <c r="GY195" s="392"/>
      <c r="GZ195" s="392"/>
      <c r="HA195" s="392"/>
      <c r="HB195" s="392"/>
      <c r="HC195" s="392"/>
      <c r="HD195" s="392"/>
      <c r="HE195" s="392"/>
      <c r="HF195" s="392"/>
      <c r="HG195" s="392"/>
      <c r="HH195" s="392"/>
      <c r="HI195" s="392"/>
      <c r="HJ195" s="392"/>
      <c r="HK195" s="392"/>
      <c r="HL195" s="392"/>
      <c r="HM195" s="392"/>
      <c r="HN195" s="392"/>
      <c r="HO195" s="392"/>
      <c r="HP195" s="392"/>
      <c r="HQ195" s="392"/>
      <c r="HR195" s="392"/>
      <c r="HS195" s="392"/>
      <c r="HT195" s="392"/>
      <c r="HU195" s="392"/>
      <c r="HV195" s="392"/>
      <c r="HW195" s="392"/>
      <c r="HX195" s="392"/>
      <c r="HY195" s="392"/>
      <c r="HZ195" s="392"/>
      <c r="IA195" s="392"/>
      <c r="IB195" s="392"/>
      <c r="IC195" s="392"/>
      <c r="ID195" s="392"/>
      <c r="IE195" s="392"/>
      <c r="IF195" s="392"/>
      <c r="IG195" s="392"/>
      <c r="IH195" s="392"/>
      <c r="II195" s="392"/>
      <c r="IJ195" s="392"/>
      <c r="IK195" s="392"/>
      <c r="IL195" s="392"/>
      <c r="IM195" s="392"/>
      <c r="IN195" s="392"/>
      <c r="IO195" s="392"/>
      <c r="IP195" s="392"/>
      <c r="IQ195" s="392"/>
      <c r="IR195" s="392"/>
      <c r="IS195" s="392"/>
      <c r="IT195" s="392"/>
      <c r="IU195" s="392"/>
      <c r="IV195" s="392"/>
    </row>
    <row r="196" spans="1:256" ht="15.75">
      <c r="A196" s="392"/>
      <c r="B196" s="585" t="s">
        <v>618</v>
      </c>
      <c r="C196" s="586" t="str">
        <f>C24</f>
        <v>MULTI-EXERCITADOR</v>
      </c>
      <c r="D196" s="587" t="s">
        <v>22</v>
      </c>
      <c r="E196" s="597">
        <v>1</v>
      </c>
      <c r="F196" s="588">
        <f>E24</f>
        <v>6972</v>
      </c>
      <c r="G196" s="589">
        <f>TRUNC(F196*E196,2)</f>
        <v>6972</v>
      </c>
      <c r="H196" s="392"/>
      <c r="I196" s="392"/>
      <c r="J196" s="392"/>
      <c r="K196" s="392"/>
      <c r="L196" s="392"/>
      <c r="M196" s="392"/>
      <c r="N196" s="392"/>
      <c r="O196" s="392"/>
      <c r="P196" s="392"/>
      <c r="Q196" s="392"/>
      <c r="R196" s="392"/>
      <c r="S196" s="392"/>
      <c r="T196" s="392"/>
      <c r="U196" s="392"/>
      <c r="V196" s="392"/>
      <c r="W196" s="392"/>
      <c r="X196" s="392"/>
      <c r="Y196" s="392"/>
      <c r="Z196" s="392"/>
      <c r="AA196" s="392"/>
      <c r="AB196" s="392"/>
      <c r="AC196" s="392"/>
      <c r="AD196" s="392"/>
      <c r="AE196" s="392"/>
      <c r="AF196" s="392"/>
      <c r="AG196" s="392"/>
      <c r="AH196" s="392"/>
      <c r="AI196" s="392"/>
      <c r="AJ196" s="392"/>
      <c r="AK196" s="392"/>
      <c r="AL196" s="392"/>
      <c r="AM196" s="392"/>
      <c r="AN196" s="392"/>
      <c r="AO196" s="392"/>
      <c r="AP196" s="392"/>
      <c r="AQ196" s="392"/>
      <c r="AR196" s="392"/>
      <c r="AS196" s="392"/>
      <c r="AT196" s="392"/>
      <c r="AU196" s="392"/>
      <c r="AV196" s="392"/>
      <c r="AW196" s="392"/>
      <c r="AX196" s="392"/>
      <c r="AY196" s="392"/>
      <c r="AZ196" s="392"/>
      <c r="BA196" s="392"/>
      <c r="BB196" s="392"/>
      <c r="BC196" s="392"/>
      <c r="BD196" s="392"/>
      <c r="BE196" s="392"/>
      <c r="BF196" s="392"/>
      <c r="BG196" s="392"/>
      <c r="BH196" s="392"/>
      <c r="BI196" s="392"/>
      <c r="BJ196" s="392"/>
      <c r="BK196" s="392"/>
      <c r="BL196" s="392"/>
      <c r="BM196" s="392"/>
      <c r="BN196" s="392"/>
      <c r="BO196" s="392"/>
      <c r="BP196" s="392"/>
      <c r="BQ196" s="392"/>
      <c r="BR196" s="392"/>
      <c r="BS196" s="392"/>
      <c r="BT196" s="392"/>
      <c r="BU196" s="392"/>
      <c r="BV196" s="392"/>
      <c r="BW196" s="392"/>
      <c r="BX196" s="392"/>
      <c r="BY196" s="392"/>
      <c r="BZ196" s="392"/>
      <c r="CA196" s="392"/>
      <c r="CB196" s="392"/>
      <c r="CC196" s="392"/>
      <c r="CD196" s="392"/>
      <c r="CE196" s="392"/>
      <c r="CF196" s="392"/>
      <c r="CG196" s="392"/>
      <c r="CH196" s="392"/>
      <c r="CI196" s="392"/>
      <c r="CJ196" s="392"/>
      <c r="CK196" s="392"/>
      <c r="CL196" s="392"/>
      <c r="CM196" s="392"/>
      <c r="CN196" s="392"/>
      <c r="CO196" s="392"/>
      <c r="CP196" s="392"/>
      <c r="CQ196" s="392"/>
      <c r="CR196" s="392"/>
      <c r="CS196" s="392"/>
      <c r="CT196" s="392"/>
      <c r="CU196" s="392"/>
      <c r="CV196" s="392"/>
      <c r="CW196" s="392"/>
      <c r="CX196" s="392"/>
      <c r="CY196" s="392"/>
      <c r="CZ196" s="392"/>
      <c r="DA196" s="392"/>
      <c r="DB196" s="392"/>
      <c r="DC196" s="392"/>
      <c r="DD196" s="392"/>
      <c r="DE196" s="392"/>
      <c r="DF196" s="392"/>
      <c r="DG196" s="392"/>
      <c r="DH196" s="392"/>
      <c r="DI196" s="392"/>
      <c r="DJ196" s="392"/>
      <c r="DK196" s="392"/>
      <c r="DL196" s="392"/>
      <c r="DM196" s="392"/>
      <c r="DN196" s="392"/>
      <c r="DO196" s="392"/>
      <c r="DP196" s="392"/>
      <c r="DQ196" s="392"/>
      <c r="DR196" s="392"/>
      <c r="DS196" s="392"/>
      <c r="DT196" s="392"/>
      <c r="DU196" s="392"/>
      <c r="DV196" s="392"/>
      <c r="DW196" s="392"/>
      <c r="DX196" s="392"/>
      <c r="DY196" s="392"/>
      <c r="DZ196" s="392"/>
      <c r="EA196" s="392"/>
      <c r="EB196" s="392"/>
      <c r="EC196" s="392"/>
      <c r="ED196" s="392"/>
      <c r="EE196" s="392"/>
      <c r="EF196" s="392"/>
      <c r="EG196" s="392"/>
      <c r="EH196" s="392"/>
      <c r="EI196" s="392"/>
      <c r="EJ196" s="392"/>
      <c r="EK196" s="392"/>
      <c r="EL196" s="392"/>
      <c r="EM196" s="392"/>
      <c r="EN196" s="392"/>
      <c r="EO196" s="392"/>
      <c r="EP196" s="392"/>
      <c r="EQ196" s="392"/>
      <c r="ER196" s="392"/>
      <c r="ES196" s="392"/>
      <c r="ET196" s="392"/>
      <c r="EU196" s="392"/>
      <c r="EV196" s="392"/>
      <c r="EW196" s="392"/>
      <c r="EX196" s="392"/>
      <c r="EY196" s="392"/>
      <c r="EZ196" s="392"/>
      <c r="FA196" s="392"/>
      <c r="FB196" s="392"/>
      <c r="FC196" s="392"/>
      <c r="FD196" s="392"/>
      <c r="FE196" s="392"/>
      <c r="FF196" s="392"/>
      <c r="FG196" s="392"/>
      <c r="FH196" s="392"/>
      <c r="FI196" s="392"/>
      <c r="FJ196" s="392"/>
      <c r="FK196" s="392"/>
      <c r="FL196" s="392"/>
      <c r="FM196" s="392"/>
      <c r="FN196" s="392"/>
      <c r="FO196" s="392"/>
      <c r="FP196" s="392"/>
      <c r="FQ196" s="392"/>
      <c r="FR196" s="392"/>
      <c r="FS196" s="392"/>
      <c r="FT196" s="392"/>
      <c r="FU196" s="392"/>
      <c r="FV196" s="392"/>
      <c r="FW196" s="392"/>
      <c r="FX196" s="392"/>
      <c r="FY196" s="392"/>
      <c r="FZ196" s="392"/>
      <c r="GA196" s="392"/>
      <c r="GB196" s="392"/>
      <c r="GC196" s="392"/>
      <c r="GD196" s="392"/>
      <c r="GE196" s="392"/>
      <c r="GF196" s="392"/>
      <c r="GG196" s="392"/>
      <c r="GH196" s="392"/>
      <c r="GI196" s="392"/>
      <c r="GJ196" s="392"/>
      <c r="GK196" s="392"/>
      <c r="GL196" s="392"/>
      <c r="GM196" s="392"/>
      <c r="GN196" s="392"/>
      <c r="GO196" s="392"/>
      <c r="GP196" s="392"/>
      <c r="GQ196" s="392"/>
      <c r="GR196" s="392"/>
      <c r="GS196" s="392"/>
      <c r="GT196" s="392"/>
      <c r="GU196" s="392"/>
      <c r="GV196" s="392"/>
      <c r="GW196" s="392"/>
      <c r="GX196" s="392"/>
      <c r="GY196" s="392"/>
      <c r="GZ196" s="392"/>
      <c r="HA196" s="392"/>
      <c r="HB196" s="392"/>
      <c r="HC196" s="392"/>
      <c r="HD196" s="392"/>
      <c r="HE196" s="392"/>
      <c r="HF196" s="392"/>
      <c r="HG196" s="392"/>
      <c r="HH196" s="392"/>
      <c r="HI196" s="392"/>
      <c r="HJ196" s="392"/>
      <c r="HK196" s="392"/>
      <c r="HL196" s="392"/>
      <c r="HM196" s="392"/>
      <c r="HN196" s="392"/>
      <c r="HO196" s="392"/>
      <c r="HP196" s="392"/>
      <c r="HQ196" s="392"/>
      <c r="HR196" s="392"/>
      <c r="HS196" s="392"/>
      <c r="HT196" s="392"/>
      <c r="HU196" s="392"/>
      <c r="HV196" s="392"/>
      <c r="HW196" s="392"/>
      <c r="HX196" s="392"/>
      <c r="HY196" s="392"/>
      <c r="HZ196" s="392"/>
      <c r="IA196" s="392"/>
      <c r="IB196" s="392"/>
      <c r="IC196" s="392"/>
      <c r="ID196" s="392"/>
      <c r="IE196" s="392"/>
      <c r="IF196" s="392"/>
      <c r="IG196" s="392"/>
      <c r="IH196" s="392"/>
      <c r="II196" s="392"/>
      <c r="IJ196" s="392"/>
      <c r="IK196" s="392"/>
      <c r="IL196" s="392"/>
      <c r="IM196" s="392"/>
      <c r="IN196" s="392"/>
      <c r="IO196" s="392"/>
      <c r="IP196" s="392"/>
      <c r="IQ196" s="392"/>
      <c r="IR196" s="392"/>
      <c r="IS196" s="392"/>
      <c r="IT196" s="392"/>
      <c r="IU196" s="392"/>
      <c r="IV196" s="392"/>
    </row>
    <row r="197" spans="1:256" ht="30">
      <c r="A197" s="392" t="s">
        <v>391</v>
      </c>
      <c r="B197" s="436">
        <v>93358</v>
      </c>
      <c r="C197" s="317" t="str">
        <f>IF($A197="INSUMO",VLOOKUP($B197,'BANCO DE DADOS JANEIRO-24 INS'!$A:$D,2,FALSE),VLOOKUP($B197,'BANCO DE DADOS JANEIRO-24 SERV'!$B:$E,2,FALSE))</f>
        <v>ESCAVAÇÃO MANUAL DE VALA COM PROFUNDIDADE MENOR OU IGUAL A 1,30 M. AF_02/2021</v>
      </c>
      <c r="D197" s="316" t="str">
        <f>IF($A197="INSUMO",VLOOKUP($B197,'BANCO DE DADOS JANEIRO-24 INS'!$A:$D,3,FALSE),VLOOKUP($B197,'BANCO DE DADOS JANEIRO-24 SERV'!$B:$E,3,FALSE))</f>
        <v>M3</v>
      </c>
      <c r="E197" s="598">
        <f>((0.3*0.3*0.3)*4)</f>
        <v>0.108</v>
      </c>
      <c r="F197" s="320">
        <f>IF($A197="INSUMO",VLOOKUP($B197,'BANCO DE DADOS JANEIRO-24 INS'!$A:$D,4,FALSE),VLOOKUP($B197,'BANCO DE DADOS JANEIRO-24 SERV'!$B:$E,4,FALSE))</f>
        <v>80.38</v>
      </c>
      <c r="G197" s="435">
        <f>TRUNC(F197*E197,2)</f>
        <v>8.68</v>
      </c>
      <c r="H197" s="392"/>
      <c r="I197" s="392"/>
      <c r="J197" s="392"/>
      <c r="K197" s="392"/>
      <c r="L197" s="392"/>
      <c r="M197" s="392"/>
      <c r="N197" s="392"/>
      <c r="O197" s="392"/>
      <c r="P197" s="392"/>
      <c r="Q197" s="392"/>
      <c r="R197" s="392"/>
      <c r="S197" s="392"/>
      <c r="T197" s="392"/>
      <c r="U197" s="392"/>
      <c r="V197" s="392"/>
      <c r="W197" s="392"/>
      <c r="X197" s="392"/>
      <c r="Y197" s="392"/>
      <c r="Z197" s="392"/>
      <c r="AA197" s="392"/>
      <c r="AB197" s="392"/>
      <c r="AC197" s="392"/>
      <c r="AD197" s="392"/>
      <c r="AE197" s="392"/>
      <c r="AF197" s="392"/>
      <c r="AG197" s="392"/>
      <c r="AH197" s="392"/>
      <c r="AI197" s="392"/>
      <c r="AJ197" s="392"/>
      <c r="AK197" s="392"/>
      <c r="AL197" s="392"/>
      <c r="AM197" s="392"/>
      <c r="AN197" s="392"/>
      <c r="AO197" s="392"/>
      <c r="AP197" s="392"/>
      <c r="AQ197" s="392"/>
      <c r="AR197" s="392"/>
      <c r="AS197" s="392"/>
      <c r="AT197" s="392"/>
      <c r="AU197" s="392"/>
      <c r="AV197" s="392"/>
      <c r="AW197" s="392"/>
      <c r="AX197" s="392"/>
      <c r="AY197" s="392"/>
      <c r="AZ197" s="392"/>
      <c r="BA197" s="392"/>
      <c r="BB197" s="392"/>
      <c r="BC197" s="392"/>
      <c r="BD197" s="392"/>
      <c r="BE197" s="392"/>
      <c r="BF197" s="392"/>
      <c r="BG197" s="392"/>
      <c r="BH197" s="392"/>
      <c r="BI197" s="392"/>
      <c r="BJ197" s="392"/>
      <c r="BK197" s="392"/>
      <c r="BL197" s="392"/>
      <c r="BM197" s="392"/>
      <c r="BN197" s="392"/>
      <c r="BO197" s="392"/>
      <c r="BP197" s="392"/>
      <c r="BQ197" s="392"/>
      <c r="BR197" s="392"/>
      <c r="BS197" s="392"/>
      <c r="BT197" s="392"/>
      <c r="BU197" s="392"/>
      <c r="BV197" s="392"/>
      <c r="BW197" s="392"/>
      <c r="BX197" s="392"/>
      <c r="BY197" s="392"/>
      <c r="BZ197" s="392"/>
      <c r="CA197" s="392"/>
      <c r="CB197" s="392"/>
      <c r="CC197" s="392"/>
      <c r="CD197" s="392"/>
      <c r="CE197" s="392"/>
      <c r="CF197" s="392"/>
      <c r="CG197" s="392"/>
      <c r="CH197" s="392"/>
      <c r="CI197" s="392"/>
      <c r="CJ197" s="392"/>
      <c r="CK197" s="392"/>
      <c r="CL197" s="392"/>
      <c r="CM197" s="392"/>
      <c r="CN197" s="392"/>
      <c r="CO197" s="392"/>
      <c r="CP197" s="392"/>
      <c r="CQ197" s="392"/>
      <c r="CR197" s="392"/>
      <c r="CS197" s="392"/>
      <c r="CT197" s="392"/>
      <c r="CU197" s="392"/>
      <c r="CV197" s="392"/>
      <c r="CW197" s="392"/>
      <c r="CX197" s="392"/>
      <c r="CY197" s="392"/>
      <c r="CZ197" s="392"/>
      <c r="DA197" s="392"/>
      <c r="DB197" s="392"/>
      <c r="DC197" s="392"/>
      <c r="DD197" s="392"/>
      <c r="DE197" s="392"/>
      <c r="DF197" s="392"/>
      <c r="DG197" s="392"/>
      <c r="DH197" s="392"/>
      <c r="DI197" s="392"/>
      <c r="DJ197" s="392"/>
      <c r="DK197" s="392"/>
      <c r="DL197" s="392"/>
      <c r="DM197" s="392"/>
      <c r="DN197" s="392"/>
      <c r="DO197" s="392"/>
      <c r="DP197" s="392"/>
      <c r="DQ197" s="392"/>
      <c r="DR197" s="392"/>
      <c r="DS197" s="392"/>
      <c r="DT197" s="392"/>
      <c r="DU197" s="392"/>
      <c r="DV197" s="392"/>
      <c r="DW197" s="392"/>
      <c r="DX197" s="392"/>
      <c r="DY197" s="392"/>
      <c r="DZ197" s="392"/>
      <c r="EA197" s="392"/>
      <c r="EB197" s="392"/>
      <c r="EC197" s="392"/>
      <c r="ED197" s="392"/>
      <c r="EE197" s="392"/>
      <c r="EF197" s="392"/>
      <c r="EG197" s="392"/>
      <c r="EH197" s="392"/>
      <c r="EI197" s="392"/>
      <c r="EJ197" s="392"/>
      <c r="EK197" s="392"/>
      <c r="EL197" s="392"/>
      <c r="EM197" s="392"/>
      <c r="EN197" s="392"/>
      <c r="EO197" s="392"/>
      <c r="EP197" s="392"/>
      <c r="EQ197" s="392"/>
      <c r="ER197" s="392"/>
      <c r="ES197" s="392"/>
      <c r="ET197" s="392"/>
      <c r="EU197" s="392"/>
      <c r="EV197" s="392"/>
      <c r="EW197" s="392"/>
      <c r="EX197" s="392"/>
      <c r="EY197" s="392"/>
      <c r="EZ197" s="392"/>
      <c r="FA197" s="392"/>
      <c r="FB197" s="392"/>
      <c r="FC197" s="392"/>
      <c r="FD197" s="392"/>
      <c r="FE197" s="392"/>
      <c r="FF197" s="392"/>
      <c r="FG197" s="392"/>
      <c r="FH197" s="392"/>
      <c r="FI197" s="392"/>
      <c r="FJ197" s="392"/>
      <c r="FK197" s="392"/>
      <c r="FL197" s="392"/>
      <c r="FM197" s="392"/>
      <c r="FN197" s="392"/>
      <c r="FO197" s="392"/>
      <c r="FP197" s="392"/>
      <c r="FQ197" s="392"/>
      <c r="FR197" s="392"/>
      <c r="FS197" s="392"/>
      <c r="FT197" s="392"/>
      <c r="FU197" s="392"/>
      <c r="FV197" s="392"/>
      <c r="FW197" s="392"/>
      <c r="FX197" s="392"/>
      <c r="FY197" s="392"/>
      <c r="FZ197" s="392"/>
      <c r="GA197" s="392"/>
      <c r="GB197" s="392"/>
      <c r="GC197" s="392"/>
      <c r="GD197" s="392"/>
      <c r="GE197" s="392"/>
      <c r="GF197" s="392"/>
      <c r="GG197" s="392"/>
      <c r="GH197" s="392"/>
      <c r="GI197" s="392"/>
      <c r="GJ197" s="392"/>
      <c r="GK197" s="392"/>
      <c r="GL197" s="392"/>
      <c r="GM197" s="392"/>
      <c r="GN197" s="392"/>
      <c r="GO197" s="392"/>
      <c r="GP197" s="392"/>
      <c r="GQ197" s="392"/>
      <c r="GR197" s="392"/>
      <c r="GS197" s="392"/>
      <c r="GT197" s="392"/>
      <c r="GU197" s="392"/>
      <c r="GV197" s="392"/>
      <c r="GW197" s="392"/>
      <c r="GX197" s="392"/>
      <c r="GY197" s="392"/>
      <c r="GZ197" s="392"/>
      <c r="HA197" s="392"/>
      <c r="HB197" s="392"/>
      <c r="HC197" s="392"/>
      <c r="HD197" s="392"/>
      <c r="HE197" s="392"/>
      <c r="HF197" s="392"/>
      <c r="HG197" s="392"/>
      <c r="HH197" s="392"/>
      <c r="HI197" s="392"/>
      <c r="HJ197" s="392"/>
      <c r="HK197" s="392"/>
      <c r="HL197" s="392"/>
      <c r="HM197" s="392"/>
      <c r="HN197" s="392"/>
      <c r="HO197" s="392"/>
      <c r="HP197" s="392"/>
      <c r="HQ197" s="392"/>
      <c r="HR197" s="392"/>
      <c r="HS197" s="392"/>
      <c r="HT197" s="392"/>
      <c r="HU197" s="392"/>
      <c r="HV197" s="392"/>
      <c r="HW197" s="392"/>
      <c r="HX197" s="392"/>
      <c r="HY197" s="392"/>
      <c r="HZ197" s="392"/>
      <c r="IA197" s="392"/>
      <c r="IB197" s="392"/>
      <c r="IC197" s="392"/>
      <c r="ID197" s="392"/>
      <c r="IE197" s="392"/>
      <c r="IF197" s="392"/>
      <c r="IG197" s="392"/>
      <c r="IH197" s="392"/>
      <c r="II197" s="392"/>
      <c r="IJ197" s="392"/>
      <c r="IK197" s="392"/>
      <c r="IL197" s="392"/>
      <c r="IM197" s="392"/>
      <c r="IN197" s="392"/>
      <c r="IO197" s="392"/>
      <c r="IP197" s="392"/>
      <c r="IQ197" s="392"/>
      <c r="IR197" s="392"/>
      <c r="IS197" s="392"/>
      <c r="IT197" s="392"/>
      <c r="IU197" s="392"/>
      <c r="IV197" s="392"/>
    </row>
    <row r="198" spans="1:256" ht="45">
      <c r="A198" s="392" t="s">
        <v>391</v>
      </c>
      <c r="B198" s="436">
        <v>94965</v>
      </c>
      <c r="C198" s="317" t="str">
        <f>IF($A198="INSUMO",VLOOKUP($B198,'BANCO DE DADOS JANEIRO-24 INS'!$A:$D,2,FALSE),VLOOKUP($B198,'BANCO DE DADOS JANEIRO-24 SERV'!$B:$E,2,FALSE))</f>
        <v>CONCRETO FCK = 25MPA, TRAÇO 1:2,3:2,7 (EM MASSA SECA DE CIMENTO/ AREIA MÉDIA/ BRITA 1) - PREPARO MECÂNICO COM BETONEIRA 400 L. AF_05/2021</v>
      </c>
      <c r="D198" s="316" t="str">
        <f>IF($A198="INSUMO",VLOOKUP($B198,'BANCO DE DADOS JANEIRO-24 INS'!$A:$D,3,FALSE),VLOOKUP($B198,'BANCO DE DADOS JANEIRO-24 SERV'!$B:$E,3,FALSE))</f>
        <v>M3</v>
      </c>
      <c r="E198" s="598">
        <f>E197</f>
        <v>0.108</v>
      </c>
      <c r="F198" s="320">
        <f>IF($A198="INSUMO",VLOOKUP($B198,'BANCO DE DADOS JANEIRO-24 INS'!$A:$D,4,FALSE),VLOOKUP($B198,'BANCO DE DADOS JANEIRO-24 SERV'!$B:$E,4,FALSE))</f>
        <v>568.95000000000005</v>
      </c>
      <c r="G198" s="435">
        <f>TRUNC(F198*E198,2)</f>
        <v>61.44</v>
      </c>
      <c r="H198" s="392"/>
      <c r="I198" s="392"/>
      <c r="J198" s="392"/>
      <c r="K198" s="392"/>
      <c r="L198" s="392"/>
      <c r="M198" s="392"/>
      <c r="N198" s="392"/>
      <c r="O198" s="392"/>
      <c r="P198" s="392"/>
      <c r="Q198" s="392"/>
      <c r="R198" s="392"/>
      <c r="S198" s="392"/>
      <c r="T198" s="392"/>
      <c r="U198" s="392"/>
      <c r="V198" s="392"/>
      <c r="W198" s="392"/>
      <c r="X198" s="392"/>
      <c r="Y198" s="392"/>
      <c r="Z198" s="392"/>
      <c r="AA198" s="392"/>
      <c r="AB198" s="392"/>
      <c r="AC198" s="392"/>
      <c r="AD198" s="392"/>
      <c r="AE198" s="392"/>
      <c r="AF198" s="392"/>
      <c r="AG198" s="392"/>
      <c r="AH198" s="392"/>
      <c r="AI198" s="392"/>
      <c r="AJ198" s="392"/>
      <c r="AK198" s="392"/>
      <c r="AL198" s="392"/>
      <c r="AM198" s="392"/>
      <c r="AN198" s="392"/>
      <c r="AO198" s="392"/>
      <c r="AP198" s="392"/>
      <c r="AQ198" s="392"/>
      <c r="AR198" s="392"/>
      <c r="AS198" s="392"/>
      <c r="AT198" s="392"/>
      <c r="AU198" s="392"/>
      <c r="AV198" s="392"/>
      <c r="AW198" s="392"/>
      <c r="AX198" s="392"/>
      <c r="AY198" s="392"/>
      <c r="AZ198" s="392"/>
      <c r="BA198" s="392"/>
      <c r="BB198" s="392"/>
      <c r="BC198" s="392"/>
      <c r="BD198" s="392"/>
      <c r="BE198" s="392"/>
      <c r="BF198" s="392"/>
      <c r="BG198" s="392"/>
      <c r="BH198" s="392"/>
      <c r="BI198" s="392"/>
      <c r="BJ198" s="392"/>
      <c r="BK198" s="392"/>
      <c r="BL198" s="392"/>
      <c r="BM198" s="392"/>
      <c r="BN198" s="392"/>
      <c r="BO198" s="392"/>
      <c r="BP198" s="392"/>
      <c r="BQ198" s="392"/>
      <c r="BR198" s="392"/>
      <c r="BS198" s="392"/>
      <c r="BT198" s="392"/>
      <c r="BU198" s="392"/>
      <c r="BV198" s="392"/>
      <c r="BW198" s="392"/>
      <c r="BX198" s="392"/>
      <c r="BY198" s="392"/>
      <c r="BZ198" s="392"/>
      <c r="CA198" s="392"/>
      <c r="CB198" s="392"/>
      <c r="CC198" s="392"/>
      <c r="CD198" s="392"/>
      <c r="CE198" s="392"/>
      <c r="CF198" s="392"/>
      <c r="CG198" s="392"/>
      <c r="CH198" s="392"/>
      <c r="CI198" s="392"/>
      <c r="CJ198" s="392"/>
      <c r="CK198" s="392"/>
      <c r="CL198" s="392"/>
      <c r="CM198" s="392"/>
      <c r="CN198" s="392"/>
      <c r="CO198" s="392"/>
      <c r="CP198" s="392"/>
      <c r="CQ198" s="392"/>
      <c r="CR198" s="392"/>
      <c r="CS198" s="392"/>
      <c r="CT198" s="392"/>
      <c r="CU198" s="392"/>
      <c r="CV198" s="392"/>
      <c r="CW198" s="392"/>
      <c r="CX198" s="392"/>
      <c r="CY198" s="392"/>
      <c r="CZ198" s="392"/>
      <c r="DA198" s="392"/>
      <c r="DB198" s="392"/>
      <c r="DC198" s="392"/>
      <c r="DD198" s="392"/>
      <c r="DE198" s="392"/>
      <c r="DF198" s="392"/>
      <c r="DG198" s="392"/>
      <c r="DH198" s="392"/>
      <c r="DI198" s="392"/>
      <c r="DJ198" s="392"/>
      <c r="DK198" s="392"/>
      <c r="DL198" s="392"/>
      <c r="DM198" s="392"/>
      <c r="DN198" s="392"/>
      <c r="DO198" s="392"/>
      <c r="DP198" s="392"/>
      <c r="DQ198" s="392"/>
      <c r="DR198" s="392"/>
      <c r="DS198" s="392"/>
      <c r="DT198" s="392"/>
      <c r="DU198" s="392"/>
      <c r="DV198" s="392"/>
      <c r="DW198" s="392"/>
      <c r="DX198" s="392"/>
      <c r="DY198" s="392"/>
      <c r="DZ198" s="392"/>
      <c r="EA198" s="392"/>
      <c r="EB198" s="392"/>
      <c r="EC198" s="392"/>
      <c r="ED198" s="392"/>
      <c r="EE198" s="392"/>
      <c r="EF198" s="392"/>
      <c r="EG198" s="392"/>
      <c r="EH198" s="392"/>
      <c r="EI198" s="392"/>
      <c r="EJ198" s="392"/>
      <c r="EK198" s="392"/>
      <c r="EL198" s="392"/>
      <c r="EM198" s="392"/>
      <c r="EN198" s="392"/>
      <c r="EO198" s="392"/>
      <c r="EP198" s="392"/>
      <c r="EQ198" s="392"/>
      <c r="ER198" s="392"/>
      <c r="ES198" s="392"/>
      <c r="ET198" s="392"/>
      <c r="EU198" s="392"/>
      <c r="EV198" s="392"/>
      <c r="EW198" s="392"/>
      <c r="EX198" s="392"/>
      <c r="EY198" s="392"/>
      <c r="EZ198" s="392"/>
      <c r="FA198" s="392"/>
      <c r="FB198" s="392"/>
      <c r="FC198" s="392"/>
      <c r="FD198" s="392"/>
      <c r="FE198" s="392"/>
      <c r="FF198" s="392"/>
      <c r="FG198" s="392"/>
      <c r="FH198" s="392"/>
      <c r="FI198" s="392"/>
      <c r="FJ198" s="392"/>
      <c r="FK198" s="392"/>
      <c r="FL198" s="392"/>
      <c r="FM198" s="392"/>
      <c r="FN198" s="392"/>
      <c r="FO198" s="392"/>
      <c r="FP198" s="392"/>
      <c r="FQ198" s="392"/>
      <c r="FR198" s="392"/>
      <c r="FS198" s="392"/>
      <c r="FT198" s="392"/>
      <c r="FU198" s="392"/>
      <c r="FV198" s="392"/>
      <c r="FW198" s="392"/>
      <c r="FX198" s="392"/>
      <c r="FY198" s="392"/>
      <c r="FZ198" s="392"/>
      <c r="GA198" s="392"/>
      <c r="GB198" s="392"/>
      <c r="GC198" s="392"/>
      <c r="GD198" s="392"/>
      <c r="GE198" s="392"/>
      <c r="GF198" s="392"/>
      <c r="GG198" s="392"/>
      <c r="GH198" s="392"/>
      <c r="GI198" s="392"/>
      <c r="GJ198" s="392"/>
      <c r="GK198" s="392"/>
      <c r="GL198" s="392"/>
      <c r="GM198" s="392"/>
      <c r="GN198" s="392"/>
      <c r="GO198" s="392"/>
      <c r="GP198" s="392"/>
      <c r="GQ198" s="392"/>
      <c r="GR198" s="392"/>
      <c r="GS198" s="392"/>
      <c r="GT198" s="392"/>
      <c r="GU198" s="392"/>
      <c r="GV198" s="392"/>
      <c r="GW198" s="392"/>
      <c r="GX198" s="392"/>
      <c r="GY198" s="392"/>
      <c r="GZ198" s="392"/>
      <c r="HA198" s="392"/>
      <c r="HB198" s="392"/>
      <c r="HC198" s="392"/>
      <c r="HD198" s="392"/>
      <c r="HE198" s="392"/>
      <c r="HF198" s="392"/>
      <c r="HG198" s="392"/>
      <c r="HH198" s="392"/>
      <c r="HI198" s="392"/>
      <c r="HJ198" s="392"/>
      <c r="HK198" s="392"/>
      <c r="HL198" s="392"/>
      <c r="HM198" s="392"/>
      <c r="HN198" s="392"/>
      <c r="HO198" s="392"/>
      <c r="HP198" s="392"/>
      <c r="HQ198" s="392"/>
      <c r="HR198" s="392"/>
      <c r="HS198" s="392"/>
      <c r="HT198" s="392"/>
      <c r="HU198" s="392"/>
      <c r="HV198" s="392"/>
      <c r="HW198" s="392"/>
      <c r="HX198" s="392"/>
      <c r="HY198" s="392"/>
      <c r="HZ198" s="392"/>
      <c r="IA198" s="392"/>
      <c r="IB198" s="392"/>
      <c r="IC198" s="392"/>
      <c r="ID198" s="392"/>
      <c r="IE198" s="392"/>
      <c r="IF198" s="392"/>
      <c r="IG198" s="392"/>
      <c r="IH198" s="392"/>
      <c r="II198" s="392"/>
      <c r="IJ198" s="392"/>
      <c r="IK198" s="392"/>
      <c r="IL198" s="392"/>
      <c r="IM198" s="392"/>
      <c r="IN198" s="392"/>
      <c r="IO198" s="392"/>
      <c r="IP198" s="392"/>
      <c r="IQ198" s="392"/>
      <c r="IR198" s="392"/>
      <c r="IS198" s="392"/>
      <c r="IT198" s="392"/>
      <c r="IU198" s="392"/>
      <c r="IV198" s="392"/>
    </row>
    <row r="199" spans="1:256" ht="15.75" thickBot="1">
      <c r="A199" s="392" t="s">
        <v>391</v>
      </c>
      <c r="B199" s="437" t="s">
        <v>57</v>
      </c>
      <c r="C199" s="318" t="e">
        <f>IF($A199="INSUMO",VLOOKUP($B199,'BANCO DE DADOS JANEIRO-24 INS'!$A:$D,2,FALSE),VLOOKUP($B199,'BANCO DE DADOS JANEIRO-24 SERV'!$B:$E,2,FALSE))</f>
        <v>#N/A</v>
      </c>
      <c r="D199" s="319" t="e">
        <f>IF($A199="INSUMO",VLOOKUP($B199,'BANCO DE DADOS JANEIRO-24 INS'!$A:$D,3,FALSE),VLOOKUP($B199,'BANCO DE DADOS JANEIRO-24 SERV'!$B:$E,3,FALSE))</f>
        <v>#N/A</v>
      </c>
      <c r="E199" s="599">
        <f>E197</f>
        <v>0.108</v>
      </c>
      <c r="F199" s="321" t="e">
        <f>IF($A199="INSUMO",VLOOKUP($B199,'BANCO DE DADOS JANEIRO-24 INS'!$A:$D,4,FALSE),VLOOKUP($B199,'BANCO DE DADOS JANEIRO-24 SERV'!$B:$E,4,FALSE))</f>
        <v>#N/A</v>
      </c>
      <c r="G199" s="438" t="e">
        <f>TRUNC(F199*E199,2)</f>
        <v>#N/A</v>
      </c>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392"/>
      <c r="AL199" s="392"/>
      <c r="AM199" s="392"/>
      <c r="AN199" s="392"/>
      <c r="AO199" s="392"/>
      <c r="AP199" s="392"/>
      <c r="AQ199" s="392"/>
      <c r="AR199" s="392"/>
      <c r="AS199" s="392"/>
      <c r="AT199" s="392"/>
      <c r="AU199" s="392"/>
      <c r="AV199" s="392"/>
      <c r="AW199" s="392"/>
      <c r="AX199" s="392"/>
      <c r="AY199" s="392"/>
      <c r="AZ199" s="392"/>
      <c r="BA199" s="392"/>
      <c r="BB199" s="392"/>
      <c r="BC199" s="392"/>
      <c r="BD199" s="392"/>
      <c r="BE199" s="392"/>
      <c r="BF199" s="392"/>
      <c r="BG199" s="392"/>
      <c r="BH199" s="392"/>
      <c r="BI199" s="392"/>
      <c r="BJ199" s="392"/>
      <c r="BK199" s="392"/>
      <c r="BL199" s="392"/>
      <c r="BM199" s="392"/>
      <c r="BN199" s="392"/>
      <c r="BO199" s="392"/>
      <c r="BP199" s="392"/>
      <c r="BQ199" s="392"/>
      <c r="BR199" s="392"/>
      <c r="BS199" s="392"/>
      <c r="BT199" s="392"/>
      <c r="BU199" s="392"/>
      <c r="BV199" s="392"/>
      <c r="BW199" s="392"/>
      <c r="BX199" s="392"/>
      <c r="BY199" s="392"/>
      <c r="BZ199" s="392"/>
      <c r="CA199" s="392"/>
      <c r="CB199" s="392"/>
      <c r="CC199" s="392"/>
      <c r="CD199" s="392"/>
      <c r="CE199" s="392"/>
      <c r="CF199" s="392"/>
      <c r="CG199" s="392"/>
      <c r="CH199" s="392"/>
      <c r="CI199" s="392"/>
      <c r="CJ199" s="392"/>
      <c r="CK199" s="392"/>
      <c r="CL199" s="392"/>
      <c r="CM199" s="392"/>
      <c r="CN199" s="392"/>
      <c r="CO199" s="392"/>
      <c r="CP199" s="392"/>
      <c r="CQ199" s="392"/>
      <c r="CR199" s="392"/>
      <c r="CS199" s="392"/>
      <c r="CT199" s="392"/>
      <c r="CU199" s="392"/>
      <c r="CV199" s="392"/>
      <c r="CW199" s="392"/>
      <c r="CX199" s="392"/>
      <c r="CY199" s="392"/>
      <c r="CZ199" s="392"/>
      <c r="DA199" s="392"/>
      <c r="DB199" s="392"/>
      <c r="DC199" s="392"/>
      <c r="DD199" s="392"/>
      <c r="DE199" s="392"/>
      <c r="DF199" s="392"/>
      <c r="DG199" s="392"/>
      <c r="DH199" s="392"/>
      <c r="DI199" s="392"/>
      <c r="DJ199" s="392"/>
      <c r="DK199" s="392"/>
      <c r="DL199" s="392"/>
      <c r="DM199" s="392"/>
      <c r="DN199" s="392"/>
      <c r="DO199" s="392"/>
      <c r="DP199" s="392"/>
      <c r="DQ199" s="392"/>
      <c r="DR199" s="392"/>
      <c r="DS199" s="392"/>
      <c r="DT199" s="392"/>
      <c r="DU199" s="392"/>
      <c r="DV199" s="392"/>
      <c r="DW199" s="392"/>
      <c r="DX199" s="392"/>
      <c r="DY199" s="392"/>
      <c r="DZ199" s="392"/>
      <c r="EA199" s="392"/>
      <c r="EB199" s="392"/>
      <c r="EC199" s="392"/>
      <c r="ED199" s="392"/>
      <c r="EE199" s="392"/>
      <c r="EF199" s="392"/>
      <c r="EG199" s="392"/>
      <c r="EH199" s="392"/>
      <c r="EI199" s="392"/>
      <c r="EJ199" s="392"/>
      <c r="EK199" s="392"/>
      <c r="EL199" s="392"/>
      <c r="EM199" s="392"/>
      <c r="EN199" s="392"/>
      <c r="EO199" s="392"/>
      <c r="EP199" s="392"/>
      <c r="EQ199" s="392"/>
      <c r="ER199" s="392"/>
      <c r="ES199" s="392"/>
      <c r="ET199" s="392"/>
      <c r="EU199" s="392"/>
      <c r="EV199" s="392"/>
      <c r="EW199" s="392"/>
      <c r="EX199" s="392"/>
      <c r="EY199" s="392"/>
      <c r="EZ199" s="392"/>
      <c r="FA199" s="392"/>
      <c r="FB199" s="392"/>
      <c r="FC199" s="392"/>
      <c r="FD199" s="392"/>
      <c r="FE199" s="392"/>
      <c r="FF199" s="392"/>
      <c r="FG199" s="392"/>
      <c r="FH199" s="392"/>
      <c r="FI199" s="392"/>
      <c r="FJ199" s="392"/>
      <c r="FK199" s="392"/>
      <c r="FL199" s="392"/>
      <c r="FM199" s="392"/>
      <c r="FN199" s="392"/>
      <c r="FO199" s="392"/>
      <c r="FP199" s="392"/>
      <c r="FQ199" s="392"/>
      <c r="FR199" s="392"/>
      <c r="FS199" s="392"/>
      <c r="FT199" s="392"/>
      <c r="FU199" s="392"/>
      <c r="FV199" s="392"/>
      <c r="FW199" s="392"/>
      <c r="FX199" s="392"/>
      <c r="FY199" s="392"/>
      <c r="FZ199" s="392"/>
      <c r="GA199" s="392"/>
      <c r="GB199" s="392"/>
      <c r="GC199" s="392"/>
      <c r="GD199" s="392"/>
      <c r="GE199" s="392"/>
      <c r="GF199" s="392"/>
      <c r="GG199" s="392"/>
      <c r="GH199" s="392"/>
      <c r="GI199" s="392"/>
      <c r="GJ199" s="392"/>
      <c r="GK199" s="392"/>
      <c r="GL199" s="392"/>
      <c r="GM199" s="392"/>
      <c r="GN199" s="392"/>
      <c r="GO199" s="392"/>
      <c r="GP199" s="392"/>
      <c r="GQ199" s="392"/>
      <c r="GR199" s="392"/>
      <c r="GS199" s="392"/>
      <c r="GT199" s="392"/>
      <c r="GU199" s="392"/>
      <c r="GV199" s="392"/>
      <c r="GW199" s="392"/>
      <c r="GX199" s="392"/>
      <c r="GY199" s="392"/>
      <c r="GZ199" s="392"/>
      <c r="HA199" s="392"/>
      <c r="HB199" s="392"/>
      <c r="HC199" s="392"/>
      <c r="HD199" s="392"/>
      <c r="HE199" s="392"/>
      <c r="HF199" s="392"/>
      <c r="HG199" s="392"/>
      <c r="HH199" s="392"/>
      <c r="HI199" s="392"/>
      <c r="HJ199" s="392"/>
      <c r="HK199" s="392"/>
      <c r="HL199" s="392"/>
      <c r="HM199" s="392"/>
      <c r="HN199" s="392"/>
      <c r="HO199" s="392"/>
      <c r="HP199" s="392"/>
      <c r="HQ199" s="392"/>
      <c r="HR199" s="392"/>
      <c r="HS199" s="392"/>
      <c r="HT199" s="392"/>
      <c r="HU199" s="392"/>
      <c r="HV199" s="392"/>
      <c r="HW199" s="392"/>
      <c r="HX199" s="392"/>
      <c r="HY199" s="392"/>
      <c r="HZ199" s="392"/>
      <c r="IA199" s="392"/>
      <c r="IB199" s="392"/>
      <c r="IC199" s="392"/>
      <c r="ID199" s="392"/>
      <c r="IE199" s="392"/>
      <c r="IF199" s="392"/>
      <c r="IG199" s="392"/>
      <c r="IH199" s="392"/>
      <c r="II199" s="392"/>
      <c r="IJ199" s="392"/>
      <c r="IK199" s="392"/>
      <c r="IL199" s="392"/>
      <c r="IM199" s="392"/>
      <c r="IN199" s="392"/>
      <c r="IO199" s="392"/>
      <c r="IP199" s="392"/>
      <c r="IQ199" s="392"/>
      <c r="IR199" s="392"/>
      <c r="IS199" s="392"/>
      <c r="IT199" s="392"/>
      <c r="IU199" s="392"/>
      <c r="IV199" s="392"/>
    </row>
    <row r="200" spans="1:256" ht="16.5" thickBot="1">
      <c r="A200" s="392"/>
      <c r="B200" s="439" t="s">
        <v>1705</v>
      </c>
      <c r="C200" s="440"/>
      <c r="D200" s="441"/>
      <c r="E200" s="442"/>
      <c r="F200" s="443" t="s">
        <v>167</v>
      </c>
      <c r="G200" s="444" t="e">
        <f>TRUNC(SUM(G196:G199),2)</f>
        <v>#N/A</v>
      </c>
      <c r="H200" s="392"/>
      <c r="I200" s="392"/>
      <c r="J200" s="392"/>
      <c r="K200" s="392"/>
      <c r="L200" s="392"/>
      <c r="M200" s="392"/>
      <c r="N200" s="392"/>
      <c r="O200" s="392"/>
      <c r="P200" s="392"/>
      <c r="Q200" s="392"/>
      <c r="R200" s="392"/>
      <c r="S200" s="392"/>
      <c r="T200" s="392"/>
      <c r="U200" s="392"/>
      <c r="V200" s="392"/>
      <c r="W200" s="392"/>
      <c r="X200" s="392"/>
      <c r="Y200" s="392"/>
      <c r="Z200" s="392"/>
      <c r="AA200" s="392"/>
      <c r="AB200" s="392"/>
      <c r="AC200" s="392"/>
      <c r="AD200" s="392"/>
      <c r="AE200" s="392"/>
      <c r="AF200" s="392"/>
      <c r="AG200" s="392"/>
      <c r="AH200" s="392"/>
      <c r="AI200" s="392"/>
      <c r="AJ200" s="392"/>
      <c r="AK200" s="392"/>
      <c r="AL200" s="392"/>
      <c r="AM200" s="392"/>
      <c r="AN200" s="392"/>
      <c r="AO200" s="392"/>
      <c r="AP200" s="392"/>
      <c r="AQ200" s="392"/>
      <c r="AR200" s="392"/>
      <c r="AS200" s="392"/>
      <c r="AT200" s="392"/>
      <c r="AU200" s="392"/>
      <c r="AV200" s="392"/>
      <c r="AW200" s="392"/>
      <c r="AX200" s="392"/>
      <c r="AY200" s="392"/>
      <c r="AZ200" s="392"/>
      <c r="BA200" s="392"/>
      <c r="BB200" s="392"/>
      <c r="BC200" s="392"/>
      <c r="BD200" s="392"/>
      <c r="BE200" s="392"/>
      <c r="BF200" s="392"/>
      <c r="BG200" s="392"/>
      <c r="BH200" s="392"/>
      <c r="BI200" s="392"/>
      <c r="BJ200" s="392"/>
      <c r="BK200" s="392"/>
      <c r="BL200" s="392"/>
      <c r="BM200" s="392"/>
      <c r="BN200" s="392"/>
      <c r="BO200" s="392"/>
      <c r="BP200" s="392"/>
      <c r="BQ200" s="392"/>
      <c r="BR200" s="392"/>
      <c r="BS200" s="392"/>
      <c r="BT200" s="392"/>
      <c r="BU200" s="392"/>
      <c r="BV200" s="392"/>
      <c r="BW200" s="392"/>
      <c r="BX200" s="392"/>
      <c r="BY200" s="392"/>
      <c r="BZ200" s="392"/>
      <c r="CA200" s="392"/>
      <c r="CB200" s="392"/>
      <c r="CC200" s="392"/>
      <c r="CD200" s="392"/>
      <c r="CE200" s="392"/>
      <c r="CF200" s="392"/>
      <c r="CG200" s="392"/>
      <c r="CH200" s="392"/>
      <c r="CI200" s="392"/>
      <c r="CJ200" s="392"/>
      <c r="CK200" s="392"/>
      <c r="CL200" s="392"/>
      <c r="CM200" s="392"/>
      <c r="CN200" s="392"/>
      <c r="CO200" s="392"/>
      <c r="CP200" s="392"/>
      <c r="CQ200" s="392"/>
      <c r="CR200" s="392"/>
      <c r="CS200" s="392"/>
      <c r="CT200" s="392"/>
      <c r="CU200" s="392"/>
      <c r="CV200" s="392"/>
      <c r="CW200" s="392"/>
      <c r="CX200" s="392"/>
      <c r="CY200" s="392"/>
      <c r="CZ200" s="392"/>
      <c r="DA200" s="392"/>
      <c r="DB200" s="392"/>
      <c r="DC200" s="392"/>
      <c r="DD200" s="392"/>
      <c r="DE200" s="392"/>
      <c r="DF200" s="392"/>
      <c r="DG200" s="392"/>
      <c r="DH200" s="392"/>
      <c r="DI200" s="392"/>
      <c r="DJ200" s="392"/>
      <c r="DK200" s="392"/>
      <c r="DL200" s="392"/>
      <c r="DM200" s="392"/>
      <c r="DN200" s="392"/>
      <c r="DO200" s="392"/>
      <c r="DP200" s="392"/>
      <c r="DQ200" s="392"/>
      <c r="DR200" s="392"/>
      <c r="DS200" s="392"/>
      <c r="DT200" s="392"/>
      <c r="DU200" s="392"/>
      <c r="DV200" s="392"/>
      <c r="DW200" s="392"/>
      <c r="DX200" s="392"/>
      <c r="DY200" s="392"/>
      <c r="DZ200" s="392"/>
      <c r="EA200" s="392"/>
      <c r="EB200" s="392"/>
      <c r="EC200" s="392"/>
      <c r="ED200" s="392"/>
      <c r="EE200" s="392"/>
      <c r="EF200" s="392"/>
      <c r="EG200" s="392"/>
      <c r="EH200" s="392"/>
      <c r="EI200" s="392"/>
      <c r="EJ200" s="392"/>
      <c r="EK200" s="392"/>
      <c r="EL200" s="392"/>
      <c r="EM200" s="392"/>
      <c r="EN200" s="392"/>
      <c r="EO200" s="392"/>
      <c r="EP200" s="392"/>
      <c r="EQ200" s="392"/>
      <c r="ER200" s="392"/>
      <c r="ES200" s="392"/>
      <c r="ET200" s="392"/>
      <c r="EU200" s="392"/>
      <c r="EV200" s="392"/>
      <c r="EW200" s="392"/>
      <c r="EX200" s="392"/>
      <c r="EY200" s="392"/>
      <c r="EZ200" s="392"/>
      <c r="FA200" s="392"/>
      <c r="FB200" s="392"/>
      <c r="FC200" s="392"/>
      <c r="FD200" s="392"/>
      <c r="FE200" s="392"/>
      <c r="FF200" s="392"/>
      <c r="FG200" s="392"/>
      <c r="FH200" s="392"/>
      <c r="FI200" s="392"/>
      <c r="FJ200" s="392"/>
      <c r="FK200" s="392"/>
      <c r="FL200" s="392"/>
      <c r="FM200" s="392"/>
      <c r="FN200" s="392"/>
      <c r="FO200" s="392"/>
      <c r="FP200" s="392"/>
      <c r="FQ200" s="392"/>
      <c r="FR200" s="392"/>
      <c r="FS200" s="392"/>
      <c r="FT200" s="392"/>
      <c r="FU200" s="392"/>
      <c r="FV200" s="392"/>
      <c r="FW200" s="392"/>
      <c r="FX200" s="392"/>
      <c r="FY200" s="392"/>
      <c r="FZ200" s="392"/>
      <c r="GA200" s="392"/>
      <c r="GB200" s="392"/>
      <c r="GC200" s="392"/>
      <c r="GD200" s="392"/>
      <c r="GE200" s="392"/>
      <c r="GF200" s="392"/>
      <c r="GG200" s="392"/>
      <c r="GH200" s="392"/>
      <c r="GI200" s="392"/>
      <c r="GJ200" s="392"/>
      <c r="GK200" s="392"/>
      <c r="GL200" s="392"/>
      <c r="GM200" s="392"/>
      <c r="GN200" s="392"/>
      <c r="GO200" s="392"/>
      <c r="GP200" s="392"/>
      <c r="GQ200" s="392"/>
      <c r="GR200" s="392"/>
      <c r="GS200" s="392"/>
      <c r="GT200" s="392"/>
      <c r="GU200" s="392"/>
      <c r="GV200" s="392"/>
      <c r="GW200" s="392"/>
      <c r="GX200" s="392"/>
      <c r="GY200" s="392"/>
      <c r="GZ200" s="392"/>
      <c r="HA200" s="392"/>
      <c r="HB200" s="392"/>
      <c r="HC200" s="392"/>
      <c r="HD200" s="392"/>
      <c r="HE200" s="392"/>
      <c r="HF200" s="392"/>
      <c r="HG200" s="392"/>
      <c r="HH200" s="392"/>
      <c r="HI200" s="392"/>
      <c r="HJ200" s="392"/>
      <c r="HK200" s="392"/>
      <c r="HL200" s="392"/>
      <c r="HM200" s="392"/>
      <c r="HN200" s="392"/>
      <c r="HO200" s="392"/>
      <c r="HP200" s="392"/>
      <c r="HQ200" s="392"/>
      <c r="HR200" s="392"/>
      <c r="HS200" s="392"/>
      <c r="HT200" s="392"/>
      <c r="HU200" s="392"/>
      <c r="HV200" s="392"/>
      <c r="HW200" s="392"/>
      <c r="HX200" s="392"/>
      <c r="HY200" s="392"/>
      <c r="HZ200" s="392"/>
      <c r="IA200" s="392"/>
      <c r="IB200" s="392"/>
      <c r="IC200" s="392"/>
      <c r="ID200" s="392"/>
      <c r="IE200" s="392"/>
      <c r="IF200" s="392"/>
      <c r="IG200" s="392"/>
      <c r="IH200" s="392"/>
      <c r="II200" s="392"/>
      <c r="IJ200" s="392"/>
      <c r="IK200" s="392"/>
      <c r="IL200" s="392"/>
      <c r="IM200" s="392"/>
      <c r="IN200" s="392"/>
      <c r="IO200" s="392"/>
      <c r="IP200" s="392"/>
      <c r="IQ200" s="392"/>
      <c r="IR200" s="392"/>
      <c r="IS200" s="392"/>
      <c r="IT200" s="392"/>
      <c r="IU200" s="392"/>
      <c r="IV200" s="392"/>
    </row>
    <row r="201" spans="1:256" ht="364.5" customHeight="1">
      <c r="A201" s="392"/>
      <c r="B201" s="2325"/>
      <c r="C201" s="2325"/>
      <c r="D201" s="2325"/>
      <c r="E201" s="2325"/>
      <c r="F201" s="2325"/>
      <c r="G201" s="2325"/>
      <c r="H201" s="392"/>
      <c r="I201" s="392"/>
      <c r="J201" s="392"/>
      <c r="K201" s="392"/>
      <c r="L201" s="392"/>
      <c r="M201" s="392"/>
      <c r="N201" s="392"/>
      <c r="O201" s="392"/>
      <c r="P201" s="392"/>
      <c r="Q201" s="392"/>
      <c r="R201" s="392"/>
      <c r="S201" s="392"/>
      <c r="T201" s="392"/>
      <c r="U201" s="392"/>
      <c r="V201" s="392"/>
      <c r="W201" s="392"/>
      <c r="X201" s="392"/>
      <c r="Y201" s="392"/>
      <c r="Z201" s="392"/>
      <c r="AA201" s="392"/>
      <c r="AB201" s="392"/>
      <c r="AC201" s="392"/>
      <c r="AD201" s="392"/>
      <c r="AE201" s="392"/>
      <c r="AF201" s="392"/>
      <c r="AG201" s="392"/>
      <c r="AH201" s="392"/>
      <c r="AI201" s="392"/>
      <c r="AJ201" s="392"/>
      <c r="AK201" s="392"/>
      <c r="AL201" s="392"/>
      <c r="AM201" s="392"/>
      <c r="AN201" s="392"/>
      <c r="AO201" s="392"/>
      <c r="AP201" s="392"/>
      <c r="AQ201" s="392"/>
      <c r="AR201" s="392"/>
      <c r="AS201" s="392"/>
      <c r="AT201" s="392"/>
      <c r="AU201" s="392"/>
      <c r="AV201" s="392"/>
      <c r="AW201" s="392"/>
      <c r="AX201" s="392"/>
      <c r="AY201" s="392"/>
      <c r="AZ201" s="392"/>
      <c r="BA201" s="392"/>
      <c r="BB201" s="392"/>
      <c r="BC201" s="392"/>
      <c r="BD201" s="392"/>
      <c r="BE201" s="392"/>
      <c r="BF201" s="392"/>
      <c r="BG201" s="392"/>
      <c r="BH201" s="392"/>
      <c r="BI201" s="392"/>
      <c r="BJ201" s="392"/>
      <c r="BK201" s="392"/>
      <c r="BL201" s="392"/>
      <c r="BM201" s="392"/>
      <c r="BN201" s="392"/>
      <c r="BO201" s="392"/>
      <c r="BP201" s="392"/>
      <c r="BQ201" s="392"/>
      <c r="BR201" s="392"/>
      <c r="BS201" s="392"/>
      <c r="BT201" s="392"/>
      <c r="BU201" s="392"/>
      <c r="BV201" s="392"/>
      <c r="BW201" s="392"/>
      <c r="BX201" s="392"/>
      <c r="BY201" s="392"/>
      <c r="BZ201" s="392"/>
      <c r="CA201" s="392"/>
      <c r="CB201" s="392"/>
      <c r="CC201" s="392"/>
      <c r="CD201" s="392"/>
      <c r="CE201" s="392"/>
      <c r="CF201" s="392"/>
      <c r="CG201" s="392"/>
      <c r="CH201" s="392"/>
      <c r="CI201" s="392"/>
      <c r="CJ201" s="392"/>
      <c r="CK201" s="392"/>
      <c r="CL201" s="392"/>
      <c r="CM201" s="392"/>
      <c r="CN201" s="392"/>
      <c r="CO201" s="392"/>
      <c r="CP201" s="392"/>
      <c r="CQ201" s="392"/>
      <c r="CR201" s="392"/>
      <c r="CS201" s="392"/>
      <c r="CT201" s="392"/>
      <c r="CU201" s="392"/>
      <c r="CV201" s="392"/>
      <c r="CW201" s="392"/>
      <c r="CX201" s="392"/>
      <c r="CY201" s="392"/>
      <c r="CZ201" s="392"/>
      <c r="DA201" s="392"/>
      <c r="DB201" s="392"/>
      <c r="DC201" s="392"/>
      <c r="DD201" s="392"/>
      <c r="DE201" s="392"/>
      <c r="DF201" s="392"/>
      <c r="DG201" s="392"/>
      <c r="DH201" s="392"/>
      <c r="DI201" s="392"/>
      <c r="DJ201" s="392"/>
      <c r="DK201" s="392"/>
      <c r="DL201" s="392"/>
      <c r="DM201" s="392"/>
      <c r="DN201" s="392"/>
      <c r="DO201" s="392"/>
      <c r="DP201" s="392"/>
      <c r="DQ201" s="392"/>
      <c r="DR201" s="392"/>
      <c r="DS201" s="392"/>
      <c r="DT201" s="392"/>
      <c r="DU201" s="392"/>
      <c r="DV201" s="392"/>
      <c r="DW201" s="392"/>
      <c r="DX201" s="392"/>
      <c r="DY201" s="392"/>
      <c r="DZ201" s="392"/>
      <c r="EA201" s="392"/>
      <c r="EB201" s="392"/>
      <c r="EC201" s="392"/>
      <c r="ED201" s="392"/>
      <c r="EE201" s="392"/>
      <c r="EF201" s="392"/>
      <c r="EG201" s="392"/>
      <c r="EH201" s="392"/>
      <c r="EI201" s="392"/>
      <c r="EJ201" s="392"/>
      <c r="EK201" s="392"/>
      <c r="EL201" s="392"/>
      <c r="EM201" s="392"/>
      <c r="EN201" s="392"/>
      <c r="EO201" s="392"/>
      <c r="EP201" s="392"/>
      <c r="EQ201" s="392"/>
      <c r="ER201" s="392"/>
      <c r="ES201" s="392"/>
      <c r="ET201" s="392"/>
      <c r="EU201" s="392"/>
      <c r="EV201" s="392"/>
      <c r="EW201" s="392"/>
      <c r="EX201" s="392"/>
      <c r="EY201" s="392"/>
      <c r="EZ201" s="392"/>
      <c r="FA201" s="392"/>
      <c r="FB201" s="392"/>
      <c r="FC201" s="392"/>
      <c r="FD201" s="392"/>
      <c r="FE201" s="392"/>
      <c r="FF201" s="392"/>
      <c r="FG201" s="392"/>
      <c r="FH201" s="392"/>
      <c r="FI201" s="392"/>
      <c r="FJ201" s="392"/>
      <c r="FK201" s="392"/>
      <c r="FL201" s="392"/>
      <c r="FM201" s="392"/>
      <c r="FN201" s="392"/>
      <c r="FO201" s="392"/>
      <c r="FP201" s="392"/>
      <c r="FQ201" s="392"/>
      <c r="FR201" s="392"/>
      <c r="FS201" s="392"/>
      <c r="FT201" s="392"/>
      <c r="FU201" s="392"/>
      <c r="FV201" s="392"/>
      <c r="FW201" s="392"/>
      <c r="FX201" s="392"/>
      <c r="FY201" s="392"/>
      <c r="FZ201" s="392"/>
      <c r="GA201" s="392"/>
      <c r="GB201" s="392"/>
      <c r="GC201" s="392"/>
      <c r="GD201" s="392"/>
      <c r="GE201" s="392"/>
      <c r="GF201" s="392"/>
      <c r="GG201" s="392"/>
      <c r="GH201" s="392"/>
      <c r="GI201" s="392"/>
      <c r="GJ201" s="392"/>
      <c r="GK201" s="392"/>
      <c r="GL201" s="392"/>
      <c r="GM201" s="392"/>
      <c r="GN201" s="392"/>
      <c r="GO201" s="392"/>
      <c r="GP201" s="392"/>
      <c r="GQ201" s="392"/>
      <c r="GR201" s="392"/>
      <c r="GS201" s="392"/>
      <c r="GT201" s="392"/>
      <c r="GU201" s="392"/>
      <c r="GV201" s="392"/>
      <c r="GW201" s="392"/>
      <c r="GX201" s="392"/>
      <c r="GY201" s="392"/>
      <c r="GZ201" s="392"/>
      <c r="HA201" s="392"/>
      <c r="HB201" s="392"/>
      <c r="HC201" s="392"/>
      <c r="HD201" s="392"/>
      <c r="HE201" s="392"/>
      <c r="HF201" s="392"/>
      <c r="HG201" s="392"/>
      <c r="HH201" s="392"/>
      <c r="HI201" s="392"/>
      <c r="HJ201" s="392"/>
      <c r="HK201" s="392"/>
      <c r="HL201" s="392"/>
      <c r="HM201" s="392"/>
      <c r="HN201" s="392"/>
      <c r="HO201" s="392"/>
      <c r="HP201" s="392"/>
      <c r="HQ201" s="392"/>
      <c r="HR201" s="392"/>
      <c r="HS201" s="392"/>
      <c r="HT201" s="392"/>
      <c r="HU201" s="392"/>
      <c r="HV201" s="392"/>
      <c r="HW201" s="392"/>
      <c r="HX201" s="392"/>
      <c r="HY201" s="392"/>
      <c r="HZ201" s="392"/>
      <c r="IA201" s="392"/>
      <c r="IB201" s="392"/>
      <c r="IC201" s="392"/>
      <c r="ID201" s="392"/>
      <c r="IE201" s="392"/>
      <c r="IF201" s="392"/>
      <c r="IG201" s="392"/>
      <c r="IH201" s="392"/>
      <c r="II201" s="392"/>
      <c r="IJ201" s="392"/>
      <c r="IK201" s="392"/>
      <c r="IL201" s="392"/>
      <c r="IM201" s="392"/>
      <c r="IN201" s="392"/>
      <c r="IO201" s="392"/>
      <c r="IP201" s="392"/>
      <c r="IQ201" s="392"/>
      <c r="IR201" s="392"/>
      <c r="IS201" s="392"/>
      <c r="IT201" s="392"/>
      <c r="IU201" s="392"/>
      <c r="IV201" s="392"/>
    </row>
    <row r="202" spans="1:256" ht="391.5" customHeight="1" thickBot="1">
      <c r="A202" s="392"/>
      <c r="B202" s="2326"/>
      <c r="C202" s="2326"/>
      <c r="D202" s="2326"/>
      <c r="E202" s="2326"/>
      <c r="F202" s="2326"/>
      <c r="G202" s="2326"/>
      <c r="H202" s="392"/>
      <c r="I202" s="392"/>
      <c r="J202" s="392"/>
      <c r="K202" s="392"/>
      <c r="L202" s="392"/>
      <c r="M202" s="392"/>
      <c r="N202" s="392"/>
      <c r="O202" s="392"/>
      <c r="P202" s="392"/>
      <c r="Q202" s="392"/>
      <c r="R202" s="392"/>
      <c r="S202" s="392"/>
      <c r="T202" s="392"/>
      <c r="U202" s="392"/>
      <c r="V202" s="392"/>
      <c r="W202" s="392"/>
      <c r="X202" s="392"/>
      <c r="Y202" s="392"/>
      <c r="Z202" s="392"/>
      <c r="AA202" s="392"/>
      <c r="AB202" s="392"/>
      <c r="AC202" s="392"/>
      <c r="AD202" s="392"/>
      <c r="AE202" s="392"/>
      <c r="AF202" s="392"/>
      <c r="AG202" s="392"/>
      <c r="AH202" s="392"/>
      <c r="AI202" s="392"/>
      <c r="AJ202" s="392"/>
      <c r="AK202" s="392"/>
      <c r="AL202" s="392"/>
      <c r="AM202" s="392"/>
      <c r="AN202" s="392"/>
      <c r="AO202" s="392"/>
      <c r="AP202" s="392"/>
      <c r="AQ202" s="392"/>
      <c r="AR202" s="392"/>
      <c r="AS202" s="392"/>
      <c r="AT202" s="392"/>
      <c r="AU202" s="392"/>
      <c r="AV202" s="392"/>
      <c r="AW202" s="392"/>
      <c r="AX202" s="392"/>
      <c r="AY202" s="392"/>
      <c r="AZ202" s="392"/>
      <c r="BA202" s="392"/>
      <c r="BB202" s="392"/>
      <c r="BC202" s="392"/>
      <c r="BD202" s="392"/>
      <c r="BE202" s="392"/>
      <c r="BF202" s="392"/>
      <c r="BG202" s="392"/>
      <c r="BH202" s="392"/>
      <c r="BI202" s="392"/>
      <c r="BJ202" s="392"/>
      <c r="BK202" s="392"/>
      <c r="BL202" s="392"/>
      <c r="BM202" s="392"/>
      <c r="BN202" s="392"/>
      <c r="BO202" s="392"/>
      <c r="BP202" s="392"/>
      <c r="BQ202" s="392"/>
      <c r="BR202" s="392"/>
      <c r="BS202" s="392"/>
      <c r="BT202" s="392"/>
      <c r="BU202" s="392"/>
      <c r="BV202" s="392"/>
      <c r="BW202" s="392"/>
      <c r="BX202" s="392"/>
      <c r="BY202" s="392"/>
      <c r="BZ202" s="392"/>
      <c r="CA202" s="392"/>
      <c r="CB202" s="392"/>
      <c r="CC202" s="392"/>
      <c r="CD202" s="392"/>
      <c r="CE202" s="392"/>
      <c r="CF202" s="392"/>
      <c r="CG202" s="392"/>
      <c r="CH202" s="392"/>
      <c r="CI202" s="392"/>
      <c r="CJ202" s="392"/>
      <c r="CK202" s="392"/>
      <c r="CL202" s="392"/>
      <c r="CM202" s="392"/>
      <c r="CN202" s="392"/>
      <c r="CO202" s="392"/>
      <c r="CP202" s="392"/>
      <c r="CQ202" s="392"/>
      <c r="CR202" s="392"/>
      <c r="CS202" s="392"/>
      <c r="CT202" s="392"/>
      <c r="CU202" s="392"/>
      <c r="CV202" s="392"/>
      <c r="CW202" s="392"/>
      <c r="CX202" s="392"/>
      <c r="CY202" s="392"/>
      <c r="CZ202" s="392"/>
      <c r="DA202" s="392"/>
      <c r="DB202" s="392"/>
      <c r="DC202" s="392"/>
      <c r="DD202" s="392"/>
      <c r="DE202" s="392"/>
      <c r="DF202" s="392"/>
      <c r="DG202" s="392"/>
      <c r="DH202" s="392"/>
      <c r="DI202" s="392"/>
      <c r="DJ202" s="392"/>
      <c r="DK202" s="392"/>
      <c r="DL202" s="392"/>
      <c r="DM202" s="392"/>
      <c r="DN202" s="392"/>
      <c r="DO202" s="392"/>
      <c r="DP202" s="392"/>
      <c r="DQ202" s="392"/>
      <c r="DR202" s="392"/>
      <c r="DS202" s="392"/>
      <c r="DT202" s="392"/>
      <c r="DU202" s="392"/>
      <c r="DV202" s="392"/>
      <c r="DW202" s="392"/>
      <c r="DX202" s="392"/>
      <c r="DY202" s="392"/>
      <c r="DZ202" s="392"/>
      <c r="EA202" s="392"/>
      <c r="EB202" s="392"/>
      <c r="EC202" s="392"/>
      <c r="ED202" s="392"/>
      <c r="EE202" s="392"/>
      <c r="EF202" s="392"/>
      <c r="EG202" s="392"/>
      <c r="EH202" s="392"/>
      <c r="EI202" s="392"/>
      <c r="EJ202" s="392"/>
      <c r="EK202" s="392"/>
      <c r="EL202" s="392"/>
      <c r="EM202" s="392"/>
      <c r="EN202" s="392"/>
      <c r="EO202" s="392"/>
      <c r="EP202" s="392"/>
      <c r="EQ202" s="392"/>
      <c r="ER202" s="392"/>
      <c r="ES202" s="392"/>
      <c r="ET202" s="392"/>
      <c r="EU202" s="392"/>
      <c r="EV202" s="392"/>
      <c r="EW202" s="392"/>
      <c r="EX202" s="392"/>
      <c r="EY202" s="392"/>
      <c r="EZ202" s="392"/>
      <c r="FA202" s="392"/>
      <c r="FB202" s="392"/>
      <c r="FC202" s="392"/>
      <c r="FD202" s="392"/>
      <c r="FE202" s="392"/>
      <c r="FF202" s="392"/>
      <c r="FG202" s="392"/>
      <c r="FH202" s="392"/>
      <c r="FI202" s="392"/>
      <c r="FJ202" s="392"/>
      <c r="FK202" s="392"/>
      <c r="FL202" s="392"/>
      <c r="FM202" s="392"/>
      <c r="FN202" s="392"/>
      <c r="FO202" s="392"/>
      <c r="FP202" s="392"/>
      <c r="FQ202" s="392"/>
      <c r="FR202" s="392"/>
      <c r="FS202" s="392"/>
      <c r="FT202" s="392"/>
      <c r="FU202" s="392"/>
      <c r="FV202" s="392"/>
      <c r="FW202" s="392"/>
      <c r="FX202" s="392"/>
      <c r="FY202" s="392"/>
      <c r="FZ202" s="392"/>
      <c r="GA202" s="392"/>
      <c r="GB202" s="392"/>
      <c r="GC202" s="392"/>
      <c r="GD202" s="392"/>
      <c r="GE202" s="392"/>
      <c r="GF202" s="392"/>
      <c r="GG202" s="392"/>
      <c r="GH202" s="392"/>
      <c r="GI202" s="392"/>
      <c r="GJ202" s="392"/>
      <c r="GK202" s="392"/>
      <c r="GL202" s="392"/>
      <c r="GM202" s="392"/>
      <c r="GN202" s="392"/>
      <c r="GO202" s="392"/>
      <c r="GP202" s="392"/>
      <c r="GQ202" s="392"/>
      <c r="GR202" s="392"/>
      <c r="GS202" s="392"/>
      <c r="GT202" s="392"/>
      <c r="GU202" s="392"/>
      <c r="GV202" s="392"/>
      <c r="GW202" s="392"/>
      <c r="GX202" s="392"/>
      <c r="GY202" s="392"/>
      <c r="GZ202" s="392"/>
      <c r="HA202" s="392"/>
      <c r="HB202" s="392"/>
      <c r="HC202" s="392"/>
      <c r="HD202" s="392"/>
      <c r="HE202" s="392"/>
      <c r="HF202" s="392"/>
      <c r="HG202" s="392"/>
      <c r="HH202" s="392"/>
      <c r="HI202" s="392"/>
      <c r="HJ202" s="392"/>
      <c r="HK202" s="392"/>
      <c r="HL202" s="392"/>
      <c r="HM202" s="392"/>
      <c r="HN202" s="392"/>
      <c r="HO202" s="392"/>
      <c r="HP202" s="392"/>
      <c r="HQ202" s="392"/>
      <c r="HR202" s="392"/>
      <c r="HS202" s="392"/>
      <c r="HT202" s="392"/>
      <c r="HU202" s="392"/>
      <c r="HV202" s="392"/>
      <c r="HW202" s="392"/>
      <c r="HX202" s="392"/>
      <c r="HY202" s="392"/>
      <c r="HZ202" s="392"/>
      <c r="IA202" s="392"/>
      <c r="IB202" s="392"/>
      <c r="IC202" s="392"/>
      <c r="ID202" s="392"/>
      <c r="IE202" s="392"/>
      <c r="IF202" s="392"/>
      <c r="IG202" s="392"/>
      <c r="IH202" s="392"/>
      <c r="II202" s="392"/>
      <c r="IJ202" s="392"/>
      <c r="IK202" s="392"/>
      <c r="IL202" s="392"/>
      <c r="IM202" s="392"/>
      <c r="IN202" s="392"/>
      <c r="IO202" s="392"/>
      <c r="IP202" s="392"/>
      <c r="IQ202" s="392"/>
      <c r="IR202" s="392"/>
      <c r="IS202" s="392"/>
      <c r="IT202" s="392"/>
      <c r="IU202" s="392"/>
      <c r="IV202" s="392"/>
    </row>
    <row r="203" spans="1:256" ht="31.5">
      <c r="A203" s="392"/>
      <c r="B203" s="581" t="s">
        <v>1706</v>
      </c>
      <c r="C203" s="2327" t="s">
        <v>2091</v>
      </c>
      <c r="D203" s="2328"/>
      <c r="E203" s="2328"/>
      <c r="F203" s="2329"/>
      <c r="G203" s="554" t="s">
        <v>22</v>
      </c>
      <c r="H203" s="392"/>
      <c r="I203" s="392"/>
      <c r="J203" s="392"/>
      <c r="K203" s="392"/>
      <c r="L203" s="392"/>
      <c r="M203" s="392"/>
      <c r="N203" s="392"/>
      <c r="O203" s="392"/>
      <c r="P203" s="392"/>
      <c r="Q203" s="392"/>
      <c r="R203" s="392"/>
      <c r="S203" s="392"/>
      <c r="T203" s="392"/>
      <c r="U203" s="392"/>
      <c r="V203" s="392"/>
      <c r="W203" s="392"/>
      <c r="X203" s="392"/>
      <c r="Y203" s="392"/>
      <c r="Z203" s="392"/>
      <c r="AA203" s="392"/>
      <c r="AB203" s="392"/>
      <c r="AC203" s="392"/>
      <c r="AD203" s="392"/>
      <c r="AE203" s="392"/>
      <c r="AF203" s="392"/>
      <c r="AG203" s="392"/>
      <c r="AH203" s="392"/>
      <c r="AI203" s="392"/>
      <c r="AJ203" s="392"/>
      <c r="AK203" s="392"/>
      <c r="AL203" s="392"/>
      <c r="AM203" s="392"/>
      <c r="AN203" s="392"/>
      <c r="AO203" s="392"/>
      <c r="AP203" s="392"/>
      <c r="AQ203" s="392"/>
      <c r="AR203" s="392"/>
      <c r="AS203" s="392"/>
      <c r="AT203" s="392"/>
      <c r="AU203" s="392"/>
      <c r="AV203" s="392"/>
      <c r="AW203" s="392"/>
      <c r="AX203" s="392"/>
      <c r="AY203" s="392"/>
      <c r="AZ203" s="392"/>
      <c r="BA203" s="392"/>
      <c r="BB203" s="392"/>
      <c r="BC203" s="392"/>
      <c r="BD203" s="392"/>
      <c r="BE203" s="392"/>
      <c r="BF203" s="392"/>
      <c r="BG203" s="392"/>
      <c r="BH203" s="392"/>
      <c r="BI203" s="392"/>
      <c r="BJ203" s="392"/>
      <c r="BK203" s="392"/>
      <c r="BL203" s="392"/>
      <c r="BM203" s="392"/>
      <c r="BN203" s="392"/>
      <c r="BO203" s="392"/>
      <c r="BP203" s="392"/>
      <c r="BQ203" s="392"/>
      <c r="BR203" s="392"/>
      <c r="BS203" s="392"/>
      <c r="BT203" s="392"/>
      <c r="BU203" s="392"/>
      <c r="BV203" s="392"/>
      <c r="BW203" s="392"/>
      <c r="BX203" s="392"/>
      <c r="BY203" s="392"/>
      <c r="BZ203" s="392"/>
      <c r="CA203" s="392"/>
      <c r="CB203" s="392"/>
      <c r="CC203" s="392"/>
      <c r="CD203" s="392"/>
      <c r="CE203" s="392"/>
      <c r="CF203" s="392"/>
      <c r="CG203" s="392"/>
      <c r="CH203" s="392"/>
      <c r="CI203" s="392"/>
      <c r="CJ203" s="392"/>
      <c r="CK203" s="392"/>
      <c r="CL203" s="392"/>
      <c r="CM203" s="392"/>
      <c r="CN203" s="392"/>
      <c r="CO203" s="392"/>
      <c r="CP203" s="392"/>
      <c r="CQ203" s="392"/>
      <c r="CR203" s="392"/>
      <c r="CS203" s="392"/>
      <c r="CT203" s="392"/>
      <c r="CU203" s="392"/>
      <c r="CV203" s="392"/>
      <c r="CW203" s="392"/>
      <c r="CX203" s="392"/>
      <c r="CY203" s="392"/>
      <c r="CZ203" s="392"/>
      <c r="DA203" s="392"/>
      <c r="DB203" s="392"/>
      <c r="DC203" s="392"/>
      <c r="DD203" s="392"/>
      <c r="DE203" s="392"/>
      <c r="DF203" s="392"/>
      <c r="DG203" s="392"/>
      <c r="DH203" s="392"/>
      <c r="DI203" s="392"/>
      <c r="DJ203" s="392"/>
      <c r="DK203" s="392"/>
      <c r="DL203" s="392"/>
      <c r="DM203" s="392"/>
      <c r="DN203" s="392"/>
      <c r="DO203" s="392"/>
      <c r="DP203" s="392"/>
      <c r="DQ203" s="392"/>
      <c r="DR203" s="392"/>
      <c r="DS203" s="392"/>
      <c r="DT203" s="392"/>
      <c r="DU203" s="392"/>
      <c r="DV203" s="392"/>
      <c r="DW203" s="392"/>
      <c r="DX203" s="392"/>
      <c r="DY203" s="392"/>
      <c r="DZ203" s="392"/>
      <c r="EA203" s="392"/>
      <c r="EB203" s="392"/>
      <c r="EC203" s="392"/>
      <c r="ED203" s="392"/>
      <c r="EE203" s="392"/>
      <c r="EF203" s="392"/>
      <c r="EG203" s="392"/>
      <c r="EH203" s="392"/>
      <c r="EI203" s="392"/>
      <c r="EJ203" s="392"/>
      <c r="EK203" s="392"/>
      <c r="EL203" s="392"/>
      <c r="EM203" s="392"/>
      <c r="EN203" s="392"/>
      <c r="EO203" s="392"/>
      <c r="EP203" s="392"/>
      <c r="EQ203" s="392"/>
      <c r="ER203" s="392"/>
      <c r="ES203" s="392"/>
      <c r="ET203" s="392"/>
      <c r="EU203" s="392"/>
      <c r="EV203" s="392"/>
      <c r="EW203" s="392"/>
      <c r="EX203" s="392"/>
      <c r="EY203" s="392"/>
      <c r="EZ203" s="392"/>
      <c r="FA203" s="392"/>
      <c r="FB203" s="392"/>
      <c r="FC203" s="392"/>
      <c r="FD203" s="392"/>
      <c r="FE203" s="392"/>
      <c r="FF203" s="392"/>
      <c r="FG203" s="392"/>
      <c r="FH203" s="392"/>
      <c r="FI203" s="392"/>
      <c r="FJ203" s="392"/>
      <c r="FK203" s="392"/>
      <c r="FL203" s="392"/>
      <c r="FM203" s="392"/>
      <c r="FN203" s="392"/>
      <c r="FO203" s="392"/>
      <c r="FP203" s="392"/>
      <c r="FQ203" s="392"/>
      <c r="FR203" s="392"/>
      <c r="FS203" s="392"/>
      <c r="FT203" s="392"/>
      <c r="FU203" s="392"/>
      <c r="FV203" s="392"/>
      <c r="FW203" s="392"/>
      <c r="FX203" s="392"/>
      <c r="FY203" s="392"/>
      <c r="FZ203" s="392"/>
      <c r="GA203" s="392"/>
      <c r="GB203" s="392"/>
      <c r="GC203" s="392"/>
      <c r="GD203" s="392"/>
      <c r="GE203" s="392"/>
      <c r="GF203" s="392"/>
      <c r="GG203" s="392"/>
      <c r="GH203" s="392"/>
      <c r="GI203" s="392"/>
      <c r="GJ203" s="392"/>
      <c r="GK203" s="392"/>
      <c r="GL203" s="392"/>
      <c r="GM203" s="392"/>
      <c r="GN203" s="392"/>
      <c r="GO203" s="392"/>
      <c r="GP203" s="392"/>
      <c r="GQ203" s="392"/>
      <c r="GR203" s="392"/>
      <c r="GS203" s="392"/>
      <c r="GT203" s="392"/>
      <c r="GU203" s="392"/>
      <c r="GV203" s="392"/>
      <c r="GW203" s="392"/>
      <c r="GX203" s="392"/>
      <c r="GY203" s="392"/>
      <c r="GZ203" s="392"/>
      <c r="HA203" s="392"/>
      <c r="HB203" s="392"/>
      <c r="HC203" s="392"/>
      <c r="HD203" s="392"/>
      <c r="HE203" s="392"/>
      <c r="HF203" s="392"/>
      <c r="HG203" s="392"/>
      <c r="HH203" s="392"/>
      <c r="HI203" s="392"/>
      <c r="HJ203" s="392"/>
      <c r="HK203" s="392"/>
      <c r="HL203" s="392"/>
      <c r="HM203" s="392"/>
      <c r="HN203" s="392"/>
      <c r="HO203" s="392"/>
      <c r="HP203" s="392"/>
      <c r="HQ203" s="392"/>
      <c r="HR203" s="392"/>
      <c r="HS203" s="392"/>
      <c r="HT203" s="392"/>
      <c r="HU203" s="392"/>
      <c r="HV203" s="392"/>
      <c r="HW203" s="392"/>
      <c r="HX203" s="392"/>
      <c r="HY203" s="392"/>
      <c r="HZ203" s="392"/>
      <c r="IA203" s="392"/>
      <c r="IB203" s="392"/>
      <c r="IC203" s="392"/>
      <c r="ID203" s="392"/>
      <c r="IE203" s="392"/>
      <c r="IF203" s="392"/>
      <c r="IG203" s="392"/>
      <c r="IH203" s="392"/>
      <c r="II203" s="392"/>
      <c r="IJ203" s="392"/>
      <c r="IK203" s="392"/>
      <c r="IL203" s="392"/>
      <c r="IM203" s="392"/>
      <c r="IN203" s="392"/>
      <c r="IO203" s="392"/>
      <c r="IP203" s="392"/>
      <c r="IQ203" s="392"/>
      <c r="IR203" s="392"/>
      <c r="IS203" s="392"/>
      <c r="IT203" s="392"/>
      <c r="IU203" s="392"/>
      <c r="IV203" s="392"/>
    </row>
    <row r="204" spans="1:256" ht="31.5">
      <c r="A204" s="392"/>
      <c r="B204" s="366" t="s">
        <v>1708</v>
      </c>
      <c r="C204" s="582" t="s">
        <v>161</v>
      </c>
      <c r="D204" s="582" t="s">
        <v>22</v>
      </c>
      <c r="E204" s="2330" t="s">
        <v>162</v>
      </c>
      <c r="F204" s="2331"/>
      <c r="G204" s="2332"/>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c r="AE204" s="392"/>
      <c r="AF204" s="392"/>
      <c r="AG204" s="392"/>
      <c r="AH204" s="392"/>
      <c r="AI204" s="392"/>
      <c r="AJ204" s="392"/>
      <c r="AK204" s="392"/>
      <c r="AL204" s="392"/>
      <c r="AM204" s="392"/>
      <c r="AN204" s="392"/>
      <c r="AO204" s="392"/>
      <c r="AP204" s="392"/>
      <c r="AQ204" s="392"/>
      <c r="AR204" s="392"/>
      <c r="AS204" s="392"/>
      <c r="AT204" s="392"/>
      <c r="AU204" s="392"/>
      <c r="AV204" s="392"/>
      <c r="AW204" s="392"/>
      <c r="AX204" s="392"/>
      <c r="AY204" s="392"/>
      <c r="AZ204" s="392"/>
      <c r="BA204" s="392"/>
      <c r="BB204" s="392"/>
      <c r="BC204" s="392"/>
      <c r="BD204" s="392"/>
      <c r="BE204" s="392"/>
      <c r="BF204" s="392"/>
      <c r="BG204" s="392"/>
      <c r="BH204" s="392"/>
      <c r="BI204" s="392"/>
      <c r="BJ204" s="392"/>
      <c r="BK204" s="392"/>
      <c r="BL204" s="392"/>
      <c r="BM204" s="392"/>
      <c r="BN204" s="392"/>
      <c r="BO204" s="392"/>
      <c r="BP204" s="392"/>
      <c r="BQ204" s="392"/>
      <c r="BR204" s="392"/>
      <c r="BS204" s="392"/>
      <c r="BT204" s="392"/>
      <c r="BU204" s="392"/>
      <c r="BV204" s="392"/>
      <c r="BW204" s="392"/>
      <c r="BX204" s="392"/>
      <c r="BY204" s="392"/>
      <c r="BZ204" s="392"/>
      <c r="CA204" s="392"/>
      <c r="CB204" s="392"/>
      <c r="CC204" s="392"/>
      <c r="CD204" s="392"/>
      <c r="CE204" s="392"/>
      <c r="CF204" s="392"/>
      <c r="CG204" s="392"/>
      <c r="CH204" s="392"/>
      <c r="CI204" s="392"/>
      <c r="CJ204" s="392"/>
      <c r="CK204" s="392"/>
      <c r="CL204" s="392"/>
      <c r="CM204" s="392"/>
      <c r="CN204" s="392"/>
      <c r="CO204" s="392"/>
      <c r="CP204" s="392"/>
      <c r="CQ204" s="392"/>
      <c r="CR204" s="392"/>
      <c r="CS204" s="392"/>
      <c r="CT204" s="392"/>
      <c r="CU204" s="392"/>
      <c r="CV204" s="392"/>
      <c r="CW204" s="392"/>
      <c r="CX204" s="392"/>
      <c r="CY204" s="392"/>
      <c r="CZ204" s="392"/>
      <c r="DA204" s="392"/>
      <c r="DB204" s="392"/>
      <c r="DC204" s="392"/>
      <c r="DD204" s="392"/>
      <c r="DE204" s="392"/>
      <c r="DF204" s="392"/>
      <c r="DG204" s="392"/>
      <c r="DH204" s="392"/>
      <c r="DI204" s="392"/>
      <c r="DJ204" s="392"/>
      <c r="DK204" s="392"/>
      <c r="DL204" s="392"/>
      <c r="DM204" s="392"/>
      <c r="DN204" s="392"/>
      <c r="DO204" s="392"/>
      <c r="DP204" s="392"/>
      <c r="DQ204" s="392"/>
      <c r="DR204" s="392"/>
      <c r="DS204" s="392"/>
      <c r="DT204" s="392"/>
      <c r="DU204" s="392"/>
      <c r="DV204" s="392"/>
      <c r="DW204" s="392"/>
      <c r="DX204" s="392"/>
      <c r="DY204" s="392"/>
      <c r="DZ204" s="392"/>
      <c r="EA204" s="392"/>
      <c r="EB204" s="392"/>
      <c r="EC204" s="392"/>
      <c r="ED204" s="392"/>
      <c r="EE204" s="392"/>
      <c r="EF204" s="392"/>
      <c r="EG204" s="392"/>
      <c r="EH204" s="392"/>
      <c r="EI204" s="392"/>
      <c r="EJ204" s="392"/>
      <c r="EK204" s="392"/>
      <c r="EL204" s="392"/>
      <c r="EM204" s="392"/>
      <c r="EN204" s="392"/>
      <c r="EO204" s="392"/>
      <c r="EP204" s="392"/>
      <c r="EQ204" s="392"/>
      <c r="ER204" s="392"/>
      <c r="ES204" s="392"/>
      <c r="ET204" s="392"/>
      <c r="EU204" s="392"/>
      <c r="EV204" s="392"/>
      <c r="EW204" s="392"/>
      <c r="EX204" s="392"/>
      <c r="EY204" s="392"/>
      <c r="EZ204" s="392"/>
      <c r="FA204" s="392"/>
      <c r="FB204" s="392"/>
      <c r="FC204" s="392"/>
      <c r="FD204" s="392"/>
      <c r="FE204" s="392"/>
      <c r="FF204" s="392"/>
      <c r="FG204" s="392"/>
      <c r="FH204" s="392"/>
      <c r="FI204" s="392"/>
      <c r="FJ204" s="392"/>
      <c r="FK204" s="392"/>
      <c r="FL204" s="392"/>
      <c r="FM204" s="392"/>
      <c r="FN204" s="392"/>
      <c r="FO204" s="392"/>
      <c r="FP204" s="392"/>
      <c r="FQ204" s="392"/>
      <c r="FR204" s="392"/>
      <c r="FS204" s="392"/>
      <c r="FT204" s="392"/>
      <c r="FU204" s="392"/>
      <c r="FV204" s="392"/>
      <c r="FW204" s="392"/>
      <c r="FX204" s="392"/>
      <c r="FY204" s="392"/>
      <c r="FZ204" s="392"/>
      <c r="GA204" s="392"/>
      <c r="GB204" s="392"/>
      <c r="GC204" s="392"/>
      <c r="GD204" s="392"/>
      <c r="GE204" s="392"/>
      <c r="GF204" s="392"/>
      <c r="GG204" s="392"/>
      <c r="GH204" s="392"/>
      <c r="GI204" s="392"/>
      <c r="GJ204" s="392"/>
      <c r="GK204" s="392"/>
      <c r="GL204" s="392"/>
      <c r="GM204" s="392"/>
      <c r="GN204" s="392"/>
      <c r="GO204" s="392"/>
      <c r="GP204" s="392"/>
      <c r="GQ204" s="392"/>
      <c r="GR204" s="392"/>
      <c r="GS204" s="392"/>
      <c r="GT204" s="392"/>
      <c r="GU204" s="392"/>
      <c r="GV204" s="392"/>
      <c r="GW204" s="392"/>
      <c r="GX204" s="392"/>
      <c r="GY204" s="392"/>
      <c r="GZ204" s="392"/>
      <c r="HA204" s="392"/>
      <c r="HB204" s="392"/>
      <c r="HC204" s="392"/>
      <c r="HD204" s="392"/>
      <c r="HE204" s="392"/>
      <c r="HF204" s="392"/>
      <c r="HG204" s="392"/>
      <c r="HH204" s="392"/>
      <c r="HI204" s="392"/>
      <c r="HJ204" s="392"/>
      <c r="HK204" s="392"/>
      <c r="HL204" s="392"/>
      <c r="HM204" s="392"/>
      <c r="HN204" s="392"/>
      <c r="HO204" s="392"/>
      <c r="HP204" s="392"/>
      <c r="HQ204" s="392"/>
      <c r="HR204" s="392"/>
      <c r="HS204" s="392"/>
      <c r="HT204" s="392"/>
      <c r="HU204" s="392"/>
      <c r="HV204" s="392"/>
      <c r="HW204" s="392"/>
      <c r="HX204" s="392"/>
      <c r="HY204" s="392"/>
      <c r="HZ204" s="392"/>
      <c r="IA204" s="392"/>
      <c r="IB204" s="392"/>
      <c r="IC204" s="392"/>
      <c r="ID204" s="392"/>
      <c r="IE204" s="392"/>
      <c r="IF204" s="392"/>
      <c r="IG204" s="392"/>
      <c r="IH204" s="392"/>
      <c r="II204" s="392"/>
      <c r="IJ204" s="392"/>
      <c r="IK204" s="392"/>
      <c r="IL204" s="392"/>
      <c r="IM204" s="392"/>
      <c r="IN204" s="392"/>
      <c r="IO204" s="392"/>
      <c r="IP204" s="392"/>
      <c r="IQ204" s="392"/>
      <c r="IR204" s="392"/>
      <c r="IS204" s="392"/>
      <c r="IT204" s="392"/>
      <c r="IU204" s="392"/>
      <c r="IV204" s="392"/>
    </row>
    <row r="205" spans="1:256" ht="15.75">
      <c r="A205" s="392"/>
      <c r="B205" s="2333" t="s">
        <v>165</v>
      </c>
      <c r="C205" s="2334"/>
      <c r="D205" s="2334"/>
      <c r="E205" s="2334"/>
      <c r="F205" s="2334"/>
      <c r="G205" s="2335"/>
      <c r="H205" s="392"/>
      <c r="I205" s="392"/>
      <c r="J205" s="392"/>
      <c r="K205" s="392"/>
      <c r="L205" s="392"/>
      <c r="M205" s="392"/>
      <c r="N205" s="392"/>
      <c r="O205" s="392"/>
      <c r="P205" s="392"/>
      <c r="Q205" s="392"/>
      <c r="R205" s="392"/>
      <c r="S205" s="392"/>
      <c r="T205" s="392"/>
      <c r="U205" s="392"/>
      <c r="V205" s="392"/>
      <c r="W205" s="392"/>
      <c r="X205" s="392"/>
      <c r="Y205" s="392"/>
      <c r="Z205" s="392"/>
      <c r="AA205" s="392"/>
      <c r="AB205" s="392"/>
      <c r="AC205" s="392"/>
      <c r="AD205" s="392"/>
      <c r="AE205" s="392"/>
      <c r="AF205" s="392"/>
      <c r="AG205" s="392"/>
      <c r="AH205" s="392"/>
      <c r="AI205" s="392"/>
      <c r="AJ205" s="392"/>
      <c r="AK205" s="392"/>
      <c r="AL205" s="392"/>
      <c r="AM205" s="392"/>
      <c r="AN205" s="392"/>
      <c r="AO205" s="392"/>
      <c r="AP205" s="392"/>
      <c r="AQ205" s="392"/>
      <c r="AR205" s="392"/>
      <c r="AS205" s="392"/>
      <c r="AT205" s="392"/>
      <c r="AU205" s="392"/>
      <c r="AV205" s="392"/>
      <c r="AW205" s="392"/>
      <c r="AX205" s="392"/>
      <c r="AY205" s="392"/>
      <c r="AZ205" s="392"/>
      <c r="BA205" s="392"/>
      <c r="BB205" s="392"/>
      <c r="BC205" s="392"/>
      <c r="BD205" s="392"/>
      <c r="BE205" s="392"/>
      <c r="BF205" s="392"/>
      <c r="BG205" s="392"/>
      <c r="BH205" s="392"/>
      <c r="BI205" s="392"/>
      <c r="BJ205" s="392"/>
      <c r="BK205" s="392"/>
      <c r="BL205" s="392"/>
      <c r="BM205" s="392"/>
      <c r="BN205" s="392"/>
      <c r="BO205" s="392"/>
      <c r="BP205" s="392"/>
      <c r="BQ205" s="392"/>
      <c r="BR205" s="392"/>
      <c r="BS205" s="392"/>
      <c r="BT205" s="392"/>
      <c r="BU205" s="392"/>
      <c r="BV205" s="392"/>
      <c r="BW205" s="392"/>
      <c r="BX205" s="392"/>
      <c r="BY205" s="392"/>
      <c r="BZ205" s="392"/>
      <c r="CA205" s="392"/>
      <c r="CB205" s="392"/>
      <c r="CC205" s="392"/>
      <c r="CD205" s="392"/>
      <c r="CE205" s="392"/>
      <c r="CF205" s="392"/>
      <c r="CG205" s="392"/>
      <c r="CH205" s="392"/>
      <c r="CI205" s="392"/>
      <c r="CJ205" s="392"/>
      <c r="CK205" s="392"/>
      <c r="CL205" s="392"/>
      <c r="CM205" s="392"/>
      <c r="CN205" s="392"/>
      <c r="CO205" s="392"/>
      <c r="CP205" s="392"/>
      <c r="CQ205" s="392"/>
      <c r="CR205" s="392"/>
      <c r="CS205" s="392"/>
      <c r="CT205" s="392"/>
      <c r="CU205" s="392"/>
      <c r="CV205" s="392"/>
      <c r="CW205" s="392"/>
      <c r="CX205" s="392"/>
      <c r="CY205" s="392"/>
      <c r="CZ205" s="392"/>
      <c r="DA205" s="392"/>
      <c r="DB205" s="392"/>
      <c r="DC205" s="392"/>
      <c r="DD205" s="392"/>
      <c r="DE205" s="392"/>
      <c r="DF205" s="392"/>
      <c r="DG205" s="392"/>
      <c r="DH205" s="392"/>
      <c r="DI205" s="392"/>
      <c r="DJ205" s="392"/>
      <c r="DK205" s="392"/>
      <c r="DL205" s="392"/>
      <c r="DM205" s="392"/>
      <c r="DN205" s="392"/>
      <c r="DO205" s="392"/>
      <c r="DP205" s="392"/>
      <c r="DQ205" s="392"/>
      <c r="DR205" s="392"/>
      <c r="DS205" s="392"/>
      <c r="DT205" s="392"/>
      <c r="DU205" s="392"/>
      <c r="DV205" s="392"/>
      <c r="DW205" s="392"/>
      <c r="DX205" s="392"/>
      <c r="DY205" s="392"/>
      <c r="DZ205" s="392"/>
      <c r="EA205" s="392"/>
      <c r="EB205" s="392"/>
      <c r="EC205" s="392"/>
      <c r="ED205" s="392"/>
      <c r="EE205" s="392"/>
      <c r="EF205" s="392"/>
      <c r="EG205" s="392"/>
      <c r="EH205" s="392"/>
      <c r="EI205" s="392"/>
      <c r="EJ205" s="392"/>
      <c r="EK205" s="392"/>
      <c r="EL205" s="392"/>
      <c r="EM205" s="392"/>
      <c r="EN205" s="392"/>
      <c r="EO205" s="392"/>
      <c r="EP205" s="392"/>
      <c r="EQ205" s="392"/>
      <c r="ER205" s="392"/>
      <c r="ES205" s="392"/>
      <c r="ET205" s="392"/>
      <c r="EU205" s="392"/>
      <c r="EV205" s="392"/>
      <c r="EW205" s="392"/>
      <c r="EX205" s="392"/>
      <c r="EY205" s="392"/>
      <c r="EZ205" s="392"/>
      <c r="FA205" s="392"/>
      <c r="FB205" s="392"/>
      <c r="FC205" s="392"/>
      <c r="FD205" s="392"/>
      <c r="FE205" s="392"/>
      <c r="FF205" s="392"/>
      <c r="FG205" s="392"/>
      <c r="FH205" s="392"/>
      <c r="FI205" s="392"/>
      <c r="FJ205" s="392"/>
      <c r="FK205" s="392"/>
      <c r="FL205" s="392"/>
      <c r="FM205" s="392"/>
      <c r="FN205" s="392"/>
      <c r="FO205" s="392"/>
      <c r="FP205" s="392"/>
      <c r="FQ205" s="392"/>
      <c r="FR205" s="392"/>
      <c r="FS205" s="392"/>
      <c r="FT205" s="392"/>
      <c r="FU205" s="392"/>
      <c r="FV205" s="392"/>
      <c r="FW205" s="392"/>
      <c r="FX205" s="392"/>
      <c r="FY205" s="392"/>
      <c r="FZ205" s="392"/>
      <c r="GA205" s="392"/>
      <c r="GB205" s="392"/>
      <c r="GC205" s="392"/>
      <c r="GD205" s="392"/>
      <c r="GE205" s="392"/>
      <c r="GF205" s="392"/>
      <c r="GG205" s="392"/>
      <c r="GH205" s="392"/>
      <c r="GI205" s="392"/>
      <c r="GJ205" s="392"/>
      <c r="GK205" s="392"/>
      <c r="GL205" s="392"/>
      <c r="GM205" s="392"/>
      <c r="GN205" s="392"/>
      <c r="GO205" s="392"/>
      <c r="GP205" s="392"/>
      <c r="GQ205" s="392"/>
      <c r="GR205" s="392"/>
      <c r="GS205" s="392"/>
      <c r="GT205" s="392"/>
      <c r="GU205" s="392"/>
      <c r="GV205" s="392"/>
      <c r="GW205" s="392"/>
      <c r="GX205" s="392"/>
      <c r="GY205" s="392"/>
      <c r="GZ205" s="392"/>
      <c r="HA205" s="392"/>
      <c r="HB205" s="392"/>
      <c r="HC205" s="392"/>
      <c r="HD205" s="392"/>
      <c r="HE205" s="392"/>
      <c r="HF205" s="392"/>
      <c r="HG205" s="392"/>
      <c r="HH205" s="392"/>
      <c r="HI205" s="392"/>
      <c r="HJ205" s="392"/>
      <c r="HK205" s="392"/>
      <c r="HL205" s="392"/>
      <c r="HM205" s="392"/>
      <c r="HN205" s="392"/>
      <c r="HO205" s="392"/>
      <c r="HP205" s="392"/>
      <c r="HQ205" s="392"/>
      <c r="HR205" s="392"/>
      <c r="HS205" s="392"/>
      <c r="HT205" s="392"/>
      <c r="HU205" s="392"/>
      <c r="HV205" s="392"/>
      <c r="HW205" s="392"/>
      <c r="HX205" s="392"/>
      <c r="HY205" s="392"/>
      <c r="HZ205" s="392"/>
      <c r="IA205" s="392"/>
      <c r="IB205" s="392"/>
      <c r="IC205" s="392"/>
      <c r="ID205" s="392"/>
      <c r="IE205" s="392"/>
      <c r="IF205" s="392"/>
      <c r="IG205" s="392"/>
      <c r="IH205" s="392"/>
      <c r="II205" s="392"/>
      <c r="IJ205" s="392"/>
      <c r="IK205" s="392"/>
      <c r="IL205" s="392"/>
      <c r="IM205" s="392"/>
      <c r="IN205" s="392"/>
      <c r="IO205" s="392"/>
      <c r="IP205" s="392"/>
      <c r="IQ205" s="392"/>
      <c r="IR205" s="392"/>
      <c r="IS205" s="392"/>
      <c r="IT205" s="392"/>
      <c r="IU205" s="392"/>
      <c r="IV205" s="392"/>
    </row>
    <row r="206" spans="1:256" ht="15.75">
      <c r="A206" s="392"/>
      <c r="B206" s="2318" t="str">
        <f>C197</f>
        <v>ESCAVAÇÃO MANUAL DE VALA COM PROFUNDIDADE MENOR OU IGUAL A 1,30 M. AF_02/2021</v>
      </c>
      <c r="C206" s="2319"/>
      <c r="D206" s="583" t="s">
        <v>19</v>
      </c>
      <c r="E206" s="2338" t="s">
        <v>1722</v>
      </c>
      <c r="F206" s="2338"/>
      <c r="G206" s="2339"/>
      <c r="H206" s="392"/>
      <c r="I206" s="392"/>
      <c r="J206" s="392"/>
      <c r="K206" s="392"/>
      <c r="L206" s="392"/>
      <c r="M206" s="392"/>
      <c r="N206" s="392"/>
      <c r="O206" s="392"/>
      <c r="P206" s="392"/>
      <c r="Q206" s="392"/>
      <c r="R206" s="392"/>
      <c r="S206" s="392"/>
      <c r="T206" s="392"/>
      <c r="U206" s="392"/>
      <c r="V206" s="392"/>
      <c r="W206" s="392"/>
      <c r="X206" s="392"/>
      <c r="Y206" s="392"/>
      <c r="Z206" s="392"/>
      <c r="AA206" s="392"/>
      <c r="AB206" s="392"/>
      <c r="AC206" s="392"/>
      <c r="AD206" s="392"/>
      <c r="AE206" s="392"/>
      <c r="AF206" s="392"/>
      <c r="AG206" s="392"/>
      <c r="AH206" s="392"/>
      <c r="AI206" s="392"/>
      <c r="AJ206" s="392"/>
      <c r="AK206" s="392"/>
      <c r="AL206" s="392"/>
      <c r="AM206" s="392"/>
      <c r="AN206" s="392"/>
      <c r="AO206" s="392"/>
      <c r="AP206" s="392"/>
      <c r="AQ206" s="392"/>
      <c r="AR206" s="392"/>
      <c r="AS206" s="392"/>
      <c r="AT206" s="392"/>
      <c r="AU206" s="392"/>
      <c r="AV206" s="392"/>
      <c r="AW206" s="392"/>
      <c r="AX206" s="392"/>
      <c r="AY206" s="392"/>
      <c r="AZ206" s="392"/>
      <c r="BA206" s="392"/>
      <c r="BB206" s="392"/>
      <c r="BC206" s="392"/>
      <c r="BD206" s="392"/>
      <c r="BE206" s="392"/>
      <c r="BF206" s="392"/>
      <c r="BG206" s="392"/>
      <c r="BH206" s="392"/>
      <c r="BI206" s="392"/>
      <c r="BJ206" s="392"/>
      <c r="BK206" s="392"/>
      <c r="BL206" s="392"/>
      <c r="BM206" s="392"/>
      <c r="BN206" s="392"/>
      <c r="BO206" s="392"/>
      <c r="BP206" s="392"/>
      <c r="BQ206" s="392"/>
      <c r="BR206" s="392"/>
      <c r="BS206" s="392"/>
      <c r="BT206" s="392"/>
      <c r="BU206" s="392"/>
      <c r="BV206" s="392"/>
      <c r="BW206" s="392"/>
      <c r="BX206" s="392"/>
      <c r="BY206" s="392"/>
      <c r="BZ206" s="392"/>
      <c r="CA206" s="392"/>
      <c r="CB206" s="392"/>
      <c r="CC206" s="392"/>
      <c r="CD206" s="392"/>
      <c r="CE206" s="392"/>
      <c r="CF206" s="392"/>
      <c r="CG206" s="392"/>
      <c r="CH206" s="392"/>
      <c r="CI206" s="392"/>
      <c r="CJ206" s="392"/>
      <c r="CK206" s="392"/>
      <c r="CL206" s="392"/>
      <c r="CM206" s="392"/>
      <c r="CN206" s="392"/>
      <c r="CO206" s="392"/>
      <c r="CP206" s="392"/>
      <c r="CQ206" s="392"/>
      <c r="CR206" s="392"/>
      <c r="CS206" s="392"/>
      <c r="CT206" s="392"/>
      <c r="CU206" s="392"/>
      <c r="CV206" s="392"/>
      <c r="CW206" s="392"/>
      <c r="CX206" s="392"/>
      <c r="CY206" s="392"/>
      <c r="CZ206" s="392"/>
      <c r="DA206" s="392"/>
      <c r="DB206" s="392"/>
      <c r="DC206" s="392"/>
      <c r="DD206" s="392"/>
      <c r="DE206" s="392"/>
      <c r="DF206" s="392"/>
      <c r="DG206" s="392"/>
      <c r="DH206" s="392"/>
      <c r="DI206" s="392"/>
      <c r="DJ206" s="392"/>
      <c r="DK206" s="392"/>
      <c r="DL206" s="392"/>
      <c r="DM206" s="392"/>
      <c r="DN206" s="392"/>
      <c r="DO206" s="392"/>
      <c r="DP206" s="392"/>
      <c r="DQ206" s="392"/>
      <c r="DR206" s="392"/>
      <c r="DS206" s="392"/>
      <c r="DT206" s="392"/>
      <c r="DU206" s="392"/>
      <c r="DV206" s="392"/>
      <c r="DW206" s="392"/>
      <c r="DX206" s="392"/>
      <c r="DY206" s="392"/>
      <c r="DZ206" s="392"/>
      <c r="EA206" s="392"/>
      <c r="EB206" s="392"/>
      <c r="EC206" s="392"/>
      <c r="ED206" s="392"/>
      <c r="EE206" s="392"/>
      <c r="EF206" s="392"/>
      <c r="EG206" s="392"/>
      <c r="EH206" s="392"/>
      <c r="EI206" s="392"/>
      <c r="EJ206" s="392"/>
      <c r="EK206" s="392"/>
      <c r="EL206" s="392"/>
      <c r="EM206" s="392"/>
      <c r="EN206" s="392"/>
      <c r="EO206" s="392"/>
      <c r="EP206" s="392"/>
      <c r="EQ206" s="392"/>
      <c r="ER206" s="392"/>
      <c r="ES206" s="392"/>
      <c r="ET206" s="392"/>
      <c r="EU206" s="392"/>
      <c r="EV206" s="392"/>
      <c r="EW206" s="392"/>
      <c r="EX206" s="392"/>
      <c r="EY206" s="392"/>
      <c r="EZ206" s="392"/>
      <c r="FA206" s="392"/>
      <c r="FB206" s="392"/>
      <c r="FC206" s="392"/>
      <c r="FD206" s="392"/>
      <c r="FE206" s="392"/>
      <c r="FF206" s="392"/>
      <c r="FG206" s="392"/>
      <c r="FH206" s="392"/>
      <c r="FI206" s="392"/>
      <c r="FJ206" s="392"/>
      <c r="FK206" s="392"/>
      <c r="FL206" s="392"/>
      <c r="FM206" s="392"/>
      <c r="FN206" s="392"/>
      <c r="FO206" s="392"/>
      <c r="FP206" s="392"/>
      <c r="FQ206" s="392"/>
      <c r="FR206" s="392"/>
      <c r="FS206" s="392"/>
      <c r="FT206" s="392"/>
      <c r="FU206" s="392"/>
      <c r="FV206" s="392"/>
      <c r="FW206" s="392"/>
      <c r="FX206" s="392"/>
      <c r="FY206" s="392"/>
      <c r="FZ206" s="392"/>
      <c r="GA206" s="392"/>
      <c r="GB206" s="392"/>
      <c r="GC206" s="392"/>
      <c r="GD206" s="392"/>
      <c r="GE206" s="392"/>
      <c r="GF206" s="392"/>
      <c r="GG206" s="392"/>
      <c r="GH206" s="392"/>
      <c r="GI206" s="392"/>
      <c r="GJ206" s="392"/>
      <c r="GK206" s="392"/>
      <c r="GL206" s="392"/>
      <c r="GM206" s="392"/>
      <c r="GN206" s="392"/>
      <c r="GO206" s="392"/>
      <c r="GP206" s="392"/>
      <c r="GQ206" s="392"/>
      <c r="GR206" s="392"/>
      <c r="GS206" s="392"/>
      <c r="GT206" s="392"/>
      <c r="GU206" s="392"/>
      <c r="GV206" s="392"/>
      <c r="GW206" s="392"/>
      <c r="GX206" s="392"/>
      <c r="GY206" s="392"/>
      <c r="GZ206" s="392"/>
      <c r="HA206" s="392"/>
      <c r="HB206" s="392"/>
      <c r="HC206" s="392"/>
      <c r="HD206" s="392"/>
      <c r="HE206" s="392"/>
      <c r="HF206" s="392"/>
      <c r="HG206" s="392"/>
      <c r="HH206" s="392"/>
      <c r="HI206" s="392"/>
      <c r="HJ206" s="392"/>
      <c r="HK206" s="392"/>
      <c r="HL206" s="392"/>
      <c r="HM206" s="392"/>
      <c r="HN206" s="392"/>
      <c r="HO206" s="392"/>
      <c r="HP206" s="392"/>
      <c r="HQ206" s="392"/>
      <c r="HR206" s="392"/>
      <c r="HS206" s="392"/>
      <c r="HT206" s="392"/>
      <c r="HU206" s="392"/>
      <c r="HV206" s="392"/>
      <c r="HW206" s="392"/>
      <c r="HX206" s="392"/>
      <c r="HY206" s="392"/>
      <c r="HZ206" s="392"/>
      <c r="IA206" s="392"/>
      <c r="IB206" s="392"/>
      <c r="IC206" s="392"/>
      <c r="ID206" s="392"/>
      <c r="IE206" s="392"/>
      <c r="IF206" s="392"/>
      <c r="IG206" s="392"/>
      <c r="IH206" s="392"/>
      <c r="II206" s="392"/>
      <c r="IJ206" s="392"/>
      <c r="IK206" s="392"/>
      <c r="IL206" s="392"/>
      <c r="IM206" s="392"/>
      <c r="IN206" s="392"/>
      <c r="IO206" s="392"/>
      <c r="IP206" s="392"/>
      <c r="IQ206" s="392"/>
      <c r="IR206" s="392"/>
      <c r="IS206" s="392"/>
      <c r="IT206" s="392"/>
      <c r="IU206" s="392"/>
      <c r="IV206" s="392"/>
    </row>
    <row r="207" spans="1:256" ht="36" customHeight="1">
      <c r="A207" s="392"/>
      <c r="B207" s="2318" t="str">
        <f>C198</f>
        <v>CONCRETO FCK = 25MPA, TRAÇO 1:2,3:2,7 (EM MASSA SECA DE CIMENTO/ AREIA MÉDIA/ BRITA 1) - PREPARO MECÂNICO COM BETONEIRA 400 L. AF_05/2021</v>
      </c>
      <c r="C207" s="2319"/>
      <c r="D207" s="322" t="s">
        <v>19</v>
      </c>
      <c r="E207" s="2336" t="str">
        <f>E206</f>
        <v>(0,30*0,30*0,30)*4</v>
      </c>
      <c r="F207" s="2336"/>
      <c r="G207" s="2337"/>
      <c r="H207" s="392"/>
      <c r="I207" s="392"/>
      <c r="J207" s="392"/>
      <c r="K207" s="392"/>
      <c r="L207" s="392"/>
      <c r="M207" s="392"/>
      <c r="N207" s="392"/>
      <c r="O207" s="392"/>
      <c r="P207" s="392"/>
      <c r="Q207" s="392"/>
      <c r="R207" s="392"/>
      <c r="S207" s="392"/>
      <c r="T207" s="392"/>
      <c r="U207" s="392"/>
      <c r="V207" s="392"/>
      <c r="W207" s="392"/>
      <c r="X207" s="392"/>
      <c r="Y207" s="392"/>
      <c r="Z207" s="392"/>
      <c r="AA207" s="392"/>
      <c r="AB207" s="392"/>
      <c r="AC207" s="392"/>
      <c r="AD207" s="392"/>
      <c r="AE207" s="392"/>
      <c r="AF207" s="392"/>
      <c r="AG207" s="392"/>
      <c r="AH207" s="392"/>
      <c r="AI207" s="392"/>
      <c r="AJ207" s="392"/>
      <c r="AK207" s="392"/>
      <c r="AL207" s="392"/>
      <c r="AM207" s="392"/>
      <c r="AN207" s="392"/>
      <c r="AO207" s="392"/>
      <c r="AP207" s="392"/>
      <c r="AQ207" s="392"/>
      <c r="AR207" s="392"/>
      <c r="AS207" s="392"/>
      <c r="AT207" s="392"/>
      <c r="AU207" s="392"/>
      <c r="AV207" s="392"/>
      <c r="AW207" s="392"/>
      <c r="AX207" s="392"/>
      <c r="AY207" s="392"/>
      <c r="AZ207" s="392"/>
      <c r="BA207" s="392"/>
      <c r="BB207" s="392"/>
      <c r="BC207" s="392"/>
      <c r="BD207" s="392"/>
      <c r="BE207" s="392"/>
      <c r="BF207" s="392"/>
      <c r="BG207" s="392"/>
      <c r="BH207" s="392"/>
      <c r="BI207" s="392"/>
      <c r="BJ207" s="392"/>
      <c r="BK207" s="392"/>
      <c r="BL207" s="392"/>
      <c r="BM207" s="392"/>
      <c r="BN207" s="392"/>
      <c r="BO207" s="392"/>
      <c r="BP207" s="392"/>
      <c r="BQ207" s="392"/>
      <c r="BR207" s="392"/>
      <c r="BS207" s="392"/>
      <c r="BT207" s="392"/>
      <c r="BU207" s="392"/>
      <c r="BV207" s="392"/>
      <c r="BW207" s="392"/>
      <c r="BX207" s="392"/>
      <c r="BY207" s="392"/>
      <c r="BZ207" s="392"/>
      <c r="CA207" s="392"/>
      <c r="CB207" s="392"/>
      <c r="CC207" s="392"/>
      <c r="CD207" s="392"/>
      <c r="CE207" s="392"/>
      <c r="CF207" s="392"/>
      <c r="CG207" s="392"/>
      <c r="CH207" s="392"/>
      <c r="CI207" s="392"/>
      <c r="CJ207" s="392"/>
      <c r="CK207" s="392"/>
      <c r="CL207" s="392"/>
      <c r="CM207" s="392"/>
      <c r="CN207" s="392"/>
      <c r="CO207" s="392"/>
      <c r="CP207" s="392"/>
      <c r="CQ207" s="392"/>
      <c r="CR207" s="392"/>
      <c r="CS207" s="392"/>
      <c r="CT207" s="392"/>
      <c r="CU207" s="392"/>
      <c r="CV207" s="392"/>
      <c r="CW207" s="392"/>
      <c r="CX207" s="392"/>
      <c r="CY207" s="392"/>
      <c r="CZ207" s="392"/>
      <c r="DA207" s="392"/>
      <c r="DB207" s="392"/>
      <c r="DC207" s="392"/>
      <c r="DD207" s="392"/>
      <c r="DE207" s="392"/>
      <c r="DF207" s="392"/>
      <c r="DG207" s="392"/>
      <c r="DH207" s="392"/>
      <c r="DI207" s="392"/>
      <c r="DJ207" s="392"/>
      <c r="DK207" s="392"/>
      <c r="DL207" s="392"/>
      <c r="DM207" s="392"/>
      <c r="DN207" s="392"/>
      <c r="DO207" s="392"/>
      <c r="DP207" s="392"/>
      <c r="DQ207" s="392"/>
      <c r="DR207" s="392"/>
      <c r="DS207" s="392"/>
      <c r="DT207" s="392"/>
      <c r="DU207" s="392"/>
      <c r="DV207" s="392"/>
      <c r="DW207" s="392"/>
      <c r="DX207" s="392"/>
      <c r="DY207" s="392"/>
      <c r="DZ207" s="392"/>
      <c r="EA207" s="392"/>
      <c r="EB207" s="392"/>
      <c r="EC207" s="392"/>
      <c r="ED207" s="392"/>
      <c r="EE207" s="392"/>
      <c r="EF207" s="392"/>
      <c r="EG207" s="392"/>
      <c r="EH207" s="392"/>
      <c r="EI207" s="392"/>
      <c r="EJ207" s="392"/>
      <c r="EK207" s="392"/>
      <c r="EL207" s="392"/>
      <c r="EM207" s="392"/>
      <c r="EN207" s="392"/>
      <c r="EO207" s="392"/>
      <c r="EP207" s="392"/>
      <c r="EQ207" s="392"/>
      <c r="ER207" s="392"/>
      <c r="ES207" s="392"/>
      <c r="ET207" s="392"/>
      <c r="EU207" s="392"/>
      <c r="EV207" s="392"/>
      <c r="EW207" s="392"/>
      <c r="EX207" s="392"/>
      <c r="EY207" s="392"/>
      <c r="EZ207" s="392"/>
      <c r="FA207" s="392"/>
      <c r="FB207" s="392"/>
      <c r="FC207" s="392"/>
      <c r="FD207" s="392"/>
      <c r="FE207" s="392"/>
      <c r="FF207" s="392"/>
      <c r="FG207" s="392"/>
      <c r="FH207" s="392"/>
      <c r="FI207" s="392"/>
      <c r="FJ207" s="392"/>
      <c r="FK207" s="392"/>
      <c r="FL207" s="392"/>
      <c r="FM207" s="392"/>
      <c r="FN207" s="392"/>
      <c r="FO207" s="392"/>
      <c r="FP207" s="392"/>
      <c r="FQ207" s="392"/>
      <c r="FR207" s="392"/>
      <c r="FS207" s="392"/>
      <c r="FT207" s="392"/>
      <c r="FU207" s="392"/>
      <c r="FV207" s="392"/>
      <c r="FW207" s="392"/>
      <c r="FX207" s="392"/>
      <c r="FY207" s="392"/>
      <c r="FZ207" s="392"/>
      <c r="GA207" s="392"/>
      <c r="GB207" s="392"/>
      <c r="GC207" s="392"/>
      <c r="GD207" s="392"/>
      <c r="GE207" s="392"/>
      <c r="GF207" s="392"/>
      <c r="GG207" s="392"/>
      <c r="GH207" s="392"/>
      <c r="GI207" s="392"/>
      <c r="GJ207" s="392"/>
      <c r="GK207" s="392"/>
      <c r="GL207" s="392"/>
      <c r="GM207" s="392"/>
      <c r="GN207" s="392"/>
      <c r="GO207" s="392"/>
      <c r="GP207" s="392"/>
      <c r="GQ207" s="392"/>
      <c r="GR207" s="392"/>
      <c r="GS207" s="392"/>
      <c r="GT207" s="392"/>
      <c r="GU207" s="392"/>
      <c r="GV207" s="392"/>
      <c r="GW207" s="392"/>
      <c r="GX207" s="392"/>
      <c r="GY207" s="392"/>
      <c r="GZ207" s="392"/>
      <c r="HA207" s="392"/>
      <c r="HB207" s="392"/>
      <c r="HC207" s="392"/>
      <c r="HD207" s="392"/>
      <c r="HE207" s="392"/>
      <c r="HF207" s="392"/>
      <c r="HG207" s="392"/>
      <c r="HH207" s="392"/>
      <c r="HI207" s="392"/>
      <c r="HJ207" s="392"/>
      <c r="HK207" s="392"/>
      <c r="HL207" s="392"/>
      <c r="HM207" s="392"/>
      <c r="HN207" s="392"/>
      <c r="HO207" s="392"/>
      <c r="HP207" s="392"/>
      <c r="HQ207" s="392"/>
      <c r="HR207" s="392"/>
      <c r="HS207" s="392"/>
      <c r="HT207" s="392"/>
      <c r="HU207" s="392"/>
      <c r="HV207" s="392"/>
      <c r="HW207" s="392"/>
      <c r="HX207" s="392"/>
      <c r="HY207" s="392"/>
      <c r="HZ207" s="392"/>
      <c r="IA207" s="392"/>
      <c r="IB207" s="392"/>
      <c r="IC207" s="392"/>
      <c r="ID207" s="392"/>
      <c r="IE207" s="392"/>
      <c r="IF207" s="392"/>
      <c r="IG207" s="392"/>
      <c r="IH207" s="392"/>
      <c r="II207" s="392"/>
      <c r="IJ207" s="392"/>
      <c r="IK207" s="392"/>
      <c r="IL207" s="392"/>
      <c r="IM207" s="392"/>
      <c r="IN207" s="392"/>
      <c r="IO207" s="392"/>
      <c r="IP207" s="392"/>
      <c r="IQ207" s="392"/>
      <c r="IR207" s="392"/>
      <c r="IS207" s="392"/>
      <c r="IT207" s="392"/>
      <c r="IU207" s="392"/>
      <c r="IV207" s="392"/>
    </row>
    <row r="208" spans="1:256" ht="15.75">
      <c r="A208" s="392"/>
      <c r="B208" s="2318" t="e">
        <f>C199</f>
        <v>#N/A</v>
      </c>
      <c r="C208" s="2319"/>
      <c r="D208" s="322" t="s">
        <v>19</v>
      </c>
      <c r="E208" s="2336" t="str">
        <f>E206</f>
        <v>(0,30*0,30*0,30)*4</v>
      </c>
      <c r="F208" s="2336"/>
      <c r="G208" s="2337"/>
      <c r="H208" s="392"/>
      <c r="I208" s="392"/>
      <c r="J208" s="392"/>
      <c r="K208" s="392"/>
      <c r="L208" s="392"/>
      <c r="M208" s="392"/>
      <c r="N208" s="392"/>
      <c r="O208" s="392"/>
      <c r="P208" s="392"/>
      <c r="Q208" s="392"/>
      <c r="R208" s="392"/>
      <c r="S208" s="392"/>
      <c r="T208" s="392"/>
      <c r="U208" s="392"/>
      <c r="V208" s="392"/>
      <c r="W208" s="392"/>
      <c r="X208" s="392"/>
      <c r="Y208" s="392"/>
      <c r="Z208" s="392"/>
      <c r="AA208" s="392"/>
      <c r="AB208" s="392"/>
      <c r="AC208" s="392"/>
      <c r="AD208" s="392"/>
      <c r="AE208" s="392"/>
      <c r="AF208" s="392"/>
      <c r="AG208" s="392"/>
      <c r="AH208" s="392"/>
      <c r="AI208" s="392"/>
      <c r="AJ208" s="392"/>
      <c r="AK208" s="392"/>
      <c r="AL208" s="392"/>
      <c r="AM208" s="392"/>
      <c r="AN208" s="392"/>
      <c r="AO208" s="392"/>
      <c r="AP208" s="392"/>
      <c r="AQ208" s="392"/>
      <c r="AR208" s="392"/>
      <c r="AS208" s="392"/>
      <c r="AT208" s="392"/>
      <c r="AU208" s="392"/>
      <c r="AV208" s="392"/>
      <c r="AW208" s="392"/>
      <c r="AX208" s="392"/>
      <c r="AY208" s="392"/>
      <c r="AZ208" s="392"/>
      <c r="BA208" s="392"/>
      <c r="BB208" s="392"/>
      <c r="BC208" s="392"/>
      <c r="BD208" s="392"/>
      <c r="BE208" s="392"/>
      <c r="BF208" s="392"/>
      <c r="BG208" s="392"/>
      <c r="BH208" s="392"/>
      <c r="BI208" s="392"/>
      <c r="BJ208" s="392"/>
      <c r="BK208" s="392"/>
      <c r="BL208" s="392"/>
      <c r="BM208" s="392"/>
      <c r="BN208" s="392"/>
      <c r="BO208" s="392"/>
      <c r="BP208" s="392"/>
      <c r="BQ208" s="392"/>
      <c r="BR208" s="392"/>
      <c r="BS208" s="392"/>
      <c r="BT208" s="392"/>
      <c r="BU208" s="392"/>
      <c r="BV208" s="392"/>
      <c r="BW208" s="392"/>
      <c r="BX208" s="392"/>
      <c r="BY208" s="392"/>
      <c r="BZ208" s="392"/>
      <c r="CA208" s="392"/>
      <c r="CB208" s="392"/>
      <c r="CC208" s="392"/>
      <c r="CD208" s="392"/>
      <c r="CE208" s="392"/>
      <c r="CF208" s="392"/>
      <c r="CG208" s="392"/>
      <c r="CH208" s="392"/>
      <c r="CI208" s="392"/>
      <c r="CJ208" s="392"/>
      <c r="CK208" s="392"/>
      <c r="CL208" s="392"/>
      <c r="CM208" s="392"/>
      <c r="CN208" s="392"/>
      <c r="CO208" s="392"/>
      <c r="CP208" s="392"/>
      <c r="CQ208" s="392"/>
      <c r="CR208" s="392"/>
      <c r="CS208" s="392"/>
      <c r="CT208" s="392"/>
      <c r="CU208" s="392"/>
      <c r="CV208" s="392"/>
      <c r="CW208" s="392"/>
      <c r="CX208" s="392"/>
      <c r="CY208" s="392"/>
      <c r="CZ208" s="392"/>
      <c r="DA208" s="392"/>
      <c r="DB208" s="392"/>
      <c r="DC208" s="392"/>
      <c r="DD208" s="392"/>
      <c r="DE208" s="392"/>
      <c r="DF208" s="392"/>
      <c r="DG208" s="392"/>
      <c r="DH208" s="392"/>
      <c r="DI208" s="392"/>
      <c r="DJ208" s="392"/>
      <c r="DK208" s="392"/>
      <c r="DL208" s="392"/>
      <c r="DM208" s="392"/>
      <c r="DN208" s="392"/>
      <c r="DO208" s="392"/>
      <c r="DP208" s="392"/>
      <c r="DQ208" s="392"/>
      <c r="DR208" s="392"/>
      <c r="DS208" s="392"/>
      <c r="DT208" s="392"/>
      <c r="DU208" s="392"/>
      <c r="DV208" s="392"/>
      <c r="DW208" s="392"/>
      <c r="DX208" s="392"/>
      <c r="DY208" s="392"/>
      <c r="DZ208" s="392"/>
      <c r="EA208" s="392"/>
      <c r="EB208" s="392"/>
      <c r="EC208" s="392"/>
      <c r="ED208" s="392"/>
      <c r="EE208" s="392"/>
      <c r="EF208" s="392"/>
      <c r="EG208" s="392"/>
      <c r="EH208" s="392"/>
      <c r="EI208" s="392"/>
      <c r="EJ208" s="392"/>
      <c r="EK208" s="392"/>
      <c r="EL208" s="392"/>
      <c r="EM208" s="392"/>
      <c r="EN208" s="392"/>
      <c r="EO208" s="392"/>
      <c r="EP208" s="392"/>
      <c r="EQ208" s="392"/>
      <c r="ER208" s="392"/>
      <c r="ES208" s="392"/>
      <c r="ET208" s="392"/>
      <c r="EU208" s="392"/>
      <c r="EV208" s="392"/>
      <c r="EW208" s="392"/>
      <c r="EX208" s="392"/>
      <c r="EY208" s="392"/>
      <c r="EZ208" s="392"/>
      <c r="FA208" s="392"/>
      <c r="FB208" s="392"/>
      <c r="FC208" s="392"/>
      <c r="FD208" s="392"/>
      <c r="FE208" s="392"/>
      <c r="FF208" s="392"/>
      <c r="FG208" s="392"/>
      <c r="FH208" s="392"/>
      <c r="FI208" s="392"/>
      <c r="FJ208" s="392"/>
      <c r="FK208" s="392"/>
      <c r="FL208" s="392"/>
      <c r="FM208" s="392"/>
      <c r="FN208" s="392"/>
      <c r="FO208" s="392"/>
      <c r="FP208" s="392"/>
      <c r="FQ208" s="392"/>
      <c r="FR208" s="392"/>
      <c r="FS208" s="392"/>
      <c r="FT208" s="392"/>
      <c r="FU208" s="392"/>
      <c r="FV208" s="392"/>
      <c r="FW208" s="392"/>
      <c r="FX208" s="392"/>
      <c r="FY208" s="392"/>
      <c r="FZ208" s="392"/>
      <c r="GA208" s="392"/>
      <c r="GB208" s="392"/>
      <c r="GC208" s="392"/>
      <c r="GD208" s="392"/>
      <c r="GE208" s="392"/>
      <c r="GF208" s="392"/>
      <c r="GG208" s="392"/>
      <c r="GH208" s="392"/>
      <c r="GI208" s="392"/>
      <c r="GJ208" s="392"/>
      <c r="GK208" s="392"/>
      <c r="GL208" s="392"/>
      <c r="GM208" s="392"/>
      <c r="GN208" s="392"/>
      <c r="GO208" s="392"/>
      <c r="GP208" s="392"/>
      <c r="GQ208" s="392"/>
      <c r="GR208" s="392"/>
      <c r="GS208" s="392"/>
      <c r="GT208" s="392"/>
      <c r="GU208" s="392"/>
      <c r="GV208" s="392"/>
      <c r="GW208" s="392"/>
      <c r="GX208" s="392"/>
      <c r="GY208" s="392"/>
      <c r="GZ208" s="392"/>
      <c r="HA208" s="392"/>
      <c r="HB208" s="392"/>
      <c r="HC208" s="392"/>
      <c r="HD208" s="392"/>
      <c r="HE208" s="392"/>
      <c r="HF208" s="392"/>
      <c r="HG208" s="392"/>
      <c r="HH208" s="392"/>
      <c r="HI208" s="392"/>
      <c r="HJ208" s="392"/>
      <c r="HK208" s="392"/>
      <c r="HL208" s="392"/>
      <c r="HM208" s="392"/>
      <c r="HN208" s="392"/>
      <c r="HO208" s="392"/>
      <c r="HP208" s="392"/>
      <c r="HQ208" s="392"/>
      <c r="HR208" s="392"/>
      <c r="HS208" s="392"/>
      <c r="HT208" s="392"/>
      <c r="HU208" s="392"/>
      <c r="HV208" s="392"/>
      <c r="HW208" s="392"/>
      <c r="HX208" s="392"/>
      <c r="HY208" s="392"/>
      <c r="HZ208" s="392"/>
      <c r="IA208" s="392"/>
      <c r="IB208" s="392"/>
      <c r="IC208" s="392"/>
      <c r="ID208" s="392"/>
      <c r="IE208" s="392"/>
      <c r="IF208" s="392"/>
      <c r="IG208" s="392"/>
      <c r="IH208" s="392"/>
      <c r="II208" s="392"/>
      <c r="IJ208" s="392"/>
      <c r="IK208" s="392"/>
      <c r="IL208" s="392"/>
      <c r="IM208" s="392"/>
      <c r="IN208" s="392"/>
      <c r="IO208" s="392"/>
      <c r="IP208" s="392"/>
      <c r="IQ208" s="392"/>
      <c r="IR208" s="392"/>
      <c r="IS208" s="392"/>
      <c r="IT208" s="392"/>
      <c r="IU208" s="392"/>
      <c r="IV208" s="392"/>
    </row>
    <row r="209" spans="1:256" ht="13.5" thickBot="1">
      <c r="A209" s="392"/>
      <c r="B209" s="448"/>
      <c r="C209" s="448"/>
      <c r="D209" s="448"/>
      <c r="E209" s="448"/>
      <c r="F209" s="448"/>
      <c r="G209" s="448"/>
      <c r="H209" s="392"/>
      <c r="I209" s="392"/>
      <c r="J209" s="392"/>
      <c r="K209" s="392"/>
      <c r="L209" s="392"/>
      <c r="M209" s="392"/>
      <c r="N209" s="392"/>
      <c r="O209" s="392"/>
      <c r="P209" s="392"/>
      <c r="Q209" s="392"/>
      <c r="R209" s="392"/>
      <c r="S209" s="392"/>
      <c r="T209" s="392"/>
      <c r="U209" s="392"/>
      <c r="V209" s="392"/>
      <c r="W209" s="392"/>
      <c r="X209" s="392"/>
      <c r="Y209" s="392"/>
      <c r="Z209" s="392"/>
      <c r="AA209" s="392"/>
      <c r="AB209" s="392"/>
      <c r="AC209" s="392"/>
      <c r="AD209" s="392"/>
      <c r="AE209" s="392"/>
      <c r="AF209" s="392"/>
      <c r="AG209" s="392"/>
      <c r="AH209" s="392"/>
      <c r="AI209" s="392"/>
      <c r="AJ209" s="392"/>
      <c r="AK209" s="392"/>
      <c r="AL209" s="392"/>
      <c r="AM209" s="392"/>
      <c r="AN209" s="392"/>
      <c r="AO209" s="392"/>
      <c r="AP209" s="392"/>
      <c r="AQ209" s="392"/>
      <c r="AR209" s="392"/>
      <c r="AS209" s="392"/>
      <c r="AT209" s="392"/>
      <c r="AU209" s="392"/>
      <c r="AV209" s="392"/>
      <c r="AW209" s="392"/>
      <c r="AX209" s="392"/>
      <c r="AY209" s="392"/>
      <c r="AZ209" s="392"/>
      <c r="BA209" s="392"/>
      <c r="BB209" s="392"/>
      <c r="BC209" s="392"/>
      <c r="BD209" s="392"/>
      <c r="BE209" s="392"/>
      <c r="BF209" s="392"/>
      <c r="BG209" s="392"/>
      <c r="BH209" s="392"/>
      <c r="BI209" s="392"/>
      <c r="BJ209" s="392"/>
      <c r="BK209" s="392"/>
      <c r="BL209" s="392"/>
      <c r="BM209" s="392"/>
      <c r="BN209" s="392"/>
      <c r="BO209" s="392"/>
      <c r="BP209" s="392"/>
      <c r="BQ209" s="392"/>
      <c r="BR209" s="392"/>
      <c r="BS209" s="392"/>
      <c r="BT209" s="392"/>
      <c r="BU209" s="392"/>
      <c r="BV209" s="392"/>
      <c r="BW209" s="392"/>
      <c r="BX209" s="392"/>
      <c r="BY209" s="392"/>
      <c r="BZ209" s="392"/>
      <c r="CA209" s="392"/>
      <c r="CB209" s="392"/>
      <c r="CC209" s="392"/>
      <c r="CD209" s="392"/>
      <c r="CE209" s="392"/>
      <c r="CF209" s="392"/>
      <c r="CG209" s="392"/>
      <c r="CH209" s="392"/>
      <c r="CI209" s="392"/>
      <c r="CJ209" s="392"/>
      <c r="CK209" s="392"/>
      <c r="CL209" s="392"/>
      <c r="CM209" s="392"/>
      <c r="CN209" s="392"/>
      <c r="CO209" s="392"/>
      <c r="CP209" s="392"/>
      <c r="CQ209" s="392"/>
      <c r="CR209" s="392"/>
      <c r="CS209" s="392"/>
      <c r="CT209" s="392"/>
      <c r="CU209" s="392"/>
      <c r="CV209" s="392"/>
      <c r="CW209" s="392"/>
      <c r="CX209" s="392"/>
      <c r="CY209" s="392"/>
      <c r="CZ209" s="392"/>
      <c r="DA209" s="392"/>
      <c r="DB209" s="392"/>
      <c r="DC209" s="392"/>
      <c r="DD209" s="392"/>
      <c r="DE209" s="392"/>
      <c r="DF209" s="392"/>
      <c r="DG209" s="392"/>
      <c r="DH209" s="392"/>
      <c r="DI209" s="392"/>
      <c r="DJ209" s="392"/>
      <c r="DK209" s="392"/>
      <c r="DL209" s="392"/>
      <c r="DM209" s="392"/>
      <c r="DN209" s="392"/>
      <c r="DO209" s="392"/>
      <c r="DP209" s="392"/>
      <c r="DQ209" s="392"/>
      <c r="DR209" s="392"/>
      <c r="DS209" s="392"/>
      <c r="DT209" s="392"/>
      <c r="DU209" s="392"/>
      <c r="DV209" s="392"/>
      <c r="DW209" s="392"/>
      <c r="DX209" s="392"/>
      <c r="DY209" s="392"/>
      <c r="DZ209" s="392"/>
      <c r="EA209" s="392"/>
      <c r="EB209" s="392"/>
      <c r="EC209" s="392"/>
      <c r="ED209" s="392"/>
      <c r="EE209" s="392"/>
      <c r="EF209" s="392"/>
      <c r="EG209" s="392"/>
      <c r="EH209" s="392"/>
      <c r="EI209" s="392"/>
      <c r="EJ209" s="392"/>
      <c r="EK209" s="392"/>
      <c r="EL209" s="392"/>
      <c r="EM209" s="392"/>
      <c r="EN209" s="392"/>
      <c r="EO209" s="392"/>
      <c r="EP209" s="392"/>
      <c r="EQ209" s="392"/>
      <c r="ER209" s="392"/>
      <c r="ES209" s="392"/>
      <c r="ET209" s="392"/>
      <c r="EU209" s="392"/>
      <c r="EV209" s="392"/>
      <c r="EW209" s="392"/>
      <c r="EX209" s="392"/>
      <c r="EY209" s="392"/>
      <c r="EZ209" s="392"/>
      <c r="FA209" s="392"/>
      <c r="FB209" s="392"/>
      <c r="FC209" s="392"/>
      <c r="FD209" s="392"/>
      <c r="FE209" s="392"/>
      <c r="FF209" s="392"/>
      <c r="FG209" s="392"/>
      <c r="FH209" s="392"/>
      <c r="FI209" s="392"/>
      <c r="FJ209" s="392"/>
      <c r="FK209" s="392"/>
      <c r="FL209" s="392"/>
      <c r="FM209" s="392"/>
      <c r="FN209" s="392"/>
      <c r="FO209" s="392"/>
      <c r="FP209" s="392"/>
      <c r="FQ209" s="392"/>
      <c r="FR209" s="392"/>
      <c r="FS209" s="392"/>
      <c r="FT209" s="392"/>
      <c r="FU209" s="392"/>
      <c r="FV209" s="392"/>
      <c r="FW209" s="392"/>
      <c r="FX209" s="392"/>
      <c r="FY209" s="392"/>
      <c r="FZ209" s="392"/>
      <c r="GA209" s="392"/>
      <c r="GB209" s="392"/>
      <c r="GC209" s="392"/>
      <c r="GD209" s="392"/>
      <c r="GE209" s="392"/>
      <c r="GF209" s="392"/>
      <c r="GG209" s="392"/>
      <c r="GH209" s="392"/>
      <c r="GI209" s="392"/>
      <c r="GJ209" s="392"/>
      <c r="GK209" s="392"/>
      <c r="GL209" s="392"/>
      <c r="GM209" s="392"/>
      <c r="GN209" s="392"/>
      <c r="GO209" s="392"/>
      <c r="GP209" s="392"/>
      <c r="GQ209" s="392"/>
      <c r="GR209" s="392"/>
      <c r="GS209" s="392"/>
      <c r="GT209" s="392"/>
      <c r="GU209" s="392"/>
      <c r="GV209" s="392"/>
      <c r="GW209" s="392"/>
      <c r="GX209" s="392"/>
      <c r="GY209" s="392"/>
      <c r="GZ209" s="392"/>
      <c r="HA209" s="392"/>
      <c r="HB209" s="392"/>
      <c r="HC209" s="392"/>
      <c r="HD209" s="392"/>
      <c r="HE209" s="392"/>
      <c r="HF209" s="392"/>
      <c r="HG209" s="392"/>
      <c r="HH209" s="392"/>
      <c r="HI209" s="392"/>
      <c r="HJ209" s="392"/>
      <c r="HK209" s="392"/>
      <c r="HL209" s="392"/>
      <c r="HM209" s="392"/>
      <c r="HN209" s="392"/>
      <c r="HO209" s="392"/>
      <c r="HP209" s="392"/>
      <c r="HQ209" s="392"/>
      <c r="HR209" s="392"/>
      <c r="HS209" s="392"/>
      <c r="HT209" s="392"/>
      <c r="HU209" s="392"/>
      <c r="HV209" s="392"/>
      <c r="HW209" s="392"/>
      <c r="HX209" s="392"/>
      <c r="HY209" s="392"/>
      <c r="HZ209" s="392"/>
      <c r="IA209" s="392"/>
      <c r="IB209" s="392"/>
      <c r="IC209" s="392"/>
      <c r="ID209" s="392"/>
      <c r="IE209" s="392"/>
      <c r="IF209" s="392"/>
      <c r="IG209" s="392"/>
      <c r="IH209" s="392"/>
      <c r="II209" s="392"/>
      <c r="IJ209" s="392"/>
      <c r="IK209" s="392"/>
      <c r="IL209" s="392"/>
      <c r="IM209" s="392"/>
      <c r="IN209" s="392"/>
      <c r="IO209" s="392"/>
      <c r="IP209" s="392"/>
      <c r="IQ209" s="392"/>
      <c r="IR209" s="392"/>
      <c r="IS209" s="392"/>
      <c r="IT209" s="392"/>
      <c r="IU209" s="392"/>
      <c r="IV209" s="392"/>
    </row>
    <row r="210" spans="1:256" ht="15.75">
      <c r="A210" s="392"/>
      <c r="B210" s="430" t="s">
        <v>13999</v>
      </c>
      <c r="C210" s="431" t="s">
        <v>637</v>
      </c>
      <c r="D210" s="431"/>
      <c r="E210" s="431"/>
      <c r="F210" s="431"/>
      <c r="G210" s="432" t="s">
        <v>22</v>
      </c>
      <c r="H210" s="392"/>
      <c r="I210" s="392"/>
      <c r="J210" s="392"/>
      <c r="K210" s="392"/>
      <c r="L210" s="392"/>
      <c r="M210" s="392"/>
      <c r="N210" s="392"/>
      <c r="O210" s="392"/>
      <c r="P210" s="392"/>
      <c r="Q210" s="392"/>
      <c r="R210" s="392"/>
      <c r="S210" s="392"/>
      <c r="T210" s="392"/>
      <c r="U210" s="392"/>
      <c r="V210" s="392"/>
      <c r="W210" s="392"/>
      <c r="X210" s="392"/>
      <c r="Y210" s="392"/>
      <c r="Z210" s="392"/>
      <c r="AA210" s="392"/>
      <c r="AB210" s="392"/>
      <c r="AC210" s="392"/>
      <c r="AD210" s="392"/>
      <c r="AE210" s="392"/>
      <c r="AF210" s="392"/>
      <c r="AG210" s="392"/>
      <c r="AH210" s="392"/>
      <c r="AI210" s="392"/>
      <c r="AJ210" s="392"/>
      <c r="AK210" s="392"/>
      <c r="AL210" s="392"/>
      <c r="AM210" s="392"/>
      <c r="AN210" s="392"/>
      <c r="AO210" s="392"/>
      <c r="AP210" s="392"/>
      <c r="AQ210" s="392"/>
      <c r="AR210" s="392"/>
      <c r="AS210" s="392"/>
      <c r="AT210" s="392"/>
      <c r="AU210" s="392"/>
      <c r="AV210" s="392"/>
      <c r="AW210" s="392"/>
      <c r="AX210" s="392"/>
      <c r="AY210" s="392"/>
      <c r="AZ210" s="392"/>
      <c r="BA210" s="392"/>
      <c r="BB210" s="392"/>
      <c r="BC210" s="392"/>
      <c r="BD210" s="392"/>
      <c r="BE210" s="392"/>
      <c r="BF210" s="392"/>
      <c r="BG210" s="392"/>
      <c r="BH210" s="392"/>
      <c r="BI210" s="392"/>
      <c r="BJ210" s="392"/>
      <c r="BK210" s="392"/>
      <c r="BL210" s="392"/>
      <c r="BM210" s="392"/>
      <c r="BN210" s="392"/>
      <c r="BO210" s="392"/>
      <c r="BP210" s="392"/>
      <c r="BQ210" s="392"/>
      <c r="BR210" s="392"/>
      <c r="BS210" s="392"/>
      <c r="BT210" s="392"/>
      <c r="BU210" s="392"/>
      <c r="BV210" s="392"/>
      <c r="BW210" s="392"/>
      <c r="BX210" s="392"/>
      <c r="BY210" s="392"/>
      <c r="BZ210" s="392"/>
      <c r="CA210" s="392"/>
      <c r="CB210" s="392"/>
      <c r="CC210" s="392"/>
      <c r="CD210" s="392"/>
      <c r="CE210" s="392"/>
      <c r="CF210" s="392"/>
      <c r="CG210" s="392"/>
      <c r="CH210" s="392"/>
      <c r="CI210" s="392"/>
      <c r="CJ210" s="392"/>
      <c r="CK210" s="392"/>
      <c r="CL210" s="392"/>
      <c r="CM210" s="392"/>
      <c r="CN210" s="392"/>
      <c r="CO210" s="392"/>
      <c r="CP210" s="392"/>
      <c r="CQ210" s="392"/>
      <c r="CR210" s="392"/>
      <c r="CS210" s="392"/>
      <c r="CT210" s="392"/>
      <c r="CU210" s="392"/>
      <c r="CV210" s="392"/>
      <c r="CW210" s="392"/>
      <c r="CX210" s="392"/>
      <c r="CY210" s="392"/>
      <c r="CZ210" s="392"/>
      <c r="DA210" s="392"/>
      <c r="DB210" s="392"/>
      <c r="DC210" s="392"/>
      <c r="DD210" s="392"/>
      <c r="DE210" s="392"/>
      <c r="DF210" s="392"/>
      <c r="DG210" s="392"/>
      <c r="DH210" s="392"/>
      <c r="DI210" s="392"/>
      <c r="DJ210" s="392"/>
      <c r="DK210" s="392"/>
      <c r="DL210" s="392"/>
      <c r="DM210" s="392"/>
      <c r="DN210" s="392"/>
      <c r="DO210" s="392"/>
      <c r="DP210" s="392"/>
      <c r="DQ210" s="392"/>
      <c r="DR210" s="392"/>
      <c r="DS210" s="392"/>
      <c r="DT210" s="392"/>
      <c r="DU210" s="392"/>
      <c r="DV210" s="392"/>
      <c r="DW210" s="392"/>
      <c r="DX210" s="392"/>
      <c r="DY210" s="392"/>
      <c r="DZ210" s="392"/>
      <c r="EA210" s="392"/>
      <c r="EB210" s="392"/>
      <c r="EC210" s="392"/>
      <c r="ED210" s="392"/>
      <c r="EE210" s="392"/>
      <c r="EF210" s="392"/>
      <c r="EG210" s="392"/>
      <c r="EH210" s="392"/>
      <c r="EI210" s="392"/>
      <c r="EJ210" s="392"/>
      <c r="EK210" s="392"/>
      <c r="EL210" s="392"/>
      <c r="EM210" s="392"/>
      <c r="EN210" s="392"/>
      <c r="EO210" s="392"/>
      <c r="EP210" s="392"/>
      <c r="EQ210" s="392"/>
      <c r="ER210" s="392"/>
      <c r="ES210" s="392"/>
      <c r="ET210" s="392"/>
      <c r="EU210" s="392"/>
      <c r="EV210" s="392"/>
      <c r="EW210" s="392"/>
      <c r="EX210" s="392"/>
      <c r="EY210" s="392"/>
      <c r="EZ210" s="392"/>
      <c r="FA210" s="392"/>
      <c r="FB210" s="392"/>
      <c r="FC210" s="392"/>
      <c r="FD210" s="392"/>
      <c r="FE210" s="392"/>
      <c r="FF210" s="392"/>
      <c r="FG210" s="392"/>
      <c r="FH210" s="392"/>
      <c r="FI210" s="392"/>
      <c r="FJ210" s="392"/>
      <c r="FK210" s="392"/>
      <c r="FL210" s="392"/>
      <c r="FM210" s="392"/>
      <c r="FN210" s="392"/>
      <c r="FO210" s="392"/>
      <c r="FP210" s="392"/>
      <c r="FQ210" s="392"/>
      <c r="FR210" s="392"/>
      <c r="FS210" s="392"/>
      <c r="FT210" s="392"/>
      <c r="FU210" s="392"/>
      <c r="FV210" s="392"/>
      <c r="FW210" s="392"/>
      <c r="FX210" s="392"/>
      <c r="FY210" s="392"/>
      <c r="FZ210" s="392"/>
      <c r="GA210" s="392"/>
      <c r="GB210" s="392"/>
      <c r="GC210" s="392"/>
      <c r="GD210" s="392"/>
      <c r="GE210" s="392"/>
      <c r="GF210" s="392"/>
      <c r="GG210" s="392"/>
      <c r="GH210" s="392"/>
      <c r="GI210" s="392"/>
      <c r="GJ210" s="392"/>
      <c r="GK210" s="392"/>
      <c r="GL210" s="392"/>
      <c r="GM210" s="392"/>
      <c r="GN210" s="392"/>
      <c r="GO210" s="392"/>
      <c r="GP210" s="392"/>
      <c r="GQ210" s="392"/>
      <c r="GR210" s="392"/>
      <c r="GS210" s="392"/>
      <c r="GT210" s="392"/>
      <c r="GU210" s="392"/>
      <c r="GV210" s="392"/>
      <c r="GW210" s="392"/>
      <c r="GX210" s="392"/>
      <c r="GY210" s="392"/>
      <c r="GZ210" s="392"/>
      <c r="HA210" s="392"/>
      <c r="HB210" s="392"/>
      <c r="HC210" s="392"/>
      <c r="HD210" s="392"/>
      <c r="HE210" s="392"/>
      <c r="HF210" s="392"/>
      <c r="HG210" s="392"/>
      <c r="HH210" s="392"/>
      <c r="HI210" s="392"/>
      <c r="HJ210" s="392"/>
      <c r="HK210" s="392"/>
      <c r="HL210" s="392"/>
      <c r="HM210" s="392"/>
      <c r="HN210" s="392"/>
      <c r="HO210" s="392"/>
      <c r="HP210" s="392"/>
      <c r="HQ210" s="392"/>
      <c r="HR210" s="392"/>
      <c r="HS210" s="392"/>
      <c r="HT210" s="392"/>
      <c r="HU210" s="392"/>
      <c r="HV210" s="392"/>
      <c r="HW210" s="392"/>
      <c r="HX210" s="392"/>
      <c r="HY210" s="392"/>
      <c r="HZ210" s="392"/>
      <c r="IA210" s="392"/>
      <c r="IB210" s="392"/>
      <c r="IC210" s="392"/>
      <c r="ID210" s="392"/>
      <c r="IE210" s="392"/>
      <c r="IF210" s="392"/>
      <c r="IG210" s="392"/>
      <c r="IH210" s="392"/>
      <c r="II210" s="392"/>
      <c r="IJ210" s="392"/>
      <c r="IK210" s="392"/>
      <c r="IL210" s="392"/>
      <c r="IM210" s="392"/>
      <c r="IN210" s="392"/>
      <c r="IO210" s="392"/>
      <c r="IP210" s="392"/>
      <c r="IQ210" s="392"/>
      <c r="IR210" s="392"/>
      <c r="IS210" s="392"/>
      <c r="IT210" s="392"/>
      <c r="IU210" s="392"/>
      <c r="IV210" s="392"/>
    </row>
    <row r="211" spans="1:256" ht="31.5">
      <c r="A211" s="392"/>
      <c r="B211" s="433" t="s">
        <v>197</v>
      </c>
      <c r="C211" s="232" t="s">
        <v>161</v>
      </c>
      <c r="D211" s="232" t="s">
        <v>22</v>
      </c>
      <c r="E211" s="232" t="s">
        <v>162</v>
      </c>
      <c r="F211" s="233" t="s">
        <v>186</v>
      </c>
      <c r="G211" s="234" t="s">
        <v>187</v>
      </c>
      <c r="H211" s="392"/>
      <c r="I211" s="392"/>
      <c r="J211" s="392"/>
      <c r="K211" s="392"/>
      <c r="L211" s="392"/>
      <c r="M211" s="392"/>
      <c r="N211" s="392"/>
      <c r="O211" s="392"/>
      <c r="P211" s="392"/>
      <c r="Q211" s="392"/>
      <c r="R211" s="392"/>
      <c r="S211" s="392"/>
      <c r="T211" s="392"/>
      <c r="U211" s="392"/>
      <c r="V211" s="392"/>
      <c r="W211" s="392"/>
      <c r="X211" s="392"/>
      <c r="Y211" s="392"/>
      <c r="Z211" s="392"/>
      <c r="AA211" s="392"/>
      <c r="AB211" s="392"/>
      <c r="AC211" s="392"/>
      <c r="AD211" s="392"/>
      <c r="AE211" s="392"/>
      <c r="AF211" s="392"/>
      <c r="AG211" s="392"/>
      <c r="AH211" s="392"/>
      <c r="AI211" s="392"/>
      <c r="AJ211" s="392"/>
      <c r="AK211" s="392"/>
      <c r="AL211" s="392"/>
      <c r="AM211" s="392"/>
      <c r="AN211" s="392"/>
      <c r="AO211" s="392"/>
      <c r="AP211" s="392"/>
      <c r="AQ211" s="392"/>
      <c r="AR211" s="392"/>
      <c r="AS211" s="392"/>
      <c r="AT211" s="392"/>
      <c r="AU211" s="392"/>
      <c r="AV211" s="392"/>
      <c r="AW211" s="392"/>
      <c r="AX211" s="392"/>
      <c r="AY211" s="392"/>
      <c r="AZ211" s="392"/>
      <c r="BA211" s="392"/>
      <c r="BB211" s="392"/>
      <c r="BC211" s="392"/>
      <c r="BD211" s="392"/>
      <c r="BE211" s="392"/>
      <c r="BF211" s="392"/>
      <c r="BG211" s="392"/>
      <c r="BH211" s="392"/>
      <c r="BI211" s="392"/>
      <c r="BJ211" s="392"/>
      <c r="BK211" s="392"/>
      <c r="BL211" s="392"/>
      <c r="BM211" s="392"/>
      <c r="BN211" s="392"/>
      <c r="BO211" s="392"/>
      <c r="BP211" s="392"/>
      <c r="BQ211" s="392"/>
      <c r="BR211" s="392"/>
      <c r="BS211" s="392"/>
      <c r="BT211" s="392"/>
      <c r="BU211" s="392"/>
      <c r="BV211" s="392"/>
      <c r="BW211" s="392"/>
      <c r="BX211" s="392"/>
      <c r="BY211" s="392"/>
      <c r="BZ211" s="392"/>
      <c r="CA211" s="392"/>
      <c r="CB211" s="392"/>
      <c r="CC211" s="392"/>
      <c r="CD211" s="392"/>
      <c r="CE211" s="392"/>
      <c r="CF211" s="392"/>
      <c r="CG211" s="392"/>
      <c r="CH211" s="392"/>
      <c r="CI211" s="392"/>
      <c r="CJ211" s="392"/>
      <c r="CK211" s="392"/>
      <c r="CL211" s="392"/>
      <c r="CM211" s="392"/>
      <c r="CN211" s="392"/>
      <c r="CO211" s="392"/>
      <c r="CP211" s="392"/>
      <c r="CQ211" s="392"/>
      <c r="CR211" s="392"/>
      <c r="CS211" s="392"/>
      <c r="CT211" s="392"/>
      <c r="CU211" s="392"/>
      <c r="CV211" s="392"/>
      <c r="CW211" s="392"/>
      <c r="CX211" s="392"/>
      <c r="CY211" s="392"/>
      <c r="CZ211" s="392"/>
      <c r="DA211" s="392"/>
      <c r="DB211" s="392"/>
      <c r="DC211" s="392"/>
      <c r="DD211" s="392"/>
      <c r="DE211" s="392"/>
      <c r="DF211" s="392"/>
      <c r="DG211" s="392"/>
      <c r="DH211" s="392"/>
      <c r="DI211" s="392"/>
      <c r="DJ211" s="392"/>
      <c r="DK211" s="392"/>
      <c r="DL211" s="392"/>
      <c r="DM211" s="392"/>
      <c r="DN211" s="392"/>
      <c r="DO211" s="392"/>
      <c r="DP211" s="392"/>
      <c r="DQ211" s="392"/>
      <c r="DR211" s="392"/>
      <c r="DS211" s="392"/>
      <c r="DT211" s="392"/>
      <c r="DU211" s="392"/>
      <c r="DV211" s="392"/>
      <c r="DW211" s="392"/>
      <c r="DX211" s="392"/>
      <c r="DY211" s="392"/>
      <c r="DZ211" s="392"/>
      <c r="EA211" s="392"/>
      <c r="EB211" s="392"/>
      <c r="EC211" s="392"/>
      <c r="ED211" s="392"/>
      <c r="EE211" s="392"/>
      <c r="EF211" s="392"/>
      <c r="EG211" s="392"/>
      <c r="EH211" s="392"/>
      <c r="EI211" s="392"/>
      <c r="EJ211" s="392"/>
      <c r="EK211" s="392"/>
      <c r="EL211" s="392"/>
      <c r="EM211" s="392"/>
      <c r="EN211" s="392"/>
      <c r="EO211" s="392"/>
      <c r="EP211" s="392"/>
      <c r="EQ211" s="392"/>
      <c r="ER211" s="392"/>
      <c r="ES211" s="392"/>
      <c r="ET211" s="392"/>
      <c r="EU211" s="392"/>
      <c r="EV211" s="392"/>
      <c r="EW211" s="392"/>
      <c r="EX211" s="392"/>
      <c r="EY211" s="392"/>
      <c r="EZ211" s="392"/>
      <c r="FA211" s="392"/>
      <c r="FB211" s="392"/>
      <c r="FC211" s="392"/>
      <c r="FD211" s="392"/>
      <c r="FE211" s="392"/>
      <c r="FF211" s="392"/>
      <c r="FG211" s="392"/>
      <c r="FH211" s="392"/>
      <c r="FI211" s="392"/>
      <c r="FJ211" s="392"/>
      <c r="FK211" s="392"/>
      <c r="FL211" s="392"/>
      <c r="FM211" s="392"/>
      <c r="FN211" s="392"/>
      <c r="FO211" s="392"/>
      <c r="FP211" s="392"/>
      <c r="FQ211" s="392"/>
      <c r="FR211" s="392"/>
      <c r="FS211" s="392"/>
      <c r="FT211" s="392"/>
      <c r="FU211" s="392"/>
      <c r="FV211" s="392"/>
      <c r="FW211" s="392"/>
      <c r="FX211" s="392"/>
      <c r="FY211" s="392"/>
      <c r="FZ211" s="392"/>
      <c r="GA211" s="392"/>
      <c r="GB211" s="392"/>
      <c r="GC211" s="392"/>
      <c r="GD211" s="392"/>
      <c r="GE211" s="392"/>
      <c r="GF211" s="392"/>
      <c r="GG211" s="392"/>
      <c r="GH211" s="392"/>
      <c r="GI211" s="392"/>
      <c r="GJ211" s="392"/>
      <c r="GK211" s="392"/>
      <c r="GL211" s="392"/>
      <c r="GM211" s="392"/>
      <c r="GN211" s="392"/>
      <c r="GO211" s="392"/>
      <c r="GP211" s="392"/>
      <c r="GQ211" s="392"/>
      <c r="GR211" s="392"/>
      <c r="GS211" s="392"/>
      <c r="GT211" s="392"/>
      <c r="GU211" s="392"/>
      <c r="GV211" s="392"/>
      <c r="GW211" s="392"/>
      <c r="GX211" s="392"/>
      <c r="GY211" s="392"/>
      <c r="GZ211" s="392"/>
      <c r="HA211" s="392"/>
      <c r="HB211" s="392"/>
      <c r="HC211" s="392"/>
      <c r="HD211" s="392"/>
      <c r="HE211" s="392"/>
      <c r="HF211" s="392"/>
      <c r="HG211" s="392"/>
      <c r="HH211" s="392"/>
      <c r="HI211" s="392"/>
      <c r="HJ211" s="392"/>
      <c r="HK211" s="392"/>
      <c r="HL211" s="392"/>
      <c r="HM211" s="392"/>
      <c r="HN211" s="392"/>
      <c r="HO211" s="392"/>
      <c r="HP211" s="392"/>
      <c r="HQ211" s="392"/>
      <c r="HR211" s="392"/>
      <c r="HS211" s="392"/>
      <c r="HT211" s="392"/>
      <c r="HU211" s="392"/>
      <c r="HV211" s="392"/>
      <c r="HW211" s="392"/>
      <c r="HX211" s="392"/>
      <c r="HY211" s="392"/>
      <c r="HZ211" s="392"/>
      <c r="IA211" s="392"/>
      <c r="IB211" s="392"/>
      <c r="IC211" s="392"/>
      <c r="ID211" s="392"/>
      <c r="IE211" s="392"/>
      <c r="IF211" s="392"/>
      <c r="IG211" s="392"/>
      <c r="IH211" s="392"/>
      <c r="II211" s="392"/>
      <c r="IJ211" s="392"/>
      <c r="IK211" s="392"/>
      <c r="IL211" s="392"/>
      <c r="IM211" s="392"/>
      <c r="IN211" s="392"/>
      <c r="IO211" s="392"/>
      <c r="IP211" s="392"/>
      <c r="IQ211" s="392"/>
      <c r="IR211" s="392"/>
      <c r="IS211" s="392"/>
      <c r="IT211" s="392"/>
      <c r="IU211" s="392"/>
      <c r="IV211" s="392"/>
    </row>
    <row r="212" spans="1:256" ht="16.5" thickBot="1">
      <c r="A212" s="392"/>
      <c r="B212" s="2322" t="s">
        <v>165</v>
      </c>
      <c r="C212" s="2323"/>
      <c r="D212" s="2323"/>
      <c r="E212" s="2323"/>
      <c r="F212" s="2323"/>
      <c r="G212" s="2324"/>
      <c r="H212" s="392"/>
      <c r="I212" s="392"/>
      <c r="J212" s="392"/>
      <c r="K212" s="392"/>
      <c r="L212" s="392"/>
      <c r="M212" s="392"/>
      <c r="N212" s="392"/>
      <c r="O212" s="392"/>
      <c r="P212" s="392"/>
      <c r="Q212" s="392"/>
      <c r="R212" s="392"/>
      <c r="S212" s="392"/>
      <c r="T212" s="392"/>
      <c r="U212" s="392"/>
      <c r="V212" s="392"/>
      <c r="W212" s="392"/>
      <c r="X212" s="392"/>
      <c r="Y212" s="392"/>
      <c r="Z212" s="392"/>
      <c r="AA212" s="392"/>
      <c r="AB212" s="392"/>
      <c r="AC212" s="392"/>
      <c r="AD212" s="392"/>
      <c r="AE212" s="392"/>
      <c r="AF212" s="392"/>
      <c r="AG212" s="392"/>
      <c r="AH212" s="392"/>
      <c r="AI212" s="392"/>
      <c r="AJ212" s="392"/>
      <c r="AK212" s="392"/>
      <c r="AL212" s="392"/>
      <c r="AM212" s="392"/>
      <c r="AN212" s="392"/>
      <c r="AO212" s="392"/>
      <c r="AP212" s="392"/>
      <c r="AQ212" s="392"/>
      <c r="AR212" s="392"/>
      <c r="AS212" s="392"/>
      <c r="AT212" s="392"/>
      <c r="AU212" s="392"/>
      <c r="AV212" s="392"/>
      <c r="AW212" s="392"/>
      <c r="AX212" s="392"/>
      <c r="AY212" s="392"/>
      <c r="AZ212" s="392"/>
      <c r="BA212" s="392"/>
      <c r="BB212" s="392"/>
      <c r="BC212" s="392"/>
      <c r="BD212" s="392"/>
      <c r="BE212" s="392"/>
      <c r="BF212" s="392"/>
      <c r="BG212" s="392"/>
      <c r="BH212" s="392"/>
      <c r="BI212" s="392"/>
      <c r="BJ212" s="392"/>
      <c r="BK212" s="392"/>
      <c r="BL212" s="392"/>
      <c r="BM212" s="392"/>
      <c r="BN212" s="392"/>
      <c r="BO212" s="392"/>
      <c r="BP212" s="392"/>
      <c r="BQ212" s="392"/>
      <c r="BR212" s="392"/>
      <c r="BS212" s="392"/>
      <c r="BT212" s="392"/>
      <c r="BU212" s="392"/>
      <c r="BV212" s="392"/>
      <c r="BW212" s="392"/>
      <c r="BX212" s="392"/>
      <c r="BY212" s="392"/>
      <c r="BZ212" s="392"/>
      <c r="CA212" s="392"/>
      <c r="CB212" s="392"/>
      <c r="CC212" s="392"/>
      <c r="CD212" s="392"/>
      <c r="CE212" s="392"/>
      <c r="CF212" s="392"/>
      <c r="CG212" s="392"/>
      <c r="CH212" s="392"/>
      <c r="CI212" s="392"/>
      <c r="CJ212" s="392"/>
      <c r="CK212" s="392"/>
      <c r="CL212" s="392"/>
      <c r="CM212" s="392"/>
      <c r="CN212" s="392"/>
      <c r="CO212" s="392"/>
      <c r="CP212" s="392"/>
      <c r="CQ212" s="392"/>
      <c r="CR212" s="392"/>
      <c r="CS212" s="392"/>
      <c r="CT212" s="392"/>
      <c r="CU212" s="392"/>
      <c r="CV212" s="392"/>
      <c r="CW212" s="392"/>
      <c r="CX212" s="392"/>
      <c r="CY212" s="392"/>
      <c r="CZ212" s="392"/>
      <c r="DA212" s="392"/>
      <c r="DB212" s="392"/>
      <c r="DC212" s="392"/>
      <c r="DD212" s="392"/>
      <c r="DE212" s="392"/>
      <c r="DF212" s="392"/>
      <c r="DG212" s="392"/>
      <c r="DH212" s="392"/>
      <c r="DI212" s="392"/>
      <c r="DJ212" s="392"/>
      <c r="DK212" s="392"/>
      <c r="DL212" s="392"/>
      <c r="DM212" s="392"/>
      <c r="DN212" s="392"/>
      <c r="DO212" s="392"/>
      <c r="DP212" s="392"/>
      <c r="DQ212" s="392"/>
      <c r="DR212" s="392"/>
      <c r="DS212" s="392"/>
      <c r="DT212" s="392"/>
      <c r="DU212" s="392"/>
      <c r="DV212" s="392"/>
      <c r="DW212" s="392"/>
      <c r="DX212" s="392"/>
      <c r="DY212" s="392"/>
      <c r="DZ212" s="392"/>
      <c r="EA212" s="392"/>
      <c r="EB212" s="392"/>
      <c r="EC212" s="392"/>
      <c r="ED212" s="392"/>
      <c r="EE212" s="392"/>
      <c r="EF212" s="392"/>
      <c r="EG212" s="392"/>
      <c r="EH212" s="392"/>
      <c r="EI212" s="392"/>
      <c r="EJ212" s="392"/>
      <c r="EK212" s="392"/>
      <c r="EL212" s="392"/>
      <c r="EM212" s="392"/>
      <c r="EN212" s="392"/>
      <c r="EO212" s="392"/>
      <c r="EP212" s="392"/>
      <c r="EQ212" s="392"/>
      <c r="ER212" s="392"/>
      <c r="ES212" s="392"/>
      <c r="ET212" s="392"/>
      <c r="EU212" s="392"/>
      <c r="EV212" s="392"/>
      <c r="EW212" s="392"/>
      <c r="EX212" s="392"/>
      <c r="EY212" s="392"/>
      <c r="EZ212" s="392"/>
      <c r="FA212" s="392"/>
      <c r="FB212" s="392"/>
      <c r="FC212" s="392"/>
      <c r="FD212" s="392"/>
      <c r="FE212" s="392"/>
      <c r="FF212" s="392"/>
      <c r="FG212" s="392"/>
      <c r="FH212" s="392"/>
      <c r="FI212" s="392"/>
      <c r="FJ212" s="392"/>
      <c r="FK212" s="392"/>
      <c r="FL212" s="392"/>
      <c r="FM212" s="392"/>
      <c r="FN212" s="392"/>
      <c r="FO212" s="392"/>
      <c r="FP212" s="392"/>
      <c r="FQ212" s="392"/>
      <c r="FR212" s="392"/>
      <c r="FS212" s="392"/>
      <c r="FT212" s="392"/>
      <c r="FU212" s="392"/>
      <c r="FV212" s="392"/>
      <c r="FW212" s="392"/>
      <c r="FX212" s="392"/>
      <c r="FY212" s="392"/>
      <c r="FZ212" s="392"/>
      <c r="GA212" s="392"/>
      <c r="GB212" s="392"/>
      <c r="GC212" s="392"/>
      <c r="GD212" s="392"/>
      <c r="GE212" s="392"/>
      <c r="GF212" s="392"/>
      <c r="GG212" s="392"/>
      <c r="GH212" s="392"/>
      <c r="GI212" s="392"/>
      <c r="GJ212" s="392"/>
      <c r="GK212" s="392"/>
      <c r="GL212" s="392"/>
      <c r="GM212" s="392"/>
      <c r="GN212" s="392"/>
      <c r="GO212" s="392"/>
      <c r="GP212" s="392"/>
      <c r="GQ212" s="392"/>
      <c r="GR212" s="392"/>
      <c r="GS212" s="392"/>
      <c r="GT212" s="392"/>
      <c r="GU212" s="392"/>
      <c r="GV212" s="392"/>
      <c r="GW212" s="392"/>
      <c r="GX212" s="392"/>
      <c r="GY212" s="392"/>
      <c r="GZ212" s="392"/>
      <c r="HA212" s="392"/>
      <c r="HB212" s="392"/>
      <c r="HC212" s="392"/>
      <c r="HD212" s="392"/>
      <c r="HE212" s="392"/>
      <c r="HF212" s="392"/>
      <c r="HG212" s="392"/>
      <c r="HH212" s="392"/>
      <c r="HI212" s="392"/>
      <c r="HJ212" s="392"/>
      <c r="HK212" s="392"/>
      <c r="HL212" s="392"/>
      <c r="HM212" s="392"/>
      <c r="HN212" s="392"/>
      <c r="HO212" s="392"/>
      <c r="HP212" s="392"/>
      <c r="HQ212" s="392"/>
      <c r="HR212" s="392"/>
      <c r="HS212" s="392"/>
      <c r="HT212" s="392"/>
      <c r="HU212" s="392"/>
      <c r="HV212" s="392"/>
      <c r="HW212" s="392"/>
      <c r="HX212" s="392"/>
      <c r="HY212" s="392"/>
      <c r="HZ212" s="392"/>
      <c r="IA212" s="392"/>
      <c r="IB212" s="392"/>
      <c r="IC212" s="392"/>
      <c r="ID212" s="392"/>
      <c r="IE212" s="392"/>
      <c r="IF212" s="392"/>
      <c r="IG212" s="392"/>
      <c r="IH212" s="392"/>
      <c r="II212" s="392"/>
      <c r="IJ212" s="392"/>
      <c r="IK212" s="392"/>
      <c r="IL212" s="392"/>
      <c r="IM212" s="392"/>
      <c r="IN212" s="392"/>
      <c r="IO212" s="392"/>
      <c r="IP212" s="392"/>
      <c r="IQ212" s="392"/>
      <c r="IR212" s="392"/>
      <c r="IS212" s="392"/>
      <c r="IT212" s="392"/>
      <c r="IU212" s="392"/>
      <c r="IV212" s="392"/>
    </row>
    <row r="213" spans="1:256" ht="15.75">
      <c r="A213" s="392"/>
      <c r="B213" s="585" t="s">
        <v>618</v>
      </c>
      <c r="C213" s="586" t="str">
        <f>C25</f>
        <v>PLACA ORIENTATIVA</v>
      </c>
      <c r="D213" s="587" t="s">
        <v>22</v>
      </c>
      <c r="E213" s="597">
        <v>1</v>
      </c>
      <c r="F213" s="588">
        <f>E25</f>
        <v>1260</v>
      </c>
      <c r="G213" s="589">
        <f>TRUNC(F213*E213,2)</f>
        <v>1260</v>
      </c>
      <c r="H213" s="392"/>
      <c r="I213" s="392"/>
      <c r="J213" s="392"/>
      <c r="K213" s="392"/>
      <c r="L213" s="392"/>
      <c r="M213" s="392"/>
      <c r="N213" s="392"/>
      <c r="O213" s="392"/>
      <c r="P213" s="392"/>
      <c r="Q213" s="392"/>
      <c r="R213" s="392"/>
      <c r="S213" s="392"/>
      <c r="T213" s="392"/>
      <c r="U213" s="392"/>
      <c r="V213" s="392"/>
      <c r="W213" s="392"/>
      <c r="X213" s="392"/>
      <c r="Y213" s="392"/>
      <c r="Z213" s="392"/>
      <c r="AA213" s="392"/>
      <c r="AB213" s="392"/>
      <c r="AC213" s="392"/>
      <c r="AD213" s="392"/>
      <c r="AE213" s="392"/>
      <c r="AF213" s="392"/>
      <c r="AG213" s="392"/>
      <c r="AH213" s="392"/>
      <c r="AI213" s="392"/>
      <c r="AJ213" s="392"/>
      <c r="AK213" s="392"/>
      <c r="AL213" s="392"/>
      <c r="AM213" s="392"/>
      <c r="AN213" s="392"/>
      <c r="AO213" s="392"/>
      <c r="AP213" s="392"/>
      <c r="AQ213" s="392"/>
      <c r="AR213" s="392"/>
      <c r="AS213" s="392"/>
      <c r="AT213" s="392"/>
      <c r="AU213" s="392"/>
      <c r="AV213" s="392"/>
      <c r="AW213" s="392"/>
      <c r="AX213" s="392"/>
      <c r="AY213" s="392"/>
      <c r="AZ213" s="392"/>
      <c r="BA213" s="392"/>
      <c r="BB213" s="392"/>
      <c r="BC213" s="392"/>
      <c r="BD213" s="392"/>
      <c r="BE213" s="392"/>
      <c r="BF213" s="392"/>
      <c r="BG213" s="392"/>
      <c r="BH213" s="392"/>
      <c r="BI213" s="392"/>
      <c r="BJ213" s="392"/>
      <c r="BK213" s="392"/>
      <c r="BL213" s="392"/>
      <c r="BM213" s="392"/>
      <c r="BN213" s="392"/>
      <c r="BO213" s="392"/>
      <c r="BP213" s="392"/>
      <c r="BQ213" s="392"/>
      <c r="BR213" s="392"/>
      <c r="BS213" s="392"/>
      <c r="BT213" s="392"/>
      <c r="BU213" s="392"/>
      <c r="BV213" s="392"/>
      <c r="BW213" s="392"/>
      <c r="BX213" s="392"/>
      <c r="BY213" s="392"/>
      <c r="BZ213" s="392"/>
      <c r="CA213" s="392"/>
      <c r="CB213" s="392"/>
      <c r="CC213" s="392"/>
      <c r="CD213" s="392"/>
      <c r="CE213" s="392"/>
      <c r="CF213" s="392"/>
      <c r="CG213" s="392"/>
      <c r="CH213" s="392"/>
      <c r="CI213" s="392"/>
      <c r="CJ213" s="392"/>
      <c r="CK213" s="392"/>
      <c r="CL213" s="392"/>
      <c r="CM213" s="392"/>
      <c r="CN213" s="392"/>
      <c r="CO213" s="392"/>
      <c r="CP213" s="392"/>
      <c r="CQ213" s="392"/>
      <c r="CR213" s="392"/>
      <c r="CS213" s="392"/>
      <c r="CT213" s="392"/>
      <c r="CU213" s="392"/>
      <c r="CV213" s="392"/>
      <c r="CW213" s="392"/>
      <c r="CX213" s="392"/>
      <c r="CY213" s="392"/>
      <c r="CZ213" s="392"/>
      <c r="DA213" s="392"/>
      <c r="DB213" s="392"/>
      <c r="DC213" s="392"/>
      <c r="DD213" s="392"/>
      <c r="DE213" s="392"/>
      <c r="DF213" s="392"/>
      <c r="DG213" s="392"/>
      <c r="DH213" s="392"/>
      <c r="DI213" s="392"/>
      <c r="DJ213" s="392"/>
      <c r="DK213" s="392"/>
      <c r="DL213" s="392"/>
      <c r="DM213" s="392"/>
      <c r="DN213" s="392"/>
      <c r="DO213" s="392"/>
      <c r="DP213" s="392"/>
      <c r="DQ213" s="392"/>
      <c r="DR213" s="392"/>
      <c r="DS213" s="392"/>
      <c r="DT213" s="392"/>
      <c r="DU213" s="392"/>
      <c r="DV213" s="392"/>
      <c r="DW213" s="392"/>
      <c r="DX213" s="392"/>
      <c r="DY213" s="392"/>
      <c r="DZ213" s="392"/>
      <c r="EA213" s="392"/>
      <c r="EB213" s="392"/>
      <c r="EC213" s="392"/>
      <c r="ED213" s="392"/>
      <c r="EE213" s="392"/>
      <c r="EF213" s="392"/>
      <c r="EG213" s="392"/>
      <c r="EH213" s="392"/>
      <c r="EI213" s="392"/>
      <c r="EJ213" s="392"/>
      <c r="EK213" s="392"/>
      <c r="EL213" s="392"/>
      <c r="EM213" s="392"/>
      <c r="EN213" s="392"/>
      <c r="EO213" s="392"/>
      <c r="EP213" s="392"/>
      <c r="EQ213" s="392"/>
      <c r="ER213" s="392"/>
      <c r="ES213" s="392"/>
      <c r="ET213" s="392"/>
      <c r="EU213" s="392"/>
      <c r="EV213" s="392"/>
      <c r="EW213" s="392"/>
      <c r="EX213" s="392"/>
      <c r="EY213" s="392"/>
      <c r="EZ213" s="392"/>
      <c r="FA213" s="392"/>
      <c r="FB213" s="392"/>
      <c r="FC213" s="392"/>
      <c r="FD213" s="392"/>
      <c r="FE213" s="392"/>
      <c r="FF213" s="392"/>
      <c r="FG213" s="392"/>
      <c r="FH213" s="392"/>
      <c r="FI213" s="392"/>
      <c r="FJ213" s="392"/>
      <c r="FK213" s="392"/>
      <c r="FL213" s="392"/>
      <c r="FM213" s="392"/>
      <c r="FN213" s="392"/>
      <c r="FO213" s="392"/>
      <c r="FP213" s="392"/>
      <c r="FQ213" s="392"/>
      <c r="FR213" s="392"/>
      <c r="FS213" s="392"/>
      <c r="FT213" s="392"/>
      <c r="FU213" s="392"/>
      <c r="FV213" s="392"/>
      <c r="FW213" s="392"/>
      <c r="FX213" s="392"/>
      <c r="FY213" s="392"/>
      <c r="FZ213" s="392"/>
      <c r="GA213" s="392"/>
      <c r="GB213" s="392"/>
      <c r="GC213" s="392"/>
      <c r="GD213" s="392"/>
      <c r="GE213" s="392"/>
      <c r="GF213" s="392"/>
      <c r="GG213" s="392"/>
      <c r="GH213" s="392"/>
      <c r="GI213" s="392"/>
      <c r="GJ213" s="392"/>
      <c r="GK213" s="392"/>
      <c r="GL213" s="392"/>
      <c r="GM213" s="392"/>
      <c r="GN213" s="392"/>
      <c r="GO213" s="392"/>
      <c r="GP213" s="392"/>
      <c r="GQ213" s="392"/>
      <c r="GR213" s="392"/>
      <c r="GS213" s="392"/>
      <c r="GT213" s="392"/>
      <c r="GU213" s="392"/>
      <c r="GV213" s="392"/>
      <c r="GW213" s="392"/>
      <c r="GX213" s="392"/>
      <c r="GY213" s="392"/>
      <c r="GZ213" s="392"/>
      <c r="HA213" s="392"/>
      <c r="HB213" s="392"/>
      <c r="HC213" s="392"/>
      <c r="HD213" s="392"/>
      <c r="HE213" s="392"/>
      <c r="HF213" s="392"/>
      <c r="HG213" s="392"/>
      <c r="HH213" s="392"/>
      <c r="HI213" s="392"/>
      <c r="HJ213" s="392"/>
      <c r="HK213" s="392"/>
      <c r="HL213" s="392"/>
      <c r="HM213" s="392"/>
      <c r="HN213" s="392"/>
      <c r="HO213" s="392"/>
      <c r="HP213" s="392"/>
      <c r="HQ213" s="392"/>
      <c r="HR213" s="392"/>
      <c r="HS213" s="392"/>
      <c r="HT213" s="392"/>
      <c r="HU213" s="392"/>
      <c r="HV213" s="392"/>
      <c r="HW213" s="392"/>
      <c r="HX213" s="392"/>
      <c r="HY213" s="392"/>
      <c r="HZ213" s="392"/>
      <c r="IA213" s="392"/>
      <c r="IB213" s="392"/>
      <c r="IC213" s="392"/>
      <c r="ID213" s="392"/>
      <c r="IE213" s="392"/>
      <c r="IF213" s="392"/>
      <c r="IG213" s="392"/>
      <c r="IH213" s="392"/>
      <c r="II213" s="392"/>
      <c r="IJ213" s="392"/>
      <c r="IK213" s="392"/>
      <c r="IL213" s="392"/>
      <c r="IM213" s="392"/>
      <c r="IN213" s="392"/>
      <c r="IO213" s="392"/>
      <c r="IP213" s="392"/>
      <c r="IQ213" s="392"/>
      <c r="IR213" s="392"/>
      <c r="IS213" s="392"/>
      <c r="IT213" s="392"/>
      <c r="IU213" s="392"/>
      <c r="IV213" s="392"/>
    </row>
    <row r="214" spans="1:256" ht="30">
      <c r="A214" s="392" t="s">
        <v>391</v>
      </c>
      <c r="B214" s="436">
        <v>93358</v>
      </c>
      <c r="C214" s="317" t="str">
        <f>IF($A214="INSUMO",VLOOKUP($B214,'BANCO DE DADOS JANEIRO-24 INS'!$A:$D,2,FALSE),VLOOKUP($B214,'BANCO DE DADOS JANEIRO-24 SERV'!$B:$E,2,FALSE))</f>
        <v>ESCAVAÇÃO MANUAL DE VALA COM PROFUNDIDADE MENOR OU IGUAL A 1,30 M. AF_02/2021</v>
      </c>
      <c r="D214" s="316" t="str">
        <f>IF($A214="INSUMO",VLOOKUP($B214,'BANCO DE DADOS JANEIRO-24 INS'!$A:$D,3,FALSE),VLOOKUP($B214,'BANCO DE DADOS JANEIRO-24 SERV'!$B:$E,3,FALSE))</f>
        <v>M3</v>
      </c>
      <c r="E214" s="598">
        <f>((0.3*0.3*0.6)*2)</f>
        <v>0.108</v>
      </c>
      <c r="F214" s="320">
        <f>IF($A214="INSUMO",VLOOKUP($B214,'BANCO DE DADOS JANEIRO-24 INS'!$A:$D,4,FALSE),VLOOKUP($B214,'BANCO DE DADOS JANEIRO-24 SERV'!$B:$E,4,FALSE))</f>
        <v>80.38</v>
      </c>
      <c r="G214" s="435">
        <f>TRUNC(F214*E214,2)</f>
        <v>8.68</v>
      </c>
      <c r="H214" s="392"/>
      <c r="I214" s="392"/>
      <c r="J214" s="392"/>
      <c r="K214" s="392"/>
      <c r="L214" s="392"/>
      <c r="M214" s="392"/>
      <c r="N214" s="392"/>
      <c r="O214" s="392"/>
      <c r="P214" s="392"/>
      <c r="Q214" s="392"/>
      <c r="R214" s="392"/>
      <c r="S214" s="392"/>
      <c r="T214" s="392"/>
      <c r="U214" s="392"/>
      <c r="V214" s="392"/>
      <c r="W214" s="392"/>
      <c r="X214" s="392"/>
      <c r="Y214" s="392"/>
      <c r="Z214" s="392"/>
      <c r="AA214" s="392"/>
      <c r="AB214" s="392"/>
      <c r="AC214" s="392"/>
      <c r="AD214" s="392"/>
      <c r="AE214" s="392"/>
      <c r="AF214" s="392"/>
      <c r="AG214" s="392"/>
      <c r="AH214" s="392"/>
      <c r="AI214" s="392"/>
      <c r="AJ214" s="392"/>
      <c r="AK214" s="392"/>
      <c r="AL214" s="392"/>
      <c r="AM214" s="392"/>
      <c r="AN214" s="392"/>
      <c r="AO214" s="392"/>
      <c r="AP214" s="392"/>
      <c r="AQ214" s="392"/>
      <c r="AR214" s="392"/>
      <c r="AS214" s="392"/>
      <c r="AT214" s="392"/>
      <c r="AU214" s="392"/>
      <c r="AV214" s="392"/>
      <c r="AW214" s="392"/>
      <c r="AX214" s="392"/>
      <c r="AY214" s="392"/>
      <c r="AZ214" s="392"/>
      <c r="BA214" s="392"/>
      <c r="BB214" s="392"/>
      <c r="BC214" s="392"/>
      <c r="BD214" s="392"/>
      <c r="BE214" s="392"/>
      <c r="BF214" s="392"/>
      <c r="BG214" s="392"/>
      <c r="BH214" s="392"/>
      <c r="BI214" s="392"/>
      <c r="BJ214" s="392"/>
      <c r="BK214" s="392"/>
      <c r="BL214" s="392"/>
      <c r="BM214" s="392"/>
      <c r="BN214" s="392"/>
      <c r="BO214" s="392"/>
      <c r="BP214" s="392"/>
      <c r="BQ214" s="392"/>
      <c r="BR214" s="392"/>
      <c r="BS214" s="392"/>
      <c r="BT214" s="392"/>
      <c r="BU214" s="392"/>
      <c r="BV214" s="392"/>
      <c r="BW214" s="392"/>
      <c r="BX214" s="392"/>
      <c r="BY214" s="392"/>
      <c r="BZ214" s="392"/>
      <c r="CA214" s="392"/>
      <c r="CB214" s="392"/>
      <c r="CC214" s="392"/>
      <c r="CD214" s="392"/>
      <c r="CE214" s="392"/>
      <c r="CF214" s="392"/>
      <c r="CG214" s="392"/>
      <c r="CH214" s="392"/>
      <c r="CI214" s="392"/>
      <c r="CJ214" s="392"/>
      <c r="CK214" s="392"/>
      <c r="CL214" s="392"/>
      <c r="CM214" s="392"/>
      <c r="CN214" s="392"/>
      <c r="CO214" s="392"/>
      <c r="CP214" s="392"/>
      <c r="CQ214" s="392"/>
      <c r="CR214" s="392"/>
      <c r="CS214" s="392"/>
      <c r="CT214" s="392"/>
      <c r="CU214" s="392"/>
      <c r="CV214" s="392"/>
      <c r="CW214" s="392"/>
      <c r="CX214" s="392"/>
      <c r="CY214" s="392"/>
      <c r="CZ214" s="392"/>
      <c r="DA214" s="392"/>
      <c r="DB214" s="392"/>
      <c r="DC214" s="392"/>
      <c r="DD214" s="392"/>
      <c r="DE214" s="392"/>
      <c r="DF214" s="392"/>
      <c r="DG214" s="392"/>
      <c r="DH214" s="392"/>
      <c r="DI214" s="392"/>
      <c r="DJ214" s="392"/>
      <c r="DK214" s="392"/>
      <c r="DL214" s="392"/>
      <c r="DM214" s="392"/>
      <c r="DN214" s="392"/>
      <c r="DO214" s="392"/>
      <c r="DP214" s="392"/>
      <c r="DQ214" s="392"/>
      <c r="DR214" s="392"/>
      <c r="DS214" s="392"/>
      <c r="DT214" s="392"/>
      <c r="DU214" s="392"/>
      <c r="DV214" s="392"/>
      <c r="DW214" s="392"/>
      <c r="DX214" s="392"/>
      <c r="DY214" s="392"/>
      <c r="DZ214" s="392"/>
      <c r="EA214" s="392"/>
      <c r="EB214" s="392"/>
      <c r="EC214" s="392"/>
      <c r="ED214" s="392"/>
      <c r="EE214" s="392"/>
      <c r="EF214" s="392"/>
      <c r="EG214" s="392"/>
      <c r="EH214" s="392"/>
      <c r="EI214" s="392"/>
      <c r="EJ214" s="392"/>
      <c r="EK214" s="392"/>
      <c r="EL214" s="392"/>
      <c r="EM214" s="392"/>
      <c r="EN214" s="392"/>
      <c r="EO214" s="392"/>
      <c r="EP214" s="392"/>
      <c r="EQ214" s="392"/>
      <c r="ER214" s="392"/>
      <c r="ES214" s="392"/>
      <c r="ET214" s="392"/>
      <c r="EU214" s="392"/>
      <c r="EV214" s="392"/>
      <c r="EW214" s="392"/>
      <c r="EX214" s="392"/>
      <c r="EY214" s="392"/>
      <c r="EZ214" s="392"/>
      <c r="FA214" s="392"/>
      <c r="FB214" s="392"/>
      <c r="FC214" s="392"/>
      <c r="FD214" s="392"/>
      <c r="FE214" s="392"/>
      <c r="FF214" s="392"/>
      <c r="FG214" s="392"/>
      <c r="FH214" s="392"/>
      <c r="FI214" s="392"/>
      <c r="FJ214" s="392"/>
      <c r="FK214" s="392"/>
      <c r="FL214" s="392"/>
      <c r="FM214" s="392"/>
      <c r="FN214" s="392"/>
      <c r="FO214" s="392"/>
      <c r="FP214" s="392"/>
      <c r="FQ214" s="392"/>
      <c r="FR214" s="392"/>
      <c r="FS214" s="392"/>
      <c r="FT214" s="392"/>
      <c r="FU214" s="392"/>
      <c r="FV214" s="392"/>
      <c r="FW214" s="392"/>
      <c r="FX214" s="392"/>
      <c r="FY214" s="392"/>
      <c r="FZ214" s="392"/>
      <c r="GA214" s="392"/>
      <c r="GB214" s="392"/>
      <c r="GC214" s="392"/>
      <c r="GD214" s="392"/>
      <c r="GE214" s="392"/>
      <c r="GF214" s="392"/>
      <c r="GG214" s="392"/>
      <c r="GH214" s="392"/>
      <c r="GI214" s="392"/>
      <c r="GJ214" s="392"/>
      <c r="GK214" s="392"/>
      <c r="GL214" s="392"/>
      <c r="GM214" s="392"/>
      <c r="GN214" s="392"/>
      <c r="GO214" s="392"/>
      <c r="GP214" s="392"/>
      <c r="GQ214" s="392"/>
      <c r="GR214" s="392"/>
      <c r="GS214" s="392"/>
      <c r="GT214" s="392"/>
      <c r="GU214" s="392"/>
      <c r="GV214" s="392"/>
      <c r="GW214" s="392"/>
      <c r="GX214" s="392"/>
      <c r="GY214" s="392"/>
      <c r="GZ214" s="392"/>
      <c r="HA214" s="392"/>
      <c r="HB214" s="392"/>
      <c r="HC214" s="392"/>
      <c r="HD214" s="392"/>
      <c r="HE214" s="392"/>
      <c r="HF214" s="392"/>
      <c r="HG214" s="392"/>
      <c r="HH214" s="392"/>
      <c r="HI214" s="392"/>
      <c r="HJ214" s="392"/>
      <c r="HK214" s="392"/>
      <c r="HL214" s="392"/>
      <c r="HM214" s="392"/>
      <c r="HN214" s="392"/>
      <c r="HO214" s="392"/>
      <c r="HP214" s="392"/>
      <c r="HQ214" s="392"/>
      <c r="HR214" s="392"/>
      <c r="HS214" s="392"/>
      <c r="HT214" s="392"/>
      <c r="HU214" s="392"/>
      <c r="HV214" s="392"/>
      <c r="HW214" s="392"/>
      <c r="HX214" s="392"/>
      <c r="HY214" s="392"/>
      <c r="HZ214" s="392"/>
      <c r="IA214" s="392"/>
      <c r="IB214" s="392"/>
      <c r="IC214" s="392"/>
      <c r="ID214" s="392"/>
      <c r="IE214" s="392"/>
      <c r="IF214" s="392"/>
      <c r="IG214" s="392"/>
      <c r="IH214" s="392"/>
      <c r="II214" s="392"/>
      <c r="IJ214" s="392"/>
      <c r="IK214" s="392"/>
      <c r="IL214" s="392"/>
      <c r="IM214" s="392"/>
      <c r="IN214" s="392"/>
      <c r="IO214" s="392"/>
      <c r="IP214" s="392"/>
      <c r="IQ214" s="392"/>
      <c r="IR214" s="392"/>
      <c r="IS214" s="392"/>
      <c r="IT214" s="392"/>
      <c r="IU214" s="392"/>
      <c r="IV214" s="392"/>
    </row>
    <row r="215" spans="1:256" ht="45">
      <c r="A215" s="392" t="s">
        <v>391</v>
      </c>
      <c r="B215" s="436">
        <v>94965</v>
      </c>
      <c r="C215" s="317" t="str">
        <f>IF($A215="INSUMO",VLOOKUP($B215,'BANCO DE DADOS JANEIRO-24 INS'!$A:$D,2,FALSE),VLOOKUP($B215,'BANCO DE DADOS JANEIRO-24 SERV'!$B:$E,2,FALSE))</f>
        <v>CONCRETO FCK = 25MPA, TRAÇO 1:2,3:2,7 (EM MASSA SECA DE CIMENTO/ AREIA MÉDIA/ BRITA 1) - PREPARO MECÂNICO COM BETONEIRA 400 L. AF_05/2021</v>
      </c>
      <c r="D215" s="316" t="str">
        <f>IF($A215="INSUMO",VLOOKUP($B215,'BANCO DE DADOS JANEIRO-24 INS'!$A:$D,3,FALSE),VLOOKUP($B215,'BANCO DE DADOS JANEIRO-24 SERV'!$B:$E,3,FALSE))</f>
        <v>M3</v>
      </c>
      <c r="E215" s="598">
        <f>E214</f>
        <v>0.108</v>
      </c>
      <c r="F215" s="320">
        <f>IF($A215="INSUMO",VLOOKUP($B215,'BANCO DE DADOS JANEIRO-24 INS'!$A:$D,4,FALSE),VLOOKUP($B215,'BANCO DE DADOS JANEIRO-24 SERV'!$B:$E,4,FALSE))</f>
        <v>568.95000000000005</v>
      </c>
      <c r="G215" s="435">
        <f>TRUNC(F215*E215,2)</f>
        <v>61.44</v>
      </c>
      <c r="H215" s="392"/>
      <c r="I215" s="392"/>
      <c r="J215" s="392"/>
      <c r="K215" s="392"/>
      <c r="L215" s="392"/>
      <c r="M215" s="392"/>
      <c r="N215" s="392"/>
      <c r="O215" s="392"/>
      <c r="P215" s="392"/>
      <c r="Q215" s="392"/>
      <c r="R215" s="392"/>
      <c r="S215" s="392"/>
      <c r="T215" s="392"/>
      <c r="U215" s="392"/>
      <c r="V215" s="392"/>
      <c r="W215" s="392"/>
      <c r="X215" s="392"/>
      <c r="Y215" s="392"/>
      <c r="Z215" s="392"/>
      <c r="AA215" s="392"/>
      <c r="AB215" s="392"/>
      <c r="AC215" s="392"/>
      <c r="AD215" s="392"/>
      <c r="AE215" s="392"/>
      <c r="AF215" s="392"/>
      <c r="AG215" s="392"/>
      <c r="AH215" s="392"/>
      <c r="AI215" s="392"/>
      <c r="AJ215" s="392"/>
      <c r="AK215" s="392"/>
      <c r="AL215" s="392"/>
      <c r="AM215" s="392"/>
      <c r="AN215" s="392"/>
      <c r="AO215" s="392"/>
      <c r="AP215" s="392"/>
      <c r="AQ215" s="392"/>
      <c r="AR215" s="392"/>
      <c r="AS215" s="392"/>
      <c r="AT215" s="392"/>
      <c r="AU215" s="392"/>
      <c r="AV215" s="392"/>
      <c r="AW215" s="392"/>
      <c r="AX215" s="392"/>
      <c r="AY215" s="392"/>
      <c r="AZ215" s="392"/>
      <c r="BA215" s="392"/>
      <c r="BB215" s="392"/>
      <c r="BC215" s="392"/>
      <c r="BD215" s="392"/>
      <c r="BE215" s="392"/>
      <c r="BF215" s="392"/>
      <c r="BG215" s="392"/>
      <c r="BH215" s="392"/>
      <c r="BI215" s="392"/>
      <c r="BJ215" s="392"/>
      <c r="BK215" s="392"/>
      <c r="BL215" s="392"/>
      <c r="BM215" s="392"/>
      <c r="BN215" s="392"/>
      <c r="BO215" s="392"/>
      <c r="BP215" s="392"/>
      <c r="BQ215" s="392"/>
      <c r="BR215" s="392"/>
      <c r="BS215" s="392"/>
      <c r="BT215" s="392"/>
      <c r="BU215" s="392"/>
      <c r="BV215" s="392"/>
      <c r="BW215" s="392"/>
      <c r="BX215" s="392"/>
      <c r="BY215" s="392"/>
      <c r="BZ215" s="392"/>
      <c r="CA215" s="392"/>
      <c r="CB215" s="392"/>
      <c r="CC215" s="392"/>
      <c r="CD215" s="392"/>
      <c r="CE215" s="392"/>
      <c r="CF215" s="392"/>
      <c r="CG215" s="392"/>
      <c r="CH215" s="392"/>
      <c r="CI215" s="392"/>
      <c r="CJ215" s="392"/>
      <c r="CK215" s="392"/>
      <c r="CL215" s="392"/>
      <c r="CM215" s="392"/>
      <c r="CN215" s="392"/>
      <c r="CO215" s="392"/>
      <c r="CP215" s="392"/>
      <c r="CQ215" s="392"/>
      <c r="CR215" s="392"/>
      <c r="CS215" s="392"/>
      <c r="CT215" s="392"/>
      <c r="CU215" s="392"/>
      <c r="CV215" s="392"/>
      <c r="CW215" s="392"/>
      <c r="CX215" s="392"/>
      <c r="CY215" s="392"/>
      <c r="CZ215" s="392"/>
      <c r="DA215" s="392"/>
      <c r="DB215" s="392"/>
      <c r="DC215" s="392"/>
      <c r="DD215" s="392"/>
      <c r="DE215" s="392"/>
      <c r="DF215" s="392"/>
      <c r="DG215" s="392"/>
      <c r="DH215" s="392"/>
      <c r="DI215" s="392"/>
      <c r="DJ215" s="392"/>
      <c r="DK215" s="392"/>
      <c r="DL215" s="392"/>
      <c r="DM215" s="392"/>
      <c r="DN215" s="392"/>
      <c r="DO215" s="392"/>
      <c r="DP215" s="392"/>
      <c r="DQ215" s="392"/>
      <c r="DR215" s="392"/>
      <c r="DS215" s="392"/>
      <c r="DT215" s="392"/>
      <c r="DU215" s="392"/>
      <c r="DV215" s="392"/>
      <c r="DW215" s="392"/>
      <c r="DX215" s="392"/>
      <c r="DY215" s="392"/>
      <c r="DZ215" s="392"/>
      <c r="EA215" s="392"/>
      <c r="EB215" s="392"/>
      <c r="EC215" s="392"/>
      <c r="ED215" s="392"/>
      <c r="EE215" s="392"/>
      <c r="EF215" s="392"/>
      <c r="EG215" s="392"/>
      <c r="EH215" s="392"/>
      <c r="EI215" s="392"/>
      <c r="EJ215" s="392"/>
      <c r="EK215" s="392"/>
      <c r="EL215" s="392"/>
      <c r="EM215" s="392"/>
      <c r="EN215" s="392"/>
      <c r="EO215" s="392"/>
      <c r="EP215" s="392"/>
      <c r="EQ215" s="392"/>
      <c r="ER215" s="392"/>
      <c r="ES215" s="392"/>
      <c r="ET215" s="392"/>
      <c r="EU215" s="392"/>
      <c r="EV215" s="392"/>
      <c r="EW215" s="392"/>
      <c r="EX215" s="392"/>
      <c r="EY215" s="392"/>
      <c r="EZ215" s="392"/>
      <c r="FA215" s="392"/>
      <c r="FB215" s="392"/>
      <c r="FC215" s="392"/>
      <c r="FD215" s="392"/>
      <c r="FE215" s="392"/>
      <c r="FF215" s="392"/>
      <c r="FG215" s="392"/>
      <c r="FH215" s="392"/>
      <c r="FI215" s="392"/>
      <c r="FJ215" s="392"/>
      <c r="FK215" s="392"/>
      <c r="FL215" s="392"/>
      <c r="FM215" s="392"/>
      <c r="FN215" s="392"/>
      <c r="FO215" s="392"/>
      <c r="FP215" s="392"/>
      <c r="FQ215" s="392"/>
      <c r="FR215" s="392"/>
      <c r="FS215" s="392"/>
      <c r="FT215" s="392"/>
      <c r="FU215" s="392"/>
      <c r="FV215" s="392"/>
      <c r="FW215" s="392"/>
      <c r="FX215" s="392"/>
      <c r="FY215" s="392"/>
      <c r="FZ215" s="392"/>
      <c r="GA215" s="392"/>
      <c r="GB215" s="392"/>
      <c r="GC215" s="392"/>
      <c r="GD215" s="392"/>
      <c r="GE215" s="392"/>
      <c r="GF215" s="392"/>
      <c r="GG215" s="392"/>
      <c r="GH215" s="392"/>
      <c r="GI215" s="392"/>
      <c r="GJ215" s="392"/>
      <c r="GK215" s="392"/>
      <c r="GL215" s="392"/>
      <c r="GM215" s="392"/>
      <c r="GN215" s="392"/>
      <c r="GO215" s="392"/>
      <c r="GP215" s="392"/>
      <c r="GQ215" s="392"/>
      <c r="GR215" s="392"/>
      <c r="GS215" s="392"/>
      <c r="GT215" s="392"/>
      <c r="GU215" s="392"/>
      <c r="GV215" s="392"/>
      <c r="GW215" s="392"/>
      <c r="GX215" s="392"/>
      <c r="GY215" s="392"/>
      <c r="GZ215" s="392"/>
      <c r="HA215" s="392"/>
      <c r="HB215" s="392"/>
      <c r="HC215" s="392"/>
      <c r="HD215" s="392"/>
      <c r="HE215" s="392"/>
      <c r="HF215" s="392"/>
      <c r="HG215" s="392"/>
      <c r="HH215" s="392"/>
      <c r="HI215" s="392"/>
      <c r="HJ215" s="392"/>
      <c r="HK215" s="392"/>
      <c r="HL215" s="392"/>
      <c r="HM215" s="392"/>
      <c r="HN215" s="392"/>
      <c r="HO215" s="392"/>
      <c r="HP215" s="392"/>
      <c r="HQ215" s="392"/>
      <c r="HR215" s="392"/>
      <c r="HS215" s="392"/>
      <c r="HT215" s="392"/>
      <c r="HU215" s="392"/>
      <c r="HV215" s="392"/>
      <c r="HW215" s="392"/>
      <c r="HX215" s="392"/>
      <c r="HY215" s="392"/>
      <c r="HZ215" s="392"/>
      <c r="IA215" s="392"/>
      <c r="IB215" s="392"/>
      <c r="IC215" s="392"/>
      <c r="ID215" s="392"/>
      <c r="IE215" s="392"/>
      <c r="IF215" s="392"/>
      <c r="IG215" s="392"/>
      <c r="IH215" s="392"/>
      <c r="II215" s="392"/>
      <c r="IJ215" s="392"/>
      <c r="IK215" s="392"/>
      <c r="IL215" s="392"/>
      <c r="IM215" s="392"/>
      <c r="IN215" s="392"/>
      <c r="IO215" s="392"/>
      <c r="IP215" s="392"/>
      <c r="IQ215" s="392"/>
      <c r="IR215" s="392"/>
      <c r="IS215" s="392"/>
      <c r="IT215" s="392"/>
      <c r="IU215" s="392"/>
      <c r="IV215" s="392"/>
    </row>
    <row r="216" spans="1:256" ht="15.75" thickBot="1">
      <c r="A216" s="392" t="s">
        <v>391</v>
      </c>
      <c r="B216" s="437" t="s">
        <v>57</v>
      </c>
      <c r="C216" s="318" t="e">
        <f>IF($A216="INSUMO",VLOOKUP($B216,'BANCO DE DADOS JANEIRO-24 INS'!$A:$D,2,FALSE),VLOOKUP($B216,'BANCO DE DADOS JANEIRO-24 SERV'!$B:$E,2,FALSE))</f>
        <v>#N/A</v>
      </c>
      <c r="D216" s="319" t="e">
        <f>IF($A216="INSUMO",VLOOKUP($B216,'BANCO DE DADOS JANEIRO-24 INS'!$A:$D,3,FALSE),VLOOKUP($B216,'BANCO DE DADOS JANEIRO-24 SERV'!$B:$E,3,FALSE))</f>
        <v>#N/A</v>
      </c>
      <c r="E216" s="599">
        <f>E214</f>
        <v>0.108</v>
      </c>
      <c r="F216" s="321" t="e">
        <f>IF($A216="INSUMO",VLOOKUP($B216,'BANCO DE DADOS JANEIRO-24 INS'!$A:$D,4,FALSE),VLOOKUP($B216,'BANCO DE DADOS JANEIRO-24 SERV'!$B:$E,4,FALSE))</f>
        <v>#N/A</v>
      </c>
      <c r="G216" s="438" t="e">
        <f>TRUNC(F216*E216,2)</f>
        <v>#N/A</v>
      </c>
      <c r="H216" s="392"/>
      <c r="I216" s="392"/>
      <c r="J216" s="392"/>
      <c r="K216" s="392"/>
      <c r="L216" s="392"/>
      <c r="M216" s="392"/>
      <c r="N216" s="392"/>
      <c r="O216" s="392"/>
      <c r="P216" s="392"/>
      <c r="Q216" s="392"/>
      <c r="R216" s="392"/>
      <c r="S216" s="392"/>
      <c r="T216" s="392"/>
      <c r="U216" s="392"/>
      <c r="V216" s="392"/>
      <c r="W216" s="392"/>
      <c r="X216" s="392"/>
      <c r="Y216" s="392"/>
      <c r="Z216" s="392"/>
      <c r="AA216" s="392"/>
      <c r="AB216" s="392"/>
      <c r="AC216" s="392"/>
      <c r="AD216" s="392"/>
      <c r="AE216" s="392"/>
      <c r="AF216" s="392"/>
      <c r="AG216" s="392"/>
      <c r="AH216" s="392"/>
      <c r="AI216" s="392"/>
      <c r="AJ216" s="392"/>
      <c r="AK216" s="392"/>
      <c r="AL216" s="392"/>
      <c r="AM216" s="392"/>
      <c r="AN216" s="392"/>
      <c r="AO216" s="392"/>
      <c r="AP216" s="392"/>
      <c r="AQ216" s="392"/>
      <c r="AR216" s="392"/>
      <c r="AS216" s="392"/>
      <c r="AT216" s="392"/>
      <c r="AU216" s="392"/>
      <c r="AV216" s="392"/>
      <c r="AW216" s="392"/>
      <c r="AX216" s="392"/>
      <c r="AY216" s="392"/>
      <c r="AZ216" s="392"/>
      <c r="BA216" s="392"/>
      <c r="BB216" s="392"/>
      <c r="BC216" s="392"/>
      <c r="BD216" s="392"/>
      <c r="BE216" s="392"/>
      <c r="BF216" s="392"/>
      <c r="BG216" s="392"/>
      <c r="BH216" s="392"/>
      <c r="BI216" s="392"/>
      <c r="BJ216" s="392"/>
      <c r="BK216" s="392"/>
      <c r="BL216" s="392"/>
      <c r="BM216" s="392"/>
      <c r="BN216" s="392"/>
      <c r="BO216" s="392"/>
      <c r="BP216" s="392"/>
      <c r="BQ216" s="392"/>
      <c r="BR216" s="392"/>
      <c r="BS216" s="392"/>
      <c r="BT216" s="392"/>
      <c r="BU216" s="392"/>
      <c r="BV216" s="392"/>
      <c r="BW216" s="392"/>
      <c r="BX216" s="392"/>
      <c r="BY216" s="392"/>
      <c r="BZ216" s="392"/>
      <c r="CA216" s="392"/>
      <c r="CB216" s="392"/>
      <c r="CC216" s="392"/>
      <c r="CD216" s="392"/>
      <c r="CE216" s="392"/>
      <c r="CF216" s="392"/>
      <c r="CG216" s="392"/>
      <c r="CH216" s="392"/>
      <c r="CI216" s="392"/>
      <c r="CJ216" s="392"/>
      <c r="CK216" s="392"/>
      <c r="CL216" s="392"/>
      <c r="CM216" s="392"/>
      <c r="CN216" s="392"/>
      <c r="CO216" s="392"/>
      <c r="CP216" s="392"/>
      <c r="CQ216" s="392"/>
      <c r="CR216" s="392"/>
      <c r="CS216" s="392"/>
      <c r="CT216" s="392"/>
      <c r="CU216" s="392"/>
      <c r="CV216" s="392"/>
      <c r="CW216" s="392"/>
      <c r="CX216" s="392"/>
      <c r="CY216" s="392"/>
      <c r="CZ216" s="392"/>
      <c r="DA216" s="392"/>
      <c r="DB216" s="392"/>
      <c r="DC216" s="392"/>
      <c r="DD216" s="392"/>
      <c r="DE216" s="392"/>
      <c r="DF216" s="392"/>
      <c r="DG216" s="392"/>
      <c r="DH216" s="392"/>
      <c r="DI216" s="392"/>
      <c r="DJ216" s="392"/>
      <c r="DK216" s="392"/>
      <c r="DL216" s="392"/>
      <c r="DM216" s="392"/>
      <c r="DN216" s="392"/>
      <c r="DO216" s="392"/>
      <c r="DP216" s="392"/>
      <c r="DQ216" s="392"/>
      <c r="DR216" s="392"/>
      <c r="DS216" s="392"/>
      <c r="DT216" s="392"/>
      <c r="DU216" s="392"/>
      <c r="DV216" s="392"/>
      <c r="DW216" s="392"/>
      <c r="DX216" s="392"/>
      <c r="DY216" s="392"/>
      <c r="DZ216" s="392"/>
      <c r="EA216" s="392"/>
      <c r="EB216" s="392"/>
      <c r="EC216" s="392"/>
      <c r="ED216" s="392"/>
      <c r="EE216" s="392"/>
      <c r="EF216" s="392"/>
      <c r="EG216" s="392"/>
      <c r="EH216" s="392"/>
      <c r="EI216" s="392"/>
      <c r="EJ216" s="392"/>
      <c r="EK216" s="392"/>
      <c r="EL216" s="392"/>
      <c r="EM216" s="392"/>
      <c r="EN216" s="392"/>
      <c r="EO216" s="392"/>
      <c r="EP216" s="392"/>
      <c r="EQ216" s="392"/>
      <c r="ER216" s="392"/>
      <c r="ES216" s="392"/>
      <c r="ET216" s="392"/>
      <c r="EU216" s="392"/>
      <c r="EV216" s="392"/>
      <c r="EW216" s="392"/>
      <c r="EX216" s="392"/>
      <c r="EY216" s="392"/>
      <c r="EZ216" s="392"/>
      <c r="FA216" s="392"/>
      <c r="FB216" s="392"/>
      <c r="FC216" s="392"/>
      <c r="FD216" s="392"/>
      <c r="FE216" s="392"/>
      <c r="FF216" s="392"/>
      <c r="FG216" s="392"/>
      <c r="FH216" s="392"/>
      <c r="FI216" s="392"/>
      <c r="FJ216" s="392"/>
      <c r="FK216" s="392"/>
      <c r="FL216" s="392"/>
      <c r="FM216" s="392"/>
      <c r="FN216" s="392"/>
      <c r="FO216" s="392"/>
      <c r="FP216" s="392"/>
      <c r="FQ216" s="392"/>
      <c r="FR216" s="392"/>
      <c r="FS216" s="392"/>
      <c r="FT216" s="392"/>
      <c r="FU216" s="392"/>
      <c r="FV216" s="392"/>
      <c r="FW216" s="392"/>
      <c r="FX216" s="392"/>
      <c r="FY216" s="392"/>
      <c r="FZ216" s="392"/>
      <c r="GA216" s="392"/>
      <c r="GB216" s="392"/>
      <c r="GC216" s="392"/>
      <c r="GD216" s="392"/>
      <c r="GE216" s="392"/>
      <c r="GF216" s="392"/>
      <c r="GG216" s="392"/>
      <c r="GH216" s="392"/>
      <c r="GI216" s="392"/>
      <c r="GJ216" s="392"/>
      <c r="GK216" s="392"/>
      <c r="GL216" s="392"/>
      <c r="GM216" s="392"/>
      <c r="GN216" s="392"/>
      <c r="GO216" s="392"/>
      <c r="GP216" s="392"/>
      <c r="GQ216" s="392"/>
      <c r="GR216" s="392"/>
      <c r="GS216" s="392"/>
      <c r="GT216" s="392"/>
      <c r="GU216" s="392"/>
      <c r="GV216" s="392"/>
      <c r="GW216" s="392"/>
      <c r="GX216" s="392"/>
      <c r="GY216" s="392"/>
      <c r="GZ216" s="392"/>
      <c r="HA216" s="392"/>
      <c r="HB216" s="392"/>
      <c r="HC216" s="392"/>
      <c r="HD216" s="392"/>
      <c r="HE216" s="392"/>
      <c r="HF216" s="392"/>
      <c r="HG216" s="392"/>
      <c r="HH216" s="392"/>
      <c r="HI216" s="392"/>
      <c r="HJ216" s="392"/>
      <c r="HK216" s="392"/>
      <c r="HL216" s="392"/>
      <c r="HM216" s="392"/>
      <c r="HN216" s="392"/>
      <c r="HO216" s="392"/>
      <c r="HP216" s="392"/>
      <c r="HQ216" s="392"/>
      <c r="HR216" s="392"/>
      <c r="HS216" s="392"/>
      <c r="HT216" s="392"/>
      <c r="HU216" s="392"/>
      <c r="HV216" s="392"/>
      <c r="HW216" s="392"/>
      <c r="HX216" s="392"/>
      <c r="HY216" s="392"/>
      <c r="HZ216" s="392"/>
      <c r="IA216" s="392"/>
      <c r="IB216" s="392"/>
      <c r="IC216" s="392"/>
      <c r="ID216" s="392"/>
      <c r="IE216" s="392"/>
      <c r="IF216" s="392"/>
      <c r="IG216" s="392"/>
      <c r="IH216" s="392"/>
      <c r="II216" s="392"/>
      <c r="IJ216" s="392"/>
      <c r="IK216" s="392"/>
      <c r="IL216" s="392"/>
      <c r="IM216" s="392"/>
      <c r="IN216" s="392"/>
      <c r="IO216" s="392"/>
      <c r="IP216" s="392"/>
      <c r="IQ216" s="392"/>
      <c r="IR216" s="392"/>
      <c r="IS216" s="392"/>
      <c r="IT216" s="392"/>
      <c r="IU216" s="392"/>
      <c r="IV216" s="392"/>
    </row>
    <row r="217" spans="1:256" ht="16.5" thickBot="1">
      <c r="A217" s="392"/>
      <c r="B217" s="439" t="s">
        <v>1705</v>
      </c>
      <c r="C217" s="440"/>
      <c r="D217" s="441"/>
      <c r="E217" s="442"/>
      <c r="F217" s="443" t="s">
        <v>167</v>
      </c>
      <c r="G217" s="444" t="e">
        <f>TRUNC(SUM(G213:G216),2)</f>
        <v>#N/A</v>
      </c>
      <c r="H217" s="392"/>
      <c r="I217" s="392"/>
      <c r="J217" s="392"/>
      <c r="K217" s="392"/>
      <c r="L217" s="392"/>
      <c r="M217" s="392"/>
      <c r="N217" s="392"/>
      <c r="O217" s="392"/>
      <c r="P217" s="392"/>
      <c r="Q217" s="392"/>
      <c r="R217" s="392"/>
      <c r="S217" s="392"/>
      <c r="T217" s="392"/>
      <c r="U217" s="392"/>
      <c r="V217" s="392"/>
      <c r="W217" s="392"/>
      <c r="X217" s="392"/>
      <c r="Y217" s="392"/>
      <c r="Z217" s="392"/>
      <c r="AA217" s="392"/>
      <c r="AB217" s="392"/>
      <c r="AC217" s="392"/>
      <c r="AD217" s="392"/>
      <c r="AE217" s="392"/>
      <c r="AF217" s="392"/>
      <c r="AG217" s="392"/>
      <c r="AH217" s="392"/>
      <c r="AI217" s="392"/>
      <c r="AJ217" s="392"/>
      <c r="AK217" s="392"/>
      <c r="AL217" s="392"/>
      <c r="AM217" s="392"/>
      <c r="AN217" s="392"/>
      <c r="AO217" s="392"/>
      <c r="AP217" s="392"/>
      <c r="AQ217" s="392"/>
      <c r="AR217" s="392"/>
      <c r="AS217" s="392"/>
      <c r="AT217" s="392"/>
      <c r="AU217" s="392"/>
      <c r="AV217" s="392"/>
      <c r="AW217" s="392"/>
      <c r="AX217" s="392"/>
      <c r="AY217" s="392"/>
      <c r="AZ217" s="392"/>
      <c r="BA217" s="392"/>
      <c r="BB217" s="392"/>
      <c r="BC217" s="392"/>
      <c r="BD217" s="392"/>
      <c r="BE217" s="392"/>
      <c r="BF217" s="392"/>
      <c r="BG217" s="392"/>
      <c r="BH217" s="392"/>
      <c r="BI217" s="392"/>
      <c r="BJ217" s="392"/>
      <c r="BK217" s="392"/>
      <c r="BL217" s="392"/>
      <c r="BM217" s="392"/>
      <c r="BN217" s="392"/>
      <c r="BO217" s="392"/>
      <c r="BP217" s="392"/>
      <c r="BQ217" s="392"/>
      <c r="BR217" s="392"/>
      <c r="BS217" s="392"/>
      <c r="BT217" s="392"/>
      <c r="BU217" s="392"/>
      <c r="BV217" s="392"/>
      <c r="BW217" s="392"/>
      <c r="BX217" s="392"/>
      <c r="BY217" s="392"/>
      <c r="BZ217" s="392"/>
      <c r="CA217" s="392"/>
      <c r="CB217" s="392"/>
      <c r="CC217" s="392"/>
      <c r="CD217" s="392"/>
      <c r="CE217" s="392"/>
      <c r="CF217" s="392"/>
      <c r="CG217" s="392"/>
      <c r="CH217" s="392"/>
      <c r="CI217" s="392"/>
      <c r="CJ217" s="392"/>
      <c r="CK217" s="392"/>
      <c r="CL217" s="392"/>
      <c r="CM217" s="392"/>
      <c r="CN217" s="392"/>
      <c r="CO217" s="392"/>
      <c r="CP217" s="392"/>
      <c r="CQ217" s="392"/>
      <c r="CR217" s="392"/>
      <c r="CS217" s="392"/>
      <c r="CT217" s="392"/>
      <c r="CU217" s="392"/>
      <c r="CV217" s="392"/>
      <c r="CW217" s="392"/>
      <c r="CX217" s="392"/>
      <c r="CY217" s="392"/>
      <c r="CZ217" s="392"/>
      <c r="DA217" s="392"/>
      <c r="DB217" s="392"/>
      <c r="DC217" s="392"/>
      <c r="DD217" s="392"/>
      <c r="DE217" s="392"/>
      <c r="DF217" s="392"/>
      <c r="DG217" s="392"/>
      <c r="DH217" s="392"/>
      <c r="DI217" s="392"/>
      <c r="DJ217" s="392"/>
      <c r="DK217" s="392"/>
      <c r="DL217" s="392"/>
      <c r="DM217" s="392"/>
      <c r="DN217" s="392"/>
      <c r="DO217" s="392"/>
      <c r="DP217" s="392"/>
      <c r="DQ217" s="392"/>
      <c r="DR217" s="392"/>
      <c r="DS217" s="392"/>
      <c r="DT217" s="392"/>
      <c r="DU217" s="392"/>
      <c r="DV217" s="392"/>
      <c r="DW217" s="392"/>
      <c r="DX217" s="392"/>
      <c r="DY217" s="392"/>
      <c r="DZ217" s="392"/>
      <c r="EA217" s="392"/>
      <c r="EB217" s="392"/>
      <c r="EC217" s="392"/>
      <c r="ED217" s="392"/>
      <c r="EE217" s="392"/>
      <c r="EF217" s="392"/>
      <c r="EG217" s="392"/>
      <c r="EH217" s="392"/>
      <c r="EI217" s="392"/>
      <c r="EJ217" s="392"/>
      <c r="EK217" s="392"/>
      <c r="EL217" s="392"/>
      <c r="EM217" s="392"/>
      <c r="EN217" s="392"/>
      <c r="EO217" s="392"/>
      <c r="EP217" s="392"/>
      <c r="EQ217" s="392"/>
      <c r="ER217" s="392"/>
      <c r="ES217" s="392"/>
      <c r="ET217" s="392"/>
      <c r="EU217" s="392"/>
      <c r="EV217" s="392"/>
      <c r="EW217" s="392"/>
      <c r="EX217" s="392"/>
      <c r="EY217" s="392"/>
      <c r="EZ217" s="392"/>
      <c r="FA217" s="392"/>
      <c r="FB217" s="392"/>
      <c r="FC217" s="392"/>
      <c r="FD217" s="392"/>
      <c r="FE217" s="392"/>
      <c r="FF217" s="392"/>
      <c r="FG217" s="392"/>
      <c r="FH217" s="392"/>
      <c r="FI217" s="392"/>
      <c r="FJ217" s="392"/>
      <c r="FK217" s="392"/>
      <c r="FL217" s="392"/>
      <c r="FM217" s="392"/>
      <c r="FN217" s="392"/>
      <c r="FO217" s="392"/>
      <c r="FP217" s="392"/>
      <c r="FQ217" s="392"/>
      <c r="FR217" s="392"/>
      <c r="FS217" s="392"/>
      <c r="FT217" s="392"/>
      <c r="FU217" s="392"/>
      <c r="FV217" s="392"/>
      <c r="FW217" s="392"/>
      <c r="FX217" s="392"/>
      <c r="FY217" s="392"/>
      <c r="FZ217" s="392"/>
      <c r="GA217" s="392"/>
      <c r="GB217" s="392"/>
      <c r="GC217" s="392"/>
      <c r="GD217" s="392"/>
      <c r="GE217" s="392"/>
      <c r="GF217" s="392"/>
      <c r="GG217" s="392"/>
      <c r="GH217" s="392"/>
      <c r="GI217" s="392"/>
      <c r="GJ217" s="392"/>
      <c r="GK217" s="392"/>
      <c r="GL217" s="392"/>
      <c r="GM217" s="392"/>
      <c r="GN217" s="392"/>
      <c r="GO217" s="392"/>
      <c r="GP217" s="392"/>
      <c r="GQ217" s="392"/>
      <c r="GR217" s="392"/>
      <c r="GS217" s="392"/>
      <c r="GT217" s="392"/>
      <c r="GU217" s="392"/>
      <c r="GV217" s="392"/>
      <c r="GW217" s="392"/>
      <c r="GX217" s="392"/>
      <c r="GY217" s="392"/>
      <c r="GZ217" s="392"/>
      <c r="HA217" s="392"/>
      <c r="HB217" s="392"/>
      <c r="HC217" s="392"/>
      <c r="HD217" s="392"/>
      <c r="HE217" s="392"/>
      <c r="HF217" s="392"/>
      <c r="HG217" s="392"/>
      <c r="HH217" s="392"/>
      <c r="HI217" s="392"/>
      <c r="HJ217" s="392"/>
      <c r="HK217" s="392"/>
      <c r="HL217" s="392"/>
      <c r="HM217" s="392"/>
      <c r="HN217" s="392"/>
      <c r="HO217" s="392"/>
      <c r="HP217" s="392"/>
      <c r="HQ217" s="392"/>
      <c r="HR217" s="392"/>
      <c r="HS217" s="392"/>
      <c r="HT217" s="392"/>
      <c r="HU217" s="392"/>
      <c r="HV217" s="392"/>
      <c r="HW217" s="392"/>
      <c r="HX217" s="392"/>
      <c r="HY217" s="392"/>
      <c r="HZ217" s="392"/>
      <c r="IA217" s="392"/>
      <c r="IB217" s="392"/>
      <c r="IC217" s="392"/>
      <c r="ID217" s="392"/>
      <c r="IE217" s="392"/>
      <c r="IF217" s="392"/>
      <c r="IG217" s="392"/>
      <c r="IH217" s="392"/>
      <c r="II217" s="392"/>
      <c r="IJ217" s="392"/>
      <c r="IK217" s="392"/>
      <c r="IL217" s="392"/>
      <c r="IM217" s="392"/>
      <c r="IN217" s="392"/>
      <c r="IO217" s="392"/>
      <c r="IP217" s="392"/>
      <c r="IQ217" s="392"/>
      <c r="IR217" s="392"/>
      <c r="IS217" s="392"/>
      <c r="IT217" s="392"/>
      <c r="IU217" s="392"/>
      <c r="IV217" s="392"/>
    </row>
    <row r="218" spans="1:256" ht="364.5" customHeight="1">
      <c r="A218" s="392"/>
      <c r="B218" s="2325"/>
      <c r="C218" s="2325"/>
      <c r="D218" s="2325"/>
      <c r="E218" s="2325"/>
      <c r="F218" s="2325"/>
      <c r="G218" s="2325"/>
      <c r="H218" s="392"/>
      <c r="I218" s="392"/>
      <c r="J218" s="392"/>
      <c r="K218" s="392"/>
      <c r="L218" s="392"/>
      <c r="M218" s="392"/>
      <c r="N218" s="392"/>
      <c r="O218" s="392"/>
      <c r="P218" s="392"/>
      <c r="Q218" s="392"/>
      <c r="R218" s="392"/>
      <c r="S218" s="392"/>
      <c r="T218" s="392"/>
      <c r="U218" s="392"/>
      <c r="V218" s="392"/>
      <c r="W218" s="392"/>
      <c r="X218" s="392"/>
      <c r="Y218" s="392"/>
      <c r="Z218" s="392"/>
      <c r="AA218" s="392"/>
      <c r="AB218" s="392"/>
      <c r="AC218" s="392"/>
      <c r="AD218" s="392"/>
      <c r="AE218" s="392"/>
      <c r="AF218" s="392"/>
      <c r="AG218" s="392"/>
      <c r="AH218" s="392"/>
      <c r="AI218" s="392"/>
      <c r="AJ218" s="392"/>
      <c r="AK218" s="392"/>
      <c r="AL218" s="392"/>
      <c r="AM218" s="392"/>
      <c r="AN218" s="392"/>
      <c r="AO218" s="392"/>
      <c r="AP218" s="392"/>
      <c r="AQ218" s="392"/>
      <c r="AR218" s="392"/>
      <c r="AS218" s="392"/>
      <c r="AT218" s="392"/>
      <c r="AU218" s="392"/>
      <c r="AV218" s="392"/>
      <c r="AW218" s="392"/>
      <c r="AX218" s="392"/>
      <c r="AY218" s="392"/>
      <c r="AZ218" s="392"/>
      <c r="BA218" s="392"/>
      <c r="BB218" s="392"/>
      <c r="BC218" s="392"/>
      <c r="BD218" s="392"/>
      <c r="BE218" s="392"/>
      <c r="BF218" s="392"/>
      <c r="BG218" s="392"/>
      <c r="BH218" s="392"/>
      <c r="BI218" s="392"/>
      <c r="BJ218" s="392"/>
      <c r="BK218" s="392"/>
      <c r="BL218" s="392"/>
      <c r="BM218" s="392"/>
      <c r="BN218" s="392"/>
      <c r="BO218" s="392"/>
      <c r="BP218" s="392"/>
      <c r="BQ218" s="392"/>
      <c r="BR218" s="392"/>
      <c r="BS218" s="392"/>
      <c r="BT218" s="392"/>
      <c r="BU218" s="392"/>
      <c r="BV218" s="392"/>
      <c r="BW218" s="392"/>
      <c r="BX218" s="392"/>
      <c r="BY218" s="392"/>
      <c r="BZ218" s="392"/>
      <c r="CA218" s="392"/>
      <c r="CB218" s="392"/>
      <c r="CC218" s="392"/>
      <c r="CD218" s="392"/>
      <c r="CE218" s="392"/>
      <c r="CF218" s="392"/>
      <c r="CG218" s="392"/>
      <c r="CH218" s="392"/>
      <c r="CI218" s="392"/>
      <c r="CJ218" s="392"/>
      <c r="CK218" s="392"/>
      <c r="CL218" s="392"/>
      <c r="CM218" s="392"/>
      <c r="CN218" s="392"/>
      <c r="CO218" s="392"/>
      <c r="CP218" s="392"/>
      <c r="CQ218" s="392"/>
      <c r="CR218" s="392"/>
      <c r="CS218" s="392"/>
      <c r="CT218" s="392"/>
      <c r="CU218" s="392"/>
      <c r="CV218" s="392"/>
      <c r="CW218" s="392"/>
      <c r="CX218" s="392"/>
      <c r="CY218" s="392"/>
      <c r="CZ218" s="392"/>
      <c r="DA218" s="392"/>
      <c r="DB218" s="392"/>
      <c r="DC218" s="392"/>
      <c r="DD218" s="392"/>
      <c r="DE218" s="392"/>
      <c r="DF218" s="392"/>
      <c r="DG218" s="392"/>
      <c r="DH218" s="392"/>
      <c r="DI218" s="392"/>
      <c r="DJ218" s="392"/>
      <c r="DK218" s="392"/>
      <c r="DL218" s="392"/>
      <c r="DM218" s="392"/>
      <c r="DN218" s="392"/>
      <c r="DO218" s="392"/>
      <c r="DP218" s="392"/>
      <c r="DQ218" s="392"/>
      <c r="DR218" s="392"/>
      <c r="DS218" s="392"/>
      <c r="DT218" s="392"/>
      <c r="DU218" s="392"/>
      <c r="DV218" s="392"/>
      <c r="DW218" s="392"/>
      <c r="DX218" s="392"/>
      <c r="DY218" s="392"/>
      <c r="DZ218" s="392"/>
      <c r="EA218" s="392"/>
      <c r="EB218" s="392"/>
      <c r="EC218" s="392"/>
      <c r="ED218" s="392"/>
      <c r="EE218" s="392"/>
      <c r="EF218" s="392"/>
      <c r="EG218" s="392"/>
      <c r="EH218" s="392"/>
      <c r="EI218" s="392"/>
      <c r="EJ218" s="392"/>
      <c r="EK218" s="392"/>
      <c r="EL218" s="392"/>
      <c r="EM218" s="392"/>
      <c r="EN218" s="392"/>
      <c r="EO218" s="392"/>
      <c r="EP218" s="392"/>
      <c r="EQ218" s="392"/>
      <c r="ER218" s="392"/>
      <c r="ES218" s="392"/>
      <c r="ET218" s="392"/>
      <c r="EU218" s="392"/>
      <c r="EV218" s="392"/>
      <c r="EW218" s="392"/>
      <c r="EX218" s="392"/>
      <c r="EY218" s="392"/>
      <c r="EZ218" s="392"/>
      <c r="FA218" s="392"/>
      <c r="FB218" s="392"/>
      <c r="FC218" s="392"/>
      <c r="FD218" s="392"/>
      <c r="FE218" s="392"/>
      <c r="FF218" s="392"/>
      <c r="FG218" s="392"/>
      <c r="FH218" s="392"/>
      <c r="FI218" s="392"/>
      <c r="FJ218" s="392"/>
      <c r="FK218" s="392"/>
      <c r="FL218" s="392"/>
      <c r="FM218" s="392"/>
      <c r="FN218" s="392"/>
      <c r="FO218" s="392"/>
      <c r="FP218" s="392"/>
      <c r="FQ218" s="392"/>
      <c r="FR218" s="392"/>
      <c r="FS218" s="392"/>
      <c r="FT218" s="392"/>
      <c r="FU218" s="392"/>
      <c r="FV218" s="392"/>
      <c r="FW218" s="392"/>
      <c r="FX218" s="392"/>
      <c r="FY218" s="392"/>
      <c r="FZ218" s="392"/>
      <c r="GA218" s="392"/>
      <c r="GB218" s="392"/>
      <c r="GC218" s="392"/>
      <c r="GD218" s="392"/>
      <c r="GE218" s="392"/>
      <c r="GF218" s="392"/>
      <c r="GG218" s="392"/>
      <c r="GH218" s="392"/>
      <c r="GI218" s="392"/>
      <c r="GJ218" s="392"/>
      <c r="GK218" s="392"/>
      <c r="GL218" s="392"/>
      <c r="GM218" s="392"/>
      <c r="GN218" s="392"/>
      <c r="GO218" s="392"/>
      <c r="GP218" s="392"/>
      <c r="GQ218" s="392"/>
      <c r="GR218" s="392"/>
      <c r="GS218" s="392"/>
      <c r="GT218" s="392"/>
      <c r="GU218" s="392"/>
      <c r="GV218" s="392"/>
      <c r="GW218" s="392"/>
      <c r="GX218" s="392"/>
      <c r="GY218" s="392"/>
      <c r="GZ218" s="392"/>
      <c r="HA218" s="392"/>
      <c r="HB218" s="392"/>
      <c r="HC218" s="392"/>
      <c r="HD218" s="392"/>
      <c r="HE218" s="392"/>
      <c r="HF218" s="392"/>
      <c r="HG218" s="392"/>
      <c r="HH218" s="392"/>
      <c r="HI218" s="392"/>
      <c r="HJ218" s="392"/>
      <c r="HK218" s="392"/>
      <c r="HL218" s="392"/>
      <c r="HM218" s="392"/>
      <c r="HN218" s="392"/>
      <c r="HO218" s="392"/>
      <c r="HP218" s="392"/>
      <c r="HQ218" s="392"/>
      <c r="HR218" s="392"/>
      <c r="HS218" s="392"/>
      <c r="HT218" s="392"/>
      <c r="HU218" s="392"/>
      <c r="HV218" s="392"/>
      <c r="HW218" s="392"/>
      <c r="HX218" s="392"/>
      <c r="HY218" s="392"/>
      <c r="HZ218" s="392"/>
      <c r="IA218" s="392"/>
      <c r="IB218" s="392"/>
      <c r="IC218" s="392"/>
      <c r="ID218" s="392"/>
      <c r="IE218" s="392"/>
      <c r="IF218" s="392"/>
      <c r="IG218" s="392"/>
      <c r="IH218" s="392"/>
      <c r="II218" s="392"/>
      <c r="IJ218" s="392"/>
      <c r="IK218" s="392"/>
      <c r="IL218" s="392"/>
      <c r="IM218" s="392"/>
      <c r="IN218" s="392"/>
      <c r="IO218" s="392"/>
      <c r="IP218" s="392"/>
      <c r="IQ218" s="392"/>
      <c r="IR218" s="392"/>
      <c r="IS218" s="392"/>
      <c r="IT218" s="392"/>
      <c r="IU218" s="392"/>
      <c r="IV218" s="392"/>
    </row>
    <row r="219" spans="1:256" ht="324.75" customHeight="1" thickBot="1">
      <c r="A219" s="392"/>
      <c r="B219" s="2326"/>
      <c r="C219" s="2326"/>
      <c r="D219" s="2326"/>
      <c r="E219" s="2326"/>
      <c r="F219" s="2326"/>
      <c r="G219" s="2326"/>
      <c r="H219" s="392"/>
      <c r="I219" s="392"/>
      <c r="J219" s="392"/>
      <c r="K219" s="392"/>
      <c r="L219" s="392"/>
      <c r="M219" s="392"/>
      <c r="N219" s="392"/>
      <c r="O219" s="392"/>
      <c r="P219" s="392"/>
      <c r="Q219" s="392"/>
      <c r="R219" s="392"/>
      <c r="S219" s="392"/>
      <c r="T219" s="392"/>
      <c r="U219" s="392"/>
      <c r="V219" s="392"/>
      <c r="W219" s="392"/>
      <c r="X219" s="392"/>
      <c r="Y219" s="392"/>
      <c r="Z219" s="392"/>
      <c r="AA219" s="392"/>
      <c r="AB219" s="392"/>
      <c r="AC219" s="392"/>
      <c r="AD219" s="392"/>
      <c r="AE219" s="392"/>
      <c r="AF219" s="392"/>
      <c r="AG219" s="392"/>
      <c r="AH219" s="392"/>
      <c r="AI219" s="392"/>
      <c r="AJ219" s="392"/>
      <c r="AK219" s="392"/>
      <c r="AL219" s="392"/>
      <c r="AM219" s="392"/>
      <c r="AN219" s="392"/>
      <c r="AO219" s="392"/>
      <c r="AP219" s="392"/>
      <c r="AQ219" s="392"/>
      <c r="AR219" s="392"/>
      <c r="AS219" s="392"/>
      <c r="AT219" s="392"/>
      <c r="AU219" s="392"/>
      <c r="AV219" s="392"/>
      <c r="AW219" s="392"/>
      <c r="AX219" s="392"/>
      <c r="AY219" s="392"/>
      <c r="AZ219" s="392"/>
      <c r="BA219" s="392"/>
      <c r="BB219" s="392"/>
      <c r="BC219" s="392"/>
      <c r="BD219" s="392"/>
      <c r="BE219" s="392"/>
      <c r="BF219" s="392"/>
      <c r="BG219" s="392"/>
      <c r="BH219" s="392"/>
      <c r="BI219" s="392"/>
      <c r="BJ219" s="392"/>
      <c r="BK219" s="392"/>
      <c r="BL219" s="392"/>
      <c r="BM219" s="392"/>
      <c r="BN219" s="392"/>
      <c r="BO219" s="392"/>
      <c r="BP219" s="392"/>
      <c r="BQ219" s="392"/>
      <c r="BR219" s="392"/>
      <c r="BS219" s="392"/>
      <c r="BT219" s="392"/>
      <c r="BU219" s="392"/>
      <c r="BV219" s="392"/>
      <c r="BW219" s="392"/>
      <c r="BX219" s="392"/>
      <c r="BY219" s="392"/>
      <c r="BZ219" s="392"/>
      <c r="CA219" s="392"/>
      <c r="CB219" s="392"/>
      <c r="CC219" s="392"/>
      <c r="CD219" s="392"/>
      <c r="CE219" s="392"/>
      <c r="CF219" s="392"/>
      <c r="CG219" s="392"/>
      <c r="CH219" s="392"/>
      <c r="CI219" s="392"/>
      <c r="CJ219" s="392"/>
      <c r="CK219" s="392"/>
      <c r="CL219" s="392"/>
      <c r="CM219" s="392"/>
      <c r="CN219" s="392"/>
      <c r="CO219" s="392"/>
      <c r="CP219" s="392"/>
      <c r="CQ219" s="392"/>
      <c r="CR219" s="392"/>
      <c r="CS219" s="392"/>
      <c r="CT219" s="392"/>
      <c r="CU219" s="392"/>
      <c r="CV219" s="392"/>
      <c r="CW219" s="392"/>
      <c r="CX219" s="392"/>
      <c r="CY219" s="392"/>
      <c r="CZ219" s="392"/>
      <c r="DA219" s="392"/>
      <c r="DB219" s="392"/>
      <c r="DC219" s="392"/>
      <c r="DD219" s="392"/>
      <c r="DE219" s="392"/>
      <c r="DF219" s="392"/>
      <c r="DG219" s="392"/>
      <c r="DH219" s="392"/>
      <c r="DI219" s="392"/>
      <c r="DJ219" s="392"/>
      <c r="DK219" s="392"/>
      <c r="DL219" s="392"/>
      <c r="DM219" s="392"/>
      <c r="DN219" s="392"/>
      <c r="DO219" s="392"/>
      <c r="DP219" s="392"/>
      <c r="DQ219" s="392"/>
      <c r="DR219" s="392"/>
      <c r="DS219" s="392"/>
      <c r="DT219" s="392"/>
      <c r="DU219" s="392"/>
      <c r="DV219" s="392"/>
      <c r="DW219" s="392"/>
      <c r="DX219" s="392"/>
      <c r="DY219" s="392"/>
      <c r="DZ219" s="392"/>
      <c r="EA219" s="392"/>
      <c r="EB219" s="392"/>
      <c r="EC219" s="392"/>
      <c r="ED219" s="392"/>
      <c r="EE219" s="392"/>
      <c r="EF219" s="392"/>
      <c r="EG219" s="392"/>
      <c r="EH219" s="392"/>
      <c r="EI219" s="392"/>
      <c r="EJ219" s="392"/>
      <c r="EK219" s="392"/>
      <c r="EL219" s="392"/>
      <c r="EM219" s="392"/>
      <c r="EN219" s="392"/>
      <c r="EO219" s="392"/>
      <c r="EP219" s="392"/>
      <c r="EQ219" s="392"/>
      <c r="ER219" s="392"/>
      <c r="ES219" s="392"/>
      <c r="ET219" s="392"/>
      <c r="EU219" s="392"/>
      <c r="EV219" s="392"/>
      <c r="EW219" s="392"/>
      <c r="EX219" s="392"/>
      <c r="EY219" s="392"/>
      <c r="EZ219" s="392"/>
      <c r="FA219" s="392"/>
      <c r="FB219" s="392"/>
      <c r="FC219" s="392"/>
      <c r="FD219" s="392"/>
      <c r="FE219" s="392"/>
      <c r="FF219" s="392"/>
      <c r="FG219" s="392"/>
      <c r="FH219" s="392"/>
      <c r="FI219" s="392"/>
      <c r="FJ219" s="392"/>
      <c r="FK219" s="392"/>
      <c r="FL219" s="392"/>
      <c r="FM219" s="392"/>
      <c r="FN219" s="392"/>
      <c r="FO219" s="392"/>
      <c r="FP219" s="392"/>
      <c r="FQ219" s="392"/>
      <c r="FR219" s="392"/>
      <c r="FS219" s="392"/>
      <c r="FT219" s="392"/>
      <c r="FU219" s="392"/>
      <c r="FV219" s="392"/>
      <c r="FW219" s="392"/>
      <c r="FX219" s="392"/>
      <c r="FY219" s="392"/>
      <c r="FZ219" s="392"/>
      <c r="GA219" s="392"/>
      <c r="GB219" s="392"/>
      <c r="GC219" s="392"/>
      <c r="GD219" s="392"/>
      <c r="GE219" s="392"/>
      <c r="GF219" s="392"/>
      <c r="GG219" s="392"/>
      <c r="GH219" s="392"/>
      <c r="GI219" s="392"/>
      <c r="GJ219" s="392"/>
      <c r="GK219" s="392"/>
      <c r="GL219" s="392"/>
      <c r="GM219" s="392"/>
      <c r="GN219" s="392"/>
      <c r="GO219" s="392"/>
      <c r="GP219" s="392"/>
      <c r="GQ219" s="392"/>
      <c r="GR219" s="392"/>
      <c r="GS219" s="392"/>
      <c r="GT219" s="392"/>
      <c r="GU219" s="392"/>
      <c r="GV219" s="392"/>
      <c r="GW219" s="392"/>
      <c r="GX219" s="392"/>
      <c r="GY219" s="392"/>
      <c r="GZ219" s="392"/>
      <c r="HA219" s="392"/>
      <c r="HB219" s="392"/>
      <c r="HC219" s="392"/>
      <c r="HD219" s="392"/>
      <c r="HE219" s="392"/>
      <c r="HF219" s="392"/>
      <c r="HG219" s="392"/>
      <c r="HH219" s="392"/>
      <c r="HI219" s="392"/>
      <c r="HJ219" s="392"/>
      <c r="HK219" s="392"/>
      <c r="HL219" s="392"/>
      <c r="HM219" s="392"/>
      <c r="HN219" s="392"/>
      <c r="HO219" s="392"/>
      <c r="HP219" s="392"/>
      <c r="HQ219" s="392"/>
      <c r="HR219" s="392"/>
      <c r="HS219" s="392"/>
      <c r="HT219" s="392"/>
      <c r="HU219" s="392"/>
      <c r="HV219" s="392"/>
      <c r="HW219" s="392"/>
      <c r="HX219" s="392"/>
      <c r="HY219" s="392"/>
      <c r="HZ219" s="392"/>
      <c r="IA219" s="392"/>
      <c r="IB219" s="392"/>
      <c r="IC219" s="392"/>
      <c r="ID219" s="392"/>
      <c r="IE219" s="392"/>
      <c r="IF219" s="392"/>
      <c r="IG219" s="392"/>
      <c r="IH219" s="392"/>
      <c r="II219" s="392"/>
      <c r="IJ219" s="392"/>
      <c r="IK219" s="392"/>
      <c r="IL219" s="392"/>
      <c r="IM219" s="392"/>
      <c r="IN219" s="392"/>
      <c r="IO219" s="392"/>
      <c r="IP219" s="392"/>
      <c r="IQ219" s="392"/>
      <c r="IR219" s="392"/>
      <c r="IS219" s="392"/>
      <c r="IT219" s="392"/>
      <c r="IU219" s="392"/>
      <c r="IV219" s="392"/>
    </row>
    <row r="220" spans="1:256" ht="31.5">
      <c r="A220" s="392"/>
      <c r="B220" s="581" t="s">
        <v>1706</v>
      </c>
      <c r="C220" s="2327" t="s">
        <v>2090</v>
      </c>
      <c r="D220" s="2328"/>
      <c r="E220" s="2328"/>
      <c r="F220" s="2329"/>
      <c r="G220" s="554" t="s">
        <v>22</v>
      </c>
      <c r="H220" s="392"/>
      <c r="I220" s="392"/>
      <c r="J220" s="392"/>
      <c r="K220" s="392"/>
      <c r="L220" s="392"/>
      <c r="M220" s="392"/>
      <c r="N220" s="392"/>
      <c r="O220" s="392"/>
      <c r="P220" s="392"/>
      <c r="Q220" s="392"/>
      <c r="R220" s="392"/>
      <c r="S220" s="392"/>
      <c r="T220" s="392"/>
      <c r="U220" s="392"/>
      <c r="V220" s="392"/>
      <c r="W220" s="392"/>
      <c r="X220" s="392"/>
      <c r="Y220" s="392"/>
      <c r="Z220" s="392"/>
      <c r="AA220" s="392"/>
      <c r="AB220" s="392"/>
      <c r="AC220" s="392"/>
      <c r="AD220" s="392"/>
      <c r="AE220" s="392"/>
      <c r="AF220" s="392"/>
      <c r="AG220" s="392"/>
      <c r="AH220" s="392"/>
      <c r="AI220" s="392"/>
      <c r="AJ220" s="392"/>
      <c r="AK220" s="392"/>
      <c r="AL220" s="392"/>
      <c r="AM220" s="392"/>
      <c r="AN220" s="392"/>
      <c r="AO220" s="392"/>
      <c r="AP220" s="392"/>
      <c r="AQ220" s="392"/>
      <c r="AR220" s="392"/>
      <c r="AS220" s="392"/>
      <c r="AT220" s="392"/>
      <c r="AU220" s="392"/>
      <c r="AV220" s="392"/>
      <c r="AW220" s="392"/>
      <c r="AX220" s="392"/>
      <c r="AY220" s="392"/>
      <c r="AZ220" s="392"/>
      <c r="BA220" s="392"/>
      <c r="BB220" s="392"/>
      <c r="BC220" s="392"/>
      <c r="BD220" s="392"/>
      <c r="BE220" s="392"/>
      <c r="BF220" s="392"/>
      <c r="BG220" s="392"/>
      <c r="BH220" s="392"/>
      <c r="BI220" s="392"/>
      <c r="BJ220" s="392"/>
      <c r="BK220" s="392"/>
      <c r="BL220" s="392"/>
      <c r="BM220" s="392"/>
      <c r="BN220" s="392"/>
      <c r="BO220" s="392"/>
      <c r="BP220" s="392"/>
      <c r="BQ220" s="392"/>
      <c r="BR220" s="392"/>
      <c r="BS220" s="392"/>
      <c r="BT220" s="392"/>
      <c r="BU220" s="392"/>
      <c r="BV220" s="392"/>
      <c r="BW220" s="392"/>
      <c r="BX220" s="392"/>
      <c r="BY220" s="392"/>
      <c r="BZ220" s="392"/>
      <c r="CA220" s="392"/>
      <c r="CB220" s="392"/>
      <c r="CC220" s="392"/>
      <c r="CD220" s="392"/>
      <c r="CE220" s="392"/>
      <c r="CF220" s="392"/>
      <c r="CG220" s="392"/>
      <c r="CH220" s="392"/>
      <c r="CI220" s="392"/>
      <c r="CJ220" s="392"/>
      <c r="CK220" s="392"/>
      <c r="CL220" s="392"/>
      <c r="CM220" s="392"/>
      <c r="CN220" s="392"/>
      <c r="CO220" s="392"/>
      <c r="CP220" s="392"/>
      <c r="CQ220" s="392"/>
      <c r="CR220" s="392"/>
      <c r="CS220" s="392"/>
      <c r="CT220" s="392"/>
      <c r="CU220" s="392"/>
      <c r="CV220" s="392"/>
      <c r="CW220" s="392"/>
      <c r="CX220" s="392"/>
      <c r="CY220" s="392"/>
      <c r="CZ220" s="392"/>
      <c r="DA220" s="392"/>
      <c r="DB220" s="392"/>
      <c r="DC220" s="392"/>
      <c r="DD220" s="392"/>
      <c r="DE220" s="392"/>
      <c r="DF220" s="392"/>
      <c r="DG220" s="392"/>
      <c r="DH220" s="392"/>
      <c r="DI220" s="392"/>
      <c r="DJ220" s="392"/>
      <c r="DK220" s="392"/>
      <c r="DL220" s="392"/>
      <c r="DM220" s="392"/>
      <c r="DN220" s="392"/>
      <c r="DO220" s="392"/>
      <c r="DP220" s="392"/>
      <c r="DQ220" s="392"/>
      <c r="DR220" s="392"/>
      <c r="DS220" s="392"/>
      <c r="DT220" s="392"/>
      <c r="DU220" s="392"/>
      <c r="DV220" s="392"/>
      <c r="DW220" s="392"/>
      <c r="DX220" s="392"/>
      <c r="DY220" s="392"/>
      <c r="DZ220" s="392"/>
      <c r="EA220" s="392"/>
      <c r="EB220" s="392"/>
      <c r="EC220" s="392"/>
      <c r="ED220" s="392"/>
      <c r="EE220" s="392"/>
      <c r="EF220" s="392"/>
      <c r="EG220" s="392"/>
      <c r="EH220" s="392"/>
      <c r="EI220" s="392"/>
      <c r="EJ220" s="392"/>
      <c r="EK220" s="392"/>
      <c r="EL220" s="392"/>
      <c r="EM220" s="392"/>
      <c r="EN220" s="392"/>
      <c r="EO220" s="392"/>
      <c r="EP220" s="392"/>
      <c r="EQ220" s="392"/>
      <c r="ER220" s="392"/>
      <c r="ES220" s="392"/>
      <c r="ET220" s="392"/>
      <c r="EU220" s="392"/>
      <c r="EV220" s="392"/>
      <c r="EW220" s="392"/>
      <c r="EX220" s="392"/>
      <c r="EY220" s="392"/>
      <c r="EZ220" s="392"/>
      <c r="FA220" s="392"/>
      <c r="FB220" s="392"/>
      <c r="FC220" s="392"/>
      <c r="FD220" s="392"/>
      <c r="FE220" s="392"/>
      <c r="FF220" s="392"/>
      <c r="FG220" s="392"/>
      <c r="FH220" s="392"/>
      <c r="FI220" s="392"/>
      <c r="FJ220" s="392"/>
      <c r="FK220" s="392"/>
      <c r="FL220" s="392"/>
      <c r="FM220" s="392"/>
      <c r="FN220" s="392"/>
      <c r="FO220" s="392"/>
      <c r="FP220" s="392"/>
      <c r="FQ220" s="392"/>
      <c r="FR220" s="392"/>
      <c r="FS220" s="392"/>
      <c r="FT220" s="392"/>
      <c r="FU220" s="392"/>
      <c r="FV220" s="392"/>
      <c r="FW220" s="392"/>
      <c r="FX220" s="392"/>
      <c r="FY220" s="392"/>
      <c r="FZ220" s="392"/>
      <c r="GA220" s="392"/>
      <c r="GB220" s="392"/>
      <c r="GC220" s="392"/>
      <c r="GD220" s="392"/>
      <c r="GE220" s="392"/>
      <c r="GF220" s="392"/>
      <c r="GG220" s="392"/>
      <c r="GH220" s="392"/>
      <c r="GI220" s="392"/>
      <c r="GJ220" s="392"/>
      <c r="GK220" s="392"/>
      <c r="GL220" s="392"/>
      <c r="GM220" s="392"/>
      <c r="GN220" s="392"/>
      <c r="GO220" s="392"/>
      <c r="GP220" s="392"/>
      <c r="GQ220" s="392"/>
      <c r="GR220" s="392"/>
      <c r="GS220" s="392"/>
      <c r="GT220" s="392"/>
      <c r="GU220" s="392"/>
      <c r="GV220" s="392"/>
      <c r="GW220" s="392"/>
      <c r="GX220" s="392"/>
      <c r="GY220" s="392"/>
      <c r="GZ220" s="392"/>
      <c r="HA220" s="392"/>
      <c r="HB220" s="392"/>
      <c r="HC220" s="392"/>
      <c r="HD220" s="392"/>
      <c r="HE220" s="392"/>
      <c r="HF220" s="392"/>
      <c r="HG220" s="392"/>
      <c r="HH220" s="392"/>
      <c r="HI220" s="392"/>
      <c r="HJ220" s="392"/>
      <c r="HK220" s="392"/>
      <c r="HL220" s="392"/>
      <c r="HM220" s="392"/>
      <c r="HN220" s="392"/>
      <c r="HO220" s="392"/>
      <c r="HP220" s="392"/>
      <c r="HQ220" s="392"/>
      <c r="HR220" s="392"/>
      <c r="HS220" s="392"/>
      <c r="HT220" s="392"/>
      <c r="HU220" s="392"/>
      <c r="HV220" s="392"/>
      <c r="HW220" s="392"/>
      <c r="HX220" s="392"/>
      <c r="HY220" s="392"/>
      <c r="HZ220" s="392"/>
      <c r="IA220" s="392"/>
      <c r="IB220" s="392"/>
      <c r="IC220" s="392"/>
      <c r="ID220" s="392"/>
      <c r="IE220" s="392"/>
      <c r="IF220" s="392"/>
      <c r="IG220" s="392"/>
      <c r="IH220" s="392"/>
      <c r="II220" s="392"/>
      <c r="IJ220" s="392"/>
      <c r="IK220" s="392"/>
      <c r="IL220" s="392"/>
      <c r="IM220" s="392"/>
      <c r="IN220" s="392"/>
      <c r="IO220" s="392"/>
      <c r="IP220" s="392"/>
      <c r="IQ220" s="392"/>
      <c r="IR220" s="392"/>
      <c r="IS220" s="392"/>
      <c r="IT220" s="392"/>
      <c r="IU220" s="392"/>
      <c r="IV220" s="392"/>
    </row>
    <row r="221" spans="1:256" ht="31.5">
      <c r="A221" s="392"/>
      <c r="B221" s="366" t="s">
        <v>1708</v>
      </c>
      <c r="C221" s="582" t="s">
        <v>161</v>
      </c>
      <c r="D221" s="582" t="s">
        <v>22</v>
      </c>
      <c r="E221" s="2330" t="s">
        <v>162</v>
      </c>
      <c r="F221" s="2331"/>
      <c r="G221" s="2332"/>
      <c r="H221" s="392"/>
      <c r="I221" s="392"/>
      <c r="J221" s="392"/>
      <c r="K221" s="392"/>
      <c r="L221" s="392"/>
      <c r="M221" s="392"/>
      <c r="N221" s="392"/>
      <c r="O221" s="392"/>
      <c r="P221" s="392"/>
      <c r="Q221" s="392"/>
      <c r="R221" s="392"/>
      <c r="S221" s="392"/>
      <c r="T221" s="392"/>
      <c r="U221" s="392"/>
      <c r="V221" s="392"/>
      <c r="W221" s="392"/>
      <c r="X221" s="392"/>
      <c r="Y221" s="392"/>
      <c r="Z221" s="392"/>
      <c r="AA221" s="392"/>
      <c r="AB221" s="392"/>
      <c r="AC221" s="392"/>
      <c r="AD221" s="392"/>
      <c r="AE221" s="392"/>
      <c r="AF221" s="392"/>
      <c r="AG221" s="392"/>
      <c r="AH221" s="392"/>
      <c r="AI221" s="392"/>
      <c r="AJ221" s="392"/>
      <c r="AK221" s="392"/>
      <c r="AL221" s="392"/>
      <c r="AM221" s="392"/>
      <c r="AN221" s="392"/>
      <c r="AO221" s="392"/>
      <c r="AP221" s="392"/>
      <c r="AQ221" s="392"/>
      <c r="AR221" s="392"/>
      <c r="AS221" s="392"/>
      <c r="AT221" s="392"/>
      <c r="AU221" s="392"/>
      <c r="AV221" s="392"/>
      <c r="AW221" s="392"/>
      <c r="AX221" s="392"/>
      <c r="AY221" s="392"/>
      <c r="AZ221" s="392"/>
      <c r="BA221" s="392"/>
      <c r="BB221" s="392"/>
      <c r="BC221" s="392"/>
      <c r="BD221" s="392"/>
      <c r="BE221" s="392"/>
      <c r="BF221" s="392"/>
      <c r="BG221" s="392"/>
      <c r="BH221" s="392"/>
      <c r="BI221" s="392"/>
      <c r="BJ221" s="392"/>
      <c r="BK221" s="392"/>
      <c r="BL221" s="392"/>
      <c r="BM221" s="392"/>
      <c r="BN221" s="392"/>
      <c r="BO221" s="392"/>
      <c r="BP221" s="392"/>
      <c r="BQ221" s="392"/>
      <c r="BR221" s="392"/>
      <c r="BS221" s="392"/>
      <c r="BT221" s="392"/>
      <c r="BU221" s="392"/>
      <c r="BV221" s="392"/>
      <c r="BW221" s="392"/>
      <c r="BX221" s="392"/>
      <c r="BY221" s="392"/>
      <c r="BZ221" s="392"/>
      <c r="CA221" s="392"/>
      <c r="CB221" s="392"/>
      <c r="CC221" s="392"/>
      <c r="CD221" s="392"/>
      <c r="CE221" s="392"/>
      <c r="CF221" s="392"/>
      <c r="CG221" s="392"/>
      <c r="CH221" s="392"/>
      <c r="CI221" s="392"/>
      <c r="CJ221" s="392"/>
      <c r="CK221" s="392"/>
      <c r="CL221" s="392"/>
      <c r="CM221" s="392"/>
      <c r="CN221" s="392"/>
      <c r="CO221" s="392"/>
      <c r="CP221" s="392"/>
      <c r="CQ221" s="392"/>
      <c r="CR221" s="392"/>
      <c r="CS221" s="392"/>
      <c r="CT221" s="392"/>
      <c r="CU221" s="392"/>
      <c r="CV221" s="392"/>
      <c r="CW221" s="392"/>
      <c r="CX221" s="392"/>
      <c r="CY221" s="392"/>
      <c r="CZ221" s="392"/>
      <c r="DA221" s="392"/>
      <c r="DB221" s="392"/>
      <c r="DC221" s="392"/>
      <c r="DD221" s="392"/>
      <c r="DE221" s="392"/>
      <c r="DF221" s="392"/>
      <c r="DG221" s="392"/>
      <c r="DH221" s="392"/>
      <c r="DI221" s="392"/>
      <c r="DJ221" s="392"/>
      <c r="DK221" s="392"/>
      <c r="DL221" s="392"/>
      <c r="DM221" s="392"/>
      <c r="DN221" s="392"/>
      <c r="DO221" s="392"/>
      <c r="DP221" s="392"/>
      <c r="DQ221" s="392"/>
      <c r="DR221" s="392"/>
      <c r="DS221" s="392"/>
      <c r="DT221" s="392"/>
      <c r="DU221" s="392"/>
      <c r="DV221" s="392"/>
      <c r="DW221" s="392"/>
      <c r="DX221" s="392"/>
      <c r="DY221" s="392"/>
      <c r="DZ221" s="392"/>
      <c r="EA221" s="392"/>
      <c r="EB221" s="392"/>
      <c r="EC221" s="392"/>
      <c r="ED221" s="392"/>
      <c r="EE221" s="392"/>
      <c r="EF221" s="392"/>
      <c r="EG221" s="392"/>
      <c r="EH221" s="392"/>
      <c r="EI221" s="392"/>
      <c r="EJ221" s="392"/>
      <c r="EK221" s="392"/>
      <c r="EL221" s="392"/>
      <c r="EM221" s="392"/>
      <c r="EN221" s="392"/>
      <c r="EO221" s="392"/>
      <c r="EP221" s="392"/>
      <c r="EQ221" s="392"/>
      <c r="ER221" s="392"/>
      <c r="ES221" s="392"/>
      <c r="ET221" s="392"/>
      <c r="EU221" s="392"/>
      <c r="EV221" s="392"/>
      <c r="EW221" s="392"/>
      <c r="EX221" s="392"/>
      <c r="EY221" s="392"/>
      <c r="EZ221" s="392"/>
      <c r="FA221" s="392"/>
      <c r="FB221" s="392"/>
      <c r="FC221" s="392"/>
      <c r="FD221" s="392"/>
      <c r="FE221" s="392"/>
      <c r="FF221" s="392"/>
      <c r="FG221" s="392"/>
      <c r="FH221" s="392"/>
      <c r="FI221" s="392"/>
      <c r="FJ221" s="392"/>
      <c r="FK221" s="392"/>
      <c r="FL221" s="392"/>
      <c r="FM221" s="392"/>
      <c r="FN221" s="392"/>
      <c r="FO221" s="392"/>
      <c r="FP221" s="392"/>
      <c r="FQ221" s="392"/>
      <c r="FR221" s="392"/>
      <c r="FS221" s="392"/>
      <c r="FT221" s="392"/>
      <c r="FU221" s="392"/>
      <c r="FV221" s="392"/>
      <c r="FW221" s="392"/>
      <c r="FX221" s="392"/>
      <c r="FY221" s="392"/>
      <c r="FZ221" s="392"/>
      <c r="GA221" s="392"/>
      <c r="GB221" s="392"/>
      <c r="GC221" s="392"/>
      <c r="GD221" s="392"/>
      <c r="GE221" s="392"/>
      <c r="GF221" s="392"/>
      <c r="GG221" s="392"/>
      <c r="GH221" s="392"/>
      <c r="GI221" s="392"/>
      <c r="GJ221" s="392"/>
      <c r="GK221" s="392"/>
      <c r="GL221" s="392"/>
      <c r="GM221" s="392"/>
      <c r="GN221" s="392"/>
      <c r="GO221" s="392"/>
      <c r="GP221" s="392"/>
      <c r="GQ221" s="392"/>
      <c r="GR221" s="392"/>
      <c r="GS221" s="392"/>
      <c r="GT221" s="392"/>
      <c r="GU221" s="392"/>
      <c r="GV221" s="392"/>
      <c r="GW221" s="392"/>
      <c r="GX221" s="392"/>
      <c r="GY221" s="392"/>
      <c r="GZ221" s="392"/>
      <c r="HA221" s="392"/>
      <c r="HB221" s="392"/>
      <c r="HC221" s="392"/>
      <c r="HD221" s="392"/>
      <c r="HE221" s="392"/>
      <c r="HF221" s="392"/>
      <c r="HG221" s="392"/>
      <c r="HH221" s="392"/>
      <c r="HI221" s="392"/>
      <c r="HJ221" s="392"/>
      <c r="HK221" s="392"/>
      <c r="HL221" s="392"/>
      <c r="HM221" s="392"/>
      <c r="HN221" s="392"/>
      <c r="HO221" s="392"/>
      <c r="HP221" s="392"/>
      <c r="HQ221" s="392"/>
      <c r="HR221" s="392"/>
      <c r="HS221" s="392"/>
      <c r="HT221" s="392"/>
      <c r="HU221" s="392"/>
      <c r="HV221" s="392"/>
      <c r="HW221" s="392"/>
      <c r="HX221" s="392"/>
      <c r="HY221" s="392"/>
      <c r="HZ221" s="392"/>
      <c r="IA221" s="392"/>
      <c r="IB221" s="392"/>
      <c r="IC221" s="392"/>
      <c r="ID221" s="392"/>
      <c r="IE221" s="392"/>
      <c r="IF221" s="392"/>
      <c r="IG221" s="392"/>
      <c r="IH221" s="392"/>
      <c r="II221" s="392"/>
      <c r="IJ221" s="392"/>
      <c r="IK221" s="392"/>
      <c r="IL221" s="392"/>
      <c r="IM221" s="392"/>
      <c r="IN221" s="392"/>
      <c r="IO221" s="392"/>
      <c r="IP221" s="392"/>
      <c r="IQ221" s="392"/>
      <c r="IR221" s="392"/>
      <c r="IS221" s="392"/>
      <c r="IT221" s="392"/>
      <c r="IU221" s="392"/>
      <c r="IV221" s="392"/>
    </row>
    <row r="222" spans="1:256" ht="15.75">
      <c r="A222" s="392"/>
      <c r="B222" s="2333" t="s">
        <v>165</v>
      </c>
      <c r="C222" s="2334"/>
      <c r="D222" s="2334"/>
      <c r="E222" s="2334"/>
      <c r="F222" s="2334"/>
      <c r="G222" s="2335"/>
      <c r="H222" s="392"/>
      <c r="I222" s="392"/>
      <c r="J222" s="392"/>
      <c r="K222" s="392"/>
      <c r="L222" s="392"/>
      <c r="M222" s="392"/>
      <c r="N222" s="392"/>
      <c r="O222" s="392"/>
      <c r="P222" s="392"/>
      <c r="Q222" s="392"/>
      <c r="R222" s="392"/>
      <c r="S222" s="392"/>
      <c r="T222" s="392"/>
      <c r="U222" s="392"/>
      <c r="V222" s="392"/>
      <c r="W222" s="392"/>
      <c r="X222" s="392"/>
      <c r="Y222" s="392"/>
      <c r="Z222" s="392"/>
      <c r="AA222" s="392"/>
      <c r="AB222" s="392"/>
      <c r="AC222" s="392"/>
      <c r="AD222" s="392"/>
      <c r="AE222" s="392"/>
      <c r="AF222" s="392"/>
      <c r="AG222" s="392"/>
      <c r="AH222" s="392"/>
      <c r="AI222" s="392"/>
      <c r="AJ222" s="392"/>
      <c r="AK222" s="392"/>
      <c r="AL222" s="392"/>
      <c r="AM222" s="392"/>
      <c r="AN222" s="392"/>
      <c r="AO222" s="392"/>
      <c r="AP222" s="392"/>
      <c r="AQ222" s="392"/>
      <c r="AR222" s="392"/>
      <c r="AS222" s="392"/>
      <c r="AT222" s="392"/>
      <c r="AU222" s="392"/>
      <c r="AV222" s="392"/>
      <c r="AW222" s="392"/>
      <c r="AX222" s="392"/>
      <c r="AY222" s="392"/>
      <c r="AZ222" s="392"/>
      <c r="BA222" s="392"/>
      <c r="BB222" s="392"/>
      <c r="BC222" s="392"/>
      <c r="BD222" s="392"/>
      <c r="BE222" s="392"/>
      <c r="BF222" s="392"/>
      <c r="BG222" s="392"/>
      <c r="BH222" s="392"/>
      <c r="BI222" s="392"/>
      <c r="BJ222" s="392"/>
      <c r="BK222" s="392"/>
      <c r="BL222" s="392"/>
      <c r="BM222" s="392"/>
      <c r="BN222" s="392"/>
      <c r="BO222" s="392"/>
      <c r="BP222" s="392"/>
      <c r="BQ222" s="392"/>
      <c r="BR222" s="392"/>
      <c r="BS222" s="392"/>
      <c r="BT222" s="392"/>
      <c r="BU222" s="392"/>
      <c r="BV222" s="392"/>
      <c r="BW222" s="392"/>
      <c r="BX222" s="392"/>
      <c r="BY222" s="392"/>
      <c r="BZ222" s="392"/>
      <c r="CA222" s="392"/>
      <c r="CB222" s="392"/>
      <c r="CC222" s="392"/>
      <c r="CD222" s="392"/>
      <c r="CE222" s="392"/>
      <c r="CF222" s="392"/>
      <c r="CG222" s="392"/>
      <c r="CH222" s="392"/>
      <c r="CI222" s="392"/>
      <c r="CJ222" s="392"/>
      <c r="CK222" s="392"/>
      <c r="CL222" s="392"/>
      <c r="CM222" s="392"/>
      <c r="CN222" s="392"/>
      <c r="CO222" s="392"/>
      <c r="CP222" s="392"/>
      <c r="CQ222" s="392"/>
      <c r="CR222" s="392"/>
      <c r="CS222" s="392"/>
      <c r="CT222" s="392"/>
      <c r="CU222" s="392"/>
      <c r="CV222" s="392"/>
      <c r="CW222" s="392"/>
      <c r="CX222" s="392"/>
      <c r="CY222" s="392"/>
      <c r="CZ222" s="392"/>
      <c r="DA222" s="392"/>
      <c r="DB222" s="392"/>
      <c r="DC222" s="392"/>
      <c r="DD222" s="392"/>
      <c r="DE222" s="392"/>
      <c r="DF222" s="392"/>
      <c r="DG222" s="392"/>
      <c r="DH222" s="392"/>
      <c r="DI222" s="392"/>
      <c r="DJ222" s="392"/>
      <c r="DK222" s="392"/>
      <c r="DL222" s="392"/>
      <c r="DM222" s="392"/>
      <c r="DN222" s="392"/>
      <c r="DO222" s="392"/>
      <c r="DP222" s="392"/>
      <c r="DQ222" s="392"/>
      <c r="DR222" s="392"/>
      <c r="DS222" s="392"/>
      <c r="DT222" s="392"/>
      <c r="DU222" s="392"/>
      <c r="DV222" s="392"/>
      <c r="DW222" s="392"/>
      <c r="DX222" s="392"/>
      <c r="DY222" s="392"/>
      <c r="DZ222" s="392"/>
      <c r="EA222" s="392"/>
      <c r="EB222" s="392"/>
      <c r="EC222" s="392"/>
      <c r="ED222" s="392"/>
      <c r="EE222" s="392"/>
      <c r="EF222" s="392"/>
      <c r="EG222" s="392"/>
      <c r="EH222" s="392"/>
      <c r="EI222" s="392"/>
      <c r="EJ222" s="392"/>
      <c r="EK222" s="392"/>
      <c r="EL222" s="392"/>
      <c r="EM222" s="392"/>
      <c r="EN222" s="392"/>
      <c r="EO222" s="392"/>
      <c r="EP222" s="392"/>
      <c r="EQ222" s="392"/>
      <c r="ER222" s="392"/>
      <c r="ES222" s="392"/>
      <c r="ET222" s="392"/>
      <c r="EU222" s="392"/>
      <c r="EV222" s="392"/>
      <c r="EW222" s="392"/>
      <c r="EX222" s="392"/>
      <c r="EY222" s="392"/>
      <c r="EZ222" s="392"/>
      <c r="FA222" s="392"/>
      <c r="FB222" s="392"/>
      <c r="FC222" s="392"/>
      <c r="FD222" s="392"/>
      <c r="FE222" s="392"/>
      <c r="FF222" s="392"/>
      <c r="FG222" s="392"/>
      <c r="FH222" s="392"/>
      <c r="FI222" s="392"/>
      <c r="FJ222" s="392"/>
      <c r="FK222" s="392"/>
      <c r="FL222" s="392"/>
      <c r="FM222" s="392"/>
      <c r="FN222" s="392"/>
      <c r="FO222" s="392"/>
      <c r="FP222" s="392"/>
      <c r="FQ222" s="392"/>
      <c r="FR222" s="392"/>
      <c r="FS222" s="392"/>
      <c r="FT222" s="392"/>
      <c r="FU222" s="392"/>
      <c r="FV222" s="392"/>
      <c r="FW222" s="392"/>
      <c r="FX222" s="392"/>
      <c r="FY222" s="392"/>
      <c r="FZ222" s="392"/>
      <c r="GA222" s="392"/>
      <c r="GB222" s="392"/>
      <c r="GC222" s="392"/>
      <c r="GD222" s="392"/>
      <c r="GE222" s="392"/>
      <c r="GF222" s="392"/>
      <c r="GG222" s="392"/>
      <c r="GH222" s="392"/>
      <c r="GI222" s="392"/>
      <c r="GJ222" s="392"/>
      <c r="GK222" s="392"/>
      <c r="GL222" s="392"/>
      <c r="GM222" s="392"/>
      <c r="GN222" s="392"/>
      <c r="GO222" s="392"/>
      <c r="GP222" s="392"/>
      <c r="GQ222" s="392"/>
      <c r="GR222" s="392"/>
      <c r="GS222" s="392"/>
      <c r="GT222" s="392"/>
      <c r="GU222" s="392"/>
      <c r="GV222" s="392"/>
      <c r="GW222" s="392"/>
      <c r="GX222" s="392"/>
      <c r="GY222" s="392"/>
      <c r="GZ222" s="392"/>
      <c r="HA222" s="392"/>
      <c r="HB222" s="392"/>
      <c r="HC222" s="392"/>
      <c r="HD222" s="392"/>
      <c r="HE222" s="392"/>
      <c r="HF222" s="392"/>
      <c r="HG222" s="392"/>
      <c r="HH222" s="392"/>
      <c r="HI222" s="392"/>
      <c r="HJ222" s="392"/>
      <c r="HK222" s="392"/>
      <c r="HL222" s="392"/>
      <c r="HM222" s="392"/>
      <c r="HN222" s="392"/>
      <c r="HO222" s="392"/>
      <c r="HP222" s="392"/>
      <c r="HQ222" s="392"/>
      <c r="HR222" s="392"/>
      <c r="HS222" s="392"/>
      <c r="HT222" s="392"/>
      <c r="HU222" s="392"/>
      <c r="HV222" s="392"/>
      <c r="HW222" s="392"/>
      <c r="HX222" s="392"/>
      <c r="HY222" s="392"/>
      <c r="HZ222" s="392"/>
      <c r="IA222" s="392"/>
      <c r="IB222" s="392"/>
      <c r="IC222" s="392"/>
      <c r="ID222" s="392"/>
      <c r="IE222" s="392"/>
      <c r="IF222" s="392"/>
      <c r="IG222" s="392"/>
      <c r="IH222" s="392"/>
      <c r="II222" s="392"/>
      <c r="IJ222" s="392"/>
      <c r="IK222" s="392"/>
      <c r="IL222" s="392"/>
      <c r="IM222" s="392"/>
      <c r="IN222" s="392"/>
      <c r="IO222" s="392"/>
      <c r="IP222" s="392"/>
      <c r="IQ222" s="392"/>
      <c r="IR222" s="392"/>
      <c r="IS222" s="392"/>
      <c r="IT222" s="392"/>
      <c r="IU222" s="392"/>
      <c r="IV222" s="392"/>
    </row>
    <row r="223" spans="1:256" ht="15">
      <c r="A223" s="392"/>
      <c r="B223" s="2318" t="str">
        <f>C214</f>
        <v>ESCAVAÇÃO MANUAL DE VALA COM PROFUNDIDADE MENOR OU IGUAL A 1,30 M. AF_02/2021</v>
      </c>
      <c r="C223" s="2319"/>
      <c r="D223" s="583" t="s">
        <v>19</v>
      </c>
      <c r="E223" s="2340" t="s">
        <v>1718</v>
      </c>
      <c r="F223" s="2340"/>
      <c r="G223" s="2341"/>
      <c r="H223" s="392"/>
      <c r="I223" s="392"/>
      <c r="J223" s="392"/>
      <c r="K223" s="392"/>
      <c r="L223" s="392"/>
      <c r="M223" s="392"/>
      <c r="N223" s="392"/>
      <c r="O223" s="392"/>
      <c r="P223" s="392"/>
      <c r="Q223" s="392"/>
      <c r="R223" s="392"/>
      <c r="S223" s="392"/>
      <c r="T223" s="392"/>
      <c r="U223" s="392"/>
      <c r="V223" s="392"/>
      <c r="W223" s="392"/>
      <c r="X223" s="392"/>
      <c r="Y223" s="392"/>
      <c r="Z223" s="392"/>
      <c r="AA223" s="392"/>
      <c r="AB223" s="392"/>
      <c r="AC223" s="392"/>
      <c r="AD223" s="392"/>
      <c r="AE223" s="392"/>
      <c r="AF223" s="392"/>
      <c r="AG223" s="392"/>
      <c r="AH223" s="392"/>
      <c r="AI223" s="392"/>
      <c r="AJ223" s="392"/>
      <c r="AK223" s="392"/>
      <c r="AL223" s="392"/>
      <c r="AM223" s="392"/>
      <c r="AN223" s="392"/>
      <c r="AO223" s="392"/>
      <c r="AP223" s="392"/>
      <c r="AQ223" s="392"/>
      <c r="AR223" s="392"/>
      <c r="AS223" s="392"/>
      <c r="AT223" s="392"/>
      <c r="AU223" s="392"/>
      <c r="AV223" s="392"/>
      <c r="AW223" s="392"/>
      <c r="AX223" s="392"/>
      <c r="AY223" s="392"/>
      <c r="AZ223" s="392"/>
      <c r="BA223" s="392"/>
      <c r="BB223" s="392"/>
      <c r="BC223" s="392"/>
      <c r="BD223" s="392"/>
      <c r="BE223" s="392"/>
      <c r="BF223" s="392"/>
      <c r="BG223" s="392"/>
      <c r="BH223" s="392"/>
      <c r="BI223" s="392"/>
      <c r="BJ223" s="392"/>
      <c r="BK223" s="392"/>
      <c r="BL223" s="392"/>
      <c r="BM223" s="392"/>
      <c r="BN223" s="392"/>
      <c r="BO223" s="392"/>
      <c r="BP223" s="392"/>
      <c r="BQ223" s="392"/>
      <c r="BR223" s="392"/>
      <c r="BS223" s="392"/>
      <c r="BT223" s="392"/>
      <c r="BU223" s="392"/>
      <c r="BV223" s="392"/>
      <c r="BW223" s="392"/>
      <c r="BX223" s="392"/>
      <c r="BY223" s="392"/>
      <c r="BZ223" s="392"/>
      <c r="CA223" s="392"/>
      <c r="CB223" s="392"/>
      <c r="CC223" s="392"/>
      <c r="CD223" s="392"/>
      <c r="CE223" s="392"/>
      <c r="CF223" s="392"/>
      <c r="CG223" s="392"/>
      <c r="CH223" s="392"/>
      <c r="CI223" s="392"/>
      <c r="CJ223" s="392"/>
      <c r="CK223" s="392"/>
      <c r="CL223" s="392"/>
      <c r="CM223" s="392"/>
      <c r="CN223" s="392"/>
      <c r="CO223" s="392"/>
      <c r="CP223" s="392"/>
      <c r="CQ223" s="392"/>
      <c r="CR223" s="392"/>
      <c r="CS223" s="392"/>
      <c r="CT223" s="392"/>
      <c r="CU223" s="392"/>
      <c r="CV223" s="392"/>
      <c r="CW223" s="392"/>
      <c r="CX223" s="392"/>
      <c r="CY223" s="392"/>
      <c r="CZ223" s="392"/>
      <c r="DA223" s="392"/>
      <c r="DB223" s="392"/>
      <c r="DC223" s="392"/>
      <c r="DD223" s="392"/>
      <c r="DE223" s="392"/>
      <c r="DF223" s="392"/>
      <c r="DG223" s="392"/>
      <c r="DH223" s="392"/>
      <c r="DI223" s="392"/>
      <c r="DJ223" s="392"/>
      <c r="DK223" s="392"/>
      <c r="DL223" s="392"/>
      <c r="DM223" s="392"/>
      <c r="DN223" s="392"/>
      <c r="DO223" s="392"/>
      <c r="DP223" s="392"/>
      <c r="DQ223" s="392"/>
      <c r="DR223" s="392"/>
      <c r="DS223" s="392"/>
      <c r="DT223" s="392"/>
      <c r="DU223" s="392"/>
      <c r="DV223" s="392"/>
      <c r="DW223" s="392"/>
      <c r="DX223" s="392"/>
      <c r="DY223" s="392"/>
      <c r="DZ223" s="392"/>
      <c r="EA223" s="392"/>
      <c r="EB223" s="392"/>
      <c r="EC223" s="392"/>
      <c r="ED223" s="392"/>
      <c r="EE223" s="392"/>
      <c r="EF223" s="392"/>
      <c r="EG223" s="392"/>
      <c r="EH223" s="392"/>
      <c r="EI223" s="392"/>
      <c r="EJ223" s="392"/>
      <c r="EK223" s="392"/>
      <c r="EL223" s="392"/>
      <c r="EM223" s="392"/>
      <c r="EN223" s="392"/>
      <c r="EO223" s="392"/>
      <c r="EP223" s="392"/>
      <c r="EQ223" s="392"/>
      <c r="ER223" s="392"/>
      <c r="ES223" s="392"/>
      <c r="ET223" s="392"/>
      <c r="EU223" s="392"/>
      <c r="EV223" s="392"/>
      <c r="EW223" s="392"/>
      <c r="EX223" s="392"/>
      <c r="EY223" s="392"/>
      <c r="EZ223" s="392"/>
      <c r="FA223" s="392"/>
      <c r="FB223" s="392"/>
      <c r="FC223" s="392"/>
      <c r="FD223" s="392"/>
      <c r="FE223" s="392"/>
      <c r="FF223" s="392"/>
      <c r="FG223" s="392"/>
      <c r="FH223" s="392"/>
      <c r="FI223" s="392"/>
      <c r="FJ223" s="392"/>
      <c r="FK223" s="392"/>
      <c r="FL223" s="392"/>
      <c r="FM223" s="392"/>
      <c r="FN223" s="392"/>
      <c r="FO223" s="392"/>
      <c r="FP223" s="392"/>
      <c r="FQ223" s="392"/>
      <c r="FR223" s="392"/>
      <c r="FS223" s="392"/>
      <c r="FT223" s="392"/>
      <c r="FU223" s="392"/>
      <c r="FV223" s="392"/>
      <c r="FW223" s="392"/>
      <c r="FX223" s="392"/>
      <c r="FY223" s="392"/>
      <c r="FZ223" s="392"/>
      <c r="GA223" s="392"/>
      <c r="GB223" s="392"/>
      <c r="GC223" s="392"/>
      <c r="GD223" s="392"/>
      <c r="GE223" s="392"/>
      <c r="GF223" s="392"/>
      <c r="GG223" s="392"/>
      <c r="GH223" s="392"/>
      <c r="GI223" s="392"/>
      <c r="GJ223" s="392"/>
      <c r="GK223" s="392"/>
      <c r="GL223" s="392"/>
      <c r="GM223" s="392"/>
      <c r="GN223" s="392"/>
      <c r="GO223" s="392"/>
      <c r="GP223" s="392"/>
      <c r="GQ223" s="392"/>
      <c r="GR223" s="392"/>
      <c r="GS223" s="392"/>
      <c r="GT223" s="392"/>
      <c r="GU223" s="392"/>
      <c r="GV223" s="392"/>
      <c r="GW223" s="392"/>
      <c r="GX223" s="392"/>
      <c r="GY223" s="392"/>
      <c r="GZ223" s="392"/>
      <c r="HA223" s="392"/>
      <c r="HB223" s="392"/>
      <c r="HC223" s="392"/>
      <c r="HD223" s="392"/>
      <c r="HE223" s="392"/>
      <c r="HF223" s="392"/>
      <c r="HG223" s="392"/>
      <c r="HH223" s="392"/>
      <c r="HI223" s="392"/>
      <c r="HJ223" s="392"/>
      <c r="HK223" s="392"/>
      <c r="HL223" s="392"/>
      <c r="HM223" s="392"/>
      <c r="HN223" s="392"/>
      <c r="HO223" s="392"/>
      <c r="HP223" s="392"/>
      <c r="HQ223" s="392"/>
      <c r="HR223" s="392"/>
      <c r="HS223" s="392"/>
      <c r="HT223" s="392"/>
      <c r="HU223" s="392"/>
      <c r="HV223" s="392"/>
      <c r="HW223" s="392"/>
      <c r="HX223" s="392"/>
      <c r="HY223" s="392"/>
      <c r="HZ223" s="392"/>
      <c r="IA223" s="392"/>
      <c r="IB223" s="392"/>
      <c r="IC223" s="392"/>
      <c r="ID223" s="392"/>
      <c r="IE223" s="392"/>
      <c r="IF223" s="392"/>
      <c r="IG223" s="392"/>
      <c r="IH223" s="392"/>
      <c r="II223" s="392"/>
      <c r="IJ223" s="392"/>
      <c r="IK223" s="392"/>
      <c r="IL223" s="392"/>
      <c r="IM223" s="392"/>
      <c r="IN223" s="392"/>
      <c r="IO223" s="392"/>
      <c r="IP223" s="392"/>
      <c r="IQ223" s="392"/>
      <c r="IR223" s="392"/>
      <c r="IS223" s="392"/>
      <c r="IT223" s="392"/>
      <c r="IU223" s="392"/>
      <c r="IV223" s="392"/>
    </row>
    <row r="224" spans="1:256" ht="36" customHeight="1">
      <c r="A224" s="392"/>
      <c r="B224" s="2318" t="str">
        <f>C215</f>
        <v>CONCRETO FCK = 25MPA, TRAÇO 1:2,3:2,7 (EM MASSA SECA DE CIMENTO/ AREIA MÉDIA/ BRITA 1) - PREPARO MECÂNICO COM BETONEIRA 400 L. AF_05/2021</v>
      </c>
      <c r="C224" s="2319"/>
      <c r="D224" s="322" t="s">
        <v>19</v>
      </c>
      <c r="E224" s="2320" t="str">
        <f>E223</f>
        <v>(0,30*0,30*0,60)*2</v>
      </c>
      <c r="F224" s="2320"/>
      <c r="G224" s="2321"/>
      <c r="H224" s="392"/>
      <c r="I224" s="392"/>
      <c r="J224" s="392"/>
      <c r="K224" s="392"/>
      <c r="L224" s="392"/>
      <c r="M224" s="392"/>
      <c r="N224" s="392"/>
      <c r="O224" s="392"/>
      <c r="P224" s="392"/>
      <c r="Q224" s="392"/>
      <c r="R224" s="392"/>
      <c r="S224" s="392"/>
      <c r="T224" s="392"/>
      <c r="U224" s="392"/>
      <c r="V224" s="392"/>
      <c r="W224" s="392"/>
      <c r="X224" s="392"/>
      <c r="Y224" s="392"/>
      <c r="Z224" s="392"/>
      <c r="AA224" s="392"/>
      <c r="AB224" s="392"/>
      <c r="AC224" s="392"/>
      <c r="AD224" s="392"/>
      <c r="AE224" s="392"/>
      <c r="AF224" s="392"/>
      <c r="AG224" s="392"/>
      <c r="AH224" s="392"/>
      <c r="AI224" s="392"/>
      <c r="AJ224" s="392"/>
      <c r="AK224" s="392"/>
      <c r="AL224" s="392"/>
      <c r="AM224" s="392"/>
      <c r="AN224" s="392"/>
      <c r="AO224" s="392"/>
      <c r="AP224" s="392"/>
      <c r="AQ224" s="392"/>
      <c r="AR224" s="392"/>
      <c r="AS224" s="392"/>
      <c r="AT224" s="392"/>
      <c r="AU224" s="392"/>
      <c r="AV224" s="392"/>
      <c r="AW224" s="392"/>
      <c r="AX224" s="392"/>
      <c r="AY224" s="392"/>
      <c r="AZ224" s="392"/>
      <c r="BA224" s="392"/>
      <c r="BB224" s="392"/>
      <c r="BC224" s="392"/>
      <c r="BD224" s="392"/>
      <c r="BE224" s="392"/>
      <c r="BF224" s="392"/>
      <c r="BG224" s="392"/>
      <c r="BH224" s="392"/>
      <c r="BI224" s="392"/>
      <c r="BJ224" s="392"/>
      <c r="BK224" s="392"/>
      <c r="BL224" s="392"/>
      <c r="BM224" s="392"/>
      <c r="BN224" s="392"/>
      <c r="BO224" s="392"/>
      <c r="BP224" s="392"/>
      <c r="BQ224" s="392"/>
      <c r="BR224" s="392"/>
      <c r="BS224" s="392"/>
      <c r="BT224" s="392"/>
      <c r="BU224" s="392"/>
      <c r="BV224" s="392"/>
      <c r="BW224" s="392"/>
      <c r="BX224" s="392"/>
      <c r="BY224" s="392"/>
      <c r="BZ224" s="392"/>
      <c r="CA224" s="392"/>
      <c r="CB224" s="392"/>
      <c r="CC224" s="392"/>
      <c r="CD224" s="392"/>
      <c r="CE224" s="392"/>
      <c r="CF224" s="392"/>
      <c r="CG224" s="392"/>
      <c r="CH224" s="392"/>
      <c r="CI224" s="392"/>
      <c r="CJ224" s="392"/>
      <c r="CK224" s="392"/>
      <c r="CL224" s="392"/>
      <c r="CM224" s="392"/>
      <c r="CN224" s="392"/>
      <c r="CO224" s="392"/>
      <c r="CP224" s="392"/>
      <c r="CQ224" s="392"/>
      <c r="CR224" s="392"/>
      <c r="CS224" s="392"/>
      <c r="CT224" s="392"/>
      <c r="CU224" s="392"/>
      <c r="CV224" s="392"/>
      <c r="CW224" s="392"/>
      <c r="CX224" s="392"/>
      <c r="CY224" s="392"/>
      <c r="CZ224" s="392"/>
      <c r="DA224" s="392"/>
      <c r="DB224" s="392"/>
      <c r="DC224" s="392"/>
      <c r="DD224" s="392"/>
      <c r="DE224" s="392"/>
      <c r="DF224" s="392"/>
      <c r="DG224" s="392"/>
      <c r="DH224" s="392"/>
      <c r="DI224" s="392"/>
      <c r="DJ224" s="392"/>
      <c r="DK224" s="392"/>
      <c r="DL224" s="392"/>
      <c r="DM224" s="392"/>
      <c r="DN224" s="392"/>
      <c r="DO224" s="392"/>
      <c r="DP224" s="392"/>
      <c r="DQ224" s="392"/>
      <c r="DR224" s="392"/>
      <c r="DS224" s="392"/>
      <c r="DT224" s="392"/>
      <c r="DU224" s="392"/>
      <c r="DV224" s="392"/>
      <c r="DW224" s="392"/>
      <c r="DX224" s="392"/>
      <c r="DY224" s="392"/>
      <c r="DZ224" s="392"/>
      <c r="EA224" s="392"/>
      <c r="EB224" s="392"/>
      <c r="EC224" s="392"/>
      <c r="ED224" s="392"/>
      <c r="EE224" s="392"/>
      <c r="EF224" s="392"/>
      <c r="EG224" s="392"/>
      <c r="EH224" s="392"/>
      <c r="EI224" s="392"/>
      <c r="EJ224" s="392"/>
      <c r="EK224" s="392"/>
      <c r="EL224" s="392"/>
      <c r="EM224" s="392"/>
      <c r="EN224" s="392"/>
      <c r="EO224" s="392"/>
      <c r="EP224" s="392"/>
      <c r="EQ224" s="392"/>
      <c r="ER224" s="392"/>
      <c r="ES224" s="392"/>
      <c r="ET224" s="392"/>
      <c r="EU224" s="392"/>
      <c r="EV224" s="392"/>
      <c r="EW224" s="392"/>
      <c r="EX224" s="392"/>
      <c r="EY224" s="392"/>
      <c r="EZ224" s="392"/>
      <c r="FA224" s="392"/>
      <c r="FB224" s="392"/>
      <c r="FC224" s="392"/>
      <c r="FD224" s="392"/>
      <c r="FE224" s="392"/>
      <c r="FF224" s="392"/>
      <c r="FG224" s="392"/>
      <c r="FH224" s="392"/>
      <c r="FI224" s="392"/>
      <c r="FJ224" s="392"/>
      <c r="FK224" s="392"/>
      <c r="FL224" s="392"/>
      <c r="FM224" s="392"/>
      <c r="FN224" s="392"/>
      <c r="FO224" s="392"/>
      <c r="FP224" s="392"/>
      <c r="FQ224" s="392"/>
      <c r="FR224" s="392"/>
      <c r="FS224" s="392"/>
      <c r="FT224" s="392"/>
      <c r="FU224" s="392"/>
      <c r="FV224" s="392"/>
      <c r="FW224" s="392"/>
      <c r="FX224" s="392"/>
      <c r="FY224" s="392"/>
      <c r="FZ224" s="392"/>
      <c r="GA224" s="392"/>
      <c r="GB224" s="392"/>
      <c r="GC224" s="392"/>
      <c r="GD224" s="392"/>
      <c r="GE224" s="392"/>
      <c r="GF224" s="392"/>
      <c r="GG224" s="392"/>
      <c r="GH224" s="392"/>
      <c r="GI224" s="392"/>
      <c r="GJ224" s="392"/>
      <c r="GK224" s="392"/>
      <c r="GL224" s="392"/>
      <c r="GM224" s="392"/>
      <c r="GN224" s="392"/>
      <c r="GO224" s="392"/>
      <c r="GP224" s="392"/>
      <c r="GQ224" s="392"/>
      <c r="GR224" s="392"/>
      <c r="GS224" s="392"/>
      <c r="GT224" s="392"/>
      <c r="GU224" s="392"/>
      <c r="GV224" s="392"/>
      <c r="GW224" s="392"/>
      <c r="GX224" s="392"/>
      <c r="GY224" s="392"/>
      <c r="GZ224" s="392"/>
      <c r="HA224" s="392"/>
      <c r="HB224" s="392"/>
      <c r="HC224" s="392"/>
      <c r="HD224" s="392"/>
      <c r="HE224" s="392"/>
      <c r="HF224" s="392"/>
      <c r="HG224" s="392"/>
      <c r="HH224" s="392"/>
      <c r="HI224" s="392"/>
      <c r="HJ224" s="392"/>
      <c r="HK224" s="392"/>
      <c r="HL224" s="392"/>
      <c r="HM224" s="392"/>
      <c r="HN224" s="392"/>
      <c r="HO224" s="392"/>
      <c r="HP224" s="392"/>
      <c r="HQ224" s="392"/>
      <c r="HR224" s="392"/>
      <c r="HS224" s="392"/>
      <c r="HT224" s="392"/>
      <c r="HU224" s="392"/>
      <c r="HV224" s="392"/>
      <c r="HW224" s="392"/>
      <c r="HX224" s="392"/>
      <c r="HY224" s="392"/>
      <c r="HZ224" s="392"/>
      <c r="IA224" s="392"/>
      <c r="IB224" s="392"/>
      <c r="IC224" s="392"/>
      <c r="ID224" s="392"/>
      <c r="IE224" s="392"/>
      <c r="IF224" s="392"/>
      <c r="IG224" s="392"/>
      <c r="IH224" s="392"/>
      <c r="II224" s="392"/>
      <c r="IJ224" s="392"/>
      <c r="IK224" s="392"/>
      <c r="IL224" s="392"/>
      <c r="IM224" s="392"/>
      <c r="IN224" s="392"/>
      <c r="IO224" s="392"/>
      <c r="IP224" s="392"/>
      <c r="IQ224" s="392"/>
      <c r="IR224" s="392"/>
      <c r="IS224" s="392"/>
      <c r="IT224" s="392"/>
      <c r="IU224" s="392"/>
      <c r="IV224" s="392"/>
    </row>
    <row r="225" spans="1:256" ht="15">
      <c r="A225" s="392"/>
      <c r="B225" s="2318" t="e">
        <f>C216</f>
        <v>#N/A</v>
      </c>
      <c r="C225" s="2319"/>
      <c r="D225" s="322" t="s">
        <v>19</v>
      </c>
      <c r="E225" s="2320" t="str">
        <f>E223</f>
        <v>(0,30*0,30*0,60)*2</v>
      </c>
      <c r="F225" s="2320"/>
      <c r="G225" s="2321"/>
      <c r="H225" s="392"/>
      <c r="I225" s="392"/>
      <c r="J225" s="392"/>
      <c r="K225" s="392"/>
      <c r="L225" s="392"/>
      <c r="M225" s="392"/>
      <c r="N225" s="392"/>
      <c r="O225" s="392"/>
      <c r="P225" s="392"/>
      <c r="Q225" s="392"/>
      <c r="R225" s="392"/>
      <c r="S225" s="392"/>
      <c r="T225" s="392"/>
      <c r="U225" s="392"/>
      <c r="V225" s="392"/>
      <c r="W225" s="392"/>
      <c r="X225" s="392"/>
      <c r="Y225" s="392"/>
      <c r="Z225" s="392"/>
      <c r="AA225" s="392"/>
      <c r="AB225" s="392"/>
      <c r="AC225" s="392"/>
      <c r="AD225" s="392"/>
      <c r="AE225" s="392"/>
      <c r="AF225" s="392"/>
      <c r="AG225" s="392"/>
      <c r="AH225" s="392"/>
      <c r="AI225" s="392"/>
      <c r="AJ225" s="392"/>
      <c r="AK225" s="392"/>
      <c r="AL225" s="392"/>
      <c r="AM225" s="392"/>
      <c r="AN225" s="392"/>
      <c r="AO225" s="392"/>
      <c r="AP225" s="392"/>
      <c r="AQ225" s="392"/>
      <c r="AR225" s="392"/>
      <c r="AS225" s="392"/>
      <c r="AT225" s="392"/>
      <c r="AU225" s="392"/>
      <c r="AV225" s="392"/>
      <c r="AW225" s="392"/>
      <c r="AX225" s="392"/>
      <c r="AY225" s="392"/>
      <c r="AZ225" s="392"/>
      <c r="BA225" s="392"/>
      <c r="BB225" s="392"/>
      <c r="BC225" s="392"/>
      <c r="BD225" s="392"/>
      <c r="BE225" s="392"/>
      <c r="BF225" s="392"/>
      <c r="BG225" s="392"/>
      <c r="BH225" s="392"/>
      <c r="BI225" s="392"/>
      <c r="BJ225" s="392"/>
      <c r="BK225" s="392"/>
      <c r="BL225" s="392"/>
      <c r="BM225" s="392"/>
      <c r="BN225" s="392"/>
      <c r="BO225" s="392"/>
      <c r="BP225" s="392"/>
      <c r="BQ225" s="392"/>
      <c r="BR225" s="392"/>
      <c r="BS225" s="392"/>
      <c r="BT225" s="392"/>
      <c r="BU225" s="392"/>
      <c r="BV225" s="392"/>
      <c r="BW225" s="392"/>
      <c r="BX225" s="392"/>
      <c r="BY225" s="392"/>
      <c r="BZ225" s="392"/>
      <c r="CA225" s="392"/>
      <c r="CB225" s="392"/>
      <c r="CC225" s="392"/>
      <c r="CD225" s="392"/>
      <c r="CE225" s="392"/>
      <c r="CF225" s="392"/>
      <c r="CG225" s="392"/>
      <c r="CH225" s="392"/>
      <c r="CI225" s="392"/>
      <c r="CJ225" s="392"/>
      <c r="CK225" s="392"/>
      <c r="CL225" s="392"/>
      <c r="CM225" s="392"/>
      <c r="CN225" s="392"/>
      <c r="CO225" s="392"/>
      <c r="CP225" s="392"/>
      <c r="CQ225" s="392"/>
      <c r="CR225" s="392"/>
      <c r="CS225" s="392"/>
      <c r="CT225" s="392"/>
      <c r="CU225" s="392"/>
      <c r="CV225" s="392"/>
      <c r="CW225" s="392"/>
      <c r="CX225" s="392"/>
      <c r="CY225" s="392"/>
      <c r="CZ225" s="392"/>
      <c r="DA225" s="392"/>
      <c r="DB225" s="392"/>
      <c r="DC225" s="392"/>
      <c r="DD225" s="392"/>
      <c r="DE225" s="392"/>
      <c r="DF225" s="392"/>
      <c r="DG225" s="392"/>
      <c r="DH225" s="392"/>
      <c r="DI225" s="392"/>
      <c r="DJ225" s="392"/>
      <c r="DK225" s="392"/>
      <c r="DL225" s="392"/>
      <c r="DM225" s="392"/>
      <c r="DN225" s="392"/>
      <c r="DO225" s="392"/>
      <c r="DP225" s="392"/>
      <c r="DQ225" s="392"/>
      <c r="DR225" s="392"/>
      <c r="DS225" s="392"/>
      <c r="DT225" s="392"/>
      <c r="DU225" s="392"/>
      <c r="DV225" s="392"/>
      <c r="DW225" s="392"/>
      <c r="DX225" s="392"/>
      <c r="DY225" s="392"/>
      <c r="DZ225" s="392"/>
      <c r="EA225" s="392"/>
      <c r="EB225" s="392"/>
      <c r="EC225" s="392"/>
      <c r="ED225" s="392"/>
      <c r="EE225" s="392"/>
      <c r="EF225" s="392"/>
      <c r="EG225" s="392"/>
      <c r="EH225" s="392"/>
      <c r="EI225" s="392"/>
      <c r="EJ225" s="392"/>
      <c r="EK225" s="392"/>
      <c r="EL225" s="392"/>
      <c r="EM225" s="392"/>
      <c r="EN225" s="392"/>
      <c r="EO225" s="392"/>
      <c r="EP225" s="392"/>
      <c r="EQ225" s="392"/>
      <c r="ER225" s="392"/>
      <c r="ES225" s="392"/>
      <c r="ET225" s="392"/>
      <c r="EU225" s="392"/>
      <c r="EV225" s="392"/>
      <c r="EW225" s="392"/>
      <c r="EX225" s="392"/>
      <c r="EY225" s="392"/>
      <c r="EZ225" s="392"/>
      <c r="FA225" s="392"/>
      <c r="FB225" s="392"/>
      <c r="FC225" s="392"/>
      <c r="FD225" s="392"/>
      <c r="FE225" s="392"/>
      <c r="FF225" s="392"/>
      <c r="FG225" s="392"/>
      <c r="FH225" s="392"/>
      <c r="FI225" s="392"/>
      <c r="FJ225" s="392"/>
      <c r="FK225" s="392"/>
      <c r="FL225" s="392"/>
      <c r="FM225" s="392"/>
      <c r="FN225" s="392"/>
      <c r="FO225" s="392"/>
      <c r="FP225" s="392"/>
      <c r="FQ225" s="392"/>
      <c r="FR225" s="392"/>
      <c r="FS225" s="392"/>
      <c r="FT225" s="392"/>
      <c r="FU225" s="392"/>
      <c r="FV225" s="392"/>
      <c r="FW225" s="392"/>
      <c r="FX225" s="392"/>
      <c r="FY225" s="392"/>
      <c r="FZ225" s="392"/>
      <c r="GA225" s="392"/>
      <c r="GB225" s="392"/>
      <c r="GC225" s="392"/>
      <c r="GD225" s="392"/>
      <c r="GE225" s="392"/>
      <c r="GF225" s="392"/>
      <c r="GG225" s="392"/>
      <c r="GH225" s="392"/>
      <c r="GI225" s="392"/>
      <c r="GJ225" s="392"/>
      <c r="GK225" s="392"/>
      <c r="GL225" s="392"/>
      <c r="GM225" s="392"/>
      <c r="GN225" s="392"/>
      <c r="GO225" s="392"/>
      <c r="GP225" s="392"/>
      <c r="GQ225" s="392"/>
      <c r="GR225" s="392"/>
      <c r="GS225" s="392"/>
      <c r="GT225" s="392"/>
      <c r="GU225" s="392"/>
      <c r="GV225" s="392"/>
      <c r="GW225" s="392"/>
      <c r="GX225" s="392"/>
      <c r="GY225" s="392"/>
      <c r="GZ225" s="392"/>
      <c r="HA225" s="392"/>
      <c r="HB225" s="392"/>
      <c r="HC225" s="392"/>
      <c r="HD225" s="392"/>
      <c r="HE225" s="392"/>
      <c r="HF225" s="392"/>
      <c r="HG225" s="392"/>
      <c r="HH225" s="392"/>
      <c r="HI225" s="392"/>
      <c r="HJ225" s="392"/>
      <c r="HK225" s="392"/>
      <c r="HL225" s="392"/>
      <c r="HM225" s="392"/>
      <c r="HN225" s="392"/>
      <c r="HO225" s="392"/>
      <c r="HP225" s="392"/>
      <c r="HQ225" s="392"/>
      <c r="HR225" s="392"/>
      <c r="HS225" s="392"/>
      <c r="HT225" s="392"/>
      <c r="HU225" s="392"/>
      <c r="HV225" s="392"/>
      <c r="HW225" s="392"/>
      <c r="HX225" s="392"/>
      <c r="HY225" s="392"/>
      <c r="HZ225" s="392"/>
      <c r="IA225" s="392"/>
      <c r="IB225" s="392"/>
      <c r="IC225" s="392"/>
      <c r="ID225" s="392"/>
      <c r="IE225" s="392"/>
      <c r="IF225" s="392"/>
      <c r="IG225" s="392"/>
      <c r="IH225" s="392"/>
      <c r="II225" s="392"/>
      <c r="IJ225" s="392"/>
      <c r="IK225" s="392"/>
      <c r="IL225" s="392"/>
      <c r="IM225" s="392"/>
      <c r="IN225" s="392"/>
      <c r="IO225" s="392"/>
      <c r="IP225" s="392"/>
      <c r="IQ225" s="392"/>
      <c r="IR225" s="392"/>
      <c r="IS225" s="392"/>
      <c r="IT225" s="392"/>
      <c r="IU225" s="392"/>
      <c r="IV225" s="392"/>
    </row>
    <row r="226" spans="1:256" ht="13.5" thickBot="1">
      <c r="A226" s="392"/>
      <c r="B226" s="448"/>
      <c r="C226" s="448"/>
      <c r="D226" s="448"/>
      <c r="E226" s="448"/>
      <c r="F226" s="448"/>
      <c r="G226" s="448"/>
      <c r="H226" s="392"/>
      <c r="I226" s="392"/>
      <c r="J226" s="392"/>
      <c r="K226" s="392"/>
      <c r="L226" s="392"/>
      <c r="M226" s="392"/>
      <c r="N226" s="392"/>
      <c r="O226" s="392"/>
      <c r="P226" s="392"/>
      <c r="Q226" s="392"/>
      <c r="R226" s="392"/>
      <c r="S226" s="392"/>
      <c r="T226" s="392"/>
      <c r="U226" s="392"/>
      <c r="V226" s="392"/>
      <c r="W226" s="392"/>
      <c r="X226" s="392"/>
      <c r="Y226" s="392"/>
      <c r="Z226" s="392"/>
      <c r="AA226" s="392"/>
      <c r="AB226" s="392"/>
      <c r="AC226" s="392"/>
      <c r="AD226" s="392"/>
      <c r="AE226" s="392"/>
      <c r="AF226" s="392"/>
      <c r="AG226" s="392"/>
      <c r="AH226" s="392"/>
      <c r="AI226" s="392"/>
      <c r="AJ226" s="392"/>
      <c r="AK226" s="392"/>
      <c r="AL226" s="392"/>
      <c r="AM226" s="392"/>
      <c r="AN226" s="392"/>
      <c r="AO226" s="392"/>
      <c r="AP226" s="392"/>
      <c r="AQ226" s="392"/>
      <c r="AR226" s="392"/>
      <c r="AS226" s="392"/>
      <c r="AT226" s="392"/>
      <c r="AU226" s="392"/>
      <c r="AV226" s="392"/>
      <c r="AW226" s="392"/>
      <c r="AX226" s="392"/>
      <c r="AY226" s="392"/>
      <c r="AZ226" s="392"/>
      <c r="BA226" s="392"/>
      <c r="BB226" s="392"/>
      <c r="BC226" s="392"/>
      <c r="BD226" s="392"/>
      <c r="BE226" s="392"/>
      <c r="BF226" s="392"/>
      <c r="BG226" s="392"/>
      <c r="BH226" s="392"/>
      <c r="BI226" s="392"/>
      <c r="BJ226" s="392"/>
      <c r="BK226" s="392"/>
      <c r="BL226" s="392"/>
      <c r="BM226" s="392"/>
      <c r="BN226" s="392"/>
      <c r="BO226" s="392"/>
      <c r="BP226" s="392"/>
      <c r="BQ226" s="392"/>
      <c r="BR226" s="392"/>
      <c r="BS226" s="392"/>
      <c r="BT226" s="392"/>
      <c r="BU226" s="392"/>
      <c r="BV226" s="392"/>
      <c r="BW226" s="392"/>
      <c r="BX226" s="392"/>
      <c r="BY226" s="392"/>
      <c r="BZ226" s="392"/>
      <c r="CA226" s="392"/>
      <c r="CB226" s="392"/>
      <c r="CC226" s="392"/>
      <c r="CD226" s="392"/>
      <c r="CE226" s="392"/>
      <c r="CF226" s="392"/>
      <c r="CG226" s="392"/>
      <c r="CH226" s="392"/>
      <c r="CI226" s="392"/>
      <c r="CJ226" s="392"/>
      <c r="CK226" s="392"/>
      <c r="CL226" s="392"/>
      <c r="CM226" s="392"/>
      <c r="CN226" s="392"/>
      <c r="CO226" s="392"/>
      <c r="CP226" s="392"/>
      <c r="CQ226" s="392"/>
      <c r="CR226" s="392"/>
      <c r="CS226" s="392"/>
      <c r="CT226" s="392"/>
      <c r="CU226" s="392"/>
      <c r="CV226" s="392"/>
      <c r="CW226" s="392"/>
      <c r="CX226" s="392"/>
      <c r="CY226" s="392"/>
      <c r="CZ226" s="392"/>
      <c r="DA226" s="392"/>
      <c r="DB226" s="392"/>
      <c r="DC226" s="392"/>
      <c r="DD226" s="392"/>
      <c r="DE226" s="392"/>
      <c r="DF226" s="392"/>
      <c r="DG226" s="392"/>
      <c r="DH226" s="392"/>
      <c r="DI226" s="392"/>
      <c r="DJ226" s="392"/>
      <c r="DK226" s="392"/>
      <c r="DL226" s="392"/>
      <c r="DM226" s="392"/>
      <c r="DN226" s="392"/>
      <c r="DO226" s="392"/>
      <c r="DP226" s="392"/>
      <c r="DQ226" s="392"/>
      <c r="DR226" s="392"/>
      <c r="DS226" s="392"/>
      <c r="DT226" s="392"/>
      <c r="DU226" s="392"/>
      <c r="DV226" s="392"/>
      <c r="DW226" s="392"/>
      <c r="DX226" s="392"/>
      <c r="DY226" s="392"/>
      <c r="DZ226" s="392"/>
      <c r="EA226" s="392"/>
      <c r="EB226" s="392"/>
      <c r="EC226" s="392"/>
      <c r="ED226" s="392"/>
      <c r="EE226" s="392"/>
      <c r="EF226" s="392"/>
      <c r="EG226" s="392"/>
      <c r="EH226" s="392"/>
      <c r="EI226" s="392"/>
      <c r="EJ226" s="392"/>
      <c r="EK226" s="392"/>
      <c r="EL226" s="392"/>
      <c r="EM226" s="392"/>
      <c r="EN226" s="392"/>
      <c r="EO226" s="392"/>
      <c r="EP226" s="392"/>
      <c r="EQ226" s="392"/>
      <c r="ER226" s="392"/>
      <c r="ES226" s="392"/>
      <c r="ET226" s="392"/>
      <c r="EU226" s="392"/>
      <c r="EV226" s="392"/>
      <c r="EW226" s="392"/>
      <c r="EX226" s="392"/>
      <c r="EY226" s="392"/>
      <c r="EZ226" s="392"/>
      <c r="FA226" s="392"/>
      <c r="FB226" s="392"/>
      <c r="FC226" s="392"/>
      <c r="FD226" s="392"/>
      <c r="FE226" s="392"/>
      <c r="FF226" s="392"/>
      <c r="FG226" s="392"/>
      <c r="FH226" s="392"/>
      <c r="FI226" s="392"/>
      <c r="FJ226" s="392"/>
      <c r="FK226" s="392"/>
      <c r="FL226" s="392"/>
      <c r="FM226" s="392"/>
      <c r="FN226" s="392"/>
      <c r="FO226" s="392"/>
      <c r="FP226" s="392"/>
      <c r="FQ226" s="392"/>
      <c r="FR226" s="392"/>
      <c r="FS226" s="392"/>
      <c r="FT226" s="392"/>
      <c r="FU226" s="392"/>
      <c r="FV226" s="392"/>
      <c r="FW226" s="392"/>
      <c r="FX226" s="392"/>
      <c r="FY226" s="392"/>
      <c r="FZ226" s="392"/>
      <c r="GA226" s="392"/>
      <c r="GB226" s="392"/>
      <c r="GC226" s="392"/>
      <c r="GD226" s="392"/>
      <c r="GE226" s="392"/>
      <c r="GF226" s="392"/>
      <c r="GG226" s="392"/>
      <c r="GH226" s="392"/>
      <c r="GI226" s="392"/>
      <c r="GJ226" s="392"/>
      <c r="GK226" s="392"/>
      <c r="GL226" s="392"/>
      <c r="GM226" s="392"/>
      <c r="GN226" s="392"/>
      <c r="GO226" s="392"/>
      <c r="GP226" s="392"/>
      <c r="GQ226" s="392"/>
      <c r="GR226" s="392"/>
      <c r="GS226" s="392"/>
      <c r="GT226" s="392"/>
      <c r="GU226" s="392"/>
      <c r="GV226" s="392"/>
      <c r="GW226" s="392"/>
      <c r="GX226" s="392"/>
      <c r="GY226" s="392"/>
      <c r="GZ226" s="392"/>
      <c r="HA226" s="392"/>
      <c r="HB226" s="392"/>
      <c r="HC226" s="392"/>
      <c r="HD226" s="392"/>
      <c r="HE226" s="392"/>
      <c r="HF226" s="392"/>
      <c r="HG226" s="392"/>
      <c r="HH226" s="392"/>
      <c r="HI226" s="392"/>
      <c r="HJ226" s="392"/>
      <c r="HK226" s="392"/>
      <c r="HL226" s="392"/>
      <c r="HM226" s="392"/>
      <c r="HN226" s="392"/>
      <c r="HO226" s="392"/>
      <c r="HP226" s="392"/>
      <c r="HQ226" s="392"/>
      <c r="HR226" s="392"/>
      <c r="HS226" s="392"/>
      <c r="HT226" s="392"/>
      <c r="HU226" s="392"/>
      <c r="HV226" s="392"/>
      <c r="HW226" s="392"/>
      <c r="HX226" s="392"/>
      <c r="HY226" s="392"/>
      <c r="HZ226" s="392"/>
      <c r="IA226" s="392"/>
      <c r="IB226" s="392"/>
      <c r="IC226" s="392"/>
      <c r="ID226" s="392"/>
      <c r="IE226" s="392"/>
      <c r="IF226" s="392"/>
      <c r="IG226" s="392"/>
      <c r="IH226" s="392"/>
      <c r="II226" s="392"/>
      <c r="IJ226" s="392"/>
      <c r="IK226" s="392"/>
      <c r="IL226" s="392"/>
      <c r="IM226" s="392"/>
      <c r="IN226" s="392"/>
      <c r="IO226" s="392"/>
      <c r="IP226" s="392"/>
      <c r="IQ226" s="392"/>
      <c r="IR226" s="392"/>
      <c r="IS226" s="392"/>
      <c r="IT226" s="392"/>
      <c r="IU226" s="392"/>
      <c r="IV226" s="392"/>
    </row>
    <row r="227" spans="1:256" ht="31.5">
      <c r="A227" s="392"/>
      <c r="B227" s="450" t="s">
        <v>14000</v>
      </c>
      <c r="C227" s="451" t="s">
        <v>638</v>
      </c>
      <c r="D227" s="431"/>
      <c r="E227" s="431"/>
      <c r="F227" s="431"/>
      <c r="G227" s="432" t="s">
        <v>22</v>
      </c>
      <c r="H227" s="392"/>
      <c r="I227" s="392"/>
      <c r="J227" s="392"/>
      <c r="K227" s="392"/>
      <c r="L227" s="392"/>
      <c r="M227" s="392"/>
      <c r="N227" s="392"/>
      <c r="O227" s="392"/>
      <c r="P227" s="392"/>
      <c r="Q227" s="392"/>
      <c r="R227" s="392"/>
      <c r="S227" s="392"/>
      <c r="T227" s="392"/>
      <c r="U227" s="392"/>
      <c r="V227" s="392"/>
      <c r="W227" s="392"/>
      <c r="X227" s="392"/>
      <c r="Y227" s="392"/>
      <c r="Z227" s="392"/>
      <c r="AA227" s="392"/>
      <c r="AB227" s="392"/>
      <c r="AC227" s="392"/>
      <c r="AD227" s="392"/>
      <c r="AE227" s="392"/>
      <c r="AF227" s="392"/>
      <c r="AG227" s="392"/>
      <c r="AH227" s="392"/>
      <c r="AI227" s="392"/>
      <c r="AJ227" s="392"/>
      <c r="AK227" s="392"/>
      <c r="AL227" s="392"/>
      <c r="AM227" s="392"/>
      <c r="AN227" s="392"/>
      <c r="AO227" s="392"/>
      <c r="AP227" s="392"/>
      <c r="AQ227" s="392"/>
      <c r="AR227" s="392"/>
      <c r="AS227" s="392"/>
      <c r="AT227" s="392"/>
      <c r="AU227" s="392"/>
      <c r="AV227" s="392"/>
      <c r="AW227" s="392"/>
      <c r="AX227" s="392"/>
      <c r="AY227" s="392"/>
      <c r="AZ227" s="392"/>
      <c r="BA227" s="392"/>
      <c r="BB227" s="392"/>
      <c r="BC227" s="392"/>
      <c r="BD227" s="392"/>
      <c r="BE227" s="392"/>
      <c r="BF227" s="392"/>
      <c r="BG227" s="392"/>
      <c r="BH227" s="392"/>
      <c r="BI227" s="392"/>
      <c r="BJ227" s="392"/>
      <c r="BK227" s="392"/>
      <c r="BL227" s="392"/>
      <c r="BM227" s="392"/>
      <c r="BN227" s="392"/>
      <c r="BO227" s="392"/>
      <c r="BP227" s="392"/>
      <c r="BQ227" s="392"/>
      <c r="BR227" s="392"/>
      <c r="BS227" s="392"/>
      <c r="BT227" s="392"/>
      <c r="BU227" s="392"/>
      <c r="BV227" s="392"/>
      <c r="BW227" s="392"/>
      <c r="BX227" s="392"/>
      <c r="BY227" s="392"/>
      <c r="BZ227" s="392"/>
      <c r="CA227" s="392"/>
      <c r="CB227" s="392"/>
      <c r="CC227" s="392"/>
      <c r="CD227" s="392"/>
      <c r="CE227" s="392"/>
      <c r="CF227" s="392"/>
      <c r="CG227" s="392"/>
      <c r="CH227" s="392"/>
      <c r="CI227" s="392"/>
      <c r="CJ227" s="392"/>
      <c r="CK227" s="392"/>
      <c r="CL227" s="392"/>
      <c r="CM227" s="392"/>
      <c r="CN227" s="392"/>
      <c r="CO227" s="392"/>
      <c r="CP227" s="392"/>
      <c r="CQ227" s="392"/>
      <c r="CR227" s="392"/>
      <c r="CS227" s="392"/>
      <c r="CT227" s="392"/>
      <c r="CU227" s="392"/>
      <c r="CV227" s="392"/>
      <c r="CW227" s="392"/>
      <c r="CX227" s="392"/>
      <c r="CY227" s="392"/>
      <c r="CZ227" s="392"/>
      <c r="DA227" s="392"/>
      <c r="DB227" s="392"/>
      <c r="DC227" s="392"/>
      <c r="DD227" s="392"/>
      <c r="DE227" s="392"/>
      <c r="DF227" s="392"/>
      <c r="DG227" s="392"/>
      <c r="DH227" s="392"/>
      <c r="DI227" s="392"/>
      <c r="DJ227" s="392"/>
      <c r="DK227" s="392"/>
      <c r="DL227" s="392"/>
      <c r="DM227" s="392"/>
      <c r="DN227" s="392"/>
      <c r="DO227" s="392"/>
      <c r="DP227" s="392"/>
      <c r="DQ227" s="392"/>
      <c r="DR227" s="392"/>
      <c r="DS227" s="392"/>
      <c r="DT227" s="392"/>
      <c r="DU227" s="392"/>
      <c r="DV227" s="392"/>
      <c r="DW227" s="392"/>
      <c r="DX227" s="392"/>
      <c r="DY227" s="392"/>
      <c r="DZ227" s="392"/>
      <c r="EA227" s="392"/>
      <c r="EB227" s="392"/>
      <c r="EC227" s="392"/>
      <c r="ED227" s="392"/>
      <c r="EE227" s="392"/>
      <c r="EF227" s="392"/>
      <c r="EG227" s="392"/>
      <c r="EH227" s="392"/>
      <c r="EI227" s="392"/>
      <c r="EJ227" s="392"/>
      <c r="EK227" s="392"/>
      <c r="EL227" s="392"/>
      <c r="EM227" s="392"/>
      <c r="EN227" s="392"/>
      <c r="EO227" s="392"/>
      <c r="EP227" s="392"/>
      <c r="EQ227" s="392"/>
      <c r="ER227" s="392"/>
      <c r="ES227" s="392"/>
      <c r="ET227" s="392"/>
      <c r="EU227" s="392"/>
      <c r="EV227" s="392"/>
      <c r="EW227" s="392"/>
      <c r="EX227" s="392"/>
      <c r="EY227" s="392"/>
      <c r="EZ227" s="392"/>
      <c r="FA227" s="392"/>
      <c r="FB227" s="392"/>
      <c r="FC227" s="392"/>
      <c r="FD227" s="392"/>
      <c r="FE227" s="392"/>
      <c r="FF227" s="392"/>
      <c r="FG227" s="392"/>
      <c r="FH227" s="392"/>
      <c r="FI227" s="392"/>
      <c r="FJ227" s="392"/>
      <c r="FK227" s="392"/>
      <c r="FL227" s="392"/>
      <c r="FM227" s="392"/>
      <c r="FN227" s="392"/>
      <c r="FO227" s="392"/>
      <c r="FP227" s="392"/>
      <c r="FQ227" s="392"/>
      <c r="FR227" s="392"/>
      <c r="FS227" s="392"/>
      <c r="FT227" s="392"/>
      <c r="FU227" s="392"/>
      <c r="FV227" s="392"/>
      <c r="FW227" s="392"/>
      <c r="FX227" s="392"/>
      <c r="FY227" s="392"/>
      <c r="FZ227" s="392"/>
      <c r="GA227" s="392"/>
      <c r="GB227" s="392"/>
      <c r="GC227" s="392"/>
      <c r="GD227" s="392"/>
      <c r="GE227" s="392"/>
      <c r="GF227" s="392"/>
      <c r="GG227" s="392"/>
      <c r="GH227" s="392"/>
      <c r="GI227" s="392"/>
      <c r="GJ227" s="392"/>
      <c r="GK227" s="392"/>
      <c r="GL227" s="392"/>
      <c r="GM227" s="392"/>
      <c r="GN227" s="392"/>
      <c r="GO227" s="392"/>
      <c r="GP227" s="392"/>
      <c r="GQ227" s="392"/>
      <c r="GR227" s="392"/>
      <c r="GS227" s="392"/>
      <c r="GT227" s="392"/>
      <c r="GU227" s="392"/>
      <c r="GV227" s="392"/>
      <c r="GW227" s="392"/>
      <c r="GX227" s="392"/>
      <c r="GY227" s="392"/>
      <c r="GZ227" s="392"/>
      <c r="HA227" s="392"/>
      <c r="HB227" s="392"/>
      <c r="HC227" s="392"/>
      <c r="HD227" s="392"/>
      <c r="HE227" s="392"/>
      <c r="HF227" s="392"/>
      <c r="HG227" s="392"/>
      <c r="HH227" s="392"/>
      <c r="HI227" s="392"/>
      <c r="HJ227" s="392"/>
      <c r="HK227" s="392"/>
      <c r="HL227" s="392"/>
      <c r="HM227" s="392"/>
      <c r="HN227" s="392"/>
      <c r="HO227" s="392"/>
      <c r="HP227" s="392"/>
      <c r="HQ227" s="392"/>
      <c r="HR227" s="392"/>
      <c r="HS227" s="392"/>
      <c r="HT227" s="392"/>
      <c r="HU227" s="392"/>
      <c r="HV227" s="392"/>
      <c r="HW227" s="392"/>
      <c r="HX227" s="392"/>
      <c r="HY227" s="392"/>
      <c r="HZ227" s="392"/>
      <c r="IA227" s="392"/>
      <c r="IB227" s="392"/>
      <c r="IC227" s="392"/>
      <c r="ID227" s="392"/>
      <c r="IE227" s="392"/>
      <c r="IF227" s="392"/>
      <c r="IG227" s="392"/>
      <c r="IH227" s="392"/>
      <c r="II227" s="392"/>
      <c r="IJ227" s="392"/>
      <c r="IK227" s="392"/>
      <c r="IL227" s="392"/>
      <c r="IM227" s="392"/>
      <c r="IN227" s="392"/>
      <c r="IO227" s="392"/>
      <c r="IP227" s="392"/>
      <c r="IQ227" s="392"/>
      <c r="IR227" s="392"/>
      <c r="IS227" s="392"/>
      <c r="IT227" s="392"/>
      <c r="IU227" s="392"/>
      <c r="IV227" s="392"/>
    </row>
    <row r="228" spans="1:256" ht="31.5">
      <c r="A228" s="392"/>
      <c r="B228" s="433" t="s">
        <v>197</v>
      </c>
      <c r="C228" s="232" t="s">
        <v>161</v>
      </c>
      <c r="D228" s="232" t="s">
        <v>22</v>
      </c>
      <c r="E228" s="232" t="s">
        <v>162</v>
      </c>
      <c r="F228" s="233" t="s">
        <v>186</v>
      </c>
      <c r="G228" s="234" t="s">
        <v>187</v>
      </c>
      <c r="H228" s="392"/>
      <c r="I228" s="392"/>
      <c r="J228" s="392"/>
      <c r="K228" s="392"/>
      <c r="L228" s="392"/>
      <c r="M228" s="392"/>
      <c r="N228" s="392"/>
      <c r="O228" s="392"/>
      <c r="P228" s="392"/>
      <c r="Q228" s="392"/>
      <c r="R228" s="392"/>
      <c r="S228" s="392"/>
      <c r="T228" s="392"/>
      <c r="U228" s="392"/>
      <c r="V228" s="392"/>
      <c r="W228" s="392"/>
      <c r="X228" s="392"/>
      <c r="Y228" s="392"/>
      <c r="Z228" s="392"/>
      <c r="AA228" s="392"/>
      <c r="AB228" s="392"/>
      <c r="AC228" s="392"/>
      <c r="AD228" s="392"/>
      <c r="AE228" s="392"/>
      <c r="AF228" s="392"/>
      <c r="AG228" s="392"/>
      <c r="AH228" s="392"/>
      <c r="AI228" s="392"/>
      <c r="AJ228" s="392"/>
      <c r="AK228" s="392"/>
      <c r="AL228" s="392"/>
      <c r="AM228" s="392"/>
      <c r="AN228" s="392"/>
      <c r="AO228" s="392"/>
      <c r="AP228" s="392"/>
      <c r="AQ228" s="392"/>
      <c r="AR228" s="392"/>
      <c r="AS228" s="392"/>
      <c r="AT228" s="392"/>
      <c r="AU228" s="392"/>
      <c r="AV228" s="392"/>
      <c r="AW228" s="392"/>
      <c r="AX228" s="392"/>
      <c r="AY228" s="392"/>
      <c r="AZ228" s="392"/>
      <c r="BA228" s="392"/>
      <c r="BB228" s="392"/>
      <c r="BC228" s="392"/>
      <c r="BD228" s="392"/>
      <c r="BE228" s="392"/>
      <c r="BF228" s="392"/>
      <c r="BG228" s="392"/>
      <c r="BH228" s="392"/>
      <c r="BI228" s="392"/>
      <c r="BJ228" s="392"/>
      <c r="BK228" s="392"/>
      <c r="BL228" s="392"/>
      <c r="BM228" s="392"/>
      <c r="BN228" s="392"/>
      <c r="BO228" s="392"/>
      <c r="BP228" s="392"/>
      <c r="BQ228" s="392"/>
      <c r="BR228" s="392"/>
      <c r="BS228" s="392"/>
      <c r="BT228" s="392"/>
      <c r="BU228" s="392"/>
      <c r="BV228" s="392"/>
      <c r="BW228" s="392"/>
      <c r="BX228" s="392"/>
      <c r="BY228" s="392"/>
      <c r="BZ228" s="392"/>
      <c r="CA228" s="392"/>
      <c r="CB228" s="392"/>
      <c r="CC228" s="392"/>
      <c r="CD228" s="392"/>
      <c r="CE228" s="392"/>
      <c r="CF228" s="392"/>
      <c r="CG228" s="392"/>
      <c r="CH228" s="392"/>
      <c r="CI228" s="392"/>
      <c r="CJ228" s="392"/>
      <c r="CK228" s="392"/>
      <c r="CL228" s="392"/>
      <c r="CM228" s="392"/>
      <c r="CN228" s="392"/>
      <c r="CO228" s="392"/>
      <c r="CP228" s="392"/>
      <c r="CQ228" s="392"/>
      <c r="CR228" s="392"/>
      <c r="CS228" s="392"/>
      <c r="CT228" s="392"/>
      <c r="CU228" s="392"/>
      <c r="CV228" s="392"/>
      <c r="CW228" s="392"/>
      <c r="CX228" s="392"/>
      <c r="CY228" s="392"/>
      <c r="CZ228" s="392"/>
      <c r="DA228" s="392"/>
      <c r="DB228" s="392"/>
      <c r="DC228" s="392"/>
      <c r="DD228" s="392"/>
      <c r="DE228" s="392"/>
      <c r="DF228" s="392"/>
      <c r="DG228" s="392"/>
      <c r="DH228" s="392"/>
      <c r="DI228" s="392"/>
      <c r="DJ228" s="392"/>
      <c r="DK228" s="392"/>
      <c r="DL228" s="392"/>
      <c r="DM228" s="392"/>
      <c r="DN228" s="392"/>
      <c r="DO228" s="392"/>
      <c r="DP228" s="392"/>
      <c r="DQ228" s="392"/>
      <c r="DR228" s="392"/>
      <c r="DS228" s="392"/>
      <c r="DT228" s="392"/>
      <c r="DU228" s="392"/>
      <c r="DV228" s="392"/>
      <c r="DW228" s="392"/>
      <c r="DX228" s="392"/>
      <c r="DY228" s="392"/>
      <c r="DZ228" s="392"/>
      <c r="EA228" s="392"/>
      <c r="EB228" s="392"/>
      <c r="EC228" s="392"/>
      <c r="ED228" s="392"/>
      <c r="EE228" s="392"/>
      <c r="EF228" s="392"/>
      <c r="EG228" s="392"/>
      <c r="EH228" s="392"/>
      <c r="EI228" s="392"/>
      <c r="EJ228" s="392"/>
      <c r="EK228" s="392"/>
      <c r="EL228" s="392"/>
      <c r="EM228" s="392"/>
      <c r="EN228" s="392"/>
      <c r="EO228" s="392"/>
      <c r="EP228" s="392"/>
      <c r="EQ228" s="392"/>
      <c r="ER228" s="392"/>
      <c r="ES228" s="392"/>
      <c r="ET228" s="392"/>
      <c r="EU228" s="392"/>
      <c r="EV228" s="392"/>
      <c r="EW228" s="392"/>
      <c r="EX228" s="392"/>
      <c r="EY228" s="392"/>
      <c r="EZ228" s="392"/>
      <c r="FA228" s="392"/>
      <c r="FB228" s="392"/>
      <c r="FC228" s="392"/>
      <c r="FD228" s="392"/>
      <c r="FE228" s="392"/>
      <c r="FF228" s="392"/>
      <c r="FG228" s="392"/>
      <c r="FH228" s="392"/>
      <c r="FI228" s="392"/>
      <c r="FJ228" s="392"/>
      <c r="FK228" s="392"/>
      <c r="FL228" s="392"/>
      <c r="FM228" s="392"/>
      <c r="FN228" s="392"/>
      <c r="FO228" s="392"/>
      <c r="FP228" s="392"/>
      <c r="FQ228" s="392"/>
      <c r="FR228" s="392"/>
      <c r="FS228" s="392"/>
      <c r="FT228" s="392"/>
      <c r="FU228" s="392"/>
      <c r="FV228" s="392"/>
      <c r="FW228" s="392"/>
      <c r="FX228" s="392"/>
      <c r="FY228" s="392"/>
      <c r="FZ228" s="392"/>
      <c r="GA228" s="392"/>
      <c r="GB228" s="392"/>
      <c r="GC228" s="392"/>
      <c r="GD228" s="392"/>
      <c r="GE228" s="392"/>
      <c r="GF228" s="392"/>
      <c r="GG228" s="392"/>
      <c r="GH228" s="392"/>
      <c r="GI228" s="392"/>
      <c r="GJ228" s="392"/>
      <c r="GK228" s="392"/>
      <c r="GL228" s="392"/>
      <c r="GM228" s="392"/>
      <c r="GN228" s="392"/>
      <c r="GO228" s="392"/>
      <c r="GP228" s="392"/>
      <c r="GQ228" s="392"/>
      <c r="GR228" s="392"/>
      <c r="GS228" s="392"/>
      <c r="GT228" s="392"/>
      <c r="GU228" s="392"/>
      <c r="GV228" s="392"/>
      <c r="GW228" s="392"/>
      <c r="GX228" s="392"/>
      <c r="GY228" s="392"/>
      <c r="GZ228" s="392"/>
      <c r="HA228" s="392"/>
      <c r="HB228" s="392"/>
      <c r="HC228" s="392"/>
      <c r="HD228" s="392"/>
      <c r="HE228" s="392"/>
      <c r="HF228" s="392"/>
      <c r="HG228" s="392"/>
      <c r="HH228" s="392"/>
      <c r="HI228" s="392"/>
      <c r="HJ228" s="392"/>
      <c r="HK228" s="392"/>
      <c r="HL228" s="392"/>
      <c r="HM228" s="392"/>
      <c r="HN228" s="392"/>
      <c r="HO228" s="392"/>
      <c r="HP228" s="392"/>
      <c r="HQ228" s="392"/>
      <c r="HR228" s="392"/>
      <c r="HS228" s="392"/>
      <c r="HT228" s="392"/>
      <c r="HU228" s="392"/>
      <c r="HV228" s="392"/>
      <c r="HW228" s="392"/>
      <c r="HX228" s="392"/>
      <c r="HY228" s="392"/>
      <c r="HZ228" s="392"/>
      <c r="IA228" s="392"/>
      <c r="IB228" s="392"/>
      <c r="IC228" s="392"/>
      <c r="ID228" s="392"/>
      <c r="IE228" s="392"/>
      <c r="IF228" s="392"/>
      <c r="IG228" s="392"/>
      <c r="IH228" s="392"/>
      <c r="II228" s="392"/>
      <c r="IJ228" s="392"/>
      <c r="IK228" s="392"/>
      <c r="IL228" s="392"/>
      <c r="IM228" s="392"/>
      <c r="IN228" s="392"/>
      <c r="IO228" s="392"/>
      <c r="IP228" s="392"/>
      <c r="IQ228" s="392"/>
      <c r="IR228" s="392"/>
      <c r="IS228" s="392"/>
      <c r="IT228" s="392"/>
      <c r="IU228" s="392"/>
      <c r="IV228" s="392"/>
    </row>
    <row r="229" spans="1:256" ht="15.75">
      <c r="A229" s="392"/>
      <c r="B229" s="2312" t="s">
        <v>639</v>
      </c>
      <c r="C229" s="2313"/>
      <c r="D229" s="2313"/>
      <c r="E229" s="2313"/>
      <c r="F229" s="2313"/>
      <c r="G229" s="2314"/>
      <c r="H229" s="392"/>
      <c r="I229" s="392"/>
      <c r="J229" s="392"/>
      <c r="K229" s="392"/>
      <c r="L229" s="392"/>
      <c r="M229" s="392"/>
      <c r="N229" s="392"/>
      <c r="O229" s="392"/>
      <c r="P229" s="392"/>
      <c r="Q229" s="392"/>
      <c r="R229" s="392"/>
      <c r="S229" s="392"/>
      <c r="T229" s="392"/>
      <c r="U229" s="392"/>
      <c r="V229" s="392"/>
      <c r="W229" s="392"/>
      <c r="X229" s="392"/>
      <c r="Y229" s="392"/>
      <c r="Z229" s="392"/>
      <c r="AA229" s="392"/>
      <c r="AB229" s="392"/>
      <c r="AC229" s="392"/>
      <c r="AD229" s="392"/>
      <c r="AE229" s="392"/>
      <c r="AF229" s="392"/>
      <c r="AG229" s="392"/>
      <c r="AH229" s="392"/>
      <c r="AI229" s="392"/>
      <c r="AJ229" s="392"/>
      <c r="AK229" s="392"/>
      <c r="AL229" s="392"/>
      <c r="AM229" s="392"/>
      <c r="AN229" s="392"/>
      <c r="AO229" s="392"/>
      <c r="AP229" s="392"/>
      <c r="AQ229" s="392"/>
      <c r="AR229" s="392"/>
      <c r="AS229" s="392"/>
      <c r="AT229" s="392"/>
      <c r="AU229" s="392"/>
      <c r="AV229" s="392"/>
      <c r="AW229" s="392"/>
      <c r="AX229" s="392"/>
      <c r="AY229" s="392"/>
      <c r="AZ229" s="392"/>
      <c r="BA229" s="392"/>
      <c r="BB229" s="392"/>
      <c r="BC229" s="392"/>
      <c r="BD229" s="392"/>
      <c r="BE229" s="392"/>
      <c r="BF229" s="392"/>
      <c r="BG229" s="392"/>
      <c r="BH229" s="392"/>
      <c r="BI229" s="392"/>
      <c r="BJ229" s="392"/>
      <c r="BK229" s="392"/>
      <c r="BL229" s="392"/>
      <c r="BM229" s="392"/>
      <c r="BN229" s="392"/>
      <c r="BO229" s="392"/>
      <c r="BP229" s="392"/>
      <c r="BQ229" s="392"/>
      <c r="BR229" s="392"/>
      <c r="BS229" s="392"/>
      <c r="BT229" s="392"/>
      <c r="BU229" s="392"/>
      <c r="BV229" s="392"/>
      <c r="BW229" s="392"/>
      <c r="BX229" s="392"/>
      <c r="BY229" s="392"/>
      <c r="BZ229" s="392"/>
      <c r="CA229" s="392"/>
      <c r="CB229" s="392"/>
      <c r="CC229" s="392"/>
      <c r="CD229" s="392"/>
      <c r="CE229" s="392"/>
      <c r="CF229" s="392"/>
      <c r="CG229" s="392"/>
      <c r="CH229" s="392"/>
      <c r="CI229" s="392"/>
      <c r="CJ229" s="392"/>
      <c r="CK229" s="392"/>
      <c r="CL229" s="392"/>
      <c r="CM229" s="392"/>
      <c r="CN229" s="392"/>
      <c r="CO229" s="392"/>
      <c r="CP229" s="392"/>
      <c r="CQ229" s="392"/>
      <c r="CR229" s="392"/>
      <c r="CS229" s="392"/>
      <c r="CT229" s="392"/>
      <c r="CU229" s="392"/>
      <c r="CV229" s="392"/>
      <c r="CW229" s="392"/>
      <c r="CX229" s="392"/>
      <c r="CY229" s="392"/>
      <c r="CZ229" s="392"/>
      <c r="DA229" s="392"/>
      <c r="DB229" s="392"/>
      <c r="DC229" s="392"/>
      <c r="DD229" s="392"/>
      <c r="DE229" s="392"/>
      <c r="DF229" s="392"/>
      <c r="DG229" s="392"/>
      <c r="DH229" s="392"/>
      <c r="DI229" s="392"/>
      <c r="DJ229" s="392"/>
      <c r="DK229" s="392"/>
      <c r="DL229" s="392"/>
      <c r="DM229" s="392"/>
      <c r="DN229" s="392"/>
      <c r="DO229" s="392"/>
      <c r="DP229" s="392"/>
      <c r="DQ229" s="392"/>
      <c r="DR229" s="392"/>
      <c r="DS229" s="392"/>
      <c r="DT229" s="392"/>
      <c r="DU229" s="392"/>
      <c r="DV229" s="392"/>
      <c r="DW229" s="392"/>
      <c r="DX229" s="392"/>
      <c r="DY229" s="392"/>
      <c r="DZ229" s="392"/>
      <c r="EA229" s="392"/>
      <c r="EB229" s="392"/>
      <c r="EC229" s="392"/>
      <c r="ED229" s="392"/>
      <c r="EE229" s="392"/>
      <c r="EF229" s="392"/>
      <c r="EG229" s="392"/>
      <c r="EH229" s="392"/>
      <c r="EI229" s="392"/>
      <c r="EJ229" s="392"/>
      <c r="EK229" s="392"/>
      <c r="EL229" s="392"/>
      <c r="EM229" s="392"/>
      <c r="EN229" s="392"/>
      <c r="EO229" s="392"/>
      <c r="EP229" s="392"/>
      <c r="EQ229" s="392"/>
      <c r="ER229" s="392"/>
      <c r="ES229" s="392"/>
      <c r="ET229" s="392"/>
      <c r="EU229" s="392"/>
      <c r="EV229" s="392"/>
      <c r="EW229" s="392"/>
      <c r="EX229" s="392"/>
      <c r="EY229" s="392"/>
      <c r="EZ229" s="392"/>
      <c r="FA229" s="392"/>
      <c r="FB229" s="392"/>
      <c r="FC229" s="392"/>
      <c r="FD229" s="392"/>
      <c r="FE229" s="392"/>
      <c r="FF229" s="392"/>
      <c r="FG229" s="392"/>
      <c r="FH229" s="392"/>
      <c r="FI229" s="392"/>
      <c r="FJ229" s="392"/>
      <c r="FK229" s="392"/>
      <c r="FL229" s="392"/>
      <c r="FM229" s="392"/>
      <c r="FN229" s="392"/>
      <c r="FO229" s="392"/>
      <c r="FP229" s="392"/>
      <c r="FQ229" s="392"/>
      <c r="FR229" s="392"/>
      <c r="FS229" s="392"/>
      <c r="FT229" s="392"/>
      <c r="FU229" s="392"/>
      <c r="FV229" s="392"/>
      <c r="FW229" s="392"/>
      <c r="FX229" s="392"/>
      <c r="FY229" s="392"/>
      <c r="FZ229" s="392"/>
      <c r="GA229" s="392"/>
      <c r="GB229" s="392"/>
      <c r="GC229" s="392"/>
      <c r="GD229" s="392"/>
      <c r="GE229" s="392"/>
      <c r="GF229" s="392"/>
      <c r="GG229" s="392"/>
      <c r="GH229" s="392"/>
      <c r="GI229" s="392"/>
      <c r="GJ229" s="392"/>
      <c r="GK229" s="392"/>
      <c r="GL229" s="392"/>
      <c r="GM229" s="392"/>
      <c r="GN229" s="392"/>
      <c r="GO229" s="392"/>
      <c r="GP229" s="392"/>
      <c r="GQ229" s="392"/>
      <c r="GR229" s="392"/>
      <c r="GS229" s="392"/>
      <c r="GT229" s="392"/>
      <c r="GU229" s="392"/>
      <c r="GV229" s="392"/>
      <c r="GW229" s="392"/>
      <c r="GX229" s="392"/>
      <c r="GY229" s="392"/>
      <c r="GZ229" s="392"/>
      <c r="HA229" s="392"/>
      <c r="HB229" s="392"/>
      <c r="HC229" s="392"/>
      <c r="HD229" s="392"/>
      <c r="HE229" s="392"/>
      <c r="HF229" s="392"/>
      <c r="HG229" s="392"/>
      <c r="HH229" s="392"/>
      <c r="HI229" s="392"/>
      <c r="HJ229" s="392"/>
      <c r="HK229" s="392"/>
      <c r="HL229" s="392"/>
      <c r="HM229" s="392"/>
      <c r="HN229" s="392"/>
      <c r="HO229" s="392"/>
      <c r="HP229" s="392"/>
      <c r="HQ229" s="392"/>
      <c r="HR229" s="392"/>
      <c r="HS229" s="392"/>
      <c r="HT229" s="392"/>
      <c r="HU229" s="392"/>
      <c r="HV229" s="392"/>
      <c r="HW229" s="392"/>
      <c r="HX229" s="392"/>
      <c r="HY229" s="392"/>
      <c r="HZ229" s="392"/>
      <c r="IA229" s="392"/>
      <c r="IB229" s="392"/>
      <c r="IC229" s="392"/>
      <c r="ID229" s="392"/>
      <c r="IE229" s="392"/>
      <c r="IF229" s="392"/>
      <c r="IG229" s="392"/>
      <c r="IH229" s="392"/>
      <c r="II229" s="392"/>
      <c r="IJ229" s="392"/>
      <c r="IK229" s="392"/>
      <c r="IL229" s="392"/>
      <c r="IM229" s="392"/>
      <c r="IN229" s="392"/>
      <c r="IO229" s="392"/>
      <c r="IP229" s="392"/>
      <c r="IQ229" s="392"/>
      <c r="IR229" s="392"/>
      <c r="IS229" s="392"/>
      <c r="IT229" s="392"/>
      <c r="IU229" s="392"/>
      <c r="IV229" s="392"/>
    </row>
    <row r="230" spans="1:256" ht="15.75">
      <c r="A230" s="392"/>
      <c r="B230" s="452" t="str">
        <f>B37</f>
        <v>CPU EQUIP 01</v>
      </c>
      <c r="C230" s="453" t="str">
        <f>C37</f>
        <v>FORNECIMENTO E INSTALAÇÃO - ALONGADOR</v>
      </c>
      <c r="D230" s="434" t="s">
        <v>22</v>
      </c>
      <c r="E230" s="454">
        <v>1</v>
      </c>
      <c r="F230" s="455" t="e">
        <f>G44</f>
        <v>#N/A</v>
      </c>
      <c r="G230" s="435" t="e">
        <f t="shared" ref="G230:G240" si="0">TRUNC(F230*E230,2)</f>
        <v>#N/A</v>
      </c>
      <c r="H230" s="392"/>
      <c r="I230" s="392"/>
      <c r="J230" s="392"/>
      <c r="K230" s="392"/>
      <c r="L230" s="392"/>
      <c r="M230" s="392"/>
      <c r="N230" s="392"/>
      <c r="O230" s="392"/>
      <c r="P230" s="392"/>
      <c r="Q230" s="392"/>
      <c r="R230" s="392"/>
      <c r="S230" s="392"/>
      <c r="T230" s="392"/>
      <c r="U230" s="392"/>
      <c r="V230" s="392"/>
      <c r="W230" s="392"/>
      <c r="X230" s="392"/>
      <c r="Y230" s="392"/>
      <c r="Z230" s="392"/>
      <c r="AA230" s="392"/>
      <c r="AB230" s="392"/>
      <c r="AC230" s="392"/>
      <c r="AD230" s="392"/>
      <c r="AE230" s="392"/>
      <c r="AF230" s="392"/>
      <c r="AG230" s="392"/>
      <c r="AH230" s="392"/>
      <c r="AI230" s="392"/>
      <c r="AJ230" s="392"/>
      <c r="AK230" s="392"/>
      <c r="AL230" s="392"/>
      <c r="AM230" s="392"/>
      <c r="AN230" s="392"/>
      <c r="AO230" s="392"/>
      <c r="AP230" s="392"/>
      <c r="AQ230" s="392"/>
      <c r="AR230" s="392"/>
      <c r="AS230" s="392"/>
      <c r="AT230" s="392"/>
      <c r="AU230" s="392"/>
      <c r="AV230" s="392"/>
      <c r="AW230" s="392"/>
      <c r="AX230" s="392"/>
      <c r="AY230" s="392"/>
      <c r="AZ230" s="392"/>
      <c r="BA230" s="392"/>
      <c r="BB230" s="392"/>
      <c r="BC230" s="392"/>
      <c r="BD230" s="392"/>
      <c r="BE230" s="392"/>
      <c r="BF230" s="392"/>
      <c r="BG230" s="392"/>
      <c r="BH230" s="392"/>
      <c r="BI230" s="392"/>
      <c r="BJ230" s="392"/>
      <c r="BK230" s="392"/>
      <c r="BL230" s="392"/>
      <c r="BM230" s="392"/>
      <c r="BN230" s="392"/>
      <c r="BO230" s="392"/>
      <c r="BP230" s="392"/>
      <c r="BQ230" s="392"/>
      <c r="BR230" s="392"/>
      <c r="BS230" s="392"/>
      <c r="BT230" s="392"/>
      <c r="BU230" s="392"/>
      <c r="BV230" s="392"/>
      <c r="BW230" s="392"/>
      <c r="BX230" s="392"/>
      <c r="BY230" s="392"/>
      <c r="BZ230" s="392"/>
      <c r="CA230" s="392"/>
      <c r="CB230" s="392"/>
      <c r="CC230" s="392"/>
      <c r="CD230" s="392"/>
      <c r="CE230" s="392"/>
      <c r="CF230" s="392"/>
      <c r="CG230" s="392"/>
      <c r="CH230" s="392"/>
      <c r="CI230" s="392"/>
      <c r="CJ230" s="392"/>
      <c r="CK230" s="392"/>
      <c r="CL230" s="392"/>
      <c r="CM230" s="392"/>
      <c r="CN230" s="392"/>
      <c r="CO230" s="392"/>
      <c r="CP230" s="392"/>
      <c r="CQ230" s="392"/>
      <c r="CR230" s="392"/>
      <c r="CS230" s="392"/>
      <c r="CT230" s="392"/>
      <c r="CU230" s="392"/>
      <c r="CV230" s="392"/>
      <c r="CW230" s="392"/>
      <c r="CX230" s="392"/>
      <c r="CY230" s="392"/>
      <c r="CZ230" s="392"/>
      <c r="DA230" s="392"/>
      <c r="DB230" s="392"/>
      <c r="DC230" s="392"/>
      <c r="DD230" s="392"/>
      <c r="DE230" s="392"/>
      <c r="DF230" s="392"/>
      <c r="DG230" s="392"/>
      <c r="DH230" s="392"/>
      <c r="DI230" s="392"/>
      <c r="DJ230" s="392"/>
      <c r="DK230" s="392"/>
      <c r="DL230" s="392"/>
      <c r="DM230" s="392"/>
      <c r="DN230" s="392"/>
      <c r="DO230" s="392"/>
      <c r="DP230" s="392"/>
      <c r="DQ230" s="392"/>
      <c r="DR230" s="392"/>
      <c r="DS230" s="392"/>
      <c r="DT230" s="392"/>
      <c r="DU230" s="392"/>
      <c r="DV230" s="392"/>
      <c r="DW230" s="392"/>
      <c r="DX230" s="392"/>
      <c r="DY230" s="392"/>
      <c r="DZ230" s="392"/>
      <c r="EA230" s="392"/>
      <c r="EB230" s="392"/>
      <c r="EC230" s="392"/>
      <c r="ED230" s="392"/>
      <c r="EE230" s="392"/>
      <c r="EF230" s="392"/>
      <c r="EG230" s="392"/>
      <c r="EH230" s="392"/>
      <c r="EI230" s="392"/>
      <c r="EJ230" s="392"/>
      <c r="EK230" s="392"/>
      <c r="EL230" s="392"/>
      <c r="EM230" s="392"/>
      <c r="EN230" s="392"/>
      <c r="EO230" s="392"/>
      <c r="EP230" s="392"/>
      <c r="EQ230" s="392"/>
      <c r="ER230" s="392"/>
      <c r="ES230" s="392"/>
      <c r="ET230" s="392"/>
      <c r="EU230" s="392"/>
      <c r="EV230" s="392"/>
      <c r="EW230" s="392"/>
      <c r="EX230" s="392"/>
      <c r="EY230" s="392"/>
      <c r="EZ230" s="392"/>
      <c r="FA230" s="392"/>
      <c r="FB230" s="392"/>
      <c r="FC230" s="392"/>
      <c r="FD230" s="392"/>
      <c r="FE230" s="392"/>
      <c r="FF230" s="392"/>
      <c r="FG230" s="392"/>
      <c r="FH230" s="392"/>
      <c r="FI230" s="392"/>
      <c r="FJ230" s="392"/>
      <c r="FK230" s="392"/>
      <c r="FL230" s="392"/>
      <c r="FM230" s="392"/>
      <c r="FN230" s="392"/>
      <c r="FO230" s="392"/>
      <c r="FP230" s="392"/>
      <c r="FQ230" s="392"/>
      <c r="FR230" s="392"/>
      <c r="FS230" s="392"/>
      <c r="FT230" s="392"/>
      <c r="FU230" s="392"/>
      <c r="FV230" s="392"/>
      <c r="FW230" s="392"/>
      <c r="FX230" s="392"/>
      <c r="FY230" s="392"/>
      <c r="FZ230" s="392"/>
      <c r="GA230" s="392"/>
      <c r="GB230" s="392"/>
      <c r="GC230" s="392"/>
      <c r="GD230" s="392"/>
      <c r="GE230" s="392"/>
      <c r="GF230" s="392"/>
      <c r="GG230" s="392"/>
      <c r="GH230" s="392"/>
      <c r="GI230" s="392"/>
      <c r="GJ230" s="392"/>
      <c r="GK230" s="392"/>
      <c r="GL230" s="392"/>
      <c r="GM230" s="392"/>
      <c r="GN230" s="392"/>
      <c r="GO230" s="392"/>
      <c r="GP230" s="392"/>
      <c r="GQ230" s="392"/>
      <c r="GR230" s="392"/>
      <c r="GS230" s="392"/>
      <c r="GT230" s="392"/>
      <c r="GU230" s="392"/>
      <c r="GV230" s="392"/>
      <c r="GW230" s="392"/>
      <c r="GX230" s="392"/>
      <c r="GY230" s="392"/>
      <c r="GZ230" s="392"/>
      <c r="HA230" s="392"/>
      <c r="HB230" s="392"/>
      <c r="HC230" s="392"/>
      <c r="HD230" s="392"/>
      <c r="HE230" s="392"/>
      <c r="HF230" s="392"/>
      <c r="HG230" s="392"/>
      <c r="HH230" s="392"/>
      <c r="HI230" s="392"/>
      <c r="HJ230" s="392"/>
      <c r="HK230" s="392"/>
      <c r="HL230" s="392"/>
      <c r="HM230" s="392"/>
      <c r="HN230" s="392"/>
      <c r="HO230" s="392"/>
      <c r="HP230" s="392"/>
      <c r="HQ230" s="392"/>
      <c r="HR230" s="392"/>
      <c r="HS230" s="392"/>
      <c r="HT230" s="392"/>
      <c r="HU230" s="392"/>
      <c r="HV230" s="392"/>
      <c r="HW230" s="392"/>
      <c r="HX230" s="392"/>
      <c r="HY230" s="392"/>
      <c r="HZ230" s="392"/>
      <c r="IA230" s="392"/>
      <c r="IB230" s="392"/>
      <c r="IC230" s="392"/>
      <c r="ID230" s="392"/>
      <c r="IE230" s="392"/>
      <c r="IF230" s="392"/>
      <c r="IG230" s="392"/>
      <c r="IH230" s="392"/>
      <c r="II230" s="392"/>
      <c r="IJ230" s="392"/>
      <c r="IK230" s="392"/>
      <c r="IL230" s="392"/>
      <c r="IM230" s="392"/>
      <c r="IN230" s="392"/>
      <c r="IO230" s="392"/>
      <c r="IP230" s="392"/>
      <c r="IQ230" s="392"/>
      <c r="IR230" s="392"/>
      <c r="IS230" s="392"/>
      <c r="IT230" s="392"/>
      <c r="IU230" s="392"/>
      <c r="IV230" s="392"/>
    </row>
    <row r="231" spans="1:256" ht="15.75">
      <c r="A231" s="392"/>
      <c r="B231" s="452" t="str">
        <f>B55</f>
        <v>CPU EQUIP 02</v>
      </c>
      <c r="C231" s="453" t="str">
        <f>C55</f>
        <v>FORNECIMENTO E INSTALAÇÃO - ROTAÇÃO DUPLA DIAGONAL</v>
      </c>
      <c r="D231" s="434" t="s">
        <v>22</v>
      </c>
      <c r="E231" s="454">
        <v>1</v>
      </c>
      <c r="F231" s="455" t="e">
        <f>G62</f>
        <v>#N/A</v>
      </c>
      <c r="G231" s="435" t="e">
        <f t="shared" si="0"/>
        <v>#N/A</v>
      </c>
      <c r="H231" s="392"/>
      <c r="I231" s="392"/>
      <c r="J231" s="392"/>
      <c r="K231" s="392"/>
      <c r="L231" s="392"/>
      <c r="M231" s="392"/>
      <c r="N231" s="392"/>
      <c r="O231" s="392"/>
      <c r="P231" s="392"/>
      <c r="Q231" s="392"/>
      <c r="R231" s="392"/>
      <c r="S231" s="392"/>
      <c r="T231" s="392"/>
      <c r="U231" s="392"/>
      <c r="V231" s="392"/>
      <c r="W231" s="392"/>
      <c r="X231" s="392"/>
      <c r="Y231" s="392"/>
      <c r="Z231" s="392"/>
      <c r="AA231" s="392"/>
      <c r="AB231" s="392"/>
      <c r="AC231" s="392"/>
      <c r="AD231" s="392"/>
      <c r="AE231" s="392"/>
      <c r="AF231" s="392"/>
      <c r="AG231" s="392"/>
      <c r="AH231" s="392"/>
      <c r="AI231" s="392"/>
      <c r="AJ231" s="392"/>
      <c r="AK231" s="392"/>
      <c r="AL231" s="392"/>
      <c r="AM231" s="392"/>
      <c r="AN231" s="392"/>
      <c r="AO231" s="392"/>
      <c r="AP231" s="392"/>
      <c r="AQ231" s="392"/>
      <c r="AR231" s="392"/>
      <c r="AS231" s="392"/>
      <c r="AT231" s="392"/>
      <c r="AU231" s="392"/>
      <c r="AV231" s="392"/>
      <c r="AW231" s="392"/>
      <c r="AX231" s="392"/>
      <c r="AY231" s="392"/>
      <c r="AZ231" s="392"/>
      <c r="BA231" s="392"/>
      <c r="BB231" s="392"/>
      <c r="BC231" s="392"/>
      <c r="BD231" s="392"/>
      <c r="BE231" s="392"/>
      <c r="BF231" s="392"/>
      <c r="BG231" s="392"/>
      <c r="BH231" s="392"/>
      <c r="BI231" s="392"/>
      <c r="BJ231" s="392"/>
      <c r="BK231" s="392"/>
      <c r="BL231" s="392"/>
      <c r="BM231" s="392"/>
      <c r="BN231" s="392"/>
      <c r="BO231" s="392"/>
      <c r="BP231" s="392"/>
      <c r="BQ231" s="392"/>
      <c r="BR231" s="392"/>
      <c r="BS231" s="392"/>
      <c r="BT231" s="392"/>
      <c r="BU231" s="392"/>
      <c r="BV231" s="392"/>
      <c r="BW231" s="392"/>
      <c r="BX231" s="392"/>
      <c r="BY231" s="392"/>
      <c r="BZ231" s="392"/>
      <c r="CA231" s="392"/>
      <c r="CB231" s="392"/>
      <c r="CC231" s="392"/>
      <c r="CD231" s="392"/>
      <c r="CE231" s="392"/>
      <c r="CF231" s="392"/>
      <c r="CG231" s="392"/>
      <c r="CH231" s="392"/>
      <c r="CI231" s="392"/>
      <c r="CJ231" s="392"/>
      <c r="CK231" s="392"/>
      <c r="CL231" s="392"/>
      <c r="CM231" s="392"/>
      <c r="CN231" s="392"/>
      <c r="CO231" s="392"/>
      <c r="CP231" s="392"/>
      <c r="CQ231" s="392"/>
      <c r="CR231" s="392"/>
      <c r="CS231" s="392"/>
      <c r="CT231" s="392"/>
      <c r="CU231" s="392"/>
      <c r="CV231" s="392"/>
      <c r="CW231" s="392"/>
      <c r="CX231" s="392"/>
      <c r="CY231" s="392"/>
      <c r="CZ231" s="392"/>
      <c r="DA231" s="392"/>
      <c r="DB231" s="392"/>
      <c r="DC231" s="392"/>
      <c r="DD231" s="392"/>
      <c r="DE231" s="392"/>
      <c r="DF231" s="392"/>
      <c r="DG231" s="392"/>
      <c r="DH231" s="392"/>
      <c r="DI231" s="392"/>
      <c r="DJ231" s="392"/>
      <c r="DK231" s="392"/>
      <c r="DL231" s="392"/>
      <c r="DM231" s="392"/>
      <c r="DN231" s="392"/>
      <c r="DO231" s="392"/>
      <c r="DP231" s="392"/>
      <c r="DQ231" s="392"/>
      <c r="DR231" s="392"/>
      <c r="DS231" s="392"/>
      <c r="DT231" s="392"/>
      <c r="DU231" s="392"/>
      <c r="DV231" s="392"/>
      <c r="DW231" s="392"/>
      <c r="DX231" s="392"/>
      <c r="DY231" s="392"/>
      <c r="DZ231" s="392"/>
      <c r="EA231" s="392"/>
      <c r="EB231" s="392"/>
      <c r="EC231" s="392"/>
      <c r="ED231" s="392"/>
      <c r="EE231" s="392"/>
      <c r="EF231" s="392"/>
      <c r="EG231" s="392"/>
      <c r="EH231" s="392"/>
      <c r="EI231" s="392"/>
      <c r="EJ231" s="392"/>
      <c r="EK231" s="392"/>
      <c r="EL231" s="392"/>
      <c r="EM231" s="392"/>
      <c r="EN231" s="392"/>
      <c r="EO231" s="392"/>
      <c r="EP231" s="392"/>
      <c r="EQ231" s="392"/>
      <c r="ER231" s="392"/>
      <c r="ES231" s="392"/>
      <c r="ET231" s="392"/>
      <c r="EU231" s="392"/>
      <c r="EV231" s="392"/>
      <c r="EW231" s="392"/>
      <c r="EX231" s="392"/>
      <c r="EY231" s="392"/>
      <c r="EZ231" s="392"/>
      <c r="FA231" s="392"/>
      <c r="FB231" s="392"/>
      <c r="FC231" s="392"/>
      <c r="FD231" s="392"/>
      <c r="FE231" s="392"/>
      <c r="FF231" s="392"/>
      <c r="FG231" s="392"/>
      <c r="FH231" s="392"/>
      <c r="FI231" s="392"/>
      <c r="FJ231" s="392"/>
      <c r="FK231" s="392"/>
      <c r="FL231" s="392"/>
      <c r="FM231" s="392"/>
      <c r="FN231" s="392"/>
      <c r="FO231" s="392"/>
      <c r="FP231" s="392"/>
      <c r="FQ231" s="392"/>
      <c r="FR231" s="392"/>
      <c r="FS231" s="392"/>
      <c r="FT231" s="392"/>
      <c r="FU231" s="392"/>
      <c r="FV231" s="392"/>
      <c r="FW231" s="392"/>
      <c r="FX231" s="392"/>
      <c r="FY231" s="392"/>
      <c r="FZ231" s="392"/>
      <c r="GA231" s="392"/>
      <c r="GB231" s="392"/>
      <c r="GC231" s="392"/>
      <c r="GD231" s="392"/>
      <c r="GE231" s="392"/>
      <c r="GF231" s="392"/>
      <c r="GG231" s="392"/>
      <c r="GH231" s="392"/>
      <c r="GI231" s="392"/>
      <c r="GJ231" s="392"/>
      <c r="GK231" s="392"/>
      <c r="GL231" s="392"/>
      <c r="GM231" s="392"/>
      <c r="GN231" s="392"/>
      <c r="GO231" s="392"/>
      <c r="GP231" s="392"/>
      <c r="GQ231" s="392"/>
      <c r="GR231" s="392"/>
      <c r="GS231" s="392"/>
      <c r="GT231" s="392"/>
      <c r="GU231" s="392"/>
      <c r="GV231" s="392"/>
      <c r="GW231" s="392"/>
      <c r="GX231" s="392"/>
      <c r="GY231" s="392"/>
      <c r="GZ231" s="392"/>
      <c r="HA231" s="392"/>
      <c r="HB231" s="392"/>
      <c r="HC231" s="392"/>
      <c r="HD231" s="392"/>
      <c r="HE231" s="392"/>
      <c r="HF231" s="392"/>
      <c r="HG231" s="392"/>
      <c r="HH231" s="392"/>
      <c r="HI231" s="392"/>
      <c r="HJ231" s="392"/>
      <c r="HK231" s="392"/>
      <c r="HL231" s="392"/>
      <c r="HM231" s="392"/>
      <c r="HN231" s="392"/>
      <c r="HO231" s="392"/>
      <c r="HP231" s="392"/>
      <c r="HQ231" s="392"/>
      <c r="HR231" s="392"/>
      <c r="HS231" s="392"/>
      <c r="HT231" s="392"/>
      <c r="HU231" s="392"/>
      <c r="HV231" s="392"/>
      <c r="HW231" s="392"/>
      <c r="HX231" s="392"/>
      <c r="HY231" s="392"/>
      <c r="HZ231" s="392"/>
      <c r="IA231" s="392"/>
      <c r="IB231" s="392"/>
      <c r="IC231" s="392"/>
      <c r="ID231" s="392"/>
      <c r="IE231" s="392"/>
      <c r="IF231" s="392"/>
      <c r="IG231" s="392"/>
      <c r="IH231" s="392"/>
      <c r="II231" s="392"/>
      <c r="IJ231" s="392"/>
      <c r="IK231" s="392"/>
      <c r="IL231" s="392"/>
      <c r="IM231" s="392"/>
      <c r="IN231" s="392"/>
      <c r="IO231" s="392"/>
      <c r="IP231" s="392"/>
      <c r="IQ231" s="392"/>
      <c r="IR231" s="392"/>
      <c r="IS231" s="392"/>
      <c r="IT231" s="392"/>
      <c r="IU231" s="392"/>
      <c r="IV231" s="392"/>
    </row>
    <row r="232" spans="1:256" ht="15.75">
      <c r="A232" s="392"/>
      <c r="B232" s="452" t="str">
        <f>B73</f>
        <v>CPU EQUIP 03</v>
      </c>
      <c r="C232" s="453" t="str">
        <f>C73</f>
        <v>FORNECIMENTO E INSTALAÇÃO - ROTAÇÃO VERTICAL DUPLA</v>
      </c>
      <c r="D232" s="434" t="s">
        <v>22</v>
      </c>
      <c r="E232" s="454">
        <v>1</v>
      </c>
      <c r="F232" s="455" t="e">
        <f>G80</f>
        <v>#N/A</v>
      </c>
      <c r="G232" s="435" t="e">
        <f t="shared" si="0"/>
        <v>#N/A</v>
      </c>
      <c r="H232" s="392"/>
      <c r="I232" s="392"/>
      <c r="J232" s="392"/>
      <c r="K232" s="392"/>
      <c r="L232" s="392"/>
      <c r="M232" s="392"/>
      <c r="N232" s="392"/>
      <c r="O232" s="392"/>
      <c r="P232" s="392"/>
      <c r="Q232" s="392"/>
      <c r="R232" s="392"/>
      <c r="S232" s="392"/>
      <c r="T232" s="392"/>
      <c r="U232" s="392"/>
      <c r="V232" s="392"/>
      <c r="W232" s="392"/>
      <c r="X232" s="392"/>
      <c r="Y232" s="392"/>
      <c r="Z232" s="392"/>
      <c r="AA232" s="392"/>
      <c r="AB232" s="392"/>
      <c r="AC232" s="392"/>
      <c r="AD232" s="392"/>
      <c r="AE232" s="392"/>
      <c r="AF232" s="392"/>
      <c r="AG232" s="392"/>
      <c r="AH232" s="392"/>
      <c r="AI232" s="392"/>
      <c r="AJ232" s="392"/>
      <c r="AK232" s="392"/>
      <c r="AL232" s="392"/>
      <c r="AM232" s="392"/>
      <c r="AN232" s="392"/>
      <c r="AO232" s="392"/>
      <c r="AP232" s="392"/>
      <c r="AQ232" s="392"/>
      <c r="AR232" s="392"/>
      <c r="AS232" s="392"/>
      <c r="AT232" s="392"/>
      <c r="AU232" s="392"/>
      <c r="AV232" s="392"/>
      <c r="AW232" s="392"/>
      <c r="AX232" s="392"/>
      <c r="AY232" s="392"/>
      <c r="AZ232" s="392"/>
      <c r="BA232" s="392"/>
      <c r="BB232" s="392"/>
      <c r="BC232" s="392"/>
      <c r="BD232" s="392"/>
      <c r="BE232" s="392"/>
      <c r="BF232" s="392"/>
      <c r="BG232" s="392"/>
      <c r="BH232" s="392"/>
      <c r="BI232" s="392"/>
      <c r="BJ232" s="392"/>
      <c r="BK232" s="392"/>
      <c r="BL232" s="392"/>
      <c r="BM232" s="392"/>
      <c r="BN232" s="392"/>
      <c r="BO232" s="392"/>
      <c r="BP232" s="392"/>
      <c r="BQ232" s="392"/>
      <c r="BR232" s="392"/>
      <c r="BS232" s="392"/>
      <c r="BT232" s="392"/>
      <c r="BU232" s="392"/>
      <c r="BV232" s="392"/>
      <c r="BW232" s="392"/>
      <c r="BX232" s="392"/>
      <c r="BY232" s="392"/>
      <c r="BZ232" s="392"/>
      <c r="CA232" s="392"/>
      <c r="CB232" s="392"/>
      <c r="CC232" s="392"/>
      <c r="CD232" s="392"/>
      <c r="CE232" s="392"/>
      <c r="CF232" s="392"/>
      <c r="CG232" s="392"/>
      <c r="CH232" s="392"/>
      <c r="CI232" s="392"/>
      <c r="CJ232" s="392"/>
      <c r="CK232" s="392"/>
      <c r="CL232" s="392"/>
      <c r="CM232" s="392"/>
      <c r="CN232" s="392"/>
      <c r="CO232" s="392"/>
      <c r="CP232" s="392"/>
      <c r="CQ232" s="392"/>
      <c r="CR232" s="392"/>
      <c r="CS232" s="392"/>
      <c r="CT232" s="392"/>
      <c r="CU232" s="392"/>
      <c r="CV232" s="392"/>
      <c r="CW232" s="392"/>
      <c r="CX232" s="392"/>
      <c r="CY232" s="392"/>
      <c r="CZ232" s="392"/>
      <c r="DA232" s="392"/>
      <c r="DB232" s="392"/>
      <c r="DC232" s="392"/>
      <c r="DD232" s="392"/>
      <c r="DE232" s="392"/>
      <c r="DF232" s="392"/>
      <c r="DG232" s="392"/>
      <c r="DH232" s="392"/>
      <c r="DI232" s="392"/>
      <c r="DJ232" s="392"/>
      <c r="DK232" s="392"/>
      <c r="DL232" s="392"/>
      <c r="DM232" s="392"/>
      <c r="DN232" s="392"/>
      <c r="DO232" s="392"/>
      <c r="DP232" s="392"/>
      <c r="DQ232" s="392"/>
      <c r="DR232" s="392"/>
      <c r="DS232" s="392"/>
      <c r="DT232" s="392"/>
      <c r="DU232" s="392"/>
      <c r="DV232" s="392"/>
      <c r="DW232" s="392"/>
      <c r="DX232" s="392"/>
      <c r="DY232" s="392"/>
      <c r="DZ232" s="392"/>
      <c r="EA232" s="392"/>
      <c r="EB232" s="392"/>
      <c r="EC232" s="392"/>
      <c r="ED232" s="392"/>
      <c r="EE232" s="392"/>
      <c r="EF232" s="392"/>
      <c r="EG232" s="392"/>
      <c r="EH232" s="392"/>
      <c r="EI232" s="392"/>
      <c r="EJ232" s="392"/>
      <c r="EK232" s="392"/>
      <c r="EL232" s="392"/>
      <c r="EM232" s="392"/>
      <c r="EN232" s="392"/>
      <c r="EO232" s="392"/>
      <c r="EP232" s="392"/>
      <c r="EQ232" s="392"/>
      <c r="ER232" s="392"/>
      <c r="ES232" s="392"/>
      <c r="ET232" s="392"/>
      <c r="EU232" s="392"/>
      <c r="EV232" s="392"/>
      <c r="EW232" s="392"/>
      <c r="EX232" s="392"/>
      <c r="EY232" s="392"/>
      <c r="EZ232" s="392"/>
      <c r="FA232" s="392"/>
      <c r="FB232" s="392"/>
      <c r="FC232" s="392"/>
      <c r="FD232" s="392"/>
      <c r="FE232" s="392"/>
      <c r="FF232" s="392"/>
      <c r="FG232" s="392"/>
      <c r="FH232" s="392"/>
      <c r="FI232" s="392"/>
      <c r="FJ232" s="392"/>
      <c r="FK232" s="392"/>
      <c r="FL232" s="392"/>
      <c r="FM232" s="392"/>
      <c r="FN232" s="392"/>
      <c r="FO232" s="392"/>
      <c r="FP232" s="392"/>
      <c r="FQ232" s="392"/>
      <c r="FR232" s="392"/>
      <c r="FS232" s="392"/>
      <c r="FT232" s="392"/>
      <c r="FU232" s="392"/>
      <c r="FV232" s="392"/>
      <c r="FW232" s="392"/>
      <c r="FX232" s="392"/>
      <c r="FY232" s="392"/>
      <c r="FZ232" s="392"/>
      <c r="GA232" s="392"/>
      <c r="GB232" s="392"/>
      <c r="GC232" s="392"/>
      <c r="GD232" s="392"/>
      <c r="GE232" s="392"/>
      <c r="GF232" s="392"/>
      <c r="GG232" s="392"/>
      <c r="GH232" s="392"/>
      <c r="GI232" s="392"/>
      <c r="GJ232" s="392"/>
      <c r="GK232" s="392"/>
      <c r="GL232" s="392"/>
      <c r="GM232" s="392"/>
      <c r="GN232" s="392"/>
      <c r="GO232" s="392"/>
      <c r="GP232" s="392"/>
      <c r="GQ232" s="392"/>
      <c r="GR232" s="392"/>
      <c r="GS232" s="392"/>
      <c r="GT232" s="392"/>
      <c r="GU232" s="392"/>
      <c r="GV232" s="392"/>
      <c r="GW232" s="392"/>
      <c r="GX232" s="392"/>
      <c r="GY232" s="392"/>
      <c r="GZ232" s="392"/>
      <c r="HA232" s="392"/>
      <c r="HB232" s="392"/>
      <c r="HC232" s="392"/>
      <c r="HD232" s="392"/>
      <c r="HE232" s="392"/>
      <c r="HF232" s="392"/>
      <c r="HG232" s="392"/>
      <c r="HH232" s="392"/>
      <c r="HI232" s="392"/>
      <c r="HJ232" s="392"/>
      <c r="HK232" s="392"/>
      <c r="HL232" s="392"/>
      <c r="HM232" s="392"/>
      <c r="HN232" s="392"/>
      <c r="HO232" s="392"/>
      <c r="HP232" s="392"/>
      <c r="HQ232" s="392"/>
      <c r="HR232" s="392"/>
      <c r="HS232" s="392"/>
      <c r="HT232" s="392"/>
      <c r="HU232" s="392"/>
      <c r="HV232" s="392"/>
      <c r="HW232" s="392"/>
      <c r="HX232" s="392"/>
      <c r="HY232" s="392"/>
      <c r="HZ232" s="392"/>
      <c r="IA232" s="392"/>
      <c r="IB232" s="392"/>
      <c r="IC232" s="392"/>
      <c r="ID232" s="392"/>
      <c r="IE232" s="392"/>
      <c r="IF232" s="392"/>
      <c r="IG232" s="392"/>
      <c r="IH232" s="392"/>
      <c r="II232" s="392"/>
      <c r="IJ232" s="392"/>
      <c r="IK232" s="392"/>
      <c r="IL232" s="392"/>
      <c r="IM232" s="392"/>
      <c r="IN232" s="392"/>
      <c r="IO232" s="392"/>
      <c r="IP232" s="392"/>
      <c r="IQ232" s="392"/>
      <c r="IR232" s="392"/>
      <c r="IS232" s="392"/>
      <c r="IT232" s="392"/>
      <c r="IU232" s="392"/>
      <c r="IV232" s="392"/>
    </row>
    <row r="233" spans="1:256" ht="15.75">
      <c r="A233" s="392"/>
      <c r="B233" s="452" t="str">
        <f>B90</f>
        <v>CPU EQUIP 04</v>
      </c>
      <c r="C233" s="453" t="str">
        <f>C90</f>
        <v>FORNECIMENTO E INSTALAÇÃO - SURF DUPLO</v>
      </c>
      <c r="D233" s="434" t="s">
        <v>22</v>
      </c>
      <c r="E233" s="454">
        <v>1</v>
      </c>
      <c r="F233" s="455" t="e">
        <f>G97</f>
        <v>#N/A</v>
      </c>
      <c r="G233" s="435" t="e">
        <f t="shared" si="0"/>
        <v>#N/A</v>
      </c>
      <c r="H233" s="392"/>
      <c r="I233" s="392"/>
      <c r="J233" s="392"/>
      <c r="K233" s="392"/>
      <c r="L233" s="392"/>
      <c r="M233" s="392"/>
      <c r="N233" s="392"/>
      <c r="O233" s="392"/>
      <c r="P233" s="392"/>
      <c r="Q233" s="392"/>
      <c r="R233" s="392"/>
      <c r="S233" s="392"/>
      <c r="T233" s="392"/>
      <c r="U233" s="392"/>
      <c r="V233" s="392"/>
      <c r="W233" s="392"/>
      <c r="X233" s="392"/>
      <c r="Y233" s="392"/>
      <c r="Z233" s="392"/>
      <c r="AA233" s="392"/>
      <c r="AB233" s="392"/>
      <c r="AC233" s="392"/>
      <c r="AD233" s="392"/>
      <c r="AE233" s="392"/>
      <c r="AF233" s="392"/>
      <c r="AG233" s="392"/>
      <c r="AH233" s="392"/>
      <c r="AI233" s="392"/>
      <c r="AJ233" s="392"/>
      <c r="AK233" s="392"/>
      <c r="AL233" s="392"/>
      <c r="AM233" s="392"/>
      <c r="AN233" s="392"/>
      <c r="AO233" s="392"/>
      <c r="AP233" s="392"/>
      <c r="AQ233" s="392"/>
      <c r="AR233" s="392"/>
      <c r="AS233" s="392"/>
      <c r="AT233" s="392"/>
      <c r="AU233" s="392"/>
      <c r="AV233" s="392"/>
      <c r="AW233" s="392"/>
      <c r="AX233" s="392"/>
      <c r="AY233" s="392"/>
      <c r="AZ233" s="392"/>
      <c r="BA233" s="392"/>
      <c r="BB233" s="392"/>
      <c r="BC233" s="392"/>
      <c r="BD233" s="392"/>
      <c r="BE233" s="392"/>
      <c r="BF233" s="392"/>
      <c r="BG233" s="392"/>
      <c r="BH233" s="392"/>
      <c r="BI233" s="392"/>
      <c r="BJ233" s="392"/>
      <c r="BK233" s="392"/>
      <c r="BL233" s="392"/>
      <c r="BM233" s="392"/>
      <c r="BN233" s="392"/>
      <c r="BO233" s="392"/>
      <c r="BP233" s="392"/>
      <c r="BQ233" s="392"/>
      <c r="BR233" s="392"/>
      <c r="BS233" s="392"/>
      <c r="BT233" s="392"/>
      <c r="BU233" s="392"/>
      <c r="BV233" s="392"/>
      <c r="BW233" s="392"/>
      <c r="BX233" s="392"/>
      <c r="BY233" s="392"/>
      <c r="BZ233" s="392"/>
      <c r="CA233" s="392"/>
      <c r="CB233" s="392"/>
      <c r="CC233" s="392"/>
      <c r="CD233" s="392"/>
      <c r="CE233" s="392"/>
      <c r="CF233" s="392"/>
      <c r="CG233" s="392"/>
      <c r="CH233" s="392"/>
      <c r="CI233" s="392"/>
      <c r="CJ233" s="392"/>
      <c r="CK233" s="392"/>
      <c r="CL233" s="392"/>
      <c r="CM233" s="392"/>
      <c r="CN233" s="392"/>
      <c r="CO233" s="392"/>
      <c r="CP233" s="392"/>
      <c r="CQ233" s="392"/>
      <c r="CR233" s="392"/>
      <c r="CS233" s="392"/>
      <c r="CT233" s="392"/>
      <c r="CU233" s="392"/>
      <c r="CV233" s="392"/>
      <c r="CW233" s="392"/>
      <c r="CX233" s="392"/>
      <c r="CY233" s="392"/>
      <c r="CZ233" s="392"/>
      <c r="DA233" s="392"/>
      <c r="DB233" s="392"/>
      <c r="DC233" s="392"/>
      <c r="DD233" s="392"/>
      <c r="DE233" s="392"/>
      <c r="DF233" s="392"/>
      <c r="DG233" s="392"/>
      <c r="DH233" s="392"/>
      <c r="DI233" s="392"/>
      <c r="DJ233" s="392"/>
      <c r="DK233" s="392"/>
      <c r="DL233" s="392"/>
      <c r="DM233" s="392"/>
      <c r="DN233" s="392"/>
      <c r="DO233" s="392"/>
      <c r="DP233" s="392"/>
      <c r="DQ233" s="392"/>
      <c r="DR233" s="392"/>
      <c r="DS233" s="392"/>
      <c r="DT233" s="392"/>
      <c r="DU233" s="392"/>
      <c r="DV233" s="392"/>
      <c r="DW233" s="392"/>
      <c r="DX233" s="392"/>
      <c r="DY233" s="392"/>
      <c r="DZ233" s="392"/>
      <c r="EA233" s="392"/>
      <c r="EB233" s="392"/>
      <c r="EC233" s="392"/>
      <c r="ED233" s="392"/>
      <c r="EE233" s="392"/>
      <c r="EF233" s="392"/>
      <c r="EG233" s="392"/>
      <c r="EH233" s="392"/>
      <c r="EI233" s="392"/>
      <c r="EJ233" s="392"/>
      <c r="EK233" s="392"/>
      <c r="EL233" s="392"/>
      <c r="EM233" s="392"/>
      <c r="EN233" s="392"/>
      <c r="EO233" s="392"/>
      <c r="EP233" s="392"/>
      <c r="EQ233" s="392"/>
      <c r="ER233" s="392"/>
      <c r="ES233" s="392"/>
      <c r="ET233" s="392"/>
      <c r="EU233" s="392"/>
      <c r="EV233" s="392"/>
      <c r="EW233" s="392"/>
      <c r="EX233" s="392"/>
      <c r="EY233" s="392"/>
      <c r="EZ233" s="392"/>
      <c r="FA233" s="392"/>
      <c r="FB233" s="392"/>
      <c r="FC233" s="392"/>
      <c r="FD233" s="392"/>
      <c r="FE233" s="392"/>
      <c r="FF233" s="392"/>
      <c r="FG233" s="392"/>
      <c r="FH233" s="392"/>
      <c r="FI233" s="392"/>
      <c r="FJ233" s="392"/>
      <c r="FK233" s="392"/>
      <c r="FL233" s="392"/>
      <c r="FM233" s="392"/>
      <c r="FN233" s="392"/>
      <c r="FO233" s="392"/>
      <c r="FP233" s="392"/>
      <c r="FQ233" s="392"/>
      <c r="FR233" s="392"/>
      <c r="FS233" s="392"/>
      <c r="FT233" s="392"/>
      <c r="FU233" s="392"/>
      <c r="FV233" s="392"/>
      <c r="FW233" s="392"/>
      <c r="FX233" s="392"/>
      <c r="FY233" s="392"/>
      <c r="FZ233" s="392"/>
      <c r="GA233" s="392"/>
      <c r="GB233" s="392"/>
      <c r="GC233" s="392"/>
      <c r="GD233" s="392"/>
      <c r="GE233" s="392"/>
      <c r="GF233" s="392"/>
      <c r="GG233" s="392"/>
      <c r="GH233" s="392"/>
      <c r="GI233" s="392"/>
      <c r="GJ233" s="392"/>
      <c r="GK233" s="392"/>
      <c r="GL233" s="392"/>
      <c r="GM233" s="392"/>
      <c r="GN233" s="392"/>
      <c r="GO233" s="392"/>
      <c r="GP233" s="392"/>
      <c r="GQ233" s="392"/>
      <c r="GR233" s="392"/>
      <c r="GS233" s="392"/>
      <c r="GT233" s="392"/>
      <c r="GU233" s="392"/>
      <c r="GV233" s="392"/>
      <c r="GW233" s="392"/>
      <c r="GX233" s="392"/>
      <c r="GY233" s="392"/>
      <c r="GZ233" s="392"/>
      <c r="HA233" s="392"/>
      <c r="HB233" s="392"/>
      <c r="HC233" s="392"/>
      <c r="HD233" s="392"/>
      <c r="HE233" s="392"/>
      <c r="HF233" s="392"/>
      <c r="HG233" s="392"/>
      <c r="HH233" s="392"/>
      <c r="HI233" s="392"/>
      <c r="HJ233" s="392"/>
      <c r="HK233" s="392"/>
      <c r="HL233" s="392"/>
      <c r="HM233" s="392"/>
      <c r="HN233" s="392"/>
      <c r="HO233" s="392"/>
      <c r="HP233" s="392"/>
      <c r="HQ233" s="392"/>
      <c r="HR233" s="392"/>
      <c r="HS233" s="392"/>
      <c r="HT233" s="392"/>
      <c r="HU233" s="392"/>
      <c r="HV233" s="392"/>
      <c r="HW233" s="392"/>
      <c r="HX233" s="392"/>
      <c r="HY233" s="392"/>
      <c r="HZ233" s="392"/>
      <c r="IA233" s="392"/>
      <c r="IB233" s="392"/>
      <c r="IC233" s="392"/>
      <c r="ID233" s="392"/>
      <c r="IE233" s="392"/>
      <c r="IF233" s="392"/>
      <c r="IG233" s="392"/>
      <c r="IH233" s="392"/>
      <c r="II233" s="392"/>
      <c r="IJ233" s="392"/>
      <c r="IK233" s="392"/>
      <c r="IL233" s="392"/>
      <c r="IM233" s="392"/>
      <c r="IN233" s="392"/>
      <c r="IO233" s="392"/>
      <c r="IP233" s="392"/>
      <c r="IQ233" s="392"/>
      <c r="IR233" s="392"/>
      <c r="IS233" s="392"/>
      <c r="IT233" s="392"/>
      <c r="IU233" s="392"/>
      <c r="IV233" s="392"/>
    </row>
    <row r="234" spans="1:256" ht="15.75">
      <c r="A234" s="392"/>
      <c r="B234" s="452" t="str">
        <f>B108</f>
        <v>CPU EQUIP 05</v>
      </c>
      <c r="C234" s="453" t="str">
        <f>C108</f>
        <v>FORNECIMENTO E INSTALAÇÃO - PRESSÃO DE PERNAS DUPLO</v>
      </c>
      <c r="D234" s="434" t="s">
        <v>22</v>
      </c>
      <c r="E234" s="454">
        <v>1</v>
      </c>
      <c r="F234" s="455" t="e">
        <f>G115</f>
        <v>#N/A</v>
      </c>
      <c r="G234" s="435" t="e">
        <f t="shared" si="0"/>
        <v>#N/A</v>
      </c>
      <c r="H234" s="392"/>
      <c r="I234" s="392"/>
      <c r="J234" s="392"/>
      <c r="K234" s="392"/>
      <c r="L234" s="392"/>
      <c r="M234" s="392"/>
      <c r="N234" s="392"/>
      <c r="O234" s="392"/>
      <c r="P234" s="392"/>
      <c r="Q234" s="392"/>
      <c r="R234" s="392"/>
      <c r="S234" s="392"/>
      <c r="T234" s="392"/>
      <c r="U234" s="392"/>
      <c r="V234" s="392"/>
      <c r="W234" s="392"/>
      <c r="X234" s="392"/>
      <c r="Y234" s="392"/>
      <c r="Z234" s="392"/>
      <c r="AA234" s="392"/>
      <c r="AB234" s="392"/>
      <c r="AC234" s="392"/>
      <c r="AD234" s="392"/>
      <c r="AE234" s="392"/>
      <c r="AF234" s="392"/>
      <c r="AG234" s="392"/>
      <c r="AH234" s="392"/>
      <c r="AI234" s="392"/>
      <c r="AJ234" s="392"/>
      <c r="AK234" s="392"/>
      <c r="AL234" s="392"/>
      <c r="AM234" s="392"/>
      <c r="AN234" s="392"/>
      <c r="AO234" s="392"/>
      <c r="AP234" s="392"/>
      <c r="AQ234" s="392"/>
      <c r="AR234" s="392"/>
      <c r="AS234" s="392"/>
      <c r="AT234" s="392"/>
      <c r="AU234" s="392"/>
      <c r="AV234" s="392"/>
      <c r="AW234" s="392"/>
      <c r="AX234" s="392"/>
      <c r="AY234" s="392"/>
      <c r="AZ234" s="392"/>
      <c r="BA234" s="392"/>
      <c r="BB234" s="392"/>
      <c r="BC234" s="392"/>
      <c r="BD234" s="392"/>
      <c r="BE234" s="392"/>
      <c r="BF234" s="392"/>
      <c r="BG234" s="392"/>
      <c r="BH234" s="392"/>
      <c r="BI234" s="392"/>
      <c r="BJ234" s="392"/>
      <c r="BK234" s="392"/>
      <c r="BL234" s="392"/>
      <c r="BM234" s="392"/>
      <c r="BN234" s="392"/>
      <c r="BO234" s="392"/>
      <c r="BP234" s="392"/>
      <c r="BQ234" s="392"/>
      <c r="BR234" s="392"/>
      <c r="BS234" s="392"/>
      <c r="BT234" s="392"/>
      <c r="BU234" s="392"/>
      <c r="BV234" s="392"/>
      <c r="BW234" s="392"/>
      <c r="BX234" s="392"/>
      <c r="BY234" s="392"/>
      <c r="BZ234" s="392"/>
      <c r="CA234" s="392"/>
      <c r="CB234" s="392"/>
      <c r="CC234" s="392"/>
      <c r="CD234" s="392"/>
      <c r="CE234" s="392"/>
      <c r="CF234" s="392"/>
      <c r="CG234" s="392"/>
      <c r="CH234" s="392"/>
      <c r="CI234" s="392"/>
      <c r="CJ234" s="392"/>
      <c r="CK234" s="392"/>
      <c r="CL234" s="392"/>
      <c r="CM234" s="392"/>
      <c r="CN234" s="392"/>
      <c r="CO234" s="392"/>
      <c r="CP234" s="392"/>
      <c r="CQ234" s="392"/>
      <c r="CR234" s="392"/>
      <c r="CS234" s="392"/>
      <c r="CT234" s="392"/>
      <c r="CU234" s="392"/>
      <c r="CV234" s="392"/>
      <c r="CW234" s="392"/>
      <c r="CX234" s="392"/>
      <c r="CY234" s="392"/>
      <c r="CZ234" s="392"/>
      <c r="DA234" s="392"/>
      <c r="DB234" s="392"/>
      <c r="DC234" s="392"/>
      <c r="DD234" s="392"/>
      <c r="DE234" s="392"/>
      <c r="DF234" s="392"/>
      <c r="DG234" s="392"/>
      <c r="DH234" s="392"/>
      <c r="DI234" s="392"/>
      <c r="DJ234" s="392"/>
      <c r="DK234" s="392"/>
      <c r="DL234" s="392"/>
      <c r="DM234" s="392"/>
      <c r="DN234" s="392"/>
      <c r="DO234" s="392"/>
      <c r="DP234" s="392"/>
      <c r="DQ234" s="392"/>
      <c r="DR234" s="392"/>
      <c r="DS234" s="392"/>
      <c r="DT234" s="392"/>
      <c r="DU234" s="392"/>
      <c r="DV234" s="392"/>
      <c r="DW234" s="392"/>
      <c r="DX234" s="392"/>
      <c r="DY234" s="392"/>
      <c r="DZ234" s="392"/>
      <c r="EA234" s="392"/>
      <c r="EB234" s="392"/>
      <c r="EC234" s="392"/>
      <c r="ED234" s="392"/>
      <c r="EE234" s="392"/>
      <c r="EF234" s="392"/>
      <c r="EG234" s="392"/>
      <c r="EH234" s="392"/>
      <c r="EI234" s="392"/>
      <c r="EJ234" s="392"/>
      <c r="EK234" s="392"/>
      <c r="EL234" s="392"/>
      <c r="EM234" s="392"/>
      <c r="EN234" s="392"/>
      <c r="EO234" s="392"/>
      <c r="EP234" s="392"/>
      <c r="EQ234" s="392"/>
      <c r="ER234" s="392"/>
      <c r="ES234" s="392"/>
      <c r="ET234" s="392"/>
      <c r="EU234" s="392"/>
      <c r="EV234" s="392"/>
      <c r="EW234" s="392"/>
      <c r="EX234" s="392"/>
      <c r="EY234" s="392"/>
      <c r="EZ234" s="392"/>
      <c r="FA234" s="392"/>
      <c r="FB234" s="392"/>
      <c r="FC234" s="392"/>
      <c r="FD234" s="392"/>
      <c r="FE234" s="392"/>
      <c r="FF234" s="392"/>
      <c r="FG234" s="392"/>
      <c r="FH234" s="392"/>
      <c r="FI234" s="392"/>
      <c r="FJ234" s="392"/>
      <c r="FK234" s="392"/>
      <c r="FL234" s="392"/>
      <c r="FM234" s="392"/>
      <c r="FN234" s="392"/>
      <c r="FO234" s="392"/>
      <c r="FP234" s="392"/>
      <c r="FQ234" s="392"/>
      <c r="FR234" s="392"/>
      <c r="FS234" s="392"/>
      <c r="FT234" s="392"/>
      <c r="FU234" s="392"/>
      <c r="FV234" s="392"/>
      <c r="FW234" s="392"/>
      <c r="FX234" s="392"/>
      <c r="FY234" s="392"/>
      <c r="FZ234" s="392"/>
      <c r="GA234" s="392"/>
      <c r="GB234" s="392"/>
      <c r="GC234" s="392"/>
      <c r="GD234" s="392"/>
      <c r="GE234" s="392"/>
      <c r="GF234" s="392"/>
      <c r="GG234" s="392"/>
      <c r="GH234" s="392"/>
      <c r="GI234" s="392"/>
      <c r="GJ234" s="392"/>
      <c r="GK234" s="392"/>
      <c r="GL234" s="392"/>
      <c r="GM234" s="392"/>
      <c r="GN234" s="392"/>
      <c r="GO234" s="392"/>
      <c r="GP234" s="392"/>
      <c r="GQ234" s="392"/>
      <c r="GR234" s="392"/>
      <c r="GS234" s="392"/>
      <c r="GT234" s="392"/>
      <c r="GU234" s="392"/>
      <c r="GV234" s="392"/>
      <c r="GW234" s="392"/>
      <c r="GX234" s="392"/>
      <c r="GY234" s="392"/>
      <c r="GZ234" s="392"/>
      <c r="HA234" s="392"/>
      <c r="HB234" s="392"/>
      <c r="HC234" s="392"/>
      <c r="HD234" s="392"/>
      <c r="HE234" s="392"/>
      <c r="HF234" s="392"/>
      <c r="HG234" s="392"/>
      <c r="HH234" s="392"/>
      <c r="HI234" s="392"/>
      <c r="HJ234" s="392"/>
      <c r="HK234" s="392"/>
      <c r="HL234" s="392"/>
      <c r="HM234" s="392"/>
      <c r="HN234" s="392"/>
      <c r="HO234" s="392"/>
      <c r="HP234" s="392"/>
      <c r="HQ234" s="392"/>
      <c r="HR234" s="392"/>
      <c r="HS234" s="392"/>
      <c r="HT234" s="392"/>
      <c r="HU234" s="392"/>
      <c r="HV234" s="392"/>
      <c r="HW234" s="392"/>
      <c r="HX234" s="392"/>
      <c r="HY234" s="392"/>
      <c r="HZ234" s="392"/>
      <c r="IA234" s="392"/>
      <c r="IB234" s="392"/>
      <c r="IC234" s="392"/>
      <c r="ID234" s="392"/>
      <c r="IE234" s="392"/>
      <c r="IF234" s="392"/>
      <c r="IG234" s="392"/>
      <c r="IH234" s="392"/>
      <c r="II234" s="392"/>
      <c r="IJ234" s="392"/>
      <c r="IK234" s="392"/>
      <c r="IL234" s="392"/>
      <c r="IM234" s="392"/>
      <c r="IN234" s="392"/>
      <c r="IO234" s="392"/>
      <c r="IP234" s="392"/>
      <c r="IQ234" s="392"/>
      <c r="IR234" s="392"/>
      <c r="IS234" s="392"/>
      <c r="IT234" s="392"/>
      <c r="IU234" s="392"/>
      <c r="IV234" s="392"/>
    </row>
    <row r="235" spans="1:256" ht="15.75">
      <c r="A235" s="392"/>
      <c r="B235" s="452" t="str">
        <f>B125</f>
        <v>CPU EQUIP 06</v>
      </c>
      <c r="C235" s="453" t="str">
        <f>C125</f>
        <v>FORNECIMENTO E INSTALAÇÃO - ESKI</v>
      </c>
      <c r="D235" s="434" t="s">
        <v>22</v>
      </c>
      <c r="E235" s="454">
        <v>1</v>
      </c>
      <c r="F235" s="455" t="e">
        <f>G132</f>
        <v>#N/A</v>
      </c>
      <c r="G235" s="435" t="e">
        <f t="shared" si="0"/>
        <v>#N/A</v>
      </c>
      <c r="H235" s="392"/>
      <c r="I235" s="392"/>
      <c r="J235" s="392"/>
      <c r="K235" s="392"/>
      <c r="L235" s="392"/>
      <c r="M235" s="392"/>
      <c r="N235" s="392"/>
      <c r="O235" s="392"/>
      <c r="P235" s="392"/>
      <c r="Q235" s="392"/>
      <c r="R235" s="392"/>
      <c r="S235" s="392"/>
      <c r="T235" s="392"/>
      <c r="U235" s="392"/>
      <c r="V235" s="392"/>
      <c r="W235" s="392"/>
      <c r="X235" s="392"/>
      <c r="Y235" s="392"/>
      <c r="Z235" s="392"/>
      <c r="AA235" s="392"/>
      <c r="AB235" s="392"/>
      <c r="AC235" s="392"/>
      <c r="AD235" s="392"/>
      <c r="AE235" s="392"/>
      <c r="AF235" s="392"/>
      <c r="AG235" s="392"/>
      <c r="AH235" s="392"/>
      <c r="AI235" s="392"/>
      <c r="AJ235" s="392"/>
      <c r="AK235" s="392"/>
      <c r="AL235" s="392"/>
      <c r="AM235" s="392"/>
      <c r="AN235" s="392"/>
      <c r="AO235" s="392"/>
      <c r="AP235" s="392"/>
      <c r="AQ235" s="392"/>
      <c r="AR235" s="392"/>
      <c r="AS235" s="392"/>
      <c r="AT235" s="392"/>
      <c r="AU235" s="392"/>
      <c r="AV235" s="392"/>
      <c r="AW235" s="392"/>
      <c r="AX235" s="392"/>
      <c r="AY235" s="392"/>
      <c r="AZ235" s="392"/>
      <c r="BA235" s="392"/>
      <c r="BB235" s="392"/>
      <c r="BC235" s="392"/>
      <c r="BD235" s="392"/>
      <c r="BE235" s="392"/>
      <c r="BF235" s="392"/>
      <c r="BG235" s="392"/>
      <c r="BH235" s="392"/>
      <c r="BI235" s="392"/>
      <c r="BJ235" s="392"/>
      <c r="BK235" s="392"/>
      <c r="BL235" s="392"/>
      <c r="BM235" s="392"/>
      <c r="BN235" s="392"/>
      <c r="BO235" s="392"/>
      <c r="BP235" s="392"/>
      <c r="BQ235" s="392"/>
      <c r="BR235" s="392"/>
      <c r="BS235" s="392"/>
      <c r="BT235" s="392"/>
      <c r="BU235" s="392"/>
      <c r="BV235" s="392"/>
      <c r="BW235" s="392"/>
      <c r="BX235" s="392"/>
      <c r="BY235" s="392"/>
      <c r="BZ235" s="392"/>
      <c r="CA235" s="392"/>
      <c r="CB235" s="392"/>
      <c r="CC235" s="392"/>
      <c r="CD235" s="392"/>
      <c r="CE235" s="392"/>
      <c r="CF235" s="392"/>
      <c r="CG235" s="392"/>
      <c r="CH235" s="392"/>
      <c r="CI235" s="392"/>
      <c r="CJ235" s="392"/>
      <c r="CK235" s="392"/>
      <c r="CL235" s="392"/>
      <c r="CM235" s="392"/>
      <c r="CN235" s="392"/>
      <c r="CO235" s="392"/>
      <c r="CP235" s="392"/>
      <c r="CQ235" s="392"/>
      <c r="CR235" s="392"/>
      <c r="CS235" s="392"/>
      <c r="CT235" s="392"/>
      <c r="CU235" s="392"/>
      <c r="CV235" s="392"/>
      <c r="CW235" s="392"/>
      <c r="CX235" s="392"/>
      <c r="CY235" s="392"/>
      <c r="CZ235" s="392"/>
      <c r="DA235" s="392"/>
      <c r="DB235" s="392"/>
      <c r="DC235" s="392"/>
      <c r="DD235" s="392"/>
      <c r="DE235" s="392"/>
      <c r="DF235" s="392"/>
      <c r="DG235" s="392"/>
      <c r="DH235" s="392"/>
      <c r="DI235" s="392"/>
      <c r="DJ235" s="392"/>
      <c r="DK235" s="392"/>
      <c r="DL235" s="392"/>
      <c r="DM235" s="392"/>
      <c r="DN235" s="392"/>
      <c r="DO235" s="392"/>
      <c r="DP235" s="392"/>
      <c r="DQ235" s="392"/>
      <c r="DR235" s="392"/>
      <c r="DS235" s="392"/>
      <c r="DT235" s="392"/>
      <c r="DU235" s="392"/>
      <c r="DV235" s="392"/>
      <c r="DW235" s="392"/>
      <c r="DX235" s="392"/>
      <c r="DY235" s="392"/>
      <c r="DZ235" s="392"/>
      <c r="EA235" s="392"/>
      <c r="EB235" s="392"/>
      <c r="EC235" s="392"/>
      <c r="ED235" s="392"/>
      <c r="EE235" s="392"/>
      <c r="EF235" s="392"/>
      <c r="EG235" s="392"/>
      <c r="EH235" s="392"/>
      <c r="EI235" s="392"/>
      <c r="EJ235" s="392"/>
      <c r="EK235" s="392"/>
      <c r="EL235" s="392"/>
      <c r="EM235" s="392"/>
      <c r="EN235" s="392"/>
      <c r="EO235" s="392"/>
      <c r="EP235" s="392"/>
      <c r="EQ235" s="392"/>
      <c r="ER235" s="392"/>
      <c r="ES235" s="392"/>
      <c r="ET235" s="392"/>
      <c r="EU235" s="392"/>
      <c r="EV235" s="392"/>
      <c r="EW235" s="392"/>
      <c r="EX235" s="392"/>
      <c r="EY235" s="392"/>
      <c r="EZ235" s="392"/>
      <c r="FA235" s="392"/>
      <c r="FB235" s="392"/>
      <c r="FC235" s="392"/>
      <c r="FD235" s="392"/>
      <c r="FE235" s="392"/>
      <c r="FF235" s="392"/>
      <c r="FG235" s="392"/>
      <c r="FH235" s="392"/>
      <c r="FI235" s="392"/>
      <c r="FJ235" s="392"/>
      <c r="FK235" s="392"/>
      <c r="FL235" s="392"/>
      <c r="FM235" s="392"/>
      <c r="FN235" s="392"/>
      <c r="FO235" s="392"/>
      <c r="FP235" s="392"/>
      <c r="FQ235" s="392"/>
      <c r="FR235" s="392"/>
      <c r="FS235" s="392"/>
      <c r="FT235" s="392"/>
      <c r="FU235" s="392"/>
      <c r="FV235" s="392"/>
      <c r="FW235" s="392"/>
      <c r="FX235" s="392"/>
      <c r="FY235" s="392"/>
      <c r="FZ235" s="392"/>
      <c r="GA235" s="392"/>
      <c r="GB235" s="392"/>
      <c r="GC235" s="392"/>
      <c r="GD235" s="392"/>
      <c r="GE235" s="392"/>
      <c r="GF235" s="392"/>
      <c r="GG235" s="392"/>
      <c r="GH235" s="392"/>
      <c r="GI235" s="392"/>
      <c r="GJ235" s="392"/>
      <c r="GK235" s="392"/>
      <c r="GL235" s="392"/>
      <c r="GM235" s="392"/>
      <c r="GN235" s="392"/>
      <c r="GO235" s="392"/>
      <c r="GP235" s="392"/>
      <c r="GQ235" s="392"/>
      <c r="GR235" s="392"/>
      <c r="GS235" s="392"/>
      <c r="GT235" s="392"/>
      <c r="GU235" s="392"/>
      <c r="GV235" s="392"/>
      <c r="GW235" s="392"/>
      <c r="GX235" s="392"/>
      <c r="GY235" s="392"/>
      <c r="GZ235" s="392"/>
      <c r="HA235" s="392"/>
      <c r="HB235" s="392"/>
      <c r="HC235" s="392"/>
      <c r="HD235" s="392"/>
      <c r="HE235" s="392"/>
      <c r="HF235" s="392"/>
      <c r="HG235" s="392"/>
      <c r="HH235" s="392"/>
      <c r="HI235" s="392"/>
      <c r="HJ235" s="392"/>
      <c r="HK235" s="392"/>
      <c r="HL235" s="392"/>
      <c r="HM235" s="392"/>
      <c r="HN235" s="392"/>
      <c r="HO235" s="392"/>
      <c r="HP235" s="392"/>
      <c r="HQ235" s="392"/>
      <c r="HR235" s="392"/>
      <c r="HS235" s="392"/>
      <c r="HT235" s="392"/>
      <c r="HU235" s="392"/>
      <c r="HV235" s="392"/>
      <c r="HW235" s="392"/>
      <c r="HX235" s="392"/>
      <c r="HY235" s="392"/>
      <c r="HZ235" s="392"/>
      <c r="IA235" s="392"/>
      <c r="IB235" s="392"/>
      <c r="IC235" s="392"/>
      <c r="ID235" s="392"/>
      <c r="IE235" s="392"/>
      <c r="IF235" s="392"/>
      <c r="IG235" s="392"/>
      <c r="IH235" s="392"/>
      <c r="II235" s="392"/>
      <c r="IJ235" s="392"/>
      <c r="IK235" s="392"/>
      <c r="IL235" s="392"/>
      <c r="IM235" s="392"/>
      <c r="IN235" s="392"/>
      <c r="IO235" s="392"/>
      <c r="IP235" s="392"/>
      <c r="IQ235" s="392"/>
      <c r="IR235" s="392"/>
      <c r="IS235" s="392"/>
      <c r="IT235" s="392"/>
      <c r="IU235" s="392"/>
      <c r="IV235" s="392"/>
    </row>
    <row r="236" spans="1:256" ht="15.75">
      <c r="A236" s="392"/>
      <c r="B236" s="452" t="str">
        <f>B142</f>
        <v>CPU EQUIP 07</v>
      </c>
      <c r="C236" s="453" t="str">
        <f>C142</f>
        <v>FORNECIMENTO E INSTALAÇÃO - SIMULADOR DE CAVALGADA</v>
      </c>
      <c r="D236" s="434" t="s">
        <v>22</v>
      </c>
      <c r="E236" s="454">
        <v>1</v>
      </c>
      <c r="F236" s="455" t="e">
        <f>G149</f>
        <v>#N/A</v>
      </c>
      <c r="G236" s="435" t="e">
        <f t="shared" si="0"/>
        <v>#N/A</v>
      </c>
      <c r="H236" s="392"/>
      <c r="I236" s="392"/>
      <c r="J236" s="392"/>
      <c r="K236" s="392"/>
      <c r="L236" s="392"/>
      <c r="M236" s="392"/>
      <c r="N236" s="392"/>
      <c r="O236" s="392"/>
      <c r="P236" s="392"/>
      <c r="Q236" s="392"/>
      <c r="R236" s="392"/>
      <c r="S236" s="392"/>
      <c r="T236" s="392"/>
      <c r="U236" s="392"/>
      <c r="V236" s="392"/>
      <c r="W236" s="392"/>
      <c r="X236" s="392"/>
      <c r="Y236" s="392"/>
      <c r="Z236" s="392"/>
      <c r="AA236" s="392"/>
      <c r="AB236" s="392"/>
      <c r="AC236" s="392"/>
      <c r="AD236" s="392"/>
      <c r="AE236" s="392"/>
      <c r="AF236" s="392"/>
      <c r="AG236" s="392"/>
      <c r="AH236" s="392"/>
      <c r="AI236" s="392"/>
      <c r="AJ236" s="392"/>
      <c r="AK236" s="392"/>
      <c r="AL236" s="392"/>
      <c r="AM236" s="392"/>
      <c r="AN236" s="392"/>
      <c r="AO236" s="392"/>
      <c r="AP236" s="392"/>
      <c r="AQ236" s="392"/>
      <c r="AR236" s="392"/>
      <c r="AS236" s="392"/>
      <c r="AT236" s="392"/>
      <c r="AU236" s="392"/>
      <c r="AV236" s="392"/>
      <c r="AW236" s="392"/>
      <c r="AX236" s="392"/>
      <c r="AY236" s="392"/>
      <c r="AZ236" s="392"/>
      <c r="BA236" s="392"/>
      <c r="BB236" s="392"/>
      <c r="BC236" s="392"/>
      <c r="BD236" s="392"/>
      <c r="BE236" s="392"/>
      <c r="BF236" s="392"/>
      <c r="BG236" s="392"/>
      <c r="BH236" s="392"/>
      <c r="BI236" s="392"/>
      <c r="BJ236" s="392"/>
      <c r="BK236" s="392"/>
      <c r="BL236" s="392"/>
      <c r="BM236" s="392"/>
      <c r="BN236" s="392"/>
      <c r="BO236" s="392"/>
      <c r="BP236" s="392"/>
      <c r="BQ236" s="392"/>
      <c r="BR236" s="392"/>
      <c r="BS236" s="392"/>
      <c r="BT236" s="392"/>
      <c r="BU236" s="392"/>
      <c r="BV236" s="392"/>
      <c r="BW236" s="392"/>
      <c r="BX236" s="392"/>
      <c r="BY236" s="392"/>
      <c r="BZ236" s="392"/>
      <c r="CA236" s="392"/>
      <c r="CB236" s="392"/>
      <c r="CC236" s="392"/>
      <c r="CD236" s="392"/>
      <c r="CE236" s="392"/>
      <c r="CF236" s="392"/>
      <c r="CG236" s="392"/>
      <c r="CH236" s="392"/>
      <c r="CI236" s="392"/>
      <c r="CJ236" s="392"/>
      <c r="CK236" s="392"/>
      <c r="CL236" s="392"/>
      <c r="CM236" s="392"/>
      <c r="CN236" s="392"/>
      <c r="CO236" s="392"/>
      <c r="CP236" s="392"/>
      <c r="CQ236" s="392"/>
      <c r="CR236" s="392"/>
      <c r="CS236" s="392"/>
      <c r="CT236" s="392"/>
      <c r="CU236" s="392"/>
      <c r="CV236" s="392"/>
      <c r="CW236" s="392"/>
      <c r="CX236" s="392"/>
      <c r="CY236" s="392"/>
      <c r="CZ236" s="392"/>
      <c r="DA236" s="392"/>
      <c r="DB236" s="392"/>
      <c r="DC236" s="392"/>
      <c r="DD236" s="392"/>
      <c r="DE236" s="392"/>
      <c r="DF236" s="392"/>
      <c r="DG236" s="392"/>
      <c r="DH236" s="392"/>
      <c r="DI236" s="392"/>
      <c r="DJ236" s="392"/>
      <c r="DK236" s="392"/>
      <c r="DL236" s="392"/>
      <c r="DM236" s="392"/>
      <c r="DN236" s="392"/>
      <c r="DO236" s="392"/>
      <c r="DP236" s="392"/>
      <c r="DQ236" s="392"/>
      <c r="DR236" s="392"/>
      <c r="DS236" s="392"/>
      <c r="DT236" s="392"/>
      <c r="DU236" s="392"/>
      <c r="DV236" s="392"/>
      <c r="DW236" s="392"/>
      <c r="DX236" s="392"/>
      <c r="DY236" s="392"/>
      <c r="DZ236" s="392"/>
      <c r="EA236" s="392"/>
      <c r="EB236" s="392"/>
      <c r="EC236" s="392"/>
      <c r="ED236" s="392"/>
      <c r="EE236" s="392"/>
      <c r="EF236" s="392"/>
      <c r="EG236" s="392"/>
      <c r="EH236" s="392"/>
      <c r="EI236" s="392"/>
      <c r="EJ236" s="392"/>
      <c r="EK236" s="392"/>
      <c r="EL236" s="392"/>
      <c r="EM236" s="392"/>
      <c r="EN236" s="392"/>
      <c r="EO236" s="392"/>
      <c r="EP236" s="392"/>
      <c r="EQ236" s="392"/>
      <c r="ER236" s="392"/>
      <c r="ES236" s="392"/>
      <c r="ET236" s="392"/>
      <c r="EU236" s="392"/>
      <c r="EV236" s="392"/>
      <c r="EW236" s="392"/>
      <c r="EX236" s="392"/>
      <c r="EY236" s="392"/>
      <c r="EZ236" s="392"/>
      <c r="FA236" s="392"/>
      <c r="FB236" s="392"/>
      <c r="FC236" s="392"/>
      <c r="FD236" s="392"/>
      <c r="FE236" s="392"/>
      <c r="FF236" s="392"/>
      <c r="FG236" s="392"/>
      <c r="FH236" s="392"/>
      <c r="FI236" s="392"/>
      <c r="FJ236" s="392"/>
      <c r="FK236" s="392"/>
      <c r="FL236" s="392"/>
      <c r="FM236" s="392"/>
      <c r="FN236" s="392"/>
      <c r="FO236" s="392"/>
      <c r="FP236" s="392"/>
      <c r="FQ236" s="392"/>
      <c r="FR236" s="392"/>
      <c r="FS236" s="392"/>
      <c r="FT236" s="392"/>
      <c r="FU236" s="392"/>
      <c r="FV236" s="392"/>
      <c r="FW236" s="392"/>
      <c r="FX236" s="392"/>
      <c r="FY236" s="392"/>
      <c r="FZ236" s="392"/>
      <c r="GA236" s="392"/>
      <c r="GB236" s="392"/>
      <c r="GC236" s="392"/>
      <c r="GD236" s="392"/>
      <c r="GE236" s="392"/>
      <c r="GF236" s="392"/>
      <c r="GG236" s="392"/>
      <c r="GH236" s="392"/>
      <c r="GI236" s="392"/>
      <c r="GJ236" s="392"/>
      <c r="GK236" s="392"/>
      <c r="GL236" s="392"/>
      <c r="GM236" s="392"/>
      <c r="GN236" s="392"/>
      <c r="GO236" s="392"/>
      <c r="GP236" s="392"/>
      <c r="GQ236" s="392"/>
      <c r="GR236" s="392"/>
      <c r="GS236" s="392"/>
      <c r="GT236" s="392"/>
      <c r="GU236" s="392"/>
      <c r="GV236" s="392"/>
      <c r="GW236" s="392"/>
      <c r="GX236" s="392"/>
      <c r="GY236" s="392"/>
      <c r="GZ236" s="392"/>
      <c r="HA236" s="392"/>
      <c r="HB236" s="392"/>
      <c r="HC236" s="392"/>
      <c r="HD236" s="392"/>
      <c r="HE236" s="392"/>
      <c r="HF236" s="392"/>
      <c r="HG236" s="392"/>
      <c r="HH236" s="392"/>
      <c r="HI236" s="392"/>
      <c r="HJ236" s="392"/>
      <c r="HK236" s="392"/>
      <c r="HL236" s="392"/>
      <c r="HM236" s="392"/>
      <c r="HN236" s="392"/>
      <c r="HO236" s="392"/>
      <c r="HP236" s="392"/>
      <c r="HQ236" s="392"/>
      <c r="HR236" s="392"/>
      <c r="HS236" s="392"/>
      <c r="HT236" s="392"/>
      <c r="HU236" s="392"/>
      <c r="HV236" s="392"/>
      <c r="HW236" s="392"/>
      <c r="HX236" s="392"/>
      <c r="HY236" s="392"/>
      <c r="HZ236" s="392"/>
      <c r="IA236" s="392"/>
      <c r="IB236" s="392"/>
      <c r="IC236" s="392"/>
      <c r="ID236" s="392"/>
      <c r="IE236" s="392"/>
      <c r="IF236" s="392"/>
      <c r="IG236" s="392"/>
      <c r="IH236" s="392"/>
      <c r="II236" s="392"/>
      <c r="IJ236" s="392"/>
      <c r="IK236" s="392"/>
      <c r="IL236" s="392"/>
      <c r="IM236" s="392"/>
      <c r="IN236" s="392"/>
      <c r="IO236" s="392"/>
      <c r="IP236" s="392"/>
      <c r="IQ236" s="392"/>
      <c r="IR236" s="392"/>
      <c r="IS236" s="392"/>
      <c r="IT236" s="392"/>
      <c r="IU236" s="392"/>
      <c r="IV236" s="392"/>
    </row>
    <row r="237" spans="1:256" ht="15.75">
      <c r="A237" s="392"/>
      <c r="B237" s="452" t="str">
        <f>B159</f>
        <v>CPU EQUIP 08</v>
      </c>
      <c r="C237" s="453" t="str">
        <f>C159</f>
        <v>FORNECIMENTO E INSTALAÇÃO - REMADA SENTADA</v>
      </c>
      <c r="D237" s="434" t="s">
        <v>22</v>
      </c>
      <c r="E237" s="454">
        <v>1</v>
      </c>
      <c r="F237" s="455" t="e">
        <f>G166</f>
        <v>#N/A</v>
      </c>
      <c r="G237" s="435" t="e">
        <f t="shared" si="0"/>
        <v>#N/A</v>
      </c>
      <c r="H237" s="392"/>
      <c r="I237" s="392"/>
      <c r="J237" s="392"/>
      <c r="K237" s="392"/>
      <c r="L237" s="392"/>
      <c r="M237" s="392"/>
      <c r="N237" s="392"/>
      <c r="O237" s="392"/>
      <c r="P237" s="392"/>
      <c r="Q237" s="392"/>
      <c r="R237" s="392"/>
      <c r="S237" s="392"/>
      <c r="T237" s="392"/>
      <c r="U237" s="392"/>
      <c r="V237" s="392"/>
      <c r="W237" s="392"/>
      <c r="X237" s="392"/>
      <c r="Y237" s="392"/>
      <c r="Z237" s="392"/>
      <c r="AA237" s="392"/>
      <c r="AB237" s="392"/>
      <c r="AC237" s="392"/>
      <c r="AD237" s="392"/>
      <c r="AE237" s="392"/>
      <c r="AF237" s="392"/>
      <c r="AG237" s="392"/>
      <c r="AH237" s="392"/>
      <c r="AI237" s="392"/>
      <c r="AJ237" s="392"/>
      <c r="AK237" s="392"/>
      <c r="AL237" s="392"/>
      <c r="AM237" s="392"/>
      <c r="AN237" s="392"/>
      <c r="AO237" s="392"/>
      <c r="AP237" s="392"/>
      <c r="AQ237" s="392"/>
      <c r="AR237" s="392"/>
      <c r="AS237" s="392"/>
      <c r="AT237" s="392"/>
      <c r="AU237" s="392"/>
      <c r="AV237" s="392"/>
      <c r="AW237" s="392"/>
      <c r="AX237" s="392"/>
      <c r="AY237" s="392"/>
      <c r="AZ237" s="392"/>
      <c r="BA237" s="392"/>
      <c r="BB237" s="392"/>
      <c r="BC237" s="392"/>
      <c r="BD237" s="392"/>
      <c r="BE237" s="392"/>
      <c r="BF237" s="392"/>
      <c r="BG237" s="392"/>
      <c r="BH237" s="392"/>
      <c r="BI237" s="392"/>
      <c r="BJ237" s="392"/>
      <c r="BK237" s="392"/>
      <c r="BL237" s="392"/>
      <c r="BM237" s="392"/>
      <c r="BN237" s="392"/>
      <c r="BO237" s="392"/>
      <c r="BP237" s="392"/>
      <c r="BQ237" s="392"/>
      <c r="BR237" s="392"/>
      <c r="BS237" s="392"/>
      <c r="BT237" s="392"/>
      <c r="BU237" s="392"/>
      <c r="BV237" s="392"/>
      <c r="BW237" s="392"/>
      <c r="BX237" s="392"/>
      <c r="BY237" s="392"/>
      <c r="BZ237" s="392"/>
      <c r="CA237" s="392"/>
      <c r="CB237" s="392"/>
      <c r="CC237" s="392"/>
      <c r="CD237" s="392"/>
      <c r="CE237" s="392"/>
      <c r="CF237" s="392"/>
      <c r="CG237" s="392"/>
      <c r="CH237" s="392"/>
      <c r="CI237" s="392"/>
      <c r="CJ237" s="392"/>
      <c r="CK237" s="392"/>
      <c r="CL237" s="392"/>
      <c r="CM237" s="392"/>
      <c r="CN237" s="392"/>
      <c r="CO237" s="392"/>
      <c r="CP237" s="392"/>
      <c r="CQ237" s="392"/>
      <c r="CR237" s="392"/>
      <c r="CS237" s="392"/>
      <c r="CT237" s="392"/>
      <c r="CU237" s="392"/>
      <c r="CV237" s="392"/>
      <c r="CW237" s="392"/>
      <c r="CX237" s="392"/>
      <c r="CY237" s="392"/>
      <c r="CZ237" s="392"/>
      <c r="DA237" s="392"/>
      <c r="DB237" s="392"/>
      <c r="DC237" s="392"/>
      <c r="DD237" s="392"/>
      <c r="DE237" s="392"/>
      <c r="DF237" s="392"/>
      <c r="DG237" s="392"/>
      <c r="DH237" s="392"/>
      <c r="DI237" s="392"/>
      <c r="DJ237" s="392"/>
      <c r="DK237" s="392"/>
      <c r="DL237" s="392"/>
      <c r="DM237" s="392"/>
      <c r="DN237" s="392"/>
      <c r="DO237" s="392"/>
      <c r="DP237" s="392"/>
      <c r="DQ237" s="392"/>
      <c r="DR237" s="392"/>
      <c r="DS237" s="392"/>
      <c r="DT237" s="392"/>
      <c r="DU237" s="392"/>
      <c r="DV237" s="392"/>
      <c r="DW237" s="392"/>
      <c r="DX237" s="392"/>
      <c r="DY237" s="392"/>
      <c r="DZ237" s="392"/>
      <c r="EA237" s="392"/>
      <c r="EB237" s="392"/>
      <c r="EC237" s="392"/>
      <c r="ED237" s="392"/>
      <c r="EE237" s="392"/>
      <c r="EF237" s="392"/>
      <c r="EG237" s="392"/>
      <c r="EH237" s="392"/>
      <c r="EI237" s="392"/>
      <c r="EJ237" s="392"/>
      <c r="EK237" s="392"/>
      <c r="EL237" s="392"/>
      <c r="EM237" s="392"/>
      <c r="EN237" s="392"/>
      <c r="EO237" s="392"/>
      <c r="EP237" s="392"/>
      <c r="EQ237" s="392"/>
      <c r="ER237" s="392"/>
      <c r="ES237" s="392"/>
      <c r="ET237" s="392"/>
      <c r="EU237" s="392"/>
      <c r="EV237" s="392"/>
      <c r="EW237" s="392"/>
      <c r="EX237" s="392"/>
      <c r="EY237" s="392"/>
      <c r="EZ237" s="392"/>
      <c r="FA237" s="392"/>
      <c r="FB237" s="392"/>
      <c r="FC237" s="392"/>
      <c r="FD237" s="392"/>
      <c r="FE237" s="392"/>
      <c r="FF237" s="392"/>
      <c r="FG237" s="392"/>
      <c r="FH237" s="392"/>
      <c r="FI237" s="392"/>
      <c r="FJ237" s="392"/>
      <c r="FK237" s="392"/>
      <c r="FL237" s="392"/>
      <c r="FM237" s="392"/>
      <c r="FN237" s="392"/>
      <c r="FO237" s="392"/>
      <c r="FP237" s="392"/>
      <c r="FQ237" s="392"/>
      <c r="FR237" s="392"/>
      <c r="FS237" s="392"/>
      <c r="FT237" s="392"/>
      <c r="FU237" s="392"/>
      <c r="FV237" s="392"/>
      <c r="FW237" s="392"/>
      <c r="FX237" s="392"/>
      <c r="FY237" s="392"/>
      <c r="FZ237" s="392"/>
      <c r="GA237" s="392"/>
      <c r="GB237" s="392"/>
      <c r="GC237" s="392"/>
      <c r="GD237" s="392"/>
      <c r="GE237" s="392"/>
      <c r="GF237" s="392"/>
      <c r="GG237" s="392"/>
      <c r="GH237" s="392"/>
      <c r="GI237" s="392"/>
      <c r="GJ237" s="392"/>
      <c r="GK237" s="392"/>
      <c r="GL237" s="392"/>
      <c r="GM237" s="392"/>
      <c r="GN237" s="392"/>
      <c r="GO237" s="392"/>
      <c r="GP237" s="392"/>
      <c r="GQ237" s="392"/>
      <c r="GR237" s="392"/>
      <c r="GS237" s="392"/>
      <c r="GT237" s="392"/>
      <c r="GU237" s="392"/>
      <c r="GV237" s="392"/>
      <c r="GW237" s="392"/>
      <c r="GX237" s="392"/>
      <c r="GY237" s="392"/>
      <c r="GZ237" s="392"/>
      <c r="HA237" s="392"/>
      <c r="HB237" s="392"/>
      <c r="HC237" s="392"/>
      <c r="HD237" s="392"/>
      <c r="HE237" s="392"/>
      <c r="HF237" s="392"/>
      <c r="HG237" s="392"/>
      <c r="HH237" s="392"/>
      <c r="HI237" s="392"/>
      <c r="HJ237" s="392"/>
      <c r="HK237" s="392"/>
      <c r="HL237" s="392"/>
      <c r="HM237" s="392"/>
      <c r="HN237" s="392"/>
      <c r="HO237" s="392"/>
      <c r="HP237" s="392"/>
      <c r="HQ237" s="392"/>
      <c r="HR237" s="392"/>
      <c r="HS237" s="392"/>
      <c r="HT237" s="392"/>
      <c r="HU237" s="392"/>
      <c r="HV237" s="392"/>
      <c r="HW237" s="392"/>
      <c r="HX237" s="392"/>
      <c r="HY237" s="392"/>
      <c r="HZ237" s="392"/>
      <c r="IA237" s="392"/>
      <c r="IB237" s="392"/>
      <c r="IC237" s="392"/>
      <c r="ID237" s="392"/>
      <c r="IE237" s="392"/>
      <c r="IF237" s="392"/>
      <c r="IG237" s="392"/>
      <c r="IH237" s="392"/>
      <c r="II237" s="392"/>
      <c r="IJ237" s="392"/>
      <c r="IK237" s="392"/>
      <c r="IL237" s="392"/>
      <c r="IM237" s="392"/>
      <c r="IN237" s="392"/>
      <c r="IO237" s="392"/>
      <c r="IP237" s="392"/>
      <c r="IQ237" s="392"/>
      <c r="IR237" s="392"/>
      <c r="IS237" s="392"/>
      <c r="IT237" s="392"/>
      <c r="IU237" s="392"/>
      <c r="IV237" s="392"/>
    </row>
    <row r="238" spans="1:256" ht="15.75">
      <c r="A238" s="392"/>
      <c r="B238" s="452" t="str">
        <f>B176</f>
        <v>CPU EQUIP 09</v>
      </c>
      <c r="C238" s="453" t="str">
        <f>C176</f>
        <v>FORNECIMENTO E INSTALAÇÃO - SIMULADOR DE CAMINHADA</v>
      </c>
      <c r="D238" s="434" t="s">
        <v>22</v>
      </c>
      <c r="E238" s="454">
        <v>1</v>
      </c>
      <c r="F238" s="455" t="e">
        <f>G183</f>
        <v>#N/A</v>
      </c>
      <c r="G238" s="435" t="e">
        <f t="shared" si="0"/>
        <v>#N/A</v>
      </c>
      <c r="H238" s="392"/>
      <c r="I238" s="392"/>
      <c r="J238" s="392"/>
      <c r="K238" s="392"/>
      <c r="L238" s="392"/>
      <c r="M238" s="392"/>
      <c r="N238" s="392"/>
      <c r="O238" s="392"/>
      <c r="P238" s="392"/>
      <c r="Q238" s="392"/>
      <c r="R238" s="392"/>
      <c r="S238" s="392"/>
      <c r="T238" s="392"/>
      <c r="U238" s="392"/>
      <c r="V238" s="392"/>
      <c r="W238" s="392"/>
      <c r="X238" s="392"/>
      <c r="Y238" s="392"/>
      <c r="Z238" s="392"/>
      <c r="AA238" s="392"/>
      <c r="AB238" s="392"/>
      <c r="AC238" s="392"/>
      <c r="AD238" s="392"/>
      <c r="AE238" s="392"/>
      <c r="AF238" s="392"/>
      <c r="AG238" s="392"/>
      <c r="AH238" s="392"/>
      <c r="AI238" s="392"/>
      <c r="AJ238" s="392"/>
      <c r="AK238" s="392"/>
      <c r="AL238" s="392"/>
      <c r="AM238" s="392"/>
      <c r="AN238" s="392"/>
      <c r="AO238" s="392"/>
      <c r="AP238" s="392"/>
      <c r="AQ238" s="392"/>
      <c r="AR238" s="392"/>
      <c r="AS238" s="392"/>
      <c r="AT238" s="392"/>
      <c r="AU238" s="392"/>
      <c r="AV238" s="392"/>
      <c r="AW238" s="392"/>
      <c r="AX238" s="392"/>
      <c r="AY238" s="392"/>
      <c r="AZ238" s="392"/>
      <c r="BA238" s="392"/>
      <c r="BB238" s="392"/>
      <c r="BC238" s="392"/>
      <c r="BD238" s="392"/>
      <c r="BE238" s="392"/>
      <c r="BF238" s="392"/>
      <c r="BG238" s="392"/>
      <c r="BH238" s="392"/>
      <c r="BI238" s="392"/>
      <c r="BJ238" s="392"/>
      <c r="BK238" s="392"/>
      <c r="BL238" s="392"/>
      <c r="BM238" s="392"/>
      <c r="BN238" s="392"/>
      <c r="BO238" s="392"/>
      <c r="BP238" s="392"/>
      <c r="BQ238" s="392"/>
      <c r="BR238" s="392"/>
      <c r="BS238" s="392"/>
      <c r="BT238" s="392"/>
      <c r="BU238" s="392"/>
      <c r="BV238" s="392"/>
      <c r="BW238" s="392"/>
      <c r="BX238" s="392"/>
      <c r="BY238" s="392"/>
      <c r="BZ238" s="392"/>
      <c r="CA238" s="392"/>
      <c r="CB238" s="392"/>
      <c r="CC238" s="392"/>
      <c r="CD238" s="392"/>
      <c r="CE238" s="392"/>
      <c r="CF238" s="392"/>
      <c r="CG238" s="392"/>
      <c r="CH238" s="392"/>
      <c r="CI238" s="392"/>
      <c r="CJ238" s="392"/>
      <c r="CK238" s="392"/>
      <c r="CL238" s="392"/>
      <c r="CM238" s="392"/>
      <c r="CN238" s="392"/>
      <c r="CO238" s="392"/>
      <c r="CP238" s="392"/>
      <c r="CQ238" s="392"/>
      <c r="CR238" s="392"/>
      <c r="CS238" s="392"/>
      <c r="CT238" s="392"/>
      <c r="CU238" s="392"/>
      <c r="CV238" s="392"/>
      <c r="CW238" s="392"/>
      <c r="CX238" s="392"/>
      <c r="CY238" s="392"/>
      <c r="CZ238" s="392"/>
      <c r="DA238" s="392"/>
      <c r="DB238" s="392"/>
      <c r="DC238" s="392"/>
      <c r="DD238" s="392"/>
      <c r="DE238" s="392"/>
      <c r="DF238" s="392"/>
      <c r="DG238" s="392"/>
      <c r="DH238" s="392"/>
      <c r="DI238" s="392"/>
      <c r="DJ238" s="392"/>
      <c r="DK238" s="392"/>
      <c r="DL238" s="392"/>
      <c r="DM238" s="392"/>
      <c r="DN238" s="392"/>
      <c r="DO238" s="392"/>
      <c r="DP238" s="392"/>
      <c r="DQ238" s="392"/>
      <c r="DR238" s="392"/>
      <c r="DS238" s="392"/>
      <c r="DT238" s="392"/>
      <c r="DU238" s="392"/>
      <c r="DV238" s="392"/>
      <c r="DW238" s="392"/>
      <c r="DX238" s="392"/>
      <c r="DY238" s="392"/>
      <c r="DZ238" s="392"/>
      <c r="EA238" s="392"/>
      <c r="EB238" s="392"/>
      <c r="EC238" s="392"/>
      <c r="ED238" s="392"/>
      <c r="EE238" s="392"/>
      <c r="EF238" s="392"/>
      <c r="EG238" s="392"/>
      <c r="EH238" s="392"/>
      <c r="EI238" s="392"/>
      <c r="EJ238" s="392"/>
      <c r="EK238" s="392"/>
      <c r="EL238" s="392"/>
      <c r="EM238" s="392"/>
      <c r="EN238" s="392"/>
      <c r="EO238" s="392"/>
      <c r="EP238" s="392"/>
      <c r="EQ238" s="392"/>
      <c r="ER238" s="392"/>
      <c r="ES238" s="392"/>
      <c r="ET238" s="392"/>
      <c r="EU238" s="392"/>
      <c r="EV238" s="392"/>
      <c r="EW238" s="392"/>
      <c r="EX238" s="392"/>
      <c r="EY238" s="392"/>
      <c r="EZ238" s="392"/>
      <c r="FA238" s="392"/>
      <c r="FB238" s="392"/>
      <c r="FC238" s="392"/>
      <c r="FD238" s="392"/>
      <c r="FE238" s="392"/>
      <c r="FF238" s="392"/>
      <c r="FG238" s="392"/>
      <c r="FH238" s="392"/>
      <c r="FI238" s="392"/>
      <c r="FJ238" s="392"/>
      <c r="FK238" s="392"/>
      <c r="FL238" s="392"/>
      <c r="FM238" s="392"/>
      <c r="FN238" s="392"/>
      <c r="FO238" s="392"/>
      <c r="FP238" s="392"/>
      <c r="FQ238" s="392"/>
      <c r="FR238" s="392"/>
      <c r="FS238" s="392"/>
      <c r="FT238" s="392"/>
      <c r="FU238" s="392"/>
      <c r="FV238" s="392"/>
      <c r="FW238" s="392"/>
      <c r="FX238" s="392"/>
      <c r="FY238" s="392"/>
      <c r="FZ238" s="392"/>
      <c r="GA238" s="392"/>
      <c r="GB238" s="392"/>
      <c r="GC238" s="392"/>
      <c r="GD238" s="392"/>
      <c r="GE238" s="392"/>
      <c r="GF238" s="392"/>
      <c r="GG238" s="392"/>
      <c r="GH238" s="392"/>
      <c r="GI238" s="392"/>
      <c r="GJ238" s="392"/>
      <c r="GK238" s="392"/>
      <c r="GL238" s="392"/>
      <c r="GM238" s="392"/>
      <c r="GN238" s="392"/>
      <c r="GO238" s="392"/>
      <c r="GP238" s="392"/>
      <c r="GQ238" s="392"/>
      <c r="GR238" s="392"/>
      <c r="GS238" s="392"/>
      <c r="GT238" s="392"/>
      <c r="GU238" s="392"/>
      <c r="GV238" s="392"/>
      <c r="GW238" s="392"/>
      <c r="GX238" s="392"/>
      <c r="GY238" s="392"/>
      <c r="GZ238" s="392"/>
      <c r="HA238" s="392"/>
      <c r="HB238" s="392"/>
      <c r="HC238" s="392"/>
      <c r="HD238" s="392"/>
      <c r="HE238" s="392"/>
      <c r="HF238" s="392"/>
      <c r="HG238" s="392"/>
      <c r="HH238" s="392"/>
      <c r="HI238" s="392"/>
      <c r="HJ238" s="392"/>
      <c r="HK238" s="392"/>
      <c r="HL238" s="392"/>
      <c r="HM238" s="392"/>
      <c r="HN238" s="392"/>
      <c r="HO238" s="392"/>
      <c r="HP238" s="392"/>
      <c r="HQ238" s="392"/>
      <c r="HR238" s="392"/>
      <c r="HS238" s="392"/>
      <c r="HT238" s="392"/>
      <c r="HU238" s="392"/>
      <c r="HV238" s="392"/>
      <c r="HW238" s="392"/>
      <c r="HX238" s="392"/>
      <c r="HY238" s="392"/>
      <c r="HZ238" s="392"/>
      <c r="IA238" s="392"/>
      <c r="IB238" s="392"/>
      <c r="IC238" s="392"/>
      <c r="ID238" s="392"/>
      <c r="IE238" s="392"/>
      <c r="IF238" s="392"/>
      <c r="IG238" s="392"/>
      <c r="IH238" s="392"/>
      <c r="II238" s="392"/>
      <c r="IJ238" s="392"/>
      <c r="IK238" s="392"/>
      <c r="IL238" s="392"/>
      <c r="IM238" s="392"/>
      <c r="IN238" s="392"/>
      <c r="IO238" s="392"/>
      <c r="IP238" s="392"/>
      <c r="IQ238" s="392"/>
      <c r="IR238" s="392"/>
      <c r="IS238" s="392"/>
      <c r="IT238" s="392"/>
      <c r="IU238" s="392"/>
      <c r="IV238" s="392"/>
    </row>
    <row r="239" spans="1:256" ht="15.75">
      <c r="A239" s="392"/>
      <c r="B239" s="452" t="str">
        <f>B193</f>
        <v>CPU EQUIP 10</v>
      </c>
      <c r="C239" s="453" t="str">
        <f>C193</f>
        <v>FORNECIMENTO E INSTALAÇÃO - MULTI EXERCITADOR</v>
      </c>
      <c r="D239" s="434" t="s">
        <v>22</v>
      </c>
      <c r="E239" s="454">
        <v>1</v>
      </c>
      <c r="F239" s="455" t="e">
        <f>G200</f>
        <v>#N/A</v>
      </c>
      <c r="G239" s="435" t="e">
        <f t="shared" si="0"/>
        <v>#N/A</v>
      </c>
      <c r="H239" s="392"/>
      <c r="I239" s="392"/>
      <c r="J239" s="392"/>
      <c r="K239" s="392"/>
      <c r="L239" s="392"/>
      <c r="M239" s="392"/>
      <c r="N239" s="392"/>
      <c r="O239" s="392"/>
      <c r="P239" s="392"/>
      <c r="Q239" s="392"/>
      <c r="R239" s="392"/>
      <c r="S239" s="392"/>
      <c r="T239" s="392"/>
      <c r="U239" s="392"/>
      <c r="V239" s="392"/>
      <c r="W239" s="392"/>
      <c r="X239" s="392"/>
      <c r="Y239" s="392"/>
      <c r="Z239" s="392"/>
      <c r="AA239" s="392"/>
      <c r="AB239" s="392"/>
      <c r="AC239" s="392"/>
      <c r="AD239" s="392"/>
      <c r="AE239" s="392"/>
      <c r="AF239" s="392"/>
      <c r="AG239" s="392"/>
      <c r="AH239" s="392"/>
      <c r="AI239" s="392"/>
      <c r="AJ239" s="392"/>
      <c r="AK239" s="392"/>
      <c r="AL239" s="392"/>
      <c r="AM239" s="392"/>
      <c r="AN239" s="392"/>
      <c r="AO239" s="392"/>
      <c r="AP239" s="392"/>
      <c r="AQ239" s="392"/>
      <c r="AR239" s="392"/>
      <c r="AS239" s="392"/>
      <c r="AT239" s="392"/>
      <c r="AU239" s="392"/>
      <c r="AV239" s="392"/>
      <c r="AW239" s="392"/>
      <c r="AX239" s="392"/>
      <c r="AY239" s="392"/>
      <c r="AZ239" s="392"/>
      <c r="BA239" s="392"/>
      <c r="BB239" s="392"/>
      <c r="BC239" s="392"/>
      <c r="BD239" s="392"/>
      <c r="BE239" s="392"/>
      <c r="BF239" s="392"/>
      <c r="BG239" s="392"/>
      <c r="BH239" s="392"/>
      <c r="BI239" s="392"/>
      <c r="BJ239" s="392"/>
      <c r="BK239" s="392"/>
      <c r="BL239" s="392"/>
      <c r="BM239" s="392"/>
      <c r="BN239" s="392"/>
      <c r="BO239" s="392"/>
      <c r="BP239" s="392"/>
      <c r="BQ239" s="392"/>
      <c r="BR239" s="392"/>
      <c r="BS239" s="392"/>
      <c r="BT239" s="392"/>
      <c r="BU239" s="392"/>
      <c r="BV239" s="392"/>
      <c r="BW239" s="392"/>
      <c r="BX239" s="392"/>
      <c r="BY239" s="392"/>
      <c r="BZ239" s="392"/>
      <c r="CA239" s="392"/>
      <c r="CB239" s="392"/>
      <c r="CC239" s="392"/>
      <c r="CD239" s="392"/>
      <c r="CE239" s="392"/>
      <c r="CF239" s="392"/>
      <c r="CG239" s="392"/>
      <c r="CH239" s="392"/>
      <c r="CI239" s="392"/>
      <c r="CJ239" s="392"/>
      <c r="CK239" s="392"/>
      <c r="CL239" s="392"/>
      <c r="CM239" s="392"/>
      <c r="CN239" s="392"/>
      <c r="CO239" s="392"/>
      <c r="CP239" s="392"/>
      <c r="CQ239" s="392"/>
      <c r="CR239" s="392"/>
      <c r="CS239" s="392"/>
      <c r="CT239" s="392"/>
      <c r="CU239" s="392"/>
      <c r="CV239" s="392"/>
      <c r="CW239" s="392"/>
      <c r="CX239" s="392"/>
      <c r="CY239" s="392"/>
      <c r="CZ239" s="392"/>
      <c r="DA239" s="392"/>
      <c r="DB239" s="392"/>
      <c r="DC239" s="392"/>
      <c r="DD239" s="392"/>
      <c r="DE239" s="392"/>
      <c r="DF239" s="392"/>
      <c r="DG239" s="392"/>
      <c r="DH239" s="392"/>
      <c r="DI239" s="392"/>
      <c r="DJ239" s="392"/>
      <c r="DK239" s="392"/>
      <c r="DL239" s="392"/>
      <c r="DM239" s="392"/>
      <c r="DN239" s="392"/>
      <c r="DO239" s="392"/>
      <c r="DP239" s="392"/>
      <c r="DQ239" s="392"/>
      <c r="DR239" s="392"/>
      <c r="DS239" s="392"/>
      <c r="DT239" s="392"/>
      <c r="DU239" s="392"/>
      <c r="DV239" s="392"/>
      <c r="DW239" s="392"/>
      <c r="DX239" s="392"/>
      <c r="DY239" s="392"/>
      <c r="DZ239" s="392"/>
      <c r="EA239" s="392"/>
      <c r="EB239" s="392"/>
      <c r="EC239" s="392"/>
      <c r="ED239" s="392"/>
      <c r="EE239" s="392"/>
      <c r="EF239" s="392"/>
      <c r="EG239" s="392"/>
      <c r="EH239" s="392"/>
      <c r="EI239" s="392"/>
      <c r="EJ239" s="392"/>
      <c r="EK239" s="392"/>
      <c r="EL239" s="392"/>
      <c r="EM239" s="392"/>
      <c r="EN239" s="392"/>
      <c r="EO239" s="392"/>
      <c r="EP239" s="392"/>
      <c r="EQ239" s="392"/>
      <c r="ER239" s="392"/>
      <c r="ES239" s="392"/>
      <c r="ET239" s="392"/>
      <c r="EU239" s="392"/>
      <c r="EV239" s="392"/>
      <c r="EW239" s="392"/>
      <c r="EX239" s="392"/>
      <c r="EY239" s="392"/>
      <c r="EZ239" s="392"/>
      <c r="FA239" s="392"/>
      <c r="FB239" s="392"/>
      <c r="FC239" s="392"/>
      <c r="FD239" s="392"/>
      <c r="FE239" s="392"/>
      <c r="FF239" s="392"/>
      <c r="FG239" s="392"/>
      <c r="FH239" s="392"/>
      <c r="FI239" s="392"/>
      <c r="FJ239" s="392"/>
      <c r="FK239" s="392"/>
      <c r="FL239" s="392"/>
      <c r="FM239" s="392"/>
      <c r="FN239" s="392"/>
      <c r="FO239" s="392"/>
      <c r="FP239" s="392"/>
      <c r="FQ239" s="392"/>
      <c r="FR239" s="392"/>
      <c r="FS239" s="392"/>
      <c r="FT239" s="392"/>
      <c r="FU239" s="392"/>
      <c r="FV239" s="392"/>
      <c r="FW239" s="392"/>
      <c r="FX239" s="392"/>
      <c r="FY239" s="392"/>
      <c r="FZ239" s="392"/>
      <c r="GA239" s="392"/>
      <c r="GB239" s="392"/>
      <c r="GC239" s="392"/>
      <c r="GD239" s="392"/>
      <c r="GE239" s="392"/>
      <c r="GF239" s="392"/>
      <c r="GG239" s="392"/>
      <c r="GH239" s="392"/>
      <c r="GI239" s="392"/>
      <c r="GJ239" s="392"/>
      <c r="GK239" s="392"/>
      <c r="GL239" s="392"/>
      <c r="GM239" s="392"/>
      <c r="GN239" s="392"/>
      <c r="GO239" s="392"/>
      <c r="GP239" s="392"/>
      <c r="GQ239" s="392"/>
      <c r="GR239" s="392"/>
      <c r="GS239" s="392"/>
      <c r="GT239" s="392"/>
      <c r="GU239" s="392"/>
      <c r="GV239" s="392"/>
      <c r="GW239" s="392"/>
      <c r="GX239" s="392"/>
      <c r="GY239" s="392"/>
      <c r="GZ239" s="392"/>
      <c r="HA239" s="392"/>
      <c r="HB239" s="392"/>
      <c r="HC239" s="392"/>
      <c r="HD239" s="392"/>
      <c r="HE239" s="392"/>
      <c r="HF239" s="392"/>
      <c r="HG239" s="392"/>
      <c r="HH239" s="392"/>
      <c r="HI239" s="392"/>
      <c r="HJ239" s="392"/>
      <c r="HK239" s="392"/>
      <c r="HL239" s="392"/>
      <c r="HM239" s="392"/>
      <c r="HN239" s="392"/>
      <c r="HO239" s="392"/>
      <c r="HP239" s="392"/>
      <c r="HQ239" s="392"/>
      <c r="HR239" s="392"/>
      <c r="HS239" s="392"/>
      <c r="HT239" s="392"/>
      <c r="HU239" s="392"/>
      <c r="HV239" s="392"/>
      <c r="HW239" s="392"/>
      <c r="HX239" s="392"/>
      <c r="HY239" s="392"/>
      <c r="HZ239" s="392"/>
      <c r="IA239" s="392"/>
      <c r="IB239" s="392"/>
      <c r="IC239" s="392"/>
      <c r="ID239" s="392"/>
      <c r="IE239" s="392"/>
      <c r="IF239" s="392"/>
      <c r="IG239" s="392"/>
      <c r="IH239" s="392"/>
      <c r="II239" s="392"/>
      <c r="IJ239" s="392"/>
      <c r="IK239" s="392"/>
      <c r="IL239" s="392"/>
      <c r="IM239" s="392"/>
      <c r="IN239" s="392"/>
      <c r="IO239" s="392"/>
      <c r="IP239" s="392"/>
      <c r="IQ239" s="392"/>
      <c r="IR239" s="392"/>
      <c r="IS239" s="392"/>
      <c r="IT239" s="392"/>
      <c r="IU239" s="392"/>
      <c r="IV239" s="392"/>
    </row>
    <row r="240" spans="1:256" ht="16.5" thickBot="1">
      <c r="A240" s="392"/>
      <c r="B240" s="456" t="str">
        <f>B210</f>
        <v>CPU EQUIP 11</v>
      </c>
      <c r="C240" s="457" t="str">
        <f>C210</f>
        <v>FORNECIMENTO E INSTALAÇÃO - PLACA ORIENTATIVA</v>
      </c>
      <c r="D240" s="458" t="s">
        <v>22</v>
      </c>
      <c r="E240" s="459">
        <v>1</v>
      </c>
      <c r="F240" s="460" t="e">
        <f>G217</f>
        <v>#N/A</v>
      </c>
      <c r="G240" s="438" t="e">
        <f t="shared" si="0"/>
        <v>#N/A</v>
      </c>
      <c r="H240" s="392"/>
      <c r="I240" s="392"/>
      <c r="J240" s="392"/>
      <c r="K240" s="392"/>
      <c r="L240" s="392"/>
      <c r="M240" s="392"/>
      <c r="N240" s="392"/>
      <c r="O240" s="392"/>
      <c r="P240" s="392"/>
      <c r="Q240" s="392"/>
      <c r="R240" s="392"/>
      <c r="S240" s="392"/>
      <c r="T240" s="392"/>
      <c r="U240" s="392"/>
      <c r="V240" s="392"/>
      <c r="W240" s="392"/>
      <c r="X240" s="392"/>
      <c r="Y240" s="392"/>
      <c r="Z240" s="392"/>
      <c r="AA240" s="392"/>
      <c r="AB240" s="392"/>
      <c r="AC240" s="392"/>
      <c r="AD240" s="392"/>
      <c r="AE240" s="392"/>
      <c r="AF240" s="392"/>
      <c r="AG240" s="392"/>
      <c r="AH240" s="392"/>
      <c r="AI240" s="392"/>
      <c r="AJ240" s="392"/>
      <c r="AK240" s="392"/>
      <c r="AL240" s="392"/>
      <c r="AM240" s="392"/>
      <c r="AN240" s="392"/>
      <c r="AO240" s="392"/>
      <c r="AP240" s="392"/>
      <c r="AQ240" s="392"/>
      <c r="AR240" s="392"/>
      <c r="AS240" s="392"/>
      <c r="AT240" s="392"/>
      <c r="AU240" s="392"/>
      <c r="AV240" s="392"/>
      <c r="AW240" s="392"/>
      <c r="AX240" s="392"/>
      <c r="AY240" s="392"/>
      <c r="AZ240" s="392"/>
      <c r="BA240" s="392"/>
      <c r="BB240" s="392"/>
      <c r="BC240" s="392"/>
      <c r="BD240" s="392"/>
      <c r="BE240" s="392"/>
      <c r="BF240" s="392"/>
      <c r="BG240" s="392"/>
      <c r="BH240" s="392"/>
      <c r="BI240" s="392"/>
      <c r="BJ240" s="392"/>
      <c r="BK240" s="392"/>
      <c r="BL240" s="392"/>
      <c r="BM240" s="392"/>
      <c r="BN240" s="392"/>
      <c r="BO240" s="392"/>
      <c r="BP240" s="392"/>
      <c r="BQ240" s="392"/>
      <c r="BR240" s="392"/>
      <c r="BS240" s="392"/>
      <c r="BT240" s="392"/>
      <c r="BU240" s="392"/>
      <c r="BV240" s="392"/>
      <c r="BW240" s="392"/>
      <c r="BX240" s="392"/>
      <c r="BY240" s="392"/>
      <c r="BZ240" s="392"/>
      <c r="CA240" s="392"/>
      <c r="CB240" s="392"/>
      <c r="CC240" s="392"/>
      <c r="CD240" s="392"/>
      <c r="CE240" s="392"/>
      <c r="CF240" s="392"/>
      <c r="CG240" s="392"/>
      <c r="CH240" s="392"/>
      <c r="CI240" s="392"/>
      <c r="CJ240" s="392"/>
      <c r="CK240" s="392"/>
      <c r="CL240" s="392"/>
      <c r="CM240" s="392"/>
      <c r="CN240" s="392"/>
      <c r="CO240" s="392"/>
      <c r="CP240" s="392"/>
      <c r="CQ240" s="392"/>
      <c r="CR240" s="392"/>
      <c r="CS240" s="392"/>
      <c r="CT240" s="392"/>
      <c r="CU240" s="392"/>
      <c r="CV240" s="392"/>
      <c r="CW240" s="392"/>
      <c r="CX240" s="392"/>
      <c r="CY240" s="392"/>
      <c r="CZ240" s="392"/>
      <c r="DA240" s="392"/>
      <c r="DB240" s="392"/>
      <c r="DC240" s="392"/>
      <c r="DD240" s="392"/>
      <c r="DE240" s="392"/>
      <c r="DF240" s="392"/>
      <c r="DG240" s="392"/>
      <c r="DH240" s="392"/>
      <c r="DI240" s="392"/>
      <c r="DJ240" s="392"/>
      <c r="DK240" s="392"/>
      <c r="DL240" s="392"/>
      <c r="DM240" s="392"/>
      <c r="DN240" s="392"/>
      <c r="DO240" s="392"/>
      <c r="DP240" s="392"/>
      <c r="DQ240" s="392"/>
      <c r="DR240" s="392"/>
      <c r="DS240" s="392"/>
      <c r="DT240" s="392"/>
      <c r="DU240" s="392"/>
      <c r="DV240" s="392"/>
      <c r="DW240" s="392"/>
      <c r="DX240" s="392"/>
      <c r="DY240" s="392"/>
      <c r="DZ240" s="392"/>
      <c r="EA240" s="392"/>
      <c r="EB240" s="392"/>
      <c r="EC240" s="392"/>
      <c r="ED240" s="392"/>
      <c r="EE240" s="392"/>
      <c r="EF240" s="392"/>
      <c r="EG240" s="392"/>
      <c r="EH240" s="392"/>
      <c r="EI240" s="392"/>
      <c r="EJ240" s="392"/>
      <c r="EK240" s="392"/>
      <c r="EL240" s="392"/>
      <c r="EM240" s="392"/>
      <c r="EN240" s="392"/>
      <c r="EO240" s="392"/>
      <c r="EP240" s="392"/>
      <c r="EQ240" s="392"/>
      <c r="ER240" s="392"/>
      <c r="ES240" s="392"/>
      <c r="ET240" s="392"/>
      <c r="EU240" s="392"/>
      <c r="EV240" s="392"/>
      <c r="EW240" s="392"/>
      <c r="EX240" s="392"/>
      <c r="EY240" s="392"/>
      <c r="EZ240" s="392"/>
      <c r="FA240" s="392"/>
      <c r="FB240" s="392"/>
      <c r="FC240" s="392"/>
      <c r="FD240" s="392"/>
      <c r="FE240" s="392"/>
      <c r="FF240" s="392"/>
      <c r="FG240" s="392"/>
      <c r="FH240" s="392"/>
      <c r="FI240" s="392"/>
      <c r="FJ240" s="392"/>
      <c r="FK240" s="392"/>
      <c r="FL240" s="392"/>
      <c r="FM240" s="392"/>
      <c r="FN240" s="392"/>
      <c r="FO240" s="392"/>
      <c r="FP240" s="392"/>
      <c r="FQ240" s="392"/>
      <c r="FR240" s="392"/>
      <c r="FS240" s="392"/>
      <c r="FT240" s="392"/>
      <c r="FU240" s="392"/>
      <c r="FV240" s="392"/>
      <c r="FW240" s="392"/>
      <c r="FX240" s="392"/>
      <c r="FY240" s="392"/>
      <c r="FZ240" s="392"/>
      <c r="GA240" s="392"/>
      <c r="GB240" s="392"/>
      <c r="GC240" s="392"/>
      <c r="GD240" s="392"/>
      <c r="GE240" s="392"/>
      <c r="GF240" s="392"/>
      <c r="GG240" s="392"/>
      <c r="GH240" s="392"/>
      <c r="GI240" s="392"/>
      <c r="GJ240" s="392"/>
      <c r="GK240" s="392"/>
      <c r="GL240" s="392"/>
      <c r="GM240" s="392"/>
      <c r="GN240" s="392"/>
      <c r="GO240" s="392"/>
      <c r="GP240" s="392"/>
      <c r="GQ240" s="392"/>
      <c r="GR240" s="392"/>
      <c r="GS240" s="392"/>
      <c r="GT240" s="392"/>
      <c r="GU240" s="392"/>
      <c r="GV240" s="392"/>
      <c r="GW240" s="392"/>
      <c r="GX240" s="392"/>
      <c r="GY240" s="392"/>
      <c r="GZ240" s="392"/>
      <c r="HA240" s="392"/>
      <c r="HB240" s="392"/>
      <c r="HC240" s="392"/>
      <c r="HD240" s="392"/>
      <c r="HE240" s="392"/>
      <c r="HF240" s="392"/>
      <c r="HG240" s="392"/>
      <c r="HH240" s="392"/>
      <c r="HI240" s="392"/>
      <c r="HJ240" s="392"/>
      <c r="HK240" s="392"/>
      <c r="HL240" s="392"/>
      <c r="HM240" s="392"/>
      <c r="HN240" s="392"/>
      <c r="HO240" s="392"/>
      <c r="HP240" s="392"/>
      <c r="HQ240" s="392"/>
      <c r="HR240" s="392"/>
      <c r="HS240" s="392"/>
      <c r="HT240" s="392"/>
      <c r="HU240" s="392"/>
      <c r="HV240" s="392"/>
      <c r="HW240" s="392"/>
      <c r="HX240" s="392"/>
      <c r="HY240" s="392"/>
      <c r="HZ240" s="392"/>
      <c r="IA240" s="392"/>
      <c r="IB240" s="392"/>
      <c r="IC240" s="392"/>
      <c r="ID240" s="392"/>
      <c r="IE240" s="392"/>
      <c r="IF240" s="392"/>
      <c r="IG240" s="392"/>
      <c r="IH240" s="392"/>
      <c r="II240" s="392"/>
      <c r="IJ240" s="392"/>
      <c r="IK240" s="392"/>
      <c r="IL240" s="392"/>
      <c r="IM240" s="392"/>
      <c r="IN240" s="392"/>
      <c r="IO240" s="392"/>
      <c r="IP240" s="392"/>
      <c r="IQ240" s="392"/>
      <c r="IR240" s="392"/>
      <c r="IS240" s="392"/>
      <c r="IT240" s="392"/>
      <c r="IU240" s="392"/>
      <c r="IV240" s="392"/>
    </row>
    <row r="241" spans="1:256" ht="16.5" thickBot="1">
      <c r="A241" s="392"/>
      <c r="B241" s="401"/>
      <c r="C241" s="440"/>
      <c r="D241" s="441"/>
      <c r="E241" s="442"/>
      <c r="F241" s="443" t="s">
        <v>167</v>
      </c>
      <c r="G241" s="444" t="e">
        <f>TRUNC(SUM(G230:G240),2)</f>
        <v>#N/A</v>
      </c>
      <c r="H241" s="392"/>
      <c r="I241" s="392"/>
      <c r="J241" s="392"/>
      <c r="K241" s="392"/>
      <c r="L241" s="392"/>
      <c r="M241" s="392"/>
      <c r="N241" s="392"/>
      <c r="O241" s="392"/>
      <c r="P241" s="392"/>
      <c r="Q241" s="392"/>
      <c r="R241" s="392"/>
      <c r="S241" s="392"/>
      <c r="T241" s="392"/>
      <c r="U241" s="392"/>
      <c r="V241" s="392"/>
      <c r="W241" s="392"/>
      <c r="X241" s="392"/>
      <c r="Y241" s="392"/>
      <c r="Z241" s="392"/>
      <c r="AA241" s="392"/>
      <c r="AB241" s="392"/>
      <c r="AC241" s="392"/>
      <c r="AD241" s="392"/>
      <c r="AE241" s="392"/>
      <c r="AF241" s="392"/>
      <c r="AG241" s="392"/>
      <c r="AH241" s="392"/>
      <c r="AI241" s="392"/>
      <c r="AJ241" s="392"/>
      <c r="AK241" s="392"/>
      <c r="AL241" s="392"/>
      <c r="AM241" s="392"/>
      <c r="AN241" s="392"/>
      <c r="AO241" s="392"/>
      <c r="AP241" s="392"/>
      <c r="AQ241" s="392"/>
      <c r="AR241" s="392"/>
      <c r="AS241" s="392"/>
      <c r="AT241" s="392"/>
      <c r="AU241" s="392"/>
      <c r="AV241" s="392"/>
      <c r="AW241" s="392"/>
      <c r="AX241" s="392"/>
      <c r="AY241" s="392"/>
      <c r="AZ241" s="392"/>
      <c r="BA241" s="392"/>
      <c r="BB241" s="392"/>
      <c r="BC241" s="392"/>
      <c r="BD241" s="392"/>
      <c r="BE241" s="392"/>
      <c r="BF241" s="392"/>
      <c r="BG241" s="392"/>
      <c r="BH241" s="392"/>
      <c r="BI241" s="392"/>
      <c r="BJ241" s="392"/>
      <c r="BK241" s="392"/>
      <c r="BL241" s="392"/>
      <c r="BM241" s="392"/>
      <c r="BN241" s="392"/>
      <c r="BO241" s="392"/>
      <c r="BP241" s="392"/>
      <c r="BQ241" s="392"/>
      <c r="BR241" s="392"/>
      <c r="BS241" s="392"/>
      <c r="BT241" s="392"/>
      <c r="BU241" s="392"/>
      <c r="BV241" s="392"/>
      <c r="BW241" s="392"/>
      <c r="BX241" s="392"/>
      <c r="BY241" s="392"/>
      <c r="BZ241" s="392"/>
      <c r="CA241" s="392"/>
      <c r="CB241" s="392"/>
      <c r="CC241" s="392"/>
      <c r="CD241" s="392"/>
      <c r="CE241" s="392"/>
      <c r="CF241" s="392"/>
      <c r="CG241" s="392"/>
      <c r="CH241" s="392"/>
      <c r="CI241" s="392"/>
      <c r="CJ241" s="392"/>
      <c r="CK241" s="392"/>
      <c r="CL241" s="392"/>
      <c r="CM241" s="392"/>
      <c r="CN241" s="392"/>
      <c r="CO241" s="392"/>
      <c r="CP241" s="392"/>
      <c r="CQ241" s="392"/>
      <c r="CR241" s="392"/>
      <c r="CS241" s="392"/>
      <c r="CT241" s="392"/>
      <c r="CU241" s="392"/>
      <c r="CV241" s="392"/>
      <c r="CW241" s="392"/>
      <c r="CX241" s="392"/>
      <c r="CY241" s="392"/>
      <c r="CZ241" s="392"/>
      <c r="DA241" s="392"/>
      <c r="DB241" s="392"/>
      <c r="DC241" s="392"/>
      <c r="DD241" s="392"/>
      <c r="DE241" s="392"/>
      <c r="DF241" s="392"/>
      <c r="DG241" s="392"/>
      <c r="DH241" s="392"/>
      <c r="DI241" s="392"/>
      <c r="DJ241" s="392"/>
      <c r="DK241" s="392"/>
      <c r="DL241" s="392"/>
      <c r="DM241" s="392"/>
      <c r="DN241" s="392"/>
      <c r="DO241" s="392"/>
      <c r="DP241" s="392"/>
      <c r="DQ241" s="392"/>
      <c r="DR241" s="392"/>
      <c r="DS241" s="392"/>
      <c r="DT241" s="392"/>
      <c r="DU241" s="392"/>
      <c r="DV241" s="392"/>
      <c r="DW241" s="392"/>
      <c r="DX241" s="392"/>
      <c r="DY241" s="392"/>
      <c r="DZ241" s="392"/>
      <c r="EA241" s="392"/>
      <c r="EB241" s="392"/>
      <c r="EC241" s="392"/>
      <c r="ED241" s="392"/>
      <c r="EE241" s="392"/>
      <c r="EF241" s="392"/>
      <c r="EG241" s="392"/>
      <c r="EH241" s="392"/>
      <c r="EI241" s="392"/>
      <c r="EJ241" s="392"/>
      <c r="EK241" s="392"/>
      <c r="EL241" s="392"/>
      <c r="EM241" s="392"/>
      <c r="EN241" s="392"/>
      <c r="EO241" s="392"/>
      <c r="EP241" s="392"/>
      <c r="EQ241" s="392"/>
      <c r="ER241" s="392"/>
      <c r="ES241" s="392"/>
      <c r="ET241" s="392"/>
      <c r="EU241" s="392"/>
      <c r="EV241" s="392"/>
      <c r="EW241" s="392"/>
      <c r="EX241" s="392"/>
      <c r="EY241" s="392"/>
      <c r="EZ241" s="392"/>
      <c r="FA241" s="392"/>
      <c r="FB241" s="392"/>
      <c r="FC241" s="392"/>
      <c r="FD241" s="392"/>
      <c r="FE241" s="392"/>
      <c r="FF241" s="392"/>
      <c r="FG241" s="392"/>
      <c r="FH241" s="392"/>
      <c r="FI241" s="392"/>
      <c r="FJ241" s="392"/>
      <c r="FK241" s="392"/>
      <c r="FL241" s="392"/>
      <c r="FM241" s="392"/>
      <c r="FN241" s="392"/>
      <c r="FO241" s="392"/>
      <c r="FP241" s="392"/>
      <c r="FQ241" s="392"/>
      <c r="FR241" s="392"/>
      <c r="FS241" s="392"/>
      <c r="FT241" s="392"/>
      <c r="FU241" s="392"/>
      <c r="FV241" s="392"/>
      <c r="FW241" s="392"/>
      <c r="FX241" s="392"/>
      <c r="FY241" s="392"/>
      <c r="FZ241" s="392"/>
      <c r="GA241" s="392"/>
      <c r="GB241" s="392"/>
      <c r="GC241" s="392"/>
      <c r="GD241" s="392"/>
      <c r="GE241" s="392"/>
      <c r="GF241" s="392"/>
      <c r="GG241" s="392"/>
      <c r="GH241" s="392"/>
      <c r="GI241" s="392"/>
      <c r="GJ241" s="392"/>
      <c r="GK241" s="392"/>
      <c r="GL241" s="392"/>
      <c r="GM241" s="392"/>
      <c r="GN241" s="392"/>
      <c r="GO241" s="392"/>
      <c r="GP241" s="392"/>
      <c r="GQ241" s="392"/>
      <c r="GR241" s="392"/>
      <c r="GS241" s="392"/>
      <c r="GT241" s="392"/>
      <c r="GU241" s="392"/>
      <c r="GV241" s="392"/>
      <c r="GW241" s="392"/>
      <c r="GX241" s="392"/>
      <c r="GY241" s="392"/>
      <c r="GZ241" s="392"/>
      <c r="HA241" s="392"/>
      <c r="HB241" s="392"/>
      <c r="HC241" s="392"/>
      <c r="HD241" s="392"/>
      <c r="HE241" s="392"/>
      <c r="HF241" s="392"/>
      <c r="HG241" s="392"/>
      <c r="HH241" s="392"/>
      <c r="HI241" s="392"/>
      <c r="HJ241" s="392"/>
      <c r="HK241" s="392"/>
      <c r="HL241" s="392"/>
      <c r="HM241" s="392"/>
      <c r="HN241" s="392"/>
      <c r="HO241" s="392"/>
      <c r="HP241" s="392"/>
      <c r="HQ241" s="392"/>
      <c r="HR241" s="392"/>
      <c r="HS241" s="392"/>
      <c r="HT241" s="392"/>
      <c r="HU241" s="392"/>
      <c r="HV241" s="392"/>
      <c r="HW241" s="392"/>
      <c r="HX241" s="392"/>
      <c r="HY241" s="392"/>
      <c r="HZ241" s="392"/>
      <c r="IA241" s="392"/>
      <c r="IB241" s="392"/>
      <c r="IC241" s="392"/>
      <c r="ID241" s="392"/>
      <c r="IE241" s="392"/>
      <c r="IF241" s="392"/>
      <c r="IG241" s="392"/>
      <c r="IH241" s="392"/>
      <c r="II241" s="392"/>
      <c r="IJ241" s="392"/>
      <c r="IK241" s="392"/>
      <c r="IL241" s="392"/>
      <c r="IM241" s="392"/>
      <c r="IN241" s="392"/>
      <c r="IO241" s="392"/>
      <c r="IP241" s="392"/>
      <c r="IQ241" s="392"/>
      <c r="IR241" s="392"/>
      <c r="IS241" s="392"/>
      <c r="IT241" s="392"/>
      <c r="IU241" s="392"/>
      <c r="IV241" s="392"/>
    </row>
    <row r="242" spans="1:256">
      <c r="A242" s="392"/>
      <c r="B242" s="461"/>
      <c r="C242" s="461"/>
      <c r="D242" s="462"/>
      <c r="E242" s="463"/>
      <c r="F242" s="464"/>
      <c r="G242" s="465"/>
      <c r="H242" s="392"/>
      <c r="I242" s="392"/>
      <c r="J242" s="392"/>
      <c r="K242" s="392"/>
      <c r="L242" s="392"/>
      <c r="M242" s="392"/>
      <c r="N242" s="392"/>
      <c r="O242" s="392"/>
      <c r="P242" s="392"/>
      <c r="Q242" s="392"/>
      <c r="R242" s="392"/>
      <c r="S242" s="392"/>
      <c r="T242" s="392"/>
      <c r="U242" s="392"/>
      <c r="V242" s="392"/>
      <c r="W242" s="392"/>
      <c r="X242" s="392"/>
      <c r="Y242" s="392"/>
      <c r="Z242" s="392"/>
      <c r="AA242" s="392"/>
      <c r="AB242" s="392"/>
      <c r="AC242" s="392"/>
      <c r="AD242" s="392"/>
      <c r="AE242" s="392"/>
      <c r="AF242" s="392"/>
      <c r="AG242" s="392"/>
      <c r="AH242" s="392"/>
      <c r="AI242" s="392"/>
      <c r="AJ242" s="392"/>
      <c r="AK242" s="392"/>
      <c r="AL242" s="392"/>
      <c r="AM242" s="392"/>
      <c r="AN242" s="392"/>
      <c r="AO242" s="392"/>
      <c r="AP242" s="392"/>
      <c r="AQ242" s="392"/>
      <c r="AR242" s="392"/>
      <c r="AS242" s="392"/>
      <c r="AT242" s="392"/>
      <c r="AU242" s="392"/>
      <c r="AV242" s="392"/>
      <c r="AW242" s="392"/>
      <c r="AX242" s="392"/>
      <c r="AY242" s="392"/>
      <c r="AZ242" s="392"/>
      <c r="BA242" s="392"/>
      <c r="BB242" s="392"/>
      <c r="BC242" s="392"/>
      <c r="BD242" s="392"/>
      <c r="BE242" s="392"/>
      <c r="BF242" s="392"/>
      <c r="BG242" s="392"/>
      <c r="BH242" s="392"/>
      <c r="BI242" s="392"/>
      <c r="BJ242" s="392"/>
      <c r="BK242" s="392"/>
      <c r="BL242" s="392"/>
      <c r="BM242" s="392"/>
      <c r="BN242" s="392"/>
      <c r="BO242" s="392"/>
      <c r="BP242" s="392"/>
      <c r="BQ242" s="392"/>
      <c r="BR242" s="392"/>
      <c r="BS242" s="392"/>
      <c r="BT242" s="392"/>
      <c r="BU242" s="392"/>
      <c r="BV242" s="392"/>
      <c r="BW242" s="392"/>
      <c r="BX242" s="392"/>
      <c r="BY242" s="392"/>
      <c r="BZ242" s="392"/>
      <c r="CA242" s="392"/>
      <c r="CB242" s="392"/>
      <c r="CC242" s="392"/>
      <c r="CD242" s="392"/>
      <c r="CE242" s="392"/>
      <c r="CF242" s="392"/>
      <c r="CG242" s="392"/>
      <c r="CH242" s="392"/>
      <c r="CI242" s="392"/>
      <c r="CJ242" s="392"/>
      <c r="CK242" s="392"/>
      <c r="CL242" s="392"/>
      <c r="CM242" s="392"/>
      <c r="CN242" s="392"/>
      <c r="CO242" s="392"/>
      <c r="CP242" s="392"/>
      <c r="CQ242" s="392"/>
      <c r="CR242" s="392"/>
      <c r="CS242" s="392"/>
      <c r="CT242" s="392"/>
      <c r="CU242" s="392"/>
      <c r="CV242" s="392"/>
      <c r="CW242" s="392"/>
      <c r="CX242" s="392"/>
      <c r="CY242" s="392"/>
      <c r="CZ242" s="392"/>
      <c r="DA242" s="392"/>
      <c r="DB242" s="392"/>
      <c r="DC242" s="392"/>
      <c r="DD242" s="392"/>
      <c r="DE242" s="392"/>
      <c r="DF242" s="392"/>
      <c r="DG242" s="392"/>
      <c r="DH242" s="392"/>
      <c r="DI242" s="392"/>
      <c r="DJ242" s="392"/>
      <c r="DK242" s="392"/>
      <c r="DL242" s="392"/>
      <c r="DM242" s="392"/>
      <c r="DN242" s="392"/>
      <c r="DO242" s="392"/>
      <c r="DP242" s="392"/>
      <c r="DQ242" s="392"/>
      <c r="DR242" s="392"/>
      <c r="DS242" s="392"/>
      <c r="DT242" s="392"/>
      <c r="DU242" s="392"/>
      <c r="DV242" s="392"/>
      <c r="DW242" s="392"/>
      <c r="DX242" s="392"/>
      <c r="DY242" s="392"/>
      <c r="DZ242" s="392"/>
      <c r="EA242" s="392"/>
      <c r="EB242" s="392"/>
      <c r="EC242" s="392"/>
      <c r="ED242" s="392"/>
      <c r="EE242" s="392"/>
      <c r="EF242" s="392"/>
      <c r="EG242" s="392"/>
      <c r="EH242" s="392"/>
      <c r="EI242" s="392"/>
      <c r="EJ242" s="392"/>
      <c r="EK242" s="392"/>
      <c r="EL242" s="392"/>
      <c r="EM242" s="392"/>
      <c r="EN242" s="392"/>
      <c r="EO242" s="392"/>
      <c r="EP242" s="392"/>
      <c r="EQ242" s="392"/>
      <c r="ER242" s="392"/>
      <c r="ES242" s="392"/>
      <c r="ET242" s="392"/>
      <c r="EU242" s="392"/>
      <c r="EV242" s="392"/>
      <c r="EW242" s="392"/>
      <c r="EX242" s="392"/>
      <c r="EY242" s="392"/>
      <c r="EZ242" s="392"/>
      <c r="FA242" s="392"/>
      <c r="FB242" s="392"/>
      <c r="FC242" s="392"/>
      <c r="FD242" s="392"/>
      <c r="FE242" s="392"/>
      <c r="FF242" s="392"/>
      <c r="FG242" s="392"/>
      <c r="FH242" s="392"/>
      <c r="FI242" s="392"/>
      <c r="FJ242" s="392"/>
      <c r="FK242" s="392"/>
      <c r="FL242" s="392"/>
      <c r="FM242" s="392"/>
      <c r="FN242" s="392"/>
      <c r="FO242" s="392"/>
      <c r="FP242" s="392"/>
      <c r="FQ242" s="392"/>
      <c r="FR242" s="392"/>
      <c r="FS242" s="392"/>
      <c r="FT242" s="392"/>
      <c r="FU242" s="392"/>
      <c r="FV242" s="392"/>
      <c r="FW242" s="392"/>
      <c r="FX242" s="392"/>
      <c r="FY242" s="392"/>
      <c r="FZ242" s="392"/>
      <c r="GA242" s="392"/>
      <c r="GB242" s="392"/>
      <c r="GC242" s="392"/>
      <c r="GD242" s="392"/>
      <c r="GE242" s="392"/>
      <c r="GF242" s="392"/>
      <c r="GG242" s="392"/>
      <c r="GH242" s="392"/>
      <c r="GI242" s="392"/>
      <c r="GJ242" s="392"/>
      <c r="GK242" s="392"/>
      <c r="GL242" s="392"/>
      <c r="GM242" s="392"/>
      <c r="GN242" s="392"/>
      <c r="GO242" s="392"/>
      <c r="GP242" s="392"/>
      <c r="GQ242" s="392"/>
      <c r="GR242" s="392"/>
      <c r="GS242" s="392"/>
      <c r="GT242" s="392"/>
      <c r="GU242" s="392"/>
      <c r="GV242" s="392"/>
      <c r="GW242" s="392"/>
      <c r="GX242" s="392"/>
      <c r="GY242" s="392"/>
      <c r="GZ242" s="392"/>
      <c r="HA242" s="392"/>
      <c r="HB242" s="392"/>
      <c r="HC242" s="392"/>
      <c r="HD242" s="392"/>
      <c r="HE242" s="392"/>
      <c r="HF242" s="392"/>
      <c r="HG242" s="392"/>
      <c r="HH242" s="392"/>
      <c r="HI242" s="392"/>
      <c r="HJ242" s="392"/>
      <c r="HK242" s="392"/>
      <c r="HL242" s="392"/>
      <c r="HM242" s="392"/>
      <c r="HN242" s="392"/>
      <c r="HO242" s="392"/>
      <c r="HP242" s="392"/>
      <c r="HQ242" s="392"/>
      <c r="HR242" s="392"/>
      <c r="HS242" s="392"/>
      <c r="HT242" s="392"/>
      <c r="HU242" s="392"/>
      <c r="HV242" s="392"/>
      <c r="HW242" s="392"/>
      <c r="HX242" s="392"/>
      <c r="HY242" s="392"/>
      <c r="HZ242" s="392"/>
      <c r="IA242" s="392"/>
      <c r="IB242" s="392"/>
      <c r="IC242" s="392"/>
      <c r="ID242" s="392"/>
      <c r="IE242" s="392"/>
      <c r="IF242" s="392"/>
      <c r="IG242" s="392"/>
      <c r="IH242" s="392"/>
      <c r="II242" s="392"/>
      <c r="IJ242" s="392"/>
      <c r="IK242" s="392"/>
      <c r="IL242" s="392"/>
      <c r="IM242" s="392"/>
      <c r="IN242" s="392"/>
      <c r="IO242" s="392"/>
      <c r="IP242" s="392"/>
      <c r="IQ242" s="392"/>
      <c r="IR242" s="392"/>
      <c r="IS242" s="392"/>
      <c r="IT242" s="392"/>
      <c r="IU242" s="392"/>
      <c r="IV242" s="392"/>
    </row>
    <row r="243" spans="1:256">
      <c r="A243" s="392"/>
      <c r="B243" s="448"/>
      <c r="C243" s="448"/>
      <c r="D243" s="448"/>
      <c r="E243" s="448"/>
      <c r="F243" s="448"/>
      <c r="G243" s="448"/>
      <c r="H243" s="392"/>
      <c r="I243" s="392"/>
      <c r="J243" s="392"/>
      <c r="K243" s="392"/>
      <c r="L243" s="392"/>
      <c r="M243" s="392"/>
      <c r="N243" s="392"/>
      <c r="O243" s="392"/>
      <c r="P243" s="392"/>
      <c r="Q243" s="392"/>
      <c r="R243" s="392"/>
      <c r="S243" s="392"/>
      <c r="T243" s="392"/>
      <c r="U243" s="392"/>
      <c r="V243" s="392"/>
      <c r="W243" s="392"/>
      <c r="X243" s="392"/>
      <c r="Y243" s="392"/>
      <c r="Z243" s="392"/>
      <c r="AA243" s="392"/>
      <c r="AB243" s="392"/>
      <c r="AC243" s="392"/>
      <c r="AD243" s="392"/>
      <c r="AE243" s="392"/>
      <c r="AF243" s="392"/>
      <c r="AG243" s="392"/>
      <c r="AH243" s="392"/>
      <c r="AI243" s="392"/>
      <c r="AJ243" s="392"/>
      <c r="AK243" s="392"/>
      <c r="AL243" s="392"/>
      <c r="AM243" s="392"/>
      <c r="AN243" s="392"/>
      <c r="AO243" s="392"/>
      <c r="AP243" s="392"/>
      <c r="AQ243" s="392"/>
      <c r="AR243" s="392"/>
      <c r="AS243" s="392"/>
      <c r="AT243" s="392"/>
      <c r="AU243" s="392"/>
      <c r="AV243" s="392"/>
      <c r="AW243" s="392"/>
      <c r="AX243" s="392"/>
      <c r="AY243" s="392"/>
      <c r="AZ243" s="392"/>
      <c r="BA243" s="392"/>
      <c r="BB243" s="392"/>
      <c r="BC243" s="392"/>
      <c r="BD243" s="392"/>
      <c r="BE243" s="392"/>
      <c r="BF243" s="392"/>
      <c r="BG243" s="392"/>
      <c r="BH243" s="392"/>
      <c r="BI243" s="392"/>
      <c r="BJ243" s="392"/>
      <c r="BK243" s="392"/>
      <c r="BL243" s="392"/>
      <c r="BM243" s="392"/>
      <c r="BN243" s="392"/>
      <c r="BO243" s="392"/>
      <c r="BP243" s="392"/>
      <c r="BQ243" s="392"/>
      <c r="BR243" s="392"/>
      <c r="BS243" s="392"/>
      <c r="BT243" s="392"/>
      <c r="BU243" s="392"/>
      <c r="BV243" s="392"/>
      <c r="BW243" s="392"/>
      <c r="BX243" s="392"/>
      <c r="BY243" s="392"/>
      <c r="BZ243" s="392"/>
      <c r="CA243" s="392"/>
      <c r="CB243" s="392"/>
      <c r="CC243" s="392"/>
      <c r="CD243" s="392"/>
      <c r="CE243" s="392"/>
      <c r="CF243" s="392"/>
      <c r="CG243" s="392"/>
      <c r="CH243" s="392"/>
      <c r="CI243" s="392"/>
      <c r="CJ243" s="392"/>
      <c r="CK243" s="392"/>
      <c r="CL243" s="392"/>
      <c r="CM243" s="392"/>
      <c r="CN243" s="392"/>
      <c r="CO243" s="392"/>
      <c r="CP243" s="392"/>
      <c r="CQ243" s="392"/>
      <c r="CR243" s="392"/>
      <c r="CS243" s="392"/>
      <c r="CT243" s="392"/>
      <c r="CU243" s="392"/>
      <c r="CV243" s="392"/>
      <c r="CW243" s="392"/>
      <c r="CX243" s="392"/>
      <c r="CY243" s="392"/>
      <c r="CZ243" s="392"/>
      <c r="DA243" s="392"/>
      <c r="DB243" s="392"/>
      <c r="DC243" s="392"/>
      <c r="DD243" s="392"/>
      <c r="DE243" s="392"/>
      <c r="DF243" s="392"/>
      <c r="DG243" s="392"/>
      <c r="DH243" s="392"/>
      <c r="DI243" s="392"/>
      <c r="DJ243" s="392"/>
      <c r="DK243" s="392"/>
      <c r="DL243" s="392"/>
      <c r="DM243" s="392"/>
      <c r="DN243" s="392"/>
      <c r="DO243" s="392"/>
      <c r="DP243" s="392"/>
      <c r="DQ243" s="392"/>
      <c r="DR243" s="392"/>
      <c r="DS243" s="392"/>
      <c r="DT243" s="392"/>
      <c r="DU243" s="392"/>
      <c r="DV243" s="392"/>
      <c r="DW243" s="392"/>
      <c r="DX243" s="392"/>
      <c r="DY243" s="392"/>
      <c r="DZ243" s="392"/>
      <c r="EA243" s="392"/>
      <c r="EB243" s="392"/>
      <c r="EC243" s="392"/>
      <c r="ED243" s="392"/>
      <c r="EE243" s="392"/>
      <c r="EF243" s="392"/>
      <c r="EG243" s="392"/>
      <c r="EH243" s="392"/>
      <c r="EI243" s="392"/>
      <c r="EJ243" s="392"/>
      <c r="EK243" s="392"/>
      <c r="EL243" s="392"/>
      <c r="EM243" s="392"/>
      <c r="EN243" s="392"/>
      <c r="EO243" s="392"/>
      <c r="EP243" s="392"/>
      <c r="EQ243" s="392"/>
      <c r="ER243" s="392"/>
      <c r="ES243" s="392"/>
      <c r="ET243" s="392"/>
      <c r="EU243" s="392"/>
      <c r="EV243" s="392"/>
      <c r="EW243" s="392"/>
      <c r="EX243" s="392"/>
      <c r="EY243" s="392"/>
      <c r="EZ243" s="392"/>
      <c r="FA243" s="392"/>
      <c r="FB243" s="392"/>
      <c r="FC243" s="392"/>
      <c r="FD243" s="392"/>
      <c r="FE243" s="392"/>
      <c r="FF243" s="392"/>
      <c r="FG243" s="392"/>
      <c r="FH243" s="392"/>
      <c r="FI243" s="392"/>
      <c r="FJ243" s="392"/>
      <c r="FK243" s="392"/>
      <c r="FL243" s="392"/>
      <c r="FM243" s="392"/>
      <c r="FN243" s="392"/>
      <c r="FO243" s="392"/>
      <c r="FP243" s="392"/>
      <c r="FQ243" s="392"/>
      <c r="FR243" s="392"/>
      <c r="FS243" s="392"/>
      <c r="FT243" s="392"/>
      <c r="FU243" s="392"/>
      <c r="FV243" s="392"/>
      <c r="FW243" s="392"/>
      <c r="FX243" s="392"/>
      <c r="FY243" s="392"/>
      <c r="FZ243" s="392"/>
      <c r="GA243" s="392"/>
      <c r="GB243" s="392"/>
      <c r="GC243" s="392"/>
      <c r="GD243" s="392"/>
      <c r="GE243" s="392"/>
      <c r="GF243" s="392"/>
      <c r="GG243" s="392"/>
      <c r="GH243" s="392"/>
      <c r="GI243" s="392"/>
      <c r="GJ243" s="392"/>
      <c r="GK243" s="392"/>
      <c r="GL243" s="392"/>
      <c r="GM243" s="392"/>
      <c r="GN243" s="392"/>
      <c r="GO243" s="392"/>
      <c r="GP243" s="392"/>
      <c r="GQ243" s="392"/>
      <c r="GR243" s="392"/>
      <c r="GS243" s="392"/>
      <c r="GT243" s="392"/>
      <c r="GU243" s="392"/>
      <c r="GV243" s="392"/>
      <c r="GW243" s="392"/>
      <c r="GX243" s="392"/>
      <c r="GY243" s="392"/>
      <c r="GZ243" s="392"/>
      <c r="HA243" s="392"/>
      <c r="HB243" s="392"/>
      <c r="HC243" s="392"/>
      <c r="HD243" s="392"/>
      <c r="HE243" s="392"/>
      <c r="HF243" s="392"/>
      <c r="HG243" s="392"/>
      <c r="HH243" s="392"/>
      <c r="HI243" s="392"/>
      <c r="HJ243" s="392"/>
      <c r="HK243" s="392"/>
      <c r="HL243" s="392"/>
      <c r="HM243" s="392"/>
      <c r="HN243" s="392"/>
      <c r="HO243" s="392"/>
      <c r="HP243" s="392"/>
      <c r="HQ243" s="392"/>
      <c r="HR243" s="392"/>
      <c r="HS243" s="392"/>
      <c r="HT243" s="392"/>
      <c r="HU243" s="392"/>
      <c r="HV243" s="392"/>
      <c r="HW243" s="392"/>
      <c r="HX243" s="392"/>
      <c r="HY243" s="392"/>
      <c r="HZ243" s="392"/>
      <c r="IA243" s="392"/>
      <c r="IB243" s="392"/>
      <c r="IC243" s="392"/>
      <c r="ID243" s="392"/>
      <c r="IE243" s="392"/>
      <c r="IF243" s="392"/>
      <c r="IG243" s="392"/>
      <c r="IH243" s="392"/>
      <c r="II243" s="392"/>
      <c r="IJ243" s="392"/>
      <c r="IK243" s="392"/>
      <c r="IL243" s="392"/>
      <c r="IM243" s="392"/>
      <c r="IN243" s="392"/>
      <c r="IO243" s="392"/>
      <c r="IP243" s="392"/>
      <c r="IQ243" s="392"/>
      <c r="IR243" s="392"/>
      <c r="IS243" s="392"/>
      <c r="IT243" s="392"/>
      <c r="IU243" s="392"/>
      <c r="IV243" s="392"/>
    </row>
    <row r="244" spans="1:256">
      <c r="A244" s="392"/>
      <c r="B244" s="448"/>
      <c r="C244" s="448"/>
      <c r="D244" s="448"/>
      <c r="E244" s="448"/>
      <c r="F244" s="448"/>
      <c r="G244" s="448"/>
      <c r="H244" s="392"/>
      <c r="I244" s="392"/>
      <c r="J244" s="392"/>
      <c r="K244" s="392"/>
      <c r="L244" s="392"/>
      <c r="M244" s="392"/>
      <c r="N244" s="392"/>
      <c r="O244" s="392"/>
      <c r="P244" s="392"/>
      <c r="Q244" s="392"/>
      <c r="R244" s="392"/>
      <c r="S244" s="392"/>
      <c r="T244" s="392"/>
      <c r="U244" s="392"/>
      <c r="V244" s="392"/>
      <c r="W244" s="392"/>
      <c r="X244" s="392"/>
      <c r="Y244" s="392"/>
      <c r="Z244" s="392"/>
      <c r="AA244" s="392"/>
      <c r="AB244" s="392"/>
      <c r="AC244" s="392"/>
      <c r="AD244" s="392"/>
      <c r="AE244" s="392"/>
      <c r="AF244" s="392"/>
      <c r="AG244" s="392"/>
      <c r="AH244" s="392"/>
      <c r="AI244" s="392"/>
      <c r="AJ244" s="392"/>
      <c r="AK244" s="392"/>
      <c r="AL244" s="392"/>
      <c r="AM244" s="392"/>
      <c r="AN244" s="392"/>
      <c r="AO244" s="392"/>
      <c r="AP244" s="392"/>
      <c r="AQ244" s="392"/>
      <c r="AR244" s="392"/>
      <c r="AS244" s="392"/>
      <c r="AT244" s="392"/>
      <c r="AU244" s="392"/>
      <c r="AV244" s="392"/>
      <c r="AW244" s="392"/>
      <c r="AX244" s="392"/>
      <c r="AY244" s="392"/>
      <c r="AZ244" s="392"/>
      <c r="BA244" s="392"/>
      <c r="BB244" s="392"/>
      <c r="BC244" s="392"/>
      <c r="BD244" s="392"/>
      <c r="BE244" s="392"/>
      <c r="BF244" s="392"/>
      <c r="BG244" s="392"/>
      <c r="BH244" s="392"/>
      <c r="BI244" s="392"/>
      <c r="BJ244" s="392"/>
      <c r="BK244" s="392"/>
      <c r="BL244" s="392"/>
      <c r="BM244" s="392"/>
      <c r="BN244" s="392"/>
      <c r="BO244" s="392"/>
      <c r="BP244" s="392"/>
      <c r="BQ244" s="392"/>
      <c r="BR244" s="392"/>
      <c r="BS244" s="392"/>
      <c r="BT244" s="392"/>
      <c r="BU244" s="392"/>
      <c r="BV244" s="392"/>
      <c r="BW244" s="392"/>
      <c r="BX244" s="392"/>
      <c r="BY244" s="392"/>
      <c r="BZ244" s="392"/>
      <c r="CA244" s="392"/>
      <c r="CB244" s="392"/>
      <c r="CC244" s="392"/>
      <c r="CD244" s="392"/>
      <c r="CE244" s="392"/>
      <c r="CF244" s="392"/>
      <c r="CG244" s="392"/>
      <c r="CH244" s="392"/>
      <c r="CI244" s="392"/>
      <c r="CJ244" s="392"/>
      <c r="CK244" s="392"/>
      <c r="CL244" s="392"/>
      <c r="CM244" s="392"/>
      <c r="CN244" s="392"/>
      <c r="CO244" s="392"/>
      <c r="CP244" s="392"/>
      <c r="CQ244" s="392"/>
      <c r="CR244" s="392"/>
      <c r="CS244" s="392"/>
      <c r="CT244" s="392"/>
      <c r="CU244" s="392"/>
      <c r="CV244" s="392"/>
      <c r="CW244" s="392"/>
      <c r="CX244" s="392"/>
      <c r="CY244" s="392"/>
      <c r="CZ244" s="392"/>
      <c r="DA244" s="392"/>
      <c r="DB244" s="392"/>
      <c r="DC244" s="392"/>
      <c r="DD244" s="392"/>
      <c r="DE244" s="392"/>
      <c r="DF244" s="392"/>
      <c r="DG244" s="392"/>
      <c r="DH244" s="392"/>
      <c r="DI244" s="392"/>
      <c r="DJ244" s="392"/>
      <c r="DK244" s="392"/>
      <c r="DL244" s="392"/>
      <c r="DM244" s="392"/>
      <c r="DN244" s="392"/>
      <c r="DO244" s="392"/>
      <c r="DP244" s="392"/>
      <c r="DQ244" s="392"/>
      <c r="DR244" s="392"/>
      <c r="DS244" s="392"/>
      <c r="DT244" s="392"/>
      <c r="DU244" s="392"/>
      <c r="DV244" s="392"/>
      <c r="DW244" s="392"/>
      <c r="DX244" s="392"/>
      <c r="DY244" s="392"/>
      <c r="DZ244" s="392"/>
      <c r="EA244" s="392"/>
      <c r="EB244" s="392"/>
      <c r="EC244" s="392"/>
      <c r="ED244" s="392"/>
      <c r="EE244" s="392"/>
      <c r="EF244" s="392"/>
      <c r="EG244" s="392"/>
      <c r="EH244" s="392"/>
      <c r="EI244" s="392"/>
      <c r="EJ244" s="392"/>
      <c r="EK244" s="392"/>
      <c r="EL244" s="392"/>
      <c r="EM244" s="392"/>
      <c r="EN244" s="392"/>
      <c r="EO244" s="392"/>
      <c r="EP244" s="392"/>
      <c r="EQ244" s="392"/>
      <c r="ER244" s="392"/>
      <c r="ES244" s="392"/>
      <c r="ET244" s="392"/>
      <c r="EU244" s="392"/>
      <c r="EV244" s="392"/>
      <c r="EW244" s="392"/>
      <c r="EX244" s="392"/>
      <c r="EY244" s="392"/>
      <c r="EZ244" s="392"/>
      <c r="FA244" s="392"/>
      <c r="FB244" s="392"/>
      <c r="FC244" s="392"/>
      <c r="FD244" s="392"/>
      <c r="FE244" s="392"/>
      <c r="FF244" s="392"/>
      <c r="FG244" s="392"/>
      <c r="FH244" s="392"/>
      <c r="FI244" s="392"/>
      <c r="FJ244" s="392"/>
      <c r="FK244" s="392"/>
      <c r="FL244" s="392"/>
      <c r="FM244" s="392"/>
      <c r="FN244" s="392"/>
      <c r="FO244" s="392"/>
      <c r="FP244" s="392"/>
      <c r="FQ244" s="392"/>
      <c r="FR244" s="392"/>
      <c r="FS244" s="392"/>
      <c r="FT244" s="392"/>
      <c r="FU244" s="392"/>
      <c r="FV244" s="392"/>
      <c r="FW244" s="392"/>
      <c r="FX244" s="392"/>
      <c r="FY244" s="392"/>
      <c r="FZ244" s="392"/>
      <c r="GA244" s="392"/>
      <c r="GB244" s="392"/>
      <c r="GC244" s="392"/>
      <c r="GD244" s="392"/>
      <c r="GE244" s="392"/>
      <c r="GF244" s="392"/>
      <c r="GG244" s="392"/>
      <c r="GH244" s="392"/>
      <c r="GI244" s="392"/>
      <c r="GJ244" s="392"/>
      <c r="GK244" s="392"/>
      <c r="GL244" s="392"/>
      <c r="GM244" s="392"/>
      <c r="GN244" s="392"/>
      <c r="GO244" s="392"/>
      <c r="GP244" s="392"/>
      <c r="GQ244" s="392"/>
      <c r="GR244" s="392"/>
      <c r="GS244" s="392"/>
      <c r="GT244" s="392"/>
      <c r="GU244" s="392"/>
      <c r="GV244" s="392"/>
      <c r="GW244" s="392"/>
      <c r="GX244" s="392"/>
      <c r="GY244" s="392"/>
      <c r="GZ244" s="392"/>
      <c r="HA244" s="392"/>
      <c r="HB244" s="392"/>
      <c r="HC244" s="392"/>
      <c r="HD244" s="392"/>
      <c r="HE244" s="392"/>
      <c r="HF244" s="392"/>
      <c r="HG244" s="392"/>
      <c r="HH244" s="392"/>
      <c r="HI244" s="392"/>
      <c r="HJ244" s="392"/>
      <c r="HK244" s="392"/>
      <c r="HL244" s="392"/>
      <c r="HM244" s="392"/>
      <c r="HN244" s="392"/>
      <c r="HO244" s="392"/>
      <c r="HP244" s="392"/>
      <c r="HQ244" s="392"/>
      <c r="HR244" s="392"/>
      <c r="HS244" s="392"/>
      <c r="HT244" s="392"/>
      <c r="HU244" s="392"/>
      <c r="HV244" s="392"/>
      <c r="HW244" s="392"/>
      <c r="HX244" s="392"/>
      <c r="HY244" s="392"/>
      <c r="HZ244" s="392"/>
      <c r="IA244" s="392"/>
      <c r="IB244" s="392"/>
      <c r="IC244" s="392"/>
      <c r="ID244" s="392"/>
      <c r="IE244" s="392"/>
      <c r="IF244" s="392"/>
      <c r="IG244" s="392"/>
      <c r="IH244" s="392"/>
      <c r="II244" s="392"/>
      <c r="IJ244" s="392"/>
      <c r="IK244" s="392"/>
      <c r="IL244" s="392"/>
      <c r="IM244" s="392"/>
      <c r="IN244" s="392"/>
      <c r="IO244" s="392"/>
      <c r="IP244" s="392"/>
      <c r="IQ244" s="392"/>
      <c r="IR244" s="392"/>
      <c r="IS244" s="392"/>
      <c r="IT244" s="392"/>
      <c r="IU244" s="392"/>
      <c r="IV244" s="392"/>
    </row>
    <row r="245" spans="1:256">
      <c r="A245" s="392"/>
      <c r="B245" s="448"/>
      <c r="C245" s="448"/>
      <c r="D245" s="448"/>
      <c r="E245" s="448"/>
      <c r="F245" s="448"/>
      <c r="G245" s="448"/>
      <c r="H245" s="392"/>
      <c r="I245" s="392"/>
      <c r="J245" s="392"/>
      <c r="K245" s="392"/>
      <c r="L245" s="392"/>
      <c r="M245" s="392"/>
      <c r="N245" s="392"/>
      <c r="O245" s="392"/>
      <c r="P245" s="392"/>
      <c r="Q245" s="392"/>
      <c r="R245" s="392"/>
      <c r="S245" s="392"/>
      <c r="T245" s="392"/>
      <c r="U245" s="392"/>
      <c r="V245" s="392"/>
      <c r="W245" s="392"/>
      <c r="X245" s="392"/>
      <c r="Y245" s="392"/>
      <c r="Z245" s="392"/>
      <c r="AA245" s="392"/>
      <c r="AB245" s="392"/>
      <c r="AC245" s="392"/>
      <c r="AD245" s="392"/>
      <c r="AE245" s="392"/>
      <c r="AF245" s="392"/>
      <c r="AG245" s="392"/>
      <c r="AH245" s="392"/>
      <c r="AI245" s="392"/>
      <c r="AJ245" s="392"/>
      <c r="AK245" s="392"/>
      <c r="AL245" s="392"/>
      <c r="AM245" s="392"/>
      <c r="AN245" s="392"/>
      <c r="AO245" s="392"/>
      <c r="AP245" s="392"/>
      <c r="AQ245" s="392"/>
      <c r="AR245" s="392"/>
      <c r="AS245" s="392"/>
      <c r="AT245" s="392"/>
      <c r="AU245" s="392"/>
      <c r="AV245" s="392"/>
      <c r="AW245" s="392"/>
      <c r="AX245" s="392"/>
      <c r="AY245" s="392"/>
      <c r="AZ245" s="392"/>
      <c r="BA245" s="392"/>
      <c r="BB245" s="392"/>
      <c r="BC245" s="392"/>
      <c r="BD245" s="392"/>
      <c r="BE245" s="392"/>
      <c r="BF245" s="392"/>
      <c r="BG245" s="392"/>
      <c r="BH245" s="392"/>
      <c r="BI245" s="392"/>
      <c r="BJ245" s="392"/>
      <c r="BK245" s="392"/>
      <c r="BL245" s="392"/>
      <c r="BM245" s="392"/>
      <c r="BN245" s="392"/>
      <c r="BO245" s="392"/>
      <c r="BP245" s="392"/>
      <c r="BQ245" s="392"/>
      <c r="BR245" s="392"/>
      <c r="BS245" s="392"/>
      <c r="BT245" s="392"/>
      <c r="BU245" s="392"/>
      <c r="BV245" s="392"/>
      <c r="BW245" s="392"/>
      <c r="BX245" s="392"/>
      <c r="BY245" s="392"/>
      <c r="BZ245" s="392"/>
      <c r="CA245" s="392"/>
      <c r="CB245" s="392"/>
      <c r="CC245" s="392"/>
      <c r="CD245" s="392"/>
      <c r="CE245" s="392"/>
      <c r="CF245" s="392"/>
      <c r="CG245" s="392"/>
      <c r="CH245" s="392"/>
      <c r="CI245" s="392"/>
      <c r="CJ245" s="392"/>
      <c r="CK245" s="392"/>
      <c r="CL245" s="392"/>
      <c r="CM245" s="392"/>
      <c r="CN245" s="392"/>
      <c r="CO245" s="392"/>
      <c r="CP245" s="392"/>
      <c r="CQ245" s="392"/>
      <c r="CR245" s="392"/>
      <c r="CS245" s="392"/>
      <c r="CT245" s="392"/>
      <c r="CU245" s="392"/>
      <c r="CV245" s="392"/>
      <c r="CW245" s="392"/>
      <c r="CX245" s="392"/>
      <c r="CY245" s="392"/>
      <c r="CZ245" s="392"/>
      <c r="DA245" s="392"/>
      <c r="DB245" s="392"/>
      <c r="DC245" s="392"/>
      <c r="DD245" s="392"/>
      <c r="DE245" s="392"/>
      <c r="DF245" s="392"/>
      <c r="DG245" s="392"/>
      <c r="DH245" s="392"/>
      <c r="DI245" s="392"/>
      <c r="DJ245" s="392"/>
      <c r="DK245" s="392"/>
      <c r="DL245" s="392"/>
      <c r="DM245" s="392"/>
      <c r="DN245" s="392"/>
      <c r="DO245" s="392"/>
      <c r="DP245" s="392"/>
      <c r="DQ245" s="392"/>
      <c r="DR245" s="392"/>
      <c r="DS245" s="392"/>
      <c r="DT245" s="392"/>
      <c r="DU245" s="392"/>
      <c r="DV245" s="392"/>
      <c r="DW245" s="392"/>
      <c r="DX245" s="392"/>
      <c r="DY245" s="392"/>
      <c r="DZ245" s="392"/>
      <c r="EA245" s="392"/>
      <c r="EB245" s="392"/>
      <c r="EC245" s="392"/>
      <c r="ED245" s="392"/>
      <c r="EE245" s="392"/>
      <c r="EF245" s="392"/>
      <c r="EG245" s="392"/>
      <c r="EH245" s="392"/>
      <c r="EI245" s="392"/>
      <c r="EJ245" s="392"/>
      <c r="EK245" s="392"/>
      <c r="EL245" s="392"/>
      <c r="EM245" s="392"/>
      <c r="EN245" s="392"/>
      <c r="EO245" s="392"/>
      <c r="EP245" s="392"/>
      <c r="EQ245" s="392"/>
      <c r="ER245" s="392"/>
      <c r="ES245" s="392"/>
      <c r="ET245" s="392"/>
      <c r="EU245" s="392"/>
      <c r="EV245" s="392"/>
      <c r="EW245" s="392"/>
      <c r="EX245" s="392"/>
      <c r="EY245" s="392"/>
      <c r="EZ245" s="392"/>
      <c r="FA245" s="392"/>
      <c r="FB245" s="392"/>
      <c r="FC245" s="392"/>
      <c r="FD245" s="392"/>
      <c r="FE245" s="392"/>
      <c r="FF245" s="392"/>
      <c r="FG245" s="392"/>
      <c r="FH245" s="392"/>
      <c r="FI245" s="392"/>
      <c r="FJ245" s="392"/>
      <c r="FK245" s="392"/>
      <c r="FL245" s="392"/>
      <c r="FM245" s="392"/>
      <c r="FN245" s="392"/>
      <c r="FO245" s="392"/>
      <c r="FP245" s="392"/>
      <c r="FQ245" s="392"/>
      <c r="FR245" s="392"/>
      <c r="FS245" s="392"/>
      <c r="FT245" s="392"/>
      <c r="FU245" s="392"/>
      <c r="FV245" s="392"/>
      <c r="FW245" s="392"/>
      <c r="FX245" s="392"/>
      <c r="FY245" s="392"/>
      <c r="FZ245" s="392"/>
      <c r="GA245" s="392"/>
      <c r="GB245" s="392"/>
      <c r="GC245" s="392"/>
      <c r="GD245" s="392"/>
      <c r="GE245" s="392"/>
      <c r="GF245" s="392"/>
      <c r="GG245" s="392"/>
      <c r="GH245" s="392"/>
      <c r="GI245" s="392"/>
      <c r="GJ245" s="392"/>
      <c r="GK245" s="392"/>
      <c r="GL245" s="392"/>
      <c r="GM245" s="392"/>
      <c r="GN245" s="392"/>
      <c r="GO245" s="392"/>
      <c r="GP245" s="392"/>
      <c r="GQ245" s="392"/>
      <c r="GR245" s="392"/>
      <c r="GS245" s="392"/>
      <c r="GT245" s="392"/>
      <c r="GU245" s="392"/>
      <c r="GV245" s="392"/>
      <c r="GW245" s="392"/>
      <c r="GX245" s="392"/>
      <c r="GY245" s="392"/>
      <c r="GZ245" s="392"/>
      <c r="HA245" s="392"/>
      <c r="HB245" s="392"/>
      <c r="HC245" s="392"/>
      <c r="HD245" s="392"/>
      <c r="HE245" s="392"/>
      <c r="HF245" s="392"/>
      <c r="HG245" s="392"/>
      <c r="HH245" s="392"/>
      <c r="HI245" s="392"/>
      <c r="HJ245" s="392"/>
      <c r="HK245" s="392"/>
      <c r="HL245" s="392"/>
      <c r="HM245" s="392"/>
      <c r="HN245" s="392"/>
      <c r="HO245" s="392"/>
      <c r="HP245" s="392"/>
      <c r="HQ245" s="392"/>
      <c r="HR245" s="392"/>
      <c r="HS245" s="392"/>
      <c r="HT245" s="392"/>
      <c r="HU245" s="392"/>
      <c r="HV245" s="392"/>
      <c r="HW245" s="392"/>
      <c r="HX245" s="392"/>
      <c r="HY245" s="392"/>
      <c r="HZ245" s="392"/>
      <c r="IA245" s="392"/>
      <c r="IB245" s="392"/>
      <c r="IC245" s="392"/>
      <c r="ID245" s="392"/>
      <c r="IE245" s="392"/>
      <c r="IF245" s="392"/>
      <c r="IG245" s="392"/>
      <c r="IH245" s="392"/>
      <c r="II245" s="392"/>
      <c r="IJ245" s="392"/>
      <c r="IK245" s="392"/>
      <c r="IL245" s="392"/>
      <c r="IM245" s="392"/>
      <c r="IN245" s="392"/>
      <c r="IO245" s="392"/>
      <c r="IP245" s="392"/>
      <c r="IQ245" s="392"/>
      <c r="IR245" s="392"/>
      <c r="IS245" s="392"/>
      <c r="IT245" s="392"/>
      <c r="IU245" s="392"/>
      <c r="IV245" s="392"/>
    </row>
    <row r="246" spans="1:256">
      <c r="A246" s="392"/>
      <c r="B246" s="448"/>
      <c r="C246" s="448"/>
      <c r="D246" s="448"/>
      <c r="E246" s="448"/>
      <c r="F246" s="448"/>
      <c r="G246" s="448"/>
      <c r="H246" s="392"/>
      <c r="I246" s="392"/>
      <c r="J246" s="392"/>
      <c r="K246" s="392"/>
      <c r="L246" s="392"/>
      <c r="M246" s="392"/>
      <c r="N246" s="392"/>
      <c r="O246" s="392"/>
      <c r="P246" s="392"/>
      <c r="Q246" s="392"/>
      <c r="R246" s="392"/>
      <c r="S246" s="392"/>
      <c r="T246" s="392"/>
      <c r="U246" s="392"/>
      <c r="V246" s="392"/>
      <c r="W246" s="392"/>
      <c r="X246" s="392"/>
      <c r="Y246" s="392"/>
      <c r="Z246" s="392"/>
      <c r="AA246" s="392"/>
      <c r="AB246" s="392"/>
      <c r="AC246" s="392"/>
      <c r="AD246" s="392"/>
      <c r="AE246" s="392"/>
      <c r="AF246" s="392"/>
      <c r="AG246" s="392"/>
      <c r="AH246" s="392"/>
      <c r="AI246" s="392"/>
      <c r="AJ246" s="392"/>
      <c r="AK246" s="392"/>
      <c r="AL246" s="392"/>
      <c r="AM246" s="392"/>
      <c r="AN246" s="392"/>
      <c r="AO246" s="392"/>
      <c r="AP246" s="392"/>
      <c r="AQ246" s="392"/>
      <c r="AR246" s="392"/>
      <c r="AS246" s="392"/>
      <c r="AT246" s="392"/>
      <c r="AU246" s="392"/>
      <c r="AV246" s="392"/>
      <c r="AW246" s="392"/>
      <c r="AX246" s="392"/>
      <c r="AY246" s="392"/>
      <c r="AZ246" s="392"/>
      <c r="BA246" s="392"/>
      <c r="BB246" s="392"/>
      <c r="BC246" s="392"/>
      <c r="BD246" s="392"/>
      <c r="BE246" s="392"/>
      <c r="BF246" s="392"/>
      <c r="BG246" s="392"/>
      <c r="BH246" s="392"/>
      <c r="BI246" s="392"/>
      <c r="BJ246" s="392"/>
      <c r="BK246" s="392"/>
      <c r="BL246" s="392"/>
      <c r="BM246" s="392"/>
      <c r="BN246" s="392"/>
      <c r="BO246" s="392"/>
      <c r="BP246" s="392"/>
      <c r="BQ246" s="392"/>
      <c r="BR246" s="392"/>
      <c r="BS246" s="392"/>
      <c r="BT246" s="392"/>
      <c r="BU246" s="392"/>
      <c r="BV246" s="392"/>
      <c r="BW246" s="392"/>
      <c r="BX246" s="392"/>
      <c r="BY246" s="392"/>
      <c r="BZ246" s="392"/>
      <c r="CA246" s="392"/>
      <c r="CB246" s="392"/>
      <c r="CC246" s="392"/>
      <c r="CD246" s="392"/>
      <c r="CE246" s="392"/>
      <c r="CF246" s="392"/>
      <c r="CG246" s="392"/>
      <c r="CH246" s="392"/>
      <c r="CI246" s="392"/>
      <c r="CJ246" s="392"/>
      <c r="CK246" s="392"/>
      <c r="CL246" s="392"/>
      <c r="CM246" s="392"/>
      <c r="CN246" s="392"/>
      <c r="CO246" s="392"/>
      <c r="CP246" s="392"/>
      <c r="CQ246" s="392"/>
      <c r="CR246" s="392"/>
      <c r="CS246" s="392"/>
      <c r="CT246" s="392"/>
      <c r="CU246" s="392"/>
      <c r="CV246" s="392"/>
      <c r="CW246" s="392"/>
      <c r="CX246" s="392"/>
      <c r="CY246" s="392"/>
      <c r="CZ246" s="392"/>
      <c r="DA246" s="392"/>
      <c r="DB246" s="392"/>
      <c r="DC246" s="392"/>
      <c r="DD246" s="392"/>
      <c r="DE246" s="392"/>
      <c r="DF246" s="392"/>
      <c r="DG246" s="392"/>
      <c r="DH246" s="392"/>
      <c r="DI246" s="392"/>
      <c r="DJ246" s="392"/>
      <c r="DK246" s="392"/>
      <c r="DL246" s="392"/>
      <c r="DM246" s="392"/>
      <c r="DN246" s="392"/>
      <c r="DO246" s="392"/>
      <c r="DP246" s="392"/>
      <c r="DQ246" s="392"/>
      <c r="DR246" s="392"/>
      <c r="DS246" s="392"/>
      <c r="DT246" s="392"/>
      <c r="DU246" s="392"/>
      <c r="DV246" s="392"/>
      <c r="DW246" s="392"/>
      <c r="DX246" s="392"/>
      <c r="DY246" s="392"/>
      <c r="DZ246" s="392"/>
      <c r="EA246" s="392"/>
      <c r="EB246" s="392"/>
      <c r="EC246" s="392"/>
      <c r="ED246" s="392"/>
      <c r="EE246" s="392"/>
      <c r="EF246" s="392"/>
      <c r="EG246" s="392"/>
      <c r="EH246" s="392"/>
      <c r="EI246" s="392"/>
      <c r="EJ246" s="392"/>
      <c r="EK246" s="392"/>
      <c r="EL246" s="392"/>
      <c r="EM246" s="392"/>
      <c r="EN246" s="392"/>
      <c r="EO246" s="392"/>
      <c r="EP246" s="392"/>
      <c r="EQ246" s="392"/>
      <c r="ER246" s="392"/>
      <c r="ES246" s="392"/>
      <c r="ET246" s="392"/>
      <c r="EU246" s="392"/>
      <c r="EV246" s="392"/>
      <c r="EW246" s="392"/>
      <c r="EX246" s="392"/>
      <c r="EY246" s="392"/>
      <c r="EZ246" s="392"/>
      <c r="FA246" s="392"/>
      <c r="FB246" s="392"/>
      <c r="FC246" s="392"/>
      <c r="FD246" s="392"/>
      <c r="FE246" s="392"/>
      <c r="FF246" s="392"/>
      <c r="FG246" s="392"/>
      <c r="FH246" s="392"/>
      <c r="FI246" s="392"/>
      <c r="FJ246" s="392"/>
      <c r="FK246" s="392"/>
      <c r="FL246" s="392"/>
      <c r="FM246" s="392"/>
      <c r="FN246" s="392"/>
      <c r="FO246" s="392"/>
      <c r="FP246" s="392"/>
      <c r="FQ246" s="392"/>
      <c r="FR246" s="392"/>
      <c r="FS246" s="392"/>
      <c r="FT246" s="392"/>
      <c r="FU246" s="392"/>
      <c r="FV246" s="392"/>
      <c r="FW246" s="392"/>
      <c r="FX246" s="392"/>
      <c r="FY246" s="392"/>
      <c r="FZ246" s="392"/>
      <c r="GA246" s="392"/>
      <c r="GB246" s="392"/>
      <c r="GC246" s="392"/>
      <c r="GD246" s="392"/>
      <c r="GE246" s="392"/>
      <c r="GF246" s="392"/>
      <c r="GG246" s="392"/>
      <c r="GH246" s="392"/>
      <c r="GI246" s="392"/>
      <c r="GJ246" s="392"/>
      <c r="GK246" s="392"/>
      <c r="GL246" s="392"/>
      <c r="GM246" s="392"/>
      <c r="GN246" s="392"/>
      <c r="GO246" s="392"/>
      <c r="GP246" s="392"/>
      <c r="GQ246" s="392"/>
      <c r="GR246" s="392"/>
      <c r="GS246" s="392"/>
      <c r="GT246" s="392"/>
      <c r="GU246" s="392"/>
      <c r="GV246" s="392"/>
      <c r="GW246" s="392"/>
      <c r="GX246" s="392"/>
      <c r="GY246" s="392"/>
      <c r="GZ246" s="392"/>
      <c r="HA246" s="392"/>
      <c r="HB246" s="392"/>
      <c r="HC246" s="392"/>
      <c r="HD246" s="392"/>
      <c r="HE246" s="392"/>
      <c r="HF246" s="392"/>
      <c r="HG246" s="392"/>
      <c r="HH246" s="392"/>
      <c r="HI246" s="392"/>
      <c r="HJ246" s="392"/>
      <c r="HK246" s="392"/>
      <c r="HL246" s="392"/>
      <c r="HM246" s="392"/>
      <c r="HN246" s="392"/>
      <c r="HO246" s="392"/>
      <c r="HP246" s="392"/>
      <c r="HQ246" s="392"/>
      <c r="HR246" s="392"/>
      <c r="HS246" s="392"/>
      <c r="HT246" s="392"/>
      <c r="HU246" s="392"/>
      <c r="HV246" s="392"/>
      <c r="HW246" s="392"/>
      <c r="HX246" s="392"/>
      <c r="HY246" s="392"/>
      <c r="HZ246" s="392"/>
      <c r="IA246" s="392"/>
      <c r="IB246" s="392"/>
      <c r="IC246" s="392"/>
      <c r="ID246" s="392"/>
      <c r="IE246" s="392"/>
      <c r="IF246" s="392"/>
      <c r="IG246" s="392"/>
      <c r="IH246" s="392"/>
      <c r="II246" s="392"/>
      <c r="IJ246" s="392"/>
      <c r="IK246" s="392"/>
      <c r="IL246" s="392"/>
      <c r="IM246" s="392"/>
      <c r="IN246" s="392"/>
      <c r="IO246" s="392"/>
      <c r="IP246" s="392"/>
      <c r="IQ246" s="392"/>
      <c r="IR246" s="392"/>
      <c r="IS246" s="392"/>
      <c r="IT246" s="392"/>
      <c r="IU246" s="392"/>
      <c r="IV246" s="392"/>
    </row>
    <row r="247" spans="1:256">
      <c r="A247" s="392"/>
      <c r="B247" s="448"/>
      <c r="C247" s="448"/>
      <c r="D247" s="448"/>
      <c r="E247" s="448"/>
      <c r="F247" s="448"/>
      <c r="G247" s="448"/>
      <c r="H247" s="392"/>
      <c r="I247" s="392"/>
      <c r="J247" s="392"/>
      <c r="K247" s="392"/>
      <c r="L247" s="392"/>
      <c r="M247" s="392"/>
      <c r="N247" s="392"/>
      <c r="O247" s="392"/>
      <c r="P247" s="392"/>
      <c r="Q247" s="392"/>
      <c r="R247" s="392"/>
      <c r="S247" s="392"/>
      <c r="T247" s="392"/>
      <c r="U247" s="392"/>
      <c r="V247" s="392"/>
      <c r="W247" s="392"/>
      <c r="X247" s="392"/>
      <c r="Y247" s="392"/>
      <c r="Z247" s="392"/>
      <c r="AA247" s="392"/>
      <c r="AB247" s="392"/>
      <c r="AC247" s="392"/>
      <c r="AD247" s="392"/>
      <c r="AE247" s="392"/>
      <c r="AF247" s="392"/>
      <c r="AG247" s="392"/>
      <c r="AH247" s="392"/>
      <c r="AI247" s="392"/>
      <c r="AJ247" s="392"/>
      <c r="AK247" s="392"/>
      <c r="AL247" s="392"/>
      <c r="AM247" s="392"/>
      <c r="AN247" s="392"/>
      <c r="AO247" s="392"/>
      <c r="AP247" s="392"/>
      <c r="AQ247" s="392"/>
      <c r="AR247" s="392"/>
      <c r="AS247" s="392"/>
      <c r="AT247" s="392"/>
      <c r="AU247" s="392"/>
      <c r="AV247" s="392"/>
      <c r="AW247" s="392"/>
      <c r="AX247" s="392"/>
      <c r="AY247" s="392"/>
      <c r="AZ247" s="392"/>
      <c r="BA247" s="392"/>
      <c r="BB247" s="392"/>
      <c r="BC247" s="392"/>
      <c r="BD247" s="392"/>
      <c r="BE247" s="392"/>
      <c r="BF247" s="392"/>
      <c r="BG247" s="392"/>
      <c r="BH247" s="392"/>
      <c r="BI247" s="392"/>
      <c r="BJ247" s="392"/>
      <c r="BK247" s="392"/>
      <c r="BL247" s="392"/>
      <c r="BM247" s="392"/>
      <c r="BN247" s="392"/>
      <c r="BO247" s="392"/>
      <c r="BP247" s="392"/>
      <c r="BQ247" s="392"/>
      <c r="BR247" s="392"/>
      <c r="BS247" s="392"/>
      <c r="BT247" s="392"/>
      <c r="BU247" s="392"/>
      <c r="BV247" s="392"/>
      <c r="BW247" s="392"/>
      <c r="BX247" s="392"/>
      <c r="BY247" s="392"/>
      <c r="BZ247" s="392"/>
      <c r="CA247" s="392"/>
      <c r="CB247" s="392"/>
      <c r="CC247" s="392"/>
      <c r="CD247" s="392"/>
      <c r="CE247" s="392"/>
      <c r="CF247" s="392"/>
      <c r="CG247" s="392"/>
      <c r="CH247" s="392"/>
      <c r="CI247" s="392"/>
      <c r="CJ247" s="392"/>
      <c r="CK247" s="392"/>
      <c r="CL247" s="392"/>
      <c r="CM247" s="392"/>
      <c r="CN247" s="392"/>
      <c r="CO247" s="392"/>
      <c r="CP247" s="392"/>
      <c r="CQ247" s="392"/>
      <c r="CR247" s="392"/>
      <c r="CS247" s="392"/>
      <c r="CT247" s="392"/>
      <c r="CU247" s="392"/>
      <c r="CV247" s="392"/>
      <c r="CW247" s="392"/>
      <c r="CX247" s="392"/>
      <c r="CY247" s="392"/>
      <c r="CZ247" s="392"/>
      <c r="DA247" s="392"/>
      <c r="DB247" s="392"/>
      <c r="DC247" s="392"/>
      <c r="DD247" s="392"/>
      <c r="DE247" s="392"/>
      <c r="DF247" s="392"/>
      <c r="DG247" s="392"/>
      <c r="DH247" s="392"/>
      <c r="DI247" s="392"/>
      <c r="DJ247" s="392"/>
      <c r="DK247" s="392"/>
      <c r="DL247" s="392"/>
      <c r="DM247" s="392"/>
      <c r="DN247" s="392"/>
      <c r="DO247" s="392"/>
      <c r="DP247" s="392"/>
      <c r="DQ247" s="392"/>
      <c r="DR247" s="392"/>
      <c r="DS247" s="392"/>
      <c r="DT247" s="392"/>
      <c r="DU247" s="392"/>
      <c r="DV247" s="392"/>
      <c r="DW247" s="392"/>
      <c r="DX247" s="392"/>
      <c r="DY247" s="392"/>
      <c r="DZ247" s="392"/>
      <c r="EA247" s="392"/>
      <c r="EB247" s="392"/>
      <c r="EC247" s="392"/>
      <c r="ED247" s="392"/>
      <c r="EE247" s="392"/>
      <c r="EF247" s="392"/>
      <c r="EG247" s="392"/>
      <c r="EH247" s="392"/>
      <c r="EI247" s="392"/>
      <c r="EJ247" s="392"/>
      <c r="EK247" s="392"/>
      <c r="EL247" s="392"/>
      <c r="EM247" s="392"/>
      <c r="EN247" s="392"/>
      <c r="EO247" s="392"/>
      <c r="EP247" s="392"/>
      <c r="EQ247" s="392"/>
      <c r="ER247" s="392"/>
      <c r="ES247" s="392"/>
      <c r="ET247" s="392"/>
      <c r="EU247" s="392"/>
      <c r="EV247" s="392"/>
      <c r="EW247" s="392"/>
      <c r="EX247" s="392"/>
      <c r="EY247" s="392"/>
      <c r="EZ247" s="392"/>
      <c r="FA247" s="392"/>
      <c r="FB247" s="392"/>
      <c r="FC247" s="392"/>
      <c r="FD247" s="392"/>
      <c r="FE247" s="392"/>
      <c r="FF247" s="392"/>
      <c r="FG247" s="392"/>
      <c r="FH247" s="392"/>
      <c r="FI247" s="392"/>
      <c r="FJ247" s="392"/>
      <c r="FK247" s="392"/>
      <c r="FL247" s="392"/>
      <c r="FM247" s="392"/>
      <c r="FN247" s="392"/>
      <c r="FO247" s="392"/>
      <c r="FP247" s="392"/>
      <c r="FQ247" s="392"/>
      <c r="FR247" s="392"/>
      <c r="FS247" s="392"/>
      <c r="FT247" s="392"/>
      <c r="FU247" s="392"/>
      <c r="FV247" s="392"/>
      <c r="FW247" s="392"/>
      <c r="FX247" s="392"/>
      <c r="FY247" s="392"/>
      <c r="FZ247" s="392"/>
      <c r="GA247" s="392"/>
      <c r="GB247" s="392"/>
      <c r="GC247" s="392"/>
      <c r="GD247" s="392"/>
      <c r="GE247" s="392"/>
      <c r="GF247" s="392"/>
      <c r="GG247" s="392"/>
      <c r="GH247" s="392"/>
      <c r="GI247" s="392"/>
      <c r="GJ247" s="392"/>
      <c r="GK247" s="392"/>
      <c r="GL247" s="392"/>
      <c r="GM247" s="392"/>
      <c r="GN247" s="392"/>
      <c r="GO247" s="392"/>
      <c r="GP247" s="392"/>
      <c r="GQ247" s="392"/>
      <c r="GR247" s="392"/>
      <c r="GS247" s="392"/>
      <c r="GT247" s="392"/>
      <c r="GU247" s="392"/>
      <c r="GV247" s="392"/>
      <c r="GW247" s="392"/>
      <c r="GX247" s="392"/>
      <c r="GY247" s="392"/>
      <c r="GZ247" s="392"/>
      <c r="HA247" s="392"/>
      <c r="HB247" s="392"/>
      <c r="HC247" s="392"/>
      <c r="HD247" s="392"/>
      <c r="HE247" s="392"/>
      <c r="HF247" s="392"/>
      <c r="HG247" s="392"/>
      <c r="HH247" s="392"/>
      <c r="HI247" s="392"/>
      <c r="HJ247" s="392"/>
      <c r="HK247" s="392"/>
      <c r="HL247" s="392"/>
      <c r="HM247" s="392"/>
      <c r="HN247" s="392"/>
      <c r="HO247" s="392"/>
      <c r="HP247" s="392"/>
      <c r="HQ247" s="392"/>
      <c r="HR247" s="392"/>
      <c r="HS247" s="392"/>
      <c r="HT247" s="392"/>
      <c r="HU247" s="392"/>
      <c r="HV247" s="392"/>
      <c r="HW247" s="392"/>
      <c r="HX247" s="392"/>
      <c r="HY247" s="392"/>
      <c r="HZ247" s="392"/>
      <c r="IA247" s="392"/>
      <c r="IB247" s="392"/>
      <c r="IC247" s="392"/>
      <c r="ID247" s="392"/>
      <c r="IE247" s="392"/>
      <c r="IF247" s="392"/>
      <c r="IG247" s="392"/>
      <c r="IH247" s="392"/>
      <c r="II247" s="392"/>
      <c r="IJ247" s="392"/>
      <c r="IK247" s="392"/>
      <c r="IL247" s="392"/>
      <c r="IM247" s="392"/>
      <c r="IN247" s="392"/>
      <c r="IO247" s="392"/>
      <c r="IP247" s="392"/>
      <c r="IQ247" s="392"/>
      <c r="IR247" s="392"/>
      <c r="IS247" s="392"/>
      <c r="IT247" s="392"/>
      <c r="IU247" s="392"/>
      <c r="IV247" s="392"/>
    </row>
    <row r="248" spans="1:256">
      <c r="A248" s="392"/>
      <c r="B248" s="448"/>
      <c r="C248" s="448"/>
      <c r="D248" s="448"/>
      <c r="E248" s="448"/>
      <c r="F248" s="448"/>
      <c r="G248" s="448"/>
      <c r="H248" s="392"/>
      <c r="I248" s="392"/>
      <c r="J248" s="392"/>
      <c r="K248" s="392"/>
      <c r="L248" s="392"/>
      <c r="M248" s="392"/>
      <c r="N248" s="392"/>
      <c r="O248" s="392"/>
      <c r="P248" s="392"/>
      <c r="Q248" s="392"/>
      <c r="R248" s="392"/>
      <c r="S248" s="392"/>
      <c r="T248" s="392"/>
      <c r="U248" s="392"/>
      <c r="V248" s="392"/>
      <c r="W248" s="392"/>
      <c r="X248" s="392"/>
      <c r="Y248" s="392"/>
      <c r="Z248" s="392"/>
      <c r="AA248" s="392"/>
      <c r="AB248" s="392"/>
      <c r="AC248" s="392"/>
      <c r="AD248" s="392"/>
      <c r="AE248" s="392"/>
      <c r="AF248" s="392"/>
      <c r="AG248" s="392"/>
      <c r="AH248" s="392"/>
      <c r="AI248" s="392"/>
      <c r="AJ248" s="392"/>
      <c r="AK248" s="392"/>
      <c r="AL248" s="392"/>
      <c r="AM248" s="392"/>
      <c r="AN248" s="392"/>
      <c r="AO248" s="392"/>
      <c r="AP248" s="392"/>
      <c r="AQ248" s="392"/>
      <c r="AR248" s="392"/>
      <c r="AS248" s="392"/>
      <c r="AT248" s="392"/>
      <c r="AU248" s="392"/>
      <c r="AV248" s="392"/>
      <c r="AW248" s="392"/>
      <c r="AX248" s="392"/>
      <c r="AY248" s="392"/>
      <c r="AZ248" s="392"/>
      <c r="BA248" s="392"/>
      <c r="BB248" s="392"/>
      <c r="BC248" s="392"/>
      <c r="BD248" s="392"/>
      <c r="BE248" s="392"/>
      <c r="BF248" s="392"/>
      <c r="BG248" s="392"/>
      <c r="BH248" s="392"/>
      <c r="BI248" s="392"/>
      <c r="BJ248" s="392"/>
      <c r="BK248" s="392"/>
      <c r="BL248" s="392"/>
      <c r="BM248" s="392"/>
      <c r="BN248" s="392"/>
      <c r="BO248" s="392"/>
      <c r="BP248" s="392"/>
      <c r="BQ248" s="392"/>
      <c r="BR248" s="392"/>
      <c r="BS248" s="392"/>
      <c r="BT248" s="392"/>
      <c r="BU248" s="392"/>
      <c r="BV248" s="392"/>
      <c r="BW248" s="392"/>
      <c r="BX248" s="392"/>
      <c r="BY248" s="392"/>
      <c r="BZ248" s="392"/>
      <c r="CA248" s="392"/>
      <c r="CB248" s="392"/>
      <c r="CC248" s="392"/>
      <c r="CD248" s="392"/>
      <c r="CE248" s="392"/>
      <c r="CF248" s="392"/>
      <c r="CG248" s="392"/>
      <c r="CH248" s="392"/>
      <c r="CI248" s="392"/>
      <c r="CJ248" s="392"/>
      <c r="CK248" s="392"/>
      <c r="CL248" s="392"/>
      <c r="CM248" s="392"/>
      <c r="CN248" s="392"/>
      <c r="CO248" s="392"/>
      <c r="CP248" s="392"/>
      <c r="CQ248" s="392"/>
      <c r="CR248" s="392"/>
      <c r="CS248" s="392"/>
      <c r="CT248" s="392"/>
      <c r="CU248" s="392"/>
      <c r="CV248" s="392"/>
      <c r="CW248" s="392"/>
      <c r="CX248" s="392"/>
      <c r="CY248" s="392"/>
      <c r="CZ248" s="392"/>
      <c r="DA248" s="392"/>
      <c r="DB248" s="392"/>
      <c r="DC248" s="392"/>
      <c r="DD248" s="392"/>
      <c r="DE248" s="392"/>
      <c r="DF248" s="392"/>
      <c r="DG248" s="392"/>
      <c r="DH248" s="392"/>
      <c r="DI248" s="392"/>
      <c r="DJ248" s="392"/>
      <c r="DK248" s="392"/>
      <c r="DL248" s="392"/>
      <c r="DM248" s="392"/>
      <c r="DN248" s="392"/>
      <c r="DO248" s="392"/>
      <c r="DP248" s="392"/>
      <c r="DQ248" s="392"/>
      <c r="DR248" s="392"/>
      <c r="DS248" s="392"/>
      <c r="DT248" s="392"/>
      <c r="DU248" s="392"/>
      <c r="DV248" s="392"/>
      <c r="DW248" s="392"/>
      <c r="DX248" s="392"/>
      <c r="DY248" s="392"/>
      <c r="DZ248" s="392"/>
      <c r="EA248" s="392"/>
      <c r="EB248" s="392"/>
      <c r="EC248" s="392"/>
      <c r="ED248" s="392"/>
      <c r="EE248" s="392"/>
      <c r="EF248" s="392"/>
      <c r="EG248" s="392"/>
      <c r="EH248" s="392"/>
      <c r="EI248" s="392"/>
      <c r="EJ248" s="392"/>
      <c r="EK248" s="392"/>
      <c r="EL248" s="392"/>
      <c r="EM248" s="392"/>
      <c r="EN248" s="392"/>
      <c r="EO248" s="392"/>
      <c r="EP248" s="392"/>
      <c r="EQ248" s="392"/>
      <c r="ER248" s="392"/>
      <c r="ES248" s="392"/>
      <c r="ET248" s="392"/>
      <c r="EU248" s="392"/>
      <c r="EV248" s="392"/>
      <c r="EW248" s="392"/>
      <c r="EX248" s="392"/>
      <c r="EY248" s="392"/>
      <c r="EZ248" s="392"/>
      <c r="FA248" s="392"/>
      <c r="FB248" s="392"/>
      <c r="FC248" s="392"/>
      <c r="FD248" s="392"/>
      <c r="FE248" s="392"/>
      <c r="FF248" s="392"/>
      <c r="FG248" s="392"/>
      <c r="FH248" s="392"/>
      <c r="FI248" s="392"/>
      <c r="FJ248" s="392"/>
      <c r="FK248" s="392"/>
      <c r="FL248" s="392"/>
      <c r="FM248" s="392"/>
      <c r="FN248" s="392"/>
      <c r="FO248" s="392"/>
      <c r="FP248" s="392"/>
      <c r="FQ248" s="392"/>
      <c r="FR248" s="392"/>
      <c r="FS248" s="392"/>
      <c r="FT248" s="392"/>
      <c r="FU248" s="392"/>
      <c r="FV248" s="392"/>
      <c r="FW248" s="392"/>
      <c r="FX248" s="392"/>
      <c r="FY248" s="392"/>
      <c r="FZ248" s="392"/>
      <c r="GA248" s="392"/>
      <c r="GB248" s="392"/>
      <c r="GC248" s="392"/>
      <c r="GD248" s="392"/>
      <c r="GE248" s="392"/>
      <c r="GF248" s="392"/>
      <c r="GG248" s="392"/>
      <c r="GH248" s="392"/>
      <c r="GI248" s="392"/>
      <c r="GJ248" s="392"/>
      <c r="GK248" s="392"/>
      <c r="GL248" s="392"/>
      <c r="GM248" s="392"/>
      <c r="GN248" s="392"/>
      <c r="GO248" s="392"/>
      <c r="GP248" s="392"/>
      <c r="GQ248" s="392"/>
      <c r="GR248" s="392"/>
      <c r="GS248" s="392"/>
      <c r="GT248" s="392"/>
      <c r="GU248" s="392"/>
      <c r="GV248" s="392"/>
      <c r="GW248" s="392"/>
      <c r="GX248" s="392"/>
      <c r="GY248" s="392"/>
      <c r="GZ248" s="392"/>
      <c r="HA248" s="392"/>
      <c r="HB248" s="392"/>
      <c r="HC248" s="392"/>
      <c r="HD248" s="392"/>
      <c r="HE248" s="392"/>
      <c r="HF248" s="392"/>
      <c r="HG248" s="392"/>
      <c r="HH248" s="392"/>
      <c r="HI248" s="392"/>
      <c r="HJ248" s="392"/>
      <c r="HK248" s="392"/>
      <c r="HL248" s="392"/>
      <c r="HM248" s="392"/>
      <c r="HN248" s="392"/>
      <c r="HO248" s="392"/>
      <c r="HP248" s="392"/>
      <c r="HQ248" s="392"/>
      <c r="HR248" s="392"/>
      <c r="HS248" s="392"/>
      <c r="HT248" s="392"/>
      <c r="HU248" s="392"/>
      <c r="HV248" s="392"/>
      <c r="HW248" s="392"/>
      <c r="HX248" s="392"/>
      <c r="HY248" s="392"/>
      <c r="HZ248" s="392"/>
      <c r="IA248" s="392"/>
      <c r="IB248" s="392"/>
      <c r="IC248" s="392"/>
      <c r="ID248" s="392"/>
      <c r="IE248" s="392"/>
      <c r="IF248" s="392"/>
      <c r="IG248" s="392"/>
      <c r="IH248" s="392"/>
      <c r="II248" s="392"/>
      <c r="IJ248" s="392"/>
      <c r="IK248" s="392"/>
      <c r="IL248" s="392"/>
      <c r="IM248" s="392"/>
      <c r="IN248" s="392"/>
      <c r="IO248" s="392"/>
      <c r="IP248" s="392"/>
      <c r="IQ248" s="392"/>
      <c r="IR248" s="392"/>
      <c r="IS248" s="392"/>
      <c r="IT248" s="392"/>
      <c r="IU248" s="392"/>
      <c r="IV248" s="392"/>
    </row>
    <row r="249" spans="1:256">
      <c r="A249" s="392"/>
      <c r="B249" s="448"/>
      <c r="C249" s="448"/>
      <c r="D249" s="448"/>
      <c r="E249" s="448"/>
      <c r="F249" s="448"/>
      <c r="G249" s="448"/>
      <c r="H249" s="392"/>
      <c r="I249" s="392"/>
      <c r="J249" s="392"/>
      <c r="K249" s="392"/>
      <c r="L249" s="392"/>
      <c r="M249" s="392"/>
      <c r="N249" s="392"/>
      <c r="O249" s="392"/>
      <c r="P249" s="392"/>
      <c r="Q249" s="392"/>
      <c r="R249" s="392"/>
      <c r="S249" s="392"/>
      <c r="T249" s="392"/>
      <c r="U249" s="392"/>
      <c r="V249" s="392"/>
      <c r="W249" s="392"/>
      <c r="X249" s="392"/>
      <c r="Y249" s="392"/>
      <c r="Z249" s="392"/>
      <c r="AA249" s="392"/>
      <c r="AB249" s="392"/>
      <c r="AC249" s="392"/>
      <c r="AD249" s="392"/>
      <c r="AE249" s="392"/>
      <c r="AF249" s="392"/>
      <c r="AG249" s="392"/>
      <c r="AH249" s="392"/>
      <c r="AI249" s="392"/>
      <c r="AJ249" s="392"/>
      <c r="AK249" s="392"/>
      <c r="AL249" s="392"/>
      <c r="AM249" s="392"/>
      <c r="AN249" s="392"/>
      <c r="AO249" s="392"/>
      <c r="AP249" s="392"/>
      <c r="AQ249" s="392"/>
      <c r="AR249" s="392"/>
      <c r="AS249" s="392"/>
      <c r="AT249" s="392"/>
      <c r="AU249" s="392"/>
      <c r="AV249" s="392"/>
      <c r="AW249" s="392"/>
      <c r="AX249" s="392"/>
      <c r="AY249" s="392"/>
      <c r="AZ249" s="392"/>
      <c r="BA249" s="392"/>
      <c r="BB249" s="392"/>
      <c r="BC249" s="392"/>
      <c r="BD249" s="392"/>
      <c r="BE249" s="392"/>
      <c r="BF249" s="392"/>
      <c r="BG249" s="392"/>
      <c r="BH249" s="392"/>
      <c r="BI249" s="392"/>
      <c r="BJ249" s="392"/>
      <c r="BK249" s="392"/>
      <c r="BL249" s="392"/>
      <c r="BM249" s="392"/>
      <c r="BN249" s="392"/>
      <c r="BO249" s="392"/>
      <c r="BP249" s="392"/>
      <c r="BQ249" s="392"/>
      <c r="BR249" s="392"/>
      <c r="BS249" s="392"/>
      <c r="BT249" s="392"/>
      <c r="BU249" s="392"/>
      <c r="BV249" s="392"/>
      <c r="BW249" s="392"/>
      <c r="BX249" s="392"/>
      <c r="BY249" s="392"/>
      <c r="BZ249" s="392"/>
      <c r="CA249" s="392"/>
      <c r="CB249" s="392"/>
      <c r="CC249" s="392"/>
      <c r="CD249" s="392"/>
      <c r="CE249" s="392"/>
      <c r="CF249" s="392"/>
      <c r="CG249" s="392"/>
      <c r="CH249" s="392"/>
      <c r="CI249" s="392"/>
      <c r="CJ249" s="392"/>
      <c r="CK249" s="392"/>
      <c r="CL249" s="392"/>
      <c r="CM249" s="392"/>
      <c r="CN249" s="392"/>
      <c r="CO249" s="392"/>
      <c r="CP249" s="392"/>
      <c r="CQ249" s="392"/>
      <c r="CR249" s="392"/>
      <c r="CS249" s="392"/>
      <c r="CT249" s="392"/>
      <c r="CU249" s="392"/>
      <c r="CV249" s="392"/>
      <c r="CW249" s="392"/>
      <c r="CX249" s="392"/>
      <c r="CY249" s="392"/>
      <c r="CZ249" s="392"/>
      <c r="DA249" s="392"/>
      <c r="DB249" s="392"/>
      <c r="DC249" s="392"/>
      <c r="DD249" s="392"/>
      <c r="DE249" s="392"/>
      <c r="DF249" s="392"/>
      <c r="DG249" s="392"/>
      <c r="DH249" s="392"/>
      <c r="DI249" s="392"/>
      <c r="DJ249" s="392"/>
      <c r="DK249" s="392"/>
      <c r="DL249" s="392"/>
      <c r="DM249" s="392"/>
      <c r="DN249" s="392"/>
      <c r="DO249" s="392"/>
      <c r="DP249" s="392"/>
      <c r="DQ249" s="392"/>
      <c r="DR249" s="392"/>
      <c r="DS249" s="392"/>
      <c r="DT249" s="392"/>
      <c r="DU249" s="392"/>
      <c r="DV249" s="392"/>
      <c r="DW249" s="392"/>
      <c r="DX249" s="392"/>
      <c r="DY249" s="392"/>
      <c r="DZ249" s="392"/>
      <c r="EA249" s="392"/>
      <c r="EB249" s="392"/>
      <c r="EC249" s="392"/>
      <c r="ED249" s="392"/>
      <c r="EE249" s="392"/>
      <c r="EF249" s="392"/>
      <c r="EG249" s="392"/>
      <c r="EH249" s="392"/>
      <c r="EI249" s="392"/>
      <c r="EJ249" s="392"/>
      <c r="EK249" s="392"/>
      <c r="EL249" s="392"/>
      <c r="EM249" s="392"/>
      <c r="EN249" s="392"/>
      <c r="EO249" s="392"/>
      <c r="EP249" s="392"/>
      <c r="EQ249" s="392"/>
      <c r="ER249" s="392"/>
      <c r="ES249" s="392"/>
      <c r="ET249" s="392"/>
      <c r="EU249" s="392"/>
      <c r="EV249" s="392"/>
      <c r="EW249" s="392"/>
      <c r="EX249" s="392"/>
      <c r="EY249" s="392"/>
      <c r="EZ249" s="392"/>
      <c r="FA249" s="392"/>
      <c r="FB249" s="392"/>
      <c r="FC249" s="392"/>
      <c r="FD249" s="392"/>
      <c r="FE249" s="392"/>
      <c r="FF249" s="392"/>
      <c r="FG249" s="392"/>
      <c r="FH249" s="392"/>
      <c r="FI249" s="392"/>
      <c r="FJ249" s="392"/>
      <c r="FK249" s="392"/>
      <c r="FL249" s="392"/>
      <c r="FM249" s="392"/>
      <c r="FN249" s="392"/>
      <c r="FO249" s="392"/>
      <c r="FP249" s="392"/>
      <c r="FQ249" s="392"/>
      <c r="FR249" s="392"/>
      <c r="FS249" s="392"/>
      <c r="FT249" s="392"/>
      <c r="FU249" s="392"/>
      <c r="FV249" s="392"/>
      <c r="FW249" s="392"/>
      <c r="FX249" s="392"/>
      <c r="FY249" s="392"/>
      <c r="FZ249" s="392"/>
      <c r="GA249" s="392"/>
      <c r="GB249" s="392"/>
      <c r="GC249" s="392"/>
      <c r="GD249" s="392"/>
      <c r="GE249" s="392"/>
      <c r="GF249" s="392"/>
      <c r="GG249" s="392"/>
      <c r="GH249" s="392"/>
      <c r="GI249" s="392"/>
      <c r="GJ249" s="392"/>
      <c r="GK249" s="392"/>
      <c r="GL249" s="392"/>
      <c r="GM249" s="392"/>
      <c r="GN249" s="392"/>
      <c r="GO249" s="392"/>
      <c r="GP249" s="392"/>
      <c r="GQ249" s="392"/>
      <c r="GR249" s="392"/>
      <c r="GS249" s="392"/>
      <c r="GT249" s="392"/>
      <c r="GU249" s="392"/>
      <c r="GV249" s="392"/>
      <c r="GW249" s="392"/>
      <c r="GX249" s="392"/>
      <c r="GY249" s="392"/>
      <c r="GZ249" s="392"/>
      <c r="HA249" s="392"/>
      <c r="HB249" s="392"/>
      <c r="HC249" s="392"/>
      <c r="HD249" s="392"/>
      <c r="HE249" s="392"/>
      <c r="HF249" s="392"/>
      <c r="HG249" s="392"/>
      <c r="HH249" s="392"/>
      <c r="HI249" s="392"/>
      <c r="HJ249" s="392"/>
      <c r="HK249" s="392"/>
      <c r="HL249" s="392"/>
      <c r="HM249" s="392"/>
      <c r="HN249" s="392"/>
      <c r="HO249" s="392"/>
      <c r="HP249" s="392"/>
      <c r="HQ249" s="392"/>
      <c r="HR249" s="392"/>
      <c r="HS249" s="392"/>
      <c r="HT249" s="392"/>
      <c r="HU249" s="392"/>
      <c r="HV249" s="392"/>
      <c r="HW249" s="392"/>
      <c r="HX249" s="392"/>
      <c r="HY249" s="392"/>
      <c r="HZ249" s="392"/>
      <c r="IA249" s="392"/>
      <c r="IB249" s="392"/>
      <c r="IC249" s="392"/>
      <c r="ID249" s="392"/>
      <c r="IE249" s="392"/>
      <c r="IF249" s="392"/>
      <c r="IG249" s="392"/>
      <c r="IH249" s="392"/>
      <c r="II249" s="392"/>
      <c r="IJ249" s="392"/>
      <c r="IK249" s="392"/>
      <c r="IL249" s="392"/>
      <c r="IM249" s="392"/>
      <c r="IN249" s="392"/>
      <c r="IO249" s="392"/>
      <c r="IP249" s="392"/>
      <c r="IQ249" s="392"/>
      <c r="IR249" s="392"/>
      <c r="IS249" s="392"/>
      <c r="IT249" s="392"/>
      <c r="IU249" s="392"/>
      <c r="IV249" s="392"/>
    </row>
    <row r="250" spans="1:256">
      <c r="A250" s="392"/>
      <c r="B250" s="448"/>
      <c r="C250" s="448"/>
      <c r="D250" s="448"/>
      <c r="E250" s="448"/>
      <c r="F250" s="448"/>
      <c r="G250" s="448"/>
      <c r="H250" s="392"/>
      <c r="I250" s="392"/>
      <c r="J250" s="392"/>
      <c r="K250" s="392"/>
      <c r="L250" s="392"/>
      <c r="M250" s="392"/>
      <c r="N250" s="392"/>
      <c r="O250" s="392"/>
      <c r="P250" s="392"/>
      <c r="Q250" s="392"/>
      <c r="R250" s="392"/>
      <c r="S250" s="392"/>
      <c r="T250" s="392"/>
      <c r="U250" s="392"/>
      <c r="V250" s="392"/>
      <c r="W250" s="392"/>
      <c r="X250" s="392"/>
      <c r="Y250" s="392"/>
      <c r="Z250" s="392"/>
      <c r="AA250" s="392"/>
      <c r="AB250" s="392"/>
      <c r="AC250" s="392"/>
      <c r="AD250" s="392"/>
      <c r="AE250" s="392"/>
      <c r="AF250" s="392"/>
      <c r="AG250" s="392"/>
      <c r="AH250" s="392"/>
      <c r="AI250" s="392"/>
      <c r="AJ250" s="392"/>
      <c r="AK250" s="392"/>
      <c r="AL250" s="392"/>
      <c r="AM250" s="392"/>
      <c r="AN250" s="392"/>
      <c r="AO250" s="392"/>
      <c r="AP250" s="392"/>
      <c r="AQ250" s="392"/>
      <c r="AR250" s="392"/>
      <c r="AS250" s="392"/>
      <c r="AT250" s="392"/>
      <c r="AU250" s="392"/>
      <c r="AV250" s="392"/>
      <c r="AW250" s="392"/>
      <c r="AX250" s="392"/>
      <c r="AY250" s="392"/>
      <c r="AZ250" s="392"/>
      <c r="BA250" s="392"/>
      <c r="BB250" s="392"/>
      <c r="BC250" s="392"/>
      <c r="BD250" s="392"/>
      <c r="BE250" s="392"/>
      <c r="BF250" s="392"/>
      <c r="BG250" s="392"/>
      <c r="BH250" s="392"/>
      <c r="BI250" s="392"/>
      <c r="BJ250" s="392"/>
      <c r="BK250" s="392"/>
      <c r="BL250" s="392"/>
      <c r="BM250" s="392"/>
      <c r="BN250" s="392"/>
      <c r="BO250" s="392"/>
      <c r="BP250" s="392"/>
      <c r="BQ250" s="392"/>
      <c r="BR250" s="392"/>
      <c r="BS250" s="392"/>
      <c r="BT250" s="392"/>
      <c r="BU250" s="392"/>
      <c r="BV250" s="392"/>
      <c r="BW250" s="392"/>
      <c r="BX250" s="392"/>
      <c r="BY250" s="392"/>
      <c r="BZ250" s="392"/>
      <c r="CA250" s="392"/>
      <c r="CB250" s="392"/>
      <c r="CC250" s="392"/>
      <c r="CD250" s="392"/>
      <c r="CE250" s="392"/>
      <c r="CF250" s="392"/>
      <c r="CG250" s="392"/>
      <c r="CH250" s="392"/>
      <c r="CI250" s="392"/>
      <c r="CJ250" s="392"/>
      <c r="CK250" s="392"/>
      <c r="CL250" s="392"/>
      <c r="CM250" s="392"/>
      <c r="CN250" s="392"/>
      <c r="CO250" s="392"/>
      <c r="CP250" s="392"/>
      <c r="CQ250" s="392"/>
      <c r="CR250" s="392"/>
      <c r="CS250" s="392"/>
      <c r="CT250" s="392"/>
      <c r="CU250" s="392"/>
      <c r="CV250" s="392"/>
      <c r="CW250" s="392"/>
      <c r="CX250" s="392"/>
      <c r="CY250" s="392"/>
      <c r="CZ250" s="392"/>
      <c r="DA250" s="392"/>
      <c r="DB250" s="392"/>
      <c r="DC250" s="392"/>
      <c r="DD250" s="392"/>
      <c r="DE250" s="392"/>
      <c r="DF250" s="392"/>
      <c r="DG250" s="392"/>
      <c r="DH250" s="392"/>
      <c r="DI250" s="392"/>
      <c r="DJ250" s="392"/>
      <c r="DK250" s="392"/>
      <c r="DL250" s="392"/>
      <c r="DM250" s="392"/>
      <c r="DN250" s="392"/>
      <c r="DO250" s="392"/>
      <c r="DP250" s="392"/>
      <c r="DQ250" s="392"/>
      <c r="DR250" s="392"/>
      <c r="DS250" s="392"/>
      <c r="DT250" s="392"/>
      <c r="DU250" s="392"/>
      <c r="DV250" s="392"/>
      <c r="DW250" s="392"/>
      <c r="DX250" s="392"/>
      <c r="DY250" s="392"/>
      <c r="DZ250" s="392"/>
      <c r="EA250" s="392"/>
      <c r="EB250" s="392"/>
      <c r="EC250" s="392"/>
      <c r="ED250" s="392"/>
      <c r="EE250" s="392"/>
      <c r="EF250" s="392"/>
      <c r="EG250" s="392"/>
      <c r="EH250" s="392"/>
      <c r="EI250" s="392"/>
      <c r="EJ250" s="392"/>
      <c r="EK250" s="392"/>
      <c r="EL250" s="392"/>
      <c r="EM250" s="392"/>
      <c r="EN250" s="392"/>
      <c r="EO250" s="392"/>
      <c r="EP250" s="392"/>
      <c r="EQ250" s="392"/>
      <c r="ER250" s="392"/>
      <c r="ES250" s="392"/>
      <c r="ET250" s="392"/>
      <c r="EU250" s="392"/>
      <c r="EV250" s="392"/>
      <c r="EW250" s="392"/>
      <c r="EX250" s="392"/>
      <c r="EY250" s="392"/>
      <c r="EZ250" s="392"/>
      <c r="FA250" s="392"/>
      <c r="FB250" s="392"/>
      <c r="FC250" s="392"/>
      <c r="FD250" s="392"/>
      <c r="FE250" s="392"/>
      <c r="FF250" s="392"/>
      <c r="FG250" s="392"/>
      <c r="FH250" s="392"/>
      <c r="FI250" s="392"/>
      <c r="FJ250" s="392"/>
      <c r="FK250" s="392"/>
      <c r="FL250" s="392"/>
      <c r="FM250" s="392"/>
      <c r="FN250" s="392"/>
      <c r="FO250" s="392"/>
      <c r="FP250" s="392"/>
      <c r="FQ250" s="392"/>
      <c r="FR250" s="392"/>
      <c r="FS250" s="392"/>
      <c r="FT250" s="392"/>
      <c r="FU250" s="392"/>
      <c r="FV250" s="392"/>
      <c r="FW250" s="392"/>
      <c r="FX250" s="392"/>
      <c r="FY250" s="392"/>
      <c r="FZ250" s="392"/>
      <c r="GA250" s="392"/>
      <c r="GB250" s="392"/>
      <c r="GC250" s="392"/>
      <c r="GD250" s="392"/>
      <c r="GE250" s="392"/>
      <c r="GF250" s="392"/>
      <c r="GG250" s="392"/>
      <c r="GH250" s="392"/>
      <c r="GI250" s="392"/>
      <c r="GJ250" s="392"/>
      <c r="GK250" s="392"/>
      <c r="GL250" s="392"/>
      <c r="GM250" s="392"/>
      <c r="GN250" s="392"/>
      <c r="GO250" s="392"/>
      <c r="GP250" s="392"/>
      <c r="GQ250" s="392"/>
      <c r="GR250" s="392"/>
      <c r="GS250" s="392"/>
      <c r="GT250" s="392"/>
      <c r="GU250" s="392"/>
      <c r="GV250" s="392"/>
      <c r="GW250" s="392"/>
      <c r="GX250" s="392"/>
      <c r="GY250" s="392"/>
      <c r="GZ250" s="392"/>
      <c r="HA250" s="392"/>
      <c r="HB250" s="392"/>
      <c r="HC250" s="392"/>
      <c r="HD250" s="392"/>
      <c r="HE250" s="392"/>
      <c r="HF250" s="392"/>
      <c r="HG250" s="392"/>
      <c r="HH250" s="392"/>
      <c r="HI250" s="392"/>
      <c r="HJ250" s="392"/>
      <c r="HK250" s="392"/>
      <c r="HL250" s="392"/>
      <c r="HM250" s="392"/>
      <c r="HN250" s="392"/>
      <c r="HO250" s="392"/>
      <c r="HP250" s="392"/>
      <c r="HQ250" s="392"/>
      <c r="HR250" s="392"/>
      <c r="HS250" s="392"/>
      <c r="HT250" s="392"/>
      <c r="HU250" s="392"/>
      <c r="HV250" s="392"/>
      <c r="HW250" s="392"/>
      <c r="HX250" s="392"/>
      <c r="HY250" s="392"/>
      <c r="HZ250" s="392"/>
      <c r="IA250" s="392"/>
      <c r="IB250" s="392"/>
      <c r="IC250" s="392"/>
      <c r="ID250" s="392"/>
      <c r="IE250" s="392"/>
      <c r="IF250" s="392"/>
      <c r="IG250" s="392"/>
      <c r="IH250" s="392"/>
      <c r="II250" s="392"/>
      <c r="IJ250" s="392"/>
      <c r="IK250" s="392"/>
      <c r="IL250" s="392"/>
      <c r="IM250" s="392"/>
      <c r="IN250" s="392"/>
      <c r="IO250" s="392"/>
      <c r="IP250" s="392"/>
      <c r="IQ250" s="392"/>
      <c r="IR250" s="392"/>
      <c r="IS250" s="392"/>
      <c r="IT250" s="392"/>
      <c r="IU250" s="392"/>
      <c r="IV250" s="392"/>
    </row>
    <row r="251" spans="1:256">
      <c r="A251" s="392"/>
      <c r="B251" s="448"/>
      <c r="C251" s="448"/>
      <c r="D251" s="448"/>
      <c r="E251" s="448"/>
      <c r="F251" s="448"/>
      <c r="G251" s="448"/>
      <c r="H251" s="392"/>
      <c r="I251" s="392"/>
      <c r="J251" s="392"/>
      <c r="K251" s="392"/>
      <c r="L251" s="392"/>
      <c r="M251" s="392"/>
      <c r="N251" s="392"/>
      <c r="O251" s="392"/>
      <c r="P251" s="392"/>
      <c r="Q251" s="392"/>
      <c r="R251" s="392"/>
      <c r="S251" s="392"/>
      <c r="T251" s="392"/>
      <c r="U251" s="392"/>
      <c r="V251" s="392"/>
      <c r="W251" s="392"/>
      <c r="X251" s="392"/>
      <c r="Y251" s="392"/>
      <c r="Z251" s="392"/>
      <c r="AA251" s="392"/>
      <c r="AB251" s="392"/>
      <c r="AC251" s="392"/>
      <c r="AD251" s="392"/>
      <c r="AE251" s="392"/>
      <c r="AF251" s="392"/>
      <c r="AG251" s="392"/>
      <c r="AH251" s="392"/>
      <c r="AI251" s="392"/>
      <c r="AJ251" s="392"/>
      <c r="AK251" s="392"/>
      <c r="AL251" s="392"/>
      <c r="AM251" s="392"/>
      <c r="AN251" s="392"/>
      <c r="AO251" s="392"/>
      <c r="AP251" s="392"/>
      <c r="AQ251" s="392"/>
      <c r="AR251" s="392"/>
      <c r="AS251" s="392"/>
      <c r="AT251" s="392"/>
      <c r="AU251" s="392"/>
      <c r="AV251" s="392"/>
      <c r="AW251" s="392"/>
      <c r="AX251" s="392"/>
      <c r="AY251" s="392"/>
      <c r="AZ251" s="392"/>
      <c r="BA251" s="392"/>
      <c r="BB251" s="392"/>
      <c r="BC251" s="392"/>
      <c r="BD251" s="392"/>
      <c r="BE251" s="392"/>
      <c r="BF251" s="392"/>
      <c r="BG251" s="392"/>
      <c r="BH251" s="392"/>
      <c r="BI251" s="392"/>
      <c r="BJ251" s="392"/>
      <c r="BK251" s="392"/>
      <c r="BL251" s="392"/>
      <c r="BM251" s="392"/>
      <c r="BN251" s="392"/>
      <c r="BO251" s="392"/>
      <c r="BP251" s="392"/>
      <c r="BQ251" s="392"/>
      <c r="BR251" s="392"/>
      <c r="BS251" s="392"/>
      <c r="BT251" s="392"/>
      <c r="BU251" s="392"/>
      <c r="BV251" s="392"/>
      <c r="BW251" s="392"/>
      <c r="BX251" s="392"/>
      <c r="BY251" s="392"/>
      <c r="BZ251" s="392"/>
      <c r="CA251" s="392"/>
      <c r="CB251" s="392"/>
      <c r="CC251" s="392"/>
      <c r="CD251" s="392"/>
      <c r="CE251" s="392"/>
      <c r="CF251" s="392"/>
      <c r="CG251" s="392"/>
      <c r="CH251" s="392"/>
      <c r="CI251" s="392"/>
      <c r="CJ251" s="392"/>
      <c r="CK251" s="392"/>
      <c r="CL251" s="392"/>
      <c r="CM251" s="392"/>
      <c r="CN251" s="392"/>
      <c r="CO251" s="392"/>
      <c r="CP251" s="392"/>
      <c r="CQ251" s="392"/>
      <c r="CR251" s="392"/>
      <c r="CS251" s="392"/>
      <c r="CT251" s="392"/>
      <c r="CU251" s="392"/>
      <c r="CV251" s="392"/>
      <c r="CW251" s="392"/>
      <c r="CX251" s="392"/>
      <c r="CY251" s="392"/>
      <c r="CZ251" s="392"/>
      <c r="DA251" s="392"/>
      <c r="DB251" s="392"/>
      <c r="DC251" s="392"/>
      <c r="DD251" s="392"/>
      <c r="DE251" s="392"/>
      <c r="DF251" s="392"/>
      <c r="DG251" s="392"/>
      <c r="DH251" s="392"/>
      <c r="DI251" s="392"/>
      <c r="DJ251" s="392"/>
      <c r="DK251" s="392"/>
      <c r="DL251" s="392"/>
      <c r="DM251" s="392"/>
      <c r="DN251" s="392"/>
      <c r="DO251" s="392"/>
      <c r="DP251" s="392"/>
      <c r="DQ251" s="392"/>
      <c r="DR251" s="392"/>
      <c r="DS251" s="392"/>
      <c r="DT251" s="392"/>
      <c r="DU251" s="392"/>
      <c r="DV251" s="392"/>
      <c r="DW251" s="392"/>
      <c r="DX251" s="392"/>
      <c r="DY251" s="392"/>
      <c r="DZ251" s="392"/>
      <c r="EA251" s="392"/>
      <c r="EB251" s="392"/>
      <c r="EC251" s="392"/>
      <c r="ED251" s="392"/>
      <c r="EE251" s="392"/>
      <c r="EF251" s="392"/>
      <c r="EG251" s="392"/>
      <c r="EH251" s="392"/>
      <c r="EI251" s="392"/>
      <c r="EJ251" s="392"/>
      <c r="EK251" s="392"/>
      <c r="EL251" s="392"/>
      <c r="EM251" s="392"/>
      <c r="EN251" s="392"/>
      <c r="EO251" s="392"/>
      <c r="EP251" s="392"/>
      <c r="EQ251" s="392"/>
      <c r="ER251" s="392"/>
      <c r="ES251" s="392"/>
      <c r="ET251" s="392"/>
      <c r="EU251" s="392"/>
      <c r="EV251" s="392"/>
      <c r="EW251" s="392"/>
      <c r="EX251" s="392"/>
      <c r="EY251" s="392"/>
      <c r="EZ251" s="392"/>
      <c r="FA251" s="392"/>
      <c r="FB251" s="392"/>
      <c r="FC251" s="392"/>
      <c r="FD251" s="392"/>
      <c r="FE251" s="392"/>
      <c r="FF251" s="392"/>
      <c r="FG251" s="392"/>
      <c r="FH251" s="392"/>
      <c r="FI251" s="392"/>
      <c r="FJ251" s="392"/>
      <c r="FK251" s="392"/>
      <c r="FL251" s="392"/>
      <c r="FM251" s="392"/>
      <c r="FN251" s="392"/>
      <c r="FO251" s="392"/>
      <c r="FP251" s="392"/>
      <c r="FQ251" s="392"/>
      <c r="FR251" s="392"/>
      <c r="FS251" s="392"/>
      <c r="FT251" s="392"/>
      <c r="FU251" s="392"/>
      <c r="FV251" s="392"/>
      <c r="FW251" s="392"/>
      <c r="FX251" s="392"/>
      <c r="FY251" s="392"/>
      <c r="FZ251" s="392"/>
      <c r="GA251" s="392"/>
      <c r="GB251" s="392"/>
      <c r="GC251" s="392"/>
      <c r="GD251" s="392"/>
      <c r="GE251" s="392"/>
      <c r="GF251" s="392"/>
      <c r="GG251" s="392"/>
      <c r="GH251" s="392"/>
      <c r="GI251" s="392"/>
      <c r="GJ251" s="392"/>
      <c r="GK251" s="392"/>
      <c r="GL251" s="392"/>
      <c r="GM251" s="392"/>
      <c r="GN251" s="392"/>
      <c r="GO251" s="392"/>
      <c r="GP251" s="392"/>
      <c r="GQ251" s="392"/>
      <c r="GR251" s="392"/>
      <c r="GS251" s="392"/>
      <c r="GT251" s="392"/>
      <c r="GU251" s="392"/>
      <c r="GV251" s="392"/>
      <c r="GW251" s="392"/>
      <c r="GX251" s="392"/>
      <c r="GY251" s="392"/>
      <c r="GZ251" s="392"/>
      <c r="HA251" s="392"/>
      <c r="HB251" s="392"/>
      <c r="HC251" s="392"/>
      <c r="HD251" s="392"/>
      <c r="HE251" s="392"/>
      <c r="HF251" s="392"/>
      <c r="HG251" s="392"/>
      <c r="HH251" s="392"/>
      <c r="HI251" s="392"/>
      <c r="HJ251" s="392"/>
      <c r="HK251" s="392"/>
      <c r="HL251" s="392"/>
      <c r="HM251" s="392"/>
      <c r="HN251" s="392"/>
      <c r="HO251" s="392"/>
      <c r="HP251" s="392"/>
      <c r="HQ251" s="392"/>
      <c r="HR251" s="392"/>
      <c r="HS251" s="392"/>
      <c r="HT251" s="392"/>
      <c r="HU251" s="392"/>
      <c r="HV251" s="392"/>
      <c r="HW251" s="392"/>
      <c r="HX251" s="392"/>
      <c r="HY251" s="392"/>
      <c r="HZ251" s="392"/>
      <c r="IA251" s="392"/>
      <c r="IB251" s="392"/>
      <c r="IC251" s="392"/>
      <c r="ID251" s="392"/>
      <c r="IE251" s="392"/>
      <c r="IF251" s="392"/>
      <c r="IG251" s="392"/>
      <c r="IH251" s="392"/>
      <c r="II251" s="392"/>
      <c r="IJ251" s="392"/>
      <c r="IK251" s="392"/>
      <c r="IL251" s="392"/>
      <c r="IM251" s="392"/>
      <c r="IN251" s="392"/>
      <c r="IO251" s="392"/>
      <c r="IP251" s="392"/>
      <c r="IQ251" s="392"/>
      <c r="IR251" s="392"/>
      <c r="IS251" s="392"/>
      <c r="IT251" s="392"/>
      <c r="IU251" s="392"/>
      <c r="IV251" s="392"/>
    </row>
    <row r="252" spans="1:256">
      <c r="A252" s="392"/>
      <c r="B252" s="448"/>
      <c r="C252" s="448"/>
      <c r="D252" s="448"/>
      <c r="E252" s="448"/>
      <c r="F252" s="448"/>
      <c r="G252" s="448"/>
      <c r="H252" s="392"/>
      <c r="I252" s="392"/>
      <c r="J252" s="392"/>
      <c r="K252" s="392"/>
      <c r="L252" s="392"/>
      <c r="M252" s="392"/>
      <c r="N252" s="392"/>
      <c r="O252" s="392"/>
      <c r="P252" s="392"/>
      <c r="Q252" s="392"/>
      <c r="R252" s="392"/>
      <c r="S252" s="392"/>
      <c r="T252" s="392"/>
      <c r="U252" s="392"/>
      <c r="V252" s="392"/>
      <c r="W252" s="392"/>
      <c r="X252" s="392"/>
      <c r="Y252" s="392"/>
      <c r="Z252" s="392"/>
      <c r="AA252" s="392"/>
      <c r="AB252" s="392"/>
      <c r="AC252" s="392"/>
      <c r="AD252" s="392"/>
      <c r="AE252" s="392"/>
      <c r="AF252" s="392"/>
      <c r="AG252" s="392"/>
      <c r="AH252" s="392"/>
      <c r="AI252" s="392"/>
      <c r="AJ252" s="392"/>
      <c r="AK252" s="392"/>
      <c r="AL252" s="392"/>
      <c r="AM252" s="392"/>
      <c r="AN252" s="392"/>
      <c r="AO252" s="392"/>
      <c r="AP252" s="392"/>
      <c r="AQ252" s="392"/>
      <c r="AR252" s="392"/>
      <c r="AS252" s="392"/>
      <c r="AT252" s="392"/>
      <c r="AU252" s="392"/>
      <c r="AV252" s="392"/>
      <c r="AW252" s="392"/>
      <c r="AX252" s="392"/>
      <c r="AY252" s="392"/>
      <c r="AZ252" s="392"/>
      <c r="BA252" s="392"/>
      <c r="BB252" s="392"/>
      <c r="BC252" s="392"/>
      <c r="BD252" s="392"/>
      <c r="BE252" s="392"/>
      <c r="BF252" s="392"/>
      <c r="BG252" s="392"/>
      <c r="BH252" s="392"/>
      <c r="BI252" s="392"/>
      <c r="BJ252" s="392"/>
      <c r="BK252" s="392"/>
      <c r="BL252" s="392"/>
      <c r="BM252" s="392"/>
      <c r="BN252" s="392"/>
      <c r="BO252" s="392"/>
      <c r="BP252" s="392"/>
      <c r="BQ252" s="392"/>
      <c r="BR252" s="392"/>
      <c r="BS252" s="392"/>
      <c r="BT252" s="392"/>
      <c r="BU252" s="392"/>
      <c r="BV252" s="392"/>
      <c r="BW252" s="392"/>
      <c r="BX252" s="392"/>
      <c r="BY252" s="392"/>
      <c r="BZ252" s="392"/>
      <c r="CA252" s="392"/>
      <c r="CB252" s="392"/>
      <c r="CC252" s="392"/>
      <c r="CD252" s="392"/>
      <c r="CE252" s="392"/>
      <c r="CF252" s="392"/>
      <c r="CG252" s="392"/>
      <c r="CH252" s="392"/>
      <c r="CI252" s="392"/>
      <c r="CJ252" s="392"/>
      <c r="CK252" s="392"/>
      <c r="CL252" s="392"/>
      <c r="CM252" s="392"/>
      <c r="CN252" s="392"/>
      <c r="CO252" s="392"/>
      <c r="CP252" s="392"/>
      <c r="CQ252" s="392"/>
      <c r="CR252" s="392"/>
      <c r="CS252" s="392"/>
      <c r="CT252" s="392"/>
      <c r="CU252" s="392"/>
      <c r="CV252" s="392"/>
      <c r="CW252" s="392"/>
      <c r="CX252" s="392"/>
      <c r="CY252" s="392"/>
      <c r="CZ252" s="392"/>
      <c r="DA252" s="392"/>
      <c r="DB252" s="392"/>
      <c r="DC252" s="392"/>
      <c r="DD252" s="392"/>
      <c r="DE252" s="392"/>
      <c r="DF252" s="392"/>
      <c r="DG252" s="392"/>
      <c r="DH252" s="392"/>
      <c r="DI252" s="392"/>
      <c r="DJ252" s="392"/>
      <c r="DK252" s="392"/>
      <c r="DL252" s="392"/>
      <c r="DM252" s="392"/>
      <c r="DN252" s="392"/>
      <c r="DO252" s="392"/>
      <c r="DP252" s="392"/>
      <c r="DQ252" s="392"/>
      <c r="DR252" s="392"/>
      <c r="DS252" s="392"/>
      <c r="DT252" s="392"/>
      <c r="DU252" s="392"/>
      <c r="DV252" s="392"/>
      <c r="DW252" s="392"/>
      <c r="DX252" s="392"/>
      <c r="DY252" s="392"/>
      <c r="DZ252" s="392"/>
      <c r="EA252" s="392"/>
      <c r="EB252" s="392"/>
      <c r="EC252" s="392"/>
      <c r="ED252" s="392"/>
      <c r="EE252" s="392"/>
      <c r="EF252" s="392"/>
      <c r="EG252" s="392"/>
      <c r="EH252" s="392"/>
      <c r="EI252" s="392"/>
      <c r="EJ252" s="392"/>
      <c r="EK252" s="392"/>
      <c r="EL252" s="392"/>
      <c r="EM252" s="392"/>
      <c r="EN252" s="392"/>
      <c r="EO252" s="392"/>
      <c r="EP252" s="392"/>
      <c r="EQ252" s="392"/>
      <c r="ER252" s="392"/>
      <c r="ES252" s="392"/>
      <c r="ET252" s="392"/>
      <c r="EU252" s="392"/>
      <c r="EV252" s="392"/>
      <c r="EW252" s="392"/>
      <c r="EX252" s="392"/>
      <c r="EY252" s="392"/>
      <c r="EZ252" s="392"/>
      <c r="FA252" s="392"/>
      <c r="FB252" s="392"/>
      <c r="FC252" s="392"/>
      <c r="FD252" s="392"/>
      <c r="FE252" s="392"/>
      <c r="FF252" s="392"/>
      <c r="FG252" s="392"/>
      <c r="FH252" s="392"/>
      <c r="FI252" s="392"/>
      <c r="FJ252" s="392"/>
      <c r="FK252" s="392"/>
      <c r="FL252" s="392"/>
      <c r="FM252" s="392"/>
      <c r="FN252" s="392"/>
      <c r="FO252" s="392"/>
      <c r="FP252" s="392"/>
      <c r="FQ252" s="392"/>
      <c r="FR252" s="392"/>
      <c r="FS252" s="392"/>
      <c r="FT252" s="392"/>
      <c r="FU252" s="392"/>
      <c r="FV252" s="392"/>
      <c r="FW252" s="392"/>
      <c r="FX252" s="392"/>
      <c r="FY252" s="392"/>
      <c r="FZ252" s="392"/>
      <c r="GA252" s="392"/>
      <c r="GB252" s="392"/>
      <c r="GC252" s="392"/>
      <c r="GD252" s="392"/>
      <c r="GE252" s="392"/>
      <c r="GF252" s="392"/>
      <c r="GG252" s="392"/>
      <c r="GH252" s="392"/>
      <c r="GI252" s="392"/>
      <c r="GJ252" s="392"/>
      <c r="GK252" s="392"/>
      <c r="GL252" s="392"/>
      <c r="GM252" s="392"/>
      <c r="GN252" s="392"/>
      <c r="GO252" s="392"/>
      <c r="GP252" s="392"/>
      <c r="GQ252" s="392"/>
      <c r="GR252" s="392"/>
      <c r="GS252" s="392"/>
      <c r="GT252" s="392"/>
      <c r="GU252" s="392"/>
      <c r="GV252" s="392"/>
      <c r="GW252" s="392"/>
      <c r="GX252" s="392"/>
      <c r="GY252" s="392"/>
      <c r="GZ252" s="392"/>
      <c r="HA252" s="392"/>
      <c r="HB252" s="392"/>
      <c r="HC252" s="392"/>
      <c r="HD252" s="392"/>
      <c r="HE252" s="392"/>
      <c r="HF252" s="392"/>
      <c r="HG252" s="392"/>
      <c r="HH252" s="392"/>
      <c r="HI252" s="392"/>
      <c r="HJ252" s="392"/>
      <c r="HK252" s="392"/>
      <c r="HL252" s="392"/>
      <c r="HM252" s="392"/>
      <c r="HN252" s="392"/>
      <c r="HO252" s="392"/>
      <c r="HP252" s="392"/>
      <c r="HQ252" s="392"/>
      <c r="HR252" s="392"/>
      <c r="HS252" s="392"/>
      <c r="HT252" s="392"/>
      <c r="HU252" s="392"/>
      <c r="HV252" s="392"/>
      <c r="HW252" s="392"/>
      <c r="HX252" s="392"/>
      <c r="HY252" s="392"/>
      <c r="HZ252" s="392"/>
      <c r="IA252" s="392"/>
      <c r="IB252" s="392"/>
      <c r="IC252" s="392"/>
      <c r="ID252" s="392"/>
      <c r="IE252" s="392"/>
      <c r="IF252" s="392"/>
      <c r="IG252" s="392"/>
      <c r="IH252" s="392"/>
      <c r="II252" s="392"/>
      <c r="IJ252" s="392"/>
      <c r="IK252" s="392"/>
      <c r="IL252" s="392"/>
      <c r="IM252" s="392"/>
      <c r="IN252" s="392"/>
      <c r="IO252" s="392"/>
      <c r="IP252" s="392"/>
      <c r="IQ252" s="392"/>
      <c r="IR252" s="392"/>
      <c r="IS252" s="392"/>
      <c r="IT252" s="392"/>
      <c r="IU252" s="392"/>
      <c r="IV252" s="392"/>
    </row>
    <row r="253" spans="1:256">
      <c r="A253" s="392"/>
      <c r="B253" s="448"/>
      <c r="C253" s="448"/>
      <c r="D253" s="448"/>
      <c r="E253" s="448"/>
      <c r="F253" s="448"/>
      <c r="G253" s="448"/>
      <c r="H253" s="392"/>
      <c r="I253" s="392"/>
      <c r="J253" s="392"/>
      <c r="K253" s="392"/>
      <c r="L253" s="392"/>
      <c r="M253" s="392"/>
      <c r="N253" s="392"/>
      <c r="O253" s="392"/>
      <c r="P253" s="392"/>
      <c r="Q253" s="392"/>
      <c r="R253" s="392"/>
      <c r="S253" s="392"/>
      <c r="T253" s="392"/>
      <c r="U253" s="392"/>
      <c r="V253" s="392"/>
      <c r="W253" s="392"/>
      <c r="X253" s="392"/>
      <c r="Y253" s="392"/>
      <c r="Z253" s="392"/>
      <c r="AA253" s="392"/>
      <c r="AB253" s="392"/>
      <c r="AC253" s="392"/>
      <c r="AD253" s="392"/>
      <c r="AE253" s="392"/>
      <c r="AF253" s="392"/>
      <c r="AG253" s="392"/>
      <c r="AH253" s="392"/>
      <c r="AI253" s="392"/>
      <c r="AJ253" s="392"/>
      <c r="AK253" s="392"/>
      <c r="AL253" s="392"/>
      <c r="AM253" s="392"/>
      <c r="AN253" s="392"/>
      <c r="AO253" s="392"/>
      <c r="AP253" s="392"/>
      <c r="AQ253" s="392"/>
      <c r="AR253" s="392"/>
      <c r="AS253" s="392"/>
      <c r="AT253" s="392"/>
      <c r="AU253" s="392"/>
      <c r="AV253" s="392"/>
      <c r="AW253" s="392"/>
      <c r="AX253" s="392"/>
      <c r="AY253" s="392"/>
      <c r="AZ253" s="392"/>
      <c r="BA253" s="392"/>
      <c r="BB253" s="392"/>
      <c r="BC253" s="392"/>
      <c r="BD253" s="392"/>
      <c r="BE253" s="392"/>
      <c r="BF253" s="392"/>
      <c r="BG253" s="392"/>
      <c r="BH253" s="392"/>
      <c r="BI253" s="392"/>
      <c r="BJ253" s="392"/>
      <c r="BK253" s="392"/>
      <c r="BL253" s="392"/>
      <c r="BM253" s="392"/>
      <c r="BN253" s="392"/>
      <c r="BO253" s="392"/>
      <c r="BP253" s="392"/>
      <c r="BQ253" s="392"/>
      <c r="BR253" s="392"/>
      <c r="BS253" s="392"/>
      <c r="BT253" s="392"/>
      <c r="BU253" s="392"/>
      <c r="BV253" s="392"/>
      <c r="BW253" s="392"/>
      <c r="BX253" s="392"/>
      <c r="BY253" s="392"/>
      <c r="BZ253" s="392"/>
      <c r="CA253" s="392"/>
      <c r="CB253" s="392"/>
      <c r="CC253" s="392"/>
      <c r="CD253" s="392"/>
      <c r="CE253" s="392"/>
      <c r="CF253" s="392"/>
      <c r="CG253" s="392"/>
      <c r="CH253" s="392"/>
      <c r="CI253" s="392"/>
      <c r="CJ253" s="392"/>
      <c r="CK253" s="392"/>
      <c r="CL253" s="392"/>
      <c r="CM253" s="392"/>
      <c r="CN253" s="392"/>
      <c r="CO253" s="392"/>
      <c r="CP253" s="392"/>
      <c r="CQ253" s="392"/>
      <c r="CR253" s="392"/>
      <c r="CS253" s="392"/>
      <c r="CT253" s="392"/>
      <c r="CU253" s="392"/>
      <c r="CV253" s="392"/>
      <c r="CW253" s="392"/>
      <c r="CX253" s="392"/>
      <c r="CY253" s="392"/>
      <c r="CZ253" s="392"/>
      <c r="DA253" s="392"/>
      <c r="DB253" s="392"/>
      <c r="DC253" s="392"/>
      <c r="DD253" s="392"/>
      <c r="DE253" s="392"/>
      <c r="DF253" s="392"/>
      <c r="DG253" s="392"/>
      <c r="DH253" s="392"/>
      <c r="DI253" s="392"/>
      <c r="DJ253" s="392"/>
      <c r="DK253" s="392"/>
      <c r="DL253" s="392"/>
      <c r="DM253" s="392"/>
      <c r="DN253" s="392"/>
      <c r="DO253" s="392"/>
      <c r="DP253" s="392"/>
      <c r="DQ253" s="392"/>
      <c r="DR253" s="392"/>
      <c r="DS253" s="392"/>
      <c r="DT253" s="392"/>
      <c r="DU253" s="392"/>
      <c r="DV253" s="392"/>
      <c r="DW253" s="392"/>
      <c r="DX253" s="392"/>
      <c r="DY253" s="392"/>
      <c r="DZ253" s="392"/>
      <c r="EA253" s="392"/>
      <c r="EB253" s="392"/>
      <c r="EC253" s="392"/>
      <c r="ED253" s="392"/>
      <c r="EE253" s="392"/>
      <c r="EF253" s="392"/>
      <c r="EG253" s="392"/>
      <c r="EH253" s="392"/>
      <c r="EI253" s="392"/>
      <c r="EJ253" s="392"/>
      <c r="EK253" s="392"/>
      <c r="EL253" s="392"/>
      <c r="EM253" s="392"/>
      <c r="EN253" s="392"/>
      <c r="EO253" s="392"/>
      <c r="EP253" s="392"/>
      <c r="EQ253" s="392"/>
      <c r="ER253" s="392"/>
      <c r="ES253" s="392"/>
      <c r="ET253" s="392"/>
      <c r="EU253" s="392"/>
      <c r="EV253" s="392"/>
      <c r="EW253" s="392"/>
      <c r="EX253" s="392"/>
      <c r="EY253" s="392"/>
      <c r="EZ253" s="392"/>
      <c r="FA253" s="392"/>
      <c r="FB253" s="392"/>
      <c r="FC253" s="392"/>
      <c r="FD253" s="392"/>
      <c r="FE253" s="392"/>
      <c r="FF253" s="392"/>
      <c r="FG253" s="392"/>
      <c r="FH253" s="392"/>
      <c r="FI253" s="392"/>
      <c r="FJ253" s="392"/>
      <c r="FK253" s="392"/>
      <c r="FL253" s="392"/>
      <c r="FM253" s="392"/>
      <c r="FN253" s="392"/>
      <c r="FO253" s="392"/>
      <c r="FP253" s="392"/>
      <c r="FQ253" s="392"/>
      <c r="FR253" s="392"/>
      <c r="FS253" s="392"/>
      <c r="FT253" s="392"/>
      <c r="FU253" s="392"/>
      <c r="FV253" s="392"/>
      <c r="FW253" s="392"/>
      <c r="FX253" s="392"/>
      <c r="FY253" s="392"/>
      <c r="FZ253" s="392"/>
      <c r="GA253" s="392"/>
      <c r="GB253" s="392"/>
      <c r="GC253" s="392"/>
      <c r="GD253" s="392"/>
      <c r="GE253" s="392"/>
      <c r="GF253" s="392"/>
      <c r="GG253" s="392"/>
      <c r="GH253" s="392"/>
      <c r="GI253" s="392"/>
      <c r="GJ253" s="392"/>
      <c r="GK253" s="392"/>
      <c r="GL253" s="392"/>
      <c r="GM253" s="392"/>
      <c r="GN253" s="392"/>
      <c r="GO253" s="392"/>
      <c r="GP253" s="392"/>
      <c r="GQ253" s="392"/>
      <c r="GR253" s="392"/>
      <c r="GS253" s="392"/>
      <c r="GT253" s="392"/>
      <c r="GU253" s="392"/>
      <c r="GV253" s="392"/>
      <c r="GW253" s="392"/>
      <c r="GX253" s="392"/>
      <c r="GY253" s="392"/>
      <c r="GZ253" s="392"/>
      <c r="HA253" s="392"/>
      <c r="HB253" s="392"/>
      <c r="HC253" s="392"/>
      <c r="HD253" s="392"/>
      <c r="HE253" s="392"/>
      <c r="HF253" s="392"/>
      <c r="HG253" s="392"/>
      <c r="HH253" s="392"/>
      <c r="HI253" s="392"/>
      <c r="HJ253" s="392"/>
      <c r="HK253" s="392"/>
      <c r="HL253" s="392"/>
      <c r="HM253" s="392"/>
      <c r="HN253" s="392"/>
      <c r="HO253" s="392"/>
      <c r="HP253" s="392"/>
      <c r="HQ253" s="392"/>
      <c r="HR253" s="392"/>
      <c r="HS253" s="392"/>
      <c r="HT253" s="392"/>
      <c r="HU253" s="392"/>
      <c r="HV253" s="392"/>
      <c r="HW253" s="392"/>
      <c r="HX253" s="392"/>
      <c r="HY253" s="392"/>
      <c r="HZ253" s="392"/>
      <c r="IA253" s="392"/>
      <c r="IB253" s="392"/>
      <c r="IC253" s="392"/>
      <c r="ID253" s="392"/>
      <c r="IE253" s="392"/>
      <c r="IF253" s="392"/>
      <c r="IG253" s="392"/>
      <c r="IH253" s="392"/>
      <c r="II253" s="392"/>
      <c r="IJ253" s="392"/>
      <c r="IK253" s="392"/>
      <c r="IL253" s="392"/>
      <c r="IM253" s="392"/>
      <c r="IN253" s="392"/>
      <c r="IO253" s="392"/>
      <c r="IP253" s="392"/>
      <c r="IQ253" s="392"/>
      <c r="IR253" s="392"/>
      <c r="IS253" s="392"/>
      <c r="IT253" s="392"/>
      <c r="IU253" s="392"/>
      <c r="IV253" s="392"/>
    </row>
    <row r="254" spans="1:256">
      <c r="A254" s="392"/>
      <c r="B254" s="448"/>
      <c r="C254" s="448"/>
      <c r="D254" s="448"/>
      <c r="E254" s="448"/>
      <c r="F254" s="448"/>
      <c r="G254" s="448"/>
      <c r="H254" s="392"/>
      <c r="I254" s="392"/>
      <c r="J254" s="392"/>
      <c r="K254" s="392"/>
      <c r="L254" s="392"/>
      <c r="M254" s="392"/>
      <c r="N254" s="392"/>
      <c r="O254" s="392"/>
      <c r="P254" s="392"/>
      <c r="Q254" s="392"/>
      <c r="R254" s="392"/>
      <c r="S254" s="392"/>
      <c r="T254" s="392"/>
      <c r="U254" s="392"/>
      <c r="V254" s="392"/>
      <c r="W254" s="392"/>
      <c r="X254" s="392"/>
      <c r="Y254" s="392"/>
      <c r="Z254" s="392"/>
      <c r="AA254" s="392"/>
      <c r="AB254" s="392"/>
      <c r="AC254" s="392"/>
      <c r="AD254" s="392"/>
      <c r="AE254" s="392"/>
      <c r="AF254" s="392"/>
      <c r="AG254" s="392"/>
      <c r="AH254" s="392"/>
      <c r="AI254" s="392"/>
      <c r="AJ254" s="392"/>
      <c r="AK254" s="392"/>
      <c r="AL254" s="392"/>
      <c r="AM254" s="392"/>
      <c r="AN254" s="392"/>
      <c r="AO254" s="392"/>
      <c r="AP254" s="392"/>
      <c r="AQ254" s="392"/>
      <c r="AR254" s="392"/>
      <c r="AS254" s="392"/>
      <c r="AT254" s="392"/>
      <c r="AU254" s="392"/>
      <c r="AV254" s="392"/>
      <c r="AW254" s="392"/>
      <c r="AX254" s="392"/>
      <c r="AY254" s="392"/>
      <c r="AZ254" s="392"/>
      <c r="BA254" s="392"/>
      <c r="BB254" s="392"/>
      <c r="BC254" s="392"/>
      <c r="BD254" s="392"/>
      <c r="BE254" s="392"/>
      <c r="BF254" s="392"/>
      <c r="BG254" s="392"/>
      <c r="BH254" s="392"/>
      <c r="BI254" s="392"/>
      <c r="BJ254" s="392"/>
      <c r="BK254" s="392"/>
      <c r="BL254" s="392"/>
      <c r="BM254" s="392"/>
      <c r="BN254" s="392"/>
      <c r="BO254" s="392"/>
      <c r="BP254" s="392"/>
      <c r="BQ254" s="392"/>
      <c r="BR254" s="392"/>
      <c r="BS254" s="392"/>
      <c r="BT254" s="392"/>
      <c r="BU254" s="392"/>
      <c r="BV254" s="392"/>
      <c r="BW254" s="392"/>
      <c r="BX254" s="392"/>
      <c r="BY254" s="392"/>
      <c r="BZ254" s="392"/>
      <c r="CA254" s="392"/>
      <c r="CB254" s="392"/>
      <c r="CC254" s="392"/>
      <c r="CD254" s="392"/>
      <c r="CE254" s="392"/>
      <c r="CF254" s="392"/>
      <c r="CG254" s="392"/>
      <c r="CH254" s="392"/>
      <c r="CI254" s="392"/>
      <c r="CJ254" s="392"/>
      <c r="CK254" s="392"/>
      <c r="CL254" s="392"/>
      <c r="CM254" s="392"/>
      <c r="CN254" s="392"/>
      <c r="CO254" s="392"/>
      <c r="CP254" s="392"/>
      <c r="CQ254" s="392"/>
      <c r="CR254" s="392"/>
      <c r="CS254" s="392"/>
      <c r="CT254" s="392"/>
      <c r="CU254" s="392"/>
      <c r="CV254" s="392"/>
      <c r="CW254" s="392"/>
      <c r="CX254" s="392"/>
      <c r="CY254" s="392"/>
      <c r="CZ254" s="392"/>
      <c r="DA254" s="392"/>
      <c r="DB254" s="392"/>
      <c r="DC254" s="392"/>
      <c r="DD254" s="392"/>
      <c r="DE254" s="392"/>
      <c r="DF254" s="392"/>
      <c r="DG254" s="392"/>
      <c r="DH254" s="392"/>
      <c r="DI254" s="392"/>
      <c r="DJ254" s="392"/>
      <c r="DK254" s="392"/>
      <c r="DL254" s="392"/>
      <c r="DM254" s="392"/>
      <c r="DN254" s="392"/>
      <c r="DO254" s="392"/>
      <c r="DP254" s="392"/>
      <c r="DQ254" s="392"/>
      <c r="DR254" s="392"/>
      <c r="DS254" s="392"/>
      <c r="DT254" s="392"/>
      <c r="DU254" s="392"/>
      <c r="DV254" s="392"/>
      <c r="DW254" s="392"/>
      <c r="DX254" s="392"/>
      <c r="DY254" s="392"/>
      <c r="DZ254" s="392"/>
      <c r="EA254" s="392"/>
      <c r="EB254" s="392"/>
      <c r="EC254" s="392"/>
      <c r="ED254" s="392"/>
      <c r="EE254" s="392"/>
      <c r="EF254" s="392"/>
      <c r="EG254" s="392"/>
      <c r="EH254" s="392"/>
      <c r="EI254" s="392"/>
      <c r="EJ254" s="392"/>
      <c r="EK254" s="392"/>
      <c r="EL254" s="392"/>
      <c r="EM254" s="392"/>
      <c r="EN254" s="392"/>
      <c r="EO254" s="392"/>
      <c r="EP254" s="392"/>
      <c r="EQ254" s="392"/>
      <c r="ER254" s="392"/>
      <c r="ES254" s="392"/>
      <c r="ET254" s="392"/>
      <c r="EU254" s="392"/>
      <c r="EV254" s="392"/>
      <c r="EW254" s="392"/>
      <c r="EX254" s="392"/>
      <c r="EY254" s="392"/>
      <c r="EZ254" s="392"/>
      <c r="FA254" s="392"/>
      <c r="FB254" s="392"/>
      <c r="FC254" s="392"/>
      <c r="FD254" s="392"/>
      <c r="FE254" s="392"/>
      <c r="FF254" s="392"/>
      <c r="FG254" s="392"/>
      <c r="FH254" s="392"/>
      <c r="FI254" s="392"/>
      <c r="FJ254" s="392"/>
      <c r="FK254" s="392"/>
      <c r="FL254" s="392"/>
      <c r="FM254" s="392"/>
      <c r="FN254" s="392"/>
      <c r="FO254" s="392"/>
      <c r="FP254" s="392"/>
      <c r="FQ254" s="392"/>
      <c r="FR254" s="392"/>
      <c r="FS254" s="392"/>
      <c r="FT254" s="392"/>
      <c r="FU254" s="392"/>
      <c r="FV254" s="392"/>
      <c r="FW254" s="392"/>
      <c r="FX254" s="392"/>
      <c r="FY254" s="392"/>
      <c r="FZ254" s="392"/>
      <c r="GA254" s="392"/>
      <c r="GB254" s="392"/>
      <c r="GC254" s="392"/>
      <c r="GD254" s="392"/>
      <c r="GE254" s="392"/>
      <c r="GF254" s="392"/>
      <c r="GG254" s="392"/>
      <c r="GH254" s="392"/>
      <c r="GI254" s="392"/>
      <c r="GJ254" s="392"/>
      <c r="GK254" s="392"/>
      <c r="GL254" s="392"/>
      <c r="GM254" s="392"/>
      <c r="GN254" s="392"/>
      <c r="GO254" s="392"/>
      <c r="GP254" s="392"/>
      <c r="GQ254" s="392"/>
      <c r="GR254" s="392"/>
      <c r="GS254" s="392"/>
      <c r="GT254" s="392"/>
      <c r="GU254" s="392"/>
      <c r="GV254" s="392"/>
      <c r="GW254" s="392"/>
      <c r="GX254" s="392"/>
      <c r="GY254" s="392"/>
      <c r="GZ254" s="392"/>
      <c r="HA254" s="392"/>
      <c r="HB254" s="392"/>
      <c r="HC254" s="392"/>
      <c r="HD254" s="392"/>
      <c r="HE254" s="392"/>
      <c r="HF254" s="392"/>
      <c r="HG254" s="392"/>
      <c r="HH254" s="392"/>
      <c r="HI254" s="392"/>
      <c r="HJ254" s="392"/>
      <c r="HK254" s="392"/>
      <c r="HL254" s="392"/>
      <c r="HM254" s="392"/>
      <c r="HN254" s="392"/>
      <c r="HO254" s="392"/>
      <c r="HP254" s="392"/>
      <c r="HQ254" s="392"/>
      <c r="HR254" s="392"/>
      <c r="HS254" s="392"/>
      <c r="HT254" s="392"/>
      <c r="HU254" s="392"/>
      <c r="HV254" s="392"/>
      <c r="HW254" s="392"/>
      <c r="HX254" s="392"/>
      <c r="HY254" s="392"/>
      <c r="HZ254" s="392"/>
      <c r="IA254" s="392"/>
      <c r="IB254" s="392"/>
      <c r="IC254" s="392"/>
      <c r="ID254" s="392"/>
      <c r="IE254" s="392"/>
      <c r="IF254" s="392"/>
      <c r="IG254" s="392"/>
      <c r="IH254" s="392"/>
      <c r="II254" s="392"/>
      <c r="IJ254" s="392"/>
      <c r="IK254" s="392"/>
      <c r="IL254" s="392"/>
      <c r="IM254" s="392"/>
      <c r="IN254" s="392"/>
      <c r="IO254" s="392"/>
      <c r="IP254" s="392"/>
      <c r="IQ254" s="392"/>
      <c r="IR254" s="392"/>
      <c r="IS254" s="392"/>
      <c r="IT254" s="392"/>
      <c r="IU254" s="392"/>
      <c r="IV254" s="392"/>
    </row>
    <row r="255" spans="1:256">
      <c r="A255" s="392"/>
      <c r="B255" s="448"/>
      <c r="C255" s="448"/>
      <c r="D255" s="448"/>
      <c r="E255" s="448"/>
      <c r="F255" s="448"/>
      <c r="G255" s="448"/>
      <c r="H255" s="392"/>
      <c r="I255" s="392"/>
      <c r="J255" s="392"/>
      <c r="K255" s="392"/>
      <c r="L255" s="392"/>
      <c r="M255" s="392"/>
      <c r="N255" s="392"/>
      <c r="O255" s="392"/>
      <c r="P255" s="392"/>
      <c r="Q255" s="392"/>
      <c r="R255" s="392"/>
      <c r="S255" s="392"/>
      <c r="T255" s="392"/>
      <c r="U255" s="392"/>
      <c r="V255" s="392"/>
      <c r="W255" s="392"/>
      <c r="X255" s="392"/>
      <c r="Y255" s="392"/>
      <c r="Z255" s="392"/>
      <c r="AA255" s="392"/>
      <c r="AB255" s="392"/>
      <c r="AC255" s="392"/>
      <c r="AD255" s="392"/>
      <c r="AE255" s="392"/>
      <c r="AF255" s="392"/>
      <c r="AG255" s="392"/>
      <c r="AH255" s="392"/>
      <c r="AI255" s="392"/>
      <c r="AJ255" s="392"/>
      <c r="AK255" s="392"/>
      <c r="AL255" s="392"/>
      <c r="AM255" s="392"/>
      <c r="AN255" s="392"/>
      <c r="AO255" s="392"/>
      <c r="AP255" s="392"/>
      <c r="AQ255" s="392"/>
      <c r="AR255" s="392"/>
      <c r="AS255" s="392"/>
      <c r="AT255" s="392"/>
      <c r="AU255" s="392"/>
      <c r="AV255" s="392"/>
      <c r="AW255" s="392"/>
      <c r="AX255" s="392"/>
      <c r="AY255" s="392"/>
      <c r="AZ255" s="392"/>
      <c r="BA255" s="392"/>
      <c r="BB255" s="392"/>
      <c r="BC255" s="392"/>
      <c r="BD255" s="392"/>
      <c r="BE255" s="392"/>
      <c r="BF255" s="392"/>
      <c r="BG255" s="392"/>
      <c r="BH255" s="392"/>
      <c r="BI255" s="392"/>
      <c r="BJ255" s="392"/>
      <c r="BK255" s="392"/>
      <c r="BL255" s="392"/>
      <c r="BM255" s="392"/>
      <c r="BN255" s="392"/>
      <c r="BO255" s="392"/>
      <c r="BP255" s="392"/>
      <c r="BQ255" s="392"/>
      <c r="BR255" s="392"/>
      <c r="BS255" s="392"/>
      <c r="BT255" s="392"/>
      <c r="BU255" s="392"/>
      <c r="BV255" s="392"/>
      <c r="BW255" s="392"/>
      <c r="BX255" s="392"/>
      <c r="BY255" s="392"/>
      <c r="BZ255" s="392"/>
      <c r="CA255" s="392"/>
      <c r="CB255" s="392"/>
      <c r="CC255" s="392"/>
      <c r="CD255" s="392"/>
      <c r="CE255" s="392"/>
      <c r="CF255" s="392"/>
      <c r="CG255" s="392"/>
      <c r="CH255" s="392"/>
      <c r="CI255" s="392"/>
      <c r="CJ255" s="392"/>
      <c r="CK255" s="392"/>
      <c r="CL255" s="392"/>
      <c r="CM255" s="392"/>
      <c r="CN255" s="392"/>
      <c r="CO255" s="392"/>
      <c r="CP255" s="392"/>
      <c r="CQ255" s="392"/>
      <c r="CR255" s="392"/>
      <c r="CS255" s="392"/>
      <c r="CT255" s="392"/>
      <c r="CU255" s="392"/>
      <c r="CV255" s="392"/>
      <c r="CW255" s="392"/>
      <c r="CX255" s="392"/>
      <c r="CY255" s="392"/>
      <c r="CZ255" s="392"/>
      <c r="DA255" s="392"/>
      <c r="DB255" s="392"/>
      <c r="DC255" s="392"/>
      <c r="DD255" s="392"/>
      <c r="DE255" s="392"/>
      <c r="DF255" s="392"/>
      <c r="DG255" s="392"/>
      <c r="DH255" s="392"/>
      <c r="DI255" s="392"/>
      <c r="DJ255" s="392"/>
      <c r="DK255" s="392"/>
      <c r="DL255" s="392"/>
      <c r="DM255" s="392"/>
      <c r="DN255" s="392"/>
      <c r="DO255" s="392"/>
      <c r="DP255" s="392"/>
      <c r="DQ255" s="392"/>
      <c r="DR255" s="392"/>
      <c r="DS255" s="392"/>
      <c r="DT255" s="392"/>
      <c r="DU255" s="392"/>
      <c r="DV255" s="392"/>
      <c r="DW255" s="392"/>
      <c r="DX255" s="392"/>
      <c r="DY255" s="392"/>
      <c r="DZ255" s="392"/>
      <c r="EA255" s="392"/>
      <c r="EB255" s="392"/>
      <c r="EC255" s="392"/>
      <c r="ED255" s="392"/>
      <c r="EE255" s="392"/>
      <c r="EF255" s="392"/>
      <c r="EG255" s="392"/>
      <c r="EH255" s="392"/>
      <c r="EI255" s="392"/>
      <c r="EJ255" s="392"/>
      <c r="EK255" s="392"/>
      <c r="EL255" s="392"/>
      <c r="EM255" s="392"/>
      <c r="EN255" s="392"/>
      <c r="EO255" s="392"/>
      <c r="EP255" s="392"/>
      <c r="EQ255" s="392"/>
      <c r="ER255" s="392"/>
      <c r="ES255" s="392"/>
      <c r="ET255" s="392"/>
      <c r="EU255" s="392"/>
      <c r="EV255" s="392"/>
      <c r="EW255" s="392"/>
      <c r="EX255" s="392"/>
      <c r="EY255" s="392"/>
      <c r="EZ255" s="392"/>
      <c r="FA255" s="392"/>
      <c r="FB255" s="392"/>
      <c r="FC255" s="392"/>
      <c r="FD255" s="392"/>
      <c r="FE255" s="392"/>
      <c r="FF255" s="392"/>
      <c r="FG255" s="392"/>
      <c r="FH255" s="392"/>
      <c r="FI255" s="392"/>
      <c r="FJ255" s="392"/>
      <c r="FK255" s="392"/>
      <c r="FL255" s="392"/>
      <c r="FM255" s="392"/>
      <c r="FN255" s="392"/>
      <c r="FO255" s="392"/>
      <c r="FP255" s="392"/>
      <c r="FQ255" s="392"/>
      <c r="FR255" s="392"/>
      <c r="FS255" s="392"/>
      <c r="FT255" s="392"/>
      <c r="FU255" s="392"/>
      <c r="FV255" s="392"/>
      <c r="FW255" s="392"/>
      <c r="FX255" s="392"/>
      <c r="FY255" s="392"/>
      <c r="FZ255" s="392"/>
      <c r="GA255" s="392"/>
      <c r="GB255" s="392"/>
      <c r="GC255" s="392"/>
      <c r="GD255" s="392"/>
      <c r="GE255" s="392"/>
      <c r="GF255" s="392"/>
      <c r="GG255" s="392"/>
      <c r="GH255" s="392"/>
      <c r="GI255" s="392"/>
      <c r="GJ255" s="392"/>
      <c r="GK255" s="392"/>
      <c r="GL255" s="392"/>
      <c r="GM255" s="392"/>
      <c r="GN255" s="392"/>
      <c r="GO255" s="392"/>
      <c r="GP255" s="392"/>
      <c r="GQ255" s="392"/>
      <c r="GR255" s="392"/>
      <c r="GS255" s="392"/>
      <c r="GT255" s="392"/>
      <c r="GU255" s="392"/>
      <c r="GV255" s="392"/>
      <c r="GW255" s="392"/>
      <c r="GX255" s="392"/>
      <c r="GY255" s="392"/>
      <c r="GZ255" s="392"/>
      <c r="HA255" s="392"/>
      <c r="HB255" s="392"/>
      <c r="HC255" s="392"/>
      <c r="HD255" s="392"/>
      <c r="HE255" s="392"/>
      <c r="HF255" s="392"/>
      <c r="HG255" s="392"/>
      <c r="HH255" s="392"/>
      <c r="HI255" s="392"/>
      <c r="HJ255" s="392"/>
      <c r="HK255" s="392"/>
      <c r="HL255" s="392"/>
      <c r="HM255" s="392"/>
      <c r="HN255" s="392"/>
      <c r="HO255" s="392"/>
      <c r="HP255" s="392"/>
      <c r="HQ255" s="392"/>
      <c r="HR255" s="392"/>
      <c r="HS255" s="392"/>
      <c r="HT255" s="392"/>
      <c r="HU255" s="392"/>
      <c r="HV255" s="392"/>
      <c r="HW255" s="392"/>
      <c r="HX255" s="392"/>
      <c r="HY255" s="392"/>
      <c r="HZ255" s="392"/>
      <c r="IA255" s="392"/>
      <c r="IB255" s="392"/>
      <c r="IC255" s="392"/>
      <c r="ID255" s="392"/>
      <c r="IE255" s="392"/>
      <c r="IF255" s="392"/>
      <c r="IG255" s="392"/>
      <c r="IH255" s="392"/>
      <c r="II255" s="392"/>
      <c r="IJ255" s="392"/>
      <c r="IK255" s="392"/>
      <c r="IL255" s="392"/>
      <c r="IM255" s="392"/>
      <c r="IN255" s="392"/>
      <c r="IO255" s="392"/>
      <c r="IP255" s="392"/>
      <c r="IQ255" s="392"/>
      <c r="IR255" s="392"/>
      <c r="IS255" s="392"/>
      <c r="IT255" s="392"/>
      <c r="IU255" s="392"/>
      <c r="IV255" s="392"/>
    </row>
    <row r="256" spans="1:256">
      <c r="A256" s="392"/>
      <c r="B256" s="448"/>
      <c r="C256" s="448"/>
      <c r="D256" s="448"/>
      <c r="E256" s="448"/>
      <c r="F256" s="448"/>
      <c r="G256" s="448"/>
      <c r="H256" s="392"/>
      <c r="I256" s="392"/>
      <c r="J256" s="392"/>
      <c r="K256" s="392"/>
      <c r="L256" s="392"/>
      <c r="M256" s="392"/>
      <c r="N256" s="392"/>
      <c r="O256" s="392"/>
      <c r="P256" s="392"/>
      <c r="Q256" s="392"/>
      <c r="R256" s="392"/>
      <c r="S256" s="392"/>
      <c r="T256" s="392"/>
      <c r="U256" s="392"/>
      <c r="V256" s="392"/>
      <c r="W256" s="392"/>
      <c r="X256" s="392"/>
      <c r="Y256" s="392"/>
      <c r="Z256" s="392"/>
      <c r="AA256" s="392"/>
      <c r="AB256" s="392"/>
      <c r="AC256" s="392"/>
      <c r="AD256" s="392"/>
      <c r="AE256" s="392"/>
      <c r="AF256" s="392"/>
      <c r="AG256" s="392"/>
      <c r="AH256" s="392"/>
      <c r="AI256" s="392"/>
      <c r="AJ256" s="392"/>
      <c r="AK256" s="392"/>
      <c r="AL256" s="392"/>
      <c r="AM256" s="392"/>
      <c r="AN256" s="392"/>
      <c r="AO256" s="392"/>
      <c r="AP256" s="392"/>
      <c r="AQ256" s="392"/>
      <c r="AR256" s="392"/>
      <c r="AS256" s="392"/>
      <c r="AT256" s="392"/>
      <c r="AU256" s="392"/>
      <c r="AV256" s="392"/>
      <c r="AW256" s="392"/>
      <c r="AX256" s="392"/>
      <c r="AY256" s="392"/>
      <c r="AZ256" s="392"/>
      <c r="BA256" s="392"/>
      <c r="BB256" s="392"/>
      <c r="BC256" s="392"/>
      <c r="BD256" s="392"/>
      <c r="BE256" s="392"/>
      <c r="BF256" s="392"/>
      <c r="BG256" s="392"/>
      <c r="BH256" s="392"/>
      <c r="BI256" s="392"/>
      <c r="BJ256" s="392"/>
      <c r="BK256" s="392"/>
      <c r="BL256" s="392"/>
      <c r="BM256" s="392"/>
      <c r="BN256" s="392"/>
      <c r="BO256" s="392"/>
      <c r="BP256" s="392"/>
      <c r="BQ256" s="392"/>
      <c r="BR256" s="392"/>
      <c r="BS256" s="392"/>
      <c r="BT256" s="392"/>
      <c r="BU256" s="392"/>
      <c r="BV256" s="392"/>
      <c r="BW256" s="392"/>
      <c r="BX256" s="392"/>
      <c r="BY256" s="392"/>
      <c r="BZ256" s="392"/>
      <c r="CA256" s="392"/>
      <c r="CB256" s="392"/>
      <c r="CC256" s="392"/>
      <c r="CD256" s="392"/>
      <c r="CE256" s="392"/>
      <c r="CF256" s="392"/>
      <c r="CG256" s="392"/>
      <c r="CH256" s="392"/>
      <c r="CI256" s="392"/>
      <c r="CJ256" s="392"/>
      <c r="CK256" s="392"/>
      <c r="CL256" s="392"/>
      <c r="CM256" s="392"/>
      <c r="CN256" s="392"/>
      <c r="CO256" s="392"/>
      <c r="CP256" s="392"/>
      <c r="CQ256" s="392"/>
      <c r="CR256" s="392"/>
      <c r="CS256" s="392"/>
      <c r="CT256" s="392"/>
      <c r="CU256" s="392"/>
      <c r="CV256" s="392"/>
      <c r="CW256" s="392"/>
      <c r="CX256" s="392"/>
      <c r="CY256" s="392"/>
      <c r="CZ256" s="392"/>
      <c r="DA256" s="392"/>
      <c r="DB256" s="392"/>
      <c r="DC256" s="392"/>
      <c r="DD256" s="392"/>
      <c r="DE256" s="392"/>
      <c r="DF256" s="392"/>
      <c r="DG256" s="392"/>
      <c r="DH256" s="392"/>
      <c r="DI256" s="392"/>
      <c r="DJ256" s="392"/>
      <c r="DK256" s="392"/>
      <c r="DL256" s="392"/>
      <c r="DM256" s="392"/>
      <c r="DN256" s="392"/>
      <c r="DO256" s="392"/>
      <c r="DP256" s="392"/>
      <c r="DQ256" s="392"/>
      <c r="DR256" s="392"/>
      <c r="DS256" s="392"/>
      <c r="DT256" s="392"/>
      <c r="DU256" s="392"/>
      <c r="DV256" s="392"/>
      <c r="DW256" s="392"/>
      <c r="DX256" s="392"/>
      <c r="DY256" s="392"/>
      <c r="DZ256" s="392"/>
      <c r="EA256" s="392"/>
      <c r="EB256" s="392"/>
      <c r="EC256" s="392"/>
      <c r="ED256" s="392"/>
      <c r="EE256" s="392"/>
      <c r="EF256" s="392"/>
      <c r="EG256" s="392"/>
      <c r="EH256" s="392"/>
      <c r="EI256" s="392"/>
      <c r="EJ256" s="392"/>
      <c r="EK256" s="392"/>
      <c r="EL256" s="392"/>
      <c r="EM256" s="392"/>
      <c r="EN256" s="392"/>
      <c r="EO256" s="392"/>
      <c r="EP256" s="392"/>
      <c r="EQ256" s="392"/>
      <c r="ER256" s="392"/>
      <c r="ES256" s="392"/>
      <c r="ET256" s="392"/>
      <c r="EU256" s="392"/>
      <c r="EV256" s="392"/>
      <c r="EW256" s="392"/>
      <c r="EX256" s="392"/>
      <c r="EY256" s="392"/>
      <c r="EZ256" s="392"/>
      <c r="FA256" s="392"/>
      <c r="FB256" s="392"/>
      <c r="FC256" s="392"/>
      <c r="FD256" s="392"/>
      <c r="FE256" s="392"/>
      <c r="FF256" s="392"/>
      <c r="FG256" s="392"/>
      <c r="FH256" s="392"/>
      <c r="FI256" s="392"/>
      <c r="FJ256" s="392"/>
      <c r="FK256" s="392"/>
      <c r="FL256" s="392"/>
      <c r="FM256" s="392"/>
      <c r="FN256" s="392"/>
      <c r="FO256" s="392"/>
      <c r="FP256" s="392"/>
      <c r="FQ256" s="392"/>
      <c r="FR256" s="392"/>
      <c r="FS256" s="392"/>
      <c r="FT256" s="392"/>
      <c r="FU256" s="392"/>
      <c r="FV256" s="392"/>
      <c r="FW256" s="392"/>
      <c r="FX256" s="392"/>
      <c r="FY256" s="392"/>
      <c r="FZ256" s="392"/>
      <c r="GA256" s="392"/>
      <c r="GB256" s="392"/>
      <c r="GC256" s="392"/>
      <c r="GD256" s="392"/>
      <c r="GE256" s="392"/>
      <c r="GF256" s="392"/>
      <c r="GG256" s="392"/>
      <c r="GH256" s="392"/>
      <c r="GI256" s="392"/>
      <c r="GJ256" s="392"/>
      <c r="GK256" s="392"/>
      <c r="GL256" s="392"/>
      <c r="GM256" s="392"/>
      <c r="GN256" s="392"/>
      <c r="GO256" s="392"/>
      <c r="GP256" s="392"/>
      <c r="GQ256" s="392"/>
      <c r="GR256" s="392"/>
      <c r="GS256" s="392"/>
      <c r="GT256" s="392"/>
      <c r="GU256" s="392"/>
      <c r="GV256" s="392"/>
      <c r="GW256" s="392"/>
      <c r="GX256" s="392"/>
      <c r="GY256" s="392"/>
      <c r="GZ256" s="392"/>
      <c r="HA256" s="392"/>
      <c r="HB256" s="392"/>
      <c r="HC256" s="392"/>
      <c r="HD256" s="392"/>
      <c r="HE256" s="392"/>
      <c r="HF256" s="392"/>
      <c r="HG256" s="392"/>
      <c r="HH256" s="392"/>
      <c r="HI256" s="392"/>
      <c r="HJ256" s="392"/>
      <c r="HK256" s="392"/>
      <c r="HL256" s="392"/>
      <c r="HM256" s="392"/>
      <c r="HN256" s="392"/>
      <c r="HO256" s="392"/>
      <c r="HP256" s="392"/>
      <c r="HQ256" s="392"/>
      <c r="HR256" s="392"/>
      <c r="HS256" s="392"/>
      <c r="HT256" s="392"/>
      <c r="HU256" s="392"/>
      <c r="HV256" s="392"/>
      <c r="HW256" s="392"/>
      <c r="HX256" s="392"/>
      <c r="HY256" s="392"/>
      <c r="HZ256" s="392"/>
      <c r="IA256" s="392"/>
      <c r="IB256" s="392"/>
      <c r="IC256" s="392"/>
      <c r="ID256" s="392"/>
      <c r="IE256" s="392"/>
      <c r="IF256" s="392"/>
      <c r="IG256" s="392"/>
      <c r="IH256" s="392"/>
      <c r="II256" s="392"/>
      <c r="IJ256" s="392"/>
      <c r="IK256" s="392"/>
      <c r="IL256" s="392"/>
      <c r="IM256" s="392"/>
      <c r="IN256" s="392"/>
      <c r="IO256" s="392"/>
      <c r="IP256" s="392"/>
      <c r="IQ256" s="392"/>
      <c r="IR256" s="392"/>
      <c r="IS256" s="392"/>
      <c r="IT256" s="392"/>
      <c r="IU256" s="392"/>
      <c r="IV256" s="392"/>
    </row>
    <row r="257" spans="1:256">
      <c r="A257" s="392"/>
      <c r="B257" s="448"/>
      <c r="C257" s="448"/>
      <c r="D257" s="448"/>
      <c r="E257" s="448"/>
      <c r="F257" s="448"/>
      <c r="G257" s="448"/>
      <c r="H257" s="392"/>
      <c r="I257" s="392"/>
      <c r="J257" s="392"/>
      <c r="K257" s="392"/>
      <c r="L257" s="392"/>
      <c r="M257" s="392"/>
      <c r="N257" s="392"/>
      <c r="O257" s="392"/>
      <c r="P257" s="392"/>
      <c r="Q257" s="392"/>
      <c r="R257" s="392"/>
      <c r="S257" s="392"/>
      <c r="T257" s="392"/>
      <c r="U257" s="392"/>
      <c r="V257" s="392"/>
      <c r="W257" s="392"/>
      <c r="X257" s="392"/>
      <c r="Y257" s="392"/>
      <c r="Z257" s="392"/>
      <c r="AA257" s="392"/>
      <c r="AB257" s="392"/>
      <c r="AC257" s="392"/>
      <c r="AD257" s="392"/>
      <c r="AE257" s="392"/>
      <c r="AF257" s="392"/>
      <c r="AG257" s="392"/>
      <c r="AH257" s="392"/>
      <c r="AI257" s="392"/>
      <c r="AJ257" s="392"/>
      <c r="AK257" s="392"/>
      <c r="AL257" s="392"/>
      <c r="AM257" s="392"/>
      <c r="AN257" s="392"/>
      <c r="AO257" s="392"/>
      <c r="AP257" s="392"/>
      <c r="AQ257" s="392"/>
      <c r="AR257" s="392"/>
      <c r="AS257" s="392"/>
      <c r="AT257" s="392"/>
      <c r="AU257" s="392"/>
      <c r="AV257" s="392"/>
      <c r="AW257" s="392"/>
      <c r="AX257" s="392"/>
      <c r="AY257" s="392"/>
      <c r="AZ257" s="392"/>
      <c r="BA257" s="392"/>
      <c r="BB257" s="392"/>
      <c r="BC257" s="392"/>
      <c r="BD257" s="392"/>
      <c r="BE257" s="392"/>
      <c r="BF257" s="392"/>
      <c r="BG257" s="392"/>
      <c r="BH257" s="392"/>
      <c r="BI257" s="392"/>
      <c r="BJ257" s="392"/>
      <c r="BK257" s="392"/>
      <c r="BL257" s="392"/>
      <c r="BM257" s="392"/>
      <c r="BN257" s="392"/>
      <c r="BO257" s="392"/>
      <c r="BP257" s="392"/>
      <c r="BQ257" s="392"/>
      <c r="BR257" s="392"/>
      <c r="BS257" s="392"/>
      <c r="BT257" s="392"/>
      <c r="BU257" s="392"/>
      <c r="BV257" s="392"/>
      <c r="BW257" s="392"/>
      <c r="BX257" s="392"/>
      <c r="BY257" s="392"/>
      <c r="BZ257" s="392"/>
      <c r="CA257" s="392"/>
      <c r="CB257" s="392"/>
      <c r="CC257" s="392"/>
      <c r="CD257" s="392"/>
      <c r="CE257" s="392"/>
      <c r="CF257" s="392"/>
      <c r="CG257" s="392"/>
      <c r="CH257" s="392"/>
      <c r="CI257" s="392"/>
      <c r="CJ257" s="392"/>
      <c r="CK257" s="392"/>
      <c r="CL257" s="392"/>
      <c r="CM257" s="392"/>
      <c r="CN257" s="392"/>
      <c r="CO257" s="392"/>
      <c r="CP257" s="392"/>
      <c r="CQ257" s="392"/>
      <c r="CR257" s="392"/>
      <c r="CS257" s="392"/>
      <c r="CT257" s="392"/>
      <c r="CU257" s="392"/>
      <c r="CV257" s="392"/>
      <c r="CW257" s="392"/>
      <c r="CX257" s="392"/>
      <c r="CY257" s="392"/>
      <c r="CZ257" s="392"/>
      <c r="DA257" s="392"/>
      <c r="DB257" s="392"/>
      <c r="DC257" s="392"/>
      <c r="DD257" s="392"/>
      <c r="DE257" s="392"/>
      <c r="DF257" s="392"/>
      <c r="DG257" s="392"/>
      <c r="DH257" s="392"/>
      <c r="DI257" s="392"/>
      <c r="DJ257" s="392"/>
      <c r="DK257" s="392"/>
      <c r="DL257" s="392"/>
      <c r="DM257" s="392"/>
      <c r="DN257" s="392"/>
      <c r="DO257" s="392"/>
      <c r="DP257" s="392"/>
      <c r="DQ257" s="392"/>
      <c r="DR257" s="392"/>
      <c r="DS257" s="392"/>
      <c r="DT257" s="392"/>
      <c r="DU257" s="392"/>
      <c r="DV257" s="392"/>
      <c r="DW257" s="392"/>
      <c r="DX257" s="392"/>
      <c r="DY257" s="392"/>
      <c r="DZ257" s="392"/>
      <c r="EA257" s="392"/>
      <c r="EB257" s="392"/>
      <c r="EC257" s="392"/>
      <c r="ED257" s="392"/>
      <c r="EE257" s="392"/>
      <c r="EF257" s="392"/>
      <c r="EG257" s="392"/>
      <c r="EH257" s="392"/>
      <c r="EI257" s="392"/>
      <c r="EJ257" s="392"/>
      <c r="EK257" s="392"/>
      <c r="EL257" s="392"/>
      <c r="EM257" s="392"/>
      <c r="EN257" s="392"/>
      <c r="EO257" s="392"/>
      <c r="EP257" s="392"/>
      <c r="EQ257" s="392"/>
      <c r="ER257" s="392"/>
      <c r="ES257" s="392"/>
      <c r="ET257" s="392"/>
      <c r="EU257" s="392"/>
      <c r="EV257" s="392"/>
      <c r="EW257" s="392"/>
      <c r="EX257" s="392"/>
      <c r="EY257" s="392"/>
      <c r="EZ257" s="392"/>
      <c r="FA257" s="392"/>
      <c r="FB257" s="392"/>
      <c r="FC257" s="392"/>
      <c r="FD257" s="392"/>
      <c r="FE257" s="392"/>
      <c r="FF257" s="392"/>
      <c r="FG257" s="392"/>
      <c r="FH257" s="392"/>
      <c r="FI257" s="392"/>
      <c r="FJ257" s="392"/>
      <c r="FK257" s="392"/>
      <c r="FL257" s="392"/>
      <c r="FM257" s="392"/>
      <c r="FN257" s="392"/>
      <c r="FO257" s="392"/>
      <c r="FP257" s="392"/>
      <c r="FQ257" s="392"/>
      <c r="FR257" s="392"/>
      <c r="FS257" s="392"/>
      <c r="FT257" s="392"/>
      <c r="FU257" s="392"/>
      <c r="FV257" s="392"/>
      <c r="FW257" s="392"/>
      <c r="FX257" s="392"/>
      <c r="FY257" s="392"/>
      <c r="FZ257" s="392"/>
      <c r="GA257" s="392"/>
      <c r="GB257" s="392"/>
      <c r="GC257" s="392"/>
      <c r="GD257" s="392"/>
      <c r="GE257" s="392"/>
      <c r="GF257" s="392"/>
      <c r="GG257" s="392"/>
      <c r="GH257" s="392"/>
      <c r="GI257" s="392"/>
      <c r="GJ257" s="392"/>
      <c r="GK257" s="392"/>
      <c r="GL257" s="392"/>
      <c r="GM257" s="392"/>
      <c r="GN257" s="392"/>
      <c r="GO257" s="392"/>
      <c r="GP257" s="392"/>
      <c r="GQ257" s="392"/>
      <c r="GR257" s="392"/>
      <c r="GS257" s="392"/>
      <c r="GT257" s="392"/>
      <c r="GU257" s="392"/>
      <c r="GV257" s="392"/>
      <c r="GW257" s="392"/>
      <c r="GX257" s="392"/>
      <c r="GY257" s="392"/>
      <c r="GZ257" s="392"/>
      <c r="HA257" s="392"/>
      <c r="HB257" s="392"/>
      <c r="HC257" s="392"/>
      <c r="HD257" s="392"/>
      <c r="HE257" s="392"/>
      <c r="HF257" s="392"/>
      <c r="HG257" s="392"/>
      <c r="HH257" s="392"/>
      <c r="HI257" s="392"/>
      <c r="HJ257" s="392"/>
      <c r="HK257" s="392"/>
      <c r="HL257" s="392"/>
      <c r="HM257" s="392"/>
      <c r="HN257" s="392"/>
      <c r="HO257" s="392"/>
      <c r="HP257" s="392"/>
      <c r="HQ257" s="392"/>
      <c r="HR257" s="392"/>
      <c r="HS257" s="392"/>
      <c r="HT257" s="392"/>
      <c r="HU257" s="392"/>
      <c r="HV257" s="392"/>
      <c r="HW257" s="392"/>
      <c r="HX257" s="392"/>
      <c r="HY257" s="392"/>
      <c r="HZ257" s="392"/>
      <c r="IA257" s="392"/>
      <c r="IB257" s="392"/>
      <c r="IC257" s="392"/>
      <c r="ID257" s="392"/>
      <c r="IE257" s="392"/>
      <c r="IF257" s="392"/>
      <c r="IG257" s="392"/>
      <c r="IH257" s="392"/>
      <c r="II257" s="392"/>
      <c r="IJ257" s="392"/>
      <c r="IK257" s="392"/>
      <c r="IL257" s="392"/>
      <c r="IM257" s="392"/>
      <c r="IN257" s="392"/>
      <c r="IO257" s="392"/>
      <c r="IP257" s="392"/>
      <c r="IQ257" s="392"/>
      <c r="IR257" s="392"/>
      <c r="IS257" s="392"/>
      <c r="IT257" s="392"/>
      <c r="IU257" s="392"/>
      <c r="IV257" s="392"/>
    </row>
    <row r="258" spans="1:256">
      <c r="A258" s="392"/>
      <c r="B258" s="448"/>
      <c r="C258" s="448"/>
      <c r="D258" s="448"/>
      <c r="E258" s="448"/>
      <c r="F258" s="448"/>
      <c r="G258" s="448"/>
      <c r="H258" s="392"/>
      <c r="I258" s="392"/>
      <c r="J258" s="392"/>
      <c r="K258" s="392"/>
      <c r="L258" s="392"/>
      <c r="M258" s="392"/>
      <c r="N258" s="392"/>
      <c r="O258" s="392"/>
      <c r="P258" s="392"/>
      <c r="Q258" s="392"/>
      <c r="R258" s="392"/>
      <c r="S258" s="392"/>
      <c r="T258" s="392"/>
      <c r="U258" s="392"/>
      <c r="V258" s="392"/>
      <c r="W258" s="392"/>
      <c r="X258" s="392"/>
      <c r="Y258" s="392"/>
      <c r="Z258" s="392"/>
      <c r="AA258" s="392"/>
      <c r="AB258" s="392"/>
      <c r="AC258" s="392"/>
      <c r="AD258" s="392"/>
      <c r="AE258" s="392"/>
      <c r="AF258" s="392"/>
      <c r="AG258" s="392"/>
      <c r="AH258" s="392"/>
      <c r="AI258" s="392"/>
      <c r="AJ258" s="392"/>
      <c r="AK258" s="392"/>
      <c r="AL258" s="392"/>
      <c r="AM258" s="392"/>
      <c r="AN258" s="392"/>
      <c r="AO258" s="392"/>
      <c r="AP258" s="392"/>
      <c r="AQ258" s="392"/>
      <c r="AR258" s="392"/>
      <c r="AS258" s="392"/>
      <c r="AT258" s="392"/>
      <c r="AU258" s="392"/>
      <c r="AV258" s="392"/>
      <c r="AW258" s="392"/>
      <c r="AX258" s="392"/>
      <c r="AY258" s="392"/>
      <c r="AZ258" s="392"/>
      <c r="BA258" s="392"/>
      <c r="BB258" s="392"/>
      <c r="BC258" s="392"/>
      <c r="BD258" s="392"/>
      <c r="BE258" s="392"/>
      <c r="BF258" s="392"/>
      <c r="BG258" s="392"/>
      <c r="BH258" s="392"/>
      <c r="BI258" s="392"/>
      <c r="BJ258" s="392"/>
      <c r="BK258" s="392"/>
      <c r="BL258" s="392"/>
      <c r="BM258" s="392"/>
      <c r="BN258" s="392"/>
      <c r="BO258" s="392"/>
      <c r="BP258" s="392"/>
      <c r="BQ258" s="392"/>
      <c r="BR258" s="392"/>
      <c r="BS258" s="392"/>
      <c r="BT258" s="392"/>
      <c r="BU258" s="392"/>
      <c r="BV258" s="392"/>
      <c r="BW258" s="392"/>
      <c r="BX258" s="392"/>
      <c r="BY258" s="392"/>
      <c r="BZ258" s="392"/>
      <c r="CA258" s="392"/>
      <c r="CB258" s="392"/>
      <c r="CC258" s="392"/>
      <c r="CD258" s="392"/>
      <c r="CE258" s="392"/>
      <c r="CF258" s="392"/>
      <c r="CG258" s="392"/>
      <c r="CH258" s="392"/>
      <c r="CI258" s="392"/>
      <c r="CJ258" s="392"/>
      <c r="CK258" s="392"/>
      <c r="CL258" s="392"/>
      <c r="CM258" s="392"/>
      <c r="CN258" s="392"/>
      <c r="CO258" s="392"/>
      <c r="CP258" s="392"/>
      <c r="CQ258" s="392"/>
      <c r="CR258" s="392"/>
      <c r="CS258" s="392"/>
      <c r="CT258" s="392"/>
      <c r="CU258" s="392"/>
      <c r="CV258" s="392"/>
      <c r="CW258" s="392"/>
      <c r="CX258" s="392"/>
      <c r="CY258" s="392"/>
      <c r="CZ258" s="392"/>
      <c r="DA258" s="392"/>
      <c r="DB258" s="392"/>
      <c r="DC258" s="392"/>
      <c r="DD258" s="392"/>
      <c r="DE258" s="392"/>
      <c r="DF258" s="392"/>
      <c r="DG258" s="392"/>
      <c r="DH258" s="392"/>
      <c r="DI258" s="392"/>
      <c r="DJ258" s="392"/>
      <c r="DK258" s="392"/>
      <c r="DL258" s="392"/>
      <c r="DM258" s="392"/>
      <c r="DN258" s="392"/>
      <c r="DO258" s="392"/>
      <c r="DP258" s="392"/>
      <c r="DQ258" s="392"/>
      <c r="DR258" s="392"/>
      <c r="DS258" s="392"/>
      <c r="DT258" s="392"/>
      <c r="DU258" s="392"/>
      <c r="DV258" s="392"/>
      <c r="DW258" s="392"/>
      <c r="DX258" s="392"/>
      <c r="DY258" s="392"/>
      <c r="DZ258" s="392"/>
      <c r="EA258" s="392"/>
      <c r="EB258" s="392"/>
      <c r="EC258" s="392"/>
      <c r="ED258" s="392"/>
      <c r="EE258" s="392"/>
      <c r="EF258" s="392"/>
      <c r="EG258" s="392"/>
      <c r="EH258" s="392"/>
      <c r="EI258" s="392"/>
      <c r="EJ258" s="392"/>
      <c r="EK258" s="392"/>
      <c r="EL258" s="392"/>
      <c r="EM258" s="392"/>
      <c r="EN258" s="392"/>
      <c r="EO258" s="392"/>
      <c r="EP258" s="392"/>
      <c r="EQ258" s="392"/>
      <c r="ER258" s="392"/>
      <c r="ES258" s="392"/>
      <c r="ET258" s="392"/>
      <c r="EU258" s="392"/>
      <c r="EV258" s="392"/>
      <c r="EW258" s="392"/>
      <c r="EX258" s="392"/>
      <c r="EY258" s="392"/>
      <c r="EZ258" s="392"/>
      <c r="FA258" s="392"/>
      <c r="FB258" s="392"/>
      <c r="FC258" s="392"/>
      <c r="FD258" s="392"/>
      <c r="FE258" s="392"/>
      <c r="FF258" s="392"/>
      <c r="FG258" s="392"/>
      <c r="FH258" s="392"/>
      <c r="FI258" s="392"/>
      <c r="FJ258" s="392"/>
      <c r="FK258" s="392"/>
      <c r="FL258" s="392"/>
      <c r="FM258" s="392"/>
      <c r="FN258" s="392"/>
      <c r="FO258" s="392"/>
      <c r="FP258" s="392"/>
      <c r="FQ258" s="392"/>
      <c r="FR258" s="392"/>
      <c r="FS258" s="392"/>
      <c r="FT258" s="392"/>
      <c r="FU258" s="392"/>
      <c r="FV258" s="392"/>
      <c r="FW258" s="392"/>
      <c r="FX258" s="392"/>
      <c r="FY258" s="392"/>
      <c r="FZ258" s="392"/>
      <c r="GA258" s="392"/>
      <c r="GB258" s="392"/>
      <c r="GC258" s="392"/>
      <c r="GD258" s="392"/>
      <c r="GE258" s="392"/>
      <c r="GF258" s="392"/>
      <c r="GG258" s="392"/>
      <c r="GH258" s="392"/>
      <c r="GI258" s="392"/>
      <c r="GJ258" s="392"/>
      <c r="GK258" s="392"/>
      <c r="GL258" s="392"/>
      <c r="GM258" s="392"/>
      <c r="GN258" s="392"/>
      <c r="GO258" s="392"/>
      <c r="GP258" s="392"/>
      <c r="GQ258" s="392"/>
      <c r="GR258" s="392"/>
      <c r="GS258" s="392"/>
      <c r="GT258" s="392"/>
      <c r="GU258" s="392"/>
      <c r="GV258" s="392"/>
      <c r="GW258" s="392"/>
      <c r="GX258" s="392"/>
      <c r="GY258" s="392"/>
      <c r="GZ258" s="392"/>
      <c r="HA258" s="392"/>
      <c r="HB258" s="392"/>
      <c r="HC258" s="392"/>
      <c r="HD258" s="392"/>
      <c r="HE258" s="392"/>
      <c r="HF258" s="392"/>
      <c r="HG258" s="392"/>
      <c r="HH258" s="392"/>
      <c r="HI258" s="392"/>
      <c r="HJ258" s="392"/>
      <c r="HK258" s="392"/>
      <c r="HL258" s="392"/>
      <c r="HM258" s="392"/>
      <c r="HN258" s="392"/>
      <c r="HO258" s="392"/>
      <c r="HP258" s="392"/>
      <c r="HQ258" s="392"/>
      <c r="HR258" s="392"/>
      <c r="HS258" s="392"/>
      <c r="HT258" s="392"/>
      <c r="HU258" s="392"/>
      <c r="HV258" s="392"/>
      <c r="HW258" s="392"/>
      <c r="HX258" s="392"/>
      <c r="HY258" s="392"/>
      <c r="HZ258" s="392"/>
      <c r="IA258" s="392"/>
      <c r="IB258" s="392"/>
      <c r="IC258" s="392"/>
      <c r="ID258" s="392"/>
      <c r="IE258" s="392"/>
      <c r="IF258" s="392"/>
      <c r="IG258" s="392"/>
      <c r="IH258" s="392"/>
      <c r="II258" s="392"/>
      <c r="IJ258" s="392"/>
      <c r="IK258" s="392"/>
      <c r="IL258" s="392"/>
      <c r="IM258" s="392"/>
      <c r="IN258" s="392"/>
      <c r="IO258" s="392"/>
      <c r="IP258" s="392"/>
      <c r="IQ258" s="392"/>
      <c r="IR258" s="392"/>
      <c r="IS258" s="392"/>
      <c r="IT258" s="392"/>
      <c r="IU258" s="392"/>
      <c r="IV258" s="392"/>
    </row>
    <row r="259" spans="1:256">
      <c r="A259" s="392"/>
      <c r="B259" s="448"/>
      <c r="C259" s="448"/>
      <c r="D259" s="448"/>
      <c r="E259" s="448"/>
      <c r="F259" s="448"/>
      <c r="G259" s="448"/>
      <c r="H259" s="392"/>
      <c r="I259" s="392"/>
      <c r="J259" s="392"/>
      <c r="K259" s="392"/>
      <c r="L259" s="392"/>
      <c r="M259" s="392"/>
      <c r="N259" s="392"/>
      <c r="O259" s="392"/>
      <c r="P259" s="392"/>
      <c r="Q259" s="392"/>
      <c r="R259" s="392"/>
      <c r="S259" s="392"/>
      <c r="T259" s="392"/>
      <c r="U259" s="392"/>
      <c r="V259" s="392"/>
      <c r="W259" s="392"/>
      <c r="X259" s="392"/>
      <c r="Y259" s="392"/>
      <c r="Z259" s="392"/>
      <c r="AA259" s="392"/>
      <c r="AB259" s="392"/>
      <c r="AC259" s="392"/>
      <c r="AD259" s="392"/>
      <c r="AE259" s="392"/>
      <c r="AF259" s="392"/>
      <c r="AG259" s="392"/>
      <c r="AH259" s="392"/>
      <c r="AI259" s="392"/>
      <c r="AJ259" s="392"/>
      <c r="AK259" s="392"/>
      <c r="AL259" s="392"/>
      <c r="AM259" s="392"/>
      <c r="AN259" s="392"/>
      <c r="AO259" s="392"/>
      <c r="AP259" s="392"/>
      <c r="AQ259" s="392"/>
      <c r="AR259" s="392"/>
      <c r="AS259" s="392"/>
      <c r="AT259" s="392"/>
      <c r="AU259" s="392"/>
      <c r="AV259" s="392"/>
      <c r="AW259" s="392"/>
      <c r="AX259" s="392"/>
      <c r="AY259" s="392"/>
      <c r="AZ259" s="392"/>
      <c r="BA259" s="392"/>
      <c r="BB259" s="392"/>
      <c r="BC259" s="392"/>
      <c r="BD259" s="392"/>
      <c r="BE259" s="392"/>
      <c r="BF259" s="392"/>
      <c r="BG259" s="392"/>
      <c r="BH259" s="392"/>
      <c r="BI259" s="392"/>
      <c r="BJ259" s="392"/>
      <c r="BK259" s="392"/>
      <c r="BL259" s="392"/>
      <c r="BM259" s="392"/>
      <c r="BN259" s="392"/>
      <c r="BO259" s="392"/>
      <c r="BP259" s="392"/>
      <c r="BQ259" s="392"/>
      <c r="BR259" s="392"/>
      <c r="BS259" s="392"/>
      <c r="BT259" s="392"/>
      <c r="BU259" s="392"/>
      <c r="BV259" s="392"/>
      <c r="BW259" s="392"/>
      <c r="BX259" s="392"/>
      <c r="BY259" s="392"/>
      <c r="BZ259" s="392"/>
      <c r="CA259" s="392"/>
      <c r="CB259" s="392"/>
      <c r="CC259" s="392"/>
      <c r="CD259" s="392"/>
      <c r="CE259" s="392"/>
      <c r="CF259" s="392"/>
      <c r="CG259" s="392"/>
      <c r="CH259" s="392"/>
      <c r="CI259" s="392"/>
      <c r="CJ259" s="392"/>
      <c r="CK259" s="392"/>
      <c r="CL259" s="392"/>
      <c r="CM259" s="392"/>
      <c r="CN259" s="392"/>
      <c r="CO259" s="392"/>
      <c r="CP259" s="392"/>
      <c r="CQ259" s="392"/>
      <c r="CR259" s="392"/>
      <c r="CS259" s="392"/>
      <c r="CT259" s="392"/>
      <c r="CU259" s="392"/>
      <c r="CV259" s="392"/>
      <c r="CW259" s="392"/>
      <c r="CX259" s="392"/>
      <c r="CY259" s="392"/>
      <c r="CZ259" s="392"/>
      <c r="DA259" s="392"/>
      <c r="DB259" s="392"/>
      <c r="DC259" s="392"/>
      <c r="DD259" s="392"/>
      <c r="DE259" s="392"/>
      <c r="DF259" s="392"/>
      <c r="DG259" s="392"/>
      <c r="DH259" s="392"/>
      <c r="DI259" s="392"/>
      <c r="DJ259" s="392"/>
      <c r="DK259" s="392"/>
      <c r="DL259" s="392"/>
      <c r="DM259" s="392"/>
      <c r="DN259" s="392"/>
      <c r="DO259" s="392"/>
      <c r="DP259" s="392"/>
      <c r="DQ259" s="392"/>
      <c r="DR259" s="392"/>
      <c r="DS259" s="392"/>
      <c r="DT259" s="392"/>
      <c r="DU259" s="392"/>
      <c r="DV259" s="392"/>
      <c r="DW259" s="392"/>
      <c r="DX259" s="392"/>
      <c r="DY259" s="392"/>
      <c r="DZ259" s="392"/>
      <c r="EA259" s="392"/>
      <c r="EB259" s="392"/>
      <c r="EC259" s="392"/>
      <c r="ED259" s="392"/>
      <c r="EE259" s="392"/>
      <c r="EF259" s="392"/>
      <c r="EG259" s="392"/>
      <c r="EH259" s="392"/>
      <c r="EI259" s="392"/>
      <c r="EJ259" s="392"/>
      <c r="EK259" s="392"/>
      <c r="EL259" s="392"/>
      <c r="EM259" s="392"/>
      <c r="EN259" s="392"/>
      <c r="EO259" s="392"/>
      <c r="EP259" s="392"/>
      <c r="EQ259" s="392"/>
      <c r="ER259" s="392"/>
      <c r="ES259" s="392"/>
      <c r="ET259" s="392"/>
      <c r="EU259" s="392"/>
      <c r="EV259" s="392"/>
      <c r="EW259" s="392"/>
      <c r="EX259" s="392"/>
      <c r="EY259" s="392"/>
      <c r="EZ259" s="392"/>
      <c r="FA259" s="392"/>
      <c r="FB259" s="392"/>
      <c r="FC259" s="392"/>
      <c r="FD259" s="392"/>
      <c r="FE259" s="392"/>
      <c r="FF259" s="392"/>
      <c r="FG259" s="392"/>
      <c r="FH259" s="392"/>
      <c r="FI259" s="392"/>
      <c r="FJ259" s="392"/>
      <c r="FK259" s="392"/>
      <c r="FL259" s="392"/>
      <c r="FM259" s="392"/>
      <c r="FN259" s="392"/>
      <c r="FO259" s="392"/>
      <c r="FP259" s="392"/>
      <c r="FQ259" s="392"/>
      <c r="FR259" s="392"/>
      <c r="FS259" s="392"/>
      <c r="FT259" s="392"/>
      <c r="FU259" s="392"/>
      <c r="FV259" s="392"/>
      <c r="FW259" s="392"/>
      <c r="FX259" s="392"/>
      <c r="FY259" s="392"/>
      <c r="FZ259" s="392"/>
      <c r="GA259" s="392"/>
      <c r="GB259" s="392"/>
      <c r="GC259" s="392"/>
      <c r="GD259" s="392"/>
      <c r="GE259" s="392"/>
      <c r="GF259" s="392"/>
      <c r="GG259" s="392"/>
      <c r="GH259" s="392"/>
      <c r="GI259" s="392"/>
      <c r="GJ259" s="392"/>
      <c r="GK259" s="392"/>
      <c r="GL259" s="392"/>
      <c r="GM259" s="392"/>
      <c r="GN259" s="392"/>
      <c r="GO259" s="392"/>
      <c r="GP259" s="392"/>
      <c r="GQ259" s="392"/>
      <c r="GR259" s="392"/>
      <c r="GS259" s="392"/>
      <c r="GT259" s="392"/>
      <c r="GU259" s="392"/>
      <c r="GV259" s="392"/>
      <c r="GW259" s="392"/>
      <c r="GX259" s="392"/>
      <c r="GY259" s="392"/>
      <c r="GZ259" s="392"/>
      <c r="HA259" s="392"/>
      <c r="HB259" s="392"/>
      <c r="HC259" s="392"/>
      <c r="HD259" s="392"/>
      <c r="HE259" s="392"/>
      <c r="HF259" s="392"/>
      <c r="HG259" s="392"/>
      <c r="HH259" s="392"/>
      <c r="HI259" s="392"/>
      <c r="HJ259" s="392"/>
      <c r="HK259" s="392"/>
      <c r="HL259" s="392"/>
      <c r="HM259" s="392"/>
      <c r="HN259" s="392"/>
      <c r="HO259" s="392"/>
      <c r="HP259" s="392"/>
      <c r="HQ259" s="392"/>
      <c r="HR259" s="392"/>
      <c r="HS259" s="392"/>
      <c r="HT259" s="392"/>
      <c r="HU259" s="392"/>
      <c r="HV259" s="392"/>
      <c r="HW259" s="392"/>
      <c r="HX259" s="392"/>
      <c r="HY259" s="392"/>
      <c r="HZ259" s="392"/>
      <c r="IA259" s="392"/>
      <c r="IB259" s="392"/>
      <c r="IC259" s="392"/>
      <c r="ID259" s="392"/>
      <c r="IE259" s="392"/>
      <c r="IF259" s="392"/>
      <c r="IG259" s="392"/>
      <c r="IH259" s="392"/>
      <c r="II259" s="392"/>
      <c r="IJ259" s="392"/>
      <c r="IK259" s="392"/>
      <c r="IL259" s="392"/>
      <c r="IM259" s="392"/>
      <c r="IN259" s="392"/>
      <c r="IO259" s="392"/>
      <c r="IP259" s="392"/>
      <c r="IQ259" s="392"/>
      <c r="IR259" s="392"/>
      <c r="IS259" s="392"/>
      <c r="IT259" s="392"/>
      <c r="IU259" s="392"/>
      <c r="IV259" s="392"/>
    </row>
    <row r="260" spans="1:256">
      <c r="A260" s="392"/>
      <c r="B260" s="448"/>
      <c r="C260" s="448"/>
      <c r="D260" s="448"/>
      <c r="E260" s="448"/>
      <c r="F260" s="448"/>
      <c r="G260" s="448"/>
      <c r="H260" s="392"/>
      <c r="I260" s="392"/>
      <c r="J260" s="392"/>
      <c r="K260" s="392"/>
      <c r="L260" s="392"/>
      <c r="M260" s="392"/>
      <c r="N260" s="392"/>
      <c r="O260" s="392"/>
      <c r="P260" s="392"/>
      <c r="Q260" s="392"/>
      <c r="R260" s="392"/>
      <c r="S260" s="392"/>
      <c r="T260" s="392"/>
      <c r="U260" s="392"/>
      <c r="V260" s="392"/>
      <c r="W260" s="392"/>
      <c r="X260" s="392"/>
      <c r="Y260" s="392"/>
      <c r="Z260" s="392"/>
      <c r="AA260" s="392"/>
      <c r="AB260" s="392"/>
      <c r="AC260" s="392"/>
      <c r="AD260" s="392"/>
      <c r="AE260" s="392"/>
      <c r="AF260" s="392"/>
      <c r="AG260" s="392"/>
      <c r="AH260" s="392"/>
      <c r="AI260" s="392"/>
      <c r="AJ260" s="392"/>
      <c r="AK260" s="392"/>
      <c r="AL260" s="392"/>
      <c r="AM260" s="392"/>
      <c r="AN260" s="392"/>
      <c r="AO260" s="392"/>
      <c r="AP260" s="392"/>
      <c r="AQ260" s="392"/>
      <c r="AR260" s="392"/>
      <c r="AS260" s="392"/>
      <c r="AT260" s="392"/>
      <c r="AU260" s="392"/>
      <c r="AV260" s="392"/>
      <c r="AW260" s="392"/>
      <c r="AX260" s="392"/>
      <c r="AY260" s="392"/>
      <c r="AZ260" s="392"/>
      <c r="BA260" s="392"/>
      <c r="BB260" s="392"/>
      <c r="BC260" s="392"/>
      <c r="BD260" s="392"/>
      <c r="BE260" s="392"/>
      <c r="BF260" s="392"/>
      <c r="BG260" s="392"/>
      <c r="BH260" s="392"/>
      <c r="BI260" s="392"/>
      <c r="BJ260" s="392"/>
      <c r="BK260" s="392"/>
      <c r="BL260" s="392"/>
      <c r="BM260" s="392"/>
      <c r="BN260" s="392"/>
      <c r="BO260" s="392"/>
      <c r="BP260" s="392"/>
      <c r="BQ260" s="392"/>
      <c r="BR260" s="392"/>
      <c r="BS260" s="392"/>
      <c r="BT260" s="392"/>
      <c r="BU260" s="392"/>
      <c r="BV260" s="392"/>
      <c r="BW260" s="392"/>
      <c r="BX260" s="392"/>
      <c r="BY260" s="392"/>
      <c r="BZ260" s="392"/>
      <c r="CA260" s="392"/>
      <c r="CB260" s="392"/>
      <c r="CC260" s="392"/>
      <c r="CD260" s="392"/>
      <c r="CE260" s="392"/>
      <c r="CF260" s="392"/>
      <c r="CG260" s="392"/>
      <c r="CH260" s="392"/>
      <c r="CI260" s="392"/>
      <c r="CJ260" s="392"/>
      <c r="CK260" s="392"/>
      <c r="CL260" s="392"/>
      <c r="CM260" s="392"/>
      <c r="CN260" s="392"/>
      <c r="CO260" s="392"/>
      <c r="CP260" s="392"/>
      <c r="CQ260" s="392"/>
      <c r="CR260" s="392"/>
      <c r="CS260" s="392"/>
      <c r="CT260" s="392"/>
      <c r="CU260" s="392"/>
      <c r="CV260" s="392"/>
      <c r="CW260" s="392"/>
      <c r="CX260" s="392"/>
      <c r="CY260" s="392"/>
      <c r="CZ260" s="392"/>
      <c r="DA260" s="392"/>
      <c r="DB260" s="392"/>
      <c r="DC260" s="392"/>
      <c r="DD260" s="392"/>
      <c r="DE260" s="392"/>
      <c r="DF260" s="392"/>
      <c r="DG260" s="392"/>
      <c r="DH260" s="392"/>
      <c r="DI260" s="392"/>
      <c r="DJ260" s="392"/>
      <c r="DK260" s="392"/>
      <c r="DL260" s="392"/>
      <c r="DM260" s="392"/>
      <c r="DN260" s="392"/>
      <c r="DO260" s="392"/>
      <c r="DP260" s="392"/>
      <c r="DQ260" s="392"/>
      <c r="DR260" s="392"/>
      <c r="DS260" s="392"/>
      <c r="DT260" s="392"/>
      <c r="DU260" s="392"/>
      <c r="DV260" s="392"/>
      <c r="DW260" s="392"/>
      <c r="DX260" s="392"/>
      <c r="DY260" s="392"/>
      <c r="DZ260" s="392"/>
      <c r="EA260" s="392"/>
      <c r="EB260" s="392"/>
      <c r="EC260" s="392"/>
      <c r="ED260" s="392"/>
      <c r="EE260" s="392"/>
      <c r="EF260" s="392"/>
      <c r="EG260" s="392"/>
      <c r="EH260" s="392"/>
      <c r="EI260" s="392"/>
      <c r="EJ260" s="392"/>
      <c r="EK260" s="392"/>
      <c r="EL260" s="392"/>
      <c r="EM260" s="392"/>
      <c r="EN260" s="392"/>
      <c r="EO260" s="392"/>
      <c r="EP260" s="392"/>
      <c r="EQ260" s="392"/>
      <c r="ER260" s="392"/>
      <c r="ES260" s="392"/>
      <c r="ET260" s="392"/>
      <c r="EU260" s="392"/>
      <c r="EV260" s="392"/>
      <c r="EW260" s="392"/>
      <c r="EX260" s="392"/>
      <c r="EY260" s="392"/>
      <c r="EZ260" s="392"/>
      <c r="FA260" s="392"/>
      <c r="FB260" s="392"/>
      <c r="FC260" s="392"/>
      <c r="FD260" s="392"/>
      <c r="FE260" s="392"/>
      <c r="FF260" s="392"/>
      <c r="FG260" s="392"/>
      <c r="FH260" s="392"/>
      <c r="FI260" s="392"/>
      <c r="FJ260" s="392"/>
      <c r="FK260" s="392"/>
      <c r="FL260" s="392"/>
      <c r="FM260" s="392"/>
      <c r="FN260" s="392"/>
      <c r="FO260" s="392"/>
      <c r="FP260" s="392"/>
      <c r="FQ260" s="392"/>
      <c r="FR260" s="392"/>
      <c r="FS260" s="392"/>
      <c r="FT260" s="392"/>
      <c r="FU260" s="392"/>
      <c r="FV260" s="392"/>
      <c r="FW260" s="392"/>
      <c r="FX260" s="392"/>
      <c r="FY260" s="392"/>
      <c r="FZ260" s="392"/>
      <c r="GA260" s="392"/>
      <c r="GB260" s="392"/>
      <c r="GC260" s="392"/>
      <c r="GD260" s="392"/>
      <c r="GE260" s="392"/>
      <c r="GF260" s="392"/>
      <c r="GG260" s="392"/>
      <c r="GH260" s="392"/>
      <c r="GI260" s="392"/>
      <c r="GJ260" s="392"/>
      <c r="GK260" s="392"/>
      <c r="GL260" s="392"/>
      <c r="GM260" s="392"/>
      <c r="GN260" s="392"/>
      <c r="GO260" s="392"/>
      <c r="GP260" s="392"/>
      <c r="GQ260" s="392"/>
      <c r="GR260" s="392"/>
      <c r="GS260" s="392"/>
      <c r="GT260" s="392"/>
      <c r="GU260" s="392"/>
      <c r="GV260" s="392"/>
      <c r="GW260" s="392"/>
      <c r="GX260" s="392"/>
      <c r="GY260" s="392"/>
      <c r="GZ260" s="392"/>
      <c r="HA260" s="392"/>
      <c r="HB260" s="392"/>
      <c r="HC260" s="392"/>
      <c r="HD260" s="392"/>
      <c r="HE260" s="392"/>
      <c r="HF260" s="392"/>
      <c r="HG260" s="392"/>
      <c r="HH260" s="392"/>
      <c r="HI260" s="392"/>
      <c r="HJ260" s="392"/>
      <c r="HK260" s="392"/>
      <c r="HL260" s="392"/>
      <c r="HM260" s="392"/>
      <c r="HN260" s="392"/>
      <c r="HO260" s="392"/>
      <c r="HP260" s="392"/>
      <c r="HQ260" s="392"/>
      <c r="HR260" s="392"/>
      <c r="HS260" s="392"/>
      <c r="HT260" s="392"/>
      <c r="HU260" s="392"/>
      <c r="HV260" s="392"/>
      <c r="HW260" s="392"/>
      <c r="HX260" s="392"/>
      <c r="HY260" s="392"/>
      <c r="HZ260" s="392"/>
      <c r="IA260" s="392"/>
      <c r="IB260" s="392"/>
      <c r="IC260" s="392"/>
      <c r="ID260" s="392"/>
      <c r="IE260" s="392"/>
      <c r="IF260" s="392"/>
      <c r="IG260" s="392"/>
      <c r="IH260" s="392"/>
      <c r="II260" s="392"/>
      <c r="IJ260" s="392"/>
      <c r="IK260" s="392"/>
      <c r="IL260" s="392"/>
      <c r="IM260" s="392"/>
      <c r="IN260" s="392"/>
      <c r="IO260" s="392"/>
      <c r="IP260" s="392"/>
      <c r="IQ260" s="392"/>
      <c r="IR260" s="392"/>
      <c r="IS260" s="392"/>
      <c r="IT260" s="392"/>
      <c r="IU260" s="392"/>
      <c r="IV260" s="392"/>
    </row>
    <row r="261" spans="1:256">
      <c r="A261" s="392"/>
      <c r="B261" s="448"/>
      <c r="C261" s="448"/>
      <c r="D261" s="448"/>
      <c r="E261" s="448"/>
      <c r="F261" s="448"/>
      <c r="G261" s="448"/>
      <c r="H261" s="392"/>
      <c r="I261" s="392"/>
      <c r="J261" s="392"/>
      <c r="K261" s="392"/>
      <c r="L261" s="392"/>
      <c r="M261" s="392"/>
      <c r="N261" s="392"/>
      <c r="O261" s="392"/>
      <c r="P261" s="392"/>
      <c r="Q261" s="392"/>
      <c r="R261" s="392"/>
      <c r="S261" s="392"/>
      <c r="T261" s="392"/>
      <c r="U261" s="392"/>
      <c r="V261" s="392"/>
      <c r="W261" s="392"/>
      <c r="X261" s="392"/>
      <c r="Y261" s="392"/>
      <c r="Z261" s="392"/>
      <c r="AA261" s="392"/>
      <c r="AB261" s="392"/>
      <c r="AC261" s="392"/>
      <c r="AD261" s="392"/>
      <c r="AE261" s="392"/>
      <c r="AF261" s="392"/>
      <c r="AG261" s="392"/>
      <c r="AH261" s="392"/>
      <c r="AI261" s="392"/>
      <c r="AJ261" s="392"/>
      <c r="AK261" s="392"/>
      <c r="AL261" s="392"/>
      <c r="AM261" s="392"/>
      <c r="AN261" s="392"/>
      <c r="AO261" s="392"/>
      <c r="AP261" s="392"/>
      <c r="AQ261" s="392"/>
      <c r="AR261" s="392"/>
      <c r="AS261" s="392"/>
      <c r="AT261" s="392"/>
      <c r="AU261" s="392"/>
      <c r="AV261" s="392"/>
      <c r="AW261" s="392"/>
      <c r="AX261" s="392"/>
      <c r="AY261" s="392"/>
      <c r="AZ261" s="392"/>
      <c r="BA261" s="392"/>
      <c r="BB261" s="392"/>
      <c r="BC261" s="392"/>
      <c r="BD261" s="392"/>
      <c r="BE261" s="392"/>
      <c r="BF261" s="392"/>
      <c r="BG261" s="392"/>
      <c r="BH261" s="392"/>
      <c r="BI261" s="392"/>
      <c r="BJ261" s="392"/>
      <c r="BK261" s="392"/>
      <c r="BL261" s="392"/>
      <c r="BM261" s="392"/>
      <c r="BN261" s="392"/>
      <c r="BO261" s="392"/>
      <c r="BP261" s="392"/>
      <c r="BQ261" s="392"/>
      <c r="BR261" s="392"/>
      <c r="BS261" s="392"/>
      <c r="BT261" s="392"/>
      <c r="BU261" s="392"/>
      <c r="BV261" s="392"/>
      <c r="BW261" s="392"/>
      <c r="BX261" s="392"/>
      <c r="BY261" s="392"/>
      <c r="BZ261" s="392"/>
      <c r="CA261" s="392"/>
      <c r="CB261" s="392"/>
      <c r="CC261" s="392"/>
      <c r="CD261" s="392"/>
      <c r="CE261" s="392"/>
      <c r="CF261" s="392"/>
      <c r="CG261" s="392"/>
      <c r="CH261" s="392"/>
      <c r="CI261" s="392"/>
      <c r="CJ261" s="392"/>
      <c r="CK261" s="392"/>
      <c r="CL261" s="392"/>
      <c r="CM261" s="392"/>
      <c r="CN261" s="392"/>
      <c r="CO261" s="392"/>
      <c r="CP261" s="392"/>
      <c r="CQ261" s="392"/>
      <c r="CR261" s="392"/>
      <c r="CS261" s="392"/>
      <c r="CT261" s="392"/>
      <c r="CU261" s="392"/>
      <c r="CV261" s="392"/>
      <c r="CW261" s="392"/>
      <c r="CX261" s="392"/>
      <c r="CY261" s="392"/>
      <c r="CZ261" s="392"/>
      <c r="DA261" s="392"/>
      <c r="DB261" s="392"/>
      <c r="DC261" s="392"/>
      <c r="DD261" s="392"/>
      <c r="DE261" s="392"/>
      <c r="DF261" s="392"/>
      <c r="DG261" s="392"/>
      <c r="DH261" s="392"/>
      <c r="DI261" s="392"/>
      <c r="DJ261" s="392"/>
      <c r="DK261" s="392"/>
      <c r="DL261" s="392"/>
      <c r="DM261" s="392"/>
      <c r="DN261" s="392"/>
      <c r="DO261" s="392"/>
      <c r="DP261" s="392"/>
      <c r="DQ261" s="392"/>
      <c r="DR261" s="392"/>
      <c r="DS261" s="392"/>
      <c r="DT261" s="392"/>
      <c r="DU261" s="392"/>
      <c r="DV261" s="392"/>
      <c r="DW261" s="392"/>
      <c r="DX261" s="392"/>
      <c r="DY261" s="392"/>
      <c r="DZ261" s="392"/>
      <c r="EA261" s="392"/>
      <c r="EB261" s="392"/>
      <c r="EC261" s="392"/>
      <c r="ED261" s="392"/>
      <c r="EE261" s="392"/>
      <c r="EF261" s="392"/>
      <c r="EG261" s="392"/>
      <c r="EH261" s="392"/>
      <c r="EI261" s="392"/>
      <c r="EJ261" s="392"/>
      <c r="EK261" s="392"/>
      <c r="EL261" s="392"/>
      <c r="EM261" s="392"/>
      <c r="EN261" s="392"/>
      <c r="EO261" s="392"/>
      <c r="EP261" s="392"/>
      <c r="EQ261" s="392"/>
      <c r="ER261" s="392"/>
      <c r="ES261" s="392"/>
      <c r="ET261" s="392"/>
      <c r="EU261" s="392"/>
      <c r="EV261" s="392"/>
      <c r="EW261" s="392"/>
      <c r="EX261" s="392"/>
      <c r="EY261" s="392"/>
      <c r="EZ261" s="392"/>
      <c r="FA261" s="392"/>
      <c r="FB261" s="392"/>
      <c r="FC261" s="392"/>
      <c r="FD261" s="392"/>
      <c r="FE261" s="392"/>
      <c r="FF261" s="392"/>
      <c r="FG261" s="392"/>
      <c r="FH261" s="392"/>
      <c r="FI261" s="392"/>
      <c r="FJ261" s="392"/>
      <c r="FK261" s="392"/>
      <c r="FL261" s="392"/>
      <c r="FM261" s="392"/>
      <c r="FN261" s="392"/>
      <c r="FO261" s="392"/>
      <c r="FP261" s="392"/>
      <c r="FQ261" s="392"/>
      <c r="FR261" s="392"/>
      <c r="FS261" s="392"/>
      <c r="FT261" s="392"/>
      <c r="FU261" s="392"/>
      <c r="FV261" s="392"/>
      <c r="FW261" s="392"/>
      <c r="FX261" s="392"/>
      <c r="FY261" s="392"/>
      <c r="FZ261" s="392"/>
      <c r="GA261" s="392"/>
      <c r="GB261" s="392"/>
      <c r="GC261" s="392"/>
      <c r="GD261" s="392"/>
      <c r="GE261" s="392"/>
      <c r="GF261" s="392"/>
      <c r="GG261" s="392"/>
      <c r="GH261" s="392"/>
      <c r="GI261" s="392"/>
      <c r="GJ261" s="392"/>
      <c r="GK261" s="392"/>
      <c r="GL261" s="392"/>
      <c r="GM261" s="392"/>
      <c r="GN261" s="392"/>
      <c r="GO261" s="392"/>
      <c r="GP261" s="392"/>
      <c r="GQ261" s="392"/>
      <c r="GR261" s="392"/>
      <c r="GS261" s="392"/>
      <c r="GT261" s="392"/>
      <c r="GU261" s="392"/>
      <c r="GV261" s="392"/>
      <c r="GW261" s="392"/>
      <c r="GX261" s="392"/>
      <c r="GY261" s="392"/>
      <c r="GZ261" s="392"/>
      <c r="HA261" s="392"/>
      <c r="HB261" s="392"/>
      <c r="HC261" s="392"/>
      <c r="HD261" s="392"/>
      <c r="HE261" s="392"/>
      <c r="HF261" s="392"/>
      <c r="HG261" s="392"/>
      <c r="HH261" s="392"/>
      <c r="HI261" s="392"/>
      <c r="HJ261" s="392"/>
      <c r="HK261" s="392"/>
      <c r="HL261" s="392"/>
      <c r="HM261" s="392"/>
      <c r="HN261" s="392"/>
      <c r="HO261" s="392"/>
      <c r="HP261" s="392"/>
      <c r="HQ261" s="392"/>
      <c r="HR261" s="392"/>
      <c r="HS261" s="392"/>
      <c r="HT261" s="392"/>
      <c r="HU261" s="392"/>
      <c r="HV261" s="392"/>
      <c r="HW261" s="392"/>
      <c r="HX261" s="392"/>
      <c r="HY261" s="392"/>
      <c r="HZ261" s="392"/>
      <c r="IA261" s="392"/>
      <c r="IB261" s="392"/>
      <c r="IC261" s="392"/>
      <c r="ID261" s="392"/>
      <c r="IE261" s="392"/>
      <c r="IF261" s="392"/>
      <c r="IG261" s="392"/>
      <c r="IH261" s="392"/>
      <c r="II261" s="392"/>
      <c r="IJ261" s="392"/>
      <c r="IK261" s="392"/>
      <c r="IL261" s="392"/>
      <c r="IM261" s="392"/>
      <c r="IN261" s="392"/>
      <c r="IO261" s="392"/>
      <c r="IP261" s="392"/>
      <c r="IQ261" s="392"/>
      <c r="IR261" s="392"/>
      <c r="IS261" s="392"/>
      <c r="IT261" s="392"/>
      <c r="IU261" s="392"/>
      <c r="IV261" s="392"/>
    </row>
    <row r="262" spans="1:256">
      <c r="A262" s="392"/>
      <c r="B262" s="448"/>
      <c r="C262" s="448"/>
      <c r="D262" s="448"/>
      <c r="E262" s="448"/>
      <c r="F262" s="448"/>
      <c r="G262" s="448"/>
      <c r="H262" s="392"/>
      <c r="I262" s="392"/>
      <c r="J262" s="392"/>
      <c r="K262" s="392"/>
      <c r="L262" s="392"/>
      <c r="M262" s="392"/>
      <c r="N262" s="392"/>
      <c r="O262" s="392"/>
      <c r="P262" s="392"/>
      <c r="Q262" s="392"/>
      <c r="R262" s="392"/>
      <c r="S262" s="392"/>
      <c r="T262" s="392"/>
      <c r="U262" s="392"/>
      <c r="V262" s="392"/>
      <c r="W262" s="392"/>
      <c r="X262" s="392"/>
      <c r="Y262" s="392"/>
      <c r="Z262" s="392"/>
      <c r="AA262" s="392"/>
      <c r="AB262" s="392"/>
      <c r="AC262" s="392"/>
      <c r="AD262" s="392"/>
      <c r="AE262" s="392"/>
      <c r="AF262" s="392"/>
      <c r="AG262" s="392"/>
      <c r="AH262" s="392"/>
      <c r="AI262" s="392"/>
      <c r="AJ262" s="392"/>
      <c r="AK262" s="392"/>
      <c r="AL262" s="392"/>
      <c r="AM262" s="392"/>
      <c r="AN262" s="392"/>
      <c r="AO262" s="392"/>
      <c r="AP262" s="392"/>
      <c r="AQ262" s="392"/>
      <c r="AR262" s="392"/>
      <c r="AS262" s="392"/>
      <c r="AT262" s="392"/>
      <c r="AU262" s="392"/>
      <c r="AV262" s="392"/>
      <c r="AW262" s="392"/>
      <c r="AX262" s="392"/>
      <c r="AY262" s="392"/>
      <c r="AZ262" s="392"/>
      <c r="BA262" s="392"/>
      <c r="BB262" s="392"/>
      <c r="BC262" s="392"/>
      <c r="BD262" s="392"/>
      <c r="BE262" s="392"/>
      <c r="BF262" s="392"/>
      <c r="BG262" s="392"/>
      <c r="BH262" s="392"/>
      <c r="BI262" s="392"/>
      <c r="BJ262" s="392"/>
      <c r="BK262" s="392"/>
      <c r="BL262" s="392"/>
      <c r="BM262" s="392"/>
      <c r="BN262" s="392"/>
      <c r="BO262" s="392"/>
      <c r="BP262" s="392"/>
      <c r="BQ262" s="392"/>
      <c r="BR262" s="392"/>
      <c r="BS262" s="392"/>
      <c r="BT262" s="392"/>
      <c r="BU262" s="392"/>
      <c r="BV262" s="392"/>
      <c r="BW262" s="392"/>
      <c r="BX262" s="392"/>
      <c r="BY262" s="392"/>
      <c r="BZ262" s="392"/>
      <c r="CA262" s="392"/>
      <c r="CB262" s="392"/>
      <c r="CC262" s="392"/>
      <c r="CD262" s="392"/>
      <c r="CE262" s="392"/>
      <c r="CF262" s="392"/>
      <c r="CG262" s="392"/>
      <c r="CH262" s="392"/>
      <c r="CI262" s="392"/>
      <c r="CJ262" s="392"/>
      <c r="CK262" s="392"/>
      <c r="CL262" s="392"/>
      <c r="CM262" s="392"/>
      <c r="CN262" s="392"/>
      <c r="CO262" s="392"/>
      <c r="CP262" s="392"/>
      <c r="CQ262" s="392"/>
      <c r="CR262" s="392"/>
      <c r="CS262" s="392"/>
      <c r="CT262" s="392"/>
      <c r="CU262" s="392"/>
      <c r="CV262" s="392"/>
      <c r="CW262" s="392"/>
      <c r="CX262" s="392"/>
      <c r="CY262" s="392"/>
      <c r="CZ262" s="392"/>
      <c r="DA262" s="392"/>
      <c r="DB262" s="392"/>
      <c r="DC262" s="392"/>
      <c r="DD262" s="392"/>
      <c r="DE262" s="392"/>
      <c r="DF262" s="392"/>
      <c r="DG262" s="392"/>
      <c r="DH262" s="392"/>
      <c r="DI262" s="392"/>
      <c r="DJ262" s="392"/>
      <c r="DK262" s="392"/>
      <c r="DL262" s="392"/>
      <c r="DM262" s="392"/>
      <c r="DN262" s="392"/>
      <c r="DO262" s="392"/>
      <c r="DP262" s="392"/>
      <c r="DQ262" s="392"/>
      <c r="DR262" s="392"/>
      <c r="DS262" s="392"/>
      <c r="DT262" s="392"/>
      <c r="DU262" s="392"/>
      <c r="DV262" s="392"/>
      <c r="DW262" s="392"/>
      <c r="DX262" s="392"/>
      <c r="DY262" s="392"/>
      <c r="DZ262" s="392"/>
      <c r="EA262" s="392"/>
      <c r="EB262" s="392"/>
      <c r="EC262" s="392"/>
      <c r="ED262" s="392"/>
      <c r="EE262" s="392"/>
      <c r="EF262" s="392"/>
      <c r="EG262" s="392"/>
      <c r="EH262" s="392"/>
      <c r="EI262" s="392"/>
      <c r="EJ262" s="392"/>
      <c r="EK262" s="392"/>
      <c r="EL262" s="392"/>
      <c r="EM262" s="392"/>
      <c r="EN262" s="392"/>
      <c r="EO262" s="392"/>
      <c r="EP262" s="392"/>
      <c r="EQ262" s="392"/>
      <c r="ER262" s="392"/>
      <c r="ES262" s="392"/>
      <c r="ET262" s="392"/>
      <c r="EU262" s="392"/>
      <c r="EV262" s="392"/>
      <c r="EW262" s="392"/>
      <c r="EX262" s="392"/>
      <c r="EY262" s="392"/>
      <c r="EZ262" s="392"/>
      <c r="FA262" s="392"/>
      <c r="FB262" s="392"/>
      <c r="FC262" s="392"/>
      <c r="FD262" s="392"/>
      <c r="FE262" s="392"/>
      <c r="FF262" s="392"/>
      <c r="FG262" s="392"/>
      <c r="FH262" s="392"/>
      <c r="FI262" s="392"/>
      <c r="FJ262" s="392"/>
      <c r="FK262" s="392"/>
      <c r="FL262" s="392"/>
      <c r="FM262" s="392"/>
      <c r="FN262" s="392"/>
      <c r="FO262" s="392"/>
      <c r="FP262" s="392"/>
      <c r="FQ262" s="392"/>
      <c r="FR262" s="392"/>
      <c r="FS262" s="392"/>
      <c r="FT262" s="392"/>
      <c r="FU262" s="392"/>
      <c r="FV262" s="392"/>
      <c r="FW262" s="392"/>
      <c r="FX262" s="392"/>
      <c r="FY262" s="392"/>
      <c r="FZ262" s="392"/>
      <c r="GA262" s="392"/>
      <c r="GB262" s="392"/>
      <c r="GC262" s="392"/>
      <c r="GD262" s="392"/>
      <c r="GE262" s="392"/>
      <c r="GF262" s="392"/>
      <c r="GG262" s="392"/>
      <c r="GH262" s="392"/>
      <c r="GI262" s="392"/>
      <c r="GJ262" s="392"/>
      <c r="GK262" s="392"/>
      <c r="GL262" s="392"/>
      <c r="GM262" s="392"/>
      <c r="GN262" s="392"/>
      <c r="GO262" s="392"/>
      <c r="GP262" s="392"/>
      <c r="GQ262" s="392"/>
      <c r="GR262" s="392"/>
      <c r="GS262" s="392"/>
      <c r="GT262" s="392"/>
      <c r="GU262" s="392"/>
      <c r="GV262" s="392"/>
      <c r="GW262" s="392"/>
      <c r="GX262" s="392"/>
      <c r="GY262" s="392"/>
      <c r="GZ262" s="392"/>
      <c r="HA262" s="392"/>
      <c r="HB262" s="392"/>
      <c r="HC262" s="392"/>
      <c r="HD262" s="392"/>
      <c r="HE262" s="392"/>
      <c r="HF262" s="392"/>
      <c r="HG262" s="392"/>
      <c r="HH262" s="392"/>
      <c r="HI262" s="392"/>
      <c r="HJ262" s="392"/>
      <c r="HK262" s="392"/>
      <c r="HL262" s="392"/>
      <c r="HM262" s="392"/>
      <c r="HN262" s="392"/>
      <c r="HO262" s="392"/>
      <c r="HP262" s="392"/>
      <c r="HQ262" s="392"/>
      <c r="HR262" s="392"/>
      <c r="HS262" s="392"/>
      <c r="HT262" s="392"/>
      <c r="HU262" s="392"/>
      <c r="HV262" s="392"/>
      <c r="HW262" s="392"/>
      <c r="HX262" s="392"/>
      <c r="HY262" s="392"/>
      <c r="HZ262" s="392"/>
      <c r="IA262" s="392"/>
      <c r="IB262" s="392"/>
      <c r="IC262" s="392"/>
      <c r="ID262" s="392"/>
      <c r="IE262" s="392"/>
      <c r="IF262" s="392"/>
      <c r="IG262" s="392"/>
      <c r="IH262" s="392"/>
      <c r="II262" s="392"/>
      <c r="IJ262" s="392"/>
      <c r="IK262" s="392"/>
      <c r="IL262" s="392"/>
      <c r="IM262" s="392"/>
      <c r="IN262" s="392"/>
      <c r="IO262" s="392"/>
      <c r="IP262" s="392"/>
      <c r="IQ262" s="392"/>
      <c r="IR262" s="392"/>
      <c r="IS262" s="392"/>
      <c r="IT262" s="392"/>
      <c r="IU262" s="392"/>
      <c r="IV262" s="392"/>
    </row>
    <row r="263" spans="1:256">
      <c r="A263" s="392"/>
      <c r="B263" s="448"/>
      <c r="C263" s="448"/>
      <c r="D263" s="448"/>
      <c r="E263" s="448"/>
      <c r="F263" s="448"/>
      <c r="G263" s="448"/>
      <c r="H263" s="392"/>
      <c r="I263" s="392"/>
      <c r="J263" s="392"/>
      <c r="K263" s="392"/>
      <c r="L263" s="392"/>
      <c r="M263" s="392"/>
      <c r="N263" s="392"/>
      <c r="O263" s="392"/>
      <c r="P263" s="392"/>
      <c r="Q263" s="392"/>
      <c r="R263" s="392"/>
      <c r="S263" s="392"/>
      <c r="T263" s="392"/>
      <c r="U263" s="392"/>
      <c r="V263" s="392"/>
      <c r="W263" s="392"/>
      <c r="X263" s="392"/>
      <c r="Y263" s="392"/>
      <c r="Z263" s="392"/>
      <c r="AA263" s="392"/>
      <c r="AB263" s="392"/>
      <c r="AC263" s="392"/>
      <c r="AD263" s="392"/>
      <c r="AE263" s="392"/>
      <c r="AF263" s="392"/>
      <c r="AG263" s="392"/>
      <c r="AH263" s="392"/>
      <c r="AI263" s="392"/>
      <c r="AJ263" s="392"/>
      <c r="AK263" s="392"/>
      <c r="AL263" s="392"/>
      <c r="AM263" s="392"/>
      <c r="AN263" s="392"/>
      <c r="AO263" s="392"/>
      <c r="AP263" s="392"/>
      <c r="AQ263" s="392"/>
      <c r="AR263" s="392"/>
      <c r="AS263" s="392"/>
      <c r="AT263" s="392"/>
      <c r="AU263" s="392"/>
      <c r="AV263" s="392"/>
      <c r="AW263" s="392"/>
      <c r="AX263" s="392"/>
      <c r="AY263" s="392"/>
      <c r="AZ263" s="392"/>
      <c r="BA263" s="392"/>
      <c r="BB263" s="392"/>
      <c r="BC263" s="392"/>
      <c r="BD263" s="392"/>
      <c r="BE263" s="392"/>
      <c r="BF263" s="392"/>
      <c r="BG263" s="392"/>
      <c r="BH263" s="392"/>
      <c r="BI263" s="392"/>
      <c r="BJ263" s="392"/>
      <c r="BK263" s="392"/>
      <c r="BL263" s="392"/>
      <c r="BM263" s="392"/>
      <c r="BN263" s="392"/>
      <c r="BO263" s="392"/>
      <c r="BP263" s="392"/>
      <c r="BQ263" s="392"/>
      <c r="BR263" s="392"/>
      <c r="BS263" s="392"/>
      <c r="BT263" s="392"/>
      <c r="BU263" s="392"/>
      <c r="BV263" s="392"/>
      <c r="BW263" s="392"/>
      <c r="BX263" s="392"/>
      <c r="BY263" s="392"/>
      <c r="BZ263" s="392"/>
      <c r="CA263" s="392"/>
      <c r="CB263" s="392"/>
      <c r="CC263" s="392"/>
      <c r="CD263" s="392"/>
      <c r="CE263" s="392"/>
      <c r="CF263" s="392"/>
      <c r="CG263" s="392"/>
      <c r="CH263" s="392"/>
      <c r="CI263" s="392"/>
      <c r="CJ263" s="392"/>
      <c r="CK263" s="392"/>
      <c r="CL263" s="392"/>
      <c r="CM263" s="392"/>
      <c r="CN263" s="392"/>
      <c r="CO263" s="392"/>
      <c r="CP263" s="392"/>
      <c r="CQ263" s="392"/>
      <c r="CR263" s="392"/>
      <c r="CS263" s="392"/>
      <c r="CT263" s="392"/>
      <c r="CU263" s="392"/>
      <c r="CV263" s="392"/>
      <c r="CW263" s="392"/>
      <c r="CX263" s="392"/>
      <c r="CY263" s="392"/>
      <c r="CZ263" s="392"/>
      <c r="DA263" s="392"/>
      <c r="DB263" s="392"/>
      <c r="DC263" s="392"/>
      <c r="DD263" s="392"/>
      <c r="DE263" s="392"/>
      <c r="DF263" s="392"/>
      <c r="DG263" s="392"/>
      <c r="DH263" s="392"/>
      <c r="DI263" s="392"/>
      <c r="DJ263" s="392"/>
      <c r="DK263" s="392"/>
      <c r="DL263" s="392"/>
      <c r="DM263" s="392"/>
      <c r="DN263" s="392"/>
      <c r="DO263" s="392"/>
      <c r="DP263" s="392"/>
      <c r="DQ263" s="392"/>
      <c r="DR263" s="392"/>
      <c r="DS263" s="392"/>
      <c r="DT263" s="392"/>
      <c r="DU263" s="392"/>
      <c r="DV263" s="392"/>
      <c r="DW263" s="392"/>
      <c r="DX263" s="392"/>
      <c r="DY263" s="392"/>
      <c r="DZ263" s="392"/>
      <c r="EA263" s="392"/>
      <c r="EB263" s="392"/>
      <c r="EC263" s="392"/>
      <c r="ED263" s="392"/>
      <c r="EE263" s="392"/>
      <c r="EF263" s="392"/>
      <c r="EG263" s="392"/>
      <c r="EH263" s="392"/>
      <c r="EI263" s="392"/>
      <c r="EJ263" s="392"/>
      <c r="EK263" s="392"/>
      <c r="EL263" s="392"/>
      <c r="EM263" s="392"/>
      <c r="EN263" s="392"/>
      <c r="EO263" s="392"/>
      <c r="EP263" s="392"/>
      <c r="EQ263" s="392"/>
      <c r="ER263" s="392"/>
      <c r="ES263" s="392"/>
      <c r="ET263" s="392"/>
      <c r="EU263" s="392"/>
      <c r="EV263" s="392"/>
      <c r="EW263" s="392"/>
      <c r="EX263" s="392"/>
      <c r="EY263" s="392"/>
      <c r="EZ263" s="392"/>
      <c r="FA263" s="392"/>
      <c r="FB263" s="392"/>
      <c r="FC263" s="392"/>
      <c r="FD263" s="392"/>
      <c r="FE263" s="392"/>
      <c r="FF263" s="392"/>
      <c r="FG263" s="392"/>
      <c r="FH263" s="392"/>
      <c r="FI263" s="392"/>
      <c r="FJ263" s="392"/>
      <c r="FK263" s="392"/>
      <c r="FL263" s="392"/>
      <c r="FM263" s="392"/>
      <c r="FN263" s="392"/>
      <c r="FO263" s="392"/>
      <c r="FP263" s="392"/>
      <c r="FQ263" s="392"/>
      <c r="FR263" s="392"/>
      <c r="FS263" s="392"/>
      <c r="FT263" s="392"/>
      <c r="FU263" s="392"/>
      <c r="FV263" s="392"/>
      <c r="FW263" s="392"/>
      <c r="FX263" s="392"/>
      <c r="FY263" s="392"/>
      <c r="FZ263" s="392"/>
      <c r="GA263" s="392"/>
      <c r="GB263" s="392"/>
      <c r="GC263" s="392"/>
      <c r="GD263" s="392"/>
      <c r="GE263" s="392"/>
      <c r="GF263" s="392"/>
      <c r="GG263" s="392"/>
      <c r="GH263" s="392"/>
      <c r="GI263" s="392"/>
      <c r="GJ263" s="392"/>
      <c r="GK263" s="392"/>
      <c r="GL263" s="392"/>
      <c r="GM263" s="392"/>
      <c r="GN263" s="392"/>
      <c r="GO263" s="392"/>
      <c r="GP263" s="392"/>
      <c r="GQ263" s="392"/>
      <c r="GR263" s="392"/>
      <c r="GS263" s="392"/>
      <c r="GT263" s="392"/>
      <c r="GU263" s="392"/>
      <c r="GV263" s="392"/>
      <c r="GW263" s="392"/>
      <c r="GX263" s="392"/>
      <c r="GY263" s="392"/>
      <c r="GZ263" s="392"/>
      <c r="HA263" s="392"/>
      <c r="HB263" s="392"/>
      <c r="HC263" s="392"/>
      <c r="HD263" s="392"/>
      <c r="HE263" s="392"/>
      <c r="HF263" s="392"/>
      <c r="HG263" s="392"/>
      <c r="HH263" s="392"/>
      <c r="HI263" s="392"/>
      <c r="HJ263" s="392"/>
      <c r="HK263" s="392"/>
      <c r="HL263" s="392"/>
      <c r="HM263" s="392"/>
      <c r="HN263" s="392"/>
      <c r="HO263" s="392"/>
      <c r="HP263" s="392"/>
      <c r="HQ263" s="392"/>
      <c r="HR263" s="392"/>
      <c r="HS263" s="392"/>
      <c r="HT263" s="392"/>
      <c r="HU263" s="392"/>
      <c r="HV263" s="392"/>
      <c r="HW263" s="392"/>
      <c r="HX263" s="392"/>
      <c r="HY263" s="392"/>
      <c r="HZ263" s="392"/>
      <c r="IA263" s="392"/>
      <c r="IB263" s="392"/>
      <c r="IC263" s="392"/>
      <c r="ID263" s="392"/>
      <c r="IE263" s="392"/>
      <c r="IF263" s="392"/>
      <c r="IG263" s="392"/>
      <c r="IH263" s="392"/>
      <c r="II263" s="392"/>
      <c r="IJ263" s="392"/>
      <c r="IK263" s="392"/>
      <c r="IL263" s="392"/>
      <c r="IM263" s="392"/>
      <c r="IN263" s="392"/>
      <c r="IO263" s="392"/>
      <c r="IP263" s="392"/>
      <c r="IQ263" s="392"/>
      <c r="IR263" s="392"/>
      <c r="IS263" s="392"/>
      <c r="IT263" s="392"/>
      <c r="IU263" s="392"/>
      <c r="IV263" s="392"/>
    </row>
    <row r="264" spans="1:256">
      <c r="A264" s="392"/>
      <c r="B264" s="448"/>
      <c r="C264" s="448"/>
      <c r="D264" s="448"/>
      <c r="E264" s="448"/>
      <c r="F264" s="448"/>
      <c r="G264" s="448"/>
      <c r="H264" s="392"/>
      <c r="I264" s="392"/>
      <c r="J264" s="392"/>
      <c r="K264" s="392"/>
      <c r="L264" s="392"/>
      <c r="M264" s="392"/>
      <c r="N264" s="392"/>
      <c r="O264" s="392"/>
      <c r="P264" s="392"/>
      <c r="Q264" s="392"/>
      <c r="R264" s="392"/>
      <c r="S264" s="392"/>
      <c r="T264" s="392"/>
      <c r="U264" s="392"/>
      <c r="V264" s="392"/>
      <c r="W264" s="392"/>
      <c r="X264" s="392"/>
      <c r="Y264" s="392"/>
      <c r="Z264" s="392"/>
      <c r="AA264" s="392"/>
      <c r="AB264" s="392"/>
      <c r="AC264" s="392"/>
      <c r="AD264" s="392"/>
      <c r="AE264" s="392"/>
      <c r="AF264" s="392"/>
      <c r="AG264" s="392"/>
      <c r="AH264" s="392"/>
      <c r="AI264" s="392"/>
      <c r="AJ264" s="392"/>
      <c r="AK264" s="392"/>
      <c r="AL264" s="392"/>
      <c r="AM264" s="392"/>
      <c r="AN264" s="392"/>
      <c r="AO264" s="392"/>
      <c r="AP264" s="392"/>
      <c r="AQ264" s="392"/>
      <c r="AR264" s="392"/>
      <c r="AS264" s="392"/>
      <c r="AT264" s="392"/>
      <c r="AU264" s="392"/>
      <c r="AV264" s="392"/>
      <c r="AW264" s="392"/>
      <c r="AX264" s="392"/>
      <c r="AY264" s="392"/>
      <c r="AZ264" s="392"/>
      <c r="BA264" s="392"/>
      <c r="BB264" s="392"/>
      <c r="BC264" s="392"/>
      <c r="BD264" s="392"/>
      <c r="BE264" s="392"/>
      <c r="BF264" s="392"/>
      <c r="BG264" s="392"/>
      <c r="BH264" s="392"/>
      <c r="BI264" s="392"/>
      <c r="BJ264" s="392"/>
      <c r="BK264" s="392"/>
      <c r="BL264" s="392"/>
      <c r="BM264" s="392"/>
      <c r="BN264" s="392"/>
      <c r="BO264" s="392"/>
      <c r="BP264" s="392"/>
      <c r="BQ264" s="392"/>
      <c r="BR264" s="392"/>
      <c r="BS264" s="392"/>
      <c r="BT264" s="392"/>
      <c r="BU264" s="392"/>
      <c r="BV264" s="392"/>
      <c r="BW264" s="392"/>
      <c r="BX264" s="392"/>
      <c r="BY264" s="392"/>
      <c r="BZ264" s="392"/>
      <c r="CA264" s="392"/>
      <c r="CB264" s="392"/>
      <c r="CC264" s="392"/>
      <c r="CD264" s="392"/>
      <c r="CE264" s="392"/>
      <c r="CF264" s="392"/>
      <c r="CG264" s="392"/>
      <c r="CH264" s="392"/>
      <c r="CI264" s="392"/>
      <c r="CJ264" s="392"/>
      <c r="CK264" s="392"/>
      <c r="CL264" s="392"/>
      <c r="CM264" s="392"/>
      <c r="CN264" s="392"/>
      <c r="CO264" s="392"/>
      <c r="CP264" s="392"/>
      <c r="CQ264" s="392"/>
      <c r="CR264" s="392"/>
      <c r="CS264" s="392"/>
      <c r="CT264" s="392"/>
      <c r="CU264" s="392"/>
      <c r="CV264" s="392"/>
      <c r="CW264" s="392"/>
      <c r="CX264" s="392"/>
      <c r="CY264" s="392"/>
      <c r="CZ264" s="392"/>
      <c r="DA264" s="392"/>
      <c r="DB264" s="392"/>
      <c r="DC264" s="392"/>
      <c r="DD264" s="392"/>
      <c r="DE264" s="392"/>
      <c r="DF264" s="392"/>
      <c r="DG264" s="392"/>
      <c r="DH264" s="392"/>
      <c r="DI264" s="392"/>
      <c r="DJ264" s="392"/>
      <c r="DK264" s="392"/>
      <c r="DL264" s="392"/>
      <c r="DM264" s="392"/>
      <c r="DN264" s="392"/>
      <c r="DO264" s="392"/>
      <c r="DP264" s="392"/>
      <c r="DQ264" s="392"/>
      <c r="DR264" s="392"/>
      <c r="DS264" s="392"/>
      <c r="DT264" s="392"/>
      <c r="DU264" s="392"/>
      <c r="DV264" s="392"/>
      <c r="DW264" s="392"/>
      <c r="DX264" s="392"/>
      <c r="DY264" s="392"/>
      <c r="DZ264" s="392"/>
      <c r="EA264" s="392"/>
      <c r="EB264" s="392"/>
      <c r="EC264" s="392"/>
      <c r="ED264" s="392"/>
      <c r="EE264" s="392"/>
      <c r="EF264" s="392"/>
      <c r="EG264" s="392"/>
      <c r="EH264" s="392"/>
      <c r="EI264" s="392"/>
      <c r="EJ264" s="392"/>
      <c r="EK264" s="392"/>
      <c r="EL264" s="392"/>
      <c r="EM264" s="392"/>
      <c r="EN264" s="392"/>
      <c r="EO264" s="392"/>
      <c r="EP264" s="392"/>
      <c r="EQ264" s="392"/>
      <c r="ER264" s="392"/>
      <c r="ES264" s="392"/>
      <c r="ET264" s="392"/>
      <c r="EU264" s="392"/>
      <c r="EV264" s="392"/>
      <c r="EW264" s="392"/>
      <c r="EX264" s="392"/>
      <c r="EY264" s="392"/>
      <c r="EZ264" s="392"/>
      <c r="FA264" s="392"/>
      <c r="FB264" s="392"/>
      <c r="FC264" s="392"/>
      <c r="FD264" s="392"/>
      <c r="FE264" s="392"/>
      <c r="FF264" s="392"/>
      <c r="FG264" s="392"/>
      <c r="FH264" s="392"/>
      <c r="FI264" s="392"/>
      <c r="FJ264" s="392"/>
      <c r="FK264" s="392"/>
      <c r="FL264" s="392"/>
      <c r="FM264" s="392"/>
      <c r="FN264" s="392"/>
      <c r="FO264" s="392"/>
      <c r="FP264" s="392"/>
      <c r="FQ264" s="392"/>
      <c r="FR264" s="392"/>
      <c r="FS264" s="392"/>
      <c r="FT264" s="392"/>
      <c r="FU264" s="392"/>
      <c r="FV264" s="392"/>
      <c r="FW264" s="392"/>
      <c r="FX264" s="392"/>
      <c r="FY264" s="392"/>
      <c r="FZ264" s="392"/>
      <c r="GA264" s="392"/>
      <c r="GB264" s="392"/>
      <c r="GC264" s="392"/>
      <c r="GD264" s="392"/>
      <c r="GE264" s="392"/>
      <c r="GF264" s="392"/>
      <c r="GG264" s="392"/>
      <c r="GH264" s="392"/>
      <c r="GI264" s="392"/>
      <c r="GJ264" s="392"/>
      <c r="GK264" s="392"/>
      <c r="GL264" s="392"/>
      <c r="GM264" s="392"/>
      <c r="GN264" s="392"/>
      <c r="GO264" s="392"/>
      <c r="GP264" s="392"/>
      <c r="GQ264" s="392"/>
      <c r="GR264" s="392"/>
      <c r="GS264" s="392"/>
      <c r="GT264" s="392"/>
      <c r="GU264" s="392"/>
      <c r="GV264" s="392"/>
      <c r="GW264" s="392"/>
      <c r="GX264" s="392"/>
      <c r="GY264" s="392"/>
      <c r="GZ264" s="392"/>
      <c r="HA264" s="392"/>
      <c r="HB264" s="392"/>
      <c r="HC264" s="392"/>
      <c r="HD264" s="392"/>
      <c r="HE264" s="392"/>
      <c r="HF264" s="392"/>
      <c r="HG264" s="392"/>
      <c r="HH264" s="392"/>
      <c r="HI264" s="392"/>
      <c r="HJ264" s="392"/>
      <c r="HK264" s="392"/>
      <c r="HL264" s="392"/>
      <c r="HM264" s="392"/>
      <c r="HN264" s="392"/>
      <c r="HO264" s="392"/>
      <c r="HP264" s="392"/>
      <c r="HQ264" s="392"/>
      <c r="HR264" s="392"/>
      <c r="HS264" s="392"/>
      <c r="HT264" s="392"/>
      <c r="HU264" s="392"/>
      <c r="HV264" s="392"/>
      <c r="HW264" s="392"/>
      <c r="HX264" s="392"/>
      <c r="HY264" s="392"/>
      <c r="HZ264" s="392"/>
      <c r="IA264" s="392"/>
      <c r="IB264" s="392"/>
      <c r="IC264" s="392"/>
      <c r="ID264" s="392"/>
      <c r="IE264" s="392"/>
      <c r="IF264" s="392"/>
      <c r="IG264" s="392"/>
      <c r="IH264" s="392"/>
      <c r="II264" s="392"/>
      <c r="IJ264" s="392"/>
      <c r="IK264" s="392"/>
      <c r="IL264" s="392"/>
      <c r="IM264" s="392"/>
      <c r="IN264" s="392"/>
      <c r="IO264" s="392"/>
      <c r="IP264" s="392"/>
      <c r="IQ264" s="392"/>
      <c r="IR264" s="392"/>
      <c r="IS264" s="392"/>
      <c r="IT264" s="392"/>
      <c r="IU264" s="392"/>
      <c r="IV264" s="392"/>
    </row>
    <row r="265" spans="1:256">
      <c r="A265" s="392"/>
      <c r="B265" s="448"/>
      <c r="C265" s="448"/>
      <c r="D265" s="448"/>
      <c r="E265" s="448"/>
      <c r="F265" s="448"/>
      <c r="G265" s="448"/>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392"/>
      <c r="AF265" s="392"/>
      <c r="AG265" s="392"/>
      <c r="AH265" s="392"/>
      <c r="AI265" s="392"/>
      <c r="AJ265" s="392"/>
      <c r="AK265" s="392"/>
      <c r="AL265" s="392"/>
      <c r="AM265" s="392"/>
      <c r="AN265" s="392"/>
      <c r="AO265" s="392"/>
      <c r="AP265" s="392"/>
      <c r="AQ265" s="392"/>
      <c r="AR265" s="392"/>
      <c r="AS265" s="392"/>
      <c r="AT265" s="392"/>
      <c r="AU265" s="392"/>
      <c r="AV265" s="392"/>
      <c r="AW265" s="392"/>
      <c r="AX265" s="392"/>
      <c r="AY265" s="392"/>
      <c r="AZ265" s="392"/>
      <c r="BA265" s="392"/>
      <c r="BB265" s="392"/>
      <c r="BC265" s="392"/>
      <c r="BD265" s="392"/>
      <c r="BE265" s="392"/>
      <c r="BF265" s="392"/>
      <c r="BG265" s="392"/>
      <c r="BH265" s="392"/>
      <c r="BI265" s="392"/>
      <c r="BJ265" s="392"/>
      <c r="BK265" s="392"/>
      <c r="BL265" s="392"/>
      <c r="BM265" s="392"/>
      <c r="BN265" s="392"/>
      <c r="BO265" s="392"/>
      <c r="BP265" s="392"/>
      <c r="BQ265" s="392"/>
      <c r="BR265" s="392"/>
      <c r="BS265" s="392"/>
      <c r="BT265" s="392"/>
      <c r="BU265" s="392"/>
      <c r="BV265" s="392"/>
      <c r="BW265" s="392"/>
      <c r="BX265" s="392"/>
      <c r="BY265" s="392"/>
      <c r="BZ265" s="392"/>
      <c r="CA265" s="392"/>
      <c r="CB265" s="392"/>
      <c r="CC265" s="392"/>
      <c r="CD265" s="392"/>
      <c r="CE265" s="392"/>
      <c r="CF265" s="392"/>
      <c r="CG265" s="392"/>
      <c r="CH265" s="392"/>
      <c r="CI265" s="392"/>
      <c r="CJ265" s="392"/>
      <c r="CK265" s="392"/>
      <c r="CL265" s="392"/>
      <c r="CM265" s="392"/>
      <c r="CN265" s="392"/>
      <c r="CO265" s="392"/>
      <c r="CP265" s="392"/>
      <c r="CQ265" s="392"/>
      <c r="CR265" s="392"/>
      <c r="CS265" s="392"/>
      <c r="CT265" s="392"/>
      <c r="CU265" s="392"/>
      <c r="CV265" s="392"/>
      <c r="CW265" s="392"/>
      <c r="CX265" s="392"/>
      <c r="CY265" s="392"/>
      <c r="CZ265" s="392"/>
      <c r="DA265" s="392"/>
      <c r="DB265" s="392"/>
      <c r="DC265" s="392"/>
      <c r="DD265" s="392"/>
      <c r="DE265" s="392"/>
      <c r="DF265" s="392"/>
      <c r="DG265" s="392"/>
      <c r="DH265" s="392"/>
      <c r="DI265" s="392"/>
      <c r="DJ265" s="392"/>
      <c r="DK265" s="392"/>
      <c r="DL265" s="392"/>
      <c r="DM265" s="392"/>
      <c r="DN265" s="392"/>
      <c r="DO265" s="392"/>
      <c r="DP265" s="392"/>
      <c r="DQ265" s="392"/>
      <c r="DR265" s="392"/>
      <c r="DS265" s="392"/>
      <c r="DT265" s="392"/>
      <c r="DU265" s="392"/>
      <c r="DV265" s="392"/>
      <c r="DW265" s="392"/>
      <c r="DX265" s="392"/>
      <c r="DY265" s="392"/>
      <c r="DZ265" s="392"/>
      <c r="EA265" s="392"/>
      <c r="EB265" s="392"/>
      <c r="EC265" s="392"/>
      <c r="ED265" s="392"/>
      <c r="EE265" s="392"/>
      <c r="EF265" s="392"/>
      <c r="EG265" s="392"/>
      <c r="EH265" s="392"/>
      <c r="EI265" s="392"/>
      <c r="EJ265" s="392"/>
      <c r="EK265" s="392"/>
      <c r="EL265" s="392"/>
      <c r="EM265" s="392"/>
      <c r="EN265" s="392"/>
      <c r="EO265" s="392"/>
      <c r="EP265" s="392"/>
      <c r="EQ265" s="392"/>
      <c r="ER265" s="392"/>
      <c r="ES265" s="392"/>
      <c r="ET265" s="392"/>
      <c r="EU265" s="392"/>
      <c r="EV265" s="392"/>
      <c r="EW265" s="392"/>
      <c r="EX265" s="392"/>
      <c r="EY265" s="392"/>
      <c r="EZ265" s="392"/>
      <c r="FA265" s="392"/>
      <c r="FB265" s="392"/>
      <c r="FC265" s="392"/>
      <c r="FD265" s="392"/>
      <c r="FE265" s="392"/>
      <c r="FF265" s="392"/>
      <c r="FG265" s="392"/>
      <c r="FH265" s="392"/>
      <c r="FI265" s="392"/>
      <c r="FJ265" s="392"/>
      <c r="FK265" s="392"/>
      <c r="FL265" s="392"/>
      <c r="FM265" s="392"/>
      <c r="FN265" s="392"/>
      <c r="FO265" s="392"/>
      <c r="FP265" s="392"/>
      <c r="FQ265" s="392"/>
      <c r="FR265" s="392"/>
      <c r="FS265" s="392"/>
      <c r="FT265" s="392"/>
      <c r="FU265" s="392"/>
      <c r="FV265" s="392"/>
      <c r="FW265" s="392"/>
      <c r="FX265" s="392"/>
      <c r="FY265" s="392"/>
      <c r="FZ265" s="392"/>
      <c r="GA265" s="392"/>
      <c r="GB265" s="392"/>
      <c r="GC265" s="392"/>
      <c r="GD265" s="392"/>
      <c r="GE265" s="392"/>
      <c r="GF265" s="392"/>
      <c r="GG265" s="392"/>
      <c r="GH265" s="392"/>
      <c r="GI265" s="392"/>
      <c r="GJ265" s="392"/>
      <c r="GK265" s="392"/>
      <c r="GL265" s="392"/>
      <c r="GM265" s="392"/>
      <c r="GN265" s="392"/>
      <c r="GO265" s="392"/>
      <c r="GP265" s="392"/>
      <c r="GQ265" s="392"/>
      <c r="GR265" s="392"/>
      <c r="GS265" s="392"/>
      <c r="GT265" s="392"/>
      <c r="GU265" s="392"/>
      <c r="GV265" s="392"/>
      <c r="GW265" s="392"/>
      <c r="GX265" s="392"/>
      <c r="GY265" s="392"/>
      <c r="GZ265" s="392"/>
      <c r="HA265" s="392"/>
      <c r="HB265" s="392"/>
      <c r="HC265" s="392"/>
      <c r="HD265" s="392"/>
      <c r="HE265" s="392"/>
      <c r="HF265" s="392"/>
      <c r="HG265" s="392"/>
      <c r="HH265" s="392"/>
      <c r="HI265" s="392"/>
      <c r="HJ265" s="392"/>
      <c r="HK265" s="392"/>
      <c r="HL265" s="392"/>
      <c r="HM265" s="392"/>
      <c r="HN265" s="392"/>
      <c r="HO265" s="392"/>
      <c r="HP265" s="392"/>
      <c r="HQ265" s="392"/>
      <c r="HR265" s="392"/>
      <c r="HS265" s="392"/>
      <c r="HT265" s="392"/>
      <c r="HU265" s="392"/>
      <c r="HV265" s="392"/>
      <c r="HW265" s="392"/>
      <c r="HX265" s="392"/>
      <c r="HY265" s="392"/>
      <c r="HZ265" s="392"/>
      <c r="IA265" s="392"/>
      <c r="IB265" s="392"/>
      <c r="IC265" s="392"/>
      <c r="ID265" s="392"/>
      <c r="IE265" s="392"/>
      <c r="IF265" s="392"/>
      <c r="IG265" s="392"/>
      <c r="IH265" s="392"/>
      <c r="II265" s="392"/>
      <c r="IJ265" s="392"/>
      <c r="IK265" s="392"/>
      <c r="IL265" s="392"/>
      <c r="IM265" s="392"/>
      <c r="IN265" s="392"/>
      <c r="IO265" s="392"/>
      <c r="IP265" s="392"/>
      <c r="IQ265" s="392"/>
      <c r="IR265" s="392"/>
      <c r="IS265" s="392"/>
      <c r="IT265" s="392"/>
      <c r="IU265" s="392"/>
      <c r="IV265" s="392"/>
    </row>
    <row r="266" spans="1:256">
      <c r="A266" s="392"/>
      <c r="B266" s="448"/>
      <c r="C266" s="448"/>
      <c r="D266" s="448"/>
      <c r="E266" s="448"/>
      <c r="F266" s="448"/>
      <c r="G266" s="448"/>
      <c r="H266" s="392"/>
      <c r="I266" s="392"/>
      <c r="J266" s="392"/>
      <c r="K266" s="392"/>
      <c r="L266" s="392"/>
      <c r="M266" s="392"/>
      <c r="N266" s="392"/>
      <c r="O266" s="392"/>
      <c r="P266" s="392"/>
      <c r="Q266" s="392"/>
      <c r="R266" s="392"/>
      <c r="S266" s="392"/>
      <c r="T266" s="392"/>
      <c r="U266" s="392"/>
      <c r="V266" s="392"/>
      <c r="W266" s="392"/>
      <c r="X266" s="392"/>
      <c r="Y266" s="392"/>
      <c r="Z266" s="392"/>
      <c r="AA266" s="392"/>
      <c r="AB266" s="392"/>
      <c r="AC266" s="392"/>
      <c r="AD266" s="392"/>
      <c r="AE266" s="392"/>
      <c r="AF266" s="392"/>
      <c r="AG266" s="392"/>
      <c r="AH266" s="392"/>
      <c r="AI266" s="392"/>
      <c r="AJ266" s="392"/>
      <c r="AK266" s="392"/>
      <c r="AL266" s="392"/>
      <c r="AM266" s="392"/>
      <c r="AN266" s="392"/>
      <c r="AO266" s="392"/>
      <c r="AP266" s="392"/>
      <c r="AQ266" s="392"/>
      <c r="AR266" s="392"/>
      <c r="AS266" s="392"/>
      <c r="AT266" s="392"/>
      <c r="AU266" s="392"/>
      <c r="AV266" s="392"/>
      <c r="AW266" s="392"/>
      <c r="AX266" s="392"/>
      <c r="AY266" s="392"/>
      <c r="AZ266" s="392"/>
      <c r="BA266" s="392"/>
      <c r="BB266" s="392"/>
      <c r="BC266" s="392"/>
      <c r="BD266" s="392"/>
      <c r="BE266" s="392"/>
      <c r="BF266" s="392"/>
      <c r="BG266" s="392"/>
      <c r="BH266" s="392"/>
      <c r="BI266" s="392"/>
      <c r="BJ266" s="392"/>
      <c r="BK266" s="392"/>
      <c r="BL266" s="392"/>
      <c r="BM266" s="392"/>
      <c r="BN266" s="392"/>
      <c r="BO266" s="392"/>
      <c r="BP266" s="392"/>
      <c r="BQ266" s="392"/>
      <c r="BR266" s="392"/>
      <c r="BS266" s="392"/>
      <c r="BT266" s="392"/>
      <c r="BU266" s="392"/>
      <c r="BV266" s="392"/>
      <c r="BW266" s="392"/>
      <c r="BX266" s="392"/>
      <c r="BY266" s="392"/>
      <c r="BZ266" s="392"/>
      <c r="CA266" s="392"/>
      <c r="CB266" s="392"/>
      <c r="CC266" s="392"/>
      <c r="CD266" s="392"/>
      <c r="CE266" s="392"/>
      <c r="CF266" s="392"/>
      <c r="CG266" s="392"/>
      <c r="CH266" s="392"/>
      <c r="CI266" s="392"/>
      <c r="CJ266" s="392"/>
      <c r="CK266" s="392"/>
      <c r="CL266" s="392"/>
      <c r="CM266" s="392"/>
      <c r="CN266" s="392"/>
      <c r="CO266" s="392"/>
      <c r="CP266" s="392"/>
      <c r="CQ266" s="392"/>
      <c r="CR266" s="392"/>
      <c r="CS266" s="392"/>
      <c r="CT266" s="392"/>
      <c r="CU266" s="392"/>
      <c r="CV266" s="392"/>
      <c r="CW266" s="392"/>
      <c r="CX266" s="392"/>
      <c r="CY266" s="392"/>
      <c r="CZ266" s="392"/>
      <c r="DA266" s="392"/>
      <c r="DB266" s="392"/>
      <c r="DC266" s="392"/>
      <c r="DD266" s="392"/>
      <c r="DE266" s="392"/>
      <c r="DF266" s="392"/>
      <c r="DG266" s="392"/>
      <c r="DH266" s="392"/>
      <c r="DI266" s="392"/>
      <c r="DJ266" s="392"/>
      <c r="DK266" s="392"/>
      <c r="DL266" s="392"/>
      <c r="DM266" s="392"/>
      <c r="DN266" s="392"/>
      <c r="DO266" s="392"/>
      <c r="DP266" s="392"/>
      <c r="DQ266" s="392"/>
      <c r="DR266" s="392"/>
      <c r="DS266" s="392"/>
      <c r="DT266" s="392"/>
      <c r="DU266" s="392"/>
      <c r="DV266" s="392"/>
      <c r="DW266" s="392"/>
      <c r="DX266" s="392"/>
      <c r="DY266" s="392"/>
      <c r="DZ266" s="392"/>
      <c r="EA266" s="392"/>
      <c r="EB266" s="392"/>
      <c r="EC266" s="392"/>
      <c r="ED266" s="392"/>
      <c r="EE266" s="392"/>
      <c r="EF266" s="392"/>
      <c r="EG266" s="392"/>
      <c r="EH266" s="392"/>
      <c r="EI266" s="392"/>
      <c r="EJ266" s="392"/>
      <c r="EK266" s="392"/>
      <c r="EL266" s="392"/>
      <c r="EM266" s="392"/>
      <c r="EN266" s="392"/>
      <c r="EO266" s="392"/>
      <c r="EP266" s="392"/>
      <c r="EQ266" s="392"/>
      <c r="ER266" s="392"/>
      <c r="ES266" s="392"/>
      <c r="ET266" s="392"/>
      <c r="EU266" s="392"/>
      <c r="EV266" s="392"/>
      <c r="EW266" s="392"/>
      <c r="EX266" s="392"/>
      <c r="EY266" s="392"/>
      <c r="EZ266" s="392"/>
      <c r="FA266" s="392"/>
      <c r="FB266" s="392"/>
      <c r="FC266" s="392"/>
      <c r="FD266" s="392"/>
      <c r="FE266" s="392"/>
      <c r="FF266" s="392"/>
      <c r="FG266" s="392"/>
      <c r="FH266" s="392"/>
      <c r="FI266" s="392"/>
      <c r="FJ266" s="392"/>
      <c r="FK266" s="392"/>
      <c r="FL266" s="392"/>
      <c r="FM266" s="392"/>
      <c r="FN266" s="392"/>
      <c r="FO266" s="392"/>
      <c r="FP266" s="392"/>
      <c r="FQ266" s="392"/>
      <c r="FR266" s="392"/>
      <c r="FS266" s="392"/>
      <c r="FT266" s="392"/>
      <c r="FU266" s="392"/>
      <c r="FV266" s="392"/>
      <c r="FW266" s="392"/>
      <c r="FX266" s="392"/>
      <c r="FY266" s="392"/>
      <c r="FZ266" s="392"/>
      <c r="GA266" s="392"/>
      <c r="GB266" s="392"/>
      <c r="GC266" s="392"/>
      <c r="GD266" s="392"/>
      <c r="GE266" s="392"/>
      <c r="GF266" s="392"/>
      <c r="GG266" s="392"/>
      <c r="GH266" s="392"/>
      <c r="GI266" s="392"/>
      <c r="GJ266" s="392"/>
      <c r="GK266" s="392"/>
      <c r="GL266" s="392"/>
      <c r="GM266" s="392"/>
      <c r="GN266" s="392"/>
      <c r="GO266" s="392"/>
      <c r="GP266" s="392"/>
      <c r="GQ266" s="392"/>
      <c r="GR266" s="392"/>
      <c r="GS266" s="392"/>
      <c r="GT266" s="392"/>
      <c r="GU266" s="392"/>
      <c r="GV266" s="392"/>
      <c r="GW266" s="392"/>
      <c r="GX266" s="392"/>
      <c r="GY266" s="392"/>
      <c r="GZ266" s="392"/>
      <c r="HA266" s="392"/>
      <c r="HB266" s="392"/>
      <c r="HC266" s="392"/>
      <c r="HD266" s="392"/>
      <c r="HE266" s="392"/>
      <c r="HF266" s="392"/>
      <c r="HG266" s="392"/>
      <c r="HH266" s="392"/>
      <c r="HI266" s="392"/>
      <c r="HJ266" s="392"/>
      <c r="HK266" s="392"/>
      <c r="HL266" s="392"/>
      <c r="HM266" s="392"/>
      <c r="HN266" s="392"/>
      <c r="HO266" s="392"/>
      <c r="HP266" s="392"/>
      <c r="HQ266" s="392"/>
      <c r="HR266" s="392"/>
      <c r="HS266" s="392"/>
      <c r="HT266" s="392"/>
      <c r="HU266" s="392"/>
      <c r="HV266" s="392"/>
      <c r="HW266" s="392"/>
      <c r="HX266" s="392"/>
      <c r="HY266" s="392"/>
      <c r="HZ266" s="392"/>
      <c r="IA266" s="392"/>
      <c r="IB266" s="392"/>
      <c r="IC266" s="392"/>
      <c r="ID266" s="392"/>
      <c r="IE266" s="392"/>
      <c r="IF266" s="392"/>
      <c r="IG266" s="392"/>
      <c r="IH266" s="392"/>
      <c r="II266" s="392"/>
      <c r="IJ266" s="392"/>
      <c r="IK266" s="392"/>
      <c r="IL266" s="392"/>
      <c r="IM266" s="392"/>
      <c r="IN266" s="392"/>
      <c r="IO266" s="392"/>
      <c r="IP266" s="392"/>
      <c r="IQ266" s="392"/>
      <c r="IR266" s="392"/>
      <c r="IS266" s="392"/>
      <c r="IT266" s="392"/>
      <c r="IU266" s="392"/>
      <c r="IV266" s="392"/>
    </row>
    <row r="267" spans="1:256">
      <c r="A267" s="392"/>
      <c r="B267" s="448"/>
      <c r="C267" s="448"/>
      <c r="D267" s="448"/>
      <c r="E267" s="448"/>
      <c r="F267" s="448"/>
      <c r="G267" s="448"/>
      <c r="H267" s="392"/>
      <c r="I267" s="392"/>
      <c r="J267" s="392"/>
      <c r="K267" s="392"/>
      <c r="L267" s="392"/>
      <c r="M267" s="392"/>
      <c r="N267" s="392"/>
      <c r="O267" s="392"/>
      <c r="P267" s="392"/>
      <c r="Q267" s="392"/>
      <c r="R267" s="392"/>
      <c r="S267" s="392"/>
      <c r="T267" s="392"/>
      <c r="U267" s="392"/>
      <c r="V267" s="392"/>
      <c r="W267" s="392"/>
      <c r="X267" s="392"/>
      <c r="Y267" s="392"/>
      <c r="Z267" s="392"/>
      <c r="AA267" s="392"/>
      <c r="AB267" s="392"/>
      <c r="AC267" s="392"/>
      <c r="AD267" s="392"/>
      <c r="AE267" s="392"/>
      <c r="AF267" s="392"/>
      <c r="AG267" s="392"/>
      <c r="AH267" s="392"/>
      <c r="AI267" s="392"/>
      <c r="AJ267" s="392"/>
      <c r="AK267" s="392"/>
      <c r="AL267" s="392"/>
      <c r="AM267" s="392"/>
      <c r="AN267" s="392"/>
      <c r="AO267" s="392"/>
      <c r="AP267" s="392"/>
      <c r="AQ267" s="392"/>
      <c r="AR267" s="392"/>
      <c r="AS267" s="392"/>
      <c r="AT267" s="392"/>
      <c r="AU267" s="392"/>
      <c r="AV267" s="392"/>
      <c r="AW267" s="392"/>
      <c r="AX267" s="392"/>
      <c r="AY267" s="392"/>
      <c r="AZ267" s="392"/>
      <c r="BA267" s="392"/>
      <c r="BB267" s="392"/>
      <c r="BC267" s="392"/>
      <c r="BD267" s="392"/>
      <c r="BE267" s="392"/>
      <c r="BF267" s="392"/>
      <c r="BG267" s="392"/>
      <c r="BH267" s="392"/>
      <c r="BI267" s="392"/>
      <c r="BJ267" s="392"/>
      <c r="BK267" s="392"/>
      <c r="BL267" s="392"/>
      <c r="BM267" s="392"/>
      <c r="BN267" s="392"/>
      <c r="BO267" s="392"/>
      <c r="BP267" s="392"/>
      <c r="BQ267" s="392"/>
      <c r="BR267" s="392"/>
      <c r="BS267" s="392"/>
      <c r="BT267" s="392"/>
      <c r="BU267" s="392"/>
      <c r="BV267" s="392"/>
      <c r="BW267" s="392"/>
      <c r="BX267" s="392"/>
      <c r="BY267" s="392"/>
      <c r="BZ267" s="392"/>
      <c r="CA267" s="392"/>
      <c r="CB267" s="392"/>
      <c r="CC267" s="392"/>
      <c r="CD267" s="392"/>
      <c r="CE267" s="392"/>
      <c r="CF267" s="392"/>
      <c r="CG267" s="392"/>
      <c r="CH267" s="392"/>
      <c r="CI267" s="392"/>
      <c r="CJ267" s="392"/>
      <c r="CK267" s="392"/>
      <c r="CL267" s="392"/>
      <c r="CM267" s="392"/>
      <c r="CN267" s="392"/>
      <c r="CO267" s="392"/>
      <c r="CP267" s="392"/>
      <c r="CQ267" s="392"/>
      <c r="CR267" s="392"/>
      <c r="CS267" s="392"/>
      <c r="CT267" s="392"/>
      <c r="CU267" s="392"/>
      <c r="CV267" s="392"/>
      <c r="CW267" s="392"/>
      <c r="CX267" s="392"/>
      <c r="CY267" s="392"/>
      <c r="CZ267" s="392"/>
      <c r="DA267" s="392"/>
      <c r="DB267" s="392"/>
      <c r="DC267" s="392"/>
      <c r="DD267" s="392"/>
      <c r="DE267" s="392"/>
      <c r="DF267" s="392"/>
      <c r="DG267" s="392"/>
      <c r="DH267" s="392"/>
      <c r="DI267" s="392"/>
      <c r="DJ267" s="392"/>
      <c r="DK267" s="392"/>
      <c r="DL267" s="392"/>
      <c r="DM267" s="392"/>
      <c r="DN267" s="392"/>
      <c r="DO267" s="392"/>
      <c r="DP267" s="392"/>
      <c r="DQ267" s="392"/>
      <c r="DR267" s="392"/>
      <c r="DS267" s="392"/>
      <c r="DT267" s="392"/>
      <c r="DU267" s="392"/>
      <c r="DV267" s="392"/>
      <c r="DW267" s="392"/>
      <c r="DX267" s="392"/>
      <c r="DY267" s="392"/>
      <c r="DZ267" s="392"/>
      <c r="EA267" s="392"/>
      <c r="EB267" s="392"/>
      <c r="EC267" s="392"/>
      <c r="ED267" s="392"/>
      <c r="EE267" s="392"/>
      <c r="EF267" s="392"/>
      <c r="EG267" s="392"/>
      <c r="EH267" s="392"/>
      <c r="EI267" s="392"/>
      <c r="EJ267" s="392"/>
      <c r="EK267" s="392"/>
      <c r="EL267" s="392"/>
      <c r="EM267" s="392"/>
      <c r="EN267" s="392"/>
      <c r="EO267" s="392"/>
      <c r="EP267" s="392"/>
      <c r="EQ267" s="392"/>
      <c r="ER267" s="392"/>
      <c r="ES267" s="392"/>
      <c r="ET267" s="392"/>
      <c r="EU267" s="392"/>
      <c r="EV267" s="392"/>
      <c r="EW267" s="392"/>
      <c r="EX267" s="392"/>
      <c r="EY267" s="392"/>
      <c r="EZ267" s="392"/>
      <c r="FA267" s="392"/>
      <c r="FB267" s="392"/>
      <c r="FC267" s="392"/>
      <c r="FD267" s="392"/>
      <c r="FE267" s="392"/>
      <c r="FF267" s="392"/>
      <c r="FG267" s="392"/>
      <c r="FH267" s="392"/>
      <c r="FI267" s="392"/>
      <c r="FJ267" s="392"/>
      <c r="FK267" s="392"/>
      <c r="FL267" s="392"/>
      <c r="FM267" s="392"/>
      <c r="FN267" s="392"/>
      <c r="FO267" s="392"/>
      <c r="FP267" s="392"/>
      <c r="FQ267" s="392"/>
      <c r="FR267" s="392"/>
      <c r="FS267" s="392"/>
      <c r="FT267" s="392"/>
      <c r="FU267" s="392"/>
      <c r="FV267" s="392"/>
      <c r="FW267" s="392"/>
      <c r="FX267" s="392"/>
      <c r="FY267" s="392"/>
      <c r="FZ267" s="392"/>
      <c r="GA267" s="392"/>
      <c r="GB267" s="392"/>
      <c r="GC267" s="392"/>
      <c r="GD267" s="392"/>
      <c r="GE267" s="392"/>
      <c r="GF267" s="392"/>
      <c r="GG267" s="392"/>
      <c r="GH267" s="392"/>
      <c r="GI267" s="392"/>
      <c r="GJ267" s="392"/>
      <c r="GK267" s="392"/>
      <c r="GL267" s="392"/>
      <c r="GM267" s="392"/>
      <c r="GN267" s="392"/>
      <c r="GO267" s="392"/>
      <c r="GP267" s="392"/>
      <c r="GQ267" s="392"/>
      <c r="GR267" s="392"/>
      <c r="GS267" s="392"/>
      <c r="GT267" s="392"/>
      <c r="GU267" s="392"/>
      <c r="GV267" s="392"/>
      <c r="GW267" s="392"/>
      <c r="GX267" s="392"/>
      <c r="GY267" s="392"/>
      <c r="GZ267" s="392"/>
      <c r="HA267" s="392"/>
      <c r="HB267" s="392"/>
      <c r="HC267" s="392"/>
      <c r="HD267" s="392"/>
      <c r="HE267" s="392"/>
      <c r="HF267" s="392"/>
      <c r="HG267" s="392"/>
      <c r="HH267" s="392"/>
      <c r="HI267" s="392"/>
      <c r="HJ267" s="392"/>
      <c r="HK267" s="392"/>
      <c r="HL267" s="392"/>
      <c r="HM267" s="392"/>
      <c r="HN267" s="392"/>
      <c r="HO267" s="392"/>
      <c r="HP267" s="392"/>
      <c r="HQ267" s="392"/>
      <c r="HR267" s="392"/>
      <c r="HS267" s="392"/>
      <c r="HT267" s="392"/>
      <c r="HU267" s="392"/>
      <c r="HV267" s="392"/>
      <c r="HW267" s="392"/>
      <c r="HX267" s="392"/>
      <c r="HY267" s="392"/>
      <c r="HZ267" s="392"/>
      <c r="IA267" s="392"/>
      <c r="IB267" s="392"/>
      <c r="IC267" s="392"/>
      <c r="ID267" s="392"/>
      <c r="IE267" s="392"/>
      <c r="IF267" s="392"/>
      <c r="IG267" s="392"/>
      <c r="IH267" s="392"/>
      <c r="II267" s="392"/>
      <c r="IJ267" s="392"/>
      <c r="IK267" s="392"/>
      <c r="IL267" s="392"/>
      <c r="IM267" s="392"/>
      <c r="IN267" s="392"/>
      <c r="IO267" s="392"/>
      <c r="IP267" s="392"/>
      <c r="IQ267" s="392"/>
      <c r="IR267" s="392"/>
      <c r="IS267" s="392"/>
      <c r="IT267" s="392"/>
      <c r="IU267" s="392"/>
      <c r="IV267" s="392"/>
    </row>
    <row r="268" spans="1:256">
      <c r="A268" s="392"/>
      <c r="B268" s="448"/>
      <c r="C268" s="448"/>
      <c r="D268" s="448"/>
      <c r="E268" s="448"/>
      <c r="F268" s="448"/>
      <c r="G268" s="448"/>
      <c r="H268" s="392"/>
      <c r="I268" s="392"/>
      <c r="J268" s="392"/>
      <c r="K268" s="392"/>
      <c r="L268" s="392"/>
      <c r="M268" s="392"/>
      <c r="N268" s="392"/>
      <c r="O268" s="392"/>
      <c r="P268" s="392"/>
      <c r="Q268" s="392"/>
      <c r="R268" s="392"/>
      <c r="S268" s="392"/>
      <c r="T268" s="392"/>
      <c r="U268" s="392"/>
      <c r="V268" s="392"/>
      <c r="W268" s="392"/>
      <c r="X268" s="392"/>
      <c r="Y268" s="392"/>
      <c r="Z268" s="392"/>
      <c r="AA268" s="392"/>
      <c r="AB268" s="392"/>
      <c r="AC268" s="392"/>
      <c r="AD268" s="392"/>
      <c r="AE268" s="392"/>
      <c r="AF268" s="392"/>
      <c r="AG268" s="392"/>
      <c r="AH268" s="392"/>
      <c r="AI268" s="392"/>
      <c r="AJ268" s="392"/>
      <c r="AK268" s="392"/>
      <c r="AL268" s="392"/>
      <c r="AM268" s="392"/>
      <c r="AN268" s="392"/>
      <c r="AO268" s="392"/>
      <c r="AP268" s="392"/>
      <c r="AQ268" s="392"/>
      <c r="AR268" s="392"/>
      <c r="AS268" s="392"/>
      <c r="AT268" s="392"/>
      <c r="AU268" s="392"/>
      <c r="AV268" s="392"/>
      <c r="AW268" s="392"/>
      <c r="AX268" s="392"/>
      <c r="AY268" s="392"/>
      <c r="AZ268" s="392"/>
      <c r="BA268" s="392"/>
      <c r="BB268" s="392"/>
      <c r="BC268" s="392"/>
      <c r="BD268" s="392"/>
      <c r="BE268" s="392"/>
      <c r="BF268" s="392"/>
      <c r="BG268" s="392"/>
      <c r="BH268" s="392"/>
      <c r="BI268" s="392"/>
      <c r="BJ268" s="392"/>
      <c r="BK268" s="392"/>
      <c r="BL268" s="392"/>
      <c r="BM268" s="392"/>
      <c r="BN268" s="392"/>
      <c r="BO268" s="392"/>
      <c r="BP268" s="392"/>
      <c r="BQ268" s="392"/>
      <c r="BR268" s="392"/>
      <c r="BS268" s="392"/>
      <c r="BT268" s="392"/>
      <c r="BU268" s="392"/>
      <c r="BV268" s="392"/>
      <c r="BW268" s="392"/>
      <c r="BX268" s="392"/>
      <c r="BY268" s="392"/>
      <c r="BZ268" s="392"/>
      <c r="CA268" s="392"/>
      <c r="CB268" s="392"/>
      <c r="CC268" s="392"/>
      <c r="CD268" s="392"/>
      <c r="CE268" s="392"/>
      <c r="CF268" s="392"/>
      <c r="CG268" s="392"/>
      <c r="CH268" s="392"/>
      <c r="CI268" s="392"/>
      <c r="CJ268" s="392"/>
      <c r="CK268" s="392"/>
      <c r="CL268" s="392"/>
      <c r="CM268" s="392"/>
      <c r="CN268" s="392"/>
      <c r="CO268" s="392"/>
      <c r="CP268" s="392"/>
      <c r="CQ268" s="392"/>
      <c r="CR268" s="392"/>
      <c r="CS268" s="392"/>
      <c r="CT268" s="392"/>
      <c r="CU268" s="392"/>
      <c r="CV268" s="392"/>
      <c r="CW268" s="392"/>
      <c r="CX268" s="392"/>
      <c r="CY268" s="392"/>
      <c r="CZ268" s="392"/>
      <c r="DA268" s="392"/>
      <c r="DB268" s="392"/>
      <c r="DC268" s="392"/>
      <c r="DD268" s="392"/>
      <c r="DE268" s="392"/>
      <c r="DF268" s="392"/>
      <c r="DG268" s="392"/>
      <c r="DH268" s="392"/>
      <c r="DI268" s="392"/>
      <c r="DJ268" s="392"/>
      <c r="DK268" s="392"/>
      <c r="DL268" s="392"/>
      <c r="DM268" s="392"/>
      <c r="DN268" s="392"/>
      <c r="DO268" s="392"/>
      <c r="DP268" s="392"/>
      <c r="DQ268" s="392"/>
      <c r="DR268" s="392"/>
      <c r="DS268" s="392"/>
      <c r="DT268" s="392"/>
      <c r="DU268" s="392"/>
      <c r="DV268" s="392"/>
      <c r="DW268" s="392"/>
      <c r="DX268" s="392"/>
      <c r="DY268" s="392"/>
      <c r="DZ268" s="392"/>
      <c r="EA268" s="392"/>
      <c r="EB268" s="392"/>
      <c r="EC268" s="392"/>
      <c r="ED268" s="392"/>
      <c r="EE268" s="392"/>
      <c r="EF268" s="392"/>
      <c r="EG268" s="392"/>
      <c r="EH268" s="392"/>
      <c r="EI268" s="392"/>
      <c r="EJ268" s="392"/>
      <c r="EK268" s="392"/>
      <c r="EL268" s="392"/>
      <c r="EM268" s="392"/>
      <c r="EN268" s="392"/>
      <c r="EO268" s="392"/>
      <c r="EP268" s="392"/>
      <c r="EQ268" s="392"/>
      <c r="ER268" s="392"/>
      <c r="ES268" s="392"/>
      <c r="ET268" s="392"/>
      <c r="EU268" s="392"/>
      <c r="EV268" s="392"/>
      <c r="EW268" s="392"/>
      <c r="EX268" s="392"/>
      <c r="EY268" s="392"/>
      <c r="EZ268" s="392"/>
      <c r="FA268" s="392"/>
      <c r="FB268" s="392"/>
      <c r="FC268" s="392"/>
      <c r="FD268" s="392"/>
      <c r="FE268" s="392"/>
      <c r="FF268" s="392"/>
      <c r="FG268" s="392"/>
      <c r="FH268" s="392"/>
      <c r="FI268" s="392"/>
      <c r="FJ268" s="392"/>
      <c r="FK268" s="392"/>
      <c r="FL268" s="392"/>
      <c r="FM268" s="392"/>
      <c r="FN268" s="392"/>
      <c r="FO268" s="392"/>
      <c r="FP268" s="392"/>
      <c r="FQ268" s="392"/>
      <c r="FR268" s="392"/>
      <c r="FS268" s="392"/>
      <c r="FT268" s="392"/>
      <c r="FU268" s="392"/>
      <c r="FV268" s="392"/>
      <c r="FW268" s="392"/>
      <c r="FX268" s="392"/>
      <c r="FY268" s="392"/>
      <c r="FZ268" s="392"/>
      <c r="GA268" s="392"/>
      <c r="GB268" s="392"/>
      <c r="GC268" s="392"/>
      <c r="GD268" s="392"/>
      <c r="GE268" s="392"/>
      <c r="GF268" s="392"/>
      <c r="GG268" s="392"/>
      <c r="GH268" s="392"/>
      <c r="GI268" s="392"/>
      <c r="GJ268" s="392"/>
      <c r="GK268" s="392"/>
      <c r="GL268" s="392"/>
      <c r="GM268" s="392"/>
      <c r="GN268" s="392"/>
      <c r="GO268" s="392"/>
      <c r="GP268" s="392"/>
      <c r="GQ268" s="392"/>
      <c r="GR268" s="392"/>
      <c r="GS268" s="392"/>
      <c r="GT268" s="392"/>
      <c r="GU268" s="392"/>
      <c r="GV268" s="392"/>
      <c r="GW268" s="392"/>
      <c r="GX268" s="392"/>
      <c r="GY268" s="392"/>
      <c r="GZ268" s="392"/>
      <c r="HA268" s="392"/>
      <c r="HB268" s="392"/>
      <c r="HC268" s="392"/>
      <c r="HD268" s="392"/>
      <c r="HE268" s="392"/>
      <c r="HF268" s="392"/>
      <c r="HG268" s="392"/>
      <c r="HH268" s="392"/>
      <c r="HI268" s="392"/>
      <c r="HJ268" s="392"/>
      <c r="HK268" s="392"/>
      <c r="HL268" s="392"/>
      <c r="HM268" s="392"/>
      <c r="HN268" s="392"/>
      <c r="HO268" s="392"/>
      <c r="HP268" s="392"/>
      <c r="HQ268" s="392"/>
      <c r="HR268" s="392"/>
      <c r="HS268" s="392"/>
      <c r="HT268" s="392"/>
      <c r="HU268" s="392"/>
      <c r="HV268" s="392"/>
      <c r="HW268" s="392"/>
      <c r="HX268" s="392"/>
      <c r="HY268" s="392"/>
      <c r="HZ268" s="392"/>
      <c r="IA268" s="392"/>
      <c r="IB268" s="392"/>
      <c r="IC268" s="392"/>
      <c r="ID268" s="392"/>
      <c r="IE268" s="392"/>
      <c r="IF268" s="392"/>
      <c r="IG268" s="392"/>
      <c r="IH268" s="392"/>
      <c r="II268" s="392"/>
      <c r="IJ268" s="392"/>
      <c r="IK268" s="392"/>
      <c r="IL268" s="392"/>
      <c r="IM268" s="392"/>
      <c r="IN268" s="392"/>
      <c r="IO268" s="392"/>
      <c r="IP268" s="392"/>
      <c r="IQ268" s="392"/>
      <c r="IR268" s="392"/>
      <c r="IS268" s="392"/>
      <c r="IT268" s="392"/>
      <c r="IU268" s="392"/>
      <c r="IV268" s="392"/>
    </row>
    <row r="269" spans="1:256">
      <c r="A269" s="392"/>
      <c r="B269" s="448"/>
      <c r="C269" s="448"/>
      <c r="D269" s="448"/>
      <c r="E269" s="448"/>
      <c r="F269" s="448"/>
      <c r="G269" s="448"/>
      <c r="H269" s="392"/>
      <c r="I269" s="392"/>
      <c r="J269" s="392"/>
      <c r="K269" s="392"/>
      <c r="L269" s="392"/>
      <c r="M269" s="392"/>
      <c r="N269" s="392"/>
      <c r="O269" s="392"/>
      <c r="P269" s="392"/>
      <c r="Q269" s="392"/>
      <c r="R269" s="392"/>
      <c r="S269" s="392"/>
      <c r="T269" s="392"/>
      <c r="U269" s="392"/>
      <c r="V269" s="392"/>
      <c r="W269" s="392"/>
      <c r="X269" s="392"/>
      <c r="Y269" s="392"/>
      <c r="Z269" s="392"/>
      <c r="AA269" s="392"/>
      <c r="AB269" s="392"/>
      <c r="AC269" s="392"/>
      <c r="AD269" s="392"/>
      <c r="AE269" s="392"/>
      <c r="AF269" s="392"/>
      <c r="AG269" s="392"/>
      <c r="AH269" s="392"/>
      <c r="AI269" s="392"/>
      <c r="AJ269" s="392"/>
      <c r="AK269" s="392"/>
      <c r="AL269" s="392"/>
      <c r="AM269" s="392"/>
      <c r="AN269" s="392"/>
      <c r="AO269" s="392"/>
      <c r="AP269" s="392"/>
      <c r="AQ269" s="392"/>
      <c r="AR269" s="392"/>
      <c r="AS269" s="392"/>
      <c r="AT269" s="392"/>
      <c r="AU269" s="392"/>
      <c r="AV269" s="392"/>
      <c r="AW269" s="392"/>
      <c r="AX269" s="392"/>
      <c r="AY269" s="392"/>
      <c r="AZ269" s="392"/>
      <c r="BA269" s="392"/>
      <c r="BB269" s="392"/>
      <c r="BC269" s="392"/>
      <c r="BD269" s="392"/>
      <c r="BE269" s="392"/>
      <c r="BF269" s="392"/>
      <c r="BG269" s="392"/>
      <c r="BH269" s="392"/>
      <c r="BI269" s="392"/>
      <c r="BJ269" s="392"/>
      <c r="BK269" s="392"/>
      <c r="BL269" s="392"/>
      <c r="BM269" s="392"/>
      <c r="BN269" s="392"/>
      <c r="BO269" s="392"/>
      <c r="BP269" s="392"/>
      <c r="BQ269" s="392"/>
      <c r="BR269" s="392"/>
      <c r="BS269" s="392"/>
      <c r="BT269" s="392"/>
      <c r="BU269" s="392"/>
      <c r="BV269" s="392"/>
      <c r="BW269" s="392"/>
      <c r="BX269" s="392"/>
      <c r="BY269" s="392"/>
      <c r="BZ269" s="392"/>
      <c r="CA269" s="392"/>
      <c r="CB269" s="392"/>
      <c r="CC269" s="392"/>
      <c r="CD269" s="392"/>
      <c r="CE269" s="392"/>
      <c r="CF269" s="392"/>
      <c r="CG269" s="392"/>
      <c r="CH269" s="392"/>
      <c r="CI269" s="392"/>
      <c r="CJ269" s="392"/>
      <c r="CK269" s="392"/>
      <c r="CL269" s="392"/>
      <c r="CM269" s="392"/>
      <c r="CN269" s="392"/>
      <c r="CO269" s="392"/>
      <c r="CP269" s="392"/>
      <c r="CQ269" s="392"/>
      <c r="CR269" s="392"/>
      <c r="CS269" s="392"/>
      <c r="CT269" s="392"/>
      <c r="CU269" s="392"/>
      <c r="CV269" s="392"/>
      <c r="CW269" s="392"/>
      <c r="CX269" s="392"/>
      <c r="CY269" s="392"/>
      <c r="CZ269" s="392"/>
      <c r="DA269" s="392"/>
      <c r="DB269" s="392"/>
      <c r="DC269" s="392"/>
      <c r="DD269" s="392"/>
      <c r="DE269" s="392"/>
      <c r="DF269" s="392"/>
      <c r="DG269" s="392"/>
      <c r="DH269" s="392"/>
      <c r="DI269" s="392"/>
      <c r="DJ269" s="392"/>
      <c r="DK269" s="392"/>
      <c r="DL269" s="392"/>
      <c r="DM269" s="392"/>
      <c r="DN269" s="392"/>
      <c r="DO269" s="392"/>
      <c r="DP269" s="392"/>
      <c r="DQ269" s="392"/>
      <c r="DR269" s="392"/>
      <c r="DS269" s="392"/>
      <c r="DT269" s="392"/>
      <c r="DU269" s="392"/>
      <c r="DV269" s="392"/>
      <c r="DW269" s="392"/>
      <c r="DX269" s="392"/>
      <c r="DY269" s="392"/>
      <c r="DZ269" s="392"/>
      <c r="EA269" s="392"/>
      <c r="EB269" s="392"/>
      <c r="EC269" s="392"/>
      <c r="ED269" s="392"/>
      <c r="EE269" s="392"/>
      <c r="EF269" s="392"/>
      <c r="EG269" s="392"/>
      <c r="EH269" s="392"/>
      <c r="EI269" s="392"/>
      <c r="EJ269" s="392"/>
      <c r="EK269" s="392"/>
      <c r="EL269" s="392"/>
      <c r="EM269" s="392"/>
      <c r="EN269" s="392"/>
      <c r="EO269" s="392"/>
      <c r="EP269" s="392"/>
      <c r="EQ269" s="392"/>
      <c r="ER269" s="392"/>
      <c r="ES269" s="392"/>
      <c r="ET269" s="392"/>
      <c r="EU269" s="392"/>
      <c r="EV269" s="392"/>
      <c r="EW269" s="392"/>
      <c r="EX269" s="392"/>
      <c r="EY269" s="392"/>
      <c r="EZ269" s="392"/>
      <c r="FA269" s="392"/>
      <c r="FB269" s="392"/>
      <c r="FC269" s="392"/>
      <c r="FD269" s="392"/>
      <c r="FE269" s="392"/>
      <c r="FF269" s="392"/>
      <c r="FG269" s="392"/>
      <c r="FH269" s="392"/>
      <c r="FI269" s="392"/>
      <c r="FJ269" s="392"/>
      <c r="FK269" s="392"/>
      <c r="FL269" s="392"/>
      <c r="FM269" s="392"/>
      <c r="FN269" s="392"/>
      <c r="FO269" s="392"/>
      <c r="FP269" s="392"/>
      <c r="FQ269" s="392"/>
      <c r="FR269" s="392"/>
      <c r="FS269" s="392"/>
      <c r="FT269" s="392"/>
      <c r="FU269" s="392"/>
      <c r="FV269" s="392"/>
      <c r="FW269" s="392"/>
      <c r="FX269" s="392"/>
      <c r="FY269" s="392"/>
      <c r="FZ269" s="392"/>
      <c r="GA269" s="392"/>
      <c r="GB269" s="392"/>
      <c r="GC269" s="392"/>
      <c r="GD269" s="392"/>
      <c r="GE269" s="392"/>
      <c r="GF269" s="392"/>
      <c r="GG269" s="392"/>
      <c r="GH269" s="392"/>
      <c r="GI269" s="392"/>
      <c r="GJ269" s="392"/>
      <c r="GK269" s="392"/>
      <c r="GL269" s="392"/>
      <c r="GM269" s="392"/>
      <c r="GN269" s="392"/>
      <c r="GO269" s="392"/>
      <c r="GP269" s="392"/>
      <c r="GQ269" s="392"/>
      <c r="GR269" s="392"/>
      <c r="GS269" s="392"/>
      <c r="GT269" s="392"/>
      <c r="GU269" s="392"/>
      <c r="GV269" s="392"/>
      <c r="GW269" s="392"/>
      <c r="GX269" s="392"/>
      <c r="GY269" s="392"/>
      <c r="GZ269" s="392"/>
      <c r="HA269" s="392"/>
      <c r="HB269" s="392"/>
      <c r="HC269" s="392"/>
      <c r="HD269" s="392"/>
      <c r="HE269" s="392"/>
      <c r="HF269" s="392"/>
      <c r="HG269" s="392"/>
      <c r="HH269" s="392"/>
      <c r="HI269" s="392"/>
      <c r="HJ269" s="392"/>
      <c r="HK269" s="392"/>
      <c r="HL269" s="392"/>
      <c r="HM269" s="392"/>
      <c r="HN269" s="392"/>
      <c r="HO269" s="392"/>
      <c r="HP269" s="392"/>
      <c r="HQ269" s="392"/>
      <c r="HR269" s="392"/>
      <c r="HS269" s="392"/>
      <c r="HT269" s="392"/>
      <c r="HU269" s="392"/>
      <c r="HV269" s="392"/>
      <c r="HW269" s="392"/>
      <c r="HX269" s="392"/>
      <c r="HY269" s="392"/>
      <c r="HZ269" s="392"/>
      <c r="IA269" s="392"/>
      <c r="IB269" s="392"/>
      <c r="IC269" s="392"/>
      <c r="ID269" s="392"/>
      <c r="IE269" s="392"/>
      <c r="IF269" s="392"/>
      <c r="IG269" s="392"/>
      <c r="IH269" s="392"/>
      <c r="II269" s="392"/>
      <c r="IJ269" s="392"/>
      <c r="IK269" s="392"/>
      <c r="IL269" s="392"/>
      <c r="IM269" s="392"/>
      <c r="IN269" s="392"/>
      <c r="IO269" s="392"/>
      <c r="IP269" s="392"/>
      <c r="IQ269" s="392"/>
      <c r="IR269" s="392"/>
      <c r="IS269" s="392"/>
      <c r="IT269" s="392"/>
      <c r="IU269" s="392"/>
      <c r="IV269" s="392"/>
    </row>
    <row r="270" spans="1:256">
      <c r="A270" s="392"/>
      <c r="B270" s="448"/>
      <c r="C270" s="448"/>
      <c r="D270" s="448"/>
      <c r="E270" s="448"/>
      <c r="F270" s="448"/>
      <c r="G270" s="448"/>
      <c r="H270" s="392"/>
      <c r="I270" s="392"/>
      <c r="J270" s="392"/>
      <c r="K270" s="392"/>
      <c r="L270" s="392"/>
      <c r="M270" s="392"/>
      <c r="N270" s="392"/>
      <c r="O270" s="392"/>
      <c r="P270" s="392"/>
      <c r="Q270" s="392"/>
      <c r="R270" s="392"/>
      <c r="S270" s="392"/>
      <c r="T270" s="392"/>
      <c r="U270" s="392"/>
      <c r="V270" s="392"/>
      <c r="W270" s="392"/>
      <c r="X270" s="392"/>
      <c r="Y270" s="392"/>
      <c r="Z270" s="392"/>
      <c r="AA270" s="392"/>
      <c r="AB270" s="392"/>
      <c r="AC270" s="392"/>
      <c r="AD270" s="392"/>
      <c r="AE270" s="392"/>
      <c r="AF270" s="392"/>
      <c r="AG270" s="392"/>
      <c r="AH270" s="392"/>
      <c r="AI270" s="392"/>
      <c r="AJ270" s="392"/>
      <c r="AK270" s="392"/>
      <c r="AL270" s="392"/>
      <c r="AM270" s="392"/>
      <c r="AN270" s="392"/>
      <c r="AO270" s="392"/>
      <c r="AP270" s="392"/>
      <c r="AQ270" s="392"/>
      <c r="AR270" s="392"/>
      <c r="AS270" s="392"/>
      <c r="AT270" s="392"/>
      <c r="AU270" s="392"/>
      <c r="AV270" s="392"/>
      <c r="AW270" s="392"/>
      <c r="AX270" s="392"/>
      <c r="AY270" s="392"/>
      <c r="AZ270" s="392"/>
      <c r="BA270" s="392"/>
      <c r="BB270" s="392"/>
      <c r="BC270" s="392"/>
      <c r="BD270" s="392"/>
      <c r="BE270" s="392"/>
      <c r="BF270" s="392"/>
      <c r="BG270" s="392"/>
      <c r="BH270" s="392"/>
      <c r="BI270" s="392"/>
      <c r="BJ270" s="392"/>
      <c r="BK270" s="392"/>
      <c r="BL270" s="392"/>
      <c r="BM270" s="392"/>
      <c r="BN270" s="392"/>
      <c r="BO270" s="392"/>
      <c r="BP270" s="392"/>
      <c r="BQ270" s="392"/>
      <c r="BR270" s="392"/>
      <c r="BS270" s="392"/>
      <c r="BT270" s="392"/>
      <c r="BU270" s="392"/>
      <c r="BV270" s="392"/>
      <c r="BW270" s="392"/>
      <c r="BX270" s="392"/>
      <c r="BY270" s="392"/>
      <c r="BZ270" s="392"/>
      <c r="CA270" s="392"/>
      <c r="CB270" s="392"/>
      <c r="CC270" s="392"/>
      <c r="CD270" s="392"/>
      <c r="CE270" s="392"/>
      <c r="CF270" s="392"/>
      <c r="CG270" s="392"/>
      <c r="CH270" s="392"/>
      <c r="CI270" s="392"/>
      <c r="CJ270" s="392"/>
      <c r="CK270" s="392"/>
      <c r="CL270" s="392"/>
      <c r="CM270" s="392"/>
      <c r="CN270" s="392"/>
      <c r="CO270" s="392"/>
      <c r="CP270" s="392"/>
      <c r="CQ270" s="392"/>
      <c r="CR270" s="392"/>
      <c r="CS270" s="392"/>
      <c r="CT270" s="392"/>
      <c r="CU270" s="392"/>
      <c r="CV270" s="392"/>
      <c r="CW270" s="392"/>
      <c r="CX270" s="392"/>
      <c r="CY270" s="392"/>
      <c r="CZ270" s="392"/>
      <c r="DA270" s="392"/>
      <c r="DB270" s="392"/>
      <c r="DC270" s="392"/>
      <c r="DD270" s="392"/>
      <c r="DE270" s="392"/>
      <c r="DF270" s="392"/>
      <c r="DG270" s="392"/>
      <c r="DH270" s="392"/>
      <c r="DI270" s="392"/>
      <c r="DJ270" s="392"/>
      <c r="DK270" s="392"/>
      <c r="DL270" s="392"/>
      <c r="DM270" s="392"/>
      <c r="DN270" s="392"/>
      <c r="DO270" s="392"/>
      <c r="DP270" s="392"/>
      <c r="DQ270" s="392"/>
      <c r="DR270" s="392"/>
      <c r="DS270" s="392"/>
      <c r="DT270" s="392"/>
      <c r="DU270" s="392"/>
      <c r="DV270" s="392"/>
      <c r="DW270" s="392"/>
      <c r="DX270" s="392"/>
      <c r="DY270" s="392"/>
      <c r="DZ270" s="392"/>
      <c r="EA270" s="392"/>
      <c r="EB270" s="392"/>
      <c r="EC270" s="392"/>
      <c r="ED270" s="392"/>
      <c r="EE270" s="392"/>
      <c r="EF270" s="392"/>
      <c r="EG270" s="392"/>
      <c r="EH270" s="392"/>
      <c r="EI270" s="392"/>
      <c r="EJ270" s="392"/>
      <c r="EK270" s="392"/>
      <c r="EL270" s="392"/>
      <c r="EM270" s="392"/>
      <c r="EN270" s="392"/>
      <c r="EO270" s="392"/>
      <c r="EP270" s="392"/>
      <c r="EQ270" s="392"/>
      <c r="ER270" s="392"/>
      <c r="ES270" s="392"/>
      <c r="ET270" s="392"/>
      <c r="EU270" s="392"/>
      <c r="EV270" s="392"/>
      <c r="EW270" s="392"/>
      <c r="EX270" s="392"/>
      <c r="EY270" s="392"/>
      <c r="EZ270" s="392"/>
      <c r="FA270" s="392"/>
      <c r="FB270" s="392"/>
      <c r="FC270" s="392"/>
      <c r="FD270" s="392"/>
      <c r="FE270" s="392"/>
      <c r="FF270" s="392"/>
      <c r="FG270" s="392"/>
      <c r="FH270" s="392"/>
      <c r="FI270" s="392"/>
      <c r="FJ270" s="392"/>
      <c r="FK270" s="392"/>
      <c r="FL270" s="392"/>
      <c r="FM270" s="392"/>
      <c r="FN270" s="392"/>
      <c r="FO270" s="392"/>
      <c r="FP270" s="392"/>
      <c r="FQ270" s="392"/>
      <c r="FR270" s="392"/>
      <c r="FS270" s="392"/>
      <c r="FT270" s="392"/>
      <c r="FU270" s="392"/>
      <c r="FV270" s="392"/>
      <c r="FW270" s="392"/>
      <c r="FX270" s="392"/>
      <c r="FY270" s="392"/>
      <c r="FZ270" s="392"/>
      <c r="GA270" s="392"/>
      <c r="GB270" s="392"/>
      <c r="GC270" s="392"/>
      <c r="GD270" s="392"/>
      <c r="GE270" s="392"/>
      <c r="GF270" s="392"/>
      <c r="GG270" s="392"/>
      <c r="GH270" s="392"/>
      <c r="GI270" s="392"/>
      <c r="GJ270" s="392"/>
      <c r="GK270" s="392"/>
      <c r="GL270" s="392"/>
      <c r="GM270" s="392"/>
      <c r="GN270" s="392"/>
      <c r="GO270" s="392"/>
      <c r="GP270" s="392"/>
      <c r="GQ270" s="392"/>
      <c r="GR270" s="392"/>
      <c r="GS270" s="392"/>
      <c r="GT270" s="392"/>
      <c r="GU270" s="392"/>
      <c r="GV270" s="392"/>
      <c r="GW270" s="392"/>
      <c r="GX270" s="392"/>
      <c r="GY270" s="392"/>
      <c r="GZ270" s="392"/>
      <c r="HA270" s="392"/>
      <c r="HB270" s="392"/>
      <c r="HC270" s="392"/>
      <c r="HD270" s="392"/>
      <c r="HE270" s="392"/>
      <c r="HF270" s="392"/>
      <c r="HG270" s="392"/>
      <c r="HH270" s="392"/>
      <c r="HI270" s="392"/>
      <c r="HJ270" s="392"/>
      <c r="HK270" s="392"/>
      <c r="HL270" s="392"/>
      <c r="HM270" s="392"/>
      <c r="HN270" s="392"/>
      <c r="HO270" s="392"/>
      <c r="HP270" s="392"/>
      <c r="HQ270" s="392"/>
      <c r="HR270" s="392"/>
      <c r="HS270" s="392"/>
      <c r="HT270" s="392"/>
      <c r="HU270" s="392"/>
      <c r="HV270" s="392"/>
      <c r="HW270" s="392"/>
      <c r="HX270" s="392"/>
      <c r="HY270" s="392"/>
      <c r="HZ270" s="392"/>
      <c r="IA270" s="392"/>
      <c r="IB270" s="392"/>
      <c r="IC270" s="392"/>
      <c r="ID270" s="392"/>
      <c r="IE270" s="392"/>
      <c r="IF270" s="392"/>
      <c r="IG270" s="392"/>
      <c r="IH270" s="392"/>
      <c r="II270" s="392"/>
      <c r="IJ270" s="392"/>
      <c r="IK270" s="392"/>
      <c r="IL270" s="392"/>
      <c r="IM270" s="392"/>
      <c r="IN270" s="392"/>
      <c r="IO270" s="392"/>
      <c r="IP270" s="392"/>
      <c r="IQ270" s="392"/>
      <c r="IR270" s="392"/>
      <c r="IS270" s="392"/>
      <c r="IT270" s="392"/>
      <c r="IU270" s="392"/>
      <c r="IV270" s="392"/>
    </row>
    <row r="271" spans="1:256">
      <c r="A271" s="392"/>
      <c r="B271" s="448"/>
      <c r="C271" s="448"/>
      <c r="D271" s="448"/>
      <c r="E271" s="448"/>
      <c r="F271" s="448"/>
      <c r="G271" s="448"/>
      <c r="H271" s="392"/>
      <c r="I271" s="392"/>
      <c r="J271" s="392"/>
      <c r="K271" s="392"/>
      <c r="L271" s="392"/>
      <c r="M271" s="392"/>
      <c r="N271" s="392"/>
      <c r="O271" s="392"/>
      <c r="P271" s="392"/>
      <c r="Q271" s="392"/>
      <c r="R271" s="392"/>
      <c r="S271" s="392"/>
      <c r="T271" s="392"/>
      <c r="U271" s="392"/>
      <c r="V271" s="392"/>
      <c r="W271" s="392"/>
      <c r="X271" s="392"/>
      <c r="Y271" s="392"/>
      <c r="Z271" s="392"/>
      <c r="AA271" s="392"/>
      <c r="AB271" s="392"/>
      <c r="AC271" s="392"/>
      <c r="AD271" s="392"/>
      <c r="AE271" s="392"/>
      <c r="AF271" s="392"/>
      <c r="AG271" s="392"/>
      <c r="AH271" s="392"/>
      <c r="AI271" s="392"/>
      <c r="AJ271" s="392"/>
      <c r="AK271" s="392"/>
      <c r="AL271" s="392"/>
      <c r="AM271" s="392"/>
      <c r="AN271" s="392"/>
      <c r="AO271" s="392"/>
      <c r="AP271" s="392"/>
      <c r="AQ271" s="392"/>
      <c r="AR271" s="392"/>
      <c r="AS271" s="392"/>
      <c r="AT271" s="392"/>
      <c r="AU271" s="392"/>
      <c r="AV271" s="392"/>
      <c r="AW271" s="392"/>
      <c r="AX271" s="392"/>
      <c r="AY271" s="392"/>
      <c r="AZ271" s="392"/>
      <c r="BA271" s="392"/>
      <c r="BB271" s="392"/>
      <c r="BC271" s="392"/>
      <c r="BD271" s="392"/>
      <c r="BE271" s="392"/>
      <c r="BF271" s="392"/>
      <c r="BG271" s="392"/>
      <c r="BH271" s="392"/>
      <c r="BI271" s="392"/>
      <c r="BJ271" s="392"/>
      <c r="BK271" s="392"/>
      <c r="BL271" s="392"/>
      <c r="BM271" s="392"/>
      <c r="BN271" s="392"/>
      <c r="BO271" s="392"/>
      <c r="BP271" s="392"/>
      <c r="BQ271" s="392"/>
      <c r="BR271" s="392"/>
      <c r="BS271" s="392"/>
      <c r="BT271" s="392"/>
      <c r="BU271" s="392"/>
      <c r="BV271" s="392"/>
      <c r="BW271" s="392"/>
      <c r="BX271" s="392"/>
      <c r="BY271" s="392"/>
      <c r="BZ271" s="392"/>
      <c r="CA271" s="392"/>
      <c r="CB271" s="392"/>
      <c r="CC271" s="392"/>
      <c r="CD271" s="392"/>
      <c r="CE271" s="392"/>
      <c r="CF271" s="392"/>
      <c r="CG271" s="392"/>
      <c r="CH271" s="392"/>
      <c r="CI271" s="392"/>
      <c r="CJ271" s="392"/>
      <c r="CK271" s="392"/>
      <c r="CL271" s="392"/>
      <c r="CM271" s="392"/>
      <c r="CN271" s="392"/>
      <c r="CO271" s="392"/>
      <c r="CP271" s="392"/>
      <c r="CQ271" s="392"/>
      <c r="CR271" s="392"/>
      <c r="CS271" s="392"/>
      <c r="CT271" s="392"/>
      <c r="CU271" s="392"/>
      <c r="CV271" s="392"/>
      <c r="CW271" s="392"/>
      <c r="CX271" s="392"/>
      <c r="CY271" s="392"/>
      <c r="CZ271" s="392"/>
      <c r="DA271" s="392"/>
      <c r="DB271" s="392"/>
      <c r="DC271" s="392"/>
      <c r="DD271" s="392"/>
      <c r="DE271" s="392"/>
      <c r="DF271" s="392"/>
      <c r="DG271" s="392"/>
      <c r="DH271" s="392"/>
      <c r="DI271" s="392"/>
      <c r="DJ271" s="392"/>
      <c r="DK271" s="392"/>
      <c r="DL271" s="392"/>
      <c r="DM271" s="392"/>
      <c r="DN271" s="392"/>
      <c r="DO271" s="392"/>
      <c r="DP271" s="392"/>
      <c r="DQ271" s="392"/>
      <c r="DR271" s="392"/>
      <c r="DS271" s="392"/>
      <c r="DT271" s="392"/>
      <c r="DU271" s="392"/>
      <c r="DV271" s="392"/>
      <c r="DW271" s="392"/>
      <c r="DX271" s="392"/>
      <c r="DY271" s="392"/>
      <c r="DZ271" s="392"/>
      <c r="EA271" s="392"/>
      <c r="EB271" s="392"/>
      <c r="EC271" s="392"/>
      <c r="ED271" s="392"/>
      <c r="EE271" s="392"/>
      <c r="EF271" s="392"/>
      <c r="EG271" s="392"/>
      <c r="EH271" s="392"/>
      <c r="EI271" s="392"/>
      <c r="EJ271" s="392"/>
      <c r="EK271" s="392"/>
      <c r="EL271" s="392"/>
      <c r="EM271" s="392"/>
      <c r="EN271" s="392"/>
      <c r="EO271" s="392"/>
      <c r="EP271" s="392"/>
      <c r="EQ271" s="392"/>
      <c r="ER271" s="392"/>
      <c r="ES271" s="392"/>
      <c r="ET271" s="392"/>
      <c r="EU271" s="392"/>
      <c r="EV271" s="392"/>
      <c r="EW271" s="392"/>
      <c r="EX271" s="392"/>
      <c r="EY271" s="392"/>
      <c r="EZ271" s="392"/>
      <c r="FA271" s="392"/>
      <c r="FB271" s="392"/>
      <c r="FC271" s="392"/>
      <c r="FD271" s="392"/>
      <c r="FE271" s="392"/>
      <c r="FF271" s="392"/>
      <c r="FG271" s="392"/>
      <c r="FH271" s="392"/>
      <c r="FI271" s="392"/>
      <c r="FJ271" s="392"/>
      <c r="FK271" s="392"/>
      <c r="FL271" s="392"/>
      <c r="FM271" s="392"/>
      <c r="FN271" s="392"/>
      <c r="FO271" s="392"/>
      <c r="FP271" s="392"/>
      <c r="FQ271" s="392"/>
      <c r="FR271" s="392"/>
      <c r="FS271" s="392"/>
      <c r="FT271" s="392"/>
      <c r="FU271" s="392"/>
      <c r="FV271" s="392"/>
      <c r="FW271" s="392"/>
      <c r="FX271" s="392"/>
      <c r="FY271" s="392"/>
      <c r="FZ271" s="392"/>
      <c r="GA271" s="392"/>
      <c r="GB271" s="392"/>
      <c r="GC271" s="392"/>
      <c r="GD271" s="392"/>
      <c r="GE271" s="392"/>
      <c r="GF271" s="392"/>
      <c r="GG271" s="392"/>
      <c r="GH271" s="392"/>
      <c r="GI271" s="392"/>
      <c r="GJ271" s="392"/>
      <c r="GK271" s="392"/>
      <c r="GL271" s="392"/>
      <c r="GM271" s="392"/>
      <c r="GN271" s="392"/>
      <c r="GO271" s="392"/>
      <c r="GP271" s="392"/>
      <c r="GQ271" s="392"/>
      <c r="GR271" s="392"/>
      <c r="GS271" s="392"/>
      <c r="GT271" s="392"/>
      <c r="GU271" s="392"/>
      <c r="GV271" s="392"/>
      <c r="GW271" s="392"/>
      <c r="GX271" s="392"/>
      <c r="GY271" s="392"/>
      <c r="GZ271" s="392"/>
      <c r="HA271" s="392"/>
      <c r="HB271" s="392"/>
      <c r="HC271" s="392"/>
      <c r="HD271" s="392"/>
      <c r="HE271" s="392"/>
      <c r="HF271" s="392"/>
      <c r="HG271" s="392"/>
      <c r="HH271" s="392"/>
      <c r="HI271" s="392"/>
      <c r="HJ271" s="392"/>
      <c r="HK271" s="392"/>
      <c r="HL271" s="392"/>
      <c r="HM271" s="392"/>
      <c r="HN271" s="392"/>
      <c r="HO271" s="392"/>
      <c r="HP271" s="392"/>
      <c r="HQ271" s="392"/>
      <c r="HR271" s="392"/>
      <c r="HS271" s="392"/>
      <c r="HT271" s="392"/>
      <c r="HU271" s="392"/>
      <c r="HV271" s="392"/>
      <c r="HW271" s="392"/>
      <c r="HX271" s="392"/>
      <c r="HY271" s="392"/>
      <c r="HZ271" s="392"/>
      <c r="IA271" s="392"/>
      <c r="IB271" s="392"/>
      <c r="IC271" s="392"/>
      <c r="ID271" s="392"/>
      <c r="IE271" s="392"/>
      <c r="IF271" s="392"/>
      <c r="IG271" s="392"/>
      <c r="IH271" s="392"/>
      <c r="II271" s="392"/>
      <c r="IJ271" s="392"/>
      <c r="IK271" s="392"/>
      <c r="IL271" s="392"/>
      <c r="IM271" s="392"/>
      <c r="IN271" s="392"/>
      <c r="IO271" s="392"/>
      <c r="IP271" s="392"/>
      <c r="IQ271" s="392"/>
      <c r="IR271" s="392"/>
      <c r="IS271" s="392"/>
      <c r="IT271" s="392"/>
      <c r="IU271" s="392"/>
      <c r="IV271" s="392"/>
    </row>
    <row r="272" spans="1:256">
      <c r="A272" s="392"/>
      <c r="B272" s="448"/>
      <c r="C272" s="448"/>
      <c r="D272" s="448"/>
      <c r="E272" s="448"/>
      <c r="F272" s="448"/>
      <c r="G272" s="448"/>
      <c r="H272" s="392"/>
      <c r="I272" s="392"/>
      <c r="J272" s="392"/>
      <c r="K272" s="392"/>
      <c r="L272" s="392"/>
      <c r="M272" s="392"/>
      <c r="N272" s="392"/>
      <c r="O272" s="392"/>
      <c r="P272" s="392"/>
      <c r="Q272" s="392"/>
      <c r="R272" s="392"/>
      <c r="S272" s="392"/>
      <c r="T272" s="392"/>
      <c r="U272" s="392"/>
      <c r="V272" s="392"/>
      <c r="W272" s="392"/>
      <c r="X272" s="392"/>
      <c r="Y272" s="392"/>
      <c r="Z272" s="392"/>
      <c r="AA272" s="392"/>
      <c r="AB272" s="392"/>
      <c r="AC272" s="392"/>
      <c r="AD272" s="392"/>
      <c r="AE272" s="392"/>
      <c r="AF272" s="392"/>
      <c r="AG272" s="392"/>
      <c r="AH272" s="392"/>
      <c r="AI272" s="392"/>
      <c r="AJ272" s="392"/>
      <c r="AK272" s="392"/>
      <c r="AL272" s="392"/>
      <c r="AM272" s="392"/>
      <c r="AN272" s="392"/>
      <c r="AO272" s="392"/>
      <c r="AP272" s="392"/>
      <c r="AQ272" s="392"/>
      <c r="AR272" s="392"/>
      <c r="AS272" s="392"/>
      <c r="AT272" s="392"/>
      <c r="AU272" s="392"/>
      <c r="AV272" s="392"/>
      <c r="AW272" s="392"/>
      <c r="AX272" s="392"/>
      <c r="AY272" s="392"/>
      <c r="AZ272" s="392"/>
      <c r="BA272" s="392"/>
      <c r="BB272" s="392"/>
      <c r="BC272" s="392"/>
      <c r="BD272" s="392"/>
      <c r="BE272" s="392"/>
      <c r="BF272" s="392"/>
      <c r="BG272" s="392"/>
      <c r="BH272" s="392"/>
      <c r="BI272" s="392"/>
      <c r="BJ272" s="392"/>
      <c r="BK272" s="392"/>
      <c r="BL272" s="392"/>
      <c r="BM272" s="392"/>
      <c r="BN272" s="392"/>
      <c r="BO272" s="392"/>
      <c r="BP272" s="392"/>
      <c r="BQ272" s="392"/>
      <c r="BR272" s="392"/>
      <c r="BS272" s="392"/>
      <c r="BT272" s="392"/>
      <c r="BU272" s="392"/>
      <c r="BV272" s="392"/>
      <c r="BW272" s="392"/>
      <c r="BX272" s="392"/>
      <c r="BY272" s="392"/>
      <c r="BZ272" s="392"/>
      <c r="CA272" s="392"/>
      <c r="CB272" s="392"/>
      <c r="CC272" s="392"/>
      <c r="CD272" s="392"/>
      <c r="CE272" s="392"/>
      <c r="CF272" s="392"/>
      <c r="CG272" s="392"/>
      <c r="CH272" s="392"/>
      <c r="CI272" s="392"/>
      <c r="CJ272" s="392"/>
      <c r="CK272" s="392"/>
      <c r="CL272" s="392"/>
      <c r="CM272" s="392"/>
      <c r="CN272" s="392"/>
      <c r="CO272" s="392"/>
      <c r="CP272" s="392"/>
      <c r="CQ272" s="392"/>
      <c r="CR272" s="392"/>
      <c r="CS272" s="392"/>
      <c r="CT272" s="392"/>
      <c r="CU272" s="392"/>
      <c r="CV272" s="392"/>
      <c r="CW272" s="392"/>
      <c r="CX272" s="392"/>
      <c r="CY272" s="392"/>
      <c r="CZ272" s="392"/>
      <c r="DA272" s="392"/>
      <c r="DB272" s="392"/>
      <c r="DC272" s="392"/>
      <c r="DD272" s="392"/>
      <c r="DE272" s="392"/>
      <c r="DF272" s="392"/>
      <c r="DG272" s="392"/>
      <c r="DH272" s="392"/>
      <c r="DI272" s="392"/>
      <c r="DJ272" s="392"/>
      <c r="DK272" s="392"/>
      <c r="DL272" s="392"/>
      <c r="DM272" s="392"/>
      <c r="DN272" s="392"/>
      <c r="DO272" s="392"/>
      <c r="DP272" s="392"/>
      <c r="DQ272" s="392"/>
      <c r="DR272" s="392"/>
      <c r="DS272" s="392"/>
      <c r="DT272" s="392"/>
      <c r="DU272" s="392"/>
      <c r="DV272" s="392"/>
      <c r="DW272" s="392"/>
      <c r="DX272" s="392"/>
      <c r="DY272" s="392"/>
      <c r="DZ272" s="392"/>
      <c r="EA272" s="392"/>
      <c r="EB272" s="392"/>
      <c r="EC272" s="392"/>
      <c r="ED272" s="392"/>
      <c r="EE272" s="392"/>
      <c r="EF272" s="392"/>
      <c r="EG272" s="392"/>
      <c r="EH272" s="392"/>
      <c r="EI272" s="392"/>
      <c r="EJ272" s="392"/>
      <c r="EK272" s="392"/>
      <c r="EL272" s="392"/>
      <c r="EM272" s="392"/>
      <c r="EN272" s="392"/>
      <c r="EO272" s="392"/>
      <c r="EP272" s="392"/>
      <c r="EQ272" s="392"/>
      <c r="ER272" s="392"/>
      <c r="ES272" s="392"/>
      <c r="ET272" s="392"/>
      <c r="EU272" s="392"/>
      <c r="EV272" s="392"/>
      <c r="EW272" s="392"/>
      <c r="EX272" s="392"/>
      <c r="EY272" s="392"/>
      <c r="EZ272" s="392"/>
      <c r="FA272" s="392"/>
      <c r="FB272" s="392"/>
      <c r="FC272" s="392"/>
      <c r="FD272" s="392"/>
      <c r="FE272" s="392"/>
      <c r="FF272" s="392"/>
      <c r="FG272" s="392"/>
      <c r="FH272" s="392"/>
      <c r="FI272" s="392"/>
      <c r="FJ272" s="392"/>
      <c r="FK272" s="392"/>
      <c r="FL272" s="392"/>
      <c r="FM272" s="392"/>
      <c r="FN272" s="392"/>
      <c r="FO272" s="392"/>
      <c r="FP272" s="392"/>
      <c r="FQ272" s="392"/>
      <c r="FR272" s="392"/>
      <c r="FS272" s="392"/>
      <c r="FT272" s="392"/>
      <c r="FU272" s="392"/>
      <c r="FV272" s="392"/>
      <c r="FW272" s="392"/>
      <c r="FX272" s="392"/>
      <c r="FY272" s="392"/>
      <c r="FZ272" s="392"/>
      <c r="GA272" s="392"/>
      <c r="GB272" s="392"/>
      <c r="GC272" s="392"/>
      <c r="GD272" s="392"/>
      <c r="GE272" s="392"/>
      <c r="GF272" s="392"/>
      <c r="GG272" s="392"/>
      <c r="GH272" s="392"/>
      <c r="GI272" s="392"/>
      <c r="GJ272" s="392"/>
      <c r="GK272" s="392"/>
      <c r="GL272" s="392"/>
      <c r="GM272" s="392"/>
      <c r="GN272" s="392"/>
      <c r="GO272" s="392"/>
      <c r="GP272" s="392"/>
      <c r="GQ272" s="392"/>
      <c r="GR272" s="392"/>
      <c r="GS272" s="392"/>
      <c r="GT272" s="392"/>
      <c r="GU272" s="392"/>
      <c r="GV272" s="392"/>
      <c r="GW272" s="392"/>
      <c r="GX272" s="392"/>
      <c r="GY272" s="392"/>
      <c r="GZ272" s="392"/>
      <c r="HA272" s="392"/>
      <c r="HB272" s="392"/>
      <c r="HC272" s="392"/>
      <c r="HD272" s="392"/>
      <c r="HE272" s="392"/>
      <c r="HF272" s="392"/>
      <c r="HG272" s="392"/>
      <c r="HH272" s="392"/>
      <c r="HI272" s="392"/>
      <c r="HJ272" s="392"/>
      <c r="HK272" s="392"/>
      <c r="HL272" s="392"/>
      <c r="HM272" s="392"/>
      <c r="HN272" s="392"/>
      <c r="HO272" s="392"/>
      <c r="HP272" s="392"/>
      <c r="HQ272" s="392"/>
      <c r="HR272" s="392"/>
      <c r="HS272" s="392"/>
      <c r="HT272" s="392"/>
      <c r="HU272" s="392"/>
      <c r="HV272" s="392"/>
      <c r="HW272" s="392"/>
      <c r="HX272" s="392"/>
      <c r="HY272" s="392"/>
      <c r="HZ272" s="392"/>
      <c r="IA272" s="392"/>
      <c r="IB272" s="392"/>
      <c r="IC272" s="392"/>
      <c r="ID272" s="392"/>
      <c r="IE272" s="392"/>
      <c r="IF272" s="392"/>
      <c r="IG272" s="392"/>
      <c r="IH272" s="392"/>
      <c r="II272" s="392"/>
      <c r="IJ272" s="392"/>
      <c r="IK272" s="392"/>
      <c r="IL272" s="392"/>
      <c r="IM272" s="392"/>
      <c r="IN272" s="392"/>
      <c r="IO272" s="392"/>
      <c r="IP272" s="392"/>
      <c r="IQ272" s="392"/>
      <c r="IR272" s="392"/>
      <c r="IS272" s="392"/>
      <c r="IT272" s="392"/>
      <c r="IU272" s="392"/>
      <c r="IV272" s="392"/>
    </row>
    <row r="273" spans="1:256">
      <c r="A273" s="392"/>
      <c r="B273" s="448"/>
      <c r="C273" s="448"/>
      <c r="D273" s="448"/>
      <c r="E273" s="448"/>
      <c r="F273" s="448"/>
      <c r="G273" s="448"/>
      <c r="H273" s="392"/>
      <c r="I273" s="392"/>
      <c r="J273" s="392"/>
      <c r="K273" s="392"/>
      <c r="L273" s="392"/>
      <c r="M273" s="392"/>
      <c r="N273" s="392"/>
      <c r="O273" s="392"/>
      <c r="P273" s="392"/>
      <c r="Q273" s="392"/>
      <c r="R273" s="392"/>
      <c r="S273" s="392"/>
      <c r="T273" s="392"/>
      <c r="U273" s="392"/>
      <c r="V273" s="392"/>
      <c r="W273" s="392"/>
      <c r="X273" s="392"/>
      <c r="Y273" s="392"/>
      <c r="Z273" s="392"/>
      <c r="AA273" s="392"/>
      <c r="AB273" s="392"/>
      <c r="AC273" s="392"/>
      <c r="AD273" s="392"/>
      <c r="AE273" s="392"/>
      <c r="AF273" s="392"/>
      <c r="AG273" s="392"/>
      <c r="AH273" s="392"/>
      <c r="AI273" s="392"/>
      <c r="AJ273" s="392"/>
      <c r="AK273" s="392"/>
      <c r="AL273" s="392"/>
      <c r="AM273" s="392"/>
      <c r="AN273" s="392"/>
      <c r="AO273" s="392"/>
      <c r="AP273" s="392"/>
      <c r="AQ273" s="392"/>
      <c r="AR273" s="392"/>
      <c r="AS273" s="392"/>
      <c r="AT273" s="392"/>
      <c r="AU273" s="392"/>
      <c r="AV273" s="392"/>
      <c r="AW273" s="392"/>
      <c r="AX273" s="392"/>
      <c r="AY273" s="392"/>
      <c r="AZ273" s="392"/>
      <c r="BA273" s="392"/>
      <c r="BB273" s="392"/>
      <c r="BC273" s="392"/>
      <c r="BD273" s="392"/>
      <c r="BE273" s="392"/>
      <c r="BF273" s="392"/>
      <c r="BG273" s="392"/>
      <c r="BH273" s="392"/>
      <c r="BI273" s="392"/>
      <c r="BJ273" s="392"/>
      <c r="BK273" s="392"/>
      <c r="BL273" s="392"/>
      <c r="BM273" s="392"/>
      <c r="BN273" s="392"/>
      <c r="BO273" s="392"/>
      <c r="BP273" s="392"/>
      <c r="BQ273" s="392"/>
      <c r="BR273" s="392"/>
      <c r="BS273" s="392"/>
      <c r="BT273" s="392"/>
      <c r="BU273" s="392"/>
      <c r="BV273" s="392"/>
      <c r="BW273" s="392"/>
      <c r="BX273" s="392"/>
      <c r="BY273" s="392"/>
      <c r="BZ273" s="392"/>
      <c r="CA273" s="392"/>
      <c r="CB273" s="392"/>
      <c r="CC273" s="392"/>
      <c r="CD273" s="392"/>
      <c r="CE273" s="392"/>
      <c r="CF273" s="392"/>
      <c r="CG273" s="392"/>
      <c r="CH273" s="392"/>
      <c r="CI273" s="392"/>
      <c r="CJ273" s="392"/>
      <c r="CK273" s="392"/>
      <c r="CL273" s="392"/>
      <c r="CM273" s="392"/>
      <c r="CN273" s="392"/>
      <c r="CO273" s="392"/>
      <c r="CP273" s="392"/>
      <c r="CQ273" s="392"/>
      <c r="CR273" s="392"/>
      <c r="CS273" s="392"/>
      <c r="CT273" s="392"/>
      <c r="CU273" s="392"/>
      <c r="CV273" s="392"/>
      <c r="CW273" s="392"/>
      <c r="CX273" s="392"/>
      <c r="CY273" s="392"/>
      <c r="CZ273" s="392"/>
      <c r="DA273" s="392"/>
      <c r="DB273" s="392"/>
      <c r="DC273" s="392"/>
      <c r="DD273" s="392"/>
      <c r="DE273" s="392"/>
      <c r="DF273" s="392"/>
      <c r="DG273" s="392"/>
      <c r="DH273" s="392"/>
      <c r="DI273" s="392"/>
      <c r="DJ273" s="392"/>
      <c r="DK273" s="392"/>
      <c r="DL273" s="392"/>
      <c r="DM273" s="392"/>
      <c r="DN273" s="392"/>
      <c r="DO273" s="392"/>
      <c r="DP273" s="392"/>
      <c r="DQ273" s="392"/>
      <c r="DR273" s="392"/>
      <c r="DS273" s="392"/>
      <c r="DT273" s="392"/>
      <c r="DU273" s="392"/>
      <c r="DV273" s="392"/>
      <c r="DW273" s="392"/>
      <c r="DX273" s="392"/>
      <c r="DY273" s="392"/>
      <c r="DZ273" s="392"/>
      <c r="EA273" s="392"/>
      <c r="EB273" s="392"/>
      <c r="EC273" s="392"/>
      <c r="ED273" s="392"/>
      <c r="EE273" s="392"/>
      <c r="EF273" s="392"/>
      <c r="EG273" s="392"/>
      <c r="EH273" s="392"/>
      <c r="EI273" s="392"/>
      <c r="EJ273" s="392"/>
      <c r="EK273" s="392"/>
      <c r="EL273" s="392"/>
      <c r="EM273" s="392"/>
      <c r="EN273" s="392"/>
      <c r="EO273" s="392"/>
      <c r="EP273" s="392"/>
      <c r="EQ273" s="392"/>
      <c r="ER273" s="392"/>
      <c r="ES273" s="392"/>
      <c r="ET273" s="392"/>
      <c r="EU273" s="392"/>
      <c r="EV273" s="392"/>
      <c r="EW273" s="392"/>
      <c r="EX273" s="392"/>
      <c r="EY273" s="392"/>
      <c r="EZ273" s="392"/>
      <c r="FA273" s="392"/>
      <c r="FB273" s="392"/>
      <c r="FC273" s="392"/>
      <c r="FD273" s="392"/>
      <c r="FE273" s="392"/>
      <c r="FF273" s="392"/>
      <c r="FG273" s="392"/>
      <c r="FH273" s="392"/>
      <c r="FI273" s="392"/>
      <c r="FJ273" s="392"/>
      <c r="FK273" s="392"/>
      <c r="FL273" s="392"/>
      <c r="FM273" s="392"/>
      <c r="FN273" s="392"/>
      <c r="FO273" s="392"/>
      <c r="FP273" s="392"/>
      <c r="FQ273" s="392"/>
      <c r="FR273" s="392"/>
      <c r="FS273" s="392"/>
      <c r="FT273" s="392"/>
      <c r="FU273" s="392"/>
      <c r="FV273" s="392"/>
      <c r="FW273" s="392"/>
      <c r="FX273" s="392"/>
      <c r="FY273" s="392"/>
      <c r="FZ273" s="392"/>
      <c r="GA273" s="392"/>
      <c r="GB273" s="392"/>
      <c r="GC273" s="392"/>
      <c r="GD273" s="392"/>
      <c r="GE273" s="392"/>
      <c r="GF273" s="392"/>
      <c r="GG273" s="392"/>
      <c r="GH273" s="392"/>
      <c r="GI273" s="392"/>
      <c r="GJ273" s="392"/>
      <c r="GK273" s="392"/>
      <c r="GL273" s="392"/>
      <c r="GM273" s="392"/>
      <c r="GN273" s="392"/>
      <c r="GO273" s="392"/>
      <c r="GP273" s="392"/>
      <c r="GQ273" s="392"/>
      <c r="GR273" s="392"/>
      <c r="GS273" s="392"/>
      <c r="GT273" s="392"/>
      <c r="GU273" s="392"/>
      <c r="GV273" s="392"/>
      <c r="GW273" s="392"/>
      <c r="GX273" s="392"/>
      <c r="GY273" s="392"/>
      <c r="GZ273" s="392"/>
      <c r="HA273" s="392"/>
      <c r="HB273" s="392"/>
      <c r="HC273" s="392"/>
      <c r="HD273" s="392"/>
      <c r="HE273" s="392"/>
      <c r="HF273" s="392"/>
      <c r="HG273" s="392"/>
      <c r="HH273" s="392"/>
      <c r="HI273" s="392"/>
      <c r="HJ273" s="392"/>
      <c r="HK273" s="392"/>
      <c r="HL273" s="392"/>
      <c r="HM273" s="392"/>
      <c r="HN273" s="392"/>
      <c r="HO273" s="392"/>
      <c r="HP273" s="392"/>
      <c r="HQ273" s="392"/>
      <c r="HR273" s="392"/>
      <c r="HS273" s="392"/>
      <c r="HT273" s="392"/>
      <c r="HU273" s="392"/>
      <c r="HV273" s="392"/>
      <c r="HW273" s="392"/>
      <c r="HX273" s="392"/>
      <c r="HY273" s="392"/>
      <c r="HZ273" s="392"/>
      <c r="IA273" s="392"/>
      <c r="IB273" s="392"/>
      <c r="IC273" s="392"/>
      <c r="ID273" s="392"/>
      <c r="IE273" s="392"/>
      <c r="IF273" s="392"/>
      <c r="IG273" s="392"/>
      <c r="IH273" s="392"/>
      <c r="II273" s="392"/>
      <c r="IJ273" s="392"/>
      <c r="IK273" s="392"/>
      <c r="IL273" s="392"/>
      <c r="IM273" s="392"/>
      <c r="IN273" s="392"/>
      <c r="IO273" s="392"/>
      <c r="IP273" s="392"/>
      <c r="IQ273" s="392"/>
      <c r="IR273" s="392"/>
      <c r="IS273" s="392"/>
      <c r="IT273" s="392"/>
      <c r="IU273" s="392"/>
      <c r="IV273" s="392"/>
    </row>
    <row r="274" spans="1:256">
      <c r="A274" s="392"/>
      <c r="B274" s="448"/>
      <c r="C274" s="448"/>
      <c r="D274" s="448"/>
      <c r="E274" s="448"/>
      <c r="F274" s="448"/>
      <c r="G274" s="448"/>
      <c r="H274" s="392"/>
      <c r="I274" s="392"/>
      <c r="J274" s="392"/>
      <c r="K274" s="392"/>
      <c r="L274" s="392"/>
      <c r="M274" s="392"/>
      <c r="N274" s="392"/>
      <c r="O274" s="392"/>
      <c r="P274" s="392"/>
      <c r="Q274" s="392"/>
      <c r="R274" s="392"/>
      <c r="S274" s="392"/>
      <c r="T274" s="392"/>
      <c r="U274" s="392"/>
      <c r="V274" s="392"/>
      <c r="W274" s="392"/>
      <c r="X274" s="392"/>
      <c r="Y274" s="392"/>
      <c r="Z274" s="392"/>
      <c r="AA274" s="392"/>
      <c r="AB274" s="392"/>
      <c r="AC274" s="392"/>
      <c r="AD274" s="392"/>
      <c r="AE274" s="392"/>
      <c r="AF274" s="392"/>
      <c r="AG274" s="392"/>
      <c r="AH274" s="392"/>
      <c r="AI274" s="392"/>
      <c r="AJ274" s="392"/>
      <c r="AK274" s="392"/>
      <c r="AL274" s="392"/>
      <c r="AM274" s="392"/>
      <c r="AN274" s="392"/>
      <c r="AO274" s="392"/>
      <c r="AP274" s="392"/>
      <c r="AQ274" s="392"/>
      <c r="AR274" s="392"/>
      <c r="AS274" s="392"/>
      <c r="AT274" s="392"/>
      <c r="AU274" s="392"/>
      <c r="AV274" s="392"/>
      <c r="AW274" s="392"/>
      <c r="AX274" s="392"/>
      <c r="AY274" s="392"/>
      <c r="AZ274" s="392"/>
      <c r="BA274" s="392"/>
      <c r="BB274" s="392"/>
      <c r="BC274" s="392"/>
      <c r="BD274" s="392"/>
      <c r="BE274" s="392"/>
      <c r="BF274" s="392"/>
      <c r="BG274" s="392"/>
      <c r="BH274" s="392"/>
      <c r="BI274" s="392"/>
      <c r="BJ274" s="392"/>
      <c r="BK274" s="392"/>
      <c r="BL274" s="392"/>
      <c r="BM274" s="392"/>
      <c r="BN274" s="392"/>
      <c r="BO274" s="392"/>
      <c r="BP274" s="392"/>
      <c r="BQ274" s="392"/>
      <c r="BR274" s="392"/>
      <c r="BS274" s="392"/>
      <c r="BT274" s="392"/>
      <c r="BU274" s="392"/>
      <c r="BV274" s="392"/>
      <c r="BW274" s="392"/>
      <c r="BX274" s="392"/>
      <c r="BY274" s="392"/>
      <c r="BZ274" s="392"/>
      <c r="CA274" s="392"/>
      <c r="CB274" s="392"/>
      <c r="CC274" s="392"/>
      <c r="CD274" s="392"/>
      <c r="CE274" s="392"/>
      <c r="CF274" s="392"/>
      <c r="CG274" s="392"/>
      <c r="CH274" s="392"/>
      <c r="CI274" s="392"/>
      <c r="CJ274" s="392"/>
      <c r="CK274" s="392"/>
      <c r="CL274" s="392"/>
      <c r="CM274" s="392"/>
      <c r="CN274" s="392"/>
      <c r="CO274" s="392"/>
      <c r="CP274" s="392"/>
      <c r="CQ274" s="392"/>
      <c r="CR274" s="392"/>
      <c r="CS274" s="392"/>
      <c r="CT274" s="392"/>
      <c r="CU274" s="392"/>
      <c r="CV274" s="392"/>
      <c r="CW274" s="392"/>
      <c r="CX274" s="392"/>
      <c r="CY274" s="392"/>
      <c r="CZ274" s="392"/>
      <c r="DA274" s="392"/>
      <c r="DB274" s="392"/>
      <c r="DC274" s="392"/>
      <c r="DD274" s="392"/>
      <c r="DE274" s="392"/>
      <c r="DF274" s="392"/>
      <c r="DG274" s="392"/>
      <c r="DH274" s="392"/>
      <c r="DI274" s="392"/>
      <c r="DJ274" s="392"/>
      <c r="DK274" s="392"/>
      <c r="DL274" s="392"/>
      <c r="DM274" s="392"/>
      <c r="DN274" s="392"/>
      <c r="DO274" s="392"/>
      <c r="DP274" s="392"/>
      <c r="DQ274" s="392"/>
      <c r="DR274" s="392"/>
      <c r="DS274" s="392"/>
      <c r="DT274" s="392"/>
      <c r="DU274" s="392"/>
      <c r="DV274" s="392"/>
      <c r="DW274" s="392"/>
      <c r="DX274" s="392"/>
      <c r="DY274" s="392"/>
      <c r="DZ274" s="392"/>
      <c r="EA274" s="392"/>
      <c r="EB274" s="392"/>
      <c r="EC274" s="392"/>
      <c r="ED274" s="392"/>
      <c r="EE274" s="392"/>
      <c r="EF274" s="392"/>
      <c r="EG274" s="392"/>
      <c r="EH274" s="392"/>
      <c r="EI274" s="392"/>
      <c r="EJ274" s="392"/>
      <c r="EK274" s="392"/>
      <c r="EL274" s="392"/>
      <c r="EM274" s="392"/>
      <c r="EN274" s="392"/>
      <c r="EO274" s="392"/>
      <c r="EP274" s="392"/>
      <c r="EQ274" s="392"/>
      <c r="ER274" s="392"/>
      <c r="ES274" s="392"/>
      <c r="ET274" s="392"/>
      <c r="EU274" s="392"/>
      <c r="EV274" s="392"/>
      <c r="EW274" s="392"/>
      <c r="EX274" s="392"/>
      <c r="EY274" s="392"/>
      <c r="EZ274" s="392"/>
      <c r="FA274" s="392"/>
      <c r="FB274" s="392"/>
      <c r="FC274" s="392"/>
      <c r="FD274" s="392"/>
      <c r="FE274" s="392"/>
      <c r="FF274" s="392"/>
      <c r="FG274" s="392"/>
      <c r="FH274" s="392"/>
      <c r="FI274" s="392"/>
      <c r="FJ274" s="392"/>
      <c r="FK274" s="392"/>
      <c r="FL274" s="392"/>
      <c r="FM274" s="392"/>
      <c r="FN274" s="392"/>
      <c r="FO274" s="392"/>
      <c r="FP274" s="392"/>
      <c r="FQ274" s="392"/>
      <c r="FR274" s="392"/>
      <c r="FS274" s="392"/>
      <c r="FT274" s="392"/>
      <c r="FU274" s="392"/>
      <c r="FV274" s="392"/>
      <c r="FW274" s="392"/>
      <c r="FX274" s="392"/>
      <c r="FY274" s="392"/>
      <c r="FZ274" s="392"/>
      <c r="GA274" s="392"/>
      <c r="GB274" s="392"/>
      <c r="GC274" s="392"/>
      <c r="GD274" s="392"/>
      <c r="GE274" s="392"/>
      <c r="GF274" s="392"/>
      <c r="GG274" s="392"/>
      <c r="GH274" s="392"/>
      <c r="GI274" s="392"/>
      <c r="GJ274" s="392"/>
      <c r="GK274" s="392"/>
      <c r="GL274" s="392"/>
      <c r="GM274" s="392"/>
      <c r="GN274" s="392"/>
      <c r="GO274" s="392"/>
      <c r="GP274" s="392"/>
      <c r="GQ274" s="392"/>
      <c r="GR274" s="392"/>
      <c r="GS274" s="392"/>
      <c r="GT274" s="392"/>
      <c r="GU274" s="392"/>
      <c r="GV274" s="392"/>
      <c r="GW274" s="392"/>
      <c r="GX274" s="392"/>
      <c r="GY274" s="392"/>
      <c r="GZ274" s="392"/>
      <c r="HA274" s="392"/>
      <c r="HB274" s="392"/>
      <c r="HC274" s="392"/>
      <c r="HD274" s="392"/>
      <c r="HE274" s="392"/>
      <c r="HF274" s="392"/>
      <c r="HG274" s="392"/>
      <c r="HH274" s="392"/>
      <c r="HI274" s="392"/>
      <c r="HJ274" s="392"/>
      <c r="HK274" s="392"/>
      <c r="HL274" s="392"/>
      <c r="HM274" s="392"/>
      <c r="HN274" s="392"/>
      <c r="HO274" s="392"/>
      <c r="HP274" s="392"/>
      <c r="HQ274" s="392"/>
      <c r="HR274" s="392"/>
      <c r="HS274" s="392"/>
      <c r="HT274" s="392"/>
      <c r="HU274" s="392"/>
      <c r="HV274" s="392"/>
      <c r="HW274" s="392"/>
      <c r="HX274" s="392"/>
      <c r="HY274" s="392"/>
      <c r="HZ274" s="392"/>
      <c r="IA274" s="392"/>
      <c r="IB274" s="392"/>
      <c r="IC274" s="392"/>
      <c r="ID274" s="392"/>
      <c r="IE274" s="392"/>
      <c r="IF274" s="392"/>
      <c r="IG274" s="392"/>
      <c r="IH274" s="392"/>
      <c r="II274" s="392"/>
      <c r="IJ274" s="392"/>
      <c r="IK274" s="392"/>
      <c r="IL274" s="392"/>
      <c r="IM274" s="392"/>
      <c r="IN274" s="392"/>
      <c r="IO274" s="392"/>
      <c r="IP274" s="392"/>
      <c r="IQ274" s="392"/>
      <c r="IR274" s="392"/>
      <c r="IS274" s="392"/>
      <c r="IT274" s="392"/>
      <c r="IU274" s="392"/>
      <c r="IV274" s="392"/>
    </row>
    <row r="275" spans="1:256">
      <c r="A275" s="392"/>
      <c r="B275" s="448"/>
      <c r="C275" s="448"/>
      <c r="D275" s="448"/>
      <c r="E275" s="448"/>
      <c r="F275" s="448"/>
      <c r="G275" s="448"/>
      <c r="H275" s="392"/>
      <c r="I275" s="392"/>
      <c r="J275" s="392"/>
      <c r="K275" s="392"/>
      <c r="L275" s="392"/>
      <c r="M275" s="392"/>
      <c r="N275" s="392"/>
      <c r="O275" s="392"/>
      <c r="P275" s="392"/>
      <c r="Q275" s="392"/>
      <c r="R275" s="392"/>
      <c r="S275" s="392"/>
      <c r="T275" s="392"/>
      <c r="U275" s="392"/>
      <c r="V275" s="392"/>
      <c r="W275" s="392"/>
      <c r="X275" s="392"/>
      <c r="Y275" s="392"/>
      <c r="Z275" s="392"/>
      <c r="AA275" s="392"/>
      <c r="AB275" s="392"/>
      <c r="AC275" s="392"/>
      <c r="AD275" s="392"/>
      <c r="AE275" s="392"/>
      <c r="AF275" s="392"/>
      <c r="AG275" s="392"/>
      <c r="AH275" s="392"/>
      <c r="AI275" s="392"/>
      <c r="AJ275" s="392"/>
      <c r="AK275" s="392"/>
      <c r="AL275" s="392"/>
      <c r="AM275" s="392"/>
      <c r="AN275" s="392"/>
      <c r="AO275" s="392"/>
      <c r="AP275" s="392"/>
      <c r="AQ275" s="392"/>
      <c r="AR275" s="392"/>
      <c r="AS275" s="392"/>
      <c r="AT275" s="392"/>
      <c r="AU275" s="392"/>
      <c r="AV275" s="392"/>
      <c r="AW275" s="392"/>
      <c r="AX275" s="392"/>
      <c r="AY275" s="392"/>
      <c r="AZ275" s="392"/>
      <c r="BA275" s="392"/>
      <c r="BB275" s="392"/>
      <c r="BC275" s="392"/>
      <c r="BD275" s="392"/>
      <c r="BE275" s="392"/>
      <c r="BF275" s="392"/>
      <c r="BG275" s="392"/>
      <c r="BH275" s="392"/>
      <c r="BI275" s="392"/>
      <c r="BJ275" s="392"/>
      <c r="BK275" s="392"/>
      <c r="BL275" s="392"/>
      <c r="BM275" s="392"/>
      <c r="BN275" s="392"/>
      <c r="BO275" s="392"/>
      <c r="BP275" s="392"/>
      <c r="BQ275" s="392"/>
      <c r="BR275" s="392"/>
      <c r="BS275" s="392"/>
      <c r="BT275" s="392"/>
      <c r="BU275" s="392"/>
      <c r="BV275" s="392"/>
      <c r="BW275" s="392"/>
      <c r="BX275" s="392"/>
      <c r="BY275" s="392"/>
      <c r="BZ275" s="392"/>
      <c r="CA275" s="392"/>
      <c r="CB275" s="392"/>
      <c r="CC275" s="392"/>
      <c r="CD275" s="392"/>
      <c r="CE275" s="392"/>
      <c r="CF275" s="392"/>
      <c r="CG275" s="392"/>
      <c r="CH275" s="392"/>
      <c r="CI275" s="392"/>
      <c r="CJ275" s="392"/>
      <c r="CK275" s="392"/>
      <c r="CL275" s="392"/>
      <c r="CM275" s="392"/>
      <c r="CN275" s="392"/>
      <c r="CO275" s="392"/>
      <c r="CP275" s="392"/>
      <c r="CQ275" s="392"/>
      <c r="CR275" s="392"/>
      <c r="CS275" s="392"/>
      <c r="CT275" s="392"/>
      <c r="CU275" s="392"/>
      <c r="CV275" s="392"/>
      <c r="CW275" s="392"/>
      <c r="CX275" s="392"/>
      <c r="CY275" s="392"/>
      <c r="CZ275" s="392"/>
      <c r="DA275" s="392"/>
      <c r="DB275" s="392"/>
      <c r="DC275" s="392"/>
      <c r="DD275" s="392"/>
      <c r="DE275" s="392"/>
      <c r="DF275" s="392"/>
      <c r="DG275" s="392"/>
      <c r="DH275" s="392"/>
      <c r="DI275" s="392"/>
      <c r="DJ275" s="392"/>
      <c r="DK275" s="392"/>
      <c r="DL275" s="392"/>
      <c r="DM275" s="392"/>
      <c r="DN275" s="392"/>
      <c r="DO275" s="392"/>
      <c r="DP275" s="392"/>
      <c r="DQ275" s="392"/>
      <c r="DR275" s="392"/>
      <c r="DS275" s="392"/>
      <c r="DT275" s="392"/>
      <c r="DU275" s="392"/>
      <c r="DV275" s="392"/>
      <c r="DW275" s="392"/>
      <c r="DX275" s="392"/>
      <c r="DY275" s="392"/>
      <c r="DZ275" s="392"/>
      <c r="EA275" s="392"/>
      <c r="EB275" s="392"/>
      <c r="EC275" s="392"/>
      <c r="ED275" s="392"/>
      <c r="EE275" s="392"/>
      <c r="EF275" s="392"/>
      <c r="EG275" s="392"/>
      <c r="EH275" s="392"/>
      <c r="EI275" s="392"/>
      <c r="EJ275" s="392"/>
      <c r="EK275" s="392"/>
      <c r="EL275" s="392"/>
      <c r="EM275" s="392"/>
      <c r="EN275" s="392"/>
      <c r="EO275" s="392"/>
      <c r="EP275" s="392"/>
      <c r="EQ275" s="392"/>
      <c r="ER275" s="392"/>
      <c r="ES275" s="392"/>
      <c r="ET275" s="392"/>
      <c r="EU275" s="392"/>
      <c r="EV275" s="392"/>
      <c r="EW275" s="392"/>
      <c r="EX275" s="392"/>
      <c r="EY275" s="392"/>
      <c r="EZ275" s="392"/>
      <c r="FA275" s="392"/>
      <c r="FB275" s="392"/>
      <c r="FC275" s="392"/>
      <c r="FD275" s="392"/>
      <c r="FE275" s="392"/>
      <c r="FF275" s="392"/>
      <c r="FG275" s="392"/>
      <c r="FH275" s="392"/>
      <c r="FI275" s="392"/>
      <c r="FJ275" s="392"/>
      <c r="FK275" s="392"/>
      <c r="FL275" s="392"/>
      <c r="FM275" s="392"/>
      <c r="FN275" s="392"/>
      <c r="FO275" s="392"/>
      <c r="FP275" s="392"/>
      <c r="FQ275" s="392"/>
      <c r="FR275" s="392"/>
      <c r="FS275" s="392"/>
      <c r="FT275" s="392"/>
      <c r="FU275" s="392"/>
      <c r="FV275" s="392"/>
      <c r="FW275" s="392"/>
      <c r="FX275" s="392"/>
      <c r="FY275" s="392"/>
      <c r="FZ275" s="392"/>
      <c r="GA275" s="392"/>
      <c r="GB275" s="392"/>
      <c r="GC275" s="392"/>
      <c r="GD275" s="392"/>
      <c r="GE275" s="392"/>
      <c r="GF275" s="392"/>
      <c r="GG275" s="392"/>
      <c r="GH275" s="392"/>
      <c r="GI275" s="392"/>
      <c r="GJ275" s="392"/>
      <c r="GK275" s="392"/>
      <c r="GL275" s="392"/>
      <c r="GM275" s="392"/>
      <c r="GN275" s="392"/>
      <c r="GO275" s="392"/>
      <c r="GP275" s="392"/>
      <c r="GQ275" s="392"/>
      <c r="GR275" s="392"/>
      <c r="GS275" s="392"/>
      <c r="GT275" s="392"/>
      <c r="GU275" s="392"/>
      <c r="GV275" s="392"/>
      <c r="GW275" s="392"/>
      <c r="GX275" s="392"/>
      <c r="GY275" s="392"/>
      <c r="GZ275" s="392"/>
      <c r="HA275" s="392"/>
      <c r="HB275" s="392"/>
      <c r="HC275" s="392"/>
      <c r="HD275" s="392"/>
      <c r="HE275" s="392"/>
      <c r="HF275" s="392"/>
      <c r="HG275" s="392"/>
      <c r="HH275" s="392"/>
      <c r="HI275" s="392"/>
      <c r="HJ275" s="392"/>
      <c r="HK275" s="392"/>
      <c r="HL275" s="392"/>
      <c r="HM275" s="392"/>
      <c r="HN275" s="392"/>
      <c r="HO275" s="392"/>
      <c r="HP275" s="392"/>
      <c r="HQ275" s="392"/>
      <c r="HR275" s="392"/>
      <c r="HS275" s="392"/>
      <c r="HT275" s="392"/>
      <c r="HU275" s="392"/>
      <c r="HV275" s="392"/>
      <c r="HW275" s="392"/>
      <c r="HX275" s="392"/>
      <c r="HY275" s="392"/>
      <c r="HZ275" s="392"/>
      <c r="IA275" s="392"/>
      <c r="IB275" s="392"/>
      <c r="IC275" s="392"/>
      <c r="ID275" s="392"/>
      <c r="IE275" s="392"/>
      <c r="IF275" s="392"/>
      <c r="IG275" s="392"/>
      <c r="IH275" s="392"/>
      <c r="II275" s="392"/>
      <c r="IJ275" s="392"/>
      <c r="IK275" s="392"/>
      <c r="IL275" s="392"/>
      <c r="IM275" s="392"/>
      <c r="IN275" s="392"/>
      <c r="IO275" s="392"/>
      <c r="IP275" s="392"/>
      <c r="IQ275" s="392"/>
      <c r="IR275" s="392"/>
      <c r="IS275" s="392"/>
      <c r="IT275" s="392"/>
      <c r="IU275" s="392"/>
      <c r="IV275" s="392"/>
    </row>
    <row r="276" spans="1:256">
      <c r="A276" s="392"/>
      <c r="B276" s="448"/>
      <c r="C276" s="448"/>
      <c r="D276" s="448"/>
      <c r="E276" s="448"/>
      <c r="F276" s="448"/>
      <c r="G276" s="448"/>
      <c r="H276" s="392"/>
      <c r="I276" s="392"/>
      <c r="J276" s="392"/>
      <c r="K276" s="392"/>
      <c r="L276" s="392"/>
      <c r="M276" s="392"/>
      <c r="N276" s="392"/>
      <c r="O276" s="392"/>
      <c r="P276" s="392"/>
      <c r="Q276" s="392"/>
      <c r="R276" s="392"/>
      <c r="S276" s="392"/>
      <c r="T276" s="392"/>
      <c r="U276" s="392"/>
      <c r="V276" s="392"/>
      <c r="W276" s="392"/>
      <c r="X276" s="392"/>
      <c r="Y276" s="392"/>
      <c r="Z276" s="392"/>
      <c r="AA276" s="392"/>
      <c r="AB276" s="392"/>
      <c r="AC276" s="392"/>
      <c r="AD276" s="392"/>
      <c r="AE276" s="392"/>
      <c r="AF276" s="392"/>
      <c r="AG276" s="392"/>
      <c r="AH276" s="392"/>
      <c r="AI276" s="392"/>
      <c r="AJ276" s="392"/>
      <c r="AK276" s="392"/>
      <c r="AL276" s="392"/>
      <c r="AM276" s="392"/>
      <c r="AN276" s="392"/>
      <c r="AO276" s="392"/>
      <c r="AP276" s="392"/>
      <c r="AQ276" s="392"/>
      <c r="AR276" s="392"/>
      <c r="AS276" s="392"/>
      <c r="AT276" s="392"/>
      <c r="AU276" s="392"/>
      <c r="AV276" s="392"/>
      <c r="AW276" s="392"/>
      <c r="AX276" s="392"/>
      <c r="AY276" s="392"/>
      <c r="AZ276" s="392"/>
      <c r="BA276" s="392"/>
      <c r="BB276" s="392"/>
      <c r="BC276" s="392"/>
      <c r="BD276" s="392"/>
      <c r="BE276" s="392"/>
      <c r="BF276" s="392"/>
      <c r="BG276" s="392"/>
      <c r="BH276" s="392"/>
      <c r="BI276" s="392"/>
      <c r="BJ276" s="392"/>
      <c r="BK276" s="392"/>
      <c r="BL276" s="392"/>
      <c r="BM276" s="392"/>
      <c r="BN276" s="392"/>
      <c r="BO276" s="392"/>
      <c r="BP276" s="392"/>
      <c r="BQ276" s="392"/>
      <c r="BR276" s="392"/>
      <c r="BS276" s="392"/>
      <c r="BT276" s="392"/>
      <c r="BU276" s="392"/>
      <c r="BV276" s="392"/>
      <c r="BW276" s="392"/>
      <c r="BX276" s="392"/>
      <c r="BY276" s="392"/>
      <c r="BZ276" s="392"/>
      <c r="CA276" s="392"/>
      <c r="CB276" s="392"/>
      <c r="CC276" s="392"/>
      <c r="CD276" s="392"/>
      <c r="CE276" s="392"/>
      <c r="CF276" s="392"/>
      <c r="CG276" s="392"/>
      <c r="CH276" s="392"/>
      <c r="CI276" s="392"/>
      <c r="CJ276" s="392"/>
      <c r="CK276" s="392"/>
      <c r="CL276" s="392"/>
      <c r="CM276" s="392"/>
      <c r="CN276" s="392"/>
      <c r="CO276" s="392"/>
      <c r="CP276" s="392"/>
      <c r="CQ276" s="392"/>
      <c r="CR276" s="392"/>
      <c r="CS276" s="392"/>
      <c r="CT276" s="392"/>
      <c r="CU276" s="392"/>
      <c r="CV276" s="392"/>
      <c r="CW276" s="392"/>
      <c r="CX276" s="392"/>
      <c r="CY276" s="392"/>
      <c r="CZ276" s="392"/>
      <c r="DA276" s="392"/>
      <c r="DB276" s="392"/>
      <c r="DC276" s="392"/>
      <c r="DD276" s="392"/>
      <c r="DE276" s="392"/>
      <c r="DF276" s="392"/>
      <c r="DG276" s="392"/>
      <c r="DH276" s="392"/>
      <c r="DI276" s="392"/>
      <c r="DJ276" s="392"/>
      <c r="DK276" s="392"/>
      <c r="DL276" s="392"/>
      <c r="DM276" s="392"/>
      <c r="DN276" s="392"/>
      <c r="DO276" s="392"/>
      <c r="DP276" s="392"/>
      <c r="DQ276" s="392"/>
      <c r="DR276" s="392"/>
      <c r="DS276" s="392"/>
      <c r="DT276" s="392"/>
      <c r="DU276" s="392"/>
      <c r="DV276" s="392"/>
      <c r="DW276" s="392"/>
      <c r="DX276" s="392"/>
      <c r="DY276" s="392"/>
      <c r="DZ276" s="392"/>
      <c r="EA276" s="392"/>
      <c r="EB276" s="392"/>
      <c r="EC276" s="392"/>
      <c r="ED276" s="392"/>
      <c r="EE276" s="392"/>
      <c r="EF276" s="392"/>
      <c r="EG276" s="392"/>
      <c r="EH276" s="392"/>
      <c r="EI276" s="392"/>
      <c r="EJ276" s="392"/>
      <c r="EK276" s="392"/>
      <c r="EL276" s="392"/>
      <c r="EM276" s="392"/>
      <c r="EN276" s="392"/>
      <c r="EO276" s="392"/>
      <c r="EP276" s="392"/>
      <c r="EQ276" s="392"/>
      <c r="ER276" s="392"/>
      <c r="ES276" s="392"/>
      <c r="ET276" s="392"/>
      <c r="EU276" s="392"/>
      <c r="EV276" s="392"/>
      <c r="EW276" s="392"/>
      <c r="EX276" s="392"/>
      <c r="EY276" s="392"/>
      <c r="EZ276" s="392"/>
      <c r="FA276" s="392"/>
      <c r="FB276" s="392"/>
      <c r="FC276" s="392"/>
      <c r="FD276" s="392"/>
      <c r="FE276" s="392"/>
      <c r="FF276" s="392"/>
      <c r="FG276" s="392"/>
      <c r="FH276" s="392"/>
      <c r="FI276" s="392"/>
      <c r="FJ276" s="392"/>
      <c r="FK276" s="392"/>
      <c r="FL276" s="392"/>
      <c r="FM276" s="392"/>
      <c r="FN276" s="392"/>
      <c r="FO276" s="392"/>
      <c r="FP276" s="392"/>
      <c r="FQ276" s="392"/>
      <c r="FR276" s="392"/>
      <c r="FS276" s="392"/>
      <c r="FT276" s="392"/>
      <c r="FU276" s="392"/>
      <c r="FV276" s="392"/>
      <c r="FW276" s="392"/>
      <c r="FX276" s="392"/>
      <c r="FY276" s="392"/>
      <c r="FZ276" s="392"/>
      <c r="GA276" s="392"/>
      <c r="GB276" s="392"/>
      <c r="GC276" s="392"/>
      <c r="GD276" s="392"/>
      <c r="GE276" s="392"/>
      <c r="GF276" s="392"/>
      <c r="GG276" s="392"/>
      <c r="GH276" s="392"/>
      <c r="GI276" s="392"/>
      <c r="GJ276" s="392"/>
      <c r="GK276" s="392"/>
      <c r="GL276" s="392"/>
      <c r="GM276" s="392"/>
      <c r="GN276" s="392"/>
      <c r="GO276" s="392"/>
      <c r="GP276" s="392"/>
      <c r="GQ276" s="392"/>
      <c r="GR276" s="392"/>
      <c r="GS276" s="392"/>
      <c r="GT276" s="392"/>
      <c r="GU276" s="392"/>
      <c r="GV276" s="392"/>
      <c r="GW276" s="392"/>
      <c r="GX276" s="392"/>
      <c r="GY276" s="392"/>
      <c r="GZ276" s="392"/>
      <c r="HA276" s="392"/>
      <c r="HB276" s="392"/>
      <c r="HC276" s="392"/>
      <c r="HD276" s="392"/>
      <c r="HE276" s="392"/>
      <c r="HF276" s="392"/>
      <c r="HG276" s="392"/>
      <c r="HH276" s="392"/>
      <c r="HI276" s="392"/>
      <c r="HJ276" s="392"/>
      <c r="HK276" s="392"/>
      <c r="HL276" s="392"/>
      <c r="HM276" s="392"/>
      <c r="HN276" s="392"/>
      <c r="HO276" s="392"/>
      <c r="HP276" s="392"/>
      <c r="HQ276" s="392"/>
      <c r="HR276" s="392"/>
      <c r="HS276" s="392"/>
      <c r="HT276" s="392"/>
      <c r="HU276" s="392"/>
      <c r="HV276" s="392"/>
      <c r="HW276" s="392"/>
      <c r="HX276" s="392"/>
      <c r="HY276" s="392"/>
      <c r="HZ276" s="392"/>
      <c r="IA276" s="392"/>
      <c r="IB276" s="392"/>
      <c r="IC276" s="392"/>
      <c r="ID276" s="392"/>
      <c r="IE276" s="392"/>
      <c r="IF276" s="392"/>
      <c r="IG276" s="392"/>
      <c r="IH276" s="392"/>
      <c r="II276" s="392"/>
      <c r="IJ276" s="392"/>
      <c r="IK276" s="392"/>
      <c r="IL276" s="392"/>
      <c r="IM276" s="392"/>
      <c r="IN276" s="392"/>
      <c r="IO276" s="392"/>
      <c r="IP276" s="392"/>
      <c r="IQ276" s="392"/>
      <c r="IR276" s="392"/>
      <c r="IS276" s="392"/>
      <c r="IT276" s="392"/>
      <c r="IU276" s="392"/>
      <c r="IV276" s="392"/>
    </row>
    <row r="277" spans="1:256">
      <c r="A277" s="392"/>
      <c r="B277" s="448"/>
      <c r="C277" s="448"/>
      <c r="D277" s="448"/>
      <c r="E277" s="448"/>
      <c r="F277" s="448"/>
      <c r="G277" s="448"/>
      <c r="H277" s="392"/>
      <c r="I277" s="392"/>
      <c r="J277" s="392"/>
      <c r="K277" s="392"/>
      <c r="L277" s="392"/>
      <c r="M277" s="392"/>
      <c r="N277" s="392"/>
      <c r="O277" s="392"/>
      <c r="P277" s="392"/>
      <c r="Q277" s="392"/>
      <c r="R277" s="392"/>
      <c r="S277" s="392"/>
      <c r="T277" s="392"/>
      <c r="U277" s="392"/>
      <c r="V277" s="392"/>
      <c r="W277" s="392"/>
      <c r="X277" s="392"/>
      <c r="Y277" s="392"/>
      <c r="Z277" s="392"/>
      <c r="AA277" s="392"/>
      <c r="AB277" s="392"/>
      <c r="AC277" s="392"/>
      <c r="AD277" s="392"/>
      <c r="AE277" s="392"/>
      <c r="AF277" s="392"/>
      <c r="AG277" s="392"/>
      <c r="AH277" s="392"/>
      <c r="AI277" s="392"/>
      <c r="AJ277" s="392"/>
      <c r="AK277" s="392"/>
      <c r="AL277" s="392"/>
      <c r="AM277" s="392"/>
      <c r="AN277" s="392"/>
      <c r="AO277" s="392"/>
      <c r="AP277" s="392"/>
      <c r="AQ277" s="392"/>
      <c r="AR277" s="392"/>
      <c r="AS277" s="392"/>
      <c r="AT277" s="392"/>
      <c r="AU277" s="392"/>
      <c r="AV277" s="392"/>
      <c r="AW277" s="392"/>
      <c r="AX277" s="392"/>
      <c r="AY277" s="392"/>
      <c r="AZ277" s="392"/>
      <c r="BA277" s="392"/>
      <c r="BB277" s="392"/>
      <c r="BC277" s="392"/>
      <c r="BD277" s="392"/>
      <c r="BE277" s="392"/>
      <c r="BF277" s="392"/>
      <c r="BG277" s="392"/>
      <c r="BH277" s="392"/>
      <c r="BI277" s="392"/>
      <c r="BJ277" s="392"/>
      <c r="BK277" s="392"/>
      <c r="BL277" s="392"/>
      <c r="BM277" s="392"/>
      <c r="BN277" s="392"/>
      <c r="BO277" s="392"/>
      <c r="BP277" s="392"/>
      <c r="BQ277" s="392"/>
      <c r="BR277" s="392"/>
      <c r="BS277" s="392"/>
      <c r="BT277" s="392"/>
      <c r="BU277" s="392"/>
      <c r="BV277" s="392"/>
      <c r="BW277" s="392"/>
      <c r="BX277" s="392"/>
      <c r="BY277" s="392"/>
      <c r="BZ277" s="392"/>
      <c r="CA277" s="392"/>
      <c r="CB277" s="392"/>
      <c r="CC277" s="392"/>
      <c r="CD277" s="392"/>
      <c r="CE277" s="392"/>
      <c r="CF277" s="392"/>
      <c r="CG277" s="392"/>
      <c r="CH277" s="392"/>
      <c r="CI277" s="392"/>
      <c r="CJ277" s="392"/>
      <c r="CK277" s="392"/>
      <c r="CL277" s="392"/>
      <c r="CM277" s="392"/>
      <c r="CN277" s="392"/>
      <c r="CO277" s="392"/>
      <c r="CP277" s="392"/>
      <c r="CQ277" s="392"/>
      <c r="CR277" s="392"/>
      <c r="CS277" s="392"/>
      <c r="CT277" s="392"/>
      <c r="CU277" s="392"/>
      <c r="CV277" s="392"/>
      <c r="CW277" s="392"/>
      <c r="CX277" s="392"/>
      <c r="CY277" s="392"/>
      <c r="CZ277" s="392"/>
      <c r="DA277" s="392"/>
      <c r="DB277" s="392"/>
      <c r="DC277" s="392"/>
      <c r="DD277" s="392"/>
      <c r="DE277" s="392"/>
      <c r="DF277" s="392"/>
      <c r="DG277" s="392"/>
      <c r="DH277" s="392"/>
      <c r="DI277" s="392"/>
      <c r="DJ277" s="392"/>
      <c r="DK277" s="392"/>
      <c r="DL277" s="392"/>
      <c r="DM277" s="392"/>
      <c r="DN277" s="392"/>
      <c r="DO277" s="392"/>
      <c r="DP277" s="392"/>
      <c r="DQ277" s="392"/>
      <c r="DR277" s="392"/>
      <c r="DS277" s="392"/>
      <c r="DT277" s="392"/>
      <c r="DU277" s="392"/>
      <c r="DV277" s="392"/>
      <c r="DW277" s="392"/>
      <c r="DX277" s="392"/>
      <c r="DY277" s="392"/>
      <c r="DZ277" s="392"/>
      <c r="EA277" s="392"/>
      <c r="EB277" s="392"/>
      <c r="EC277" s="392"/>
      <c r="ED277" s="392"/>
      <c r="EE277" s="392"/>
      <c r="EF277" s="392"/>
      <c r="EG277" s="392"/>
      <c r="EH277" s="392"/>
      <c r="EI277" s="392"/>
      <c r="EJ277" s="392"/>
      <c r="EK277" s="392"/>
      <c r="EL277" s="392"/>
      <c r="EM277" s="392"/>
      <c r="EN277" s="392"/>
      <c r="EO277" s="392"/>
      <c r="EP277" s="392"/>
      <c r="EQ277" s="392"/>
      <c r="ER277" s="392"/>
      <c r="ES277" s="392"/>
      <c r="ET277" s="392"/>
      <c r="EU277" s="392"/>
      <c r="EV277" s="392"/>
      <c r="EW277" s="392"/>
      <c r="EX277" s="392"/>
      <c r="EY277" s="392"/>
      <c r="EZ277" s="392"/>
      <c r="FA277" s="392"/>
      <c r="FB277" s="392"/>
      <c r="FC277" s="392"/>
      <c r="FD277" s="392"/>
      <c r="FE277" s="392"/>
      <c r="FF277" s="392"/>
      <c r="FG277" s="392"/>
      <c r="FH277" s="392"/>
      <c r="FI277" s="392"/>
      <c r="FJ277" s="392"/>
      <c r="FK277" s="392"/>
      <c r="FL277" s="392"/>
      <c r="FM277" s="392"/>
      <c r="FN277" s="392"/>
      <c r="FO277" s="392"/>
      <c r="FP277" s="392"/>
      <c r="FQ277" s="392"/>
      <c r="FR277" s="392"/>
      <c r="FS277" s="392"/>
      <c r="FT277" s="392"/>
      <c r="FU277" s="392"/>
      <c r="FV277" s="392"/>
      <c r="FW277" s="392"/>
      <c r="FX277" s="392"/>
      <c r="FY277" s="392"/>
      <c r="FZ277" s="392"/>
      <c r="GA277" s="392"/>
      <c r="GB277" s="392"/>
      <c r="GC277" s="392"/>
      <c r="GD277" s="392"/>
      <c r="GE277" s="392"/>
      <c r="GF277" s="392"/>
      <c r="GG277" s="392"/>
      <c r="GH277" s="392"/>
      <c r="GI277" s="392"/>
      <c r="GJ277" s="392"/>
      <c r="GK277" s="392"/>
      <c r="GL277" s="392"/>
      <c r="GM277" s="392"/>
      <c r="GN277" s="392"/>
      <c r="GO277" s="392"/>
      <c r="GP277" s="392"/>
      <c r="GQ277" s="392"/>
      <c r="GR277" s="392"/>
      <c r="GS277" s="392"/>
      <c r="GT277" s="392"/>
      <c r="GU277" s="392"/>
      <c r="GV277" s="392"/>
      <c r="GW277" s="392"/>
      <c r="GX277" s="392"/>
      <c r="GY277" s="392"/>
      <c r="GZ277" s="392"/>
      <c r="HA277" s="392"/>
      <c r="HB277" s="392"/>
      <c r="HC277" s="392"/>
      <c r="HD277" s="392"/>
      <c r="HE277" s="392"/>
      <c r="HF277" s="392"/>
      <c r="HG277" s="392"/>
      <c r="HH277" s="392"/>
      <c r="HI277" s="392"/>
      <c r="HJ277" s="392"/>
      <c r="HK277" s="392"/>
      <c r="HL277" s="392"/>
      <c r="HM277" s="392"/>
      <c r="HN277" s="392"/>
      <c r="HO277" s="392"/>
      <c r="HP277" s="392"/>
      <c r="HQ277" s="392"/>
      <c r="HR277" s="392"/>
      <c r="HS277" s="392"/>
      <c r="HT277" s="392"/>
      <c r="HU277" s="392"/>
      <c r="HV277" s="392"/>
      <c r="HW277" s="392"/>
      <c r="HX277" s="392"/>
      <c r="HY277" s="392"/>
      <c r="HZ277" s="392"/>
      <c r="IA277" s="392"/>
      <c r="IB277" s="392"/>
      <c r="IC277" s="392"/>
      <c r="ID277" s="392"/>
      <c r="IE277" s="392"/>
      <c r="IF277" s="392"/>
      <c r="IG277" s="392"/>
      <c r="IH277" s="392"/>
      <c r="II277" s="392"/>
      <c r="IJ277" s="392"/>
      <c r="IK277" s="392"/>
      <c r="IL277" s="392"/>
      <c r="IM277" s="392"/>
      <c r="IN277" s="392"/>
      <c r="IO277" s="392"/>
      <c r="IP277" s="392"/>
      <c r="IQ277" s="392"/>
      <c r="IR277" s="392"/>
      <c r="IS277" s="392"/>
      <c r="IT277" s="392"/>
      <c r="IU277" s="392"/>
      <c r="IV277" s="392"/>
    </row>
    <row r="278" spans="1:256">
      <c r="A278" s="392"/>
      <c r="B278" s="448"/>
      <c r="C278" s="448"/>
      <c r="D278" s="448"/>
      <c r="E278" s="448"/>
      <c r="F278" s="448"/>
      <c r="G278" s="448"/>
      <c r="H278" s="392"/>
      <c r="I278" s="392"/>
      <c r="J278" s="392"/>
      <c r="K278" s="392"/>
      <c r="L278" s="392"/>
      <c r="M278" s="392"/>
      <c r="N278" s="392"/>
      <c r="O278" s="392"/>
      <c r="P278" s="392"/>
      <c r="Q278" s="392"/>
      <c r="R278" s="392"/>
      <c r="S278" s="392"/>
      <c r="T278" s="392"/>
      <c r="U278" s="392"/>
      <c r="V278" s="392"/>
      <c r="W278" s="392"/>
      <c r="X278" s="392"/>
      <c r="Y278" s="392"/>
      <c r="Z278" s="392"/>
      <c r="AA278" s="392"/>
      <c r="AB278" s="392"/>
      <c r="AC278" s="392"/>
      <c r="AD278" s="392"/>
      <c r="AE278" s="392"/>
      <c r="AF278" s="392"/>
      <c r="AG278" s="392"/>
      <c r="AH278" s="392"/>
      <c r="AI278" s="392"/>
      <c r="AJ278" s="392"/>
      <c r="AK278" s="392"/>
      <c r="AL278" s="392"/>
      <c r="AM278" s="392"/>
      <c r="AN278" s="392"/>
      <c r="AO278" s="392"/>
      <c r="AP278" s="392"/>
      <c r="AQ278" s="392"/>
      <c r="AR278" s="392"/>
      <c r="AS278" s="392"/>
      <c r="AT278" s="392"/>
      <c r="AU278" s="392"/>
      <c r="AV278" s="392"/>
      <c r="AW278" s="392"/>
      <c r="AX278" s="392"/>
      <c r="AY278" s="392"/>
      <c r="AZ278" s="392"/>
      <c r="BA278" s="392"/>
      <c r="BB278" s="392"/>
      <c r="BC278" s="392"/>
      <c r="BD278" s="392"/>
      <c r="BE278" s="392"/>
      <c r="BF278" s="392"/>
      <c r="BG278" s="392"/>
      <c r="BH278" s="392"/>
      <c r="BI278" s="392"/>
      <c r="BJ278" s="392"/>
      <c r="BK278" s="392"/>
      <c r="BL278" s="392"/>
      <c r="BM278" s="392"/>
      <c r="BN278" s="392"/>
      <c r="BO278" s="392"/>
      <c r="BP278" s="392"/>
      <c r="BQ278" s="392"/>
      <c r="BR278" s="392"/>
      <c r="BS278" s="392"/>
      <c r="BT278" s="392"/>
      <c r="BU278" s="392"/>
      <c r="BV278" s="392"/>
      <c r="BW278" s="392"/>
      <c r="BX278" s="392"/>
      <c r="BY278" s="392"/>
      <c r="BZ278" s="392"/>
      <c r="CA278" s="392"/>
      <c r="CB278" s="392"/>
      <c r="CC278" s="392"/>
      <c r="CD278" s="392"/>
      <c r="CE278" s="392"/>
      <c r="CF278" s="392"/>
      <c r="CG278" s="392"/>
      <c r="CH278" s="392"/>
      <c r="CI278" s="392"/>
      <c r="CJ278" s="392"/>
      <c r="CK278" s="392"/>
      <c r="CL278" s="392"/>
      <c r="CM278" s="392"/>
      <c r="CN278" s="392"/>
      <c r="CO278" s="392"/>
      <c r="CP278" s="392"/>
      <c r="CQ278" s="392"/>
      <c r="CR278" s="392"/>
      <c r="CS278" s="392"/>
      <c r="CT278" s="392"/>
      <c r="CU278" s="392"/>
      <c r="CV278" s="392"/>
      <c r="CW278" s="392"/>
      <c r="CX278" s="392"/>
      <c r="CY278" s="392"/>
      <c r="CZ278" s="392"/>
      <c r="DA278" s="392"/>
      <c r="DB278" s="392"/>
      <c r="DC278" s="392"/>
      <c r="DD278" s="392"/>
      <c r="DE278" s="392"/>
      <c r="DF278" s="392"/>
      <c r="DG278" s="392"/>
      <c r="DH278" s="392"/>
      <c r="DI278" s="392"/>
      <c r="DJ278" s="392"/>
      <c r="DK278" s="392"/>
      <c r="DL278" s="392"/>
      <c r="DM278" s="392"/>
      <c r="DN278" s="392"/>
      <c r="DO278" s="392"/>
      <c r="DP278" s="392"/>
      <c r="DQ278" s="392"/>
      <c r="DR278" s="392"/>
      <c r="DS278" s="392"/>
      <c r="DT278" s="392"/>
      <c r="DU278" s="392"/>
      <c r="DV278" s="392"/>
      <c r="DW278" s="392"/>
      <c r="DX278" s="392"/>
      <c r="DY278" s="392"/>
      <c r="DZ278" s="392"/>
      <c r="EA278" s="392"/>
      <c r="EB278" s="392"/>
      <c r="EC278" s="392"/>
      <c r="ED278" s="392"/>
      <c r="EE278" s="392"/>
      <c r="EF278" s="392"/>
      <c r="EG278" s="392"/>
      <c r="EH278" s="392"/>
      <c r="EI278" s="392"/>
      <c r="EJ278" s="392"/>
      <c r="EK278" s="392"/>
      <c r="EL278" s="392"/>
      <c r="EM278" s="392"/>
      <c r="EN278" s="392"/>
      <c r="EO278" s="392"/>
      <c r="EP278" s="392"/>
      <c r="EQ278" s="392"/>
      <c r="ER278" s="392"/>
      <c r="ES278" s="392"/>
      <c r="ET278" s="392"/>
      <c r="EU278" s="392"/>
      <c r="EV278" s="392"/>
      <c r="EW278" s="392"/>
      <c r="EX278" s="392"/>
      <c r="EY278" s="392"/>
      <c r="EZ278" s="392"/>
      <c r="FA278" s="392"/>
      <c r="FB278" s="392"/>
      <c r="FC278" s="392"/>
      <c r="FD278" s="392"/>
      <c r="FE278" s="392"/>
      <c r="FF278" s="392"/>
      <c r="FG278" s="392"/>
      <c r="FH278" s="392"/>
      <c r="FI278" s="392"/>
      <c r="FJ278" s="392"/>
      <c r="FK278" s="392"/>
      <c r="FL278" s="392"/>
      <c r="FM278" s="392"/>
      <c r="FN278" s="392"/>
      <c r="FO278" s="392"/>
      <c r="FP278" s="392"/>
      <c r="FQ278" s="392"/>
      <c r="FR278" s="392"/>
      <c r="FS278" s="392"/>
      <c r="FT278" s="392"/>
      <c r="FU278" s="392"/>
      <c r="FV278" s="392"/>
      <c r="FW278" s="392"/>
      <c r="FX278" s="392"/>
      <c r="FY278" s="392"/>
      <c r="FZ278" s="392"/>
      <c r="GA278" s="392"/>
      <c r="GB278" s="392"/>
      <c r="GC278" s="392"/>
      <c r="GD278" s="392"/>
      <c r="GE278" s="392"/>
      <c r="GF278" s="392"/>
      <c r="GG278" s="392"/>
      <c r="GH278" s="392"/>
      <c r="GI278" s="392"/>
      <c r="GJ278" s="392"/>
      <c r="GK278" s="392"/>
      <c r="GL278" s="392"/>
      <c r="GM278" s="392"/>
      <c r="GN278" s="392"/>
      <c r="GO278" s="392"/>
      <c r="GP278" s="392"/>
      <c r="GQ278" s="392"/>
      <c r="GR278" s="392"/>
      <c r="GS278" s="392"/>
      <c r="GT278" s="392"/>
      <c r="GU278" s="392"/>
      <c r="GV278" s="392"/>
      <c r="GW278" s="392"/>
      <c r="GX278" s="392"/>
      <c r="GY278" s="392"/>
      <c r="GZ278" s="392"/>
      <c r="HA278" s="392"/>
      <c r="HB278" s="392"/>
      <c r="HC278" s="392"/>
      <c r="HD278" s="392"/>
      <c r="HE278" s="392"/>
      <c r="HF278" s="392"/>
      <c r="HG278" s="392"/>
      <c r="HH278" s="392"/>
      <c r="HI278" s="392"/>
      <c r="HJ278" s="392"/>
      <c r="HK278" s="392"/>
      <c r="HL278" s="392"/>
      <c r="HM278" s="392"/>
      <c r="HN278" s="392"/>
      <c r="HO278" s="392"/>
      <c r="HP278" s="392"/>
      <c r="HQ278" s="392"/>
      <c r="HR278" s="392"/>
      <c r="HS278" s="392"/>
      <c r="HT278" s="392"/>
      <c r="HU278" s="392"/>
      <c r="HV278" s="392"/>
      <c r="HW278" s="392"/>
      <c r="HX278" s="392"/>
      <c r="HY278" s="392"/>
      <c r="HZ278" s="392"/>
      <c r="IA278" s="392"/>
      <c r="IB278" s="392"/>
      <c r="IC278" s="392"/>
      <c r="ID278" s="392"/>
      <c r="IE278" s="392"/>
      <c r="IF278" s="392"/>
      <c r="IG278" s="392"/>
      <c r="IH278" s="392"/>
      <c r="II278" s="392"/>
      <c r="IJ278" s="392"/>
      <c r="IK278" s="392"/>
      <c r="IL278" s="392"/>
      <c r="IM278" s="392"/>
      <c r="IN278" s="392"/>
      <c r="IO278" s="392"/>
      <c r="IP278" s="392"/>
      <c r="IQ278" s="392"/>
      <c r="IR278" s="392"/>
      <c r="IS278" s="392"/>
      <c r="IT278" s="392"/>
      <c r="IU278" s="392"/>
      <c r="IV278" s="392"/>
    </row>
    <row r="279" spans="1:256">
      <c r="A279" s="392"/>
      <c r="B279" s="448"/>
      <c r="C279" s="448"/>
      <c r="D279" s="448"/>
      <c r="E279" s="448"/>
      <c r="F279" s="448"/>
      <c r="G279" s="448"/>
      <c r="H279" s="392"/>
      <c r="I279" s="392"/>
      <c r="J279" s="392"/>
      <c r="K279" s="392"/>
      <c r="L279" s="392"/>
      <c r="M279" s="392"/>
      <c r="N279" s="392"/>
      <c r="O279" s="392"/>
      <c r="P279" s="392"/>
      <c r="Q279" s="392"/>
      <c r="R279" s="392"/>
      <c r="S279" s="392"/>
      <c r="T279" s="392"/>
      <c r="U279" s="392"/>
      <c r="V279" s="392"/>
      <c r="W279" s="392"/>
      <c r="X279" s="392"/>
      <c r="Y279" s="392"/>
      <c r="Z279" s="392"/>
      <c r="AA279" s="392"/>
      <c r="AB279" s="392"/>
      <c r="AC279" s="392"/>
      <c r="AD279" s="392"/>
      <c r="AE279" s="392"/>
      <c r="AF279" s="392"/>
      <c r="AG279" s="392"/>
      <c r="AH279" s="392"/>
      <c r="AI279" s="392"/>
      <c r="AJ279" s="392"/>
      <c r="AK279" s="392"/>
      <c r="AL279" s="392"/>
      <c r="AM279" s="392"/>
      <c r="AN279" s="392"/>
      <c r="AO279" s="392"/>
      <c r="AP279" s="392"/>
      <c r="AQ279" s="392"/>
      <c r="AR279" s="392"/>
      <c r="AS279" s="392"/>
      <c r="AT279" s="392"/>
      <c r="AU279" s="392"/>
      <c r="AV279" s="392"/>
      <c r="AW279" s="392"/>
      <c r="AX279" s="392"/>
      <c r="AY279" s="392"/>
      <c r="AZ279" s="392"/>
      <c r="BA279" s="392"/>
      <c r="BB279" s="392"/>
      <c r="BC279" s="392"/>
      <c r="BD279" s="392"/>
      <c r="BE279" s="392"/>
      <c r="BF279" s="392"/>
      <c r="BG279" s="392"/>
      <c r="BH279" s="392"/>
      <c r="BI279" s="392"/>
      <c r="BJ279" s="392"/>
      <c r="BK279" s="392"/>
      <c r="BL279" s="392"/>
      <c r="BM279" s="392"/>
      <c r="BN279" s="392"/>
      <c r="BO279" s="392"/>
      <c r="BP279" s="392"/>
      <c r="BQ279" s="392"/>
      <c r="BR279" s="392"/>
      <c r="BS279" s="392"/>
      <c r="BT279" s="392"/>
      <c r="BU279" s="392"/>
      <c r="BV279" s="392"/>
      <c r="BW279" s="392"/>
      <c r="BX279" s="392"/>
      <c r="BY279" s="392"/>
      <c r="BZ279" s="392"/>
      <c r="CA279" s="392"/>
      <c r="CB279" s="392"/>
      <c r="CC279" s="392"/>
      <c r="CD279" s="392"/>
      <c r="CE279" s="392"/>
      <c r="CF279" s="392"/>
      <c r="CG279" s="392"/>
      <c r="CH279" s="392"/>
      <c r="CI279" s="392"/>
      <c r="CJ279" s="392"/>
      <c r="CK279" s="392"/>
      <c r="CL279" s="392"/>
      <c r="CM279" s="392"/>
      <c r="CN279" s="392"/>
      <c r="CO279" s="392"/>
      <c r="CP279" s="392"/>
      <c r="CQ279" s="392"/>
      <c r="CR279" s="392"/>
      <c r="CS279" s="392"/>
      <c r="CT279" s="392"/>
      <c r="CU279" s="392"/>
      <c r="CV279" s="392"/>
      <c r="CW279" s="392"/>
      <c r="CX279" s="392"/>
      <c r="CY279" s="392"/>
      <c r="CZ279" s="392"/>
      <c r="DA279" s="392"/>
      <c r="DB279" s="392"/>
      <c r="DC279" s="392"/>
      <c r="DD279" s="392"/>
      <c r="DE279" s="392"/>
      <c r="DF279" s="392"/>
      <c r="DG279" s="392"/>
      <c r="DH279" s="392"/>
      <c r="DI279" s="392"/>
      <c r="DJ279" s="392"/>
      <c r="DK279" s="392"/>
      <c r="DL279" s="392"/>
      <c r="DM279" s="392"/>
      <c r="DN279" s="392"/>
      <c r="DO279" s="392"/>
      <c r="DP279" s="392"/>
      <c r="DQ279" s="392"/>
      <c r="DR279" s="392"/>
      <c r="DS279" s="392"/>
      <c r="DT279" s="392"/>
      <c r="DU279" s="392"/>
      <c r="DV279" s="392"/>
      <c r="DW279" s="392"/>
      <c r="DX279" s="392"/>
      <c r="DY279" s="392"/>
      <c r="DZ279" s="392"/>
      <c r="EA279" s="392"/>
      <c r="EB279" s="392"/>
      <c r="EC279" s="392"/>
      <c r="ED279" s="392"/>
      <c r="EE279" s="392"/>
      <c r="EF279" s="392"/>
      <c r="EG279" s="392"/>
      <c r="EH279" s="392"/>
      <c r="EI279" s="392"/>
      <c r="EJ279" s="392"/>
      <c r="EK279" s="392"/>
      <c r="EL279" s="392"/>
      <c r="EM279" s="392"/>
      <c r="EN279" s="392"/>
      <c r="EO279" s="392"/>
      <c r="EP279" s="392"/>
      <c r="EQ279" s="392"/>
      <c r="ER279" s="392"/>
      <c r="ES279" s="392"/>
      <c r="ET279" s="392"/>
      <c r="EU279" s="392"/>
      <c r="EV279" s="392"/>
      <c r="EW279" s="392"/>
      <c r="EX279" s="392"/>
      <c r="EY279" s="392"/>
      <c r="EZ279" s="392"/>
      <c r="FA279" s="392"/>
      <c r="FB279" s="392"/>
      <c r="FC279" s="392"/>
      <c r="FD279" s="392"/>
      <c r="FE279" s="392"/>
      <c r="FF279" s="392"/>
      <c r="FG279" s="392"/>
      <c r="FH279" s="392"/>
      <c r="FI279" s="392"/>
      <c r="FJ279" s="392"/>
      <c r="FK279" s="392"/>
      <c r="FL279" s="392"/>
      <c r="FM279" s="392"/>
      <c r="FN279" s="392"/>
      <c r="FO279" s="392"/>
      <c r="FP279" s="392"/>
      <c r="FQ279" s="392"/>
      <c r="FR279" s="392"/>
      <c r="FS279" s="392"/>
      <c r="FT279" s="392"/>
      <c r="FU279" s="392"/>
      <c r="FV279" s="392"/>
      <c r="FW279" s="392"/>
      <c r="FX279" s="392"/>
      <c r="FY279" s="392"/>
      <c r="FZ279" s="392"/>
      <c r="GA279" s="392"/>
      <c r="GB279" s="392"/>
      <c r="GC279" s="392"/>
      <c r="GD279" s="392"/>
      <c r="GE279" s="392"/>
      <c r="GF279" s="392"/>
      <c r="GG279" s="392"/>
      <c r="GH279" s="392"/>
      <c r="GI279" s="392"/>
      <c r="GJ279" s="392"/>
      <c r="GK279" s="392"/>
      <c r="GL279" s="392"/>
      <c r="GM279" s="392"/>
      <c r="GN279" s="392"/>
      <c r="GO279" s="392"/>
      <c r="GP279" s="392"/>
      <c r="GQ279" s="392"/>
      <c r="GR279" s="392"/>
      <c r="GS279" s="392"/>
      <c r="GT279" s="392"/>
      <c r="GU279" s="392"/>
      <c r="GV279" s="392"/>
      <c r="GW279" s="392"/>
      <c r="GX279" s="392"/>
      <c r="GY279" s="392"/>
      <c r="GZ279" s="392"/>
      <c r="HA279" s="392"/>
      <c r="HB279" s="392"/>
      <c r="HC279" s="392"/>
      <c r="HD279" s="392"/>
      <c r="HE279" s="392"/>
      <c r="HF279" s="392"/>
      <c r="HG279" s="392"/>
      <c r="HH279" s="392"/>
      <c r="HI279" s="392"/>
      <c r="HJ279" s="392"/>
      <c r="HK279" s="392"/>
      <c r="HL279" s="392"/>
      <c r="HM279" s="392"/>
      <c r="HN279" s="392"/>
      <c r="HO279" s="392"/>
      <c r="HP279" s="392"/>
      <c r="HQ279" s="392"/>
      <c r="HR279" s="392"/>
      <c r="HS279" s="392"/>
      <c r="HT279" s="392"/>
      <c r="HU279" s="392"/>
      <c r="HV279" s="392"/>
      <c r="HW279" s="392"/>
      <c r="HX279" s="392"/>
      <c r="HY279" s="392"/>
      <c r="HZ279" s="392"/>
      <c r="IA279" s="392"/>
      <c r="IB279" s="392"/>
      <c r="IC279" s="392"/>
      <c r="ID279" s="392"/>
      <c r="IE279" s="392"/>
      <c r="IF279" s="392"/>
      <c r="IG279" s="392"/>
      <c r="IH279" s="392"/>
      <c r="II279" s="392"/>
      <c r="IJ279" s="392"/>
      <c r="IK279" s="392"/>
      <c r="IL279" s="392"/>
      <c r="IM279" s="392"/>
      <c r="IN279" s="392"/>
      <c r="IO279" s="392"/>
      <c r="IP279" s="392"/>
      <c r="IQ279" s="392"/>
      <c r="IR279" s="392"/>
      <c r="IS279" s="392"/>
      <c r="IT279" s="392"/>
      <c r="IU279" s="392"/>
      <c r="IV279" s="392"/>
    </row>
    <row r="280" spans="1:256">
      <c r="A280" s="392"/>
      <c r="B280" s="448"/>
      <c r="C280" s="448"/>
      <c r="D280" s="448"/>
      <c r="E280" s="448"/>
      <c r="F280" s="448"/>
      <c r="G280" s="448"/>
      <c r="H280" s="392"/>
      <c r="I280" s="392"/>
      <c r="J280" s="392"/>
      <c r="K280" s="392"/>
      <c r="L280" s="392"/>
      <c r="M280" s="392"/>
      <c r="N280" s="392"/>
      <c r="O280" s="392"/>
      <c r="P280" s="392"/>
      <c r="Q280" s="392"/>
      <c r="R280" s="392"/>
      <c r="S280" s="392"/>
      <c r="T280" s="392"/>
      <c r="U280" s="392"/>
      <c r="V280" s="392"/>
      <c r="W280" s="392"/>
      <c r="X280" s="392"/>
      <c r="Y280" s="392"/>
      <c r="Z280" s="392"/>
      <c r="AA280" s="392"/>
      <c r="AB280" s="392"/>
      <c r="AC280" s="392"/>
      <c r="AD280" s="392"/>
      <c r="AE280" s="392"/>
      <c r="AF280" s="392"/>
      <c r="AG280" s="392"/>
      <c r="AH280" s="392"/>
      <c r="AI280" s="392"/>
      <c r="AJ280" s="392"/>
      <c r="AK280" s="392"/>
      <c r="AL280" s="392"/>
      <c r="AM280" s="392"/>
      <c r="AN280" s="392"/>
      <c r="AO280" s="392"/>
      <c r="AP280" s="392"/>
      <c r="AQ280" s="392"/>
      <c r="AR280" s="392"/>
      <c r="AS280" s="392"/>
      <c r="AT280" s="392"/>
      <c r="AU280" s="392"/>
      <c r="AV280" s="392"/>
      <c r="AW280" s="392"/>
      <c r="AX280" s="392"/>
      <c r="AY280" s="392"/>
      <c r="AZ280" s="392"/>
      <c r="BA280" s="392"/>
      <c r="BB280" s="392"/>
      <c r="BC280" s="392"/>
      <c r="BD280" s="392"/>
      <c r="BE280" s="392"/>
      <c r="BF280" s="392"/>
      <c r="BG280" s="392"/>
      <c r="BH280" s="392"/>
      <c r="BI280" s="392"/>
      <c r="BJ280" s="392"/>
      <c r="BK280" s="392"/>
      <c r="BL280" s="392"/>
      <c r="BM280" s="392"/>
      <c r="BN280" s="392"/>
      <c r="BO280" s="392"/>
      <c r="BP280" s="392"/>
      <c r="BQ280" s="392"/>
      <c r="BR280" s="392"/>
      <c r="BS280" s="392"/>
      <c r="BT280" s="392"/>
      <c r="BU280" s="392"/>
      <c r="BV280" s="392"/>
      <c r="BW280" s="392"/>
      <c r="BX280" s="392"/>
      <c r="BY280" s="392"/>
      <c r="BZ280" s="392"/>
      <c r="CA280" s="392"/>
      <c r="CB280" s="392"/>
      <c r="CC280" s="392"/>
      <c r="CD280" s="392"/>
      <c r="CE280" s="392"/>
      <c r="CF280" s="392"/>
      <c r="CG280" s="392"/>
      <c r="CH280" s="392"/>
      <c r="CI280" s="392"/>
      <c r="CJ280" s="392"/>
      <c r="CK280" s="392"/>
      <c r="CL280" s="392"/>
      <c r="CM280" s="392"/>
      <c r="CN280" s="392"/>
      <c r="CO280" s="392"/>
      <c r="CP280" s="392"/>
      <c r="CQ280" s="392"/>
      <c r="CR280" s="392"/>
      <c r="CS280" s="392"/>
      <c r="CT280" s="392"/>
      <c r="CU280" s="392"/>
      <c r="CV280" s="392"/>
      <c r="CW280" s="392"/>
      <c r="CX280" s="392"/>
      <c r="CY280" s="392"/>
      <c r="CZ280" s="392"/>
      <c r="DA280" s="392"/>
      <c r="DB280" s="392"/>
      <c r="DC280" s="392"/>
      <c r="DD280" s="392"/>
      <c r="DE280" s="392"/>
      <c r="DF280" s="392"/>
      <c r="DG280" s="392"/>
      <c r="DH280" s="392"/>
      <c r="DI280" s="392"/>
      <c r="DJ280" s="392"/>
      <c r="DK280" s="392"/>
      <c r="DL280" s="392"/>
      <c r="DM280" s="392"/>
      <c r="DN280" s="392"/>
      <c r="DO280" s="392"/>
      <c r="DP280" s="392"/>
      <c r="DQ280" s="392"/>
      <c r="DR280" s="392"/>
      <c r="DS280" s="392"/>
      <c r="DT280" s="392"/>
      <c r="DU280" s="392"/>
      <c r="DV280" s="392"/>
      <c r="DW280" s="392"/>
      <c r="DX280" s="392"/>
      <c r="DY280" s="392"/>
      <c r="DZ280" s="392"/>
      <c r="EA280" s="392"/>
      <c r="EB280" s="392"/>
      <c r="EC280" s="392"/>
      <c r="ED280" s="392"/>
      <c r="EE280" s="392"/>
      <c r="EF280" s="392"/>
      <c r="EG280" s="392"/>
      <c r="EH280" s="392"/>
      <c r="EI280" s="392"/>
      <c r="EJ280" s="392"/>
      <c r="EK280" s="392"/>
      <c r="EL280" s="392"/>
      <c r="EM280" s="392"/>
      <c r="EN280" s="392"/>
      <c r="EO280" s="392"/>
      <c r="EP280" s="392"/>
      <c r="EQ280" s="392"/>
      <c r="ER280" s="392"/>
      <c r="ES280" s="392"/>
      <c r="ET280" s="392"/>
      <c r="EU280" s="392"/>
      <c r="EV280" s="392"/>
      <c r="EW280" s="392"/>
      <c r="EX280" s="392"/>
      <c r="EY280" s="392"/>
      <c r="EZ280" s="392"/>
      <c r="FA280" s="392"/>
      <c r="FB280" s="392"/>
      <c r="FC280" s="392"/>
      <c r="FD280" s="392"/>
      <c r="FE280" s="392"/>
      <c r="FF280" s="392"/>
      <c r="FG280" s="392"/>
      <c r="FH280" s="392"/>
      <c r="FI280" s="392"/>
      <c r="FJ280" s="392"/>
      <c r="FK280" s="392"/>
      <c r="FL280" s="392"/>
      <c r="FM280" s="392"/>
      <c r="FN280" s="392"/>
      <c r="FO280" s="392"/>
      <c r="FP280" s="392"/>
      <c r="FQ280" s="392"/>
      <c r="FR280" s="392"/>
      <c r="FS280" s="392"/>
      <c r="FT280" s="392"/>
      <c r="FU280" s="392"/>
      <c r="FV280" s="392"/>
      <c r="FW280" s="392"/>
      <c r="FX280" s="392"/>
      <c r="FY280" s="392"/>
      <c r="FZ280" s="392"/>
      <c r="GA280" s="392"/>
      <c r="GB280" s="392"/>
      <c r="GC280" s="392"/>
      <c r="GD280" s="392"/>
      <c r="GE280" s="392"/>
      <c r="GF280" s="392"/>
      <c r="GG280" s="392"/>
      <c r="GH280" s="392"/>
      <c r="GI280" s="392"/>
      <c r="GJ280" s="392"/>
      <c r="GK280" s="392"/>
      <c r="GL280" s="392"/>
      <c r="GM280" s="392"/>
      <c r="GN280" s="392"/>
      <c r="GO280" s="392"/>
      <c r="GP280" s="392"/>
      <c r="GQ280" s="392"/>
      <c r="GR280" s="392"/>
      <c r="GS280" s="392"/>
      <c r="GT280" s="392"/>
      <c r="GU280" s="392"/>
      <c r="GV280" s="392"/>
      <c r="GW280" s="392"/>
      <c r="GX280" s="392"/>
      <c r="GY280" s="392"/>
      <c r="GZ280" s="392"/>
      <c r="HA280" s="392"/>
      <c r="HB280" s="392"/>
      <c r="HC280" s="392"/>
      <c r="HD280" s="392"/>
      <c r="HE280" s="392"/>
      <c r="HF280" s="392"/>
      <c r="HG280" s="392"/>
      <c r="HH280" s="392"/>
      <c r="HI280" s="392"/>
      <c r="HJ280" s="392"/>
      <c r="HK280" s="392"/>
      <c r="HL280" s="392"/>
      <c r="HM280" s="392"/>
      <c r="HN280" s="392"/>
      <c r="HO280" s="392"/>
      <c r="HP280" s="392"/>
      <c r="HQ280" s="392"/>
      <c r="HR280" s="392"/>
      <c r="HS280" s="392"/>
      <c r="HT280" s="392"/>
      <c r="HU280" s="392"/>
      <c r="HV280" s="392"/>
      <c r="HW280" s="392"/>
      <c r="HX280" s="392"/>
      <c r="HY280" s="392"/>
      <c r="HZ280" s="392"/>
      <c r="IA280" s="392"/>
      <c r="IB280" s="392"/>
      <c r="IC280" s="392"/>
      <c r="ID280" s="392"/>
      <c r="IE280" s="392"/>
      <c r="IF280" s="392"/>
      <c r="IG280" s="392"/>
      <c r="IH280" s="392"/>
      <c r="II280" s="392"/>
      <c r="IJ280" s="392"/>
      <c r="IK280" s="392"/>
      <c r="IL280" s="392"/>
      <c r="IM280" s="392"/>
      <c r="IN280" s="392"/>
      <c r="IO280" s="392"/>
      <c r="IP280" s="392"/>
      <c r="IQ280" s="392"/>
      <c r="IR280" s="392"/>
      <c r="IS280" s="392"/>
      <c r="IT280" s="392"/>
      <c r="IU280" s="392"/>
      <c r="IV280" s="392"/>
    </row>
    <row r="281" spans="1:256">
      <c r="A281" s="392"/>
      <c r="B281" s="448"/>
      <c r="C281" s="448"/>
      <c r="D281" s="448"/>
      <c r="E281" s="448"/>
      <c r="F281" s="448"/>
      <c r="G281" s="448"/>
      <c r="H281" s="392"/>
      <c r="I281" s="392"/>
      <c r="J281" s="392"/>
      <c r="K281" s="392"/>
      <c r="L281" s="392"/>
      <c r="M281" s="392"/>
      <c r="N281" s="392"/>
      <c r="O281" s="392"/>
      <c r="P281" s="392"/>
      <c r="Q281" s="392"/>
      <c r="R281" s="392"/>
      <c r="S281" s="392"/>
      <c r="T281" s="392"/>
      <c r="U281" s="392"/>
      <c r="V281" s="392"/>
      <c r="W281" s="392"/>
      <c r="X281" s="392"/>
      <c r="Y281" s="392"/>
      <c r="Z281" s="392"/>
      <c r="AA281" s="392"/>
      <c r="AB281" s="392"/>
      <c r="AC281" s="392"/>
      <c r="AD281" s="392"/>
      <c r="AE281" s="392"/>
      <c r="AF281" s="392"/>
      <c r="AG281" s="392"/>
      <c r="AH281" s="392"/>
      <c r="AI281" s="392"/>
      <c r="AJ281" s="392"/>
      <c r="AK281" s="392"/>
      <c r="AL281" s="392"/>
      <c r="AM281" s="392"/>
      <c r="AN281" s="392"/>
      <c r="AO281" s="392"/>
      <c r="AP281" s="392"/>
      <c r="AQ281" s="392"/>
      <c r="AR281" s="392"/>
      <c r="AS281" s="392"/>
      <c r="AT281" s="392"/>
      <c r="AU281" s="392"/>
      <c r="AV281" s="392"/>
      <c r="AW281" s="392"/>
      <c r="AX281" s="392"/>
      <c r="AY281" s="392"/>
      <c r="AZ281" s="392"/>
      <c r="BA281" s="392"/>
      <c r="BB281" s="392"/>
      <c r="BC281" s="392"/>
      <c r="BD281" s="392"/>
      <c r="BE281" s="392"/>
      <c r="BF281" s="392"/>
      <c r="BG281" s="392"/>
      <c r="BH281" s="392"/>
      <c r="BI281" s="392"/>
      <c r="BJ281" s="392"/>
      <c r="BK281" s="392"/>
      <c r="BL281" s="392"/>
      <c r="BM281" s="392"/>
      <c r="BN281" s="392"/>
      <c r="BO281" s="392"/>
      <c r="BP281" s="392"/>
      <c r="BQ281" s="392"/>
      <c r="BR281" s="392"/>
      <c r="BS281" s="392"/>
      <c r="BT281" s="392"/>
      <c r="BU281" s="392"/>
      <c r="BV281" s="392"/>
      <c r="BW281" s="392"/>
      <c r="BX281" s="392"/>
      <c r="BY281" s="392"/>
      <c r="BZ281" s="392"/>
      <c r="CA281" s="392"/>
      <c r="CB281" s="392"/>
      <c r="CC281" s="392"/>
      <c r="CD281" s="392"/>
      <c r="CE281" s="392"/>
      <c r="CF281" s="392"/>
      <c r="CG281" s="392"/>
      <c r="CH281" s="392"/>
      <c r="CI281" s="392"/>
      <c r="CJ281" s="392"/>
      <c r="CK281" s="392"/>
      <c r="CL281" s="392"/>
      <c r="CM281" s="392"/>
      <c r="CN281" s="392"/>
      <c r="CO281" s="392"/>
      <c r="CP281" s="392"/>
      <c r="CQ281" s="392"/>
      <c r="CR281" s="392"/>
      <c r="CS281" s="392"/>
      <c r="CT281" s="392"/>
      <c r="CU281" s="392"/>
      <c r="CV281" s="392"/>
      <c r="CW281" s="392"/>
      <c r="CX281" s="392"/>
      <c r="CY281" s="392"/>
      <c r="CZ281" s="392"/>
      <c r="DA281" s="392"/>
      <c r="DB281" s="392"/>
      <c r="DC281" s="392"/>
      <c r="DD281" s="392"/>
      <c r="DE281" s="392"/>
      <c r="DF281" s="392"/>
      <c r="DG281" s="392"/>
      <c r="DH281" s="392"/>
      <c r="DI281" s="392"/>
      <c r="DJ281" s="392"/>
      <c r="DK281" s="392"/>
      <c r="DL281" s="392"/>
      <c r="DM281" s="392"/>
      <c r="DN281" s="392"/>
      <c r="DO281" s="392"/>
      <c r="DP281" s="392"/>
      <c r="DQ281" s="392"/>
      <c r="DR281" s="392"/>
      <c r="DS281" s="392"/>
      <c r="DT281" s="392"/>
      <c r="DU281" s="392"/>
      <c r="DV281" s="392"/>
      <c r="DW281" s="392"/>
      <c r="DX281" s="392"/>
      <c r="DY281" s="392"/>
      <c r="DZ281" s="392"/>
      <c r="EA281" s="392"/>
      <c r="EB281" s="392"/>
      <c r="EC281" s="392"/>
      <c r="ED281" s="392"/>
      <c r="EE281" s="392"/>
      <c r="EF281" s="392"/>
      <c r="EG281" s="392"/>
      <c r="EH281" s="392"/>
      <c r="EI281" s="392"/>
      <c r="EJ281" s="392"/>
      <c r="EK281" s="392"/>
      <c r="EL281" s="392"/>
      <c r="EM281" s="392"/>
      <c r="EN281" s="392"/>
      <c r="EO281" s="392"/>
      <c r="EP281" s="392"/>
      <c r="EQ281" s="392"/>
      <c r="ER281" s="392"/>
      <c r="ES281" s="392"/>
      <c r="ET281" s="392"/>
      <c r="EU281" s="392"/>
      <c r="EV281" s="392"/>
      <c r="EW281" s="392"/>
      <c r="EX281" s="392"/>
      <c r="EY281" s="392"/>
      <c r="EZ281" s="392"/>
      <c r="FA281" s="392"/>
      <c r="FB281" s="392"/>
      <c r="FC281" s="392"/>
      <c r="FD281" s="392"/>
      <c r="FE281" s="392"/>
      <c r="FF281" s="392"/>
      <c r="FG281" s="392"/>
      <c r="FH281" s="392"/>
      <c r="FI281" s="392"/>
      <c r="FJ281" s="392"/>
      <c r="FK281" s="392"/>
      <c r="FL281" s="392"/>
      <c r="FM281" s="392"/>
      <c r="FN281" s="392"/>
      <c r="FO281" s="392"/>
      <c r="FP281" s="392"/>
      <c r="FQ281" s="392"/>
      <c r="FR281" s="392"/>
      <c r="FS281" s="392"/>
      <c r="FT281" s="392"/>
      <c r="FU281" s="392"/>
      <c r="FV281" s="392"/>
      <c r="FW281" s="392"/>
      <c r="FX281" s="392"/>
      <c r="FY281" s="392"/>
      <c r="FZ281" s="392"/>
      <c r="GA281" s="392"/>
      <c r="GB281" s="392"/>
      <c r="GC281" s="392"/>
      <c r="GD281" s="392"/>
      <c r="GE281" s="392"/>
      <c r="GF281" s="392"/>
      <c r="GG281" s="392"/>
      <c r="GH281" s="392"/>
      <c r="GI281" s="392"/>
      <c r="GJ281" s="392"/>
      <c r="GK281" s="392"/>
      <c r="GL281" s="392"/>
      <c r="GM281" s="392"/>
      <c r="GN281" s="392"/>
      <c r="GO281" s="392"/>
      <c r="GP281" s="392"/>
      <c r="GQ281" s="392"/>
      <c r="GR281" s="392"/>
      <c r="GS281" s="392"/>
      <c r="GT281" s="392"/>
      <c r="GU281" s="392"/>
      <c r="GV281" s="392"/>
      <c r="GW281" s="392"/>
      <c r="GX281" s="392"/>
      <c r="GY281" s="392"/>
      <c r="GZ281" s="392"/>
      <c r="HA281" s="392"/>
      <c r="HB281" s="392"/>
      <c r="HC281" s="392"/>
      <c r="HD281" s="392"/>
      <c r="HE281" s="392"/>
      <c r="HF281" s="392"/>
      <c r="HG281" s="392"/>
      <c r="HH281" s="392"/>
      <c r="HI281" s="392"/>
      <c r="HJ281" s="392"/>
      <c r="HK281" s="392"/>
      <c r="HL281" s="392"/>
      <c r="HM281" s="392"/>
      <c r="HN281" s="392"/>
      <c r="HO281" s="392"/>
      <c r="HP281" s="392"/>
      <c r="HQ281" s="392"/>
      <c r="HR281" s="392"/>
      <c r="HS281" s="392"/>
      <c r="HT281" s="392"/>
      <c r="HU281" s="392"/>
      <c r="HV281" s="392"/>
      <c r="HW281" s="392"/>
      <c r="HX281" s="392"/>
      <c r="HY281" s="392"/>
      <c r="HZ281" s="392"/>
      <c r="IA281" s="392"/>
      <c r="IB281" s="392"/>
      <c r="IC281" s="392"/>
      <c r="ID281" s="392"/>
      <c r="IE281" s="392"/>
      <c r="IF281" s="392"/>
      <c r="IG281" s="392"/>
      <c r="IH281" s="392"/>
      <c r="II281" s="392"/>
      <c r="IJ281" s="392"/>
      <c r="IK281" s="392"/>
      <c r="IL281" s="392"/>
      <c r="IM281" s="392"/>
      <c r="IN281" s="392"/>
      <c r="IO281" s="392"/>
      <c r="IP281" s="392"/>
      <c r="IQ281" s="392"/>
      <c r="IR281" s="392"/>
      <c r="IS281" s="392"/>
      <c r="IT281" s="392"/>
      <c r="IU281" s="392"/>
      <c r="IV281" s="392"/>
    </row>
    <row r="282" spans="1:256">
      <c r="A282" s="392"/>
      <c r="B282" s="448"/>
      <c r="C282" s="448"/>
      <c r="D282" s="448"/>
      <c r="E282" s="448"/>
      <c r="F282" s="448"/>
      <c r="G282" s="448"/>
      <c r="H282" s="392"/>
      <c r="I282" s="392"/>
      <c r="J282" s="392"/>
      <c r="K282" s="392"/>
      <c r="L282" s="392"/>
      <c r="M282" s="392"/>
      <c r="N282" s="392"/>
      <c r="O282" s="392"/>
      <c r="P282" s="392"/>
      <c r="Q282" s="392"/>
      <c r="R282" s="392"/>
      <c r="S282" s="392"/>
      <c r="T282" s="392"/>
      <c r="U282" s="392"/>
      <c r="V282" s="392"/>
      <c r="W282" s="392"/>
      <c r="X282" s="392"/>
      <c r="Y282" s="392"/>
      <c r="Z282" s="392"/>
      <c r="AA282" s="392"/>
      <c r="AB282" s="392"/>
      <c r="AC282" s="392"/>
      <c r="AD282" s="392"/>
      <c r="AE282" s="392"/>
      <c r="AF282" s="392"/>
      <c r="AG282" s="392"/>
      <c r="AH282" s="392"/>
      <c r="AI282" s="392"/>
      <c r="AJ282" s="392"/>
      <c r="AK282" s="392"/>
      <c r="AL282" s="392"/>
      <c r="AM282" s="392"/>
      <c r="AN282" s="392"/>
      <c r="AO282" s="392"/>
      <c r="AP282" s="392"/>
      <c r="AQ282" s="392"/>
      <c r="AR282" s="392"/>
      <c r="AS282" s="392"/>
      <c r="AT282" s="392"/>
      <c r="AU282" s="392"/>
      <c r="AV282" s="392"/>
      <c r="AW282" s="392"/>
      <c r="AX282" s="392"/>
      <c r="AY282" s="392"/>
      <c r="AZ282" s="392"/>
      <c r="BA282" s="392"/>
      <c r="BB282" s="392"/>
      <c r="BC282" s="392"/>
      <c r="BD282" s="392"/>
      <c r="BE282" s="392"/>
      <c r="BF282" s="392"/>
      <c r="BG282" s="392"/>
      <c r="BH282" s="392"/>
      <c r="BI282" s="392"/>
      <c r="BJ282" s="392"/>
      <c r="BK282" s="392"/>
      <c r="BL282" s="392"/>
      <c r="BM282" s="392"/>
      <c r="BN282" s="392"/>
      <c r="BO282" s="392"/>
      <c r="BP282" s="392"/>
      <c r="BQ282" s="392"/>
      <c r="BR282" s="392"/>
      <c r="BS282" s="392"/>
      <c r="BT282" s="392"/>
      <c r="BU282" s="392"/>
      <c r="BV282" s="392"/>
      <c r="BW282" s="392"/>
      <c r="BX282" s="392"/>
      <c r="BY282" s="392"/>
      <c r="BZ282" s="392"/>
      <c r="CA282" s="392"/>
      <c r="CB282" s="392"/>
      <c r="CC282" s="392"/>
      <c r="CD282" s="392"/>
      <c r="CE282" s="392"/>
      <c r="CF282" s="392"/>
      <c r="CG282" s="392"/>
      <c r="CH282" s="392"/>
      <c r="CI282" s="392"/>
      <c r="CJ282" s="392"/>
      <c r="CK282" s="392"/>
      <c r="CL282" s="392"/>
      <c r="CM282" s="392"/>
      <c r="CN282" s="392"/>
      <c r="CO282" s="392"/>
      <c r="CP282" s="392"/>
      <c r="CQ282" s="392"/>
      <c r="CR282" s="392"/>
      <c r="CS282" s="392"/>
      <c r="CT282" s="392"/>
      <c r="CU282" s="392"/>
      <c r="CV282" s="392"/>
      <c r="CW282" s="392"/>
      <c r="CX282" s="392"/>
      <c r="CY282" s="392"/>
      <c r="CZ282" s="392"/>
      <c r="DA282" s="392"/>
      <c r="DB282" s="392"/>
      <c r="DC282" s="392"/>
      <c r="DD282" s="392"/>
      <c r="DE282" s="392"/>
      <c r="DF282" s="392"/>
      <c r="DG282" s="392"/>
      <c r="DH282" s="392"/>
      <c r="DI282" s="392"/>
      <c r="DJ282" s="392"/>
      <c r="DK282" s="392"/>
      <c r="DL282" s="392"/>
      <c r="DM282" s="392"/>
      <c r="DN282" s="392"/>
      <c r="DO282" s="392"/>
      <c r="DP282" s="392"/>
      <c r="DQ282" s="392"/>
      <c r="DR282" s="392"/>
      <c r="DS282" s="392"/>
      <c r="DT282" s="392"/>
      <c r="DU282" s="392"/>
      <c r="DV282" s="392"/>
      <c r="DW282" s="392"/>
      <c r="DX282" s="392"/>
      <c r="DY282" s="392"/>
      <c r="DZ282" s="392"/>
      <c r="EA282" s="392"/>
      <c r="EB282" s="392"/>
      <c r="EC282" s="392"/>
      <c r="ED282" s="392"/>
      <c r="EE282" s="392"/>
      <c r="EF282" s="392"/>
      <c r="EG282" s="392"/>
      <c r="EH282" s="392"/>
      <c r="EI282" s="392"/>
      <c r="EJ282" s="392"/>
      <c r="EK282" s="392"/>
      <c r="EL282" s="392"/>
      <c r="EM282" s="392"/>
      <c r="EN282" s="392"/>
      <c r="EO282" s="392"/>
      <c r="EP282" s="392"/>
      <c r="EQ282" s="392"/>
      <c r="ER282" s="392"/>
      <c r="ES282" s="392"/>
      <c r="ET282" s="392"/>
      <c r="EU282" s="392"/>
      <c r="EV282" s="392"/>
      <c r="EW282" s="392"/>
      <c r="EX282" s="392"/>
      <c r="EY282" s="392"/>
      <c r="EZ282" s="392"/>
      <c r="FA282" s="392"/>
      <c r="FB282" s="392"/>
      <c r="FC282" s="392"/>
      <c r="FD282" s="392"/>
      <c r="FE282" s="392"/>
      <c r="FF282" s="392"/>
      <c r="FG282" s="392"/>
      <c r="FH282" s="392"/>
      <c r="FI282" s="392"/>
      <c r="FJ282" s="392"/>
      <c r="FK282" s="392"/>
      <c r="FL282" s="392"/>
      <c r="FM282" s="392"/>
      <c r="FN282" s="392"/>
      <c r="FO282" s="392"/>
      <c r="FP282" s="392"/>
      <c r="FQ282" s="392"/>
      <c r="FR282" s="392"/>
      <c r="FS282" s="392"/>
      <c r="FT282" s="392"/>
      <c r="FU282" s="392"/>
      <c r="FV282" s="392"/>
      <c r="FW282" s="392"/>
      <c r="FX282" s="392"/>
      <c r="FY282" s="392"/>
      <c r="FZ282" s="392"/>
      <c r="GA282" s="392"/>
      <c r="GB282" s="392"/>
      <c r="GC282" s="392"/>
      <c r="GD282" s="392"/>
      <c r="GE282" s="392"/>
      <c r="GF282" s="392"/>
      <c r="GG282" s="392"/>
      <c r="GH282" s="392"/>
      <c r="GI282" s="392"/>
      <c r="GJ282" s="392"/>
      <c r="GK282" s="392"/>
      <c r="GL282" s="392"/>
      <c r="GM282" s="392"/>
      <c r="GN282" s="392"/>
      <c r="GO282" s="392"/>
      <c r="GP282" s="392"/>
      <c r="GQ282" s="392"/>
      <c r="GR282" s="392"/>
      <c r="GS282" s="392"/>
      <c r="GT282" s="392"/>
      <c r="GU282" s="392"/>
      <c r="GV282" s="392"/>
      <c r="GW282" s="392"/>
      <c r="GX282" s="392"/>
      <c r="GY282" s="392"/>
      <c r="GZ282" s="392"/>
      <c r="HA282" s="392"/>
      <c r="HB282" s="392"/>
      <c r="HC282" s="392"/>
      <c r="HD282" s="392"/>
      <c r="HE282" s="392"/>
      <c r="HF282" s="392"/>
      <c r="HG282" s="392"/>
      <c r="HH282" s="392"/>
      <c r="HI282" s="392"/>
      <c r="HJ282" s="392"/>
      <c r="HK282" s="392"/>
      <c r="HL282" s="392"/>
      <c r="HM282" s="392"/>
      <c r="HN282" s="392"/>
      <c r="HO282" s="392"/>
      <c r="HP282" s="392"/>
      <c r="HQ282" s="392"/>
      <c r="HR282" s="392"/>
      <c r="HS282" s="392"/>
      <c r="HT282" s="392"/>
      <c r="HU282" s="392"/>
      <c r="HV282" s="392"/>
      <c r="HW282" s="392"/>
      <c r="HX282" s="392"/>
      <c r="HY282" s="392"/>
      <c r="HZ282" s="392"/>
      <c r="IA282" s="392"/>
      <c r="IB282" s="392"/>
      <c r="IC282" s="392"/>
      <c r="ID282" s="392"/>
      <c r="IE282" s="392"/>
      <c r="IF282" s="392"/>
      <c r="IG282" s="392"/>
      <c r="IH282" s="392"/>
      <c r="II282" s="392"/>
      <c r="IJ282" s="392"/>
      <c r="IK282" s="392"/>
      <c r="IL282" s="392"/>
      <c r="IM282" s="392"/>
      <c r="IN282" s="392"/>
      <c r="IO282" s="392"/>
      <c r="IP282" s="392"/>
      <c r="IQ282" s="392"/>
      <c r="IR282" s="392"/>
      <c r="IS282" s="392"/>
      <c r="IT282" s="392"/>
      <c r="IU282" s="392"/>
      <c r="IV282" s="392"/>
    </row>
    <row r="283" spans="1:256">
      <c r="A283" s="392"/>
      <c r="B283" s="448"/>
      <c r="C283" s="448"/>
      <c r="D283" s="448"/>
      <c r="E283" s="448"/>
      <c r="F283" s="448"/>
      <c r="G283" s="448"/>
      <c r="H283" s="392"/>
      <c r="I283" s="392"/>
      <c r="J283" s="392"/>
      <c r="K283" s="392"/>
      <c r="L283" s="392"/>
      <c r="M283" s="392"/>
      <c r="N283" s="392"/>
      <c r="O283" s="392"/>
      <c r="P283" s="392"/>
      <c r="Q283" s="392"/>
      <c r="R283" s="392"/>
      <c r="S283" s="392"/>
      <c r="T283" s="392"/>
      <c r="U283" s="392"/>
      <c r="V283" s="392"/>
      <c r="W283" s="392"/>
      <c r="X283" s="392"/>
      <c r="Y283" s="392"/>
      <c r="Z283" s="392"/>
      <c r="AA283" s="392"/>
      <c r="AB283" s="392"/>
      <c r="AC283" s="392"/>
      <c r="AD283" s="392"/>
      <c r="AE283" s="392"/>
      <c r="AF283" s="392"/>
      <c r="AG283" s="392"/>
      <c r="AH283" s="392"/>
      <c r="AI283" s="392"/>
      <c r="AJ283" s="392"/>
      <c r="AK283" s="392"/>
      <c r="AL283" s="392"/>
      <c r="AM283" s="392"/>
      <c r="AN283" s="392"/>
      <c r="AO283" s="392"/>
      <c r="AP283" s="392"/>
      <c r="AQ283" s="392"/>
      <c r="AR283" s="392"/>
      <c r="AS283" s="392"/>
      <c r="AT283" s="392"/>
      <c r="AU283" s="392"/>
      <c r="AV283" s="392"/>
      <c r="AW283" s="392"/>
      <c r="AX283" s="392"/>
      <c r="AY283" s="392"/>
      <c r="AZ283" s="392"/>
      <c r="BA283" s="392"/>
      <c r="BB283" s="392"/>
      <c r="BC283" s="392"/>
      <c r="BD283" s="392"/>
      <c r="BE283" s="392"/>
      <c r="BF283" s="392"/>
      <c r="BG283" s="392"/>
      <c r="BH283" s="392"/>
      <c r="BI283" s="392"/>
      <c r="BJ283" s="392"/>
      <c r="BK283" s="392"/>
      <c r="BL283" s="392"/>
      <c r="BM283" s="392"/>
      <c r="BN283" s="392"/>
      <c r="BO283" s="392"/>
      <c r="BP283" s="392"/>
      <c r="BQ283" s="392"/>
      <c r="BR283" s="392"/>
      <c r="BS283" s="392"/>
      <c r="BT283" s="392"/>
      <c r="BU283" s="392"/>
      <c r="BV283" s="392"/>
      <c r="BW283" s="392"/>
      <c r="BX283" s="392"/>
      <c r="BY283" s="392"/>
      <c r="BZ283" s="392"/>
      <c r="CA283" s="392"/>
      <c r="CB283" s="392"/>
      <c r="CC283" s="392"/>
      <c r="CD283" s="392"/>
      <c r="CE283" s="392"/>
      <c r="CF283" s="392"/>
      <c r="CG283" s="392"/>
      <c r="CH283" s="392"/>
      <c r="CI283" s="392"/>
      <c r="CJ283" s="392"/>
      <c r="CK283" s="392"/>
      <c r="CL283" s="392"/>
      <c r="CM283" s="392"/>
      <c r="CN283" s="392"/>
      <c r="CO283" s="392"/>
      <c r="CP283" s="392"/>
      <c r="CQ283" s="392"/>
      <c r="CR283" s="392"/>
      <c r="CS283" s="392"/>
      <c r="CT283" s="392"/>
      <c r="CU283" s="392"/>
      <c r="CV283" s="392"/>
      <c r="CW283" s="392"/>
      <c r="CX283" s="392"/>
      <c r="CY283" s="392"/>
      <c r="CZ283" s="392"/>
      <c r="DA283" s="392"/>
      <c r="DB283" s="392"/>
      <c r="DC283" s="392"/>
      <c r="DD283" s="392"/>
      <c r="DE283" s="392"/>
      <c r="DF283" s="392"/>
      <c r="DG283" s="392"/>
      <c r="DH283" s="392"/>
      <c r="DI283" s="392"/>
      <c r="DJ283" s="392"/>
      <c r="DK283" s="392"/>
      <c r="DL283" s="392"/>
      <c r="DM283" s="392"/>
      <c r="DN283" s="392"/>
      <c r="DO283" s="392"/>
      <c r="DP283" s="392"/>
      <c r="DQ283" s="392"/>
      <c r="DR283" s="392"/>
      <c r="DS283" s="392"/>
      <c r="DT283" s="392"/>
      <c r="DU283" s="392"/>
      <c r="DV283" s="392"/>
      <c r="DW283" s="392"/>
      <c r="DX283" s="392"/>
      <c r="DY283" s="392"/>
      <c r="DZ283" s="392"/>
      <c r="EA283" s="392"/>
      <c r="EB283" s="392"/>
      <c r="EC283" s="392"/>
      <c r="ED283" s="392"/>
      <c r="EE283" s="392"/>
      <c r="EF283" s="392"/>
      <c r="EG283" s="392"/>
      <c r="EH283" s="392"/>
      <c r="EI283" s="392"/>
      <c r="EJ283" s="392"/>
      <c r="EK283" s="392"/>
      <c r="EL283" s="392"/>
      <c r="EM283" s="392"/>
      <c r="EN283" s="392"/>
      <c r="EO283" s="392"/>
      <c r="EP283" s="392"/>
      <c r="EQ283" s="392"/>
      <c r="ER283" s="392"/>
      <c r="ES283" s="392"/>
      <c r="ET283" s="392"/>
      <c r="EU283" s="392"/>
      <c r="EV283" s="392"/>
      <c r="EW283" s="392"/>
      <c r="EX283" s="392"/>
      <c r="EY283" s="392"/>
      <c r="EZ283" s="392"/>
      <c r="FA283" s="392"/>
      <c r="FB283" s="392"/>
      <c r="FC283" s="392"/>
      <c r="FD283" s="392"/>
      <c r="FE283" s="392"/>
      <c r="FF283" s="392"/>
      <c r="FG283" s="392"/>
      <c r="FH283" s="392"/>
      <c r="FI283" s="392"/>
      <c r="FJ283" s="392"/>
      <c r="FK283" s="392"/>
      <c r="FL283" s="392"/>
      <c r="FM283" s="392"/>
      <c r="FN283" s="392"/>
      <c r="FO283" s="392"/>
      <c r="FP283" s="392"/>
      <c r="FQ283" s="392"/>
      <c r="FR283" s="392"/>
      <c r="FS283" s="392"/>
      <c r="FT283" s="392"/>
      <c r="FU283" s="392"/>
      <c r="FV283" s="392"/>
      <c r="FW283" s="392"/>
      <c r="FX283" s="392"/>
      <c r="FY283" s="392"/>
      <c r="FZ283" s="392"/>
      <c r="GA283" s="392"/>
      <c r="GB283" s="392"/>
      <c r="GC283" s="392"/>
      <c r="GD283" s="392"/>
      <c r="GE283" s="392"/>
      <c r="GF283" s="392"/>
      <c r="GG283" s="392"/>
      <c r="GH283" s="392"/>
      <c r="GI283" s="392"/>
      <c r="GJ283" s="392"/>
      <c r="GK283" s="392"/>
      <c r="GL283" s="392"/>
      <c r="GM283" s="392"/>
      <c r="GN283" s="392"/>
      <c r="GO283" s="392"/>
      <c r="GP283" s="392"/>
      <c r="GQ283" s="392"/>
      <c r="GR283" s="392"/>
      <c r="GS283" s="392"/>
      <c r="GT283" s="392"/>
      <c r="GU283" s="392"/>
      <c r="GV283" s="392"/>
      <c r="GW283" s="392"/>
      <c r="GX283" s="392"/>
      <c r="GY283" s="392"/>
      <c r="GZ283" s="392"/>
      <c r="HA283" s="392"/>
      <c r="HB283" s="392"/>
      <c r="HC283" s="392"/>
      <c r="HD283" s="392"/>
      <c r="HE283" s="392"/>
      <c r="HF283" s="392"/>
      <c r="HG283" s="392"/>
      <c r="HH283" s="392"/>
      <c r="HI283" s="392"/>
      <c r="HJ283" s="392"/>
      <c r="HK283" s="392"/>
      <c r="HL283" s="392"/>
      <c r="HM283" s="392"/>
      <c r="HN283" s="392"/>
      <c r="HO283" s="392"/>
      <c r="HP283" s="392"/>
      <c r="HQ283" s="392"/>
      <c r="HR283" s="392"/>
      <c r="HS283" s="392"/>
      <c r="HT283" s="392"/>
      <c r="HU283" s="392"/>
      <c r="HV283" s="392"/>
      <c r="HW283" s="392"/>
      <c r="HX283" s="392"/>
      <c r="HY283" s="392"/>
      <c r="HZ283" s="392"/>
      <c r="IA283" s="392"/>
      <c r="IB283" s="392"/>
      <c r="IC283" s="392"/>
      <c r="ID283" s="392"/>
      <c r="IE283" s="392"/>
      <c r="IF283" s="392"/>
      <c r="IG283" s="392"/>
      <c r="IH283" s="392"/>
      <c r="II283" s="392"/>
      <c r="IJ283" s="392"/>
      <c r="IK283" s="392"/>
      <c r="IL283" s="392"/>
      <c r="IM283" s="392"/>
      <c r="IN283" s="392"/>
      <c r="IO283" s="392"/>
      <c r="IP283" s="392"/>
      <c r="IQ283" s="392"/>
      <c r="IR283" s="392"/>
      <c r="IS283" s="392"/>
      <c r="IT283" s="392"/>
      <c r="IU283" s="392"/>
      <c r="IV283" s="392"/>
    </row>
    <row r="284" spans="1:256">
      <c r="A284" s="392"/>
      <c r="B284" s="448"/>
      <c r="C284" s="448"/>
      <c r="D284" s="448"/>
      <c r="E284" s="448"/>
      <c r="F284" s="448"/>
      <c r="G284" s="448"/>
      <c r="H284" s="392"/>
      <c r="I284" s="392"/>
      <c r="J284" s="392"/>
      <c r="K284" s="392"/>
      <c r="L284" s="392"/>
      <c r="M284" s="392"/>
      <c r="N284" s="392"/>
      <c r="O284" s="392"/>
      <c r="P284" s="392"/>
      <c r="Q284" s="392"/>
      <c r="R284" s="392"/>
      <c r="S284" s="392"/>
      <c r="T284" s="392"/>
      <c r="U284" s="392"/>
      <c r="V284" s="392"/>
      <c r="W284" s="392"/>
      <c r="X284" s="392"/>
      <c r="Y284" s="392"/>
      <c r="Z284" s="392"/>
      <c r="AA284" s="392"/>
      <c r="AB284" s="392"/>
      <c r="AC284" s="392"/>
      <c r="AD284" s="392"/>
      <c r="AE284" s="392"/>
      <c r="AF284" s="392"/>
      <c r="AG284" s="392"/>
      <c r="AH284" s="392"/>
      <c r="AI284" s="392"/>
      <c r="AJ284" s="392"/>
      <c r="AK284" s="392"/>
      <c r="AL284" s="392"/>
      <c r="AM284" s="392"/>
      <c r="AN284" s="392"/>
      <c r="AO284" s="392"/>
      <c r="AP284" s="392"/>
      <c r="AQ284" s="392"/>
      <c r="AR284" s="392"/>
      <c r="AS284" s="392"/>
      <c r="AT284" s="392"/>
      <c r="AU284" s="392"/>
      <c r="AV284" s="392"/>
      <c r="AW284" s="392"/>
      <c r="AX284" s="392"/>
      <c r="AY284" s="392"/>
      <c r="AZ284" s="392"/>
      <c r="BA284" s="392"/>
      <c r="BB284" s="392"/>
      <c r="BC284" s="392"/>
      <c r="BD284" s="392"/>
      <c r="BE284" s="392"/>
      <c r="BF284" s="392"/>
      <c r="BG284" s="392"/>
      <c r="BH284" s="392"/>
      <c r="BI284" s="392"/>
      <c r="BJ284" s="392"/>
      <c r="BK284" s="392"/>
      <c r="BL284" s="392"/>
      <c r="BM284" s="392"/>
      <c r="BN284" s="392"/>
      <c r="BO284" s="392"/>
      <c r="BP284" s="392"/>
      <c r="BQ284" s="392"/>
      <c r="BR284" s="392"/>
      <c r="BS284" s="392"/>
      <c r="BT284" s="392"/>
      <c r="BU284" s="392"/>
      <c r="BV284" s="392"/>
      <c r="BW284" s="392"/>
      <c r="BX284" s="392"/>
      <c r="BY284" s="392"/>
      <c r="BZ284" s="392"/>
      <c r="CA284" s="392"/>
      <c r="CB284" s="392"/>
      <c r="CC284" s="392"/>
      <c r="CD284" s="392"/>
      <c r="CE284" s="392"/>
      <c r="CF284" s="392"/>
      <c r="CG284" s="392"/>
      <c r="CH284" s="392"/>
      <c r="CI284" s="392"/>
      <c r="CJ284" s="392"/>
      <c r="CK284" s="392"/>
      <c r="CL284" s="392"/>
      <c r="CM284" s="392"/>
      <c r="CN284" s="392"/>
      <c r="CO284" s="392"/>
      <c r="CP284" s="392"/>
      <c r="CQ284" s="392"/>
      <c r="CR284" s="392"/>
      <c r="CS284" s="392"/>
      <c r="CT284" s="392"/>
      <c r="CU284" s="392"/>
      <c r="CV284" s="392"/>
      <c r="CW284" s="392"/>
      <c r="CX284" s="392"/>
      <c r="CY284" s="392"/>
      <c r="CZ284" s="392"/>
      <c r="DA284" s="392"/>
      <c r="DB284" s="392"/>
      <c r="DC284" s="392"/>
      <c r="DD284" s="392"/>
      <c r="DE284" s="392"/>
      <c r="DF284" s="392"/>
      <c r="DG284" s="392"/>
      <c r="DH284" s="392"/>
      <c r="DI284" s="392"/>
      <c r="DJ284" s="392"/>
      <c r="DK284" s="392"/>
      <c r="DL284" s="392"/>
      <c r="DM284" s="392"/>
      <c r="DN284" s="392"/>
      <c r="DO284" s="392"/>
      <c r="DP284" s="392"/>
      <c r="DQ284" s="392"/>
      <c r="DR284" s="392"/>
      <c r="DS284" s="392"/>
      <c r="DT284" s="392"/>
      <c r="DU284" s="392"/>
      <c r="DV284" s="392"/>
      <c r="DW284" s="392"/>
      <c r="DX284" s="392"/>
      <c r="DY284" s="392"/>
      <c r="DZ284" s="392"/>
      <c r="EA284" s="392"/>
      <c r="EB284" s="392"/>
      <c r="EC284" s="392"/>
      <c r="ED284" s="392"/>
      <c r="EE284" s="392"/>
      <c r="EF284" s="392"/>
      <c r="EG284" s="392"/>
      <c r="EH284" s="392"/>
      <c r="EI284" s="392"/>
      <c r="EJ284" s="392"/>
      <c r="EK284" s="392"/>
      <c r="EL284" s="392"/>
      <c r="EM284" s="392"/>
      <c r="EN284" s="392"/>
      <c r="EO284" s="392"/>
      <c r="EP284" s="392"/>
      <c r="EQ284" s="392"/>
      <c r="ER284" s="392"/>
      <c r="ES284" s="392"/>
      <c r="ET284" s="392"/>
      <c r="EU284" s="392"/>
      <c r="EV284" s="392"/>
      <c r="EW284" s="392"/>
      <c r="EX284" s="392"/>
      <c r="EY284" s="392"/>
      <c r="EZ284" s="392"/>
      <c r="FA284" s="392"/>
      <c r="FB284" s="392"/>
      <c r="FC284" s="392"/>
      <c r="FD284" s="392"/>
      <c r="FE284" s="392"/>
      <c r="FF284" s="392"/>
      <c r="FG284" s="392"/>
      <c r="FH284" s="392"/>
      <c r="FI284" s="392"/>
      <c r="FJ284" s="392"/>
      <c r="FK284" s="392"/>
      <c r="FL284" s="392"/>
      <c r="FM284" s="392"/>
      <c r="FN284" s="392"/>
      <c r="FO284" s="392"/>
      <c r="FP284" s="392"/>
      <c r="FQ284" s="392"/>
      <c r="FR284" s="392"/>
      <c r="FS284" s="392"/>
      <c r="FT284" s="392"/>
      <c r="FU284" s="392"/>
      <c r="FV284" s="392"/>
      <c r="FW284" s="392"/>
      <c r="FX284" s="392"/>
      <c r="FY284" s="392"/>
      <c r="FZ284" s="392"/>
      <c r="GA284" s="392"/>
      <c r="GB284" s="392"/>
      <c r="GC284" s="392"/>
      <c r="GD284" s="392"/>
      <c r="GE284" s="392"/>
      <c r="GF284" s="392"/>
      <c r="GG284" s="392"/>
      <c r="GH284" s="392"/>
      <c r="GI284" s="392"/>
      <c r="GJ284" s="392"/>
      <c r="GK284" s="392"/>
      <c r="GL284" s="392"/>
      <c r="GM284" s="392"/>
      <c r="GN284" s="392"/>
      <c r="GO284" s="392"/>
      <c r="GP284" s="392"/>
      <c r="GQ284" s="392"/>
      <c r="GR284" s="392"/>
      <c r="GS284" s="392"/>
      <c r="GT284" s="392"/>
      <c r="GU284" s="392"/>
      <c r="GV284" s="392"/>
      <c r="GW284" s="392"/>
      <c r="GX284" s="392"/>
      <c r="GY284" s="392"/>
      <c r="GZ284" s="392"/>
      <c r="HA284" s="392"/>
      <c r="HB284" s="392"/>
      <c r="HC284" s="392"/>
      <c r="HD284" s="392"/>
      <c r="HE284" s="392"/>
      <c r="HF284" s="392"/>
      <c r="HG284" s="392"/>
      <c r="HH284" s="392"/>
      <c r="HI284" s="392"/>
      <c r="HJ284" s="392"/>
      <c r="HK284" s="392"/>
      <c r="HL284" s="392"/>
      <c r="HM284" s="392"/>
      <c r="HN284" s="392"/>
      <c r="HO284" s="392"/>
      <c r="HP284" s="392"/>
      <c r="HQ284" s="392"/>
      <c r="HR284" s="392"/>
      <c r="HS284" s="392"/>
      <c r="HT284" s="392"/>
      <c r="HU284" s="392"/>
      <c r="HV284" s="392"/>
      <c r="HW284" s="392"/>
      <c r="HX284" s="392"/>
      <c r="HY284" s="392"/>
      <c r="HZ284" s="392"/>
      <c r="IA284" s="392"/>
      <c r="IB284" s="392"/>
      <c r="IC284" s="392"/>
      <c r="ID284" s="392"/>
      <c r="IE284" s="392"/>
      <c r="IF284" s="392"/>
      <c r="IG284" s="392"/>
      <c r="IH284" s="392"/>
      <c r="II284" s="392"/>
      <c r="IJ284" s="392"/>
      <c r="IK284" s="392"/>
      <c r="IL284" s="392"/>
      <c r="IM284" s="392"/>
      <c r="IN284" s="392"/>
      <c r="IO284" s="392"/>
      <c r="IP284" s="392"/>
      <c r="IQ284" s="392"/>
      <c r="IR284" s="392"/>
      <c r="IS284" s="392"/>
      <c r="IT284" s="392"/>
      <c r="IU284" s="392"/>
      <c r="IV284" s="392"/>
    </row>
    <row r="285" spans="1:256">
      <c r="A285" s="392"/>
      <c r="B285" s="448"/>
      <c r="C285" s="448"/>
      <c r="D285" s="448"/>
      <c r="E285" s="448"/>
      <c r="F285" s="448"/>
      <c r="G285" s="448"/>
      <c r="H285" s="392"/>
      <c r="I285" s="392"/>
      <c r="J285" s="392"/>
      <c r="K285" s="392"/>
      <c r="L285" s="392"/>
      <c r="M285" s="392"/>
      <c r="N285" s="392"/>
      <c r="O285" s="392"/>
      <c r="P285" s="392"/>
      <c r="Q285" s="392"/>
      <c r="R285" s="392"/>
      <c r="S285" s="392"/>
      <c r="T285" s="392"/>
      <c r="U285" s="392"/>
      <c r="V285" s="392"/>
      <c r="W285" s="392"/>
      <c r="X285" s="392"/>
      <c r="Y285" s="392"/>
      <c r="Z285" s="392"/>
      <c r="AA285" s="392"/>
      <c r="AB285" s="392"/>
      <c r="AC285" s="392"/>
      <c r="AD285" s="392"/>
      <c r="AE285" s="392"/>
      <c r="AF285" s="392"/>
      <c r="AG285" s="392"/>
      <c r="AH285" s="392"/>
      <c r="AI285" s="392"/>
      <c r="AJ285" s="392"/>
      <c r="AK285" s="392"/>
      <c r="AL285" s="392"/>
      <c r="AM285" s="392"/>
      <c r="AN285" s="392"/>
      <c r="AO285" s="392"/>
      <c r="AP285" s="392"/>
      <c r="AQ285" s="392"/>
      <c r="AR285" s="392"/>
      <c r="AS285" s="392"/>
      <c r="AT285" s="392"/>
      <c r="AU285" s="392"/>
      <c r="AV285" s="392"/>
      <c r="AW285" s="392"/>
      <c r="AX285" s="392"/>
      <c r="AY285" s="392"/>
      <c r="AZ285" s="392"/>
      <c r="BA285" s="392"/>
      <c r="BB285" s="392"/>
      <c r="BC285" s="392"/>
      <c r="BD285" s="392"/>
      <c r="BE285" s="392"/>
      <c r="BF285" s="392"/>
      <c r="BG285" s="392"/>
      <c r="BH285" s="392"/>
      <c r="BI285" s="392"/>
      <c r="BJ285" s="392"/>
      <c r="BK285" s="392"/>
      <c r="BL285" s="392"/>
      <c r="BM285" s="392"/>
      <c r="BN285" s="392"/>
      <c r="BO285" s="392"/>
      <c r="BP285" s="392"/>
      <c r="BQ285" s="392"/>
      <c r="BR285" s="392"/>
      <c r="BS285" s="392"/>
      <c r="BT285" s="392"/>
      <c r="BU285" s="392"/>
      <c r="BV285" s="392"/>
      <c r="BW285" s="392"/>
      <c r="BX285" s="392"/>
      <c r="BY285" s="392"/>
      <c r="BZ285" s="392"/>
      <c r="CA285" s="392"/>
      <c r="CB285" s="392"/>
      <c r="CC285" s="392"/>
      <c r="CD285" s="392"/>
      <c r="CE285" s="392"/>
      <c r="CF285" s="392"/>
      <c r="CG285" s="392"/>
      <c r="CH285" s="392"/>
      <c r="CI285" s="392"/>
      <c r="CJ285" s="392"/>
      <c r="CK285" s="392"/>
      <c r="CL285" s="392"/>
      <c r="CM285" s="392"/>
      <c r="CN285" s="392"/>
      <c r="CO285" s="392"/>
      <c r="CP285" s="392"/>
      <c r="CQ285" s="392"/>
      <c r="CR285" s="392"/>
      <c r="CS285" s="392"/>
      <c r="CT285" s="392"/>
      <c r="CU285" s="392"/>
      <c r="CV285" s="392"/>
      <c r="CW285" s="392"/>
      <c r="CX285" s="392"/>
      <c r="CY285" s="392"/>
      <c r="CZ285" s="392"/>
      <c r="DA285" s="392"/>
      <c r="DB285" s="392"/>
      <c r="DC285" s="392"/>
      <c r="DD285" s="392"/>
      <c r="DE285" s="392"/>
      <c r="DF285" s="392"/>
      <c r="DG285" s="392"/>
      <c r="DH285" s="392"/>
      <c r="DI285" s="392"/>
      <c r="DJ285" s="392"/>
      <c r="DK285" s="392"/>
      <c r="DL285" s="392"/>
      <c r="DM285" s="392"/>
      <c r="DN285" s="392"/>
      <c r="DO285" s="392"/>
      <c r="DP285" s="392"/>
      <c r="DQ285" s="392"/>
      <c r="DR285" s="392"/>
      <c r="DS285" s="392"/>
      <c r="DT285" s="392"/>
      <c r="DU285" s="392"/>
      <c r="DV285" s="392"/>
      <c r="DW285" s="392"/>
      <c r="DX285" s="392"/>
      <c r="DY285" s="392"/>
      <c r="DZ285" s="392"/>
      <c r="EA285" s="392"/>
      <c r="EB285" s="392"/>
      <c r="EC285" s="392"/>
      <c r="ED285" s="392"/>
      <c r="EE285" s="392"/>
      <c r="EF285" s="392"/>
      <c r="EG285" s="392"/>
      <c r="EH285" s="392"/>
      <c r="EI285" s="392"/>
      <c r="EJ285" s="392"/>
      <c r="EK285" s="392"/>
      <c r="EL285" s="392"/>
      <c r="EM285" s="392"/>
      <c r="EN285" s="392"/>
      <c r="EO285" s="392"/>
      <c r="EP285" s="392"/>
      <c r="EQ285" s="392"/>
      <c r="ER285" s="392"/>
      <c r="ES285" s="392"/>
      <c r="ET285" s="392"/>
      <c r="EU285" s="392"/>
      <c r="EV285" s="392"/>
      <c r="EW285" s="392"/>
      <c r="EX285" s="392"/>
      <c r="EY285" s="392"/>
      <c r="EZ285" s="392"/>
      <c r="FA285" s="392"/>
      <c r="FB285" s="392"/>
      <c r="FC285" s="392"/>
      <c r="FD285" s="392"/>
      <c r="FE285" s="392"/>
      <c r="FF285" s="392"/>
      <c r="FG285" s="392"/>
      <c r="FH285" s="392"/>
      <c r="FI285" s="392"/>
      <c r="FJ285" s="392"/>
      <c r="FK285" s="392"/>
      <c r="FL285" s="392"/>
      <c r="FM285" s="392"/>
      <c r="FN285" s="392"/>
      <c r="FO285" s="392"/>
      <c r="FP285" s="392"/>
      <c r="FQ285" s="392"/>
      <c r="FR285" s="392"/>
      <c r="FS285" s="392"/>
      <c r="FT285" s="392"/>
      <c r="FU285" s="392"/>
      <c r="FV285" s="392"/>
      <c r="FW285" s="392"/>
      <c r="FX285" s="392"/>
      <c r="FY285" s="392"/>
      <c r="FZ285" s="392"/>
      <c r="GA285" s="392"/>
      <c r="GB285" s="392"/>
      <c r="GC285" s="392"/>
      <c r="GD285" s="392"/>
      <c r="GE285" s="392"/>
      <c r="GF285" s="392"/>
      <c r="GG285" s="392"/>
      <c r="GH285" s="392"/>
      <c r="GI285" s="392"/>
      <c r="GJ285" s="392"/>
      <c r="GK285" s="392"/>
      <c r="GL285" s="392"/>
      <c r="GM285" s="392"/>
      <c r="GN285" s="392"/>
      <c r="GO285" s="392"/>
      <c r="GP285" s="392"/>
      <c r="GQ285" s="392"/>
      <c r="GR285" s="392"/>
      <c r="GS285" s="392"/>
      <c r="GT285" s="392"/>
      <c r="GU285" s="392"/>
      <c r="GV285" s="392"/>
      <c r="GW285" s="392"/>
      <c r="GX285" s="392"/>
      <c r="GY285" s="392"/>
      <c r="GZ285" s="392"/>
      <c r="HA285" s="392"/>
      <c r="HB285" s="392"/>
      <c r="HC285" s="392"/>
      <c r="HD285" s="392"/>
      <c r="HE285" s="392"/>
      <c r="HF285" s="392"/>
      <c r="HG285" s="392"/>
      <c r="HH285" s="392"/>
      <c r="HI285" s="392"/>
      <c r="HJ285" s="392"/>
      <c r="HK285" s="392"/>
      <c r="HL285" s="392"/>
      <c r="HM285" s="392"/>
      <c r="HN285" s="392"/>
      <c r="HO285" s="392"/>
      <c r="HP285" s="392"/>
      <c r="HQ285" s="392"/>
      <c r="HR285" s="392"/>
      <c r="HS285" s="392"/>
      <c r="HT285" s="392"/>
      <c r="HU285" s="392"/>
      <c r="HV285" s="392"/>
      <c r="HW285" s="392"/>
      <c r="HX285" s="392"/>
      <c r="HY285" s="392"/>
      <c r="HZ285" s="392"/>
      <c r="IA285" s="392"/>
      <c r="IB285" s="392"/>
      <c r="IC285" s="392"/>
      <c r="ID285" s="392"/>
      <c r="IE285" s="392"/>
      <c r="IF285" s="392"/>
      <c r="IG285" s="392"/>
      <c r="IH285" s="392"/>
      <c r="II285" s="392"/>
      <c r="IJ285" s="392"/>
      <c r="IK285" s="392"/>
      <c r="IL285" s="392"/>
      <c r="IM285" s="392"/>
      <c r="IN285" s="392"/>
      <c r="IO285" s="392"/>
      <c r="IP285" s="392"/>
      <c r="IQ285" s="392"/>
      <c r="IR285" s="392"/>
      <c r="IS285" s="392"/>
      <c r="IT285" s="392"/>
      <c r="IU285" s="392"/>
      <c r="IV285" s="392"/>
    </row>
    <row r="286" spans="1:256">
      <c r="A286" s="392"/>
      <c r="B286" s="448"/>
      <c r="C286" s="448"/>
      <c r="D286" s="448"/>
      <c r="E286" s="448"/>
      <c r="F286" s="448"/>
      <c r="G286" s="448"/>
      <c r="H286" s="392"/>
      <c r="I286" s="392"/>
      <c r="J286" s="392"/>
      <c r="K286" s="392"/>
      <c r="L286" s="392"/>
      <c r="M286" s="392"/>
      <c r="N286" s="392"/>
      <c r="O286" s="392"/>
      <c r="P286" s="392"/>
      <c r="Q286" s="392"/>
      <c r="R286" s="392"/>
      <c r="S286" s="392"/>
      <c r="T286" s="392"/>
      <c r="U286" s="392"/>
      <c r="V286" s="392"/>
      <c r="W286" s="392"/>
      <c r="X286" s="392"/>
      <c r="Y286" s="392"/>
      <c r="Z286" s="392"/>
      <c r="AA286" s="392"/>
      <c r="AB286" s="392"/>
      <c r="AC286" s="392"/>
      <c r="AD286" s="392"/>
      <c r="AE286" s="392"/>
      <c r="AF286" s="392"/>
      <c r="AG286" s="392"/>
      <c r="AH286" s="392"/>
      <c r="AI286" s="392"/>
      <c r="AJ286" s="392"/>
      <c r="AK286" s="392"/>
      <c r="AL286" s="392"/>
      <c r="AM286" s="392"/>
      <c r="AN286" s="392"/>
      <c r="AO286" s="392"/>
      <c r="AP286" s="392"/>
      <c r="AQ286" s="392"/>
      <c r="AR286" s="392"/>
      <c r="AS286" s="392"/>
      <c r="AT286" s="392"/>
      <c r="AU286" s="392"/>
      <c r="AV286" s="392"/>
      <c r="AW286" s="392"/>
      <c r="AX286" s="392"/>
      <c r="AY286" s="392"/>
      <c r="AZ286" s="392"/>
      <c r="BA286" s="392"/>
      <c r="BB286" s="392"/>
      <c r="BC286" s="392"/>
      <c r="BD286" s="392"/>
      <c r="BE286" s="392"/>
      <c r="BF286" s="392"/>
      <c r="BG286" s="392"/>
      <c r="BH286" s="392"/>
      <c r="BI286" s="392"/>
      <c r="BJ286" s="392"/>
      <c r="BK286" s="392"/>
      <c r="BL286" s="392"/>
      <c r="BM286" s="392"/>
      <c r="BN286" s="392"/>
      <c r="BO286" s="392"/>
      <c r="BP286" s="392"/>
      <c r="BQ286" s="392"/>
      <c r="BR286" s="392"/>
      <c r="BS286" s="392"/>
      <c r="BT286" s="392"/>
      <c r="BU286" s="392"/>
      <c r="BV286" s="392"/>
      <c r="BW286" s="392"/>
      <c r="BX286" s="392"/>
      <c r="BY286" s="392"/>
      <c r="BZ286" s="392"/>
      <c r="CA286" s="392"/>
      <c r="CB286" s="392"/>
      <c r="CC286" s="392"/>
      <c r="CD286" s="392"/>
      <c r="CE286" s="392"/>
      <c r="CF286" s="392"/>
      <c r="CG286" s="392"/>
      <c r="CH286" s="392"/>
      <c r="CI286" s="392"/>
      <c r="CJ286" s="392"/>
      <c r="CK286" s="392"/>
      <c r="CL286" s="392"/>
      <c r="CM286" s="392"/>
      <c r="CN286" s="392"/>
      <c r="CO286" s="392"/>
      <c r="CP286" s="392"/>
      <c r="CQ286" s="392"/>
      <c r="CR286" s="392"/>
      <c r="CS286" s="392"/>
      <c r="CT286" s="392"/>
      <c r="CU286" s="392"/>
      <c r="CV286" s="392"/>
      <c r="CW286" s="392"/>
      <c r="CX286" s="392"/>
      <c r="CY286" s="392"/>
      <c r="CZ286" s="392"/>
      <c r="DA286" s="392"/>
      <c r="DB286" s="392"/>
      <c r="DC286" s="392"/>
      <c r="DD286" s="392"/>
      <c r="DE286" s="392"/>
      <c r="DF286" s="392"/>
      <c r="DG286" s="392"/>
      <c r="DH286" s="392"/>
      <c r="DI286" s="392"/>
      <c r="DJ286" s="392"/>
      <c r="DK286" s="392"/>
      <c r="DL286" s="392"/>
      <c r="DM286" s="392"/>
      <c r="DN286" s="392"/>
      <c r="DO286" s="392"/>
      <c r="DP286" s="392"/>
      <c r="DQ286" s="392"/>
      <c r="DR286" s="392"/>
      <c r="DS286" s="392"/>
      <c r="DT286" s="392"/>
      <c r="DU286" s="392"/>
      <c r="DV286" s="392"/>
      <c r="DW286" s="392"/>
      <c r="DX286" s="392"/>
      <c r="DY286" s="392"/>
      <c r="DZ286" s="392"/>
      <c r="EA286" s="392"/>
      <c r="EB286" s="392"/>
      <c r="EC286" s="392"/>
      <c r="ED286" s="392"/>
      <c r="EE286" s="392"/>
      <c r="EF286" s="392"/>
      <c r="EG286" s="392"/>
      <c r="EH286" s="392"/>
      <c r="EI286" s="392"/>
      <c r="EJ286" s="392"/>
      <c r="EK286" s="392"/>
      <c r="EL286" s="392"/>
      <c r="EM286" s="392"/>
      <c r="EN286" s="392"/>
      <c r="EO286" s="392"/>
      <c r="EP286" s="392"/>
      <c r="EQ286" s="392"/>
      <c r="ER286" s="392"/>
      <c r="ES286" s="392"/>
      <c r="ET286" s="392"/>
      <c r="EU286" s="392"/>
      <c r="EV286" s="392"/>
      <c r="EW286" s="392"/>
      <c r="EX286" s="392"/>
      <c r="EY286" s="392"/>
      <c r="EZ286" s="392"/>
      <c r="FA286" s="392"/>
      <c r="FB286" s="392"/>
      <c r="FC286" s="392"/>
      <c r="FD286" s="392"/>
      <c r="FE286" s="392"/>
      <c r="FF286" s="392"/>
      <c r="FG286" s="392"/>
      <c r="FH286" s="392"/>
      <c r="FI286" s="392"/>
      <c r="FJ286" s="392"/>
      <c r="FK286" s="392"/>
      <c r="FL286" s="392"/>
      <c r="FM286" s="392"/>
      <c r="FN286" s="392"/>
      <c r="FO286" s="392"/>
      <c r="FP286" s="392"/>
      <c r="FQ286" s="392"/>
      <c r="FR286" s="392"/>
      <c r="FS286" s="392"/>
      <c r="FT286" s="392"/>
      <c r="FU286" s="392"/>
      <c r="FV286" s="392"/>
      <c r="FW286" s="392"/>
      <c r="FX286" s="392"/>
      <c r="FY286" s="392"/>
      <c r="FZ286" s="392"/>
      <c r="GA286" s="392"/>
      <c r="GB286" s="392"/>
      <c r="GC286" s="392"/>
      <c r="GD286" s="392"/>
      <c r="GE286" s="392"/>
      <c r="GF286" s="392"/>
      <c r="GG286" s="392"/>
      <c r="GH286" s="392"/>
      <c r="GI286" s="392"/>
      <c r="GJ286" s="392"/>
      <c r="GK286" s="392"/>
      <c r="GL286" s="392"/>
      <c r="GM286" s="392"/>
      <c r="GN286" s="392"/>
      <c r="GO286" s="392"/>
      <c r="GP286" s="392"/>
      <c r="GQ286" s="392"/>
      <c r="GR286" s="392"/>
      <c r="GS286" s="392"/>
      <c r="GT286" s="392"/>
      <c r="GU286" s="392"/>
      <c r="GV286" s="392"/>
      <c r="GW286" s="392"/>
      <c r="GX286" s="392"/>
      <c r="GY286" s="392"/>
      <c r="GZ286" s="392"/>
      <c r="HA286" s="392"/>
      <c r="HB286" s="392"/>
      <c r="HC286" s="392"/>
      <c r="HD286" s="392"/>
      <c r="HE286" s="392"/>
      <c r="HF286" s="392"/>
      <c r="HG286" s="392"/>
      <c r="HH286" s="392"/>
      <c r="HI286" s="392"/>
      <c r="HJ286" s="392"/>
      <c r="HK286" s="392"/>
      <c r="HL286" s="392"/>
      <c r="HM286" s="392"/>
      <c r="HN286" s="392"/>
      <c r="HO286" s="392"/>
      <c r="HP286" s="392"/>
      <c r="HQ286" s="392"/>
      <c r="HR286" s="392"/>
      <c r="HS286" s="392"/>
      <c r="HT286" s="392"/>
      <c r="HU286" s="392"/>
      <c r="HV286" s="392"/>
      <c r="HW286" s="392"/>
      <c r="HX286" s="392"/>
      <c r="HY286" s="392"/>
      <c r="HZ286" s="392"/>
      <c r="IA286" s="392"/>
      <c r="IB286" s="392"/>
      <c r="IC286" s="392"/>
      <c r="ID286" s="392"/>
      <c r="IE286" s="392"/>
      <c r="IF286" s="392"/>
      <c r="IG286" s="392"/>
      <c r="IH286" s="392"/>
      <c r="II286" s="392"/>
      <c r="IJ286" s="392"/>
      <c r="IK286" s="392"/>
      <c r="IL286" s="392"/>
      <c r="IM286" s="392"/>
      <c r="IN286" s="392"/>
      <c r="IO286" s="392"/>
      <c r="IP286" s="392"/>
      <c r="IQ286" s="392"/>
      <c r="IR286" s="392"/>
      <c r="IS286" s="392"/>
      <c r="IT286" s="392"/>
      <c r="IU286" s="392"/>
      <c r="IV286" s="392"/>
    </row>
    <row r="287" spans="1:256">
      <c r="A287" s="392"/>
      <c r="B287" s="448"/>
      <c r="C287" s="448"/>
      <c r="D287" s="448"/>
      <c r="E287" s="448"/>
      <c r="F287" s="448"/>
      <c r="G287" s="448"/>
      <c r="H287" s="392"/>
      <c r="I287" s="392"/>
      <c r="J287" s="392"/>
      <c r="K287" s="392"/>
      <c r="L287" s="392"/>
      <c r="M287" s="392"/>
      <c r="N287" s="392"/>
      <c r="O287" s="392"/>
      <c r="P287" s="392"/>
      <c r="Q287" s="392"/>
      <c r="R287" s="392"/>
      <c r="S287" s="392"/>
      <c r="T287" s="392"/>
      <c r="U287" s="392"/>
      <c r="V287" s="392"/>
      <c r="W287" s="392"/>
      <c r="X287" s="392"/>
      <c r="Y287" s="392"/>
      <c r="Z287" s="392"/>
      <c r="AA287" s="392"/>
      <c r="AB287" s="392"/>
      <c r="AC287" s="392"/>
      <c r="AD287" s="392"/>
      <c r="AE287" s="392"/>
      <c r="AF287" s="392"/>
      <c r="AG287" s="392"/>
      <c r="AH287" s="392"/>
      <c r="AI287" s="392"/>
      <c r="AJ287" s="392"/>
      <c r="AK287" s="392"/>
      <c r="AL287" s="392"/>
      <c r="AM287" s="392"/>
      <c r="AN287" s="392"/>
      <c r="AO287" s="392"/>
      <c r="AP287" s="392"/>
      <c r="AQ287" s="392"/>
      <c r="AR287" s="392"/>
      <c r="AS287" s="392"/>
      <c r="AT287" s="392"/>
      <c r="AU287" s="392"/>
      <c r="AV287" s="392"/>
      <c r="AW287" s="392"/>
      <c r="AX287" s="392"/>
      <c r="AY287" s="392"/>
      <c r="AZ287" s="392"/>
      <c r="BA287" s="392"/>
      <c r="BB287" s="392"/>
      <c r="BC287" s="392"/>
      <c r="BD287" s="392"/>
      <c r="BE287" s="392"/>
      <c r="BF287" s="392"/>
      <c r="BG287" s="392"/>
      <c r="BH287" s="392"/>
      <c r="BI287" s="392"/>
      <c r="BJ287" s="392"/>
      <c r="BK287" s="392"/>
      <c r="BL287" s="392"/>
      <c r="BM287" s="392"/>
      <c r="BN287" s="392"/>
      <c r="BO287" s="392"/>
      <c r="BP287" s="392"/>
      <c r="BQ287" s="392"/>
      <c r="BR287" s="392"/>
      <c r="BS287" s="392"/>
      <c r="BT287" s="392"/>
      <c r="BU287" s="392"/>
      <c r="BV287" s="392"/>
      <c r="BW287" s="392"/>
      <c r="BX287" s="392"/>
      <c r="BY287" s="392"/>
      <c r="BZ287" s="392"/>
      <c r="CA287" s="392"/>
      <c r="CB287" s="392"/>
      <c r="CC287" s="392"/>
      <c r="CD287" s="392"/>
      <c r="CE287" s="392"/>
      <c r="CF287" s="392"/>
      <c r="CG287" s="392"/>
      <c r="CH287" s="392"/>
      <c r="CI287" s="392"/>
      <c r="CJ287" s="392"/>
      <c r="CK287" s="392"/>
      <c r="CL287" s="392"/>
      <c r="CM287" s="392"/>
      <c r="CN287" s="392"/>
      <c r="CO287" s="392"/>
      <c r="CP287" s="392"/>
      <c r="CQ287" s="392"/>
      <c r="CR287" s="392"/>
      <c r="CS287" s="392"/>
      <c r="CT287" s="392"/>
      <c r="CU287" s="392"/>
      <c r="CV287" s="392"/>
      <c r="CW287" s="392"/>
      <c r="CX287" s="392"/>
      <c r="CY287" s="392"/>
      <c r="CZ287" s="392"/>
      <c r="DA287" s="392"/>
      <c r="DB287" s="392"/>
      <c r="DC287" s="392"/>
      <c r="DD287" s="392"/>
      <c r="DE287" s="392"/>
      <c r="DF287" s="392"/>
      <c r="DG287" s="392"/>
      <c r="DH287" s="392"/>
      <c r="DI287" s="392"/>
      <c r="DJ287" s="392"/>
      <c r="DK287" s="392"/>
      <c r="DL287" s="392"/>
      <c r="DM287" s="392"/>
      <c r="DN287" s="392"/>
      <c r="DO287" s="392"/>
      <c r="DP287" s="392"/>
      <c r="DQ287" s="392"/>
      <c r="DR287" s="392"/>
      <c r="DS287" s="392"/>
      <c r="DT287" s="392"/>
      <c r="DU287" s="392"/>
      <c r="DV287" s="392"/>
      <c r="DW287" s="392"/>
      <c r="DX287" s="392"/>
      <c r="DY287" s="392"/>
      <c r="DZ287" s="392"/>
      <c r="EA287" s="392"/>
      <c r="EB287" s="392"/>
      <c r="EC287" s="392"/>
      <c r="ED287" s="392"/>
      <c r="EE287" s="392"/>
      <c r="EF287" s="392"/>
      <c r="EG287" s="392"/>
      <c r="EH287" s="392"/>
      <c r="EI287" s="392"/>
      <c r="EJ287" s="392"/>
      <c r="EK287" s="392"/>
      <c r="EL287" s="392"/>
      <c r="EM287" s="392"/>
      <c r="EN287" s="392"/>
      <c r="EO287" s="392"/>
      <c r="EP287" s="392"/>
      <c r="EQ287" s="392"/>
      <c r="ER287" s="392"/>
      <c r="ES287" s="392"/>
      <c r="ET287" s="392"/>
      <c r="EU287" s="392"/>
      <c r="EV287" s="392"/>
      <c r="EW287" s="392"/>
      <c r="EX287" s="392"/>
      <c r="EY287" s="392"/>
      <c r="EZ287" s="392"/>
      <c r="FA287" s="392"/>
      <c r="FB287" s="392"/>
      <c r="FC287" s="392"/>
      <c r="FD287" s="392"/>
      <c r="FE287" s="392"/>
      <c r="FF287" s="392"/>
      <c r="FG287" s="392"/>
      <c r="FH287" s="392"/>
      <c r="FI287" s="392"/>
      <c r="FJ287" s="392"/>
      <c r="FK287" s="392"/>
      <c r="FL287" s="392"/>
      <c r="FM287" s="392"/>
      <c r="FN287" s="392"/>
      <c r="FO287" s="392"/>
      <c r="FP287" s="392"/>
      <c r="FQ287" s="392"/>
      <c r="FR287" s="392"/>
      <c r="FS287" s="392"/>
      <c r="FT287" s="392"/>
      <c r="FU287" s="392"/>
      <c r="FV287" s="392"/>
      <c r="FW287" s="392"/>
      <c r="FX287" s="392"/>
      <c r="FY287" s="392"/>
      <c r="FZ287" s="392"/>
      <c r="GA287" s="392"/>
      <c r="GB287" s="392"/>
      <c r="GC287" s="392"/>
      <c r="GD287" s="392"/>
      <c r="GE287" s="392"/>
      <c r="GF287" s="392"/>
      <c r="GG287" s="392"/>
      <c r="GH287" s="392"/>
      <c r="GI287" s="392"/>
      <c r="GJ287" s="392"/>
      <c r="GK287" s="392"/>
      <c r="GL287" s="392"/>
      <c r="GM287" s="392"/>
      <c r="GN287" s="392"/>
      <c r="GO287" s="392"/>
      <c r="GP287" s="392"/>
      <c r="GQ287" s="392"/>
      <c r="GR287" s="392"/>
      <c r="GS287" s="392"/>
      <c r="GT287" s="392"/>
      <c r="GU287" s="392"/>
      <c r="GV287" s="392"/>
      <c r="GW287" s="392"/>
      <c r="GX287" s="392"/>
      <c r="GY287" s="392"/>
      <c r="GZ287" s="392"/>
      <c r="HA287" s="392"/>
      <c r="HB287" s="392"/>
      <c r="HC287" s="392"/>
      <c r="HD287" s="392"/>
      <c r="HE287" s="392"/>
      <c r="HF287" s="392"/>
      <c r="HG287" s="392"/>
      <c r="HH287" s="392"/>
      <c r="HI287" s="392"/>
      <c r="HJ287" s="392"/>
      <c r="HK287" s="392"/>
      <c r="HL287" s="392"/>
      <c r="HM287" s="392"/>
      <c r="HN287" s="392"/>
      <c r="HO287" s="392"/>
      <c r="HP287" s="392"/>
      <c r="HQ287" s="392"/>
      <c r="HR287" s="392"/>
      <c r="HS287" s="392"/>
      <c r="HT287" s="392"/>
      <c r="HU287" s="392"/>
      <c r="HV287" s="392"/>
      <c r="HW287" s="392"/>
      <c r="HX287" s="392"/>
      <c r="HY287" s="392"/>
      <c r="HZ287" s="392"/>
      <c r="IA287" s="392"/>
      <c r="IB287" s="392"/>
      <c r="IC287" s="392"/>
      <c r="ID287" s="392"/>
      <c r="IE287" s="392"/>
      <c r="IF287" s="392"/>
      <c r="IG287" s="392"/>
      <c r="IH287" s="392"/>
      <c r="II287" s="392"/>
      <c r="IJ287" s="392"/>
      <c r="IK287" s="392"/>
      <c r="IL287" s="392"/>
      <c r="IM287" s="392"/>
      <c r="IN287" s="392"/>
      <c r="IO287" s="392"/>
      <c r="IP287" s="392"/>
      <c r="IQ287" s="392"/>
      <c r="IR287" s="392"/>
      <c r="IS287" s="392"/>
      <c r="IT287" s="392"/>
      <c r="IU287" s="392"/>
      <c r="IV287" s="392"/>
    </row>
    <row r="288" spans="1:256">
      <c r="A288" s="392"/>
      <c r="B288" s="448"/>
      <c r="C288" s="448"/>
      <c r="D288" s="448"/>
      <c r="E288" s="448"/>
      <c r="F288" s="448"/>
      <c r="G288" s="448"/>
      <c r="H288" s="392"/>
      <c r="I288" s="392"/>
      <c r="J288" s="392"/>
      <c r="K288" s="392"/>
      <c r="L288" s="392"/>
      <c r="M288" s="392"/>
      <c r="N288" s="392"/>
      <c r="O288" s="392"/>
      <c r="P288" s="392"/>
      <c r="Q288" s="392"/>
      <c r="R288" s="392"/>
      <c r="S288" s="392"/>
      <c r="T288" s="392"/>
      <c r="U288" s="392"/>
      <c r="V288" s="392"/>
      <c r="W288" s="392"/>
      <c r="X288" s="392"/>
      <c r="Y288" s="392"/>
      <c r="Z288" s="392"/>
      <c r="AA288" s="392"/>
      <c r="AB288" s="392"/>
      <c r="AC288" s="392"/>
      <c r="AD288" s="392"/>
      <c r="AE288" s="392"/>
      <c r="AF288" s="392"/>
      <c r="AG288" s="392"/>
      <c r="AH288" s="392"/>
      <c r="AI288" s="392"/>
      <c r="AJ288" s="392"/>
      <c r="AK288" s="392"/>
      <c r="AL288" s="392"/>
      <c r="AM288" s="392"/>
      <c r="AN288" s="392"/>
      <c r="AO288" s="392"/>
      <c r="AP288" s="392"/>
      <c r="AQ288" s="392"/>
      <c r="AR288" s="392"/>
      <c r="AS288" s="392"/>
      <c r="AT288" s="392"/>
      <c r="AU288" s="392"/>
      <c r="AV288" s="392"/>
      <c r="AW288" s="392"/>
      <c r="AX288" s="392"/>
      <c r="AY288" s="392"/>
      <c r="AZ288" s="392"/>
      <c r="BA288" s="392"/>
      <c r="BB288" s="392"/>
      <c r="BC288" s="392"/>
      <c r="BD288" s="392"/>
      <c r="BE288" s="392"/>
      <c r="BF288" s="392"/>
      <c r="BG288" s="392"/>
      <c r="BH288" s="392"/>
      <c r="BI288" s="392"/>
      <c r="BJ288" s="392"/>
      <c r="BK288" s="392"/>
      <c r="BL288" s="392"/>
      <c r="BM288" s="392"/>
      <c r="BN288" s="392"/>
      <c r="BO288" s="392"/>
      <c r="BP288" s="392"/>
      <c r="BQ288" s="392"/>
      <c r="BR288" s="392"/>
      <c r="BS288" s="392"/>
      <c r="BT288" s="392"/>
      <c r="BU288" s="392"/>
      <c r="BV288" s="392"/>
      <c r="BW288" s="392"/>
      <c r="BX288" s="392"/>
      <c r="BY288" s="392"/>
      <c r="BZ288" s="392"/>
      <c r="CA288" s="392"/>
      <c r="CB288" s="392"/>
      <c r="CC288" s="392"/>
      <c r="CD288" s="392"/>
      <c r="CE288" s="392"/>
      <c r="CF288" s="392"/>
      <c r="CG288" s="392"/>
      <c r="CH288" s="392"/>
      <c r="CI288" s="392"/>
      <c r="CJ288" s="392"/>
      <c r="CK288" s="392"/>
      <c r="CL288" s="392"/>
      <c r="CM288" s="392"/>
      <c r="CN288" s="392"/>
      <c r="CO288" s="392"/>
      <c r="CP288" s="392"/>
      <c r="CQ288" s="392"/>
      <c r="CR288" s="392"/>
      <c r="CS288" s="392"/>
      <c r="CT288" s="392"/>
      <c r="CU288" s="392"/>
      <c r="CV288" s="392"/>
      <c r="CW288" s="392"/>
      <c r="CX288" s="392"/>
      <c r="CY288" s="392"/>
      <c r="CZ288" s="392"/>
      <c r="DA288" s="392"/>
      <c r="DB288" s="392"/>
      <c r="DC288" s="392"/>
      <c r="DD288" s="392"/>
      <c r="DE288" s="392"/>
      <c r="DF288" s="392"/>
      <c r="DG288" s="392"/>
      <c r="DH288" s="392"/>
      <c r="DI288" s="392"/>
      <c r="DJ288" s="392"/>
      <c r="DK288" s="392"/>
      <c r="DL288" s="392"/>
      <c r="DM288" s="392"/>
      <c r="DN288" s="392"/>
      <c r="DO288" s="392"/>
      <c r="DP288" s="392"/>
      <c r="DQ288" s="392"/>
      <c r="DR288" s="392"/>
      <c r="DS288" s="392"/>
      <c r="DT288" s="392"/>
      <c r="DU288" s="392"/>
      <c r="DV288" s="392"/>
      <c r="DW288" s="392"/>
      <c r="DX288" s="392"/>
      <c r="DY288" s="392"/>
      <c r="DZ288" s="392"/>
      <c r="EA288" s="392"/>
      <c r="EB288" s="392"/>
      <c r="EC288" s="392"/>
      <c r="ED288" s="392"/>
      <c r="EE288" s="392"/>
      <c r="EF288" s="392"/>
      <c r="EG288" s="392"/>
      <c r="EH288" s="392"/>
      <c r="EI288" s="392"/>
      <c r="EJ288" s="392"/>
      <c r="EK288" s="392"/>
      <c r="EL288" s="392"/>
      <c r="EM288" s="392"/>
      <c r="EN288" s="392"/>
      <c r="EO288" s="392"/>
      <c r="EP288" s="392"/>
      <c r="EQ288" s="392"/>
      <c r="ER288" s="392"/>
      <c r="ES288" s="392"/>
      <c r="ET288" s="392"/>
      <c r="EU288" s="392"/>
      <c r="EV288" s="392"/>
      <c r="EW288" s="392"/>
      <c r="EX288" s="392"/>
      <c r="EY288" s="392"/>
      <c r="EZ288" s="392"/>
      <c r="FA288" s="392"/>
      <c r="FB288" s="392"/>
      <c r="FC288" s="392"/>
      <c r="FD288" s="392"/>
      <c r="FE288" s="392"/>
      <c r="FF288" s="392"/>
      <c r="FG288" s="392"/>
      <c r="FH288" s="392"/>
      <c r="FI288" s="392"/>
      <c r="FJ288" s="392"/>
      <c r="FK288" s="392"/>
      <c r="FL288" s="392"/>
      <c r="FM288" s="392"/>
      <c r="FN288" s="392"/>
      <c r="FO288" s="392"/>
      <c r="FP288" s="392"/>
      <c r="FQ288" s="392"/>
      <c r="FR288" s="392"/>
      <c r="FS288" s="392"/>
      <c r="FT288" s="392"/>
      <c r="FU288" s="392"/>
      <c r="FV288" s="392"/>
      <c r="FW288" s="392"/>
      <c r="FX288" s="392"/>
      <c r="FY288" s="392"/>
      <c r="FZ288" s="392"/>
      <c r="GA288" s="392"/>
      <c r="GB288" s="392"/>
      <c r="GC288" s="392"/>
      <c r="GD288" s="392"/>
      <c r="GE288" s="392"/>
      <c r="GF288" s="392"/>
      <c r="GG288" s="392"/>
      <c r="GH288" s="392"/>
      <c r="GI288" s="392"/>
      <c r="GJ288" s="392"/>
      <c r="GK288" s="392"/>
      <c r="GL288" s="392"/>
      <c r="GM288" s="392"/>
      <c r="GN288" s="392"/>
      <c r="GO288" s="392"/>
      <c r="GP288" s="392"/>
      <c r="GQ288" s="392"/>
      <c r="GR288" s="392"/>
      <c r="GS288" s="392"/>
      <c r="GT288" s="392"/>
      <c r="GU288" s="392"/>
      <c r="GV288" s="392"/>
      <c r="GW288" s="392"/>
      <c r="GX288" s="392"/>
      <c r="GY288" s="392"/>
      <c r="GZ288" s="392"/>
      <c r="HA288" s="392"/>
      <c r="HB288" s="392"/>
      <c r="HC288" s="392"/>
      <c r="HD288" s="392"/>
      <c r="HE288" s="392"/>
      <c r="HF288" s="392"/>
      <c r="HG288" s="392"/>
      <c r="HH288" s="392"/>
      <c r="HI288" s="392"/>
      <c r="HJ288" s="392"/>
      <c r="HK288" s="392"/>
      <c r="HL288" s="392"/>
      <c r="HM288" s="392"/>
      <c r="HN288" s="392"/>
      <c r="HO288" s="392"/>
      <c r="HP288" s="392"/>
      <c r="HQ288" s="392"/>
      <c r="HR288" s="392"/>
      <c r="HS288" s="392"/>
      <c r="HT288" s="392"/>
      <c r="HU288" s="392"/>
      <c r="HV288" s="392"/>
      <c r="HW288" s="392"/>
      <c r="HX288" s="392"/>
      <c r="HY288" s="392"/>
      <c r="HZ288" s="392"/>
      <c r="IA288" s="392"/>
      <c r="IB288" s="392"/>
      <c r="IC288" s="392"/>
      <c r="ID288" s="392"/>
      <c r="IE288" s="392"/>
      <c r="IF288" s="392"/>
      <c r="IG288" s="392"/>
      <c r="IH288" s="392"/>
      <c r="II288" s="392"/>
      <c r="IJ288" s="392"/>
      <c r="IK288" s="392"/>
      <c r="IL288" s="392"/>
      <c r="IM288" s="392"/>
      <c r="IN288" s="392"/>
      <c r="IO288" s="392"/>
      <c r="IP288" s="392"/>
      <c r="IQ288" s="392"/>
      <c r="IR288" s="392"/>
      <c r="IS288" s="392"/>
      <c r="IT288" s="392"/>
      <c r="IU288" s="392"/>
      <c r="IV288" s="392"/>
    </row>
    <row r="289" spans="1:256">
      <c r="A289" s="392"/>
      <c r="B289" s="448"/>
      <c r="C289" s="448"/>
      <c r="D289" s="448"/>
      <c r="E289" s="448"/>
      <c r="F289" s="448"/>
      <c r="G289" s="448"/>
      <c r="H289" s="392"/>
      <c r="I289" s="392"/>
      <c r="J289" s="392"/>
      <c r="K289" s="392"/>
      <c r="L289" s="392"/>
      <c r="M289" s="392"/>
      <c r="N289" s="392"/>
      <c r="O289" s="392"/>
      <c r="P289" s="392"/>
      <c r="Q289" s="392"/>
      <c r="R289" s="392"/>
      <c r="S289" s="392"/>
      <c r="T289" s="392"/>
      <c r="U289" s="392"/>
      <c r="V289" s="392"/>
      <c r="W289" s="392"/>
      <c r="X289" s="392"/>
      <c r="Y289" s="392"/>
      <c r="Z289" s="392"/>
      <c r="AA289" s="392"/>
      <c r="AB289" s="392"/>
      <c r="AC289" s="392"/>
      <c r="AD289" s="392"/>
      <c r="AE289" s="392"/>
      <c r="AF289" s="392"/>
      <c r="AG289" s="392"/>
      <c r="AH289" s="392"/>
      <c r="AI289" s="392"/>
      <c r="AJ289" s="392"/>
      <c r="AK289" s="392"/>
      <c r="AL289" s="392"/>
      <c r="AM289" s="392"/>
      <c r="AN289" s="392"/>
      <c r="AO289" s="392"/>
      <c r="AP289" s="392"/>
      <c r="AQ289" s="392"/>
      <c r="AR289" s="392"/>
      <c r="AS289" s="392"/>
      <c r="AT289" s="392"/>
      <c r="AU289" s="392"/>
      <c r="AV289" s="392"/>
      <c r="AW289" s="392"/>
      <c r="AX289" s="392"/>
      <c r="AY289" s="392"/>
      <c r="AZ289" s="392"/>
      <c r="BA289" s="392"/>
      <c r="BB289" s="392"/>
      <c r="BC289" s="392"/>
      <c r="BD289" s="392"/>
      <c r="BE289" s="392"/>
      <c r="BF289" s="392"/>
      <c r="BG289" s="392"/>
      <c r="BH289" s="392"/>
      <c r="BI289" s="392"/>
      <c r="BJ289" s="392"/>
      <c r="BK289" s="392"/>
      <c r="BL289" s="392"/>
      <c r="BM289" s="392"/>
      <c r="BN289" s="392"/>
      <c r="BO289" s="392"/>
      <c r="BP289" s="392"/>
      <c r="BQ289" s="392"/>
      <c r="BR289" s="392"/>
      <c r="BS289" s="392"/>
      <c r="BT289" s="392"/>
      <c r="BU289" s="392"/>
      <c r="BV289" s="392"/>
      <c r="BW289" s="392"/>
      <c r="BX289" s="392"/>
      <c r="BY289" s="392"/>
      <c r="BZ289" s="392"/>
      <c r="CA289" s="392"/>
      <c r="CB289" s="392"/>
      <c r="CC289" s="392"/>
      <c r="CD289" s="392"/>
      <c r="CE289" s="392"/>
      <c r="CF289" s="392"/>
      <c r="CG289" s="392"/>
      <c r="CH289" s="392"/>
      <c r="CI289" s="392"/>
      <c r="CJ289" s="392"/>
      <c r="CK289" s="392"/>
      <c r="CL289" s="392"/>
      <c r="CM289" s="392"/>
      <c r="CN289" s="392"/>
      <c r="CO289" s="392"/>
      <c r="CP289" s="392"/>
      <c r="CQ289" s="392"/>
      <c r="CR289" s="392"/>
      <c r="CS289" s="392"/>
      <c r="CT289" s="392"/>
      <c r="CU289" s="392"/>
      <c r="CV289" s="392"/>
      <c r="CW289" s="392"/>
      <c r="CX289" s="392"/>
      <c r="CY289" s="392"/>
      <c r="CZ289" s="392"/>
      <c r="DA289" s="392"/>
      <c r="DB289" s="392"/>
      <c r="DC289" s="392"/>
      <c r="DD289" s="392"/>
      <c r="DE289" s="392"/>
      <c r="DF289" s="392"/>
      <c r="DG289" s="392"/>
      <c r="DH289" s="392"/>
      <c r="DI289" s="392"/>
      <c r="DJ289" s="392"/>
      <c r="DK289" s="392"/>
      <c r="DL289" s="392"/>
      <c r="DM289" s="392"/>
      <c r="DN289" s="392"/>
      <c r="DO289" s="392"/>
      <c r="DP289" s="392"/>
      <c r="DQ289" s="392"/>
      <c r="DR289" s="392"/>
      <c r="DS289" s="392"/>
      <c r="DT289" s="392"/>
      <c r="DU289" s="392"/>
      <c r="DV289" s="392"/>
      <c r="DW289" s="392"/>
      <c r="DX289" s="392"/>
      <c r="DY289" s="392"/>
      <c r="DZ289" s="392"/>
      <c r="EA289" s="392"/>
      <c r="EB289" s="392"/>
      <c r="EC289" s="392"/>
      <c r="ED289" s="392"/>
      <c r="EE289" s="392"/>
      <c r="EF289" s="392"/>
      <c r="EG289" s="392"/>
      <c r="EH289" s="392"/>
      <c r="EI289" s="392"/>
      <c r="EJ289" s="392"/>
      <c r="EK289" s="392"/>
      <c r="EL289" s="392"/>
      <c r="EM289" s="392"/>
      <c r="EN289" s="392"/>
      <c r="EO289" s="392"/>
      <c r="EP289" s="392"/>
      <c r="EQ289" s="392"/>
      <c r="ER289" s="392"/>
      <c r="ES289" s="392"/>
      <c r="ET289" s="392"/>
      <c r="EU289" s="392"/>
      <c r="EV289" s="392"/>
      <c r="EW289" s="392"/>
      <c r="EX289" s="392"/>
      <c r="EY289" s="392"/>
      <c r="EZ289" s="392"/>
      <c r="FA289" s="392"/>
      <c r="FB289" s="392"/>
      <c r="FC289" s="392"/>
      <c r="FD289" s="392"/>
      <c r="FE289" s="392"/>
      <c r="FF289" s="392"/>
      <c r="FG289" s="392"/>
      <c r="FH289" s="392"/>
      <c r="FI289" s="392"/>
      <c r="FJ289" s="392"/>
      <c r="FK289" s="392"/>
      <c r="FL289" s="392"/>
      <c r="FM289" s="392"/>
      <c r="FN289" s="392"/>
      <c r="FO289" s="392"/>
      <c r="FP289" s="392"/>
      <c r="FQ289" s="392"/>
      <c r="FR289" s="392"/>
      <c r="FS289" s="392"/>
      <c r="FT289" s="392"/>
      <c r="FU289" s="392"/>
      <c r="FV289" s="392"/>
      <c r="FW289" s="392"/>
      <c r="FX289" s="392"/>
      <c r="FY289" s="392"/>
      <c r="FZ289" s="392"/>
      <c r="GA289" s="392"/>
      <c r="GB289" s="392"/>
      <c r="GC289" s="392"/>
      <c r="GD289" s="392"/>
      <c r="GE289" s="392"/>
      <c r="GF289" s="392"/>
      <c r="GG289" s="392"/>
      <c r="GH289" s="392"/>
      <c r="GI289" s="392"/>
      <c r="GJ289" s="392"/>
      <c r="GK289" s="392"/>
      <c r="GL289" s="392"/>
      <c r="GM289" s="392"/>
      <c r="GN289" s="392"/>
      <c r="GO289" s="392"/>
      <c r="GP289" s="392"/>
      <c r="GQ289" s="392"/>
      <c r="GR289" s="392"/>
      <c r="GS289" s="392"/>
      <c r="GT289" s="392"/>
      <c r="GU289" s="392"/>
      <c r="GV289" s="392"/>
      <c r="GW289" s="392"/>
      <c r="GX289" s="392"/>
      <c r="GY289" s="392"/>
      <c r="GZ289" s="392"/>
      <c r="HA289" s="392"/>
      <c r="HB289" s="392"/>
      <c r="HC289" s="392"/>
      <c r="HD289" s="392"/>
      <c r="HE289" s="392"/>
      <c r="HF289" s="392"/>
      <c r="HG289" s="392"/>
      <c r="HH289" s="392"/>
      <c r="HI289" s="392"/>
      <c r="HJ289" s="392"/>
      <c r="HK289" s="392"/>
      <c r="HL289" s="392"/>
      <c r="HM289" s="392"/>
      <c r="HN289" s="392"/>
      <c r="HO289" s="392"/>
      <c r="HP289" s="392"/>
      <c r="HQ289" s="392"/>
      <c r="HR289" s="392"/>
      <c r="HS289" s="392"/>
      <c r="HT289" s="392"/>
      <c r="HU289" s="392"/>
      <c r="HV289" s="392"/>
      <c r="HW289" s="392"/>
      <c r="HX289" s="392"/>
      <c r="HY289" s="392"/>
      <c r="HZ289" s="392"/>
      <c r="IA289" s="392"/>
      <c r="IB289" s="392"/>
      <c r="IC289" s="392"/>
      <c r="ID289" s="392"/>
      <c r="IE289" s="392"/>
      <c r="IF289" s="392"/>
      <c r="IG289" s="392"/>
      <c r="IH289" s="392"/>
      <c r="II289" s="392"/>
      <c r="IJ289" s="392"/>
      <c r="IK289" s="392"/>
      <c r="IL289" s="392"/>
      <c r="IM289" s="392"/>
      <c r="IN289" s="392"/>
      <c r="IO289" s="392"/>
      <c r="IP289" s="392"/>
      <c r="IQ289" s="392"/>
      <c r="IR289" s="392"/>
      <c r="IS289" s="392"/>
      <c r="IT289" s="392"/>
      <c r="IU289" s="392"/>
      <c r="IV289" s="392"/>
    </row>
    <row r="290" spans="1:256">
      <c r="A290" s="392"/>
      <c r="B290" s="448"/>
      <c r="C290" s="448"/>
      <c r="D290" s="448"/>
      <c r="E290" s="448"/>
      <c r="F290" s="448"/>
      <c r="G290" s="448"/>
      <c r="H290" s="392"/>
      <c r="I290" s="392"/>
      <c r="J290" s="392"/>
      <c r="K290" s="392"/>
      <c r="L290" s="392"/>
      <c r="M290" s="392"/>
      <c r="N290" s="392"/>
      <c r="O290" s="392"/>
      <c r="P290" s="392"/>
      <c r="Q290" s="392"/>
      <c r="R290" s="392"/>
      <c r="S290" s="392"/>
      <c r="T290" s="392"/>
      <c r="U290" s="392"/>
      <c r="V290" s="392"/>
      <c r="W290" s="392"/>
      <c r="X290" s="392"/>
      <c r="Y290" s="392"/>
      <c r="Z290" s="392"/>
      <c r="AA290" s="392"/>
      <c r="AB290" s="392"/>
      <c r="AC290" s="392"/>
      <c r="AD290" s="392"/>
      <c r="AE290" s="392"/>
      <c r="AF290" s="392"/>
      <c r="AG290" s="392"/>
      <c r="AH290" s="392"/>
      <c r="AI290" s="392"/>
      <c r="AJ290" s="392"/>
      <c r="AK290" s="392"/>
      <c r="AL290" s="392"/>
      <c r="AM290" s="392"/>
      <c r="AN290" s="392"/>
      <c r="AO290" s="392"/>
      <c r="AP290" s="392"/>
      <c r="AQ290" s="392"/>
      <c r="AR290" s="392"/>
      <c r="AS290" s="392"/>
      <c r="AT290" s="392"/>
      <c r="AU290" s="392"/>
      <c r="AV290" s="392"/>
      <c r="AW290" s="392"/>
      <c r="AX290" s="392"/>
      <c r="AY290" s="392"/>
      <c r="AZ290" s="392"/>
      <c r="BA290" s="392"/>
      <c r="BB290" s="392"/>
      <c r="BC290" s="392"/>
      <c r="BD290" s="392"/>
      <c r="BE290" s="392"/>
      <c r="BF290" s="392"/>
      <c r="BG290" s="392"/>
      <c r="BH290" s="392"/>
      <c r="BI290" s="392"/>
      <c r="BJ290" s="392"/>
      <c r="BK290" s="392"/>
      <c r="BL290" s="392"/>
      <c r="BM290" s="392"/>
      <c r="BN290" s="392"/>
      <c r="BO290" s="392"/>
      <c r="BP290" s="392"/>
      <c r="BQ290" s="392"/>
      <c r="BR290" s="392"/>
      <c r="BS290" s="392"/>
      <c r="BT290" s="392"/>
      <c r="BU290" s="392"/>
      <c r="BV290" s="392"/>
      <c r="BW290" s="392"/>
      <c r="BX290" s="392"/>
      <c r="BY290" s="392"/>
      <c r="BZ290" s="392"/>
      <c r="CA290" s="392"/>
      <c r="CB290" s="392"/>
      <c r="CC290" s="392"/>
      <c r="CD290" s="392"/>
      <c r="CE290" s="392"/>
      <c r="CF290" s="392"/>
      <c r="CG290" s="392"/>
      <c r="CH290" s="392"/>
      <c r="CI290" s="392"/>
      <c r="CJ290" s="392"/>
      <c r="CK290" s="392"/>
      <c r="CL290" s="392"/>
      <c r="CM290" s="392"/>
      <c r="CN290" s="392"/>
      <c r="CO290" s="392"/>
      <c r="CP290" s="392"/>
      <c r="CQ290" s="392"/>
      <c r="CR290" s="392"/>
      <c r="CS290" s="392"/>
      <c r="CT290" s="392"/>
      <c r="CU290" s="392"/>
      <c r="CV290" s="392"/>
      <c r="CW290" s="392"/>
      <c r="CX290" s="392"/>
      <c r="CY290" s="392"/>
      <c r="CZ290" s="392"/>
      <c r="DA290" s="392"/>
      <c r="DB290" s="392"/>
      <c r="DC290" s="392"/>
      <c r="DD290" s="392"/>
      <c r="DE290" s="392"/>
      <c r="DF290" s="392"/>
      <c r="DG290" s="392"/>
      <c r="DH290" s="392"/>
      <c r="DI290" s="392"/>
      <c r="DJ290" s="392"/>
      <c r="DK290" s="392"/>
      <c r="DL290" s="392"/>
      <c r="DM290" s="392"/>
      <c r="DN290" s="392"/>
      <c r="DO290" s="392"/>
      <c r="DP290" s="392"/>
      <c r="DQ290" s="392"/>
      <c r="DR290" s="392"/>
      <c r="DS290" s="392"/>
      <c r="DT290" s="392"/>
      <c r="DU290" s="392"/>
      <c r="DV290" s="392"/>
      <c r="DW290" s="392"/>
      <c r="DX290" s="392"/>
      <c r="DY290" s="392"/>
      <c r="DZ290" s="392"/>
      <c r="EA290" s="392"/>
      <c r="EB290" s="392"/>
      <c r="EC290" s="392"/>
      <c r="ED290" s="392"/>
      <c r="EE290" s="392"/>
      <c r="EF290" s="392"/>
      <c r="EG290" s="392"/>
      <c r="EH290" s="392"/>
      <c r="EI290" s="392"/>
      <c r="EJ290" s="392"/>
      <c r="EK290" s="392"/>
      <c r="EL290" s="392"/>
      <c r="EM290" s="392"/>
      <c r="EN290" s="392"/>
      <c r="EO290" s="392"/>
      <c r="EP290" s="392"/>
      <c r="EQ290" s="392"/>
      <c r="ER290" s="392"/>
      <c r="ES290" s="392"/>
      <c r="ET290" s="392"/>
      <c r="EU290" s="392"/>
      <c r="EV290" s="392"/>
      <c r="EW290" s="392"/>
      <c r="EX290" s="392"/>
      <c r="EY290" s="392"/>
      <c r="EZ290" s="392"/>
      <c r="FA290" s="392"/>
      <c r="FB290" s="392"/>
      <c r="FC290" s="392"/>
      <c r="FD290" s="392"/>
      <c r="FE290" s="392"/>
      <c r="FF290" s="392"/>
      <c r="FG290" s="392"/>
      <c r="FH290" s="392"/>
      <c r="FI290" s="392"/>
      <c r="FJ290" s="392"/>
      <c r="FK290" s="392"/>
      <c r="FL290" s="392"/>
      <c r="FM290" s="392"/>
      <c r="FN290" s="392"/>
      <c r="FO290" s="392"/>
      <c r="FP290" s="392"/>
      <c r="FQ290" s="392"/>
      <c r="FR290" s="392"/>
      <c r="FS290" s="392"/>
      <c r="FT290" s="392"/>
      <c r="FU290" s="392"/>
      <c r="FV290" s="392"/>
      <c r="FW290" s="392"/>
      <c r="FX290" s="392"/>
      <c r="FY290" s="392"/>
      <c r="FZ290" s="392"/>
      <c r="GA290" s="392"/>
      <c r="GB290" s="392"/>
      <c r="GC290" s="392"/>
      <c r="GD290" s="392"/>
      <c r="GE290" s="392"/>
      <c r="GF290" s="392"/>
      <c r="GG290" s="392"/>
      <c r="GH290" s="392"/>
      <c r="GI290" s="392"/>
      <c r="GJ290" s="392"/>
      <c r="GK290" s="392"/>
      <c r="GL290" s="392"/>
      <c r="GM290" s="392"/>
      <c r="GN290" s="392"/>
      <c r="GO290" s="392"/>
      <c r="GP290" s="392"/>
      <c r="GQ290" s="392"/>
      <c r="GR290" s="392"/>
      <c r="GS290" s="392"/>
      <c r="GT290" s="392"/>
      <c r="GU290" s="392"/>
      <c r="GV290" s="392"/>
      <c r="GW290" s="392"/>
      <c r="GX290" s="392"/>
      <c r="GY290" s="392"/>
      <c r="GZ290" s="392"/>
      <c r="HA290" s="392"/>
      <c r="HB290" s="392"/>
      <c r="HC290" s="392"/>
      <c r="HD290" s="392"/>
      <c r="HE290" s="392"/>
      <c r="HF290" s="392"/>
      <c r="HG290" s="392"/>
      <c r="HH290" s="392"/>
      <c r="HI290" s="392"/>
      <c r="HJ290" s="392"/>
      <c r="HK290" s="392"/>
      <c r="HL290" s="392"/>
      <c r="HM290" s="392"/>
      <c r="HN290" s="392"/>
      <c r="HO290" s="392"/>
      <c r="HP290" s="392"/>
      <c r="HQ290" s="392"/>
      <c r="HR290" s="392"/>
      <c r="HS290" s="392"/>
      <c r="HT290" s="392"/>
      <c r="HU290" s="392"/>
      <c r="HV290" s="392"/>
      <c r="HW290" s="392"/>
      <c r="HX290" s="392"/>
      <c r="HY290" s="392"/>
      <c r="HZ290" s="392"/>
      <c r="IA290" s="392"/>
      <c r="IB290" s="392"/>
      <c r="IC290" s="392"/>
      <c r="ID290" s="392"/>
      <c r="IE290" s="392"/>
      <c r="IF290" s="392"/>
      <c r="IG290" s="392"/>
      <c r="IH290" s="392"/>
      <c r="II290" s="392"/>
      <c r="IJ290" s="392"/>
      <c r="IK290" s="392"/>
      <c r="IL290" s="392"/>
      <c r="IM290" s="392"/>
      <c r="IN290" s="392"/>
      <c r="IO290" s="392"/>
      <c r="IP290" s="392"/>
      <c r="IQ290" s="392"/>
      <c r="IR290" s="392"/>
      <c r="IS290" s="392"/>
      <c r="IT290" s="392"/>
      <c r="IU290" s="392"/>
      <c r="IV290" s="392"/>
    </row>
    <row r="291" spans="1:256">
      <c r="A291" s="392"/>
      <c r="B291" s="448"/>
      <c r="C291" s="448"/>
      <c r="D291" s="448"/>
      <c r="E291" s="448"/>
      <c r="F291" s="448"/>
      <c r="G291" s="448"/>
      <c r="H291" s="392"/>
      <c r="I291" s="392"/>
      <c r="J291" s="392"/>
      <c r="K291" s="392"/>
      <c r="L291" s="392"/>
      <c r="M291" s="392"/>
      <c r="N291" s="392"/>
      <c r="O291" s="392"/>
      <c r="P291" s="392"/>
      <c r="Q291" s="392"/>
      <c r="R291" s="392"/>
      <c r="S291" s="392"/>
      <c r="T291" s="392"/>
      <c r="U291" s="392"/>
      <c r="V291" s="392"/>
      <c r="W291" s="392"/>
      <c r="X291" s="392"/>
      <c r="Y291" s="392"/>
      <c r="Z291" s="392"/>
      <c r="AA291" s="392"/>
      <c r="AB291" s="392"/>
      <c r="AC291" s="392"/>
      <c r="AD291" s="392"/>
      <c r="AE291" s="392"/>
      <c r="AF291" s="392"/>
      <c r="AG291" s="392"/>
      <c r="AH291" s="392"/>
      <c r="AI291" s="392"/>
      <c r="AJ291" s="392"/>
      <c r="AK291" s="392"/>
      <c r="AL291" s="392"/>
      <c r="AM291" s="392"/>
      <c r="AN291" s="392"/>
      <c r="AO291" s="392"/>
      <c r="AP291" s="392"/>
      <c r="AQ291" s="392"/>
      <c r="AR291" s="392"/>
      <c r="AS291" s="392"/>
      <c r="AT291" s="392"/>
      <c r="AU291" s="392"/>
      <c r="AV291" s="392"/>
      <c r="AW291" s="392"/>
      <c r="AX291" s="392"/>
      <c r="AY291" s="392"/>
      <c r="AZ291" s="392"/>
      <c r="BA291" s="392"/>
      <c r="BB291" s="392"/>
      <c r="BC291" s="392"/>
      <c r="BD291" s="392"/>
      <c r="BE291" s="392"/>
      <c r="BF291" s="392"/>
      <c r="BG291" s="392"/>
      <c r="BH291" s="392"/>
      <c r="BI291" s="392"/>
      <c r="BJ291" s="392"/>
      <c r="BK291" s="392"/>
      <c r="BL291" s="392"/>
      <c r="BM291" s="392"/>
      <c r="BN291" s="392"/>
      <c r="BO291" s="392"/>
      <c r="BP291" s="392"/>
      <c r="BQ291" s="392"/>
      <c r="BR291" s="392"/>
      <c r="BS291" s="392"/>
      <c r="BT291" s="392"/>
      <c r="BU291" s="392"/>
      <c r="BV291" s="392"/>
      <c r="BW291" s="392"/>
      <c r="BX291" s="392"/>
      <c r="BY291" s="392"/>
      <c r="BZ291" s="392"/>
      <c r="CA291" s="392"/>
      <c r="CB291" s="392"/>
      <c r="CC291" s="392"/>
      <c r="CD291" s="392"/>
      <c r="CE291" s="392"/>
      <c r="CF291" s="392"/>
      <c r="CG291" s="392"/>
      <c r="CH291" s="392"/>
      <c r="CI291" s="392"/>
      <c r="CJ291" s="392"/>
      <c r="CK291" s="392"/>
      <c r="CL291" s="392"/>
      <c r="CM291" s="392"/>
      <c r="CN291" s="392"/>
      <c r="CO291" s="392"/>
      <c r="CP291" s="392"/>
      <c r="CQ291" s="392"/>
      <c r="CR291" s="392"/>
      <c r="CS291" s="392"/>
      <c r="CT291" s="392"/>
      <c r="CU291" s="392"/>
      <c r="CV291" s="392"/>
      <c r="CW291" s="392"/>
      <c r="CX291" s="392"/>
      <c r="CY291" s="392"/>
      <c r="CZ291" s="392"/>
      <c r="DA291" s="392"/>
      <c r="DB291" s="392"/>
      <c r="DC291" s="392"/>
      <c r="DD291" s="392"/>
      <c r="DE291" s="392"/>
      <c r="DF291" s="392"/>
      <c r="DG291" s="392"/>
      <c r="DH291" s="392"/>
      <c r="DI291" s="392"/>
      <c r="DJ291" s="392"/>
      <c r="DK291" s="392"/>
      <c r="DL291" s="392"/>
      <c r="DM291" s="392"/>
      <c r="DN291" s="392"/>
      <c r="DO291" s="392"/>
      <c r="DP291" s="392"/>
      <c r="DQ291" s="392"/>
      <c r="DR291" s="392"/>
      <c r="DS291" s="392"/>
      <c r="DT291" s="392"/>
      <c r="DU291" s="392"/>
      <c r="DV291" s="392"/>
      <c r="DW291" s="392"/>
      <c r="DX291" s="392"/>
      <c r="DY291" s="392"/>
      <c r="DZ291" s="392"/>
      <c r="EA291" s="392"/>
      <c r="EB291" s="392"/>
      <c r="EC291" s="392"/>
      <c r="ED291" s="392"/>
      <c r="EE291" s="392"/>
      <c r="EF291" s="392"/>
      <c r="EG291" s="392"/>
      <c r="EH291" s="392"/>
      <c r="EI291" s="392"/>
      <c r="EJ291" s="392"/>
      <c r="EK291" s="392"/>
      <c r="EL291" s="392"/>
      <c r="EM291" s="392"/>
      <c r="EN291" s="392"/>
      <c r="EO291" s="392"/>
      <c r="EP291" s="392"/>
      <c r="EQ291" s="392"/>
      <c r="ER291" s="392"/>
      <c r="ES291" s="392"/>
      <c r="ET291" s="392"/>
      <c r="EU291" s="392"/>
      <c r="EV291" s="392"/>
      <c r="EW291" s="392"/>
      <c r="EX291" s="392"/>
      <c r="EY291" s="392"/>
      <c r="EZ291" s="392"/>
      <c r="FA291" s="392"/>
      <c r="FB291" s="392"/>
      <c r="FC291" s="392"/>
      <c r="FD291" s="392"/>
      <c r="FE291" s="392"/>
      <c r="FF291" s="392"/>
      <c r="FG291" s="392"/>
      <c r="FH291" s="392"/>
      <c r="FI291" s="392"/>
      <c r="FJ291" s="392"/>
      <c r="FK291" s="392"/>
      <c r="FL291" s="392"/>
      <c r="FM291" s="392"/>
      <c r="FN291" s="392"/>
      <c r="FO291" s="392"/>
      <c r="FP291" s="392"/>
      <c r="FQ291" s="392"/>
      <c r="FR291" s="392"/>
      <c r="FS291" s="392"/>
      <c r="FT291" s="392"/>
      <c r="FU291" s="392"/>
      <c r="FV291" s="392"/>
      <c r="FW291" s="392"/>
      <c r="FX291" s="392"/>
      <c r="FY291" s="392"/>
      <c r="FZ291" s="392"/>
      <c r="GA291" s="392"/>
      <c r="GB291" s="392"/>
      <c r="GC291" s="392"/>
      <c r="GD291" s="392"/>
      <c r="GE291" s="392"/>
      <c r="GF291" s="392"/>
      <c r="GG291" s="392"/>
      <c r="GH291" s="392"/>
      <c r="GI291" s="392"/>
      <c r="GJ291" s="392"/>
      <c r="GK291" s="392"/>
      <c r="GL291" s="392"/>
      <c r="GM291" s="392"/>
      <c r="GN291" s="392"/>
      <c r="GO291" s="392"/>
      <c r="GP291" s="392"/>
      <c r="GQ291" s="392"/>
      <c r="GR291" s="392"/>
      <c r="GS291" s="392"/>
      <c r="GT291" s="392"/>
      <c r="GU291" s="392"/>
      <c r="GV291" s="392"/>
      <c r="GW291" s="392"/>
      <c r="GX291" s="392"/>
      <c r="GY291" s="392"/>
      <c r="GZ291" s="392"/>
      <c r="HA291" s="392"/>
      <c r="HB291" s="392"/>
      <c r="HC291" s="392"/>
      <c r="HD291" s="392"/>
      <c r="HE291" s="392"/>
      <c r="HF291" s="392"/>
      <c r="HG291" s="392"/>
      <c r="HH291" s="392"/>
      <c r="HI291" s="392"/>
      <c r="HJ291" s="392"/>
      <c r="HK291" s="392"/>
      <c r="HL291" s="392"/>
      <c r="HM291" s="392"/>
      <c r="HN291" s="392"/>
      <c r="HO291" s="392"/>
      <c r="HP291" s="392"/>
      <c r="HQ291" s="392"/>
      <c r="HR291" s="392"/>
      <c r="HS291" s="392"/>
      <c r="HT291" s="392"/>
      <c r="HU291" s="392"/>
      <c r="HV291" s="392"/>
      <c r="HW291" s="392"/>
      <c r="HX291" s="392"/>
      <c r="HY291" s="392"/>
      <c r="HZ291" s="392"/>
      <c r="IA291" s="392"/>
      <c r="IB291" s="392"/>
      <c r="IC291" s="392"/>
      <c r="ID291" s="392"/>
      <c r="IE291" s="392"/>
      <c r="IF291" s="392"/>
      <c r="IG291" s="392"/>
      <c r="IH291" s="392"/>
      <c r="II291" s="392"/>
      <c r="IJ291" s="392"/>
      <c r="IK291" s="392"/>
      <c r="IL291" s="392"/>
      <c r="IM291" s="392"/>
      <c r="IN291" s="392"/>
      <c r="IO291" s="392"/>
      <c r="IP291" s="392"/>
      <c r="IQ291" s="392"/>
      <c r="IR291" s="392"/>
      <c r="IS291" s="392"/>
      <c r="IT291" s="392"/>
      <c r="IU291" s="392"/>
      <c r="IV291" s="392"/>
    </row>
    <row r="292" spans="1:256">
      <c r="A292" s="392"/>
      <c r="B292" s="448"/>
      <c r="C292" s="448"/>
      <c r="D292" s="448"/>
      <c r="E292" s="448"/>
      <c r="F292" s="448"/>
      <c r="G292" s="448"/>
      <c r="H292" s="392"/>
      <c r="I292" s="392"/>
      <c r="J292" s="392"/>
      <c r="K292" s="392"/>
      <c r="L292" s="392"/>
      <c r="M292" s="392"/>
      <c r="N292" s="392"/>
      <c r="O292" s="392"/>
      <c r="P292" s="392"/>
      <c r="Q292" s="392"/>
      <c r="R292" s="392"/>
      <c r="S292" s="392"/>
      <c r="T292" s="392"/>
      <c r="U292" s="392"/>
      <c r="V292" s="392"/>
      <c r="W292" s="392"/>
      <c r="X292" s="392"/>
      <c r="Y292" s="392"/>
      <c r="Z292" s="392"/>
      <c r="AA292" s="392"/>
      <c r="AB292" s="392"/>
      <c r="AC292" s="392"/>
      <c r="AD292" s="392"/>
      <c r="AE292" s="392"/>
      <c r="AF292" s="392"/>
      <c r="AG292" s="392"/>
      <c r="AH292" s="392"/>
      <c r="AI292" s="392"/>
      <c r="AJ292" s="392"/>
      <c r="AK292" s="392"/>
      <c r="AL292" s="392"/>
      <c r="AM292" s="392"/>
      <c r="AN292" s="392"/>
      <c r="AO292" s="392"/>
      <c r="AP292" s="392"/>
      <c r="AQ292" s="392"/>
      <c r="AR292" s="392"/>
      <c r="AS292" s="392"/>
      <c r="AT292" s="392"/>
      <c r="AU292" s="392"/>
      <c r="AV292" s="392"/>
      <c r="AW292" s="392"/>
      <c r="AX292" s="392"/>
      <c r="AY292" s="392"/>
      <c r="AZ292" s="392"/>
      <c r="BA292" s="392"/>
      <c r="BB292" s="392"/>
      <c r="BC292" s="392"/>
      <c r="BD292" s="392"/>
      <c r="BE292" s="392"/>
      <c r="BF292" s="392"/>
      <c r="BG292" s="392"/>
      <c r="BH292" s="392"/>
      <c r="BI292" s="392"/>
      <c r="BJ292" s="392"/>
      <c r="BK292" s="392"/>
      <c r="BL292" s="392"/>
      <c r="BM292" s="392"/>
      <c r="BN292" s="392"/>
      <c r="BO292" s="392"/>
      <c r="BP292" s="392"/>
      <c r="BQ292" s="392"/>
      <c r="BR292" s="392"/>
      <c r="BS292" s="392"/>
      <c r="BT292" s="392"/>
      <c r="BU292" s="392"/>
      <c r="BV292" s="392"/>
      <c r="BW292" s="392"/>
      <c r="BX292" s="392"/>
      <c r="BY292" s="392"/>
      <c r="BZ292" s="392"/>
      <c r="CA292" s="392"/>
      <c r="CB292" s="392"/>
      <c r="CC292" s="392"/>
      <c r="CD292" s="392"/>
      <c r="CE292" s="392"/>
      <c r="CF292" s="392"/>
      <c r="CG292" s="392"/>
      <c r="CH292" s="392"/>
      <c r="CI292" s="392"/>
      <c r="CJ292" s="392"/>
      <c r="CK292" s="392"/>
      <c r="CL292" s="392"/>
      <c r="CM292" s="392"/>
      <c r="CN292" s="392"/>
      <c r="CO292" s="392"/>
      <c r="CP292" s="392"/>
      <c r="CQ292" s="392"/>
      <c r="CR292" s="392"/>
      <c r="CS292" s="392"/>
      <c r="CT292" s="392"/>
      <c r="CU292" s="392"/>
      <c r="CV292" s="392"/>
      <c r="CW292" s="392"/>
      <c r="CX292" s="392"/>
      <c r="CY292" s="392"/>
      <c r="CZ292" s="392"/>
      <c r="DA292" s="392"/>
      <c r="DB292" s="392"/>
      <c r="DC292" s="392"/>
      <c r="DD292" s="392"/>
      <c r="DE292" s="392"/>
      <c r="DF292" s="392"/>
      <c r="DG292" s="392"/>
      <c r="DH292" s="392"/>
      <c r="DI292" s="392"/>
      <c r="DJ292" s="392"/>
      <c r="DK292" s="392"/>
      <c r="DL292" s="392"/>
      <c r="DM292" s="392"/>
      <c r="DN292" s="392"/>
      <c r="DO292" s="392"/>
      <c r="DP292" s="392"/>
      <c r="DQ292" s="392"/>
      <c r="DR292" s="392"/>
      <c r="DS292" s="392"/>
      <c r="DT292" s="392"/>
      <c r="DU292" s="392"/>
      <c r="DV292" s="392"/>
      <c r="DW292" s="392"/>
      <c r="DX292" s="392"/>
      <c r="DY292" s="392"/>
      <c r="DZ292" s="392"/>
      <c r="EA292" s="392"/>
      <c r="EB292" s="392"/>
      <c r="EC292" s="392"/>
      <c r="ED292" s="392"/>
      <c r="EE292" s="392"/>
      <c r="EF292" s="392"/>
      <c r="EG292" s="392"/>
      <c r="EH292" s="392"/>
      <c r="EI292" s="392"/>
      <c r="EJ292" s="392"/>
      <c r="EK292" s="392"/>
      <c r="EL292" s="392"/>
      <c r="EM292" s="392"/>
      <c r="EN292" s="392"/>
      <c r="EO292" s="392"/>
      <c r="EP292" s="392"/>
      <c r="EQ292" s="392"/>
      <c r="ER292" s="392"/>
      <c r="ES292" s="392"/>
      <c r="ET292" s="392"/>
      <c r="EU292" s="392"/>
      <c r="EV292" s="392"/>
      <c r="EW292" s="392"/>
      <c r="EX292" s="392"/>
      <c r="EY292" s="392"/>
      <c r="EZ292" s="392"/>
      <c r="FA292" s="392"/>
      <c r="FB292" s="392"/>
      <c r="FC292" s="392"/>
      <c r="FD292" s="392"/>
      <c r="FE292" s="392"/>
      <c r="FF292" s="392"/>
      <c r="FG292" s="392"/>
      <c r="FH292" s="392"/>
      <c r="FI292" s="392"/>
      <c r="FJ292" s="392"/>
      <c r="FK292" s="392"/>
      <c r="FL292" s="392"/>
      <c r="FM292" s="392"/>
      <c r="FN292" s="392"/>
      <c r="FO292" s="392"/>
      <c r="FP292" s="392"/>
      <c r="FQ292" s="392"/>
      <c r="FR292" s="392"/>
      <c r="FS292" s="392"/>
      <c r="FT292" s="392"/>
      <c r="FU292" s="392"/>
      <c r="FV292" s="392"/>
      <c r="FW292" s="392"/>
      <c r="FX292" s="392"/>
      <c r="FY292" s="392"/>
      <c r="FZ292" s="392"/>
      <c r="GA292" s="392"/>
      <c r="GB292" s="392"/>
      <c r="GC292" s="392"/>
      <c r="GD292" s="392"/>
      <c r="GE292" s="392"/>
      <c r="GF292" s="392"/>
      <c r="GG292" s="392"/>
      <c r="GH292" s="392"/>
      <c r="GI292" s="392"/>
      <c r="GJ292" s="392"/>
      <c r="GK292" s="392"/>
      <c r="GL292" s="392"/>
      <c r="GM292" s="392"/>
      <c r="GN292" s="392"/>
      <c r="GO292" s="392"/>
      <c r="GP292" s="392"/>
      <c r="GQ292" s="392"/>
      <c r="GR292" s="392"/>
      <c r="GS292" s="392"/>
      <c r="GT292" s="392"/>
      <c r="GU292" s="392"/>
      <c r="GV292" s="392"/>
      <c r="GW292" s="392"/>
      <c r="GX292" s="392"/>
      <c r="GY292" s="392"/>
      <c r="GZ292" s="392"/>
      <c r="HA292" s="392"/>
      <c r="HB292" s="392"/>
      <c r="HC292" s="392"/>
      <c r="HD292" s="392"/>
      <c r="HE292" s="392"/>
      <c r="HF292" s="392"/>
      <c r="HG292" s="392"/>
      <c r="HH292" s="392"/>
      <c r="HI292" s="392"/>
      <c r="HJ292" s="392"/>
      <c r="HK292" s="392"/>
      <c r="HL292" s="392"/>
      <c r="HM292" s="392"/>
      <c r="HN292" s="392"/>
      <c r="HO292" s="392"/>
      <c r="HP292" s="392"/>
      <c r="HQ292" s="392"/>
      <c r="HR292" s="392"/>
      <c r="HS292" s="392"/>
      <c r="HT292" s="392"/>
      <c r="HU292" s="392"/>
      <c r="HV292" s="392"/>
      <c r="HW292" s="392"/>
      <c r="HX292" s="392"/>
      <c r="HY292" s="392"/>
      <c r="HZ292" s="392"/>
      <c r="IA292" s="392"/>
      <c r="IB292" s="392"/>
      <c r="IC292" s="392"/>
      <c r="ID292" s="392"/>
      <c r="IE292" s="392"/>
      <c r="IF292" s="392"/>
      <c r="IG292" s="392"/>
      <c r="IH292" s="392"/>
      <c r="II292" s="392"/>
      <c r="IJ292" s="392"/>
      <c r="IK292" s="392"/>
      <c r="IL292" s="392"/>
      <c r="IM292" s="392"/>
      <c r="IN292" s="392"/>
      <c r="IO292" s="392"/>
      <c r="IP292" s="392"/>
      <c r="IQ292" s="392"/>
      <c r="IR292" s="392"/>
      <c r="IS292" s="392"/>
      <c r="IT292" s="392"/>
      <c r="IU292" s="392"/>
      <c r="IV292" s="392"/>
    </row>
    <row r="293" spans="1:256">
      <c r="A293" s="392"/>
      <c r="B293" s="448"/>
      <c r="C293" s="448"/>
      <c r="D293" s="448"/>
      <c r="E293" s="448"/>
      <c r="F293" s="448"/>
      <c r="G293" s="448"/>
      <c r="H293" s="392"/>
      <c r="I293" s="392"/>
      <c r="J293" s="392"/>
      <c r="K293" s="392"/>
      <c r="L293" s="392"/>
      <c r="M293" s="392"/>
      <c r="N293" s="392"/>
      <c r="O293" s="392"/>
      <c r="P293" s="392"/>
      <c r="Q293" s="392"/>
      <c r="R293" s="392"/>
      <c r="S293" s="392"/>
      <c r="T293" s="392"/>
      <c r="U293" s="392"/>
      <c r="V293" s="392"/>
      <c r="W293" s="392"/>
      <c r="X293" s="392"/>
      <c r="Y293" s="392"/>
      <c r="Z293" s="392"/>
      <c r="AA293" s="392"/>
      <c r="AB293" s="392"/>
      <c r="AC293" s="392"/>
      <c r="AD293" s="392"/>
      <c r="AE293" s="392"/>
      <c r="AF293" s="392"/>
      <c r="AG293" s="392"/>
      <c r="AH293" s="392"/>
      <c r="AI293" s="392"/>
      <c r="AJ293" s="392"/>
      <c r="AK293" s="392"/>
      <c r="AL293" s="392"/>
      <c r="AM293" s="392"/>
      <c r="AN293" s="392"/>
      <c r="AO293" s="392"/>
      <c r="AP293" s="392"/>
      <c r="AQ293" s="392"/>
      <c r="AR293" s="392"/>
      <c r="AS293" s="392"/>
      <c r="AT293" s="392"/>
      <c r="AU293" s="392"/>
      <c r="AV293" s="392"/>
      <c r="AW293" s="392"/>
      <c r="AX293" s="392"/>
      <c r="AY293" s="392"/>
      <c r="AZ293" s="392"/>
      <c r="BA293" s="392"/>
      <c r="BB293" s="392"/>
      <c r="BC293" s="392"/>
      <c r="BD293" s="392"/>
      <c r="BE293" s="392"/>
      <c r="BF293" s="392"/>
      <c r="BG293" s="392"/>
      <c r="BH293" s="392"/>
      <c r="BI293" s="392"/>
      <c r="BJ293" s="392"/>
      <c r="BK293" s="392"/>
      <c r="BL293" s="392"/>
      <c r="BM293" s="392"/>
      <c r="BN293" s="392"/>
      <c r="BO293" s="392"/>
      <c r="BP293" s="392"/>
      <c r="BQ293" s="392"/>
      <c r="BR293" s="392"/>
      <c r="BS293" s="392"/>
      <c r="BT293" s="392"/>
      <c r="BU293" s="392"/>
      <c r="BV293" s="392"/>
      <c r="BW293" s="392"/>
      <c r="BX293" s="392"/>
      <c r="BY293" s="392"/>
      <c r="BZ293" s="392"/>
      <c r="CA293" s="392"/>
      <c r="CB293" s="392"/>
      <c r="CC293" s="392"/>
      <c r="CD293" s="392"/>
      <c r="CE293" s="392"/>
      <c r="CF293" s="392"/>
      <c r="CG293" s="392"/>
      <c r="CH293" s="392"/>
      <c r="CI293" s="392"/>
      <c r="CJ293" s="392"/>
      <c r="CK293" s="392"/>
      <c r="CL293" s="392"/>
      <c r="CM293" s="392"/>
      <c r="CN293" s="392"/>
      <c r="CO293" s="392"/>
      <c r="CP293" s="392"/>
      <c r="CQ293" s="392"/>
      <c r="CR293" s="392"/>
      <c r="CS293" s="392"/>
      <c r="CT293" s="392"/>
      <c r="CU293" s="392"/>
      <c r="CV293" s="392"/>
      <c r="CW293" s="392"/>
      <c r="CX293" s="392"/>
      <c r="CY293" s="392"/>
      <c r="CZ293" s="392"/>
      <c r="DA293" s="392"/>
      <c r="DB293" s="392"/>
      <c r="DC293" s="392"/>
      <c r="DD293" s="392"/>
      <c r="DE293" s="392"/>
      <c r="DF293" s="392"/>
      <c r="DG293" s="392"/>
      <c r="DH293" s="392"/>
      <c r="DI293" s="392"/>
      <c r="DJ293" s="392"/>
      <c r="DK293" s="392"/>
      <c r="DL293" s="392"/>
      <c r="DM293" s="392"/>
      <c r="DN293" s="392"/>
      <c r="DO293" s="392"/>
      <c r="DP293" s="392"/>
      <c r="DQ293" s="392"/>
      <c r="DR293" s="392"/>
      <c r="DS293" s="392"/>
      <c r="DT293" s="392"/>
      <c r="DU293" s="392"/>
      <c r="DV293" s="392"/>
      <c r="DW293" s="392"/>
      <c r="DX293" s="392"/>
      <c r="DY293" s="392"/>
      <c r="DZ293" s="392"/>
      <c r="EA293" s="392"/>
      <c r="EB293" s="392"/>
      <c r="EC293" s="392"/>
      <c r="ED293" s="392"/>
      <c r="EE293" s="392"/>
      <c r="EF293" s="392"/>
      <c r="EG293" s="392"/>
      <c r="EH293" s="392"/>
      <c r="EI293" s="392"/>
      <c r="EJ293" s="392"/>
      <c r="EK293" s="392"/>
      <c r="EL293" s="392"/>
      <c r="EM293" s="392"/>
      <c r="EN293" s="392"/>
      <c r="EO293" s="392"/>
      <c r="EP293" s="392"/>
      <c r="EQ293" s="392"/>
      <c r="ER293" s="392"/>
      <c r="ES293" s="392"/>
      <c r="ET293" s="392"/>
      <c r="EU293" s="392"/>
      <c r="EV293" s="392"/>
      <c r="EW293" s="392"/>
      <c r="EX293" s="392"/>
      <c r="EY293" s="392"/>
      <c r="EZ293" s="392"/>
      <c r="FA293" s="392"/>
      <c r="FB293" s="392"/>
      <c r="FC293" s="392"/>
      <c r="FD293" s="392"/>
      <c r="FE293" s="392"/>
      <c r="FF293" s="392"/>
      <c r="FG293" s="392"/>
      <c r="FH293" s="392"/>
      <c r="FI293" s="392"/>
      <c r="FJ293" s="392"/>
      <c r="FK293" s="392"/>
      <c r="FL293" s="392"/>
      <c r="FM293" s="392"/>
      <c r="FN293" s="392"/>
      <c r="FO293" s="392"/>
      <c r="FP293" s="392"/>
      <c r="FQ293" s="392"/>
      <c r="FR293" s="392"/>
      <c r="FS293" s="392"/>
      <c r="FT293" s="392"/>
      <c r="FU293" s="392"/>
      <c r="FV293" s="392"/>
      <c r="FW293" s="392"/>
      <c r="FX293" s="392"/>
      <c r="FY293" s="392"/>
      <c r="FZ293" s="392"/>
      <c r="GA293" s="392"/>
      <c r="GB293" s="392"/>
      <c r="GC293" s="392"/>
      <c r="GD293" s="392"/>
      <c r="GE293" s="392"/>
      <c r="GF293" s="392"/>
      <c r="GG293" s="392"/>
      <c r="GH293" s="392"/>
      <c r="GI293" s="392"/>
      <c r="GJ293" s="392"/>
      <c r="GK293" s="392"/>
      <c r="GL293" s="392"/>
      <c r="GM293" s="392"/>
      <c r="GN293" s="392"/>
      <c r="GO293" s="392"/>
      <c r="GP293" s="392"/>
      <c r="GQ293" s="392"/>
      <c r="GR293" s="392"/>
      <c r="GS293" s="392"/>
      <c r="GT293" s="392"/>
      <c r="GU293" s="392"/>
      <c r="GV293" s="392"/>
      <c r="GW293" s="392"/>
      <c r="GX293" s="392"/>
      <c r="GY293" s="392"/>
      <c r="GZ293" s="392"/>
      <c r="HA293" s="392"/>
      <c r="HB293" s="392"/>
      <c r="HC293" s="392"/>
      <c r="HD293" s="392"/>
      <c r="HE293" s="392"/>
      <c r="HF293" s="392"/>
      <c r="HG293" s="392"/>
      <c r="HH293" s="392"/>
      <c r="HI293" s="392"/>
      <c r="HJ293" s="392"/>
      <c r="HK293" s="392"/>
      <c r="HL293" s="392"/>
      <c r="HM293" s="392"/>
      <c r="HN293" s="392"/>
      <c r="HO293" s="392"/>
      <c r="HP293" s="392"/>
      <c r="HQ293" s="392"/>
      <c r="HR293" s="392"/>
      <c r="HS293" s="392"/>
      <c r="HT293" s="392"/>
      <c r="HU293" s="392"/>
      <c r="HV293" s="392"/>
      <c r="HW293" s="392"/>
      <c r="HX293" s="392"/>
      <c r="HY293" s="392"/>
      <c r="HZ293" s="392"/>
      <c r="IA293" s="392"/>
      <c r="IB293" s="392"/>
      <c r="IC293" s="392"/>
      <c r="ID293" s="392"/>
      <c r="IE293" s="392"/>
      <c r="IF293" s="392"/>
      <c r="IG293" s="392"/>
      <c r="IH293" s="392"/>
      <c r="II293" s="392"/>
      <c r="IJ293" s="392"/>
      <c r="IK293" s="392"/>
      <c r="IL293" s="392"/>
      <c r="IM293" s="392"/>
      <c r="IN293" s="392"/>
      <c r="IO293" s="392"/>
      <c r="IP293" s="392"/>
      <c r="IQ293" s="392"/>
      <c r="IR293" s="392"/>
      <c r="IS293" s="392"/>
      <c r="IT293" s="392"/>
      <c r="IU293" s="392"/>
      <c r="IV293" s="392"/>
    </row>
    <row r="294" spans="1:256">
      <c r="A294" s="392"/>
      <c r="B294" s="448"/>
      <c r="C294" s="448"/>
      <c r="D294" s="448"/>
      <c r="E294" s="448"/>
      <c r="F294" s="448"/>
      <c r="G294" s="448"/>
      <c r="H294" s="392"/>
      <c r="I294" s="392"/>
      <c r="J294" s="392"/>
      <c r="K294" s="392"/>
      <c r="L294" s="392"/>
      <c r="M294" s="392"/>
      <c r="N294" s="392"/>
      <c r="O294" s="392"/>
      <c r="P294" s="392"/>
      <c r="Q294" s="392"/>
      <c r="R294" s="392"/>
      <c r="S294" s="392"/>
      <c r="T294" s="392"/>
      <c r="U294" s="392"/>
      <c r="V294" s="392"/>
      <c r="W294" s="392"/>
      <c r="X294" s="392"/>
      <c r="Y294" s="392"/>
      <c r="Z294" s="392"/>
      <c r="AA294" s="392"/>
      <c r="AB294" s="392"/>
      <c r="AC294" s="392"/>
      <c r="AD294" s="392"/>
      <c r="AE294" s="392"/>
      <c r="AF294" s="392"/>
      <c r="AG294" s="392"/>
      <c r="AH294" s="392"/>
      <c r="AI294" s="392"/>
      <c r="AJ294" s="392"/>
      <c r="AK294" s="392"/>
      <c r="AL294" s="392"/>
      <c r="AM294" s="392"/>
      <c r="AN294" s="392"/>
      <c r="AO294" s="392"/>
      <c r="AP294" s="392"/>
      <c r="AQ294" s="392"/>
      <c r="AR294" s="392"/>
      <c r="AS294" s="392"/>
      <c r="AT294" s="392"/>
      <c r="AU294" s="392"/>
      <c r="AV294" s="392"/>
      <c r="AW294" s="392"/>
      <c r="AX294" s="392"/>
      <c r="AY294" s="392"/>
      <c r="AZ294" s="392"/>
      <c r="BA294" s="392"/>
      <c r="BB294" s="392"/>
      <c r="BC294" s="392"/>
      <c r="BD294" s="392"/>
      <c r="BE294" s="392"/>
      <c r="BF294" s="392"/>
      <c r="BG294" s="392"/>
      <c r="BH294" s="392"/>
      <c r="BI294" s="392"/>
      <c r="BJ294" s="392"/>
      <c r="BK294" s="392"/>
      <c r="BL294" s="392"/>
      <c r="BM294" s="392"/>
      <c r="BN294" s="392"/>
      <c r="BO294" s="392"/>
      <c r="BP294" s="392"/>
      <c r="BQ294" s="392"/>
      <c r="BR294" s="392"/>
      <c r="BS294" s="392"/>
      <c r="BT294" s="392"/>
      <c r="BU294" s="392"/>
      <c r="BV294" s="392"/>
      <c r="BW294" s="392"/>
      <c r="BX294" s="392"/>
      <c r="BY294" s="392"/>
      <c r="BZ294" s="392"/>
      <c r="CA294" s="392"/>
      <c r="CB294" s="392"/>
      <c r="CC294" s="392"/>
      <c r="CD294" s="392"/>
      <c r="CE294" s="392"/>
      <c r="CF294" s="392"/>
      <c r="CG294" s="392"/>
      <c r="CH294" s="392"/>
      <c r="CI294" s="392"/>
      <c r="CJ294" s="392"/>
      <c r="CK294" s="392"/>
      <c r="CL294" s="392"/>
      <c r="CM294" s="392"/>
      <c r="CN294" s="392"/>
      <c r="CO294" s="392"/>
      <c r="CP294" s="392"/>
      <c r="CQ294" s="392"/>
      <c r="CR294" s="392"/>
      <c r="CS294" s="392"/>
      <c r="CT294" s="392"/>
      <c r="CU294" s="392"/>
      <c r="CV294" s="392"/>
      <c r="CW294" s="392"/>
      <c r="CX294" s="392"/>
      <c r="CY294" s="392"/>
      <c r="CZ294" s="392"/>
      <c r="DA294" s="392"/>
      <c r="DB294" s="392"/>
      <c r="DC294" s="392"/>
      <c r="DD294" s="392"/>
      <c r="DE294" s="392"/>
      <c r="DF294" s="392"/>
      <c r="DG294" s="392"/>
      <c r="DH294" s="392"/>
      <c r="DI294" s="392"/>
      <c r="DJ294" s="392"/>
      <c r="DK294" s="392"/>
      <c r="DL294" s="392"/>
      <c r="DM294" s="392"/>
      <c r="DN294" s="392"/>
      <c r="DO294" s="392"/>
      <c r="DP294" s="392"/>
      <c r="DQ294" s="392"/>
      <c r="DR294" s="392"/>
      <c r="DS294" s="392"/>
      <c r="DT294" s="392"/>
      <c r="DU294" s="392"/>
      <c r="DV294" s="392"/>
      <c r="DW294" s="392"/>
      <c r="DX294" s="392"/>
      <c r="DY294" s="392"/>
      <c r="DZ294" s="392"/>
      <c r="EA294" s="392"/>
      <c r="EB294" s="392"/>
      <c r="EC294" s="392"/>
      <c r="ED294" s="392"/>
      <c r="EE294" s="392"/>
      <c r="EF294" s="392"/>
      <c r="EG294" s="392"/>
      <c r="EH294" s="392"/>
      <c r="EI294" s="392"/>
      <c r="EJ294" s="392"/>
      <c r="EK294" s="392"/>
      <c r="EL294" s="392"/>
      <c r="EM294" s="392"/>
      <c r="EN294" s="392"/>
      <c r="EO294" s="392"/>
      <c r="EP294" s="392"/>
      <c r="EQ294" s="392"/>
      <c r="ER294" s="392"/>
      <c r="ES294" s="392"/>
      <c r="ET294" s="392"/>
      <c r="EU294" s="392"/>
      <c r="EV294" s="392"/>
      <c r="EW294" s="392"/>
      <c r="EX294" s="392"/>
      <c r="EY294" s="392"/>
      <c r="EZ294" s="392"/>
      <c r="FA294" s="392"/>
      <c r="FB294" s="392"/>
      <c r="FC294" s="392"/>
      <c r="FD294" s="392"/>
      <c r="FE294" s="392"/>
      <c r="FF294" s="392"/>
      <c r="FG294" s="392"/>
      <c r="FH294" s="392"/>
      <c r="FI294" s="392"/>
      <c r="FJ294" s="392"/>
      <c r="FK294" s="392"/>
      <c r="FL294" s="392"/>
      <c r="FM294" s="392"/>
      <c r="FN294" s="392"/>
      <c r="FO294" s="392"/>
      <c r="FP294" s="392"/>
      <c r="FQ294" s="392"/>
      <c r="FR294" s="392"/>
      <c r="FS294" s="392"/>
      <c r="FT294" s="392"/>
      <c r="FU294" s="392"/>
      <c r="FV294" s="392"/>
      <c r="FW294" s="392"/>
      <c r="FX294" s="392"/>
      <c r="FY294" s="392"/>
      <c r="FZ294" s="392"/>
      <c r="GA294" s="392"/>
      <c r="GB294" s="392"/>
      <c r="GC294" s="392"/>
      <c r="GD294" s="392"/>
      <c r="GE294" s="392"/>
      <c r="GF294" s="392"/>
      <c r="GG294" s="392"/>
      <c r="GH294" s="392"/>
      <c r="GI294" s="392"/>
      <c r="GJ294" s="392"/>
      <c r="GK294" s="392"/>
      <c r="GL294" s="392"/>
      <c r="GM294" s="392"/>
      <c r="GN294" s="392"/>
      <c r="GO294" s="392"/>
      <c r="GP294" s="392"/>
      <c r="GQ294" s="392"/>
      <c r="GR294" s="392"/>
      <c r="GS294" s="392"/>
      <c r="GT294" s="392"/>
      <c r="GU294" s="392"/>
      <c r="GV294" s="392"/>
      <c r="GW294" s="392"/>
      <c r="GX294" s="392"/>
      <c r="GY294" s="392"/>
      <c r="GZ294" s="392"/>
      <c r="HA294" s="392"/>
      <c r="HB294" s="392"/>
      <c r="HC294" s="392"/>
      <c r="HD294" s="392"/>
      <c r="HE294" s="392"/>
      <c r="HF294" s="392"/>
      <c r="HG294" s="392"/>
      <c r="HH294" s="392"/>
      <c r="HI294" s="392"/>
      <c r="HJ294" s="392"/>
      <c r="HK294" s="392"/>
      <c r="HL294" s="392"/>
      <c r="HM294" s="392"/>
      <c r="HN294" s="392"/>
      <c r="HO294" s="392"/>
      <c r="HP294" s="392"/>
      <c r="HQ294" s="392"/>
      <c r="HR294" s="392"/>
      <c r="HS294" s="392"/>
      <c r="HT294" s="392"/>
      <c r="HU294" s="392"/>
      <c r="HV294" s="392"/>
      <c r="HW294" s="392"/>
      <c r="HX294" s="392"/>
      <c r="HY294" s="392"/>
      <c r="HZ294" s="392"/>
      <c r="IA294" s="392"/>
      <c r="IB294" s="392"/>
      <c r="IC294" s="392"/>
      <c r="ID294" s="392"/>
      <c r="IE294" s="392"/>
      <c r="IF294" s="392"/>
      <c r="IG294" s="392"/>
      <c r="IH294" s="392"/>
      <c r="II294" s="392"/>
      <c r="IJ294" s="392"/>
      <c r="IK294" s="392"/>
      <c r="IL294" s="392"/>
      <c r="IM294" s="392"/>
      <c r="IN294" s="392"/>
      <c r="IO294" s="392"/>
      <c r="IP294" s="392"/>
      <c r="IQ294" s="392"/>
      <c r="IR294" s="392"/>
      <c r="IS294" s="392"/>
      <c r="IT294" s="392"/>
      <c r="IU294" s="392"/>
      <c r="IV294" s="392"/>
    </row>
    <row r="295" spans="1:256">
      <c r="A295" s="392"/>
      <c r="B295" s="448"/>
      <c r="C295" s="448"/>
      <c r="D295" s="448"/>
      <c r="E295" s="448"/>
      <c r="F295" s="448"/>
      <c r="G295" s="448"/>
      <c r="H295" s="392"/>
      <c r="I295" s="392"/>
      <c r="J295" s="392"/>
      <c r="K295" s="392"/>
      <c r="L295" s="392"/>
      <c r="M295" s="392"/>
      <c r="N295" s="392"/>
      <c r="O295" s="392"/>
      <c r="P295" s="392"/>
      <c r="Q295" s="392"/>
      <c r="R295" s="392"/>
      <c r="S295" s="392"/>
      <c r="T295" s="392"/>
      <c r="U295" s="392"/>
      <c r="V295" s="392"/>
      <c r="W295" s="392"/>
      <c r="X295" s="392"/>
      <c r="Y295" s="392"/>
      <c r="Z295" s="392"/>
      <c r="AA295" s="392"/>
      <c r="AB295" s="392"/>
      <c r="AC295" s="392"/>
      <c r="AD295" s="392"/>
      <c r="AE295" s="392"/>
      <c r="AF295" s="392"/>
      <c r="AG295" s="392"/>
      <c r="AH295" s="392"/>
      <c r="AI295" s="392"/>
      <c r="AJ295" s="392"/>
      <c r="AK295" s="392"/>
      <c r="AL295" s="392"/>
      <c r="AM295" s="392"/>
      <c r="AN295" s="392"/>
      <c r="AO295" s="392"/>
      <c r="AP295" s="392"/>
      <c r="AQ295" s="392"/>
      <c r="AR295" s="392"/>
      <c r="AS295" s="392"/>
      <c r="AT295" s="392"/>
      <c r="AU295" s="392"/>
      <c r="AV295" s="392"/>
      <c r="AW295" s="392"/>
      <c r="AX295" s="392"/>
      <c r="AY295" s="392"/>
      <c r="AZ295" s="392"/>
      <c r="BA295" s="392"/>
      <c r="BB295" s="392"/>
      <c r="BC295" s="392"/>
      <c r="BD295" s="392"/>
      <c r="BE295" s="392"/>
      <c r="BF295" s="392"/>
      <c r="BG295" s="392"/>
      <c r="BH295" s="392"/>
      <c r="BI295" s="392"/>
      <c r="BJ295" s="392"/>
      <c r="BK295" s="392"/>
      <c r="BL295" s="392"/>
      <c r="BM295" s="392"/>
      <c r="BN295" s="392"/>
      <c r="BO295" s="392"/>
      <c r="BP295" s="392"/>
      <c r="BQ295" s="392"/>
      <c r="BR295" s="392"/>
      <c r="BS295" s="392"/>
      <c r="BT295" s="392"/>
      <c r="BU295" s="392"/>
      <c r="BV295" s="392"/>
      <c r="BW295" s="392"/>
      <c r="BX295" s="392"/>
      <c r="BY295" s="392"/>
      <c r="BZ295" s="392"/>
      <c r="CA295" s="392"/>
      <c r="CB295" s="392"/>
      <c r="CC295" s="392"/>
      <c r="CD295" s="392"/>
      <c r="CE295" s="392"/>
      <c r="CF295" s="392"/>
      <c r="CG295" s="392"/>
      <c r="CH295" s="392"/>
      <c r="CI295" s="392"/>
      <c r="CJ295" s="392"/>
      <c r="CK295" s="392"/>
      <c r="CL295" s="392"/>
      <c r="CM295" s="392"/>
      <c r="CN295" s="392"/>
      <c r="CO295" s="392"/>
      <c r="CP295" s="392"/>
      <c r="CQ295" s="392"/>
      <c r="CR295" s="392"/>
      <c r="CS295" s="392"/>
      <c r="CT295" s="392"/>
      <c r="CU295" s="392"/>
      <c r="CV295" s="392"/>
      <c r="CW295" s="392"/>
      <c r="CX295" s="392"/>
      <c r="CY295" s="392"/>
      <c r="CZ295" s="392"/>
      <c r="DA295" s="392"/>
      <c r="DB295" s="392"/>
      <c r="DC295" s="392"/>
      <c r="DD295" s="392"/>
      <c r="DE295" s="392"/>
      <c r="DF295" s="392"/>
      <c r="DG295" s="392"/>
      <c r="DH295" s="392"/>
      <c r="DI295" s="392"/>
      <c r="DJ295" s="392"/>
      <c r="DK295" s="392"/>
      <c r="DL295" s="392"/>
      <c r="DM295" s="392"/>
      <c r="DN295" s="392"/>
      <c r="DO295" s="392"/>
      <c r="DP295" s="392"/>
      <c r="DQ295" s="392"/>
      <c r="DR295" s="392"/>
      <c r="DS295" s="392"/>
      <c r="DT295" s="392"/>
      <c r="DU295" s="392"/>
      <c r="DV295" s="392"/>
      <c r="DW295" s="392"/>
      <c r="DX295" s="392"/>
      <c r="DY295" s="392"/>
      <c r="DZ295" s="392"/>
      <c r="EA295" s="392"/>
      <c r="EB295" s="392"/>
      <c r="EC295" s="392"/>
      <c r="ED295" s="392"/>
      <c r="EE295" s="392"/>
      <c r="EF295" s="392"/>
      <c r="EG295" s="392"/>
      <c r="EH295" s="392"/>
      <c r="EI295" s="392"/>
      <c r="EJ295" s="392"/>
      <c r="EK295" s="392"/>
      <c r="EL295" s="392"/>
      <c r="EM295" s="392"/>
      <c r="EN295" s="392"/>
      <c r="EO295" s="392"/>
      <c r="EP295" s="392"/>
      <c r="EQ295" s="392"/>
      <c r="ER295" s="392"/>
      <c r="ES295" s="392"/>
      <c r="ET295" s="392"/>
      <c r="EU295" s="392"/>
      <c r="EV295" s="392"/>
      <c r="EW295" s="392"/>
      <c r="EX295" s="392"/>
      <c r="EY295" s="392"/>
      <c r="EZ295" s="392"/>
      <c r="FA295" s="392"/>
      <c r="FB295" s="392"/>
      <c r="FC295" s="392"/>
      <c r="FD295" s="392"/>
      <c r="FE295" s="392"/>
      <c r="FF295" s="392"/>
      <c r="FG295" s="392"/>
      <c r="FH295" s="392"/>
      <c r="FI295" s="392"/>
      <c r="FJ295" s="392"/>
      <c r="FK295" s="392"/>
      <c r="FL295" s="392"/>
      <c r="FM295" s="392"/>
      <c r="FN295" s="392"/>
      <c r="FO295" s="392"/>
      <c r="FP295" s="392"/>
      <c r="FQ295" s="392"/>
      <c r="FR295" s="392"/>
      <c r="FS295" s="392"/>
      <c r="FT295" s="392"/>
      <c r="FU295" s="392"/>
      <c r="FV295" s="392"/>
      <c r="FW295" s="392"/>
      <c r="FX295" s="392"/>
      <c r="FY295" s="392"/>
      <c r="FZ295" s="392"/>
      <c r="GA295" s="392"/>
      <c r="GB295" s="392"/>
      <c r="GC295" s="392"/>
      <c r="GD295" s="392"/>
      <c r="GE295" s="392"/>
      <c r="GF295" s="392"/>
      <c r="GG295" s="392"/>
      <c r="GH295" s="392"/>
      <c r="GI295" s="392"/>
      <c r="GJ295" s="392"/>
      <c r="GK295" s="392"/>
      <c r="GL295" s="392"/>
      <c r="GM295" s="392"/>
      <c r="GN295" s="392"/>
      <c r="GO295" s="392"/>
      <c r="GP295" s="392"/>
      <c r="GQ295" s="392"/>
      <c r="GR295" s="392"/>
      <c r="GS295" s="392"/>
      <c r="GT295" s="392"/>
      <c r="GU295" s="392"/>
      <c r="GV295" s="392"/>
      <c r="GW295" s="392"/>
      <c r="GX295" s="392"/>
      <c r="GY295" s="392"/>
      <c r="GZ295" s="392"/>
      <c r="HA295" s="392"/>
      <c r="HB295" s="392"/>
      <c r="HC295" s="392"/>
      <c r="HD295" s="392"/>
      <c r="HE295" s="392"/>
      <c r="HF295" s="392"/>
      <c r="HG295" s="392"/>
      <c r="HH295" s="392"/>
      <c r="HI295" s="392"/>
      <c r="HJ295" s="392"/>
      <c r="HK295" s="392"/>
      <c r="HL295" s="392"/>
      <c r="HM295" s="392"/>
      <c r="HN295" s="392"/>
      <c r="HO295" s="392"/>
      <c r="HP295" s="392"/>
      <c r="HQ295" s="392"/>
      <c r="HR295" s="392"/>
      <c r="HS295" s="392"/>
      <c r="HT295" s="392"/>
      <c r="HU295" s="392"/>
      <c r="HV295" s="392"/>
      <c r="HW295" s="392"/>
      <c r="HX295" s="392"/>
      <c r="HY295" s="392"/>
      <c r="HZ295" s="392"/>
      <c r="IA295" s="392"/>
      <c r="IB295" s="392"/>
      <c r="IC295" s="392"/>
      <c r="ID295" s="392"/>
      <c r="IE295" s="392"/>
      <c r="IF295" s="392"/>
      <c r="IG295" s="392"/>
      <c r="IH295" s="392"/>
      <c r="II295" s="392"/>
      <c r="IJ295" s="392"/>
      <c r="IK295" s="392"/>
      <c r="IL295" s="392"/>
      <c r="IM295" s="392"/>
      <c r="IN295" s="392"/>
      <c r="IO295" s="392"/>
      <c r="IP295" s="392"/>
      <c r="IQ295" s="392"/>
      <c r="IR295" s="392"/>
      <c r="IS295" s="392"/>
      <c r="IT295" s="392"/>
      <c r="IU295" s="392"/>
      <c r="IV295" s="392"/>
    </row>
    <row r="296" spans="1:256">
      <c r="A296" s="392"/>
      <c r="B296" s="448"/>
      <c r="C296" s="448"/>
      <c r="D296" s="448"/>
      <c r="E296" s="448"/>
      <c r="F296" s="448"/>
      <c r="G296" s="448"/>
      <c r="H296" s="392"/>
      <c r="I296" s="392"/>
      <c r="J296" s="392"/>
      <c r="K296" s="392"/>
      <c r="L296" s="392"/>
      <c r="M296" s="392"/>
      <c r="N296" s="392"/>
      <c r="O296" s="392"/>
      <c r="P296" s="392"/>
      <c r="Q296" s="392"/>
      <c r="R296" s="392"/>
      <c r="S296" s="392"/>
      <c r="T296" s="392"/>
      <c r="U296" s="392"/>
      <c r="V296" s="392"/>
      <c r="W296" s="392"/>
      <c r="X296" s="392"/>
      <c r="Y296" s="392"/>
      <c r="Z296" s="392"/>
      <c r="AA296" s="392"/>
      <c r="AB296" s="392"/>
      <c r="AC296" s="392"/>
      <c r="AD296" s="392"/>
      <c r="AE296" s="392"/>
      <c r="AF296" s="392"/>
      <c r="AG296" s="392"/>
      <c r="AH296" s="392"/>
      <c r="AI296" s="392"/>
      <c r="AJ296" s="392"/>
      <c r="AK296" s="392"/>
      <c r="AL296" s="392"/>
      <c r="AM296" s="392"/>
      <c r="AN296" s="392"/>
      <c r="AO296" s="392"/>
      <c r="AP296" s="392"/>
      <c r="AQ296" s="392"/>
      <c r="AR296" s="392"/>
      <c r="AS296" s="392"/>
      <c r="AT296" s="392"/>
      <c r="AU296" s="392"/>
      <c r="AV296" s="392"/>
      <c r="AW296" s="392"/>
      <c r="AX296" s="392"/>
      <c r="AY296" s="392"/>
      <c r="AZ296" s="392"/>
      <c r="BA296" s="392"/>
      <c r="BB296" s="392"/>
      <c r="BC296" s="392"/>
      <c r="BD296" s="392"/>
      <c r="BE296" s="392"/>
      <c r="BF296" s="392"/>
      <c r="BG296" s="392"/>
      <c r="BH296" s="392"/>
      <c r="BI296" s="392"/>
      <c r="BJ296" s="392"/>
      <c r="BK296" s="392"/>
      <c r="BL296" s="392"/>
      <c r="BM296" s="392"/>
      <c r="BN296" s="392"/>
      <c r="BO296" s="392"/>
      <c r="BP296" s="392"/>
      <c r="BQ296" s="392"/>
      <c r="BR296" s="392"/>
      <c r="BS296" s="392"/>
      <c r="BT296" s="392"/>
      <c r="BU296" s="392"/>
      <c r="BV296" s="392"/>
      <c r="BW296" s="392"/>
      <c r="BX296" s="392"/>
      <c r="BY296" s="392"/>
      <c r="BZ296" s="392"/>
      <c r="CA296" s="392"/>
      <c r="CB296" s="392"/>
      <c r="CC296" s="392"/>
      <c r="CD296" s="392"/>
      <c r="CE296" s="392"/>
      <c r="CF296" s="392"/>
      <c r="CG296" s="392"/>
      <c r="CH296" s="392"/>
      <c r="CI296" s="392"/>
      <c r="CJ296" s="392"/>
      <c r="CK296" s="392"/>
      <c r="CL296" s="392"/>
      <c r="CM296" s="392"/>
      <c r="CN296" s="392"/>
      <c r="CO296" s="392"/>
      <c r="CP296" s="392"/>
      <c r="CQ296" s="392"/>
      <c r="CR296" s="392"/>
      <c r="CS296" s="392"/>
      <c r="CT296" s="392"/>
      <c r="CU296" s="392"/>
      <c r="CV296" s="392"/>
      <c r="CW296" s="392"/>
      <c r="CX296" s="392"/>
      <c r="CY296" s="392"/>
      <c r="CZ296" s="392"/>
      <c r="DA296" s="392"/>
      <c r="DB296" s="392"/>
      <c r="DC296" s="392"/>
      <c r="DD296" s="392"/>
      <c r="DE296" s="392"/>
      <c r="DF296" s="392"/>
      <c r="DG296" s="392"/>
      <c r="DH296" s="392"/>
      <c r="DI296" s="392"/>
      <c r="DJ296" s="392"/>
      <c r="DK296" s="392"/>
      <c r="DL296" s="392"/>
      <c r="DM296" s="392"/>
      <c r="DN296" s="392"/>
      <c r="DO296" s="392"/>
      <c r="DP296" s="392"/>
      <c r="DQ296" s="392"/>
      <c r="DR296" s="392"/>
      <c r="DS296" s="392"/>
      <c r="DT296" s="392"/>
      <c r="DU296" s="392"/>
      <c r="DV296" s="392"/>
      <c r="DW296" s="392"/>
      <c r="DX296" s="392"/>
      <c r="DY296" s="392"/>
      <c r="DZ296" s="392"/>
      <c r="EA296" s="392"/>
      <c r="EB296" s="392"/>
      <c r="EC296" s="392"/>
      <c r="ED296" s="392"/>
      <c r="EE296" s="392"/>
      <c r="EF296" s="392"/>
      <c r="EG296" s="392"/>
      <c r="EH296" s="392"/>
      <c r="EI296" s="392"/>
      <c r="EJ296" s="392"/>
      <c r="EK296" s="392"/>
      <c r="EL296" s="392"/>
      <c r="EM296" s="392"/>
      <c r="EN296" s="392"/>
      <c r="EO296" s="392"/>
      <c r="EP296" s="392"/>
      <c r="EQ296" s="392"/>
      <c r="ER296" s="392"/>
      <c r="ES296" s="392"/>
      <c r="ET296" s="392"/>
      <c r="EU296" s="392"/>
      <c r="EV296" s="392"/>
      <c r="EW296" s="392"/>
      <c r="EX296" s="392"/>
      <c r="EY296" s="392"/>
      <c r="EZ296" s="392"/>
      <c r="FA296" s="392"/>
      <c r="FB296" s="392"/>
      <c r="FC296" s="392"/>
      <c r="FD296" s="392"/>
      <c r="FE296" s="392"/>
      <c r="FF296" s="392"/>
      <c r="FG296" s="392"/>
      <c r="FH296" s="392"/>
      <c r="FI296" s="392"/>
      <c r="FJ296" s="392"/>
      <c r="FK296" s="392"/>
      <c r="FL296" s="392"/>
      <c r="FM296" s="392"/>
      <c r="FN296" s="392"/>
      <c r="FO296" s="392"/>
      <c r="FP296" s="392"/>
      <c r="FQ296" s="392"/>
      <c r="FR296" s="392"/>
      <c r="FS296" s="392"/>
      <c r="FT296" s="392"/>
      <c r="FU296" s="392"/>
      <c r="FV296" s="392"/>
      <c r="FW296" s="392"/>
      <c r="FX296" s="392"/>
      <c r="FY296" s="392"/>
      <c r="FZ296" s="392"/>
      <c r="GA296" s="392"/>
      <c r="GB296" s="392"/>
      <c r="GC296" s="392"/>
      <c r="GD296" s="392"/>
      <c r="GE296" s="392"/>
      <c r="GF296" s="392"/>
      <c r="GG296" s="392"/>
      <c r="GH296" s="392"/>
      <c r="GI296" s="392"/>
      <c r="GJ296" s="392"/>
      <c r="GK296" s="392"/>
      <c r="GL296" s="392"/>
      <c r="GM296" s="392"/>
      <c r="GN296" s="392"/>
      <c r="GO296" s="392"/>
      <c r="GP296" s="392"/>
      <c r="GQ296" s="392"/>
      <c r="GR296" s="392"/>
      <c r="GS296" s="392"/>
      <c r="GT296" s="392"/>
      <c r="GU296" s="392"/>
      <c r="GV296" s="392"/>
      <c r="GW296" s="392"/>
      <c r="GX296" s="392"/>
      <c r="GY296" s="392"/>
      <c r="GZ296" s="392"/>
      <c r="HA296" s="392"/>
      <c r="HB296" s="392"/>
      <c r="HC296" s="392"/>
      <c r="HD296" s="392"/>
      <c r="HE296" s="392"/>
      <c r="HF296" s="392"/>
      <c r="HG296" s="392"/>
      <c r="HH296" s="392"/>
      <c r="HI296" s="392"/>
      <c r="HJ296" s="392"/>
      <c r="HK296" s="392"/>
      <c r="HL296" s="392"/>
      <c r="HM296" s="392"/>
      <c r="HN296" s="392"/>
      <c r="HO296" s="392"/>
      <c r="HP296" s="392"/>
      <c r="HQ296" s="392"/>
      <c r="HR296" s="392"/>
      <c r="HS296" s="392"/>
      <c r="HT296" s="392"/>
      <c r="HU296" s="392"/>
      <c r="HV296" s="392"/>
      <c r="HW296" s="392"/>
      <c r="HX296" s="392"/>
      <c r="HY296" s="392"/>
      <c r="HZ296" s="392"/>
      <c r="IA296" s="392"/>
      <c r="IB296" s="392"/>
      <c r="IC296" s="392"/>
      <c r="ID296" s="392"/>
      <c r="IE296" s="392"/>
      <c r="IF296" s="392"/>
      <c r="IG296" s="392"/>
      <c r="IH296" s="392"/>
      <c r="II296" s="392"/>
      <c r="IJ296" s="392"/>
      <c r="IK296" s="392"/>
      <c r="IL296" s="392"/>
      <c r="IM296" s="392"/>
      <c r="IN296" s="392"/>
      <c r="IO296" s="392"/>
      <c r="IP296" s="392"/>
      <c r="IQ296" s="392"/>
      <c r="IR296" s="392"/>
      <c r="IS296" s="392"/>
      <c r="IT296" s="392"/>
      <c r="IU296" s="392"/>
      <c r="IV296" s="392"/>
    </row>
    <row r="297" spans="1:256">
      <c r="A297" s="392"/>
      <c r="B297" s="448"/>
      <c r="C297" s="448"/>
      <c r="D297" s="448"/>
      <c r="E297" s="448"/>
      <c r="F297" s="448"/>
      <c r="G297" s="448"/>
      <c r="H297" s="392"/>
      <c r="I297" s="392"/>
      <c r="J297" s="392"/>
      <c r="K297" s="392"/>
      <c r="L297" s="392"/>
      <c r="M297" s="392"/>
      <c r="N297" s="392"/>
      <c r="O297" s="392"/>
      <c r="P297" s="392"/>
      <c r="Q297" s="392"/>
      <c r="R297" s="392"/>
      <c r="S297" s="392"/>
      <c r="T297" s="392"/>
      <c r="U297" s="392"/>
      <c r="V297" s="392"/>
      <c r="W297" s="392"/>
      <c r="X297" s="392"/>
      <c r="Y297" s="392"/>
      <c r="Z297" s="392"/>
      <c r="AA297" s="392"/>
      <c r="AB297" s="392"/>
      <c r="AC297" s="392"/>
      <c r="AD297" s="392"/>
      <c r="AE297" s="392"/>
      <c r="AF297" s="392"/>
      <c r="AG297" s="392"/>
      <c r="AH297" s="392"/>
      <c r="AI297" s="392"/>
      <c r="AJ297" s="392"/>
      <c r="AK297" s="392"/>
      <c r="AL297" s="392"/>
      <c r="AM297" s="392"/>
      <c r="AN297" s="392"/>
      <c r="AO297" s="392"/>
      <c r="AP297" s="392"/>
      <c r="AQ297" s="392"/>
      <c r="AR297" s="392"/>
      <c r="AS297" s="392"/>
      <c r="AT297" s="392"/>
      <c r="AU297" s="392"/>
      <c r="AV297" s="392"/>
      <c r="AW297" s="392"/>
      <c r="AX297" s="392"/>
      <c r="AY297" s="392"/>
      <c r="AZ297" s="392"/>
      <c r="BA297" s="392"/>
      <c r="BB297" s="392"/>
      <c r="BC297" s="392"/>
      <c r="BD297" s="392"/>
      <c r="BE297" s="392"/>
      <c r="BF297" s="392"/>
      <c r="BG297" s="392"/>
      <c r="BH297" s="392"/>
      <c r="BI297" s="392"/>
      <c r="BJ297" s="392"/>
      <c r="BK297" s="392"/>
      <c r="BL297" s="392"/>
      <c r="BM297" s="392"/>
      <c r="BN297" s="392"/>
      <c r="BO297" s="392"/>
      <c r="BP297" s="392"/>
      <c r="BQ297" s="392"/>
      <c r="BR297" s="392"/>
      <c r="BS297" s="392"/>
      <c r="BT297" s="392"/>
      <c r="BU297" s="392"/>
      <c r="BV297" s="392"/>
      <c r="BW297" s="392"/>
      <c r="BX297" s="392"/>
      <c r="BY297" s="392"/>
      <c r="BZ297" s="392"/>
      <c r="CA297" s="392"/>
      <c r="CB297" s="392"/>
      <c r="CC297" s="392"/>
      <c r="CD297" s="392"/>
      <c r="CE297" s="392"/>
      <c r="CF297" s="392"/>
      <c r="CG297" s="392"/>
      <c r="CH297" s="392"/>
      <c r="CI297" s="392"/>
      <c r="CJ297" s="392"/>
      <c r="CK297" s="392"/>
      <c r="CL297" s="392"/>
      <c r="CM297" s="392"/>
      <c r="CN297" s="392"/>
      <c r="CO297" s="392"/>
      <c r="CP297" s="392"/>
      <c r="CQ297" s="392"/>
      <c r="CR297" s="392"/>
      <c r="CS297" s="392"/>
      <c r="CT297" s="392"/>
      <c r="CU297" s="392"/>
      <c r="CV297" s="392"/>
      <c r="CW297" s="392"/>
      <c r="CX297" s="392"/>
      <c r="CY297" s="392"/>
      <c r="CZ297" s="392"/>
      <c r="DA297" s="392"/>
      <c r="DB297" s="392"/>
      <c r="DC297" s="392"/>
      <c r="DD297" s="392"/>
      <c r="DE297" s="392"/>
      <c r="DF297" s="392"/>
      <c r="DG297" s="392"/>
      <c r="DH297" s="392"/>
      <c r="DI297" s="392"/>
      <c r="DJ297" s="392"/>
      <c r="DK297" s="392"/>
      <c r="DL297" s="392"/>
      <c r="DM297" s="392"/>
      <c r="DN297" s="392"/>
      <c r="DO297" s="392"/>
      <c r="DP297" s="392"/>
      <c r="DQ297" s="392"/>
      <c r="DR297" s="392"/>
      <c r="DS297" s="392"/>
      <c r="DT297" s="392"/>
      <c r="DU297" s="392"/>
      <c r="DV297" s="392"/>
      <c r="DW297" s="392"/>
      <c r="DX297" s="392"/>
      <c r="DY297" s="392"/>
      <c r="DZ297" s="392"/>
      <c r="EA297" s="392"/>
      <c r="EB297" s="392"/>
      <c r="EC297" s="392"/>
      <c r="ED297" s="392"/>
      <c r="EE297" s="392"/>
      <c r="EF297" s="392"/>
      <c r="EG297" s="392"/>
      <c r="EH297" s="392"/>
      <c r="EI297" s="392"/>
      <c r="EJ297" s="392"/>
      <c r="EK297" s="392"/>
      <c r="EL297" s="392"/>
      <c r="EM297" s="392"/>
      <c r="EN297" s="392"/>
      <c r="EO297" s="392"/>
      <c r="EP297" s="392"/>
      <c r="EQ297" s="392"/>
      <c r="ER297" s="392"/>
      <c r="ES297" s="392"/>
      <c r="ET297" s="392"/>
      <c r="EU297" s="392"/>
      <c r="EV297" s="392"/>
      <c r="EW297" s="392"/>
      <c r="EX297" s="392"/>
      <c r="EY297" s="392"/>
      <c r="EZ297" s="392"/>
      <c r="FA297" s="392"/>
      <c r="FB297" s="392"/>
      <c r="FC297" s="392"/>
      <c r="FD297" s="392"/>
      <c r="FE297" s="392"/>
      <c r="FF297" s="392"/>
      <c r="FG297" s="392"/>
      <c r="FH297" s="392"/>
      <c r="FI297" s="392"/>
      <c r="FJ297" s="392"/>
      <c r="FK297" s="392"/>
      <c r="FL297" s="392"/>
      <c r="FM297" s="392"/>
      <c r="FN297" s="392"/>
      <c r="FO297" s="392"/>
      <c r="FP297" s="392"/>
      <c r="FQ297" s="392"/>
      <c r="FR297" s="392"/>
      <c r="FS297" s="392"/>
      <c r="FT297" s="392"/>
      <c r="FU297" s="392"/>
      <c r="FV297" s="392"/>
      <c r="FW297" s="392"/>
      <c r="FX297" s="392"/>
      <c r="FY297" s="392"/>
      <c r="FZ297" s="392"/>
      <c r="GA297" s="392"/>
      <c r="GB297" s="392"/>
      <c r="GC297" s="392"/>
      <c r="GD297" s="392"/>
      <c r="GE297" s="392"/>
      <c r="GF297" s="392"/>
      <c r="GG297" s="392"/>
      <c r="GH297" s="392"/>
      <c r="GI297" s="392"/>
      <c r="GJ297" s="392"/>
      <c r="GK297" s="392"/>
      <c r="GL297" s="392"/>
      <c r="GM297" s="392"/>
      <c r="GN297" s="392"/>
      <c r="GO297" s="392"/>
      <c r="GP297" s="392"/>
      <c r="GQ297" s="392"/>
      <c r="GR297" s="392"/>
      <c r="GS297" s="392"/>
      <c r="GT297" s="392"/>
      <c r="GU297" s="392"/>
      <c r="GV297" s="392"/>
      <c r="GW297" s="392"/>
      <c r="GX297" s="392"/>
      <c r="GY297" s="392"/>
      <c r="GZ297" s="392"/>
      <c r="HA297" s="392"/>
      <c r="HB297" s="392"/>
      <c r="HC297" s="392"/>
      <c r="HD297" s="392"/>
      <c r="HE297" s="392"/>
      <c r="HF297" s="392"/>
      <c r="HG297" s="392"/>
      <c r="HH297" s="392"/>
      <c r="HI297" s="392"/>
      <c r="HJ297" s="392"/>
      <c r="HK297" s="392"/>
      <c r="HL297" s="392"/>
      <c r="HM297" s="392"/>
      <c r="HN297" s="392"/>
      <c r="HO297" s="392"/>
      <c r="HP297" s="392"/>
      <c r="HQ297" s="392"/>
      <c r="HR297" s="392"/>
      <c r="HS297" s="392"/>
      <c r="HT297" s="392"/>
      <c r="HU297" s="392"/>
      <c r="HV297" s="392"/>
      <c r="HW297" s="392"/>
      <c r="HX297" s="392"/>
      <c r="HY297" s="392"/>
      <c r="HZ297" s="392"/>
      <c r="IA297" s="392"/>
      <c r="IB297" s="392"/>
      <c r="IC297" s="392"/>
      <c r="ID297" s="392"/>
      <c r="IE297" s="392"/>
      <c r="IF297" s="392"/>
      <c r="IG297" s="392"/>
      <c r="IH297" s="392"/>
      <c r="II297" s="392"/>
      <c r="IJ297" s="392"/>
      <c r="IK297" s="392"/>
      <c r="IL297" s="392"/>
      <c r="IM297" s="392"/>
      <c r="IN297" s="392"/>
      <c r="IO297" s="392"/>
      <c r="IP297" s="392"/>
      <c r="IQ297" s="392"/>
      <c r="IR297" s="392"/>
      <c r="IS297" s="392"/>
      <c r="IT297" s="392"/>
      <c r="IU297" s="392"/>
      <c r="IV297" s="392"/>
    </row>
    <row r="298" spans="1:256">
      <c r="A298" s="392"/>
      <c r="B298" s="448"/>
      <c r="C298" s="448"/>
      <c r="D298" s="448"/>
      <c r="E298" s="448"/>
      <c r="F298" s="448"/>
      <c r="G298" s="448"/>
      <c r="H298" s="392"/>
      <c r="I298" s="392"/>
      <c r="J298" s="392"/>
      <c r="K298" s="392"/>
      <c r="L298" s="392"/>
      <c r="M298" s="392"/>
      <c r="N298" s="392"/>
      <c r="O298" s="392"/>
      <c r="P298" s="392"/>
      <c r="Q298" s="392"/>
      <c r="R298" s="392"/>
      <c r="S298" s="392"/>
      <c r="T298" s="392"/>
      <c r="U298" s="392"/>
      <c r="V298" s="392"/>
      <c r="W298" s="392"/>
      <c r="X298" s="392"/>
      <c r="Y298" s="392"/>
      <c r="Z298" s="392"/>
      <c r="AA298" s="392"/>
      <c r="AB298" s="392"/>
      <c r="AC298" s="392"/>
      <c r="AD298" s="392"/>
      <c r="AE298" s="392"/>
      <c r="AF298" s="392"/>
      <c r="AG298" s="392"/>
      <c r="AH298" s="392"/>
      <c r="AI298" s="392"/>
      <c r="AJ298" s="392"/>
      <c r="AK298" s="392"/>
      <c r="AL298" s="392"/>
      <c r="AM298" s="392"/>
      <c r="AN298" s="392"/>
      <c r="AO298" s="392"/>
      <c r="AP298" s="392"/>
      <c r="AQ298" s="392"/>
      <c r="AR298" s="392"/>
      <c r="AS298" s="392"/>
      <c r="AT298" s="392"/>
      <c r="AU298" s="392"/>
      <c r="AV298" s="392"/>
      <c r="AW298" s="392"/>
      <c r="AX298" s="392"/>
      <c r="AY298" s="392"/>
      <c r="AZ298" s="392"/>
      <c r="BA298" s="392"/>
      <c r="BB298" s="392"/>
      <c r="BC298" s="392"/>
      <c r="BD298" s="392"/>
      <c r="BE298" s="392"/>
      <c r="BF298" s="392"/>
      <c r="BG298" s="392"/>
      <c r="BH298" s="392"/>
      <c r="BI298" s="392"/>
      <c r="BJ298" s="392"/>
      <c r="BK298" s="392"/>
      <c r="BL298" s="392"/>
      <c r="BM298" s="392"/>
      <c r="BN298" s="392"/>
      <c r="BO298" s="392"/>
      <c r="BP298" s="392"/>
      <c r="BQ298" s="392"/>
      <c r="BR298" s="392"/>
      <c r="BS298" s="392"/>
      <c r="BT298" s="392"/>
      <c r="BU298" s="392"/>
      <c r="BV298" s="392"/>
      <c r="BW298" s="392"/>
      <c r="BX298" s="392"/>
      <c r="BY298" s="392"/>
      <c r="BZ298" s="392"/>
      <c r="CA298" s="392"/>
      <c r="CB298" s="392"/>
      <c r="CC298" s="392"/>
      <c r="CD298" s="392"/>
      <c r="CE298" s="392"/>
      <c r="CF298" s="392"/>
      <c r="CG298" s="392"/>
      <c r="CH298" s="392"/>
      <c r="CI298" s="392"/>
      <c r="CJ298" s="392"/>
      <c r="CK298" s="392"/>
      <c r="CL298" s="392"/>
      <c r="CM298" s="392"/>
      <c r="CN298" s="392"/>
      <c r="CO298" s="392"/>
      <c r="CP298" s="392"/>
      <c r="CQ298" s="392"/>
      <c r="CR298" s="392"/>
      <c r="CS298" s="392"/>
      <c r="CT298" s="392"/>
      <c r="CU298" s="392"/>
      <c r="CV298" s="392"/>
      <c r="CW298" s="392"/>
      <c r="CX298" s="392"/>
      <c r="CY298" s="392"/>
      <c r="CZ298" s="392"/>
      <c r="DA298" s="392"/>
      <c r="DB298" s="392"/>
      <c r="DC298" s="392"/>
      <c r="DD298" s="392"/>
      <c r="DE298" s="392"/>
      <c r="DF298" s="392"/>
      <c r="DG298" s="392"/>
      <c r="DH298" s="392"/>
      <c r="DI298" s="392"/>
      <c r="DJ298" s="392"/>
      <c r="DK298" s="392"/>
      <c r="DL298" s="392"/>
      <c r="DM298" s="392"/>
      <c r="DN298" s="392"/>
      <c r="DO298" s="392"/>
      <c r="DP298" s="392"/>
      <c r="DQ298" s="392"/>
      <c r="DR298" s="392"/>
      <c r="DS298" s="392"/>
      <c r="DT298" s="392"/>
      <c r="DU298" s="392"/>
      <c r="DV298" s="392"/>
      <c r="DW298" s="392"/>
      <c r="DX298" s="392"/>
      <c r="DY298" s="392"/>
      <c r="DZ298" s="392"/>
      <c r="EA298" s="392"/>
      <c r="EB298" s="392"/>
      <c r="EC298" s="392"/>
      <c r="ED298" s="392"/>
      <c r="EE298" s="392"/>
      <c r="EF298" s="392"/>
      <c r="EG298" s="392"/>
      <c r="EH298" s="392"/>
      <c r="EI298" s="392"/>
      <c r="EJ298" s="392"/>
      <c r="EK298" s="392"/>
      <c r="EL298" s="392"/>
      <c r="EM298" s="392"/>
      <c r="EN298" s="392"/>
      <c r="EO298" s="392"/>
      <c r="EP298" s="392"/>
      <c r="EQ298" s="392"/>
      <c r="ER298" s="392"/>
      <c r="ES298" s="392"/>
      <c r="ET298" s="392"/>
      <c r="EU298" s="392"/>
      <c r="EV298" s="392"/>
      <c r="EW298" s="392"/>
      <c r="EX298" s="392"/>
      <c r="EY298" s="392"/>
      <c r="EZ298" s="392"/>
      <c r="FA298" s="392"/>
      <c r="FB298" s="392"/>
      <c r="FC298" s="392"/>
      <c r="FD298" s="392"/>
      <c r="FE298" s="392"/>
      <c r="FF298" s="392"/>
      <c r="FG298" s="392"/>
      <c r="FH298" s="392"/>
      <c r="FI298" s="392"/>
      <c r="FJ298" s="392"/>
      <c r="FK298" s="392"/>
      <c r="FL298" s="392"/>
      <c r="FM298" s="392"/>
      <c r="FN298" s="392"/>
      <c r="FO298" s="392"/>
      <c r="FP298" s="392"/>
      <c r="FQ298" s="392"/>
      <c r="FR298" s="392"/>
      <c r="FS298" s="392"/>
      <c r="FT298" s="392"/>
      <c r="FU298" s="392"/>
      <c r="FV298" s="392"/>
      <c r="FW298" s="392"/>
      <c r="FX298" s="392"/>
      <c r="FY298" s="392"/>
      <c r="FZ298" s="392"/>
      <c r="GA298" s="392"/>
      <c r="GB298" s="392"/>
      <c r="GC298" s="392"/>
      <c r="GD298" s="392"/>
      <c r="GE298" s="392"/>
      <c r="GF298" s="392"/>
      <c r="GG298" s="392"/>
      <c r="GH298" s="392"/>
      <c r="GI298" s="392"/>
      <c r="GJ298" s="392"/>
      <c r="GK298" s="392"/>
      <c r="GL298" s="392"/>
      <c r="GM298" s="392"/>
      <c r="GN298" s="392"/>
      <c r="GO298" s="392"/>
      <c r="GP298" s="392"/>
      <c r="GQ298" s="392"/>
      <c r="GR298" s="392"/>
      <c r="GS298" s="392"/>
      <c r="GT298" s="392"/>
      <c r="GU298" s="392"/>
      <c r="GV298" s="392"/>
      <c r="GW298" s="392"/>
      <c r="GX298" s="392"/>
      <c r="GY298" s="392"/>
      <c r="GZ298" s="392"/>
      <c r="HA298" s="392"/>
      <c r="HB298" s="392"/>
      <c r="HC298" s="392"/>
      <c r="HD298" s="392"/>
      <c r="HE298" s="392"/>
      <c r="HF298" s="392"/>
      <c r="HG298" s="392"/>
      <c r="HH298" s="392"/>
      <c r="HI298" s="392"/>
      <c r="HJ298" s="392"/>
      <c r="HK298" s="392"/>
      <c r="HL298" s="392"/>
      <c r="HM298" s="392"/>
      <c r="HN298" s="392"/>
      <c r="HO298" s="392"/>
      <c r="HP298" s="392"/>
      <c r="HQ298" s="392"/>
      <c r="HR298" s="392"/>
      <c r="HS298" s="392"/>
      <c r="HT298" s="392"/>
      <c r="HU298" s="392"/>
      <c r="HV298" s="392"/>
      <c r="HW298" s="392"/>
      <c r="HX298" s="392"/>
      <c r="HY298" s="392"/>
      <c r="HZ298" s="392"/>
      <c r="IA298" s="392"/>
      <c r="IB298" s="392"/>
      <c r="IC298" s="392"/>
      <c r="ID298" s="392"/>
      <c r="IE298" s="392"/>
      <c r="IF298" s="392"/>
      <c r="IG298" s="392"/>
      <c r="IH298" s="392"/>
      <c r="II298" s="392"/>
      <c r="IJ298" s="392"/>
      <c r="IK298" s="392"/>
      <c r="IL298" s="392"/>
      <c r="IM298" s="392"/>
      <c r="IN298" s="392"/>
      <c r="IO298" s="392"/>
      <c r="IP298" s="392"/>
      <c r="IQ298" s="392"/>
      <c r="IR298" s="392"/>
      <c r="IS298" s="392"/>
      <c r="IT298" s="392"/>
      <c r="IU298" s="392"/>
      <c r="IV298" s="392"/>
    </row>
    <row r="299" spans="1:256">
      <c r="A299" s="392"/>
      <c r="B299" s="448"/>
      <c r="C299" s="448"/>
      <c r="D299" s="448"/>
      <c r="E299" s="448"/>
      <c r="F299" s="448"/>
      <c r="G299" s="448"/>
      <c r="H299" s="392"/>
      <c r="I299" s="392"/>
      <c r="J299" s="392"/>
      <c r="K299" s="392"/>
      <c r="L299" s="392"/>
      <c r="M299" s="392"/>
      <c r="N299" s="392"/>
      <c r="O299" s="392"/>
      <c r="P299" s="392"/>
      <c r="Q299" s="392"/>
      <c r="R299" s="392"/>
      <c r="S299" s="392"/>
      <c r="T299" s="392"/>
      <c r="U299" s="392"/>
      <c r="V299" s="392"/>
      <c r="W299" s="392"/>
      <c r="X299" s="392"/>
      <c r="Y299" s="392"/>
      <c r="Z299" s="392"/>
      <c r="AA299" s="392"/>
      <c r="AB299" s="392"/>
      <c r="AC299" s="392"/>
      <c r="AD299" s="392"/>
      <c r="AE299" s="392"/>
      <c r="AF299" s="392"/>
      <c r="AG299" s="392"/>
      <c r="AH299" s="392"/>
      <c r="AI299" s="392"/>
      <c r="AJ299" s="392"/>
      <c r="AK299" s="392"/>
      <c r="AL299" s="392"/>
      <c r="AM299" s="392"/>
      <c r="AN299" s="392"/>
      <c r="AO299" s="392"/>
      <c r="AP299" s="392"/>
      <c r="AQ299" s="392"/>
      <c r="AR299" s="392"/>
      <c r="AS299" s="392"/>
      <c r="AT299" s="392"/>
      <c r="AU299" s="392"/>
      <c r="AV299" s="392"/>
      <c r="AW299" s="392"/>
      <c r="AX299" s="392"/>
      <c r="AY299" s="392"/>
      <c r="AZ299" s="392"/>
      <c r="BA299" s="392"/>
      <c r="BB299" s="392"/>
      <c r="BC299" s="392"/>
      <c r="BD299" s="392"/>
      <c r="BE299" s="392"/>
      <c r="BF299" s="392"/>
      <c r="BG299" s="392"/>
      <c r="BH299" s="392"/>
      <c r="BI299" s="392"/>
      <c r="BJ299" s="392"/>
      <c r="BK299" s="392"/>
      <c r="BL299" s="392"/>
      <c r="BM299" s="392"/>
      <c r="BN299" s="392"/>
      <c r="BO299" s="392"/>
      <c r="BP299" s="392"/>
      <c r="BQ299" s="392"/>
      <c r="BR299" s="392"/>
      <c r="BS299" s="392"/>
      <c r="BT299" s="392"/>
      <c r="BU299" s="392"/>
      <c r="BV299" s="392"/>
      <c r="BW299" s="392"/>
      <c r="BX299" s="392"/>
      <c r="BY299" s="392"/>
      <c r="BZ299" s="392"/>
      <c r="CA299" s="392"/>
      <c r="CB299" s="392"/>
      <c r="CC299" s="392"/>
      <c r="CD299" s="392"/>
      <c r="CE299" s="392"/>
      <c r="CF299" s="392"/>
      <c r="CG299" s="392"/>
      <c r="CH299" s="392"/>
      <c r="CI299" s="392"/>
      <c r="CJ299" s="392"/>
      <c r="CK299" s="392"/>
      <c r="CL299" s="392"/>
      <c r="CM299" s="392"/>
      <c r="CN299" s="392"/>
      <c r="CO299" s="392"/>
      <c r="CP299" s="392"/>
      <c r="CQ299" s="392"/>
      <c r="CR299" s="392"/>
      <c r="CS299" s="392"/>
      <c r="CT299" s="392"/>
      <c r="CU299" s="392"/>
      <c r="CV299" s="392"/>
      <c r="CW299" s="392"/>
      <c r="CX299" s="392"/>
      <c r="CY299" s="392"/>
      <c r="CZ299" s="392"/>
      <c r="DA299" s="392"/>
      <c r="DB299" s="392"/>
      <c r="DC299" s="392"/>
      <c r="DD299" s="392"/>
      <c r="DE299" s="392"/>
      <c r="DF299" s="392"/>
      <c r="DG299" s="392"/>
      <c r="DH299" s="392"/>
      <c r="DI299" s="392"/>
      <c r="DJ299" s="392"/>
      <c r="DK299" s="392"/>
      <c r="DL299" s="392"/>
      <c r="DM299" s="392"/>
      <c r="DN299" s="392"/>
      <c r="DO299" s="392"/>
      <c r="DP299" s="392"/>
      <c r="DQ299" s="392"/>
      <c r="DR299" s="392"/>
      <c r="DS299" s="392"/>
      <c r="DT299" s="392"/>
      <c r="DU299" s="392"/>
      <c r="DV299" s="392"/>
      <c r="DW299" s="392"/>
      <c r="DX299" s="392"/>
      <c r="DY299" s="392"/>
      <c r="DZ299" s="392"/>
      <c r="EA299" s="392"/>
      <c r="EB299" s="392"/>
      <c r="EC299" s="392"/>
      <c r="ED299" s="392"/>
      <c r="EE299" s="392"/>
      <c r="EF299" s="392"/>
      <c r="EG299" s="392"/>
      <c r="EH299" s="392"/>
      <c r="EI299" s="392"/>
      <c r="EJ299" s="392"/>
      <c r="EK299" s="392"/>
      <c r="EL299" s="392"/>
      <c r="EM299" s="392"/>
      <c r="EN299" s="392"/>
      <c r="EO299" s="392"/>
      <c r="EP299" s="392"/>
      <c r="EQ299" s="392"/>
      <c r="ER299" s="392"/>
      <c r="ES299" s="392"/>
      <c r="ET299" s="392"/>
      <c r="EU299" s="392"/>
      <c r="EV299" s="392"/>
      <c r="EW299" s="392"/>
      <c r="EX299" s="392"/>
      <c r="EY299" s="392"/>
      <c r="EZ299" s="392"/>
      <c r="FA299" s="392"/>
      <c r="FB299" s="392"/>
      <c r="FC299" s="392"/>
      <c r="FD299" s="392"/>
      <c r="FE299" s="392"/>
      <c r="FF299" s="392"/>
      <c r="FG299" s="392"/>
      <c r="FH299" s="392"/>
      <c r="FI299" s="392"/>
      <c r="FJ299" s="392"/>
      <c r="FK299" s="392"/>
      <c r="FL299" s="392"/>
      <c r="FM299" s="392"/>
      <c r="FN299" s="392"/>
      <c r="FO299" s="392"/>
      <c r="FP299" s="392"/>
      <c r="FQ299" s="392"/>
      <c r="FR299" s="392"/>
      <c r="FS299" s="392"/>
      <c r="FT299" s="392"/>
      <c r="FU299" s="392"/>
      <c r="FV299" s="392"/>
      <c r="FW299" s="392"/>
      <c r="FX299" s="392"/>
      <c r="FY299" s="392"/>
      <c r="FZ299" s="392"/>
      <c r="GA299" s="392"/>
      <c r="GB299" s="392"/>
      <c r="GC299" s="392"/>
      <c r="GD299" s="392"/>
      <c r="GE299" s="392"/>
      <c r="GF299" s="392"/>
      <c r="GG299" s="392"/>
      <c r="GH299" s="392"/>
      <c r="GI299" s="392"/>
      <c r="GJ299" s="392"/>
      <c r="GK299" s="392"/>
      <c r="GL299" s="392"/>
      <c r="GM299" s="392"/>
      <c r="GN299" s="392"/>
      <c r="GO299" s="392"/>
      <c r="GP299" s="392"/>
      <c r="GQ299" s="392"/>
      <c r="GR299" s="392"/>
      <c r="GS299" s="392"/>
      <c r="GT299" s="392"/>
      <c r="GU299" s="392"/>
      <c r="GV299" s="392"/>
      <c r="GW299" s="392"/>
      <c r="GX299" s="392"/>
      <c r="GY299" s="392"/>
      <c r="GZ299" s="392"/>
      <c r="HA299" s="392"/>
      <c r="HB299" s="392"/>
      <c r="HC299" s="392"/>
      <c r="HD299" s="392"/>
      <c r="HE299" s="392"/>
      <c r="HF299" s="392"/>
      <c r="HG299" s="392"/>
      <c r="HH299" s="392"/>
      <c r="HI299" s="392"/>
      <c r="HJ299" s="392"/>
      <c r="HK299" s="392"/>
      <c r="HL299" s="392"/>
      <c r="HM299" s="392"/>
      <c r="HN299" s="392"/>
      <c r="HO299" s="392"/>
      <c r="HP299" s="392"/>
      <c r="HQ299" s="392"/>
      <c r="HR299" s="392"/>
      <c r="HS299" s="392"/>
      <c r="HT299" s="392"/>
      <c r="HU299" s="392"/>
      <c r="HV299" s="392"/>
      <c r="HW299" s="392"/>
      <c r="HX299" s="392"/>
      <c r="HY299" s="392"/>
      <c r="HZ299" s="392"/>
      <c r="IA299" s="392"/>
      <c r="IB299" s="392"/>
      <c r="IC299" s="392"/>
      <c r="ID299" s="392"/>
      <c r="IE299" s="392"/>
      <c r="IF299" s="392"/>
      <c r="IG299" s="392"/>
      <c r="IH299" s="392"/>
      <c r="II299" s="392"/>
      <c r="IJ299" s="392"/>
      <c r="IK299" s="392"/>
      <c r="IL299" s="392"/>
      <c r="IM299" s="392"/>
      <c r="IN299" s="392"/>
      <c r="IO299" s="392"/>
      <c r="IP299" s="392"/>
      <c r="IQ299" s="392"/>
      <c r="IR299" s="392"/>
      <c r="IS299" s="392"/>
      <c r="IT299" s="392"/>
      <c r="IU299" s="392"/>
      <c r="IV299" s="392"/>
    </row>
    <row r="300" spans="1:256">
      <c r="A300" s="392"/>
      <c r="B300" s="448"/>
      <c r="C300" s="448"/>
      <c r="D300" s="448"/>
      <c r="E300" s="448"/>
      <c r="F300" s="448"/>
      <c r="G300" s="448"/>
      <c r="H300" s="392"/>
      <c r="I300" s="392"/>
      <c r="J300" s="392"/>
      <c r="K300" s="392"/>
      <c r="L300" s="392"/>
      <c r="M300" s="392"/>
      <c r="N300" s="392"/>
      <c r="O300" s="392"/>
      <c r="P300" s="392"/>
      <c r="Q300" s="392"/>
      <c r="R300" s="392"/>
      <c r="S300" s="392"/>
      <c r="T300" s="392"/>
      <c r="U300" s="392"/>
      <c r="V300" s="392"/>
      <c r="W300" s="392"/>
      <c r="X300" s="392"/>
      <c r="Y300" s="392"/>
      <c r="Z300" s="392"/>
      <c r="AA300" s="392"/>
      <c r="AB300" s="392"/>
      <c r="AC300" s="392"/>
      <c r="AD300" s="392"/>
      <c r="AE300" s="392"/>
      <c r="AF300" s="392"/>
      <c r="AG300" s="392"/>
      <c r="AH300" s="392"/>
      <c r="AI300" s="392"/>
      <c r="AJ300" s="392"/>
      <c r="AK300" s="392"/>
      <c r="AL300" s="392"/>
      <c r="AM300" s="392"/>
      <c r="AN300" s="392"/>
      <c r="AO300" s="392"/>
      <c r="AP300" s="392"/>
      <c r="AQ300" s="392"/>
      <c r="AR300" s="392"/>
      <c r="AS300" s="392"/>
      <c r="AT300" s="392"/>
      <c r="AU300" s="392"/>
      <c r="AV300" s="392"/>
      <c r="AW300" s="392"/>
      <c r="AX300" s="392"/>
      <c r="AY300" s="392"/>
      <c r="AZ300" s="392"/>
      <c r="BA300" s="392"/>
      <c r="BB300" s="392"/>
      <c r="BC300" s="392"/>
      <c r="BD300" s="392"/>
      <c r="BE300" s="392"/>
      <c r="BF300" s="392"/>
      <c r="BG300" s="392"/>
      <c r="BH300" s="392"/>
      <c r="BI300" s="392"/>
      <c r="BJ300" s="392"/>
      <c r="BK300" s="392"/>
      <c r="BL300" s="392"/>
      <c r="BM300" s="392"/>
      <c r="BN300" s="392"/>
      <c r="BO300" s="392"/>
      <c r="BP300" s="392"/>
      <c r="BQ300" s="392"/>
      <c r="BR300" s="392"/>
      <c r="BS300" s="392"/>
      <c r="BT300" s="392"/>
      <c r="BU300" s="392"/>
      <c r="BV300" s="392"/>
      <c r="BW300" s="392"/>
      <c r="BX300" s="392"/>
      <c r="BY300" s="392"/>
      <c r="BZ300" s="392"/>
      <c r="CA300" s="392"/>
      <c r="CB300" s="392"/>
      <c r="CC300" s="392"/>
      <c r="CD300" s="392"/>
      <c r="CE300" s="392"/>
      <c r="CF300" s="392"/>
      <c r="CG300" s="392"/>
      <c r="CH300" s="392"/>
      <c r="CI300" s="392"/>
      <c r="CJ300" s="392"/>
      <c r="CK300" s="392"/>
      <c r="CL300" s="392"/>
      <c r="CM300" s="392"/>
      <c r="CN300" s="392"/>
      <c r="CO300" s="392"/>
      <c r="CP300" s="392"/>
      <c r="CQ300" s="392"/>
      <c r="CR300" s="392"/>
      <c r="CS300" s="392"/>
      <c r="CT300" s="392"/>
      <c r="CU300" s="392"/>
      <c r="CV300" s="392"/>
      <c r="CW300" s="392"/>
      <c r="CX300" s="392"/>
      <c r="CY300" s="392"/>
      <c r="CZ300" s="392"/>
      <c r="DA300" s="392"/>
      <c r="DB300" s="392"/>
      <c r="DC300" s="392"/>
      <c r="DD300" s="392"/>
      <c r="DE300" s="392"/>
      <c r="DF300" s="392"/>
      <c r="DG300" s="392"/>
      <c r="DH300" s="392"/>
      <c r="DI300" s="392"/>
      <c r="DJ300" s="392"/>
      <c r="DK300" s="392"/>
      <c r="DL300" s="392"/>
      <c r="DM300" s="392"/>
      <c r="DN300" s="392"/>
      <c r="DO300" s="392"/>
      <c r="DP300" s="392"/>
      <c r="DQ300" s="392"/>
      <c r="DR300" s="392"/>
      <c r="DS300" s="392"/>
      <c r="DT300" s="392"/>
      <c r="DU300" s="392"/>
      <c r="DV300" s="392"/>
      <c r="DW300" s="392"/>
      <c r="DX300" s="392"/>
      <c r="DY300" s="392"/>
      <c r="DZ300" s="392"/>
      <c r="EA300" s="392"/>
      <c r="EB300" s="392"/>
      <c r="EC300" s="392"/>
      <c r="ED300" s="392"/>
      <c r="EE300" s="392"/>
      <c r="EF300" s="392"/>
      <c r="EG300" s="392"/>
      <c r="EH300" s="392"/>
      <c r="EI300" s="392"/>
      <c r="EJ300" s="392"/>
      <c r="EK300" s="392"/>
      <c r="EL300" s="392"/>
      <c r="EM300" s="392"/>
      <c r="EN300" s="392"/>
      <c r="EO300" s="392"/>
      <c r="EP300" s="392"/>
      <c r="EQ300" s="392"/>
      <c r="ER300" s="392"/>
      <c r="ES300" s="392"/>
      <c r="ET300" s="392"/>
      <c r="EU300" s="392"/>
      <c r="EV300" s="392"/>
      <c r="EW300" s="392"/>
      <c r="EX300" s="392"/>
      <c r="EY300" s="392"/>
      <c r="EZ300" s="392"/>
      <c r="FA300" s="392"/>
      <c r="FB300" s="392"/>
      <c r="FC300" s="392"/>
      <c r="FD300" s="392"/>
      <c r="FE300" s="392"/>
      <c r="FF300" s="392"/>
      <c r="FG300" s="392"/>
      <c r="FH300" s="392"/>
      <c r="FI300" s="392"/>
      <c r="FJ300" s="392"/>
      <c r="FK300" s="392"/>
      <c r="FL300" s="392"/>
      <c r="FM300" s="392"/>
      <c r="FN300" s="392"/>
      <c r="FO300" s="392"/>
      <c r="FP300" s="392"/>
      <c r="FQ300" s="392"/>
      <c r="FR300" s="392"/>
      <c r="FS300" s="392"/>
      <c r="FT300" s="392"/>
      <c r="FU300" s="392"/>
      <c r="FV300" s="392"/>
      <c r="FW300" s="392"/>
      <c r="FX300" s="392"/>
      <c r="FY300" s="392"/>
      <c r="FZ300" s="392"/>
      <c r="GA300" s="392"/>
      <c r="GB300" s="392"/>
      <c r="GC300" s="392"/>
      <c r="GD300" s="392"/>
      <c r="GE300" s="392"/>
      <c r="GF300" s="392"/>
      <c r="GG300" s="392"/>
      <c r="GH300" s="392"/>
      <c r="GI300" s="392"/>
      <c r="GJ300" s="392"/>
      <c r="GK300" s="392"/>
      <c r="GL300" s="392"/>
      <c r="GM300" s="392"/>
      <c r="GN300" s="392"/>
      <c r="GO300" s="392"/>
      <c r="GP300" s="392"/>
      <c r="GQ300" s="392"/>
      <c r="GR300" s="392"/>
      <c r="GS300" s="392"/>
      <c r="GT300" s="392"/>
      <c r="GU300" s="392"/>
      <c r="GV300" s="392"/>
      <c r="GW300" s="392"/>
      <c r="GX300" s="392"/>
      <c r="GY300" s="392"/>
      <c r="GZ300" s="392"/>
      <c r="HA300" s="392"/>
      <c r="HB300" s="392"/>
      <c r="HC300" s="392"/>
      <c r="HD300" s="392"/>
      <c r="HE300" s="392"/>
      <c r="HF300" s="392"/>
      <c r="HG300" s="392"/>
      <c r="HH300" s="392"/>
      <c r="HI300" s="392"/>
      <c r="HJ300" s="392"/>
      <c r="HK300" s="392"/>
      <c r="HL300" s="392"/>
      <c r="HM300" s="392"/>
      <c r="HN300" s="392"/>
      <c r="HO300" s="392"/>
      <c r="HP300" s="392"/>
      <c r="HQ300" s="392"/>
      <c r="HR300" s="392"/>
      <c r="HS300" s="392"/>
      <c r="HT300" s="392"/>
      <c r="HU300" s="392"/>
      <c r="HV300" s="392"/>
      <c r="HW300" s="392"/>
      <c r="HX300" s="392"/>
      <c r="HY300" s="392"/>
      <c r="HZ300" s="392"/>
      <c r="IA300" s="392"/>
      <c r="IB300" s="392"/>
      <c r="IC300" s="392"/>
      <c r="ID300" s="392"/>
      <c r="IE300" s="392"/>
      <c r="IF300" s="392"/>
      <c r="IG300" s="392"/>
      <c r="IH300" s="392"/>
      <c r="II300" s="392"/>
      <c r="IJ300" s="392"/>
      <c r="IK300" s="392"/>
      <c r="IL300" s="392"/>
      <c r="IM300" s="392"/>
      <c r="IN300" s="392"/>
      <c r="IO300" s="392"/>
      <c r="IP300" s="392"/>
      <c r="IQ300" s="392"/>
      <c r="IR300" s="392"/>
      <c r="IS300" s="392"/>
      <c r="IT300" s="392"/>
      <c r="IU300" s="392"/>
      <c r="IV300" s="392"/>
    </row>
    <row r="301" spans="1:256">
      <c r="A301" s="392"/>
      <c r="B301" s="448"/>
      <c r="C301" s="448"/>
      <c r="D301" s="448"/>
      <c r="E301" s="448"/>
      <c r="F301" s="448"/>
      <c r="G301" s="448"/>
      <c r="H301" s="392"/>
      <c r="I301" s="392"/>
      <c r="J301" s="392"/>
      <c r="K301" s="392"/>
      <c r="L301" s="392"/>
      <c r="M301" s="392"/>
      <c r="N301" s="392"/>
      <c r="O301" s="392"/>
      <c r="P301" s="392"/>
      <c r="Q301" s="392"/>
      <c r="R301" s="392"/>
      <c r="S301" s="392"/>
      <c r="T301" s="392"/>
      <c r="U301" s="392"/>
      <c r="V301" s="392"/>
      <c r="W301" s="392"/>
      <c r="X301" s="392"/>
      <c r="Y301" s="392"/>
      <c r="Z301" s="392"/>
      <c r="AA301" s="392"/>
      <c r="AB301" s="392"/>
      <c r="AC301" s="392"/>
      <c r="AD301" s="392"/>
      <c r="AE301" s="392"/>
      <c r="AF301" s="392"/>
      <c r="AG301" s="392"/>
      <c r="AH301" s="392"/>
      <c r="AI301" s="392"/>
      <c r="AJ301" s="392"/>
      <c r="AK301" s="392"/>
      <c r="AL301" s="392"/>
      <c r="AM301" s="392"/>
      <c r="AN301" s="392"/>
      <c r="AO301" s="392"/>
      <c r="AP301" s="392"/>
      <c r="AQ301" s="392"/>
      <c r="AR301" s="392"/>
      <c r="AS301" s="392"/>
      <c r="AT301" s="392"/>
      <c r="AU301" s="392"/>
      <c r="AV301" s="392"/>
      <c r="AW301" s="392"/>
      <c r="AX301" s="392"/>
      <c r="AY301" s="392"/>
      <c r="AZ301" s="392"/>
      <c r="BA301" s="392"/>
      <c r="BB301" s="392"/>
      <c r="BC301" s="392"/>
      <c r="BD301" s="392"/>
      <c r="BE301" s="392"/>
      <c r="BF301" s="392"/>
      <c r="BG301" s="392"/>
      <c r="BH301" s="392"/>
      <c r="BI301" s="392"/>
      <c r="BJ301" s="392"/>
      <c r="BK301" s="392"/>
      <c r="BL301" s="392"/>
      <c r="BM301" s="392"/>
      <c r="BN301" s="392"/>
      <c r="BO301" s="392"/>
      <c r="BP301" s="392"/>
      <c r="BQ301" s="392"/>
      <c r="BR301" s="392"/>
      <c r="BS301" s="392"/>
      <c r="BT301" s="392"/>
      <c r="BU301" s="392"/>
      <c r="BV301" s="392"/>
      <c r="BW301" s="392"/>
      <c r="BX301" s="392"/>
      <c r="BY301" s="392"/>
      <c r="BZ301" s="392"/>
      <c r="CA301" s="392"/>
      <c r="CB301" s="392"/>
      <c r="CC301" s="392"/>
      <c r="CD301" s="392"/>
      <c r="CE301" s="392"/>
      <c r="CF301" s="392"/>
      <c r="CG301" s="392"/>
      <c r="CH301" s="392"/>
      <c r="CI301" s="392"/>
      <c r="CJ301" s="392"/>
      <c r="CK301" s="392"/>
      <c r="CL301" s="392"/>
      <c r="CM301" s="392"/>
      <c r="CN301" s="392"/>
      <c r="CO301" s="392"/>
      <c r="CP301" s="392"/>
      <c r="CQ301" s="392"/>
      <c r="CR301" s="392"/>
      <c r="CS301" s="392"/>
      <c r="CT301" s="392"/>
      <c r="CU301" s="392"/>
      <c r="CV301" s="392"/>
      <c r="CW301" s="392"/>
      <c r="CX301" s="392"/>
      <c r="CY301" s="392"/>
      <c r="CZ301" s="392"/>
      <c r="DA301" s="392"/>
      <c r="DB301" s="392"/>
      <c r="DC301" s="392"/>
      <c r="DD301" s="392"/>
      <c r="DE301" s="392"/>
      <c r="DF301" s="392"/>
      <c r="DG301" s="392"/>
      <c r="DH301" s="392"/>
      <c r="DI301" s="392"/>
      <c r="DJ301" s="392"/>
      <c r="DK301" s="392"/>
      <c r="DL301" s="392"/>
      <c r="DM301" s="392"/>
      <c r="DN301" s="392"/>
      <c r="DO301" s="392"/>
      <c r="DP301" s="392"/>
      <c r="DQ301" s="392"/>
      <c r="DR301" s="392"/>
      <c r="DS301" s="392"/>
      <c r="DT301" s="392"/>
      <c r="DU301" s="392"/>
      <c r="DV301" s="392"/>
      <c r="DW301" s="392"/>
      <c r="DX301" s="392"/>
      <c r="DY301" s="392"/>
      <c r="DZ301" s="392"/>
      <c r="EA301" s="392"/>
      <c r="EB301" s="392"/>
      <c r="EC301" s="392"/>
      <c r="ED301" s="392"/>
      <c r="EE301" s="392"/>
      <c r="EF301" s="392"/>
      <c r="EG301" s="392"/>
      <c r="EH301" s="392"/>
      <c r="EI301" s="392"/>
      <c r="EJ301" s="392"/>
      <c r="EK301" s="392"/>
      <c r="EL301" s="392"/>
      <c r="EM301" s="392"/>
      <c r="EN301" s="392"/>
      <c r="EO301" s="392"/>
      <c r="EP301" s="392"/>
      <c r="EQ301" s="392"/>
      <c r="ER301" s="392"/>
      <c r="ES301" s="392"/>
      <c r="ET301" s="392"/>
      <c r="EU301" s="392"/>
      <c r="EV301" s="392"/>
      <c r="EW301" s="392"/>
      <c r="EX301" s="392"/>
      <c r="EY301" s="392"/>
      <c r="EZ301" s="392"/>
      <c r="FA301" s="392"/>
      <c r="FB301" s="392"/>
      <c r="FC301" s="392"/>
      <c r="FD301" s="392"/>
      <c r="FE301" s="392"/>
      <c r="FF301" s="392"/>
      <c r="FG301" s="392"/>
      <c r="FH301" s="392"/>
      <c r="FI301" s="392"/>
      <c r="FJ301" s="392"/>
      <c r="FK301" s="392"/>
      <c r="FL301" s="392"/>
      <c r="FM301" s="392"/>
      <c r="FN301" s="392"/>
      <c r="FO301" s="392"/>
      <c r="FP301" s="392"/>
      <c r="FQ301" s="392"/>
      <c r="FR301" s="392"/>
      <c r="FS301" s="392"/>
      <c r="FT301" s="392"/>
      <c r="FU301" s="392"/>
      <c r="FV301" s="392"/>
      <c r="FW301" s="392"/>
      <c r="FX301" s="392"/>
      <c r="FY301" s="392"/>
      <c r="FZ301" s="392"/>
      <c r="GA301" s="392"/>
      <c r="GB301" s="392"/>
      <c r="GC301" s="392"/>
      <c r="GD301" s="392"/>
      <c r="GE301" s="392"/>
      <c r="GF301" s="392"/>
      <c r="GG301" s="392"/>
      <c r="GH301" s="392"/>
      <c r="GI301" s="392"/>
      <c r="GJ301" s="392"/>
      <c r="GK301" s="392"/>
      <c r="GL301" s="392"/>
      <c r="GM301" s="392"/>
      <c r="GN301" s="392"/>
      <c r="GO301" s="392"/>
      <c r="GP301" s="392"/>
      <c r="GQ301" s="392"/>
      <c r="GR301" s="392"/>
      <c r="GS301" s="392"/>
      <c r="GT301" s="392"/>
      <c r="GU301" s="392"/>
      <c r="GV301" s="392"/>
      <c r="GW301" s="392"/>
      <c r="GX301" s="392"/>
      <c r="GY301" s="392"/>
      <c r="GZ301" s="392"/>
      <c r="HA301" s="392"/>
      <c r="HB301" s="392"/>
      <c r="HC301" s="392"/>
      <c r="HD301" s="392"/>
      <c r="HE301" s="392"/>
      <c r="HF301" s="392"/>
      <c r="HG301" s="392"/>
      <c r="HH301" s="392"/>
      <c r="HI301" s="392"/>
      <c r="HJ301" s="392"/>
      <c r="HK301" s="392"/>
      <c r="HL301" s="392"/>
      <c r="HM301" s="392"/>
      <c r="HN301" s="392"/>
      <c r="HO301" s="392"/>
      <c r="HP301" s="392"/>
      <c r="HQ301" s="392"/>
      <c r="HR301" s="392"/>
      <c r="HS301" s="392"/>
      <c r="HT301" s="392"/>
      <c r="HU301" s="392"/>
      <c r="HV301" s="392"/>
      <c r="HW301" s="392"/>
      <c r="HX301" s="392"/>
      <c r="HY301" s="392"/>
      <c r="HZ301" s="392"/>
      <c r="IA301" s="392"/>
      <c r="IB301" s="392"/>
      <c r="IC301" s="392"/>
      <c r="ID301" s="392"/>
      <c r="IE301" s="392"/>
      <c r="IF301" s="392"/>
      <c r="IG301" s="392"/>
      <c r="IH301" s="392"/>
      <c r="II301" s="392"/>
      <c r="IJ301" s="392"/>
      <c r="IK301" s="392"/>
      <c r="IL301" s="392"/>
      <c r="IM301" s="392"/>
      <c r="IN301" s="392"/>
      <c r="IO301" s="392"/>
      <c r="IP301" s="392"/>
      <c r="IQ301" s="392"/>
      <c r="IR301" s="392"/>
      <c r="IS301" s="392"/>
      <c r="IT301" s="392"/>
      <c r="IU301" s="392"/>
      <c r="IV301" s="392"/>
    </row>
    <row r="302" spans="1:256">
      <c r="A302" s="392"/>
      <c r="B302" s="448"/>
      <c r="C302" s="448"/>
      <c r="D302" s="448"/>
      <c r="E302" s="448"/>
      <c r="F302" s="448"/>
      <c r="G302" s="448"/>
      <c r="H302" s="392"/>
      <c r="I302" s="392"/>
      <c r="J302" s="392"/>
      <c r="K302" s="392"/>
      <c r="L302" s="392"/>
      <c r="M302" s="392"/>
      <c r="N302" s="392"/>
      <c r="O302" s="392"/>
      <c r="P302" s="392"/>
      <c r="Q302" s="392"/>
      <c r="R302" s="392"/>
      <c r="S302" s="392"/>
      <c r="T302" s="392"/>
      <c r="U302" s="392"/>
      <c r="V302" s="392"/>
      <c r="W302" s="392"/>
      <c r="X302" s="392"/>
      <c r="Y302" s="392"/>
      <c r="Z302" s="392"/>
      <c r="AA302" s="392"/>
      <c r="AB302" s="392"/>
      <c r="AC302" s="392"/>
      <c r="AD302" s="392"/>
      <c r="AE302" s="392"/>
      <c r="AF302" s="392"/>
      <c r="AG302" s="392"/>
      <c r="AH302" s="392"/>
      <c r="AI302" s="392"/>
      <c r="AJ302" s="392"/>
      <c r="AK302" s="392"/>
      <c r="AL302" s="392"/>
      <c r="AM302" s="392"/>
      <c r="AN302" s="392"/>
      <c r="AO302" s="392"/>
      <c r="AP302" s="392"/>
      <c r="AQ302" s="392"/>
      <c r="AR302" s="392"/>
      <c r="AS302" s="392"/>
      <c r="AT302" s="392"/>
      <c r="AU302" s="392"/>
      <c r="AV302" s="392"/>
      <c r="AW302" s="392"/>
      <c r="AX302" s="392"/>
      <c r="AY302" s="392"/>
      <c r="AZ302" s="392"/>
      <c r="BA302" s="392"/>
      <c r="BB302" s="392"/>
      <c r="BC302" s="392"/>
      <c r="BD302" s="392"/>
      <c r="BE302" s="392"/>
      <c r="BF302" s="392"/>
      <c r="BG302" s="392"/>
      <c r="BH302" s="392"/>
      <c r="BI302" s="392"/>
      <c r="BJ302" s="392"/>
      <c r="BK302" s="392"/>
      <c r="BL302" s="392"/>
      <c r="BM302" s="392"/>
      <c r="BN302" s="392"/>
      <c r="BO302" s="392"/>
      <c r="BP302" s="392"/>
      <c r="BQ302" s="392"/>
      <c r="BR302" s="392"/>
      <c r="BS302" s="392"/>
      <c r="BT302" s="392"/>
      <c r="BU302" s="392"/>
      <c r="BV302" s="392"/>
      <c r="BW302" s="392"/>
      <c r="BX302" s="392"/>
      <c r="BY302" s="392"/>
      <c r="BZ302" s="392"/>
      <c r="CA302" s="392"/>
      <c r="CB302" s="392"/>
      <c r="CC302" s="392"/>
      <c r="CD302" s="392"/>
      <c r="CE302" s="392"/>
      <c r="CF302" s="392"/>
      <c r="CG302" s="392"/>
      <c r="CH302" s="392"/>
      <c r="CI302" s="392"/>
      <c r="CJ302" s="392"/>
      <c r="CK302" s="392"/>
      <c r="CL302" s="392"/>
      <c r="CM302" s="392"/>
      <c r="CN302" s="392"/>
      <c r="CO302" s="392"/>
      <c r="CP302" s="392"/>
      <c r="CQ302" s="392"/>
      <c r="CR302" s="392"/>
      <c r="CS302" s="392"/>
      <c r="CT302" s="392"/>
      <c r="CU302" s="392"/>
      <c r="CV302" s="392"/>
      <c r="CW302" s="392"/>
      <c r="CX302" s="392"/>
      <c r="CY302" s="392"/>
      <c r="CZ302" s="392"/>
      <c r="DA302" s="392"/>
      <c r="DB302" s="392"/>
      <c r="DC302" s="392"/>
      <c r="DD302" s="392"/>
      <c r="DE302" s="392"/>
      <c r="DF302" s="392"/>
      <c r="DG302" s="392"/>
      <c r="DH302" s="392"/>
      <c r="DI302" s="392"/>
      <c r="DJ302" s="392"/>
      <c r="DK302" s="392"/>
      <c r="DL302" s="392"/>
      <c r="DM302" s="392"/>
      <c r="DN302" s="392"/>
      <c r="DO302" s="392"/>
      <c r="DP302" s="392"/>
      <c r="DQ302" s="392"/>
      <c r="DR302" s="392"/>
      <c r="DS302" s="392"/>
      <c r="DT302" s="392"/>
      <c r="DU302" s="392"/>
      <c r="DV302" s="392"/>
      <c r="DW302" s="392"/>
      <c r="DX302" s="392"/>
      <c r="DY302" s="392"/>
      <c r="DZ302" s="392"/>
      <c r="EA302" s="392"/>
      <c r="EB302" s="392"/>
      <c r="EC302" s="392"/>
      <c r="ED302" s="392"/>
      <c r="EE302" s="392"/>
      <c r="EF302" s="392"/>
      <c r="EG302" s="392"/>
      <c r="EH302" s="392"/>
      <c r="EI302" s="392"/>
      <c r="EJ302" s="392"/>
      <c r="EK302" s="392"/>
      <c r="EL302" s="392"/>
      <c r="EM302" s="392"/>
      <c r="EN302" s="392"/>
      <c r="EO302" s="392"/>
      <c r="EP302" s="392"/>
      <c r="EQ302" s="392"/>
      <c r="ER302" s="392"/>
      <c r="ES302" s="392"/>
      <c r="ET302" s="392"/>
      <c r="EU302" s="392"/>
      <c r="EV302" s="392"/>
      <c r="EW302" s="392"/>
      <c r="EX302" s="392"/>
      <c r="EY302" s="392"/>
      <c r="EZ302" s="392"/>
      <c r="FA302" s="392"/>
      <c r="FB302" s="392"/>
      <c r="FC302" s="392"/>
      <c r="FD302" s="392"/>
      <c r="FE302" s="392"/>
      <c r="FF302" s="392"/>
      <c r="FG302" s="392"/>
      <c r="FH302" s="392"/>
      <c r="FI302" s="392"/>
      <c r="FJ302" s="392"/>
      <c r="FK302" s="392"/>
      <c r="FL302" s="392"/>
      <c r="FM302" s="392"/>
      <c r="FN302" s="392"/>
      <c r="FO302" s="392"/>
      <c r="FP302" s="392"/>
      <c r="FQ302" s="392"/>
      <c r="FR302" s="392"/>
      <c r="FS302" s="392"/>
      <c r="FT302" s="392"/>
      <c r="FU302" s="392"/>
      <c r="FV302" s="392"/>
      <c r="FW302" s="392"/>
      <c r="FX302" s="392"/>
      <c r="FY302" s="392"/>
      <c r="FZ302" s="392"/>
      <c r="GA302" s="392"/>
      <c r="GB302" s="392"/>
      <c r="GC302" s="392"/>
      <c r="GD302" s="392"/>
      <c r="GE302" s="392"/>
      <c r="GF302" s="392"/>
      <c r="GG302" s="392"/>
      <c r="GH302" s="392"/>
      <c r="GI302" s="392"/>
      <c r="GJ302" s="392"/>
      <c r="GK302" s="392"/>
      <c r="GL302" s="392"/>
      <c r="GM302" s="392"/>
      <c r="GN302" s="392"/>
      <c r="GO302" s="392"/>
      <c r="GP302" s="392"/>
      <c r="GQ302" s="392"/>
      <c r="GR302" s="392"/>
      <c r="GS302" s="392"/>
      <c r="GT302" s="392"/>
      <c r="GU302" s="392"/>
      <c r="GV302" s="392"/>
      <c r="GW302" s="392"/>
      <c r="GX302" s="392"/>
      <c r="GY302" s="392"/>
      <c r="GZ302" s="392"/>
      <c r="HA302" s="392"/>
      <c r="HB302" s="392"/>
      <c r="HC302" s="392"/>
      <c r="HD302" s="392"/>
      <c r="HE302" s="392"/>
      <c r="HF302" s="392"/>
      <c r="HG302" s="392"/>
      <c r="HH302" s="392"/>
      <c r="HI302" s="392"/>
      <c r="HJ302" s="392"/>
      <c r="HK302" s="392"/>
      <c r="HL302" s="392"/>
      <c r="HM302" s="392"/>
      <c r="HN302" s="392"/>
      <c r="HO302" s="392"/>
      <c r="HP302" s="392"/>
      <c r="HQ302" s="392"/>
      <c r="HR302" s="392"/>
      <c r="HS302" s="392"/>
      <c r="HT302" s="392"/>
      <c r="HU302" s="392"/>
      <c r="HV302" s="392"/>
      <c r="HW302" s="392"/>
      <c r="HX302" s="392"/>
      <c r="HY302" s="392"/>
      <c r="HZ302" s="392"/>
      <c r="IA302" s="392"/>
      <c r="IB302" s="392"/>
      <c r="IC302" s="392"/>
      <c r="ID302" s="392"/>
      <c r="IE302" s="392"/>
      <c r="IF302" s="392"/>
      <c r="IG302" s="392"/>
      <c r="IH302" s="392"/>
      <c r="II302" s="392"/>
      <c r="IJ302" s="392"/>
      <c r="IK302" s="392"/>
      <c r="IL302" s="392"/>
      <c r="IM302" s="392"/>
      <c r="IN302" s="392"/>
      <c r="IO302" s="392"/>
      <c r="IP302" s="392"/>
      <c r="IQ302" s="392"/>
      <c r="IR302" s="392"/>
      <c r="IS302" s="392"/>
      <c r="IT302" s="392"/>
      <c r="IU302" s="392"/>
      <c r="IV302" s="392"/>
    </row>
    <row r="303" spans="1:256">
      <c r="A303" s="392"/>
      <c r="B303" s="448"/>
      <c r="C303" s="448"/>
      <c r="D303" s="448"/>
      <c r="E303" s="448"/>
      <c r="F303" s="448"/>
      <c r="G303" s="448"/>
      <c r="H303" s="392"/>
      <c r="I303" s="392"/>
      <c r="J303" s="392"/>
      <c r="K303" s="392"/>
      <c r="L303" s="392"/>
      <c r="M303" s="392"/>
      <c r="N303" s="392"/>
      <c r="O303" s="392"/>
      <c r="P303" s="392"/>
      <c r="Q303" s="392"/>
      <c r="R303" s="392"/>
      <c r="S303" s="392"/>
      <c r="T303" s="392"/>
      <c r="U303" s="392"/>
      <c r="V303" s="392"/>
      <c r="W303" s="392"/>
      <c r="X303" s="392"/>
      <c r="Y303" s="392"/>
      <c r="Z303" s="392"/>
      <c r="AA303" s="392"/>
      <c r="AB303" s="392"/>
      <c r="AC303" s="392"/>
      <c r="AD303" s="392"/>
      <c r="AE303" s="392"/>
      <c r="AF303" s="392"/>
      <c r="AG303" s="392"/>
      <c r="AH303" s="392"/>
      <c r="AI303" s="392"/>
      <c r="AJ303" s="392"/>
      <c r="AK303" s="392"/>
      <c r="AL303" s="392"/>
      <c r="AM303" s="392"/>
      <c r="AN303" s="392"/>
      <c r="AO303" s="392"/>
      <c r="AP303" s="392"/>
      <c r="AQ303" s="392"/>
      <c r="AR303" s="392"/>
      <c r="AS303" s="392"/>
      <c r="AT303" s="392"/>
      <c r="AU303" s="392"/>
      <c r="AV303" s="392"/>
      <c r="AW303" s="392"/>
      <c r="AX303" s="392"/>
      <c r="AY303" s="392"/>
      <c r="AZ303" s="392"/>
      <c r="BA303" s="392"/>
      <c r="BB303" s="392"/>
      <c r="BC303" s="392"/>
      <c r="BD303" s="392"/>
      <c r="BE303" s="392"/>
      <c r="BF303" s="392"/>
      <c r="BG303" s="392"/>
      <c r="BH303" s="392"/>
      <c r="BI303" s="392"/>
      <c r="BJ303" s="392"/>
      <c r="BK303" s="392"/>
      <c r="BL303" s="392"/>
      <c r="BM303" s="392"/>
      <c r="BN303" s="392"/>
      <c r="BO303" s="392"/>
      <c r="BP303" s="392"/>
      <c r="BQ303" s="392"/>
      <c r="BR303" s="392"/>
      <c r="BS303" s="392"/>
      <c r="BT303" s="392"/>
      <c r="BU303" s="392"/>
      <c r="BV303" s="392"/>
      <c r="BW303" s="392"/>
      <c r="BX303" s="392"/>
      <c r="BY303" s="392"/>
      <c r="BZ303" s="392"/>
      <c r="CA303" s="392"/>
      <c r="CB303" s="392"/>
      <c r="CC303" s="392"/>
      <c r="CD303" s="392"/>
      <c r="CE303" s="392"/>
      <c r="CF303" s="392"/>
      <c r="CG303" s="392"/>
      <c r="CH303" s="392"/>
      <c r="CI303" s="392"/>
      <c r="CJ303" s="392"/>
      <c r="CK303" s="392"/>
      <c r="CL303" s="392"/>
      <c r="CM303" s="392"/>
      <c r="CN303" s="392"/>
      <c r="CO303" s="392"/>
      <c r="CP303" s="392"/>
      <c r="CQ303" s="392"/>
      <c r="CR303" s="392"/>
      <c r="CS303" s="392"/>
      <c r="CT303" s="392"/>
      <c r="CU303" s="392"/>
      <c r="CV303" s="392"/>
      <c r="CW303" s="392"/>
      <c r="CX303" s="392"/>
      <c r="CY303" s="392"/>
      <c r="CZ303" s="392"/>
      <c r="DA303" s="392"/>
      <c r="DB303" s="392"/>
      <c r="DC303" s="392"/>
      <c r="DD303" s="392"/>
      <c r="DE303" s="392"/>
      <c r="DF303" s="392"/>
      <c r="DG303" s="392"/>
      <c r="DH303" s="392"/>
      <c r="DI303" s="392"/>
      <c r="DJ303" s="392"/>
      <c r="DK303" s="392"/>
      <c r="DL303" s="392"/>
      <c r="DM303" s="392"/>
      <c r="DN303" s="392"/>
      <c r="DO303" s="392"/>
      <c r="DP303" s="392"/>
      <c r="DQ303" s="392"/>
      <c r="DR303" s="392"/>
      <c r="DS303" s="392"/>
      <c r="DT303" s="392"/>
      <c r="DU303" s="392"/>
      <c r="DV303" s="392"/>
      <c r="DW303" s="392"/>
      <c r="DX303" s="392"/>
      <c r="DY303" s="392"/>
      <c r="DZ303" s="392"/>
      <c r="EA303" s="392"/>
      <c r="EB303" s="392"/>
      <c r="EC303" s="392"/>
      <c r="ED303" s="392"/>
      <c r="EE303" s="392"/>
      <c r="EF303" s="392"/>
      <c r="EG303" s="392"/>
      <c r="EH303" s="392"/>
      <c r="EI303" s="392"/>
      <c r="EJ303" s="392"/>
      <c r="EK303" s="392"/>
      <c r="EL303" s="392"/>
      <c r="EM303" s="392"/>
      <c r="EN303" s="392"/>
      <c r="EO303" s="392"/>
      <c r="EP303" s="392"/>
      <c r="EQ303" s="392"/>
      <c r="ER303" s="392"/>
      <c r="ES303" s="392"/>
      <c r="ET303" s="392"/>
      <c r="EU303" s="392"/>
      <c r="EV303" s="392"/>
      <c r="EW303" s="392"/>
      <c r="EX303" s="392"/>
      <c r="EY303" s="392"/>
      <c r="EZ303" s="392"/>
      <c r="FA303" s="392"/>
      <c r="FB303" s="392"/>
      <c r="FC303" s="392"/>
      <c r="FD303" s="392"/>
      <c r="FE303" s="392"/>
      <c r="FF303" s="392"/>
      <c r="FG303" s="392"/>
      <c r="FH303" s="392"/>
      <c r="FI303" s="392"/>
      <c r="FJ303" s="392"/>
      <c r="FK303" s="392"/>
      <c r="FL303" s="392"/>
      <c r="FM303" s="392"/>
      <c r="FN303" s="392"/>
      <c r="FO303" s="392"/>
      <c r="FP303" s="392"/>
      <c r="FQ303" s="392"/>
      <c r="FR303" s="392"/>
      <c r="FS303" s="392"/>
      <c r="FT303" s="392"/>
      <c r="FU303" s="392"/>
      <c r="FV303" s="392"/>
      <c r="FW303" s="392"/>
      <c r="FX303" s="392"/>
      <c r="FY303" s="392"/>
      <c r="FZ303" s="392"/>
      <c r="GA303" s="392"/>
      <c r="GB303" s="392"/>
      <c r="GC303" s="392"/>
      <c r="GD303" s="392"/>
      <c r="GE303" s="392"/>
      <c r="GF303" s="392"/>
      <c r="GG303" s="392"/>
      <c r="GH303" s="392"/>
      <c r="GI303" s="392"/>
      <c r="GJ303" s="392"/>
      <c r="GK303" s="392"/>
      <c r="GL303" s="392"/>
      <c r="GM303" s="392"/>
      <c r="GN303" s="392"/>
      <c r="GO303" s="392"/>
      <c r="GP303" s="392"/>
      <c r="GQ303" s="392"/>
      <c r="GR303" s="392"/>
      <c r="GS303" s="392"/>
      <c r="GT303" s="392"/>
      <c r="GU303" s="392"/>
      <c r="GV303" s="392"/>
      <c r="GW303" s="392"/>
      <c r="GX303" s="392"/>
      <c r="GY303" s="392"/>
      <c r="GZ303" s="392"/>
      <c r="HA303" s="392"/>
      <c r="HB303" s="392"/>
      <c r="HC303" s="392"/>
      <c r="HD303" s="392"/>
      <c r="HE303" s="392"/>
      <c r="HF303" s="392"/>
      <c r="HG303" s="392"/>
      <c r="HH303" s="392"/>
      <c r="HI303" s="392"/>
      <c r="HJ303" s="392"/>
      <c r="HK303" s="392"/>
      <c r="HL303" s="392"/>
      <c r="HM303" s="392"/>
      <c r="HN303" s="392"/>
      <c r="HO303" s="392"/>
      <c r="HP303" s="392"/>
      <c r="HQ303" s="392"/>
      <c r="HR303" s="392"/>
      <c r="HS303" s="392"/>
      <c r="HT303" s="392"/>
      <c r="HU303" s="392"/>
      <c r="HV303" s="392"/>
      <c r="HW303" s="392"/>
      <c r="HX303" s="392"/>
      <c r="HY303" s="392"/>
      <c r="HZ303" s="392"/>
      <c r="IA303" s="392"/>
      <c r="IB303" s="392"/>
      <c r="IC303" s="392"/>
      <c r="ID303" s="392"/>
      <c r="IE303" s="392"/>
      <c r="IF303" s="392"/>
      <c r="IG303" s="392"/>
      <c r="IH303" s="392"/>
      <c r="II303" s="392"/>
      <c r="IJ303" s="392"/>
      <c r="IK303" s="392"/>
      <c r="IL303" s="392"/>
      <c r="IM303" s="392"/>
      <c r="IN303" s="392"/>
      <c r="IO303" s="392"/>
      <c r="IP303" s="392"/>
      <c r="IQ303" s="392"/>
      <c r="IR303" s="392"/>
      <c r="IS303" s="392"/>
      <c r="IT303" s="392"/>
      <c r="IU303" s="392"/>
      <c r="IV303" s="392"/>
    </row>
    <row r="304" spans="1:256" ht="13.5" thickBot="1">
      <c r="A304" s="392"/>
      <c r="B304" s="449"/>
      <c r="C304" s="449"/>
      <c r="D304" s="449"/>
      <c r="E304" s="449"/>
      <c r="F304" s="449"/>
      <c r="G304" s="449"/>
      <c r="H304" s="392"/>
      <c r="I304" s="392"/>
      <c r="J304" s="392"/>
      <c r="K304" s="392"/>
      <c r="L304" s="392"/>
      <c r="M304" s="392"/>
      <c r="N304" s="392"/>
      <c r="O304" s="392"/>
      <c r="P304" s="392"/>
      <c r="Q304" s="392"/>
      <c r="R304" s="392"/>
      <c r="S304" s="392"/>
      <c r="T304" s="392"/>
      <c r="U304" s="392"/>
      <c r="V304" s="392"/>
      <c r="W304" s="392"/>
      <c r="X304" s="392"/>
      <c r="Y304" s="392"/>
      <c r="Z304" s="392"/>
      <c r="AA304" s="392"/>
      <c r="AB304" s="392"/>
      <c r="AC304" s="392"/>
      <c r="AD304" s="392"/>
      <c r="AE304" s="392"/>
      <c r="AF304" s="392"/>
      <c r="AG304" s="392"/>
      <c r="AH304" s="392"/>
      <c r="AI304" s="392"/>
      <c r="AJ304" s="392"/>
      <c r="AK304" s="392"/>
      <c r="AL304" s="392"/>
      <c r="AM304" s="392"/>
      <c r="AN304" s="392"/>
      <c r="AO304" s="392"/>
      <c r="AP304" s="392"/>
      <c r="AQ304" s="392"/>
      <c r="AR304" s="392"/>
      <c r="AS304" s="392"/>
      <c r="AT304" s="392"/>
      <c r="AU304" s="392"/>
      <c r="AV304" s="392"/>
      <c r="AW304" s="392"/>
      <c r="AX304" s="392"/>
      <c r="AY304" s="392"/>
      <c r="AZ304" s="392"/>
      <c r="BA304" s="392"/>
      <c r="BB304" s="392"/>
      <c r="BC304" s="392"/>
      <c r="BD304" s="392"/>
      <c r="BE304" s="392"/>
      <c r="BF304" s="392"/>
      <c r="BG304" s="392"/>
      <c r="BH304" s="392"/>
      <c r="BI304" s="392"/>
      <c r="BJ304" s="392"/>
      <c r="BK304" s="392"/>
      <c r="BL304" s="392"/>
      <c r="BM304" s="392"/>
      <c r="BN304" s="392"/>
      <c r="BO304" s="392"/>
      <c r="BP304" s="392"/>
      <c r="BQ304" s="392"/>
      <c r="BR304" s="392"/>
      <c r="BS304" s="392"/>
      <c r="BT304" s="392"/>
      <c r="BU304" s="392"/>
      <c r="BV304" s="392"/>
      <c r="BW304" s="392"/>
      <c r="BX304" s="392"/>
      <c r="BY304" s="392"/>
      <c r="BZ304" s="392"/>
      <c r="CA304" s="392"/>
      <c r="CB304" s="392"/>
      <c r="CC304" s="392"/>
      <c r="CD304" s="392"/>
      <c r="CE304" s="392"/>
      <c r="CF304" s="392"/>
      <c r="CG304" s="392"/>
      <c r="CH304" s="392"/>
      <c r="CI304" s="392"/>
      <c r="CJ304" s="392"/>
      <c r="CK304" s="392"/>
      <c r="CL304" s="392"/>
      <c r="CM304" s="392"/>
      <c r="CN304" s="392"/>
      <c r="CO304" s="392"/>
      <c r="CP304" s="392"/>
      <c r="CQ304" s="392"/>
      <c r="CR304" s="392"/>
      <c r="CS304" s="392"/>
      <c r="CT304" s="392"/>
      <c r="CU304" s="392"/>
      <c r="CV304" s="392"/>
      <c r="CW304" s="392"/>
      <c r="CX304" s="392"/>
      <c r="CY304" s="392"/>
      <c r="CZ304" s="392"/>
      <c r="DA304" s="392"/>
      <c r="DB304" s="392"/>
      <c r="DC304" s="392"/>
      <c r="DD304" s="392"/>
      <c r="DE304" s="392"/>
      <c r="DF304" s="392"/>
      <c r="DG304" s="392"/>
      <c r="DH304" s="392"/>
      <c r="DI304" s="392"/>
      <c r="DJ304" s="392"/>
      <c r="DK304" s="392"/>
      <c r="DL304" s="392"/>
      <c r="DM304" s="392"/>
      <c r="DN304" s="392"/>
      <c r="DO304" s="392"/>
      <c r="DP304" s="392"/>
      <c r="DQ304" s="392"/>
      <c r="DR304" s="392"/>
      <c r="DS304" s="392"/>
      <c r="DT304" s="392"/>
      <c r="DU304" s="392"/>
      <c r="DV304" s="392"/>
      <c r="DW304" s="392"/>
      <c r="DX304" s="392"/>
      <c r="DY304" s="392"/>
      <c r="DZ304" s="392"/>
      <c r="EA304" s="392"/>
      <c r="EB304" s="392"/>
      <c r="EC304" s="392"/>
      <c r="ED304" s="392"/>
      <c r="EE304" s="392"/>
      <c r="EF304" s="392"/>
      <c r="EG304" s="392"/>
      <c r="EH304" s="392"/>
      <c r="EI304" s="392"/>
      <c r="EJ304" s="392"/>
      <c r="EK304" s="392"/>
      <c r="EL304" s="392"/>
      <c r="EM304" s="392"/>
      <c r="EN304" s="392"/>
      <c r="EO304" s="392"/>
      <c r="EP304" s="392"/>
      <c r="EQ304" s="392"/>
      <c r="ER304" s="392"/>
      <c r="ES304" s="392"/>
      <c r="ET304" s="392"/>
      <c r="EU304" s="392"/>
      <c r="EV304" s="392"/>
      <c r="EW304" s="392"/>
      <c r="EX304" s="392"/>
      <c r="EY304" s="392"/>
      <c r="EZ304" s="392"/>
      <c r="FA304" s="392"/>
      <c r="FB304" s="392"/>
      <c r="FC304" s="392"/>
      <c r="FD304" s="392"/>
      <c r="FE304" s="392"/>
      <c r="FF304" s="392"/>
      <c r="FG304" s="392"/>
      <c r="FH304" s="392"/>
      <c r="FI304" s="392"/>
      <c r="FJ304" s="392"/>
      <c r="FK304" s="392"/>
      <c r="FL304" s="392"/>
      <c r="FM304" s="392"/>
      <c r="FN304" s="392"/>
      <c r="FO304" s="392"/>
      <c r="FP304" s="392"/>
      <c r="FQ304" s="392"/>
      <c r="FR304" s="392"/>
      <c r="FS304" s="392"/>
      <c r="FT304" s="392"/>
      <c r="FU304" s="392"/>
      <c r="FV304" s="392"/>
      <c r="FW304" s="392"/>
      <c r="FX304" s="392"/>
      <c r="FY304" s="392"/>
      <c r="FZ304" s="392"/>
      <c r="GA304" s="392"/>
      <c r="GB304" s="392"/>
      <c r="GC304" s="392"/>
      <c r="GD304" s="392"/>
      <c r="GE304" s="392"/>
      <c r="GF304" s="392"/>
      <c r="GG304" s="392"/>
      <c r="GH304" s="392"/>
      <c r="GI304" s="392"/>
      <c r="GJ304" s="392"/>
      <c r="GK304" s="392"/>
      <c r="GL304" s="392"/>
      <c r="GM304" s="392"/>
      <c r="GN304" s="392"/>
      <c r="GO304" s="392"/>
      <c r="GP304" s="392"/>
      <c r="GQ304" s="392"/>
      <c r="GR304" s="392"/>
      <c r="GS304" s="392"/>
      <c r="GT304" s="392"/>
      <c r="GU304" s="392"/>
      <c r="GV304" s="392"/>
      <c r="GW304" s="392"/>
      <c r="GX304" s="392"/>
      <c r="GY304" s="392"/>
      <c r="GZ304" s="392"/>
      <c r="HA304" s="392"/>
      <c r="HB304" s="392"/>
      <c r="HC304" s="392"/>
      <c r="HD304" s="392"/>
      <c r="HE304" s="392"/>
      <c r="HF304" s="392"/>
      <c r="HG304" s="392"/>
      <c r="HH304" s="392"/>
      <c r="HI304" s="392"/>
      <c r="HJ304" s="392"/>
      <c r="HK304" s="392"/>
      <c r="HL304" s="392"/>
      <c r="HM304" s="392"/>
      <c r="HN304" s="392"/>
      <c r="HO304" s="392"/>
      <c r="HP304" s="392"/>
      <c r="HQ304" s="392"/>
      <c r="HR304" s="392"/>
      <c r="HS304" s="392"/>
      <c r="HT304" s="392"/>
      <c r="HU304" s="392"/>
      <c r="HV304" s="392"/>
      <c r="HW304" s="392"/>
      <c r="HX304" s="392"/>
      <c r="HY304" s="392"/>
      <c r="HZ304" s="392"/>
      <c r="IA304" s="392"/>
      <c r="IB304" s="392"/>
      <c r="IC304" s="392"/>
      <c r="ID304" s="392"/>
      <c r="IE304" s="392"/>
      <c r="IF304" s="392"/>
      <c r="IG304" s="392"/>
      <c r="IH304" s="392"/>
      <c r="II304" s="392"/>
      <c r="IJ304" s="392"/>
      <c r="IK304" s="392"/>
      <c r="IL304" s="392"/>
      <c r="IM304" s="392"/>
      <c r="IN304" s="392"/>
      <c r="IO304" s="392"/>
      <c r="IP304" s="392"/>
      <c r="IQ304" s="392"/>
      <c r="IR304" s="392"/>
      <c r="IS304" s="392"/>
      <c r="IT304" s="392"/>
      <c r="IU304" s="392"/>
      <c r="IV304" s="392"/>
    </row>
    <row r="305" spans="1:256" ht="15.75" thickBot="1">
      <c r="A305" s="392"/>
      <c r="B305" s="466"/>
      <c r="C305" s="577" t="s">
        <v>597</v>
      </c>
      <c r="D305" s="467"/>
      <c r="E305" s="468"/>
      <c r="F305" s="467"/>
      <c r="G305" s="469"/>
      <c r="H305" s="392"/>
      <c r="I305" s="392"/>
      <c r="J305" s="392"/>
      <c r="K305" s="392"/>
      <c r="L305" s="392"/>
      <c r="M305" s="392"/>
      <c r="N305" s="392"/>
      <c r="O305" s="392"/>
      <c r="P305" s="392"/>
      <c r="Q305" s="392"/>
      <c r="R305" s="392"/>
      <c r="S305" s="392"/>
      <c r="T305" s="392"/>
      <c r="U305" s="392"/>
      <c r="V305" s="392"/>
      <c r="W305" s="392"/>
      <c r="X305" s="392"/>
      <c r="Y305" s="392"/>
      <c r="Z305" s="392"/>
      <c r="AA305" s="392"/>
      <c r="AB305" s="392"/>
      <c r="AC305" s="392"/>
      <c r="AD305" s="392"/>
      <c r="AE305" s="392"/>
      <c r="AF305" s="392"/>
      <c r="AG305" s="392"/>
      <c r="AH305" s="392"/>
      <c r="AI305" s="392"/>
      <c r="AJ305" s="392"/>
      <c r="AK305" s="392"/>
      <c r="AL305" s="392"/>
      <c r="AM305" s="392"/>
      <c r="AN305" s="392"/>
      <c r="AO305" s="392"/>
      <c r="AP305" s="392"/>
      <c r="AQ305" s="392"/>
      <c r="AR305" s="392"/>
      <c r="AS305" s="392"/>
      <c r="AT305" s="392"/>
      <c r="AU305" s="392"/>
      <c r="AV305" s="392"/>
      <c r="AW305" s="392"/>
      <c r="AX305" s="392"/>
      <c r="AY305" s="392"/>
      <c r="AZ305" s="392"/>
      <c r="BA305" s="392"/>
      <c r="BB305" s="392"/>
      <c r="BC305" s="392"/>
      <c r="BD305" s="392"/>
      <c r="BE305" s="392"/>
      <c r="BF305" s="392"/>
      <c r="BG305" s="392"/>
      <c r="BH305" s="392"/>
      <c r="BI305" s="392"/>
      <c r="BJ305" s="392"/>
      <c r="BK305" s="392"/>
      <c r="BL305" s="392"/>
      <c r="BM305" s="392"/>
      <c r="BN305" s="392"/>
      <c r="BO305" s="392"/>
      <c r="BP305" s="392"/>
      <c r="BQ305" s="392"/>
      <c r="BR305" s="392"/>
      <c r="BS305" s="392"/>
      <c r="BT305" s="392"/>
      <c r="BU305" s="392"/>
      <c r="BV305" s="392"/>
      <c r="BW305" s="392"/>
      <c r="BX305" s="392"/>
      <c r="BY305" s="392"/>
      <c r="BZ305" s="392"/>
      <c r="CA305" s="392"/>
      <c r="CB305" s="392"/>
      <c r="CC305" s="392"/>
      <c r="CD305" s="392"/>
      <c r="CE305" s="392"/>
      <c r="CF305" s="392"/>
      <c r="CG305" s="392"/>
      <c r="CH305" s="392"/>
      <c r="CI305" s="392"/>
      <c r="CJ305" s="392"/>
      <c r="CK305" s="392"/>
      <c r="CL305" s="392"/>
      <c r="CM305" s="392"/>
      <c r="CN305" s="392"/>
      <c r="CO305" s="392"/>
      <c r="CP305" s="392"/>
      <c r="CQ305" s="392"/>
      <c r="CR305" s="392"/>
      <c r="CS305" s="392"/>
      <c r="CT305" s="392"/>
      <c r="CU305" s="392"/>
      <c r="CV305" s="392"/>
      <c r="CW305" s="392"/>
      <c r="CX305" s="392"/>
      <c r="CY305" s="392"/>
      <c r="CZ305" s="392"/>
      <c r="DA305" s="392"/>
      <c r="DB305" s="392"/>
      <c r="DC305" s="392"/>
      <c r="DD305" s="392"/>
      <c r="DE305" s="392"/>
      <c r="DF305" s="392"/>
      <c r="DG305" s="392"/>
      <c r="DH305" s="392"/>
      <c r="DI305" s="392"/>
      <c r="DJ305" s="392"/>
      <c r="DK305" s="392"/>
      <c r="DL305" s="392"/>
      <c r="DM305" s="392"/>
      <c r="DN305" s="392"/>
      <c r="DO305" s="392"/>
      <c r="DP305" s="392"/>
      <c r="DQ305" s="392"/>
      <c r="DR305" s="392"/>
      <c r="DS305" s="392"/>
      <c r="DT305" s="392"/>
      <c r="DU305" s="392"/>
      <c r="DV305" s="392"/>
      <c r="DW305" s="392"/>
      <c r="DX305" s="392"/>
      <c r="DY305" s="392"/>
      <c r="DZ305" s="392"/>
      <c r="EA305" s="392"/>
      <c r="EB305" s="392"/>
      <c r="EC305" s="392"/>
      <c r="ED305" s="392"/>
      <c r="EE305" s="392"/>
      <c r="EF305" s="392"/>
      <c r="EG305" s="392"/>
      <c r="EH305" s="392"/>
      <c r="EI305" s="392"/>
      <c r="EJ305" s="392"/>
      <c r="EK305" s="392"/>
      <c r="EL305" s="392"/>
      <c r="EM305" s="392"/>
      <c r="EN305" s="392"/>
      <c r="EO305" s="392"/>
      <c r="EP305" s="392"/>
      <c r="EQ305" s="392"/>
      <c r="ER305" s="392"/>
      <c r="ES305" s="392"/>
      <c r="ET305" s="392"/>
      <c r="EU305" s="392"/>
      <c r="EV305" s="392"/>
      <c r="EW305" s="392"/>
      <c r="EX305" s="392"/>
      <c r="EY305" s="392"/>
      <c r="EZ305" s="392"/>
      <c r="FA305" s="392"/>
      <c r="FB305" s="392"/>
      <c r="FC305" s="392"/>
      <c r="FD305" s="392"/>
      <c r="FE305" s="392"/>
      <c r="FF305" s="392"/>
      <c r="FG305" s="392"/>
      <c r="FH305" s="392"/>
      <c r="FI305" s="392"/>
      <c r="FJ305" s="392"/>
      <c r="FK305" s="392"/>
      <c r="FL305" s="392"/>
      <c r="FM305" s="392"/>
      <c r="FN305" s="392"/>
      <c r="FO305" s="392"/>
      <c r="FP305" s="392"/>
      <c r="FQ305" s="392"/>
      <c r="FR305" s="392"/>
      <c r="FS305" s="392"/>
      <c r="FT305" s="392"/>
      <c r="FU305" s="392"/>
      <c r="FV305" s="392"/>
      <c r="FW305" s="392"/>
      <c r="FX305" s="392"/>
      <c r="FY305" s="392"/>
      <c r="FZ305" s="392"/>
      <c r="GA305" s="392"/>
      <c r="GB305" s="392"/>
      <c r="GC305" s="392"/>
      <c r="GD305" s="392"/>
      <c r="GE305" s="392"/>
      <c r="GF305" s="392"/>
      <c r="GG305" s="392"/>
      <c r="GH305" s="392"/>
      <c r="GI305" s="392"/>
      <c r="GJ305" s="392"/>
      <c r="GK305" s="392"/>
      <c r="GL305" s="392"/>
      <c r="GM305" s="392"/>
      <c r="GN305" s="392"/>
      <c r="GO305" s="392"/>
      <c r="GP305" s="392"/>
      <c r="GQ305" s="392"/>
      <c r="GR305" s="392"/>
      <c r="GS305" s="392"/>
      <c r="GT305" s="392"/>
      <c r="GU305" s="392"/>
      <c r="GV305" s="392"/>
      <c r="GW305" s="392"/>
      <c r="GX305" s="392"/>
      <c r="GY305" s="392"/>
      <c r="GZ305" s="392"/>
      <c r="HA305" s="392"/>
      <c r="HB305" s="392"/>
      <c r="HC305" s="392"/>
      <c r="HD305" s="392"/>
      <c r="HE305" s="392"/>
      <c r="HF305" s="392"/>
      <c r="HG305" s="392"/>
      <c r="HH305" s="392"/>
      <c r="HI305" s="392"/>
      <c r="HJ305" s="392"/>
      <c r="HK305" s="392"/>
      <c r="HL305" s="392"/>
      <c r="HM305" s="392"/>
      <c r="HN305" s="392"/>
      <c r="HO305" s="392"/>
      <c r="HP305" s="392"/>
      <c r="HQ305" s="392"/>
      <c r="HR305" s="392"/>
      <c r="HS305" s="392"/>
      <c r="HT305" s="392"/>
      <c r="HU305" s="392"/>
      <c r="HV305" s="392"/>
      <c r="HW305" s="392"/>
      <c r="HX305" s="392"/>
      <c r="HY305" s="392"/>
      <c r="HZ305" s="392"/>
      <c r="IA305" s="392"/>
      <c r="IB305" s="392"/>
      <c r="IC305" s="392"/>
      <c r="ID305" s="392"/>
      <c r="IE305" s="392"/>
      <c r="IF305" s="392"/>
      <c r="IG305" s="392"/>
      <c r="IH305" s="392"/>
      <c r="II305" s="392"/>
      <c r="IJ305" s="392"/>
      <c r="IK305" s="392"/>
      <c r="IL305" s="392"/>
      <c r="IM305" s="392"/>
      <c r="IN305" s="392"/>
      <c r="IO305" s="392"/>
      <c r="IP305" s="392"/>
      <c r="IQ305" s="392"/>
      <c r="IR305" s="392"/>
      <c r="IS305" s="392"/>
      <c r="IT305" s="392"/>
      <c r="IU305" s="392"/>
      <c r="IV305" s="392"/>
    </row>
    <row r="306" spans="1:256" ht="13.5" thickBot="1">
      <c r="A306" s="392"/>
      <c r="B306" s="2307" t="s">
        <v>598</v>
      </c>
      <c r="C306" s="2308"/>
      <c r="D306" s="576" t="s">
        <v>599</v>
      </c>
      <c r="E306" s="576" t="s">
        <v>600</v>
      </c>
      <c r="F306" s="576" t="s">
        <v>601</v>
      </c>
      <c r="G306" s="470" t="s">
        <v>640</v>
      </c>
      <c r="H306" s="392"/>
      <c r="I306" s="392"/>
      <c r="J306" s="392"/>
      <c r="K306" s="392"/>
      <c r="L306" s="392"/>
      <c r="M306" s="392"/>
      <c r="N306" s="392"/>
      <c r="O306" s="392"/>
      <c r="P306" s="392"/>
      <c r="Q306" s="392"/>
      <c r="R306" s="392"/>
      <c r="S306" s="392"/>
      <c r="T306" s="392"/>
      <c r="U306" s="392"/>
      <c r="V306" s="392"/>
      <c r="W306" s="392"/>
      <c r="X306" s="392"/>
      <c r="Y306" s="392"/>
      <c r="Z306" s="392"/>
      <c r="AA306" s="392"/>
      <c r="AB306" s="392"/>
      <c r="AC306" s="392"/>
      <c r="AD306" s="392"/>
      <c r="AE306" s="392"/>
      <c r="AF306" s="392"/>
      <c r="AG306" s="392"/>
      <c r="AH306" s="392"/>
      <c r="AI306" s="392"/>
      <c r="AJ306" s="392"/>
      <c r="AK306" s="392"/>
      <c r="AL306" s="392"/>
      <c r="AM306" s="392"/>
      <c r="AN306" s="392"/>
      <c r="AO306" s="392"/>
      <c r="AP306" s="392"/>
      <c r="AQ306" s="392"/>
      <c r="AR306" s="392"/>
      <c r="AS306" s="392"/>
      <c r="AT306" s="392"/>
      <c r="AU306" s="392"/>
      <c r="AV306" s="392"/>
      <c r="AW306" s="392"/>
      <c r="AX306" s="392"/>
      <c r="AY306" s="392"/>
      <c r="AZ306" s="392"/>
      <c r="BA306" s="392"/>
      <c r="BB306" s="392"/>
      <c r="BC306" s="392"/>
      <c r="BD306" s="392"/>
      <c r="BE306" s="392"/>
      <c r="BF306" s="392"/>
      <c r="BG306" s="392"/>
      <c r="BH306" s="392"/>
      <c r="BI306" s="392"/>
      <c r="BJ306" s="392"/>
      <c r="BK306" s="392"/>
      <c r="BL306" s="392"/>
      <c r="BM306" s="392"/>
      <c r="BN306" s="392"/>
      <c r="BO306" s="392"/>
      <c r="BP306" s="392"/>
      <c r="BQ306" s="392"/>
      <c r="BR306" s="392"/>
      <c r="BS306" s="392"/>
      <c r="BT306" s="392"/>
      <c r="BU306" s="392"/>
      <c r="BV306" s="392"/>
      <c r="BW306" s="392"/>
      <c r="BX306" s="392"/>
      <c r="BY306" s="392"/>
      <c r="BZ306" s="392"/>
      <c r="CA306" s="392"/>
      <c r="CB306" s="392"/>
      <c r="CC306" s="392"/>
      <c r="CD306" s="392"/>
      <c r="CE306" s="392"/>
      <c r="CF306" s="392"/>
      <c r="CG306" s="392"/>
      <c r="CH306" s="392"/>
      <c r="CI306" s="392"/>
      <c r="CJ306" s="392"/>
      <c r="CK306" s="392"/>
      <c r="CL306" s="392"/>
      <c r="CM306" s="392"/>
      <c r="CN306" s="392"/>
      <c r="CO306" s="392"/>
      <c r="CP306" s="392"/>
      <c r="CQ306" s="392"/>
      <c r="CR306" s="392"/>
      <c r="CS306" s="392"/>
      <c r="CT306" s="392"/>
      <c r="CU306" s="392"/>
      <c r="CV306" s="392"/>
      <c r="CW306" s="392"/>
      <c r="CX306" s="392"/>
      <c r="CY306" s="392"/>
      <c r="CZ306" s="392"/>
      <c r="DA306" s="392"/>
      <c r="DB306" s="392"/>
      <c r="DC306" s="392"/>
      <c r="DD306" s="392"/>
      <c r="DE306" s="392"/>
      <c r="DF306" s="392"/>
      <c r="DG306" s="392"/>
      <c r="DH306" s="392"/>
      <c r="DI306" s="392"/>
      <c r="DJ306" s="392"/>
      <c r="DK306" s="392"/>
      <c r="DL306" s="392"/>
      <c r="DM306" s="392"/>
      <c r="DN306" s="392"/>
      <c r="DO306" s="392"/>
      <c r="DP306" s="392"/>
      <c r="DQ306" s="392"/>
      <c r="DR306" s="392"/>
      <c r="DS306" s="392"/>
      <c r="DT306" s="392"/>
      <c r="DU306" s="392"/>
      <c r="DV306" s="392"/>
      <c r="DW306" s="392"/>
      <c r="DX306" s="392"/>
      <c r="DY306" s="392"/>
      <c r="DZ306" s="392"/>
      <c r="EA306" s="392"/>
      <c r="EB306" s="392"/>
      <c r="EC306" s="392"/>
      <c r="ED306" s="392"/>
      <c r="EE306" s="392"/>
      <c r="EF306" s="392"/>
      <c r="EG306" s="392"/>
      <c r="EH306" s="392"/>
      <c r="EI306" s="392"/>
      <c r="EJ306" s="392"/>
      <c r="EK306" s="392"/>
      <c r="EL306" s="392"/>
      <c r="EM306" s="392"/>
      <c r="EN306" s="392"/>
      <c r="EO306" s="392"/>
      <c r="EP306" s="392"/>
      <c r="EQ306" s="392"/>
      <c r="ER306" s="392"/>
      <c r="ES306" s="392"/>
      <c r="ET306" s="392"/>
      <c r="EU306" s="392"/>
      <c r="EV306" s="392"/>
      <c r="EW306" s="392"/>
      <c r="EX306" s="392"/>
      <c r="EY306" s="392"/>
      <c r="EZ306" s="392"/>
      <c r="FA306" s="392"/>
      <c r="FB306" s="392"/>
      <c r="FC306" s="392"/>
      <c r="FD306" s="392"/>
      <c r="FE306" s="392"/>
      <c r="FF306" s="392"/>
      <c r="FG306" s="392"/>
      <c r="FH306" s="392"/>
      <c r="FI306" s="392"/>
      <c r="FJ306" s="392"/>
      <c r="FK306" s="392"/>
      <c r="FL306" s="392"/>
      <c r="FM306" s="392"/>
      <c r="FN306" s="392"/>
      <c r="FO306" s="392"/>
      <c r="FP306" s="392"/>
      <c r="FQ306" s="392"/>
      <c r="FR306" s="392"/>
      <c r="FS306" s="392"/>
      <c r="FT306" s="392"/>
      <c r="FU306" s="392"/>
      <c r="FV306" s="392"/>
      <c r="FW306" s="392"/>
      <c r="FX306" s="392"/>
      <c r="FY306" s="392"/>
      <c r="FZ306" s="392"/>
      <c r="GA306" s="392"/>
      <c r="GB306" s="392"/>
      <c r="GC306" s="392"/>
      <c r="GD306" s="392"/>
      <c r="GE306" s="392"/>
      <c r="GF306" s="392"/>
      <c r="GG306" s="392"/>
      <c r="GH306" s="392"/>
      <c r="GI306" s="392"/>
      <c r="GJ306" s="392"/>
      <c r="GK306" s="392"/>
      <c r="GL306" s="392"/>
      <c r="GM306" s="392"/>
      <c r="GN306" s="392"/>
      <c r="GO306" s="392"/>
      <c r="GP306" s="392"/>
      <c r="GQ306" s="392"/>
      <c r="GR306" s="392"/>
      <c r="GS306" s="392"/>
      <c r="GT306" s="392"/>
      <c r="GU306" s="392"/>
      <c r="GV306" s="392"/>
      <c r="GW306" s="392"/>
      <c r="GX306" s="392"/>
      <c r="GY306" s="392"/>
      <c r="GZ306" s="392"/>
      <c r="HA306" s="392"/>
      <c r="HB306" s="392"/>
      <c r="HC306" s="392"/>
      <c r="HD306" s="392"/>
      <c r="HE306" s="392"/>
      <c r="HF306" s="392"/>
      <c r="HG306" s="392"/>
      <c r="HH306" s="392"/>
      <c r="HI306" s="392"/>
      <c r="HJ306" s="392"/>
      <c r="HK306" s="392"/>
      <c r="HL306" s="392"/>
      <c r="HM306" s="392"/>
      <c r="HN306" s="392"/>
      <c r="HO306" s="392"/>
      <c r="HP306" s="392"/>
      <c r="HQ306" s="392"/>
      <c r="HR306" s="392"/>
      <c r="HS306" s="392"/>
      <c r="HT306" s="392"/>
      <c r="HU306" s="392"/>
      <c r="HV306" s="392"/>
      <c r="HW306" s="392"/>
      <c r="HX306" s="392"/>
      <c r="HY306" s="392"/>
      <c r="HZ306" s="392"/>
      <c r="IA306" s="392"/>
      <c r="IB306" s="392"/>
      <c r="IC306" s="392"/>
      <c r="ID306" s="392"/>
      <c r="IE306" s="392"/>
      <c r="IF306" s="392"/>
      <c r="IG306" s="392"/>
      <c r="IH306" s="392"/>
      <c r="II306" s="392"/>
      <c r="IJ306" s="392"/>
      <c r="IK306" s="392"/>
      <c r="IL306" s="392"/>
      <c r="IM306" s="392"/>
      <c r="IN306" s="392"/>
      <c r="IO306" s="392"/>
      <c r="IP306" s="392"/>
      <c r="IQ306" s="392"/>
      <c r="IR306" s="392"/>
      <c r="IS306" s="392"/>
      <c r="IT306" s="392"/>
      <c r="IU306" s="392"/>
      <c r="IV306" s="392"/>
    </row>
    <row r="307" spans="1:256">
      <c r="A307" s="392"/>
      <c r="B307" s="471" t="s">
        <v>188</v>
      </c>
      <c r="C307" s="472" t="s">
        <v>641</v>
      </c>
      <c r="D307" s="473">
        <v>1840</v>
      </c>
      <c r="E307" s="474">
        <v>1226.25</v>
      </c>
      <c r="F307" s="475">
        <v>1990</v>
      </c>
      <c r="G307" s="476">
        <f>MEDIAN(D307:F307)</f>
        <v>1840</v>
      </c>
      <c r="H307" s="392"/>
      <c r="I307" s="392"/>
      <c r="J307" s="392"/>
      <c r="K307" s="392"/>
      <c r="L307" s="392"/>
      <c r="M307" s="392"/>
      <c r="N307" s="392"/>
      <c r="O307" s="392"/>
      <c r="P307" s="392"/>
      <c r="Q307" s="392"/>
      <c r="R307" s="392"/>
      <c r="S307" s="392"/>
      <c r="T307" s="392"/>
      <c r="U307" s="392"/>
      <c r="V307" s="392"/>
      <c r="W307" s="392"/>
      <c r="X307" s="392"/>
      <c r="Y307" s="392"/>
      <c r="Z307" s="392"/>
      <c r="AA307" s="392"/>
      <c r="AB307" s="392"/>
      <c r="AC307" s="392"/>
      <c r="AD307" s="392"/>
      <c r="AE307" s="392"/>
      <c r="AF307" s="392"/>
      <c r="AG307" s="392"/>
      <c r="AH307" s="392"/>
      <c r="AI307" s="392"/>
      <c r="AJ307" s="392"/>
      <c r="AK307" s="392"/>
      <c r="AL307" s="392"/>
      <c r="AM307" s="392"/>
      <c r="AN307" s="392"/>
      <c r="AO307" s="392"/>
      <c r="AP307" s="392"/>
      <c r="AQ307" s="392"/>
      <c r="AR307" s="392"/>
      <c r="AS307" s="392"/>
      <c r="AT307" s="392"/>
      <c r="AU307" s="392"/>
      <c r="AV307" s="392"/>
      <c r="AW307" s="392"/>
      <c r="AX307" s="392"/>
      <c r="AY307" s="392"/>
      <c r="AZ307" s="392"/>
      <c r="BA307" s="392"/>
      <c r="BB307" s="392"/>
      <c r="BC307" s="392"/>
      <c r="BD307" s="392"/>
      <c r="BE307" s="392"/>
      <c r="BF307" s="392"/>
      <c r="BG307" s="392"/>
      <c r="BH307" s="392"/>
      <c r="BI307" s="392"/>
      <c r="BJ307" s="392"/>
      <c r="BK307" s="392"/>
      <c r="BL307" s="392"/>
      <c r="BM307" s="392"/>
      <c r="BN307" s="392"/>
      <c r="BO307" s="392"/>
      <c r="BP307" s="392"/>
      <c r="BQ307" s="392"/>
      <c r="BR307" s="392"/>
      <c r="BS307" s="392"/>
      <c r="BT307" s="392"/>
      <c r="BU307" s="392"/>
      <c r="BV307" s="392"/>
      <c r="BW307" s="392"/>
      <c r="BX307" s="392"/>
      <c r="BY307" s="392"/>
      <c r="BZ307" s="392"/>
      <c r="CA307" s="392"/>
      <c r="CB307" s="392"/>
      <c r="CC307" s="392"/>
      <c r="CD307" s="392"/>
      <c r="CE307" s="392"/>
      <c r="CF307" s="392"/>
      <c r="CG307" s="392"/>
      <c r="CH307" s="392"/>
      <c r="CI307" s="392"/>
      <c r="CJ307" s="392"/>
      <c r="CK307" s="392"/>
      <c r="CL307" s="392"/>
      <c r="CM307" s="392"/>
      <c r="CN307" s="392"/>
      <c r="CO307" s="392"/>
      <c r="CP307" s="392"/>
      <c r="CQ307" s="392"/>
      <c r="CR307" s="392"/>
      <c r="CS307" s="392"/>
      <c r="CT307" s="392"/>
      <c r="CU307" s="392"/>
      <c r="CV307" s="392"/>
      <c r="CW307" s="392"/>
      <c r="CX307" s="392"/>
      <c r="CY307" s="392"/>
      <c r="CZ307" s="392"/>
      <c r="DA307" s="392"/>
      <c r="DB307" s="392"/>
      <c r="DC307" s="392"/>
      <c r="DD307" s="392"/>
      <c r="DE307" s="392"/>
      <c r="DF307" s="392"/>
      <c r="DG307" s="392"/>
      <c r="DH307" s="392"/>
      <c r="DI307" s="392"/>
      <c r="DJ307" s="392"/>
      <c r="DK307" s="392"/>
      <c r="DL307" s="392"/>
      <c r="DM307" s="392"/>
      <c r="DN307" s="392"/>
      <c r="DO307" s="392"/>
      <c r="DP307" s="392"/>
      <c r="DQ307" s="392"/>
      <c r="DR307" s="392"/>
      <c r="DS307" s="392"/>
      <c r="DT307" s="392"/>
      <c r="DU307" s="392"/>
      <c r="DV307" s="392"/>
      <c r="DW307" s="392"/>
      <c r="DX307" s="392"/>
      <c r="DY307" s="392"/>
      <c r="DZ307" s="392"/>
      <c r="EA307" s="392"/>
      <c r="EB307" s="392"/>
      <c r="EC307" s="392"/>
      <c r="ED307" s="392"/>
      <c r="EE307" s="392"/>
      <c r="EF307" s="392"/>
      <c r="EG307" s="392"/>
      <c r="EH307" s="392"/>
      <c r="EI307" s="392"/>
      <c r="EJ307" s="392"/>
      <c r="EK307" s="392"/>
      <c r="EL307" s="392"/>
      <c r="EM307" s="392"/>
      <c r="EN307" s="392"/>
      <c r="EO307" s="392"/>
      <c r="EP307" s="392"/>
      <c r="EQ307" s="392"/>
      <c r="ER307" s="392"/>
      <c r="ES307" s="392"/>
      <c r="ET307" s="392"/>
      <c r="EU307" s="392"/>
      <c r="EV307" s="392"/>
      <c r="EW307" s="392"/>
      <c r="EX307" s="392"/>
      <c r="EY307" s="392"/>
      <c r="EZ307" s="392"/>
      <c r="FA307" s="392"/>
      <c r="FB307" s="392"/>
      <c r="FC307" s="392"/>
      <c r="FD307" s="392"/>
      <c r="FE307" s="392"/>
      <c r="FF307" s="392"/>
      <c r="FG307" s="392"/>
      <c r="FH307" s="392"/>
      <c r="FI307" s="392"/>
      <c r="FJ307" s="392"/>
      <c r="FK307" s="392"/>
      <c r="FL307" s="392"/>
      <c r="FM307" s="392"/>
      <c r="FN307" s="392"/>
      <c r="FO307" s="392"/>
      <c r="FP307" s="392"/>
      <c r="FQ307" s="392"/>
      <c r="FR307" s="392"/>
      <c r="FS307" s="392"/>
      <c r="FT307" s="392"/>
      <c r="FU307" s="392"/>
      <c r="FV307" s="392"/>
      <c r="FW307" s="392"/>
      <c r="FX307" s="392"/>
      <c r="FY307" s="392"/>
      <c r="FZ307" s="392"/>
      <c r="GA307" s="392"/>
      <c r="GB307" s="392"/>
      <c r="GC307" s="392"/>
      <c r="GD307" s="392"/>
      <c r="GE307" s="392"/>
      <c r="GF307" s="392"/>
      <c r="GG307" s="392"/>
      <c r="GH307" s="392"/>
      <c r="GI307" s="392"/>
      <c r="GJ307" s="392"/>
      <c r="GK307" s="392"/>
      <c r="GL307" s="392"/>
      <c r="GM307" s="392"/>
      <c r="GN307" s="392"/>
      <c r="GO307" s="392"/>
      <c r="GP307" s="392"/>
      <c r="GQ307" s="392"/>
      <c r="GR307" s="392"/>
      <c r="GS307" s="392"/>
      <c r="GT307" s="392"/>
      <c r="GU307" s="392"/>
      <c r="GV307" s="392"/>
      <c r="GW307" s="392"/>
      <c r="GX307" s="392"/>
      <c r="GY307" s="392"/>
      <c r="GZ307" s="392"/>
      <c r="HA307" s="392"/>
      <c r="HB307" s="392"/>
      <c r="HC307" s="392"/>
      <c r="HD307" s="392"/>
      <c r="HE307" s="392"/>
      <c r="HF307" s="392"/>
      <c r="HG307" s="392"/>
      <c r="HH307" s="392"/>
      <c r="HI307" s="392"/>
      <c r="HJ307" s="392"/>
      <c r="HK307" s="392"/>
      <c r="HL307" s="392"/>
      <c r="HM307" s="392"/>
      <c r="HN307" s="392"/>
      <c r="HO307" s="392"/>
      <c r="HP307" s="392"/>
      <c r="HQ307" s="392"/>
      <c r="HR307" s="392"/>
      <c r="HS307" s="392"/>
      <c r="HT307" s="392"/>
      <c r="HU307" s="392"/>
      <c r="HV307" s="392"/>
      <c r="HW307" s="392"/>
      <c r="HX307" s="392"/>
      <c r="HY307" s="392"/>
      <c r="HZ307" s="392"/>
      <c r="IA307" s="392"/>
      <c r="IB307" s="392"/>
      <c r="IC307" s="392"/>
      <c r="ID307" s="392"/>
      <c r="IE307" s="392"/>
      <c r="IF307" s="392"/>
      <c r="IG307" s="392"/>
      <c r="IH307" s="392"/>
      <c r="II307" s="392"/>
      <c r="IJ307" s="392"/>
      <c r="IK307" s="392"/>
      <c r="IL307" s="392"/>
      <c r="IM307" s="392"/>
      <c r="IN307" s="392"/>
      <c r="IO307" s="392"/>
      <c r="IP307" s="392"/>
      <c r="IQ307" s="392"/>
      <c r="IR307" s="392"/>
      <c r="IS307" s="392"/>
      <c r="IT307" s="392"/>
      <c r="IU307" s="392"/>
      <c r="IV307" s="392"/>
    </row>
    <row r="308" spans="1:256">
      <c r="A308" s="392"/>
      <c r="B308" s="477" t="s">
        <v>193</v>
      </c>
      <c r="C308" s="478" t="s">
        <v>642</v>
      </c>
      <c r="D308" s="479">
        <v>1040</v>
      </c>
      <c r="E308" s="480">
        <v>1185</v>
      </c>
      <c r="F308" s="481">
        <v>1890</v>
      </c>
      <c r="G308" s="476">
        <f>MEDIAN(D308:F308)</f>
        <v>1185</v>
      </c>
      <c r="H308" s="392"/>
      <c r="I308" s="392"/>
      <c r="J308" s="392"/>
      <c r="K308" s="392"/>
      <c r="L308" s="392"/>
      <c r="M308" s="392"/>
      <c r="N308" s="392"/>
      <c r="O308" s="392"/>
      <c r="P308" s="392"/>
      <c r="Q308" s="392"/>
      <c r="R308" s="392"/>
      <c r="S308" s="392"/>
      <c r="T308" s="392"/>
      <c r="U308" s="392"/>
      <c r="V308" s="392"/>
      <c r="W308" s="392"/>
      <c r="X308" s="392"/>
      <c r="Y308" s="392"/>
      <c r="Z308" s="392"/>
      <c r="AA308" s="392"/>
      <c r="AB308" s="392"/>
      <c r="AC308" s="392"/>
      <c r="AD308" s="392"/>
      <c r="AE308" s="392"/>
      <c r="AF308" s="392"/>
      <c r="AG308" s="392"/>
      <c r="AH308" s="392"/>
      <c r="AI308" s="392"/>
      <c r="AJ308" s="392"/>
      <c r="AK308" s="392"/>
      <c r="AL308" s="392"/>
      <c r="AM308" s="392"/>
      <c r="AN308" s="392"/>
      <c r="AO308" s="392"/>
      <c r="AP308" s="392"/>
      <c r="AQ308" s="392"/>
      <c r="AR308" s="392"/>
      <c r="AS308" s="392"/>
      <c r="AT308" s="392"/>
      <c r="AU308" s="392"/>
      <c r="AV308" s="392"/>
      <c r="AW308" s="392"/>
      <c r="AX308" s="392"/>
      <c r="AY308" s="392"/>
      <c r="AZ308" s="392"/>
      <c r="BA308" s="392"/>
      <c r="BB308" s="392"/>
      <c r="BC308" s="392"/>
      <c r="BD308" s="392"/>
      <c r="BE308" s="392"/>
      <c r="BF308" s="392"/>
      <c r="BG308" s="392"/>
      <c r="BH308" s="392"/>
      <c r="BI308" s="392"/>
      <c r="BJ308" s="392"/>
      <c r="BK308" s="392"/>
      <c r="BL308" s="392"/>
      <c r="BM308" s="392"/>
      <c r="BN308" s="392"/>
      <c r="BO308" s="392"/>
      <c r="BP308" s="392"/>
      <c r="BQ308" s="392"/>
      <c r="BR308" s="392"/>
      <c r="BS308" s="392"/>
      <c r="BT308" s="392"/>
      <c r="BU308" s="392"/>
      <c r="BV308" s="392"/>
      <c r="BW308" s="392"/>
      <c r="BX308" s="392"/>
      <c r="BY308" s="392"/>
      <c r="BZ308" s="392"/>
      <c r="CA308" s="392"/>
      <c r="CB308" s="392"/>
      <c r="CC308" s="392"/>
      <c r="CD308" s="392"/>
      <c r="CE308" s="392"/>
      <c r="CF308" s="392"/>
      <c r="CG308" s="392"/>
      <c r="CH308" s="392"/>
      <c r="CI308" s="392"/>
      <c r="CJ308" s="392"/>
      <c r="CK308" s="392"/>
      <c r="CL308" s="392"/>
      <c r="CM308" s="392"/>
      <c r="CN308" s="392"/>
      <c r="CO308" s="392"/>
      <c r="CP308" s="392"/>
      <c r="CQ308" s="392"/>
      <c r="CR308" s="392"/>
      <c r="CS308" s="392"/>
      <c r="CT308" s="392"/>
      <c r="CU308" s="392"/>
      <c r="CV308" s="392"/>
      <c r="CW308" s="392"/>
      <c r="CX308" s="392"/>
      <c r="CY308" s="392"/>
      <c r="CZ308" s="392"/>
      <c r="DA308" s="392"/>
      <c r="DB308" s="392"/>
      <c r="DC308" s="392"/>
      <c r="DD308" s="392"/>
      <c r="DE308" s="392"/>
      <c r="DF308" s="392"/>
      <c r="DG308" s="392"/>
      <c r="DH308" s="392"/>
      <c r="DI308" s="392"/>
      <c r="DJ308" s="392"/>
      <c r="DK308" s="392"/>
      <c r="DL308" s="392"/>
      <c r="DM308" s="392"/>
      <c r="DN308" s="392"/>
      <c r="DO308" s="392"/>
      <c r="DP308" s="392"/>
      <c r="DQ308" s="392"/>
      <c r="DR308" s="392"/>
      <c r="DS308" s="392"/>
      <c r="DT308" s="392"/>
      <c r="DU308" s="392"/>
      <c r="DV308" s="392"/>
      <c r="DW308" s="392"/>
      <c r="DX308" s="392"/>
      <c r="DY308" s="392"/>
      <c r="DZ308" s="392"/>
      <c r="EA308" s="392"/>
      <c r="EB308" s="392"/>
      <c r="EC308" s="392"/>
      <c r="ED308" s="392"/>
      <c r="EE308" s="392"/>
      <c r="EF308" s="392"/>
      <c r="EG308" s="392"/>
      <c r="EH308" s="392"/>
      <c r="EI308" s="392"/>
      <c r="EJ308" s="392"/>
      <c r="EK308" s="392"/>
      <c r="EL308" s="392"/>
      <c r="EM308" s="392"/>
      <c r="EN308" s="392"/>
      <c r="EO308" s="392"/>
      <c r="EP308" s="392"/>
      <c r="EQ308" s="392"/>
      <c r="ER308" s="392"/>
      <c r="ES308" s="392"/>
      <c r="ET308" s="392"/>
      <c r="EU308" s="392"/>
      <c r="EV308" s="392"/>
      <c r="EW308" s="392"/>
      <c r="EX308" s="392"/>
      <c r="EY308" s="392"/>
      <c r="EZ308" s="392"/>
      <c r="FA308" s="392"/>
      <c r="FB308" s="392"/>
      <c r="FC308" s="392"/>
      <c r="FD308" s="392"/>
      <c r="FE308" s="392"/>
      <c r="FF308" s="392"/>
      <c r="FG308" s="392"/>
      <c r="FH308" s="392"/>
      <c r="FI308" s="392"/>
      <c r="FJ308" s="392"/>
      <c r="FK308" s="392"/>
      <c r="FL308" s="392"/>
      <c r="FM308" s="392"/>
      <c r="FN308" s="392"/>
      <c r="FO308" s="392"/>
      <c r="FP308" s="392"/>
      <c r="FQ308" s="392"/>
      <c r="FR308" s="392"/>
      <c r="FS308" s="392"/>
      <c r="FT308" s="392"/>
      <c r="FU308" s="392"/>
      <c r="FV308" s="392"/>
      <c r="FW308" s="392"/>
      <c r="FX308" s="392"/>
      <c r="FY308" s="392"/>
      <c r="FZ308" s="392"/>
      <c r="GA308" s="392"/>
      <c r="GB308" s="392"/>
      <c r="GC308" s="392"/>
      <c r="GD308" s="392"/>
      <c r="GE308" s="392"/>
      <c r="GF308" s="392"/>
      <c r="GG308" s="392"/>
      <c r="GH308" s="392"/>
      <c r="GI308" s="392"/>
      <c r="GJ308" s="392"/>
      <c r="GK308" s="392"/>
      <c r="GL308" s="392"/>
      <c r="GM308" s="392"/>
      <c r="GN308" s="392"/>
      <c r="GO308" s="392"/>
      <c r="GP308" s="392"/>
      <c r="GQ308" s="392"/>
      <c r="GR308" s="392"/>
      <c r="GS308" s="392"/>
      <c r="GT308" s="392"/>
      <c r="GU308" s="392"/>
      <c r="GV308" s="392"/>
      <c r="GW308" s="392"/>
      <c r="GX308" s="392"/>
      <c r="GY308" s="392"/>
      <c r="GZ308" s="392"/>
      <c r="HA308" s="392"/>
      <c r="HB308" s="392"/>
      <c r="HC308" s="392"/>
      <c r="HD308" s="392"/>
      <c r="HE308" s="392"/>
      <c r="HF308" s="392"/>
      <c r="HG308" s="392"/>
      <c r="HH308" s="392"/>
      <c r="HI308" s="392"/>
      <c r="HJ308" s="392"/>
      <c r="HK308" s="392"/>
      <c r="HL308" s="392"/>
      <c r="HM308" s="392"/>
      <c r="HN308" s="392"/>
      <c r="HO308" s="392"/>
      <c r="HP308" s="392"/>
      <c r="HQ308" s="392"/>
      <c r="HR308" s="392"/>
      <c r="HS308" s="392"/>
      <c r="HT308" s="392"/>
      <c r="HU308" s="392"/>
      <c r="HV308" s="392"/>
      <c r="HW308" s="392"/>
      <c r="HX308" s="392"/>
      <c r="HY308" s="392"/>
      <c r="HZ308" s="392"/>
      <c r="IA308" s="392"/>
      <c r="IB308" s="392"/>
      <c r="IC308" s="392"/>
      <c r="ID308" s="392"/>
      <c r="IE308" s="392"/>
      <c r="IF308" s="392"/>
      <c r="IG308" s="392"/>
      <c r="IH308" s="392"/>
      <c r="II308" s="392"/>
      <c r="IJ308" s="392"/>
      <c r="IK308" s="392"/>
      <c r="IL308" s="392"/>
      <c r="IM308" s="392"/>
      <c r="IN308" s="392"/>
      <c r="IO308" s="392"/>
      <c r="IP308" s="392"/>
      <c r="IQ308" s="392"/>
      <c r="IR308" s="392"/>
      <c r="IS308" s="392"/>
      <c r="IT308" s="392"/>
      <c r="IU308" s="392"/>
      <c r="IV308" s="392"/>
    </row>
    <row r="309" spans="1:256">
      <c r="A309" s="392"/>
      <c r="B309" s="482" t="s">
        <v>604</v>
      </c>
      <c r="C309" s="478" t="s">
        <v>643</v>
      </c>
      <c r="D309" s="479">
        <v>1960</v>
      </c>
      <c r="E309" s="483">
        <v>2048.75</v>
      </c>
      <c r="F309" s="484">
        <v>3990</v>
      </c>
      <c r="G309" s="476">
        <f>MEDIAN(D309:F309)</f>
        <v>2048.75</v>
      </c>
      <c r="H309" s="392"/>
      <c r="I309" s="392"/>
      <c r="J309" s="392"/>
      <c r="K309" s="392"/>
      <c r="L309" s="392"/>
      <c r="M309" s="392"/>
      <c r="N309" s="392"/>
      <c r="O309" s="392"/>
      <c r="P309" s="392"/>
      <c r="Q309" s="392"/>
      <c r="R309" s="392"/>
      <c r="S309" s="392"/>
      <c r="T309" s="392"/>
      <c r="U309" s="392"/>
      <c r="V309" s="392"/>
      <c r="W309" s="392"/>
      <c r="X309" s="392"/>
      <c r="Y309" s="392"/>
      <c r="Z309" s="392"/>
      <c r="AA309" s="392"/>
      <c r="AB309" s="392"/>
      <c r="AC309" s="392"/>
      <c r="AD309" s="392"/>
      <c r="AE309" s="392"/>
      <c r="AF309" s="392"/>
      <c r="AG309" s="392"/>
      <c r="AH309" s="392"/>
      <c r="AI309" s="392"/>
      <c r="AJ309" s="392"/>
      <c r="AK309" s="392"/>
      <c r="AL309" s="392"/>
      <c r="AM309" s="392"/>
      <c r="AN309" s="392"/>
      <c r="AO309" s="392"/>
      <c r="AP309" s="392"/>
      <c r="AQ309" s="392"/>
      <c r="AR309" s="392"/>
      <c r="AS309" s="392"/>
      <c r="AT309" s="392"/>
      <c r="AU309" s="392"/>
      <c r="AV309" s="392"/>
      <c r="AW309" s="392"/>
      <c r="AX309" s="392"/>
      <c r="AY309" s="392"/>
      <c r="AZ309" s="392"/>
      <c r="BA309" s="392"/>
      <c r="BB309" s="392"/>
      <c r="BC309" s="392"/>
      <c r="BD309" s="392"/>
      <c r="BE309" s="392"/>
      <c r="BF309" s="392"/>
      <c r="BG309" s="392"/>
      <c r="BH309" s="392"/>
      <c r="BI309" s="392"/>
      <c r="BJ309" s="392"/>
      <c r="BK309" s="392"/>
      <c r="BL309" s="392"/>
      <c r="BM309" s="392"/>
      <c r="BN309" s="392"/>
      <c r="BO309" s="392"/>
      <c r="BP309" s="392"/>
      <c r="BQ309" s="392"/>
      <c r="BR309" s="392"/>
      <c r="BS309" s="392"/>
      <c r="BT309" s="392"/>
      <c r="BU309" s="392"/>
      <c r="BV309" s="392"/>
      <c r="BW309" s="392"/>
      <c r="BX309" s="392"/>
      <c r="BY309" s="392"/>
      <c r="BZ309" s="392"/>
      <c r="CA309" s="392"/>
      <c r="CB309" s="392"/>
      <c r="CC309" s="392"/>
      <c r="CD309" s="392"/>
      <c r="CE309" s="392"/>
      <c r="CF309" s="392"/>
      <c r="CG309" s="392"/>
      <c r="CH309" s="392"/>
      <c r="CI309" s="392"/>
      <c r="CJ309" s="392"/>
      <c r="CK309" s="392"/>
      <c r="CL309" s="392"/>
      <c r="CM309" s="392"/>
      <c r="CN309" s="392"/>
      <c r="CO309" s="392"/>
      <c r="CP309" s="392"/>
      <c r="CQ309" s="392"/>
      <c r="CR309" s="392"/>
      <c r="CS309" s="392"/>
      <c r="CT309" s="392"/>
      <c r="CU309" s="392"/>
      <c r="CV309" s="392"/>
      <c r="CW309" s="392"/>
      <c r="CX309" s="392"/>
      <c r="CY309" s="392"/>
      <c r="CZ309" s="392"/>
      <c r="DA309" s="392"/>
      <c r="DB309" s="392"/>
      <c r="DC309" s="392"/>
      <c r="DD309" s="392"/>
      <c r="DE309" s="392"/>
      <c r="DF309" s="392"/>
      <c r="DG309" s="392"/>
      <c r="DH309" s="392"/>
      <c r="DI309" s="392"/>
      <c r="DJ309" s="392"/>
      <c r="DK309" s="392"/>
      <c r="DL309" s="392"/>
      <c r="DM309" s="392"/>
      <c r="DN309" s="392"/>
      <c r="DO309" s="392"/>
      <c r="DP309" s="392"/>
      <c r="DQ309" s="392"/>
      <c r="DR309" s="392"/>
      <c r="DS309" s="392"/>
      <c r="DT309" s="392"/>
      <c r="DU309" s="392"/>
      <c r="DV309" s="392"/>
      <c r="DW309" s="392"/>
      <c r="DX309" s="392"/>
      <c r="DY309" s="392"/>
      <c r="DZ309" s="392"/>
      <c r="EA309" s="392"/>
      <c r="EB309" s="392"/>
      <c r="EC309" s="392"/>
      <c r="ED309" s="392"/>
      <c r="EE309" s="392"/>
      <c r="EF309" s="392"/>
      <c r="EG309" s="392"/>
      <c r="EH309" s="392"/>
      <c r="EI309" s="392"/>
      <c r="EJ309" s="392"/>
      <c r="EK309" s="392"/>
      <c r="EL309" s="392"/>
      <c r="EM309" s="392"/>
      <c r="EN309" s="392"/>
      <c r="EO309" s="392"/>
      <c r="EP309" s="392"/>
      <c r="EQ309" s="392"/>
      <c r="ER309" s="392"/>
      <c r="ES309" s="392"/>
      <c r="ET309" s="392"/>
      <c r="EU309" s="392"/>
      <c r="EV309" s="392"/>
      <c r="EW309" s="392"/>
      <c r="EX309" s="392"/>
      <c r="EY309" s="392"/>
      <c r="EZ309" s="392"/>
      <c r="FA309" s="392"/>
      <c r="FB309" s="392"/>
      <c r="FC309" s="392"/>
      <c r="FD309" s="392"/>
      <c r="FE309" s="392"/>
      <c r="FF309" s="392"/>
      <c r="FG309" s="392"/>
      <c r="FH309" s="392"/>
      <c r="FI309" s="392"/>
      <c r="FJ309" s="392"/>
      <c r="FK309" s="392"/>
      <c r="FL309" s="392"/>
      <c r="FM309" s="392"/>
      <c r="FN309" s="392"/>
      <c r="FO309" s="392"/>
      <c r="FP309" s="392"/>
      <c r="FQ309" s="392"/>
      <c r="FR309" s="392"/>
      <c r="FS309" s="392"/>
      <c r="FT309" s="392"/>
      <c r="FU309" s="392"/>
      <c r="FV309" s="392"/>
      <c r="FW309" s="392"/>
      <c r="FX309" s="392"/>
      <c r="FY309" s="392"/>
      <c r="FZ309" s="392"/>
      <c r="GA309" s="392"/>
      <c r="GB309" s="392"/>
      <c r="GC309" s="392"/>
      <c r="GD309" s="392"/>
      <c r="GE309" s="392"/>
      <c r="GF309" s="392"/>
      <c r="GG309" s="392"/>
      <c r="GH309" s="392"/>
      <c r="GI309" s="392"/>
      <c r="GJ309" s="392"/>
      <c r="GK309" s="392"/>
      <c r="GL309" s="392"/>
      <c r="GM309" s="392"/>
      <c r="GN309" s="392"/>
      <c r="GO309" s="392"/>
      <c r="GP309" s="392"/>
      <c r="GQ309" s="392"/>
      <c r="GR309" s="392"/>
      <c r="GS309" s="392"/>
      <c r="GT309" s="392"/>
      <c r="GU309" s="392"/>
      <c r="GV309" s="392"/>
      <c r="GW309" s="392"/>
      <c r="GX309" s="392"/>
      <c r="GY309" s="392"/>
      <c r="GZ309" s="392"/>
      <c r="HA309" s="392"/>
      <c r="HB309" s="392"/>
      <c r="HC309" s="392"/>
      <c r="HD309" s="392"/>
      <c r="HE309" s="392"/>
      <c r="HF309" s="392"/>
      <c r="HG309" s="392"/>
      <c r="HH309" s="392"/>
      <c r="HI309" s="392"/>
      <c r="HJ309" s="392"/>
      <c r="HK309" s="392"/>
      <c r="HL309" s="392"/>
      <c r="HM309" s="392"/>
      <c r="HN309" s="392"/>
      <c r="HO309" s="392"/>
      <c r="HP309" s="392"/>
      <c r="HQ309" s="392"/>
      <c r="HR309" s="392"/>
      <c r="HS309" s="392"/>
      <c r="HT309" s="392"/>
      <c r="HU309" s="392"/>
      <c r="HV309" s="392"/>
      <c r="HW309" s="392"/>
      <c r="HX309" s="392"/>
      <c r="HY309" s="392"/>
      <c r="HZ309" s="392"/>
      <c r="IA309" s="392"/>
      <c r="IB309" s="392"/>
      <c r="IC309" s="392"/>
      <c r="ID309" s="392"/>
      <c r="IE309" s="392"/>
      <c r="IF309" s="392"/>
      <c r="IG309" s="392"/>
      <c r="IH309" s="392"/>
      <c r="II309" s="392"/>
      <c r="IJ309" s="392"/>
      <c r="IK309" s="392"/>
      <c r="IL309" s="392"/>
      <c r="IM309" s="392"/>
      <c r="IN309" s="392"/>
      <c r="IO309" s="392"/>
      <c r="IP309" s="392"/>
      <c r="IQ309" s="392"/>
      <c r="IR309" s="392"/>
      <c r="IS309" s="392"/>
      <c r="IT309" s="392"/>
      <c r="IU309" s="392"/>
      <c r="IV309" s="392"/>
    </row>
    <row r="310" spans="1:256" ht="13.5" thickBot="1">
      <c r="A310" s="392"/>
      <c r="B310" s="485" t="s">
        <v>606</v>
      </c>
      <c r="C310" s="486" t="s">
        <v>644</v>
      </c>
      <c r="D310" s="487">
        <v>7020</v>
      </c>
      <c r="E310" s="488">
        <v>5500</v>
      </c>
      <c r="F310" s="489">
        <v>9590</v>
      </c>
      <c r="G310" s="490">
        <f>MEDIAN(D310:F310)</f>
        <v>7020</v>
      </c>
      <c r="H310" s="392"/>
      <c r="I310" s="392"/>
      <c r="J310" s="392"/>
      <c r="K310" s="392"/>
      <c r="L310" s="392"/>
      <c r="M310" s="392"/>
      <c r="N310" s="392"/>
      <c r="O310" s="392"/>
      <c r="P310" s="392"/>
      <c r="Q310" s="392"/>
      <c r="R310" s="392"/>
      <c r="S310" s="392"/>
      <c r="T310" s="392"/>
      <c r="U310" s="392"/>
      <c r="V310" s="392"/>
      <c r="W310" s="392"/>
      <c r="X310" s="392"/>
      <c r="Y310" s="392"/>
      <c r="Z310" s="392"/>
      <c r="AA310" s="392"/>
      <c r="AB310" s="392"/>
      <c r="AC310" s="392"/>
      <c r="AD310" s="392"/>
      <c r="AE310" s="392"/>
      <c r="AF310" s="392"/>
      <c r="AG310" s="392"/>
      <c r="AH310" s="392"/>
      <c r="AI310" s="392"/>
      <c r="AJ310" s="392"/>
      <c r="AK310" s="392"/>
      <c r="AL310" s="392"/>
      <c r="AM310" s="392"/>
      <c r="AN310" s="392"/>
      <c r="AO310" s="392"/>
      <c r="AP310" s="392"/>
      <c r="AQ310" s="392"/>
      <c r="AR310" s="392"/>
      <c r="AS310" s="392"/>
      <c r="AT310" s="392"/>
      <c r="AU310" s="392"/>
      <c r="AV310" s="392"/>
      <c r="AW310" s="392"/>
      <c r="AX310" s="392"/>
      <c r="AY310" s="392"/>
      <c r="AZ310" s="392"/>
      <c r="BA310" s="392"/>
      <c r="BB310" s="392"/>
      <c r="BC310" s="392"/>
      <c r="BD310" s="392"/>
      <c r="BE310" s="392"/>
      <c r="BF310" s="392"/>
      <c r="BG310" s="392"/>
      <c r="BH310" s="392"/>
      <c r="BI310" s="392"/>
      <c r="BJ310" s="392"/>
      <c r="BK310" s="392"/>
      <c r="BL310" s="392"/>
      <c r="BM310" s="392"/>
      <c r="BN310" s="392"/>
      <c r="BO310" s="392"/>
      <c r="BP310" s="392"/>
      <c r="BQ310" s="392"/>
      <c r="BR310" s="392"/>
      <c r="BS310" s="392"/>
      <c r="BT310" s="392"/>
      <c r="BU310" s="392"/>
      <c r="BV310" s="392"/>
      <c r="BW310" s="392"/>
      <c r="BX310" s="392"/>
      <c r="BY310" s="392"/>
      <c r="BZ310" s="392"/>
      <c r="CA310" s="392"/>
      <c r="CB310" s="392"/>
      <c r="CC310" s="392"/>
      <c r="CD310" s="392"/>
      <c r="CE310" s="392"/>
      <c r="CF310" s="392"/>
      <c r="CG310" s="392"/>
      <c r="CH310" s="392"/>
      <c r="CI310" s="392"/>
      <c r="CJ310" s="392"/>
      <c r="CK310" s="392"/>
      <c r="CL310" s="392"/>
      <c r="CM310" s="392"/>
      <c r="CN310" s="392"/>
      <c r="CO310" s="392"/>
      <c r="CP310" s="392"/>
      <c r="CQ310" s="392"/>
      <c r="CR310" s="392"/>
      <c r="CS310" s="392"/>
      <c r="CT310" s="392"/>
      <c r="CU310" s="392"/>
      <c r="CV310" s="392"/>
      <c r="CW310" s="392"/>
      <c r="CX310" s="392"/>
      <c r="CY310" s="392"/>
      <c r="CZ310" s="392"/>
      <c r="DA310" s="392"/>
      <c r="DB310" s="392"/>
      <c r="DC310" s="392"/>
      <c r="DD310" s="392"/>
      <c r="DE310" s="392"/>
      <c r="DF310" s="392"/>
      <c r="DG310" s="392"/>
      <c r="DH310" s="392"/>
      <c r="DI310" s="392"/>
      <c r="DJ310" s="392"/>
      <c r="DK310" s="392"/>
      <c r="DL310" s="392"/>
      <c r="DM310" s="392"/>
      <c r="DN310" s="392"/>
      <c r="DO310" s="392"/>
      <c r="DP310" s="392"/>
      <c r="DQ310" s="392"/>
      <c r="DR310" s="392"/>
      <c r="DS310" s="392"/>
      <c r="DT310" s="392"/>
      <c r="DU310" s="392"/>
      <c r="DV310" s="392"/>
      <c r="DW310" s="392"/>
      <c r="DX310" s="392"/>
      <c r="DY310" s="392"/>
      <c r="DZ310" s="392"/>
      <c r="EA310" s="392"/>
      <c r="EB310" s="392"/>
      <c r="EC310" s="392"/>
      <c r="ED310" s="392"/>
      <c r="EE310" s="392"/>
      <c r="EF310" s="392"/>
      <c r="EG310" s="392"/>
      <c r="EH310" s="392"/>
      <c r="EI310" s="392"/>
      <c r="EJ310" s="392"/>
      <c r="EK310" s="392"/>
      <c r="EL310" s="392"/>
      <c r="EM310" s="392"/>
      <c r="EN310" s="392"/>
      <c r="EO310" s="392"/>
      <c r="EP310" s="392"/>
      <c r="EQ310" s="392"/>
      <c r="ER310" s="392"/>
      <c r="ES310" s="392"/>
      <c r="ET310" s="392"/>
      <c r="EU310" s="392"/>
      <c r="EV310" s="392"/>
      <c r="EW310" s="392"/>
      <c r="EX310" s="392"/>
      <c r="EY310" s="392"/>
      <c r="EZ310" s="392"/>
      <c r="FA310" s="392"/>
      <c r="FB310" s="392"/>
      <c r="FC310" s="392"/>
      <c r="FD310" s="392"/>
      <c r="FE310" s="392"/>
      <c r="FF310" s="392"/>
      <c r="FG310" s="392"/>
      <c r="FH310" s="392"/>
      <c r="FI310" s="392"/>
      <c r="FJ310" s="392"/>
      <c r="FK310" s="392"/>
      <c r="FL310" s="392"/>
      <c r="FM310" s="392"/>
      <c r="FN310" s="392"/>
      <c r="FO310" s="392"/>
      <c r="FP310" s="392"/>
      <c r="FQ310" s="392"/>
      <c r="FR310" s="392"/>
      <c r="FS310" s="392"/>
      <c r="FT310" s="392"/>
      <c r="FU310" s="392"/>
      <c r="FV310" s="392"/>
      <c r="FW310" s="392"/>
      <c r="FX310" s="392"/>
      <c r="FY310" s="392"/>
      <c r="FZ310" s="392"/>
      <c r="GA310" s="392"/>
      <c r="GB310" s="392"/>
      <c r="GC310" s="392"/>
      <c r="GD310" s="392"/>
      <c r="GE310" s="392"/>
      <c r="GF310" s="392"/>
      <c r="GG310" s="392"/>
      <c r="GH310" s="392"/>
      <c r="GI310" s="392"/>
      <c r="GJ310" s="392"/>
      <c r="GK310" s="392"/>
      <c r="GL310" s="392"/>
      <c r="GM310" s="392"/>
      <c r="GN310" s="392"/>
      <c r="GO310" s="392"/>
      <c r="GP310" s="392"/>
      <c r="GQ310" s="392"/>
      <c r="GR310" s="392"/>
      <c r="GS310" s="392"/>
      <c r="GT310" s="392"/>
      <c r="GU310" s="392"/>
      <c r="GV310" s="392"/>
      <c r="GW310" s="392"/>
      <c r="GX310" s="392"/>
      <c r="GY310" s="392"/>
      <c r="GZ310" s="392"/>
      <c r="HA310" s="392"/>
      <c r="HB310" s="392"/>
      <c r="HC310" s="392"/>
      <c r="HD310" s="392"/>
      <c r="HE310" s="392"/>
      <c r="HF310" s="392"/>
      <c r="HG310" s="392"/>
      <c r="HH310" s="392"/>
      <c r="HI310" s="392"/>
      <c r="HJ310" s="392"/>
      <c r="HK310" s="392"/>
      <c r="HL310" s="392"/>
      <c r="HM310" s="392"/>
      <c r="HN310" s="392"/>
      <c r="HO310" s="392"/>
      <c r="HP310" s="392"/>
      <c r="HQ310" s="392"/>
      <c r="HR310" s="392"/>
      <c r="HS310" s="392"/>
      <c r="HT310" s="392"/>
      <c r="HU310" s="392"/>
      <c r="HV310" s="392"/>
      <c r="HW310" s="392"/>
      <c r="HX310" s="392"/>
      <c r="HY310" s="392"/>
      <c r="HZ310" s="392"/>
      <c r="IA310" s="392"/>
      <c r="IB310" s="392"/>
      <c r="IC310" s="392"/>
      <c r="ID310" s="392"/>
      <c r="IE310" s="392"/>
      <c r="IF310" s="392"/>
      <c r="IG310" s="392"/>
      <c r="IH310" s="392"/>
      <c r="II310" s="392"/>
      <c r="IJ310" s="392"/>
      <c r="IK310" s="392"/>
      <c r="IL310" s="392"/>
      <c r="IM310" s="392"/>
      <c r="IN310" s="392"/>
      <c r="IO310" s="392"/>
      <c r="IP310" s="392"/>
      <c r="IQ310" s="392"/>
      <c r="IR310" s="392"/>
      <c r="IS310" s="392"/>
      <c r="IT310" s="392"/>
      <c r="IU310" s="392"/>
      <c r="IV310" s="392"/>
    </row>
    <row r="311" spans="1:256">
      <c r="A311" s="392"/>
      <c r="B311" s="462"/>
      <c r="C311" s="462"/>
      <c r="D311" s="462"/>
      <c r="E311" s="462"/>
      <c r="F311" s="462"/>
      <c r="G311" s="462"/>
      <c r="H311" s="392"/>
      <c r="I311" s="392"/>
      <c r="J311" s="392"/>
      <c r="K311" s="392"/>
      <c r="L311" s="392"/>
      <c r="M311" s="392"/>
      <c r="N311" s="392"/>
      <c r="O311" s="392"/>
      <c r="P311" s="392"/>
      <c r="Q311" s="392"/>
      <c r="R311" s="392"/>
      <c r="S311" s="392"/>
      <c r="T311" s="392"/>
      <c r="U311" s="392"/>
      <c r="V311" s="392"/>
      <c r="W311" s="392"/>
      <c r="X311" s="392"/>
      <c r="Y311" s="392"/>
      <c r="Z311" s="392"/>
      <c r="AA311" s="392"/>
      <c r="AB311" s="392"/>
      <c r="AC311" s="392"/>
      <c r="AD311" s="392"/>
      <c r="AE311" s="392"/>
      <c r="AF311" s="392"/>
      <c r="AG311" s="392"/>
      <c r="AH311" s="392"/>
      <c r="AI311" s="392"/>
      <c r="AJ311" s="392"/>
      <c r="AK311" s="392"/>
      <c r="AL311" s="392"/>
      <c r="AM311" s="392"/>
      <c r="AN311" s="392"/>
      <c r="AO311" s="392"/>
      <c r="AP311" s="392"/>
      <c r="AQ311" s="392"/>
      <c r="AR311" s="392"/>
      <c r="AS311" s="392"/>
      <c r="AT311" s="392"/>
      <c r="AU311" s="392"/>
      <c r="AV311" s="392"/>
      <c r="AW311" s="392"/>
      <c r="AX311" s="392"/>
      <c r="AY311" s="392"/>
      <c r="AZ311" s="392"/>
      <c r="BA311" s="392"/>
      <c r="BB311" s="392"/>
      <c r="BC311" s="392"/>
      <c r="BD311" s="392"/>
      <c r="BE311" s="392"/>
      <c r="BF311" s="392"/>
      <c r="BG311" s="392"/>
      <c r="BH311" s="392"/>
      <c r="BI311" s="392"/>
      <c r="BJ311" s="392"/>
      <c r="BK311" s="392"/>
      <c r="BL311" s="392"/>
      <c r="BM311" s="392"/>
      <c r="BN311" s="392"/>
      <c r="BO311" s="392"/>
      <c r="BP311" s="392"/>
      <c r="BQ311" s="392"/>
      <c r="BR311" s="392"/>
      <c r="BS311" s="392"/>
      <c r="BT311" s="392"/>
      <c r="BU311" s="392"/>
      <c r="BV311" s="392"/>
      <c r="BW311" s="392"/>
      <c r="BX311" s="392"/>
      <c r="BY311" s="392"/>
      <c r="BZ311" s="392"/>
      <c r="CA311" s="392"/>
      <c r="CB311" s="392"/>
      <c r="CC311" s="392"/>
      <c r="CD311" s="392"/>
      <c r="CE311" s="392"/>
      <c r="CF311" s="392"/>
      <c r="CG311" s="392"/>
      <c r="CH311" s="392"/>
      <c r="CI311" s="392"/>
      <c r="CJ311" s="392"/>
      <c r="CK311" s="392"/>
      <c r="CL311" s="392"/>
      <c r="CM311" s="392"/>
      <c r="CN311" s="392"/>
      <c r="CO311" s="392"/>
      <c r="CP311" s="392"/>
      <c r="CQ311" s="392"/>
      <c r="CR311" s="392"/>
      <c r="CS311" s="392"/>
      <c r="CT311" s="392"/>
      <c r="CU311" s="392"/>
      <c r="CV311" s="392"/>
      <c r="CW311" s="392"/>
      <c r="CX311" s="392"/>
      <c r="CY311" s="392"/>
      <c r="CZ311" s="392"/>
      <c r="DA311" s="392"/>
      <c r="DB311" s="392"/>
      <c r="DC311" s="392"/>
      <c r="DD311" s="392"/>
      <c r="DE311" s="392"/>
      <c r="DF311" s="392"/>
      <c r="DG311" s="392"/>
      <c r="DH311" s="392"/>
      <c r="DI311" s="392"/>
      <c r="DJ311" s="392"/>
      <c r="DK311" s="392"/>
      <c r="DL311" s="392"/>
      <c r="DM311" s="392"/>
      <c r="DN311" s="392"/>
      <c r="DO311" s="392"/>
      <c r="DP311" s="392"/>
      <c r="DQ311" s="392"/>
      <c r="DR311" s="392"/>
      <c r="DS311" s="392"/>
      <c r="DT311" s="392"/>
      <c r="DU311" s="392"/>
      <c r="DV311" s="392"/>
      <c r="DW311" s="392"/>
      <c r="DX311" s="392"/>
      <c r="DY311" s="392"/>
      <c r="DZ311" s="392"/>
      <c r="EA311" s="392"/>
      <c r="EB311" s="392"/>
      <c r="EC311" s="392"/>
      <c r="ED311" s="392"/>
      <c r="EE311" s="392"/>
      <c r="EF311" s="392"/>
      <c r="EG311" s="392"/>
      <c r="EH311" s="392"/>
      <c r="EI311" s="392"/>
      <c r="EJ311" s="392"/>
      <c r="EK311" s="392"/>
      <c r="EL311" s="392"/>
      <c r="EM311" s="392"/>
      <c r="EN311" s="392"/>
      <c r="EO311" s="392"/>
      <c r="EP311" s="392"/>
      <c r="EQ311" s="392"/>
      <c r="ER311" s="392"/>
      <c r="ES311" s="392"/>
      <c r="ET311" s="392"/>
      <c r="EU311" s="392"/>
      <c r="EV311" s="392"/>
      <c r="EW311" s="392"/>
      <c r="EX311" s="392"/>
      <c r="EY311" s="392"/>
      <c r="EZ311" s="392"/>
      <c r="FA311" s="392"/>
      <c r="FB311" s="392"/>
      <c r="FC311" s="392"/>
      <c r="FD311" s="392"/>
      <c r="FE311" s="392"/>
      <c r="FF311" s="392"/>
      <c r="FG311" s="392"/>
      <c r="FH311" s="392"/>
      <c r="FI311" s="392"/>
      <c r="FJ311" s="392"/>
      <c r="FK311" s="392"/>
      <c r="FL311" s="392"/>
      <c r="FM311" s="392"/>
      <c r="FN311" s="392"/>
      <c r="FO311" s="392"/>
      <c r="FP311" s="392"/>
      <c r="FQ311" s="392"/>
      <c r="FR311" s="392"/>
      <c r="FS311" s="392"/>
      <c r="FT311" s="392"/>
      <c r="FU311" s="392"/>
      <c r="FV311" s="392"/>
      <c r="FW311" s="392"/>
      <c r="FX311" s="392"/>
      <c r="FY311" s="392"/>
      <c r="FZ311" s="392"/>
      <c r="GA311" s="392"/>
      <c r="GB311" s="392"/>
      <c r="GC311" s="392"/>
      <c r="GD311" s="392"/>
      <c r="GE311" s="392"/>
      <c r="GF311" s="392"/>
      <c r="GG311" s="392"/>
      <c r="GH311" s="392"/>
      <c r="GI311" s="392"/>
      <c r="GJ311" s="392"/>
      <c r="GK311" s="392"/>
      <c r="GL311" s="392"/>
      <c r="GM311" s="392"/>
      <c r="GN311" s="392"/>
      <c r="GO311" s="392"/>
      <c r="GP311" s="392"/>
      <c r="GQ311" s="392"/>
      <c r="GR311" s="392"/>
      <c r="GS311" s="392"/>
      <c r="GT311" s="392"/>
      <c r="GU311" s="392"/>
      <c r="GV311" s="392"/>
      <c r="GW311" s="392"/>
      <c r="GX311" s="392"/>
      <c r="GY311" s="392"/>
      <c r="GZ311" s="392"/>
      <c r="HA311" s="392"/>
      <c r="HB311" s="392"/>
      <c r="HC311" s="392"/>
      <c r="HD311" s="392"/>
      <c r="HE311" s="392"/>
      <c r="HF311" s="392"/>
      <c r="HG311" s="392"/>
      <c r="HH311" s="392"/>
      <c r="HI311" s="392"/>
      <c r="HJ311" s="392"/>
      <c r="HK311" s="392"/>
      <c r="HL311" s="392"/>
      <c r="HM311" s="392"/>
      <c r="HN311" s="392"/>
      <c r="HO311" s="392"/>
      <c r="HP311" s="392"/>
      <c r="HQ311" s="392"/>
      <c r="HR311" s="392"/>
      <c r="HS311" s="392"/>
      <c r="HT311" s="392"/>
      <c r="HU311" s="392"/>
      <c r="HV311" s="392"/>
      <c r="HW311" s="392"/>
      <c r="HX311" s="392"/>
      <c r="HY311" s="392"/>
      <c r="HZ311" s="392"/>
      <c r="IA311" s="392"/>
      <c r="IB311" s="392"/>
      <c r="IC311" s="392"/>
      <c r="ID311" s="392"/>
      <c r="IE311" s="392"/>
      <c r="IF311" s="392"/>
      <c r="IG311" s="392"/>
      <c r="IH311" s="392"/>
      <c r="II311" s="392"/>
      <c r="IJ311" s="392"/>
      <c r="IK311" s="392"/>
      <c r="IL311" s="392"/>
      <c r="IM311" s="392"/>
      <c r="IN311" s="392"/>
      <c r="IO311" s="392"/>
      <c r="IP311" s="392"/>
      <c r="IQ311" s="392"/>
      <c r="IR311" s="392"/>
      <c r="IS311" s="392"/>
      <c r="IT311" s="392"/>
      <c r="IU311" s="392"/>
      <c r="IV311" s="392"/>
    </row>
    <row r="312" spans="1:256" ht="13.5" thickBot="1">
      <c r="A312" s="392"/>
      <c r="B312" s="491"/>
      <c r="C312" s="492"/>
      <c r="D312" s="493"/>
      <c r="E312" s="493"/>
      <c r="F312" s="493"/>
      <c r="G312" s="494"/>
      <c r="H312" s="392"/>
      <c r="I312" s="392"/>
      <c r="J312" s="392"/>
      <c r="K312" s="392"/>
      <c r="L312" s="392"/>
      <c r="M312" s="392"/>
      <c r="N312" s="392"/>
      <c r="O312" s="392"/>
      <c r="P312" s="392"/>
      <c r="Q312" s="392"/>
      <c r="R312" s="392"/>
      <c r="S312" s="392"/>
      <c r="T312" s="392"/>
      <c r="U312" s="392"/>
      <c r="V312" s="392"/>
      <c r="W312" s="392"/>
      <c r="X312" s="392"/>
      <c r="Y312" s="392"/>
      <c r="Z312" s="392"/>
      <c r="AA312" s="392"/>
      <c r="AB312" s="392"/>
      <c r="AC312" s="392"/>
      <c r="AD312" s="392"/>
      <c r="AE312" s="392"/>
      <c r="AF312" s="392"/>
      <c r="AG312" s="392"/>
      <c r="AH312" s="392"/>
      <c r="AI312" s="392"/>
      <c r="AJ312" s="392"/>
      <c r="AK312" s="392"/>
      <c r="AL312" s="392"/>
      <c r="AM312" s="392"/>
      <c r="AN312" s="392"/>
      <c r="AO312" s="392"/>
      <c r="AP312" s="392"/>
      <c r="AQ312" s="392"/>
      <c r="AR312" s="392"/>
      <c r="AS312" s="392"/>
      <c r="AT312" s="392"/>
      <c r="AU312" s="392"/>
      <c r="AV312" s="392"/>
      <c r="AW312" s="392"/>
      <c r="AX312" s="392"/>
      <c r="AY312" s="392"/>
      <c r="AZ312" s="392"/>
      <c r="BA312" s="392"/>
      <c r="BB312" s="392"/>
      <c r="BC312" s="392"/>
      <c r="BD312" s="392"/>
      <c r="BE312" s="392"/>
      <c r="BF312" s="392"/>
      <c r="BG312" s="392"/>
      <c r="BH312" s="392"/>
      <c r="BI312" s="392"/>
      <c r="BJ312" s="392"/>
      <c r="BK312" s="392"/>
      <c r="BL312" s="392"/>
      <c r="BM312" s="392"/>
      <c r="BN312" s="392"/>
      <c r="BO312" s="392"/>
      <c r="BP312" s="392"/>
      <c r="BQ312" s="392"/>
      <c r="BR312" s="392"/>
      <c r="BS312" s="392"/>
      <c r="BT312" s="392"/>
      <c r="BU312" s="392"/>
      <c r="BV312" s="392"/>
      <c r="BW312" s="392"/>
      <c r="BX312" s="392"/>
      <c r="BY312" s="392"/>
      <c r="BZ312" s="392"/>
      <c r="CA312" s="392"/>
      <c r="CB312" s="392"/>
      <c r="CC312" s="392"/>
      <c r="CD312" s="392"/>
      <c r="CE312" s="392"/>
      <c r="CF312" s="392"/>
      <c r="CG312" s="392"/>
      <c r="CH312" s="392"/>
      <c r="CI312" s="392"/>
      <c r="CJ312" s="392"/>
      <c r="CK312" s="392"/>
      <c r="CL312" s="392"/>
      <c r="CM312" s="392"/>
      <c r="CN312" s="392"/>
      <c r="CO312" s="392"/>
      <c r="CP312" s="392"/>
      <c r="CQ312" s="392"/>
      <c r="CR312" s="392"/>
      <c r="CS312" s="392"/>
      <c r="CT312" s="392"/>
      <c r="CU312" s="392"/>
      <c r="CV312" s="392"/>
      <c r="CW312" s="392"/>
      <c r="CX312" s="392"/>
      <c r="CY312" s="392"/>
      <c r="CZ312" s="392"/>
      <c r="DA312" s="392"/>
      <c r="DB312" s="392"/>
      <c r="DC312" s="392"/>
      <c r="DD312" s="392"/>
      <c r="DE312" s="392"/>
      <c r="DF312" s="392"/>
      <c r="DG312" s="392"/>
      <c r="DH312" s="392"/>
      <c r="DI312" s="392"/>
      <c r="DJ312" s="392"/>
      <c r="DK312" s="392"/>
      <c r="DL312" s="392"/>
      <c r="DM312" s="392"/>
      <c r="DN312" s="392"/>
      <c r="DO312" s="392"/>
      <c r="DP312" s="392"/>
      <c r="DQ312" s="392"/>
      <c r="DR312" s="392"/>
      <c r="DS312" s="392"/>
      <c r="DT312" s="392"/>
      <c r="DU312" s="392"/>
      <c r="DV312" s="392"/>
      <c r="DW312" s="392"/>
      <c r="DX312" s="392"/>
      <c r="DY312" s="392"/>
      <c r="DZ312" s="392"/>
      <c r="EA312" s="392"/>
      <c r="EB312" s="392"/>
      <c r="EC312" s="392"/>
      <c r="ED312" s="392"/>
      <c r="EE312" s="392"/>
      <c r="EF312" s="392"/>
      <c r="EG312" s="392"/>
      <c r="EH312" s="392"/>
      <c r="EI312" s="392"/>
      <c r="EJ312" s="392"/>
      <c r="EK312" s="392"/>
      <c r="EL312" s="392"/>
      <c r="EM312" s="392"/>
      <c r="EN312" s="392"/>
      <c r="EO312" s="392"/>
      <c r="EP312" s="392"/>
      <c r="EQ312" s="392"/>
      <c r="ER312" s="392"/>
      <c r="ES312" s="392"/>
      <c r="ET312" s="392"/>
      <c r="EU312" s="392"/>
      <c r="EV312" s="392"/>
      <c r="EW312" s="392"/>
      <c r="EX312" s="392"/>
      <c r="EY312" s="392"/>
      <c r="EZ312" s="392"/>
      <c r="FA312" s="392"/>
      <c r="FB312" s="392"/>
      <c r="FC312" s="392"/>
      <c r="FD312" s="392"/>
      <c r="FE312" s="392"/>
      <c r="FF312" s="392"/>
      <c r="FG312" s="392"/>
      <c r="FH312" s="392"/>
      <c r="FI312" s="392"/>
      <c r="FJ312" s="392"/>
      <c r="FK312" s="392"/>
      <c r="FL312" s="392"/>
      <c r="FM312" s="392"/>
      <c r="FN312" s="392"/>
      <c r="FO312" s="392"/>
      <c r="FP312" s="392"/>
      <c r="FQ312" s="392"/>
      <c r="FR312" s="392"/>
      <c r="FS312" s="392"/>
      <c r="FT312" s="392"/>
      <c r="FU312" s="392"/>
      <c r="FV312" s="392"/>
      <c r="FW312" s="392"/>
      <c r="FX312" s="392"/>
      <c r="FY312" s="392"/>
      <c r="FZ312" s="392"/>
      <c r="GA312" s="392"/>
      <c r="GB312" s="392"/>
      <c r="GC312" s="392"/>
      <c r="GD312" s="392"/>
      <c r="GE312" s="392"/>
      <c r="GF312" s="392"/>
      <c r="GG312" s="392"/>
      <c r="GH312" s="392"/>
      <c r="GI312" s="392"/>
      <c r="GJ312" s="392"/>
      <c r="GK312" s="392"/>
      <c r="GL312" s="392"/>
      <c r="GM312" s="392"/>
      <c r="GN312" s="392"/>
      <c r="GO312" s="392"/>
      <c r="GP312" s="392"/>
      <c r="GQ312" s="392"/>
      <c r="GR312" s="392"/>
      <c r="GS312" s="392"/>
      <c r="GT312" s="392"/>
      <c r="GU312" s="392"/>
      <c r="GV312" s="392"/>
      <c r="GW312" s="392"/>
      <c r="GX312" s="392"/>
      <c r="GY312" s="392"/>
      <c r="GZ312" s="392"/>
      <c r="HA312" s="392"/>
      <c r="HB312" s="392"/>
      <c r="HC312" s="392"/>
      <c r="HD312" s="392"/>
      <c r="HE312" s="392"/>
      <c r="HF312" s="392"/>
      <c r="HG312" s="392"/>
      <c r="HH312" s="392"/>
      <c r="HI312" s="392"/>
      <c r="HJ312" s="392"/>
      <c r="HK312" s="392"/>
      <c r="HL312" s="392"/>
      <c r="HM312" s="392"/>
      <c r="HN312" s="392"/>
      <c r="HO312" s="392"/>
      <c r="HP312" s="392"/>
      <c r="HQ312" s="392"/>
      <c r="HR312" s="392"/>
      <c r="HS312" s="392"/>
      <c r="HT312" s="392"/>
      <c r="HU312" s="392"/>
      <c r="HV312" s="392"/>
      <c r="HW312" s="392"/>
      <c r="HX312" s="392"/>
      <c r="HY312" s="392"/>
      <c r="HZ312" s="392"/>
      <c r="IA312" s="392"/>
      <c r="IB312" s="392"/>
      <c r="IC312" s="392"/>
      <c r="ID312" s="392"/>
      <c r="IE312" s="392"/>
      <c r="IF312" s="392"/>
      <c r="IG312" s="392"/>
      <c r="IH312" s="392"/>
      <c r="II312" s="392"/>
      <c r="IJ312" s="392"/>
      <c r="IK312" s="392"/>
      <c r="IL312" s="392"/>
      <c r="IM312" s="392"/>
      <c r="IN312" s="392"/>
      <c r="IO312" s="392"/>
      <c r="IP312" s="392"/>
      <c r="IQ312" s="392"/>
      <c r="IR312" s="392"/>
      <c r="IS312" s="392"/>
      <c r="IT312" s="392"/>
      <c r="IU312" s="392"/>
      <c r="IV312" s="392"/>
    </row>
    <row r="313" spans="1:256" ht="13.5" thickBot="1">
      <c r="A313" s="392"/>
      <c r="B313" s="2315" t="s">
        <v>645</v>
      </c>
      <c r="C313" s="2316"/>
      <c r="D313" s="2316"/>
      <c r="E313" s="2316"/>
      <c r="F313" s="2316"/>
      <c r="G313" s="2317"/>
      <c r="H313" s="392"/>
      <c r="I313" s="392"/>
      <c r="J313" s="392"/>
      <c r="K313" s="392"/>
      <c r="L313" s="392"/>
      <c r="M313" s="392"/>
      <c r="N313" s="392"/>
      <c r="O313" s="392"/>
      <c r="P313" s="392"/>
      <c r="Q313" s="392"/>
      <c r="R313" s="392"/>
      <c r="S313" s="392"/>
      <c r="T313" s="392"/>
      <c r="U313" s="392"/>
      <c r="V313" s="392"/>
      <c r="W313" s="392"/>
      <c r="X313" s="392"/>
      <c r="Y313" s="392"/>
      <c r="Z313" s="392"/>
      <c r="AA313" s="392"/>
      <c r="AB313" s="392"/>
      <c r="AC313" s="392"/>
      <c r="AD313" s="392"/>
      <c r="AE313" s="392"/>
      <c r="AF313" s="392"/>
      <c r="AG313" s="392"/>
      <c r="AH313" s="392"/>
      <c r="AI313" s="392"/>
      <c r="AJ313" s="392"/>
      <c r="AK313" s="392"/>
      <c r="AL313" s="392"/>
      <c r="AM313" s="392"/>
      <c r="AN313" s="392"/>
      <c r="AO313" s="392"/>
      <c r="AP313" s="392"/>
      <c r="AQ313" s="392"/>
      <c r="AR313" s="392"/>
      <c r="AS313" s="392"/>
      <c r="AT313" s="392"/>
      <c r="AU313" s="392"/>
      <c r="AV313" s="392"/>
      <c r="AW313" s="392"/>
      <c r="AX313" s="392"/>
      <c r="AY313" s="392"/>
      <c r="AZ313" s="392"/>
      <c r="BA313" s="392"/>
      <c r="BB313" s="392"/>
      <c r="BC313" s="392"/>
      <c r="BD313" s="392"/>
      <c r="BE313" s="392"/>
      <c r="BF313" s="392"/>
      <c r="BG313" s="392"/>
      <c r="BH313" s="392"/>
      <c r="BI313" s="392"/>
      <c r="BJ313" s="392"/>
      <c r="BK313" s="392"/>
      <c r="BL313" s="392"/>
      <c r="BM313" s="392"/>
      <c r="BN313" s="392"/>
      <c r="BO313" s="392"/>
      <c r="BP313" s="392"/>
      <c r="BQ313" s="392"/>
      <c r="BR313" s="392"/>
      <c r="BS313" s="392"/>
      <c r="BT313" s="392"/>
      <c r="BU313" s="392"/>
      <c r="BV313" s="392"/>
      <c r="BW313" s="392"/>
      <c r="BX313" s="392"/>
      <c r="BY313" s="392"/>
      <c r="BZ313" s="392"/>
      <c r="CA313" s="392"/>
      <c r="CB313" s="392"/>
      <c r="CC313" s="392"/>
      <c r="CD313" s="392"/>
      <c r="CE313" s="392"/>
      <c r="CF313" s="392"/>
      <c r="CG313" s="392"/>
      <c r="CH313" s="392"/>
      <c r="CI313" s="392"/>
      <c r="CJ313" s="392"/>
      <c r="CK313" s="392"/>
      <c r="CL313" s="392"/>
      <c r="CM313" s="392"/>
      <c r="CN313" s="392"/>
      <c r="CO313" s="392"/>
      <c r="CP313" s="392"/>
      <c r="CQ313" s="392"/>
      <c r="CR313" s="392"/>
      <c r="CS313" s="392"/>
      <c r="CT313" s="392"/>
      <c r="CU313" s="392"/>
      <c r="CV313" s="392"/>
      <c r="CW313" s="392"/>
      <c r="CX313" s="392"/>
      <c r="CY313" s="392"/>
      <c r="CZ313" s="392"/>
      <c r="DA313" s="392"/>
      <c r="DB313" s="392"/>
      <c r="DC313" s="392"/>
      <c r="DD313" s="392"/>
      <c r="DE313" s="392"/>
      <c r="DF313" s="392"/>
      <c r="DG313" s="392"/>
      <c r="DH313" s="392"/>
      <c r="DI313" s="392"/>
      <c r="DJ313" s="392"/>
      <c r="DK313" s="392"/>
      <c r="DL313" s="392"/>
      <c r="DM313" s="392"/>
      <c r="DN313" s="392"/>
      <c r="DO313" s="392"/>
      <c r="DP313" s="392"/>
      <c r="DQ313" s="392"/>
      <c r="DR313" s="392"/>
      <c r="DS313" s="392"/>
      <c r="DT313" s="392"/>
      <c r="DU313" s="392"/>
      <c r="DV313" s="392"/>
      <c r="DW313" s="392"/>
      <c r="DX313" s="392"/>
      <c r="DY313" s="392"/>
      <c r="DZ313" s="392"/>
      <c r="EA313" s="392"/>
      <c r="EB313" s="392"/>
      <c r="EC313" s="392"/>
      <c r="ED313" s="392"/>
      <c r="EE313" s="392"/>
      <c r="EF313" s="392"/>
      <c r="EG313" s="392"/>
      <c r="EH313" s="392"/>
      <c r="EI313" s="392"/>
      <c r="EJ313" s="392"/>
      <c r="EK313" s="392"/>
      <c r="EL313" s="392"/>
      <c r="EM313" s="392"/>
      <c r="EN313" s="392"/>
      <c r="EO313" s="392"/>
      <c r="EP313" s="392"/>
      <c r="EQ313" s="392"/>
      <c r="ER313" s="392"/>
      <c r="ES313" s="392"/>
      <c r="ET313" s="392"/>
      <c r="EU313" s="392"/>
      <c r="EV313" s="392"/>
      <c r="EW313" s="392"/>
      <c r="EX313" s="392"/>
      <c r="EY313" s="392"/>
      <c r="EZ313" s="392"/>
      <c r="FA313" s="392"/>
      <c r="FB313" s="392"/>
      <c r="FC313" s="392"/>
      <c r="FD313" s="392"/>
      <c r="FE313" s="392"/>
      <c r="FF313" s="392"/>
      <c r="FG313" s="392"/>
      <c r="FH313" s="392"/>
      <c r="FI313" s="392"/>
      <c r="FJ313" s="392"/>
      <c r="FK313" s="392"/>
      <c r="FL313" s="392"/>
      <c r="FM313" s="392"/>
      <c r="FN313" s="392"/>
      <c r="FO313" s="392"/>
      <c r="FP313" s="392"/>
      <c r="FQ313" s="392"/>
      <c r="FR313" s="392"/>
      <c r="FS313" s="392"/>
      <c r="FT313" s="392"/>
      <c r="FU313" s="392"/>
      <c r="FV313" s="392"/>
      <c r="FW313" s="392"/>
      <c r="FX313" s="392"/>
      <c r="FY313" s="392"/>
      <c r="FZ313" s="392"/>
      <c r="GA313" s="392"/>
      <c r="GB313" s="392"/>
      <c r="GC313" s="392"/>
      <c r="GD313" s="392"/>
      <c r="GE313" s="392"/>
      <c r="GF313" s="392"/>
      <c r="GG313" s="392"/>
      <c r="GH313" s="392"/>
      <c r="GI313" s="392"/>
      <c r="GJ313" s="392"/>
      <c r="GK313" s="392"/>
      <c r="GL313" s="392"/>
      <c r="GM313" s="392"/>
      <c r="GN313" s="392"/>
      <c r="GO313" s="392"/>
      <c r="GP313" s="392"/>
      <c r="GQ313" s="392"/>
      <c r="GR313" s="392"/>
      <c r="GS313" s="392"/>
      <c r="GT313" s="392"/>
      <c r="GU313" s="392"/>
      <c r="GV313" s="392"/>
      <c r="GW313" s="392"/>
      <c r="GX313" s="392"/>
      <c r="GY313" s="392"/>
      <c r="GZ313" s="392"/>
      <c r="HA313" s="392"/>
      <c r="HB313" s="392"/>
      <c r="HC313" s="392"/>
      <c r="HD313" s="392"/>
      <c r="HE313" s="392"/>
      <c r="HF313" s="392"/>
      <c r="HG313" s="392"/>
      <c r="HH313" s="392"/>
      <c r="HI313" s="392"/>
      <c r="HJ313" s="392"/>
      <c r="HK313" s="392"/>
      <c r="HL313" s="392"/>
      <c r="HM313" s="392"/>
      <c r="HN313" s="392"/>
      <c r="HO313" s="392"/>
      <c r="HP313" s="392"/>
      <c r="HQ313" s="392"/>
      <c r="HR313" s="392"/>
      <c r="HS313" s="392"/>
      <c r="HT313" s="392"/>
      <c r="HU313" s="392"/>
      <c r="HV313" s="392"/>
      <c r="HW313" s="392"/>
      <c r="HX313" s="392"/>
      <c r="HY313" s="392"/>
      <c r="HZ313" s="392"/>
      <c r="IA313" s="392"/>
      <c r="IB313" s="392"/>
      <c r="IC313" s="392"/>
      <c r="ID313" s="392"/>
      <c r="IE313" s="392"/>
      <c r="IF313" s="392"/>
      <c r="IG313" s="392"/>
      <c r="IH313" s="392"/>
      <c r="II313" s="392"/>
      <c r="IJ313" s="392"/>
      <c r="IK313" s="392"/>
      <c r="IL313" s="392"/>
      <c r="IM313" s="392"/>
      <c r="IN313" s="392"/>
      <c r="IO313" s="392"/>
      <c r="IP313" s="392"/>
      <c r="IQ313" s="392"/>
      <c r="IR313" s="392"/>
      <c r="IS313" s="392"/>
      <c r="IT313" s="392"/>
      <c r="IU313" s="392"/>
      <c r="IV313" s="392"/>
    </row>
    <row r="314" spans="1:256" ht="13.5" thickBot="1">
      <c r="A314" s="392"/>
      <c r="B314" s="2307" t="s">
        <v>598</v>
      </c>
      <c r="C314" s="2308"/>
      <c r="D314" s="576" t="s">
        <v>599</v>
      </c>
      <c r="E314" s="576" t="s">
        <v>600</v>
      </c>
      <c r="F314" s="576" t="s">
        <v>601</v>
      </c>
      <c r="G314" s="470" t="s">
        <v>640</v>
      </c>
      <c r="H314" s="392"/>
      <c r="I314" s="392"/>
      <c r="J314" s="392"/>
      <c r="K314" s="392"/>
      <c r="L314" s="392"/>
      <c r="M314" s="392"/>
      <c r="N314" s="392"/>
      <c r="O314" s="392"/>
      <c r="P314" s="392"/>
      <c r="Q314" s="392"/>
      <c r="R314" s="392"/>
      <c r="S314" s="392"/>
      <c r="T314" s="392"/>
      <c r="U314" s="392"/>
      <c r="V314" s="392"/>
      <c r="W314" s="392"/>
      <c r="X314" s="392"/>
      <c r="Y314" s="392"/>
      <c r="Z314" s="392"/>
      <c r="AA314" s="392"/>
      <c r="AB314" s="392"/>
      <c r="AC314" s="392"/>
      <c r="AD314" s="392"/>
      <c r="AE314" s="392"/>
      <c r="AF314" s="392"/>
      <c r="AG314" s="392"/>
      <c r="AH314" s="392"/>
      <c r="AI314" s="392"/>
      <c r="AJ314" s="392"/>
      <c r="AK314" s="392"/>
      <c r="AL314" s="392"/>
      <c r="AM314" s="392"/>
      <c r="AN314" s="392"/>
      <c r="AO314" s="392"/>
      <c r="AP314" s="392"/>
      <c r="AQ314" s="392"/>
      <c r="AR314" s="392"/>
      <c r="AS314" s="392"/>
      <c r="AT314" s="392"/>
      <c r="AU314" s="392"/>
      <c r="AV314" s="392"/>
      <c r="AW314" s="392"/>
      <c r="AX314" s="392"/>
      <c r="AY314" s="392"/>
      <c r="AZ314" s="392"/>
      <c r="BA314" s="392"/>
      <c r="BB314" s="392"/>
      <c r="BC314" s="392"/>
      <c r="BD314" s="392"/>
      <c r="BE314" s="392"/>
      <c r="BF314" s="392"/>
      <c r="BG314" s="392"/>
      <c r="BH314" s="392"/>
      <c r="BI314" s="392"/>
      <c r="BJ314" s="392"/>
      <c r="BK314" s="392"/>
      <c r="BL314" s="392"/>
      <c r="BM314" s="392"/>
      <c r="BN314" s="392"/>
      <c r="BO314" s="392"/>
      <c r="BP314" s="392"/>
      <c r="BQ314" s="392"/>
      <c r="BR314" s="392"/>
      <c r="BS314" s="392"/>
      <c r="BT314" s="392"/>
      <c r="BU314" s="392"/>
      <c r="BV314" s="392"/>
      <c r="BW314" s="392"/>
      <c r="BX314" s="392"/>
      <c r="BY314" s="392"/>
      <c r="BZ314" s="392"/>
      <c r="CA314" s="392"/>
      <c r="CB314" s="392"/>
      <c r="CC314" s="392"/>
      <c r="CD314" s="392"/>
      <c r="CE314" s="392"/>
      <c r="CF314" s="392"/>
      <c r="CG314" s="392"/>
      <c r="CH314" s="392"/>
      <c r="CI314" s="392"/>
      <c r="CJ314" s="392"/>
      <c r="CK314" s="392"/>
      <c r="CL314" s="392"/>
      <c r="CM314" s="392"/>
      <c r="CN314" s="392"/>
      <c r="CO314" s="392"/>
      <c r="CP314" s="392"/>
      <c r="CQ314" s="392"/>
      <c r="CR314" s="392"/>
      <c r="CS314" s="392"/>
      <c r="CT314" s="392"/>
      <c r="CU314" s="392"/>
      <c r="CV314" s="392"/>
      <c r="CW314" s="392"/>
      <c r="CX314" s="392"/>
      <c r="CY314" s="392"/>
      <c r="CZ314" s="392"/>
      <c r="DA314" s="392"/>
      <c r="DB314" s="392"/>
      <c r="DC314" s="392"/>
      <c r="DD314" s="392"/>
      <c r="DE314" s="392"/>
      <c r="DF314" s="392"/>
      <c r="DG314" s="392"/>
      <c r="DH314" s="392"/>
      <c r="DI314" s="392"/>
      <c r="DJ314" s="392"/>
      <c r="DK314" s="392"/>
      <c r="DL314" s="392"/>
      <c r="DM314" s="392"/>
      <c r="DN314" s="392"/>
      <c r="DO314" s="392"/>
      <c r="DP314" s="392"/>
      <c r="DQ314" s="392"/>
      <c r="DR314" s="392"/>
      <c r="DS314" s="392"/>
      <c r="DT314" s="392"/>
      <c r="DU314" s="392"/>
      <c r="DV314" s="392"/>
      <c r="DW314" s="392"/>
      <c r="DX314" s="392"/>
      <c r="DY314" s="392"/>
      <c r="DZ314" s="392"/>
      <c r="EA314" s="392"/>
      <c r="EB314" s="392"/>
      <c r="EC314" s="392"/>
      <c r="ED314" s="392"/>
      <c r="EE314" s="392"/>
      <c r="EF314" s="392"/>
      <c r="EG314" s="392"/>
      <c r="EH314" s="392"/>
      <c r="EI314" s="392"/>
      <c r="EJ314" s="392"/>
      <c r="EK314" s="392"/>
      <c r="EL314" s="392"/>
      <c r="EM314" s="392"/>
      <c r="EN314" s="392"/>
      <c r="EO314" s="392"/>
      <c r="EP314" s="392"/>
      <c r="EQ314" s="392"/>
      <c r="ER314" s="392"/>
      <c r="ES314" s="392"/>
      <c r="ET314" s="392"/>
      <c r="EU314" s="392"/>
      <c r="EV314" s="392"/>
      <c r="EW314" s="392"/>
      <c r="EX314" s="392"/>
      <c r="EY314" s="392"/>
      <c r="EZ314" s="392"/>
      <c r="FA314" s="392"/>
      <c r="FB314" s="392"/>
      <c r="FC314" s="392"/>
      <c r="FD314" s="392"/>
      <c r="FE314" s="392"/>
      <c r="FF314" s="392"/>
      <c r="FG314" s="392"/>
      <c r="FH314" s="392"/>
      <c r="FI314" s="392"/>
      <c r="FJ314" s="392"/>
      <c r="FK314" s="392"/>
      <c r="FL314" s="392"/>
      <c r="FM314" s="392"/>
      <c r="FN314" s="392"/>
      <c r="FO314" s="392"/>
      <c r="FP314" s="392"/>
      <c r="FQ314" s="392"/>
      <c r="FR314" s="392"/>
      <c r="FS314" s="392"/>
      <c r="FT314" s="392"/>
      <c r="FU314" s="392"/>
      <c r="FV314" s="392"/>
      <c r="FW314" s="392"/>
      <c r="FX314" s="392"/>
      <c r="FY314" s="392"/>
      <c r="FZ314" s="392"/>
      <c r="GA314" s="392"/>
      <c r="GB314" s="392"/>
      <c r="GC314" s="392"/>
      <c r="GD314" s="392"/>
      <c r="GE314" s="392"/>
      <c r="GF314" s="392"/>
      <c r="GG314" s="392"/>
      <c r="GH314" s="392"/>
      <c r="GI314" s="392"/>
      <c r="GJ314" s="392"/>
      <c r="GK314" s="392"/>
      <c r="GL314" s="392"/>
      <c r="GM314" s="392"/>
      <c r="GN314" s="392"/>
      <c r="GO314" s="392"/>
      <c r="GP314" s="392"/>
      <c r="GQ314" s="392"/>
      <c r="GR314" s="392"/>
      <c r="GS314" s="392"/>
      <c r="GT314" s="392"/>
      <c r="GU314" s="392"/>
      <c r="GV314" s="392"/>
      <c r="GW314" s="392"/>
      <c r="GX314" s="392"/>
      <c r="GY314" s="392"/>
      <c r="GZ314" s="392"/>
      <c r="HA314" s="392"/>
      <c r="HB314" s="392"/>
      <c r="HC314" s="392"/>
      <c r="HD314" s="392"/>
      <c r="HE314" s="392"/>
      <c r="HF314" s="392"/>
      <c r="HG314" s="392"/>
      <c r="HH314" s="392"/>
      <c r="HI314" s="392"/>
      <c r="HJ314" s="392"/>
      <c r="HK314" s="392"/>
      <c r="HL314" s="392"/>
      <c r="HM314" s="392"/>
      <c r="HN314" s="392"/>
      <c r="HO314" s="392"/>
      <c r="HP314" s="392"/>
      <c r="HQ314" s="392"/>
      <c r="HR314" s="392"/>
      <c r="HS314" s="392"/>
      <c r="HT314" s="392"/>
      <c r="HU314" s="392"/>
      <c r="HV314" s="392"/>
      <c r="HW314" s="392"/>
      <c r="HX314" s="392"/>
      <c r="HY314" s="392"/>
      <c r="HZ314" s="392"/>
      <c r="IA314" s="392"/>
      <c r="IB314" s="392"/>
      <c r="IC314" s="392"/>
      <c r="ID314" s="392"/>
      <c r="IE314" s="392"/>
      <c r="IF314" s="392"/>
      <c r="IG314" s="392"/>
      <c r="IH314" s="392"/>
      <c r="II314" s="392"/>
      <c r="IJ314" s="392"/>
      <c r="IK314" s="392"/>
      <c r="IL314" s="392"/>
      <c r="IM314" s="392"/>
      <c r="IN314" s="392"/>
      <c r="IO314" s="392"/>
      <c r="IP314" s="392"/>
      <c r="IQ314" s="392"/>
      <c r="IR314" s="392"/>
      <c r="IS314" s="392"/>
      <c r="IT314" s="392"/>
      <c r="IU314" s="392"/>
      <c r="IV314" s="392"/>
    </row>
    <row r="315" spans="1:256">
      <c r="A315" s="392"/>
      <c r="B315" s="471" t="s">
        <v>188</v>
      </c>
      <c r="C315" s="472" t="s">
        <v>641</v>
      </c>
      <c r="D315" s="473">
        <v>1621.64</v>
      </c>
      <c r="E315" s="495">
        <v>1080.72</v>
      </c>
      <c r="F315" s="475">
        <v>1753.83</v>
      </c>
      <c r="G315" s="476">
        <f>MEDIAN(D315:F315)</f>
        <v>1621.64</v>
      </c>
      <c r="H315" s="392"/>
      <c r="I315" s="392"/>
      <c r="J315" s="392"/>
      <c r="K315" s="392"/>
      <c r="L315" s="392"/>
      <c r="M315" s="392"/>
      <c r="N315" s="392"/>
      <c r="O315" s="392"/>
      <c r="P315" s="392"/>
      <c r="Q315" s="392"/>
      <c r="R315" s="392"/>
      <c r="S315" s="392"/>
      <c r="T315" s="392"/>
      <c r="U315" s="392"/>
      <c r="V315" s="392"/>
      <c r="W315" s="392"/>
      <c r="X315" s="392"/>
      <c r="Y315" s="392"/>
      <c r="Z315" s="392"/>
      <c r="AA315" s="392"/>
      <c r="AB315" s="392"/>
      <c r="AC315" s="392"/>
      <c r="AD315" s="392"/>
      <c r="AE315" s="392"/>
      <c r="AF315" s="392"/>
      <c r="AG315" s="392"/>
      <c r="AH315" s="392"/>
      <c r="AI315" s="392"/>
      <c r="AJ315" s="392"/>
      <c r="AK315" s="392"/>
      <c r="AL315" s="392"/>
      <c r="AM315" s="392"/>
      <c r="AN315" s="392"/>
      <c r="AO315" s="392"/>
      <c r="AP315" s="392"/>
      <c r="AQ315" s="392"/>
      <c r="AR315" s="392"/>
      <c r="AS315" s="392"/>
      <c r="AT315" s="392"/>
      <c r="AU315" s="392"/>
      <c r="AV315" s="392"/>
      <c r="AW315" s="392"/>
      <c r="AX315" s="392"/>
      <c r="AY315" s="392"/>
      <c r="AZ315" s="392"/>
      <c r="BA315" s="392"/>
      <c r="BB315" s="392"/>
      <c r="BC315" s="392"/>
      <c r="BD315" s="392"/>
      <c r="BE315" s="392"/>
      <c r="BF315" s="392"/>
      <c r="BG315" s="392"/>
      <c r="BH315" s="392"/>
      <c r="BI315" s="392"/>
      <c r="BJ315" s="392"/>
      <c r="BK315" s="392"/>
      <c r="BL315" s="392"/>
      <c r="BM315" s="392"/>
      <c r="BN315" s="392"/>
      <c r="BO315" s="392"/>
      <c r="BP315" s="392"/>
      <c r="BQ315" s="392"/>
      <c r="BR315" s="392"/>
      <c r="BS315" s="392"/>
      <c r="BT315" s="392"/>
      <c r="BU315" s="392"/>
      <c r="BV315" s="392"/>
      <c r="BW315" s="392"/>
      <c r="BX315" s="392"/>
      <c r="BY315" s="392"/>
      <c r="BZ315" s="392"/>
      <c r="CA315" s="392"/>
      <c r="CB315" s="392"/>
      <c r="CC315" s="392"/>
      <c r="CD315" s="392"/>
      <c r="CE315" s="392"/>
      <c r="CF315" s="392"/>
      <c r="CG315" s="392"/>
      <c r="CH315" s="392"/>
      <c r="CI315" s="392"/>
      <c r="CJ315" s="392"/>
      <c r="CK315" s="392"/>
      <c r="CL315" s="392"/>
      <c r="CM315" s="392"/>
      <c r="CN315" s="392"/>
      <c r="CO315" s="392"/>
      <c r="CP315" s="392"/>
      <c r="CQ315" s="392"/>
      <c r="CR315" s="392"/>
      <c r="CS315" s="392"/>
      <c r="CT315" s="392"/>
      <c r="CU315" s="392"/>
      <c r="CV315" s="392"/>
      <c r="CW315" s="392"/>
      <c r="CX315" s="392"/>
      <c r="CY315" s="392"/>
      <c r="CZ315" s="392"/>
      <c r="DA315" s="392"/>
      <c r="DB315" s="392"/>
      <c r="DC315" s="392"/>
      <c r="DD315" s="392"/>
      <c r="DE315" s="392"/>
      <c r="DF315" s="392"/>
      <c r="DG315" s="392"/>
      <c r="DH315" s="392"/>
      <c r="DI315" s="392"/>
      <c r="DJ315" s="392"/>
      <c r="DK315" s="392"/>
      <c r="DL315" s="392"/>
      <c r="DM315" s="392"/>
      <c r="DN315" s="392"/>
      <c r="DO315" s="392"/>
      <c r="DP315" s="392"/>
      <c r="DQ315" s="392"/>
      <c r="DR315" s="392"/>
      <c r="DS315" s="392"/>
      <c r="DT315" s="392"/>
      <c r="DU315" s="392"/>
      <c r="DV315" s="392"/>
      <c r="DW315" s="392"/>
      <c r="DX315" s="392"/>
      <c r="DY315" s="392"/>
      <c r="DZ315" s="392"/>
      <c r="EA315" s="392"/>
      <c r="EB315" s="392"/>
      <c r="EC315" s="392"/>
      <c r="ED315" s="392"/>
      <c r="EE315" s="392"/>
      <c r="EF315" s="392"/>
      <c r="EG315" s="392"/>
      <c r="EH315" s="392"/>
      <c r="EI315" s="392"/>
      <c r="EJ315" s="392"/>
      <c r="EK315" s="392"/>
      <c r="EL315" s="392"/>
      <c r="EM315" s="392"/>
      <c r="EN315" s="392"/>
      <c r="EO315" s="392"/>
      <c r="EP315" s="392"/>
      <c r="EQ315" s="392"/>
      <c r="ER315" s="392"/>
      <c r="ES315" s="392"/>
      <c r="ET315" s="392"/>
      <c r="EU315" s="392"/>
      <c r="EV315" s="392"/>
      <c r="EW315" s="392"/>
      <c r="EX315" s="392"/>
      <c r="EY315" s="392"/>
      <c r="EZ315" s="392"/>
      <c r="FA315" s="392"/>
      <c r="FB315" s="392"/>
      <c r="FC315" s="392"/>
      <c r="FD315" s="392"/>
      <c r="FE315" s="392"/>
      <c r="FF315" s="392"/>
      <c r="FG315" s="392"/>
      <c r="FH315" s="392"/>
      <c r="FI315" s="392"/>
      <c r="FJ315" s="392"/>
      <c r="FK315" s="392"/>
      <c r="FL315" s="392"/>
      <c r="FM315" s="392"/>
      <c r="FN315" s="392"/>
      <c r="FO315" s="392"/>
      <c r="FP315" s="392"/>
      <c r="FQ315" s="392"/>
      <c r="FR315" s="392"/>
      <c r="FS315" s="392"/>
      <c r="FT315" s="392"/>
      <c r="FU315" s="392"/>
      <c r="FV315" s="392"/>
      <c r="FW315" s="392"/>
      <c r="FX315" s="392"/>
      <c r="FY315" s="392"/>
      <c r="FZ315" s="392"/>
      <c r="GA315" s="392"/>
      <c r="GB315" s="392"/>
      <c r="GC315" s="392"/>
      <c r="GD315" s="392"/>
      <c r="GE315" s="392"/>
      <c r="GF315" s="392"/>
      <c r="GG315" s="392"/>
      <c r="GH315" s="392"/>
      <c r="GI315" s="392"/>
      <c r="GJ315" s="392"/>
      <c r="GK315" s="392"/>
      <c r="GL315" s="392"/>
      <c r="GM315" s="392"/>
      <c r="GN315" s="392"/>
      <c r="GO315" s="392"/>
      <c r="GP315" s="392"/>
      <c r="GQ315" s="392"/>
      <c r="GR315" s="392"/>
      <c r="GS315" s="392"/>
      <c r="GT315" s="392"/>
      <c r="GU315" s="392"/>
      <c r="GV315" s="392"/>
      <c r="GW315" s="392"/>
      <c r="GX315" s="392"/>
      <c r="GY315" s="392"/>
      <c r="GZ315" s="392"/>
      <c r="HA315" s="392"/>
      <c r="HB315" s="392"/>
      <c r="HC315" s="392"/>
      <c r="HD315" s="392"/>
      <c r="HE315" s="392"/>
      <c r="HF315" s="392"/>
      <c r="HG315" s="392"/>
      <c r="HH315" s="392"/>
      <c r="HI315" s="392"/>
      <c r="HJ315" s="392"/>
      <c r="HK315" s="392"/>
      <c r="HL315" s="392"/>
      <c r="HM315" s="392"/>
      <c r="HN315" s="392"/>
      <c r="HO315" s="392"/>
      <c r="HP315" s="392"/>
      <c r="HQ315" s="392"/>
      <c r="HR315" s="392"/>
      <c r="HS315" s="392"/>
      <c r="HT315" s="392"/>
      <c r="HU315" s="392"/>
      <c r="HV315" s="392"/>
      <c r="HW315" s="392"/>
      <c r="HX315" s="392"/>
      <c r="HY315" s="392"/>
      <c r="HZ315" s="392"/>
      <c r="IA315" s="392"/>
      <c r="IB315" s="392"/>
      <c r="IC315" s="392"/>
      <c r="ID315" s="392"/>
      <c r="IE315" s="392"/>
      <c r="IF315" s="392"/>
      <c r="IG315" s="392"/>
      <c r="IH315" s="392"/>
      <c r="II315" s="392"/>
      <c r="IJ315" s="392"/>
      <c r="IK315" s="392"/>
      <c r="IL315" s="392"/>
      <c r="IM315" s="392"/>
      <c r="IN315" s="392"/>
      <c r="IO315" s="392"/>
      <c r="IP315" s="392"/>
      <c r="IQ315" s="392"/>
      <c r="IR315" s="392"/>
      <c r="IS315" s="392"/>
      <c r="IT315" s="392"/>
      <c r="IU315" s="392"/>
      <c r="IV315" s="392"/>
    </row>
    <row r="316" spans="1:256">
      <c r="A316" s="392"/>
      <c r="B316" s="477" t="s">
        <v>193</v>
      </c>
      <c r="C316" s="478" t="s">
        <v>642</v>
      </c>
      <c r="D316" s="479">
        <v>916.57</v>
      </c>
      <c r="E316" s="496">
        <v>1044.3699999999999</v>
      </c>
      <c r="F316" s="484">
        <v>1665.7</v>
      </c>
      <c r="G316" s="476">
        <f>MEDIAN(D316:F316)</f>
        <v>1044.3699999999999</v>
      </c>
      <c r="H316" s="392"/>
      <c r="I316" s="392"/>
      <c r="J316" s="392"/>
      <c r="K316" s="392"/>
      <c r="L316" s="392"/>
      <c r="M316" s="392"/>
      <c r="N316" s="392"/>
      <c r="O316" s="392"/>
      <c r="P316" s="392"/>
      <c r="Q316" s="392"/>
      <c r="R316" s="392"/>
      <c r="S316" s="392"/>
      <c r="T316" s="392"/>
      <c r="U316" s="392"/>
      <c r="V316" s="392"/>
      <c r="W316" s="392"/>
      <c r="X316" s="392"/>
      <c r="Y316" s="392"/>
      <c r="Z316" s="392"/>
      <c r="AA316" s="392"/>
      <c r="AB316" s="392"/>
      <c r="AC316" s="392"/>
      <c r="AD316" s="392"/>
      <c r="AE316" s="392"/>
      <c r="AF316" s="392"/>
      <c r="AG316" s="392"/>
      <c r="AH316" s="392"/>
      <c r="AI316" s="392"/>
      <c r="AJ316" s="392"/>
      <c r="AK316" s="392"/>
      <c r="AL316" s="392"/>
      <c r="AM316" s="392"/>
      <c r="AN316" s="392"/>
      <c r="AO316" s="392"/>
      <c r="AP316" s="392"/>
      <c r="AQ316" s="392"/>
      <c r="AR316" s="392"/>
      <c r="AS316" s="392"/>
      <c r="AT316" s="392"/>
      <c r="AU316" s="392"/>
      <c r="AV316" s="392"/>
      <c r="AW316" s="392"/>
      <c r="AX316" s="392"/>
      <c r="AY316" s="392"/>
      <c r="AZ316" s="392"/>
      <c r="BA316" s="392"/>
      <c r="BB316" s="392"/>
      <c r="BC316" s="392"/>
      <c r="BD316" s="392"/>
      <c r="BE316" s="392"/>
      <c r="BF316" s="392"/>
      <c r="BG316" s="392"/>
      <c r="BH316" s="392"/>
      <c r="BI316" s="392"/>
      <c r="BJ316" s="392"/>
      <c r="BK316" s="392"/>
      <c r="BL316" s="392"/>
      <c r="BM316" s="392"/>
      <c r="BN316" s="392"/>
      <c r="BO316" s="392"/>
      <c r="BP316" s="392"/>
      <c r="BQ316" s="392"/>
      <c r="BR316" s="392"/>
      <c r="BS316" s="392"/>
      <c r="BT316" s="392"/>
      <c r="BU316" s="392"/>
      <c r="BV316" s="392"/>
      <c r="BW316" s="392"/>
      <c r="BX316" s="392"/>
      <c r="BY316" s="392"/>
      <c r="BZ316" s="392"/>
      <c r="CA316" s="392"/>
      <c r="CB316" s="392"/>
      <c r="CC316" s="392"/>
      <c r="CD316" s="392"/>
      <c r="CE316" s="392"/>
      <c r="CF316" s="392"/>
      <c r="CG316" s="392"/>
      <c r="CH316" s="392"/>
      <c r="CI316" s="392"/>
      <c r="CJ316" s="392"/>
      <c r="CK316" s="392"/>
      <c r="CL316" s="392"/>
      <c r="CM316" s="392"/>
      <c r="CN316" s="392"/>
      <c r="CO316" s="392"/>
      <c r="CP316" s="392"/>
      <c r="CQ316" s="392"/>
      <c r="CR316" s="392"/>
      <c r="CS316" s="392"/>
      <c r="CT316" s="392"/>
      <c r="CU316" s="392"/>
      <c r="CV316" s="392"/>
      <c r="CW316" s="392"/>
      <c r="CX316" s="392"/>
      <c r="CY316" s="392"/>
      <c r="CZ316" s="392"/>
      <c r="DA316" s="392"/>
      <c r="DB316" s="392"/>
      <c r="DC316" s="392"/>
      <c r="DD316" s="392"/>
      <c r="DE316" s="392"/>
      <c r="DF316" s="392"/>
      <c r="DG316" s="392"/>
      <c r="DH316" s="392"/>
      <c r="DI316" s="392"/>
      <c r="DJ316" s="392"/>
      <c r="DK316" s="392"/>
      <c r="DL316" s="392"/>
      <c r="DM316" s="392"/>
      <c r="DN316" s="392"/>
      <c r="DO316" s="392"/>
      <c r="DP316" s="392"/>
      <c r="DQ316" s="392"/>
      <c r="DR316" s="392"/>
      <c r="DS316" s="392"/>
      <c r="DT316" s="392"/>
      <c r="DU316" s="392"/>
      <c r="DV316" s="392"/>
      <c r="DW316" s="392"/>
      <c r="DX316" s="392"/>
      <c r="DY316" s="392"/>
      <c r="DZ316" s="392"/>
      <c r="EA316" s="392"/>
      <c r="EB316" s="392"/>
      <c r="EC316" s="392"/>
      <c r="ED316" s="392"/>
      <c r="EE316" s="392"/>
      <c r="EF316" s="392"/>
      <c r="EG316" s="392"/>
      <c r="EH316" s="392"/>
      <c r="EI316" s="392"/>
      <c r="EJ316" s="392"/>
      <c r="EK316" s="392"/>
      <c r="EL316" s="392"/>
      <c r="EM316" s="392"/>
      <c r="EN316" s="392"/>
      <c r="EO316" s="392"/>
      <c r="EP316" s="392"/>
      <c r="EQ316" s="392"/>
      <c r="ER316" s="392"/>
      <c r="ES316" s="392"/>
      <c r="ET316" s="392"/>
      <c r="EU316" s="392"/>
      <c r="EV316" s="392"/>
      <c r="EW316" s="392"/>
      <c r="EX316" s="392"/>
      <c r="EY316" s="392"/>
      <c r="EZ316" s="392"/>
      <c r="FA316" s="392"/>
      <c r="FB316" s="392"/>
      <c r="FC316" s="392"/>
      <c r="FD316" s="392"/>
      <c r="FE316" s="392"/>
      <c r="FF316" s="392"/>
      <c r="FG316" s="392"/>
      <c r="FH316" s="392"/>
      <c r="FI316" s="392"/>
      <c r="FJ316" s="392"/>
      <c r="FK316" s="392"/>
      <c r="FL316" s="392"/>
      <c r="FM316" s="392"/>
      <c r="FN316" s="392"/>
      <c r="FO316" s="392"/>
      <c r="FP316" s="392"/>
      <c r="FQ316" s="392"/>
      <c r="FR316" s="392"/>
      <c r="FS316" s="392"/>
      <c r="FT316" s="392"/>
      <c r="FU316" s="392"/>
      <c r="FV316" s="392"/>
      <c r="FW316" s="392"/>
      <c r="FX316" s="392"/>
      <c r="FY316" s="392"/>
      <c r="FZ316" s="392"/>
      <c r="GA316" s="392"/>
      <c r="GB316" s="392"/>
      <c r="GC316" s="392"/>
      <c r="GD316" s="392"/>
      <c r="GE316" s="392"/>
      <c r="GF316" s="392"/>
      <c r="GG316" s="392"/>
      <c r="GH316" s="392"/>
      <c r="GI316" s="392"/>
      <c r="GJ316" s="392"/>
      <c r="GK316" s="392"/>
      <c r="GL316" s="392"/>
      <c r="GM316" s="392"/>
      <c r="GN316" s="392"/>
      <c r="GO316" s="392"/>
      <c r="GP316" s="392"/>
      <c r="GQ316" s="392"/>
      <c r="GR316" s="392"/>
      <c r="GS316" s="392"/>
      <c r="GT316" s="392"/>
      <c r="GU316" s="392"/>
      <c r="GV316" s="392"/>
      <c r="GW316" s="392"/>
      <c r="GX316" s="392"/>
      <c r="GY316" s="392"/>
      <c r="GZ316" s="392"/>
      <c r="HA316" s="392"/>
      <c r="HB316" s="392"/>
      <c r="HC316" s="392"/>
      <c r="HD316" s="392"/>
      <c r="HE316" s="392"/>
      <c r="HF316" s="392"/>
      <c r="HG316" s="392"/>
      <c r="HH316" s="392"/>
      <c r="HI316" s="392"/>
      <c r="HJ316" s="392"/>
      <c r="HK316" s="392"/>
      <c r="HL316" s="392"/>
      <c r="HM316" s="392"/>
      <c r="HN316" s="392"/>
      <c r="HO316" s="392"/>
      <c r="HP316" s="392"/>
      <c r="HQ316" s="392"/>
      <c r="HR316" s="392"/>
      <c r="HS316" s="392"/>
      <c r="HT316" s="392"/>
      <c r="HU316" s="392"/>
      <c r="HV316" s="392"/>
      <c r="HW316" s="392"/>
      <c r="HX316" s="392"/>
      <c r="HY316" s="392"/>
      <c r="HZ316" s="392"/>
      <c r="IA316" s="392"/>
      <c r="IB316" s="392"/>
      <c r="IC316" s="392"/>
      <c r="ID316" s="392"/>
      <c r="IE316" s="392"/>
      <c r="IF316" s="392"/>
      <c r="IG316" s="392"/>
      <c r="IH316" s="392"/>
      <c r="II316" s="392"/>
      <c r="IJ316" s="392"/>
      <c r="IK316" s="392"/>
      <c r="IL316" s="392"/>
      <c r="IM316" s="392"/>
      <c r="IN316" s="392"/>
      <c r="IO316" s="392"/>
      <c r="IP316" s="392"/>
      <c r="IQ316" s="392"/>
      <c r="IR316" s="392"/>
      <c r="IS316" s="392"/>
      <c r="IT316" s="392"/>
      <c r="IU316" s="392"/>
      <c r="IV316" s="392"/>
    </row>
    <row r="317" spans="1:256">
      <c r="A317" s="392"/>
      <c r="B317" s="482" t="s">
        <v>604</v>
      </c>
      <c r="C317" s="478" t="s">
        <v>643</v>
      </c>
      <c r="D317" s="479">
        <v>1727.39</v>
      </c>
      <c r="E317" s="496">
        <v>1805.61</v>
      </c>
      <c r="F317" s="484">
        <v>3516.49</v>
      </c>
      <c r="G317" s="476">
        <f>MEDIAN(D317:F317)</f>
        <v>1805.61</v>
      </c>
      <c r="H317" s="392"/>
      <c r="I317" s="392"/>
      <c r="J317" s="392"/>
      <c r="K317" s="392"/>
      <c r="L317" s="392"/>
      <c r="M317" s="392"/>
      <c r="N317" s="392"/>
      <c r="O317" s="392"/>
      <c r="P317" s="392"/>
      <c r="Q317" s="392"/>
      <c r="R317" s="392"/>
      <c r="S317" s="392"/>
      <c r="T317" s="392"/>
      <c r="U317" s="392"/>
      <c r="V317" s="392"/>
      <c r="W317" s="392"/>
      <c r="X317" s="392"/>
      <c r="Y317" s="392"/>
      <c r="Z317" s="392"/>
      <c r="AA317" s="392"/>
      <c r="AB317" s="392"/>
      <c r="AC317" s="392"/>
      <c r="AD317" s="392"/>
      <c r="AE317" s="392"/>
      <c r="AF317" s="392"/>
      <c r="AG317" s="392"/>
      <c r="AH317" s="392"/>
      <c r="AI317" s="392"/>
      <c r="AJ317" s="392"/>
      <c r="AK317" s="392"/>
      <c r="AL317" s="392"/>
      <c r="AM317" s="392"/>
      <c r="AN317" s="392"/>
      <c r="AO317" s="392"/>
      <c r="AP317" s="392"/>
      <c r="AQ317" s="392"/>
      <c r="AR317" s="392"/>
      <c r="AS317" s="392"/>
      <c r="AT317" s="392"/>
      <c r="AU317" s="392"/>
      <c r="AV317" s="392"/>
      <c r="AW317" s="392"/>
      <c r="AX317" s="392"/>
      <c r="AY317" s="392"/>
      <c r="AZ317" s="392"/>
      <c r="BA317" s="392"/>
      <c r="BB317" s="392"/>
      <c r="BC317" s="392"/>
      <c r="BD317" s="392"/>
      <c r="BE317" s="392"/>
      <c r="BF317" s="392"/>
      <c r="BG317" s="392"/>
      <c r="BH317" s="392"/>
      <c r="BI317" s="392"/>
      <c r="BJ317" s="392"/>
      <c r="BK317" s="392"/>
      <c r="BL317" s="392"/>
      <c r="BM317" s="392"/>
      <c r="BN317" s="392"/>
      <c r="BO317" s="392"/>
      <c r="BP317" s="392"/>
      <c r="BQ317" s="392"/>
      <c r="BR317" s="392"/>
      <c r="BS317" s="392"/>
      <c r="BT317" s="392"/>
      <c r="BU317" s="392"/>
      <c r="BV317" s="392"/>
      <c r="BW317" s="392"/>
      <c r="BX317" s="392"/>
      <c r="BY317" s="392"/>
      <c r="BZ317" s="392"/>
      <c r="CA317" s="392"/>
      <c r="CB317" s="392"/>
      <c r="CC317" s="392"/>
      <c r="CD317" s="392"/>
      <c r="CE317" s="392"/>
      <c r="CF317" s="392"/>
      <c r="CG317" s="392"/>
      <c r="CH317" s="392"/>
      <c r="CI317" s="392"/>
      <c r="CJ317" s="392"/>
      <c r="CK317" s="392"/>
      <c r="CL317" s="392"/>
      <c r="CM317" s="392"/>
      <c r="CN317" s="392"/>
      <c r="CO317" s="392"/>
      <c r="CP317" s="392"/>
      <c r="CQ317" s="392"/>
      <c r="CR317" s="392"/>
      <c r="CS317" s="392"/>
      <c r="CT317" s="392"/>
      <c r="CU317" s="392"/>
      <c r="CV317" s="392"/>
      <c r="CW317" s="392"/>
      <c r="CX317" s="392"/>
      <c r="CY317" s="392"/>
      <c r="CZ317" s="392"/>
      <c r="DA317" s="392"/>
      <c r="DB317" s="392"/>
      <c r="DC317" s="392"/>
      <c r="DD317" s="392"/>
      <c r="DE317" s="392"/>
      <c r="DF317" s="392"/>
      <c r="DG317" s="392"/>
      <c r="DH317" s="392"/>
      <c r="DI317" s="392"/>
      <c r="DJ317" s="392"/>
      <c r="DK317" s="392"/>
      <c r="DL317" s="392"/>
      <c r="DM317" s="392"/>
      <c r="DN317" s="392"/>
      <c r="DO317" s="392"/>
      <c r="DP317" s="392"/>
      <c r="DQ317" s="392"/>
      <c r="DR317" s="392"/>
      <c r="DS317" s="392"/>
      <c r="DT317" s="392"/>
      <c r="DU317" s="392"/>
      <c r="DV317" s="392"/>
      <c r="DW317" s="392"/>
      <c r="DX317" s="392"/>
      <c r="DY317" s="392"/>
      <c r="DZ317" s="392"/>
      <c r="EA317" s="392"/>
      <c r="EB317" s="392"/>
      <c r="EC317" s="392"/>
      <c r="ED317" s="392"/>
      <c r="EE317" s="392"/>
      <c r="EF317" s="392"/>
      <c r="EG317" s="392"/>
      <c r="EH317" s="392"/>
      <c r="EI317" s="392"/>
      <c r="EJ317" s="392"/>
      <c r="EK317" s="392"/>
      <c r="EL317" s="392"/>
      <c r="EM317" s="392"/>
      <c r="EN317" s="392"/>
      <c r="EO317" s="392"/>
      <c r="EP317" s="392"/>
      <c r="EQ317" s="392"/>
      <c r="ER317" s="392"/>
      <c r="ES317" s="392"/>
      <c r="ET317" s="392"/>
      <c r="EU317" s="392"/>
      <c r="EV317" s="392"/>
      <c r="EW317" s="392"/>
      <c r="EX317" s="392"/>
      <c r="EY317" s="392"/>
      <c r="EZ317" s="392"/>
      <c r="FA317" s="392"/>
      <c r="FB317" s="392"/>
      <c r="FC317" s="392"/>
      <c r="FD317" s="392"/>
      <c r="FE317" s="392"/>
      <c r="FF317" s="392"/>
      <c r="FG317" s="392"/>
      <c r="FH317" s="392"/>
      <c r="FI317" s="392"/>
      <c r="FJ317" s="392"/>
      <c r="FK317" s="392"/>
      <c r="FL317" s="392"/>
      <c r="FM317" s="392"/>
      <c r="FN317" s="392"/>
      <c r="FO317" s="392"/>
      <c r="FP317" s="392"/>
      <c r="FQ317" s="392"/>
      <c r="FR317" s="392"/>
      <c r="FS317" s="392"/>
      <c r="FT317" s="392"/>
      <c r="FU317" s="392"/>
      <c r="FV317" s="392"/>
      <c r="FW317" s="392"/>
      <c r="FX317" s="392"/>
      <c r="FY317" s="392"/>
      <c r="FZ317" s="392"/>
      <c r="GA317" s="392"/>
      <c r="GB317" s="392"/>
      <c r="GC317" s="392"/>
      <c r="GD317" s="392"/>
      <c r="GE317" s="392"/>
      <c r="GF317" s="392"/>
      <c r="GG317" s="392"/>
      <c r="GH317" s="392"/>
      <c r="GI317" s="392"/>
      <c r="GJ317" s="392"/>
      <c r="GK317" s="392"/>
      <c r="GL317" s="392"/>
      <c r="GM317" s="392"/>
      <c r="GN317" s="392"/>
      <c r="GO317" s="392"/>
      <c r="GP317" s="392"/>
      <c r="GQ317" s="392"/>
      <c r="GR317" s="392"/>
      <c r="GS317" s="392"/>
      <c r="GT317" s="392"/>
      <c r="GU317" s="392"/>
      <c r="GV317" s="392"/>
      <c r="GW317" s="392"/>
      <c r="GX317" s="392"/>
      <c r="GY317" s="392"/>
      <c r="GZ317" s="392"/>
      <c r="HA317" s="392"/>
      <c r="HB317" s="392"/>
      <c r="HC317" s="392"/>
      <c r="HD317" s="392"/>
      <c r="HE317" s="392"/>
      <c r="HF317" s="392"/>
      <c r="HG317" s="392"/>
      <c r="HH317" s="392"/>
      <c r="HI317" s="392"/>
      <c r="HJ317" s="392"/>
      <c r="HK317" s="392"/>
      <c r="HL317" s="392"/>
      <c r="HM317" s="392"/>
      <c r="HN317" s="392"/>
      <c r="HO317" s="392"/>
      <c r="HP317" s="392"/>
      <c r="HQ317" s="392"/>
      <c r="HR317" s="392"/>
      <c r="HS317" s="392"/>
      <c r="HT317" s="392"/>
      <c r="HU317" s="392"/>
      <c r="HV317" s="392"/>
      <c r="HW317" s="392"/>
      <c r="HX317" s="392"/>
      <c r="HY317" s="392"/>
      <c r="HZ317" s="392"/>
      <c r="IA317" s="392"/>
      <c r="IB317" s="392"/>
      <c r="IC317" s="392"/>
      <c r="ID317" s="392"/>
      <c r="IE317" s="392"/>
      <c r="IF317" s="392"/>
      <c r="IG317" s="392"/>
      <c r="IH317" s="392"/>
      <c r="II317" s="392"/>
      <c r="IJ317" s="392"/>
      <c r="IK317" s="392"/>
      <c r="IL317" s="392"/>
      <c r="IM317" s="392"/>
      <c r="IN317" s="392"/>
      <c r="IO317" s="392"/>
      <c r="IP317" s="392"/>
      <c r="IQ317" s="392"/>
      <c r="IR317" s="392"/>
      <c r="IS317" s="392"/>
      <c r="IT317" s="392"/>
      <c r="IU317" s="392"/>
      <c r="IV317" s="392"/>
    </row>
    <row r="318" spans="1:256" ht="13.5" thickBot="1">
      <c r="A318" s="392"/>
      <c r="B318" s="485" t="s">
        <v>606</v>
      </c>
      <c r="C318" s="486" t="s">
        <v>644</v>
      </c>
      <c r="D318" s="487">
        <v>6280.47</v>
      </c>
      <c r="E318" s="497">
        <v>4920.6000000000004</v>
      </c>
      <c r="F318" s="489">
        <v>8579.73</v>
      </c>
      <c r="G318" s="490">
        <f>MEDIAN(D318:F318)</f>
        <v>6280.47</v>
      </c>
      <c r="H318" s="392"/>
      <c r="I318" s="392"/>
      <c r="J318" s="392"/>
      <c r="K318" s="392"/>
      <c r="L318" s="392"/>
      <c r="M318" s="392"/>
      <c r="N318" s="392"/>
      <c r="O318" s="392"/>
      <c r="P318" s="392"/>
      <c r="Q318" s="392"/>
      <c r="R318" s="392"/>
      <c r="S318" s="392"/>
      <c r="T318" s="392"/>
      <c r="U318" s="392"/>
      <c r="V318" s="392"/>
      <c r="W318" s="392"/>
      <c r="X318" s="392"/>
      <c r="Y318" s="392"/>
      <c r="Z318" s="392"/>
      <c r="AA318" s="392"/>
      <c r="AB318" s="392"/>
      <c r="AC318" s="392"/>
      <c r="AD318" s="392"/>
      <c r="AE318" s="392"/>
      <c r="AF318" s="392"/>
      <c r="AG318" s="392"/>
      <c r="AH318" s="392"/>
      <c r="AI318" s="392"/>
      <c r="AJ318" s="392"/>
      <c r="AK318" s="392"/>
      <c r="AL318" s="392"/>
      <c r="AM318" s="392"/>
      <c r="AN318" s="392"/>
      <c r="AO318" s="392"/>
      <c r="AP318" s="392"/>
      <c r="AQ318" s="392"/>
      <c r="AR318" s="392"/>
      <c r="AS318" s="392"/>
      <c r="AT318" s="392"/>
      <c r="AU318" s="392"/>
      <c r="AV318" s="392"/>
      <c r="AW318" s="392"/>
      <c r="AX318" s="392"/>
      <c r="AY318" s="392"/>
      <c r="AZ318" s="392"/>
      <c r="BA318" s="392"/>
      <c r="BB318" s="392"/>
      <c r="BC318" s="392"/>
      <c r="BD318" s="392"/>
      <c r="BE318" s="392"/>
      <c r="BF318" s="392"/>
      <c r="BG318" s="392"/>
      <c r="BH318" s="392"/>
      <c r="BI318" s="392"/>
      <c r="BJ318" s="392"/>
      <c r="BK318" s="392"/>
      <c r="BL318" s="392"/>
      <c r="BM318" s="392"/>
      <c r="BN318" s="392"/>
      <c r="BO318" s="392"/>
      <c r="BP318" s="392"/>
      <c r="BQ318" s="392"/>
      <c r="BR318" s="392"/>
      <c r="BS318" s="392"/>
      <c r="BT318" s="392"/>
      <c r="BU318" s="392"/>
      <c r="BV318" s="392"/>
      <c r="BW318" s="392"/>
      <c r="BX318" s="392"/>
      <c r="BY318" s="392"/>
      <c r="BZ318" s="392"/>
      <c r="CA318" s="392"/>
      <c r="CB318" s="392"/>
      <c r="CC318" s="392"/>
      <c r="CD318" s="392"/>
      <c r="CE318" s="392"/>
      <c r="CF318" s="392"/>
      <c r="CG318" s="392"/>
      <c r="CH318" s="392"/>
      <c r="CI318" s="392"/>
      <c r="CJ318" s="392"/>
      <c r="CK318" s="392"/>
      <c r="CL318" s="392"/>
      <c r="CM318" s="392"/>
      <c r="CN318" s="392"/>
      <c r="CO318" s="392"/>
      <c r="CP318" s="392"/>
      <c r="CQ318" s="392"/>
      <c r="CR318" s="392"/>
      <c r="CS318" s="392"/>
      <c r="CT318" s="392"/>
      <c r="CU318" s="392"/>
      <c r="CV318" s="392"/>
      <c r="CW318" s="392"/>
      <c r="CX318" s="392"/>
      <c r="CY318" s="392"/>
      <c r="CZ318" s="392"/>
      <c r="DA318" s="392"/>
      <c r="DB318" s="392"/>
      <c r="DC318" s="392"/>
      <c r="DD318" s="392"/>
      <c r="DE318" s="392"/>
      <c r="DF318" s="392"/>
      <c r="DG318" s="392"/>
      <c r="DH318" s="392"/>
      <c r="DI318" s="392"/>
      <c r="DJ318" s="392"/>
      <c r="DK318" s="392"/>
      <c r="DL318" s="392"/>
      <c r="DM318" s="392"/>
      <c r="DN318" s="392"/>
      <c r="DO318" s="392"/>
      <c r="DP318" s="392"/>
      <c r="DQ318" s="392"/>
      <c r="DR318" s="392"/>
      <c r="DS318" s="392"/>
      <c r="DT318" s="392"/>
      <c r="DU318" s="392"/>
      <c r="DV318" s="392"/>
      <c r="DW318" s="392"/>
      <c r="DX318" s="392"/>
      <c r="DY318" s="392"/>
      <c r="DZ318" s="392"/>
      <c r="EA318" s="392"/>
      <c r="EB318" s="392"/>
      <c r="EC318" s="392"/>
      <c r="ED318" s="392"/>
      <c r="EE318" s="392"/>
      <c r="EF318" s="392"/>
      <c r="EG318" s="392"/>
      <c r="EH318" s="392"/>
      <c r="EI318" s="392"/>
      <c r="EJ318" s="392"/>
      <c r="EK318" s="392"/>
      <c r="EL318" s="392"/>
      <c r="EM318" s="392"/>
      <c r="EN318" s="392"/>
      <c r="EO318" s="392"/>
      <c r="EP318" s="392"/>
      <c r="EQ318" s="392"/>
      <c r="ER318" s="392"/>
      <c r="ES318" s="392"/>
      <c r="ET318" s="392"/>
      <c r="EU318" s="392"/>
      <c r="EV318" s="392"/>
      <c r="EW318" s="392"/>
      <c r="EX318" s="392"/>
      <c r="EY318" s="392"/>
      <c r="EZ318" s="392"/>
      <c r="FA318" s="392"/>
      <c r="FB318" s="392"/>
      <c r="FC318" s="392"/>
      <c r="FD318" s="392"/>
      <c r="FE318" s="392"/>
      <c r="FF318" s="392"/>
      <c r="FG318" s="392"/>
      <c r="FH318" s="392"/>
      <c r="FI318" s="392"/>
      <c r="FJ318" s="392"/>
      <c r="FK318" s="392"/>
      <c r="FL318" s="392"/>
      <c r="FM318" s="392"/>
      <c r="FN318" s="392"/>
      <c r="FO318" s="392"/>
      <c r="FP318" s="392"/>
      <c r="FQ318" s="392"/>
      <c r="FR318" s="392"/>
      <c r="FS318" s="392"/>
      <c r="FT318" s="392"/>
      <c r="FU318" s="392"/>
      <c r="FV318" s="392"/>
      <c r="FW318" s="392"/>
      <c r="FX318" s="392"/>
      <c r="FY318" s="392"/>
      <c r="FZ318" s="392"/>
      <c r="GA318" s="392"/>
      <c r="GB318" s="392"/>
      <c r="GC318" s="392"/>
      <c r="GD318" s="392"/>
      <c r="GE318" s="392"/>
      <c r="GF318" s="392"/>
      <c r="GG318" s="392"/>
      <c r="GH318" s="392"/>
      <c r="GI318" s="392"/>
      <c r="GJ318" s="392"/>
      <c r="GK318" s="392"/>
      <c r="GL318" s="392"/>
      <c r="GM318" s="392"/>
      <c r="GN318" s="392"/>
      <c r="GO318" s="392"/>
      <c r="GP318" s="392"/>
      <c r="GQ318" s="392"/>
      <c r="GR318" s="392"/>
      <c r="GS318" s="392"/>
      <c r="GT318" s="392"/>
      <c r="GU318" s="392"/>
      <c r="GV318" s="392"/>
      <c r="GW318" s="392"/>
      <c r="GX318" s="392"/>
      <c r="GY318" s="392"/>
      <c r="GZ318" s="392"/>
      <c r="HA318" s="392"/>
      <c r="HB318" s="392"/>
      <c r="HC318" s="392"/>
      <c r="HD318" s="392"/>
      <c r="HE318" s="392"/>
      <c r="HF318" s="392"/>
      <c r="HG318" s="392"/>
      <c r="HH318" s="392"/>
      <c r="HI318" s="392"/>
      <c r="HJ318" s="392"/>
      <c r="HK318" s="392"/>
      <c r="HL318" s="392"/>
      <c r="HM318" s="392"/>
      <c r="HN318" s="392"/>
      <c r="HO318" s="392"/>
      <c r="HP318" s="392"/>
      <c r="HQ318" s="392"/>
      <c r="HR318" s="392"/>
      <c r="HS318" s="392"/>
      <c r="HT318" s="392"/>
      <c r="HU318" s="392"/>
      <c r="HV318" s="392"/>
      <c r="HW318" s="392"/>
      <c r="HX318" s="392"/>
      <c r="HY318" s="392"/>
      <c r="HZ318" s="392"/>
      <c r="IA318" s="392"/>
      <c r="IB318" s="392"/>
      <c r="IC318" s="392"/>
      <c r="ID318" s="392"/>
      <c r="IE318" s="392"/>
      <c r="IF318" s="392"/>
      <c r="IG318" s="392"/>
      <c r="IH318" s="392"/>
      <c r="II318" s="392"/>
      <c r="IJ318" s="392"/>
      <c r="IK318" s="392"/>
      <c r="IL318" s="392"/>
      <c r="IM318" s="392"/>
      <c r="IN318" s="392"/>
      <c r="IO318" s="392"/>
      <c r="IP318" s="392"/>
      <c r="IQ318" s="392"/>
      <c r="IR318" s="392"/>
      <c r="IS318" s="392"/>
      <c r="IT318" s="392"/>
      <c r="IU318" s="392"/>
      <c r="IV318" s="392"/>
    </row>
    <row r="319" spans="1:256" ht="13.5" thickBot="1">
      <c r="A319" s="392"/>
      <c r="B319" s="462"/>
      <c r="C319" s="462"/>
      <c r="D319" s="462"/>
      <c r="E319" s="462"/>
      <c r="F319" s="462"/>
      <c r="G319" s="462"/>
      <c r="H319" s="392"/>
      <c r="I319" s="392"/>
      <c r="J319" s="392"/>
      <c r="K319" s="392"/>
      <c r="L319" s="392"/>
      <c r="M319" s="392"/>
      <c r="N319" s="392"/>
      <c r="O319" s="392"/>
      <c r="P319" s="392"/>
      <c r="Q319" s="392"/>
      <c r="R319" s="392"/>
      <c r="S319" s="392"/>
      <c r="T319" s="392"/>
      <c r="U319" s="392"/>
      <c r="V319" s="392"/>
      <c r="W319" s="392"/>
      <c r="X319" s="392"/>
      <c r="Y319" s="392"/>
      <c r="Z319" s="392"/>
      <c r="AA319" s="392"/>
      <c r="AB319" s="392"/>
      <c r="AC319" s="392"/>
      <c r="AD319" s="392"/>
      <c r="AE319" s="392"/>
      <c r="AF319" s="392"/>
      <c r="AG319" s="392"/>
      <c r="AH319" s="392"/>
      <c r="AI319" s="392"/>
      <c r="AJ319" s="392"/>
      <c r="AK319" s="392"/>
      <c r="AL319" s="392"/>
      <c r="AM319" s="392"/>
      <c r="AN319" s="392"/>
      <c r="AO319" s="392"/>
      <c r="AP319" s="392"/>
      <c r="AQ319" s="392"/>
      <c r="AR319" s="392"/>
      <c r="AS319" s="392"/>
      <c r="AT319" s="392"/>
      <c r="AU319" s="392"/>
      <c r="AV319" s="392"/>
      <c r="AW319" s="392"/>
      <c r="AX319" s="392"/>
      <c r="AY319" s="392"/>
      <c r="AZ319" s="392"/>
      <c r="BA319" s="392"/>
      <c r="BB319" s="392"/>
      <c r="BC319" s="392"/>
      <c r="BD319" s="392"/>
      <c r="BE319" s="392"/>
      <c r="BF319" s="392"/>
      <c r="BG319" s="392"/>
      <c r="BH319" s="392"/>
      <c r="BI319" s="392"/>
      <c r="BJ319" s="392"/>
      <c r="BK319" s="392"/>
      <c r="BL319" s="392"/>
      <c r="BM319" s="392"/>
      <c r="BN319" s="392"/>
      <c r="BO319" s="392"/>
      <c r="BP319" s="392"/>
      <c r="BQ319" s="392"/>
      <c r="BR319" s="392"/>
      <c r="BS319" s="392"/>
      <c r="BT319" s="392"/>
      <c r="BU319" s="392"/>
      <c r="BV319" s="392"/>
      <c r="BW319" s="392"/>
      <c r="BX319" s="392"/>
      <c r="BY319" s="392"/>
      <c r="BZ319" s="392"/>
      <c r="CA319" s="392"/>
      <c r="CB319" s="392"/>
      <c r="CC319" s="392"/>
      <c r="CD319" s="392"/>
      <c r="CE319" s="392"/>
      <c r="CF319" s="392"/>
      <c r="CG319" s="392"/>
      <c r="CH319" s="392"/>
      <c r="CI319" s="392"/>
      <c r="CJ319" s="392"/>
      <c r="CK319" s="392"/>
      <c r="CL319" s="392"/>
      <c r="CM319" s="392"/>
      <c r="CN319" s="392"/>
      <c r="CO319" s="392"/>
      <c r="CP319" s="392"/>
      <c r="CQ319" s="392"/>
      <c r="CR319" s="392"/>
      <c r="CS319" s="392"/>
      <c r="CT319" s="392"/>
      <c r="CU319" s="392"/>
      <c r="CV319" s="392"/>
      <c r="CW319" s="392"/>
      <c r="CX319" s="392"/>
      <c r="CY319" s="392"/>
      <c r="CZ319" s="392"/>
      <c r="DA319" s="392"/>
      <c r="DB319" s="392"/>
      <c r="DC319" s="392"/>
      <c r="DD319" s="392"/>
      <c r="DE319" s="392"/>
      <c r="DF319" s="392"/>
      <c r="DG319" s="392"/>
      <c r="DH319" s="392"/>
      <c r="DI319" s="392"/>
      <c r="DJ319" s="392"/>
      <c r="DK319" s="392"/>
      <c r="DL319" s="392"/>
      <c r="DM319" s="392"/>
      <c r="DN319" s="392"/>
      <c r="DO319" s="392"/>
      <c r="DP319" s="392"/>
      <c r="DQ319" s="392"/>
      <c r="DR319" s="392"/>
      <c r="DS319" s="392"/>
      <c r="DT319" s="392"/>
      <c r="DU319" s="392"/>
      <c r="DV319" s="392"/>
      <c r="DW319" s="392"/>
      <c r="DX319" s="392"/>
      <c r="DY319" s="392"/>
      <c r="DZ319" s="392"/>
      <c r="EA319" s="392"/>
      <c r="EB319" s="392"/>
      <c r="EC319" s="392"/>
      <c r="ED319" s="392"/>
      <c r="EE319" s="392"/>
      <c r="EF319" s="392"/>
      <c r="EG319" s="392"/>
      <c r="EH319" s="392"/>
      <c r="EI319" s="392"/>
      <c r="EJ319" s="392"/>
      <c r="EK319" s="392"/>
      <c r="EL319" s="392"/>
      <c r="EM319" s="392"/>
      <c r="EN319" s="392"/>
      <c r="EO319" s="392"/>
      <c r="EP319" s="392"/>
      <c r="EQ319" s="392"/>
      <c r="ER319" s="392"/>
      <c r="ES319" s="392"/>
      <c r="ET319" s="392"/>
      <c r="EU319" s="392"/>
      <c r="EV319" s="392"/>
      <c r="EW319" s="392"/>
      <c r="EX319" s="392"/>
      <c r="EY319" s="392"/>
      <c r="EZ319" s="392"/>
      <c r="FA319" s="392"/>
      <c r="FB319" s="392"/>
      <c r="FC319" s="392"/>
      <c r="FD319" s="392"/>
      <c r="FE319" s="392"/>
      <c r="FF319" s="392"/>
      <c r="FG319" s="392"/>
      <c r="FH319" s="392"/>
      <c r="FI319" s="392"/>
      <c r="FJ319" s="392"/>
      <c r="FK319" s="392"/>
      <c r="FL319" s="392"/>
      <c r="FM319" s="392"/>
      <c r="FN319" s="392"/>
      <c r="FO319" s="392"/>
      <c r="FP319" s="392"/>
      <c r="FQ319" s="392"/>
      <c r="FR319" s="392"/>
      <c r="FS319" s="392"/>
      <c r="FT319" s="392"/>
      <c r="FU319" s="392"/>
      <c r="FV319" s="392"/>
      <c r="FW319" s="392"/>
      <c r="FX319" s="392"/>
      <c r="FY319" s="392"/>
      <c r="FZ319" s="392"/>
      <c r="GA319" s="392"/>
      <c r="GB319" s="392"/>
      <c r="GC319" s="392"/>
      <c r="GD319" s="392"/>
      <c r="GE319" s="392"/>
      <c r="GF319" s="392"/>
      <c r="GG319" s="392"/>
      <c r="GH319" s="392"/>
      <c r="GI319" s="392"/>
      <c r="GJ319" s="392"/>
      <c r="GK319" s="392"/>
      <c r="GL319" s="392"/>
      <c r="GM319" s="392"/>
      <c r="GN319" s="392"/>
      <c r="GO319" s="392"/>
      <c r="GP319" s="392"/>
      <c r="GQ319" s="392"/>
      <c r="GR319" s="392"/>
      <c r="GS319" s="392"/>
      <c r="GT319" s="392"/>
      <c r="GU319" s="392"/>
      <c r="GV319" s="392"/>
      <c r="GW319" s="392"/>
      <c r="GX319" s="392"/>
      <c r="GY319" s="392"/>
      <c r="GZ319" s="392"/>
      <c r="HA319" s="392"/>
      <c r="HB319" s="392"/>
      <c r="HC319" s="392"/>
      <c r="HD319" s="392"/>
      <c r="HE319" s="392"/>
      <c r="HF319" s="392"/>
      <c r="HG319" s="392"/>
      <c r="HH319" s="392"/>
      <c r="HI319" s="392"/>
      <c r="HJ319" s="392"/>
      <c r="HK319" s="392"/>
      <c r="HL319" s="392"/>
      <c r="HM319" s="392"/>
      <c r="HN319" s="392"/>
      <c r="HO319" s="392"/>
      <c r="HP319" s="392"/>
      <c r="HQ319" s="392"/>
      <c r="HR319" s="392"/>
      <c r="HS319" s="392"/>
      <c r="HT319" s="392"/>
      <c r="HU319" s="392"/>
      <c r="HV319" s="392"/>
      <c r="HW319" s="392"/>
      <c r="HX319" s="392"/>
      <c r="HY319" s="392"/>
      <c r="HZ319" s="392"/>
      <c r="IA319" s="392"/>
      <c r="IB319" s="392"/>
      <c r="IC319" s="392"/>
      <c r="ID319" s="392"/>
      <c r="IE319" s="392"/>
      <c r="IF319" s="392"/>
      <c r="IG319" s="392"/>
      <c r="IH319" s="392"/>
      <c r="II319" s="392"/>
      <c r="IJ319" s="392"/>
      <c r="IK319" s="392"/>
      <c r="IL319" s="392"/>
      <c r="IM319" s="392"/>
      <c r="IN319" s="392"/>
      <c r="IO319" s="392"/>
      <c r="IP319" s="392"/>
      <c r="IQ319" s="392"/>
      <c r="IR319" s="392"/>
      <c r="IS319" s="392"/>
      <c r="IT319" s="392"/>
      <c r="IU319" s="392"/>
      <c r="IV319" s="392"/>
    </row>
    <row r="320" spans="1:256" ht="13.5" thickBot="1">
      <c r="A320" s="392"/>
      <c r="B320" s="498" t="s">
        <v>646</v>
      </c>
      <c r="C320" s="499" t="s">
        <v>647</v>
      </c>
      <c r="D320" s="500"/>
      <c r="E320" s="500"/>
      <c r="F320" s="501"/>
      <c r="G320" s="502" t="s">
        <v>22</v>
      </c>
      <c r="H320" s="392"/>
      <c r="I320" s="392"/>
      <c r="J320" s="392"/>
      <c r="K320" s="392"/>
      <c r="L320" s="392"/>
      <c r="M320" s="392"/>
      <c r="N320" s="392"/>
      <c r="O320" s="392"/>
      <c r="P320" s="392"/>
      <c r="Q320" s="392"/>
      <c r="R320" s="392"/>
      <c r="S320" s="392"/>
      <c r="T320" s="392"/>
      <c r="U320" s="392"/>
      <c r="V320" s="392"/>
      <c r="W320" s="392"/>
      <c r="X320" s="392"/>
      <c r="Y320" s="392"/>
      <c r="Z320" s="392"/>
      <c r="AA320" s="392"/>
      <c r="AB320" s="392"/>
      <c r="AC320" s="392"/>
      <c r="AD320" s="392"/>
      <c r="AE320" s="392"/>
      <c r="AF320" s="392"/>
      <c r="AG320" s="392"/>
      <c r="AH320" s="392"/>
      <c r="AI320" s="392"/>
      <c r="AJ320" s="392"/>
      <c r="AK320" s="392"/>
      <c r="AL320" s="392"/>
      <c r="AM320" s="392"/>
      <c r="AN320" s="392"/>
      <c r="AO320" s="392"/>
      <c r="AP320" s="392"/>
      <c r="AQ320" s="392"/>
      <c r="AR320" s="392"/>
      <c r="AS320" s="392"/>
      <c r="AT320" s="392"/>
      <c r="AU320" s="392"/>
      <c r="AV320" s="392"/>
      <c r="AW320" s="392"/>
      <c r="AX320" s="392"/>
      <c r="AY320" s="392"/>
      <c r="AZ320" s="392"/>
      <c r="BA320" s="392"/>
      <c r="BB320" s="392"/>
      <c r="BC320" s="392"/>
      <c r="BD320" s="392"/>
      <c r="BE320" s="392"/>
      <c r="BF320" s="392"/>
      <c r="BG320" s="392"/>
      <c r="BH320" s="392"/>
      <c r="BI320" s="392"/>
      <c r="BJ320" s="392"/>
      <c r="BK320" s="392"/>
      <c r="BL320" s="392"/>
      <c r="BM320" s="392"/>
      <c r="BN320" s="392"/>
      <c r="BO320" s="392"/>
      <c r="BP320" s="392"/>
      <c r="BQ320" s="392"/>
      <c r="BR320" s="392"/>
      <c r="BS320" s="392"/>
      <c r="BT320" s="392"/>
      <c r="BU320" s="392"/>
      <c r="BV320" s="392"/>
      <c r="BW320" s="392"/>
      <c r="BX320" s="392"/>
      <c r="BY320" s="392"/>
      <c r="BZ320" s="392"/>
      <c r="CA320" s="392"/>
      <c r="CB320" s="392"/>
      <c r="CC320" s="392"/>
      <c r="CD320" s="392"/>
      <c r="CE320" s="392"/>
      <c r="CF320" s="392"/>
      <c r="CG320" s="392"/>
      <c r="CH320" s="392"/>
      <c r="CI320" s="392"/>
      <c r="CJ320" s="392"/>
      <c r="CK320" s="392"/>
      <c r="CL320" s="392"/>
      <c r="CM320" s="392"/>
      <c r="CN320" s="392"/>
      <c r="CO320" s="392"/>
      <c r="CP320" s="392"/>
      <c r="CQ320" s="392"/>
      <c r="CR320" s="392"/>
      <c r="CS320" s="392"/>
      <c r="CT320" s="392"/>
      <c r="CU320" s="392"/>
      <c r="CV320" s="392"/>
      <c r="CW320" s="392"/>
      <c r="CX320" s="392"/>
      <c r="CY320" s="392"/>
      <c r="CZ320" s="392"/>
      <c r="DA320" s="392"/>
      <c r="DB320" s="392"/>
      <c r="DC320" s="392"/>
      <c r="DD320" s="392"/>
      <c r="DE320" s="392"/>
      <c r="DF320" s="392"/>
      <c r="DG320" s="392"/>
      <c r="DH320" s="392"/>
      <c r="DI320" s="392"/>
      <c r="DJ320" s="392"/>
      <c r="DK320" s="392"/>
      <c r="DL320" s="392"/>
      <c r="DM320" s="392"/>
      <c r="DN320" s="392"/>
      <c r="DO320" s="392"/>
      <c r="DP320" s="392"/>
      <c r="DQ320" s="392"/>
      <c r="DR320" s="392"/>
      <c r="DS320" s="392"/>
      <c r="DT320" s="392"/>
      <c r="DU320" s="392"/>
      <c r="DV320" s="392"/>
      <c r="DW320" s="392"/>
      <c r="DX320" s="392"/>
      <c r="DY320" s="392"/>
      <c r="DZ320" s="392"/>
      <c r="EA320" s="392"/>
      <c r="EB320" s="392"/>
      <c r="EC320" s="392"/>
      <c r="ED320" s="392"/>
      <c r="EE320" s="392"/>
      <c r="EF320" s="392"/>
      <c r="EG320" s="392"/>
      <c r="EH320" s="392"/>
      <c r="EI320" s="392"/>
      <c r="EJ320" s="392"/>
      <c r="EK320" s="392"/>
      <c r="EL320" s="392"/>
      <c r="EM320" s="392"/>
      <c r="EN320" s="392"/>
      <c r="EO320" s="392"/>
      <c r="EP320" s="392"/>
      <c r="EQ320" s="392"/>
      <c r="ER320" s="392"/>
      <c r="ES320" s="392"/>
      <c r="ET320" s="392"/>
      <c r="EU320" s="392"/>
      <c r="EV320" s="392"/>
      <c r="EW320" s="392"/>
      <c r="EX320" s="392"/>
      <c r="EY320" s="392"/>
      <c r="EZ320" s="392"/>
      <c r="FA320" s="392"/>
      <c r="FB320" s="392"/>
      <c r="FC320" s="392"/>
      <c r="FD320" s="392"/>
      <c r="FE320" s="392"/>
      <c r="FF320" s="392"/>
      <c r="FG320" s="392"/>
      <c r="FH320" s="392"/>
      <c r="FI320" s="392"/>
      <c r="FJ320" s="392"/>
      <c r="FK320" s="392"/>
      <c r="FL320" s="392"/>
      <c r="FM320" s="392"/>
      <c r="FN320" s="392"/>
      <c r="FO320" s="392"/>
      <c r="FP320" s="392"/>
      <c r="FQ320" s="392"/>
      <c r="FR320" s="392"/>
      <c r="FS320" s="392"/>
      <c r="FT320" s="392"/>
      <c r="FU320" s="392"/>
      <c r="FV320" s="392"/>
      <c r="FW320" s="392"/>
      <c r="FX320" s="392"/>
      <c r="FY320" s="392"/>
      <c r="FZ320" s="392"/>
      <c r="GA320" s="392"/>
      <c r="GB320" s="392"/>
      <c r="GC320" s="392"/>
      <c r="GD320" s="392"/>
      <c r="GE320" s="392"/>
      <c r="GF320" s="392"/>
      <c r="GG320" s="392"/>
      <c r="GH320" s="392"/>
      <c r="GI320" s="392"/>
      <c r="GJ320" s="392"/>
      <c r="GK320" s="392"/>
      <c r="GL320" s="392"/>
      <c r="GM320" s="392"/>
      <c r="GN320" s="392"/>
      <c r="GO320" s="392"/>
      <c r="GP320" s="392"/>
      <c r="GQ320" s="392"/>
      <c r="GR320" s="392"/>
      <c r="GS320" s="392"/>
      <c r="GT320" s="392"/>
      <c r="GU320" s="392"/>
      <c r="GV320" s="392"/>
      <c r="GW320" s="392"/>
      <c r="GX320" s="392"/>
      <c r="GY320" s="392"/>
      <c r="GZ320" s="392"/>
      <c r="HA320" s="392"/>
      <c r="HB320" s="392"/>
      <c r="HC320" s="392"/>
      <c r="HD320" s="392"/>
      <c r="HE320" s="392"/>
      <c r="HF320" s="392"/>
      <c r="HG320" s="392"/>
      <c r="HH320" s="392"/>
      <c r="HI320" s="392"/>
      <c r="HJ320" s="392"/>
      <c r="HK320" s="392"/>
      <c r="HL320" s="392"/>
      <c r="HM320" s="392"/>
      <c r="HN320" s="392"/>
      <c r="HO320" s="392"/>
      <c r="HP320" s="392"/>
      <c r="HQ320" s="392"/>
      <c r="HR320" s="392"/>
      <c r="HS320" s="392"/>
      <c r="HT320" s="392"/>
      <c r="HU320" s="392"/>
      <c r="HV320" s="392"/>
      <c r="HW320" s="392"/>
      <c r="HX320" s="392"/>
      <c r="HY320" s="392"/>
      <c r="HZ320" s="392"/>
      <c r="IA320" s="392"/>
      <c r="IB320" s="392"/>
      <c r="IC320" s="392"/>
      <c r="ID320" s="392"/>
      <c r="IE320" s="392"/>
      <c r="IF320" s="392"/>
      <c r="IG320" s="392"/>
      <c r="IH320" s="392"/>
      <c r="II320" s="392"/>
      <c r="IJ320" s="392"/>
      <c r="IK320" s="392"/>
      <c r="IL320" s="392"/>
      <c r="IM320" s="392"/>
      <c r="IN320" s="392"/>
      <c r="IO320" s="392"/>
      <c r="IP320" s="392"/>
      <c r="IQ320" s="392"/>
      <c r="IR320" s="392"/>
      <c r="IS320" s="392"/>
      <c r="IT320" s="392"/>
      <c r="IU320" s="392"/>
      <c r="IV320" s="392"/>
    </row>
    <row r="321" spans="1:256" ht="26.25" thickBot="1">
      <c r="A321" s="392"/>
      <c r="B321" s="503" t="s">
        <v>197</v>
      </c>
      <c r="C321" s="504" t="s">
        <v>161</v>
      </c>
      <c r="D321" s="504" t="s">
        <v>22</v>
      </c>
      <c r="E321" s="504" t="s">
        <v>162</v>
      </c>
      <c r="F321" s="505" t="s">
        <v>186</v>
      </c>
      <c r="G321" s="506" t="s">
        <v>187</v>
      </c>
      <c r="H321" s="392"/>
      <c r="I321" s="392"/>
      <c r="J321" s="392"/>
      <c r="K321" s="392"/>
      <c r="L321" s="392"/>
      <c r="M321" s="392"/>
      <c r="N321" s="392"/>
      <c r="O321" s="392"/>
      <c r="P321" s="392"/>
      <c r="Q321" s="392"/>
      <c r="R321" s="392"/>
      <c r="S321" s="392"/>
      <c r="T321" s="392"/>
      <c r="U321" s="392"/>
      <c r="V321" s="392"/>
      <c r="W321" s="392"/>
      <c r="X321" s="392"/>
      <c r="Y321" s="392"/>
      <c r="Z321" s="392"/>
      <c r="AA321" s="392"/>
      <c r="AB321" s="392"/>
      <c r="AC321" s="392"/>
      <c r="AD321" s="392"/>
      <c r="AE321" s="392"/>
      <c r="AF321" s="392"/>
      <c r="AG321" s="392"/>
      <c r="AH321" s="392"/>
      <c r="AI321" s="392"/>
      <c r="AJ321" s="392"/>
      <c r="AK321" s="392"/>
      <c r="AL321" s="392"/>
      <c r="AM321" s="392"/>
      <c r="AN321" s="392"/>
      <c r="AO321" s="392"/>
      <c r="AP321" s="392"/>
      <c r="AQ321" s="392"/>
      <c r="AR321" s="392"/>
      <c r="AS321" s="392"/>
      <c r="AT321" s="392"/>
      <c r="AU321" s="392"/>
      <c r="AV321" s="392"/>
      <c r="AW321" s="392"/>
      <c r="AX321" s="392"/>
      <c r="AY321" s="392"/>
      <c r="AZ321" s="392"/>
      <c r="BA321" s="392"/>
      <c r="BB321" s="392"/>
      <c r="BC321" s="392"/>
      <c r="BD321" s="392"/>
      <c r="BE321" s="392"/>
      <c r="BF321" s="392"/>
      <c r="BG321" s="392"/>
      <c r="BH321" s="392"/>
      <c r="BI321" s="392"/>
      <c r="BJ321" s="392"/>
      <c r="BK321" s="392"/>
      <c r="BL321" s="392"/>
      <c r="BM321" s="392"/>
      <c r="BN321" s="392"/>
      <c r="BO321" s="392"/>
      <c r="BP321" s="392"/>
      <c r="BQ321" s="392"/>
      <c r="BR321" s="392"/>
      <c r="BS321" s="392"/>
      <c r="BT321" s="392"/>
      <c r="BU321" s="392"/>
      <c r="BV321" s="392"/>
      <c r="BW321" s="392"/>
      <c r="BX321" s="392"/>
      <c r="BY321" s="392"/>
      <c r="BZ321" s="392"/>
      <c r="CA321" s="392"/>
      <c r="CB321" s="392"/>
      <c r="CC321" s="392"/>
      <c r="CD321" s="392"/>
      <c r="CE321" s="392"/>
      <c r="CF321" s="392"/>
      <c r="CG321" s="392"/>
      <c r="CH321" s="392"/>
      <c r="CI321" s="392"/>
      <c r="CJ321" s="392"/>
      <c r="CK321" s="392"/>
      <c r="CL321" s="392"/>
      <c r="CM321" s="392"/>
      <c r="CN321" s="392"/>
      <c r="CO321" s="392"/>
      <c r="CP321" s="392"/>
      <c r="CQ321" s="392"/>
      <c r="CR321" s="392"/>
      <c r="CS321" s="392"/>
      <c r="CT321" s="392"/>
      <c r="CU321" s="392"/>
      <c r="CV321" s="392"/>
      <c r="CW321" s="392"/>
      <c r="CX321" s="392"/>
      <c r="CY321" s="392"/>
      <c r="CZ321" s="392"/>
      <c r="DA321" s="392"/>
      <c r="DB321" s="392"/>
      <c r="DC321" s="392"/>
      <c r="DD321" s="392"/>
      <c r="DE321" s="392"/>
      <c r="DF321" s="392"/>
      <c r="DG321" s="392"/>
      <c r="DH321" s="392"/>
      <c r="DI321" s="392"/>
      <c r="DJ321" s="392"/>
      <c r="DK321" s="392"/>
      <c r="DL321" s="392"/>
      <c r="DM321" s="392"/>
      <c r="DN321" s="392"/>
      <c r="DO321" s="392"/>
      <c r="DP321" s="392"/>
      <c r="DQ321" s="392"/>
      <c r="DR321" s="392"/>
      <c r="DS321" s="392"/>
      <c r="DT321" s="392"/>
      <c r="DU321" s="392"/>
      <c r="DV321" s="392"/>
      <c r="DW321" s="392"/>
      <c r="DX321" s="392"/>
      <c r="DY321" s="392"/>
      <c r="DZ321" s="392"/>
      <c r="EA321" s="392"/>
      <c r="EB321" s="392"/>
      <c r="EC321" s="392"/>
      <c r="ED321" s="392"/>
      <c r="EE321" s="392"/>
      <c r="EF321" s="392"/>
      <c r="EG321" s="392"/>
      <c r="EH321" s="392"/>
      <c r="EI321" s="392"/>
      <c r="EJ321" s="392"/>
      <c r="EK321" s="392"/>
      <c r="EL321" s="392"/>
      <c r="EM321" s="392"/>
      <c r="EN321" s="392"/>
      <c r="EO321" s="392"/>
      <c r="EP321" s="392"/>
      <c r="EQ321" s="392"/>
      <c r="ER321" s="392"/>
      <c r="ES321" s="392"/>
      <c r="ET321" s="392"/>
      <c r="EU321" s="392"/>
      <c r="EV321" s="392"/>
      <c r="EW321" s="392"/>
      <c r="EX321" s="392"/>
      <c r="EY321" s="392"/>
      <c r="EZ321" s="392"/>
      <c r="FA321" s="392"/>
      <c r="FB321" s="392"/>
      <c r="FC321" s="392"/>
      <c r="FD321" s="392"/>
      <c r="FE321" s="392"/>
      <c r="FF321" s="392"/>
      <c r="FG321" s="392"/>
      <c r="FH321" s="392"/>
      <c r="FI321" s="392"/>
      <c r="FJ321" s="392"/>
      <c r="FK321" s="392"/>
      <c r="FL321" s="392"/>
      <c r="FM321" s="392"/>
      <c r="FN321" s="392"/>
      <c r="FO321" s="392"/>
      <c r="FP321" s="392"/>
      <c r="FQ321" s="392"/>
      <c r="FR321" s="392"/>
      <c r="FS321" s="392"/>
      <c r="FT321" s="392"/>
      <c r="FU321" s="392"/>
      <c r="FV321" s="392"/>
      <c r="FW321" s="392"/>
      <c r="FX321" s="392"/>
      <c r="FY321" s="392"/>
      <c r="FZ321" s="392"/>
      <c r="GA321" s="392"/>
      <c r="GB321" s="392"/>
      <c r="GC321" s="392"/>
      <c r="GD321" s="392"/>
      <c r="GE321" s="392"/>
      <c r="GF321" s="392"/>
      <c r="GG321" s="392"/>
      <c r="GH321" s="392"/>
      <c r="GI321" s="392"/>
      <c r="GJ321" s="392"/>
      <c r="GK321" s="392"/>
      <c r="GL321" s="392"/>
      <c r="GM321" s="392"/>
      <c r="GN321" s="392"/>
      <c r="GO321" s="392"/>
      <c r="GP321" s="392"/>
      <c r="GQ321" s="392"/>
      <c r="GR321" s="392"/>
      <c r="GS321" s="392"/>
      <c r="GT321" s="392"/>
      <c r="GU321" s="392"/>
      <c r="GV321" s="392"/>
      <c r="GW321" s="392"/>
      <c r="GX321" s="392"/>
      <c r="GY321" s="392"/>
      <c r="GZ321" s="392"/>
      <c r="HA321" s="392"/>
      <c r="HB321" s="392"/>
      <c r="HC321" s="392"/>
      <c r="HD321" s="392"/>
      <c r="HE321" s="392"/>
      <c r="HF321" s="392"/>
      <c r="HG321" s="392"/>
      <c r="HH321" s="392"/>
      <c r="HI321" s="392"/>
      <c r="HJ321" s="392"/>
      <c r="HK321" s="392"/>
      <c r="HL321" s="392"/>
      <c r="HM321" s="392"/>
      <c r="HN321" s="392"/>
      <c r="HO321" s="392"/>
      <c r="HP321" s="392"/>
      <c r="HQ321" s="392"/>
      <c r="HR321" s="392"/>
      <c r="HS321" s="392"/>
      <c r="HT321" s="392"/>
      <c r="HU321" s="392"/>
      <c r="HV321" s="392"/>
      <c r="HW321" s="392"/>
      <c r="HX321" s="392"/>
      <c r="HY321" s="392"/>
      <c r="HZ321" s="392"/>
      <c r="IA321" s="392"/>
      <c r="IB321" s="392"/>
      <c r="IC321" s="392"/>
      <c r="ID321" s="392"/>
      <c r="IE321" s="392"/>
      <c r="IF321" s="392"/>
      <c r="IG321" s="392"/>
      <c r="IH321" s="392"/>
      <c r="II321" s="392"/>
      <c r="IJ321" s="392"/>
      <c r="IK321" s="392"/>
      <c r="IL321" s="392"/>
      <c r="IM321" s="392"/>
      <c r="IN321" s="392"/>
      <c r="IO321" s="392"/>
      <c r="IP321" s="392"/>
      <c r="IQ321" s="392"/>
      <c r="IR321" s="392"/>
      <c r="IS321" s="392"/>
      <c r="IT321" s="392"/>
      <c r="IU321" s="392"/>
      <c r="IV321" s="392"/>
    </row>
    <row r="322" spans="1:256" ht="13.5" thickBot="1">
      <c r="A322" s="392"/>
      <c r="B322" s="2309" t="s">
        <v>165</v>
      </c>
      <c r="C322" s="2310"/>
      <c r="D322" s="2310"/>
      <c r="E322" s="2310"/>
      <c r="F322" s="2310"/>
      <c r="G322" s="2311"/>
      <c r="H322" s="392"/>
      <c r="I322" s="392"/>
      <c r="J322" s="392"/>
      <c r="K322" s="392"/>
      <c r="L322" s="392"/>
      <c r="M322" s="392"/>
      <c r="N322" s="392"/>
      <c r="O322" s="392"/>
      <c r="P322" s="392"/>
      <c r="Q322" s="392"/>
      <c r="R322" s="392"/>
      <c r="S322" s="392"/>
      <c r="T322" s="392"/>
      <c r="U322" s="392"/>
      <c r="V322" s="392"/>
      <c r="W322" s="392"/>
      <c r="X322" s="392"/>
      <c r="Y322" s="392"/>
      <c r="Z322" s="392"/>
      <c r="AA322" s="392"/>
      <c r="AB322" s="392"/>
      <c r="AC322" s="392"/>
      <c r="AD322" s="392"/>
      <c r="AE322" s="392"/>
      <c r="AF322" s="392"/>
      <c r="AG322" s="392"/>
      <c r="AH322" s="392"/>
      <c r="AI322" s="392"/>
      <c r="AJ322" s="392"/>
      <c r="AK322" s="392"/>
      <c r="AL322" s="392"/>
      <c r="AM322" s="392"/>
      <c r="AN322" s="392"/>
      <c r="AO322" s="392"/>
      <c r="AP322" s="392"/>
      <c r="AQ322" s="392"/>
      <c r="AR322" s="392"/>
      <c r="AS322" s="392"/>
      <c r="AT322" s="392"/>
      <c r="AU322" s="392"/>
      <c r="AV322" s="392"/>
      <c r="AW322" s="392"/>
      <c r="AX322" s="392"/>
      <c r="AY322" s="392"/>
      <c r="AZ322" s="392"/>
      <c r="BA322" s="392"/>
      <c r="BB322" s="392"/>
      <c r="BC322" s="392"/>
      <c r="BD322" s="392"/>
      <c r="BE322" s="392"/>
      <c r="BF322" s="392"/>
      <c r="BG322" s="392"/>
      <c r="BH322" s="392"/>
      <c r="BI322" s="392"/>
      <c r="BJ322" s="392"/>
      <c r="BK322" s="392"/>
      <c r="BL322" s="392"/>
      <c r="BM322" s="392"/>
      <c r="BN322" s="392"/>
      <c r="BO322" s="392"/>
      <c r="BP322" s="392"/>
      <c r="BQ322" s="392"/>
      <c r="BR322" s="392"/>
      <c r="BS322" s="392"/>
      <c r="BT322" s="392"/>
      <c r="BU322" s="392"/>
      <c r="BV322" s="392"/>
      <c r="BW322" s="392"/>
      <c r="BX322" s="392"/>
      <c r="BY322" s="392"/>
      <c r="BZ322" s="392"/>
      <c r="CA322" s="392"/>
      <c r="CB322" s="392"/>
      <c r="CC322" s="392"/>
      <c r="CD322" s="392"/>
      <c r="CE322" s="392"/>
      <c r="CF322" s="392"/>
      <c r="CG322" s="392"/>
      <c r="CH322" s="392"/>
      <c r="CI322" s="392"/>
      <c r="CJ322" s="392"/>
      <c r="CK322" s="392"/>
      <c r="CL322" s="392"/>
      <c r="CM322" s="392"/>
      <c r="CN322" s="392"/>
      <c r="CO322" s="392"/>
      <c r="CP322" s="392"/>
      <c r="CQ322" s="392"/>
      <c r="CR322" s="392"/>
      <c r="CS322" s="392"/>
      <c r="CT322" s="392"/>
      <c r="CU322" s="392"/>
      <c r="CV322" s="392"/>
      <c r="CW322" s="392"/>
      <c r="CX322" s="392"/>
      <c r="CY322" s="392"/>
      <c r="CZ322" s="392"/>
      <c r="DA322" s="392"/>
      <c r="DB322" s="392"/>
      <c r="DC322" s="392"/>
      <c r="DD322" s="392"/>
      <c r="DE322" s="392"/>
      <c r="DF322" s="392"/>
      <c r="DG322" s="392"/>
      <c r="DH322" s="392"/>
      <c r="DI322" s="392"/>
      <c r="DJ322" s="392"/>
      <c r="DK322" s="392"/>
      <c r="DL322" s="392"/>
      <c r="DM322" s="392"/>
      <c r="DN322" s="392"/>
      <c r="DO322" s="392"/>
      <c r="DP322" s="392"/>
      <c r="DQ322" s="392"/>
      <c r="DR322" s="392"/>
      <c r="DS322" s="392"/>
      <c r="DT322" s="392"/>
      <c r="DU322" s="392"/>
      <c r="DV322" s="392"/>
      <c r="DW322" s="392"/>
      <c r="DX322" s="392"/>
      <c r="DY322" s="392"/>
      <c r="DZ322" s="392"/>
      <c r="EA322" s="392"/>
      <c r="EB322" s="392"/>
      <c r="EC322" s="392"/>
      <c r="ED322" s="392"/>
      <c r="EE322" s="392"/>
      <c r="EF322" s="392"/>
      <c r="EG322" s="392"/>
      <c r="EH322" s="392"/>
      <c r="EI322" s="392"/>
      <c r="EJ322" s="392"/>
      <c r="EK322" s="392"/>
      <c r="EL322" s="392"/>
      <c r="EM322" s="392"/>
      <c r="EN322" s="392"/>
      <c r="EO322" s="392"/>
      <c r="EP322" s="392"/>
      <c r="EQ322" s="392"/>
      <c r="ER322" s="392"/>
      <c r="ES322" s="392"/>
      <c r="ET322" s="392"/>
      <c r="EU322" s="392"/>
      <c r="EV322" s="392"/>
      <c r="EW322" s="392"/>
      <c r="EX322" s="392"/>
      <c r="EY322" s="392"/>
      <c r="EZ322" s="392"/>
      <c r="FA322" s="392"/>
      <c r="FB322" s="392"/>
      <c r="FC322" s="392"/>
      <c r="FD322" s="392"/>
      <c r="FE322" s="392"/>
      <c r="FF322" s="392"/>
      <c r="FG322" s="392"/>
      <c r="FH322" s="392"/>
      <c r="FI322" s="392"/>
      <c r="FJ322" s="392"/>
      <c r="FK322" s="392"/>
      <c r="FL322" s="392"/>
      <c r="FM322" s="392"/>
      <c r="FN322" s="392"/>
      <c r="FO322" s="392"/>
      <c r="FP322" s="392"/>
      <c r="FQ322" s="392"/>
      <c r="FR322" s="392"/>
      <c r="FS322" s="392"/>
      <c r="FT322" s="392"/>
      <c r="FU322" s="392"/>
      <c r="FV322" s="392"/>
      <c r="FW322" s="392"/>
      <c r="FX322" s="392"/>
      <c r="FY322" s="392"/>
      <c r="FZ322" s="392"/>
      <c r="GA322" s="392"/>
      <c r="GB322" s="392"/>
      <c r="GC322" s="392"/>
      <c r="GD322" s="392"/>
      <c r="GE322" s="392"/>
      <c r="GF322" s="392"/>
      <c r="GG322" s="392"/>
      <c r="GH322" s="392"/>
      <c r="GI322" s="392"/>
      <c r="GJ322" s="392"/>
      <c r="GK322" s="392"/>
      <c r="GL322" s="392"/>
      <c r="GM322" s="392"/>
      <c r="GN322" s="392"/>
      <c r="GO322" s="392"/>
      <c r="GP322" s="392"/>
      <c r="GQ322" s="392"/>
      <c r="GR322" s="392"/>
      <c r="GS322" s="392"/>
      <c r="GT322" s="392"/>
      <c r="GU322" s="392"/>
      <c r="GV322" s="392"/>
      <c r="GW322" s="392"/>
      <c r="GX322" s="392"/>
      <c r="GY322" s="392"/>
      <c r="GZ322" s="392"/>
      <c r="HA322" s="392"/>
      <c r="HB322" s="392"/>
      <c r="HC322" s="392"/>
      <c r="HD322" s="392"/>
      <c r="HE322" s="392"/>
      <c r="HF322" s="392"/>
      <c r="HG322" s="392"/>
      <c r="HH322" s="392"/>
      <c r="HI322" s="392"/>
      <c r="HJ322" s="392"/>
      <c r="HK322" s="392"/>
      <c r="HL322" s="392"/>
      <c r="HM322" s="392"/>
      <c r="HN322" s="392"/>
      <c r="HO322" s="392"/>
      <c r="HP322" s="392"/>
      <c r="HQ322" s="392"/>
      <c r="HR322" s="392"/>
      <c r="HS322" s="392"/>
      <c r="HT322" s="392"/>
      <c r="HU322" s="392"/>
      <c r="HV322" s="392"/>
      <c r="HW322" s="392"/>
      <c r="HX322" s="392"/>
      <c r="HY322" s="392"/>
      <c r="HZ322" s="392"/>
      <c r="IA322" s="392"/>
      <c r="IB322" s="392"/>
      <c r="IC322" s="392"/>
      <c r="ID322" s="392"/>
      <c r="IE322" s="392"/>
      <c r="IF322" s="392"/>
      <c r="IG322" s="392"/>
      <c r="IH322" s="392"/>
      <c r="II322" s="392"/>
      <c r="IJ322" s="392"/>
      <c r="IK322" s="392"/>
      <c r="IL322" s="392"/>
      <c r="IM322" s="392"/>
      <c r="IN322" s="392"/>
      <c r="IO322" s="392"/>
      <c r="IP322" s="392"/>
      <c r="IQ322" s="392"/>
      <c r="IR322" s="392"/>
      <c r="IS322" s="392"/>
      <c r="IT322" s="392"/>
      <c r="IU322" s="392"/>
      <c r="IV322" s="392"/>
    </row>
    <row r="323" spans="1:256" ht="15">
      <c r="A323" s="392"/>
      <c r="B323" s="507" t="s">
        <v>188</v>
      </c>
      <c r="C323" s="508" t="s">
        <v>648</v>
      </c>
      <c r="D323" s="509" t="s">
        <v>22</v>
      </c>
      <c r="E323" s="510">
        <v>1</v>
      </c>
      <c r="F323" s="511">
        <f>G315</f>
        <v>1621.64</v>
      </c>
      <c r="G323" s="512">
        <f>TRUNC(F323*E323,2)</f>
        <v>1621.64</v>
      </c>
      <c r="H323" s="392"/>
      <c r="I323" s="392"/>
      <c r="J323" s="392"/>
      <c r="K323" s="392"/>
      <c r="L323" s="392"/>
      <c r="M323" s="392"/>
      <c r="N323" s="392"/>
      <c r="O323" s="392"/>
      <c r="P323" s="392"/>
      <c r="Q323" s="392"/>
      <c r="R323" s="392"/>
      <c r="S323" s="392"/>
      <c r="T323" s="392"/>
      <c r="U323" s="392"/>
      <c r="V323" s="392"/>
      <c r="W323" s="392"/>
      <c r="X323" s="392"/>
      <c r="Y323" s="392"/>
      <c r="Z323" s="392"/>
      <c r="AA323" s="392"/>
      <c r="AB323" s="392"/>
      <c r="AC323" s="392"/>
      <c r="AD323" s="392"/>
      <c r="AE323" s="392"/>
      <c r="AF323" s="392"/>
      <c r="AG323" s="392"/>
      <c r="AH323" s="392"/>
      <c r="AI323" s="392"/>
      <c r="AJ323" s="392"/>
      <c r="AK323" s="392"/>
      <c r="AL323" s="392"/>
      <c r="AM323" s="392"/>
      <c r="AN323" s="392"/>
      <c r="AO323" s="392"/>
      <c r="AP323" s="392"/>
      <c r="AQ323" s="392"/>
      <c r="AR323" s="392"/>
      <c r="AS323" s="392"/>
      <c r="AT323" s="392"/>
      <c r="AU323" s="392"/>
      <c r="AV323" s="392"/>
      <c r="AW323" s="392"/>
      <c r="AX323" s="392"/>
      <c r="AY323" s="392"/>
      <c r="AZ323" s="392"/>
      <c r="BA323" s="392"/>
      <c r="BB323" s="392"/>
      <c r="BC323" s="392"/>
      <c r="BD323" s="392"/>
      <c r="BE323" s="392"/>
      <c r="BF323" s="392"/>
      <c r="BG323" s="392"/>
      <c r="BH323" s="392"/>
      <c r="BI323" s="392"/>
      <c r="BJ323" s="392"/>
      <c r="BK323" s="392"/>
      <c r="BL323" s="392"/>
      <c r="BM323" s="392"/>
      <c r="BN323" s="392"/>
      <c r="BO323" s="392"/>
      <c r="BP323" s="392"/>
      <c r="BQ323" s="392"/>
      <c r="BR323" s="392"/>
      <c r="BS323" s="392"/>
      <c r="BT323" s="392"/>
      <c r="BU323" s="392"/>
      <c r="BV323" s="392"/>
      <c r="BW323" s="392"/>
      <c r="BX323" s="392"/>
      <c r="BY323" s="392"/>
      <c r="BZ323" s="392"/>
      <c r="CA323" s="392"/>
      <c r="CB323" s="392"/>
      <c r="CC323" s="392"/>
      <c r="CD323" s="392"/>
      <c r="CE323" s="392"/>
      <c r="CF323" s="392"/>
      <c r="CG323" s="392"/>
      <c r="CH323" s="392"/>
      <c r="CI323" s="392"/>
      <c r="CJ323" s="392"/>
      <c r="CK323" s="392"/>
      <c r="CL323" s="392"/>
      <c r="CM323" s="392"/>
      <c r="CN323" s="392"/>
      <c r="CO323" s="392"/>
      <c r="CP323" s="392"/>
      <c r="CQ323" s="392"/>
      <c r="CR323" s="392"/>
      <c r="CS323" s="392"/>
      <c r="CT323" s="392"/>
      <c r="CU323" s="392"/>
      <c r="CV323" s="392"/>
      <c r="CW323" s="392"/>
      <c r="CX323" s="392"/>
      <c r="CY323" s="392"/>
      <c r="CZ323" s="392"/>
      <c r="DA323" s="392"/>
      <c r="DB323" s="392"/>
      <c r="DC323" s="392"/>
      <c r="DD323" s="392"/>
      <c r="DE323" s="392"/>
      <c r="DF323" s="392"/>
      <c r="DG323" s="392"/>
      <c r="DH323" s="392"/>
      <c r="DI323" s="392"/>
      <c r="DJ323" s="392"/>
      <c r="DK323" s="392"/>
      <c r="DL323" s="392"/>
      <c r="DM323" s="392"/>
      <c r="DN323" s="392"/>
      <c r="DO323" s="392"/>
      <c r="DP323" s="392"/>
      <c r="DQ323" s="392"/>
      <c r="DR323" s="392"/>
      <c r="DS323" s="392"/>
      <c r="DT323" s="392"/>
      <c r="DU323" s="392"/>
      <c r="DV323" s="392"/>
      <c r="DW323" s="392"/>
      <c r="DX323" s="392"/>
      <c r="DY323" s="392"/>
      <c r="DZ323" s="392"/>
      <c r="EA323" s="392"/>
      <c r="EB323" s="392"/>
      <c r="EC323" s="392"/>
      <c r="ED323" s="392"/>
      <c r="EE323" s="392"/>
      <c r="EF323" s="392"/>
      <c r="EG323" s="392"/>
      <c r="EH323" s="392"/>
      <c r="EI323" s="392"/>
      <c r="EJ323" s="392"/>
      <c r="EK323" s="392"/>
      <c r="EL323" s="392"/>
      <c r="EM323" s="392"/>
      <c r="EN323" s="392"/>
      <c r="EO323" s="392"/>
      <c r="EP323" s="392"/>
      <c r="EQ323" s="392"/>
      <c r="ER323" s="392"/>
      <c r="ES323" s="392"/>
      <c r="ET323" s="392"/>
      <c r="EU323" s="392"/>
      <c r="EV323" s="392"/>
      <c r="EW323" s="392"/>
      <c r="EX323" s="392"/>
      <c r="EY323" s="392"/>
      <c r="EZ323" s="392"/>
      <c r="FA323" s="392"/>
      <c r="FB323" s="392"/>
      <c r="FC323" s="392"/>
      <c r="FD323" s="392"/>
      <c r="FE323" s="392"/>
      <c r="FF323" s="392"/>
      <c r="FG323" s="392"/>
      <c r="FH323" s="392"/>
      <c r="FI323" s="392"/>
      <c r="FJ323" s="392"/>
      <c r="FK323" s="392"/>
      <c r="FL323" s="392"/>
      <c r="FM323" s="392"/>
      <c r="FN323" s="392"/>
      <c r="FO323" s="392"/>
      <c r="FP323" s="392"/>
      <c r="FQ323" s="392"/>
      <c r="FR323" s="392"/>
      <c r="FS323" s="392"/>
      <c r="FT323" s="392"/>
      <c r="FU323" s="392"/>
      <c r="FV323" s="392"/>
      <c r="FW323" s="392"/>
      <c r="FX323" s="392"/>
      <c r="FY323" s="392"/>
      <c r="FZ323" s="392"/>
      <c r="GA323" s="392"/>
      <c r="GB323" s="392"/>
      <c r="GC323" s="392"/>
      <c r="GD323" s="392"/>
      <c r="GE323" s="392"/>
      <c r="GF323" s="392"/>
      <c r="GG323" s="392"/>
      <c r="GH323" s="392"/>
      <c r="GI323" s="392"/>
      <c r="GJ323" s="392"/>
      <c r="GK323" s="392"/>
      <c r="GL323" s="392"/>
      <c r="GM323" s="392"/>
      <c r="GN323" s="392"/>
      <c r="GO323" s="392"/>
      <c r="GP323" s="392"/>
      <c r="GQ323" s="392"/>
      <c r="GR323" s="392"/>
      <c r="GS323" s="392"/>
      <c r="GT323" s="392"/>
      <c r="GU323" s="392"/>
      <c r="GV323" s="392"/>
      <c r="GW323" s="392"/>
      <c r="GX323" s="392"/>
      <c r="GY323" s="392"/>
      <c r="GZ323" s="392"/>
      <c r="HA323" s="392"/>
      <c r="HB323" s="392"/>
      <c r="HC323" s="392"/>
      <c r="HD323" s="392"/>
      <c r="HE323" s="392"/>
      <c r="HF323" s="392"/>
      <c r="HG323" s="392"/>
      <c r="HH323" s="392"/>
      <c r="HI323" s="392"/>
      <c r="HJ323" s="392"/>
      <c r="HK323" s="392"/>
      <c r="HL323" s="392"/>
      <c r="HM323" s="392"/>
      <c r="HN323" s="392"/>
      <c r="HO323" s="392"/>
      <c r="HP323" s="392"/>
      <c r="HQ323" s="392"/>
      <c r="HR323" s="392"/>
      <c r="HS323" s="392"/>
      <c r="HT323" s="392"/>
      <c r="HU323" s="392"/>
      <c r="HV323" s="392"/>
      <c r="HW323" s="392"/>
      <c r="HX323" s="392"/>
      <c r="HY323" s="392"/>
      <c r="HZ323" s="392"/>
      <c r="IA323" s="392"/>
      <c r="IB323" s="392"/>
      <c r="IC323" s="392"/>
      <c r="ID323" s="392"/>
      <c r="IE323" s="392"/>
      <c r="IF323" s="392"/>
      <c r="IG323" s="392"/>
      <c r="IH323" s="392"/>
      <c r="II323" s="392"/>
      <c r="IJ323" s="392"/>
      <c r="IK323" s="392"/>
      <c r="IL323" s="392"/>
      <c r="IM323" s="392"/>
      <c r="IN323" s="392"/>
      <c r="IO323" s="392"/>
      <c r="IP323" s="392"/>
      <c r="IQ323" s="392"/>
      <c r="IR323" s="392"/>
      <c r="IS323" s="392"/>
      <c r="IT323" s="392"/>
      <c r="IU323" s="392"/>
      <c r="IV323" s="392"/>
    </row>
    <row r="324" spans="1:256" ht="15.75" thickBot="1">
      <c r="A324" s="392"/>
      <c r="B324" s="513" t="s">
        <v>14001</v>
      </c>
      <c r="C324" s="514" t="s">
        <v>649</v>
      </c>
      <c r="D324" s="515" t="s">
        <v>22</v>
      </c>
      <c r="E324" s="516">
        <v>1</v>
      </c>
      <c r="F324" s="516" t="e">
        <f>#REF!</f>
        <v>#REF!</v>
      </c>
      <c r="G324" s="512" t="e">
        <f>TRUNC(F324*E324,2)</f>
        <v>#REF!</v>
      </c>
      <c r="H324" s="392"/>
      <c r="I324" s="392"/>
      <c r="J324" s="392"/>
      <c r="K324" s="392"/>
      <c r="L324" s="392"/>
      <c r="M324" s="392"/>
      <c r="N324" s="392"/>
      <c r="O324" s="392"/>
      <c r="P324" s="392"/>
      <c r="Q324" s="392"/>
      <c r="R324" s="392"/>
      <c r="S324" s="392"/>
      <c r="T324" s="392"/>
      <c r="U324" s="392"/>
      <c r="V324" s="392"/>
      <c r="W324" s="392"/>
      <c r="X324" s="392"/>
      <c r="Y324" s="392"/>
      <c r="Z324" s="392"/>
      <c r="AA324" s="392"/>
      <c r="AB324" s="392"/>
      <c r="AC324" s="392"/>
      <c r="AD324" s="392"/>
      <c r="AE324" s="392"/>
      <c r="AF324" s="392"/>
      <c r="AG324" s="392"/>
      <c r="AH324" s="392"/>
      <c r="AI324" s="392"/>
      <c r="AJ324" s="392"/>
      <c r="AK324" s="392"/>
      <c r="AL324" s="392"/>
      <c r="AM324" s="392"/>
      <c r="AN324" s="392"/>
      <c r="AO324" s="392"/>
      <c r="AP324" s="392"/>
      <c r="AQ324" s="392"/>
      <c r="AR324" s="392"/>
      <c r="AS324" s="392"/>
      <c r="AT324" s="392"/>
      <c r="AU324" s="392"/>
      <c r="AV324" s="392"/>
      <c r="AW324" s="392"/>
      <c r="AX324" s="392"/>
      <c r="AY324" s="392"/>
      <c r="AZ324" s="392"/>
      <c r="BA324" s="392"/>
      <c r="BB324" s="392"/>
      <c r="BC324" s="392"/>
      <c r="BD324" s="392"/>
      <c r="BE324" s="392"/>
      <c r="BF324" s="392"/>
      <c r="BG324" s="392"/>
      <c r="BH324" s="392"/>
      <c r="BI324" s="392"/>
      <c r="BJ324" s="392"/>
      <c r="BK324" s="392"/>
      <c r="BL324" s="392"/>
      <c r="BM324" s="392"/>
      <c r="BN324" s="392"/>
      <c r="BO324" s="392"/>
      <c r="BP324" s="392"/>
      <c r="BQ324" s="392"/>
      <c r="BR324" s="392"/>
      <c r="BS324" s="392"/>
      <c r="BT324" s="392"/>
      <c r="BU324" s="392"/>
      <c r="BV324" s="392"/>
      <c r="BW324" s="392"/>
      <c r="BX324" s="392"/>
      <c r="BY324" s="392"/>
      <c r="BZ324" s="392"/>
      <c r="CA324" s="392"/>
      <c r="CB324" s="392"/>
      <c r="CC324" s="392"/>
      <c r="CD324" s="392"/>
      <c r="CE324" s="392"/>
      <c r="CF324" s="392"/>
      <c r="CG324" s="392"/>
      <c r="CH324" s="392"/>
      <c r="CI324" s="392"/>
      <c r="CJ324" s="392"/>
      <c r="CK324" s="392"/>
      <c r="CL324" s="392"/>
      <c r="CM324" s="392"/>
      <c r="CN324" s="392"/>
      <c r="CO324" s="392"/>
      <c r="CP324" s="392"/>
      <c r="CQ324" s="392"/>
      <c r="CR324" s="392"/>
      <c r="CS324" s="392"/>
      <c r="CT324" s="392"/>
      <c r="CU324" s="392"/>
      <c r="CV324" s="392"/>
      <c r="CW324" s="392"/>
      <c r="CX324" s="392"/>
      <c r="CY324" s="392"/>
      <c r="CZ324" s="392"/>
      <c r="DA324" s="392"/>
      <c r="DB324" s="392"/>
      <c r="DC324" s="392"/>
      <c r="DD324" s="392"/>
      <c r="DE324" s="392"/>
      <c r="DF324" s="392"/>
      <c r="DG324" s="392"/>
      <c r="DH324" s="392"/>
      <c r="DI324" s="392"/>
      <c r="DJ324" s="392"/>
      <c r="DK324" s="392"/>
      <c r="DL324" s="392"/>
      <c r="DM324" s="392"/>
      <c r="DN324" s="392"/>
      <c r="DO324" s="392"/>
      <c r="DP324" s="392"/>
      <c r="DQ324" s="392"/>
      <c r="DR324" s="392"/>
      <c r="DS324" s="392"/>
      <c r="DT324" s="392"/>
      <c r="DU324" s="392"/>
      <c r="DV324" s="392"/>
      <c r="DW324" s="392"/>
      <c r="DX324" s="392"/>
      <c r="DY324" s="392"/>
      <c r="DZ324" s="392"/>
      <c r="EA324" s="392"/>
      <c r="EB324" s="392"/>
      <c r="EC324" s="392"/>
      <c r="ED324" s="392"/>
      <c r="EE324" s="392"/>
      <c r="EF324" s="392"/>
      <c r="EG324" s="392"/>
      <c r="EH324" s="392"/>
      <c r="EI324" s="392"/>
      <c r="EJ324" s="392"/>
      <c r="EK324" s="392"/>
      <c r="EL324" s="392"/>
      <c r="EM324" s="392"/>
      <c r="EN324" s="392"/>
      <c r="EO324" s="392"/>
      <c r="EP324" s="392"/>
      <c r="EQ324" s="392"/>
      <c r="ER324" s="392"/>
      <c r="ES324" s="392"/>
      <c r="ET324" s="392"/>
      <c r="EU324" s="392"/>
      <c r="EV324" s="392"/>
      <c r="EW324" s="392"/>
      <c r="EX324" s="392"/>
      <c r="EY324" s="392"/>
      <c r="EZ324" s="392"/>
      <c r="FA324" s="392"/>
      <c r="FB324" s="392"/>
      <c r="FC324" s="392"/>
      <c r="FD324" s="392"/>
      <c r="FE324" s="392"/>
      <c r="FF324" s="392"/>
      <c r="FG324" s="392"/>
      <c r="FH324" s="392"/>
      <c r="FI324" s="392"/>
      <c r="FJ324" s="392"/>
      <c r="FK324" s="392"/>
      <c r="FL324" s="392"/>
      <c r="FM324" s="392"/>
      <c r="FN324" s="392"/>
      <c r="FO324" s="392"/>
      <c r="FP324" s="392"/>
      <c r="FQ324" s="392"/>
      <c r="FR324" s="392"/>
      <c r="FS324" s="392"/>
      <c r="FT324" s="392"/>
      <c r="FU324" s="392"/>
      <c r="FV324" s="392"/>
      <c r="FW324" s="392"/>
      <c r="FX324" s="392"/>
      <c r="FY324" s="392"/>
      <c r="FZ324" s="392"/>
      <c r="GA324" s="392"/>
      <c r="GB324" s="392"/>
      <c r="GC324" s="392"/>
      <c r="GD324" s="392"/>
      <c r="GE324" s="392"/>
      <c r="GF324" s="392"/>
      <c r="GG324" s="392"/>
      <c r="GH324" s="392"/>
      <c r="GI324" s="392"/>
      <c r="GJ324" s="392"/>
      <c r="GK324" s="392"/>
      <c r="GL324" s="392"/>
      <c r="GM324" s="392"/>
      <c r="GN324" s="392"/>
      <c r="GO324" s="392"/>
      <c r="GP324" s="392"/>
      <c r="GQ324" s="392"/>
      <c r="GR324" s="392"/>
      <c r="GS324" s="392"/>
      <c r="GT324" s="392"/>
      <c r="GU324" s="392"/>
      <c r="GV324" s="392"/>
      <c r="GW324" s="392"/>
      <c r="GX324" s="392"/>
      <c r="GY324" s="392"/>
      <c r="GZ324" s="392"/>
      <c r="HA324" s="392"/>
      <c r="HB324" s="392"/>
      <c r="HC324" s="392"/>
      <c r="HD324" s="392"/>
      <c r="HE324" s="392"/>
      <c r="HF324" s="392"/>
      <c r="HG324" s="392"/>
      <c r="HH324" s="392"/>
      <c r="HI324" s="392"/>
      <c r="HJ324" s="392"/>
      <c r="HK324" s="392"/>
      <c r="HL324" s="392"/>
      <c r="HM324" s="392"/>
      <c r="HN324" s="392"/>
      <c r="HO324" s="392"/>
      <c r="HP324" s="392"/>
      <c r="HQ324" s="392"/>
      <c r="HR324" s="392"/>
      <c r="HS324" s="392"/>
      <c r="HT324" s="392"/>
      <c r="HU324" s="392"/>
      <c r="HV324" s="392"/>
      <c r="HW324" s="392"/>
      <c r="HX324" s="392"/>
      <c r="HY324" s="392"/>
      <c r="HZ324" s="392"/>
      <c r="IA324" s="392"/>
      <c r="IB324" s="392"/>
      <c r="IC324" s="392"/>
      <c r="ID324" s="392"/>
      <c r="IE324" s="392"/>
      <c r="IF324" s="392"/>
      <c r="IG324" s="392"/>
      <c r="IH324" s="392"/>
      <c r="II324" s="392"/>
      <c r="IJ324" s="392"/>
      <c r="IK324" s="392"/>
      <c r="IL324" s="392"/>
      <c r="IM324" s="392"/>
      <c r="IN324" s="392"/>
      <c r="IO324" s="392"/>
      <c r="IP324" s="392"/>
      <c r="IQ324" s="392"/>
      <c r="IR324" s="392"/>
      <c r="IS324" s="392"/>
      <c r="IT324" s="392"/>
      <c r="IU324" s="392"/>
      <c r="IV324" s="392"/>
    </row>
    <row r="325" spans="1:256" ht="16.5" thickBot="1">
      <c r="A325" s="392"/>
      <c r="B325" s="401"/>
      <c r="C325" s="440"/>
      <c r="D325" s="441"/>
      <c r="E325" s="442"/>
      <c r="F325" s="443" t="s">
        <v>167</v>
      </c>
      <c r="G325" s="517" t="e">
        <f>TRUNC(SUM(G323:G324),2)</f>
        <v>#REF!</v>
      </c>
      <c r="H325" s="392"/>
      <c r="I325" s="392"/>
      <c r="J325" s="392"/>
      <c r="K325" s="392"/>
      <c r="L325" s="392"/>
      <c r="M325" s="392"/>
      <c r="N325" s="392"/>
      <c r="O325" s="392"/>
      <c r="P325" s="392"/>
      <c r="Q325" s="392"/>
      <c r="R325" s="392"/>
      <c r="S325" s="392"/>
      <c r="T325" s="392"/>
      <c r="U325" s="392"/>
      <c r="V325" s="392"/>
      <c r="W325" s="392"/>
      <c r="X325" s="392"/>
      <c r="Y325" s="392"/>
      <c r="Z325" s="392"/>
      <c r="AA325" s="392"/>
      <c r="AB325" s="392"/>
      <c r="AC325" s="392"/>
      <c r="AD325" s="392"/>
      <c r="AE325" s="392"/>
      <c r="AF325" s="392"/>
      <c r="AG325" s="392"/>
      <c r="AH325" s="392"/>
      <c r="AI325" s="392"/>
      <c r="AJ325" s="392"/>
      <c r="AK325" s="392"/>
      <c r="AL325" s="392"/>
      <c r="AM325" s="392"/>
      <c r="AN325" s="392"/>
      <c r="AO325" s="392"/>
      <c r="AP325" s="392"/>
      <c r="AQ325" s="392"/>
      <c r="AR325" s="392"/>
      <c r="AS325" s="392"/>
      <c r="AT325" s="392"/>
      <c r="AU325" s="392"/>
      <c r="AV325" s="392"/>
      <c r="AW325" s="392"/>
      <c r="AX325" s="392"/>
      <c r="AY325" s="392"/>
      <c r="AZ325" s="392"/>
      <c r="BA325" s="392"/>
      <c r="BB325" s="392"/>
      <c r="BC325" s="392"/>
      <c r="BD325" s="392"/>
      <c r="BE325" s="392"/>
      <c r="BF325" s="392"/>
      <c r="BG325" s="392"/>
      <c r="BH325" s="392"/>
      <c r="BI325" s="392"/>
      <c r="BJ325" s="392"/>
      <c r="BK325" s="392"/>
      <c r="BL325" s="392"/>
      <c r="BM325" s="392"/>
      <c r="BN325" s="392"/>
      <c r="BO325" s="392"/>
      <c r="BP325" s="392"/>
      <c r="BQ325" s="392"/>
      <c r="BR325" s="392"/>
      <c r="BS325" s="392"/>
      <c r="BT325" s="392"/>
      <c r="BU325" s="392"/>
      <c r="BV325" s="392"/>
      <c r="BW325" s="392"/>
      <c r="BX325" s="392"/>
      <c r="BY325" s="392"/>
      <c r="BZ325" s="392"/>
      <c r="CA325" s="392"/>
      <c r="CB325" s="392"/>
      <c r="CC325" s="392"/>
      <c r="CD325" s="392"/>
      <c r="CE325" s="392"/>
      <c r="CF325" s="392"/>
      <c r="CG325" s="392"/>
      <c r="CH325" s="392"/>
      <c r="CI325" s="392"/>
      <c r="CJ325" s="392"/>
      <c r="CK325" s="392"/>
      <c r="CL325" s="392"/>
      <c r="CM325" s="392"/>
      <c r="CN325" s="392"/>
      <c r="CO325" s="392"/>
      <c r="CP325" s="392"/>
      <c r="CQ325" s="392"/>
      <c r="CR325" s="392"/>
      <c r="CS325" s="392"/>
      <c r="CT325" s="392"/>
      <c r="CU325" s="392"/>
      <c r="CV325" s="392"/>
      <c r="CW325" s="392"/>
      <c r="CX325" s="392"/>
      <c r="CY325" s="392"/>
      <c r="CZ325" s="392"/>
      <c r="DA325" s="392"/>
      <c r="DB325" s="392"/>
      <c r="DC325" s="392"/>
      <c r="DD325" s="392"/>
      <c r="DE325" s="392"/>
      <c r="DF325" s="392"/>
      <c r="DG325" s="392"/>
      <c r="DH325" s="392"/>
      <c r="DI325" s="392"/>
      <c r="DJ325" s="392"/>
      <c r="DK325" s="392"/>
      <c r="DL325" s="392"/>
      <c r="DM325" s="392"/>
      <c r="DN325" s="392"/>
      <c r="DO325" s="392"/>
      <c r="DP325" s="392"/>
      <c r="DQ325" s="392"/>
      <c r="DR325" s="392"/>
      <c r="DS325" s="392"/>
      <c r="DT325" s="392"/>
      <c r="DU325" s="392"/>
      <c r="DV325" s="392"/>
      <c r="DW325" s="392"/>
      <c r="DX325" s="392"/>
      <c r="DY325" s="392"/>
      <c r="DZ325" s="392"/>
      <c r="EA325" s="392"/>
      <c r="EB325" s="392"/>
      <c r="EC325" s="392"/>
      <c r="ED325" s="392"/>
      <c r="EE325" s="392"/>
      <c r="EF325" s="392"/>
      <c r="EG325" s="392"/>
      <c r="EH325" s="392"/>
      <c r="EI325" s="392"/>
      <c r="EJ325" s="392"/>
      <c r="EK325" s="392"/>
      <c r="EL325" s="392"/>
      <c r="EM325" s="392"/>
      <c r="EN325" s="392"/>
      <c r="EO325" s="392"/>
      <c r="EP325" s="392"/>
      <c r="EQ325" s="392"/>
      <c r="ER325" s="392"/>
      <c r="ES325" s="392"/>
      <c r="ET325" s="392"/>
      <c r="EU325" s="392"/>
      <c r="EV325" s="392"/>
      <c r="EW325" s="392"/>
      <c r="EX325" s="392"/>
      <c r="EY325" s="392"/>
      <c r="EZ325" s="392"/>
      <c r="FA325" s="392"/>
      <c r="FB325" s="392"/>
      <c r="FC325" s="392"/>
      <c r="FD325" s="392"/>
      <c r="FE325" s="392"/>
      <c r="FF325" s="392"/>
      <c r="FG325" s="392"/>
      <c r="FH325" s="392"/>
      <c r="FI325" s="392"/>
      <c r="FJ325" s="392"/>
      <c r="FK325" s="392"/>
      <c r="FL325" s="392"/>
      <c r="FM325" s="392"/>
      <c r="FN325" s="392"/>
      <c r="FO325" s="392"/>
      <c r="FP325" s="392"/>
      <c r="FQ325" s="392"/>
      <c r="FR325" s="392"/>
      <c r="FS325" s="392"/>
      <c r="FT325" s="392"/>
      <c r="FU325" s="392"/>
      <c r="FV325" s="392"/>
      <c r="FW325" s="392"/>
      <c r="FX325" s="392"/>
      <c r="FY325" s="392"/>
      <c r="FZ325" s="392"/>
      <c r="GA325" s="392"/>
      <c r="GB325" s="392"/>
      <c r="GC325" s="392"/>
      <c r="GD325" s="392"/>
      <c r="GE325" s="392"/>
      <c r="GF325" s="392"/>
      <c r="GG325" s="392"/>
      <c r="GH325" s="392"/>
      <c r="GI325" s="392"/>
      <c r="GJ325" s="392"/>
      <c r="GK325" s="392"/>
      <c r="GL325" s="392"/>
      <c r="GM325" s="392"/>
      <c r="GN325" s="392"/>
      <c r="GO325" s="392"/>
      <c r="GP325" s="392"/>
      <c r="GQ325" s="392"/>
      <c r="GR325" s="392"/>
      <c r="GS325" s="392"/>
      <c r="GT325" s="392"/>
      <c r="GU325" s="392"/>
      <c r="GV325" s="392"/>
      <c r="GW325" s="392"/>
      <c r="GX325" s="392"/>
      <c r="GY325" s="392"/>
      <c r="GZ325" s="392"/>
      <c r="HA325" s="392"/>
      <c r="HB325" s="392"/>
      <c r="HC325" s="392"/>
      <c r="HD325" s="392"/>
      <c r="HE325" s="392"/>
      <c r="HF325" s="392"/>
      <c r="HG325" s="392"/>
      <c r="HH325" s="392"/>
      <c r="HI325" s="392"/>
      <c r="HJ325" s="392"/>
      <c r="HK325" s="392"/>
      <c r="HL325" s="392"/>
      <c r="HM325" s="392"/>
      <c r="HN325" s="392"/>
      <c r="HO325" s="392"/>
      <c r="HP325" s="392"/>
      <c r="HQ325" s="392"/>
      <c r="HR325" s="392"/>
      <c r="HS325" s="392"/>
      <c r="HT325" s="392"/>
      <c r="HU325" s="392"/>
      <c r="HV325" s="392"/>
      <c r="HW325" s="392"/>
      <c r="HX325" s="392"/>
      <c r="HY325" s="392"/>
      <c r="HZ325" s="392"/>
      <c r="IA325" s="392"/>
      <c r="IB325" s="392"/>
      <c r="IC325" s="392"/>
      <c r="ID325" s="392"/>
      <c r="IE325" s="392"/>
      <c r="IF325" s="392"/>
      <c r="IG325" s="392"/>
      <c r="IH325" s="392"/>
      <c r="II325" s="392"/>
      <c r="IJ325" s="392"/>
      <c r="IK325" s="392"/>
      <c r="IL325" s="392"/>
      <c r="IM325" s="392"/>
      <c r="IN325" s="392"/>
      <c r="IO325" s="392"/>
      <c r="IP325" s="392"/>
      <c r="IQ325" s="392"/>
      <c r="IR325" s="392"/>
      <c r="IS325" s="392"/>
      <c r="IT325" s="392"/>
      <c r="IU325" s="392"/>
      <c r="IV325" s="392"/>
    </row>
    <row r="326" spans="1:256" ht="13.5" thickBot="1">
      <c r="A326" s="392"/>
      <c r="B326" s="461"/>
      <c r="C326" s="461"/>
      <c r="D326" s="462"/>
      <c r="E326" s="463"/>
      <c r="F326" s="464"/>
      <c r="G326" s="465"/>
      <c r="H326" s="392"/>
      <c r="I326" s="392"/>
      <c r="J326" s="392"/>
      <c r="K326" s="392"/>
      <c r="L326" s="392"/>
      <c r="M326" s="392"/>
      <c r="N326" s="392"/>
      <c r="O326" s="392"/>
      <c r="P326" s="392"/>
      <c r="Q326" s="392"/>
      <c r="R326" s="392"/>
      <c r="S326" s="392"/>
      <c r="T326" s="392"/>
      <c r="U326" s="392"/>
      <c r="V326" s="392"/>
      <c r="W326" s="392"/>
      <c r="X326" s="392"/>
      <c r="Y326" s="392"/>
      <c r="Z326" s="392"/>
      <c r="AA326" s="392"/>
      <c r="AB326" s="392"/>
      <c r="AC326" s="392"/>
      <c r="AD326" s="392"/>
      <c r="AE326" s="392"/>
      <c r="AF326" s="392"/>
      <c r="AG326" s="392"/>
      <c r="AH326" s="392"/>
      <c r="AI326" s="392"/>
      <c r="AJ326" s="392"/>
      <c r="AK326" s="392"/>
      <c r="AL326" s="392"/>
      <c r="AM326" s="392"/>
      <c r="AN326" s="392"/>
      <c r="AO326" s="392"/>
      <c r="AP326" s="392"/>
      <c r="AQ326" s="392"/>
      <c r="AR326" s="392"/>
      <c r="AS326" s="392"/>
      <c r="AT326" s="392"/>
      <c r="AU326" s="392"/>
      <c r="AV326" s="392"/>
      <c r="AW326" s="392"/>
      <c r="AX326" s="392"/>
      <c r="AY326" s="392"/>
      <c r="AZ326" s="392"/>
      <c r="BA326" s="392"/>
      <c r="BB326" s="392"/>
      <c r="BC326" s="392"/>
      <c r="BD326" s="392"/>
      <c r="BE326" s="392"/>
      <c r="BF326" s="392"/>
      <c r="BG326" s="392"/>
      <c r="BH326" s="392"/>
      <c r="BI326" s="392"/>
      <c r="BJ326" s="392"/>
      <c r="BK326" s="392"/>
      <c r="BL326" s="392"/>
      <c r="BM326" s="392"/>
      <c r="BN326" s="392"/>
      <c r="BO326" s="392"/>
      <c r="BP326" s="392"/>
      <c r="BQ326" s="392"/>
      <c r="BR326" s="392"/>
      <c r="BS326" s="392"/>
      <c r="BT326" s="392"/>
      <c r="BU326" s="392"/>
      <c r="BV326" s="392"/>
      <c r="BW326" s="392"/>
      <c r="BX326" s="392"/>
      <c r="BY326" s="392"/>
      <c r="BZ326" s="392"/>
      <c r="CA326" s="392"/>
      <c r="CB326" s="392"/>
      <c r="CC326" s="392"/>
      <c r="CD326" s="392"/>
      <c r="CE326" s="392"/>
      <c r="CF326" s="392"/>
      <c r="CG326" s="392"/>
      <c r="CH326" s="392"/>
      <c r="CI326" s="392"/>
      <c r="CJ326" s="392"/>
      <c r="CK326" s="392"/>
      <c r="CL326" s="392"/>
      <c r="CM326" s="392"/>
      <c r="CN326" s="392"/>
      <c r="CO326" s="392"/>
      <c r="CP326" s="392"/>
      <c r="CQ326" s="392"/>
      <c r="CR326" s="392"/>
      <c r="CS326" s="392"/>
      <c r="CT326" s="392"/>
      <c r="CU326" s="392"/>
      <c r="CV326" s="392"/>
      <c r="CW326" s="392"/>
      <c r="CX326" s="392"/>
      <c r="CY326" s="392"/>
      <c r="CZ326" s="392"/>
      <c r="DA326" s="392"/>
      <c r="DB326" s="392"/>
      <c r="DC326" s="392"/>
      <c r="DD326" s="392"/>
      <c r="DE326" s="392"/>
      <c r="DF326" s="392"/>
      <c r="DG326" s="392"/>
      <c r="DH326" s="392"/>
      <c r="DI326" s="392"/>
      <c r="DJ326" s="392"/>
      <c r="DK326" s="392"/>
      <c r="DL326" s="392"/>
      <c r="DM326" s="392"/>
      <c r="DN326" s="392"/>
      <c r="DO326" s="392"/>
      <c r="DP326" s="392"/>
      <c r="DQ326" s="392"/>
      <c r="DR326" s="392"/>
      <c r="DS326" s="392"/>
      <c r="DT326" s="392"/>
      <c r="DU326" s="392"/>
      <c r="DV326" s="392"/>
      <c r="DW326" s="392"/>
      <c r="DX326" s="392"/>
      <c r="DY326" s="392"/>
      <c r="DZ326" s="392"/>
      <c r="EA326" s="392"/>
      <c r="EB326" s="392"/>
      <c r="EC326" s="392"/>
      <c r="ED326" s="392"/>
      <c r="EE326" s="392"/>
      <c r="EF326" s="392"/>
      <c r="EG326" s="392"/>
      <c r="EH326" s="392"/>
      <c r="EI326" s="392"/>
      <c r="EJ326" s="392"/>
      <c r="EK326" s="392"/>
      <c r="EL326" s="392"/>
      <c r="EM326" s="392"/>
      <c r="EN326" s="392"/>
      <c r="EO326" s="392"/>
      <c r="EP326" s="392"/>
      <c r="EQ326" s="392"/>
      <c r="ER326" s="392"/>
      <c r="ES326" s="392"/>
      <c r="ET326" s="392"/>
      <c r="EU326" s="392"/>
      <c r="EV326" s="392"/>
      <c r="EW326" s="392"/>
      <c r="EX326" s="392"/>
      <c r="EY326" s="392"/>
      <c r="EZ326" s="392"/>
      <c r="FA326" s="392"/>
      <c r="FB326" s="392"/>
      <c r="FC326" s="392"/>
      <c r="FD326" s="392"/>
      <c r="FE326" s="392"/>
      <c r="FF326" s="392"/>
      <c r="FG326" s="392"/>
      <c r="FH326" s="392"/>
      <c r="FI326" s="392"/>
      <c r="FJ326" s="392"/>
      <c r="FK326" s="392"/>
      <c r="FL326" s="392"/>
      <c r="FM326" s="392"/>
      <c r="FN326" s="392"/>
      <c r="FO326" s="392"/>
      <c r="FP326" s="392"/>
      <c r="FQ326" s="392"/>
      <c r="FR326" s="392"/>
      <c r="FS326" s="392"/>
      <c r="FT326" s="392"/>
      <c r="FU326" s="392"/>
      <c r="FV326" s="392"/>
      <c r="FW326" s="392"/>
      <c r="FX326" s="392"/>
      <c r="FY326" s="392"/>
      <c r="FZ326" s="392"/>
      <c r="GA326" s="392"/>
      <c r="GB326" s="392"/>
      <c r="GC326" s="392"/>
      <c r="GD326" s="392"/>
      <c r="GE326" s="392"/>
      <c r="GF326" s="392"/>
      <c r="GG326" s="392"/>
      <c r="GH326" s="392"/>
      <c r="GI326" s="392"/>
      <c r="GJ326" s="392"/>
      <c r="GK326" s="392"/>
      <c r="GL326" s="392"/>
      <c r="GM326" s="392"/>
      <c r="GN326" s="392"/>
      <c r="GO326" s="392"/>
      <c r="GP326" s="392"/>
      <c r="GQ326" s="392"/>
      <c r="GR326" s="392"/>
      <c r="GS326" s="392"/>
      <c r="GT326" s="392"/>
      <c r="GU326" s="392"/>
      <c r="GV326" s="392"/>
      <c r="GW326" s="392"/>
      <c r="GX326" s="392"/>
      <c r="GY326" s="392"/>
      <c r="GZ326" s="392"/>
      <c r="HA326" s="392"/>
      <c r="HB326" s="392"/>
      <c r="HC326" s="392"/>
      <c r="HD326" s="392"/>
      <c r="HE326" s="392"/>
      <c r="HF326" s="392"/>
      <c r="HG326" s="392"/>
      <c r="HH326" s="392"/>
      <c r="HI326" s="392"/>
      <c r="HJ326" s="392"/>
      <c r="HK326" s="392"/>
      <c r="HL326" s="392"/>
      <c r="HM326" s="392"/>
      <c r="HN326" s="392"/>
      <c r="HO326" s="392"/>
      <c r="HP326" s="392"/>
      <c r="HQ326" s="392"/>
      <c r="HR326" s="392"/>
      <c r="HS326" s="392"/>
      <c r="HT326" s="392"/>
      <c r="HU326" s="392"/>
      <c r="HV326" s="392"/>
      <c r="HW326" s="392"/>
      <c r="HX326" s="392"/>
      <c r="HY326" s="392"/>
      <c r="HZ326" s="392"/>
      <c r="IA326" s="392"/>
      <c r="IB326" s="392"/>
      <c r="IC326" s="392"/>
      <c r="ID326" s="392"/>
      <c r="IE326" s="392"/>
      <c r="IF326" s="392"/>
      <c r="IG326" s="392"/>
      <c r="IH326" s="392"/>
      <c r="II326" s="392"/>
      <c r="IJ326" s="392"/>
      <c r="IK326" s="392"/>
      <c r="IL326" s="392"/>
      <c r="IM326" s="392"/>
      <c r="IN326" s="392"/>
      <c r="IO326" s="392"/>
      <c r="IP326" s="392"/>
      <c r="IQ326" s="392"/>
      <c r="IR326" s="392"/>
      <c r="IS326" s="392"/>
      <c r="IT326" s="392"/>
      <c r="IU326" s="392"/>
      <c r="IV326" s="392"/>
    </row>
    <row r="327" spans="1:256" ht="13.5" thickBot="1">
      <c r="A327" s="392"/>
      <c r="B327" s="498" t="s">
        <v>650</v>
      </c>
      <c r="C327" s="499" t="s">
        <v>651</v>
      </c>
      <c r="D327" s="500"/>
      <c r="E327" s="500"/>
      <c r="F327" s="501"/>
      <c r="G327" s="502" t="s">
        <v>22</v>
      </c>
      <c r="H327" s="392"/>
      <c r="I327" s="392"/>
      <c r="J327" s="392"/>
      <c r="K327" s="392"/>
      <c r="L327" s="392"/>
      <c r="M327" s="392"/>
      <c r="N327" s="392"/>
      <c r="O327" s="392"/>
      <c r="P327" s="392"/>
      <c r="Q327" s="392"/>
      <c r="R327" s="392"/>
      <c r="S327" s="392"/>
      <c r="T327" s="392"/>
      <c r="U327" s="392"/>
      <c r="V327" s="392"/>
      <c r="W327" s="392"/>
      <c r="X327" s="392"/>
      <c r="Y327" s="392"/>
      <c r="Z327" s="392"/>
      <c r="AA327" s="392"/>
      <c r="AB327" s="392"/>
      <c r="AC327" s="392"/>
      <c r="AD327" s="392"/>
      <c r="AE327" s="392"/>
      <c r="AF327" s="392"/>
      <c r="AG327" s="392"/>
      <c r="AH327" s="392"/>
      <c r="AI327" s="392"/>
      <c r="AJ327" s="392"/>
      <c r="AK327" s="392"/>
      <c r="AL327" s="392"/>
      <c r="AM327" s="392"/>
      <c r="AN327" s="392"/>
      <c r="AO327" s="392"/>
      <c r="AP327" s="392"/>
      <c r="AQ327" s="392"/>
      <c r="AR327" s="392"/>
      <c r="AS327" s="392"/>
      <c r="AT327" s="392"/>
      <c r="AU327" s="392"/>
      <c r="AV327" s="392"/>
      <c r="AW327" s="392"/>
      <c r="AX327" s="392"/>
      <c r="AY327" s="392"/>
      <c r="AZ327" s="392"/>
      <c r="BA327" s="392"/>
      <c r="BB327" s="392"/>
      <c r="BC327" s="392"/>
      <c r="BD327" s="392"/>
      <c r="BE327" s="392"/>
      <c r="BF327" s="392"/>
      <c r="BG327" s="392"/>
      <c r="BH327" s="392"/>
      <c r="BI327" s="392"/>
      <c r="BJ327" s="392"/>
      <c r="BK327" s="392"/>
      <c r="BL327" s="392"/>
      <c r="BM327" s="392"/>
      <c r="BN327" s="392"/>
      <c r="BO327" s="392"/>
      <c r="BP327" s="392"/>
      <c r="BQ327" s="392"/>
      <c r="BR327" s="392"/>
      <c r="BS327" s="392"/>
      <c r="BT327" s="392"/>
      <c r="BU327" s="392"/>
      <c r="BV327" s="392"/>
      <c r="BW327" s="392"/>
      <c r="BX327" s="392"/>
      <c r="BY327" s="392"/>
      <c r="BZ327" s="392"/>
      <c r="CA327" s="392"/>
      <c r="CB327" s="392"/>
      <c r="CC327" s="392"/>
      <c r="CD327" s="392"/>
      <c r="CE327" s="392"/>
      <c r="CF327" s="392"/>
      <c r="CG327" s="392"/>
      <c r="CH327" s="392"/>
      <c r="CI327" s="392"/>
      <c r="CJ327" s="392"/>
      <c r="CK327" s="392"/>
      <c r="CL327" s="392"/>
      <c r="CM327" s="392"/>
      <c r="CN327" s="392"/>
      <c r="CO327" s="392"/>
      <c r="CP327" s="392"/>
      <c r="CQ327" s="392"/>
      <c r="CR327" s="392"/>
      <c r="CS327" s="392"/>
      <c r="CT327" s="392"/>
      <c r="CU327" s="392"/>
      <c r="CV327" s="392"/>
      <c r="CW327" s="392"/>
      <c r="CX327" s="392"/>
      <c r="CY327" s="392"/>
      <c r="CZ327" s="392"/>
      <c r="DA327" s="392"/>
      <c r="DB327" s="392"/>
      <c r="DC327" s="392"/>
      <c r="DD327" s="392"/>
      <c r="DE327" s="392"/>
      <c r="DF327" s="392"/>
      <c r="DG327" s="392"/>
      <c r="DH327" s="392"/>
      <c r="DI327" s="392"/>
      <c r="DJ327" s="392"/>
      <c r="DK327" s="392"/>
      <c r="DL327" s="392"/>
      <c r="DM327" s="392"/>
      <c r="DN327" s="392"/>
      <c r="DO327" s="392"/>
      <c r="DP327" s="392"/>
      <c r="DQ327" s="392"/>
      <c r="DR327" s="392"/>
      <c r="DS327" s="392"/>
      <c r="DT327" s="392"/>
      <c r="DU327" s="392"/>
      <c r="DV327" s="392"/>
      <c r="DW327" s="392"/>
      <c r="DX327" s="392"/>
      <c r="DY327" s="392"/>
      <c r="DZ327" s="392"/>
      <c r="EA327" s="392"/>
      <c r="EB327" s="392"/>
      <c r="EC327" s="392"/>
      <c r="ED327" s="392"/>
      <c r="EE327" s="392"/>
      <c r="EF327" s="392"/>
      <c r="EG327" s="392"/>
      <c r="EH327" s="392"/>
      <c r="EI327" s="392"/>
      <c r="EJ327" s="392"/>
      <c r="EK327" s="392"/>
      <c r="EL327" s="392"/>
      <c r="EM327" s="392"/>
      <c r="EN327" s="392"/>
      <c r="EO327" s="392"/>
      <c r="EP327" s="392"/>
      <c r="EQ327" s="392"/>
      <c r="ER327" s="392"/>
      <c r="ES327" s="392"/>
      <c r="ET327" s="392"/>
      <c r="EU327" s="392"/>
      <c r="EV327" s="392"/>
      <c r="EW327" s="392"/>
      <c r="EX327" s="392"/>
      <c r="EY327" s="392"/>
      <c r="EZ327" s="392"/>
      <c r="FA327" s="392"/>
      <c r="FB327" s="392"/>
      <c r="FC327" s="392"/>
      <c r="FD327" s="392"/>
      <c r="FE327" s="392"/>
      <c r="FF327" s="392"/>
      <c r="FG327" s="392"/>
      <c r="FH327" s="392"/>
      <c r="FI327" s="392"/>
      <c r="FJ327" s="392"/>
      <c r="FK327" s="392"/>
      <c r="FL327" s="392"/>
      <c r="FM327" s="392"/>
      <c r="FN327" s="392"/>
      <c r="FO327" s="392"/>
      <c r="FP327" s="392"/>
      <c r="FQ327" s="392"/>
      <c r="FR327" s="392"/>
      <c r="FS327" s="392"/>
      <c r="FT327" s="392"/>
      <c r="FU327" s="392"/>
      <c r="FV327" s="392"/>
      <c r="FW327" s="392"/>
      <c r="FX327" s="392"/>
      <c r="FY327" s="392"/>
      <c r="FZ327" s="392"/>
      <c r="GA327" s="392"/>
      <c r="GB327" s="392"/>
      <c r="GC327" s="392"/>
      <c r="GD327" s="392"/>
      <c r="GE327" s="392"/>
      <c r="GF327" s="392"/>
      <c r="GG327" s="392"/>
      <c r="GH327" s="392"/>
      <c r="GI327" s="392"/>
      <c r="GJ327" s="392"/>
      <c r="GK327" s="392"/>
      <c r="GL327" s="392"/>
      <c r="GM327" s="392"/>
      <c r="GN327" s="392"/>
      <c r="GO327" s="392"/>
      <c r="GP327" s="392"/>
      <c r="GQ327" s="392"/>
      <c r="GR327" s="392"/>
      <c r="GS327" s="392"/>
      <c r="GT327" s="392"/>
      <c r="GU327" s="392"/>
      <c r="GV327" s="392"/>
      <c r="GW327" s="392"/>
      <c r="GX327" s="392"/>
      <c r="GY327" s="392"/>
      <c r="GZ327" s="392"/>
      <c r="HA327" s="392"/>
      <c r="HB327" s="392"/>
      <c r="HC327" s="392"/>
      <c r="HD327" s="392"/>
      <c r="HE327" s="392"/>
      <c r="HF327" s="392"/>
      <c r="HG327" s="392"/>
      <c r="HH327" s="392"/>
      <c r="HI327" s="392"/>
      <c r="HJ327" s="392"/>
      <c r="HK327" s="392"/>
      <c r="HL327" s="392"/>
      <c r="HM327" s="392"/>
      <c r="HN327" s="392"/>
      <c r="HO327" s="392"/>
      <c r="HP327" s="392"/>
      <c r="HQ327" s="392"/>
      <c r="HR327" s="392"/>
      <c r="HS327" s="392"/>
      <c r="HT327" s="392"/>
      <c r="HU327" s="392"/>
      <c r="HV327" s="392"/>
      <c r="HW327" s="392"/>
      <c r="HX327" s="392"/>
      <c r="HY327" s="392"/>
      <c r="HZ327" s="392"/>
      <c r="IA327" s="392"/>
      <c r="IB327" s="392"/>
      <c r="IC327" s="392"/>
      <c r="ID327" s="392"/>
      <c r="IE327" s="392"/>
      <c r="IF327" s="392"/>
      <c r="IG327" s="392"/>
      <c r="IH327" s="392"/>
      <c r="II327" s="392"/>
      <c r="IJ327" s="392"/>
      <c r="IK327" s="392"/>
      <c r="IL327" s="392"/>
      <c r="IM327" s="392"/>
      <c r="IN327" s="392"/>
      <c r="IO327" s="392"/>
      <c r="IP327" s="392"/>
      <c r="IQ327" s="392"/>
      <c r="IR327" s="392"/>
      <c r="IS327" s="392"/>
      <c r="IT327" s="392"/>
      <c r="IU327" s="392"/>
      <c r="IV327" s="392"/>
    </row>
    <row r="328" spans="1:256" ht="26.25" thickBot="1">
      <c r="A328" s="392"/>
      <c r="B328" s="503" t="s">
        <v>197</v>
      </c>
      <c r="C328" s="504" t="s">
        <v>161</v>
      </c>
      <c r="D328" s="504" t="s">
        <v>22</v>
      </c>
      <c r="E328" s="504" t="s">
        <v>162</v>
      </c>
      <c r="F328" s="505" t="s">
        <v>186</v>
      </c>
      <c r="G328" s="506" t="s">
        <v>187</v>
      </c>
      <c r="H328" s="392"/>
      <c r="I328" s="392"/>
      <c r="J328" s="392"/>
      <c r="K328" s="392"/>
      <c r="L328" s="392"/>
      <c r="M328" s="392"/>
      <c r="N328" s="392"/>
      <c r="O328" s="392"/>
      <c r="P328" s="392"/>
      <c r="Q328" s="392"/>
      <c r="R328" s="392"/>
      <c r="S328" s="392"/>
      <c r="T328" s="392"/>
      <c r="U328" s="392"/>
      <c r="V328" s="392"/>
      <c r="W328" s="392"/>
      <c r="X328" s="392"/>
      <c r="Y328" s="392"/>
      <c r="Z328" s="392"/>
      <c r="AA328" s="392"/>
      <c r="AB328" s="392"/>
      <c r="AC328" s="392"/>
      <c r="AD328" s="392"/>
      <c r="AE328" s="392"/>
      <c r="AF328" s="392"/>
      <c r="AG328" s="392"/>
      <c r="AH328" s="392"/>
      <c r="AI328" s="392"/>
      <c r="AJ328" s="392"/>
      <c r="AK328" s="392"/>
      <c r="AL328" s="392"/>
      <c r="AM328" s="392"/>
      <c r="AN328" s="392"/>
      <c r="AO328" s="392"/>
      <c r="AP328" s="392"/>
      <c r="AQ328" s="392"/>
      <c r="AR328" s="392"/>
      <c r="AS328" s="392"/>
      <c r="AT328" s="392"/>
      <c r="AU328" s="392"/>
      <c r="AV328" s="392"/>
      <c r="AW328" s="392"/>
      <c r="AX328" s="392"/>
      <c r="AY328" s="392"/>
      <c r="AZ328" s="392"/>
      <c r="BA328" s="392"/>
      <c r="BB328" s="392"/>
      <c r="BC328" s="392"/>
      <c r="BD328" s="392"/>
      <c r="BE328" s="392"/>
      <c r="BF328" s="392"/>
      <c r="BG328" s="392"/>
      <c r="BH328" s="392"/>
      <c r="BI328" s="392"/>
      <c r="BJ328" s="392"/>
      <c r="BK328" s="392"/>
      <c r="BL328" s="392"/>
      <c r="BM328" s="392"/>
      <c r="BN328" s="392"/>
      <c r="BO328" s="392"/>
      <c r="BP328" s="392"/>
      <c r="BQ328" s="392"/>
      <c r="BR328" s="392"/>
      <c r="BS328" s="392"/>
      <c r="BT328" s="392"/>
      <c r="BU328" s="392"/>
      <c r="BV328" s="392"/>
      <c r="BW328" s="392"/>
      <c r="BX328" s="392"/>
      <c r="BY328" s="392"/>
      <c r="BZ328" s="392"/>
      <c r="CA328" s="392"/>
      <c r="CB328" s="392"/>
      <c r="CC328" s="392"/>
      <c r="CD328" s="392"/>
      <c r="CE328" s="392"/>
      <c r="CF328" s="392"/>
      <c r="CG328" s="392"/>
      <c r="CH328" s="392"/>
      <c r="CI328" s="392"/>
      <c r="CJ328" s="392"/>
      <c r="CK328" s="392"/>
      <c r="CL328" s="392"/>
      <c r="CM328" s="392"/>
      <c r="CN328" s="392"/>
      <c r="CO328" s="392"/>
      <c r="CP328" s="392"/>
      <c r="CQ328" s="392"/>
      <c r="CR328" s="392"/>
      <c r="CS328" s="392"/>
      <c r="CT328" s="392"/>
      <c r="CU328" s="392"/>
      <c r="CV328" s="392"/>
      <c r="CW328" s="392"/>
      <c r="CX328" s="392"/>
      <c r="CY328" s="392"/>
      <c r="CZ328" s="392"/>
      <c r="DA328" s="392"/>
      <c r="DB328" s="392"/>
      <c r="DC328" s="392"/>
      <c r="DD328" s="392"/>
      <c r="DE328" s="392"/>
      <c r="DF328" s="392"/>
      <c r="DG328" s="392"/>
      <c r="DH328" s="392"/>
      <c r="DI328" s="392"/>
      <c r="DJ328" s="392"/>
      <c r="DK328" s="392"/>
      <c r="DL328" s="392"/>
      <c r="DM328" s="392"/>
      <c r="DN328" s="392"/>
      <c r="DO328" s="392"/>
      <c r="DP328" s="392"/>
      <c r="DQ328" s="392"/>
      <c r="DR328" s="392"/>
      <c r="DS328" s="392"/>
      <c r="DT328" s="392"/>
      <c r="DU328" s="392"/>
      <c r="DV328" s="392"/>
      <c r="DW328" s="392"/>
      <c r="DX328" s="392"/>
      <c r="DY328" s="392"/>
      <c r="DZ328" s="392"/>
      <c r="EA328" s="392"/>
      <c r="EB328" s="392"/>
      <c r="EC328" s="392"/>
      <c r="ED328" s="392"/>
      <c r="EE328" s="392"/>
      <c r="EF328" s="392"/>
      <c r="EG328" s="392"/>
      <c r="EH328" s="392"/>
      <c r="EI328" s="392"/>
      <c r="EJ328" s="392"/>
      <c r="EK328" s="392"/>
      <c r="EL328" s="392"/>
      <c r="EM328" s="392"/>
      <c r="EN328" s="392"/>
      <c r="EO328" s="392"/>
      <c r="EP328" s="392"/>
      <c r="EQ328" s="392"/>
      <c r="ER328" s="392"/>
      <c r="ES328" s="392"/>
      <c r="ET328" s="392"/>
      <c r="EU328" s="392"/>
      <c r="EV328" s="392"/>
      <c r="EW328" s="392"/>
      <c r="EX328" s="392"/>
      <c r="EY328" s="392"/>
      <c r="EZ328" s="392"/>
      <c r="FA328" s="392"/>
      <c r="FB328" s="392"/>
      <c r="FC328" s="392"/>
      <c r="FD328" s="392"/>
      <c r="FE328" s="392"/>
      <c r="FF328" s="392"/>
      <c r="FG328" s="392"/>
      <c r="FH328" s="392"/>
      <c r="FI328" s="392"/>
      <c r="FJ328" s="392"/>
      <c r="FK328" s="392"/>
      <c r="FL328" s="392"/>
      <c r="FM328" s="392"/>
      <c r="FN328" s="392"/>
      <c r="FO328" s="392"/>
      <c r="FP328" s="392"/>
      <c r="FQ328" s="392"/>
      <c r="FR328" s="392"/>
      <c r="FS328" s="392"/>
      <c r="FT328" s="392"/>
      <c r="FU328" s="392"/>
      <c r="FV328" s="392"/>
      <c r="FW328" s="392"/>
      <c r="FX328" s="392"/>
      <c r="FY328" s="392"/>
      <c r="FZ328" s="392"/>
      <c r="GA328" s="392"/>
      <c r="GB328" s="392"/>
      <c r="GC328" s="392"/>
      <c r="GD328" s="392"/>
      <c r="GE328" s="392"/>
      <c r="GF328" s="392"/>
      <c r="GG328" s="392"/>
      <c r="GH328" s="392"/>
      <c r="GI328" s="392"/>
      <c r="GJ328" s="392"/>
      <c r="GK328" s="392"/>
      <c r="GL328" s="392"/>
      <c r="GM328" s="392"/>
      <c r="GN328" s="392"/>
      <c r="GO328" s="392"/>
      <c r="GP328" s="392"/>
      <c r="GQ328" s="392"/>
      <c r="GR328" s="392"/>
      <c r="GS328" s="392"/>
      <c r="GT328" s="392"/>
      <c r="GU328" s="392"/>
      <c r="GV328" s="392"/>
      <c r="GW328" s="392"/>
      <c r="GX328" s="392"/>
      <c r="GY328" s="392"/>
      <c r="GZ328" s="392"/>
      <c r="HA328" s="392"/>
      <c r="HB328" s="392"/>
      <c r="HC328" s="392"/>
      <c r="HD328" s="392"/>
      <c r="HE328" s="392"/>
      <c r="HF328" s="392"/>
      <c r="HG328" s="392"/>
      <c r="HH328" s="392"/>
      <c r="HI328" s="392"/>
      <c r="HJ328" s="392"/>
      <c r="HK328" s="392"/>
      <c r="HL328" s="392"/>
      <c r="HM328" s="392"/>
      <c r="HN328" s="392"/>
      <c r="HO328" s="392"/>
      <c r="HP328" s="392"/>
      <c r="HQ328" s="392"/>
      <c r="HR328" s="392"/>
      <c r="HS328" s="392"/>
      <c r="HT328" s="392"/>
      <c r="HU328" s="392"/>
      <c r="HV328" s="392"/>
      <c r="HW328" s="392"/>
      <c r="HX328" s="392"/>
      <c r="HY328" s="392"/>
      <c r="HZ328" s="392"/>
      <c r="IA328" s="392"/>
      <c r="IB328" s="392"/>
      <c r="IC328" s="392"/>
      <c r="ID328" s="392"/>
      <c r="IE328" s="392"/>
      <c r="IF328" s="392"/>
      <c r="IG328" s="392"/>
      <c r="IH328" s="392"/>
      <c r="II328" s="392"/>
      <c r="IJ328" s="392"/>
      <c r="IK328" s="392"/>
      <c r="IL328" s="392"/>
      <c r="IM328" s="392"/>
      <c r="IN328" s="392"/>
      <c r="IO328" s="392"/>
      <c r="IP328" s="392"/>
      <c r="IQ328" s="392"/>
      <c r="IR328" s="392"/>
      <c r="IS328" s="392"/>
      <c r="IT328" s="392"/>
      <c r="IU328" s="392"/>
      <c r="IV328" s="392"/>
    </row>
    <row r="329" spans="1:256" ht="13.5" thickBot="1">
      <c r="A329" s="392"/>
      <c r="B329" s="2309" t="s">
        <v>165</v>
      </c>
      <c r="C329" s="2310"/>
      <c r="D329" s="2310"/>
      <c r="E329" s="2310"/>
      <c r="F329" s="2310"/>
      <c r="G329" s="2311"/>
      <c r="H329" s="392"/>
      <c r="I329" s="392"/>
      <c r="J329" s="392"/>
      <c r="K329" s="392"/>
      <c r="L329" s="392"/>
      <c r="M329" s="392"/>
      <c r="N329" s="392"/>
      <c r="O329" s="392"/>
      <c r="P329" s="392"/>
      <c r="Q329" s="392"/>
      <c r="R329" s="392"/>
      <c r="S329" s="392"/>
      <c r="T329" s="392"/>
      <c r="U329" s="392"/>
      <c r="V329" s="392"/>
      <c r="W329" s="392"/>
      <c r="X329" s="392"/>
      <c r="Y329" s="392"/>
      <c r="Z329" s="392"/>
      <c r="AA329" s="392"/>
      <c r="AB329" s="392"/>
      <c r="AC329" s="392"/>
      <c r="AD329" s="392"/>
      <c r="AE329" s="392"/>
      <c r="AF329" s="392"/>
      <c r="AG329" s="392"/>
      <c r="AH329" s="392"/>
      <c r="AI329" s="392"/>
      <c r="AJ329" s="392"/>
      <c r="AK329" s="392"/>
      <c r="AL329" s="392"/>
      <c r="AM329" s="392"/>
      <c r="AN329" s="392"/>
      <c r="AO329" s="392"/>
      <c r="AP329" s="392"/>
      <c r="AQ329" s="392"/>
      <c r="AR329" s="392"/>
      <c r="AS329" s="392"/>
      <c r="AT329" s="392"/>
      <c r="AU329" s="392"/>
      <c r="AV329" s="392"/>
      <c r="AW329" s="392"/>
      <c r="AX329" s="392"/>
      <c r="AY329" s="392"/>
      <c r="AZ329" s="392"/>
      <c r="BA329" s="392"/>
      <c r="BB329" s="392"/>
      <c r="BC329" s="392"/>
      <c r="BD329" s="392"/>
      <c r="BE329" s="392"/>
      <c r="BF329" s="392"/>
      <c r="BG329" s="392"/>
      <c r="BH329" s="392"/>
      <c r="BI329" s="392"/>
      <c r="BJ329" s="392"/>
      <c r="BK329" s="392"/>
      <c r="BL329" s="392"/>
      <c r="BM329" s="392"/>
      <c r="BN329" s="392"/>
      <c r="BO329" s="392"/>
      <c r="BP329" s="392"/>
      <c r="BQ329" s="392"/>
      <c r="BR329" s="392"/>
      <c r="BS329" s="392"/>
      <c r="BT329" s="392"/>
      <c r="BU329" s="392"/>
      <c r="BV329" s="392"/>
      <c r="BW329" s="392"/>
      <c r="BX329" s="392"/>
      <c r="BY329" s="392"/>
      <c r="BZ329" s="392"/>
      <c r="CA329" s="392"/>
      <c r="CB329" s="392"/>
      <c r="CC329" s="392"/>
      <c r="CD329" s="392"/>
      <c r="CE329" s="392"/>
      <c r="CF329" s="392"/>
      <c r="CG329" s="392"/>
      <c r="CH329" s="392"/>
      <c r="CI329" s="392"/>
      <c r="CJ329" s="392"/>
      <c r="CK329" s="392"/>
      <c r="CL329" s="392"/>
      <c r="CM329" s="392"/>
      <c r="CN329" s="392"/>
      <c r="CO329" s="392"/>
      <c r="CP329" s="392"/>
      <c r="CQ329" s="392"/>
      <c r="CR329" s="392"/>
      <c r="CS329" s="392"/>
      <c r="CT329" s="392"/>
      <c r="CU329" s="392"/>
      <c r="CV329" s="392"/>
      <c r="CW329" s="392"/>
      <c r="CX329" s="392"/>
      <c r="CY329" s="392"/>
      <c r="CZ329" s="392"/>
      <c r="DA329" s="392"/>
      <c r="DB329" s="392"/>
      <c r="DC329" s="392"/>
      <c r="DD329" s="392"/>
      <c r="DE329" s="392"/>
      <c r="DF329" s="392"/>
      <c r="DG329" s="392"/>
      <c r="DH329" s="392"/>
      <c r="DI329" s="392"/>
      <c r="DJ329" s="392"/>
      <c r="DK329" s="392"/>
      <c r="DL329" s="392"/>
      <c r="DM329" s="392"/>
      <c r="DN329" s="392"/>
      <c r="DO329" s="392"/>
      <c r="DP329" s="392"/>
      <c r="DQ329" s="392"/>
      <c r="DR329" s="392"/>
      <c r="DS329" s="392"/>
      <c r="DT329" s="392"/>
      <c r="DU329" s="392"/>
      <c r="DV329" s="392"/>
      <c r="DW329" s="392"/>
      <c r="DX329" s="392"/>
      <c r="DY329" s="392"/>
      <c r="DZ329" s="392"/>
      <c r="EA329" s="392"/>
      <c r="EB329" s="392"/>
      <c r="EC329" s="392"/>
      <c r="ED329" s="392"/>
      <c r="EE329" s="392"/>
      <c r="EF329" s="392"/>
      <c r="EG329" s="392"/>
      <c r="EH329" s="392"/>
      <c r="EI329" s="392"/>
      <c r="EJ329" s="392"/>
      <c r="EK329" s="392"/>
      <c r="EL329" s="392"/>
      <c r="EM329" s="392"/>
      <c r="EN329" s="392"/>
      <c r="EO329" s="392"/>
      <c r="EP329" s="392"/>
      <c r="EQ329" s="392"/>
      <c r="ER329" s="392"/>
      <c r="ES329" s="392"/>
      <c r="ET329" s="392"/>
      <c r="EU329" s="392"/>
      <c r="EV329" s="392"/>
      <c r="EW329" s="392"/>
      <c r="EX329" s="392"/>
      <c r="EY329" s="392"/>
      <c r="EZ329" s="392"/>
      <c r="FA329" s="392"/>
      <c r="FB329" s="392"/>
      <c r="FC329" s="392"/>
      <c r="FD329" s="392"/>
      <c r="FE329" s="392"/>
      <c r="FF329" s="392"/>
      <c r="FG329" s="392"/>
      <c r="FH329" s="392"/>
      <c r="FI329" s="392"/>
      <c r="FJ329" s="392"/>
      <c r="FK329" s="392"/>
      <c r="FL329" s="392"/>
      <c r="FM329" s="392"/>
      <c r="FN329" s="392"/>
      <c r="FO329" s="392"/>
      <c r="FP329" s="392"/>
      <c r="FQ329" s="392"/>
      <c r="FR329" s="392"/>
      <c r="FS329" s="392"/>
      <c r="FT329" s="392"/>
      <c r="FU329" s="392"/>
      <c r="FV329" s="392"/>
      <c r="FW329" s="392"/>
      <c r="FX329" s="392"/>
      <c r="FY329" s="392"/>
      <c r="FZ329" s="392"/>
      <c r="GA329" s="392"/>
      <c r="GB329" s="392"/>
      <c r="GC329" s="392"/>
      <c r="GD329" s="392"/>
      <c r="GE329" s="392"/>
      <c r="GF329" s="392"/>
      <c r="GG329" s="392"/>
      <c r="GH329" s="392"/>
      <c r="GI329" s="392"/>
      <c r="GJ329" s="392"/>
      <c r="GK329" s="392"/>
      <c r="GL329" s="392"/>
      <c r="GM329" s="392"/>
      <c r="GN329" s="392"/>
      <c r="GO329" s="392"/>
      <c r="GP329" s="392"/>
      <c r="GQ329" s="392"/>
      <c r="GR329" s="392"/>
      <c r="GS329" s="392"/>
      <c r="GT329" s="392"/>
      <c r="GU329" s="392"/>
      <c r="GV329" s="392"/>
      <c r="GW329" s="392"/>
      <c r="GX329" s="392"/>
      <c r="GY329" s="392"/>
      <c r="GZ329" s="392"/>
      <c r="HA329" s="392"/>
      <c r="HB329" s="392"/>
      <c r="HC329" s="392"/>
      <c r="HD329" s="392"/>
      <c r="HE329" s="392"/>
      <c r="HF329" s="392"/>
      <c r="HG329" s="392"/>
      <c r="HH329" s="392"/>
      <c r="HI329" s="392"/>
      <c r="HJ329" s="392"/>
      <c r="HK329" s="392"/>
      <c r="HL329" s="392"/>
      <c r="HM329" s="392"/>
      <c r="HN329" s="392"/>
      <c r="HO329" s="392"/>
      <c r="HP329" s="392"/>
      <c r="HQ329" s="392"/>
      <c r="HR329" s="392"/>
      <c r="HS329" s="392"/>
      <c r="HT329" s="392"/>
      <c r="HU329" s="392"/>
      <c r="HV329" s="392"/>
      <c r="HW329" s="392"/>
      <c r="HX329" s="392"/>
      <c r="HY329" s="392"/>
      <c r="HZ329" s="392"/>
      <c r="IA329" s="392"/>
      <c r="IB329" s="392"/>
      <c r="IC329" s="392"/>
      <c r="ID329" s="392"/>
      <c r="IE329" s="392"/>
      <c r="IF329" s="392"/>
      <c r="IG329" s="392"/>
      <c r="IH329" s="392"/>
      <c r="II329" s="392"/>
      <c r="IJ329" s="392"/>
      <c r="IK329" s="392"/>
      <c r="IL329" s="392"/>
      <c r="IM329" s="392"/>
      <c r="IN329" s="392"/>
      <c r="IO329" s="392"/>
      <c r="IP329" s="392"/>
      <c r="IQ329" s="392"/>
      <c r="IR329" s="392"/>
      <c r="IS329" s="392"/>
      <c r="IT329" s="392"/>
      <c r="IU329" s="392"/>
      <c r="IV329" s="392"/>
    </row>
    <row r="330" spans="1:256" ht="15">
      <c r="A330" s="392"/>
      <c r="B330" s="507" t="s">
        <v>604</v>
      </c>
      <c r="C330" s="508" t="s">
        <v>642</v>
      </c>
      <c r="D330" s="509" t="s">
        <v>22</v>
      </c>
      <c r="E330" s="510">
        <v>1</v>
      </c>
      <c r="F330" s="511">
        <f>G316</f>
        <v>1044.3699999999999</v>
      </c>
      <c r="G330" s="512">
        <f>TRUNC(F330*E330,2)</f>
        <v>1044.3699999999999</v>
      </c>
      <c r="H330" s="392"/>
      <c r="I330" s="392"/>
      <c r="J330" s="392"/>
      <c r="K330" s="392"/>
      <c r="L330" s="392"/>
      <c r="M330" s="392"/>
      <c r="N330" s="392"/>
      <c r="O330" s="392"/>
      <c r="P330" s="392"/>
      <c r="Q330" s="392"/>
      <c r="R330" s="392"/>
      <c r="S330" s="392"/>
      <c r="T330" s="392"/>
      <c r="U330" s="392"/>
      <c r="V330" s="392"/>
      <c r="W330" s="392"/>
      <c r="X330" s="392"/>
      <c r="Y330" s="392"/>
      <c r="Z330" s="392"/>
      <c r="AA330" s="392"/>
      <c r="AB330" s="392"/>
      <c r="AC330" s="392"/>
      <c r="AD330" s="392"/>
      <c r="AE330" s="392"/>
      <c r="AF330" s="392"/>
      <c r="AG330" s="392"/>
      <c r="AH330" s="392"/>
      <c r="AI330" s="392"/>
      <c r="AJ330" s="392"/>
      <c r="AK330" s="392"/>
      <c r="AL330" s="392"/>
      <c r="AM330" s="392"/>
      <c r="AN330" s="392"/>
      <c r="AO330" s="392"/>
      <c r="AP330" s="392"/>
      <c r="AQ330" s="392"/>
      <c r="AR330" s="392"/>
      <c r="AS330" s="392"/>
      <c r="AT330" s="392"/>
      <c r="AU330" s="392"/>
      <c r="AV330" s="392"/>
      <c r="AW330" s="392"/>
      <c r="AX330" s="392"/>
      <c r="AY330" s="392"/>
      <c r="AZ330" s="392"/>
      <c r="BA330" s="392"/>
      <c r="BB330" s="392"/>
      <c r="BC330" s="392"/>
      <c r="BD330" s="392"/>
      <c r="BE330" s="392"/>
      <c r="BF330" s="392"/>
      <c r="BG330" s="392"/>
      <c r="BH330" s="392"/>
      <c r="BI330" s="392"/>
      <c r="BJ330" s="392"/>
      <c r="BK330" s="392"/>
      <c r="BL330" s="392"/>
      <c r="BM330" s="392"/>
      <c r="BN330" s="392"/>
      <c r="BO330" s="392"/>
      <c r="BP330" s="392"/>
      <c r="BQ330" s="392"/>
      <c r="BR330" s="392"/>
      <c r="BS330" s="392"/>
      <c r="BT330" s="392"/>
      <c r="BU330" s="392"/>
      <c r="BV330" s="392"/>
      <c r="BW330" s="392"/>
      <c r="BX330" s="392"/>
      <c r="BY330" s="392"/>
      <c r="BZ330" s="392"/>
      <c r="CA330" s="392"/>
      <c r="CB330" s="392"/>
      <c r="CC330" s="392"/>
      <c r="CD330" s="392"/>
      <c r="CE330" s="392"/>
      <c r="CF330" s="392"/>
      <c r="CG330" s="392"/>
      <c r="CH330" s="392"/>
      <c r="CI330" s="392"/>
      <c r="CJ330" s="392"/>
      <c r="CK330" s="392"/>
      <c r="CL330" s="392"/>
      <c r="CM330" s="392"/>
      <c r="CN330" s="392"/>
      <c r="CO330" s="392"/>
      <c r="CP330" s="392"/>
      <c r="CQ330" s="392"/>
      <c r="CR330" s="392"/>
      <c r="CS330" s="392"/>
      <c r="CT330" s="392"/>
      <c r="CU330" s="392"/>
      <c r="CV330" s="392"/>
      <c r="CW330" s="392"/>
      <c r="CX330" s="392"/>
      <c r="CY330" s="392"/>
      <c r="CZ330" s="392"/>
      <c r="DA330" s="392"/>
      <c r="DB330" s="392"/>
      <c r="DC330" s="392"/>
      <c r="DD330" s="392"/>
      <c r="DE330" s="392"/>
      <c r="DF330" s="392"/>
      <c r="DG330" s="392"/>
      <c r="DH330" s="392"/>
      <c r="DI330" s="392"/>
      <c r="DJ330" s="392"/>
      <c r="DK330" s="392"/>
      <c r="DL330" s="392"/>
      <c r="DM330" s="392"/>
      <c r="DN330" s="392"/>
      <c r="DO330" s="392"/>
      <c r="DP330" s="392"/>
      <c r="DQ330" s="392"/>
      <c r="DR330" s="392"/>
      <c r="DS330" s="392"/>
      <c r="DT330" s="392"/>
      <c r="DU330" s="392"/>
      <c r="DV330" s="392"/>
      <c r="DW330" s="392"/>
      <c r="DX330" s="392"/>
      <c r="DY330" s="392"/>
      <c r="DZ330" s="392"/>
      <c r="EA330" s="392"/>
      <c r="EB330" s="392"/>
      <c r="EC330" s="392"/>
      <c r="ED330" s="392"/>
      <c r="EE330" s="392"/>
      <c r="EF330" s="392"/>
      <c r="EG330" s="392"/>
      <c r="EH330" s="392"/>
      <c r="EI330" s="392"/>
      <c r="EJ330" s="392"/>
      <c r="EK330" s="392"/>
      <c r="EL330" s="392"/>
      <c r="EM330" s="392"/>
      <c r="EN330" s="392"/>
      <c r="EO330" s="392"/>
      <c r="EP330" s="392"/>
      <c r="EQ330" s="392"/>
      <c r="ER330" s="392"/>
      <c r="ES330" s="392"/>
      <c r="ET330" s="392"/>
      <c r="EU330" s="392"/>
      <c r="EV330" s="392"/>
      <c r="EW330" s="392"/>
      <c r="EX330" s="392"/>
      <c r="EY330" s="392"/>
      <c r="EZ330" s="392"/>
      <c r="FA330" s="392"/>
      <c r="FB330" s="392"/>
      <c r="FC330" s="392"/>
      <c r="FD330" s="392"/>
      <c r="FE330" s="392"/>
      <c r="FF330" s="392"/>
      <c r="FG330" s="392"/>
      <c r="FH330" s="392"/>
      <c r="FI330" s="392"/>
      <c r="FJ330" s="392"/>
      <c r="FK330" s="392"/>
      <c r="FL330" s="392"/>
      <c r="FM330" s="392"/>
      <c r="FN330" s="392"/>
      <c r="FO330" s="392"/>
      <c r="FP330" s="392"/>
      <c r="FQ330" s="392"/>
      <c r="FR330" s="392"/>
      <c r="FS330" s="392"/>
      <c r="FT330" s="392"/>
      <c r="FU330" s="392"/>
      <c r="FV330" s="392"/>
      <c r="FW330" s="392"/>
      <c r="FX330" s="392"/>
      <c r="FY330" s="392"/>
      <c r="FZ330" s="392"/>
      <c r="GA330" s="392"/>
      <c r="GB330" s="392"/>
      <c r="GC330" s="392"/>
      <c r="GD330" s="392"/>
      <c r="GE330" s="392"/>
      <c r="GF330" s="392"/>
      <c r="GG330" s="392"/>
      <c r="GH330" s="392"/>
      <c r="GI330" s="392"/>
      <c r="GJ330" s="392"/>
      <c r="GK330" s="392"/>
      <c r="GL330" s="392"/>
      <c r="GM330" s="392"/>
      <c r="GN330" s="392"/>
      <c r="GO330" s="392"/>
      <c r="GP330" s="392"/>
      <c r="GQ330" s="392"/>
      <c r="GR330" s="392"/>
      <c r="GS330" s="392"/>
      <c r="GT330" s="392"/>
      <c r="GU330" s="392"/>
      <c r="GV330" s="392"/>
      <c r="GW330" s="392"/>
      <c r="GX330" s="392"/>
      <c r="GY330" s="392"/>
      <c r="GZ330" s="392"/>
      <c r="HA330" s="392"/>
      <c r="HB330" s="392"/>
      <c r="HC330" s="392"/>
      <c r="HD330" s="392"/>
      <c r="HE330" s="392"/>
      <c r="HF330" s="392"/>
      <c r="HG330" s="392"/>
      <c r="HH330" s="392"/>
      <c r="HI330" s="392"/>
      <c r="HJ330" s="392"/>
      <c r="HK330" s="392"/>
      <c r="HL330" s="392"/>
      <c r="HM330" s="392"/>
      <c r="HN330" s="392"/>
      <c r="HO330" s="392"/>
      <c r="HP330" s="392"/>
      <c r="HQ330" s="392"/>
      <c r="HR330" s="392"/>
      <c r="HS330" s="392"/>
      <c r="HT330" s="392"/>
      <c r="HU330" s="392"/>
      <c r="HV330" s="392"/>
      <c r="HW330" s="392"/>
      <c r="HX330" s="392"/>
      <c r="HY330" s="392"/>
      <c r="HZ330" s="392"/>
      <c r="IA330" s="392"/>
      <c r="IB330" s="392"/>
      <c r="IC330" s="392"/>
      <c r="ID330" s="392"/>
      <c r="IE330" s="392"/>
      <c r="IF330" s="392"/>
      <c r="IG330" s="392"/>
      <c r="IH330" s="392"/>
      <c r="II330" s="392"/>
      <c r="IJ330" s="392"/>
      <c r="IK330" s="392"/>
      <c r="IL330" s="392"/>
      <c r="IM330" s="392"/>
      <c r="IN330" s="392"/>
      <c r="IO330" s="392"/>
      <c r="IP330" s="392"/>
      <c r="IQ330" s="392"/>
      <c r="IR330" s="392"/>
      <c r="IS330" s="392"/>
      <c r="IT330" s="392"/>
      <c r="IU330" s="392"/>
      <c r="IV330" s="392"/>
    </row>
    <row r="331" spans="1:256" ht="15.75" thickBot="1">
      <c r="A331" s="392"/>
      <c r="B331" s="513" t="s">
        <v>14001</v>
      </c>
      <c r="C331" s="514" t="s">
        <v>649</v>
      </c>
      <c r="D331" s="515" t="s">
        <v>22</v>
      </c>
      <c r="E331" s="516">
        <v>1</v>
      </c>
      <c r="F331" s="516" t="e">
        <f>#REF!</f>
        <v>#REF!</v>
      </c>
      <c r="G331" s="512" t="e">
        <f>TRUNC(F331*E331,2)</f>
        <v>#REF!</v>
      </c>
      <c r="H331" s="392"/>
      <c r="I331" s="392"/>
      <c r="J331" s="392"/>
      <c r="K331" s="392"/>
      <c r="L331" s="392"/>
      <c r="M331" s="392"/>
      <c r="N331" s="392"/>
      <c r="O331" s="392"/>
      <c r="P331" s="392"/>
      <c r="Q331" s="392"/>
      <c r="R331" s="392"/>
      <c r="S331" s="392"/>
      <c r="T331" s="392"/>
      <c r="U331" s="392"/>
      <c r="V331" s="392"/>
      <c r="W331" s="392"/>
      <c r="X331" s="392"/>
      <c r="Y331" s="392"/>
      <c r="Z331" s="392"/>
      <c r="AA331" s="392"/>
      <c r="AB331" s="392"/>
      <c r="AC331" s="392"/>
      <c r="AD331" s="392"/>
      <c r="AE331" s="392"/>
      <c r="AF331" s="392"/>
      <c r="AG331" s="392"/>
      <c r="AH331" s="392"/>
      <c r="AI331" s="392"/>
      <c r="AJ331" s="392"/>
      <c r="AK331" s="392"/>
      <c r="AL331" s="392"/>
      <c r="AM331" s="392"/>
      <c r="AN331" s="392"/>
      <c r="AO331" s="392"/>
      <c r="AP331" s="392"/>
      <c r="AQ331" s="392"/>
      <c r="AR331" s="392"/>
      <c r="AS331" s="392"/>
      <c r="AT331" s="392"/>
      <c r="AU331" s="392"/>
      <c r="AV331" s="392"/>
      <c r="AW331" s="392"/>
      <c r="AX331" s="392"/>
      <c r="AY331" s="392"/>
      <c r="AZ331" s="392"/>
      <c r="BA331" s="392"/>
      <c r="BB331" s="392"/>
      <c r="BC331" s="392"/>
      <c r="BD331" s="392"/>
      <c r="BE331" s="392"/>
      <c r="BF331" s="392"/>
      <c r="BG331" s="392"/>
      <c r="BH331" s="392"/>
      <c r="BI331" s="392"/>
      <c r="BJ331" s="392"/>
      <c r="BK331" s="392"/>
      <c r="BL331" s="392"/>
      <c r="BM331" s="392"/>
      <c r="BN331" s="392"/>
      <c r="BO331" s="392"/>
      <c r="BP331" s="392"/>
      <c r="BQ331" s="392"/>
      <c r="BR331" s="392"/>
      <c r="BS331" s="392"/>
      <c r="BT331" s="392"/>
      <c r="BU331" s="392"/>
      <c r="BV331" s="392"/>
      <c r="BW331" s="392"/>
      <c r="BX331" s="392"/>
      <c r="BY331" s="392"/>
      <c r="BZ331" s="392"/>
      <c r="CA331" s="392"/>
      <c r="CB331" s="392"/>
      <c r="CC331" s="392"/>
      <c r="CD331" s="392"/>
      <c r="CE331" s="392"/>
      <c r="CF331" s="392"/>
      <c r="CG331" s="392"/>
      <c r="CH331" s="392"/>
      <c r="CI331" s="392"/>
      <c r="CJ331" s="392"/>
      <c r="CK331" s="392"/>
      <c r="CL331" s="392"/>
      <c r="CM331" s="392"/>
      <c r="CN331" s="392"/>
      <c r="CO331" s="392"/>
      <c r="CP331" s="392"/>
      <c r="CQ331" s="392"/>
      <c r="CR331" s="392"/>
      <c r="CS331" s="392"/>
      <c r="CT331" s="392"/>
      <c r="CU331" s="392"/>
      <c r="CV331" s="392"/>
      <c r="CW331" s="392"/>
      <c r="CX331" s="392"/>
      <c r="CY331" s="392"/>
      <c r="CZ331" s="392"/>
      <c r="DA331" s="392"/>
      <c r="DB331" s="392"/>
      <c r="DC331" s="392"/>
      <c r="DD331" s="392"/>
      <c r="DE331" s="392"/>
      <c r="DF331" s="392"/>
      <c r="DG331" s="392"/>
      <c r="DH331" s="392"/>
      <c r="DI331" s="392"/>
      <c r="DJ331" s="392"/>
      <c r="DK331" s="392"/>
      <c r="DL331" s="392"/>
      <c r="DM331" s="392"/>
      <c r="DN331" s="392"/>
      <c r="DO331" s="392"/>
      <c r="DP331" s="392"/>
      <c r="DQ331" s="392"/>
      <c r="DR331" s="392"/>
      <c r="DS331" s="392"/>
      <c r="DT331" s="392"/>
      <c r="DU331" s="392"/>
      <c r="DV331" s="392"/>
      <c r="DW331" s="392"/>
      <c r="DX331" s="392"/>
      <c r="DY331" s="392"/>
      <c r="DZ331" s="392"/>
      <c r="EA331" s="392"/>
      <c r="EB331" s="392"/>
      <c r="EC331" s="392"/>
      <c r="ED331" s="392"/>
      <c r="EE331" s="392"/>
      <c r="EF331" s="392"/>
      <c r="EG331" s="392"/>
      <c r="EH331" s="392"/>
      <c r="EI331" s="392"/>
      <c r="EJ331" s="392"/>
      <c r="EK331" s="392"/>
      <c r="EL331" s="392"/>
      <c r="EM331" s="392"/>
      <c r="EN331" s="392"/>
      <c r="EO331" s="392"/>
      <c r="EP331" s="392"/>
      <c r="EQ331" s="392"/>
      <c r="ER331" s="392"/>
      <c r="ES331" s="392"/>
      <c r="ET331" s="392"/>
      <c r="EU331" s="392"/>
      <c r="EV331" s="392"/>
      <c r="EW331" s="392"/>
      <c r="EX331" s="392"/>
      <c r="EY331" s="392"/>
      <c r="EZ331" s="392"/>
      <c r="FA331" s="392"/>
      <c r="FB331" s="392"/>
      <c r="FC331" s="392"/>
      <c r="FD331" s="392"/>
      <c r="FE331" s="392"/>
      <c r="FF331" s="392"/>
      <c r="FG331" s="392"/>
      <c r="FH331" s="392"/>
      <c r="FI331" s="392"/>
      <c r="FJ331" s="392"/>
      <c r="FK331" s="392"/>
      <c r="FL331" s="392"/>
      <c r="FM331" s="392"/>
      <c r="FN331" s="392"/>
      <c r="FO331" s="392"/>
      <c r="FP331" s="392"/>
      <c r="FQ331" s="392"/>
      <c r="FR331" s="392"/>
      <c r="FS331" s="392"/>
      <c r="FT331" s="392"/>
      <c r="FU331" s="392"/>
      <c r="FV331" s="392"/>
      <c r="FW331" s="392"/>
      <c r="FX331" s="392"/>
      <c r="FY331" s="392"/>
      <c r="FZ331" s="392"/>
      <c r="GA331" s="392"/>
      <c r="GB331" s="392"/>
      <c r="GC331" s="392"/>
      <c r="GD331" s="392"/>
      <c r="GE331" s="392"/>
      <c r="GF331" s="392"/>
      <c r="GG331" s="392"/>
      <c r="GH331" s="392"/>
      <c r="GI331" s="392"/>
      <c r="GJ331" s="392"/>
      <c r="GK331" s="392"/>
      <c r="GL331" s="392"/>
      <c r="GM331" s="392"/>
      <c r="GN331" s="392"/>
      <c r="GO331" s="392"/>
      <c r="GP331" s="392"/>
      <c r="GQ331" s="392"/>
      <c r="GR331" s="392"/>
      <c r="GS331" s="392"/>
      <c r="GT331" s="392"/>
      <c r="GU331" s="392"/>
      <c r="GV331" s="392"/>
      <c r="GW331" s="392"/>
      <c r="GX331" s="392"/>
      <c r="GY331" s="392"/>
      <c r="GZ331" s="392"/>
      <c r="HA331" s="392"/>
      <c r="HB331" s="392"/>
      <c r="HC331" s="392"/>
      <c r="HD331" s="392"/>
      <c r="HE331" s="392"/>
      <c r="HF331" s="392"/>
      <c r="HG331" s="392"/>
      <c r="HH331" s="392"/>
      <c r="HI331" s="392"/>
      <c r="HJ331" s="392"/>
      <c r="HK331" s="392"/>
      <c r="HL331" s="392"/>
      <c r="HM331" s="392"/>
      <c r="HN331" s="392"/>
      <c r="HO331" s="392"/>
      <c r="HP331" s="392"/>
      <c r="HQ331" s="392"/>
      <c r="HR331" s="392"/>
      <c r="HS331" s="392"/>
      <c r="HT331" s="392"/>
      <c r="HU331" s="392"/>
      <c r="HV331" s="392"/>
      <c r="HW331" s="392"/>
      <c r="HX331" s="392"/>
      <c r="HY331" s="392"/>
      <c r="HZ331" s="392"/>
      <c r="IA331" s="392"/>
      <c r="IB331" s="392"/>
      <c r="IC331" s="392"/>
      <c r="ID331" s="392"/>
      <c r="IE331" s="392"/>
      <c r="IF331" s="392"/>
      <c r="IG331" s="392"/>
      <c r="IH331" s="392"/>
      <c r="II331" s="392"/>
      <c r="IJ331" s="392"/>
      <c r="IK331" s="392"/>
      <c r="IL331" s="392"/>
      <c r="IM331" s="392"/>
      <c r="IN331" s="392"/>
      <c r="IO331" s="392"/>
      <c r="IP331" s="392"/>
      <c r="IQ331" s="392"/>
      <c r="IR331" s="392"/>
      <c r="IS331" s="392"/>
      <c r="IT331" s="392"/>
      <c r="IU331" s="392"/>
      <c r="IV331" s="392"/>
    </row>
    <row r="332" spans="1:256" ht="16.5" thickBot="1">
      <c r="A332" s="392"/>
      <c r="B332" s="401"/>
      <c r="C332" s="440"/>
      <c r="D332" s="441"/>
      <c r="E332" s="442"/>
      <c r="F332" s="443" t="s">
        <v>167</v>
      </c>
      <c r="G332" s="517" t="e">
        <f>TRUNC(SUM(G330:G331),2)</f>
        <v>#REF!</v>
      </c>
      <c r="H332" s="392"/>
      <c r="I332" s="392"/>
      <c r="J332" s="392"/>
      <c r="K332" s="392"/>
      <c r="L332" s="392"/>
      <c r="M332" s="392"/>
      <c r="N332" s="392"/>
      <c r="O332" s="392"/>
      <c r="P332" s="392"/>
      <c r="Q332" s="392"/>
      <c r="R332" s="392"/>
      <c r="S332" s="392"/>
      <c r="T332" s="392"/>
      <c r="U332" s="392"/>
      <c r="V332" s="392"/>
      <c r="W332" s="392"/>
      <c r="X332" s="392"/>
      <c r="Y332" s="392"/>
      <c r="Z332" s="392"/>
      <c r="AA332" s="392"/>
      <c r="AB332" s="392"/>
      <c r="AC332" s="392"/>
      <c r="AD332" s="392"/>
      <c r="AE332" s="392"/>
      <c r="AF332" s="392"/>
      <c r="AG332" s="392"/>
      <c r="AH332" s="392"/>
      <c r="AI332" s="392"/>
      <c r="AJ332" s="392"/>
      <c r="AK332" s="392"/>
      <c r="AL332" s="392"/>
      <c r="AM332" s="392"/>
      <c r="AN332" s="392"/>
      <c r="AO332" s="392"/>
      <c r="AP332" s="392"/>
      <c r="AQ332" s="392"/>
      <c r="AR332" s="392"/>
      <c r="AS332" s="392"/>
      <c r="AT332" s="392"/>
      <c r="AU332" s="392"/>
      <c r="AV332" s="392"/>
      <c r="AW332" s="392"/>
      <c r="AX332" s="392"/>
      <c r="AY332" s="392"/>
      <c r="AZ332" s="392"/>
      <c r="BA332" s="392"/>
      <c r="BB332" s="392"/>
      <c r="BC332" s="392"/>
      <c r="BD332" s="392"/>
      <c r="BE332" s="392"/>
      <c r="BF332" s="392"/>
      <c r="BG332" s="392"/>
      <c r="BH332" s="392"/>
      <c r="BI332" s="392"/>
      <c r="BJ332" s="392"/>
      <c r="BK332" s="392"/>
      <c r="BL332" s="392"/>
      <c r="BM332" s="392"/>
      <c r="BN332" s="392"/>
      <c r="BO332" s="392"/>
      <c r="BP332" s="392"/>
      <c r="BQ332" s="392"/>
      <c r="BR332" s="392"/>
      <c r="BS332" s="392"/>
      <c r="BT332" s="392"/>
      <c r="BU332" s="392"/>
      <c r="BV332" s="392"/>
      <c r="BW332" s="392"/>
      <c r="BX332" s="392"/>
      <c r="BY332" s="392"/>
      <c r="BZ332" s="392"/>
      <c r="CA332" s="392"/>
      <c r="CB332" s="392"/>
      <c r="CC332" s="392"/>
      <c r="CD332" s="392"/>
      <c r="CE332" s="392"/>
      <c r="CF332" s="392"/>
      <c r="CG332" s="392"/>
      <c r="CH332" s="392"/>
      <c r="CI332" s="392"/>
      <c r="CJ332" s="392"/>
      <c r="CK332" s="392"/>
      <c r="CL332" s="392"/>
      <c r="CM332" s="392"/>
      <c r="CN332" s="392"/>
      <c r="CO332" s="392"/>
      <c r="CP332" s="392"/>
      <c r="CQ332" s="392"/>
      <c r="CR332" s="392"/>
      <c r="CS332" s="392"/>
      <c r="CT332" s="392"/>
      <c r="CU332" s="392"/>
      <c r="CV332" s="392"/>
      <c r="CW332" s="392"/>
      <c r="CX332" s="392"/>
      <c r="CY332" s="392"/>
      <c r="CZ332" s="392"/>
      <c r="DA332" s="392"/>
      <c r="DB332" s="392"/>
      <c r="DC332" s="392"/>
      <c r="DD332" s="392"/>
      <c r="DE332" s="392"/>
      <c r="DF332" s="392"/>
      <c r="DG332" s="392"/>
      <c r="DH332" s="392"/>
      <c r="DI332" s="392"/>
      <c r="DJ332" s="392"/>
      <c r="DK332" s="392"/>
      <c r="DL332" s="392"/>
      <c r="DM332" s="392"/>
      <c r="DN332" s="392"/>
      <c r="DO332" s="392"/>
      <c r="DP332" s="392"/>
      <c r="DQ332" s="392"/>
      <c r="DR332" s="392"/>
      <c r="DS332" s="392"/>
      <c r="DT332" s="392"/>
      <c r="DU332" s="392"/>
      <c r="DV332" s="392"/>
      <c r="DW332" s="392"/>
      <c r="DX332" s="392"/>
      <c r="DY332" s="392"/>
      <c r="DZ332" s="392"/>
      <c r="EA332" s="392"/>
      <c r="EB332" s="392"/>
      <c r="EC332" s="392"/>
      <c r="ED332" s="392"/>
      <c r="EE332" s="392"/>
      <c r="EF332" s="392"/>
      <c r="EG332" s="392"/>
      <c r="EH332" s="392"/>
      <c r="EI332" s="392"/>
      <c r="EJ332" s="392"/>
      <c r="EK332" s="392"/>
      <c r="EL332" s="392"/>
      <c r="EM332" s="392"/>
      <c r="EN332" s="392"/>
      <c r="EO332" s="392"/>
      <c r="EP332" s="392"/>
      <c r="EQ332" s="392"/>
      <c r="ER332" s="392"/>
      <c r="ES332" s="392"/>
      <c r="ET332" s="392"/>
      <c r="EU332" s="392"/>
      <c r="EV332" s="392"/>
      <c r="EW332" s="392"/>
      <c r="EX332" s="392"/>
      <c r="EY332" s="392"/>
      <c r="EZ332" s="392"/>
      <c r="FA332" s="392"/>
      <c r="FB332" s="392"/>
      <c r="FC332" s="392"/>
      <c r="FD332" s="392"/>
      <c r="FE332" s="392"/>
      <c r="FF332" s="392"/>
      <c r="FG332" s="392"/>
      <c r="FH332" s="392"/>
      <c r="FI332" s="392"/>
      <c r="FJ332" s="392"/>
      <c r="FK332" s="392"/>
      <c r="FL332" s="392"/>
      <c r="FM332" s="392"/>
      <c r="FN332" s="392"/>
      <c r="FO332" s="392"/>
      <c r="FP332" s="392"/>
      <c r="FQ332" s="392"/>
      <c r="FR332" s="392"/>
      <c r="FS332" s="392"/>
      <c r="FT332" s="392"/>
      <c r="FU332" s="392"/>
      <c r="FV332" s="392"/>
      <c r="FW332" s="392"/>
      <c r="FX332" s="392"/>
      <c r="FY332" s="392"/>
      <c r="FZ332" s="392"/>
      <c r="GA332" s="392"/>
      <c r="GB332" s="392"/>
      <c r="GC332" s="392"/>
      <c r="GD332" s="392"/>
      <c r="GE332" s="392"/>
      <c r="GF332" s="392"/>
      <c r="GG332" s="392"/>
      <c r="GH332" s="392"/>
      <c r="GI332" s="392"/>
      <c r="GJ332" s="392"/>
      <c r="GK332" s="392"/>
      <c r="GL332" s="392"/>
      <c r="GM332" s="392"/>
      <c r="GN332" s="392"/>
      <c r="GO332" s="392"/>
      <c r="GP332" s="392"/>
      <c r="GQ332" s="392"/>
      <c r="GR332" s="392"/>
      <c r="GS332" s="392"/>
      <c r="GT332" s="392"/>
      <c r="GU332" s="392"/>
      <c r="GV332" s="392"/>
      <c r="GW332" s="392"/>
      <c r="GX332" s="392"/>
      <c r="GY332" s="392"/>
      <c r="GZ332" s="392"/>
      <c r="HA332" s="392"/>
      <c r="HB332" s="392"/>
      <c r="HC332" s="392"/>
      <c r="HD332" s="392"/>
      <c r="HE332" s="392"/>
      <c r="HF332" s="392"/>
      <c r="HG332" s="392"/>
      <c r="HH332" s="392"/>
      <c r="HI332" s="392"/>
      <c r="HJ332" s="392"/>
      <c r="HK332" s="392"/>
      <c r="HL332" s="392"/>
      <c r="HM332" s="392"/>
      <c r="HN332" s="392"/>
      <c r="HO332" s="392"/>
      <c r="HP332" s="392"/>
      <c r="HQ332" s="392"/>
      <c r="HR332" s="392"/>
      <c r="HS332" s="392"/>
      <c r="HT332" s="392"/>
      <c r="HU332" s="392"/>
      <c r="HV332" s="392"/>
      <c r="HW332" s="392"/>
      <c r="HX332" s="392"/>
      <c r="HY332" s="392"/>
      <c r="HZ332" s="392"/>
      <c r="IA332" s="392"/>
      <c r="IB332" s="392"/>
      <c r="IC332" s="392"/>
      <c r="ID332" s="392"/>
      <c r="IE332" s="392"/>
      <c r="IF332" s="392"/>
      <c r="IG332" s="392"/>
      <c r="IH332" s="392"/>
      <c r="II332" s="392"/>
      <c r="IJ332" s="392"/>
      <c r="IK332" s="392"/>
      <c r="IL332" s="392"/>
      <c r="IM332" s="392"/>
      <c r="IN332" s="392"/>
      <c r="IO332" s="392"/>
      <c r="IP332" s="392"/>
      <c r="IQ332" s="392"/>
      <c r="IR332" s="392"/>
      <c r="IS332" s="392"/>
      <c r="IT332" s="392"/>
      <c r="IU332" s="392"/>
      <c r="IV332" s="392"/>
    </row>
    <row r="333" spans="1:256" ht="13.5" thickBot="1">
      <c r="A333" s="392"/>
      <c r="B333" s="461"/>
      <c r="C333" s="461"/>
      <c r="D333" s="462"/>
      <c r="E333" s="463"/>
      <c r="F333" s="464"/>
      <c r="G333" s="465"/>
      <c r="H333" s="392"/>
      <c r="I333" s="392"/>
      <c r="J333" s="392"/>
      <c r="K333" s="392"/>
      <c r="L333" s="392"/>
      <c r="M333" s="392"/>
      <c r="N333" s="392"/>
      <c r="O333" s="392"/>
      <c r="P333" s="392"/>
      <c r="Q333" s="392"/>
      <c r="R333" s="392"/>
      <c r="S333" s="392"/>
      <c r="T333" s="392"/>
      <c r="U333" s="392"/>
      <c r="V333" s="392"/>
      <c r="W333" s="392"/>
      <c r="X333" s="392"/>
      <c r="Y333" s="392"/>
      <c r="Z333" s="392"/>
      <c r="AA333" s="392"/>
      <c r="AB333" s="392"/>
      <c r="AC333" s="392"/>
      <c r="AD333" s="392"/>
      <c r="AE333" s="392"/>
      <c r="AF333" s="392"/>
      <c r="AG333" s="392"/>
      <c r="AH333" s="392"/>
      <c r="AI333" s="392"/>
      <c r="AJ333" s="392"/>
      <c r="AK333" s="392"/>
      <c r="AL333" s="392"/>
      <c r="AM333" s="392"/>
      <c r="AN333" s="392"/>
      <c r="AO333" s="392"/>
      <c r="AP333" s="392"/>
      <c r="AQ333" s="392"/>
      <c r="AR333" s="392"/>
      <c r="AS333" s="392"/>
      <c r="AT333" s="392"/>
      <c r="AU333" s="392"/>
      <c r="AV333" s="392"/>
      <c r="AW333" s="392"/>
      <c r="AX333" s="392"/>
      <c r="AY333" s="392"/>
      <c r="AZ333" s="392"/>
      <c r="BA333" s="392"/>
      <c r="BB333" s="392"/>
      <c r="BC333" s="392"/>
      <c r="BD333" s="392"/>
      <c r="BE333" s="392"/>
      <c r="BF333" s="392"/>
      <c r="BG333" s="392"/>
      <c r="BH333" s="392"/>
      <c r="BI333" s="392"/>
      <c r="BJ333" s="392"/>
      <c r="BK333" s="392"/>
      <c r="BL333" s="392"/>
      <c r="BM333" s="392"/>
      <c r="BN333" s="392"/>
      <c r="BO333" s="392"/>
      <c r="BP333" s="392"/>
      <c r="BQ333" s="392"/>
      <c r="BR333" s="392"/>
      <c r="BS333" s="392"/>
      <c r="BT333" s="392"/>
      <c r="BU333" s="392"/>
      <c r="BV333" s="392"/>
      <c r="BW333" s="392"/>
      <c r="BX333" s="392"/>
      <c r="BY333" s="392"/>
      <c r="BZ333" s="392"/>
      <c r="CA333" s="392"/>
      <c r="CB333" s="392"/>
      <c r="CC333" s="392"/>
      <c r="CD333" s="392"/>
      <c r="CE333" s="392"/>
      <c r="CF333" s="392"/>
      <c r="CG333" s="392"/>
      <c r="CH333" s="392"/>
      <c r="CI333" s="392"/>
      <c r="CJ333" s="392"/>
      <c r="CK333" s="392"/>
      <c r="CL333" s="392"/>
      <c r="CM333" s="392"/>
      <c r="CN333" s="392"/>
      <c r="CO333" s="392"/>
      <c r="CP333" s="392"/>
      <c r="CQ333" s="392"/>
      <c r="CR333" s="392"/>
      <c r="CS333" s="392"/>
      <c r="CT333" s="392"/>
      <c r="CU333" s="392"/>
      <c r="CV333" s="392"/>
      <c r="CW333" s="392"/>
      <c r="CX333" s="392"/>
      <c r="CY333" s="392"/>
      <c r="CZ333" s="392"/>
      <c r="DA333" s="392"/>
      <c r="DB333" s="392"/>
      <c r="DC333" s="392"/>
      <c r="DD333" s="392"/>
      <c r="DE333" s="392"/>
      <c r="DF333" s="392"/>
      <c r="DG333" s="392"/>
      <c r="DH333" s="392"/>
      <c r="DI333" s="392"/>
      <c r="DJ333" s="392"/>
      <c r="DK333" s="392"/>
      <c r="DL333" s="392"/>
      <c r="DM333" s="392"/>
      <c r="DN333" s="392"/>
      <c r="DO333" s="392"/>
      <c r="DP333" s="392"/>
      <c r="DQ333" s="392"/>
      <c r="DR333" s="392"/>
      <c r="DS333" s="392"/>
      <c r="DT333" s="392"/>
      <c r="DU333" s="392"/>
      <c r="DV333" s="392"/>
      <c r="DW333" s="392"/>
      <c r="DX333" s="392"/>
      <c r="DY333" s="392"/>
      <c r="DZ333" s="392"/>
      <c r="EA333" s="392"/>
      <c r="EB333" s="392"/>
      <c r="EC333" s="392"/>
      <c r="ED333" s="392"/>
      <c r="EE333" s="392"/>
      <c r="EF333" s="392"/>
      <c r="EG333" s="392"/>
      <c r="EH333" s="392"/>
      <c r="EI333" s="392"/>
      <c r="EJ333" s="392"/>
      <c r="EK333" s="392"/>
      <c r="EL333" s="392"/>
      <c r="EM333" s="392"/>
      <c r="EN333" s="392"/>
      <c r="EO333" s="392"/>
      <c r="EP333" s="392"/>
      <c r="EQ333" s="392"/>
      <c r="ER333" s="392"/>
      <c r="ES333" s="392"/>
      <c r="ET333" s="392"/>
      <c r="EU333" s="392"/>
      <c r="EV333" s="392"/>
      <c r="EW333" s="392"/>
      <c r="EX333" s="392"/>
      <c r="EY333" s="392"/>
      <c r="EZ333" s="392"/>
      <c r="FA333" s="392"/>
      <c r="FB333" s="392"/>
      <c r="FC333" s="392"/>
      <c r="FD333" s="392"/>
      <c r="FE333" s="392"/>
      <c r="FF333" s="392"/>
      <c r="FG333" s="392"/>
      <c r="FH333" s="392"/>
      <c r="FI333" s="392"/>
      <c r="FJ333" s="392"/>
      <c r="FK333" s="392"/>
      <c r="FL333" s="392"/>
      <c r="FM333" s="392"/>
      <c r="FN333" s="392"/>
      <c r="FO333" s="392"/>
      <c r="FP333" s="392"/>
      <c r="FQ333" s="392"/>
      <c r="FR333" s="392"/>
      <c r="FS333" s="392"/>
      <c r="FT333" s="392"/>
      <c r="FU333" s="392"/>
      <c r="FV333" s="392"/>
      <c r="FW333" s="392"/>
      <c r="FX333" s="392"/>
      <c r="FY333" s="392"/>
      <c r="FZ333" s="392"/>
      <c r="GA333" s="392"/>
      <c r="GB333" s="392"/>
      <c r="GC333" s="392"/>
      <c r="GD333" s="392"/>
      <c r="GE333" s="392"/>
      <c r="GF333" s="392"/>
      <c r="GG333" s="392"/>
      <c r="GH333" s="392"/>
      <c r="GI333" s="392"/>
      <c r="GJ333" s="392"/>
      <c r="GK333" s="392"/>
      <c r="GL333" s="392"/>
      <c r="GM333" s="392"/>
      <c r="GN333" s="392"/>
      <c r="GO333" s="392"/>
      <c r="GP333" s="392"/>
      <c r="GQ333" s="392"/>
      <c r="GR333" s="392"/>
      <c r="GS333" s="392"/>
      <c r="GT333" s="392"/>
      <c r="GU333" s="392"/>
      <c r="GV333" s="392"/>
      <c r="GW333" s="392"/>
      <c r="GX333" s="392"/>
      <c r="GY333" s="392"/>
      <c r="GZ333" s="392"/>
      <c r="HA333" s="392"/>
      <c r="HB333" s="392"/>
      <c r="HC333" s="392"/>
      <c r="HD333" s="392"/>
      <c r="HE333" s="392"/>
      <c r="HF333" s="392"/>
      <c r="HG333" s="392"/>
      <c r="HH333" s="392"/>
      <c r="HI333" s="392"/>
      <c r="HJ333" s="392"/>
      <c r="HK333" s="392"/>
      <c r="HL333" s="392"/>
      <c r="HM333" s="392"/>
      <c r="HN333" s="392"/>
      <c r="HO333" s="392"/>
      <c r="HP333" s="392"/>
      <c r="HQ333" s="392"/>
      <c r="HR333" s="392"/>
      <c r="HS333" s="392"/>
      <c r="HT333" s="392"/>
      <c r="HU333" s="392"/>
      <c r="HV333" s="392"/>
      <c r="HW333" s="392"/>
      <c r="HX333" s="392"/>
      <c r="HY333" s="392"/>
      <c r="HZ333" s="392"/>
      <c r="IA333" s="392"/>
      <c r="IB333" s="392"/>
      <c r="IC333" s="392"/>
      <c r="ID333" s="392"/>
      <c r="IE333" s="392"/>
      <c r="IF333" s="392"/>
      <c r="IG333" s="392"/>
      <c r="IH333" s="392"/>
      <c r="II333" s="392"/>
      <c r="IJ333" s="392"/>
      <c r="IK333" s="392"/>
      <c r="IL333" s="392"/>
      <c r="IM333" s="392"/>
      <c r="IN333" s="392"/>
      <c r="IO333" s="392"/>
      <c r="IP333" s="392"/>
      <c r="IQ333" s="392"/>
      <c r="IR333" s="392"/>
      <c r="IS333" s="392"/>
      <c r="IT333" s="392"/>
      <c r="IU333" s="392"/>
      <c r="IV333" s="392"/>
    </row>
    <row r="334" spans="1:256" ht="13.5" thickBot="1">
      <c r="A334" s="392"/>
      <c r="B334" s="498" t="s">
        <v>652</v>
      </c>
      <c r="C334" s="499" t="s">
        <v>653</v>
      </c>
      <c r="D334" s="500"/>
      <c r="E334" s="500"/>
      <c r="F334" s="501"/>
      <c r="G334" s="502" t="s">
        <v>22</v>
      </c>
      <c r="H334" s="392"/>
      <c r="I334" s="392"/>
      <c r="J334" s="392"/>
      <c r="K334" s="392"/>
      <c r="L334" s="392"/>
      <c r="M334" s="392"/>
      <c r="N334" s="392"/>
      <c r="O334" s="392"/>
      <c r="P334" s="392"/>
      <c r="Q334" s="392"/>
      <c r="R334" s="392"/>
      <c r="S334" s="392"/>
      <c r="T334" s="392"/>
      <c r="U334" s="392"/>
      <c r="V334" s="392"/>
      <c r="W334" s="392"/>
      <c r="X334" s="392"/>
      <c r="Y334" s="392"/>
      <c r="Z334" s="392"/>
      <c r="AA334" s="392"/>
      <c r="AB334" s="392"/>
      <c r="AC334" s="392"/>
      <c r="AD334" s="392"/>
      <c r="AE334" s="392"/>
      <c r="AF334" s="392"/>
      <c r="AG334" s="392"/>
      <c r="AH334" s="392"/>
      <c r="AI334" s="392"/>
      <c r="AJ334" s="392"/>
      <c r="AK334" s="392"/>
      <c r="AL334" s="392"/>
      <c r="AM334" s="392"/>
      <c r="AN334" s="392"/>
      <c r="AO334" s="392"/>
      <c r="AP334" s="392"/>
      <c r="AQ334" s="392"/>
      <c r="AR334" s="392"/>
      <c r="AS334" s="392"/>
      <c r="AT334" s="392"/>
      <c r="AU334" s="392"/>
      <c r="AV334" s="392"/>
      <c r="AW334" s="392"/>
      <c r="AX334" s="392"/>
      <c r="AY334" s="392"/>
      <c r="AZ334" s="392"/>
      <c r="BA334" s="392"/>
      <c r="BB334" s="392"/>
      <c r="BC334" s="392"/>
      <c r="BD334" s="392"/>
      <c r="BE334" s="392"/>
      <c r="BF334" s="392"/>
      <c r="BG334" s="392"/>
      <c r="BH334" s="392"/>
      <c r="BI334" s="392"/>
      <c r="BJ334" s="392"/>
      <c r="BK334" s="392"/>
      <c r="BL334" s="392"/>
      <c r="BM334" s="392"/>
      <c r="BN334" s="392"/>
      <c r="BO334" s="392"/>
      <c r="BP334" s="392"/>
      <c r="BQ334" s="392"/>
      <c r="BR334" s="392"/>
      <c r="BS334" s="392"/>
      <c r="BT334" s="392"/>
      <c r="BU334" s="392"/>
      <c r="BV334" s="392"/>
      <c r="BW334" s="392"/>
      <c r="BX334" s="392"/>
      <c r="BY334" s="392"/>
      <c r="BZ334" s="392"/>
      <c r="CA334" s="392"/>
      <c r="CB334" s="392"/>
      <c r="CC334" s="392"/>
      <c r="CD334" s="392"/>
      <c r="CE334" s="392"/>
      <c r="CF334" s="392"/>
      <c r="CG334" s="392"/>
      <c r="CH334" s="392"/>
      <c r="CI334" s="392"/>
      <c r="CJ334" s="392"/>
      <c r="CK334" s="392"/>
      <c r="CL334" s="392"/>
      <c r="CM334" s="392"/>
      <c r="CN334" s="392"/>
      <c r="CO334" s="392"/>
      <c r="CP334" s="392"/>
      <c r="CQ334" s="392"/>
      <c r="CR334" s="392"/>
      <c r="CS334" s="392"/>
      <c r="CT334" s="392"/>
      <c r="CU334" s="392"/>
      <c r="CV334" s="392"/>
      <c r="CW334" s="392"/>
      <c r="CX334" s="392"/>
      <c r="CY334" s="392"/>
      <c r="CZ334" s="392"/>
      <c r="DA334" s="392"/>
      <c r="DB334" s="392"/>
      <c r="DC334" s="392"/>
      <c r="DD334" s="392"/>
      <c r="DE334" s="392"/>
      <c r="DF334" s="392"/>
      <c r="DG334" s="392"/>
      <c r="DH334" s="392"/>
      <c r="DI334" s="392"/>
      <c r="DJ334" s="392"/>
      <c r="DK334" s="392"/>
      <c r="DL334" s="392"/>
      <c r="DM334" s="392"/>
      <c r="DN334" s="392"/>
      <c r="DO334" s="392"/>
      <c r="DP334" s="392"/>
      <c r="DQ334" s="392"/>
      <c r="DR334" s="392"/>
      <c r="DS334" s="392"/>
      <c r="DT334" s="392"/>
      <c r="DU334" s="392"/>
      <c r="DV334" s="392"/>
      <c r="DW334" s="392"/>
      <c r="DX334" s="392"/>
      <c r="DY334" s="392"/>
      <c r="DZ334" s="392"/>
      <c r="EA334" s="392"/>
      <c r="EB334" s="392"/>
      <c r="EC334" s="392"/>
      <c r="ED334" s="392"/>
      <c r="EE334" s="392"/>
      <c r="EF334" s="392"/>
      <c r="EG334" s="392"/>
      <c r="EH334" s="392"/>
      <c r="EI334" s="392"/>
      <c r="EJ334" s="392"/>
      <c r="EK334" s="392"/>
      <c r="EL334" s="392"/>
      <c r="EM334" s="392"/>
      <c r="EN334" s="392"/>
      <c r="EO334" s="392"/>
      <c r="EP334" s="392"/>
      <c r="EQ334" s="392"/>
      <c r="ER334" s="392"/>
      <c r="ES334" s="392"/>
      <c r="ET334" s="392"/>
      <c r="EU334" s="392"/>
      <c r="EV334" s="392"/>
      <c r="EW334" s="392"/>
      <c r="EX334" s="392"/>
      <c r="EY334" s="392"/>
      <c r="EZ334" s="392"/>
      <c r="FA334" s="392"/>
      <c r="FB334" s="392"/>
      <c r="FC334" s="392"/>
      <c r="FD334" s="392"/>
      <c r="FE334" s="392"/>
      <c r="FF334" s="392"/>
      <c r="FG334" s="392"/>
      <c r="FH334" s="392"/>
      <c r="FI334" s="392"/>
      <c r="FJ334" s="392"/>
      <c r="FK334" s="392"/>
      <c r="FL334" s="392"/>
      <c r="FM334" s="392"/>
      <c r="FN334" s="392"/>
      <c r="FO334" s="392"/>
      <c r="FP334" s="392"/>
      <c r="FQ334" s="392"/>
      <c r="FR334" s="392"/>
      <c r="FS334" s="392"/>
      <c r="FT334" s="392"/>
      <c r="FU334" s="392"/>
      <c r="FV334" s="392"/>
      <c r="FW334" s="392"/>
      <c r="FX334" s="392"/>
      <c r="FY334" s="392"/>
      <c r="FZ334" s="392"/>
      <c r="GA334" s="392"/>
      <c r="GB334" s="392"/>
      <c r="GC334" s="392"/>
      <c r="GD334" s="392"/>
      <c r="GE334" s="392"/>
      <c r="GF334" s="392"/>
      <c r="GG334" s="392"/>
      <c r="GH334" s="392"/>
      <c r="GI334" s="392"/>
      <c r="GJ334" s="392"/>
      <c r="GK334" s="392"/>
      <c r="GL334" s="392"/>
      <c r="GM334" s="392"/>
      <c r="GN334" s="392"/>
      <c r="GO334" s="392"/>
      <c r="GP334" s="392"/>
      <c r="GQ334" s="392"/>
      <c r="GR334" s="392"/>
      <c r="GS334" s="392"/>
      <c r="GT334" s="392"/>
      <c r="GU334" s="392"/>
      <c r="GV334" s="392"/>
      <c r="GW334" s="392"/>
      <c r="GX334" s="392"/>
      <c r="GY334" s="392"/>
      <c r="GZ334" s="392"/>
      <c r="HA334" s="392"/>
      <c r="HB334" s="392"/>
      <c r="HC334" s="392"/>
      <c r="HD334" s="392"/>
      <c r="HE334" s="392"/>
      <c r="HF334" s="392"/>
      <c r="HG334" s="392"/>
      <c r="HH334" s="392"/>
      <c r="HI334" s="392"/>
      <c r="HJ334" s="392"/>
      <c r="HK334" s="392"/>
      <c r="HL334" s="392"/>
      <c r="HM334" s="392"/>
      <c r="HN334" s="392"/>
      <c r="HO334" s="392"/>
      <c r="HP334" s="392"/>
      <c r="HQ334" s="392"/>
      <c r="HR334" s="392"/>
      <c r="HS334" s="392"/>
      <c r="HT334" s="392"/>
      <c r="HU334" s="392"/>
      <c r="HV334" s="392"/>
      <c r="HW334" s="392"/>
      <c r="HX334" s="392"/>
      <c r="HY334" s="392"/>
      <c r="HZ334" s="392"/>
      <c r="IA334" s="392"/>
      <c r="IB334" s="392"/>
      <c r="IC334" s="392"/>
      <c r="ID334" s="392"/>
      <c r="IE334" s="392"/>
      <c r="IF334" s="392"/>
      <c r="IG334" s="392"/>
      <c r="IH334" s="392"/>
      <c r="II334" s="392"/>
      <c r="IJ334" s="392"/>
      <c r="IK334" s="392"/>
      <c r="IL334" s="392"/>
      <c r="IM334" s="392"/>
      <c r="IN334" s="392"/>
      <c r="IO334" s="392"/>
      <c r="IP334" s="392"/>
      <c r="IQ334" s="392"/>
      <c r="IR334" s="392"/>
      <c r="IS334" s="392"/>
      <c r="IT334" s="392"/>
      <c r="IU334" s="392"/>
      <c r="IV334" s="392"/>
    </row>
    <row r="335" spans="1:256" ht="26.25" thickBot="1">
      <c r="A335" s="392"/>
      <c r="B335" s="503" t="s">
        <v>197</v>
      </c>
      <c r="C335" s="504" t="s">
        <v>161</v>
      </c>
      <c r="D335" s="504" t="s">
        <v>22</v>
      </c>
      <c r="E335" s="504" t="s">
        <v>162</v>
      </c>
      <c r="F335" s="505" t="s">
        <v>186</v>
      </c>
      <c r="G335" s="506" t="s">
        <v>187</v>
      </c>
      <c r="H335" s="392"/>
      <c r="I335" s="392"/>
      <c r="J335" s="392"/>
      <c r="K335" s="392"/>
      <c r="L335" s="392"/>
      <c r="M335" s="392"/>
      <c r="N335" s="392"/>
      <c r="O335" s="392"/>
      <c r="P335" s="392"/>
      <c r="Q335" s="392"/>
      <c r="R335" s="392"/>
      <c r="S335" s="392"/>
      <c r="T335" s="392"/>
      <c r="U335" s="392"/>
      <c r="V335" s="392"/>
      <c r="W335" s="392"/>
      <c r="X335" s="392"/>
      <c r="Y335" s="392"/>
      <c r="Z335" s="392"/>
      <c r="AA335" s="392"/>
      <c r="AB335" s="392"/>
      <c r="AC335" s="392"/>
      <c r="AD335" s="392"/>
      <c r="AE335" s="392"/>
      <c r="AF335" s="392"/>
      <c r="AG335" s="392"/>
      <c r="AH335" s="392"/>
      <c r="AI335" s="392"/>
      <c r="AJ335" s="392"/>
      <c r="AK335" s="392"/>
      <c r="AL335" s="392"/>
      <c r="AM335" s="392"/>
      <c r="AN335" s="392"/>
      <c r="AO335" s="392"/>
      <c r="AP335" s="392"/>
      <c r="AQ335" s="392"/>
      <c r="AR335" s="392"/>
      <c r="AS335" s="392"/>
      <c r="AT335" s="392"/>
      <c r="AU335" s="392"/>
      <c r="AV335" s="392"/>
      <c r="AW335" s="392"/>
      <c r="AX335" s="392"/>
      <c r="AY335" s="392"/>
      <c r="AZ335" s="392"/>
      <c r="BA335" s="392"/>
      <c r="BB335" s="392"/>
      <c r="BC335" s="392"/>
      <c r="BD335" s="392"/>
      <c r="BE335" s="392"/>
      <c r="BF335" s="392"/>
      <c r="BG335" s="392"/>
      <c r="BH335" s="392"/>
      <c r="BI335" s="392"/>
      <c r="BJ335" s="392"/>
      <c r="BK335" s="392"/>
      <c r="BL335" s="392"/>
      <c r="BM335" s="392"/>
      <c r="BN335" s="392"/>
      <c r="BO335" s="392"/>
      <c r="BP335" s="392"/>
      <c r="BQ335" s="392"/>
      <c r="BR335" s="392"/>
      <c r="BS335" s="392"/>
      <c r="BT335" s="392"/>
      <c r="BU335" s="392"/>
      <c r="BV335" s="392"/>
      <c r="BW335" s="392"/>
      <c r="BX335" s="392"/>
      <c r="BY335" s="392"/>
      <c r="BZ335" s="392"/>
      <c r="CA335" s="392"/>
      <c r="CB335" s="392"/>
      <c r="CC335" s="392"/>
      <c r="CD335" s="392"/>
      <c r="CE335" s="392"/>
      <c r="CF335" s="392"/>
      <c r="CG335" s="392"/>
      <c r="CH335" s="392"/>
      <c r="CI335" s="392"/>
      <c r="CJ335" s="392"/>
      <c r="CK335" s="392"/>
      <c r="CL335" s="392"/>
      <c r="CM335" s="392"/>
      <c r="CN335" s="392"/>
      <c r="CO335" s="392"/>
      <c r="CP335" s="392"/>
      <c r="CQ335" s="392"/>
      <c r="CR335" s="392"/>
      <c r="CS335" s="392"/>
      <c r="CT335" s="392"/>
      <c r="CU335" s="392"/>
      <c r="CV335" s="392"/>
      <c r="CW335" s="392"/>
      <c r="CX335" s="392"/>
      <c r="CY335" s="392"/>
      <c r="CZ335" s="392"/>
      <c r="DA335" s="392"/>
      <c r="DB335" s="392"/>
      <c r="DC335" s="392"/>
      <c r="DD335" s="392"/>
      <c r="DE335" s="392"/>
      <c r="DF335" s="392"/>
      <c r="DG335" s="392"/>
      <c r="DH335" s="392"/>
      <c r="DI335" s="392"/>
      <c r="DJ335" s="392"/>
      <c r="DK335" s="392"/>
      <c r="DL335" s="392"/>
      <c r="DM335" s="392"/>
      <c r="DN335" s="392"/>
      <c r="DO335" s="392"/>
      <c r="DP335" s="392"/>
      <c r="DQ335" s="392"/>
      <c r="DR335" s="392"/>
      <c r="DS335" s="392"/>
      <c r="DT335" s="392"/>
      <c r="DU335" s="392"/>
      <c r="DV335" s="392"/>
      <c r="DW335" s="392"/>
      <c r="DX335" s="392"/>
      <c r="DY335" s="392"/>
      <c r="DZ335" s="392"/>
      <c r="EA335" s="392"/>
      <c r="EB335" s="392"/>
      <c r="EC335" s="392"/>
      <c r="ED335" s="392"/>
      <c r="EE335" s="392"/>
      <c r="EF335" s="392"/>
      <c r="EG335" s="392"/>
      <c r="EH335" s="392"/>
      <c r="EI335" s="392"/>
      <c r="EJ335" s="392"/>
      <c r="EK335" s="392"/>
      <c r="EL335" s="392"/>
      <c r="EM335" s="392"/>
      <c r="EN335" s="392"/>
      <c r="EO335" s="392"/>
      <c r="EP335" s="392"/>
      <c r="EQ335" s="392"/>
      <c r="ER335" s="392"/>
      <c r="ES335" s="392"/>
      <c r="ET335" s="392"/>
      <c r="EU335" s="392"/>
      <c r="EV335" s="392"/>
      <c r="EW335" s="392"/>
      <c r="EX335" s="392"/>
      <c r="EY335" s="392"/>
      <c r="EZ335" s="392"/>
      <c r="FA335" s="392"/>
      <c r="FB335" s="392"/>
      <c r="FC335" s="392"/>
      <c r="FD335" s="392"/>
      <c r="FE335" s="392"/>
      <c r="FF335" s="392"/>
      <c r="FG335" s="392"/>
      <c r="FH335" s="392"/>
      <c r="FI335" s="392"/>
      <c r="FJ335" s="392"/>
      <c r="FK335" s="392"/>
      <c r="FL335" s="392"/>
      <c r="FM335" s="392"/>
      <c r="FN335" s="392"/>
      <c r="FO335" s="392"/>
      <c r="FP335" s="392"/>
      <c r="FQ335" s="392"/>
      <c r="FR335" s="392"/>
      <c r="FS335" s="392"/>
      <c r="FT335" s="392"/>
      <c r="FU335" s="392"/>
      <c r="FV335" s="392"/>
      <c r="FW335" s="392"/>
      <c r="FX335" s="392"/>
      <c r="FY335" s="392"/>
      <c r="FZ335" s="392"/>
      <c r="GA335" s="392"/>
      <c r="GB335" s="392"/>
      <c r="GC335" s="392"/>
      <c r="GD335" s="392"/>
      <c r="GE335" s="392"/>
      <c r="GF335" s="392"/>
      <c r="GG335" s="392"/>
      <c r="GH335" s="392"/>
      <c r="GI335" s="392"/>
      <c r="GJ335" s="392"/>
      <c r="GK335" s="392"/>
      <c r="GL335" s="392"/>
      <c r="GM335" s="392"/>
      <c r="GN335" s="392"/>
      <c r="GO335" s="392"/>
      <c r="GP335" s="392"/>
      <c r="GQ335" s="392"/>
      <c r="GR335" s="392"/>
      <c r="GS335" s="392"/>
      <c r="GT335" s="392"/>
      <c r="GU335" s="392"/>
      <c r="GV335" s="392"/>
      <c r="GW335" s="392"/>
      <c r="GX335" s="392"/>
      <c r="GY335" s="392"/>
      <c r="GZ335" s="392"/>
      <c r="HA335" s="392"/>
      <c r="HB335" s="392"/>
      <c r="HC335" s="392"/>
      <c r="HD335" s="392"/>
      <c r="HE335" s="392"/>
      <c r="HF335" s="392"/>
      <c r="HG335" s="392"/>
      <c r="HH335" s="392"/>
      <c r="HI335" s="392"/>
      <c r="HJ335" s="392"/>
      <c r="HK335" s="392"/>
      <c r="HL335" s="392"/>
      <c r="HM335" s="392"/>
      <c r="HN335" s="392"/>
      <c r="HO335" s="392"/>
      <c r="HP335" s="392"/>
      <c r="HQ335" s="392"/>
      <c r="HR335" s="392"/>
      <c r="HS335" s="392"/>
      <c r="HT335" s="392"/>
      <c r="HU335" s="392"/>
      <c r="HV335" s="392"/>
      <c r="HW335" s="392"/>
      <c r="HX335" s="392"/>
      <c r="HY335" s="392"/>
      <c r="HZ335" s="392"/>
      <c r="IA335" s="392"/>
      <c r="IB335" s="392"/>
      <c r="IC335" s="392"/>
      <c r="ID335" s="392"/>
      <c r="IE335" s="392"/>
      <c r="IF335" s="392"/>
      <c r="IG335" s="392"/>
      <c r="IH335" s="392"/>
      <c r="II335" s="392"/>
      <c r="IJ335" s="392"/>
      <c r="IK335" s="392"/>
      <c r="IL335" s="392"/>
      <c r="IM335" s="392"/>
      <c r="IN335" s="392"/>
      <c r="IO335" s="392"/>
      <c r="IP335" s="392"/>
      <c r="IQ335" s="392"/>
      <c r="IR335" s="392"/>
      <c r="IS335" s="392"/>
      <c r="IT335" s="392"/>
      <c r="IU335" s="392"/>
      <c r="IV335" s="392"/>
    </row>
    <row r="336" spans="1:256" ht="13.5" thickBot="1">
      <c r="A336" s="392"/>
      <c r="B336" s="2309" t="s">
        <v>165</v>
      </c>
      <c r="C336" s="2310"/>
      <c r="D336" s="2310"/>
      <c r="E336" s="2310"/>
      <c r="F336" s="2310"/>
      <c r="G336" s="2311"/>
      <c r="H336" s="392"/>
      <c r="I336" s="392"/>
      <c r="J336" s="392"/>
      <c r="K336" s="392"/>
      <c r="L336" s="392"/>
      <c r="M336" s="392"/>
      <c r="N336" s="392"/>
      <c r="O336" s="392"/>
      <c r="P336" s="392"/>
      <c r="Q336" s="392"/>
      <c r="R336" s="392"/>
      <c r="S336" s="392"/>
      <c r="T336" s="392"/>
      <c r="U336" s="392"/>
      <c r="V336" s="392"/>
      <c r="W336" s="392"/>
      <c r="X336" s="392"/>
      <c r="Y336" s="392"/>
      <c r="Z336" s="392"/>
      <c r="AA336" s="392"/>
      <c r="AB336" s="392"/>
      <c r="AC336" s="392"/>
      <c r="AD336" s="392"/>
      <c r="AE336" s="392"/>
      <c r="AF336" s="392"/>
      <c r="AG336" s="392"/>
      <c r="AH336" s="392"/>
      <c r="AI336" s="392"/>
      <c r="AJ336" s="392"/>
      <c r="AK336" s="392"/>
      <c r="AL336" s="392"/>
      <c r="AM336" s="392"/>
      <c r="AN336" s="392"/>
      <c r="AO336" s="392"/>
      <c r="AP336" s="392"/>
      <c r="AQ336" s="392"/>
      <c r="AR336" s="392"/>
      <c r="AS336" s="392"/>
      <c r="AT336" s="392"/>
      <c r="AU336" s="392"/>
      <c r="AV336" s="392"/>
      <c r="AW336" s="392"/>
      <c r="AX336" s="392"/>
      <c r="AY336" s="392"/>
      <c r="AZ336" s="392"/>
      <c r="BA336" s="392"/>
      <c r="BB336" s="392"/>
      <c r="BC336" s="392"/>
      <c r="BD336" s="392"/>
      <c r="BE336" s="392"/>
      <c r="BF336" s="392"/>
      <c r="BG336" s="392"/>
      <c r="BH336" s="392"/>
      <c r="BI336" s="392"/>
      <c r="BJ336" s="392"/>
      <c r="BK336" s="392"/>
      <c r="BL336" s="392"/>
      <c r="BM336" s="392"/>
      <c r="BN336" s="392"/>
      <c r="BO336" s="392"/>
      <c r="BP336" s="392"/>
      <c r="BQ336" s="392"/>
      <c r="BR336" s="392"/>
      <c r="BS336" s="392"/>
      <c r="BT336" s="392"/>
      <c r="BU336" s="392"/>
      <c r="BV336" s="392"/>
      <c r="BW336" s="392"/>
      <c r="BX336" s="392"/>
      <c r="BY336" s="392"/>
      <c r="BZ336" s="392"/>
      <c r="CA336" s="392"/>
      <c r="CB336" s="392"/>
      <c r="CC336" s="392"/>
      <c r="CD336" s="392"/>
      <c r="CE336" s="392"/>
      <c r="CF336" s="392"/>
      <c r="CG336" s="392"/>
      <c r="CH336" s="392"/>
      <c r="CI336" s="392"/>
      <c r="CJ336" s="392"/>
      <c r="CK336" s="392"/>
      <c r="CL336" s="392"/>
      <c r="CM336" s="392"/>
      <c r="CN336" s="392"/>
      <c r="CO336" s="392"/>
      <c r="CP336" s="392"/>
      <c r="CQ336" s="392"/>
      <c r="CR336" s="392"/>
      <c r="CS336" s="392"/>
      <c r="CT336" s="392"/>
      <c r="CU336" s="392"/>
      <c r="CV336" s="392"/>
      <c r="CW336" s="392"/>
      <c r="CX336" s="392"/>
      <c r="CY336" s="392"/>
      <c r="CZ336" s="392"/>
      <c r="DA336" s="392"/>
      <c r="DB336" s="392"/>
      <c r="DC336" s="392"/>
      <c r="DD336" s="392"/>
      <c r="DE336" s="392"/>
      <c r="DF336" s="392"/>
      <c r="DG336" s="392"/>
      <c r="DH336" s="392"/>
      <c r="DI336" s="392"/>
      <c r="DJ336" s="392"/>
      <c r="DK336" s="392"/>
      <c r="DL336" s="392"/>
      <c r="DM336" s="392"/>
      <c r="DN336" s="392"/>
      <c r="DO336" s="392"/>
      <c r="DP336" s="392"/>
      <c r="DQ336" s="392"/>
      <c r="DR336" s="392"/>
      <c r="DS336" s="392"/>
      <c r="DT336" s="392"/>
      <c r="DU336" s="392"/>
      <c r="DV336" s="392"/>
      <c r="DW336" s="392"/>
      <c r="DX336" s="392"/>
      <c r="DY336" s="392"/>
      <c r="DZ336" s="392"/>
      <c r="EA336" s="392"/>
      <c r="EB336" s="392"/>
      <c r="EC336" s="392"/>
      <c r="ED336" s="392"/>
      <c r="EE336" s="392"/>
      <c r="EF336" s="392"/>
      <c r="EG336" s="392"/>
      <c r="EH336" s="392"/>
      <c r="EI336" s="392"/>
      <c r="EJ336" s="392"/>
      <c r="EK336" s="392"/>
      <c r="EL336" s="392"/>
      <c r="EM336" s="392"/>
      <c r="EN336" s="392"/>
      <c r="EO336" s="392"/>
      <c r="EP336" s="392"/>
      <c r="EQ336" s="392"/>
      <c r="ER336" s="392"/>
      <c r="ES336" s="392"/>
      <c r="ET336" s="392"/>
      <c r="EU336" s="392"/>
      <c r="EV336" s="392"/>
      <c r="EW336" s="392"/>
      <c r="EX336" s="392"/>
      <c r="EY336" s="392"/>
      <c r="EZ336" s="392"/>
      <c r="FA336" s="392"/>
      <c r="FB336" s="392"/>
      <c r="FC336" s="392"/>
      <c r="FD336" s="392"/>
      <c r="FE336" s="392"/>
      <c r="FF336" s="392"/>
      <c r="FG336" s="392"/>
      <c r="FH336" s="392"/>
      <c r="FI336" s="392"/>
      <c r="FJ336" s="392"/>
      <c r="FK336" s="392"/>
      <c r="FL336" s="392"/>
      <c r="FM336" s="392"/>
      <c r="FN336" s="392"/>
      <c r="FO336" s="392"/>
      <c r="FP336" s="392"/>
      <c r="FQ336" s="392"/>
      <c r="FR336" s="392"/>
      <c r="FS336" s="392"/>
      <c r="FT336" s="392"/>
      <c r="FU336" s="392"/>
      <c r="FV336" s="392"/>
      <c r="FW336" s="392"/>
      <c r="FX336" s="392"/>
      <c r="FY336" s="392"/>
      <c r="FZ336" s="392"/>
      <c r="GA336" s="392"/>
      <c r="GB336" s="392"/>
      <c r="GC336" s="392"/>
      <c r="GD336" s="392"/>
      <c r="GE336" s="392"/>
      <c r="GF336" s="392"/>
      <c r="GG336" s="392"/>
      <c r="GH336" s="392"/>
      <c r="GI336" s="392"/>
      <c r="GJ336" s="392"/>
      <c r="GK336" s="392"/>
      <c r="GL336" s="392"/>
      <c r="GM336" s="392"/>
      <c r="GN336" s="392"/>
      <c r="GO336" s="392"/>
      <c r="GP336" s="392"/>
      <c r="GQ336" s="392"/>
      <c r="GR336" s="392"/>
      <c r="GS336" s="392"/>
      <c r="GT336" s="392"/>
      <c r="GU336" s="392"/>
      <c r="GV336" s="392"/>
      <c r="GW336" s="392"/>
      <c r="GX336" s="392"/>
      <c r="GY336" s="392"/>
      <c r="GZ336" s="392"/>
      <c r="HA336" s="392"/>
      <c r="HB336" s="392"/>
      <c r="HC336" s="392"/>
      <c r="HD336" s="392"/>
      <c r="HE336" s="392"/>
      <c r="HF336" s="392"/>
      <c r="HG336" s="392"/>
      <c r="HH336" s="392"/>
      <c r="HI336" s="392"/>
      <c r="HJ336" s="392"/>
      <c r="HK336" s="392"/>
      <c r="HL336" s="392"/>
      <c r="HM336" s="392"/>
      <c r="HN336" s="392"/>
      <c r="HO336" s="392"/>
      <c r="HP336" s="392"/>
      <c r="HQ336" s="392"/>
      <c r="HR336" s="392"/>
      <c r="HS336" s="392"/>
      <c r="HT336" s="392"/>
      <c r="HU336" s="392"/>
      <c r="HV336" s="392"/>
      <c r="HW336" s="392"/>
      <c r="HX336" s="392"/>
      <c r="HY336" s="392"/>
      <c r="HZ336" s="392"/>
      <c r="IA336" s="392"/>
      <c r="IB336" s="392"/>
      <c r="IC336" s="392"/>
      <c r="ID336" s="392"/>
      <c r="IE336" s="392"/>
      <c r="IF336" s="392"/>
      <c r="IG336" s="392"/>
      <c r="IH336" s="392"/>
      <c r="II336" s="392"/>
      <c r="IJ336" s="392"/>
      <c r="IK336" s="392"/>
      <c r="IL336" s="392"/>
      <c r="IM336" s="392"/>
      <c r="IN336" s="392"/>
      <c r="IO336" s="392"/>
      <c r="IP336" s="392"/>
      <c r="IQ336" s="392"/>
      <c r="IR336" s="392"/>
      <c r="IS336" s="392"/>
      <c r="IT336" s="392"/>
      <c r="IU336" s="392"/>
      <c r="IV336" s="392"/>
    </row>
    <row r="337" spans="1:256" ht="15">
      <c r="A337" s="392"/>
      <c r="B337" s="507" t="s">
        <v>608</v>
      </c>
      <c r="C337" s="508" t="s">
        <v>643</v>
      </c>
      <c r="D337" s="509" t="s">
        <v>22</v>
      </c>
      <c r="E337" s="510">
        <v>1</v>
      </c>
      <c r="F337" s="511">
        <f>G317</f>
        <v>1805.61</v>
      </c>
      <c r="G337" s="512">
        <f>TRUNC(F337*E337,2)</f>
        <v>1805.61</v>
      </c>
      <c r="H337" s="392"/>
      <c r="I337" s="392"/>
      <c r="J337" s="392"/>
      <c r="K337" s="392"/>
      <c r="L337" s="392"/>
      <c r="M337" s="392"/>
      <c r="N337" s="392"/>
      <c r="O337" s="392"/>
      <c r="P337" s="392"/>
      <c r="Q337" s="392"/>
      <c r="R337" s="392"/>
      <c r="S337" s="392"/>
      <c r="T337" s="392"/>
      <c r="U337" s="392"/>
      <c r="V337" s="392"/>
      <c r="W337" s="392"/>
      <c r="X337" s="392"/>
      <c r="Y337" s="392"/>
      <c r="Z337" s="392"/>
      <c r="AA337" s="392"/>
      <c r="AB337" s="392"/>
      <c r="AC337" s="392"/>
      <c r="AD337" s="392"/>
      <c r="AE337" s="392"/>
      <c r="AF337" s="392"/>
      <c r="AG337" s="392"/>
      <c r="AH337" s="392"/>
      <c r="AI337" s="392"/>
      <c r="AJ337" s="392"/>
      <c r="AK337" s="392"/>
      <c r="AL337" s="392"/>
      <c r="AM337" s="392"/>
      <c r="AN337" s="392"/>
      <c r="AO337" s="392"/>
      <c r="AP337" s="392"/>
      <c r="AQ337" s="392"/>
      <c r="AR337" s="392"/>
      <c r="AS337" s="392"/>
      <c r="AT337" s="392"/>
      <c r="AU337" s="392"/>
      <c r="AV337" s="392"/>
      <c r="AW337" s="392"/>
      <c r="AX337" s="392"/>
      <c r="AY337" s="392"/>
      <c r="AZ337" s="392"/>
      <c r="BA337" s="392"/>
      <c r="BB337" s="392"/>
      <c r="BC337" s="392"/>
      <c r="BD337" s="392"/>
      <c r="BE337" s="392"/>
      <c r="BF337" s="392"/>
      <c r="BG337" s="392"/>
      <c r="BH337" s="392"/>
      <c r="BI337" s="392"/>
      <c r="BJ337" s="392"/>
      <c r="BK337" s="392"/>
      <c r="BL337" s="392"/>
      <c r="BM337" s="392"/>
      <c r="BN337" s="392"/>
      <c r="BO337" s="392"/>
      <c r="BP337" s="392"/>
      <c r="BQ337" s="392"/>
      <c r="BR337" s="392"/>
      <c r="BS337" s="392"/>
      <c r="BT337" s="392"/>
      <c r="BU337" s="392"/>
      <c r="BV337" s="392"/>
      <c r="BW337" s="392"/>
      <c r="BX337" s="392"/>
      <c r="BY337" s="392"/>
      <c r="BZ337" s="392"/>
      <c r="CA337" s="392"/>
      <c r="CB337" s="392"/>
      <c r="CC337" s="392"/>
      <c r="CD337" s="392"/>
      <c r="CE337" s="392"/>
      <c r="CF337" s="392"/>
      <c r="CG337" s="392"/>
      <c r="CH337" s="392"/>
      <c r="CI337" s="392"/>
      <c r="CJ337" s="392"/>
      <c r="CK337" s="392"/>
      <c r="CL337" s="392"/>
      <c r="CM337" s="392"/>
      <c r="CN337" s="392"/>
      <c r="CO337" s="392"/>
      <c r="CP337" s="392"/>
      <c r="CQ337" s="392"/>
      <c r="CR337" s="392"/>
      <c r="CS337" s="392"/>
      <c r="CT337" s="392"/>
      <c r="CU337" s="392"/>
      <c r="CV337" s="392"/>
      <c r="CW337" s="392"/>
      <c r="CX337" s="392"/>
      <c r="CY337" s="392"/>
      <c r="CZ337" s="392"/>
      <c r="DA337" s="392"/>
      <c r="DB337" s="392"/>
      <c r="DC337" s="392"/>
      <c r="DD337" s="392"/>
      <c r="DE337" s="392"/>
      <c r="DF337" s="392"/>
      <c r="DG337" s="392"/>
      <c r="DH337" s="392"/>
      <c r="DI337" s="392"/>
      <c r="DJ337" s="392"/>
      <c r="DK337" s="392"/>
      <c r="DL337" s="392"/>
      <c r="DM337" s="392"/>
      <c r="DN337" s="392"/>
      <c r="DO337" s="392"/>
      <c r="DP337" s="392"/>
      <c r="DQ337" s="392"/>
      <c r="DR337" s="392"/>
      <c r="DS337" s="392"/>
      <c r="DT337" s="392"/>
      <c r="DU337" s="392"/>
      <c r="DV337" s="392"/>
      <c r="DW337" s="392"/>
      <c r="DX337" s="392"/>
      <c r="DY337" s="392"/>
      <c r="DZ337" s="392"/>
      <c r="EA337" s="392"/>
      <c r="EB337" s="392"/>
      <c r="EC337" s="392"/>
      <c r="ED337" s="392"/>
      <c r="EE337" s="392"/>
      <c r="EF337" s="392"/>
      <c r="EG337" s="392"/>
      <c r="EH337" s="392"/>
      <c r="EI337" s="392"/>
      <c r="EJ337" s="392"/>
      <c r="EK337" s="392"/>
      <c r="EL337" s="392"/>
      <c r="EM337" s="392"/>
      <c r="EN337" s="392"/>
      <c r="EO337" s="392"/>
      <c r="EP337" s="392"/>
      <c r="EQ337" s="392"/>
      <c r="ER337" s="392"/>
      <c r="ES337" s="392"/>
      <c r="ET337" s="392"/>
      <c r="EU337" s="392"/>
      <c r="EV337" s="392"/>
      <c r="EW337" s="392"/>
      <c r="EX337" s="392"/>
      <c r="EY337" s="392"/>
      <c r="EZ337" s="392"/>
      <c r="FA337" s="392"/>
      <c r="FB337" s="392"/>
      <c r="FC337" s="392"/>
      <c r="FD337" s="392"/>
      <c r="FE337" s="392"/>
      <c r="FF337" s="392"/>
      <c r="FG337" s="392"/>
      <c r="FH337" s="392"/>
      <c r="FI337" s="392"/>
      <c r="FJ337" s="392"/>
      <c r="FK337" s="392"/>
      <c r="FL337" s="392"/>
      <c r="FM337" s="392"/>
      <c r="FN337" s="392"/>
      <c r="FO337" s="392"/>
      <c r="FP337" s="392"/>
      <c r="FQ337" s="392"/>
      <c r="FR337" s="392"/>
      <c r="FS337" s="392"/>
      <c r="FT337" s="392"/>
      <c r="FU337" s="392"/>
      <c r="FV337" s="392"/>
      <c r="FW337" s="392"/>
      <c r="FX337" s="392"/>
      <c r="FY337" s="392"/>
      <c r="FZ337" s="392"/>
      <c r="GA337" s="392"/>
      <c r="GB337" s="392"/>
      <c r="GC337" s="392"/>
      <c r="GD337" s="392"/>
      <c r="GE337" s="392"/>
      <c r="GF337" s="392"/>
      <c r="GG337" s="392"/>
      <c r="GH337" s="392"/>
      <c r="GI337" s="392"/>
      <c r="GJ337" s="392"/>
      <c r="GK337" s="392"/>
      <c r="GL337" s="392"/>
      <c r="GM337" s="392"/>
      <c r="GN337" s="392"/>
      <c r="GO337" s="392"/>
      <c r="GP337" s="392"/>
      <c r="GQ337" s="392"/>
      <c r="GR337" s="392"/>
      <c r="GS337" s="392"/>
      <c r="GT337" s="392"/>
      <c r="GU337" s="392"/>
      <c r="GV337" s="392"/>
      <c r="GW337" s="392"/>
      <c r="GX337" s="392"/>
      <c r="GY337" s="392"/>
      <c r="GZ337" s="392"/>
      <c r="HA337" s="392"/>
      <c r="HB337" s="392"/>
      <c r="HC337" s="392"/>
      <c r="HD337" s="392"/>
      <c r="HE337" s="392"/>
      <c r="HF337" s="392"/>
      <c r="HG337" s="392"/>
      <c r="HH337" s="392"/>
      <c r="HI337" s="392"/>
      <c r="HJ337" s="392"/>
      <c r="HK337" s="392"/>
      <c r="HL337" s="392"/>
      <c r="HM337" s="392"/>
      <c r="HN337" s="392"/>
      <c r="HO337" s="392"/>
      <c r="HP337" s="392"/>
      <c r="HQ337" s="392"/>
      <c r="HR337" s="392"/>
      <c r="HS337" s="392"/>
      <c r="HT337" s="392"/>
      <c r="HU337" s="392"/>
      <c r="HV337" s="392"/>
      <c r="HW337" s="392"/>
      <c r="HX337" s="392"/>
      <c r="HY337" s="392"/>
      <c r="HZ337" s="392"/>
      <c r="IA337" s="392"/>
      <c r="IB337" s="392"/>
      <c r="IC337" s="392"/>
      <c r="ID337" s="392"/>
      <c r="IE337" s="392"/>
      <c r="IF337" s="392"/>
      <c r="IG337" s="392"/>
      <c r="IH337" s="392"/>
      <c r="II337" s="392"/>
      <c r="IJ337" s="392"/>
      <c r="IK337" s="392"/>
      <c r="IL337" s="392"/>
      <c r="IM337" s="392"/>
      <c r="IN337" s="392"/>
      <c r="IO337" s="392"/>
      <c r="IP337" s="392"/>
      <c r="IQ337" s="392"/>
      <c r="IR337" s="392"/>
      <c r="IS337" s="392"/>
      <c r="IT337" s="392"/>
      <c r="IU337" s="392"/>
      <c r="IV337" s="392"/>
    </row>
    <row r="338" spans="1:256" ht="15.75" thickBot="1">
      <c r="A338" s="392"/>
      <c r="B338" s="513" t="s">
        <v>14001</v>
      </c>
      <c r="C338" s="514" t="s">
        <v>649</v>
      </c>
      <c r="D338" s="515" t="s">
        <v>22</v>
      </c>
      <c r="E338" s="516">
        <v>1</v>
      </c>
      <c r="F338" s="516" t="e">
        <f>#REF!</f>
        <v>#REF!</v>
      </c>
      <c r="G338" s="512" t="e">
        <f>TRUNC(F338*E338,2)</f>
        <v>#REF!</v>
      </c>
      <c r="H338" s="392"/>
      <c r="I338" s="392"/>
      <c r="J338" s="392"/>
      <c r="K338" s="392"/>
      <c r="L338" s="392"/>
      <c r="M338" s="392"/>
      <c r="N338" s="392"/>
      <c r="O338" s="392"/>
      <c r="P338" s="392"/>
      <c r="Q338" s="392"/>
      <c r="R338" s="392"/>
      <c r="S338" s="392"/>
      <c r="T338" s="392"/>
      <c r="U338" s="392"/>
      <c r="V338" s="392"/>
      <c r="W338" s="392"/>
      <c r="X338" s="392"/>
      <c r="Y338" s="392"/>
      <c r="Z338" s="392"/>
      <c r="AA338" s="392"/>
      <c r="AB338" s="392"/>
      <c r="AC338" s="392"/>
      <c r="AD338" s="392"/>
      <c r="AE338" s="392"/>
      <c r="AF338" s="392"/>
      <c r="AG338" s="392"/>
      <c r="AH338" s="392"/>
      <c r="AI338" s="392"/>
      <c r="AJ338" s="392"/>
      <c r="AK338" s="392"/>
      <c r="AL338" s="392"/>
      <c r="AM338" s="392"/>
      <c r="AN338" s="392"/>
      <c r="AO338" s="392"/>
      <c r="AP338" s="392"/>
      <c r="AQ338" s="392"/>
      <c r="AR338" s="392"/>
      <c r="AS338" s="392"/>
      <c r="AT338" s="392"/>
      <c r="AU338" s="392"/>
      <c r="AV338" s="392"/>
      <c r="AW338" s="392"/>
      <c r="AX338" s="392"/>
      <c r="AY338" s="392"/>
      <c r="AZ338" s="392"/>
      <c r="BA338" s="392"/>
      <c r="BB338" s="392"/>
      <c r="BC338" s="392"/>
      <c r="BD338" s="392"/>
      <c r="BE338" s="392"/>
      <c r="BF338" s="392"/>
      <c r="BG338" s="392"/>
      <c r="BH338" s="392"/>
      <c r="BI338" s="392"/>
      <c r="BJ338" s="392"/>
      <c r="BK338" s="392"/>
      <c r="BL338" s="392"/>
      <c r="BM338" s="392"/>
      <c r="BN338" s="392"/>
      <c r="BO338" s="392"/>
      <c r="BP338" s="392"/>
      <c r="BQ338" s="392"/>
      <c r="BR338" s="392"/>
      <c r="BS338" s="392"/>
      <c r="BT338" s="392"/>
      <c r="BU338" s="392"/>
      <c r="BV338" s="392"/>
      <c r="BW338" s="392"/>
      <c r="BX338" s="392"/>
      <c r="BY338" s="392"/>
      <c r="BZ338" s="392"/>
      <c r="CA338" s="392"/>
      <c r="CB338" s="392"/>
      <c r="CC338" s="392"/>
      <c r="CD338" s="392"/>
      <c r="CE338" s="392"/>
      <c r="CF338" s="392"/>
      <c r="CG338" s="392"/>
      <c r="CH338" s="392"/>
      <c r="CI338" s="392"/>
      <c r="CJ338" s="392"/>
      <c r="CK338" s="392"/>
      <c r="CL338" s="392"/>
      <c r="CM338" s="392"/>
      <c r="CN338" s="392"/>
      <c r="CO338" s="392"/>
      <c r="CP338" s="392"/>
      <c r="CQ338" s="392"/>
      <c r="CR338" s="392"/>
      <c r="CS338" s="392"/>
      <c r="CT338" s="392"/>
      <c r="CU338" s="392"/>
      <c r="CV338" s="392"/>
      <c r="CW338" s="392"/>
      <c r="CX338" s="392"/>
      <c r="CY338" s="392"/>
      <c r="CZ338" s="392"/>
      <c r="DA338" s="392"/>
      <c r="DB338" s="392"/>
      <c r="DC338" s="392"/>
      <c r="DD338" s="392"/>
      <c r="DE338" s="392"/>
      <c r="DF338" s="392"/>
      <c r="DG338" s="392"/>
      <c r="DH338" s="392"/>
      <c r="DI338" s="392"/>
      <c r="DJ338" s="392"/>
      <c r="DK338" s="392"/>
      <c r="DL338" s="392"/>
      <c r="DM338" s="392"/>
      <c r="DN338" s="392"/>
      <c r="DO338" s="392"/>
      <c r="DP338" s="392"/>
      <c r="DQ338" s="392"/>
      <c r="DR338" s="392"/>
      <c r="DS338" s="392"/>
      <c r="DT338" s="392"/>
      <c r="DU338" s="392"/>
      <c r="DV338" s="392"/>
      <c r="DW338" s="392"/>
      <c r="DX338" s="392"/>
      <c r="DY338" s="392"/>
      <c r="DZ338" s="392"/>
      <c r="EA338" s="392"/>
      <c r="EB338" s="392"/>
      <c r="EC338" s="392"/>
      <c r="ED338" s="392"/>
      <c r="EE338" s="392"/>
      <c r="EF338" s="392"/>
      <c r="EG338" s="392"/>
      <c r="EH338" s="392"/>
      <c r="EI338" s="392"/>
      <c r="EJ338" s="392"/>
      <c r="EK338" s="392"/>
      <c r="EL338" s="392"/>
      <c r="EM338" s="392"/>
      <c r="EN338" s="392"/>
      <c r="EO338" s="392"/>
      <c r="EP338" s="392"/>
      <c r="EQ338" s="392"/>
      <c r="ER338" s="392"/>
      <c r="ES338" s="392"/>
      <c r="ET338" s="392"/>
      <c r="EU338" s="392"/>
      <c r="EV338" s="392"/>
      <c r="EW338" s="392"/>
      <c r="EX338" s="392"/>
      <c r="EY338" s="392"/>
      <c r="EZ338" s="392"/>
      <c r="FA338" s="392"/>
      <c r="FB338" s="392"/>
      <c r="FC338" s="392"/>
      <c r="FD338" s="392"/>
      <c r="FE338" s="392"/>
      <c r="FF338" s="392"/>
      <c r="FG338" s="392"/>
      <c r="FH338" s="392"/>
      <c r="FI338" s="392"/>
      <c r="FJ338" s="392"/>
      <c r="FK338" s="392"/>
      <c r="FL338" s="392"/>
      <c r="FM338" s="392"/>
      <c r="FN338" s="392"/>
      <c r="FO338" s="392"/>
      <c r="FP338" s="392"/>
      <c r="FQ338" s="392"/>
      <c r="FR338" s="392"/>
      <c r="FS338" s="392"/>
      <c r="FT338" s="392"/>
      <c r="FU338" s="392"/>
      <c r="FV338" s="392"/>
      <c r="FW338" s="392"/>
      <c r="FX338" s="392"/>
      <c r="FY338" s="392"/>
      <c r="FZ338" s="392"/>
      <c r="GA338" s="392"/>
      <c r="GB338" s="392"/>
      <c r="GC338" s="392"/>
      <c r="GD338" s="392"/>
      <c r="GE338" s="392"/>
      <c r="GF338" s="392"/>
      <c r="GG338" s="392"/>
      <c r="GH338" s="392"/>
      <c r="GI338" s="392"/>
      <c r="GJ338" s="392"/>
      <c r="GK338" s="392"/>
      <c r="GL338" s="392"/>
      <c r="GM338" s="392"/>
      <c r="GN338" s="392"/>
      <c r="GO338" s="392"/>
      <c r="GP338" s="392"/>
      <c r="GQ338" s="392"/>
      <c r="GR338" s="392"/>
      <c r="GS338" s="392"/>
      <c r="GT338" s="392"/>
      <c r="GU338" s="392"/>
      <c r="GV338" s="392"/>
      <c r="GW338" s="392"/>
      <c r="GX338" s="392"/>
      <c r="GY338" s="392"/>
      <c r="GZ338" s="392"/>
      <c r="HA338" s="392"/>
      <c r="HB338" s="392"/>
      <c r="HC338" s="392"/>
      <c r="HD338" s="392"/>
      <c r="HE338" s="392"/>
      <c r="HF338" s="392"/>
      <c r="HG338" s="392"/>
      <c r="HH338" s="392"/>
      <c r="HI338" s="392"/>
      <c r="HJ338" s="392"/>
      <c r="HK338" s="392"/>
      <c r="HL338" s="392"/>
      <c r="HM338" s="392"/>
      <c r="HN338" s="392"/>
      <c r="HO338" s="392"/>
      <c r="HP338" s="392"/>
      <c r="HQ338" s="392"/>
      <c r="HR338" s="392"/>
      <c r="HS338" s="392"/>
      <c r="HT338" s="392"/>
      <c r="HU338" s="392"/>
      <c r="HV338" s="392"/>
      <c r="HW338" s="392"/>
      <c r="HX338" s="392"/>
      <c r="HY338" s="392"/>
      <c r="HZ338" s="392"/>
      <c r="IA338" s="392"/>
      <c r="IB338" s="392"/>
      <c r="IC338" s="392"/>
      <c r="ID338" s="392"/>
      <c r="IE338" s="392"/>
      <c r="IF338" s="392"/>
      <c r="IG338" s="392"/>
      <c r="IH338" s="392"/>
      <c r="II338" s="392"/>
      <c r="IJ338" s="392"/>
      <c r="IK338" s="392"/>
      <c r="IL338" s="392"/>
      <c r="IM338" s="392"/>
      <c r="IN338" s="392"/>
      <c r="IO338" s="392"/>
      <c r="IP338" s="392"/>
      <c r="IQ338" s="392"/>
      <c r="IR338" s="392"/>
      <c r="IS338" s="392"/>
      <c r="IT338" s="392"/>
      <c r="IU338" s="392"/>
      <c r="IV338" s="392"/>
    </row>
    <row r="339" spans="1:256" ht="16.5" thickBot="1">
      <c r="A339" s="392"/>
      <c r="B339" s="401"/>
      <c r="C339" s="440"/>
      <c r="D339" s="441"/>
      <c r="E339" s="442"/>
      <c r="F339" s="443" t="s">
        <v>167</v>
      </c>
      <c r="G339" s="517" t="e">
        <f>TRUNC(SUM(G337:G338),2)</f>
        <v>#REF!</v>
      </c>
      <c r="H339" s="392"/>
      <c r="I339" s="392"/>
      <c r="J339" s="392"/>
      <c r="K339" s="392"/>
      <c r="L339" s="392"/>
      <c r="M339" s="392"/>
      <c r="N339" s="392"/>
      <c r="O339" s="392"/>
      <c r="P339" s="392"/>
      <c r="Q339" s="392"/>
      <c r="R339" s="392"/>
      <c r="S339" s="392"/>
      <c r="T339" s="392"/>
      <c r="U339" s="392"/>
      <c r="V339" s="392"/>
      <c r="W339" s="392"/>
      <c r="X339" s="392"/>
      <c r="Y339" s="392"/>
      <c r="Z339" s="392"/>
      <c r="AA339" s="392"/>
      <c r="AB339" s="392"/>
      <c r="AC339" s="392"/>
      <c r="AD339" s="392"/>
      <c r="AE339" s="392"/>
      <c r="AF339" s="392"/>
      <c r="AG339" s="392"/>
      <c r="AH339" s="392"/>
      <c r="AI339" s="392"/>
      <c r="AJ339" s="392"/>
      <c r="AK339" s="392"/>
      <c r="AL339" s="392"/>
      <c r="AM339" s="392"/>
      <c r="AN339" s="392"/>
      <c r="AO339" s="392"/>
      <c r="AP339" s="392"/>
      <c r="AQ339" s="392"/>
      <c r="AR339" s="392"/>
      <c r="AS339" s="392"/>
      <c r="AT339" s="392"/>
      <c r="AU339" s="392"/>
      <c r="AV339" s="392"/>
      <c r="AW339" s="392"/>
      <c r="AX339" s="392"/>
      <c r="AY339" s="392"/>
      <c r="AZ339" s="392"/>
      <c r="BA339" s="392"/>
      <c r="BB339" s="392"/>
      <c r="BC339" s="392"/>
      <c r="BD339" s="392"/>
      <c r="BE339" s="392"/>
      <c r="BF339" s="392"/>
      <c r="BG339" s="392"/>
      <c r="BH339" s="392"/>
      <c r="BI339" s="392"/>
      <c r="BJ339" s="392"/>
      <c r="BK339" s="392"/>
      <c r="BL339" s="392"/>
      <c r="BM339" s="392"/>
      <c r="BN339" s="392"/>
      <c r="BO339" s="392"/>
      <c r="BP339" s="392"/>
      <c r="BQ339" s="392"/>
      <c r="BR339" s="392"/>
      <c r="BS339" s="392"/>
      <c r="BT339" s="392"/>
      <c r="BU339" s="392"/>
      <c r="BV339" s="392"/>
      <c r="BW339" s="392"/>
      <c r="BX339" s="392"/>
      <c r="BY339" s="392"/>
      <c r="BZ339" s="392"/>
      <c r="CA339" s="392"/>
      <c r="CB339" s="392"/>
      <c r="CC339" s="392"/>
      <c r="CD339" s="392"/>
      <c r="CE339" s="392"/>
      <c r="CF339" s="392"/>
      <c r="CG339" s="392"/>
      <c r="CH339" s="392"/>
      <c r="CI339" s="392"/>
      <c r="CJ339" s="392"/>
      <c r="CK339" s="392"/>
      <c r="CL339" s="392"/>
      <c r="CM339" s="392"/>
      <c r="CN339" s="392"/>
      <c r="CO339" s="392"/>
      <c r="CP339" s="392"/>
      <c r="CQ339" s="392"/>
      <c r="CR339" s="392"/>
      <c r="CS339" s="392"/>
      <c r="CT339" s="392"/>
      <c r="CU339" s="392"/>
      <c r="CV339" s="392"/>
      <c r="CW339" s="392"/>
      <c r="CX339" s="392"/>
      <c r="CY339" s="392"/>
      <c r="CZ339" s="392"/>
      <c r="DA339" s="392"/>
      <c r="DB339" s="392"/>
      <c r="DC339" s="392"/>
      <c r="DD339" s="392"/>
      <c r="DE339" s="392"/>
      <c r="DF339" s="392"/>
      <c r="DG339" s="392"/>
      <c r="DH339" s="392"/>
      <c r="DI339" s="392"/>
      <c r="DJ339" s="392"/>
      <c r="DK339" s="392"/>
      <c r="DL339" s="392"/>
      <c r="DM339" s="392"/>
      <c r="DN339" s="392"/>
      <c r="DO339" s="392"/>
      <c r="DP339" s="392"/>
      <c r="DQ339" s="392"/>
      <c r="DR339" s="392"/>
      <c r="DS339" s="392"/>
      <c r="DT339" s="392"/>
      <c r="DU339" s="392"/>
      <c r="DV339" s="392"/>
      <c r="DW339" s="392"/>
      <c r="DX339" s="392"/>
      <c r="DY339" s="392"/>
      <c r="DZ339" s="392"/>
      <c r="EA339" s="392"/>
      <c r="EB339" s="392"/>
      <c r="EC339" s="392"/>
      <c r="ED339" s="392"/>
      <c r="EE339" s="392"/>
      <c r="EF339" s="392"/>
      <c r="EG339" s="392"/>
      <c r="EH339" s="392"/>
      <c r="EI339" s="392"/>
      <c r="EJ339" s="392"/>
      <c r="EK339" s="392"/>
      <c r="EL339" s="392"/>
      <c r="EM339" s="392"/>
      <c r="EN339" s="392"/>
      <c r="EO339" s="392"/>
      <c r="EP339" s="392"/>
      <c r="EQ339" s="392"/>
      <c r="ER339" s="392"/>
      <c r="ES339" s="392"/>
      <c r="ET339" s="392"/>
      <c r="EU339" s="392"/>
      <c r="EV339" s="392"/>
      <c r="EW339" s="392"/>
      <c r="EX339" s="392"/>
      <c r="EY339" s="392"/>
      <c r="EZ339" s="392"/>
      <c r="FA339" s="392"/>
      <c r="FB339" s="392"/>
      <c r="FC339" s="392"/>
      <c r="FD339" s="392"/>
      <c r="FE339" s="392"/>
      <c r="FF339" s="392"/>
      <c r="FG339" s="392"/>
      <c r="FH339" s="392"/>
      <c r="FI339" s="392"/>
      <c r="FJ339" s="392"/>
      <c r="FK339" s="392"/>
      <c r="FL339" s="392"/>
      <c r="FM339" s="392"/>
      <c r="FN339" s="392"/>
      <c r="FO339" s="392"/>
      <c r="FP339" s="392"/>
      <c r="FQ339" s="392"/>
      <c r="FR339" s="392"/>
      <c r="FS339" s="392"/>
      <c r="FT339" s="392"/>
      <c r="FU339" s="392"/>
      <c r="FV339" s="392"/>
      <c r="FW339" s="392"/>
      <c r="FX339" s="392"/>
      <c r="FY339" s="392"/>
      <c r="FZ339" s="392"/>
      <c r="GA339" s="392"/>
      <c r="GB339" s="392"/>
      <c r="GC339" s="392"/>
      <c r="GD339" s="392"/>
      <c r="GE339" s="392"/>
      <c r="GF339" s="392"/>
      <c r="GG339" s="392"/>
      <c r="GH339" s="392"/>
      <c r="GI339" s="392"/>
      <c r="GJ339" s="392"/>
      <c r="GK339" s="392"/>
      <c r="GL339" s="392"/>
      <c r="GM339" s="392"/>
      <c r="GN339" s="392"/>
      <c r="GO339" s="392"/>
      <c r="GP339" s="392"/>
      <c r="GQ339" s="392"/>
      <c r="GR339" s="392"/>
      <c r="GS339" s="392"/>
      <c r="GT339" s="392"/>
      <c r="GU339" s="392"/>
      <c r="GV339" s="392"/>
      <c r="GW339" s="392"/>
      <c r="GX339" s="392"/>
      <c r="GY339" s="392"/>
      <c r="GZ339" s="392"/>
      <c r="HA339" s="392"/>
      <c r="HB339" s="392"/>
      <c r="HC339" s="392"/>
      <c r="HD339" s="392"/>
      <c r="HE339" s="392"/>
      <c r="HF339" s="392"/>
      <c r="HG339" s="392"/>
      <c r="HH339" s="392"/>
      <c r="HI339" s="392"/>
      <c r="HJ339" s="392"/>
      <c r="HK339" s="392"/>
      <c r="HL339" s="392"/>
      <c r="HM339" s="392"/>
      <c r="HN339" s="392"/>
      <c r="HO339" s="392"/>
      <c r="HP339" s="392"/>
      <c r="HQ339" s="392"/>
      <c r="HR339" s="392"/>
      <c r="HS339" s="392"/>
      <c r="HT339" s="392"/>
      <c r="HU339" s="392"/>
      <c r="HV339" s="392"/>
      <c r="HW339" s="392"/>
      <c r="HX339" s="392"/>
      <c r="HY339" s="392"/>
      <c r="HZ339" s="392"/>
      <c r="IA339" s="392"/>
      <c r="IB339" s="392"/>
      <c r="IC339" s="392"/>
      <c r="ID339" s="392"/>
      <c r="IE339" s="392"/>
      <c r="IF339" s="392"/>
      <c r="IG339" s="392"/>
      <c r="IH339" s="392"/>
      <c r="II339" s="392"/>
      <c r="IJ339" s="392"/>
      <c r="IK339" s="392"/>
      <c r="IL339" s="392"/>
      <c r="IM339" s="392"/>
      <c r="IN339" s="392"/>
      <c r="IO339" s="392"/>
      <c r="IP339" s="392"/>
      <c r="IQ339" s="392"/>
      <c r="IR339" s="392"/>
      <c r="IS339" s="392"/>
      <c r="IT339" s="392"/>
      <c r="IU339" s="392"/>
      <c r="IV339" s="392"/>
    </row>
    <row r="340" spans="1:256" ht="13.5" thickBot="1">
      <c r="A340" s="392"/>
      <c r="B340" s="461"/>
      <c r="C340" s="461"/>
      <c r="D340" s="462"/>
      <c r="E340" s="463"/>
      <c r="F340" s="464"/>
      <c r="G340" s="465"/>
      <c r="H340" s="392"/>
      <c r="I340" s="392"/>
      <c r="J340" s="392"/>
      <c r="K340" s="392"/>
      <c r="L340" s="392"/>
      <c r="M340" s="392"/>
      <c r="N340" s="392"/>
      <c r="O340" s="392"/>
      <c r="P340" s="392"/>
      <c r="Q340" s="392"/>
      <c r="R340" s="392"/>
      <c r="S340" s="392"/>
      <c r="T340" s="392"/>
      <c r="U340" s="392"/>
      <c r="V340" s="392"/>
      <c r="W340" s="392"/>
      <c r="X340" s="392"/>
      <c r="Y340" s="392"/>
      <c r="Z340" s="392"/>
      <c r="AA340" s="392"/>
      <c r="AB340" s="392"/>
      <c r="AC340" s="392"/>
      <c r="AD340" s="392"/>
      <c r="AE340" s="392"/>
      <c r="AF340" s="392"/>
      <c r="AG340" s="392"/>
      <c r="AH340" s="392"/>
      <c r="AI340" s="392"/>
      <c r="AJ340" s="392"/>
      <c r="AK340" s="392"/>
      <c r="AL340" s="392"/>
      <c r="AM340" s="392"/>
      <c r="AN340" s="392"/>
      <c r="AO340" s="392"/>
      <c r="AP340" s="392"/>
      <c r="AQ340" s="392"/>
      <c r="AR340" s="392"/>
      <c r="AS340" s="392"/>
      <c r="AT340" s="392"/>
      <c r="AU340" s="392"/>
      <c r="AV340" s="392"/>
      <c r="AW340" s="392"/>
      <c r="AX340" s="392"/>
      <c r="AY340" s="392"/>
      <c r="AZ340" s="392"/>
      <c r="BA340" s="392"/>
      <c r="BB340" s="392"/>
      <c r="BC340" s="392"/>
      <c r="BD340" s="392"/>
      <c r="BE340" s="392"/>
      <c r="BF340" s="392"/>
      <c r="BG340" s="392"/>
      <c r="BH340" s="392"/>
      <c r="BI340" s="392"/>
      <c r="BJ340" s="392"/>
      <c r="BK340" s="392"/>
      <c r="BL340" s="392"/>
      <c r="BM340" s="392"/>
      <c r="BN340" s="392"/>
      <c r="BO340" s="392"/>
      <c r="BP340" s="392"/>
      <c r="BQ340" s="392"/>
      <c r="BR340" s="392"/>
      <c r="BS340" s="392"/>
      <c r="BT340" s="392"/>
      <c r="BU340" s="392"/>
      <c r="BV340" s="392"/>
      <c r="BW340" s="392"/>
      <c r="BX340" s="392"/>
      <c r="BY340" s="392"/>
      <c r="BZ340" s="392"/>
      <c r="CA340" s="392"/>
      <c r="CB340" s="392"/>
      <c r="CC340" s="392"/>
      <c r="CD340" s="392"/>
      <c r="CE340" s="392"/>
      <c r="CF340" s="392"/>
      <c r="CG340" s="392"/>
      <c r="CH340" s="392"/>
      <c r="CI340" s="392"/>
      <c r="CJ340" s="392"/>
      <c r="CK340" s="392"/>
      <c r="CL340" s="392"/>
      <c r="CM340" s="392"/>
      <c r="CN340" s="392"/>
      <c r="CO340" s="392"/>
      <c r="CP340" s="392"/>
      <c r="CQ340" s="392"/>
      <c r="CR340" s="392"/>
      <c r="CS340" s="392"/>
      <c r="CT340" s="392"/>
      <c r="CU340" s="392"/>
      <c r="CV340" s="392"/>
      <c r="CW340" s="392"/>
      <c r="CX340" s="392"/>
      <c r="CY340" s="392"/>
      <c r="CZ340" s="392"/>
      <c r="DA340" s="392"/>
      <c r="DB340" s="392"/>
      <c r="DC340" s="392"/>
      <c r="DD340" s="392"/>
      <c r="DE340" s="392"/>
      <c r="DF340" s="392"/>
      <c r="DG340" s="392"/>
      <c r="DH340" s="392"/>
      <c r="DI340" s="392"/>
      <c r="DJ340" s="392"/>
      <c r="DK340" s="392"/>
      <c r="DL340" s="392"/>
      <c r="DM340" s="392"/>
      <c r="DN340" s="392"/>
      <c r="DO340" s="392"/>
      <c r="DP340" s="392"/>
      <c r="DQ340" s="392"/>
      <c r="DR340" s="392"/>
      <c r="DS340" s="392"/>
      <c r="DT340" s="392"/>
      <c r="DU340" s="392"/>
      <c r="DV340" s="392"/>
      <c r="DW340" s="392"/>
      <c r="DX340" s="392"/>
      <c r="DY340" s="392"/>
      <c r="DZ340" s="392"/>
      <c r="EA340" s="392"/>
      <c r="EB340" s="392"/>
      <c r="EC340" s="392"/>
      <c r="ED340" s="392"/>
      <c r="EE340" s="392"/>
      <c r="EF340" s="392"/>
      <c r="EG340" s="392"/>
      <c r="EH340" s="392"/>
      <c r="EI340" s="392"/>
      <c r="EJ340" s="392"/>
      <c r="EK340" s="392"/>
      <c r="EL340" s="392"/>
      <c r="EM340" s="392"/>
      <c r="EN340" s="392"/>
      <c r="EO340" s="392"/>
      <c r="EP340" s="392"/>
      <c r="EQ340" s="392"/>
      <c r="ER340" s="392"/>
      <c r="ES340" s="392"/>
      <c r="ET340" s="392"/>
      <c r="EU340" s="392"/>
      <c r="EV340" s="392"/>
      <c r="EW340" s="392"/>
      <c r="EX340" s="392"/>
      <c r="EY340" s="392"/>
      <c r="EZ340" s="392"/>
      <c r="FA340" s="392"/>
      <c r="FB340" s="392"/>
      <c r="FC340" s="392"/>
      <c r="FD340" s="392"/>
      <c r="FE340" s="392"/>
      <c r="FF340" s="392"/>
      <c r="FG340" s="392"/>
      <c r="FH340" s="392"/>
      <c r="FI340" s="392"/>
      <c r="FJ340" s="392"/>
      <c r="FK340" s="392"/>
      <c r="FL340" s="392"/>
      <c r="FM340" s="392"/>
      <c r="FN340" s="392"/>
      <c r="FO340" s="392"/>
      <c r="FP340" s="392"/>
      <c r="FQ340" s="392"/>
      <c r="FR340" s="392"/>
      <c r="FS340" s="392"/>
      <c r="FT340" s="392"/>
      <c r="FU340" s="392"/>
      <c r="FV340" s="392"/>
      <c r="FW340" s="392"/>
      <c r="FX340" s="392"/>
      <c r="FY340" s="392"/>
      <c r="FZ340" s="392"/>
      <c r="GA340" s="392"/>
      <c r="GB340" s="392"/>
      <c r="GC340" s="392"/>
      <c r="GD340" s="392"/>
      <c r="GE340" s="392"/>
      <c r="GF340" s="392"/>
      <c r="GG340" s="392"/>
      <c r="GH340" s="392"/>
      <c r="GI340" s="392"/>
      <c r="GJ340" s="392"/>
      <c r="GK340" s="392"/>
      <c r="GL340" s="392"/>
      <c r="GM340" s="392"/>
      <c r="GN340" s="392"/>
      <c r="GO340" s="392"/>
      <c r="GP340" s="392"/>
      <c r="GQ340" s="392"/>
      <c r="GR340" s="392"/>
      <c r="GS340" s="392"/>
      <c r="GT340" s="392"/>
      <c r="GU340" s="392"/>
      <c r="GV340" s="392"/>
      <c r="GW340" s="392"/>
      <c r="GX340" s="392"/>
      <c r="GY340" s="392"/>
      <c r="GZ340" s="392"/>
      <c r="HA340" s="392"/>
      <c r="HB340" s="392"/>
      <c r="HC340" s="392"/>
      <c r="HD340" s="392"/>
      <c r="HE340" s="392"/>
      <c r="HF340" s="392"/>
      <c r="HG340" s="392"/>
      <c r="HH340" s="392"/>
      <c r="HI340" s="392"/>
      <c r="HJ340" s="392"/>
      <c r="HK340" s="392"/>
      <c r="HL340" s="392"/>
      <c r="HM340" s="392"/>
      <c r="HN340" s="392"/>
      <c r="HO340" s="392"/>
      <c r="HP340" s="392"/>
      <c r="HQ340" s="392"/>
      <c r="HR340" s="392"/>
      <c r="HS340" s="392"/>
      <c r="HT340" s="392"/>
      <c r="HU340" s="392"/>
      <c r="HV340" s="392"/>
      <c r="HW340" s="392"/>
      <c r="HX340" s="392"/>
      <c r="HY340" s="392"/>
      <c r="HZ340" s="392"/>
      <c r="IA340" s="392"/>
      <c r="IB340" s="392"/>
      <c r="IC340" s="392"/>
      <c r="ID340" s="392"/>
      <c r="IE340" s="392"/>
      <c r="IF340" s="392"/>
      <c r="IG340" s="392"/>
      <c r="IH340" s="392"/>
      <c r="II340" s="392"/>
      <c r="IJ340" s="392"/>
      <c r="IK340" s="392"/>
      <c r="IL340" s="392"/>
      <c r="IM340" s="392"/>
      <c r="IN340" s="392"/>
      <c r="IO340" s="392"/>
      <c r="IP340" s="392"/>
      <c r="IQ340" s="392"/>
      <c r="IR340" s="392"/>
      <c r="IS340" s="392"/>
      <c r="IT340" s="392"/>
      <c r="IU340" s="392"/>
      <c r="IV340" s="392"/>
    </row>
    <row r="341" spans="1:256" ht="26.25" thickBot="1">
      <c r="A341" s="392"/>
      <c r="B341" s="498" t="s">
        <v>654</v>
      </c>
      <c r="C341" s="518" t="s">
        <v>655</v>
      </c>
      <c r="D341" s="500"/>
      <c r="E341" s="500"/>
      <c r="F341" s="501"/>
      <c r="G341" s="502" t="s">
        <v>22</v>
      </c>
      <c r="H341" s="392"/>
      <c r="I341" s="392"/>
      <c r="J341" s="392"/>
      <c r="K341" s="392"/>
      <c r="L341" s="392"/>
      <c r="M341" s="392"/>
      <c r="N341" s="392"/>
      <c r="O341" s="392"/>
      <c r="P341" s="392"/>
      <c r="Q341" s="392"/>
      <c r="R341" s="392"/>
      <c r="S341" s="392"/>
      <c r="T341" s="392"/>
      <c r="U341" s="392"/>
      <c r="V341" s="392"/>
      <c r="W341" s="392"/>
      <c r="X341" s="392"/>
      <c r="Y341" s="392"/>
      <c r="Z341" s="392"/>
      <c r="AA341" s="392"/>
      <c r="AB341" s="392"/>
      <c r="AC341" s="392"/>
      <c r="AD341" s="392"/>
      <c r="AE341" s="392"/>
      <c r="AF341" s="392"/>
      <c r="AG341" s="392"/>
      <c r="AH341" s="392"/>
      <c r="AI341" s="392"/>
      <c r="AJ341" s="392"/>
      <c r="AK341" s="392"/>
      <c r="AL341" s="392"/>
      <c r="AM341" s="392"/>
      <c r="AN341" s="392"/>
      <c r="AO341" s="392"/>
      <c r="AP341" s="392"/>
      <c r="AQ341" s="392"/>
      <c r="AR341" s="392"/>
      <c r="AS341" s="392"/>
      <c r="AT341" s="392"/>
      <c r="AU341" s="392"/>
      <c r="AV341" s="392"/>
      <c r="AW341" s="392"/>
      <c r="AX341" s="392"/>
      <c r="AY341" s="392"/>
      <c r="AZ341" s="392"/>
      <c r="BA341" s="392"/>
      <c r="BB341" s="392"/>
      <c r="BC341" s="392"/>
      <c r="BD341" s="392"/>
      <c r="BE341" s="392"/>
      <c r="BF341" s="392"/>
      <c r="BG341" s="392"/>
      <c r="BH341" s="392"/>
      <c r="BI341" s="392"/>
      <c r="BJ341" s="392"/>
      <c r="BK341" s="392"/>
      <c r="BL341" s="392"/>
      <c r="BM341" s="392"/>
      <c r="BN341" s="392"/>
      <c r="BO341" s="392"/>
      <c r="BP341" s="392"/>
      <c r="BQ341" s="392"/>
      <c r="BR341" s="392"/>
      <c r="BS341" s="392"/>
      <c r="BT341" s="392"/>
      <c r="BU341" s="392"/>
      <c r="BV341" s="392"/>
      <c r="BW341" s="392"/>
      <c r="BX341" s="392"/>
      <c r="BY341" s="392"/>
      <c r="BZ341" s="392"/>
      <c r="CA341" s="392"/>
      <c r="CB341" s="392"/>
      <c r="CC341" s="392"/>
      <c r="CD341" s="392"/>
      <c r="CE341" s="392"/>
      <c r="CF341" s="392"/>
      <c r="CG341" s="392"/>
      <c r="CH341" s="392"/>
      <c r="CI341" s="392"/>
      <c r="CJ341" s="392"/>
      <c r="CK341" s="392"/>
      <c r="CL341" s="392"/>
      <c r="CM341" s="392"/>
      <c r="CN341" s="392"/>
      <c r="CO341" s="392"/>
      <c r="CP341" s="392"/>
      <c r="CQ341" s="392"/>
      <c r="CR341" s="392"/>
      <c r="CS341" s="392"/>
      <c r="CT341" s="392"/>
      <c r="CU341" s="392"/>
      <c r="CV341" s="392"/>
      <c r="CW341" s="392"/>
      <c r="CX341" s="392"/>
      <c r="CY341" s="392"/>
      <c r="CZ341" s="392"/>
      <c r="DA341" s="392"/>
      <c r="DB341" s="392"/>
      <c r="DC341" s="392"/>
      <c r="DD341" s="392"/>
      <c r="DE341" s="392"/>
      <c r="DF341" s="392"/>
      <c r="DG341" s="392"/>
      <c r="DH341" s="392"/>
      <c r="DI341" s="392"/>
      <c r="DJ341" s="392"/>
      <c r="DK341" s="392"/>
      <c r="DL341" s="392"/>
      <c r="DM341" s="392"/>
      <c r="DN341" s="392"/>
      <c r="DO341" s="392"/>
      <c r="DP341" s="392"/>
      <c r="DQ341" s="392"/>
      <c r="DR341" s="392"/>
      <c r="DS341" s="392"/>
      <c r="DT341" s="392"/>
      <c r="DU341" s="392"/>
      <c r="DV341" s="392"/>
      <c r="DW341" s="392"/>
      <c r="DX341" s="392"/>
      <c r="DY341" s="392"/>
      <c r="DZ341" s="392"/>
      <c r="EA341" s="392"/>
      <c r="EB341" s="392"/>
      <c r="EC341" s="392"/>
      <c r="ED341" s="392"/>
      <c r="EE341" s="392"/>
      <c r="EF341" s="392"/>
      <c r="EG341" s="392"/>
      <c r="EH341" s="392"/>
      <c r="EI341" s="392"/>
      <c r="EJ341" s="392"/>
      <c r="EK341" s="392"/>
      <c r="EL341" s="392"/>
      <c r="EM341" s="392"/>
      <c r="EN341" s="392"/>
      <c r="EO341" s="392"/>
      <c r="EP341" s="392"/>
      <c r="EQ341" s="392"/>
      <c r="ER341" s="392"/>
      <c r="ES341" s="392"/>
      <c r="ET341" s="392"/>
      <c r="EU341" s="392"/>
      <c r="EV341" s="392"/>
      <c r="EW341" s="392"/>
      <c r="EX341" s="392"/>
      <c r="EY341" s="392"/>
      <c r="EZ341" s="392"/>
      <c r="FA341" s="392"/>
      <c r="FB341" s="392"/>
      <c r="FC341" s="392"/>
      <c r="FD341" s="392"/>
      <c r="FE341" s="392"/>
      <c r="FF341" s="392"/>
      <c r="FG341" s="392"/>
      <c r="FH341" s="392"/>
      <c r="FI341" s="392"/>
      <c r="FJ341" s="392"/>
      <c r="FK341" s="392"/>
      <c r="FL341" s="392"/>
      <c r="FM341" s="392"/>
      <c r="FN341" s="392"/>
      <c r="FO341" s="392"/>
      <c r="FP341" s="392"/>
      <c r="FQ341" s="392"/>
      <c r="FR341" s="392"/>
      <c r="FS341" s="392"/>
      <c r="FT341" s="392"/>
      <c r="FU341" s="392"/>
      <c r="FV341" s="392"/>
      <c r="FW341" s="392"/>
      <c r="FX341" s="392"/>
      <c r="FY341" s="392"/>
      <c r="FZ341" s="392"/>
      <c r="GA341" s="392"/>
      <c r="GB341" s="392"/>
      <c r="GC341" s="392"/>
      <c r="GD341" s="392"/>
      <c r="GE341" s="392"/>
      <c r="GF341" s="392"/>
      <c r="GG341" s="392"/>
      <c r="GH341" s="392"/>
      <c r="GI341" s="392"/>
      <c r="GJ341" s="392"/>
      <c r="GK341" s="392"/>
      <c r="GL341" s="392"/>
      <c r="GM341" s="392"/>
      <c r="GN341" s="392"/>
      <c r="GO341" s="392"/>
      <c r="GP341" s="392"/>
      <c r="GQ341" s="392"/>
      <c r="GR341" s="392"/>
      <c r="GS341" s="392"/>
      <c r="GT341" s="392"/>
      <c r="GU341" s="392"/>
      <c r="GV341" s="392"/>
      <c r="GW341" s="392"/>
      <c r="GX341" s="392"/>
      <c r="GY341" s="392"/>
      <c r="GZ341" s="392"/>
      <c r="HA341" s="392"/>
      <c r="HB341" s="392"/>
      <c r="HC341" s="392"/>
      <c r="HD341" s="392"/>
      <c r="HE341" s="392"/>
      <c r="HF341" s="392"/>
      <c r="HG341" s="392"/>
      <c r="HH341" s="392"/>
      <c r="HI341" s="392"/>
      <c r="HJ341" s="392"/>
      <c r="HK341" s="392"/>
      <c r="HL341" s="392"/>
      <c r="HM341" s="392"/>
      <c r="HN341" s="392"/>
      <c r="HO341" s="392"/>
      <c r="HP341" s="392"/>
      <c r="HQ341" s="392"/>
      <c r="HR341" s="392"/>
      <c r="HS341" s="392"/>
      <c r="HT341" s="392"/>
      <c r="HU341" s="392"/>
      <c r="HV341" s="392"/>
      <c r="HW341" s="392"/>
      <c r="HX341" s="392"/>
      <c r="HY341" s="392"/>
      <c r="HZ341" s="392"/>
      <c r="IA341" s="392"/>
      <c r="IB341" s="392"/>
      <c r="IC341" s="392"/>
      <c r="ID341" s="392"/>
      <c r="IE341" s="392"/>
      <c r="IF341" s="392"/>
      <c r="IG341" s="392"/>
      <c r="IH341" s="392"/>
      <c r="II341" s="392"/>
      <c r="IJ341" s="392"/>
      <c r="IK341" s="392"/>
      <c r="IL341" s="392"/>
      <c r="IM341" s="392"/>
      <c r="IN341" s="392"/>
      <c r="IO341" s="392"/>
      <c r="IP341" s="392"/>
      <c r="IQ341" s="392"/>
      <c r="IR341" s="392"/>
      <c r="IS341" s="392"/>
      <c r="IT341" s="392"/>
      <c r="IU341" s="392"/>
      <c r="IV341" s="392"/>
    </row>
    <row r="342" spans="1:256" ht="26.25" thickBot="1">
      <c r="A342" s="392"/>
      <c r="B342" s="503" t="s">
        <v>197</v>
      </c>
      <c r="C342" s="504" t="s">
        <v>161</v>
      </c>
      <c r="D342" s="504" t="s">
        <v>22</v>
      </c>
      <c r="E342" s="504" t="s">
        <v>162</v>
      </c>
      <c r="F342" s="505" t="s">
        <v>186</v>
      </c>
      <c r="G342" s="506" t="s">
        <v>187</v>
      </c>
      <c r="H342" s="392"/>
      <c r="I342" s="392"/>
      <c r="J342" s="392"/>
      <c r="K342" s="392"/>
      <c r="L342" s="392"/>
      <c r="M342" s="392"/>
      <c r="N342" s="392"/>
      <c r="O342" s="392"/>
      <c r="P342" s="392"/>
      <c r="Q342" s="392"/>
      <c r="R342" s="392"/>
      <c r="S342" s="392"/>
      <c r="T342" s="392"/>
      <c r="U342" s="392"/>
      <c r="V342" s="392"/>
      <c r="W342" s="392"/>
      <c r="X342" s="392"/>
      <c r="Y342" s="392"/>
      <c r="Z342" s="392"/>
      <c r="AA342" s="392"/>
      <c r="AB342" s="392"/>
      <c r="AC342" s="392"/>
      <c r="AD342" s="392"/>
      <c r="AE342" s="392"/>
      <c r="AF342" s="392"/>
      <c r="AG342" s="392"/>
      <c r="AH342" s="392"/>
      <c r="AI342" s="392"/>
      <c r="AJ342" s="392"/>
      <c r="AK342" s="392"/>
      <c r="AL342" s="392"/>
      <c r="AM342" s="392"/>
      <c r="AN342" s="392"/>
      <c r="AO342" s="392"/>
      <c r="AP342" s="392"/>
      <c r="AQ342" s="392"/>
      <c r="AR342" s="392"/>
      <c r="AS342" s="392"/>
      <c r="AT342" s="392"/>
      <c r="AU342" s="392"/>
      <c r="AV342" s="392"/>
      <c r="AW342" s="392"/>
      <c r="AX342" s="392"/>
      <c r="AY342" s="392"/>
      <c r="AZ342" s="392"/>
      <c r="BA342" s="392"/>
      <c r="BB342" s="392"/>
      <c r="BC342" s="392"/>
      <c r="BD342" s="392"/>
      <c r="BE342" s="392"/>
      <c r="BF342" s="392"/>
      <c r="BG342" s="392"/>
      <c r="BH342" s="392"/>
      <c r="BI342" s="392"/>
      <c r="BJ342" s="392"/>
      <c r="BK342" s="392"/>
      <c r="BL342" s="392"/>
      <c r="BM342" s="392"/>
      <c r="BN342" s="392"/>
      <c r="BO342" s="392"/>
      <c r="BP342" s="392"/>
      <c r="BQ342" s="392"/>
      <c r="BR342" s="392"/>
      <c r="BS342" s="392"/>
      <c r="BT342" s="392"/>
      <c r="BU342" s="392"/>
      <c r="BV342" s="392"/>
      <c r="BW342" s="392"/>
      <c r="BX342" s="392"/>
      <c r="BY342" s="392"/>
      <c r="BZ342" s="392"/>
      <c r="CA342" s="392"/>
      <c r="CB342" s="392"/>
      <c r="CC342" s="392"/>
      <c r="CD342" s="392"/>
      <c r="CE342" s="392"/>
      <c r="CF342" s="392"/>
      <c r="CG342" s="392"/>
      <c r="CH342" s="392"/>
      <c r="CI342" s="392"/>
      <c r="CJ342" s="392"/>
      <c r="CK342" s="392"/>
      <c r="CL342" s="392"/>
      <c r="CM342" s="392"/>
      <c r="CN342" s="392"/>
      <c r="CO342" s="392"/>
      <c r="CP342" s="392"/>
      <c r="CQ342" s="392"/>
      <c r="CR342" s="392"/>
      <c r="CS342" s="392"/>
      <c r="CT342" s="392"/>
      <c r="CU342" s="392"/>
      <c r="CV342" s="392"/>
      <c r="CW342" s="392"/>
      <c r="CX342" s="392"/>
      <c r="CY342" s="392"/>
      <c r="CZ342" s="392"/>
      <c r="DA342" s="392"/>
      <c r="DB342" s="392"/>
      <c r="DC342" s="392"/>
      <c r="DD342" s="392"/>
      <c r="DE342" s="392"/>
      <c r="DF342" s="392"/>
      <c r="DG342" s="392"/>
      <c r="DH342" s="392"/>
      <c r="DI342" s="392"/>
      <c r="DJ342" s="392"/>
      <c r="DK342" s="392"/>
      <c r="DL342" s="392"/>
      <c r="DM342" s="392"/>
      <c r="DN342" s="392"/>
      <c r="DO342" s="392"/>
      <c r="DP342" s="392"/>
      <c r="DQ342" s="392"/>
      <c r="DR342" s="392"/>
      <c r="DS342" s="392"/>
      <c r="DT342" s="392"/>
      <c r="DU342" s="392"/>
      <c r="DV342" s="392"/>
      <c r="DW342" s="392"/>
      <c r="DX342" s="392"/>
      <c r="DY342" s="392"/>
      <c r="DZ342" s="392"/>
      <c r="EA342" s="392"/>
      <c r="EB342" s="392"/>
      <c r="EC342" s="392"/>
      <c r="ED342" s="392"/>
      <c r="EE342" s="392"/>
      <c r="EF342" s="392"/>
      <c r="EG342" s="392"/>
      <c r="EH342" s="392"/>
      <c r="EI342" s="392"/>
      <c r="EJ342" s="392"/>
      <c r="EK342" s="392"/>
      <c r="EL342" s="392"/>
      <c r="EM342" s="392"/>
      <c r="EN342" s="392"/>
      <c r="EO342" s="392"/>
      <c r="EP342" s="392"/>
      <c r="EQ342" s="392"/>
      <c r="ER342" s="392"/>
      <c r="ES342" s="392"/>
      <c r="ET342" s="392"/>
      <c r="EU342" s="392"/>
      <c r="EV342" s="392"/>
      <c r="EW342" s="392"/>
      <c r="EX342" s="392"/>
      <c r="EY342" s="392"/>
      <c r="EZ342" s="392"/>
      <c r="FA342" s="392"/>
      <c r="FB342" s="392"/>
      <c r="FC342" s="392"/>
      <c r="FD342" s="392"/>
      <c r="FE342" s="392"/>
      <c r="FF342" s="392"/>
      <c r="FG342" s="392"/>
      <c r="FH342" s="392"/>
      <c r="FI342" s="392"/>
      <c r="FJ342" s="392"/>
      <c r="FK342" s="392"/>
      <c r="FL342" s="392"/>
      <c r="FM342" s="392"/>
      <c r="FN342" s="392"/>
      <c r="FO342" s="392"/>
      <c r="FP342" s="392"/>
      <c r="FQ342" s="392"/>
      <c r="FR342" s="392"/>
      <c r="FS342" s="392"/>
      <c r="FT342" s="392"/>
      <c r="FU342" s="392"/>
      <c r="FV342" s="392"/>
      <c r="FW342" s="392"/>
      <c r="FX342" s="392"/>
      <c r="FY342" s="392"/>
      <c r="FZ342" s="392"/>
      <c r="GA342" s="392"/>
      <c r="GB342" s="392"/>
      <c r="GC342" s="392"/>
      <c r="GD342" s="392"/>
      <c r="GE342" s="392"/>
      <c r="GF342" s="392"/>
      <c r="GG342" s="392"/>
      <c r="GH342" s="392"/>
      <c r="GI342" s="392"/>
      <c r="GJ342" s="392"/>
      <c r="GK342" s="392"/>
      <c r="GL342" s="392"/>
      <c r="GM342" s="392"/>
      <c r="GN342" s="392"/>
      <c r="GO342" s="392"/>
      <c r="GP342" s="392"/>
      <c r="GQ342" s="392"/>
      <c r="GR342" s="392"/>
      <c r="GS342" s="392"/>
      <c r="GT342" s="392"/>
      <c r="GU342" s="392"/>
      <c r="GV342" s="392"/>
      <c r="GW342" s="392"/>
      <c r="GX342" s="392"/>
      <c r="GY342" s="392"/>
      <c r="GZ342" s="392"/>
      <c r="HA342" s="392"/>
      <c r="HB342" s="392"/>
      <c r="HC342" s="392"/>
      <c r="HD342" s="392"/>
      <c r="HE342" s="392"/>
      <c r="HF342" s="392"/>
      <c r="HG342" s="392"/>
      <c r="HH342" s="392"/>
      <c r="HI342" s="392"/>
      <c r="HJ342" s="392"/>
      <c r="HK342" s="392"/>
      <c r="HL342" s="392"/>
      <c r="HM342" s="392"/>
      <c r="HN342" s="392"/>
      <c r="HO342" s="392"/>
      <c r="HP342" s="392"/>
      <c r="HQ342" s="392"/>
      <c r="HR342" s="392"/>
      <c r="HS342" s="392"/>
      <c r="HT342" s="392"/>
      <c r="HU342" s="392"/>
      <c r="HV342" s="392"/>
      <c r="HW342" s="392"/>
      <c r="HX342" s="392"/>
      <c r="HY342" s="392"/>
      <c r="HZ342" s="392"/>
      <c r="IA342" s="392"/>
      <c r="IB342" s="392"/>
      <c r="IC342" s="392"/>
      <c r="ID342" s="392"/>
      <c r="IE342" s="392"/>
      <c r="IF342" s="392"/>
      <c r="IG342" s="392"/>
      <c r="IH342" s="392"/>
      <c r="II342" s="392"/>
      <c r="IJ342" s="392"/>
      <c r="IK342" s="392"/>
      <c r="IL342" s="392"/>
      <c r="IM342" s="392"/>
      <c r="IN342" s="392"/>
      <c r="IO342" s="392"/>
      <c r="IP342" s="392"/>
      <c r="IQ342" s="392"/>
      <c r="IR342" s="392"/>
      <c r="IS342" s="392"/>
      <c r="IT342" s="392"/>
      <c r="IU342" s="392"/>
      <c r="IV342" s="392"/>
    </row>
    <row r="343" spans="1:256" ht="13.5" thickBot="1">
      <c r="A343" s="392"/>
      <c r="B343" s="2309" t="s">
        <v>165</v>
      </c>
      <c r="C343" s="2310"/>
      <c r="D343" s="2310"/>
      <c r="E343" s="2310"/>
      <c r="F343" s="2310"/>
      <c r="G343" s="2311"/>
      <c r="H343" s="392"/>
      <c r="I343" s="392"/>
      <c r="J343" s="392"/>
      <c r="K343" s="392"/>
      <c r="L343" s="392"/>
      <c r="M343" s="392"/>
      <c r="N343" s="392"/>
      <c r="O343" s="392"/>
      <c r="P343" s="392"/>
      <c r="Q343" s="392"/>
      <c r="R343" s="392"/>
      <c r="S343" s="392"/>
      <c r="T343" s="392"/>
      <c r="U343" s="392"/>
      <c r="V343" s="392"/>
      <c r="W343" s="392"/>
      <c r="X343" s="392"/>
      <c r="Y343" s="392"/>
      <c r="Z343" s="392"/>
      <c r="AA343" s="392"/>
      <c r="AB343" s="392"/>
      <c r="AC343" s="392"/>
      <c r="AD343" s="392"/>
      <c r="AE343" s="392"/>
      <c r="AF343" s="392"/>
      <c r="AG343" s="392"/>
      <c r="AH343" s="392"/>
      <c r="AI343" s="392"/>
      <c r="AJ343" s="392"/>
      <c r="AK343" s="392"/>
      <c r="AL343" s="392"/>
      <c r="AM343" s="392"/>
      <c r="AN343" s="392"/>
      <c r="AO343" s="392"/>
      <c r="AP343" s="392"/>
      <c r="AQ343" s="392"/>
      <c r="AR343" s="392"/>
      <c r="AS343" s="392"/>
      <c r="AT343" s="392"/>
      <c r="AU343" s="392"/>
      <c r="AV343" s="392"/>
      <c r="AW343" s="392"/>
      <c r="AX343" s="392"/>
      <c r="AY343" s="392"/>
      <c r="AZ343" s="392"/>
      <c r="BA343" s="392"/>
      <c r="BB343" s="392"/>
      <c r="BC343" s="392"/>
      <c r="BD343" s="392"/>
      <c r="BE343" s="392"/>
      <c r="BF343" s="392"/>
      <c r="BG343" s="392"/>
      <c r="BH343" s="392"/>
      <c r="BI343" s="392"/>
      <c r="BJ343" s="392"/>
      <c r="BK343" s="392"/>
      <c r="BL343" s="392"/>
      <c r="BM343" s="392"/>
      <c r="BN343" s="392"/>
      <c r="BO343" s="392"/>
      <c r="BP343" s="392"/>
      <c r="BQ343" s="392"/>
      <c r="BR343" s="392"/>
      <c r="BS343" s="392"/>
      <c r="BT343" s="392"/>
      <c r="BU343" s="392"/>
      <c r="BV343" s="392"/>
      <c r="BW343" s="392"/>
      <c r="BX343" s="392"/>
      <c r="BY343" s="392"/>
      <c r="BZ343" s="392"/>
      <c r="CA343" s="392"/>
      <c r="CB343" s="392"/>
      <c r="CC343" s="392"/>
      <c r="CD343" s="392"/>
      <c r="CE343" s="392"/>
      <c r="CF343" s="392"/>
      <c r="CG343" s="392"/>
      <c r="CH343" s="392"/>
      <c r="CI343" s="392"/>
      <c r="CJ343" s="392"/>
      <c r="CK343" s="392"/>
      <c r="CL343" s="392"/>
      <c r="CM343" s="392"/>
      <c r="CN343" s="392"/>
      <c r="CO343" s="392"/>
      <c r="CP343" s="392"/>
      <c r="CQ343" s="392"/>
      <c r="CR343" s="392"/>
      <c r="CS343" s="392"/>
      <c r="CT343" s="392"/>
      <c r="CU343" s="392"/>
      <c r="CV343" s="392"/>
      <c r="CW343" s="392"/>
      <c r="CX343" s="392"/>
      <c r="CY343" s="392"/>
      <c r="CZ343" s="392"/>
      <c r="DA343" s="392"/>
      <c r="DB343" s="392"/>
      <c r="DC343" s="392"/>
      <c r="DD343" s="392"/>
      <c r="DE343" s="392"/>
      <c r="DF343" s="392"/>
      <c r="DG343" s="392"/>
      <c r="DH343" s="392"/>
      <c r="DI343" s="392"/>
      <c r="DJ343" s="392"/>
      <c r="DK343" s="392"/>
      <c r="DL343" s="392"/>
      <c r="DM343" s="392"/>
      <c r="DN343" s="392"/>
      <c r="DO343" s="392"/>
      <c r="DP343" s="392"/>
      <c r="DQ343" s="392"/>
      <c r="DR343" s="392"/>
      <c r="DS343" s="392"/>
      <c r="DT343" s="392"/>
      <c r="DU343" s="392"/>
      <c r="DV343" s="392"/>
      <c r="DW343" s="392"/>
      <c r="DX343" s="392"/>
      <c r="DY343" s="392"/>
      <c r="DZ343" s="392"/>
      <c r="EA343" s="392"/>
      <c r="EB343" s="392"/>
      <c r="EC343" s="392"/>
      <c r="ED343" s="392"/>
      <c r="EE343" s="392"/>
      <c r="EF343" s="392"/>
      <c r="EG343" s="392"/>
      <c r="EH343" s="392"/>
      <c r="EI343" s="392"/>
      <c r="EJ343" s="392"/>
      <c r="EK343" s="392"/>
      <c r="EL343" s="392"/>
      <c r="EM343" s="392"/>
      <c r="EN343" s="392"/>
      <c r="EO343" s="392"/>
      <c r="EP343" s="392"/>
      <c r="EQ343" s="392"/>
      <c r="ER343" s="392"/>
      <c r="ES343" s="392"/>
      <c r="ET343" s="392"/>
      <c r="EU343" s="392"/>
      <c r="EV343" s="392"/>
      <c r="EW343" s="392"/>
      <c r="EX343" s="392"/>
      <c r="EY343" s="392"/>
      <c r="EZ343" s="392"/>
      <c r="FA343" s="392"/>
      <c r="FB343" s="392"/>
      <c r="FC343" s="392"/>
      <c r="FD343" s="392"/>
      <c r="FE343" s="392"/>
      <c r="FF343" s="392"/>
      <c r="FG343" s="392"/>
      <c r="FH343" s="392"/>
      <c r="FI343" s="392"/>
      <c r="FJ343" s="392"/>
      <c r="FK343" s="392"/>
      <c r="FL343" s="392"/>
      <c r="FM343" s="392"/>
      <c r="FN343" s="392"/>
      <c r="FO343" s="392"/>
      <c r="FP343" s="392"/>
      <c r="FQ343" s="392"/>
      <c r="FR343" s="392"/>
      <c r="FS343" s="392"/>
      <c r="FT343" s="392"/>
      <c r="FU343" s="392"/>
      <c r="FV343" s="392"/>
      <c r="FW343" s="392"/>
      <c r="FX343" s="392"/>
      <c r="FY343" s="392"/>
      <c r="FZ343" s="392"/>
      <c r="GA343" s="392"/>
      <c r="GB343" s="392"/>
      <c r="GC343" s="392"/>
      <c r="GD343" s="392"/>
      <c r="GE343" s="392"/>
      <c r="GF343" s="392"/>
      <c r="GG343" s="392"/>
      <c r="GH343" s="392"/>
      <c r="GI343" s="392"/>
      <c r="GJ343" s="392"/>
      <c r="GK343" s="392"/>
      <c r="GL343" s="392"/>
      <c r="GM343" s="392"/>
      <c r="GN343" s="392"/>
      <c r="GO343" s="392"/>
      <c r="GP343" s="392"/>
      <c r="GQ343" s="392"/>
      <c r="GR343" s="392"/>
      <c r="GS343" s="392"/>
      <c r="GT343" s="392"/>
      <c r="GU343" s="392"/>
      <c r="GV343" s="392"/>
      <c r="GW343" s="392"/>
      <c r="GX343" s="392"/>
      <c r="GY343" s="392"/>
      <c r="GZ343" s="392"/>
      <c r="HA343" s="392"/>
      <c r="HB343" s="392"/>
      <c r="HC343" s="392"/>
      <c r="HD343" s="392"/>
      <c r="HE343" s="392"/>
      <c r="HF343" s="392"/>
      <c r="HG343" s="392"/>
      <c r="HH343" s="392"/>
      <c r="HI343" s="392"/>
      <c r="HJ343" s="392"/>
      <c r="HK343" s="392"/>
      <c r="HL343" s="392"/>
      <c r="HM343" s="392"/>
      <c r="HN343" s="392"/>
      <c r="HO343" s="392"/>
      <c r="HP343" s="392"/>
      <c r="HQ343" s="392"/>
      <c r="HR343" s="392"/>
      <c r="HS343" s="392"/>
      <c r="HT343" s="392"/>
      <c r="HU343" s="392"/>
      <c r="HV343" s="392"/>
      <c r="HW343" s="392"/>
      <c r="HX343" s="392"/>
      <c r="HY343" s="392"/>
      <c r="HZ343" s="392"/>
      <c r="IA343" s="392"/>
      <c r="IB343" s="392"/>
      <c r="IC343" s="392"/>
      <c r="ID343" s="392"/>
      <c r="IE343" s="392"/>
      <c r="IF343" s="392"/>
      <c r="IG343" s="392"/>
      <c r="IH343" s="392"/>
      <c r="II343" s="392"/>
      <c r="IJ343" s="392"/>
      <c r="IK343" s="392"/>
      <c r="IL343" s="392"/>
      <c r="IM343" s="392"/>
      <c r="IN343" s="392"/>
      <c r="IO343" s="392"/>
      <c r="IP343" s="392"/>
      <c r="IQ343" s="392"/>
      <c r="IR343" s="392"/>
      <c r="IS343" s="392"/>
      <c r="IT343" s="392"/>
      <c r="IU343" s="392"/>
      <c r="IV343" s="392"/>
    </row>
    <row r="344" spans="1:256" ht="15">
      <c r="A344" s="392"/>
      <c r="B344" s="507" t="s">
        <v>610</v>
      </c>
      <c r="C344" s="508" t="s">
        <v>644</v>
      </c>
      <c r="D344" s="509" t="s">
        <v>22</v>
      </c>
      <c r="E344" s="510">
        <v>1</v>
      </c>
      <c r="F344" s="511">
        <f>G318</f>
        <v>6280.47</v>
      </c>
      <c r="G344" s="512">
        <f>TRUNC(F344*E344,2)</f>
        <v>6280.47</v>
      </c>
      <c r="H344" s="392"/>
      <c r="I344" s="392"/>
      <c r="J344" s="392"/>
      <c r="K344" s="392"/>
      <c r="L344" s="392"/>
      <c r="M344" s="392"/>
      <c r="N344" s="392"/>
      <c r="O344" s="392"/>
      <c r="P344" s="392"/>
      <c r="Q344" s="392"/>
      <c r="R344" s="392"/>
      <c r="S344" s="392"/>
      <c r="T344" s="392"/>
      <c r="U344" s="392"/>
      <c r="V344" s="392"/>
      <c r="W344" s="392"/>
      <c r="X344" s="392"/>
      <c r="Y344" s="392"/>
      <c r="Z344" s="392"/>
      <c r="AA344" s="392"/>
      <c r="AB344" s="392"/>
      <c r="AC344" s="392"/>
      <c r="AD344" s="392"/>
      <c r="AE344" s="392"/>
      <c r="AF344" s="392"/>
      <c r="AG344" s="392"/>
      <c r="AH344" s="392"/>
      <c r="AI344" s="392"/>
      <c r="AJ344" s="392"/>
      <c r="AK344" s="392"/>
      <c r="AL344" s="392"/>
      <c r="AM344" s="392"/>
      <c r="AN344" s="392"/>
      <c r="AO344" s="392"/>
      <c r="AP344" s="392"/>
      <c r="AQ344" s="392"/>
      <c r="AR344" s="392"/>
      <c r="AS344" s="392"/>
      <c r="AT344" s="392"/>
      <c r="AU344" s="392"/>
      <c r="AV344" s="392"/>
      <c r="AW344" s="392"/>
      <c r="AX344" s="392"/>
      <c r="AY344" s="392"/>
      <c r="AZ344" s="392"/>
      <c r="BA344" s="392"/>
      <c r="BB344" s="392"/>
      <c r="BC344" s="392"/>
      <c r="BD344" s="392"/>
      <c r="BE344" s="392"/>
      <c r="BF344" s="392"/>
      <c r="BG344" s="392"/>
      <c r="BH344" s="392"/>
      <c r="BI344" s="392"/>
      <c r="BJ344" s="392"/>
      <c r="BK344" s="392"/>
      <c r="BL344" s="392"/>
      <c r="BM344" s="392"/>
      <c r="BN344" s="392"/>
      <c r="BO344" s="392"/>
      <c r="BP344" s="392"/>
      <c r="BQ344" s="392"/>
      <c r="BR344" s="392"/>
      <c r="BS344" s="392"/>
      <c r="BT344" s="392"/>
      <c r="BU344" s="392"/>
      <c r="BV344" s="392"/>
      <c r="BW344" s="392"/>
      <c r="BX344" s="392"/>
      <c r="BY344" s="392"/>
      <c r="BZ344" s="392"/>
      <c r="CA344" s="392"/>
      <c r="CB344" s="392"/>
      <c r="CC344" s="392"/>
      <c r="CD344" s="392"/>
      <c r="CE344" s="392"/>
      <c r="CF344" s="392"/>
      <c r="CG344" s="392"/>
      <c r="CH344" s="392"/>
      <c r="CI344" s="392"/>
      <c r="CJ344" s="392"/>
      <c r="CK344" s="392"/>
      <c r="CL344" s="392"/>
      <c r="CM344" s="392"/>
      <c r="CN344" s="392"/>
      <c r="CO344" s="392"/>
      <c r="CP344" s="392"/>
      <c r="CQ344" s="392"/>
      <c r="CR344" s="392"/>
      <c r="CS344" s="392"/>
      <c r="CT344" s="392"/>
      <c r="CU344" s="392"/>
      <c r="CV344" s="392"/>
      <c r="CW344" s="392"/>
      <c r="CX344" s="392"/>
      <c r="CY344" s="392"/>
      <c r="CZ344" s="392"/>
      <c r="DA344" s="392"/>
      <c r="DB344" s="392"/>
      <c r="DC344" s="392"/>
      <c r="DD344" s="392"/>
      <c r="DE344" s="392"/>
      <c r="DF344" s="392"/>
      <c r="DG344" s="392"/>
      <c r="DH344" s="392"/>
      <c r="DI344" s="392"/>
      <c r="DJ344" s="392"/>
      <c r="DK344" s="392"/>
      <c r="DL344" s="392"/>
      <c r="DM344" s="392"/>
      <c r="DN344" s="392"/>
      <c r="DO344" s="392"/>
      <c r="DP344" s="392"/>
      <c r="DQ344" s="392"/>
      <c r="DR344" s="392"/>
      <c r="DS344" s="392"/>
      <c r="DT344" s="392"/>
      <c r="DU344" s="392"/>
      <c r="DV344" s="392"/>
      <c r="DW344" s="392"/>
      <c r="DX344" s="392"/>
      <c r="DY344" s="392"/>
      <c r="DZ344" s="392"/>
      <c r="EA344" s="392"/>
      <c r="EB344" s="392"/>
      <c r="EC344" s="392"/>
      <c r="ED344" s="392"/>
      <c r="EE344" s="392"/>
      <c r="EF344" s="392"/>
      <c r="EG344" s="392"/>
      <c r="EH344" s="392"/>
      <c r="EI344" s="392"/>
      <c r="EJ344" s="392"/>
      <c r="EK344" s="392"/>
      <c r="EL344" s="392"/>
      <c r="EM344" s="392"/>
      <c r="EN344" s="392"/>
      <c r="EO344" s="392"/>
      <c r="EP344" s="392"/>
      <c r="EQ344" s="392"/>
      <c r="ER344" s="392"/>
      <c r="ES344" s="392"/>
      <c r="ET344" s="392"/>
      <c r="EU344" s="392"/>
      <c r="EV344" s="392"/>
      <c r="EW344" s="392"/>
      <c r="EX344" s="392"/>
      <c r="EY344" s="392"/>
      <c r="EZ344" s="392"/>
      <c r="FA344" s="392"/>
      <c r="FB344" s="392"/>
      <c r="FC344" s="392"/>
      <c r="FD344" s="392"/>
      <c r="FE344" s="392"/>
      <c r="FF344" s="392"/>
      <c r="FG344" s="392"/>
      <c r="FH344" s="392"/>
      <c r="FI344" s="392"/>
      <c r="FJ344" s="392"/>
      <c r="FK344" s="392"/>
      <c r="FL344" s="392"/>
      <c r="FM344" s="392"/>
      <c r="FN344" s="392"/>
      <c r="FO344" s="392"/>
      <c r="FP344" s="392"/>
      <c r="FQ344" s="392"/>
      <c r="FR344" s="392"/>
      <c r="FS344" s="392"/>
      <c r="FT344" s="392"/>
      <c r="FU344" s="392"/>
      <c r="FV344" s="392"/>
      <c r="FW344" s="392"/>
      <c r="FX344" s="392"/>
      <c r="FY344" s="392"/>
      <c r="FZ344" s="392"/>
      <c r="GA344" s="392"/>
      <c r="GB344" s="392"/>
      <c r="GC344" s="392"/>
      <c r="GD344" s="392"/>
      <c r="GE344" s="392"/>
      <c r="GF344" s="392"/>
      <c r="GG344" s="392"/>
      <c r="GH344" s="392"/>
      <c r="GI344" s="392"/>
      <c r="GJ344" s="392"/>
      <c r="GK344" s="392"/>
      <c r="GL344" s="392"/>
      <c r="GM344" s="392"/>
      <c r="GN344" s="392"/>
      <c r="GO344" s="392"/>
      <c r="GP344" s="392"/>
      <c r="GQ344" s="392"/>
      <c r="GR344" s="392"/>
      <c r="GS344" s="392"/>
      <c r="GT344" s="392"/>
      <c r="GU344" s="392"/>
      <c r="GV344" s="392"/>
      <c r="GW344" s="392"/>
      <c r="GX344" s="392"/>
      <c r="GY344" s="392"/>
      <c r="GZ344" s="392"/>
      <c r="HA344" s="392"/>
      <c r="HB344" s="392"/>
      <c r="HC344" s="392"/>
      <c r="HD344" s="392"/>
      <c r="HE344" s="392"/>
      <c r="HF344" s="392"/>
      <c r="HG344" s="392"/>
      <c r="HH344" s="392"/>
      <c r="HI344" s="392"/>
      <c r="HJ344" s="392"/>
      <c r="HK344" s="392"/>
      <c r="HL344" s="392"/>
      <c r="HM344" s="392"/>
      <c r="HN344" s="392"/>
      <c r="HO344" s="392"/>
      <c r="HP344" s="392"/>
      <c r="HQ344" s="392"/>
      <c r="HR344" s="392"/>
      <c r="HS344" s="392"/>
      <c r="HT344" s="392"/>
      <c r="HU344" s="392"/>
      <c r="HV344" s="392"/>
      <c r="HW344" s="392"/>
      <c r="HX344" s="392"/>
      <c r="HY344" s="392"/>
      <c r="HZ344" s="392"/>
      <c r="IA344" s="392"/>
      <c r="IB344" s="392"/>
      <c r="IC344" s="392"/>
      <c r="ID344" s="392"/>
      <c r="IE344" s="392"/>
      <c r="IF344" s="392"/>
      <c r="IG344" s="392"/>
      <c r="IH344" s="392"/>
      <c r="II344" s="392"/>
      <c r="IJ344" s="392"/>
      <c r="IK344" s="392"/>
      <c r="IL344" s="392"/>
      <c r="IM344" s="392"/>
      <c r="IN344" s="392"/>
      <c r="IO344" s="392"/>
      <c r="IP344" s="392"/>
      <c r="IQ344" s="392"/>
      <c r="IR344" s="392"/>
      <c r="IS344" s="392"/>
      <c r="IT344" s="392"/>
      <c r="IU344" s="392"/>
      <c r="IV344" s="392"/>
    </row>
    <row r="345" spans="1:256" ht="15">
      <c r="A345" s="392"/>
      <c r="B345" s="519" t="s">
        <v>14002</v>
      </c>
      <c r="C345" s="520" t="s">
        <v>656</v>
      </c>
      <c r="D345" s="521" t="s">
        <v>22</v>
      </c>
      <c r="E345" s="522">
        <v>8</v>
      </c>
      <c r="F345" s="522" t="e">
        <f>#REF!</f>
        <v>#REF!</v>
      </c>
      <c r="G345" s="512" t="e">
        <f>TRUNC(F345*E345,2)</f>
        <v>#REF!</v>
      </c>
      <c r="H345" s="392"/>
      <c r="I345" s="392"/>
      <c r="J345" s="392"/>
      <c r="K345" s="392"/>
      <c r="L345" s="392"/>
      <c r="M345" s="392"/>
      <c r="N345" s="392"/>
      <c r="O345" s="392"/>
      <c r="P345" s="392"/>
      <c r="Q345" s="392"/>
      <c r="R345" s="392"/>
      <c r="S345" s="392"/>
      <c r="T345" s="392"/>
      <c r="U345" s="392"/>
      <c r="V345" s="392"/>
      <c r="W345" s="392"/>
      <c r="X345" s="392"/>
      <c r="Y345" s="392"/>
      <c r="Z345" s="392"/>
      <c r="AA345" s="392"/>
      <c r="AB345" s="392"/>
      <c r="AC345" s="392"/>
      <c r="AD345" s="392"/>
      <c r="AE345" s="392"/>
      <c r="AF345" s="392"/>
      <c r="AG345" s="392"/>
      <c r="AH345" s="392"/>
      <c r="AI345" s="392"/>
      <c r="AJ345" s="392"/>
      <c r="AK345" s="392"/>
      <c r="AL345" s="392"/>
      <c r="AM345" s="392"/>
      <c r="AN345" s="392"/>
      <c r="AO345" s="392"/>
      <c r="AP345" s="392"/>
      <c r="AQ345" s="392"/>
      <c r="AR345" s="392"/>
      <c r="AS345" s="392"/>
      <c r="AT345" s="392"/>
      <c r="AU345" s="392"/>
      <c r="AV345" s="392"/>
      <c r="AW345" s="392"/>
      <c r="AX345" s="392"/>
      <c r="AY345" s="392"/>
      <c r="AZ345" s="392"/>
      <c r="BA345" s="392"/>
      <c r="BB345" s="392"/>
      <c r="BC345" s="392"/>
      <c r="BD345" s="392"/>
      <c r="BE345" s="392"/>
      <c r="BF345" s="392"/>
      <c r="BG345" s="392"/>
      <c r="BH345" s="392"/>
      <c r="BI345" s="392"/>
      <c r="BJ345" s="392"/>
      <c r="BK345" s="392"/>
      <c r="BL345" s="392"/>
      <c r="BM345" s="392"/>
      <c r="BN345" s="392"/>
      <c r="BO345" s="392"/>
      <c r="BP345" s="392"/>
      <c r="BQ345" s="392"/>
      <c r="BR345" s="392"/>
      <c r="BS345" s="392"/>
      <c r="BT345" s="392"/>
      <c r="BU345" s="392"/>
      <c r="BV345" s="392"/>
      <c r="BW345" s="392"/>
      <c r="BX345" s="392"/>
      <c r="BY345" s="392"/>
      <c r="BZ345" s="392"/>
      <c r="CA345" s="392"/>
      <c r="CB345" s="392"/>
      <c r="CC345" s="392"/>
      <c r="CD345" s="392"/>
      <c r="CE345" s="392"/>
      <c r="CF345" s="392"/>
      <c r="CG345" s="392"/>
      <c r="CH345" s="392"/>
      <c r="CI345" s="392"/>
      <c r="CJ345" s="392"/>
      <c r="CK345" s="392"/>
      <c r="CL345" s="392"/>
      <c r="CM345" s="392"/>
      <c r="CN345" s="392"/>
      <c r="CO345" s="392"/>
      <c r="CP345" s="392"/>
      <c r="CQ345" s="392"/>
      <c r="CR345" s="392"/>
      <c r="CS345" s="392"/>
      <c r="CT345" s="392"/>
      <c r="CU345" s="392"/>
      <c r="CV345" s="392"/>
      <c r="CW345" s="392"/>
      <c r="CX345" s="392"/>
      <c r="CY345" s="392"/>
      <c r="CZ345" s="392"/>
      <c r="DA345" s="392"/>
      <c r="DB345" s="392"/>
      <c r="DC345" s="392"/>
      <c r="DD345" s="392"/>
      <c r="DE345" s="392"/>
      <c r="DF345" s="392"/>
      <c r="DG345" s="392"/>
      <c r="DH345" s="392"/>
      <c r="DI345" s="392"/>
      <c r="DJ345" s="392"/>
      <c r="DK345" s="392"/>
      <c r="DL345" s="392"/>
      <c r="DM345" s="392"/>
      <c r="DN345" s="392"/>
      <c r="DO345" s="392"/>
      <c r="DP345" s="392"/>
      <c r="DQ345" s="392"/>
      <c r="DR345" s="392"/>
      <c r="DS345" s="392"/>
      <c r="DT345" s="392"/>
      <c r="DU345" s="392"/>
      <c r="DV345" s="392"/>
      <c r="DW345" s="392"/>
      <c r="DX345" s="392"/>
      <c r="DY345" s="392"/>
      <c r="DZ345" s="392"/>
      <c r="EA345" s="392"/>
      <c r="EB345" s="392"/>
      <c r="EC345" s="392"/>
      <c r="ED345" s="392"/>
      <c r="EE345" s="392"/>
      <c r="EF345" s="392"/>
      <c r="EG345" s="392"/>
      <c r="EH345" s="392"/>
      <c r="EI345" s="392"/>
      <c r="EJ345" s="392"/>
      <c r="EK345" s="392"/>
      <c r="EL345" s="392"/>
      <c r="EM345" s="392"/>
      <c r="EN345" s="392"/>
      <c r="EO345" s="392"/>
      <c r="EP345" s="392"/>
      <c r="EQ345" s="392"/>
      <c r="ER345" s="392"/>
      <c r="ES345" s="392"/>
      <c r="ET345" s="392"/>
      <c r="EU345" s="392"/>
      <c r="EV345" s="392"/>
      <c r="EW345" s="392"/>
      <c r="EX345" s="392"/>
      <c r="EY345" s="392"/>
      <c r="EZ345" s="392"/>
      <c r="FA345" s="392"/>
      <c r="FB345" s="392"/>
      <c r="FC345" s="392"/>
      <c r="FD345" s="392"/>
      <c r="FE345" s="392"/>
      <c r="FF345" s="392"/>
      <c r="FG345" s="392"/>
      <c r="FH345" s="392"/>
      <c r="FI345" s="392"/>
      <c r="FJ345" s="392"/>
      <c r="FK345" s="392"/>
      <c r="FL345" s="392"/>
      <c r="FM345" s="392"/>
      <c r="FN345" s="392"/>
      <c r="FO345" s="392"/>
      <c r="FP345" s="392"/>
      <c r="FQ345" s="392"/>
      <c r="FR345" s="392"/>
      <c r="FS345" s="392"/>
      <c r="FT345" s="392"/>
      <c r="FU345" s="392"/>
      <c r="FV345" s="392"/>
      <c r="FW345" s="392"/>
      <c r="FX345" s="392"/>
      <c r="FY345" s="392"/>
      <c r="FZ345" s="392"/>
      <c r="GA345" s="392"/>
      <c r="GB345" s="392"/>
      <c r="GC345" s="392"/>
      <c r="GD345" s="392"/>
      <c r="GE345" s="392"/>
      <c r="GF345" s="392"/>
      <c r="GG345" s="392"/>
      <c r="GH345" s="392"/>
      <c r="GI345" s="392"/>
      <c r="GJ345" s="392"/>
      <c r="GK345" s="392"/>
      <c r="GL345" s="392"/>
      <c r="GM345" s="392"/>
      <c r="GN345" s="392"/>
      <c r="GO345" s="392"/>
      <c r="GP345" s="392"/>
      <c r="GQ345" s="392"/>
      <c r="GR345" s="392"/>
      <c r="GS345" s="392"/>
      <c r="GT345" s="392"/>
      <c r="GU345" s="392"/>
      <c r="GV345" s="392"/>
      <c r="GW345" s="392"/>
      <c r="GX345" s="392"/>
      <c r="GY345" s="392"/>
      <c r="GZ345" s="392"/>
      <c r="HA345" s="392"/>
      <c r="HB345" s="392"/>
      <c r="HC345" s="392"/>
      <c r="HD345" s="392"/>
      <c r="HE345" s="392"/>
      <c r="HF345" s="392"/>
      <c r="HG345" s="392"/>
      <c r="HH345" s="392"/>
      <c r="HI345" s="392"/>
      <c r="HJ345" s="392"/>
      <c r="HK345" s="392"/>
      <c r="HL345" s="392"/>
      <c r="HM345" s="392"/>
      <c r="HN345" s="392"/>
      <c r="HO345" s="392"/>
      <c r="HP345" s="392"/>
      <c r="HQ345" s="392"/>
      <c r="HR345" s="392"/>
      <c r="HS345" s="392"/>
      <c r="HT345" s="392"/>
      <c r="HU345" s="392"/>
      <c r="HV345" s="392"/>
      <c r="HW345" s="392"/>
      <c r="HX345" s="392"/>
      <c r="HY345" s="392"/>
      <c r="HZ345" s="392"/>
      <c r="IA345" s="392"/>
      <c r="IB345" s="392"/>
      <c r="IC345" s="392"/>
      <c r="ID345" s="392"/>
      <c r="IE345" s="392"/>
      <c r="IF345" s="392"/>
      <c r="IG345" s="392"/>
      <c r="IH345" s="392"/>
      <c r="II345" s="392"/>
      <c r="IJ345" s="392"/>
      <c r="IK345" s="392"/>
      <c r="IL345" s="392"/>
      <c r="IM345" s="392"/>
      <c r="IN345" s="392"/>
      <c r="IO345" s="392"/>
      <c r="IP345" s="392"/>
      <c r="IQ345" s="392"/>
      <c r="IR345" s="392"/>
      <c r="IS345" s="392"/>
      <c r="IT345" s="392"/>
      <c r="IU345" s="392"/>
      <c r="IV345" s="392"/>
    </row>
    <row r="346" spans="1:256" ht="15.75" thickBot="1">
      <c r="A346" s="392"/>
      <c r="B346" s="523" t="s">
        <v>14003</v>
      </c>
      <c r="C346" s="524" t="e">
        <f>#REF!</f>
        <v>#REF!</v>
      </c>
      <c r="D346" s="525" t="s">
        <v>22</v>
      </c>
      <c r="E346" s="526">
        <v>5</v>
      </c>
      <c r="F346" s="526" t="e">
        <f>#REF!</f>
        <v>#REF!</v>
      </c>
      <c r="G346" s="527" t="e">
        <f>TRUNC(F346*E346,2)</f>
        <v>#REF!</v>
      </c>
      <c r="H346" s="392"/>
      <c r="I346" s="392"/>
      <c r="J346" s="392"/>
      <c r="K346" s="392"/>
      <c r="L346" s="392"/>
      <c r="M346" s="392"/>
      <c r="N346" s="392"/>
      <c r="O346" s="392"/>
      <c r="P346" s="392"/>
      <c r="Q346" s="392"/>
      <c r="R346" s="392"/>
      <c r="S346" s="392"/>
      <c r="T346" s="392"/>
      <c r="U346" s="392"/>
      <c r="V346" s="392"/>
      <c r="W346" s="392"/>
      <c r="X346" s="392"/>
      <c r="Y346" s="392"/>
      <c r="Z346" s="392"/>
      <c r="AA346" s="392"/>
      <c r="AB346" s="392"/>
      <c r="AC346" s="392"/>
      <c r="AD346" s="392"/>
      <c r="AE346" s="392"/>
      <c r="AF346" s="392"/>
      <c r="AG346" s="392"/>
      <c r="AH346" s="392"/>
      <c r="AI346" s="392"/>
      <c r="AJ346" s="392"/>
      <c r="AK346" s="392"/>
      <c r="AL346" s="392"/>
      <c r="AM346" s="392"/>
      <c r="AN346" s="392"/>
      <c r="AO346" s="392"/>
      <c r="AP346" s="392"/>
      <c r="AQ346" s="392"/>
      <c r="AR346" s="392"/>
      <c r="AS346" s="392"/>
      <c r="AT346" s="392"/>
      <c r="AU346" s="392"/>
      <c r="AV346" s="392"/>
      <c r="AW346" s="392"/>
      <c r="AX346" s="392"/>
      <c r="AY346" s="392"/>
      <c r="AZ346" s="392"/>
      <c r="BA346" s="392"/>
      <c r="BB346" s="392"/>
      <c r="BC346" s="392"/>
      <c r="BD346" s="392"/>
      <c r="BE346" s="392"/>
      <c r="BF346" s="392"/>
      <c r="BG346" s="392"/>
      <c r="BH346" s="392"/>
      <c r="BI346" s="392"/>
      <c r="BJ346" s="392"/>
      <c r="BK346" s="392"/>
      <c r="BL346" s="392"/>
      <c r="BM346" s="392"/>
      <c r="BN346" s="392"/>
      <c r="BO346" s="392"/>
      <c r="BP346" s="392"/>
      <c r="BQ346" s="392"/>
      <c r="BR346" s="392"/>
      <c r="BS346" s="392"/>
      <c r="BT346" s="392"/>
      <c r="BU346" s="392"/>
      <c r="BV346" s="392"/>
      <c r="BW346" s="392"/>
      <c r="BX346" s="392"/>
      <c r="BY346" s="392"/>
      <c r="BZ346" s="392"/>
      <c r="CA346" s="392"/>
      <c r="CB346" s="392"/>
      <c r="CC346" s="392"/>
      <c r="CD346" s="392"/>
      <c r="CE346" s="392"/>
      <c r="CF346" s="392"/>
      <c r="CG346" s="392"/>
      <c r="CH346" s="392"/>
      <c r="CI346" s="392"/>
      <c r="CJ346" s="392"/>
      <c r="CK346" s="392"/>
      <c r="CL346" s="392"/>
      <c r="CM346" s="392"/>
      <c r="CN346" s="392"/>
      <c r="CO346" s="392"/>
      <c r="CP346" s="392"/>
      <c r="CQ346" s="392"/>
      <c r="CR346" s="392"/>
      <c r="CS346" s="392"/>
      <c r="CT346" s="392"/>
      <c r="CU346" s="392"/>
      <c r="CV346" s="392"/>
      <c r="CW346" s="392"/>
      <c r="CX346" s="392"/>
      <c r="CY346" s="392"/>
      <c r="CZ346" s="392"/>
      <c r="DA346" s="392"/>
      <c r="DB346" s="392"/>
      <c r="DC346" s="392"/>
      <c r="DD346" s="392"/>
      <c r="DE346" s="392"/>
      <c r="DF346" s="392"/>
      <c r="DG346" s="392"/>
      <c r="DH346" s="392"/>
      <c r="DI346" s="392"/>
      <c r="DJ346" s="392"/>
      <c r="DK346" s="392"/>
      <c r="DL346" s="392"/>
      <c r="DM346" s="392"/>
      <c r="DN346" s="392"/>
      <c r="DO346" s="392"/>
      <c r="DP346" s="392"/>
      <c r="DQ346" s="392"/>
      <c r="DR346" s="392"/>
      <c r="DS346" s="392"/>
      <c r="DT346" s="392"/>
      <c r="DU346" s="392"/>
      <c r="DV346" s="392"/>
      <c r="DW346" s="392"/>
      <c r="DX346" s="392"/>
      <c r="DY346" s="392"/>
      <c r="DZ346" s="392"/>
      <c r="EA346" s="392"/>
      <c r="EB346" s="392"/>
      <c r="EC346" s="392"/>
      <c r="ED346" s="392"/>
      <c r="EE346" s="392"/>
      <c r="EF346" s="392"/>
      <c r="EG346" s="392"/>
      <c r="EH346" s="392"/>
      <c r="EI346" s="392"/>
      <c r="EJ346" s="392"/>
      <c r="EK346" s="392"/>
      <c r="EL346" s="392"/>
      <c r="EM346" s="392"/>
      <c r="EN346" s="392"/>
      <c r="EO346" s="392"/>
      <c r="EP346" s="392"/>
      <c r="EQ346" s="392"/>
      <c r="ER346" s="392"/>
      <c r="ES346" s="392"/>
      <c r="ET346" s="392"/>
      <c r="EU346" s="392"/>
      <c r="EV346" s="392"/>
      <c r="EW346" s="392"/>
      <c r="EX346" s="392"/>
      <c r="EY346" s="392"/>
      <c r="EZ346" s="392"/>
      <c r="FA346" s="392"/>
      <c r="FB346" s="392"/>
      <c r="FC346" s="392"/>
      <c r="FD346" s="392"/>
      <c r="FE346" s="392"/>
      <c r="FF346" s="392"/>
      <c r="FG346" s="392"/>
      <c r="FH346" s="392"/>
      <c r="FI346" s="392"/>
      <c r="FJ346" s="392"/>
      <c r="FK346" s="392"/>
      <c r="FL346" s="392"/>
      <c r="FM346" s="392"/>
      <c r="FN346" s="392"/>
      <c r="FO346" s="392"/>
      <c r="FP346" s="392"/>
      <c r="FQ346" s="392"/>
      <c r="FR346" s="392"/>
      <c r="FS346" s="392"/>
      <c r="FT346" s="392"/>
      <c r="FU346" s="392"/>
      <c r="FV346" s="392"/>
      <c r="FW346" s="392"/>
      <c r="FX346" s="392"/>
      <c r="FY346" s="392"/>
      <c r="FZ346" s="392"/>
      <c r="GA346" s="392"/>
      <c r="GB346" s="392"/>
      <c r="GC346" s="392"/>
      <c r="GD346" s="392"/>
      <c r="GE346" s="392"/>
      <c r="GF346" s="392"/>
      <c r="GG346" s="392"/>
      <c r="GH346" s="392"/>
      <c r="GI346" s="392"/>
      <c r="GJ346" s="392"/>
      <c r="GK346" s="392"/>
      <c r="GL346" s="392"/>
      <c r="GM346" s="392"/>
      <c r="GN346" s="392"/>
      <c r="GO346" s="392"/>
      <c r="GP346" s="392"/>
      <c r="GQ346" s="392"/>
      <c r="GR346" s="392"/>
      <c r="GS346" s="392"/>
      <c r="GT346" s="392"/>
      <c r="GU346" s="392"/>
      <c r="GV346" s="392"/>
      <c r="GW346" s="392"/>
      <c r="GX346" s="392"/>
      <c r="GY346" s="392"/>
      <c r="GZ346" s="392"/>
      <c r="HA346" s="392"/>
      <c r="HB346" s="392"/>
      <c r="HC346" s="392"/>
      <c r="HD346" s="392"/>
      <c r="HE346" s="392"/>
      <c r="HF346" s="392"/>
      <c r="HG346" s="392"/>
      <c r="HH346" s="392"/>
      <c r="HI346" s="392"/>
      <c r="HJ346" s="392"/>
      <c r="HK346" s="392"/>
      <c r="HL346" s="392"/>
      <c r="HM346" s="392"/>
      <c r="HN346" s="392"/>
      <c r="HO346" s="392"/>
      <c r="HP346" s="392"/>
      <c r="HQ346" s="392"/>
      <c r="HR346" s="392"/>
      <c r="HS346" s="392"/>
      <c r="HT346" s="392"/>
      <c r="HU346" s="392"/>
      <c r="HV346" s="392"/>
      <c r="HW346" s="392"/>
      <c r="HX346" s="392"/>
      <c r="HY346" s="392"/>
      <c r="HZ346" s="392"/>
      <c r="IA346" s="392"/>
      <c r="IB346" s="392"/>
      <c r="IC346" s="392"/>
      <c r="ID346" s="392"/>
      <c r="IE346" s="392"/>
      <c r="IF346" s="392"/>
      <c r="IG346" s="392"/>
      <c r="IH346" s="392"/>
      <c r="II346" s="392"/>
      <c r="IJ346" s="392"/>
      <c r="IK346" s="392"/>
      <c r="IL346" s="392"/>
      <c r="IM346" s="392"/>
      <c r="IN346" s="392"/>
      <c r="IO346" s="392"/>
      <c r="IP346" s="392"/>
      <c r="IQ346" s="392"/>
      <c r="IR346" s="392"/>
      <c r="IS346" s="392"/>
      <c r="IT346" s="392"/>
      <c r="IU346" s="392"/>
      <c r="IV346" s="392"/>
    </row>
    <row r="347" spans="1:256" ht="16.5" thickBot="1">
      <c r="A347" s="392"/>
      <c r="B347" s="401"/>
      <c r="C347" s="440"/>
      <c r="D347" s="441"/>
      <c r="E347" s="442"/>
      <c r="F347" s="443" t="s">
        <v>167</v>
      </c>
      <c r="G347" s="517" t="e">
        <f>TRUNC(SUM(G344:G346),2)</f>
        <v>#REF!</v>
      </c>
      <c r="H347" s="392"/>
      <c r="I347" s="392"/>
      <c r="J347" s="392"/>
      <c r="K347" s="392"/>
      <c r="L347" s="392"/>
      <c r="M347" s="392"/>
      <c r="N347" s="392"/>
      <c r="O347" s="392"/>
      <c r="P347" s="392"/>
      <c r="Q347" s="392"/>
      <c r="R347" s="392"/>
      <c r="S347" s="392"/>
      <c r="T347" s="392"/>
      <c r="U347" s="392"/>
      <c r="V347" s="392"/>
      <c r="W347" s="392"/>
      <c r="X347" s="392"/>
      <c r="Y347" s="392"/>
      <c r="Z347" s="392"/>
      <c r="AA347" s="392"/>
      <c r="AB347" s="392"/>
      <c r="AC347" s="392"/>
      <c r="AD347" s="392"/>
      <c r="AE347" s="392"/>
      <c r="AF347" s="392"/>
      <c r="AG347" s="392"/>
      <c r="AH347" s="392"/>
      <c r="AI347" s="392"/>
      <c r="AJ347" s="392"/>
      <c r="AK347" s="392"/>
      <c r="AL347" s="392"/>
      <c r="AM347" s="392"/>
      <c r="AN347" s="392"/>
      <c r="AO347" s="392"/>
      <c r="AP347" s="392"/>
      <c r="AQ347" s="392"/>
      <c r="AR347" s="392"/>
      <c r="AS347" s="392"/>
      <c r="AT347" s="392"/>
      <c r="AU347" s="392"/>
      <c r="AV347" s="392"/>
      <c r="AW347" s="392"/>
      <c r="AX347" s="392"/>
      <c r="AY347" s="392"/>
      <c r="AZ347" s="392"/>
      <c r="BA347" s="392"/>
      <c r="BB347" s="392"/>
      <c r="BC347" s="392"/>
      <c r="BD347" s="392"/>
      <c r="BE347" s="392"/>
      <c r="BF347" s="392"/>
      <c r="BG347" s="392"/>
      <c r="BH347" s="392"/>
      <c r="BI347" s="392"/>
      <c r="BJ347" s="392"/>
      <c r="BK347" s="392"/>
      <c r="BL347" s="392"/>
      <c r="BM347" s="392"/>
      <c r="BN347" s="392"/>
      <c r="BO347" s="392"/>
      <c r="BP347" s="392"/>
      <c r="BQ347" s="392"/>
      <c r="BR347" s="392"/>
      <c r="BS347" s="392"/>
      <c r="BT347" s="392"/>
      <c r="BU347" s="392"/>
      <c r="BV347" s="392"/>
      <c r="BW347" s="392"/>
      <c r="BX347" s="392"/>
      <c r="BY347" s="392"/>
      <c r="BZ347" s="392"/>
      <c r="CA347" s="392"/>
      <c r="CB347" s="392"/>
      <c r="CC347" s="392"/>
      <c r="CD347" s="392"/>
      <c r="CE347" s="392"/>
      <c r="CF347" s="392"/>
      <c r="CG347" s="392"/>
      <c r="CH347" s="392"/>
      <c r="CI347" s="392"/>
      <c r="CJ347" s="392"/>
      <c r="CK347" s="392"/>
      <c r="CL347" s="392"/>
      <c r="CM347" s="392"/>
      <c r="CN347" s="392"/>
      <c r="CO347" s="392"/>
      <c r="CP347" s="392"/>
      <c r="CQ347" s="392"/>
      <c r="CR347" s="392"/>
      <c r="CS347" s="392"/>
      <c r="CT347" s="392"/>
      <c r="CU347" s="392"/>
      <c r="CV347" s="392"/>
      <c r="CW347" s="392"/>
      <c r="CX347" s="392"/>
      <c r="CY347" s="392"/>
      <c r="CZ347" s="392"/>
      <c r="DA347" s="392"/>
      <c r="DB347" s="392"/>
      <c r="DC347" s="392"/>
      <c r="DD347" s="392"/>
      <c r="DE347" s="392"/>
      <c r="DF347" s="392"/>
      <c r="DG347" s="392"/>
      <c r="DH347" s="392"/>
      <c r="DI347" s="392"/>
      <c r="DJ347" s="392"/>
      <c r="DK347" s="392"/>
      <c r="DL347" s="392"/>
      <c r="DM347" s="392"/>
      <c r="DN347" s="392"/>
      <c r="DO347" s="392"/>
      <c r="DP347" s="392"/>
      <c r="DQ347" s="392"/>
      <c r="DR347" s="392"/>
      <c r="DS347" s="392"/>
      <c r="DT347" s="392"/>
      <c r="DU347" s="392"/>
      <c r="DV347" s="392"/>
      <c r="DW347" s="392"/>
      <c r="DX347" s="392"/>
      <c r="DY347" s="392"/>
      <c r="DZ347" s="392"/>
      <c r="EA347" s="392"/>
      <c r="EB347" s="392"/>
      <c r="EC347" s="392"/>
      <c r="ED347" s="392"/>
      <c r="EE347" s="392"/>
      <c r="EF347" s="392"/>
      <c r="EG347" s="392"/>
      <c r="EH347" s="392"/>
      <c r="EI347" s="392"/>
      <c r="EJ347" s="392"/>
      <c r="EK347" s="392"/>
      <c r="EL347" s="392"/>
      <c r="EM347" s="392"/>
      <c r="EN347" s="392"/>
      <c r="EO347" s="392"/>
      <c r="EP347" s="392"/>
      <c r="EQ347" s="392"/>
      <c r="ER347" s="392"/>
      <c r="ES347" s="392"/>
      <c r="ET347" s="392"/>
      <c r="EU347" s="392"/>
      <c r="EV347" s="392"/>
      <c r="EW347" s="392"/>
      <c r="EX347" s="392"/>
      <c r="EY347" s="392"/>
      <c r="EZ347" s="392"/>
      <c r="FA347" s="392"/>
      <c r="FB347" s="392"/>
      <c r="FC347" s="392"/>
      <c r="FD347" s="392"/>
      <c r="FE347" s="392"/>
      <c r="FF347" s="392"/>
      <c r="FG347" s="392"/>
      <c r="FH347" s="392"/>
      <c r="FI347" s="392"/>
      <c r="FJ347" s="392"/>
      <c r="FK347" s="392"/>
      <c r="FL347" s="392"/>
      <c r="FM347" s="392"/>
      <c r="FN347" s="392"/>
      <c r="FO347" s="392"/>
      <c r="FP347" s="392"/>
      <c r="FQ347" s="392"/>
      <c r="FR347" s="392"/>
      <c r="FS347" s="392"/>
      <c r="FT347" s="392"/>
      <c r="FU347" s="392"/>
      <c r="FV347" s="392"/>
      <c r="FW347" s="392"/>
      <c r="FX347" s="392"/>
      <c r="FY347" s="392"/>
      <c r="FZ347" s="392"/>
      <c r="GA347" s="392"/>
      <c r="GB347" s="392"/>
      <c r="GC347" s="392"/>
      <c r="GD347" s="392"/>
      <c r="GE347" s="392"/>
      <c r="GF347" s="392"/>
      <c r="GG347" s="392"/>
      <c r="GH347" s="392"/>
      <c r="GI347" s="392"/>
      <c r="GJ347" s="392"/>
      <c r="GK347" s="392"/>
      <c r="GL347" s="392"/>
      <c r="GM347" s="392"/>
      <c r="GN347" s="392"/>
      <c r="GO347" s="392"/>
      <c r="GP347" s="392"/>
      <c r="GQ347" s="392"/>
      <c r="GR347" s="392"/>
      <c r="GS347" s="392"/>
      <c r="GT347" s="392"/>
      <c r="GU347" s="392"/>
      <c r="GV347" s="392"/>
      <c r="GW347" s="392"/>
      <c r="GX347" s="392"/>
      <c r="GY347" s="392"/>
      <c r="GZ347" s="392"/>
      <c r="HA347" s="392"/>
      <c r="HB347" s="392"/>
      <c r="HC347" s="392"/>
      <c r="HD347" s="392"/>
      <c r="HE347" s="392"/>
      <c r="HF347" s="392"/>
      <c r="HG347" s="392"/>
      <c r="HH347" s="392"/>
      <c r="HI347" s="392"/>
      <c r="HJ347" s="392"/>
      <c r="HK347" s="392"/>
      <c r="HL347" s="392"/>
      <c r="HM347" s="392"/>
      <c r="HN347" s="392"/>
      <c r="HO347" s="392"/>
      <c r="HP347" s="392"/>
      <c r="HQ347" s="392"/>
      <c r="HR347" s="392"/>
      <c r="HS347" s="392"/>
      <c r="HT347" s="392"/>
      <c r="HU347" s="392"/>
      <c r="HV347" s="392"/>
      <c r="HW347" s="392"/>
      <c r="HX347" s="392"/>
      <c r="HY347" s="392"/>
      <c r="HZ347" s="392"/>
      <c r="IA347" s="392"/>
      <c r="IB347" s="392"/>
      <c r="IC347" s="392"/>
      <c r="ID347" s="392"/>
      <c r="IE347" s="392"/>
      <c r="IF347" s="392"/>
      <c r="IG347" s="392"/>
      <c r="IH347" s="392"/>
      <c r="II347" s="392"/>
      <c r="IJ347" s="392"/>
      <c r="IK347" s="392"/>
      <c r="IL347" s="392"/>
      <c r="IM347" s="392"/>
      <c r="IN347" s="392"/>
      <c r="IO347" s="392"/>
      <c r="IP347" s="392"/>
      <c r="IQ347" s="392"/>
      <c r="IR347" s="392"/>
      <c r="IS347" s="392"/>
      <c r="IT347" s="392"/>
      <c r="IU347" s="392"/>
      <c r="IV347" s="392"/>
    </row>
    <row r="348" spans="1:256" s="424" customFormat="1" ht="6.75" customHeight="1" thickBot="1">
      <c r="C348" s="528"/>
      <c r="D348" s="528"/>
      <c r="E348" s="528"/>
      <c r="F348" s="528"/>
      <c r="G348" s="528"/>
      <c r="H348" s="528"/>
    </row>
    <row r="349" spans="1:256" s="420" customFormat="1" ht="6" thickBot="1">
      <c r="B349" s="529"/>
      <c r="C349" s="530" t="s">
        <v>18</v>
      </c>
      <c r="D349" s="529"/>
      <c r="E349" s="529"/>
      <c r="F349" s="529"/>
      <c r="G349" s="529"/>
      <c r="H349" s="531"/>
    </row>
    <row r="350" spans="1:256" s="532" customFormat="1" ht="6.75" customHeight="1" thickBot="1">
      <c r="C350" s="533"/>
      <c r="D350" s="534"/>
      <c r="E350" s="534"/>
      <c r="F350" s="534"/>
      <c r="G350" s="534"/>
      <c r="H350" s="534"/>
    </row>
    <row r="351" spans="1:256">
      <c r="A351" s="392"/>
      <c r="B351" s="535" t="s">
        <v>14004</v>
      </c>
      <c r="C351" s="536" t="s">
        <v>657</v>
      </c>
      <c r="D351" s="537"/>
      <c r="E351" s="537"/>
      <c r="F351" s="537"/>
      <c r="G351" s="538" t="s">
        <v>22</v>
      </c>
      <c r="H351" s="392"/>
      <c r="I351" s="392"/>
      <c r="J351" s="392"/>
      <c r="K351" s="392"/>
      <c r="L351" s="392"/>
      <c r="M351" s="392"/>
      <c r="N351" s="392"/>
      <c r="O351" s="392"/>
      <c r="P351" s="392"/>
      <c r="Q351" s="392"/>
      <c r="R351" s="392"/>
      <c r="S351" s="392"/>
      <c r="T351" s="392"/>
      <c r="U351" s="392"/>
      <c r="V351" s="392"/>
      <c r="W351" s="392"/>
      <c r="X351" s="392"/>
      <c r="Y351" s="392"/>
      <c r="Z351" s="392"/>
      <c r="AA351" s="392"/>
      <c r="AB351" s="392"/>
      <c r="AC351" s="392"/>
      <c r="AD351" s="392"/>
      <c r="AE351" s="392"/>
      <c r="AF351" s="392"/>
      <c r="AG351" s="392"/>
      <c r="AH351" s="392"/>
      <c r="AI351" s="392"/>
      <c r="AJ351" s="392"/>
      <c r="AK351" s="392"/>
      <c r="AL351" s="392"/>
      <c r="AM351" s="392"/>
      <c r="AN351" s="392"/>
      <c r="AO351" s="392"/>
      <c r="AP351" s="392"/>
      <c r="AQ351" s="392"/>
      <c r="AR351" s="392"/>
      <c r="AS351" s="392"/>
      <c r="AT351" s="392"/>
      <c r="AU351" s="392"/>
      <c r="AV351" s="392"/>
      <c r="AW351" s="392"/>
      <c r="AX351" s="392"/>
      <c r="AY351" s="392"/>
      <c r="AZ351" s="392"/>
      <c r="BA351" s="392"/>
      <c r="BB351" s="392"/>
      <c r="BC351" s="392"/>
      <c r="BD351" s="392"/>
      <c r="BE351" s="392"/>
      <c r="BF351" s="392"/>
      <c r="BG351" s="392"/>
      <c r="BH351" s="392"/>
      <c r="BI351" s="392"/>
      <c r="BJ351" s="392"/>
      <c r="BK351" s="392"/>
      <c r="BL351" s="392"/>
      <c r="BM351" s="392"/>
      <c r="BN351" s="392"/>
      <c r="BO351" s="392"/>
      <c r="BP351" s="392"/>
      <c r="BQ351" s="392"/>
      <c r="BR351" s="392"/>
      <c r="BS351" s="392"/>
      <c r="BT351" s="392"/>
      <c r="BU351" s="392"/>
      <c r="BV351" s="392"/>
      <c r="BW351" s="392"/>
      <c r="BX351" s="392"/>
      <c r="BY351" s="392"/>
      <c r="BZ351" s="392"/>
      <c r="CA351" s="392"/>
      <c r="CB351" s="392"/>
      <c r="CC351" s="392"/>
      <c r="CD351" s="392"/>
      <c r="CE351" s="392"/>
      <c r="CF351" s="392"/>
      <c r="CG351" s="392"/>
      <c r="CH351" s="392"/>
      <c r="CI351" s="392"/>
      <c r="CJ351" s="392"/>
      <c r="CK351" s="392"/>
      <c r="CL351" s="392"/>
      <c r="CM351" s="392"/>
      <c r="CN351" s="392"/>
      <c r="CO351" s="392"/>
      <c r="CP351" s="392"/>
      <c r="CQ351" s="392"/>
      <c r="CR351" s="392"/>
      <c r="CS351" s="392"/>
      <c r="CT351" s="392"/>
      <c r="CU351" s="392"/>
      <c r="CV351" s="392"/>
      <c r="CW351" s="392"/>
      <c r="CX351" s="392"/>
      <c r="CY351" s="392"/>
      <c r="CZ351" s="392"/>
      <c r="DA351" s="392"/>
      <c r="DB351" s="392"/>
      <c r="DC351" s="392"/>
      <c r="DD351" s="392"/>
      <c r="DE351" s="392"/>
      <c r="DF351" s="392"/>
      <c r="DG351" s="392"/>
      <c r="DH351" s="392"/>
      <c r="DI351" s="392"/>
      <c r="DJ351" s="392"/>
      <c r="DK351" s="392"/>
      <c r="DL351" s="392"/>
      <c r="DM351" s="392"/>
      <c r="DN351" s="392"/>
      <c r="DO351" s="392"/>
      <c r="DP351" s="392"/>
      <c r="DQ351" s="392"/>
      <c r="DR351" s="392"/>
      <c r="DS351" s="392"/>
      <c r="DT351" s="392"/>
      <c r="DU351" s="392"/>
      <c r="DV351" s="392"/>
      <c r="DW351" s="392"/>
      <c r="DX351" s="392"/>
      <c r="DY351" s="392"/>
      <c r="DZ351" s="392"/>
      <c r="EA351" s="392"/>
      <c r="EB351" s="392"/>
      <c r="EC351" s="392"/>
      <c r="ED351" s="392"/>
      <c r="EE351" s="392"/>
      <c r="EF351" s="392"/>
      <c r="EG351" s="392"/>
      <c r="EH351" s="392"/>
      <c r="EI351" s="392"/>
      <c r="EJ351" s="392"/>
      <c r="EK351" s="392"/>
      <c r="EL351" s="392"/>
      <c r="EM351" s="392"/>
      <c r="EN351" s="392"/>
      <c r="EO351" s="392"/>
      <c r="EP351" s="392"/>
      <c r="EQ351" s="392"/>
      <c r="ER351" s="392"/>
      <c r="ES351" s="392"/>
      <c r="ET351" s="392"/>
      <c r="EU351" s="392"/>
      <c r="EV351" s="392"/>
      <c r="EW351" s="392"/>
      <c r="EX351" s="392"/>
      <c r="EY351" s="392"/>
      <c r="EZ351" s="392"/>
      <c r="FA351" s="392"/>
      <c r="FB351" s="392"/>
      <c r="FC351" s="392"/>
      <c r="FD351" s="392"/>
      <c r="FE351" s="392"/>
      <c r="FF351" s="392"/>
      <c r="FG351" s="392"/>
      <c r="FH351" s="392"/>
      <c r="FI351" s="392"/>
      <c r="FJ351" s="392"/>
      <c r="FK351" s="392"/>
      <c r="FL351" s="392"/>
      <c r="FM351" s="392"/>
      <c r="FN351" s="392"/>
      <c r="FO351" s="392"/>
      <c r="FP351" s="392"/>
      <c r="FQ351" s="392"/>
      <c r="FR351" s="392"/>
      <c r="FS351" s="392"/>
      <c r="FT351" s="392"/>
      <c r="FU351" s="392"/>
      <c r="FV351" s="392"/>
      <c r="FW351" s="392"/>
      <c r="FX351" s="392"/>
      <c r="FY351" s="392"/>
      <c r="FZ351" s="392"/>
      <c r="GA351" s="392"/>
      <c r="GB351" s="392"/>
      <c r="GC351" s="392"/>
      <c r="GD351" s="392"/>
      <c r="GE351" s="392"/>
      <c r="GF351" s="392"/>
      <c r="GG351" s="392"/>
      <c r="GH351" s="392"/>
      <c r="GI351" s="392"/>
      <c r="GJ351" s="392"/>
      <c r="GK351" s="392"/>
      <c r="GL351" s="392"/>
      <c r="GM351" s="392"/>
      <c r="GN351" s="392"/>
      <c r="GO351" s="392"/>
      <c r="GP351" s="392"/>
      <c r="GQ351" s="392"/>
      <c r="GR351" s="392"/>
      <c r="GS351" s="392"/>
      <c r="GT351" s="392"/>
      <c r="GU351" s="392"/>
      <c r="GV351" s="392"/>
      <c r="GW351" s="392"/>
      <c r="GX351" s="392"/>
      <c r="GY351" s="392"/>
      <c r="GZ351" s="392"/>
      <c r="HA351" s="392"/>
      <c r="HB351" s="392"/>
      <c r="HC351" s="392"/>
      <c r="HD351" s="392"/>
      <c r="HE351" s="392"/>
      <c r="HF351" s="392"/>
      <c r="HG351" s="392"/>
      <c r="HH351" s="392"/>
      <c r="HI351" s="392"/>
      <c r="HJ351" s="392"/>
      <c r="HK351" s="392"/>
      <c r="HL351" s="392"/>
      <c r="HM351" s="392"/>
      <c r="HN351" s="392"/>
      <c r="HO351" s="392"/>
      <c r="HP351" s="392"/>
      <c r="HQ351" s="392"/>
      <c r="HR351" s="392"/>
      <c r="HS351" s="392"/>
      <c r="HT351" s="392"/>
      <c r="HU351" s="392"/>
      <c r="HV351" s="392"/>
      <c r="HW351" s="392"/>
      <c r="HX351" s="392"/>
      <c r="HY351" s="392"/>
      <c r="HZ351" s="392"/>
      <c r="IA351" s="392"/>
      <c r="IB351" s="392"/>
      <c r="IC351" s="392"/>
      <c r="ID351" s="392"/>
      <c r="IE351" s="392"/>
      <c r="IF351" s="392"/>
      <c r="IG351" s="392"/>
      <c r="IH351" s="392"/>
      <c r="II351" s="392"/>
      <c r="IJ351" s="392"/>
      <c r="IK351" s="392"/>
      <c r="IL351" s="392"/>
      <c r="IM351" s="392"/>
      <c r="IN351" s="392"/>
      <c r="IO351" s="392"/>
      <c r="IP351" s="392"/>
      <c r="IQ351" s="392"/>
      <c r="IR351" s="392"/>
      <c r="IS351" s="392"/>
      <c r="IT351" s="392"/>
      <c r="IU351" s="392"/>
      <c r="IV351" s="392"/>
    </row>
    <row r="352" spans="1:256" ht="25.5">
      <c r="A352" s="392"/>
      <c r="B352" s="539" t="s">
        <v>197</v>
      </c>
      <c r="C352" s="540" t="s">
        <v>161</v>
      </c>
      <c r="D352" s="540" t="s">
        <v>22</v>
      </c>
      <c r="E352" s="540" t="s">
        <v>162</v>
      </c>
      <c r="F352" s="541" t="s">
        <v>186</v>
      </c>
      <c r="G352" s="542" t="s">
        <v>187</v>
      </c>
      <c r="H352" s="392"/>
      <c r="I352" s="392"/>
      <c r="J352" s="392"/>
      <c r="K352" s="392"/>
      <c r="L352" s="392"/>
      <c r="M352" s="392"/>
      <c r="N352" s="392"/>
      <c r="O352" s="392"/>
      <c r="P352" s="392"/>
      <c r="Q352" s="392"/>
      <c r="R352" s="392"/>
      <c r="S352" s="392"/>
      <c r="T352" s="392"/>
      <c r="U352" s="392"/>
      <c r="V352" s="392"/>
      <c r="W352" s="392"/>
      <c r="X352" s="392"/>
      <c r="Y352" s="392"/>
      <c r="Z352" s="392"/>
      <c r="AA352" s="392"/>
      <c r="AB352" s="392"/>
      <c r="AC352" s="392"/>
      <c r="AD352" s="392"/>
      <c r="AE352" s="392"/>
      <c r="AF352" s="392"/>
      <c r="AG352" s="392"/>
      <c r="AH352" s="392"/>
      <c r="AI352" s="392"/>
      <c r="AJ352" s="392"/>
      <c r="AK352" s="392"/>
      <c r="AL352" s="392"/>
      <c r="AM352" s="392"/>
      <c r="AN352" s="392"/>
      <c r="AO352" s="392"/>
      <c r="AP352" s="392"/>
      <c r="AQ352" s="392"/>
      <c r="AR352" s="392"/>
      <c r="AS352" s="392"/>
      <c r="AT352" s="392"/>
      <c r="AU352" s="392"/>
      <c r="AV352" s="392"/>
      <c r="AW352" s="392"/>
      <c r="AX352" s="392"/>
      <c r="AY352" s="392"/>
      <c r="AZ352" s="392"/>
      <c r="BA352" s="392"/>
      <c r="BB352" s="392"/>
      <c r="BC352" s="392"/>
      <c r="BD352" s="392"/>
      <c r="BE352" s="392"/>
      <c r="BF352" s="392"/>
      <c r="BG352" s="392"/>
      <c r="BH352" s="392"/>
      <c r="BI352" s="392"/>
      <c r="BJ352" s="392"/>
      <c r="BK352" s="392"/>
      <c r="BL352" s="392"/>
      <c r="BM352" s="392"/>
      <c r="BN352" s="392"/>
      <c r="BO352" s="392"/>
      <c r="BP352" s="392"/>
      <c r="BQ352" s="392"/>
      <c r="BR352" s="392"/>
      <c r="BS352" s="392"/>
      <c r="BT352" s="392"/>
      <c r="BU352" s="392"/>
      <c r="BV352" s="392"/>
      <c r="BW352" s="392"/>
      <c r="BX352" s="392"/>
      <c r="BY352" s="392"/>
      <c r="BZ352" s="392"/>
      <c r="CA352" s="392"/>
      <c r="CB352" s="392"/>
      <c r="CC352" s="392"/>
      <c r="CD352" s="392"/>
      <c r="CE352" s="392"/>
      <c r="CF352" s="392"/>
      <c r="CG352" s="392"/>
      <c r="CH352" s="392"/>
      <c r="CI352" s="392"/>
      <c r="CJ352" s="392"/>
      <c r="CK352" s="392"/>
      <c r="CL352" s="392"/>
      <c r="CM352" s="392"/>
      <c r="CN352" s="392"/>
      <c r="CO352" s="392"/>
      <c r="CP352" s="392"/>
      <c r="CQ352" s="392"/>
      <c r="CR352" s="392"/>
      <c r="CS352" s="392"/>
      <c r="CT352" s="392"/>
      <c r="CU352" s="392"/>
      <c r="CV352" s="392"/>
      <c r="CW352" s="392"/>
      <c r="CX352" s="392"/>
      <c r="CY352" s="392"/>
      <c r="CZ352" s="392"/>
      <c r="DA352" s="392"/>
      <c r="DB352" s="392"/>
      <c r="DC352" s="392"/>
      <c r="DD352" s="392"/>
      <c r="DE352" s="392"/>
      <c r="DF352" s="392"/>
      <c r="DG352" s="392"/>
      <c r="DH352" s="392"/>
      <c r="DI352" s="392"/>
      <c r="DJ352" s="392"/>
      <c r="DK352" s="392"/>
      <c r="DL352" s="392"/>
      <c r="DM352" s="392"/>
      <c r="DN352" s="392"/>
      <c r="DO352" s="392"/>
      <c r="DP352" s="392"/>
      <c r="DQ352" s="392"/>
      <c r="DR352" s="392"/>
      <c r="DS352" s="392"/>
      <c r="DT352" s="392"/>
      <c r="DU352" s="392"/>
      <c r="DV352" s="392"/>
      <c r="DW352" s="392"/>
      <c r="DX352" s="392"/>
      <c r="DY352" s="392"/>
      <c r="DZ352" s="392"/>
      <c r="EA352" s="392"/>
      <c r="EB352" s="392"/>
      <c r="EC352" s="392"/>
      <c r="ED352" s="392"/>
      <c r="EE352" s="392"/>
      <c r="EF352" s="392"/>
      <c r="EG352" s="392"/>
      <c r="EH352" s="392"/>
      <c r="EI352" s="392"/>
      <c r="EJ352" s="392"/>
      <c r="EK352" s="392"/>
      <c r="EL352" s="392"/>
      <c r="EM352" s="392"/>
      <c r="EN352" s="392"/>
      <c r="EO352" s="392"/>
      <c r="EP352" s="392"/>
      <c r="EQ352" s="392"/>
      <c r="ER352" s="392"/>
      <c r="ES352" s="392"/>
      <c r="ET352" s="392"/>
      <c r="EU352" s="392"/>
      <c r="EV352" s="392"/>
      <c r="EW352" s="392"/>
      <c r="EX352" s="392"/>
      <c r="EY352" s="392"/>
      <c r="EZ352" s="392"/>
      <c r="FA352" s="392"/>
      <c r="FB352" s="392"/>
      <c r="FC352" s="392"/>
      <c r="FD352" s="392"/>
      <c r="FE352" s="392"/>
      <c r="FF352" s="392"/>
      <c r="FG352" s="392"/>
      <c r="FH352" s="392"/>
      <c r="FI352" s="392"/>
      <c r="FJ352" s="392"/>
      <c r="FK352" s="392"/>
      <c r="FL352" s="392"/>
      <c r="FM352" s="392"/>
      <c r="FN352" s="392"/>
      <c r="FO352" s="392"/>
      <c r="FP352" s="392"/>
      <c r="FQ352" s="392"/>
      <c r="FR352" s="392"/>
      <c r="FS352" s="392"/>
      <c r="FT352" s="392"/>
      <c r="FU352" s="392"/>
      <c r="FV352" s="392"/>
      <c r="FW352" s="392"/>
      <c r="FX352" s="392"/>
      <c r="FY352" s="392"/>
      <c r="FZ352" s="392"/>
      <c r="GA352" s="392"/>
      <c r="GB352" s="392"/>
      <c r="GC352" s="392"/>
      <c r="GD352" s="392"/>
      <c r="GE352" s="392"/>
      <c r="GF352" s="392"/>
      <c r="GG352" s="392"/>
      <c r="GH352" s="392"/>
      <c r="GI352" s="392"/>
      <c r="GJ352" s="392"/>
      <c r="GK352" s="392"/>
      <c r="GL352" s="392"/>
      <c r="GM352" s="392"/>
      <c r="GN352" s="392"/>
      <c r="GO352" s="392"/>
      <c r="GP352" s="392"/>
      <c r="GQ352" s="392"/>
      <c r="GR352" s="392"/>
      <c r="GS352" s="392"/>
      <c r="GT352" s="392"/>
      <c r="GU352" s="392"/>
      <c r="GV352" s="392"/>
      <c r="GW352" s="392"/>
      <c r="GX352" s="392"/>
      <c r="GY352" s="392"/>
      <c r="GZ352" s="392"/>
      <c r="HA352" s="392"/>
      <c r="HB352" s="392"/>
      <c r="HC352" s="392"/>
      <c r="HD352" s="392"/>
      <c r="HE352" s="392"/>
      <c r="HF352" s="392"/>
      <c r="HG352" s="392"/>
      <c r="HH352" s="392"/>
      <c r="HI352" s="392"/>
      <c r="HJ352" s="392"/>
      <c r="HK352" s="392"/>
      <c r="HL352" s="392"/>
      <c r="HM352" s="392"/>
      <c r="HN352" s="392"/>
      <c r="HO352" s="392"/>
      <c r="HP352" s="392"/>
      <c r="HQ352" s="392"/>
      <c r="HR352" s="392"/>
      <c r="HS352" s="392"/>
      <c r="HT352" s="392"/>
      <c r="HU352" s="392"/>
      <c r="HV352" s="392"/>
      <c r="HW352" s="392"/>
      <c r="HX352" s="392"/>
      <c r="HY352" s="392"/>
      <c r="HZ352" s="392"/>
      <c r="IA352" s="392"/>
      <c r="IB352" s="392"/>
      <c r="IC352" s="392"/>
      <c r="ID352" s="392"/>
      <c r="IE352" s="392"/>
      <c r="IF352" s="392"/>
      <c r="IG352" s="392"/>
      <c r="IH352" s="392"/>
      <c r="II352" s="392"/>
      <c r="IJ352" s="392"/>
      <c r="IK352" s="392"/>
      <c r="IL352" s="392"/>
      <c r="IM352" s="392"/>
      <c r="IN352" s="392"/>
      <c r="IO352" s="392"/>
      <c r="IP352" s="392"/>
      <c r="IQ352" s="392"/>
      <c r="IR352" s="392"/>
      <c r="IS352" s="392"/>
      <c r="IT352" s="392"/>
      <c r="IU352" s="392"/>
      <c r="IV352" s="392"/>
    </row>
    <row r="353" spans="1:256">
      <c r="A353" s="392"/>
      <c r="B353" s="2304" t="s">
        <v>165</v>
      </c>
      <c r="C353" s="2305"/>
      <c r="D353" s="2305"/>
      <c r="E353" s="2305"/>
      <c r="F353" s="2305"/>
      <c r="G353" s="2306"/>
      <c r="H353" s="392"/>
      <c r="I353" s="392"/>
      <c r="J353" s="392"/>
      <c r="K353" s="392"/>
      <c r="L353" s="392"/>
      <c r="M353" s="392"/>
      <c r="N353" s="392"/>
      <c r="O353" s="392"/>
      <c r="P353" s="392"/>
      <c r="Q353" s="392"/>
      <c r="R353" s="392"/>
      <c r="S353" s="392"/>
      <c r="T353" s="392"/>
      <c r="U353" s="392"/>
      <c r="V353" s="392"/>
      <c r="W353" s="392"/>
      <c r="X353" s="392"/>
      <c r="Y353" s="392"/>
      <c r="Z353" s="392"/>
      <c r="AA353" s="392"/>
      <c r="AB353" s="392"/>
      <c r="AC353" s="392"/>
      <c r="AD353" s="392"/>
      <c r="AE353" s="392"/>
      <c r="AF353" s="392"/>
      <c r="AG353" s="392"/>
      <c r="AH353" s="392"/>
      <c r="AI353" s="392"/>
      <c r="AJ353" s="392"/>
      <c r="AK353" s="392"/>
      <c r="AL353" s="392"/>
      <c r="AM353" s="392"/>
      <c r="AN353" s="392"/>
      <c r="AO353" s="392"/>
      <c r="AP353" s="392"/>
      <c r="AQ353" s="392"/>
      <c r="AR353" s="392"/>
      <c r="AS353" s="392"/>
      <c r="AT353" s="392"/>
      <c r="AU353" s="392"/>
      <c r="AV353" s="392"/>
      <c r="AW353" s="392"/>
      <c r="AX353" s="392"/>
      <c r="AY353" s="392"/>
      <c r="AZ353" s="392"/>
      <c r="BA353" s="392"/>
      <c r="BB353" s="392"/>
      <c r="BC353" s="392"/>
      <c r="BD353" s="392"/>
      <c r="BE353" s="392"/>
      <c r="BF353" s="392"/>
      <c r="BG353" s="392"/>
      <c r="BH353" s="392"/>
      <c r="BI353" s="392"/>
      <c r="BJ353" s="392"/>
      <c r="BK353" s="392"/>
      <c r="BL353" s="392"/>
      <c r="BM353" s="392"/>
      <c r="BN353" s="392"/>
      <c r="BO353" s="392"/>
      <c r="BP353" s="392"/>
      <c r="BQ353" s="392"/>
      <c r="BR353" s="392"/>
      <c r="BS353" s="392"/>
      <c r="BT353" s="392"/>
      <c r="BU353" s="392"/>
      <c r="BV353" s="392"/>
      <c r="BW353" s="392"/>
      <c r="BX353" s="392"/>
      <c r="BY353" s="392"/>
      <c r="BZ353" s="392"/>
      <c r="CA353" s="392"/>
      <c r="CB353" s="392"/>
      <c r="CC353" s="392"/>
      <c r="CD353" s="392"/>
      <c r="CE353" s="392"/>
      <c r="CF353" s="392"/>
      <c r="CG353" s="392"/>
      <c r="CH353" s="392"/>
      <c r="CI353" s="392"/>
      <c r="CJ353" s="392"/>
      <c r="CK353" s="392"/>
      <c r="CL353" s="392"/>
      <c r="CM353" s="392"/>
      <c r="CN353" s="392"/>
      <c r="CO353" s="392"/>
      <c r="CP353" s="392"/>
      <c r="CQ353" s="392"/>
      <c r="CR353" s="392"/>
      <c r="CS353" s="392"/>
      <c r="CT353" s="392"/>
      <c r="CU353" s="392"/>
      <c r="CV353" s="392"/>
      <c r="CW353" s="392"/>
      <c r="CX353" s="392"/>
      <c r="CY353" s="392"/>
      <c r="CZ353" s="392"/>
      <c r="DA353" s="392"/>
      <c r="DB353" s="392"/>
      <c r="DC353" s="392"/>
      <c r="DD353" s="392"/>
      <c r="DE353" s="392"/>
      <c r="DF353" s="392"/>
      <c r="DG353" s="392"/>
      <c r="DH353" s="392"/>
      <c r="DI353" s="392"/>
      <c r="DJ353" s="392"/>
      <c r="DK353" s="392"/>
      <c r="DL353" s="392"/>
      <c r="DM353" s="392"/>
      <c r="DN353" s="392"/>
      <c r="DO353" s="392"/>
      <c r="DP353" s="392"/>
      <c r="DQ353" s="392"/>
      <c r="DR353" s="392"/>
      <c r="DS353" s="392"/>
      <c r="DT353" s="392"/>
      <c r="DU353" s="392"/>
      <c r="DV353" s="392"/>
      <c r="DW353" s="392"/>
      <c r="DX353" s="392"/>
      <c r="DY353" s="392"/>
      <c r="DZ353" s="392"/>
      <c r="EA353" s="392"/>
      <c r="EB353" s="392"/>
      <c r="EC353" s="392"/>
      <c r="ED353" s="392"/>
      <c r="EE353" s="392"/>
      <c r="EF353" s="392"/>
      <c r="EG353" s="392"/>
      <c r="EH353" s="392"/>
      <c r="EI353" s="392"/>
      <c r="EJ353" s="392"/>
      <c r="EK353" s="392"/>
      <c r="EL353" s="392"/>
      <c r="EM353" s="392"/>
      <c r="EN353" s="392"/>
      <c r="EO353" s="392"/>
      <c r="EP353" s="392"/>
      <c r="EQ353" s="392"/>
      <c r="ER353" s="392"/>
      <c r="ES353" s="392"/>
      <c r="ET353" s="392"/>
      <c r="EU353" s="392"/>
      <c r="EV353" s="392"/>
      <c r="EW353" s="392"/>
      <c r="EX353" s="392"/>
      <c r="EY353" s="392"/>
      <c r="EZ353" s="392"/>
      <c r="FA353" s="392"/>
      <c r="FB353" s="392"/>
      <c r="FC353" s="392"/>
      <c r="FD353" s="392"/>
      <c r="FE353" s="392"/>
      <c r="FF353" s="392"/>
      <c r="FG353" s="392"/>
      <c r="FH353" s="392"/>
      <c r="FI353" s="392"/>
      <c r="FJ353" s="392"/>
      <c r="FK353" s="392"/>
      <c r="FL353" s="392"/>
      <c r="FM353" s="392"/>
      <c r="FN353" s="392"/>
      <c r="FO353" s="392"/>
      <c r="FP353" s="392"/>
      <c r="FQ353" s="392"/>
      <c r="FR353" s="392"/>
      <c r="FS353" s="392"/>
      <c r="FT353" s="392"/>
      <c r="FU353" s="392"/>
      <c r="FV353" s="392"/>
      <c r="FW353" s="392"/>
      <c r="FX353" s="392"/>
      <c r="FY353" s="392"/>
      <c r="FZ353" s="392"/>
      <c r="GA353" s="392"/>
      <c r="GB353" s="392"/>
      <c r="GC353" s="392"/>
      <c r="GD353" s="392"/>
      <c r="GE353" s="392"/>
      <c r="GF353" s="392"/>
      <c r="GG353" s="392"/>
      <c r="GH353" s="392"/>
      <c r="GI353" s="392"/>
      <c r="GJ353" s="392"/>
      <c r="GK353" s="392"/>
      <c r="GL353" s="392"/>
      <c r="GM353" s="392"/>
      <c r="GN353" s="392"/>
      <c r="GO353" s="392"/>
      <c r="GP353" s="392"/>
      <c r="GQ353" s="392"/>
      <c r="GR353" s="392"/>
      <c r="GS353" s="392"/>
      <c r="GT353" s="392"/>
      <c r="GU353" s="392"/>
      <c r="GV353" s="392"/>
      <c r="GW353" s="392"/>
      <c r="GX353" s="392"/>
      <c r="GY353" s="392"/>
      <c r="GZ353" s="392"/>
      <c r="HA353" s="392"/>
      <c r="HB353" s="392"/>
      <c r="HC353" s="392"/>
      <c r="HD353" s="392"/>
      <c r="HE353" s="392"/>
      <c r="HF353" s="392"/>
      <c r="HG353" s="392"/>
      <c r="HH353" s="392"/>
      <c r="HI353" s="392"/>
      <c r="HJ353" s="392"/>
      <c r="HK353" s="392"/>
      <c r="HL353" s="392"/>
      <c r="HM353" s="392"/>
      <c r="HN353" s="392"/>
      <c r="HO353" s="392"/>
      <c r="HP353" s="392"/>
      <c r="HQ353" s="392"/>
      <c r="HR353" s="392"/>
      <c r="HS353" s="392"/>
      <c r="HT353" s="392"/>
      <c r="HU353" s="392"/>
      <c r="HV353" s="392"/>
      <c r="HW353" s="392"/>
      <c r="HX353" s="392"/>
      <c r="HY353" s="392"/>
      <c r="HZ353" s="392"/>
      <c r="IA353" s="392"/>
      <c r="IB353" s="392"/>
      <c r="IC353" s="392"/>
      <c r="ID353" s="392"/>
      <c r="IE353" s="392"/>
      <c r="IF353" s="392"/>
      <c r="IG353" s="392"/>
      <c r="IH353" s="392"/>
      <c r="II353" s="392"/>
      <c r="IJ353" s="392"/>
      <c r="IK353" s="392"/>
      <c r="IL353" s="392"/>
      <c r="IM353" s="392"/>
      <c r="IN353" s="392"/>
      <c r="IO353" s="392"/>
      <c r="IP353" s="392"/>
      <c r="IQ353" s="392"/>
      <c r="IR353" s="392"/>
      <c r="IS353" s="392"/>
      <c r="IT353" s="392"/>
      <c r="IU353" s="392"/>
      <c r="IV353" s="392"/>
    </row>
    <row r="354" spans="1:256">
      <c r="A354" s="392"/>
      <c r="B354" s="543" t="s">
        <v>658</v>
      </c>
      <c r="C354" s="520" t="s">
        <v>659</v>
      </c>
      <c r="D354" s="544" t="s">
        <v>22</v>
      </c>
      <c r="E354" s="545">
        <v>1</v>
      </c>
      <c r="F354" s="546" t="e">
        <f>#REF!</f>
        <v>#REF!</v>
      </c>
      <c r="G354" s="512" t="e">
        <f t="shared" ref="G354:G363" si="1">TRUNC(F354*E354,2)</f>
        <v>#REF!</v>
      </c>
      <c r="H354" s="392"/>
      <c r="I354" s="392"/>
      <c r="J354" s="392"/>
      <c r="K354" s="392"/>
      <c r="L354" s="392"/>
      <c r="M354" s="392"/>
      <c r="N354" s="392"/>
      <c r="O354" s="392"/>
      <c r="P354" s="392"/>
      <c r="Q354" s="392"/>
      <c r="R354" s="392"/>
      <c r="S354" s="392"/>
      <c r="T354" s="392"/>
      <c r="U354" s="392"/>
      <c r="V354" s="392"/>
      <c r="W354" s="392"/>
      <c r="X354" s="392"/>
      <c r="Y354" s="392"/>
      <c r="Z354" s="392"/>
      <c r="AA354" s="392"/>
      <c r="AB354" s="392"/>
      <c r="AC354" s="392"/>
      <c r="AD354" s="392"/>
      <c r="AE354" s="392"/>
      <c r="AF354" s="392"/>
      <c r="AG354" s="392"/>
      <c r="AH354" s="392"/>
      <c r="AI354" s="392"/>
      <c r="AJ354" s="392"/>
      <c r="AK354" s="392"/>
      <c r="AL354" s="392"/>
      <c r="AM354" s="392"/>
      <c r="AN354" s="392"/>
      <c r="AO354" s="392"/>
      <c r="AP354" s="392"/>
      <c r="AQ354" s="392"/>
      <c r="AR354" s="392"/>
      <c r="AS354" s="392"/>
      <c r="AT354" s="392"/>
      <c r="AU354" s="392"/>
      <c r="AV354" s="392"/>
      <c r="AW354" s="392"/>
      <c r="AX354" s="392"/>
      <c r="AY354" s="392"/>
      <c r="AZ354" s="392"/>
      <c r="BA354" s="392"/>
      <c r="BB354" s="392"/>
      <c r="BC354" s="392"/>
      <c r="BD354" s="392"/>
      <c r="BE354" s="392"/>
      <c r="BF354" s="392"/>
      <c r="BG354" s="392"/>
      <c r="BH354" s="392"/>
      <c r="BI354" s="392"/>
      <c r="BJ354" s="392"/>
      <c r="BK354" s="392"/>
      <c r="BL354" s="392"/>
      <c r="BM354" s="392"/>
      <c r="BN354" s="392"/>
      <c r="BO354" s="392"/>
      <c r="BP354" s="392"/>
      <c r="BQ354" s="392"/>
      <c r="BR354" s="392"/>
      <c r="BS354" s="392"/>
      <c r="BT354" s="392"/>
      <c r="BU354" s="392"/>
      <c r="BV354" s="392"/>
      <c r="BW354" s="392"/>
      <c r="BX354" s="392"/>
      <c r="BY354" s="392"/>
      <c r="BZ354" s="392"/>
      <c r="CA354" s="392"/>
      <c r="CB354" s="392"/>
      <c r="CC354" s="392"/>
      <c r="CD354" s="392"/>
      <c r="CE354" s="392"/>
      <c r="CF354" s="392"/>
      <c r="CG354" s="392"/>
      <c r="CH354" s="392"/>
      <c r="CI354" s="392"/>
      <c r="CJ354" s="392"/>
      <c r="CK354" s="392"/>
      <c r="CL354" s="392"/>
      <c r="CM354" s="392"/>
      <c r="CN354" s="392"/>
      <c r="CO354" s="392"/>
      <c r="CP354" s="392"/>
      <c r="CQ354" s="392"/>
      <c r="CR354" s="392"/>
      <c r="CS354" s="392"/>
      <c r="CT354" s="392"/>
      <c r="CU354" s="392"/>
      <c r="CV354" s="392"/>
      <c r="CW354" s="392"/>
      <c r="CX354" s="392"/>
      <c r="CY354" s="392"/>
      <c r="CZ354" s="392"/>
      <c r="DA354" s="392"/>
      <c r="DB354" s="392"/>
      <c r="DC354" s="392"/>
      <c r="DD354" s="392"/>
      <c r="DE354" s="392"/>
      <c r="DF354" s="392"/>
      <c r="DG354" s="392"/>
      <c r="DH354" s="392"/>
      <c r="DI354" s="392"/>
      <c r="DJ354" s="392"/>
      <c r="DK354" s="392"/>
      <c r="DL354" s="392"/>
      <c r="DM354" s="392"/>
      <c r="DN354" s="392"/>
      <c r="DO354" s="392"/>
      <c r="DP354" s="392"/>
      <c r="DQ354" s="392"/>
      <c r="DR354" s="392"/>
      <c r="DS354" s="392"/>
      <c r="DT354" s="392"/>
      <c r="DU354" s="392"/>
      <c r="DV354" s="392"/>
      <c r="DW354" s="392"/>
      <c r="DX354" s="392"/>
      <c r="DY354" s="392"/>
      <c r="DZ354" s="392"/>
      <c r="EA354" s="392"/>
      <c r="EB354" s="392"/>
      <c r="EC354" s="392"/>
      <c r="ED354" s="392"/>
      <c r="EE354" s="392"/>
      <c r="EF354" s="392"/>
      <c r="EG354" s="392"/>
      <c r="EH354" s="392"/>
      <c r="EI354" s="392"/>
      <c r="EJ354" s="392"/>
      <c r="EK354" s="392"/>
      <c r="EL354" s="392"/>
      <c r="EM354" s="392"/>
      <c r="EN354" s="392"/>
      <c r="EO354" s="392"/>
      <c r="EP354" s="392"/>
      <c r="EQ354" s="392"/>
      <c r="ER354" s="392"/>
      <c r="ES354" s="392"/>
      <c r="ET354" s="392"/>
      <c r="EU354" s="392"/>
      <c r="EV354" s="392"/>
      <c r="EW354" s="392"/>
      <c r="EX354" s="392"/>
      <c r="EY354" s="392"/>
      <c r="EZ354" s="392"/>
      <c r="FA354" s="392"/>
      <c r="FB354" s="392"/>
      <c r="FC354" s="392"/>
      <c r="FD354" s="392"/>
      <c r="FE354" s="392"/>
      <c r="FF354" s="392"/>
      <c r="FG354" s="392"/>
      <c r="FH354" s="392"/>
      <c r="FI354" s="392"/>
      <c r="FJ354" s="392"/>
      <c r="FK354" s="392"/>
      <c r="FL354" s="392"/>
      <c r="FM354" s="392"/>
      <c r="FN354" s="392"/>
      <c r="FO354" s="392"/>
      <c r="FP354" s="392"/>
      <c r="FQ354" s="392"/>
      <c r="FR354" s="392"/>
      <c r="FS354" s="392"/>
      <c r="FT354" s="392"/>
      <c r="FU354" s="392"/>
      <c r="FV354" s="392"/>
      <c r="FW354" s="392"/>
      <c r="FX354" s="392"/>
      <c r="FY354" s="392"/>
      <c r="FZ354" s="392"/>
      <c r="GA354" s="392"/>
      <c r="GB354" s="392"/>
      <c r="GC354" s="392"/>
      <c r="GD354" s="392"/>
      <c r="GE354" s="392"/>
      <c r="GF354" s="392"/>
      <c r="GG354" s="392"/>
      <c r="GH354" s="392"/>
      <c r="GI354" s="392"/>
      <c r="GJ354" s="392"/>
      <c r="GK354" s="392"/>
      <c r="GL354" s="392"/>
      <c r="GM354" s="392"/>
      <c r="GN354" s="392"/>
      <c r="GO354" s="392"/>
      <c r="GP354" s="392"/>
      <c r="GQ354" s="392"/>
      <c r="GR354" s="392"/>
      <c r="GS354" s="392"/>
      <c r="GT354" s="392"/>
      <c r="GU354" s="392"/>
      <c r="GV354" s="392"/>
      <c r="GW354" s="392"/>
      <c r="GX354" s="392"/>
      <c r="GY354" s="392"/>
      <c r="GZ354" s="392"/>
      <c r="HA354" s="392"/>
      <c r="HB354" s="392"/>
      <c r="HC354" s="392"/>
      <c r="HD354" s="392"/>
      <c r="HE354" s="392"/>
      <c r="HF354" s="392"/>
      <c r="HG354" s="392"/>
      <c r="HH354" s="392"/>
      <c r="HI354" s="392"/>
      <c r="HJ354" s="392"/>
      <c r="HK354" s="392"/>
      <c r="HL354" s="392"/>
      <c r="HM354" s="392"/>
      <c r="HN354" s="392"/>
      <c r="HO354" s="392"/>
      <c r="HP354" s="392"/>
      <c r="HQ354" s="392"/>
      <c r="HR354" s="392"/>
      <c r="HS354" s="392"/>
      <c r="HT354" s="392"/>
      <c r="HU354" s="392"/>
      <c r="HV354" s="392"/>
      <c r="HW354" s="392"/>
      <c r="HX354" s="392"/>
      <c r="HY354" s="392"/>
      <c r="HZ354" s="392"/>
      <c r="IA354" s="392"/>
      <c r="IB354" s="392"/>
      <c r="IC354" s="392"/>
      <c r="ID354" s="392"/>
      <c r="IE354" s="392"/>
      <c r="IF354" s="392"/>
      <c r="IG354" s="392"/>
      <c r="IH354" s="392"/>
      <c r="II354" s="392"/>
      <c r="IJ354" s="392"/>
      <c r="IK354" s="392"/>
      <c r="IL354" s="392"/>
      <c r="IM354" s="392"/>
      <c r="IN354" s="392"/>
      <c r="IO354" s="392"/>
      <c r="IP354" s="392"/>
      <c r="IQ354" s="392"/>
      <c r="IR354" s="392"/>
      <c r="IS354" s="392"/>
      <c r="IT354" s="392"/>
      <c r="IU354" s="392"/>
      <c r="IV354" s="392"/>
    </row>
    <row r="355" spans="1:256" ht="15">
      <c r="A355" s="392"/>
      <c r="B355" s="543" t="s">
        <v>660</v>
      </c>
      <c r="C355" s="520" t="s">
        <v>661</v>
      </c>
      <c r="D355" s="544" t="s">
        <v>22</v>
      </c>
      <c r="E355" s="545">
        <v>1</v>
      </c>
      <c r="F355" s="547" t="e">
        <f>#REF!</f>
        <v>#REF!</v>
      </c>
      <c r="G355" s="512" t="e">
        <f t="shared" si="1"/>
        <v>#REF!</v>
      </c>
      <c r="H355" s="392"/>
      <c r="I355" s="392"/>
      <c r="J355" s="392"/>
      <c r="K355" s="392"/>
      <c r="L355" s="392"/>
      <c r="M355" s="392"/>
      <c r="N355" s="392"/>
      <c r="O355" s="392"/>
      <c r="P355" s="392"/>
      <c r="Q355" s="392"/>
      <c r="R355" s="392"/>
      <c r="S355" s="392"/>
      <c r="T355" s="392"/>
      <c r="U355" s="392"/>
      <c r="V355" s="392"/>
      <c r="W355" s="392"/>
      <c r="X355" s="392"/>
      <c r="Y355" s="392"/>
      <c r="Z355" s="392"/>
      <c r="AA355" s="392"/>
      <c r="AB355" s="392"/>
      <c r="AC355" s="392"/>
      <c r="AD355" s="392"/>
      <c r="AE355" s="392"/>
      <c r="AF355" s="392"/>
      <c r="AG355" s="392"/>
      <c r="AH355" s="392"/>
      <c r="AI355" s="392"/>
      <c r="AJ355" s="392"/>
      <c r="AK355" s="392"/>
      <c r="AL355" s="392"/>
      <c r="AM355" s="392"/>
      <c r="AN355" s="392"/>
      <c r="AO355" s="392"/>
      <c r="AP355" s="392"/>
      <c r="AQ355" s="392"/>
      <c r="AR355" s="392"/>
      <c r="AS355" s="392"/>
      <c r="AT355" s="392"/>
      <c r="AU355" s="392"/>
      <c r="AV355" s="392"/>
      <c r="AW355" s="392"/>
      <c r="AX355" s="392"/>
      <c r="AY355" s="392"/>
      <c r="AZ355" s="392"/>
      <c r="BA355" s="392"/>
      <c r="BB355" s="392"/>
      <c r="BC355" s="392"/>
      <c r="BD355" s="392"/>
      <c r="BE355" s="392"/>
      <c r="BF355" s="392"/>
      <c r="BG355" s="392"/>
      <c r="BH355" s="392"/>
      <c r="BI355" s="392"/>
      <c r="BJ355" s="392"/>
      <c r="BK355" s="392"/>
      <c r="BL355" s="392"/>
      <c r="BM355" s="392"/>
      <c r="BN355" s="392"/>
      <c r="BO355" s="392"/>
      <c r="BP355" s="392"/>
      <c r="BQ355" s="392"/>
      <c r="BR355" s="392"/>
      <c r="BS355" s="392"/>
      <c r="BT355" s="392"/>
      <c r="BU355" s="392"/>
      <c r="BV355" s="392"/>
      <c r="BW355" s="392"/>
      <c r="BX355" s="392"/>
      <c r="BY355" s="392"/>
      <c r="BZ355" s="392"/>
      <c r="CA355" s="392"/>
      <c r="CB355" s="392"/>
      <c r="CC355" s="392"/>
      <c r="CD355" s="392"/>
      <c r="CE355" s="392"/>
      <c r="CF355" s="392"/>
      <c r="CG355" s="392"/>
      <c r="CH355" s="392"/>
      <c r="CI355" s="392"/>
      <c r="CJ355" s="392"/>
      <c r="CK355" s="392"/>
      <c r="CL355" s="392"/>
      <c r="CM355" s="392"/>
      <c r="CN355" s="392"/>
      <c r="CO355" s="392"/>
      <c r="CP355" s="392"/>
      <c r="CQ355" s="392"/>
      <c r="CR355" s="392"/>
      <c r="CS355" s="392"/>
      <c r="CT355" s="392"/>
      <c r="CU355" s="392"/>
      <c r="CV355" s="392"/>
      <c r="CW355" s="392"/>
      <c r="CX355" s="392"/>
      <c r="CY355" s="392"/>
      <c r="CZ355" s="392"/>
      <c r="DA355" s="392"/>
      <c r="DB355" s="392"/>
      <c r="DC355" s="392"/>
      <c r="DD355" s="392"/>
      <c r="DE355" s="392"/>
      <c r="DF355" s="392"/>
      <c r="DG355" s="392"/>
      <c r="DH355" s="392"/>
      <c r="DI355" s="392"/>
      <c r="DJ355" s="392"/>
      <c r="DK355" s="392"/>
      <c r="DL355" s="392"/>
      <c r="DM355" s="392"/>
      <c r="DN355" s="392"/>
      <c r="DO355" s="392"/>
      <c r="DP355" s="392"/>
      <c r="DQ355" s="392"/>
      <c r="DR355" s="392"/>
      <c r="DS355" s="392"/>
      <c r="DT355" s="392"/>
      <c r="DU355" s="392"/>
      <c r="DV355" s="392"/>
      <c r="DW355" s="392"/>
      <c r="DX355" s="392"/>
      <c r="DY355" s="392"/>
      <c r="DZ355" s="392"/>
      <c r="EA355" s="392"/>
      <c r="EB355" s="392"/>
      <c r="EC355" s="392"/>
      <c r="ED355" s="392"/>
      <c r="EE355" s="392"/>
      <c r="EF355" s="392"/>
      <c r="EG355" s="392"/>
      <c r="EH355" s="392"/>
      <c r="EI355" s="392"/>
      <c r="EJ355" s="392"/>
      <c r="EK355" s="392"/>
      <c r="EL355" s="392"/>
      <c r="EM355" s="392"/>
      <c r="EN355" s="392"/>
      <c r="EO355" s="392"/>
      <c r="EP355" s="392"/>
      <c r="EQ355" s="392"/>
      <c r="ER355" s="392"/>
      <c r="ES355" s="392"/>
      <c r="ET355" s="392"/>
      <c r="EU355" s="392"/>
      <c r="EV355" s="392"/>
      <c r="EW355" s="392"/>
      <c r="EX355" s="392"/>
      <c r="EY355" s="392"/>
      <c r="EZ355" s="392"/>
      <c r="FA355" s="392"/>
      <c r="FB355" s="392"/>
      <c r="FC355" s="392"/>
      <c r="FD355" s="392"/>
      <c r="FE355" s="392"/>
      <c r="FF355" s="392"/>
      <c r="FG355" s="392"/>
      <c r="FH355" s="392"/>
      <c r="FI355" s="392"/>
      <c r="FJ355" s="392"/>
      <c r="FK355" s="392"/>
      <c r="FL355" s="392"/>
      <c r="FM355" s="392"/>
      <c r="FN355" s="392"/>
      <c r="FO355" s="392"/>
      <c r="FP355" s="392"/>
      <c r="FQ355" s="392"/>
      <c r="FR355" s="392"/>
      <c r="FS355" s="392"/>
      <c r="FT355" s="392"/>
      <c r="FU355" s="392"/>
      <c r="FV355" s="392"/>
      <c r="FW355" s="392"/>
      <c r="FX355" s="392"/>
      <c r="FY355" s="392"/>
      <c r="FZ355" s="392"/>
      <c r="GA355" s="392"/>
      <c r="GB355" s="392"/>
      <c r="GC355" s="392"/>
      <c r="GD355" s="392"/>
      <c r="GE355" s="392"/>
      <c r="GF355" s="392"/>
      <c r="GG355" s="392"/>
      <c r="GH355" s="392"/>
      <c r="GI355" s="392"/>
      <c r="GJ355" s="392"/>
      <c r="GK355" s="392"/>
      <c r="GL355" s="392"/>
      <c r="GM355" s="392"/>
      <c r="GN355" s="392"/>
      <c r="GO355" s="392"/>
      <c r="GP355" s="392"/>
      <c r="GQ355" s="392"/>
      <c r="GR355" s="392"/>
      <c r="GS355" s="392"/>
      <c r="GT355" s="392"/>
      <c r="GU355" s="392"/>
      <c r="GV355" s="392"/>
      <c r="GW355" s="392"/>
      <c r="GX355" s="392"/>
      <c r="GY355" s="392"/>
      <c r="GZ355" s="392"/>
      <c r="HA355" s="392"/>
      <c r="HB355" s="392"/>
      <c r="HC355" s="392"/>
      <c r="HD355" s="392"/>
      <c r="HE355" s="392"/>
      <c r="HF355" s="392"/>
      <c r="HG355" s="392"/>
      <c r="HH355" s="392"/>
      <c r="HI355" s="392"/>
      <c r="HJ355" s="392"/>
      <c r="HK355" s="392"/>
      <c r="HL355" s="392"/>
      <c r="HM355" s="392"/>
      <c r="HN355" s="392"/>
      <c r="HO355" s="392"/>
      <c r="HP355" s="392"/>
      <c r="HQ355" s="392"/>
      <c r="HR355" s="392"/>
      <c r="HS355" s="392"/>
      <c r="HT355" s="392"/>
      <c r="HU355" s="392"/>
      <c r="HV355" s="392"/>
      <c r="HW355" s="392"/>
      <c r="HX355" s="392"/>
      <c r="HY355" s="392"/>
      <c r="HZ355" s="392"/>
      <c r="IA355" s="392"/>
      <c r="IB355" s="392"/>
      <c r="IC355" s="392"/>
      <c r="ID355" s="392"/>
      <c r="IE355" s="392"/>
      <c r="IF355" s="392"/>
      <c r="IG355" s="392"/>
      <c r="IH355" s="392"/>
      <c r="II355" s="392"/>
      <c r="IJ355" s="392"/>
      <c r="IK355" s="392"/>
      <c r="IL355" s="392"/>
      <c r="IM355" s="392"/>
      <c r="IN355" s="392"/>
      <c r="IO355" s="392"/>
      <c r="IP355" s="392"/>
      <c r="IQ355" s="392"/>
      <c r="IR355" s="392"/>
      <c r="IS355" s="392"/>
      <c r="IT355" s="392"/>
      <c r="IU355" s="392"/>
      <c r="IV355" s="392"/>
    </row>
    <row r="356" spans="1:256">
      <c r="A356" s="392"/>
      <c r="B356" s="543" t="s">
        <v>662</v>
      </c>
      <c r="C356" s="520" t="s">
        <v>663</v>
      </c>
      <c r="D356" s="544" t="s">
        <v>22</v>
      </c>
      <c r="E356" s="545">
        <v>1</v>
      </c>
      <c r="F356" s="546" t="e">
        <f>#REF!</f>
        <v>#REF!</v>
      </c>
      <c r="G356" s="512" t="e">
        <f t="shared" si="1"/>
        <v>#REF!</v>
      </c>
      <c r="H356" s="392"/>
      <c r="I356" s="392"/>
      <c r="J356" s="392"/>
      <c r="K356" s="392"/>
      <c r="L356" s="392"/>
      <c r="M356" s="392"/>
      <c r="N356" s="392"/>
      <c r="O356" s="392"/>
      <c r="P356" s="392"/>
      <c r="Q356" s="392"/>
      <c r="R356" s="392"/>
      <c r="S356" s="392"/>
      <c r="T356" s="392"/>
      <c r="U356" s="392"/>
      <c r="V356" s="392"/>
      <c r="W356" s="392"/>
      <c r="X356" s="392"/>
      <c r="Y356" s="392"/>
      <c r="Z356" s="392"/>
      <c r="AA356" s="392"/>
      <c r="AB356" s="392"/>
      <c r="AC356" s="392"/>
      <c r="AD356" s="392"/>
      <c r="AE356" s="392"/>
      <c r="AF356" s="392"/>
      <c r="AG356" s="392"/>
      <c r="AH356" s="392"/>
      <c r="AI356" s="392"/>
      <c r="AJ356" s="392"/>
      <c r="AK356" s="392"/>
      <c r="AL356" s="392"/>
      <c r="AM356" s="392"/>
      <c r="AN356" s="392"/>
      <c r="AO356" s="392"/>
      <c r="AP356" s="392"/>
      <c r="AQ356" s="392"/>
      <c r="AR356" s="392"/>
      <c r="AS356" s="392"/>
      <c r="AT356" s="392"/>
      <c r="AU356" s="392"/>
      <c r="AV356" s="392"/>
      <c r="AW356" s="392"/>
      <c r="AX356" s="392"/>
      <c r="AY356" s="392"/>
      <c r="AZ356" s="392"/>
      <c r="BA356" s="392"/>
      <c r="BB356" s="392"/>
      <c r="BC356" s="392"/>
      <c r="BD356" s="392"/>
      <c r="BE356" s="392"/>
      <c r="BF356" s="392"/>
      <c r="BG356" s="392"/>
      <c r="BH356" s="392"/>
      <c r="BI356" s="392"/>
      <c r="BJ356" s="392"/>
      <c r="BK356" s="392"/>
      <c r="BL356" s="392"/>
      <c r="BM356" s="392"/>
      <c r="BN356" s="392"/>
      <c r="BO356" s="392"/>
      <c r="BP356" s="392"/>
      <c r="BQ356" s="392"/>
      <c r="BR356" s="392"/>
      <c r="BS356" s="392"/>
      <c r="BT356" s="392"/>
      <c r="BU356" s="392"/>
      <c r="BV356" s="392"/>
      <c r="BW356" s="392"/>
      <c r="BX356" s="392"/>
      <c r="BY356" s="392"/>
      <c r="BZ356" s="392"/>
      <c r="CA356" s="392"/>
      <c r="CB356" s="392"/>
      <c r="CC356" s="392"/>
      <c r="CD356" s="392"/>
      <c r="CE356" s="392"/>
      <c r="CF356" s="392"/>
      <c r="CG356" s="392"/>
      <c r="CH356" s="392"/>
      <c r="CI356" s="392"/>
      <c r="CJ356" s="392"/>
      <c r="CK356" s="392"/>
      <c r="CL356" s="392"/>
      <c r="CM356" s="392"/>
      <c r="CN356" s="392"/>
      <c r="CO356" s="392"/>
      <c r="CP356" s="392"/>
      <c r="CQ356" s="392"/>
      <c r="CR356" s="392"/>
      <c r="CS356" s="392"/>
      <c r="CT356" s="392"/>
      <c r="CU356" s="392"/>
      <c r="CV356" s="392"/>
      <c r="CW356" s="392"/>
      <c r="CX356" s="392"/>
      <c r="CY356" s="392"/>
      <c r="CZ356" s="392"/>
      <c r="DA356" s="392"/>
      <c r="DB356" s="392"/>
      <c r="DC356" s="392"/>
      <c r="DD356" s="392"/>
      <c r="DE356" s="392"/>
      <c r="DF356" s="392"/>
      <c r="DG356" s="392"/>
      <c r="DH356" s="392"/>
      <c r="DI356" s="392"/>
      <c r="DJ356" s="392"/>
      <c r="DK356" s="392"/>
      <c r="DL356" s="392"/>
      <c r="DM356" s="392"/>
      <c r="DN356" s="392"/>
      <c r="DO356" s="392"/>
      <c r="DP356" s="392"/>
      <c r="DQ356" s="392"/>
      <c r="DR356" s="392"/>
      <c r="DS356" s="392"/>
      <c r="DT356" s="392"/>
      <c r="DU356" s="392"/>
      <c r="DV356" s="392"/>
      <c r="DW356" s="392"/>
      <c r="DX356" s="392"/>
      <c r="DY356" s="392"/>
      <c r="DZ356" s="392"/>
      <c r="EA356" s="392"/>
      <c r="EB356" s="392"/>
      <c r="EC356" s="392"/>
      <c r="ED356" s="392"/>
      <c r="EE356" s="392"/>
      <c r="EF356" s="392"/>
      <c r="EG356" s="392"/>
      <c r="EH356" s="392"/>
      <c r="EI356" s="392"/>
      <c r="EJ356" s="392"/>
      <c r="EK356" s="392"/>
      <c r="EL356" s="392"/>
      <c r="EM356" s="392"/>
      <c r="EN356" s="392"/>
      <c r="EO356" s="392"/>
      <c r="EP356" s="392"/>
      <c r="EQ356" s="392"/>
      <c r="ER356" s="392"/>
      <c r="ES356" s="392"/>
      <c r="ET356" s="392"/>
      <c r="EU356" s="392"/>
      <c r="EV356" s="392"/>
      <c r="EW356" s="392"/>
      <c r="EX356" s="392"/>
      <c r="EY356" s="392"/>
      <c r="EZ356" s="392"/>
      <c r="FA356" s="392"/>
      <c r="FB356" s="392"/>
      <c r="FC356" s="392"/>
      <c r="FD356" s="392"/>
      <c r="FE356" s="392"/>
      <c r="FF356" s="392"/>
      <c r="FG356" s="392"/>
      <c r="FH356" s="392"/>
      <c r="FI356" s="392"/>
      <c r="FJ356" s="392"/>
      <c r="FK356" s="392"/>
      <c r="FL356" s="392"/>
      <c r="FM356" s="392"/>
      <c r="FN356" s="392"/>
      <c r="FO356" s="392"/>
      <c r="FP356" s="392"/>
      <c r="FQ356" s="392"/>
      <c r="FR356" s="392"/>
      <c r="FS356" s="392"/>
      <c r="FT356" s="392"/>
      <c r="FU356" s="392"/>
      <c r="FV356" s="392"/>
      <c r="FW356" s="392"/>
      <c r="FX356" s="392"/>
      <c r="FY356" s="392"/>
      <c r="FZ356" s="392"/>
      <c r="GA356" s="392"/>
      <c r="GB356" s="392"/>
      <c r="GC356" s="392"/>
      <c r="GD356" s="392"/>
      <c r="GE356" s="392"/>
      <c r="GF356" s="392"/>
      <c r="GG356" s="392"/>
      <c r="GH356" s="392"/>
      <c r="GI356" s="392"/>
      <c r="GJ356" s="392"/>
      <c r="GK356" s="392"/>
      <c r="GL356" s="392"/>
      <c r="GM356" s="392"/>
      <c r="GN356" s="392"/>
      <c r="GO356" s="392"/>
      <c r="GP356" s="392"/>
      <c r="GQ356" s="392"/>
      <c r="GR356" s="392"/>
      <c r="GS356" s="392"/>
      <c r="GT356" s="392"/>
      <c r="GU356" s="392"/>
      <c r="GV356" s="392"/>
      <c r="GW356" s="392"/>
      <c r="GX356" s="392"/>
      <c r="GY356" s="392"/>
      <c r="GZ356" s="392"/>
      <c r="HA356" s="392"/>
      <c r="HB356" s="392"/>
      <c r="HC356" s="392"/>
      <c r="HD356" s="392"/>
      <c r="HE356" s="392"/>
      <c r="HF356" s="392"/>
      <c r="HG356" s="392"/>
      <c r="HH356" s="392"/>
      <c r="HI356" s="392"/>
      <c r="HJ356" s="392"/>
      <c r="HK356" s="392"/>
      <c r="HL356" s="392"/>
      <c r="HM356" s="392"/>
      <c r="HN356" s="392"/>
      <c r="HO356" s="392"/>
      <c r="HP356" s="392"/>
      <c r="HQ356" s="392"/>
      <c r="HR356" s="392"/>
      <c r="HS356" s="392"/>
      <c r="HT356" s="392"/>
      <c r="HU356" s="392"/>
      <c r="HV356" s="392"/>
      <c r="HW356" s="392"/>
      <c r="HX356" s="392"/>
      <c r="HY356" s="392"/>
      <c r="HZ356" s="392"/>
      <c r="IA356" s="392"/>
      <c r="IB356" s="392"/>
      <c r="IC356" s="392"/>
      <c r="ID356" s="392"/>
      <c r="IE356" s="392"/>
      <c r="IF356" s="392"/>
      <c r="IG356" s="392"/>
      <c r="IH356" s="392"/>
      <c r="II356" s="392"/>
      <c r="IJ356" s="392"/>
      <c r="IK356" s="392"/>
      <c r="IL356" s="392"/>
      <c r="IM356" s="392"/>
      <c r="IN356" s="392"/>
      <c r="IO356" s="392"/>
      <c r="IP356" s="392"/>
      <c r="IQ356" s="392"/>
      <c r="IR356" s="392"/>
      <c r="IS356" s="392"/>
      <c r="IT356" s="392"/>
      <c r="IU356" s="392"/>
      <c r="IV356" s="392"/>
    </row>
    <row r="357" spans="1:256" ht="15">
      <c r="A357" s="392"/>
      <c r="B357" s="543" t="s">
        <v>664</v>
      </c>
      <c r="C357" s="520" t="s">
        <v>665</v>
      </c>
      <c r="D357" s="544" t="s">
        <v>22</v>
      </c>
      <c r="E357" s="545">
        <v>1</v>
      </c>
      <c r="F357" s="547" t="e">
        <f>#REF!</f>
        <v>#REF!</v>
      </c>
      <c r="G357" s="512" t="e">
        <f t="shared" si="1"/>
        <v>#REF!</v>
      </c>
      <c r="H357" s="392"/>
      <c r="I357" s="392"/>
      <c r="J357" s="392"/>
      <c r="K357" s="392"/>
      <c r="L357" s="392"/>
      <c r="M357" s="392"/>
      <c r="N357" s="392"/>
      <c r="O357" s="392"/>
      <c r="P357" s="392"/>
      <c r="Q357" s="392"/>
      <c r="R357" s="392"/>
      <c r="S357" s="392"/>
      <c r="T357" s="392"/>
      <c r="U357" s="392"/>
      <c r="V357" s="392"/>
      <c r="W357" s="392"/>
      <c r="X357" s="392"/>
      <c r="Y357" s="392"/>
      <c r="Z357" s="392"/>
      <c r="AA357" s="392"/>
      <c r="AB357" s="392"/>
      <c r="AC357" s="392"/>
      <c r="AD357" s="392"/>
      <c r="AE357" s="392"/>
      <c r="AF357" s="392"/>
      <c r="AG357" s="392"/>
      <c r="AH357" s="392"/>
      <c r="AI357" s="392"/>
      <c r="AJ357" s="392"/>
      <c r="AK357" s="392"/>
      <c r="AL357" s="392"/>
      <c r="AM357" s="392"/>
      <c r="AN357" s="392"/>
      <c r="AO357" s="392"/>
      <c r="AP357" s="392"/>
      <c r="AQ357" s="392"/>
      <c r="AR357" s="392"/>
      <c r="AS357" s="392"/>
      <c r="AT357" s="392"/>
      <c r="AU357" s="392"/>
      <c r="AV357" s="392"/>
      <c r="AW357" s="392"/>
      <c r="AX357" s="392"/>
      <c r="AY357" s="392"/>
      <c r="AZ357" s="392"/>
      <c r="BA357" s="392"/>
      <c r="BB357" s="392"/>
      <c r="BC357" s="392"/>
      <c r="BD357" s="392"/>
      <c r="BE357" s="392"/>
      <c r="BF357" s="392"/>
      <c r="BG357" s="392"/>
      <c r="BH357" s="392"/>
      <c r="BI357" s="392"/>
      <c r="BJ357" s="392"/>
      <c r="BK357" s="392"/>
      <c r="BL357" s="392"/>
      <c r="BM357" s="392"/>
      <c r="BN357" s="392"/>
      <c r="BO357" s="392"/>
      <c r="BP357" s="392"/>
      <c r="BQ357" s="392"/>
      <c r="BR357" s="392"/>
      <c r="BS357" s="392"/>
      <c r="BT357" s="392"/>
      <c r="BU357" s="392"/>
      <c r="BV357" s="392"/>
      <c r="BW357" s="392"/>
      <c r="BX357" s="392"/>
      <c r="BY357" s="392"/>
      <c r="BZ357" s="392"/>
      <c r="CA357" s="392"/>
      <c r="CB357" s="392"/>
      <c r="CC357" s="392"/>
      <c r="CD357" s="392"/>
      <c r="CE357" s="392"/>
      <c r="CF357" s="392"/>
      <c r="CG357" s="392"/>
      <c r="CH357" s="392"/>
      <c r="CI357" s="392"/>
      <c r="CJ357" s="392"/>
      <c r="CK357" s="392"/>
      <c r="CL357" s="392"/>
      <c r="CM357" s="392"/>
      <c r="CN357" s="392"/>
      <c r="CO357" s="392"/>
      <c r="CP357" s="392"/>
      <c r="CQ357" s="392"/>
      <c r="CR357" s="392"/>
      <c r="CS357" s="392"/>
      <c r="CT357" s="392"/>
      <c r="CU357" s="392"/>
      <c r="CV357" s="392"/>
      <c r="CW357" s="392"/>
      <c r="CX357" s="392"/>
      <c r="CY357" s="392"/>
      <c r="CZ357" s="392"/>
      <c r="DA357" s="392"/>
      <c r="DB357" s="392"/>
      <c r="DC357" s="392"/>
      <c r="DD357" s="392"/>
      <c r="DE357" s="392"/>
      <c r="DF357" s="392"/>
      <c r="DG357" s="392"/>
      <c r="DH357" s="392"/>
      <c r="DI357" s="392"/>
      <c r="DJ357" s="392"/>
      <c r="DK357" s="392"/>
      <c r="DL357" s="392"/>
      <c r="DM357" s="392"/>
      <c r="DN357" s="392"/>
      <c r="DO357" s="392"/>
      <c r="DP357" s="392"/>
      <c r="DQ357" s="392"/>
      <c r="DR357" s="392"/>
      <c r="DS357" s="392"/>
      <c r="DT357" s="392"/>
      <c r="DU357" s="392"/>
      <c r="DV357" s="392"/>
      <c r="DW357" s="392"/>
      <c r="DX357" s="392"/>
      <c r="DY357" s="392"/>
      <c r="DZ357" s="392"/>
      <c r="EA357" s="392"/>
      <c r="EB357" s="392"/>
      <c r="EC357" s="392"/>
      <c r="ED357" s="392"/>
      <c r="EE357" s="392"/>
      <c r="EF357" s="392"/>
      <c r="EG357" s="392"/>
      <c r="EH357" s="392"/>
      <c r="EI357" s="392"/>
      <c r="EJ357" s="392"/>
      <c r="EK357" s="392"/>
      <c r="EL357" s="392"/>
      <c r="EM357" s="392"/>
      <c r="EN357" s="392"/>
      <c r="EO357" s="392"/>
      <c r="EP357" s="392"/>
      <c r="EQ357" s="392"/>
      <c r="ER357" s="392"/>
      <c r="ES357" s="392"/>
      <c r="ET357" s="392"/>
      <c r="EU357" s="392"/>
      <c r="EV357" s="392"/>
      <c r="EW357" s="392"/>
      <c r="EX357" s="392"/>
      <c r="EY357" s="392"/>
      <c r="EZ357" s="392"/>
      <c r="FA357" s="392"/>
      <c r="FB357" s="392"/>
      <c r="FC357" s="392"/>
      <c r="FD357" s="392"/>
      <c r="FE357" s="392"/>
      <c r="FF357" s="392"/>
      <c r="FG357" s="392"/>
      <c r="FH357" s="392"/>
      <c r="FI357" s="392"/>
      <c r="FJ357" s="392"/>
      <c r="FK357" s="392"/>
      <c r="FL357" s="392"/>
      <c r="FM357" s="392"/>
      <c r="FN357" s="392"/>
      <c r="FO357" s="392"/>
      <c r="FP357" s="392"/>
      <c r="FQ357" s="392"/>
      <c r="FR357" s="392"/>
      <c r="FS357" s="392"/>
      <c r="FT357" s="392"/>
      <c r="FU357" s="392"/>
      <c r="FV357" s="392"/>
      <c r="FW357" s="392"/>
      <c r="FX357" s="392"/>
      <c r="FY357" s="392"/>
      <c r="FZ357" s="392"/>
      <c r="GA357" s="392"/>
      <c r="GB357" s="392"/>
      <c r="GC357" s="392"/>
      <c r="GD357" s="392"/>
      <c r="GE357" s="392"/>
      <c r="GF357" s="392"/>
      <c r="GG357" s="392"/>
      <c r="GH357" s="392"/>
      <c r="GI357" s="392"/>
      <c r="GJ357" s="392"/>
      <c r="GK357" s="392"/>
      <c r="GL357" s="392"/>
      <c r="GM357" s="392"/>
      <c r="GN357" s="392"/>
      <c r="GO357" s="392"/>
      <c r="GP357" s="392"/>
      <c r="GQ357" s="392"/>
      <c r="GR357" s="392"/>
      <c r="GS357" s="392"/>
      <c r="GT357" s="392"/>
      <c r="GU357" s="392"/>
      <c r="GV357" s="392"/>
      <c r="GW357" s="392"/>
      <c r="GX357" s="392"/>
      <c r="GY357" s="392"/>
      <c r="GZ357" s="392"/>
      <c r="HA357" s="392"/>
      <c r="HB357" s="392"/>
      <c r="HC357" s="392"/>
      <c r="HD357" s="392"/>
      <c r="HE357" s="392"/>
      <c r="HF357" s="392"/>
      <c r="HG357" s="392"/>
      <c r="HH357" s="392"/>
      <c r="HI357" s="392"/>
      <c r="HJ357" s="392"/>
      <c r="HK357" s="392"/>
      <c r="HL357" s="392"/>
      <c r="HM357" s="392"/>
      <c r="HN357" s="392"/>
      <c r="HO357" s="392"/>
      <c r="HP357" s="392"/>
      <c r="HQ357" s="392"/>
      <c r="HR357" s="392"/>
      <c r="HS357" s="392"/>
      <c r="HT357" s="392"/>
      <c r="HU357" s="392"/>
      <c r="HV357" s="392"/>
      <c r="HW357" s="392"/>
      <c r="HX357" s="392"/>
      <c r="HY357" s="392"/>
      <c r="HZ357" s="392"/>
      <c r="IA357" s="392"/>
      <c r="IB357" s="392"/>
      <c r="IC357" s="392"/>
      <c r="ID357" s="392"/>
      <c r="IE357" s="392"/>
      <c r="IF357" s="392"/>
      <c r="IG357" s="392"/>
      <c r="IH357" s="392"/>
      <c r="II357" s="392"/>
      <c r="IJ357" s="392"/>
      <c r="IK357" s="392"/>
      <c r="IL357" s="392"/>
      <c r="IM357" s="392"/>
      <c r="IN357" s="392"/>
      <c r="IO357" s="392"/>
      <c r="IP357" s="392"/>
      <c r="IQ357" s="392"/>
      <c r="IR357" s="392"/>
      <c r="IS357" s="392"/>
      <c r="IT357" s="392"/>
      <c r="IU357" s="392"/>
      <c r="IV357" s="392"/>
    </row>
    <row r="358" spans="1:256">
      <c r="A358" s="392"/>
      <c r="B358" s="543" t="s">
        <v>666</v>
      </c>
      <c r="C358" s="520" t="s">
        <v>667</v>
      </c>
      <c r="D358" s="544" t="s">
        <v>22</v>
      </c>
      <c r="E358" s="545">
        <v>1</v>
      </c>
      <c r="F358" s="546" t="e">
        <f>#REF!</f>
        <v>#REF!</v>
      </c>
      <c r="G358" s="512" t="e">
        <f t="shared" si="1"/>
        <v>#REF!</v>
      </c>
      <c r="H358" s="392"/>
      <c r="I358" s="392"/>
      <c r="J358" s="392"/>
      <c r="K358" s="392"/>
      <c r="L358" s="392"/>
      <c r="M358" s="392"/>
      <c r="N358" s="392"/>
      <c r="O358" s="392"/>
      <c r="P358" s="392"/>
      <c r="Q358" s="392"/>
      <c r="R358" s="392"/>
      <c r="S358" s="392"/>
      <c r="T358" s="392"/>
      <c r="U358" s="392"/>
      <c r="V358" s="392"/>
      <c r="W358" s="392"/>
      <c r="X358" s="392"/>
      <c r="Y358" s="392"/>
      <c r="Z358" s="392"/>
      <c r="AA358" s="392"/>
      <c r="AB358" s="392"/>
      <c r="AC358" s="392"/>
      <c r="AD358" s="392"/>
      <c r="AE358" s="392"/>
      <c r="AF358" s="392"/>
      <c r="AG358" s="392"/>
      <c r="AH358" s="392"/>
      <c r="AI358" s="392"/>
      <c r="AJ358" s="392"/>
      <c r="AK358" s="392"/>
      <c r="AL358" s="392"/>
      <c r="AM358" s="392"/>
      <c r="AN358" s="392"/>
      <c r="AO358" s="392"/>
      <c r="AP358" s="392"/>
      <c r="AQ358" s="392"/>
      <c r="AR358" s="392"/>
      <c r="AS358" s="392"/>
      <c r="AT358" s="392"/>
      <c r="AU358" s="392"/>
      <c r="AV358" s="392"/>
      <c r="AW358" s="392"/>
      <c r="AX358" s="392"/>
      <c r="AY358" s="392"/>
      <c r="AZ358" s="392"/>
      <c r="BA358" s="392"/>
      <c r="BB358" s="392"/>
      <c r="BC358" s="392"/>
      <c r="BD358" s="392"/>
      <c r="BE358" s="392"/>
      <c r="BF358" s="392"/>
      <c r="BG358" s="392"/>
      <c r="BH358" s="392"/>
      <c r="BI358" s="392"/>
      <c r="BJ358" s="392"/>
      <c r="BK358" s="392"/>
      <c r="BL358" s="392"/>
      <c r="BM358" s="392"/>
      <c r="BN358" s="392"/>
      <c r="BO358" s="392"/>
      <c r="BP358" s="392"/>
      <c r="BQ358" s="392"/>
      <c r="BR358" s="392"/>
      <c r="BS358" s="392"/>
      <c r="BT358" s="392"/>
      <c r="BU358" s="392"/>
      <c r="BV358" s="392"/>
      <c r="BW358" s="392"/>
      <c r="BX358" s="392"/>
      <c r="BY358" s="392"/>
      <c r="BZ358" s="392"/>
      <c r="CA358" s="392"/>
      <c r="CB358" s="392"/>
      <c r="CC358" s="392"/>
      <c r="CD358" s="392"/>
      <c r="CE358" s="392"/>
      <c r="CF358" s="392"/>
      <c r="CG358" s="392"/>
      <c r="CH358" s="392"/>
      <c r="CI358" s="392"/>
      <c r="CJ358" s="392"/>
      <c r="CK358" s="392"/>
      <c r="CL358" s="392"/>
      <c r="CM358" s="392"/>
      <c r="CN358" s="392"/>
      <c r="CO358" s="392"/>
      <c r="CP358" s="392"/>
      <c r="CQ358" s="392"/>
      <c r="CR358" s="392"/>
      <c r="CS358" s="392"/>
      <c r="CT358" s="392"/>
      <c r="CU358" s="392"/>
      <c r="CV358" s="392"/>
      <c r="CW358" s="392"/>
      <c r="CX358" s="392"/>
      <c r="CY358" s="392"/>
      <c r="CZ358" s="392"/>
      <c r="DA358" s="392"/>
      <c r="DB358" s="392"/>
      <c r="DC358" s="392"/>
      <c r="DD358" s="392"/>
      <c r="DE358" s="392"/>
      <c r="DF358" s="392"/>
      <c r="DG358" s="392"/>
      <c r="DH358" s="392"/>
      <c r="DI358" s="392"/>
      <c r="DJ358" s="392"/>
      <c r="DK358" s="392"/>
      <c r="DL358" s="392"/>
      <c r="DM358" s="392"/>
      <c r="DN358" s="392"/>
      <c r="DO358" s="392"/>
      <c r="DP358" s="392"/>
      <c r="DQ358" s="392"/>
      <c r="DR358" s="392"/>
      <c r="DS358" s="392"/>
      <c r="DT358" s="392"/>
      <c r="DU358" s="392"/>
      <c r="DV358" s="392"/>
      <c r="DW358" s="392"/>
      <c r="DX358" s="392"/>
      <c r="DY358" s="392"/>
      <c r="DZ358" s="392"/>
      <c r="EA358" s="392"/>
      <c r="EB358" s="392"/>
      <c r="EC358" s="392"/>
      <c r="ED358" s="392"/>
      <c r="EE358" s="392"/>
      <c r="EF358" s="392"/>
      <c r="EG358" s="392"/>
      <c r="EH358" s="392"/>
      <c r="EI358" s="392"/>
      <c r="EJ358" s="392"/>
      <c r="EK358" s="392"/>
      <c r="EL358" s="392"/>
      <c r="EM358" s="392"/>
      <c r="EN358" s="392"/>
      <c r="EO358" s="392"/>
      <c r="EP358" s="392"/>
      <c r="EQ358" s="392"/>
      <c r="ER358" s="392"/>
      <c r="ES358" s="392"/>
      <c r="ET358" s="392"/>
      <c r="EU358" s="392"/>
      <c r="EV358" s="392"/>
      <c r="EW358" s="392"/>
      <c r="EX358" s="392"/>
      <c r="EY358" s="392"/>
      <c r="EZ358" s="392"/>
      <c r="FA358" s="392"/>
      <c r="FB358" s="392"/>
      <c r="FC358" s="392"/>
      <c r="FD358" s="392"/>
      <c r="FE358" s="392"/>
      <c r="FF358" s="392"/>
      <c r="FG358" s="392"/>
      <c r="FH358" s="392"/>
      <c r="FI358" s="392"/>
      <c r="FJ358" s="392"/>
      <c r="FK358" s="392"/>
      <c r="FL358" s="392"/>
      <c r="FM358" s="392"/>
      <c r="FN358" s="392"/>
      <c r="FO358" s="392"/>
      <c r="FP358" s="392"/>
      <c r="FQ358" s="392"/>
      <c r="FR358" s="392"/>
      <c r="FS358" s="392"/>
      <c r="FT358" s="392"/>
      <c r="FU358" s="392"/>
      <c r="FV358" s="392"/>
      <c r="FW358" s="392"/>
      <c r="FX358" s="392"/>
      <c r="FY358" s="392"/>
      <c r="FZ358" s="392"/>
      <c r="GA358" s="392"/>
      <c r="GB358" s="392"/>
      <c r="GC358" s="392"/>
      <c r="GD358" s="392"/>
      <c r="GE358" s="392"/>
      <c r="GF358" s="392"/>
      <c r="GG358" s="392"/>
      <c r="GH358" s="392"/>
      <c r="GI358" s="392"/>
      <c r="GJ358" s="392"/>
      <c r="GK358" s="392"/>
      <c r="GL358" s="392"/>
      <c r="GM358" s="392"/>
      <c r="GN358" s="392"/>
      <c r="GO358" s="392"/>
      <c r="GP358" s="392"/>
      <c r="GQ358" s="392"/>
      <c r="GR358" s="392"/>
      <c r="GS358" s="392"/>
      <c r="GT358" s="392"/>
      <c r="GU358" s="392"/>
      <c r="GV358" s="392"/>
      <c r="GW358" s="392"/>
      <c r="GX358" s="392"/>
      <c r="GY358" s="392"/>
      <c r="GZ358" s="392"/>
      <c r="HA358" s="392"/>
      <c r="HB358" s="392"/>
      <c r="HC358" s="392"/>
      <c r="HD358" s="392"/>
      <c r="HE358" s="392"/>
      <c r="HF358" s="392"/>
      <c r="HG358" s="392"/>
      <c r="HH358" s="392"/>
      <c r="HI358" s="392"/>
      <c r="HJ358" s="392"/>
      <c r="HK358" s="392"/>
      <c r="HL358" s="392"/>
      <c r="HM358" s="392"/>
      <c r="HN358" s="392"/>
      <c r="HO358" s="392"/>
      <c r="HP358" s="392"/>
      <c r="HQ358" s="392"/>
      <c r="HR358" s="392"/>
      <c r="HS358" s="392"/>
      <c r="HT358" s="392"/>
      <c r="HU358" s="392"/>
      <c r="HV358" s="392"/>
      <c r="HW358" s="392"/>
      <c r="HX358" s="392"/>
      <c r="HY358" s="392"/>
      <c r="HZ358" s="392"/>
      <c r="IA358" s="392"/>
      <c r="IB358" s="392"/>
      <c r="IC358" s="392"/>
      <c r="ID358" s="392"/>
      <c r="IE358" s="392"/>
      <c r="IF358" s="392"/>
      <c r="IG358" s="392"/>
      <c r="IH358" s="392"/>
      <c r="II358" s="392"/>
      <c r="IJ358" s="392"/>
      <c r="IK358" s="392"/>
      <c r="IL358" s="392"/>
      <c r="IM358" s="392"/>
      <c r="IN358" s="392"/>
      <c r="IO358" s="392"/>
      <c r="IP358" s="392"/>
      <c r="IQ358" s="392"/>
      <c r="IR358" s="392"/>
      <c r="IS358" s="392"/>
      <c r="IT358" s="392"/>
      <c r="IU358" s="392"/>
      <c r="IV358" s="392"/>
    </row>
    <row r="359" spans="1:256" ht="15">
      <c r="A359" s="392"/>
      <c r="B359" s="543" t="s">
        <v>668</v>
      </c>
      <c r="C359" s="520" t="s">
        <v>669</v>
      </c>
      <c r="D359" s="544" t="s">
        <v>22</v>
      </c>
      <c r="E359" s="545">
        <v>1</v>
      </c>
      <c r="F359" s="547" t="e">
        <f>#REF!</f>
        <v>#REF!</v>
      </c>
      <c r="G359" s="512" t="e">
        <f t="shared" si="1"/>
        <v>#REF!</v>
      </c>
      <c r="H359" s="392"/>
      <c r="I359" s="392"/>
      <c r="J359" s="392"/>
      <c r="K359" s="392"/>
      <c r="L359" s="392"/>
      <c r="M359" s="392"/>
      <c r="N359" s="392"/>
      <c r="O359" s="392"/>
      <c r="P359" s="392"/>
      <c r="Q359" s="392"/>
      <c r="R359" s="392"/>
      <c r="S359" s="392"/>
      <c r="T359" s="392"/>
      <c r="U359" s="392"/>
      <c r="V359" s="392"/>
      <c r="W359" s="392"/>
      <c r="X359" s="392"/>
      <c r="Y359" s="392"/>
      <c r="Z359" s="392"/>
      <c r="AA359" s="392"/>
      <c r="AB359" s="392"/>
      <c r="AC359" s="392"/>
      <c r="AD359" s="392"/>
      <c r="AE359" s="392"/>
      <c r="AF359" s="392"/>
      <c r="AG359" s="392"/>
      <c r="AH359" s="392"/>
      <c r="AI359" s="392"/>
      <c r="AJ359" s="392"/>
      <c r="AK359" s="392"/>
      <c r="AL359" s="392"/>
      <c r="AM359" s="392"/>
      <c r="AN359" s="392"/>
      <c r="AO359" s="392"/>
      <c r="AP359" s="392"/>
      <c r="AQ359" s="392"/>
      <c r="AR359" s="392"/>
      <c r="AS359" s="392"/>
      <c r="AT359" s="392"/>
      <c r="AU359" s="392"/>
      <c r="AV359" s="392"/>
      <c r="AW359" s="392"/>
      <c r="AX359" s="392"/>
      <c r="AY359" s="392"/>
      <c r="AZ359" s="392"/>
      <c r="BA359" s="392"/>
      <c r="BB359" s="392"/>
      <c r="BC359" s="392"/>
      <c r="BD359" s="392"/>
      <c r="BE359" s="392"/>
      <c r="BF359" s="392"/>
      <c r="BG359" s="392"/>
      <c r="BH359" s="392"/>
      <c r="BI359" s="392"/>
      <c r="BJ359" s="392"/>
      <c r="BK359" s="392"/>
      <c r="BL359" s="392"/>
      <c r="BM359" s="392"/>
      <c r="BN359" s="392"/>
      <c r="BO359" s="392"/>
      <c r="BP359" s="392"/>
      <c r="BQ359" s="392"/>
      <c r="BR359" s="392"/>
      <c r="BS359" s="392"/>
      <c r="BT359" s="392"/>
      <c r="BU359" s="392"/>
      <c r="BV359" s="392"/>
      <c r="BW359" s="392"/>
      <c r="BX359" s="392"/>
      <c r="BY359" s="392"/>
      <c r="BZ359" s="392"/>
      <c r="CA359" s="392"/>
      <c r="CB359" s="392"/>
      <c r="CC359" s="392"/>
      <c r="CD359" s="392"/>
      <c r="CE359" s="392"/>
      <c r="CF359" s="392"/>
      <c r="CG359" s="392"/>
      <c r="CH359" s="392"/>
      <c r="CI359" s="392"/>
      <c r="CJ359" s="392"/>
      <c r="CK359" s="392"/>
      <c r="CL359" s="392"/>
      <c r="CM359" s="392"/>
      <c r="CN359" s="392"/>
      <c r="CO359" s="392"/>
      <c r="CP359" s="392"/>
      <c r="CQ359" s="392"/>
      <c r="CR359" s="392"/>
      <c r="CS359" s="392"/>
      <c r="CT359" s="392"/>
      <c r="CU359" s="392"/>
      <c r="CV359" s="392"/>
      <c r="CW359" s="392"/>
      <c r="CX359" s="392"/>
      <c r="CY359" s="392"/>
      <c r="CZ359" s="392"/>
      <c r="DA359" s="392"/>
      <c r="DB359" s="392"/>
      <c r="DC359" s="392"/>
      <c r="DD359" s="392"/>
      <c r="DE359" s="392"/>
      <c r="DF359" s="392"/>
      <c r="DG359" s="392"/>
      <c r="DH359" s="392"/>
      <c r="DI359" s="392"/>
      <c r="DJ359" s="392"/>
      <c r="DK359" s="392"/>
      <c r="DL359" s="392"/>
      <c r="DM359" s="392"/>
      <c r="DN359" s="392"/>
      <c r="DO359" s="392"/>
      <c r="DP359" s="392"/>
      <c r="DQ359" s="392"/>
      <c r="DR359" s="392"/>
      <c r="DS359" s="392"/>
      <c r="DT359" s="392"/>
      <c r="DU359" s="392"/>
      <c r="DV359" s="392"/>
      <c r="DW359" s="392"/>
      <c r="DX359" s="392"/>
      <c r="DY359" s="392"/>
      <c r="DZ359" s="392"/>
      <c r="EA359" s="392"/>
      <c r="EB359" s="392"/>
      <c r="EC359" s="392"/>
      <c r="ED359" s="392"/>
      <c r="EE359" s="392"/>
      <c r="EF359" s="392"/>
      <c r="EG359" s="392"/>
      <c r="EH359" s="392"/>
      <c r="EI359" s="392"/>
      <c r="EJ359" s="392"/>
      <c r="EK359" s="392"/>
      <c r="EL359" s="392"/>
      <c r="EM359" s="392"/>
      <c r="EN359" s="392"/>
      <c r="EO359" s="392"/>
      <c r="EP359" s="392"/>
      <c r="EQ359" s="392"/>
      <c r="ER359" s="392"/>
      <c r="ES359" s="392"/>
      <c r="ET359" s="392"/>
      <c r="EU359" s="392"/>
      <c r="EV359" s="392"/>
      <c r="EW359" s="392"/>
      <c r="EX359" s="392"/>
      <c r="EY359" s="392"/>
      <c r="EZ359" s="392"/>
      <c r="FA359" s="392"/>
      <c r="FB359" s="392"/>
      <c r="FC359" s="392"/>
      <c r="FD359" s="392"/>
      <c r="FE359" s="392"/>
      <c r="FF359" s="392"/>
      <c r="FG359" s="392"/>
      <c r="FH359" s="392"/>
      <c r="FI359" s="392"/>
      <c r="FJ359" s="392"/>
      <c r="FK359" s="392"/>
      <c r="FL359" s="392"/>
      <c r="FM359" s="392"/>
      <c r="FN359" s="392"/>
      <c r="FO359" s="392"/>
      <c r="FP359" s="392"/>
      <c r="FQ359" s="392"/>
      <c r="FR359" s="392"/>
      <c r="FS359" s="392"/>
      <c r="FT359" s="392"/>
      <c r="FU359" s="392"/>
      <c r="FV359" s="392"/>
      <c r="FW359" s="392"/>
      <c r="FX359" s="392"/>
      <c r="FY359" s="392"/>
      <c r="FZ359" s="392"/>
      <c r="GA359" s="392"/>
      <c r="GB359" s="392"/>
      <c r="GC359" s="392"/>
      <c r="GD359" s="392"/>
      <c r="GE359" s="392"/>
      <c r="GF359" s="392"/>
      <c r="GG359" s="392"/>
      <c r="GH359" s="392"/>
      <c r="GI359" s="392"/>
      <c r="GJ359" s="392"/>
      <c r="GK359" s="392"/>
      <c r="GL359" s="392"/>
      <c r="GM359" s="392"/>
      <c r="GN359" s="392"/>
      <c r="GO359" s="392"/>
      <c r="GP359" s="392"/>
      <c r="GQ359" s="392"/>
      <c r="GR359" s="392"/>
      <c r="GS359" s="392"/>
      <c r="GT359" s="392"/>
      <c r="GU359" s="392"/>
      <c r="GV359" s="392"/>
      <c r="GW359" s="392"/>
      <c r="GX359" s="392"/>
      <c r="GY359" s="392"/>
      <c r="GZ359" s="392"/>
      <c r="HA359" s="392"/>
      <c r="HB359" s="392"/>
      <c r="HC359" s="392"/>
      <c r="HD359" s="392"/>
      <c r="HE359" s="392"/>
      <c r="HF359" s="392"/>
      <c r="HG359" s="392"/>
      <c r="HH359" s="392"/>
      <c r="HI359" s="392"/>
      <c r="HJ359" s="392"/>
      <c r="HK359" s="392"/>
      <c r="HL359" s="392"/>
      <c r="HM359" s="392"/>
      <c r="HN359" s="392"/>
      <c r="HO359" s="392"/>
      <c r="HP359" s="392"/>
      <c r="HQ359" s="392"/>
      <c r="HR359" s="392"/>
      <c r="HS359" s="392"/>
      <c r="HT359" s="392"/>
      <c r="HU359" s="392"/>
      <c r="HV359" s="392"/>
      <c r="HW359" s="392"/>
      <c r="HX359" s="392"/>
      <c r="HY359" s="392"/>
      <c r="HZ359" s="392"/>
      <c r="IA359" s="392"/>
      <c r="IB359" s="392"/>
      <c r="IC359" s="392"/>
      <c r="ID359" s="392"/>
      <c r="IE359" s="392"/>
      <c r="IF359" s="392"/>
      <c r="IG359" s="392"/>
      <c r="IH359" s="392"/>
      <c r="II359" s="392"/>
      <c r="IJ359" s="392"/>
      <c r="IK359" s="392"/>
      <c r="IL359" s="392"/>
      <c r="IM359" s="392"/>
      <c r="IN359" s="392"/>
      <c r="IO359" s="392"/>
      <c r="IP359" s="392"/>
      <c r="IQ359" s="392"/>
      <c r="IR359" s="392"/>
      <c r="IS359" s="392"/>
      <c r="IT359" s="392"/>
      <c r="IU359" s="392"/>
      <c r="IV359" s="392"/>
    </row>
    <row r="360" spans="1:256">
      <c r="A360" s="392"/>
      <c r="B360" s="543" t="s">
        <v>670</v>
      </c>
      <c r="C360" s="520" t="s">
        <v>671</v>
      </c>
      <c r="D360" s="544" t="s">
        <v>22</v>
      </c>
      <c r="E360" s="545">
        <v>1</v>
      </c>
      <c r="F360" s="546" t="e">
        <f>#REF!</f>
        <v>#REF!</v>
      </c>
      <c r="G360" s="512" t="e">
        <f t="shared" si="1"/>
        <v>#REF!</v>
      </c>
      <c r="H360" s="392"/>
      <c r="I360" s="392"/>
      <c r="J360" s="392"/>
      <c r="K360" s="392"/>
      <c r="L360" s="392"/>
      <c r="M360" s="392"/>
      <c r="N360" s="392"/>
      <c r="O360" s="392"/>
      <c r="P360" s="392"/>
      <c r="Q360" s="392"/>
      <c r="R360" s="392"/>
      <c r="S360" s="392"/>
      <c r="T360" s="392"/>
      <c r="U360" s="392"/>
      <c r="V360" s="392"/>
      <c r="W360" s="392"/>
      <c r="X360" s="392"/>
      <c r="Y360" s="392"/>
      <c r="Z360" s="392"/>
      <c r="AA360" s="392"/>
      <c r="AB360" s="392"/>
      <c r="AC360" s="392"/>
      <c r="AD360" s="392"/>
      <c r="AE360" s="392"/>
      <c r="AF360" s="392"/>
      <c r="AG360" s="392"/>
      <c r="AH360" s="392"/>
      <c r="AI360" s="392"/>
      <c r="AJ360" s="392"/>
      <c r="AK360" s="392"/>
      <c r="AL360" s="392"/>
      <c r="AM360" s="392"/>
      <c r="AN360" s="392"/>
      <c r="AO360" s="392"/>
      <c r="AP360" s="392"/>
      <c r="AQ360" s="392"/>
      <c r="AR360" s="392"/>
      <c r="AS360" s="392"/>
      <c r="AT360" s="392"/>
      <c r="AU360" s="392"/>
      <c r="AV360" s="392"/>
      <c r="AW360" s="392"/>
      <c r="AX360" s="392"/>
      <c r="AY360" s="392"/>
      <c r="AZ360" s="392"/>
      <c r="BA360" s="392"/>
      <c r="BB360" s="392"/>
      <c r="BC360" s="392"/>
      <c r="BD360" s="392"/>
      <c r="BE360" s="392"/>
      <c r="BF360" s="392"/>
      <c r="BG360" s="392"/>
      <c r="BH360" s="392"/>
      <c r="BI360" s="392"/>
      <c r="BJ360" s="392"/>
      <c r="BK360" s="392"/>
      <c r="BL360" s="392"/>
      <c r="BM360" s="392"/>
      <c r="BN360" s="392"/>
      <c r="BO360" s="392"/>
      <c r="BP360" s="392"/>
      <c r="BQ360" s="392"/>
      <c r="BR360" s="392"/>
      <c r="BS360" s="392"/>
      <c r="BT360" s="392"/>
      <c r="BU360" s="392"/>
      <c r="BV360" s="392"/>
      <c r="BW360" s="392"/>
      <c r="BX360" s="392"/>
      <c r="BY360" s="392"/>
      <c r="BZ360" s="392"/>
      <c r="CA360" s="392"/>
      <c r="CB360" s="392"/>
      <c r="CC360" s="392"/>
      <c r="CD360" s="392"/>
      <c r="CE360" s="392"/>
      <c r="CF360" s="392"/>
      <c r="CG360" s="392"/>
      <c r="CH360" s="392"/>
      <c r="CI360" s="392"/>
      <c r="CJ360" s="392"/>
      <c r="CK360" s="392"/>
      <c r="CL360" s="392"/>
      <c r="CM360" s="392"/>
      <c r="CN360" s="392"/>
      <c r="CO360" s="392"/>
      <c r="CP360" s="392"/>
      <c r="CQ360" s="392"/>
      <c r="CR360" s="392"/>
      <c r="CS360" s="392"/>
      <c r="CT360" s="392"/>
      <c r="CU360" s="392"/>
      <c r="CV360" s="392"/>
      <c r="CW360" s="392"/>
      <c r="CX360" s="392"/>
      <c r="CY360" s="392"/>
      <c r="CZ360" s="392"/>
      <c r="DA360" s="392"/>
      <c r="DB360" s="392"/>
      <c r="DC360" s="392"/>
      <c r="DD360" s="392"/>
      <c r="DE360" s="392"/>
      <c r="DF360" s="392"/>
      <c r="DG360" s="392"/>
      <c r="DH360" s="392"/>
      <c r="DI360" s="392"/>
      <c r="DJ360" s="392"/>
      <c r="DK360" s="392"/>
      <c r="DL360" s="392"/>
      <c r="DM360" s="392"/>
      <c r="DN360" s="392"/>
      <c r="DO360" s="392"/>
      <c r="DP360" s="392"/>
      <c r="DQ360" s="392"/>
      <c r="DR360" s="392"/>
      <c r="DS360" s="392"/>
      <c r="DT360" s="392"/>
      <c r="DU360" s="392"/>
      <c r="DV360" s="392"/>
      <c r="DW360" s="392"/>
      <c r="DX360" s="392"/>
      <c r="DY360" s="392"/>
      <c r="DZ360" s="392"/>
      <c r="EA360" s="392"/>
      <c r="EB360" s="392"/>
      <c r="EC360" s="392"/>
      <c r="ED360" s="392"/>
      <c r="EE360" s="392"/>
      <c r="EF360" s="392"/>
      <c r="EG360" s="392"/>
      <c r="EH360" s="392"/>
      <c r="EI360" s="392"/>
      <c r="EJ360" s="392"/>
      <c r="EK360" s="392"/>
      <c r="EL360" s="392"/>
      <c r="EM360" s="392"/>
      <c r="EN360" s="392"/>
      <c r="EO360" s="392"/>
      <c r="EP360" s="392"/>
      <c r="EQ360" s="392"/>
      <c r="ER360" s="392"/>
      <c r="ES360" s="392"/>
      <c r="ET360" s="392"/>
      <c r="EU360" s="392"/>
      <c r="EV360" s="392"/>
      <c r="EW360" s="392"/>
      <c r="EX360" s="392"/>
      <c r="EY360" s="392"/>
      <c r="EZ360" s="392"/>
      <c r="FA360" s="392"/>
      <c r="FB360" s="392"/>
      <c r="FC360" s="392"/>
      <c r="FD360" s="392"/>
      <c r="FE360" s="392"/>
      <c r="FF360" s="392"/>
      <c r="FG360" s="392"/>
      <c r="FH360" s="392"/>
      <c r="FI360" s="392"/>
      <c r="FJ360" s="392"/>
      <c r="FK360" s="392"/>
      <c r="FL360" s="392"/>
      <c r="FM360" s="392"/>
      <c r="FN360" s="392"/>
      <c r="FO360" s="392"/>
      <c r="FP360" s="392"/>
      <c r="FQ360" s="392"/>
      <c r="FR360" s="392"/>
      <c r="FS360" s="392"/>
      <c r="FT360" s="392"/>
      <c r="FU360" s="392"/>
      <c r="FV360" s="392"/>
      <c r="FW360" s="392"/>
      <c r="FX360" s="392"/>
      <c r="FY360" s="392"/>
      <c r="FZ360" s="392"/>
      <c r="GA360" s="392"/>
      <c r="GB360" s="392"/>
      <c r="GC360" s="392"/>
      <c r="GD360" s="392"/>
      <c r="GE360" s="392"/>
      <c r="GF360" s="392"/>
      <c r="GG360" s="392"/>
      <c r="GH360" s="392"/>
      <c r="GI360" s="392"/>
      <c r="GJ360" s="392"/>
      <c r="GK360" s="392"/>
      <c r="GL360" s="392"/>
      <c r="GM360" s="392"/>
      <c r="GN360" s="392"/>
      <c r="GO360" s="392"/>
      <c r="GP360" s="392"/>
      <c r="GQ360" s="392"/>
      <c r="GR360" s="392"/>
      <c r="GS360" s="392"/>
      <c r="GT360" s="392"/>
      <c r="GU360" s="392"/>
      <c r="GV360" s="392"/>
      <c r="GW360" s="392"/>
      <c r="GX360" s="392"/>
      <c r="GY360" s="392"/>
      <c r="GZ360" s="392"/>
      <c r="HA360" s="392"/>
      <c r="HB360" s="392"/>
      <c r="HC360" s="392"/>
      <c r="HD360" s="392"/>
      <c r="HE360" s="392"/>
      <c r="HF360" s="392"/>
      <c r="HG360" s="392"/>
      <c r="HH360" s="392"/>
      <c r="HI360" s="392"/>
      <c r="HJ360" s="392"/>
      <c r="HK360" s="392"/>
      <c r="HL360" s="392"/>
      <c r="HM360" s="392"/>
      <c r="HN360" s="392"/>
      <c r="HO360" s="392"/>
      <c r="HP360" s="392"/>
      <c r="HQ360" s="392"/>
      <c r="HR360" s="392"/>
      <c r="HS360" s="392"/>
      <c r="HT360" s="392"/>
      <c r="HU360" s="392"/>
      <c r="HV360" s="392"/>
      <c r="HW360" s="392"/>
      <c r="HX360" s="392"/>
      <c r="HY360" s="392"/>
      <c r="HZ360" s="392"/>
      <c r="IA360" s="392"/>
      <c r="IB360" s="392"/>
      <c r="IC360" s="392"/>
      <c r="ID360" s="392"/>
      <c r="IE360" s="392"/>
      <c r="IF360" s="392"/>
      <c r="IG360" s="392"/>
      <c r="IH360" s="392"/>
      <c r="II360" s="392"/>
      <c r="IJ360" s="392"/>
      <c r="IK360" s="392"/>
      <c r="IL360" s="392"/>
      <c r="IM360" s="392"/>
      <c r="IN360" s="392"/>
      <c r="IO360" s="392"/>
      <c r="IP360" s="392"/>
      <c r="IQ360" s="392"/>
      <c r="IR360" s="392"/>
      <c r="IS360" s="392"/>
      <c r="IT360" s="392"/>
      <c r="IU360" s="392"/>
      <c r="IV360" s="392"/>
    </row>
    <row r="361" spans="1:256" ht="15">
      <c r="A361" s="392"/>
      <c r="B361" s="543" t="s">
        <v>672</v>
      </c>
      <c r="C361" s="520" t="s">
        <v>673</v>
      </c>
      <c r="D361" s="544" t="s">
        <v>22</v>
      </c>
      <c r="E361" s="545">
        <v>1</v>
      </c>
      <c r="F361" s="547" t="e">
        <f>#REF!</f>
        <v>#REF!</v>
      </c>
      <c r="G361" s="512" t="e">
        <f t="shared" si="1"/>
        <v>#REF!</v>
      </c>
      <c r="H361" s="392"/>
      <c r="I361" s="392"/>
      <c r="J361" s="392"/>
      <c r="K361" s="392"/>
      <c r="L361" s="392"/>
      <c r="M361" s="392"/>
      <c r="N361" s="392"/>
      <c r="O361" s="392"/>
      <c r="P361" s="392"/>
      <c r="Q361" s="392"/>
      <c r="R361" s="392"/>
      <c r="S361" s="392"/>
      <c r="T361" s="392"/>
      <c r="U361" s="392"/>
      <c r="V361" s="392"/>
      <c r="W361" s="392"/>
      <c r="X361" s="392"/>
      <c r="Y361" s="392"/>
      <c r="Z361" s="392"/>
      <c r="AA361" s="392"/>
      <c r="AB361" s="392"/>
      <c r="AC361" s="392"/>
      <c r="AD361" s="392"/>
      <c r="AE361" s="392"/>
      <c r="AF361" s="392"/>
      <c r="AG361" s="392"/>
      <c r="AH361" s="392"/>
      <c r="AI361" s="392"/>
      <c r="AJ361" s="392"/>
      <c r="AK361" s="392"/>
      <c r="AL361" s="392"/>
      <c r="AM361" s="392"/>
      <c r="AN361" s="392"/>
      <c r="AO361" s="392"/>
      <c r="AP361" s="392"/>
      <c r="AQ361" s="392"/>
      <c r="AR361" s="392"/>
      <c r="AS361" s="392"/>
      <c r="AT361" s="392"/>
      <c r="AU361" s="392"/>
      <c r="AV361" s="392"/>
      <c r="AW361" s="392"/>
      <c r="AX361" s="392"/>
      <c r="AY361" s="392"/>
      <c r="AZ361" s="392"/>
      <c r="BA361" s="392"/>
      <c r="BB361" s="392"/>
      <c r="BC361" s="392"/>
      <c r="BD361" s="392"/>
      <c r="BE361" s="392"/>
      <c r="BF361" s="392"/>
      <c r="BG361" s="392"/>
      <c r="BH361" s="392"/>
      <c r="BI361" s="392"/>
      <c r="BJ361" s="392"/>
      <c r="BK361" s="392"/>
      <c r="BL361" s="392"/>
      <c r="BM361" s="392"/>
      <c r="BN361" s="392"/>
      <c r="BO361" s="392"/>
      <c r="BP361" s="392"/>
      <c r="BQ361" s="392"/>
      <c r="BR361" s="392"/>
      <c r="BS361" s="392"/>
      <c r="BT361" s="392"/>
      <c r="BU361" s="392"/>
      <c r="BV361" s="392"/>
      <c r="BW361" s="392"/>
      <c r="BX361" s="392"/>
      <c r="BY361" s="392"/>
      <c r="BZ361" s="392"/>
      <c r="CA361" s="392"/>
      <c r="CB361" s="392"/>
      <c r="CC361" s="392"/>
      <c r="CD361" s="392"/>
      <c r="CE361" s="392"/>
      <c r="CF361" s="392"/>
      <c r="CG361" s="392"/>
      <c r="CH361" s="392"/>
      <c r="CI361" s="392"/>
      <c r="CJ361" s="392"/>
      <c r="CK361" s="392"/>
      <c r="CL361" s="392"/>
      <c r="CM361" s="392"/>
      <c r="CN361" s="392"/>
      <c r="CO361" s="392"/>
      <c r="CP361" s="392"/>
      <c r="CQ361" s="392"/>
      <c r="CR361" s="392"/>
      <c r="CS361" s="392"/>
      <c r="CT361" s="392"/>
      <c r="CU361" s="392"/>
      <c r="CV361" s="392"/>
      <c r="CW361" s="392"/>
      <c r="CX361" s="392"/>
      <c r="CY361" s="392"/>
      <c r="CZ361" s="392"/>
      <c r="DA361" s="392"/>
      <c r="DB361" s="392"/>
      <c r="DC361" s="392"/>
      <c r="DD361" s="392"/>
      <c r="DE361" s="392"/>
      <c r="DF361" s="392"/>
      <c r="DG361" s="392"/>
      <c r="DH361" s="392"/>
      <c r="DI361" s="392"/>
      <c r="DJ361" s="392"/>
      <c r="DK361" s="392"/>
      <c r="DL361" s="392"/>
      <c r="DM361" s="392"/>
      <c r="DN361" s="392"/>
      <c r="DO361" s="392"/>
      <c r="DP361" s="392"/>
      <c r="DQ361" s="392"/>
      <c r="DR361" s="392"/>
      <c r="DS361" s="392"/>
      <c r="DT361" s="392"/>
      <c r="DU361" s="392"/>
      <c r="DV361" s="392"/>
      <c r="DW361" s="392"/>
      <c r="DX361" s="392"/>
      <c r="DY361" s="392"/>
      <c r="DZ361" s="392"/>
      <c r="EA361" s="392"/>
      <c r="EB361" s="392"/>
      <c r="EC361" s="392"/>
      <c r="ED361" s="392"/>
      <c r="EE361" s="392"/>
      <c r="EF361" s="392"/>
      <c r="EG361" s="392"/>
      <c r="EH361" s="392"/>
      <c r="EI361" s="392"/>
      <c r="EJ361" s="392"/>
      <c r="EK361" s="392"/>
      <c r="EL361" s="392"/>
      <c r="EM361" s="392"/>
      <c r="EN361" s="392"/>
      <c r="EO361" s="392"/>
      <c r="EP361" s="392"/>
      <c r="EQ361" s="392"/>
      <c r="ER361" s="392"/>
      <c r="ES361" s="392"/>
      <c r="ET361" s="392"/>
      <c r="EU361" s="392"/>
      <c r="EV361" s="392"/>
      <c r="EW361" s="392"/>
      <c r="EX361" s="392"/>
      <c r="EY361" s="392"/>
      <c r="EZ361" s="392"/>
      <c r="FA361" s="392"/>
      <c r="FB361" s="392"/>
      <c r="FC361" s="392"/>
      <c r="FD361" s="392"/>
      <c r="FE361" s="392"/>
      <c r="FF361" s="392"/>
      <c r="FG361" s="392"/>
      <c r="FH361" s="392"/>
      <c r="FI361" s="392"/>
      <c r="FJ361" s="392"/>
      <c r="FK361" s="392"/>
      <c r="FL361" s="392"/>
      <c r="FM361" s="392"/>
      <c r="FN361" s="392"/>
      <c r="FO361" s="392"/>
      <c r="FP361" s="392"/>
      <c r="FQ361" s="392"/>
      <c r="FR361" s="392"/>
      <c r="FS361" s="392"/>
      <c r="FT361" s="392"/>
      <c r="FU361" s="392"/>
      <c r="FV361" s="392"/>
      <c r="FW361" s="392"/>
      <c r="FX361" s="392"/>
      <c r="FY361" s="392"/>
      <c r="FZ361" s="392"/>
      <c r="GA361" s="392"/>
      <c r="GB361" s="392"/>
      <c r="GC361" s="392"/>
      <c r="GD361" s="392"/>
      <c r="GE361" s="392"/>
      <c r="GF361" s="392"/>
      <c r="GG361" s="392"/>
      <c r="GH361" s="392"/>
      <c r="GI361" s="392"/>
      <c r="GJ361" s="392"/>
      <c r="GK361" s="392"/>
      <c r="GL361" s="392"/>
      <c r="GM361" s="392"/>
      <c r="GN361" s="392"/>
      <c r="GO361" s="392"/>
      <c r="GP361" s="392"/>
      <c r="GQ361" s="392"/>
      <c r="GR361" s="392"/>
      <c r="GS361" s="392"/>
      <c r="GT361" s="392"/>
      <c r="GU361" s="392"/>
      <c r="GV361" s="392"/>
      <c r="GW361" s="392"/>
      <c r="GX361" s="392"/>
      <c r="GY361" s="392"/>
      <c r="GZ361" s="392"/>
      <c r="HA361" s="392"/>
      <c r="HB361" s="392"/>
      <c r="HC361" s="392"/>
      <c r="HD361" s="392"/>
      <c r="HE361" s="392"/>
      <c r="HF361" s="392"/>
      <c r="HG361" s="392"/>
      <c r="HH361" s="392"/>
      <c r="HI361" s="392"/>
      <c r="HJ361" s="392"/>
      <c r="HK361" s="392"/>
      <c r="HL361" s="392"/>
      <c r="HM361" s="392"/>
      <c r="HN361" s="392"/>
      <c r="HO361" s="392"/>
      <c r="HP361" s="392"/>
      <c r="HQ361" s="392"/>
      <c r="HR361" s="392"/>
      <c r="HS361" s="392"/>
      <c r="HT361" s="392"/>
      <c r="HU361" s="392"/>
      <c r="HV361" s="392"/>
      <c r="HW361" s="392"/>
      <c r="HX361" s="392"/>
      <c r="HY361" s="392"/>
      <c r="HZ361" s="392"/>
      <c r="IA361" s="392"/>
      <c r="IB361" s="392"/>
      <c r="IC361" s="392"/>
      <c r="ID361" s="392"/>
      <c r="IE361" s="392"/>
      <c r="IF361" s="392"/>
      <c r="IG361" s="392"/>
      <c r="IH361" s="392"/>
      <c r="II361" s="392"/>
      <c r="IJ361" s="392"/>
      <c r="IK361" s="392"/>
      <c r="IL361" s="392"/>
      <c r="IM361" s="392"/>
      <c r="IN361" s="392"/>
      <c r="IO361" s="392"/>
      <c r="IP361" s="392"/>
      <c r="IQ361" s="392"/>
      <c r="IR361" s="392"/>
      <c r="IS361" s="392"/>
      <c r="IT361" s="392"/>
      <c r="IU361" s="392"/>
      <c r="IV361" s="392"/>
    </row>
    <row r="362" spans="1:256">
      <c r="A362" s="392"/>
      <c r="B362" s="543" t="s">
        <v>674</v>
      </c>
      <c r="C362" s="520" t="s">
        <v>675</v>
      </c>
      <c r="D362" s="544" t="s">
        <v>22</v>
      </c>
      <c r="E362" s="545">
        <v>1</v>
      </c>
      <c r="F362" s="546" t="e">
        <f>#REF!</f>
        <v>#REF!</v>
      </c>
      <c r="G362" s="512" t="e">
        <f t="shared" si="1"/>
        <v>#REF!</v>
      </c>
      <c r="H362" s="392"/>
      <c r="I362" s="392"/>
      <c r="J362" s="392"/>
      <c r="K362" s="392"/>
      <c r="L362" s="392"/>
      <c r="M362" s="392"/>
      <c r="N362" s="392"/>
      <c r="O362" s="392"/>
      <c r="P362" s="392"/>
      <c r="Q362" s="392"/>
      <c r="R362" s="392"/>
      <c r="S362" s="392"/>
      <c r="T362" s="392"/>
      <c r="U362" s="392"/>
      <c r="V362" s="392"/>
      <c r="W362" s="392"/>
      <c r="X362" s="392"/>
      <c r="Y362" s="392"/>
      <c r="Z362" s="392"/>
      <c r="AA362" s="392"/>
      <c r="AB362" s="392"/>
      <c r="AC362" s="392"/>
      <c r="AD362" s="392"/>
      <c r="AE362" s="392"/>
      <c r="AF362" s="392"/>
      <c r="AG362" s="392"/>
      <c r="AH362" s="392"/>
      <c r="AI362" s="392"/>
      <c r="AJ362" s="392"/>
      <c r="AK362" s="392"/>
      <c r="AL362" s="392"/>
      <c r="AM362" s="392"/>
      <c r="AN362" s="392"/>
      <c r="AO362" s="392"/>
      <c r="AP362" s="392"/>
      <c r="AQ362" s="392"/>
      <c r="AR362" s="392"/>
      <c r="AS362" s="392"/>
      <c r="AT362" s="392"/>
      <c r="AU362" s="392"/>
      <c r="AV362" s="392"/>
      <c r="AW362" s="392"/>
      <c r="AX362" s="392"/>
      <c r="AY362" s="392"/>
      <c r="AZ362" s="392"/>
      <c r="BA362" s="392"/>
      <c r="BB362" s="392"/>
      <c r="BC362" s="392"/>
      <c r="BD362" s="392"/>
      <c r="BE362" s="392"/>
      <c r="BF362" s="392"/>
      <c r="BG362" s="392"/>
      <c r="BH362" s="392"/>
      <c r="BI362" s="392"/>
      <c r="BJ362" s="392"/>
      <c r="BK362" s="392"/>
      <c r="BL362" s="392"/>
      <c r="BM362" s="392"/>
      <c r="BN362" s="392"/>
      <c r="BO362" s="392"/>
      <c r="BP362" s="392"/>
      <c r="BQ362" s="392"/>
      <c r="BR362" s="392"/>
      <c r="BS362" s="392"/>
      <c r="BT362" s="392"/>
      <c r="BU362" s="392"/>
      <c r="BV362" s="392"/>
      <c r="BW362" s="392"/>
      <c r="BX362" s="392"/>
      <c r="BY362" s="392"/>
      <c r="BZ362" s="392"/>
      <c r="CA362" s="392"/>
      <c r="CB362" s="392"/>
      <c r="CC362" s="392"/>
      <c r="CD362" s="392"/>
      <c r="CE362" s="392"/>
      <c r="CF362" s="392"/>
      <c r="CG362" s="392"/>
      <c r="CH362" s="392"/>
      <c r="CI362" s="392"/>
      <c r="CJ362" s="392"/>
      <c r="CK362" s="392"/>
      <c r="CL362" s="392"/>
      <c r="CM362" s="392"/>
      <c r="CN362" s="392"/>
      <c r="CO362" s="392"/>
      <c r="CP362" s="392"/>
      <c r="CQ362" s="392"/>
      <c r="CR362" s="392"/>
      <c r="CS362" s="392"/>
      <c r="CT362" s="392"/>
      <c r="CU362" s="392"/>
      <c r="CV362" s="392"/>
      <c r="CW362" s="392"/>
      <c r="CX362" s="392"/>
      <c r="CY362" s="392"/>
      <c r="CZ362" s="392"/>
      <c r="DA362" s="392"/>
      <c r="DB362" s="392"/>
      <c r="DC362" s="392"/>
      <c r="DD362" s="392"/>
      <c r="DE362" s="392"/>
      <c r="DF362" s="392"/>
      <c r="DG362" s="392"/>
      <c r="DH362" s="392"/>
      <c r="DI362" s="392"/>
      <c r="DJ362" s="392"/>
      <c r="DK362" s="392"/>
      <c r="DL362" s="392"/>
      <c r="DM362" s="392"/>
      <c r="DN362" s="392"/>
      <c r="DO362" s="392"/>
      <c r="DP362" s="392"/>
      <c r="DQ362" s="392"/>
      <c r="DR362" s="392"/>
      <c r="DS362" s="392"/>
      <c r="DT362" s="392"/>
      <c r="DU362" s="392"/>
      <c r="DV362" s="392"/>
      <c r="DW362" s="392"/>
      <c r="DX362" s="392"/>
      <c r="DY362" s="392"/>
      <c r="DZ362" s="392"/>
      <c r="EA362" s="392"/>
      <c r="EB362" s="392"/>
      <c r="EC362" s="392"/>
      <c r="ED362" s="392"/>
      <c r="EE362" s="392"/>
      <c r="EF362" s="392"/>
      <c r="EG362" s="392"/>
      <c r="EH362" s="392"/>
      <c r="EI362" s="392"/>
      <c r="EJ362" s="392"/>
      <c r="EK362" s="392"/>
      <c r="EL362" s="392"/>
      <c r="EM362" s="392"/>
      <c r="EN362" s="392"/>
      <c r="EO362" s="392"/>
      <c r="EP362" s="392"/>
      <c r="EQ362" s="392"/>
      <c r="ER362" s="392"/>
      <c r="ES362" s="392"/>
      <c r="ET362" s="392"/>
      <c r="EU362" s="392"/>
      <c r="EV362" s="392"/>
      <c r="EW362" s="392"/>
      <c r="EX362" s="392"/>
      <c r="EY362" s="392"/>
      <c r="EZ362" s="392"/>
      <c r="FA362" s="392"/>
      <c r="FB362" s="392"/>
      <c r="FC362" s="392"/>
      <c r="FD362" s="392"/>
      <c r="FE362" s="392"/>
      <c r="FF362" s="392"/>
      <c r="FG362" s="392"/>
      <c r="FH362" s="392"/>
      <c r="FI362" s="392"/>
      <c r="FJ362" s="392"/>
      <c r="FK362" s="392"/>
      <c r="FL362" s="392"/>
      <c r="FM362" s="392"/>
      <c r="FN362" s="392"/>
      <c r="FO362" s="392"/>
      <c r="FP362" s="392"/>
      <c r="FQ362" s="392"/>
      <c r="FR362" s="392"/>
      <c r="FS362" s="392"/>
      <c r="FT362" s="392"/>
      <c r="FU362" s="392"/>
      <c r="FV362" s="392"/>
      <c r="FW362" s="392"/>
      <c r="FX362" s="392"/>
      <c r="FY362" s="392"/>
      <c r="FZ362" s="392"/>
      <c r="GA362" s="392"/>
      <c r="GB362" s="392"/>
      <c r="GC362" s="392"/>
      <c r="GD362" s="392"/>
      <c r="GE362" s="392"/>
      <c r="GF362" s="392"/>
      <c r="GG362" s="392"/>
      <c r="GH362" s="392"/>
      <c r="GI362" s="392"/>
      <c r="GJ362" s="392"/>
      <c r="GK362" s="392"/>
      <c r="GL362" s="392"/>
      <c r="GM362" s="392"/>
      <c r="GN362" s="392"/>
      <c r="GO362" s="392"/>
      <c r="GP362" s="392"/>
      <c r="GQ362" s="392"/>
      <c r="GR362" s="392"/>
      <c r="GS362" s="392"/>
      <c r="GT362" s="392"/>
      <c r="GU362" s="392"/>
      <c r="GV362" s="392"/>
      <c r="GW362" s="392"/>
      <c r="GX362" s="392"/>
      <c r="GY362" s="392"/>
      <c r="GZ362" s="392"/>
      <c r="HA362" s="392"/>
      <c r="HB362" s="392"/>
      <c r="HC362" s="392"/>
      <c r="HD362" s="392"/>
      <c r="HE362" s="392"/>
      <c r="HF362" s="392"/>
      <c r="HG362" s="392"/>
      <c r="HH362" s="392"/>
      <c r="HI362" s="392"/>
      <c r="HJ362" s="392"/>
      <c r="HK362" s="392"/>
      <c r="HL362" s="392"/>
      <c r="HM362" s="392"/>
      <c r="HN362" s="392"/>
      <c r="HO362" s="392"/>
      <c r="HP362" s="392"/>
      <c r="HQ362" s="392"/>
      <c r="HR362" s="392"/>
      <c r="HS362" s="392"/>
      <c r="HT362" s="392"/>
      <c r="HU362" s="392"/>
      <c r="HV362" s="392"/>
      <c r="HW362" s="392"/>
      <c r="HX362" s="392"/>
      <c r="HY362" s="392"/>
      <c r="HZ362" s="392"/>
      <c r="IA362" s="392"/>
      <c r="IB362" s="392"/>
      <c r="IC362" s="392"/>
      <c r="ID362" s="392"/>
      <c r="IE362" s="392"/>
      <c r="IF362" s="392"/>
      <c r="IG362" s="392"/>
      <c r="IH362" s="392"/>
      <c r="II362" s="392"/>
      <c r="IJ362" s="392"/>
      <c r="IK362" s="392"/>
      <c r="IL362" s="392"/>
      <c r="IM362" s="392"/>
      <c r="IN362" s="392"/>
      <c r="IO362" s="392"/>
      <c r="IP362" s="392"/>
      <c r="IQ362" s="392"/>
      <c r="IR362" s="392"/>
      <c r="IS362" s="392"/>
      <c r="IT362" s="392"/>
      <c r="IU362" s="392"/>
      <c r="IV362" s="392"/>
    </row>
    <row r="363" spans="1:256" ht="15.75" thickBot="1">
      <c r="A363" s="392"/>
      <c r="B363" s="548" t="s">
        <v>676</v>
      </c>
      <c r="C363" s="514" t="s">
        <v>677</v>
      </c>
      <c r="D363" s="549" t="s">
        <v>22</v>
      </c>
      <c r="E363" s="550">
        <v>1</v>
      </c>
      <c r="F363" s="551" t="e">
        <f>#REF!</f>
        <v>#REF!</v>
      </c>
      <c r="G363" s="552" t="e">
        <f t="shared" si="1"/>
        <v>#REF!</v>
      </c>
      <c r="H363" s="392"/>
      <c r="I363" s="392"/>
      <c r="J363" s="392"/>
      <c r="K363" s="392"/>
      <c r="L363" s="392"/>
      <c r="M363" s="392"/>
      <c r="N363" s="392"/>
      <c r="O363" s="392"/>
      <c r="P363" s="392"/>
      <c r="Q363" s="392"/>
      <c r="R363" s="392"/>
      <c r="S363" s="392"/>
      <c r="T363" s="392"/>
      <c r="U363" s="392"/>
      <c r="V363" s="392"/>
      <c r="W363" s="392"/>
      <c r="X363" s="392"/>
      <c r="Y363" s="392"/>
      <c r="Z363" s="392"/>
      <c r="AA363" s="392"/>
      <c r="AB363" s="392"/>
      <c r="AC363" s="392"/>
      <c r="AD363" s="392"/>
      <c r="AE363" s="392"/>
      <c r="AF363" s="392"/>
      <c r="AG363" s="392"/>
      <c r="AH363" s="392"/>
      <c r="AI363" s="392"/>
      <c r="AJ363" s="392"/>
      <c r="AK363" s="392"/>
      <c r="AL363" s="392"/>
      <c r="AM363" s="392"/>
      <c r="AN363" s="392"/>
      <c r="AO363" s="392"/>
      <c r="AP363" s="392"/>
      <c r="AQ363" s="392"/>
      <c r="AR363" s="392"/>
      <c r="AS363" s="392"/>
      <c r="AT363" s="392"/>
      <c r="AU363" s="392"/>
      <c r="AV363" s="392"/>
      <c r="AW363" s="392"/>
      <c r="AX363" s="392"/>
      <c r="AY363" s="392"/>
      <c r="AZ363" s="392"/>
      <c r="BA363" s="392"/>
      <c r="BB363" s="392"/>
      <c r="BC363" s="392"/>
      <c r="BD363" s="392"/>
      <c r="BE363" s="392"/>
      <c r="BF363" s="392"/>
      <c r="BG363" s="392"/>
      <c r="BH363" s="392"/>
      <c r="BI363" s="392"/>
      <c r="BJ363" s="392"/>
      <c r="BK363" s="392"/>
      <c r="BL363" s="392"/>
      <c r="BM363" s="392"/>
      <c r="BN363" s="392"/>
      <c r="BO363" s="392"/>
      <c r="BP363" s="392"/>
      <c r="BQ363" s="392"/>
      <c r="BR363" s="392"/>
      <c r="BS363" s="392"/>
      <c r="BT363" s="392"/>
      <c r="BU363" s="392"/>
      <c r="BV363" s="392"/>
      <c r="BW363" s="392"/>
      <c r="BX363" s="392"/>
      <c r="BY363" s="392"/>
      <c r="BZ363" s="392"/>
      <c r="CA363" s="392"/>
      <c r="CB363" s="392"/>
      <c r="CC363" s="392"/>
      <c r="CD363" s="392"/>
      <c r="CE363" s="392"/>
      <c r="CF363" s="392"/>
      <c r="CG363" s="392"/>
      <c r="CH363" s="392"/>
      <c r="CI363" s="392"/>
      <c r="CJ363" s="392"/>
      <c r="CK363" s="392"/>
      <c r="CL363" s="392"/>
      <c r="CM363" s="392"/>
      <c r="CN363" s="392"/>
      <c r="CO363" s="392"/>
      <c r="CP363" s="392"/>
      <c r="CQ363" s="392"/>
      <c r="CR363" s="392"/>
      <c r="CS363" s="392"/>
      <c r="CT363" s="392"/>
      <c r="CU363" s="392"/>
      <c r="CV363" s="392"/>
      <c r="CW363" s="392"/>
      <c r="CX363" s="392"/>
      <c r="CY363" s="392"/>
      <c r="CZ363" s="392"/>
      <c r="DA363" s="392"/>
      <c r="DB363" s="392"/>
      <c r="DC363" s="392"/>
      <c r="DD363" s="392"/>
      <c r="DE363" s="392"/>
      <c r="DF363" s="392"/>
      <c r="DG363" s="392"/>
      <c r="DH363" s="392"/>
      <c r="DI363" s="392"/>
      <c r="DJ363" s="392"/>
      <c r="DK363" s="392"/>
      <c r="DL363" s="392"/>
      <c r="DM363" s="392"/>
      <c r="DN363" s="392"/>
      <c r="DO363" s="392"/>
      <c r="DP363" s="392"/>
      <c r="DQ363" s="392"/>
      <c r="DR363" s="392"/>
      <c r="DS363" s="392"/>
      <c r="DT363" s="392"/>
      <c r="DU363" s="392"/>
      <c r="DV363" s="392"/>
      <c r="DW363" s="392"/>
      <c r="DX363" s="392"/>
      <c r="DY363" s="392"/>
      <c r="DZ363" s="392"/>
      <c r="EA363" s="392"/>
      <c r="EB363" s="392"/>
      <c r="EC363" s="392"/>
      <c r="ED363" s="392"/>
      <c r="EE363" s="392"/>
      <c r="EF363" s="392"/>
      <c r="EG363" s="392"/>
      <c r="EH363" s="392"/>
      <c r="EI363" s="392"/>
      <c r="EJ363" s="392"/>
      <c r="EK363" s="392"/>
      <c r="EL363" s="392"/>
      <c r="EM363" s="392"/>
      <c r="EN363" s="392"/>
      <c r="EO363" s="392"/>
      <c r="EP363" s="392"/>
      <c r="EQ363" s="392"/>
      <c r="ER363" s="392"/>
      <c r="ES363" s="392"/>
      <c r="ET363" s="392"/>
      <c r="EU363" s="392"/>
      <c r="EV363" s="392"/>
      <c r="EW363" s="392"/>
      <c r="EX363" s="392"/>
      <c r="EY363" s="392"/>
      <c r="EZ363" s="392"/>
      <c r="FA363" s="392"/>
      <c r="FB363" s="392"/>
      <c r="FC363" s="392"/>
      <c r="FD363" s="392"/>
      <c r="FE363" s="392"/>
      <c r="FF363" s="392"/>
      <c r="FG363" s="392"/>
      <c r="FH363" s="392"/>
      <c r="FI363" s="392"/>
      <c r="FJ363" s="392"/>
      <c r="FK363" s="392"/>
      <c r="FL363" s="392"/>
      <c r="FM363" s="392"/>
      <c r="FN363" s="392"/>
      <c r="FO363" s="392"/>
      <c r="FP363" s="392"/>
      <c r="FQ363" s="392"/>
      <c r="FR363" s="392"/>
      <c r="FS363" s="392"/>
      <c r="FT363" s="392"/>
      <c r="FU363" s="392"/>
      <c r="FV363" s="392"/>
      <c r="FW363" s="392"/>
      <c r="FX363" s="392"/>
      <c r="FY363" s="392"/>
      <c r="FZ363" s="392"/>
      <c r="GA363" s="392"/>
      <c r="GB363" s="392"/>
      <c r="GC363" s="392"/>
      <c r="GD363" s="392"/>
      <c r="GE363" s="392"/>
      <c r="GF363" s="392"/>
      <c r="GG363" s="392"/>
      <c r="GH363" s="392"/>
      <c r="GI363" s="392"/>
      <c r="GJ363" s="392"/>
      <c r="GK363" s="392"/>
      <c r="GL363" s="392"/>
      <c r="GM363" s="392"/>
      <c r="GN363" s="392"/>
      <c r="GO363" s="392"/>
      <c r="GP363" s="392"/>
      <c r="GQ363" s="392"/>
      <c r="GR363" s="392"/>
      <c r="GS363" s="392"/>
      <c r="GT363" s="392"/>
      <c r="GU363" s="392"/>
      <c r="GV363" s="392"/>
      <c r="GW363" s="392"/>
      <c r="GX363" s="392"/>
      <c r="GY363" s="392"/>
      <c r="GZ363" s="392"/>
      <c r="HA363" s="392"/>
      <c r="HB363" s="392"/>
      <c r="HC363" s="392"/>
      <c r="HD363" s="392"/>
      <c r="HE363" s="392"/>
      <c r="HF363" s="392"/>
      <c r="HG363" s="392"/>
      <c r="HH363" s="392"/>
      <c r="HI363" s="392"/>
      <c r="HJ363" s="392"/>
      <c r="HK363" s="392"/>
      <c r="HL363" s="392"/>
      <c r="HM363" s="392"/>
      <c r="HN363" s="392"/>
      <c r="HO363" s="392"/>
      <c r="HP363" s="392"/>
      <c r="HQ363" s="392"/>
      <c r="HR363" s="392"/>
      <c r="HS363" s="392"/>
      <c r="HT363" s="392"/>
      <c r="HU363" s="392"/>
      <c r="HV363" s="392"/>
      <c r="HW363" s="392"/>
      <c r="HX363" s="392"/>
      <c r="HY363" s="392"/>
      <c r="HZ363" s="392"/>
      <c r="IA363" s="392"/>
      <c r="IB363" s="392"/>
      <c r="IC363" s="392"/>
      <c r="ID363" s="392"/>
      <c r="IE363" s="392"/>
      <c r="IF363" s="392"/>
      <c r="IG363" s="392"/>
      <c r="IH363" s="392"/>
      <c r="II363" s="392"/>
      <c r="IJ363" s="392"/>
      <c r="IK363" s="392"/>
      <c r="IL363" s="392"/>
      <c r="IM363" s="392"/>
      <c r="IN363" s="392"/>
      <c r="IO363" s="392"/>
      <c r="IP363" s="392"/>
      <c r="IQ363" s="392"/>
      <c r="IR363" s="392"/>
      <c r="IS363" s="392"/>
      <c r="IT363" s="392"/>
      <c r="IU363" s="392"/>
      <c r="IV363" s="392"/>
    </row>
    <row r="364" spans="1:256" ht="16.5" thickBot="1">
      <c r="A364" s="392"/>
      <c r="B364" s="401"/>
      <c r="C364" s="440"/>
      <c r="D364" s="441"/>
      <c r="E364" s="442"/>
      <c r="F364" s="443" t="s">
        <v>167</v>
      </c>
      <c r="G364" s="444" t="e">
        <f>TRUNC(SUM(G354:G363),2)</f>
        <v>#REF!</v>
      </c>
      <c r="H364" s="392"/>
      <c r="I364" s="392"/>
      <c r="J364" s="392"/>
      <c r="K364" s="392"/>
      <c r="L364" s="392"/>
      <c r="M364" s="392"/>
      <c r="N364" s="392"/>
      <c r="O364" s="392"/>
      <c r="P364" s="392"/>
      <c r="Q364" s="392"/>
      <c r="R364" s="392"/>
      <c r="S364" s="392"/>
      <c r="T364" s="392"/>
      <c r="U364" s="392"/>
      <c r="V364" s="392"/>
      <c r="W364" s="392"/>
      <c r="X364" s="392"/>
      <c r="Y364" s="392"/>
      <c r="Z364" s="392"/>
      <c r="AA364" s="392"/>
      <c r="AB364" s="392"/>
      <c r="AC364" s="392"/>
      <c r="AD364" s="392"/>
      <c r="AE364" s="392"/>
      <c r="AF364" s="392"/>
      <c r="AG364" s="392"/>
      <c r="AH364" s="392"/>
      <c r="AI364" s="392"/>
      <c r="AJ364" s="392"/>
      <c r="AK364" s="392"/>
      <c r="AL364" s="392"/>
      <c r="AM364" s="392"/>
      <c r="AN364" s="392"/>
      <c r="AO364" s="392"/>
      <c r="AP364" s="392"/>
      <c r="AQ364" s="392"/>
      <c r="AR364" s="392"/>
      <c r="AS364" s="392"/>
      <c r="AT364" s="392"/>
      <c r="AU364" s="392"/>
      <c r="AV364" s="392"/>
      <c r="AW364" s="392"/>
      <c r="AX364" s="392"/>
      <c r="AY364" s="392"/>
      <c r="AZ364" s="392"/>
      <c r="BA364" s="392"/>
      <c r="BB364" s="392"/>
      <c r="BC364" s="392"/>
      <c r="BD364" s="392"/>
      <c r="BE364" s="392"/>
      <c r="BF364" s="392"/>
      <c r="BG364" s="392"/>
      <c r="BH364" s="392"/>
      <c r="BI364" s="392"/>
      <c r="BJ364" s="392"/>
      <c r="BK364" s="392"/>
      <c r="BL364" s="392"/>
      <c r="BM364" s="392"/>
      <c r="BN364" s="392"/>
      <c r="BO364" s="392"/>
      <c r="BP364" s="392"/>
      <c r="BQ364" s="392"/>
      <c r="BR364" s="392"/>
      <c r="BS364" s="392"/>
      <c r="BT364" s="392"/>
      <c r="BU364" s="392"/>
      <c r="BV364" s="392"/>
      <c r="BW364" s="392"/>
      <c r="BX364" s="392"/>
      <c r="BY364" s="392"/>
      <c r="BZ364" s="392"/>
      <c r="CA364" s="392"/>
      <c r="CB364" s="392"/>
      <c r="CC364" s="392"/>
      <c r="CD364" s="392"/>
      <c r="CE364" s="392"/>
      <c r="CF364" s="392"/>
      <c r="CG364" s="392"/>
      <c r="CH364" s="392"/>
      <c r="CI364" s="392"/>
      <c r="CJ364" s="392"/>
      <c r="CK364" s="392"/>
      <c r="CL364" s="392"/>
      <c r="CM364" s="392"/>
      <c r="CN364" s="392"/>
      <c r="CO364" s="392"/>
      <c r="CP364" s="392"/>
      <c r="CQ364" s="392"/>
      <c r="CR364" s="392"/>
      <c r="CS364" s="392"/>
      <c r="CT364" s="392"/>
      <c r="CU364" s="392"/>
      <c r="CV364" s="392"/>
      <c r="CW364" s="392"/>
      <c r="CX364" s="392"/>
      <c r="CY364" s="392"/>
      <c r="CZ364" s="392"/>
      <c r="DA364" s="392"/>
      <c r="DB364" s="392"/>
      <c r="DC364" s="392"/>
      <c r="DD364" s="392"/>
      <c r="DE364" s="392"/>
      <c r="DF364" s="392"/>
      <c r="DG364" s="392"/>
      <c r="DH364" s="392"/>
      <c r="DI364" s="392"/>
      <c r="DJ364" s="392"/>
      <c r="DK364" s="392"/>
      <c r="DL364" s="392"/>
      <c r="DM364" s="392"/>
      <c r="DN364" s="392"/>
      <c r="DO364" s="392"/>
      <c r="DP364" s="392"/>
      <c r="DQ364" s="392"/>
      <c r="DR364" s="392"/>
      <c r="DS364" s="392"/>
      <c r="DT364" s="392"/>
      <c r="DU364" s="392"/>
      <c r="DV364" s="392"/>
      <c r="DW364" s="392"/>
      <c r="DX364" s="392"/>
      <c r="DY364" s="392"/>
      <c r="DZ364" s="392"/>
      <c r="EA364" s="392"/>
      <c r="EB364" s="392"/>
      <c r="EC364" s="392"/>
      <c r="ED364" s="392"/>
      <c r="EE364" s="392"/>
      <c r="EF364" s="392"/>
      <c r="EG364" s="392"/>
      <c r="EH364" s="392"/>
      <c r="EI364" s="392"/>
      <c r="EJ364" s="392"/>
      <c r="EK364" s="392"/>
      <c r="EL364" s="392"/>
      <c r="EM364" s="392"/>
      <c r="EN364" s="392"/>
      <c r="EO364" s="392"/>
      <c r="EP364" s="392"/>
      <c r="EQ364" s="392"/>
      <c r="ER364" s="392"/>
      <c r="ES364" s="392"/>
      <c r="ET364" s="392"/>
      <c r="EU364" s="392"/>
      <c r="EV364" s="392"/>
      <c r="EW364" s="392"/>
      <c r="EX364" s="392"/>
      <c r="EY364" s="392"/>
      <c r="EZ364" s="392"/>
      <c r="FA364" s="392"/>
      <c r="FB364" s="392"/>
      <c r="FC364" s="392"/>
      <c r="FD364" s="392"/>
      <c r="FE364" s="392"/>
      <c r="FF364" s="392"/>
      <c r="FG364" s="392"/>
      <c r="FH364" s="392"/>
      <c r="FI364" s="392"/>
      <c r="FJ364" s="392"/>
      <c r="FK364" s="392"/>
      <c r="FL364" s="392"/>
      <c r="FM364" s="392"/>
      <c r="FN364" s="392"/>
      <c r="FO364" s="392"/>
      <c r="FP364" s="392"/>
      <c r="FQ364" s="392"/>
      <c r="FR364" s="392"/>
      <c r="FS364" s="392"/>
      <c r="FT364" s="392"/>
      <c r="FU364" s="392"/>
      <c r="FV364" s="392"/>
      <c r="FW364" s="392"/>
      <c r="FX364" s="392"/>
      <c r="FY364" s="392"/>
      <c r="FZ364" s="392"/>
      <c r="GA364" s="392"/>
      <c r="GB364" s="392"/>
      <c r="GC364" s="392"/>
      <c r="GD364" s="392"/>
      <c r="GE364" s="392"/>
      <c r="GF364" s="392"/>
      <c r="GG364" s="392"/>
      <c r="GH364" s="392"/>
      <c r="GI364" s="392"/>
      <c r="GJ364" s="392"/>
      <c r="GK364" s="392"/>
      <c r="GL364" s="392"/>
      <c r="GM364" s="392"/>
      <c r="GN364" s="392"/>
      <c r="GO364" s="392"/>
      <c r="GP364" s="392"/>
      <c r="GQ364" s="392"/>
      <c r="GR364" s="392"/>
      <c r="GS364" s="392"/>
      <c r="GT364" s="392"/>
      <c r="GU364" s="392"/>
      <c r="GV364" s="392"/>
      <c r="GW364" s="392"/>
      <c r="GX364" s="392"/>
      <c r="GY364" s="392"/>
      <c r="GZ364" s="392"/>
      <c r="HA364" s="392"/>
      <c r="HB364" s="392"/>
      <c r="HC364" s="392"/>
      <c r="HD364" s="392"/>
      <c r="HE364" s="392"/>
      <c r="HF364" s="392"/>
      <c r="HG364" s="392"/>
      <c r="HH364" s="392"/>
      <c r="HI364" s="392"/>
      <c r="HJ364" s="392"/>
      <c r="HK364" s="392"/>
      <c r="HL364" s="392"/>
      <c r="HM364" s="392"/>
      <c r="HN364" s="392"/>
      <c r="HO364" s="392"/>
      <c r="HP364" s="392"/>
      <c r="HQ364" s="392"/>
      <c r="HR364" s="392"/>
      <c r="HS364" s="392"/>
      <c r="HT364" s="392"/>
      <c r="HU364" s="392"/>
      <c r="HV364" s="392"/>
      <c r="HW364" s="392"/>
      <c r="HX364" s="392"/>
      <c r="HY364" s="392"/>
      <c r="HZ364" s="392"/>
      <c r="IA364" s="392"/>
      <c r="IB364" s="392"/>
      <c r="IC364" s="392"/>
      <c r="ID364" s="392"/>
      <c r="IE364" s="392"/>
      <c r="IF364" s="392"/>
      <c r="IG364" s="392"/>
      <c r="IH364" s="392"/>
      <c r="II364" s="392"/>
      <c r="IJ364" s="392"/>
      <c r="IK364" s="392"/>
      <c r="IL364" s="392"/>
      <c r="IM364" s="392"/>
      <c r="IN364" s="392"/>
      <c r="IO364" s="392"/>
      <c r="IP364" s="392"/>
      <c r="IQ364" s="392"/>
      <c r="IR364" s="392"/>
      <c r="IS364" s="392"/>
      <c r="IT364" s="392"/>
      <c r="IU364" s="392"/>
      <c r="IV364" s="392"/>
    </row>
    <row r="365" spans="1:256" ht="13.5" thickBot="1">
      <c r="A365" s="392"/>
      <c r="B365" s="461"/>
      <c r="C365" s="461"/>
      <c r="D365" s="462"/>
      <c r="E365" s="463"/>
      <c r="F365" s="464"/>
      <c r="G365" s="465"/>
      <c r="H365" s="392"/>
      <c r="I365" s="392"/>
      <c r="J365" s="392"/>
      <c r="K365" s="392"/>
      <c r="L365" s="392"/>
      <c r="M365" s="392"/>
      <c r="N365" s="392"/>
      <c r="O365" s="392"/>
      <c r="P365" s="392"/>
      <c r="Q365" s="392"/>
      <c r="R365" s="392"/>
      <c r="S365" s="392"/>
      <c r="T365" s="392"/>
      <c r="U365" s="392"/>
      <c r="V365" s="392"/>
      <c r="W365" s="392"/>
      <c r="X365" s="392"/>
      <c r="Y365" s="392"/>
      <c r="Z365" s="392"/>
      <c r="AA365" s="392"/>
      <c r="AB365" s="392"/>
      <c r="AC365" s="392"/>
      <c r="AD365" s="392"/>
      <c r="AE365" s="392"/>
      <c r="AF365" s="392"/>
      <c r="AG365" s="392"/>
      <c r="AH365" s="392"/>
      <c r="AI365" s="392"/>
      <c r="AJ365" s="392"/>
      <c r="AK365" s="392"/>
      <c r="AL365" s="392"/>
      <c r="AM365" s="392"/>
      <c r="AN365" s="392"/>
      <c r="AO365" s="392"/>
      <c r="AP365" s="392"/>
      <c r="AQ365" s="392"/>
      <c r="AR365" s="392"/>
      <c r="AS365" s="392"/>
      <c r="AT365" s="392"/>
      <c r="AU365" s="392"/>
      <c r="AV365" s="392"/>
      <c r="AW365" s="392"/>
      <c r="AX365" s="392"/>
      <c r="AY365" s="392"/>
      <c r="AZ365" s="392"/>
      <c r="BA365" s="392"/>
      <c r="BB365" s="392"/>
      <c r="BC365" s="392"/>
      <c r="BD365" s="392"/>
      <c r="BE365" s="392"/>
      <c r="BF365" s="392"/>
      <c r="BG365" s="392"/>
      <c r="BH365" s="392"/>
      <c r="BI365" s="392"/>
      <c r="BJ365" s="392"/>
      <c r="BK365" s="392"/>
      <c r="BL365" s="392"/>
      <c r="BM365" s="392"/>
      <c r="BN365" s="392"/>
      <c r="BO365" s="392"/>
      <c r="BP365" s="392"/>
      <c r="BQ365" s="392"/>
      <c r="BR365" s="392"/>
      <c r="BS365" s="392"/>
      <c r="BT365" s="392"/>
      <c r="BU365" s="392"/>
      <c r="BV365" s="392"/>
      <c r="BW365" s="392"/>
      <c r="BX365" s="392"/>
      <c r="BY365" s="392"/>
      <c r="BZ365" s="392"/>
      <c r="CA365" s="392"/>
      <c r="CB365" s="392"/>
      <c r="CC365" s="392"/>
      <c r="CD365" s="392"/>
      <c r="CE365" s="392"/>
      <c r="CF365" s="392"/>
      <c r="CG365" s="392"/>
      <c r="CH365" s="392"/>
      <c r="CI365" s="392"/>
      <c r="CJ365" s="392"/>
      <c r="CK365" s="392"/>
      <c r="CL365" s="392"/>
      <c r="CM365" s="392"/>
      <c r="CN365" s="392"/>
      <c r="CO365" s="392"/>
      <c r="CP365" s="392"/>
      <c r="CQ365" s="392"/>
      <c r="CR365" s="392"/>
      <c r="CS365" s="392"/>
      <c r="CT365" s="392"/>
      <c r="CU365" s="392"/>
      <c r="CV365" s="392"/>
      <c r="CW365" s="392"/>
      <c r="CX365" s="392"/>
      <c r="CY365" s="392"/>
      <c r="CZ365" s="392"/>
      <c r="DA365" s="392"/>
      <c r="DB365" s="392"/>
      <c r="DC365" s="392"/>
      <c r="DD365" s="392"/>
      <c r="DE365" s="392"/>
      <c r="DF365" s="392"/>
      <c r="DG365" s="392"/>
      <c r="DH365" s="392"/>
      <c r="DI365" s="392"/>
      <c r="DJ365" s="392"/>
      <c r="DK365" s="392"/>
      <c r="DL365" s="392"/>
      <c r="DM365" s="392"/>
      <c r="DN365" s="392"/>
      <c r="DO365" s="392"/>
      <c r="DP365" s="392"/>
      <c r="DQ365" s="392"/>
      <c r="DR365" s="392"/>
      <c r="DS365" s="392"/>
      <c r="DT365" s="392"/>
      <c r="DU365" s="392"/>
      <c r="DV365" s="392"/>
      <c r="DW365" s="392"/>
      <c r="DX365" s="392"/>
      <c r="DY365" s="392"/>
      <c r="DZ365" s="392"/>
      <c r="EA365" s="392"/>
      <c r="EB365" s="392"/>
      <c r="EC365" s="392"/>
      <c r="ED365" s="392"/>
      <c r="EE365" s="392"/>
      <c r="EF365" s="392"/>
      <c r="EG365" s="392"/>
      <c r="EH365" s="392"/>
      <c r="EI365" s="392"/>
      <c r="EJ365" s="392"/>
      <c r="EK365" s="392"/>
      <c r="EL365" s="392"/>
      <c r="EM365" s="392"/>
      <c r="EN365" s="392"/>
      <c r="EO365" s="392"/>
      <c r="EP365" s="392"/>
      <c r="EQ365" s="392"/>
      <c r="ER365" s="392"/>
      <c r="ES365" s="392"/>
      <c r="ET365" s="392"/>
      <c r="EU365" s="392"/>
      <c r="EV365" s="392"/>
      <c r="EW365" s="392"/>
      <c r="EX365" s="392"/>
      <c r="EY365" s="392"/>
      <c r="EZ365" s="392"/>
      <c r="FA365" s="392"/>
      <c r="FB365" s="392"/>
      <c r="FC365" s="392"/>
      <c r="FD365" s="392"/>
      <c r="FE365" s="392"/>
      <c r="FF365" s="392"/>
      <c r="FG365" s="392"/>
      <c r="FH365" s="392"/>
      <c r="FI365" s="392"/>
      <c r="FJ365" s="392"/>
      <c r="FK365" s="392"/>
      <c r="FL365" s="392"/>
      <c r="FM365" s="392"/>
      <c r="FN365" s="392"/>
      <c r="FO365" s="392"/>
      <c r="FP365" s="392"/>
      <c r="FQ365" s="392"/>
      <c r="FR365" s="392"/>
      <c r="FS365" s="392"/>
      <c r="FT365" s="392"/>
      <c r="FU365" s="392"/>
      <c r="FV365" s="392"/>
      <c r="FW365" s="392"/>
      <c r="FX365" s="392"/>
      <c r="FY365" s="392"/>
      <c r="FZ365" s="392"/>
      <c r="GA365" s="392"/>
      <c r="GB365" s="392"/>
      <c r="GC365" s="392"/>
      <c r="GD365" s="392"/>
      <c r="GE365" s="392"/>
      <c r="GF365" s="392"/>
      <c r="GG365" s="392"/>
      <c r="GH365" s="392"/>
      <c r="GI365" s="392"/>
      <c r="GJ365" s="392"/>
      <c r="GK365" s="392"/>
      <c r="GL365" s="392"/>
      <c r="GM365" s="392"/>
      <c r="GN365" s="392"/>
      <c r="GO365" s="392"/>
      <c r="GP365" s="392"/>
      <c r="GQ365" s="392"/>
      <c r="GR365" s="392"/>
      <c r="GS365" s="392"/>
      <c r="GT365" s="392"/>
      <c r="GU365" s="392"/>
      <c r="GV365" s="392"/>
      <c r="GW365" s="392"/>
      <c r="GX365" s="392"/>
      <c r="GY365" s="392"/>
      <c r="GZ365" s="392"/>
      <c r="HA365" s="392"/>
      <c r="HB365" s="392"/>
      <c r="HC365" s="392"/>
      <c r="HD365" s="392"/>
      <c r="HE365" s="392"/>
      <c r="HF365" s="392"/>
      <c r="HG365" s="392"/>
      <c r="HH365" s="392"/>
      <c r="HI365" s="392"/>
      <c r="HJ365" s="392"/>
      <c r="HK365" s="392"/>
      <c r="HL365" s="392"/>
      <c r="HM365" s="392"/>
      <c r="HN365" s="392"/>
      <c r="HO365" s="392"/>
      <c r="HP365" s="392"/>
      <c r="HQ365" s="392"/>
      <c r="HR365" s="392"/>
      <c r="HS365" s="392"/>
      <c r="HT365" s="392"/>
      <c r="HU365" s="392"/>
      <c r="HV365" s="392"/>
      <c r="HW365" s="392"/>
      <c r="HX365" s="392"/>
      <c r="HY365" s="392"/>
      <c r="HZ365" s="392"/>
      <c r="IA365" s="392"/>
      <c r="IB365" s="392"/>
      <c r="IC365" s="392"/>
      <c r="ID365" s="392"/>
      <c r="IE365" s="392"/>
      <c r="IF365" s="392"/>
      <c r="IG365" s="392"/>
      <c r="IH365" s="392"/>
      <c r="II365" s="392"/>
      <c r="IJ365" s="392"/>
      <c r="IK365" s="392"/>
      <c r="IL365" s="392"/>
      <c r="IM365" s="392"/>
      <c r="IN365" s="392"/>
      <c r="IO365" s="392"/>
      <c r="IP365" s="392"/>
      <c r="IQ365" s="392"/>
      <c r="IR365" s="392"/>
      <c r="IS365" s="392"/>
      <c r="IT365" s="392"/>
      <c r="IU365" s="392"/>
      <c r="IV365" s="392"/>
    </row>
    <row r="366" spans="1:256">
      <c r="A366" s="392"/>
      <c r="B366" s="535" t="s">
        <v>14005</v>
      </c>
      <c r="C366" s="536" t="s">
        <v>678</v>
      </c>
      <c r="D366" s="537"/>
      <c r="E366" s="537"/>
      <c r="F366" s="537"/>
      <c r="G366" s="538" t="s">
        <v>22</v>
      </c>
      <c r="H366" s="392"/>
      <c r="I366" s="392"/>
      <c r="J366" s="392"/>
      <c r="K366" s="392"/>
      <c r="L366" s="392"/>
      <c r="M366" s="392"/>
      <c r="N366" s="392"/>
      <c r="O366" s="392"/>
      <c r="P366" s="392"/>
      <c r="Q366" s="392"/>
      <c r="R366" s="392"/>
      <c r="S366" s="392"/>
      <c r="T366" s="392"/>
      <c r="U366" s="392"/>
      <c r="V366" s="392"/>
      <c r="W366" s="392"/>
      <c r="X366" s="392"/>
      <c r="Y366" s="392"/>
      <c r="Z366" s="392"/>
      <c r="AA366" s="392"/>
      <c r="AB366" s="392"/>
      <c r="AC366" s="392"/>
      <c r="AD366" s="392"/>
      <c r="AE366" s="392"/>
      <c r="AF366" s="392"/>
      <c r="AG366" s="392"/>
      <c r="AH366" s="392"/>
      <c r="AI366" s="392"/>
      <c r="AJ366" s="392"/>
      <c r="AK366" s="392"/>
      <c r="AL366" s="392"/>
      <c r="AM366" s="392"/>
      <c r="AN366" s="392"/>
      <c r="AO366" s="392"/>
      <c r="AP366" s="392"/>
      <c r="AQ366" s="392"/>
      <c r="AR366" s="392"/>
      <c r="AS366" s="392"/>
      <c r="AT366" s="392"/>
      <c r="AU366" s="392"/>
      <c r="AV366" s="392"/>
      <c r="AW366" s="392"/>
      <c r="AX366" s="392"/>
      <c r="AY366" s="392"/>
      <c r="AZ366" s="392"/>
      <c r="BA366" s="392"/>
      <c r="BB366" s="392"/>
      <c r="BC366" s="392"/>
      <c r="BD366" s="392"/>
      <c r="BE366" s="392"/>
      <c r="BF366" s="392"/>
      <c r="BG366" s="392"/>
      <c r="BH366" s="392"/>
      <c r="BI366" s="392"/>
      <c r="BJ366" s="392"/>
      <c r="BK366" s="392"/>
      <c r="BL366" s="392"/>
      <c r="BM366" s="392"/>
      <c r="BN366" s="392"/>
      <c r="BO366" s="392"/>
      <c r="BP366" s="392"/>
      <c r="BQ366" s="392"/>
      <c r="BR366" s="392"/>
      <c r="BS366" s="392"/>
      <c r="BT366" s="392"/>
      <c r="BU366" s="392"/>
      <c r="BV366" s="392"/>
      <c r="BW366" s="392"/>
      <c r="BX366" s="392"/>
      <c r="BY366" s="392"/>
      <c r="BZ366" s="392"/>
      <c r="CA366" s="392"/>
      <c r="CB366" s="392"/>
      <c r="CC366" s="392"/>
      <c r="CD366" s="392"/>
      <c r="CE366" s="392"/>
      <c r="CF366" s="392"/>
      <c r="CG366" s="392"/>
      <c r="CH366" s="392"/>
      <c r="CI366" s="392"/>
      <c r="CJ366" s="392"/>
      <c r="CK366" s="392"/>
      <c r="CL366" s="392"/>
      <c r="CM366" s="392"/>
      <c r="CN366" s="392"/>
      <c r="CO366" s="392"/>
      <c r="CP366" s="392"/>
      <c r="CQ366" s="392"/>
      <c r="CR366" s="392"/>
      <c r="CS366" s="392"/>
      <c r="CT366" s="392"/>
      <c r="CU366" s="392"/>
      <c r="CV366" s="392"/>
      <c r="CW366" s="392"/>
      <c r="CX366" s="392"/>
      <c r="CY366" s="392"/>
      <c r="CZ366" s="392"/>
      <c r="DA366" s="392"/>
      <c r="DB366" s="392"/>
      <c r="DC366" s="392"/>
      <c r="DD366" s="392"/>
      <c r="DE366" s="392"/>
      <c r="DF366" s="392"/>
      <c r="DG366" s="392"/>
      <c r="DH366" s="392"/>
      <c r="DI366" s="392"/>
      <c r="DJ366" s="392"/>
      <c r="DK366" s="392"/>
      <c r="DL366" s="392"/>
      <c r="DM366" s="392"/>
      <c r="DN366" s="392"/>
      <c r="DO366" s="392"/>
      <c r="DP366" s="392"/>
      <c r="DQ366" s="392"/>
      <c r="DR366" s="392"/>
      <c r="DS366" s="392"/>
      <c r="DT366" s="392"/>
      <c r="DU366" s="392"/>
      <c r="DV366" s="392"/>
      <c r="DW366" s="392"/>
      <c r="DX366" s="392"/>
      <c r="DY366" s="392"/>
      <c r="DZ366" s="392"/>
      <c r="EA366" s="392"/>
      <c r="EB366" s="392"/>
      <c r="EC366" s="392"/>
      <c r="ED366" s="392"/>
      <c r="EE366" s="392"/>
      <c r="EF366" s="392"/>
      <c r="EG366" s="392"/>
      <c r="EH366" s="392"/>
      <c r="EI366" s="392"/>
      <c r="EJ366" s="392"/>
      <c r="EK366" s="392"/>
      <c r="EL366" s="392"/>
      <c r="EM366" s="392"/>
      <c r="EN366" s="392"/>
      <c r="EO366" s="392"/>
      <c r="EP366" s="392"/>
      <c r="EQ366" s="392"/>
      <c r="ER366" s="392"/>
      <c r="ES366" s="392"/>
      <c r="ET366" s="392"/>
      <c r="EU366" s="392"/>
      <c r="EV366" s="392"/>
      <c r="EW366" s="392"/>
      <c r="EX366" s="392"/>
      <c r="EY366" s="392"/>
      <c r="EZ366" s="392"/>
      <c r="FA366" s="392"/>
      <c r="FB366" s="392"/>
      <c r="FC366" s="392"/>
      <c r="FD366" s="392"/>
      <c r="FE366" s="392"/>
      <c r="FF366" s="392"/>
      <c r="FG366" s="392"/>
      <c r="FH366" s="392"/>
      <c r="FI366" s="392"/>
      <c r="FJ366" s="392"/>
      <c r="FK366" s="392"/>
      <c r="FL366" s="392"/>
      <c r="FM366" s="392"/>
      <c r="FN366" s="392"/>
      <c r="FO366" s="392"/>
      <c r="FP366" s="392"/>
      <c r="FQ366" s="392"/>
      <c r="FR366" s="392"/>
      <c r="FS366" s="392"/>
      <c r="FT366" s="392"/>
      <c r="FU366" s="392"/>
      <c r="FV366" s="392"/>
      <c r="FW366" s="392"/>
      <c r="FX366" s="392"/>
      <c r="FY366" s="392"/>
      <c r="FZ366" s="392"/>
      <c r="GA366" s="392"/>
      <c r="GB366" s="392"/>
      <c r="GC366" s="392"/>
      <c r="GD366" s="392"/>
      <c r="GE366" s="392"/>
      <c r="GF366" s="392"/>
      <c r="GG366" s="392"/>
      <c r="GH366" s="392"/>
      <c r="GI366" s="392"/>
      <c r="GJ366" s="392"/>
      <c r="GK366" s="392"/>
      <c r="GL366" s="392"/>
      <c r="GM366" s="392"/>
      <c r="GN366" s="392"/>
      <c r="GO366" s="392"/>
      <c r="GP366" s="392"/>
      <c r="GQ366" s="392"/>
      <c r="GR366" s="392"/>
      <c r="GS366" s="392"/>
      <c r="GT366" s="392"/>
      <c r="GU366" s="392"/>
      <c r="GV366" s="392"/>
      <c r="GW366" s="392"/>
      <c r="GX366" s="392"/>
      <c r="GY366" s="392"/>
      <c r="GZ366" s="392"/>
      <c r="HA366" s="392"/>
      <c r="HB366" s="392"/>
      <c r="HC366" s="392"/>
      <c r="HD366" s="392"/>
      <c r="HE366" s="392"/>
      <c r="HF366" s="392"/>
      <c r="HG366" s="392"/>
      <c r="HH366" s="392"/>
      <c r="HI366" s="392"/>
      <c r="HJ366" s="392"/>
      <c r="HK366" s="392"/>
      <c r="HL366" s="392"/>
      <c r="HM366" s="392"/>
      <c r="HN366" s="392"/>
      <c r="HO366" s="392"/>
      <c r="HP366" s="392"/>
      <c r="HQ366" s="392"/>
      <c r="HR366" s="392"/>
      <c r="HS366" s="392"/>
      <c r="HT366" s="392"/>
      <c r="HU366" s="392"/>
      <c r="HV366" s="392"/>
      <c r="HW366" s="392"/>
      <c r="HX366" s="392"/>
      <c r="HY366" s="392"/>
      <c r="HZ366" s="392"/>
      <c r="IA366" s="392"/>
      <c r="IB366" s="392"/>
      <c r="IC366" s="392"/>
      <c r="ID366" s="392"/>
      <c r="IE366" s="392"/>
      <c r="IF366" s="392"/>
      <c r="IG366" s="392"/>
      <c r="IH366" s="392"/>
      <c r="II366" s="392"/>
      <c r="IJ366" s="392"/>
      <c r="IK366" s="392"/>
      <c r="IL366" s="392"/>
      <c r="IM366" s="392"/>
      <c r="IN366" s="392"/>
      <c r="IO366" s="392"/>
      <c r="IP366" s="392"/>
      <c r="IQ366" s="392"/>
      <c r="IR366" s="392"/>
      <c r="IS366" s="392"/>
      <c r="IT366" s="392"/>
      <c r="IU366" s="392"/>
      <c r="IV366" s="392"/>
    </row>
    <row r="367" spans="1:256" ht="25.5">
      <c r="A367" s="392"/>
      <c r="B367" s="539" t="s">
        <v>197</v>
      </c>
      <c r="C367" s="540" t="s">
        <v>161</v>
      </c>
      <c r="D367" s="540" t="s">
        <v>22</v>
      </c>
      <c r="E367" s="540" t="s">
        <v>162</v>
      </c>
      <c r="F367" s="541" t="s">
        <v>186</v>
      </c>
      <c r="G367" s="542" t="s">
        <v>187</v>
      </c>
      <c r="H367" s="392"/>
      <c r="I367" s="392"/>
      <c r="J367" s="392"/>
      <c r="K367" s="392"/>
      <c r="L367" s="392"/>
      <c r="M367" s="392"/>
      <c r="N367" s="392"/>
      <c r="O367" s="392"/>
      <c r="P367" s="392"/>
      <c r="Q367" s="392"/>
      <c r="R367" s="392"/>
      <c r="S367" s="392"/>
      <c r="T367" s="392"/>
      <c r="U367" s="392"/>
      <c r="V367" s="392"/>
      <c r="W367" s="392"/>
      <c r="X367" s="392"/>
      <c r="Y367" s="392"/>
      <c r="Z367" s="392"/>
      <c r="AA367" s="392"/>
      <c r="AB367" s="392"/>
      <c r="AC367" s="392"/>
      <c r="AD367" s="392"/>
      <c r="AE367" s="392"/>
      <c r="AF367" s="392"/>
      <c r="AG367" s="392"/>
      <c r="AH367" s="392"/>
      <c r="AI367" s="392"/>
      <c r="AJ367" s="392"/>
      <c r="AK367" s="392"/>
      <c r="AL367" s="392"/>
      <c r="AM367" s="392"/>
      <c r="AN367" s="392"/>
      <c r="AO367" s="392"/>
      <c r="AP367" s="392"/>
      <c r="AQ367" s="392"/>
      <c r="AR367" s="392"/>
      <c r="AS367" s="392"/>
      <c r="AT367" s="392"/>
      <c r="AU367" s="392"/>
      <c r="AV367" s="392"/>
      <c r="AW367" s="392"/>
      <c r="AX367" s="392"/>
      <c r="AY367" s="392"/>
      <c r="AZ367" s="392"/>
      <c r="BA367" s="392"/>
      <c r="BB367" s="392"/>
      <c r="BC367" s="392"/>
      <c r="BD367" s="392"/>
      <c r="BE367" s="392"/>
      <c r="BF367" s="392"/>
      <c r="BG367" s="392"/>
      <c r="BH367" s="392"/>
      <c r="BI367" s="392"/>
      <c r="BJ367" s="392"/>
      <c r="BK367" s="392"/>
      <c r="BL367" s="392"/>
      <c r="BM367" s="392"/>
      <c r="BN367" s="392"/>
      <c r="BO367" s="392"/>
      <c r="BP367" s="392"/>
      <c r="BQ367" s="392"/>
      <c r="BR367" s="392"/>
      <c r="BS367" s="392"/>
      <c r="BT367" s="392"/>
      <c r="BU367" s="392"/>
      <c r="BV367" s="392"/>
      <c r="BW367" s="392"/>
      <c r="BX367" s="392"/>
      <c r="BY367" s="392"/>
      <c r="BZ367" s="392"/>
      <c r="CA367" s="392"/>
      <c r="CB367" s="392"/>
      <c r="CC367" s="392"/>
      <c r="CD367" s="392"/>
      <c r="CE367" s="392"/>
      <c r="CF367" s="392"/>
      <c r="CG367" s="392"/>
      <c r="CH367" s="392"/>
      <c r="CI367" s="392"/>
      <c r="CJ367" s="392"/>
      <c r="CK367" s="392"/>
      <c r="CL367" s="392"/>
      <c r="CM367" s="392"/>
      <c r="CN367" s="392"/>
      <c r="CO367" s="392"/>
      <c r="CP367" s="392"/>
      <c r="CQ367" s="392"/>
      <c r="CR367" s="392"/>
      <c r="CS367" s="392"/>
      <c r="CT367" s="392"/>
      <c r="CU367" s="392"/>
      <c r="CV367" s="392"/>
      <c r="CW367" s="392"/>
      <c r="CX367" s="392"/>
      <c r="CY367" s="392"/>
      <c r="CZ367" s="392"/>
      <c r="DA367" s="392"/>
      <c r="DB367" s="392"/>
      <c r="DC367" s="392"/>
      <c r="DD367" s="392"/>
      <c r="DE367" s="392"/>
      <c r="DF367" s="392"/>
      <c r="DG367" s="392"/>
      <c r="DH367" s="392"/>
      <c r="DI367" s="392"/>
      <c r="DJ367" s="392"/>
      <c r="DK367" s="392"/>
      <c r="DL367" s="392"/>
      <c r="DM367" s="392"/>
      <c r="DN367" s="392"/>
      <c r="DO367" s="392"/>
      <c r="DP367" s="392"/>
      <c r="DQ367" s="392"/>
      <c r="DR367" s="392"/>
      <c r="DS367" s="392"/>
      <c r="DT367" s="392"/>
      <c r="DU367" s="392"/>
      <c r="DV367" s="392"/>
      <c r="DW367" s="392"/>
      <c r="DX367" s="392"/>
      <c r="DY367" s="392"/>
      <c r="DZ367" s="392"/>
      <c r="EA367" s="392"/>
      <c r="EB367" s="392"/>
      <c r="EC367" s="392"/>
      <c r="ED367" s="392"/>
      <c r="EE367" s="392"/>
      <c r="EF367" s="392"/>
      <c r="EG367" s="392"/>
      <c r="EH367" s="392"/>
      <c r="EI367" s="392"/>
      <c r="EJ367" s="392"/>
      <c r="EK367" s="392"/>
      <c r="EL367" s="392"/>
      <c r="EM367" s="392"/>
      <c r="EN367" s="392"/>
      <c r="EO367" s="392"/>
      <c r="EP367" s="392"/>
      <c r="EQ367" s="392"/>
      <c r="ER367" s="392"/>
      <c r="ES367" s="392"/>
      <c r="ET367" s="392"/>
      <c r="EU367" s="392"/>
      <c r="EV367" s="392"/>
      <c r="EW367" s="392"/>
      <c r="EX367" s="392"/>
      <c r="EY367" s="392"/>
      <c r="EZ367" s="392"/>
      <c r="FA367" s="392"/>
      <c r="FB367" s="392"/>
      <c r="FC367" s="392"/>
      <c r="FD367" s="392"/>
      <c r="FE367" s="392"/>
      <c r="FF367" s="392"/>
      <c r="FG367" s="392"/>
      <c r="FH367" s="392"/>
      <c r="FI367" s="392"/>
      <c r="FJ367" s="392"/>
      <c r="FK367" s="392"/>
      <c r="FL367" s="392"/>
      <c r="FM367" s="392"/>
      <c r="FN367" s="392"/>
      <c r="FO367" s="392"/>
      <c r="FP367" s="392"/>
      <c r="FQ367" s="392"/>
      <c r="FR367" s="392"/>
      <c r="FS367" s="392"/>
      <c r="FT367" s="392"/>
      <c r="FU367" s="392"/>
      <c r="FV367" s="392"/>
      <c r="FW367" s="392"/>
      <c r="FX367" s="392"/>
      <c r="FY367" s="392"/>
      <c r="FZ367" s="392"/>
      <c r="GA367" s="392"/>
      <c r="GB367" s="392"/>
      <c r="GC367" s="392"/>
      <c r="GD367" s="392"/>
      <c r="GE367" s="392"/>
      <c r="GF367" s="392"/>
      <c r="GG367" s="392"/>
      <c r="GH367" s="392"/>
      <c r="GI367" s="392"/>
      <c r="GJ367" s="392"/>
      <c r="GK367" s="392"/>
      <c r="GL367" s="392"/>
      <c r="GM367" s="392"/>
      <c r="GN367" s="392"/>
      <c r="GO367" s="392"/>
      <c r="GP367" s="392"/>
      <c r="GQ367" s="392"/>
      <c r="GR367" s="392"/>
      <c r="GS367" s="392"/>
      <c r="GT367" s="392"/>
      <c r="GU367" s="392"/>
      <c r="GV367" s="392"/>
      <c r="GW367" s="392"/>
      <c r="GX367" s="392"/>
      <c r="GY367" s="392"/>
      <c r="GZ367" s="392"/>
      <c r="HA367" s="392"/>
      <c r="HB367" s="392"/>
      <c r="HC367" s="392"/>
      <c r="HD367" s="392"/>
      <c r="HE367" s="392"/>
      <c r="HF367" s="392"/>
      <c r="HG367" s="392"/>
      <c r="HH367" s="392"/>
      <c r="HI367" s="392"/>
      <c r="HJ367" s="392"/>
      <c r="HK367" s="392"/>
      <c r="HL367" s="392"/>
      <c r="HM367" s="392"/>
      <c r="HN367" s="392"/>
      <c r="HO367" s="392"/>
      <c r="HP367" s="392"/>
      <c r="HQ367" s="392"/>
      <c r="HR367" s="392"/>
      <c r="HS367" s="392"/>
      <c r="HT367" s="392"/>
      <c r="HU367" s="392"/>
      <c r="HV367" s="392"/>
      <c r="HW367" s="392"/>
      <c r="HX367" s="392"/>
      <c r="HY367" s="392"/>
      <c r="HZ367" s="392"/>
      <c r="IA367" s="392"/>
      <c r="IB367" s="392"/>
      <c r="IC367" s="392"/>
      <c r="ID367" s="392"/>
      <c r="IE367" s="392"/>
      <c r="IF367" s="392"/>
      <c r="IG367" s="392"/>
      <c r="IH367" s="392"/>
      <c r="II367" s="392"/>
      <c r="IJ367" s="392"/>
      <c r="IK367" s="392"/>
      <c r="IL367" s="392"/>
      <c r="IM367" s="392"/>
      <c r="IN367" s="392"/>
      <c r="IO367" s="392"/>
      <c r="IP367" s="392"/>
      <c r="IQ367" s="392"/>
      <c r="IR367" s="392"/>
      <c r="IS367" s="392"/>
      <c r="IT367" s="392"/>
      <c r="IU367" s="392"/>
      <c r="IV367" s="392"/>
    </row>
    <row r="368" spans="1:256">
      <c r="A368" s="392"/>
      <c r="B368" s="2304" t="s">
        <v>165</v>
      </c>
      <c r="C368" s="2305"/>
      <c r="D368" s="2305"/>
      <c r="E368" s="2305"/>
      <c r="F368" s="2305"/>
      <c r="G368" s="2306"/>
      <c r="H368" s="392"/>
      <c r="I368" s="392"/>
      <c r="J368" s="392"/>
      <c r="K368" s="392"/>
      <c r="L368" s="392"/>
      <c r="M368" s="392"/>
      <c r="N368" s="392"/>
      <c r="O368" s="392"/>
      <c r="P368" s="392"/>
      <c r="Q368" s="392"/>
      <c r="R368" s="392"/>
      <c r="S368" s="392"/>
      <c r="T368" s="392"/>
      <c r="U368" s="392"/>
      <c r="V368" s="392"/>
      <c r="W368" s="392"/>
      <c r="X368" s="392"/>
      <c r="Y368" s="392"/>
      <c r="Z368" s="392"/>
      <c r="AA368" s="392"/>
      <c r="AB368" s="392"/>
      <c r="AC368" s="392"/>
      <c r="AD368" s="392"/>
      <c r="AE368" s="392"/>
      <c r="AF368" s="392"/>
      <c r="AG368" s="392"/>
      <c r="AH368" s="392"/>
      <c r="AI368" s="392"/>
      <c r="AJ368" s="392"/>
      <c r="AK368" s="392"/>
      <c r="AL368" s="392"/>
      <c r="AM368" s="392"/>
      <c r="AN368" s="392"/>
      <c r="AO368" s="392"/>
      <c r="AP368" s="392"/>
      <c r="AQ368" s="392"/>
      <c r="AR368" s="392"/>
      <c r="AS368" s="392"/>
      <c r="AT368" s="392"/>
      <c r="AU368" s="392"/>
      <c r="AV368" s="392"/>
      <c r="AW368" s="392"/>
      <c r="AX368" s="392"/>
      <c r="AY368" s="392"/>
      <c r="AZ368" s="392"/>
      <c r="BA368" s="392"/>
      <c r="BB368" s="392"/>
      <c r="BC368" s="392"/>
      <c r="BD368" s="392"/>
      <c r="BE368" s="392"/>
      <c r="BF368" s="392"/>
      <c r="BG368" s="392"/>
      <c r="BH368" s="392"/>
      <c r="BI368" s="392"/>
      <c r="BJ368" s="392"/>
      <c r="BK368" s="392"/>
      <c r="BL368" s="392"/>
      <c r="BM368" s="392"/>
      <c r="BN368" s="392"/>
      <c r="BO368" s="392"/>
      <c r="BP368" s="392"/>
      <c r="BQ368" s="392"/>
      <c r="BR368" s="392"/>
      <c r="BS368" s="392"/>
      <c r="BT368" s="392"/>
      <c r="BU368" s="392"/>
      <c r="BV368" s="392"/>
      <c r="BW368" s="392"/>
      <c r="BX368" s="392"/>
      <c r="BY368" s="392"/>
      <c r="BZ368" s="392"/>
      <c r="CA368" s="392"/>
      <c r="CB368" s="392"/>
      <c r="CC368" s="392"/>
      <c r="CD368" s="392"/>
      <c r="CE368" s="392"/>
      <c r="CF368" s="392"/>
      <c r="CG368" s="392"/>
      <c r="CH368" s="392"/>
      <c r="CI368" s="392"/>
      <c r="CJ368" s="392"/>
      <c r="CK368" s="392"/>
      <c r="CL368" s="392"/>
      <c r="CM368" s="392"/>
      <c r="CN368" s="392"/>
      <c r="CO368" s="392"/>
      <c r="CP368" s="392"/>
      <c r="CQ368" s="392"/>
      <c r="CR368" s="392"/>
      <c r="CS368" s="392"/>
      <c r="CT368" s="392"/>
      <c r="CU368" s="392"/>
      <c r="CV368" s="392"/>
      <c r="CW368" s="392"/>
      <c r="CX368" s="392"/>
      <c r="CY368" s="392"/>
      <c r="CZ368" s="392"/>
      <c r="DA368" s="392"/>
      <c r="DB368" s="392"/>
      <c r="DC368" s="392"/>
      <c r="DD368" s="392"/>
      <c r="DE368" s="392"/>
      <c r="DF368" s="392"/>
      <c r="DG368" s="392"/>
      <c r="DH368" s="392"/>
      <c r="DI368" s="392"/>
      <c r="DJ368" s="392"/>
      <c r="DK368" s="392"/>
      <c r="DL368" s="392"/>
      <c r="DM368" s="392"/>
      <c r="DN368" s="392"/>
      <c r="DO368" s="392"/>
      <c r="DP368" s="392"/>
      <c r="DQ368" s="392"/>
      <c r="DR368" s="392"/>
      <c r="DS368" s="392"/>
      <c r="DT368" s="392"/>
      <c r="DU368" s="392"/>
      <c r="DV368" s="392"/>
      <c r="DW368" s="392"/>
      <c r="DX368" s="392"/>
      <c r="DY368" s="392"/>
      <c r="DZ368" s="392"/>
      <c r="EA368" s="392"/>
      <c r="EB368" s="392"/>
      <c r="EC368" s="392"/>
      <c r="ED368" s="392"/>
      <c r="EE368" s="392"/>
      <c r="EF368" s="392"/>
      <c r="EG368" s="392"/>
      <c r="EH368" s="392"/>
      <c r="EI368" s="392"/>
      <c r="EJ368" s="392"/>
      <c r="EK368" s="392"/>
      <c r="EL368" s="392"/>
      <c r="EM368" s="392"/>
      <c r="EN368" s="392"/>
      <c r="EO368" s="392"/>
      <c r="EP368" s="392"/>
      <c r="EQ368" s="392"/>
      <c r="ER368" s="392"/>
      <c r="ES368" s="392"/>
      <c r="ET368" s="392"/>
      <c r="EU368" s="392"/>
      <c r="EV368" s="392"/>
      <c r="EW368" s="392"/>
      <c r="EX368" s="392"/>
      <c r="EY368" s="392"/>
      <c r="EZ368" s="392"/>
      <c r="FA368" s="392"/>
      <c r="FB368" s="392"/>
      <c r="FC368" s="392"/>
      <c r="FD368" s="392"/>
      <c r="FE368" s="392"/>
      <c r="FF368" s="392"/>
      <c r="FG368" s="392"/>
      <c r="FH368" s="392"/>
      <c r="FI368" s="392"/>
      <c r="FJ368" s="392"/>
      <c r="FK368" s="392"/>
      <c r="FL368" s="392"/>
      <c r="FM368" s="392"/>
      <c r="FN368" s="392"/>
      <c r="FO368" s="392"/>
      <c r="FP368" s="392"/>
      <c r="FQ368" s="392"/>
      <c r="FR368" s="392"/>
      <c r="FS368" s="392"/>
      <c r="FT368" s="392"/>
      <c r="FU368" s="392"/>
      <c r="FV368" s="392"/>
      <c r="FW368" s="392"/>
      <c r="FX368" s="392"/>
      <c r="FY368" s="392"/>
      <c r="FZ368" s="392"/>
      <c r="GA368" s="392"/>
      <c r="GB368" s="392"/>
      <c r="GC368" s="392"/>
      <c r="GD368" s="392"/>
      <c r="GE368" s="392"/>
      <c r="GF368" s="392"/>
      <c r="GG368" s="392"/>
      <c r="GH368" s="392"/>
      <c r="GI368" s="392"/>
      <c r="GJ368" s="392"/>
      <c r="GK368" s="392"/>
      <c r="GL368" s="392"/>
      <c r="GM368" s="392"/>
      <c r="GN368" s="392"/>
      <c r="GO368" s="392"/>
      <c r="GP368" s="392"/>
      <c r="GQ368" s="392"/>
      <c r="GR368" s="392"/>
      <c r="GS368" s="392"/>
      <c r="GT368" s="392"/>
      <c r="GU368" s="392"/>
      <c r="GV368" s="392"/>
      <c r="GW368" s="392"/>
      <c r="GX368" s="392"/>
      <c r="GY368" s="392"/>
      <c r="GZ368" s="392"/>
      <c r="HA368" s="392"/>
      <c r="HB368" s="392"/>
      <c r="HC368" s="392"/>
      <c r="HD368" s="392"/>
      <c r="HE368" s="392"/>
      <c r="HF368" s="392"/>
      <c r="HG368" s="392"/>
      <c r="HH368" s="392"/>
      <c r="HI368" s="392"/>
      <c r="HJ368" s="392"/>
      <c r="HK368" s="392"/>
      <c r="HL368" s="392"/>
      <c r="HM368" s="392"/>
      <c r="HN368" s="392"/>
      <c r="HO368" s="392"/>
      <c r="HP368" s="392"/>
      <c r="HQ368" s="392"/>
      <c r="HR368" s="392"/>
      <c r="HS368" s="392"/>
      <c r="HT368" s="392"/>
      <c r="HU368" s="392"/>
      <c r="HV368" s="392"/>
      <c r="HW368" s="392"/>
      <c r="HX368" s="392"/>
      <c r="HY368" s="392"/>
      <c r="HZ368" s="392"/>
      <c r="IA368" s="392"/>
      <c r="IB368" s="392"/>
      <c r="IC368" s="392"/>
      <c r="ID368" s="392"/>
      <c r="IE368" s="392"/>
      <c r="IF368" s="392"/>
      <c r="IG368" s="392"/>
      <c r="IH368" s="392"/>
      <c r="II368" s="392"/>
      <c r="IJ368" s="392"/>
      <c r="IK368" s="392"/>
      <c r="IL368" s="392"/>
      <c r="IM368" s="392"/>
      <c r="IN368" s="392"/>
      <c r="IO368" s="392"/>
      <c r="IP368" s="392"/>
      <c r="IQ368" s="392"/>
      <c r="IR368" s="392"/>
      <c r="IS368" s="392"/>
      <c r="IT368" s="392"/>
      <c r="IU368" s="392"/>
      <c r="IV368" s="392"/>
    </row>
    <row r="369" spans="1:256">
      <c r="A369" s="392"/>
      <c r="B369" s="543" t="s">
        <v>646</v>
      </c>
      <c r="C369" s="520" t="s">
        <v>647</v>
      </c>
      <c r="D369" s="544" t="s">
        <v>22</v>
      </c>
      <c r="E369" s="545">
        <v>1</v>
      </c>
      <c r="F369" s="546" t="e">
        <f>G325</f>
        <v>#REF!</v>
      </c>
      <c r="G369" s="512" t="e">
        <f>TRUNC(F369*E369,2)</f>
        <v>#REF!</v>
      </c>
      <c r="H369" s="392" t="s">
        <v>410</v>
      </c>
      <c r="I369" s="392"/>
      <c r="J369" s="392"/>
      <c r="K369" s="392"/>
      <c r="L369" s="392"/>
      <c r="M369" s="392"/>
      <c r="N369" s="392"/>
      <c r="O369" s="392"/>
      <c r="P369" s="392"/>
      <c r="Q369" s="392"/>
      <c r="R369" s="392"/>
      <c r="S369" s="392"/>
      <c r="T369" s="392"/>
      <c r="U369" s="392"/>
      <c r="V369" s="392"/>
      <c r="W369" s="392"/>
      <c r="X369" s="392"/>
      <c r="Y369" s="392"/>
      <c r="Z369" s="392"/>
      <c r="AA369" s="392"/>
      <c r="AB369" s="392"/>
      <c r="AC369" s="392"/>
      <c r="AD369" s="392"/>
      <c r="AE369" s="392"/>
      <c r="AF369" s="392"/>
      <c r="AG369" s="392"/>
      <c r="AH369" s="392"/>
      <c r="AI369" s="392"/>
      <c r="AJ369" s="392"/>
      <c r="AK369" s="392"/>
      <c r="AL369" s="392"/>
      <c r="AM369" s="392"/>
      <c r="AN369" s="392"/>
      <c r="AO369" s="392"/>
      <c r="AP369" s="392"/>
      <c r="AQ369" s="392"/>
      <c r="AR369" s="392"/>
      <c r="AS369" s="392"/>
      <c r="AT369" s="392"/>
      <c r="AU369" s="392"/>
      <c r="AV369" s="392"/>
      <c r="AW369" s="392"/>
      <c r="AX369" s="392"/>
      <c r="AY369" s="392"/>
      <c r="AZ369" s="392"/>
      <c r="BA369" s="392"/>
      <c r="BB369" s="392"/>
      <c r="BC369" s="392"/>
      <c r="BD369" s="392"/>
      <c r="BE369" s="392"/>
      <c r="BF369" s="392"/>
      <c r="BG369" s="392"/>
      <c r="BH369" s="392"/>
      <c r="BI369" s="392"/>
      <c r="BJ369" s="392"/>
      <c r="BK369" s="392"/>
      <c r="BL369" s="392"/>
      <c r="BM369" s="392"/>
      <c r="BN369" s="392"/>
      <c r="BO369" s="392"/>
      <c r="BP369" s="392"/>
      <c r="BQ369" s="392"/>
      <c r="BR369" s="392"/>
      <c r="BS369" s="392"/>
      <c r="BT369" s="392"/>
      <c r="BU369" s="392"/>
      <c r="BV369" s="392"/>
      <c r="BW369" s="392"/>
      <c r="BX369" s="392"/>
      <c r="BY369" s="392"/>
      <c r="BZ369" s="392"/>
      <c r="CA369" s="392"/>
      <c r="CB369" s="392"/>
      <c r="CC369" s="392"/>
      <c r="CD369" s="392"/>
      <c r="CE369" s="392"/>
      <c r="CF369" s="392"/>
      <c r="CG369" s="392"/>
      <c r="CH369" s="392"/>
      <c r="CI369" s="392"/>
      <c r="CJ369" s="392"/>
      <c r="CK369" s="392"/>
      <c r="CL369" s="392"/>
      <c r="CM369" s="392"/>
      <c r="CN369" s="392"/>
      <c r="CO369" s="392"/>
      <c r="CP369" s="392"/>
      <c r="CQ369" s="392"/>
      <c r="CR369" s="392"/>
      <c r="CS369" s="392"/>
      <c r="CT369" s="392"/>
      <c r="CU369" s="392"/>
      <c r="CV369" s="392"/>
      <c r="CW369" s="392"/>
      <c r="CX369" s="392"/>
      <c r="CY369" s="392"/>
      <c r="CZ369" s="392"/>
      <c r="DA369" s="392"/>
      <c r="DB369" s="392"/>
      <c r="DC369" s="392"/>
      <c r="DD369" s="392"/>
      <c r="DE369" s="392"/>
      <c r="DF369" s="392"/>
      <c r="DG369" s="392"/>
      <c r="DH369" s="392"/>
      <c r="DI369" s="392"/>
      <c r="DJ369" s="392"/>
      <c r="DK369" s="392"/>
      <c r="DL369" s="392"/>
      <c r="DM369" s="392"/>
      <c r="DN369" s="392"/>
      <c r="DO369" s="392"/>
      <c r="DP369" s="392"/>
      <c r="DQ369" s="392"/>
      <c r="DR369" s="392"/>
      <c r="DS369" s="392"/>
      <c r="DT369" s="392"/>
      <c r="DU369" s="392"/>
      <c r="DV369" s="392"/>
      <c r="DW369" s="392"/>
      <c r="DX369" s="392"/>
      <c r="DY369" s="392"/>
      <c r="DZ369" s="392"/>
      <c r="EA369" s="392"/>
      <c r="EB369" s="392"/>
      <c r="EC369" s="392"/>
      <c r="ED369" s="392"/>
      <c r="EE369" s="392"/>
      <c r="EF369" s="392"/>
      <c r="EG369" s="392"/>
      <c r="EH369" s="392"/>
      <c r="EI369" s="392"/>
      <c r="EJ369" s="392"/>
      <c r="EK369" s="392"/>
      <c r="EL369" s="392"/>
      <c r="EM369" s="392"/>
      <c r="EN369" s="392"/>
      <c r="EO369" s="392"/>
      <c r="EP369" s="392"/>
      <c r="EQ369" s="392"/>
      <c r="ER369" s="392"/>
      <c r="ES369" s="392"/>
      <c r="ET369" s="392"/>
      <c r="EU369" s="392"/>
      <c r="EV369" s="392"/>
      <c r="EW369" s="392"/>
      <c r="EX369" s="392"/>
      <c r="EY369" s="392"/>
      <c r="EZ369" s="392"/>
      <c r="FA369" s="392"/>
      <c r="FB369" s="392"/>
      <c r="FC369" s="392"/>
      <c r="FD369" s="392"/>
      <c r="FE369" s="392"/>
      <c r="FF369" s="392"/>
      <c r="FG369" s="392"/>
      <c r="FH369" s="392"/>
      <c r="FI369" s="392"/>
      <c r="FJ369" s="392"/>
      <c r="FK369" s="392"/>
      <c r="FL369" s="392"/>
      <c r="FM369" s="392"/>
      <c r="FN369" s="392"/>
      <c r="FO369" s="392"/>
      <c r="FP369" s="392"/>
      <c r="FQ369" s="392"/>
      <c r="FR369" s="392"/>
      <c r="FS369" s="392"/>
      <c r="FT369" s="392"/>
      <c r="FU369" s="392"/>
      <c r="FV369" s="392"/>
      <c r="FW369" s="392"/>
      <c r="FX369" s="392"/>
      <c r="FY369" s="392"/>
      <c r="FZ369" s="392"/>
      <c r="GA369" s="392"/>
      <c r="GB369" s="392"/>
      <c r="GC369" s="392"/>
      <c r="GD369" s="392"/>
      <c r="GE369" s="392"/>
      <c r="GF369" s="392"/>
      <c r="GG369" s="392"/>
      <c r="GH369" s="392"/>
      <c r="GI369" s="392"/>
      <c r="GJ369" s="392"/>
      <c r="GK369" s="392"/>
      <c r="GL369" s="392"/>
      <c r="GM369" s="392"/>
      <c r="GN369" s="392"/>
      <c r="GO369" s="392"/>
      <c r="GP369" s="392"/>
      <c r="GQ369" s="392"/>
      <c r="GR369" s="392"/>
      <c r="GS369" s="392"/>
      <c r="GT369" s="392"/>
      <c r="GU369" s="392"/>
      <c r="GV369" s="392"/>
      <c r="GW369" s="392"/>
      <c r="GX369" s="392"/>
      <c r="GY369" s="392"/>
      <c r="GZ369" s="392"/>
      <c r="HA369" s="392"/>
      <c r="HB369" s="392"/>
      <c r="HC369" s="392"/>
      <c r="HD369" s="392"/>
      <c r="HE369" s="392"/>
      <c r="HF369" s="392"/>
      <c r="HG369" s="392"/>
      <c r="HH369" s="392"/>
      <c r="HI369" s="392"/>
      <c r="HJ369" s="392"/>
      <c r="HK369" s="392"/>
      <c r="HL369" s="392"/>
      <c r="HM369" s="392"/>
      <c r="HN369" s="392"/>
      <c r="HO369" s="392"/>
      <c r="HP369" s="392"/>
      <c r="HQ369" s="392"/>
      <c r="HR369" s="392"/>
      <c r="HS369" s="392"/>
      <c r="HT369" s="392"/>
      <c r="HU369" s="392"/>
      <c r="HV369" s="392"/>
      <c r="HW369" s="392"/>
      <c r="HX369" s="392"/>
      <c r="HY369" s="392"/>
      <c r="HZ369" s="392"/>
      <c r="IA369" s="392"/>
      <c r="IB369" s="392"/>
      <c r="IC369" s="392"/>
      <c r="ID369" s="392"/>
      <c r="IE369" s="392"/>
      <c r="IF369" s="392"/>
      <c r="IG369" s="392"/>
      <c r="IH369" s="392"/>
      <c r="II369" s="392"/>
      <c r="IJ369" s="392"/>
      <c r="IK369" s="392"/>
      <c r="IL369" s="392"/>
      <c r="IM369" s="392"/>
      <c r="IN369" s="392"/>
      <c r="IO369" s="392"/>
      <c r="IP369" s="392"/>
      <c r="IQ369" s="392"/>
      <c r="IR369" s="392"/>
      <c r="IS369" s="392"/>
      <c r="IT369" s="392"/>
      <c r="IU369" s="392"/>
      <c r="IV369" s="392"/>
    </row>
    <row r="370" spans="1:256">
      <c r="A370" s="392"/>
      <c r="B370" s="543" t="s">
        <v>650</v>
      </c>
      <c r="C370" s="520" t="s">
        <v>651</v>
      </c>
      <c r="D370" s="544" t="s">
        <v>22</v>
      </c>
      <c r="E370" s="545">
        <v>1</v>
      </c>
      <c r="F370" s="546" t="e">
        <f>G332</f>
        <v>#REF!</v>
      </c>
      <c r="G370" s="512" t="e">
        <f>TRUNC(F370*E370,2)</f>
        <v>#REF!</v>
      </c>
      <c r="H370" s="392" t="s">
        <v>410</v>
      </c>
      <c r="I370" s="392"/>
      <c r="J370" s="392"/>
      <c r="K370" s="392"/>
      <c r="L370" s="392"/>
      <c r="M370" s="392"/>
      <c r="N370" s="392"/>
      <c r="O370" s="392"/>
      <c r="P370" s="392"/>
      <c r="Q370" s="392"/>
      <c r="R370" s="392"/>
      <c r="S370" s="392"/>
      <c r="T370" s="392"/>
      <c r="U370" s="392"/>
      <c r="V370" s="392"/>
      <c r="W370" s="392"/>
      <c r="X370" s="392"/>
      <c r="Y370" s="392"/>
      <c r="Z370" s="392"/>
      <c r="AA370" s="392"/>
      <c r="AB370" s="392"/>
      <c r="AC370" s="392"/>
      <c r="AD370" s="392"/>
      <c r="AE370" s="392"/>
      <c r="AF370" s="392"/>
      <c r="AG370" s="392"/>
      <c r="AH370" s="392"/>
      <c r="AI370" s="392"/>
      <c r="AJ370" s="392"/>
      <c r="AK370" s="392"/>
      <c r="AL370" s="392"/>
      <c r="AM370" s="392"/>
      <c r="AN370" s="392"/>
      <c r="AO370" s="392"/>
      <c r="AP370" s="392"/>
      <c r="AQ370" s="392"/>
      <c r="AR370" s="392"/>
      <c r="AS370" s="392"/>
      <c r="AT370" s="392"/>
      <c r="AU370" s="392"/>
      <c r="AV370" s="392"/>
      <c r="AW370" s="392"/>
      <c r="AX370" s="392"/>
      <c r="AY370" s="392"/>
      <c r="AZ370" s="392"/>
      <c r="BA370" s="392"/>
      <c r="BB370" s="392"/>
      <c r="BC370" s="392"/>
      <c r="BD370" s="392"/>
      <c r="BE370" s="392"/>
      <c r="BF370" s="392"/>
      <c r="BG370" s="392"/>
      <c r="BH370" s="392"/>
      <c r="BI370" s="392"/>
      <c r="BJ370" s="392"/>
      <c r="BK370" s="392"/>
      <c r="BL370" s="392"/>
      <c r="BM370" s="392"/>
      <c r="BN370" s="392"/>
      <c r="BO370" s="392"/>
      <c r="BP370" s="392"/>
      <c r="BQ370" s="392"/>
      <c r="BR370" s="392"/>
      <c r="BS370" s="392"/>
      <c r="BT370" s="392"/>
      <c r="BU370" s="392"/>
      <c r="BV370" s="392"/>
      <c r="BW370" s="392"/>
      <c r="BX370" s="392"/>
      <c r="BY370" s="392"/>
      <c r="BZ370" s="392"/>
      <c r="CA370" s="392"/>
      <c r="CB370" s="392"/>
      <c r="CC370" s="392"/>
      <c r="CD370" s="392"/>
      <c r="CE370" s="392"/>
      <c r="CF370" s="392"/>
      <c r="CG370" s="392"/>
      <c r="CH370" s="392"/>
      <c r="CI370" s="392"/>
      <c r="CJ370" s="392"/>
      <c r="CK370" s="392"/>
      <c r="CL370" s="392"/>
      <c r="CM370" s="392"/>
      <c r="CN370" s="392"/>
      <c r="CO370" s="392"/>
      <c r="CP370" s="392"/>
      <c r="CQ370" s="392"/>
      <c r="CR370" s="392"/>
      <c r="CS370" s="392"/>
      <c r="CT370" s="392"/>
      <c r="CU370" s="392"/>
      <c r="CV370" s="392"/>
      <c r="CW370" s="392"/>
      <c r="CX370" s="392"/>
      <c r="CY370" s="392"/>
      <c r="CZ370" s="392"/>
      <c r="DA370" s="392"/>
      <c r="DB370" s="392"/>
      <c r="DC370" s="392"/>
      <c r="DD370" s="392"/>
      <c r="DE370" s="392"/>
      <c r="DF370" s="392"/>
      <c r="DG370" s="392"/>
      <c r="DH370" s="392"/>
      <c r="DI370" s="392"/>
      <c r="DJ370" s="392"/>
      <c r="DK370" s="392"/>
      <c r="DL370" s="392"/>
      <c r="DM370" s="392"/>
      <c r="DN370" s="392"/>
      <c r="DO370" s="392"/>
      <c r="DP370" s="392"/>
      <c r="DQ370" s="392"/>
      <c r="DR370" s="392"/>
      <c r="DS370" s="392"/>
      <c r="DT370" s="392"/>
      <c r="DU370" s="392"/>
      <c r="DV370" s="392"/>
      <c r="DW370" s="392"/>
      <c r="DX370" s="392"/>
      <c r="DY370" s="392"/>
      <c r="DZ370" s="392"/>
      <c r="EA370" s="392"/>
      <c r="EB370" s="392"/>
      <c r="EC370" s="392"/>
      <c r="ED370" s="392"/>
      <c r="EE370" s="392"/>
      <c r="EF370" s="392"/>
      <c r="EG370" s="392"/>
      <c r="EH370" s="392"/>
      <c r="EI370" s="392"/>
      <c r="EJ370" s="392"/>
      <c r="EK370" s="392"/>
      <c r="EL370" s="392"/>
      <c r="EM370" s="392"/>
      <c r="EN370" s="392"/>
      <c r="EO370" s="392"/>
      <c r="EP370" s="392"/>
      <c r="EQ370" s="392"/>
      <c r="ER370" s="392"/>
      <c r="ES370" s="392"/>
      <c r="ET370" s="392"/>
      <c r="EU370" s="392"/>
      <c r="EV370" s="392"/>
      <c r="EW370" s="392"/>
      <c r="EX370" s="392"/>
      <c r="EY370" s="392"/>
      <c r="EZ370" s="392"/>
      <c r="FA370" s="392"/>
      <c r="FB370" s="392"/>
      <c r="FC370" s="392"/>
      <c r="FD370" s="392"/>
      <c r="FE370" s="392"/>
      <c r="FF370" s="392"/>
      <c r="FG370" s="392"/>
      <c r="FH370" s="392"/>
      <c r="FI370" s="392"/>
      <c r="FJ370" s="392"/>
      <c r="FK370" s="392"/>
      <c r="FL370" s="392"/>
      <c r="FM370" s="392"/>
      <c r="FN370" s="392"/>
      <c r="FO370" s="392"/>
      <c r="FP370" s="392"/>
      <c r="FQ370" s="392"/>
      <c r="FR370" s="392"/>
      <c r="FS370" s="392"/>
      <c r="FT370" s="392"/>
      <c r="FU370" s="392"/>
      <c r="FV370" s="392"/>
      <c r="FW370" s="392"/>
      <c r="FX370" s="392"/>
      <c r="FY370" s="392"/>
      <c r="FZ370" s="392"/>
      <c r="GA370" s="392"/>
      <c r="GB370" s="392"/>
      <c r="GC370" s="392"/>
      <c r="GD370" s="392"/>
      <c r="GE370" s="392"/>
      <c r="GF370" s="392"/>
      <c r="GG370" s="392"/>
      <c r="GH370" s="392"/>
      <c r="GI370" s="392"/>
      <c r="GJ370" s="392"/>
      <c r="GK370" s="392"/>
      <c r="GL370" s="392"/>
      <c r="GM370" s="392"/>
      <c r="GN370" s="392"/>
      <c r="GO370" s="392"/>
      <c r="GP370" s="392"/>
      <c r="GQ370" s="392"/>
      <c r="GR370" s="392"/>
      <c r="GS370" s="392"/>
      <c r="GT370" s="392"/>
      <c r="GU370" s="392"/>
      <c r="GV370" s="392"/>
      <c r="GW370" s="392"/>
      <c r="GX370" s="392"/>
      <c r="GY370" s="392"/>
      <c r="GZ370" s="392"/>
      <c r="HA370" s="392"/>
      <c r="HB370" s="392"/>
      <c r="HC370" s="392"/>
      <c r="HD370" s="392"/>
      <c r="HE370" s="392"/>
      <c r="HF370" s="392"/>
      <c r="HG370" s="392"/>
      <c r="HH370" s="392"/>
      <c r="HI370" s="392"/>
      <c r="HJ370" s="392"/>
      <c r="HK370" s="392"/>
      <c r="HL370" s="392"/>
      <c r="HM370" s="392"/>
      <c r="HN370" s="392"/>
      <c r="HO370" s="392"/>
      <c r="HP370" s="392"/>
      <c r="HQ370" s="392"/>
      <c r="HR370" s="392"/>
      <c r="HS370" s="392"/>
      <c r="HT370" s="392"/>
      <c r="HU370" s="392"/>
      <c r="HV370" s="392"/>
      <c r="HW370" s="392"/>
      <c r="HX370" s="392"/>
      <c r="HY370" s="392"/>
      <c r="HZ370" s="392"/>
      <c r="IA370" s="392"/>
      <c r="IB370" s="392"/>
      <c r="IC370" s="392"/>
      <c r="ID370" s="392"/>
      <c r="IE370" s="392"/>
      <c r="IF370" s="392"/>
      <c r="IG370" s="392"/>
      <c r="IH370" s="392"/>
      <c r="II370" s="392"/>
      <c r="IJ370" s="392"/>
      <c r="IK370" s="392"/>
      <c r="IL370" s="392"/>
      <c r="IM370" s="392"/>
      <c r="IN370" s="392"/>
      <c r="IO370" s="392"/>
      <c r="IP370" s="392"/>
      <c r="IQ370" s="392"/>
      <c r="IR370" s="392"/>
      <c r="IS370" s="392"/>
      <c r="IT370" s="392"/>
      <c r="IU370" s="392"/>
      <c r="IV370" s="392"/>
    </row>
    <row r="371" spans="1:256">
      <c r="A371" s="392"/>
      <c r="B371" s="543" t="str">
        <f>B334</f>
        <v>EQ. INFANTIL 03</v>
      </c>
      <c r="C371" s="520" t="str">
        <f>C334</f>
        <v>ESCALADA INCLUSIVE BASE DE SUPORTE E INSTALAÇÃO</v>
      </c>
      <c r="D371" s="544" t="s">
        <v>22</v>
      </c>
      <c r="E371" s="545">
        <v>1</v>
      </c>
      <c r="F371" s="546" t="e">
        <f>G339</f>
        <v>#REF!</v>
      </c>
      <c r="G371" s="512" t="e">
        <f>TRUNC(F371*E371,2)</f>
        <v>#REF!</v>
      </c>
      <c r="H371" s="392" t="s">
        <v>410</v>
      </c>
      <c r="I371" s="392"/>
      <c r="J371" s="392"/>
      <c r="K371" s="392"/>
      <c r="L371" s="392"/>
      <c r="M371" s="392"/>
      <c r="N371" s="392"/>
      <c r="O371" s="392"/>
      <c r="P371" s="392"/>
      <c r="Q371" s="392"/>
      <c r="R371" s="392"/>
      <c r="S371" s="392"/>
      <c r="T371" s="392"/>
      <c r="U371" s="392"/>
      <c r="V371" s="392"/>
      <c r="W371" s="392"/>
      <c r="X371" s="392"/>
      <c r="Y371" s="392"/>
      <c r="Z371" s="392"/>
      <c r="AA371" s="392"/>
      <c r="AB371" s="392"/>
      <c r="AC371" s="392"/>
      <c r="AD371" s="392"/>
      <c r="AE371" s="392"/>
      <c r="AF371" s="392"/>
      <c r="AG371" s="392"/>
      <c r="AH371" s="392"/>
      <c r="AI371" s="392"/>
      <c r="AJ371" s="392"/>
      <c r="AK371" s="392"/>
      <c r="AL371" s="392"/>
      <c r="AM371" s="392"/>
      <c r="AN371" s="392"/>
      <c r="AO371" s="392"/>
      <c r="AP371" s="392"/>
      <c r="AQ371" s="392"/>
      <c r="AR371" s="392"/>
      <c r="AS371" s="392"/>
      <c r="AT371" s="392"/>
      <c r="AU371" s="392"/>
      <c r="AV371" s="392"/>
      <c r="AW371" s="392"/>
      <c r="AX371" s="392"/>
      <c r="AY371" s="392"/>
      <c r="AZ371" s="392"/>
      <c r="BA371" s="392"/>
      <c r="BB371" s="392"/>
      <c r="BC371" s="392"/>
      <c r="BD371" s="392"/>
      <c r="BE371" s="392"/>
      <c r="BF371" s="392"/>
      <c r="BG371" s="392"/>
      <c r="BH371" s="392"/>
      <c r="BI371" s="392"/>
      <c r="BJ371" s="392"/>
      <c r="BK371" s="392"/>
      <c r="BL371" s="392"/>
      <c r="BM371" s="392"/>
      <c r="BN371" s="392"/>
      <c r="BO371" s="392"/>
      <c r="BP371" s="392"/>
      <c r="BQ371" s="392"/>
      <c r="BR371" s="392"/>
      <c r="BS371" s="392"/>
      <c r="BT371" s="392"/>
      <c r="BU371" s="392"/>
      <c r="BV371" s="392"/>
      <c r="BW371" s="392"/>
      <c r="BX371" s="392"/>
      <c r="BY371" s="392"/>
      <c r="BZ371" s="392"/>
      <c r="CA371" s="392"/>
      <c r="CB371" s="392"/>
      <c r="CC371" s="392"/>
      <c r="CD371" s="392"/>
      <c r="CE371" s="392"/>
      <c r="CF371" s="392"/>
      <c r="CG371" s="392"/>
      <c r="CH371" s="392"/>
      <c r="CI371" s="392"/>
      <c r="CJ371" s="392"/>
      <c r="CK371" s="392"/>
      <c r="CL371" s="392"/>
      <c r="CM371" s="392"/>
      <c r="CN371" s="392"/>
      <c r="CO371" s="392"/>
      <c r="CP371" s="392"/>
      <c r="CQ371" s="392"/>
      <c r="CR371" s="392"/>
      <c r="CS371" s="392"/>
      <c r="CT371" s="392"/>
      <c r="CU371" s="392"/>
      <c r="CV371" s="392"/>
      <c r="CW371" s="392"/>
      <c r="CX371" s="392"/>
      <c r="CY371" s="392"/>
      <c r="CZ371" s="392"/>
      <c r="DA371" s="392"/>
      <c r="DB371" s="392"/>
      <c r="DC371" s="392"/>
      <c r="DD371" s="392"/>
      <c r="DE371" s="392"/>
      <c r="DF371" s="392"/>
      <c r="DG371" s="392"/>
      <c r="DH371" s="392"/>
      <c r="DI371" s="392"/>
      <c r="DJ371" s="392"/>
      <c r="DK371" s="392"/>
      <c r="DL371" s="392"/>
      <c r="DM371" s="392"/>
      <c r="DN371" s="392"/>
      <c r="DO371" s="392"/>
      <c r="DP371" s="392"/>
      <c r="DQ371" s="392"/>
      <c r="DR371" s="392"/>
      <c r="DS371" s="392"/>
      <c r="DT371" s="392"/>
      <c r="DU371" s="392"/>
      <c r="DV371" s="392"/>
      <c r="DW371" s="392"/>
      <c r="DX371" s="392"/>
      <c r="DY371" s="392"/>
      <c r="DZ371" s="392"/>
      <c r="EA371" s="392"/>
      <c r="EB371" s="392"/>
      <c r="EC371" s="392"/>
      <c r="ED371" s="392"/>
      <c r="EE371" s="392"/>
      <c r="EF371" s="392"/>
      <c r="EG371" s="392"/>
      <c r="EH371" s="392"/>
      <c r="EI371" s="392"/>
      <c r="EJ371" s="392"/>
      <c r="EK371" s="392"/>
      <c r="EL371" s="392"/>
      <c r="EM371" s="392"/>
      <c r="EN371" s="392"/>
      <c r="EO371" s="392"/>
      <c r="EP371" s="392"/>
      <c r="EQ371" s="392"/>
      <c r="ER371" s="392"/>
      <c r="ES371" s="392"/>
      <c r="ET371" s="392"/>
      <c r="EU371" s="392"/>
      <c r="EV371" s="392"/>
      <c r="EW371" s="392"/>
      <c r="EX371" s="392"/>
      <c r="EY371" s="392"/>
      <c r="EZ371" s="392"/>
      <c r="FA371" s="392"/>
      <c r="FB371" s="392"/>
      <c r="FC371" s="392"/>
      <c r="FD371" s="392"/>
      <c r="FE371" s="392"/>
      <c r="FF371" s="392"/>
      <c r="FG371" s="392"/>
      <c r="FH371" s="392"/>
      <c r="FI371" s="392"/>
      <c r="FJ371" s="392"/>
      <c r="FK371" s="392"/>
      <c r="FL371" s="392"/>
      <c r="FM371" s="392"/>
      <c r="FN371" s="392"/>
      <c r="FO371" s="392"/>
      <c r="FP371" s="392"/>
      <c r="FQ371" s="392"/>
      <c r="FR371" s="392"/>
      <c r="FS371" s="392"/>
      <c r="FT371" s="392"/>
      <c r="FU371" s="392"/>
      <c r="FV371" s="392"/>
      <c r="FW371" s="392"/>
      <c r="FX371" s="392"/>
      <c r="FY371" s="392"/>
      <c r="FZ371" s="392"/>
      <c r="GA371" s="392"/>
      <c r="GB371" s="392"/>
      <c r="GC371" s="392"/>
      <c r="GD371" s="392"/>
      <c r="GE371" s="392"/>
      <c r="GF371" s="392"/>
      <c r="GG371" s="392"/>
      <c r="GH371" s="392"/>
      <c r="GI371" s="392"/>
      <c r="GJ371" s="392"/>
      <c r="GK371" s="392"/>
      <c r="GL371" s="392"/>
      <c r="GM371" s="392"/>
      <c r="GN371" s="392"/>
      <c r="GO371" s="392"/>
      <c r="GP371" s="392"/>
      <c r="GQ371" s="392"/>
      <c r="GR371" s="392"/>
      <c r="GS371" s="392"/>
      <c r="GT371" s="392"/>
      <c r="GU371" s="392"/>
      <c r="GV371" s="392"/>
      <c r="GW371" s="392"/>
      <c r="GX371" s="392"/>
      <c r="GY371" s="392"/>
      <c r="GZ371" s="392"/>
      <c r="HA371" s="392"/>
      <c r="HB371" s="392"/>
      <c r="HC371" s="392"/>
      <c r="HD371" s="392"/>
      <c r="HE371" s="392"/>
      <c r="HF371" s="392"/>
      <c r="HG371" s="392"/>
      <c r="HH371" s="392"/>
      <c r="HI371" s="392"/>
      <c r="HJ371" s="392"/>
      <c r="HK371" s="392"/>
      <c r="HL371" s="392"/>
      <c r="HM371" s="392"/>
      <c r="HN371" s="392"/>
      <c r="HO371" s="392"/>
      <c r="HP371" s="392"/>
      <c r="HQ371" s="392"/>
      <c r="HR371" s="392"/>
      <c r="HS371" s="392"/>
      <c r="HT371" s="392"/>
      <c r="HU371" s="392"/>
      <c r="HV371" s="392"/>
      <c r="HW371" s="392"/>
      <c r="HX371" s="392"/>
      <c r="HY371" s="392"/>
      <c r="HZ371" s="392"/>
      <c r="IA371" s="392"/>
      <c r="IB371" s="392"/>
      <c r="IC371" s="392"/>
      <c r="ID371" s="392"/>
      <c r="IE371" s="392"/>
      <c r="IF371" s="392"/>
      <c r="IG371" s="392"/>
      <c r="IH371" s="392"/>
      <c r="II371" s="392"/>
      <c r="IJ371" s="392"/>
      <c r="IK371" s="392"/>
      <c r="IL371" s="392"/>
      <c r="IM371" s="392"/>
      <c r="IN371" s="392"/>
      <c r="IO371" s="392"/>
      <c r="IP371" s="392"/>
      <c r="IQ371" s="392"/>
      <c r="IR371" s="392"/>
      <c r="IS371" s="392"/>
      <c r="IT371" s="392"/>
      <c r="IU371" s="392"/>
      <c r="IV371" s="392"/>
    </row>
    <row r="372" spans="1:256" ht="30" customHeight="1" thickBot="1">
      <c r="A372" s="392"/>
      <c r="B372" s="548" t="s">
        <v>654</v>
      </c>
      <c r="C372" s="514" t="s">
        <v>655</v>
      </c>
      <c r="D372" s="549" t="s">
        <v>22</v>
      </c>
      <c r="E372" s="550">
        <v>1</v>
      </c>
      <c r="F372" s="551" t="e">
        <f>G347</f>
        <v>#REF!</v>
      </c>
      <c r="G372" s="552" t="e">
        <f>TRUNC(F372*E372,2)</f>
        <v>#REF!</v>
      </c>
      <c r="H372" s="392" t="s">
        <v>410</v>
      </c>
      <c r="I372" s="392"/>
      <c r="J372" s="392"/>
      <c r="K372" s="392"/>
      <c r="L372" s="392"/>
      <c r="M372" s="392"/>
      <c r="N372" s="392"/>
      <c r="O372" s="392"/>
      <c r="P372" s="392"/>
      <c r="Q372" s="392"/>
      <c r="R372" s="392"/>
      <c r="S372" s="392"/>
      <c r="T372" s="392"/>
      <c r="U372" s="392"/>
      <c r="V372" s="392"/>
      <c r="W372" s="392"/>
      <c r="X372" s="392"/>
      <c r="Y372" s="392"/>
      <c r="Z372" s="392"/>
      <c r="AA372" s="392"/>
      <c r="AB372" s="392"/>
      <c r="AC372" s="392"/>
      <c r="AD372" s="392"/>
      <c r="AE372" s="392"/>
      <c r="AF372" s="392"/>
      <c r="AG372" s="392"/>
      <c r="AH372" s="392"/>
      <c r="AI372" s="392"/>
      <c r="AJ372" s="392"/>
      <c r="AK372" s="392"/>
      <c r="AL372" s="392"/>
      <c r="AM372" s="392"/>
      <c r="AN372" s="392"/>
      <c r="AO372" s="392"/>
      <c r="AP372" s="392"/>
      <c r="AQ372" s="392"/>
      <c r="AR372" s="392"/>
      <c r="AS372" s="392"/>
      <c r="AT372" s="392"/>
      <c r="AU372" s="392"/>
      <c r="AV372" s="392"/>
      <c r="AW372" s="392"/>
      <c r="AX372" s="392"/>
      <c r="AY372" s="392"/>
      <c r="AZ372" s="392"/>
      <c r="BA372" s="392"/>
      <c r="BB372" s="392"/>
      <c r="BC372" s="392"/>
      <c r="BD372" s="392"/>
      <c r="BE372" s="392"/>
      <c r="BF372" s="392"/>
      <c r="BG372" s="392"/>
      <c r="BH372" s="392"/>
      <c r="BI372" s="392"/>
      <c r="BJ372" s="392"/>
      <c r="BK372" s="392"/>
      <c r="BL372" s="392"/>
      <c r="BM372" s="392"/>
      <c r="BN372" s="392"/>
      <c r="BO372" s="392"/>
      <c r="BP372" s="392"/>
      <c r="BQ372" s="392"/>
      <c r="BR372" s="392"/>
      <c r="BS372" s="392"/>
      <c r="BT372" s="392"/>
      <c r="BU372" s="392"/>
      <c r="BV372" s="392"/>
      <c r="BW372" s="392"/>
      <c r="BX372" s="392"/>
      <c r="BY372" s="392"/>
      <c r="BZ372" s="392"/>
      <c r="CA372" s="392"/>
      <c r="CB372" s="392"/>
      <c r="CC372" s="392"/>
      <c r="CD372" s="392"/>
      <c r="CE372" s="392"/>
      <c r="CF372" s="392"/>
      <c r="CG372" s="392"/>
      <c r="CH372" s="392"/>
      <c r="CI372" s="392"/>
      <c r="CJ372" s="392"/>
      <c r="CK372" s="392"/>
      <c r="CL372" s="392"/>
      <c r="CM372" s="392"/>
      <c r="CN372" s="392"/>
      <c r="CO372" s="392"/>
      <c r="CP372" s="392"/>
      <c r="CQ372" s="392"/>
      <c r="CR372" s="392"/>
      <c r="CS372" s="392"/>
      <c r="CT372" s="392"/>
      <c r="CU372" s="392"/>
      <c r="CV372" s="392"/>
      <c r="CW372" s="392"/>
      <c r="CX372" s="392"/>
      <c r="CY372" s="392"/>
      <c r="CZ372" s="392"/>
      <c r="DA372" s="392"/>
      <c r="DB372" s="392"/>
      <c r="DC372" s="392"/>
      <c r="DD372" s="392"/>
      <c r="DE372" s="392"/>
      <c r="DF372" s="392"/>
      <c r="DG372" s="392"/>
      <c r="DH372" s="392"/>
      <c r="DI372" s="392"/>
      <c r="DJ372" s="392"/>
      <c r="DK372" s="392"/>
      <c r="DL372" s="392"/>
      <c r="DM372" s="392"/>
      <c r="DN372" s="392"/>
      <c r="DO372" s="392"/>
      <c r="DP372" s="392"/>
      <c r="DQ372" s="392"/>
      <c r="DR372" s="392"/>
      <c r="DS372" s="392"/>
      <c r="DT372" s="392"/>
      <c r="DU372" s="392"/>
      <c r="DV372" s="392"/>
      <c r="DW372" s="392"/>
      <c r="DX372" s="392"/>
      <c r="DY372" s="392"/>
      <c r="DZ372" s="392"/>
      <c r="EA372" s="392"/>
      <c r="EB372" s="392"/>
      <c r="EC372" s="392"/>
      <c r="ED372" s="392"/>
      <c r="EE372" s="392"/>
      <c r="EF372" s="392"/>
      <c r="EG372" s="392"/>
      <c r="EH372" s="392"/>
      <c r="EI372" s="392"/>
      <c r="EJ372" s="392"/>
      <c r="EK372" s="392"/>
      <c r="EL372" s="392"/>
      <c r="EM372" s="392"/>
      <c r="EN372" s="392"/>
      <c r="EO372" s="392"/>
      <c r="EP372" s="392"/>
      <c r="EQ372" s="392"/>
      <c r="ER372" s="392"/>
      <c r="ES372" s="392"/>
      <c r="ET372" s="392"/>
      <c r="EU372" s="392"/>
      <c r="EV372" s="392"/>
      <c r="EW372" s="392"/>
      <c r="EX372" s="392"/>
      <c r="EY372" s="392"/>
      <c r="EZ372" s="392"/>
      <c r="FA372" s="392"/>
      <c r="FB372" s="392"/>
      <c r="FC372" s="392"/>
      <c r="FD372" s="392"/>
      <c r="FE372" s="392"/>
      <c r="FF372" s="392"/>
      <c r="FG372" s="392"/>
      <c r="FH372" s="392"/>
      <c r="FI372" s="392"/>
      <c r="FJ372" s="392"/>
      <c r="FK372" s="392"/>
      <c r="FL372" s="392"/>
      <c r="FM372" s="392"/>
      <c r="FN372" s="392"/>
      <c r="FO372" s="392"/>
      <c r="FP372" s="392"/>
      <c r="FQ372" s="392"/>
      <c r="FR372" s="392"/>
      <c r="FS372" s="392"/>
      <c r="FT372" s="392"/>
      <c r="FU372" s="392"/>
      <c r="FV372" s="392"/>
      <c r="FW372" s="392"/>
      <c r="FX372" s="392"/>
      <c r="FY372" s="392"/>
      <c r="FZ372" s="392"/>
      <c r="GA372" s="392"/>
      <c r="GB372" s="392"/>
      <c r="GC372" s="392"/>
      <c r="GD372" s="392"/>
      <c r="GE372" s="392"/>
      <c r="GF372" s="392"/>
      <c r="GG372" s="392"/>
      <c r="GH372" s="392"/>
      <c r="GI372" s="392"/>
      <c r="GJ372" s="392"/>
      <c r="GK372" s="392"/>
      <c r="GL372" s="392"/>
      <c r="GM372" s="392"/>
      <c r="GN372" s="392"/>
      <c r="GO372" s="392"/>
      <c r="GP372" s="392"/>
      <c r="GQ372" s="392"/>
      <c r="GR372" s="392"/>
      <c r="GS372" s="392"/>
      <c r="GT372" s="392"/>
      <c r="GU372" s="392"/>
      <c r="GV372" s="392"/>
      <c r="GW372" s="392"/>
      <c r="GX372" s="392"/>
      <c r="GY372" s="392"/>
      <c r="GZ372" s="392"/>
      <c r="HA372" s="392"/>
      <c r="HB372" s="392"/>
      <c r="HC372" s="392"/>
      <c r="HD372" s="392"/>
      <c r="HE372" s="392"/>
      <c r="HF372" s="392"/>
      <c r="HG372" s="392"/>
      <c r="HH372" s="392"/>
      <c r="HI372" s="392"/>
      <c r="HJ372" s="392"/>
      <c r="HK372" s="392"/>
      <c r="HL372" s="392"/>
      <c r="HM372" s="392"/>
      <c r="HN372" s="392"/>
      <c r="HO372" s="392"/>
      <c r="HP372" s="392"/>
      <c r="HQ372" s="392"/>
      <c r="HR372" s="392"/>
      <c r="HS372" s="392"/>
      <c r="HT372" s="392"/>
      <c r="HU372" s="392"/>
      <c r="HV372" s="392"/>
      <c r="HW372" s="392"/>
      <c r="HX372" s="392"/>
      <c r="HY372" s="392"/>
      <c r="HZ372" s="392"/>
      <c r="IA372" s="392"/>
      <c r="IB372" s="392"/>
      <c r="IC372" s="392"/>
      <c r="ID372" s="392"/>
      <c r="IE372" s="392"/>
      <c r="IF372" s="392"/>
      <c r="IG372" s="392"/>
      <c r="IH372" s="392"/>
      <c r="II372" s="392"/>
      <c r="IJ372" s="392"/>
      <c r="IK372" s="392"/>
      <c r="IL372" s="392"/>
      <c r="IM372" s="392"/>
      <c r="IN372" s="392"/>
      <c r="IO372" s="392"/>
      <c r="IP372" s="392"/>
      <c r="IQ372" s="392"/>
      <c r="IR372" s="392"/>
      <c r="IS372" s="392"/>
      <c r="IT372" s="392"/>
      <c r="IU372" s="392"/>
      <c r="IV372" s="392"/>
    </row>
    <row r="373" spans="1:256" ht="16.5" thickBot="1">
      <c r="A373" s="392"/>
      <c r="B373" s="401"/>
      <c r="C373" s="440"/>
      <c r="D373" s="441"/>
      <c r="E373" s="442"/>
      <c r="F373" s="443" t="s">
        <v>167</v>
      </c>
      <c r="G373" s="444" t="e">
        <f>TRUNC(SUM(G368:G372),2)</f>
        <v>#REF!</v>
      </c>
      <c r="H373" s="392"/>
      <c r="I373" s="392"/>
      <c r="J373" s="392"/>
      <c r="K373" s="392"/>
      <c r="L373" s="392"/>
      <c r="M373" s="392"/>
      <c r="N373" s="392"/>
      <c r="O373" s="392"/>
      <c r="P373" s="392"/>
      <c r="Q373" s="392"/>
      <c r="R373" s="392"/>
      <c r="S373" s="392"/>
      <c r="T373" s="392"/>
      <c r="U373" s="392"/>
      <c r="V373" s="392"/>
      <c r="W373" s="392"/>
      <c r="X373" s="392"/>
      <c r="Y373" s="392"/>
      <c r="Z373" s="392"/>
      <c r="AA373" s="392"/>
      <c r="AB373" s="392"/>
      <c r="AC373" s="392"/>
      <c r="AD373" s="392"/>
      <c r="AE373" s="392"/>
      <c r="AF373" s="392"/>
      <c r="AG373" s="392"/>
      <c r="AH373" s="392"/>
      <c r="AI373" s="392"/>
      <c r="AJ373" s="392"/>
      <c r="AK373" s="392"/>
      <c r="AL373" s="392"/>
      <c r="AM373" s="392"/>
      <c r="AN373" s="392"/>
      <c r="AO373" s="392"/>
      <c r="AP373" s="392"/>
      <c r="AQ373" s="392"/>
      <c r="AR373" s="392"/>
      <c r="AS373" s="392"/>
      <c r="AT373" s="392"/>
      <c r="AU373" s="392"/>
      <c r="AV373" s="392"/>
      <c r="AW373" s="392"/>
      <c r="AX373" s="392"/>
      <c r="AY373" s="392"/>
      <c r="AZ373" s="392"/>
      <c r="BA373" s="392"/>
      <c r="BB373" s="392"/>
      <c r="BC373" s="392"/>
      <c r="BD373" s="392"/>
      <c r="BE373" s="392"/>
      <c r="BF373" s="392"/>
      <c r="BG373" s="392"/>
      <c r="BH373" s="392"/>
      <c r="BI373" s="392"/>
      <c r="BJ373" s="392"/>
      <c r="BK373" s="392"/>
      <c r="BL373" s="392"/>
      <c r="BM373" s="392"/>
      <c r="BN373" s="392"/>
      <c r="BO373" s="392"/>
      <c r="BP373" s="392"/>
      <c r="BQ373" s="392"/>
      <c r="BR373" s="392"/>
      <c r="BS373" s="392"/>
      <c r="BT373" s="392"/>
      <c r="BU373" s="392"/>
      <c r="BV373" s="392"/>
      <c r="BW373" s="392"/>
      <c r="BX373" s="392"/>
      <c r="BY373" s="392"/>
      <c r="BZ373" s="392"/>
      <c r="CA373" s="392"/>
      <c r="CB373" s="392"/>
      <c r="CC373" s="392"/>
      <c r="CD373" s="392"/>
      <c r="CE373" s="392"/>
      <c r="CF373" s="392"/>
      <c r="CG373" s="392"/>
      <c r="CH373" s="392"/>
      <c r="CI373" s="392"/>
      <c r="CJ373" s="392"/>
      <c r="CK373" s="392"/>
      <c r="CL373" s="392"/>
      <c r="CM373" s="392"/>
      <c r="CN373" s="392"/>
      <c r="CO373" s="392"/>
      <c r="CP373" s="392"/>
      <c r="CQ373" s="392"/>
      <c r="CR373" s="392"/>
      <c r="CS373" s="392"/>
      <c r="CT373" s="392"/>
      <c r="CU373" s="392"/>
      <c r="CV373" s="392"/>
      <c r="CW373" s="392"/>
      <c r="CX373" s="392"/>
      <c r="CY373" s="392"/>
      <c r="CZ373" s="392"/>
      <c r="DA373" s="392"/>
      <c r="DB373" s="392"/>
      <c r="DC373" s="392"/>
      <c r="DD373" s="392"/>
      <c r="DE373" s="392"/>
      <c r="DF373" s="392"/>
      <c r="DG373" s="392"/>
      <c r="DH373" s="392"/>
      <c r="DI373" s="392"/>
      <c r="DJ373" s="392"/>
      <c r="DK373" s="392"/>
      <c r="DL373" s="392"/>
      <c r="DM373" s="392"/>
      <c r="DN373" s="392"/>
      <c r="DO373" s="392"/>
      <c r="DP373" s="392"/>
      <c r="DQ373" s="392"/>
      <c r="DR373" s="392"/>
      <c r="DS373" s="392"/>
      <c r="DT373" s="392"/>
      <c r="DU373" s="392"/>
      <c r="DV373" s="392"/>
      <c r="DW373" s="392"/>
      <c r="DX373" s="392"/>
      <c r="DY373" s="392"/>
      <c r="DZ373" s="392"/>
      <c r="EA373" s="392"/>
      <c r="EB373" s="392"/>
      <c r="EC373" s="392"/>
      <c r="ED373" s="392"/>
      <c r="EE373" s="392"/>
      <c r="EF373" s="392"/>
      <c r="EG373" s="392"/>
      <c r="EH373" s="392"/>
      <c r="EI373" s="392"/>
      <c r="EJ373" s="392"/>
      <c r="EK373" s="392"/>
      <c r="EL373" s="392"/>
      <c r="EM373" s="392"/>
      <c r="EN373" s="392"/>
      <c r="EO373" s="392"/>
      <c r="EP373" s="392"/>
      <c r="EQ373" s="392"/>
      <c r="ER373" s="392"/>
      <c r="ES373" s="392"/>
      <c r="ET373" s="392"/>
      <c r="EU373" s="392"/>
      <c r="EV373" s="392"/>
      <c r="EW373" s="392"/>
      <c r="EX373" s="392"/>
      <c r="EY373" s="392"/>
      <c r="EZ373" s="392"/>
      <c r="FA373" s="392"/>
      <c r="FB373" s="392"/>
      <c r="FC373" s="392"/>
      <c r="FD373" s="392"/>
      <c r="FE373" s="392"/>
      <c r="FF373" s="392"/>
      <c r="FG373" s="392"/>
      <c r="FH373" s="392"/>
      <c r="FI373" s="392"/>
      <c r="FJ373" s="392"/>
      <c r="FK373" s="392"/>
      <c r="FL373" s="392"/>
      <c r="FM373" s="392"/>
      <c r="FN373" s="392"/>
      <c r="FO373" s="392"/>
      <c r="FP373" s="392"/>
      <c r="FQ373" s="392"/>
      <c r="FR373" s="392"/>
      <c r="FS373" s="392"/>
      <c r="FT373" s="392"/>
      <c r="FU373" s="392"/>
      <c r="FV373" s="392"/>
      <c r="FW373" s="392"/>
      <c r="FX373" s="392"/>
      <c r="FY373" s="392"/>
      <c r="FZ373" s="392"/>
      <c r="GA373" s="392"/>
      <c r="GB373" s="392"/>
      <c r="GC373" s="392"/>
      <c r="GD373" s="392"/>
      <c r="GE373" s="392"/>
      <c r="GF373" s="392"/>
      <c r="GG373" s="392"/>
      <c r="GH373" s="392"/>
      <c r="GI373" s="392"/>
      <c r="GJ373" s="392"/>
      <c r="GK373" s="392"/>
      <c r="GL373" s="392"/>
      <c r="GM373" s="392"/>
      <c r="GN373" s="392"/>
      <c r="GO373" s="392"/>
      <c r="GP373" s="392"/>
      <c r="GQ373" s="392"/>
      <c r="GR373" s="392"/>
      <c r="GS373" s="392"/>
      <c r="GT373" s="392"/>
      <c r="GU373" s="392"/>
      <c r="GV373" s="392"/>
      <c r="GW373" s="392"/>
      <c r="GX373" s="392"/>
      <c r="GY373" s="392"/>
      <c r="GZ373" s="392"/>
      <c r="HA373" s="392"/>
      <c r="HB373" s="392"/>
      <c r="HC373" s="392"/>
      <c r="HD373" s="392"/>
      <c r="HE373" s="392"/>
      <c r="HF373" s="392"/>
      <c r="HG373" s="392"/>
      <c r="HH373" s="392"/>
      <c r="HI373" s="392"/>
      <c r="HJ373" s="392"/>
      <c r="HK373" s="392"/>
      <c r="HL373" s="392"/>
      <c r="HM373" s="392"/>
      <c r="HN373" s="392"/>
      <c r="HO373" s="392"/>
      <c r="HP373" s="392"/>
      <c r="HQ373" s="392"/>
      <c r="HR373" s="392"/>
      <c r="HS373" s="392"/>
      <c r="HT373" s="392"/>
      <c r="HU373" s="392"/>
      <c r="HV373" s="392"/>
      <c r="HW373" s="392"/>
      <c r="HX373" s="392"/>
      <c r="HY373" s="392"/>
      <c r="HZ373" s="392"/>
      <c r="IA373" s="392"/>
      <c r="IB373" s="392"/>
      <c r="IC373" s="392"/>
      <c r="ID373" s="392"/>
      <c r="IE373" s="392"/>
      <c r="IF373" s="392"/>
      <c r="IG373" s="392"/>
      <c r="IH373" s="392"/>
      <c r="II373" s="392"/>
      <c r="IJ373" s="392"/>
      <c r="IK373" s="392"/>
      <c r="IL373" s="392"/>
      <c r="IM373" s="392"/>
      <c r="IN373" s="392"/>
      <c r="IO373" s="392"/>
      <c r="IP373" s="392"/>
      <c r="IQ373" s="392"/>
      <c r="IR373" s="392"/>
      <c r="IS373" s="392"/>
      <c r="IT373" s="392"/>
      <c r="IU373" s="392"/>
      <c r="IV373" s="392"/>
    </row>
  </sheetData>
  <mergeCells count="154">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6:G47"/>
    <mergeCell ref="C48:F48"/>
    <mergeCell ref="E49:G49"/>
    <mergeCell ref="B50:G50"/>
    <mergeCell ref="B51:C51"/>
    <mergeCell ref="E51:G51"/>
    <mergeCell ref="B29:G29"/>
    <mergeCell ref="D31:E31"/>
    <mergeCell ref="D32:E32"/>
    <mergeCell ref="D33:E33"/>
    <mergeCell ref="D34:E34"/>
    <mergeCell ref="B39:G39"/>
    <mergeCell ref="B57:G57"/>
    <mergeCell ref="B64:G65"/>
    <mergeCell ref="C66:F66"/>
    <mergeCell ref="E67:G67"/>
    <mergeCell ref="B68:G68"/>
    <mergeCell ref="B52:C52"/>
    <mergeCell ref="E52:G52"/>
    <mergeCell ref="B53:C53"/>
    <mergeCell ref="E53:G53"/>
    <mergeCell ref="B75:G75"/>
    <mergeCell ref="B81:G82"/>
    <mergeCell ref="B69:C69"/>
    <mergeCell ref="E69:G69"/>
    <mergeCell ref="B70:C70"/>
    <mergeCell ref="E70:G70"/>
    <mergeCell ref="B71:C71"/>
    <mergeCell ref="E71:G71"/>
    <mergeCell ref="B88:C88"/>
    <mergeCell ref="E88:G88"/>
    <mergeCell ref="B92:G92"/>
    <mergeCell ref="C83:F83"/>
    <mergeCell ref="E84:G84"/>
    <mergeCell ref="B85:G85"/>
    <mergeCell ref="B86:C86"/>
    <mergeCell ref="E86:G86"/>
    <mergeCell ref="B87:C87"/>
    <mergeCell ref="E87:G87"/>
    <mergeCell ref="B105:C105"/>
    <mergeCell ref="E105:G105"/>
    <mergeCell ref="B106:C106"/>
    <mergeCell ref="E106:G106"/>
    <mergeCell ref="B99:G100"/>
    <mergeCell ref="C101:F101"/>
    <mergeCell ref="E102:G102"/>
    <mergeCell ref="B103:G103"/>
    <mergeCell ref="B104:C104"/>
    <mergeCell ref="E104:G104"/>
    <mergeCell ref="B121:C121"/>
    <mergeCell ref="E121:G121"/>
    <mergeCell ref="B122:C122"/>
    <mergeCell ref="E122:G122"/>
    <mergeCell ref="B123:C123"/>
    <mergeCell ref="E123:G123"/>
    <mergeCell ref="B110:G110"/>
    <mergeCell ref="B116:G117"/>
    <mergeCell ref="C118:F118"/>
    <mergeCell ref="E119:G119"/>
    <mergeCell ref="B120:G120"/>
    <mergeCell ref="C135:F135"/>
    <mergeCell ref="E136:G136"/>
    <mergeCell ref="B137:G137"/>
    <mergeCell ref="B138:C138"/>
    <mergeCell ref="E138:G138"/>
    <mergeCell ref="B139:C139"/>
    <mergeCell ref="E139:G139"/>
    <mergeCell ref="B127:G127"/>
    <mergeCell ref="B133:G134"/>
    <mergeCell ref="B150:G151"/>
    <mergeCell ref="C152:F152"/>
    <mergeCell ref="E153:G153"/>
    <mergeCell ref="B154:G154"/>
    <mergeCell ref="B155:C155"/>
    <mergeCell ref="E155:G155"/>
    <mergeCell ref="B140:C140"/>
    <mergeCell ref="E140:G140"/>
    <mergeCell ref="B144:G144"/>
    <mergeCell ref="B161:G161"/>
    <mergeCell ref="B167:G168"/>
    <mergeCell ref="C169:F169"/>
    <mergeCell ref="E170:G170"/>
    <mergeCell ref="B171:G171"/>
    <mergeCell ref="B156:C156"/>
    <mergeCell ref="E156:G156"/>
    <mergeCell ref="B157:C157"/>
    <mergeCell ref="E157:G157"/>
    <mergeCell ref="B178:G178"/>
    <mergeCell ref="B184:G185"/>
    <mergeCell ref="B172:C172"/>
    <mergeCell ref="E172:G172"/>
    <mergeCell ref="B173:C173"/>
    <mergeCell ref="E173:G173"/>
    <mergeCell ref="B174:C174"/>
    <mergeCell ref="E174:G174"/>
    <mergeCell ref="B191:C191"/>
    <mergeCell ref="E191:G191"/>
    <mergeCell ref="B195:G195"/>
    <mergeCell ref="C186:F186"/>
    <mergeCell ref="E187:G187"/>
    <mergeCell ref="B188:G188"/>
    <mergeCell ref="B189:C189"/>
    <mergeCell ref="E189:G189"/>
    <mergeCell ref="B190:C190"/>
    <mergeCell ref="E190:G190"/>
    <mergeCell ref="B207:C207"/>
    <mergeCell ref="E207:G207"/>
    <mergeCell ref="B208:C208"/>
    <mergeCell ref="E208:G208"/>
    <mergeCell ref="B201:G202"/>
    <mergeCell ref="C203:F203"/>
    <mergeCell ref="E204:G204"/>
    <mergeCell ref="B205:G205"/>
    <mergeCell ref="B206:C206"/>
    <mergeCell ref="E206:G206"/>
    <mergeCell ref="B223:C223"/>
    <mergeCell ref="E223:G223"/>
    <mergeCell ref="B224:C224"/>
    <mergeCell ref="E224:G224"/>
    <mergeCell ref="B225:C225"/>
    <mergeCell ref="E225:G225"/>
    <mergeCell ref="B212:G212"/>
    <mergeCell ref="B218:G219"/>
    <mergeCell ref="C220:F220"/>
    <mergeCell ref="E221:G221"/>
    <mergeCell ref="B222:G222"/>
    <mergeCell ref="B368:G368"/>
    <mergeCell ref="B314:C314"/>
    <mergeCell ref="B322:G322"/>
    <mergeCell ref="B329:G329"/>
    <mergeCell ref="B336:G336"/>
    <mergeCell ref="B343:G343"/>
    <mergeCell ref="B353:G353"/>
    <mergeCell ref="B229:G229"/>
    <mergeCell ref="B306:C306"/>
    <mergeCell ref="B313:G313"/>
  </mergeCells>
  <hyperlinks>
    <hyperlink ref="G33" r:id="rId1" display="falecom@flex. Ind.br" xr:uid="{00000000-0004-0000-0F00-000000000000}"/>
  </hyperlinks>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headerFooter>
  <rowBreaks count="12" manualBreakCount="12">
    <brk id="35" min="1" max="6" man="1"/>
    <brk id="53" min="1" max="6" man="1"/>
    <brk id="71" min="1" max="6" man="1"/>
    <brk id="88" min="1" max="6" man="1"/>
    <brk id="106" min="1" max="6" man="1"/>
    <brk id="123" min="1" max="6" man="1"/>
    <brk id="140" min="1" max="6" man="1"/>
    <brk id="157" min="1" max="6" man="1"/>
    <brk id="174" min="1" max="6" man="1"/>
    <brk id="191" min="1" max="6" man="1"/>
    <brk id="208" min="1" max="6" man="1"/>
    <brk id="225" min="1" max="6"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3">
    <tabColor theme="3" tint="0.79998168889431442"/>
    <pageSetUpPr fitToPage="1"/>
  </sheetPr>
  <dimension ref="A1:I147"/>
  <sheetViews>
    <sheetView view="pageBreakPreview" zoomScale="70" zoomScaleNormal="100" zoomScaleSheetLayoutView="70" workbookViewId="0">
      <selection activeCell="AG38" sqref="AG38"/>
    </sheetView>
  </sheetViews>
  <sheetFormatPr defaultRowHeight="12.75"/>
  <cols>
    <col min="1" max="1" width="17.42578125" style="259" customWidth="1"/>
    <col min="2" max="2" width="24.7109375" style="259" customWidth="1"/>
    <col min="3" max="3" width="75.7109375" style="259" customWidth="1"/>
    <col min="4" max="4" width="15.7109375" style="259" customWidth="1"/>
    <col min="5" max="5" width="23.7109375" style="259" customWidth="1"/>
    <col min="6" max="6" width="18.7109375" style="259" customWidth="1"/>
    <col min="7" max="7" width="20.7109375" style="259" customWidth="1"/>
    <col min="8" max="8" width="19" style="259" bestFit="1" customWidth="1"/>
    <col min="9" max="9" width="16.5703125" style="259" bestFit="1" customWidth="1"/>
    <col min="10" max="257" width="9.140625" style="259"/>
    <col min="258" max="258" width="24.5703125" style="259" customWidth="1"/>
    <col min="259" max="259" width="71.7109375" style="259" customWidth="1"/>
    <col min="260" max="260" width="17.140625" style="259" bestFit="1" customWidth="1"/>
    <col min="261" max="261" width="16.7109375" style="259" bestFit="1" customWidth="1"/>
    <col min="262" max="262" width="16.85546875" style="259" bestFit="1" customWidth="1"/>
    <col min="263" max="263" width="21.42578125" style="259" customWidth="1"/>
    <col min="264" max="264" width="9.140625" style="259"/>
    <col min="265" max="265" width="16.5703125" style="259" bestFit="1" customWidth="1"/>
    <col min="266" max="513" width="9.140625" style="259"/>
    <col min="514" max="514" width="24.5703125" style="259" customWidth="1"/>
    <col min="515" max="515" width="71.7109375" style="259" customWidth="1"/>
    <col min="516" max="516" width="17.140625" style="259" bestFit="1" customWidth="1"/>
    <col min="517" max="517" width="16.7109375" style="259" bestFit="1" customWidth="1"/>
    <col min="518" max="518" width="16.85546875" style="259" bestFit="1" customWidth="1"/>
    <col min="519" max="519" width="21.42578125" style="259" customWidth="1"/>
    <col min="520" max="520" width="9.140625" style="259"/>
    <col min="521" max="521" width="16.5703125" style="259" bestFit="1" customWidth="1"/>
    <col min="522" max="769" width="9.140625" style="259"/>
    <col min="770" max="770" width="24.5703125" style="259" customWidth="1"/>
    <col min="771" max="771" width="71.7109375" style="259" customWidth="1"/>
    <col min="772" max="772" width="17.140625" style="259" bestFit="1" customWidth="1"/>
    <col min="773" max="773" width="16.7109375" style="259" bestFit="1" customWidth="1"/>
    <col min="774" max="774" width="16.85546875" style="259" bestFit="1" customWidth="1"/>
    <col min="775" max="775" width="21.42578125" style="259" customWidth="1"/>
    <col min="776" max="776" width="9.140625" style="259"/>
    <col min="777" max="777" width="16.5703125" style="259" bestFit="1" customWidth="1"/>
    <col min="778" max="1025" width="9.140625" style="259"/>
    <col min="1026" max="1026" width="24.5703125" style="259" customWidth="1"/>
    <col min="1027" max="1027" width="71.7109375" style="259" customWidth="1"/>
    <col min="1028" max="1028" width="17.140625" style="259" bestFit="1" customWidth="1"/>
    <col min="1029" max="1029" width="16.7109375" style="259" bestFit="1" customWidth="1"/>
    <col min="1030" max="1030" width="16.85546875" style="259" bestFit="1" customWidth="1"/>
    <col min="1031" max="1031" width="21.42578125" style="259" customWidth="1"/>
    <col min="1032" max="1032" width="9.140625" style="259"/>
    <col min="1033" max="1033" width="16.5703125" style="259" bestFit="1" customWidth="1"/>
    <col min="1034" max="1281" width="9.140625" style="259"/>
    <col min="1282" max="1282" width="24.5703125" style="259" customWidth="1"/>
    <col min="1283" max="1283" width="71.7109375" style="259" customWidth="1"/>
    <col min="1284" max="1284" width="17.140625" style="259" bestFit="1" customWidth="1"/>
    <col min="1285" max="1285" width="16.7109375" style="259" bestFit="1" customWidth="1"/>
    <col min="1286" max="1286" width="16.85546875" style="259" bestFit="1" customWidth="1"/>
    <col min="1287" max="1287" width="21.42578125" style="259" customWidth="1"/>
    <col min="1288" max="1288" width="9.140625" style="259"/>
    <col min="1289" max="1289" width="16.5703125" style="259" bestFit="1" customWidth="1"/>
    <col min="1290" max="1537" width="9.140625" style="259"/>
    <col min="1538" max="1538" width="24.5703125" style="259" customWidth="1"/>
    <col min="1539" max="1539" width="71.7109375" style="259" customWidth="1"/>
    <col min="1540" max="1540" width="17.140625" style="259" bestFit="1" customWidth="1"/>
    <col min="1541" max="1541" width="16.7109375" style="259" bestFit="1" customWidth="1"/>
    <col min="1542" max="1542" width="16.85546875" style="259" bestFit="1" customWidth="1"/>
    <col min="1543" max="1543" width="21.42578125" style="259" customWidth="1"/>
    <col min="1544" max="1544" width="9.140625" style="259"/>
    <col min="1545" max="1545" width="16.5703125" style="259" bestFit="1" customWidth="1"/>
    <col min="1546" max="1793" width="9.140625" style="259"/>
    <col min="1794" max="1794" width="24.5703125" style="259" customWidth="1"/>
    <col min="1795" max="1795" width="71.7109375" style="259" customWidth="1"/>
    <col min="1796" max="1796" width="17.140625" style="259" bestFit="1" customWidth="1"/>
    <col min="1797" max="1797" width="16.7109375" style="259" bestFit="1" customWidth="1"/>
    <col min="1798" max="1798" width="16.85546875" style="259" bestFit="1" customWidth="1"/>
    <col min="1799" max="1799" width="21.42578125" style="259" customWidth="1"/>
    <col min="1800" max="1800" width="9.140625" style="259"/>
    <col min="1801" max="1801" width="16.5703125" style="259" bestFit="1" customWidth="1"/>
    <col min="1802" max="2049" width="9.140625" style="259"/>
    <col min="2050" max="2050" width="24.5703125" style="259" customWidth="1"/>
    <col min="2051" max="2051" width="71.7109375" style="259" customWidth="1"/>
    <col min="2052" max="2052" width="17.140625" style="259" bestFit="1" customWidth="1"/>
    <col min="2053" max="2053" width="16.7109375" style="259" bestFit="1" customWidth="1"/>
    <col min="2054" max="2054" width="16.85546875" style="259" bestFit="1" customWidth="1"/>
    <col min="2055" max="2055" width="21.42578125" style="259" customWidth="1"/>
    <col min="2056" max="2056" width="9.140625" style="259"/>
    <col min="2057" max="2057" width="16.5703125" style="259" bestFit="1" customWidth="1"/>
    <col min="2058" max="2305" width="9.140625" style="259"/>
    <col min="2306" max="2306" width="24.5703125" style="259" customWidth="1"/>
    <col min="2307" max="2307" width="71.7109375" style="259" customWidth="1"/>
    <col min="2308" max="2308" width="17.140625" style="259" bestFit="1" customWidth="1"/>
    <col min="2309" max="2309" width="16.7109375" style="259" bestFit="1" customWidth="1"/>
    <col min="2310" max="2310" width="16.85546875" style="259" bestFit="1" customWidth="1"/>
    <col min="2311" max="2311" width="21.42578125" style="259" customWidth="1"/>
    <col min="2312" max="2312" width="9.140625" style="259"/>
    <col min="2313" max="2313" width="16.5703125" style="259" bestFit="1" customWidth="1"/>
    <col min="2314" max="2561" width="9.140625" style="259"/>
    <col min="2562" max="2562" width="24.5703125" style="259" customWidth="1"/>
    <col min="2563" max="2563" width="71.7109375" style="259" customWidth="1"/>
    <col min="2564" max="2564" width="17.140625" style="259" bestFit="1" customWidth="1"/>
    <col min="2565" max="2565" width="16.7109375" style="259" bestFit="1" customWidth="1"/>
    <col min="2566" max="2566" width="16.85546875" style="259" bestFit="1" customWidth="1"/>
    <col min="2567" max="2567" width="21.42578125" style="259" customWidth="1"/>
    <col min="2568" max="2568" width="9.140625" style="259"/>
    <col min="2569" max="2569" width="16.5703125" style="259" bestFit="1" customWidth="1"/>
    <col min="2570" max="2817" width="9.140625" style="259"/>
    <col min="2818" max="2818" width="24.5703125" style="259" customWidth="1"/>
    <col min="2819" max="2819" width="71.7109375" style="259" customWidth="1"/>
    <col min="2820" max="2820" width="17.140625" style="259" bestFit="1" customWidth="1"/>
    <col min="2821" max="2821" width="16.7109375" style="259" bestFit="1" customWidth="1"/>
    <col min="2822" max="2822" width="16.85546875" style="259" bestFit="1" customWidth="1"/>
    <col min="2823" max="2823" width="21.42578125" style="259" customWidth="1"/>
    <col min="2824" max="2824" width="9.140625" style="259"/>
    <col min="2825" max="2825" width="16.5703125" style="259" bestFit="1" customWidth="1"/>
    <col min="2826" max="3073" width="9.140625" style="259"/>
    <col min="3074" max="3074" width="24.5703125" style="259" customWidth="1"/>
    <col min="3075" max="3075" width="71.7109375" style="259" customWidth="1"/>
    <col min="3076" max="3076" width="17.140625" style="259" bestFit="1" customWidth="1"/>
    <col min="3077" max="3077" width="16.7109375" style="259" bestFit="1" customWidth="1"/>
    <col min="3078" max="3078" width="16.85546875" style="259" bestFit="1" customWidth="1"/>
    <col min="3079" max="3079" width="21.42578125" style="259" customWidth="1"/>
    <col min="3080" max="3080" width="9.140625" style="259"/>
    <col min="3081" max="3081" width="16.5703125" style="259" bestFit="1" customWidth="1"/>
    <col min="3082" max="3329" width="9.140625" style="259"/>
    <col min="3330" max="3330" width="24.5703125" style="259" customWidth="1"/>
    <col min="3331" max="3331" width="71.7109375" style="259" customWidth="1"/>
    <col min="3332" max="3332" width="17.140625" style="259" bestFit="1" customWidth="1"/>
    <col min="3333" max="3333" width="16.7109375" style="259" bestFit="1" customWidth="1"/>
    <col min="3334" max="3334" width="16.85546875" style="259" bestFit="1" customWidth="1"/>
    <col min="3335" max="3335" width="21.42578125" style="259" customWidth="1"/>
    <col min="3336" max="3336" width="9.140625" style="259"/>
    <col min="3337" max="3337" width="16.5703125" style="259" bestFit="1" customWidth="1"/>
    <col min="3338" max="3585" width="9.140625" style="259"/>
    <col min="3586" max="3586" width="24.5703125" style="259" customWidth="1"/>
    <col min="3587" max="3587" width="71.7109375" style="259" customWidth="1"/>
    <col min="3588" max="3588" width="17.140625" style="259" bestFit="1" customWidth="1"/>
    <col min="3589" max="3589" width="16.7109375" style="259" bestFit="1" customWidth="1"/>
    <col min="3590" max="3590" width="16.85546875" style="259" bestFit="1" customWidth="1"/>
    <col min="3591" max="3591" width="21.42578125" style="259" customWidth="1"/>
    <col min="3592" max="3592" width="9.140625" style="259"/>
    <col min="3593" max="3593" width="16.5703125" style="259" bestFit="1" customWidth="1"/>
    <col min="3594" max="3841" width="9.140625" style="259"/>
    <col min="3842" max="3842" width="24.5703125" style="259" customWidth="1"/>
    <col min="3843" max="3843" width="71.7109375" style="259" customWidth="1"/>
    <col min="3844" max="3844" width="17.140625" style="259" bestFit="1" customWidth="1"/>
    <col min="3845" max="3845" width="16.7109375" style="259" bestFit="1" customWidth="1"/>
    <col min="3846" max="3846" width="16.85546875" style="259" bestFit="1" customWidth="1"/>
    <col min="3847" max="3847" width="21.42578125" style="259" customWidth="1"/>
    <col min="3848" max="3848" width="9.140625" style="259"/>
    <col min="3849" max="3849" width="16.5703125" style="259" bestFit="1" customWidth="1"/>
    <col min="3850" max="4097" width="9.140625" style="259"/>
    <col min="4098" max="4098" width="24.5703125" style="259" customWidth="1"/>
    <col min="4099" max="4099" width="71.7109375" style="259" customWidth="1"/>
    <col min="4100" max="4100" width="17.140625" style="259" bestFit="1" customWidth="1"/>
    <col min="4101" max="4101" width="16.7109375" style="259" bestFit="1" customWidth="1"/>
    <col min="4102" max="4102" width="16.85546875" style="259" bestFit="1" customWidth="1"/>
    <col min="4103" max="4103" width="21.42578125" style="259" customWidth="1"/>
    <col min="4104" max="4104" width="9.140625" style="259"/>
    <col min="4105" max="4105" width="16.5703125" style="259" bestFit="1" customWidth="1"/>
    <col min="4106" max="4353" width="9.140625" style="259"/>
    <col min="4354" max="4354" width="24.5703125" style="259" customWidth="1"/>
    <col min="4355" max="4355" width="71.7109375" style="259" customWidth="1"/>
    <col min="4356" max="4356" width="17.140625" style="259" bestFit="1" customWidth="1"/>
    <col min="4357" max="4357" width="16.7109375" style="259" bestFit="1" customWidth="1"/>
    <col min="4358" max="4358" width="16.85546875" style="259" bestFit="1" customWidth="1"/>
    <col min="4359" max="4359" width="21.42578125" style="259" customWidth="1"/>
    <col min="4360" max="4360" width="9.140625" style="259"/>
    <col min="4361" max="4361" width="16.5703125" style="259" bestFit="1" customWidth="1"/>
    <col min="4362" max="4609" width="9.140625" style="259"/>
    <col min="4610" max="4610" width="24.5703125" style="259" customWidth="1"/>
    <col min="4611" max="4611" width="71.7109375" style="259" customWidth="1"/>
    <col min="4612" max="4612" width="17.140625" style="259" bestFit="1" customWidth="1"/>
    <col min="4613" max="4613" width="16.7109375" style="259" bestFit="1" customWidth="1"/>
    <col min="4614" max="4614" width="16.85546875" style="259" bestFit="1" customWidth="1"/>
    <col min="4615" max="4615" width="21.42578125" style="259" customWidth="1"/>
    <col min="4616" max="4616" width="9.140625" style="259"/>
    <col min="4617" max="4617" width="16.5703125" style="259" bestFit="1" customWidth="1"/>
    <col min="4618" max="4865" width="9.140625" style="259"/>
    <col min="4866" max="4866" width="24.5703125" style="259" customWidth="1"/>
    <col min="4867" max="4867" width="71.7109375" style="259" customWidth="1"/>
    <col min="4868" max="4868" width="17.140625" style="259" bestFit="1" customWidth="1"/>
    <col min="4869" max="4869" width="16.7109375" style="259" bestFit="1" customWidth="1"/>
    <col min="4870" max="4870" width="16.85546875" style="259" bestFit="1" customWidth="1"/>
    <col min="4871" max="4871" width="21.42578125" style="259" customWidth="1"/>
    <col min="4872" max="4872" width="9.140625" style="259"/>
    <col min="4873" max="4873" width="16.5703125" style="259" bestFit="1" customWidth="1"/>
    <col min="4874" max="5121" width="9.140625" style="259"/>
    <col min="5122" max="5122" width="24.5703125" style="259" customWidth="1"/>
    <col min="5123" max="5123" width="71.7109375" style="259" customWidth="1"/>
    <col min="5124" max="5124" width="17.140625" style="259" bestFit="1" customWidth="1"/>
    <col min="5125" max="5125" width="16.7109375" style="259" bestFit="1" customWidth="1"/>
    <col min="5126" max="5126" width="16.85546875" style="259" bestFit="1" customWidth="1"/>
    <col min="5127" max="5127" width="21.42578125" style="259" customWidth="1"/>
    <col min="5128" max="5128" width="9.140625" style="259"/>
    <col min="5129" max="5129" width="16.5703125" style="259" bestFit="1" customWidth="1"/>
    <col min="5130" max="5377" width="9.140625" style="259"/>
    <col min="5378" max="5378" width="24.5703125" style="259" customWidth="1"/>
    <col min="5379" max="5379" width="71.7109375" style="259" customWidth="1"/>
    <col min="5380" max="5380" width="17.140625" style="259" bestFit="1" customWidth="1"/>
    <col min="5381" max="5381" width="16.7109375" style="259" bestFit="1" customWidth="1"/>
    <col min="5382" max="5382" width="16.85546875" style="259" bestFit="1" customWidth="1"/>
    <col min="5383" max="5383" width="21.42578125" style="259" customWidth="1"/>
    <col min="5384" max="5384" width="9.140625" style="259"/>
    <col min="5385" max="5385" width="16.5703125" style="259" bestFit="1" customWidth="1"/>
    <col min="5386" max="5633" width="9.140625" style="259"/>
    <col min="5634" max="5634" width="24.5703125" style="259" customWidth="1"/>
    <col min="5635" max="5635" width="71.7109375" style="259" customWidth="1"/>
    <col min="5636" max="5636" width="17.140625" style="259" bestFit="1" customWidth="1"/>
    <col min="5637" max="5637" width="16.7109375" style="259" bestFit="1" customWidth="1"/>
    <col min="5638" max="5638" width="16.85546875" style="259" bestFit="1" customWidth="1"/>
    <col min="5639" max="5639" width="21.42578125" style="259" customWidth="1"/>
    <col min="5640" max="5640" width="9.140625" style="259"/>
    <col min="5641" max="5641" width="16.5703125" style="259" bestFit="1" customWidth="1"/>
    <col min="5642" max="5889" width="9.140625" style="259"/>
    <col min="5890" max="5890" width="24.5703125" style="259" customWidth="1"/>
    <col min="5891" max="5891" width="71.7109375" style="259" customWidth="1"/>
    <col min="5892" max="5892" width="17.140625" style="259" bestFit="1" customWidth="1"/>
    <col min="5893" max="5893" width="16.7109375" style="259" bestFit="1" customWidth="1"/>
    <col min="5894" max="5894" width="16.85546875" style="259" bestFit="1" customWidth="1"/>
    <col min="5895" max="5895" width="21.42578125" style="259" customWidth="1"/>
    <col min="5896" max="5896" width="9.140625" style="259"/>
    <col min="5897" max="5897" width="16.5703125" style="259" bestFit="1" customWidth="1"/>
    <col min="5898" max="6145" width="9.140625" style="259"/>
    <col min="6146" max="6146" width="24.5703125" style="259" customWidth="1"/>
    <col min="6147" max="6147" width="71.7109375" style="259" customWidth="1"/>
    <col min="6148" max="6148" width="17.140625" style="259" bestFit="1" customWidth="1"/>
    <col min="6149" max="6149" width="16.7109375" style="259" bestFit="1" customWidth="1"/>
    <col min="6150" max="6150" width="16.85546875" style="259" bestFit="1" customWidth="1"/>
    <col min="6151" max="6151" width="21.42578125" style="259" customWidth="1"/>
    <col min="6152" max="6152" width="9.140625" style="259"/>
    <col min="6153" max="6153" width="16.5703125" style="259" bestFit="1" customWidth="1"/>
    <col min="6154" max="6401" width="9.140625" style="259"/>
    <col min="6402" max="6402" width="24.5703125" style="259" customWidth="1"/>
    <col min="6403" max="6403" width="71.7109375" style="259" customWidth="1"/>
    <col min="6404" max="6404" width="17.140625" style="259" bestFit="1" customWidth="1"/>
    <col min="6405" max="6405" width="16.7109375" style="259" bestFit="1" customWidth="1"/>
    <col min="6406" max="6406" width="16.85546875" style="259" bestFit="1" customWidth="1"/>
    <col min="6407" max="6407" width="21.42578125" style="259" customWidth="1"/>
    <col min="6408" max="6408" width="9.140625" style="259"/>
    <col min="6409" max="6409" width="16.5703125" style="259" bestFit="1" customWidth="1"/>
    <col min="6410" max="6657" width="9.140625" style="259"/>
    <col min="6658" max="6658" width="24.5703125" style="259" customWidth="1"/>
    <col min="6659" max="6659" width="71.7109375" style="259" customWidth="1"/>
    <col min="6660" max="6660" width="17.140625" style="259" bestFit="1" customWidth="1"/>
    <col min="6661" max="6661" width="16.7109375" style="259" bestFit="1" customWidth="1"/>
    <col min="6662" max="6662" width="16.85546875" style="259" bestFit="1" customWidth="1"/>
    <col min="6663" max="6663" width="21.42578125" style="259" customWidth="1"/>
    <col min="6664" max="6664" width="9.140625" style="259"/>
    <col min="6665" max="6665" width="16.5703125" style="259" bestFit="1" customWidth="1"/>
    <col min="6666" max="6913" width="9.140625" style="259"/>
    <col min="6914" max="6914" width="24.5703125" style="259" customWidth="1"/>
    <col min="6915" max="6915" width="71.7109375" style="259" customWidth="1"/>
    <col min="6916" max="6916" width="17.140625" style="259" bestFit="1" customWidth="1"/>
    <col min="6917" max="6917" width="16.7109375" style="259" bestFit="1" customWidth="1"/>
    <col min="6918" max="6918" width="16.85546875" style="259" bestFit="1" customWidth="1"/>
    <col min="6919" max="6919" width="21.42578125" style="259" customWidth="1"/>
    <col min="6920" max="6920" width="9.140625" style="259"/>
    <col min="6921" max="6921" width="16.5703125" style="259" bestFit="1" customWidth="1"/>
    <col min="6922" max="7169" width="9.140625" style="259"/>
    <col min="7170" max="7170" width="24.5703125" style="259" customWidth="1"/>
    <col min="7171" max="7171" width="71.7109375" style="259" customWidth="1"/>
    <col min="7172" max="7172" width="17.140625" style="259" bestFit="1" customWidth="1"/>
    <col min="7173" max="7173" width="16.7109375" style="259" bestFit="1" customWidth="1"/>
    <col min="7174" max="7174" width="16.85546875" style="259" bestFit="1" customWidth="1"/>
    <col min="7175" max="7175" width="21.42578125" style="259" customWidth="1"/>
    <col min="7176" max="7176" width="9.140625" style="259"/>
    <col min="7177" max="7177" width="16.5703125" style="259" bestFit="1" customWidth="1"/>
    <col min="7178" max="7425" width="9.140625" style="259"/>
    <col min="7426" max="7426" width="24.5703125" style="259" customWidth="1"/>
    <col min="7427" max="7427" width="71.7109375" style="259" customWidth="1"/>
    <col min="7428" max="7428" width="17.140625" style="259" bestFit="1" customWidth="1"/>
    <col min="7429" max="7429" width="16.7109375" style="259" bestFit="1" customWidth="1"/>
    <col min="7430" max="7430" width="16.85546875" style="259" bestFit="1" customWidth="1"/>
    <col min="7431" max="7431" width="21.42578125" style="259" customWidth="1"/>
    <col min="7432" max="7432" width="9.140625" style="259"/>
    <col min="7433" max="7433" width="16.5703125" style="259" bestFit="1" customWidth="1"/>
    <col min="7434" max="7681" width="9.140625" style="259"/>
    <col min="7682" max="7682" width="24.5703125" style="259" customWidth="1"/>
    <col min="7683" max="7683" width="71.7109375" style="259" customWidth="1"/>
    <col min="7684" max="7684" width="17.140625" style="259" bestFit="1" customWidth="1"/>
    <col min="7685" max="7685" width="16.7109375" style="259" bestFit="1" customWidth="1"/>
    <col min="7686" max="7686" width="16.85546875" style="259" bestFit="1" customWidth="1"/>
    <col min="7687" max="7687" width="21.42578125" style="259" customWidth="1"/>
    <col min="7688" max="7688" width="9.140625" style="259"/>
    <col min="7689" max="7689" width="16.5703125" style="259" bestFit="1" customWidth="1"/>
    <col min="7690" max="7937" width="9.140625" style="259"/>
    <col min="7938" max="7938" width="24.5703125" style="259" customWidth="1"/>
    <col min="7939" max="7939" width="71.7109375" style="259" customWidth="1"/>
    <col min="7940" max="7940" width="17.140625" style="259" bestFit="1" customWidth="1"/>
    <col min="7941" max="7941" width="16.7109375" style="259" bestFit="1" customWidth="1"/>
    <col min="7942" max="7942" width="16.85546875" style="259" bestFit="1" customWidth="1"/>
    <col min="7943" max="7943" width="21.42578125" style="259" customWidth="1"/>
    <col min="7944" max="7944" width="9.140625" style="259"/>
    <col min="7945" max="7945" width="16.5703125" style="259" bestFit="1" customWidth="1"/>
    <col min="7946" max="8193" width="9.140625" style="259"/>
    <col min="8194" max="8194" width="24.5703125" style="259" customWidth="1"/>
    <col min="8195" max="8195" width="71.7109375" style="259" customWidth="1"/>
    <col min="8196" max="8196" width="17.140625" style="259" bestFit="1" customWidth="1"/>
    <col min="8197" max="8197" width="16.7109375" style="259" bestFit="1" customWidth="1"/>
    <col min="8198" max="8198" width="16.85546875" style="259" bestFit="1" customWidth="1"/>
    <col min="8199" max="8199" width="21.42578125" style="259" customWidth="1"/>
    <col min="8200" max="8200" width="9.140625" style="259"/>
    <col min="8201" max="8201" width="16.5703125" style="259" bestFit="1" customWidth="1"/>
    <col min="8202" max="8449" width="9.140625" style="259"/>
    <col min="8450" max="8450" width="24.5703125" style="259" customWidth="1"/>
    <col min="8451" max="8451" width="71.7109375" style="259" customWidth="1"/>
    <col min="8452" max="8452" width="17.140625" style="259" bestFit="1" customWidth="1"/>
    <col min="8453" max="8453" width="16.7109375" style="259" bestFit="1" customWidth="1"/>
    <col min="8454" max="8454" width="16.85546875" style="259" bestFit="1" customWidth="1"/>
    <col min="8455" max="8455" width="21.42578125" style="259" customWidth="1"/>
    <col min="8456" max="8456" width="9.140625" style="259"/>
    <col min="8457" max="8457" width="16.5703125" style="259" bestFit="1" customWidth="1"/>
    <col min="8458" max="8705" width="9.140625" style="259"/>
    <col min="8706" max="8706" width="24.5703125" style="259" customWidth="1"/>
    <col min="8707" max="8707" width="71.7109375" style="259" customWidth="1"/>
    <col min="8708" max="8708" width="17.140625" style="259" bestFit="1" customWidth="1"/>
    <col min="8709" max="8709" width="16.7109375" style="259" bestFit="1" customWidth="1"/>
    <col min="8710" max="8710" width="16.85546875" style="259" bestFit="1" customWidth="1"/>
    <col min="8711" max="8711" width="21.42578125" style="259" customWidth="1"/>
    <col min="8712" max="8712" width="9.140625" style="259"/>
    <col min="8713" max="8713" width="16.5703125" style="259" bestFit="1" customWidth="1"/>
    <col min="8714" max="8961" width="9.140625" style="259"/>
    <col min="8962" max="8962" width="24.5703125" style="259" customWidth="1"/>
    <col min="8963" max="8963" width="71.7109375" style="259" customWidth="1"/>
    <col min="8964" max="8964" width="17.140625" style="259" bestFit="1" customWidth="1"/>
    <col min="8965" max="8965" width="16.7109375" style="259" bestFit="1" customWidth="1"/>
    <col min="8966" max="8966" width="16.85546875" style="259" bestFit="1" customWidth="1"/>
    <col min="8967" max="8967" width="21.42578125" style="259" customWidth="1"/>
    <col min="8968" max="8968" width="9.140625" style="259"/>
    <col min="8969" max="8969" width="16.5703125" style="259" bestFit="1" customWidth="1"/>
    <col min="8970" max="9217" width="9.140625" style="259"/>
    <col min="9218" max="9218" width="24.5703125" style="259" customWidth="1"/>
    <col min="9219" max="9219" width="71.7109375" style="259" customWidth="1"/>
    <col min="9220" max="9220" width="17.140625" style="259" bestFit="1" customWidth="1"/>
    <col min="9221" max="9221" width="16.7109375" style="259" bestFit="1" customWidth="1"/>
    <col min="9222" max="9222" width="16.85546875" style="259" bestFit="1" customWidth="1"/>
    <col min="9223" max="9223" width="21.42578125" style="259" customWidth="1"/>
    <col min="9224" max="9224" width="9.140625" style="259"/>
    <col min="9225" max="9225" width="16.5703125" style="259" bestFit="1" customWidth="1"/>
    <col min="9226" max="9473" width="9.140625" style="259"/>
    <col min="9474" max="9474" width="24.5703125" style="259" customWidth="1"/>
    <col min="9475" max="9475" width="71.7109375" style="259" customWidth="1"/>
    <col min="9476" max="9476" width="17.140625" style="259" bestFit="1" customWidth="1"/>
    <col min="9477" max="9477" width="16.7109375" style="259" bestFit="1" customWidth="1"/>
    <col min="9478" max="9478" width="16.85546875" style="259" bestFit="1" customWidth="1"/>
    <col min="9479" max="9479" width="21.42578125" style="259" customWidth="1"/>
    <col min="9480" max="9480" width="9.140625" style="259"/>
    <col min="9481" max="9481" width="16.5703125" style="259" bestFit="1" customWidth="1"/>
    <col min="9482" max="9729" width="9.140625" style="259"/>
    <col min="9730" max="9730" width="24.5703125" style="259" customWidth="1"/>
    <col min="9731" max="9731" width="71.7109375" style="259" customWidth="1"/>
    <col min="9732" max="9732" width="17.140625" style="259" bestFit="1" customWidth="1"/>
    <col min="9733" max="9733" width="16.7109375" style="259" bestFit="1" customWidth="1"/>
    <col min="9734" max="9734" width="16.85546875" style="259" bestFit="1" customWidth="1"/>
    <col min="9735" max="9735" width="21.42578125" style="259" customWidth="1"/>
    <col min="9736" max="9736" width="9.140625" style="259"/>
    <col min="9737" max="9737" width="16.5703125" style="259" bestFit="1" customWidth="1"/>
    <col min="9738" max="9985" width="9.140625" style="259"/>
    <col min="9986" max="9986" width="24.5703125" style="259" customWidth="1"/>
    <col min="9987" max="9987" width="71.7109375" style="259" customWidth="1"/>
    <col min="9988" max="9988" width="17.140625" style="259" bestFit="1" customWidth="1"/>
    <col min="9989" max="9989" width="16.7109375" style="259" bestFit="1" customWidth="1"/>
    <col min="9990" max="9990" width="16.85546875" style="259" bestFit="1" customWidth="1"/>
    <col min="9991" max="9991" width="21.42578125" style="259" customWidth="1"/>
    <col min="9992" max="9992" width="9.140625" style="259"/>
    <col min="9993" max="9993" width="16.5703125" style="259" bestFit="1" customWidth="1"/>
    <col min="9994" max="10241" width="9.140625" style="259"/>
    <col min="10242" max="10242" width="24.5703125" style="259" customWidth="1"/>
    <col min="10243" max="10243" width="71.7109375" style="259" customWidth="1"/>
    <col min="10244" max="10244" width="17.140625" style="259" bestFit="1" customWidth="1"/>
    <col min="10245" max="10245" width="16.7109375" style="259" bestFit="1" customWidth="1"/>
    <col min="10246" max="10246" width="16.85546875" style="259" bestFit="1" customWidth="1"/>
    <col min="10247" max="10247" width="21.42578125" style="259" customWidth="1"/>
    <col min="10248" max="10248" width="9.140625" style="259"/>
    <col min="10249" max="10249" width="16.5703125" style="259" bestFit="1" customWidth="1"/>
    <col min="10250" max="10497" width="9.140625" style="259"/>
    <col min="10498" max="10498" width="24.5703125" style="259" customWidth="1"/>
    <col min="10499" max="10499" width="71.7109375" style="259" customWidth="1"/>
    <col min="10500" max="10500" width="17.140625" style="259" bestFit="1" customWidth="1"/>
    <col min="10501" max="10501" width="16.7109375" style="259" bestFit="1" customWidth="1"/>
    <col min="10502" max="10502" width="16.85546875" style="259" bestFit="1" customWidth="1"/>
    <col min="10503" max="10503" width="21.42578125" style="259" customWidth="1"/>
    <col min="10504" max="10504" width="9.140625" style="259"/>
    <col min="10505" max="10505" width="16.5703125" style="259" bestFit="1" customWidth="1"/>
    <col min="10506" max="10753" width="9.140625" style="259"/>
    <col min="10754" max="10754" width="24.5703125" style="259" customWidth="1"/>
    <col min="10755" max="10755" width="71.7109375" style="259" customWidth="1"/>
    <col min="10756" max="10756" width="17.140625" style="259" bestFit="1" customWidth="1"/>
    <col min="10757" max="10757" width="16.7109375" style="259" bestFit="1" customWidth="1"/>
    <col min="10758" max="10758" width="16.85546875" style="259" bestFit="1" customWidth="1"/>
    <col min="10759" max="10759" width="21.42578125" style="259" customWidth="1"/>
    <col min="10760" max="10760" width="9.140625" style="259"/>
    <col min="10761" max="10761" width="16.5703125" style="259" bestFit="1" customWidth="1"/>
    <col min="10762" max="11009" width="9.140625" style="259"/>
    <col min="11010" max="11010" width="24.5703125" style="259" customWidth="1"/>
    <col min="11011" max="11011" width="71.7109375" style="259" customWidth="1"/>
    <col min="11012" max="11012" width="17.140625" style="259" bestFit="1" customWidth="1"/>
    <col min="11013" max="11013" width="16.7109375" style="259" bestFit="1" customWidth="1"/>
    <col min="11014" max="11014" width="16.85546875" style="259" bestFit="1" customWidth="1"/>
    <col min="11015" max="11015" width="21.42578125" style="259" customWidth="1"/>
    <col min="11016" max="11016" width="9.140625" style="259"/>
    <col min="11017" max="11017" width="16.5703125" style="259" bestFit="1" customWidth="1"/>
    <col min="11018" max="11265" width="9.140625" style="259"/>
    <col min="11266" max="11266" width="24.5703125" style="259" customWidth="1"/>
    <col min="11267" max="11267" width="71.7109375" style="259" customWidth="1"/>
    <col min="11268" max="11268" width="17.140625" style="259" bestFit="1" customWidth="1"/>
    <col min="11269" max="11269" width="16.7109375" style="259" bestFit="1" customWidth="1"/>
    <col min="11270" max="11270" width="16.85546875" style="259" bestFit="1" customWidth="1"/>
    <col min="11271" max="11271" width="21.42578125" style="259" customWidth="1"/>
    <col min="11272" max="11272" width="9.140625" style="259"/>
    <col min="11273" max="11273" width="16.5703125" style="259" bestFit="1" customWidth="1"/>
    <col min="11274" max="11521" width="9.140625" style="259"/>
    <col min="11522" max="11522" width="24.5703125" style="259" customWidth="1"/>
    <col min="11523" max="11523" width="71.7109375" style="259" customWidth="1"/>
    <col min="11524" max="11524" width="17.140625" style="259" bestFit="1" customWidth="1"/>
    <col min="11525" max="11525" width="16.7109375" style="259" bestFit="1" customWidth="1"/>
    <col min="11526" max="11526" width="16.85546875" style="259" bestFit="1" customWidth="1"/>
    <col min="11527" max="11527" width="21.42578125" style="259" customWidth="1"/>
    <col min="11528" max="11528" width="9.140625" style="259"/>
    <col min="11529" max="11529" width="16.5703125" style="259" bestFit="1" customWidth="1"/>
    <col min="11530" max="11777" width="9.140625" style="259"/>
    <col min="11778" max="11778" width="24.5703125" style="259" customWidth="1"/>
    <col min="11779" max="11779" width="71.7109375" style="259" customWidth="1"/>
    <col min="11780" max="11780" width="17.140625" style="259" bestFit="1" customWidth="1"/>
    <col min="11781" max="11781" width="16.7109375" style="259" bestFit="1" customWidth="1"/>
    <col min="11782" max="11782" width="16.85546875" style="259" bestFit="1" customWidth="1"/>
    <col min="11783" max="11783" width="21.42578125" style="259" customWidth="1"/>
    <col min="11784" max="11784" width="9.140625" style="259"/>
    <col min="11785" max="11785" width="16.5703125" style="259" bestFit="1" customWidth="1"/>
    <col min="11786" max="12033" width="9.140625" style="259"/>
    <col min="12034" max="12034" width="24.5703125" style="259" customWidth="1"/>
    <col min="12035" max="12035" width="71.7109375" style="259" customWidth="1"/>
    <col min="12036" max="12036" width="17.140625" style="259" bestFit="1" customWidth="1"/>
    <col min="12037" max="12037" width="16.7109375" style="259" bestFit="1" customWidth="1"/>
    <col min="12038" max="12038" width="16.85546875" style="259" bestFit="1" customWidth="1"/>
    <col min="12039" max="12039" width="21.42578125" style="259" customWidth="1"/>
    <col min="12040" max="12040" width="9.140625" style="259"/>
    <col min="12041" max="12041" width="16.5703125" style="259" bestFit="1" customWidth="1"/>
    <col min="12042" max="12289" width="9.140625" style="259"/>
    <col min="12290" max="12290" width="24.5703125" style="259" customWidth="1"/>
    <col min="12291" max="12291" width="71.7109375" style="259" customWidth="1"/>
    <col min="12292" max="12292" width="17.140625" style="259" bestFit="1" customWidth="1"/>
    <col min="12293" max="12293" width="16.7109375" style="259" bestFit="1" customWidth="1"/>
    <col min="12294" max="12294" width="16.85546875" style="259" bestFit="1" customWidth="1"/>
    <col min="12295" max="12295" width="21.42578125" style="259" customWidth="1"/>
    <col min="12296" max="12296" width="9.140625" style="259"/>
    <col min="12297" max="12297" width="16.5703125" style="259" bestFit="1" customWidth="1"/>
    <col min="12298" max="12545" width="9.140625" style="259"/>
    <col min="12546" max="12546" width="24.5703125" style="259" customWidth="1"/>
    <col min="12547" max="12547" width="71.7109375" style="259" customWidth="1"/>
    <col min="12548" max="12548" width="17.140625" style="259" bestFit="1" customWidth="1"/>
    <col min="12549" max="12549" width="16.7109375" style="259" bestFit="1" customWidth="1"/>
    <col min="12550" max="12550" width="16.85546875" style="259" bestFit="1" customWidth="1"/>
    <col min="12551" max="12551" width="21.42578125" style="259" customWidth="1"/>
    <col min="12552" max="12552" width="9.140625" style="259"/>
    <col min="12553" max="12553" width="16.5703125" style="259" bestFit="1" customWidth="1"/>
    <col min="12554" max="12801" width="9.140625" style="259"/>
    <col min="12802" max="12802" width="24.5703125" style="259" customWidth="1"/>
    <col min="12803" max="12803" width="71.7109375" style="259" customWidth="1"/>
    <col min="12804" max="12804" width="17.140625" style="259" bestFit="1" customWidth="1"/>
    <col min="12805" max="12805" width="16.7109375" style="259" bestFit="1" customWidth="1"/>
    <col min="12806" max="12806" width="16.85546875" style="259" bestFit="1" customWidth="1"/>
    <col min="12807" max="12807" width="21.42578125" style="259" customWidth="1"/>
    <col min="12808" max="12808" width="9.140625" style="259"/>
    <col min="12809" max="12809" width="16.5703125" style="259" bestFit="1" customWidth="1"/>
    <col min="12810" max="13057" width="9.140625" style="259"/>
    <col min="13058" max="13058" width="24.5703125" style="259" customWidth="1"/>
    <col min="13059" max="13059" width="71.7109375" style="259" customWidth="1"/>
    <col min="13060" max="13060" width="17.140625" style="259" bestFit="1" customWidth="1"/>
    <col min="13061" max="13061" width="16.7109375" style="259" bestFit="1" customWidth="1"/>
    <col min="13062" max="13062" width="16.85546875" style="259" bestFit="1" customWidth="1"/>
    <col min="13063" max="13063" width="21.42578125" style="259" customWidth="1"/>
    <col min="13064" max="13064" width="9.140625" style="259"/>
    <col min="13065" max="13065" width="16.5703125" style="259" bestFit="1" customWidth="1"/>
    <col min="13066" max="13313" width="9.140625" style="259"/>
    <col min="13314" max="13314" width="24.5703125" style="259" customWidth="1"/>
    <col min="13315" max="13315" width="71.7109375" style="259" customWidth="1"/>
    <col min="13316" max="13316" width="17.140625" style="259" bestFit="1" customWidth="1"/>
    <col min="13317" max="13317" width="16.7109375" style="259" bestFit="1" customWidth="1"/>
    <col min="13318" max="13318" width="16.85546875" style="259" bestFit="1" customWidth="1"/>
    <col min="13319" max="13319" width="21.42578125" style="259" customWidth="1"/>
    <col min="13320" max="13320" width="9.140625" style="259"/>
    <col min="13321" max="13321" width="16.5703125" style="259" bestFit="1" customWidth="1"/>
    <col min="13322" max="13569" width="9.140625" style="259"/>
    <col min="13570" max="13570" width="24.5703125" style="259" customWidth="1"/>
    <col min="13571" max="13571" width="71.7109375" style="259" customWidth="1"/>
    <col min="13572" max="13572" width="17.140625" style="259" bestFit="1" customWidth="1"/>
    <col min="13573" max="13573" width="16.7109375" style="259" bestFit="1" customWidth="1"/>
    <col min="13574" max="13574" width="16.85546875" style="259" bestFit="1" customWidth="1"/>
    <col min="13575" max="13575" width="21.42578125" style="259" customWidth="1"/>
    <col min="13576" max="13576" width="9.140625" style="259"/>
    <col min="13577" max="13577" width="16.5703125" style="259" bestFit="1" customWidth="1"/>
    <col min="13578" max="13825" width="9.140625" style="259"/>
    <col min="13826" max="13826" width="24.5703125" style="259" customWidth="1"/>
    <col min="13827" max="13827" width="71.7109375" style="259" customWidth="1"/>
    <col min="13828" max="13828" width="17.140625" style="259" bestFit="1" customWidth="1"/>
    <col min="13829" max="13829" width="16.7109375" style="259" bestFit="1" customWidth="1"/>
    <col min="13830" max="13830" width="16.85546875" style="259" bestFit="1" customWidth="1"/>
    <col min="13831" max="13831" width="21.42578125" style="259" customWidth="1"/>
    <col min="13832" max="13832" width="9.140625" style="259"/>
    <col min="13833" max="13833" width="16.5703125" style="259" bestFit="1" customWidth="1"/>
    <col min="13834" max="14081" width="9.140625" style="259"/>
    <col min="14082" max="14082" width="24.5703125" style="259" customWidth="1"/>
    <col min="14083" max="14083" width="71.7109375" style="259" customWidth="1"/>
    <col min="14084" max="14084" width="17.140625" style="259" bestFit="1" customWidth="1"/>
    <col min="14085" max="14085" width="16.7109375" style="259" bestFit="1" customWidth="1"/>
    <col min="14086" max="14086" width="16.85546875" style="259" bestFit="1" customWidth="1"/>
    <col min="14087" max="14087" width="21.42578125" style="259" customWidth="1"/>
    <col min="14088" max="14088" width="9.140625" style="259"/>
    <col min="14089" max="14089" width="16.5703125" style="259" bestFit="1" customWidth="1"/>
    <col min="14090" max="14337" width="9.140625" style="259"/>
    <col min="14338" max="14338" width="24.5703125" style="259" customWidth="1"/>
    <col min="14339" max="14339" width="71.7109375" style="259" customWidth="1"/>
    <col min="14340" max="14340" width="17.140625" style="259" bestFit="1" customWidth="1"/>
    <col min="14341" max="14341" width="16.7109375" style="259" bestFit="1" customWidth="1"/>
    <col min="14342" max="14342" width="16.85546875" style="259" bestFit="1" customWidth="1"/>
    <col min="14343" max="14343" width="21.42578125" style="259" customWidth="1"/>
    <col min="14344" max="14344" width="9.140625" style="259"/>
    <col min="14345" max="14345" width="16.5703125" style="259" bestFit="1" customWidth="1"/>
    <col min="14346" max="14593" width="9.140625" style="259"/>
    <col min="14594" max="14594" width="24.5703125" style="259" customWidth="1"/>
    <col min="14595" max="14595" width="71.7109375" style="259" customWidth="1"/>
    <col min="14596" max="14596" width="17.140625" style="259" bestFit="1" customWidth="1"/>
    <col min="14597" max="14597" width="16.7109375" style="259" bestFit="1" customWidth="1"/>
    <col min="14598" max="14598" width="16.85546875" style="259" bestFit="1" customWidth="1"/>
    <col min="14599" max="14599" width="21.42578125" style="259" customWidth="1"/>
    <col min="14600" max="14600" width="9.140625" style="259"/>
    <col min="14601" max="14601" width="16.5703125" style="259" bestFit="1" customWidth="1"/>
    <col min="14602" max="14849" width="9.140625" style="259"/>
    <col min="14850" max="14850" width="24.5703125" style="259" customWidth="1"/>
    <col min="14851" max="14851" width="71.7109375" style="259" customWidth="1"/>
    <col min="14852" max="14852" width="17.140625" style="259" bestFit="1" customWidth="1"/>
    <col min="14853" max="14853" width="16.7109375" style="259" bestFit="1" customWidth="1"/>
    <col min="14854" max="14854" width="16.85546875" style="259" bestFit="1" customWidth="1"/>
    <col min="14855" max="14855" width="21.42578125" style="259" customWidth="1"/>
    <col min="14856" max="14856" width="9.140625" style="259"/>
    <col min="14857" max="14857" width="16.5703125" style="259" bestFit="1" customWidth="1"/>
    <col min="14858" max="15105" width="9.140625" style="259"/>
    <col min="15106" max="15106" width="24.5703125" style="259" customWidth="1"/>
    <col min="15107" max="15107" width="71.7109375" style="259" customWidth="1"/>
    <col min="15108" max="15108" width="17.140625" style="259" bestFit="1" customWidth="1"/>
    <col min="15109" max="15109" width="16.7109375" style="259" bestFit="1" customWidth="1"/>
    <col min="15110" max="15110" width="16.85546875" style="259" bestFit="1" customWidth="1"/>
    <col min="15111" max="15111" width="21.42578125" style="259" customWidth="1"/>
    <col min="15112" max="15112" width="9.140625" style="259"/>
    <col min="15113" max="15113" width="16.5703125" style="259" bestFit="1" customWidth="1"/>
    <col min="15114" max="15361" width="9.140625" style="259"/>
    <col min="15362" max="15362" width="24.5703125" style="259" customWidth="1"/>
    <col min="15363" max="15363" width="71.7109375" style="259" customWidth="1"/>
    <col min="15364" max="15364" width="17.140625" style="259" bestFit="1" customWidth="1"/>
    <col min="15365" max="15365" width="16.7109375" style="259" bestFit="1" customWidth="1"/>
    <col min="15366" max="15366" width="16.85546875" style="259" bestFit="1" customWidth="1"/>
    <col min="15367" max="15367" width="21.42578125" style="259" customWidth="1"/>
    <col min="15368" max="15368" width="9.140625" style="259"/>
    <col min="15369" max="15369" width="16.5703125" style="259" bestFit="1" customWidth="1"/>
    <col min="15370" max="15617" width="9.140625" style="259"/>
    <col min="15618" max="15618" width="24.5703125" style="259" customWidth="1"/>
    <col min="15619" max="15619" width="71.7109375" style="259" customWidth="1"/>
    <col min="15620" max="15620" width="17.140625" style="259" bestFit="1" customWidth="1"/>
    <col min="15621" max="15621" width="16.7109375" style="259" bestFit="1" customWidth="1"/>
    <col min="15622" max="15622" width="16.85546875" style="259" bestFit="1" customWidth="1"/>
    <col min="15623" max="15623" width="21.42578125" style="259" customWidth="1"/>
    <col min="15624" max="15624" width="9.140625" style="259"/>
    <col min="15625" max="15625" width="16.5703125" style="259" bestFit="1" customWidth="1"/>
    <col min="15626" max="15873" width="9.140625" style="259"/>
    <col min="15874" max="15874" width="24.5703125" style="259" customWidth="1"/>
    <col min="15875" max="15875" width="71.7109375" style="259" customWidth="1"/>
    <col min="15876" max="15876" width="17.140625" style="259" bestFit="1" customWidth="1"/>
    <col min="15877" max="15877" width="16.7109375" style="259" bestFit="1" customWidth="1"/>
    <col min="15878" max="15878" width="16.85546875" style="259" bestFit="1" customWidth="1"/>
    <col min="15879" max="15879" width="21.42578125" style="259" customWidth="1"/>
    <col min="15880" max="15880" width="9.140625" style="259"/>
    <col min="15881" max="15881" width="16.5703125" style="259" bestFit="1" customWidth="1"/>
    <col min="15882" max="16129" width="9.140625" style="259"/>
    <col min="16130" max="16130" width="24.5703125" style="259" customWidth="1"/>
    <col min="16131" max="16131" width="71.7109375" style="259" customWidth="1"/>
    <col min="16132" max="16132" width="17.140625" style="259" bestFit="1" customWidth="1"/>
    <col min="16133" max="16133" width="16.7109375" style="259" bestFit="1" customWidth="1"/>
    <col min="16134" max="16134" width="16.85546875" style="259" bestFit="1" customWidth="1"/>
    <col min="16135" max="16135" width="21.42578125" style="259" customWidth="1"/>
    <col min="16136" max="16136" width="9.140625" style="259"/>
    <col min="16137" max="16137" width="16.5703125" style="259" bestFit="1" customWidth="1"/>
    <col min="16138" max="16384" width="9.140625" style="259"/>
  </cols>
  <sheetData>
    <row r="1" spans="1:8" ht="13.5" thickBot="1">
      <c r="A1" s="259" t="s">
        <v>5520</v>
      </c>
    </row>
    <row r="2" spans="1:8" s="277" customFormat="1" ht="6" thickBot="1">
      <c r="B2" s="272"/>
      <c r="C2" s="1321"/>
      <c r="D2" s="274"/>
      <c r="E2" s="275"/>
      <c r="F2" s="275"/>
      <c r="G2" s="276"/>
    </row>
    <row r="3" spans="1:8" s="265" customFormat="1" ht="60" customHeight="1" thickBot="1">
      <c r="A3" s="271" t="s">
        <v>390</v>
      </c>
      <c r="B3" s="2285"/>
      <c r="C3" s="2250" t="s">
        <v>13361</v>
      </c>
      <c r="D3" s="2251"/>
      <c r="E3" s="1612"/>
      <c r="F3" s="2118" t="str">
        <f>'ORÇAMENTO '!M5</f>
        <v>Ref.: Tabela de Serviços
SINAPI (JANEIRO/2024)</v>
      </c>
      <c r="G3" s="2119"/>
    </row>
    <row r="4" spans="1:8" s="265" customFormat="1" ht="59.25" customHeight="1" thickBot="1">
      <c r="A4" s="271" t="s">
        <v>391</v>
      </c>
      <c r="B4" s="2286"/>
      <c r="C4" s="2191" t="s">
        <v>13363</v>
      </c>
      <c r="D4" s="2192"/>
      <c r="E4" s="1613"/>
      <c r="F4" s="1324" t="s">
        <v>4</v>
      </c>
      <c r="G4" s="1325">
        <f>'BDI '!G32</f>
        <v>0.24199999999999999</v>
      </c>
    </row>
    <row r="5" spans="1:8" s="280" customFormat="1" ht="15" customHeight="1" thickBot="1">
      <c r="B5" s="2395" t="str">
        <f>RESUMO!B7</f>
        <v>C E N T R A L   D E   P R O J E T O S</v>
      </c>
      <c r="C5" s="2396"/>
      <c r="D5" s="2397"/>
      <c r="E5" s="2397"/>
      <c r="F5" s="2396"/>
      <c r="G5" s="2398"/>
    </row>
    <row r="6" spans="1:8" s="277" customFormat="1" ht="6" thickBot="1">
      <c r="B6" s="272"/>
      <c r="C6" s="273"/>
      <c r="D6" s="274"/>
      <c r="E6" s="275"/>
      <c r="F6" s="275"/>
      <c r="G6" s="276"/>
    </row>
    <row r="7" spans="1:8" s="265" customFormat="1" ht="15" customHeight="1">
      <c r="B7" s="207" t="s">
        <v>5</v>
      </c>
      <c r="C7" s="2215" t="str">
        <f>'ORÇAMENTO '!G11</f>
        <v xml:space="preserve">ESCOLA MUNICIPAL DOMINGOS AZZOLINI </v>
      </c>
      <c r="D7" s="2215"/>
      <c r="E7" s="2215"/>
      <c r="F7" s="208" t="s">
        <v>6</v>
      </c>
      <c r="G7" s="209">
        <f>'ORÇAMENTO '!N11</f>
        <v>45366</v>
      </c>
    </row>
    <row r="8" spans="1:8" s="265" customFormat="1" ht="15.75">
      <c r="B8" s="210" t="s">
        <v>7</v>
      </c>
      <c r="C8" s="2213" t="str">
        <f>'ORÇAMENTO '!G12</f>
        <v>SANTO ANTONIO DO LESTE</v>
      </c>
      <c r="D8" s="2213"/>
      <c r="E8" s="2214" t="str">
        <f>'ORÇAMENTO '!K12</f>
        <v>LEIS SOCIAIS: HORISTA</v>
      </c>
      <c r="F8" s="2214"/>
      <c r="G8" s="211">
        <f>'ORÇAMENTO '!N12</f>
        <v>1.0684</v>
      </c>
    </row>
    <row r="9" spans="1:8" s="46" customFormat="1" ht="18" customHeight="1" thickBot="1">
      <c r="B9" s="2187"/>
      <c r="C9" s="2188"/>
      <c r="D9" s="2188"/>
      <c r="E9" s="2186" t="str">
        <f>'ORÇAMENTO '!K13</f>
        <v>LEIS SOCIAIS: MENSALISTA</v>
      </c>
      <c r="F9" s="2186"/>
      <c r="G9" s="193">
        <f>'ORÇAMENTO '!N13</f>
        <v>0.65400000000000003</v>
      </c>
    </row>
    <row r="10" spans="1:8" s="277" customFormat="1" ht="6" thickBot="1">
      <c r="B10" s="1688"/>
      <c r="C10" s="1687"/>
      <c r="D10" s="1686"/>
      <c r="E10" s="1685"/>
      <c r="F10" s="1685"/>
      <c r="G10" s="1684"/>
    </row>
    <row r="11" spans="1:8" s="265" customFormat="1" ht="18.75" thickBot="1">
      <c r="B11" s="2245" t="s">
        <v>189</v>
      </c>
      <c r="C11" s="2246"/>
      <c r="D11" s="2246"/>
      <c r="E11" s="2246"/>
      <c r="F11" s="2246"/>
      <c r="G11" s="2247"/>
    </row>
    <row r="12" spans="1:8" s="277" customFormat="1" ht="6" thickBot="1">
      <c r="B12" s="1663"/>
      <c r="C12" s="1664"/>
      <c r="D12" s="1665"/>
      <c r="E12" s="1666"/>
      <c r="F12" s="1666"/>
      <c r="G12" s="1667"/>
    </row>
    <row r="13" spans="1:8" s="260" customFormat="1" ht="9.9499999999999993" customHeight="1">
      <c r="B13" s="969"/>
      <c r="C13" s="281"/>
      <c r="D13" s="281"/>
      <c r="E13" s="281"/>
      <c r="F13" s="281"/>
      <c r="G13" s="970"/>
    </row>
    <row r="14" spans="1:8" ht="7.5" customHeight="1" thickBot="1"/>
    <row r="15" spans="1:8" s="308" customFormat="1" ht="38.25" customHeight="1">
      <c r="B15" s="623" t="str">
        <f>IF(COUNT($H$14:H15)&lt;10,CONCATENATE("CPU ELE 00",COUNT($H$14:H15)),CONCATENATE("CPU ELE 0",COUNT($H$14:H15)))</f>
        <v>CPU ELE 001</v>
      </c>
      <c r="C15" s="2180" t="str">
        <f>CONCATENATE("FORNECIMENTO E INSTALAÇÃO DE ",C18)</f>
        <v xml:space="preserve">FORNECIMENTO E INSTALAÇÃO DE CAIXA DE PASSAGEM METALICA DE SOBREPOR COM TAMPA PARAFUSADA, DIMENSOES 30 X 30 X 10 CM                                                                                                                                                                                                                                                                                                                                                                                                                    </v>
      </c>
      <c r="D15" s="2181"/>
      <c r="E15" s="2181"/>
      <c r="F15" s="2181"/>
      <c r="G15" s="624" t="s">
        <v>22</v>
      </c>
      <c r="H15" s="615">
        <f>G22</f>
        <v>103.48</v>
      </c>
    </row>
    <row r="16" spans="1:8" s="308" customFormat="1" ht="31.5">
      <c r="B16" s="1093" t="s">
        <v>197</v>
      </c>
      <c r="C16" s="1094" t="s">
        <v>161</v>
      </c>
      <c r="D16" s="1194" t="s">
        <v>22</v>
      </c>
      <c r="E16" s="1094" t="s">
        <v>162</v>
      </c>
      <c r="F16" s="1095" t="s">
        <v>163</v>
      </c>
      <c r="G16" s="1096" t="s">
        <v>164</v>
      </c>
    </row>
    <row r="17" spans="1:8" s="308" customFormat="1" ht="15.75">
      <c r="B17" s="2389" t="s">
        <v>165</v>
      </c>
      <c r="C17" s="2390"/>
      <c r="D17" s="2390"/>
      <c r="E17" s="2390"/>
      <c r="F17" s="2390"/>
      <c r="G17" s="2391"/>
    </row>
    <row r="18" spans="1:8" s="308" customFormat="1" ht="30">
      <c r="A18" s="333" t="s">
        <v>390</v>
      </c>
      <c r="B18" s="1097">
        <v>39772</v>
      </c>
      <c r="C18" s="1098" t="str">
        <f>IF($A18="INSUMO",VLOOKUP($B18,'BANCO DE DADOS JANEIRO-24 INS'!$A:$D,2,FALSE),VLOOKUP($B18,'BANCO DE DADOS JANEIRO-24 SERV'!$B:$E,2,FALSE))</f>
        <v xml:space="preserve">CAIXA DE PASSAGEM METALICA DE SOBREPOR COM TAMPA PARAFUSADA, DIMENSOES 30 X 30 X 10 CM                                                                                                                                                                                                                                                                                                                                                                                                                    </v>
      </c>
      <c r="D18" s="1099" t="str">
        <f>IF($A18="INSUMO",VLOOKUP($B18,'BANCO DE DADOS JANEIRO-24 INS'!$A:$D,3,FALSE),VLOOKUP($B18,'BANCO DE DADOS JANEIRO-24 SERV'!$B:$E,3,FALSE))</f>
        <v xml:space="preserve">UN    </v>
      </c>
      <c r="E18" s="1208">
        <v>1</v>
      </c>
      <c r="F18" s="1146">
        <f>IF($A18="INSUMO",VLOOKUP($B18,'BANCO DE DADOS JANEIRO-24 INS'!$A:$D,4,FALSE),VLOOKUP($B18,'BANCO DE DADOS JANEIRO-24 SERV'!$B:$E,4,FALSE))</f>
        <v>74.31</v>
      </c>
      <c r="G18" s="1164">
        <f>TRUNC(F18*E18,2)</f>
        <v>74.31</v>
      </c>
    </row>
    <row r="19" spans="1:8" s="308" customFormat="1" ht="15.75">
      <c r="B19" s="2389" t="s">
        <v>166</v>
      </c>
      <c r="C19" s="2390"/>
      <c r="D19" s="2390"/>
      <c r="E19" s="2390"/>
      <c r="F19" s="2390"/>
      <c r="G19" s="2391"/>
    </row>
    <row r="20" spans="1:8" s="308" customFormat="1" ht="15.75">
      <c r="A20" s="333" t="s">
        <v>391</v>
      </c>
      <c r="B20" s="1200">
        <v>88264</v>
      </c>
      <c r="C20" s="1098" t="str">
        <f>IF($A20="INSUMO",VLOOKUP($B20,'BANCO DE DADOS JANEIRO-24 INS'!$A:$D,2,FALSE),VLOOKUP($B20,'BANCO DE DADOS JANEIRO-24 SERV'!$B:$E,2,FALSE))</f>
        <v>ELETRICISTA COM ENCARGOS COMPLEMENTARES</v>
      </c>
      <c r="D20" s="1099" t="str">
        <f>IF($A20="INSUMO",VLOOKUP($B20,'BANCO DE DADOS JANEIRO-24 INS'!$A:$D,3,FALSE),VLOOKUP($B20,'BANCO DE DADOS JANEIRO-24 SERV'!$B:$E,3,FALSE))</f>
        <v>H</v>
      </c>
      <c r="E20" s="1102">
        <v>0.6</v>
      </c>
      <c r="F20" s="1146">
        <f>IF($A20="INSUMO",VLOOKUP($B20,'BANCO DE DADOS JANEIRO-24 INS'!$A:$D,4,FALSE),VLOOKUP($B20,'BANCO DE DADOS JANEIRO-24 SERV'!$B:$E,4,FALSE))</f>
        <v>26.68</v>
      </c>
      <c r="G20" s="1199">
        <f>TRUNC(F20*E20,2)</f>
        <v>16</v>
      </c>
    </row>
    <row r="21" spans="1:8" s="308" customFormat="1" ht="16.5" thickBot="1">
      <c r="A21" s="333" t="s">
        <v>391</v>
      </c>
      <c r="B21" s="1201">
        <v>88247</v>
      </c>
      <c r="C21" s="1103" t="str">
        <f>IF($A21="INSUMO",VLOOKUP($B21,'BANCO DE DADOS JANEIRO-24 INS'!$A:$D,2,FALSE),VLOOKUP($B21,'BANCO DE DADOS JANEIRO-24 SERV'!$B:$E,2,FALSE))</f>
        <v>AUXILIAR DE ELETRICISTA COM ENCARGOS COMPLEMENTARES</v>
      </c>
      <c r="D21" s="1104" t="str">
        <f>IF($A21="INSUMO",VLOOKUP($B21,'BANCO DE DADOS JANEIRO-24 INS'!$A:$D,3,FALSE),VLOOKUP($B21,'BANCO DE DADOS JANEIRO-24 SERV'!$B:$E,3,FALSE))</f>
        <v>H</v>
      </c>
      <c r="E21" s="1184">
        <v>0.6</v>
      </c>
      <c r="F21" s="1105">
        <f>IF($A21="INSUMO",VLOOKUP($B21,'BANCO DE DADOS JANEIRO-24 INS'!$A:$D,4,FALSE),VLOOKUP($B21,'BANCO DE DADOS JANEIRO-24 SERV'!$B:$E,4,FALSE))</f>
        <v>21.96</v>
      </c>
      <c r="G21" s="1202">
        <f>TRUNC(F21*E21,2)</f>
        <v>13.17</v>
      </c>
    </row>
    <row r="22" spans="1:8" s="308" customFormat="1" ht="16.5" thickBot="1">
      <c r="B22" s="2393" t="s">
        <v>7271</v>
      </c>
      <c r="C22" s="2393"/>
      <c r="D22" s="2393"/>
      <c r="E22" s="2393"/>
      <c r="F22" s="325" t="s">
        <v>167</v>
      </c>
      <c r="G22" s="326">
        <f>SUM(G17:G21)</f>
        <v>103.48</v>
      </c>
    </row>
    <row r="23" spans="1:8" s="308" customFormat="1" ht="15">
      <c r="B23" s="2394"/>
      <c r="C23" s="2394"/>
      <c r="D23" s="2394"/>
      <c r="E23" s="2394"/>
    </row>
    <row r="24" spans="1:8" s="308" customFormat="1" ht="15.75" thickBot="1">
      <c r="B24" s="248"/>
      <c r="C24" s="248"/>
      <c r="D24" s="248"/>
      <c r="E24" s="248"/>
    </row>
    <row r="25" spans="1:8" s="308" customFormat="1" ht="15.75" customHeight="1">
      <c r="B25" s="623" t="str">
        <f>IF(COUNT($H$14:H25)&lt;10,CONCATENATE("CPU ELE 00",COUNT($H$14:H25)),CONCATENATE("CPU ELE 0",COUNT($H$14:H25)))</f>
        <v>CPU ELE 002</v>
      </c>
      <c r="C25" s="2180" t="str">
        <f>CONCATENATE("FORNECIMENTO E INSTALAÇAO DE ",C28)</f>
        <v>FORNECIMENTO E INSTALAÇAO DE PADRÃO DE ENTRADA DE ENERGIA CATEGORIA "T6" (ENERGISA)</v>
      </c>
      <c r="D25" s="2181"/>
      <c r="E25" s="2181"/>
      <c r="F25" s="2181"/>
      <c r="G25" s="247" t="str">
        <f>G34</f>
        <v>UN</v>
      </c>
      <c r="H25" s="615">
        <f>G32</f>
        <v>14718.24</v>
      </c>
    </row>
    <row r="26" spans="1:8" s="308" customFormat="1" ht="31.5">
      <c r="B26" s="1093" t="s">
        <v>197</v>
      </c>
      <c r="C26" s="1094" t="s">
        <v>161</v>
      </c>
      <c r="D26" s="1194" t="s">
        <v>22</v>
      </c>
      <c r="E26" s="1094" t="s">
        <v>162</v>
      </c>
      <c r="F26" s="1095" t="s">
        <v>163</v>
      </c>
      <c r="G26" s="1096" t="s">
        <v>164</v>
      </c>
    </row>
    <row r="27" spans="1:8" s="308" customFormat="1" ht="15.75">
      <c r="B27" s="2389" t="s">
        <v>165</v>
      </c>
      <c r="C27" s="2390"/>
      <c r="D27" s="2390"/>
      <c r="E27" s="2390"/>
      <c r="F27" s="2390"/>
      <c r="G27" s="2391"/>
    </row>
    <row r="28" spans="1:8" s="308" customFormat="1" ht="15">
      <c r="B28" s="1213" t="s">
        <v>181</v>
      </c>
      <c r="C28" s="1214" t="str">
        <f>C34</f>
        <v>PADRÃO DE ENTRADA DE ENERGIA CATEGORIA "T6" (ENERGISA)</v>
      </c>
      <c r="D28" s="1161" t="str">
        <f>G34</f>
        <v>UN</v>
      </c>
      <c r="E28" s="1208">
        <v>1</v>
      </c>
      <c r="F28" s="1208">
        <f>D39</f>
        <v>14523.68</v>
      </c>
      <c r="G28" s="1164">
        <f>TRUNC(F28*E28,2)</f>
        <v>14523.68</v>
      </c>
    </row>
    <row r="29" spans="1:8" s="308" customFormat="1" ht="15.75">
      <c r="B29" s="2389" t="s">
        <v>166</v>
      </c>
      <c r="C29" s="2390"/>
      <c r="D29" s="2390"/>
      <c r="E29" s="2390"/>
      <c r="F29" s="2390"/>
      <c r="G29" s="2391"/>
    </row>
    <row r="30" spans="1:8" s="308" customFormat="1" ht="15.75">
      <c r="A30" s="333" t="s">
        <v>391</v>
      </c>
      <c r="B30" s="1200">
        <v>88264</v>
      </c>
      <c r="C30" s="1098" t="str">
        <f>IF($A30="INSUMO",VLOOKUP($B30,'BANCO DE DADOS JANEIRO-24 INS'!$A:$D,2,FALSE),VLOOKUP($B30,'BANCO DE DADOS JANEIRO-24 SERV'!$B:$E,2,FALSE))</f>
        <v>ELETRICISTA COM ENCARGOS COMPLEMENTARES</v>
      </c>
      <c r="D30" s="1099" t="str">
        <f>IF($A30="INSUMO",VLOOKUP($B30,'BANCO DE DADOS JANEIRO-24 INS'!$A:$D,3,FALSE),VLOOKUP($B30,'BANCO DE DADOS JANEIRO-24 SERV'!$B:$E,3,FALSE))</f>
        <v>H</v>
      </c>
      <c r="E30" s="1102">
        <v>4</v>
      </c>
      <c r="F30" s="1146">
        <f>IF($A30="INSUMO",VLOOKUP($B30,'BANCO DE DADOS JANEIRO-24 INS'!$A:$D,4,FALSE),VLOOKUP($B30,'BANCO DE DADOS JANEIRO-24 SERV'!$B:$E,4,FALSE))</f>
        <v>26.68</v>
      </c>
      <c r="G30" s="1199">
        <f>TRUNC(F30*E30,2)</f>
        <v>106.72</v>
      </c>
    </row>
    <row r="31" spans="1:8" s="308" customFormat="1" ht="16.5" thickBot="1">
      <c r="A31" s="333" t="s">
        <v>391</v>
      </c>
      <c r="B31" s="1201">
        <v>88247</v>
      </c>
      <c r="C31" s="1103" t="str">
        <f>IF($A31="INSUMO",VLOOKUP($B31,'BANCO DE DADOS JANEIRO-24 INS'!$A:$D,2,FALSE),VLOOKUP($B31,'BANCO DE DADOS JANEIRO-24 SERV'!$B:$E,2,FALSE))</f>
        <v>AUXILIAR DE ELETRICISTA COM ENCARGOS COMPLEMENTARES</v>
      </c>
      <c r="D31" s="1104" t="str">
        <f>IF($A31="INSUMO",VLOOKUP($B31,'BANCO DE DADOS JANEIRO-24 INS'!$A:$D,3,FALSE),VLOOKUP($B31,'BANCO DE DADOS JANEIRO-24 SERV'!$B:$E,3,FALSE))</f>
        <v>H</v>
      </c>
      <c r="E31" s="1184">
        <v>4</v>
      </c>
      <c r="F31" s="974">
        <f>IF($A31="INSUMO",VLOOKUP($B31,'BANCO DE DADOS JANEIRO-24 INS'!$A:$D,4,FALSE),VLOOKUP($B31,'BANCO DE DADOS JANEIRO-24 SERV'!$B:$E,4,FALSE))</f>
        <v>21.96</v>
      </c>
      <c r="G31" s="975">
        <f>TRUNC(F31*E31,2)</f>
        <v>87.84</v>
      </c>
    </row>
    <row r="32" spans="1:8" s="308" customFormat="1" ht="16.5" customHeight="1" thickBot="1">
      <c r="B32" s="2394" t="s">
        <v>5849</v>
      </c>
      <c r="C32" s="2394"/>
      <c r="D32" s="2394"/>
      <c r="E32" s="2394"/>
      <c r="F32" s="330" t="s">
        <v>167</v>
      </c>
      <c r="G32" s="611">
        <f>SUM(G27:G31)</f>
        <v>14718.24</v>
      </c>
    </row>
    <row r="33" spans="1:9" s="308" customFormat="1" ht="16.5" thickBot="1">
      <c r="B33" s="329"/>
      <c r="C33" s="300"/>
      <c r="D33" s="300"/>
      <c r="E33" s="300"/>
      <c r="F33" s="300"/>
      <c r="G33" s="300"/>
    </row>
    <row r="34" spans="1:9" s="365" customFormat="1" ht="18">
      <c r="A34" s="364"/>
      <c r="B34" s="1669" t="s">
        <v>181</v>
      </c>
      <c r="C34" s="2164" t="s">
        <v>1724</v>
      </c>
      <c r="D34" s="2165"/>
      <c r="E34" s="2165"/>
      <c r="F34" s="2166"/>
      <c r="G34" s="1670" t="s">
        <v>22</v>
      </c>
      <c r="H34" s="680" t="s">
        <v>1977</v>
      </c>
    </row>
    <row r="35" spans="1:9" ht="31.5">
      <c r="A35" s="308"/>
      <c r="B35" s="1107" t="s">
        <v>174</v>
      </c>
      <c r="C35" s="1108" t="s">
        <v>175</v>
      </c>
      <c r="D35" s="1109" t="s">
        <v>176</v>
      </c>
      <c r="E35" s="1110" t="s">
        <v>177</v>
      </c>
      <c r="F35" s="1181" t="s">
        <v>178</v>
      </c>
      <c r="G35" s="1112" t="s">
        <v>179</v>
      </c>
    </row>
    <row r="36" spans="1:9" ht="15">
      <c r="A36" s="308"/>
      <c r="B36" s="1876">
        <v>45257</v>
      </c>
      <c r="C36" s="1877" t="s">
        <v>5054</v>
      </c>
      <c r="D36" s="1878">
        <v>9298.68</v>
      </c>
      <c r="E36" s="1879" t="s">
        <v>5055</v>
      </c>
      <c r="F36" s="1880" t="s">
        <v>5056</v>
      </c>
      <c r="G36" s="1881" t="s">
        <v>13344</v>
      </c>
      <c r="H36" s="675"/>
      <c r="I36" s="1205">
        <f>B36+180</f>
        <v>45437</v>
      </c>
    </row>
    <row r="37" spans="1:9" ht="15">
      <c r="A37" s="308"/>
      <c r="B37" s="1882">
        <v>45343</v>
      </c>
      <c r="C37" s="1877" t="s">
        <v>2061</v>
      </c>
      <c r="D37" s="1878">
        <v>18620.07</v>
      </c>
      <c r="E37" s="1884" t="s">
        <v>14643</v>
      </c>
      <c r="F37" s="1880" t="s">
        <v>556</v>
      </c>
      <c r="G37" s="1955" t="s">
        <v>4607</v>
      </c>
      <c r="H37" s="675"/>
      <c r="I37" s="1205">
        <f>B37+180</f>
        <v>45523</v>
      </c>
    </row>
    <row r="38" spans="1:9" ht="15.75" thickBot="1">
      <c r="A38" s="308"/>
      <c r="B38" s="1882">
        <v>45264</v>
      </c>
      <c r="C38" s="1877" t="s">
        <v>2708</v>
      </c>
      <c r="D38" s="1883">
        <v>14523.68</v>
      </c>
      <c r="E38" s="1884" t="s">
        <v>545</v>
      </c>
      <c r="F38" s="1885" t="s">
        <v>1808</v>
      </c>
      <c r="G38" s="1881" t="s">
        <v>555</v>
      </c>
      <c r="H38" s="675"/>
      <c r="I38" s="1206">
        <v>0</v>
      </c>
    </row>
    <row r="39" spans="1:9" ht="16.5" thickBot="1">
      <c r="A39" s="308"/>
      <c r="B39" s="1672"/>
      <c r="C39" s="1668" t="s">
        <v>180</v>
      </c>
      <c r="D39" s="1673">
        <f>IF(COUNT(D35:D38)=3,MEDIAN(D36:D38),SMALL(D36:D38,1))</f>
        <v>14523.68</v>
      </c>
      <c r="E39" s="1674"/>
      <c r="F39" s="1675"/>
      <c r="G39" s="1671"/>
    </row>
    <row r="40" spans="1:9" ht="16.5" thickBot="1">
      <c r="A40" s="308"/>
      <c r="B40" s="329"/>
      <c r="C40" s="300"/>
      <c r="D40" s="300"/>
      <c r="E40" s="300"/>
      <c r="F40" s="300"/>
      <c r="G40" s="300"/>
    </row>
    <row r="41" spans="1:9" ht="39.75" customHeight="1">
      <c r="A41" s="308"/>
      <c r="B41" s="623" t="str">
        <f>IF(COUNT($H$14:H41)&lt;10,CONCATENATE("CPU ELE 00",COUNT($H$14:H41)),CONCATENATE("CPU ELE 0",COUNT($H$14:H41)))</f>
        <v>CPU ELE 003</v>
      </c>
      <c r="C41" s="2180" t="s">
        <v>541</v>
      </c>
      <c r="D41" s="2181"/>
      <c r="E41" s="2181"/>
      <c r="F41" s="2181"/>
      <c r="G41" s="624" t="s">
        <v>22</v>
      </c>
      <c r="H41" s="615">
        <f>G49</f>
        <v>214.01999999999998</v>
      </c>
    </row>
    <row r="42" spans="1:9" ht="31.5">
      <c r="A42" s="308"/>
      <c r="B42" s="1093" t="s">
        <v>197</v>
      </c>
      <c r="C42" s="1094" t="s">
        <v>161</v>
      </c>
      <c r="D42" s="1194" t="s">
        <v>22</v>
      </c>
      <c r="E42" s="1094" t="s">
        <v>162</v>
      </c>
      <c r="F42" s="1095" t="s">
        <v>163</v>
      </c>
      <c r="G42" s="1096" t="s">
        <v>164</v>
      </c>
      <c r="H42" s="308"/>
    </row>
    <row r="43" spans="1:9" ht="15.75">
      <c r="A43" s="308"/>
      <c r="B43" s="2389" t="s">
        <v>165</v>
      </c>
      <c r="C43" s="2390"/>
      <c r="D43" s="2390"/>
      <c r="E43" s="2390"/>
      <c r="F43" s="2390"/>
      <c r="G43" s="2391"/>
      <c r="H43" s="308"/>
    </row>
    <row r="44" spans="1:9" s="308" customFormat="1" ht="30">
      <c r="A44" s="333" t="s">
        <v>390</v>
      </c>
      <c r="B44" s="1097">
        <v>38785</v>
      </c>
      <c r="C44" s="1098" t="str">
        <f>IF($A44="INSUMO",VLOOKUP($B44,'BANCO DE DADOS JANEIRO-24 INS'!$A:$D,2,FALSE),VLOOKUP($B44,'BANCO DE DADOS JANEIRO-24 SERV'!$B:$E,2,FALSE))</f>
        <v xml:space="preserve">LUMINARIA HERMETICA IP-65 PARA 2 DUAS LAMPADAS DE 14/16/18/20 W (NAO INCLUI REATOR E LAMPADAS)                                                                                                                                                                                                                                                                                                                                                                                                            </v>
      </c>
      <c r="D44" s="1099" t="str">
        <f>IF($A44="INSUMO",VLOOKUP($B44,'BANCO DE DADOS JANEIRO-24 INS'!$A:$D,3,FALSE),VLOOKUP($B44,'BANCO DE DADOS JANEIRO-24 SERV'!$B:$E,3,FALSE))</f>
        <v xml:space="preserve">UN    </v>
      </c>
      <c r="E44" s="1208">
        <v>1</v>
      </c>
      <c r="F44" s="1146">
        <f>IF($A44="INSUMO",VLOOKUP($B44,'BANCO DE DADOS JANEIRO-24 INS'!$A:$D,4,FALSE),VLOOKUP($B44,'BANCO DE DADOS JANEIRO-24 SERV'!$B:$E,4,FALSE))</f>
        <v>181.98</v>
      </c>
      <c r="G44" s="1164">
        <f>TRUNC(F44*E44,2)</f>
        <v>181.98</v>
      </c>
    </row>
    <row r="45" spans="1:9" s="308" customFormat="1" ht="15.75">
      <c r="A45" s="333" t="s">
        <v>390</v>
      </c>
      <c r="B45" s="1097">
        <v>39387</v>
      </c>
      <c r="C45" s="1098" t="str">
        <f>IF($A45="INSUMO",VLOOKUP($B45,'BANCO DE DADOS JANEIRO-24 INS'!$A:$D,2,FALSE),VLOOKUP($B45,'BANCO DE DADOS JANEIRO-24 SERV'!$B:$E,2,FALSE))</f>
        <v xml:space="preserve">LAMPADA LED TUBULAR BIVOLT 18/20 W, BASE G13                                                                                                                                                                                                                                                                                                                                                                                                                                                              </v>
      </c>
      <c r="D45" s="1099" t="str">
        <f>IF($A45="INSUMO",VLOOKUP($B45,'BANCO DE DADOS JANEIRO-24 INS'!$A:$D,3,FALSE),VLOOKUP($B45,'BANCO DE DADOS JANEIRO-24 SERV'!$B:$E,3,FALSE))</f>
        <v xml:space="preserve">UN    </v>
      </c>
      <c r="E45" s="1208">
        <v>2</v>
      </c>
      <c r="F45" s="1146">
        <f>IF($A45="INSUMO",VLOOKUP($B45,'BANCO DE DADOS JANEIRO-24 INS'!$A:$D,4,FALSE),VLOOKUP($B45,'BANCO DE DADOS JANEIRO-24 SERV'!$B:$E,4,FALSE))</f>
        <v>8.6</v>
      </c>
      <c r="G45" s="1164">
        <f>TRUNC(F45*E45,2)</f>
        <v>17.2</v>
      </c>
    </row>
    <row r="46" spans="1:9" ht="15.75">
      <c r="A46" s="308"/>
      <c r="B46" s="2389" t="s">
        <v>166</v>
      </c>
      <c r="C46" s="2390"/>
      <c r="D46" s="2390"/>
      <c r="E46" s="2390"/>
      <c r="F46" s="2390"/>
      <c r="G46" s="2391"/>
      <c r="H46" s="308"/>
    </row>
    <row r="47" spans="1:9" ht="15.75">
      <c r="A47" s="333" t="s">
        <v>391</v>
      </c>
      <c r="B47" s="1200">
        <v>88264</v>
      </c>
      <c r="C47" s="1098" t="str">
        <f>IF($A47="INSUMO",VLOOKUP($B47,'BANCO DE DADOS JANEIRO-24 INS'!$A:$D,2,FALSE),VLOOKUP($B47,'BANCO DE DADOS JANEIRO-24 SERV'!$B:$E,2,FALSE))</f>
        <v>ELETRICISTA COM ENCARGOS COMPLEMENTARES</v>
      </c>
      <c r="D47" s="1099" t="str">
        <f>IF($A47="INSUMO",VLOOKUP($B47,'BANCO DE DADOS JANEIRO-24 INS'!$A:$D,3,FALSE),VLOOKUP($B47,'BANCO DE DADOS JANEIRO-24 SERV'!$B:$E,3,FALSE))</f>
        <v>H</v>
      </c>
      <c r="E47" s="1469">
        <v>0.41439999999999999</v>
      </c>
      <c r="F47" s="1146">
        <f>IF($A47="INSUMO",VLOOKUP($B47,'BANCO DE DADOS JANEIRO-24 INS'!$A:$D,4,FALSE),VLOOKUP($B47,'BANCO DE DADOS JANEIRO-24 SERV'!$B:$E,4,FALSE))</f>
        <v>26.68</v>
      </c>
      <c r="G47" s="1199">
        <f>TRUNC(F47*E47,2)</f>
        <v>11.05</v>
      </c>
      <c r="H47" s="308"/>
    </row>
    <row r="48" spans="1:9" ht="16.5" thickBot="1">
      <c r="A48" s="333" t="s">
        <v>391</v>
      </c>
      <c r="B48" s="1201">
        <v>88247</v>
      </c>
      <c r="C48" s="1103" t="str">
        <f>IF($A48="INSUMO",VLOOKUP($B48,'BANCO DE DADOS JANEIRO-24 INS'!$A:$D,2,FALSE),VLOOKUP($B48,'BANCO DE DADOS JANEIRO-24 SERV'!$B:$E,2,FALSE))</f>
        <v>AUXILIAR DE ELETRICISTA COM ENCARGOS COMPLEMENTARES</v>
      </c>
      <c r="D48" s="1104" t="str">
        <f>IF($A48="INSUMO",VLOOKUP($B48,'BANCO DE DADOS JANEIRO-24 INS'!$A:$D,3,FALSE),VLOOKUP($B48,'BANCO DE DADOS JANEIRO-24 SERV'!$B:$E,3,FALSE))</f>
        <v>H</v>
      </c>
      <c r="E48" s="1470">
        <v>0.17269999999999999</v>
      </c>
      <c r="F48" s="1105">
        <f>IF($A48="INSUMO",VLOOKUP($B48,'BANCO DE DADOS JANEIRO-24 INS'!$A:$D,4,FALSE),VLOOKUP($B48,'BANCO DE DADOS JANEIRO-24 SERV'!$B:$E,4,FALSE))</f>
        <v>21.96</v>
      </c>
      <c r="G48" s="1202">
        <f>TRUNC(F48*E48,2)</f>
        <v>3.79</v>
      </c>
      <c r="H48" s="308"/>
    </row>
    <row r="49" spans="1:8" ht="16.5" customHeight="1" thickBot="1">
      <c r="A49" s="308"/>
      <c r="B49" s="2392" t="s">
        <v>7272</v>
      </c>
      <c r="C49" s="2392"/>
      <c r="D49" s="2392"/>
      <c r="E49" s="2392"/>
      <c r="F49" s="325" t="s">
        <v>167</v>
      </c>
      <c r="G49" s="326">
        <f>SUM(G43:G48)</f>
        <v>214.01999999999998</v>
      </c>
      <c r="H49" s="308"/>
    </row>
    <row r="50" spans="1:8" ht="13.5" thickBot="1"/>
    <row r="51" spans="1:8" s="308" customFormat="1" ht="42" customHeight="1">
      <c r="B51" s="623" t="str">
        <f>IF(COUNT($H$14:H51)&lt;10,CONCATENATE("CPU ELE 00",COUNT($H$14:H51)),CONCATENATE("CPU ELE 0",COUNT($H$14:H51)))</f>
        <v>CPU ELE 004</v>
      </c>
      <c r="C51" s="2180" t="s">
        <v>14056</v>
      </c>
      <c r="D51" s="2181"/>
      <c r="E51" s="2181"/>
      <c r="F51" s="2181"/>
      <c r="G51" s="624" t="s">
        <v>22</v>
      </c>
      <c r="H51" s="615">
        <f>G58</f>
        <v>114.16</v>
      </c>
    </row>
    <row r="52" spans="1:8" s="308" customFormat="1" ht="31.5">
      <c r="B52" s="1093" t="s">
        <v>197</v>
      </c>
      <c r="C52" s="1094" t="s">
        <v>161</v>
      </c>
      <c r="D52" s="1194" t="s">
        <v>22</v>
      </c>
      <c r="E52" s="1094" t="s">
        <v>162</v>
      </c>
      <c r="F52" s="1095" t="s">
        <v>163</v>
      </c>
      <c r="G52" s="1096" t="s">
        <v>164</v>
      </c>
    </row>
    <row r="53" spans="1:8" s="308" customFormat="1" ht="15.75">
      <c r="B53" s="2389" t="s">
        <v>165</v>
      </c>
      <c r="C53" s="2390"/>
      <c r="D53" s="2390"/>
      <c r="E53" s="2390"/>
      <c r="F53" s="2390"/>
      <c r="G53" s="2391"/>
    </row>
    <row r="54" spans="1:8" s="308" customFormat="1" ht="45">
      <c r="A54" s="333" t="s">
        <v>390</v>
      </c>
      <c r="B54" s="1097">
        <v>39810</v>
      </c>
      <c r="C54" s="1098" t="str">
        <f>IF($A54="INSUMO",VLOOKUP($B54,'BANCO DE DADOS JANEIRO-24 INS'!$A:$D,2,FALSE),VLOOKUP($B54,'BANCO DE DADOS JANEIRO-24 SERV'!$B:$E,2,FALSE))</f>
        <v xml:space="preserve">CAIXA DE PASSAGEM ELETRICA DE PAREDE, DE EMBUTIR, EM PVC, COM TAMPA APARAFUSADA, DIMENSOES 120 X 120 X *75* MM                                                                                                                                                                                                                                                                                                                                                                                            </v>
      </c>
      <c r="D54" s="1099" t="str">
        <f>IF($A54="INSUMO",VLOOKUP($B54,'BANCO DE DADOS JANEIRO-24 INS'!$A:$D,3,FALSE),VLOOKUP($B54,'BANCO DE DADOS JANEIRO-24 SERV'!$B:$E,3,FALSE))</f>
        <v xml:space="preserve">UN    </v>
      </c>
      <c r="E54" s="1208">
        <v>1</v>
      </c>
      <c r="F54" s="1146">
        <f>IF($A54="INSUMO",VLOOKUP($B54,'BANCO DE DADOS JANEIRO-24 INS'!$A:$D,4,FALSE),VLOOKUP($B54,'BANCO DE DADOS JANEIRO-24 SERV'!$B:$E,4,FALSE))</f>
        <v>41.2</v>
      </c>
      <c r="G54" s="1164">
        <f>TRUNC(F54*E54,2)</f>
        <v>41.2</v>
      </c>
    </row>
    <row r="55" spans="1:8" s="308" customFormat="1" ht="15.75">
      <c r="B55" s="2389" t="s">
        <v>166</v>
      </c>
      <c r="C55" s="2390"/>
      <c r="D55" s="2390"/>
      <c r="E55" s="2390"/>
      <c r="F55" s="2390"/>
      <c r="G55" s="2391"/>
    </row>
    <row r="56" spans="1:8" s="308" customFormat="1" ht="15.75">
      <c r="A56" s="333" t="s">
        <v>391</v>
      </c>
      <c r="B56" s="1200">
        <v>88264</v>
      </c>
      <c r="C56" s="1098" t="str">
        <f>IF($A56="INSUMO",VLOOKUP($B56,'BANCO DE DADOS JANEIRO-24 INS'!$A:$D,2,FALSE),VLOOKUP($B56,'BANCO DE DADOS JANEIRO-24 SERV'!$B:$E,2,FALSE))</f>
        <v>ELETRICISTA COM ENCARGOS COMPLEMENTARES</v>
      </c>
      <c r="D56" s="1099" t="str">
        <f>IF($A56="INSUMO",VLOOKUP($B56,'BANCO DE DADOS JANEIRO-24 INS'!$A:$D,3,FALSE),VLOOKUP($B56,'BANCO DE DADOS JANEIRO-24 SERV'!$B:$E,3,FALSE))</f>
        <v>H</v>
      </c>
      <c r="E56" s="1210">
        <v>1.5</v>
      </c>
      <c r="F56" s="1146">
        <f>IF($A56="INSUMO",VLOOKUP($B56,'BANCO DE DADOS JANEIRO-24 INS'!$A:$D,4,FALSE),VLOOKUP($B56,'BANCO DE DADOS JANEIRO-24 SERV'!$B:$E,4,FALSE))</f>
        <v>26.68</v>
      </c>
      <c r="G56" s="1199">
        <f>TRUNC(F56*E56,2)</f>
        <v>40.020000000000003</v>
      </c>
    </row>
    <row r="57" spans="1:8" s="308" customFormat="1" ht="16.5" thickBot="1">
      <c r="A57" s="333" t="s">
        <v>391</v>
      </c>
      <c r="B57" s="1523">
        <v>88247</v>
      </c>
      <c r="C57" s="1522" t="str">
        <f>IF($A57="INSUMO",VLOOKUP($B57,'BANCO DE DADOS JANEIRO-24 INS'!$A:$D,2,FALSE),VLOOKUP($B57,'BANCO DE DADOS JANEIRO-24 SERV'!$B:$E,2,FALSE))</f>
        <v>AUXILIAR DE ELETRICISTA COM ENCARGOS COMPLEMENTARES</v>
      </c>
      <c r="D57" s="1521" t="str">
        <f>IF($A57="INSUMO",VLOOKUP($B57,'BANCO DE DADOS JANEIRO-24 INS'!$A:$D,3,FALSE),VLOOKUP($B57,'BANCO DE DADOS JANEIRO-24 SERV'!$B:$E,3,FALSE))</f>
        <v>H</v>
      </c>
      <c r="E57" s="1518">
        <v>1.5</v>
      </c>
      <c r="F57" s="1525">
        <f>IF($A57="INSUMO",VLOOKUP($B57,'BANCO DE DADOS JANEIRO-24 INS'!$A:$D,4,FALSE),VLOOKUP($B57,'BANCO DE DADOS JANEIRO-24 SERV'!$B:$E,4,FALSE))</f>
        <v>21.96</v>
      </c>
      <c r="G57" s="1520">
        <f>TRUNC(F57*E57,2)</f>
        <v>32.94</v>
      </c>
    </row>
    <row r="58" spans="1:8" s="308" customFormat="1" ht="16.5" thickBot="1">
      <c r="B58" s="2392" t="s">
        <v>14057</v>
      </c>
      <c r="C58" s="2392"/>
      <c r="D58" s="2392"/>
      <c r="E58" s="2392"/>
      <c r="F58" s="325" t="s">
        <v>167</v>
      </c>
      <c r="G58" s="326">
        <f>SUM(G53:G57)</f>
        <v>114.16</v>
      </c>
    </row>
    <row r="59" spans="1:8" ht="13.5" thickBot="1"/>
    <row r="60" spans="1:8" s="308" customFormat="1" ht="42" customHeight="1">
      <c r="B60" s="623" t="str">
        <f>IF(COUNT($H$14:H60)&lt;10,CONCATENATE("CPU ELE 00",COUNT($H$14:H60)),CONCATENATE("CPU ELE 0",COUNT($H$14:H60)))</f>
        <v>CPU ELE 005</v>
      </c>
      <c r="C60" s="2180" t="s">
        <v>14058</v>
      </c>
      <c r="D60" s="2181"/>
      <c r="E60" s="2181"/>
      <c r="F60" s="2181"/>
      <c r="G60" s="624" t="s">
        <v>22</v>
      </c>
      <c r="H60" s="615">
        <f>G66</f>
        <v>3.96</v>
      </c>
    </row>
    <row r="61" spans="1:8" s="308" customFormat="1" ht="31.5">
      <c r="B61" s="1093" t="s">
        <v>197</v>
      </c>
      <c r="C61" s="1094" t="s">
        <v>161</v>
      </c>
      <c r="D61" s="1194" t="s">
        <v>22</v>
      </c>
      <c r="E61" s="1094" t="s">
        <v>162</v>
      </c>
      <c r="F61" s="1095" t="s">
        <v>163</v>
      </c>
      <c r="G61" s="1096" t="s">
        <v>164</v>
      </c>
    </row>
    <row r="62" spans="1:8" s="308" customFormat="1" ht="15.75">
      <c r="B62" s="2389" t="s">
        <v>165</v>
      </c>
      <c r="C62" s="2390"/>
      <c r="D62" s="2390"/>
      <c r="E62" s="2390"/>
      <c r="F62" s="2390"/>
      <c r="G62" s="2391"/>
    </row>
    <row r="63" spans="1:8" s="308" customFormat="1" ht="30">
      <c r="A63" s="333" t="s">
        <v>390</v>
      </c>
      <c r="B63" s="1097">
        <v>38091</v>
      </c>
      <c r="C63" s="1098" t="str">
        <f>IF($A63="INSUMO",VLOOKUP($B63,'BANCO DE DADOS JANEIRO-24 INS'!$A:$D,2,FALSE),VLOOKUP($B63,'BANCO DE DADOS JANEIRO-24 SERV'!$B:$E,2,FALSE))</f>
        <v xml:space="preserve">ESPELHO / PLACA CEGA 4" X 2", PARA INSTALACAO DE TOMADAS E INTERRUPTORES                                                                                                                                                                                                                                                                                                                                                                                                                                  </v>
      </c>
      <c r="D63" s="1099" t="str">
        <f>IF($A63="INSUMO",VLOOKUP($B63,'BANCO DE DADOS JANEIRO-24 INS'!$A:$D,3,FALSE),VLOOKUP($B63,'BANCO DE DADOS JANEIRO-24 SERV'!$B:$E,3,FALSE))</f>
        <v xml:space="preserve">UN    </v>
      </c>
      <c r="E63" s="1208">
        <v>1</v>
      </c>
      <c r="F63" s="1146">
        <f>IF($A63="INSUMO",VLOOKUP($B63,'BANCO DE DADOS JANEIRO-24 INS'!$A:$D,4,FALSE),VLOOKUP($B63,'BANCO DE DADOS JANEIRO-24 SERV'!$B:$E,4,FALSE))</f>
        <v>2.21</v>
      </c>
      <c r="G63" s="1164">
        <f>TRUNC(F63*E63,2)</f>
        <v>2.21</v>
      </c>
    </row>
    <row r="64" spans="1:8" s="308" customFormat="1" ht="15.75">
      <c r="B64" s="2389" t="s">
        <v>166</v>
      </c>
      <c r="C64" s="2390"/>
      <c r="D64" s="2390"/>
      <c r="E64" s="2390"/>
      <c r="F64" s="2390"/>
      <c r="G64" s="2391"/>
    </row>
    <row r="65" spans="1:8" s="308" customFormat="1" ht="16.5" thickBot="1">
      <c r="A65" s="333" t="s">
        <v>391</v>
      </c>
      <c r="B65" s="1523">
        <v>88247</v>
      </c>
      <c r="C65" s="1522" t="str">
        <f>IF($A65="INSUMO",VLOOKUP($B65,'BANCO DE DADOS JANEIRO-24 INS'!$A:$D,2,FALSE),VLOOKUP($B65,'BANCO DE DADOS JANEIRO-24 SERV'!$B:$E,2,FALSE))</f>
        <v>AUXILIAR DE ELETRICISTA COM ENCARGOS COMPLEMENTARES</v>
      </c>
      <c r="D65" s="1521" t="str">
        <f>IF($A65="INSUMO",VLOOKUP($B65,'BANCO DE DADOS JANEIRO-24 INS'!$A:$D,3,FALSE),VLOOKUP($B65,'BANCO DE DADOS JANEIRO-24 SERV'!$B:$E,3,FALSE))</f>
        <v>H</v>
      </c>
      <c r="E65" s="1518">
        <v>0.08</v>
      </c>
      <c r="F65" s="1525">
        <f>IF($A65="INSUMO",VLOOKUP($B65,'BANCO DE DADOS JANEIRO-24 INS'!$A:$D,4,FALSE),VLOOKUP($B65,'BANCO DE DADOS JANEIRO-24 SERV'!$B:$E,4,FALSE))</f>
        <v>21.96</v>
      </c>
      <c r="G65" s="1520">
        <f>TRUNC(F65*E65,2)</f>
        <v>1.75</v>
      </c>
    </row>
    <row r="66" spans="1:8" s="308" customFormat="1" ht="16.5" thickBot="1">
      <c r="B66" s="2392" t="s">
        <v>14059</v>
      </c>
      <c r="C66" s="2392"/>
      <c r="D66" s="2392"/>
      <c r="E66" s="2392"/>
      <c r="F66" s="325" t="s">
        <v>167</v>
      </c>
      <c r="G66" s="326">
        <f>SUM(G62:G65)</f>
        <v>3.96</v>
      </c>
    </row>
    <row r="67" spans="1:8" ht="13.5" thickBot="1"/>
    <row r="68" spans="1:8" s="308" customFormat="1" ht="42" customHeight="1">
      <c r="B68" s="623" t="str">
        <f>IF(COUNT($H$14:H68)&lt;10,CONCATENATE("CPU ELE 00",COUNT($H$14:H68)),CONCATENATE("CPU ELE 0",COUNT($H$14:H68)))</f>
        <v>CPU ELE 006</v>
      </c>
      <c r="C68" s="2180" t="s">
        <v>14129</v>
      </c>
      <c r="D68" s="2181"/>
      <c r="E68" s="2181"/>
      <c r="F68" s="2181"/>
      <c r="G68" s="624" t="s">
        <v>22</v>
      </c>
      <c r="H68" s="615">
        <f>G75</f>
        <v>75.59</v>
      </c>
    </row>
    <row r="69" spans="1:8" s="308" customFormat="1" ht="31.5">
      <c r="B69" s="1093" t="s">
        <v>197</v>
      </c>
      <c r="C69" s="1094" t="s">
        <v>161</v>
      </c>
      <c r="D69" s="1194" t="s">
        <v>22</v>
      </c>
      <c r="E69" s="1094" t="s">
        <v>162</v>
      </c>
      <c r="F69" s="1095" t="s">
        <v>163</v>
      </c>
      <c r="G69" s="1096" t="s">
        <v>164</v>
      </c>
    </row>
    <row r="70" spans="1:8" s="308" customFormat="1" ht="15.75">
      <c r="B70" s="2389" t="s">
        <v>165</v>
      </c>
      <c r="C70" s="2390"/>
      <c r="D70" s="2390"/>
      <c r="E70" s="2390"/>
      <c r="F70" s="2390"/>
      <c r="G70" s="2391"/>
    </row>
    <row r="71" spans="1:8" s="308" customFormat="1" ht="30">
      <c r="A71" s="333" t="s">
        <v>390</v>
      </c>
      <c r="B71" s="1097">
        <v>34616</v>
      </c>
      <c r="C71" s="1098" t="str">
        <f>IF($A71="INSUMO",VLOOKUP($B71,'BANCO DE DADOS JANEIRO-24 INS'!$A:$D,2,FALSE),VLOOKUP($B71,'BANCO DE DADOS JANEIRO-24 SERV'!$B:$E,2,FALSE))</f>
        <v xml:space="preserve">DISJUNTOR TERMOMAGNETICO PARA TRILHO DIN (IEC), BIPOLAR, 6 - 32 A                                                                                                                                                                                                                                                                                                                                                                                                                                         </v>
      </c>
      <c r="D71" s="1099" t="str">
        <f>IF($A71="INSUMO",VLOOKUP($B71,'BANCO DE DADOS JANEIRO-24 INS'!$A:$D,3,FALSE),VLOOKUP($B71,'BANCO DE DADOS JANEIRO-24 SERV'!$B:$E,3,FALSE))</f>
        <v xml:space="preserve">UN    </v>
      </c>
      <c r="E71" s="1208">
        <v>1</v>
      </c>
      <c r="F71" s="1146">
        <f>IF($A71="INSUMO",VLOOKUP($B71,'BANCO DE DADOS JANEIRO-24 INS'!$A:$D,4,FALSE),VLOOKUP($B71,'BANCO DE DADOS JANEIRO-24 SERV'!$B:$E,4,FALSE))</f>
        <v>46.42</v>
      </c>
      <c r="G71" s="1164">
        <f>TRUNC(F71*E71,2)</f>
        <v>46.42</v>
      </c>
    </row>
    <row r="72" spans="1:8" s="308" customFormat="1" ht="15.75">
      <c r="B72" s="2389" t="s">
        <v>166</v>
      </c>
      <c r="C72" s="2390"/>
      <c r="D72" s="2390"/>
      <c r="E72" s="2390"/>
      <c r="F72" s="2390"/>
      <c r="G72" s="2391"/>
    </row>
    <row r="73" spans="1:8" s="308" customFormat="1" ht="15.75">
      <c r="A73" s="333" t="s">
        <v>391</v>
      </c>
      <c r="B73" s="1200">
        <v>88264</v>
      </c>
      <c r="C73" s="1098" t="str">
        <f>IF($A73="INSUMO",VLOOKUP($B73,'BANCO DE DADOS JANEIRO-24 INS'!$A:$D,2,FALSE),VLOOKUP($B73,'BANCO DE DADOS JANEIRO-24 SERV'!$B:$E,2,FALSE))</f>
        <v>ELETRICISTA COM ENCARGOS COMPLEMENTARES</v>
      </c>
      <c r="D73" s="1099" t="str">
        <f>IF($A73="INSUMO",VLOOKUP($B73,'BANCO DE DADOS JANEIRO-24 INS'!$A:$D,3,FALSE),VLOOKUP($B73,'BANCO DE DADOS JANEIRO-24 SERV'!$B:$E,3,FALSE))</f>
        <v>H</v>
      </c>
      <c r="E73" s="1210">
        <v>0.6</v>
      </c>
      <c r="F73" s="1146">
        <f>IF($A73="INSUMO",VLOOKUP($B73,'BANCO DE DADOS JANEIRO-24 INS'!$A:$D,4,FALSE),VLOOKUP($B73,'BANCO DE DADOS JANEIRO-24 SERV'!$B:$E,4,FALSE))</f>
        <v>26.68</v>
      </c>
      <c r="G73" s="1199">
        <f>TRUNC(F73*E73,2)</f>
        <v>16</v>
      </c>
    </row>
    <row r="74" spans="1:8" s="308" customFormat="1" ht="16.5" thickBot="1">
      <c r="A74" s="333" t="s">
        <v>391</v>
      </c>
      <c r="B74" s="1523">
        <v>88247</v>
      </c>
      <c r="C74" s="1522" t="str">
        <f>IF($A74="INSUMO",VLOOKUP($B74,'BANCO DE DADOS JANEIRO-24 INS'!$A:$D,2,FALSE),VLOOKUP($B74,'BANCO DE DADOS JANEIRO-24 SERV'!$B:$E,2,FALSE))</f>
        <v>AUXILIAR DE ELETRICISTA COM ENCARGOS COMPLEMENTARES</v>
      </c>
      <c r="D74" s="1521" t="str">
        <f>IF($A74="INSUMO",VLOOKUP($B74,'BANCO DE DADOS JANEIRO-24 INS'!$A:$D,3,FALSE),VLOOKUP($B74,'BANCO DE DADOS JANEIRO-24 SERV'!$B:$E,3,FALSE))</f>
        <v>H</v>
      </c>
      <c r="E74" s="1518">
        <v>0.6</v>
      </c>
      <c r="F74" s="1525">
        <f>IF($A74="INSUMO",VLOOKUP($B74,'BANCO DE DADOS JANEIRO-24 INS'!$A:$D,4,FALSE),VLOOKUP($B74,'BANCO DE DADOS JANEIRO-24 SERV'!$B:$E,4,FALSE))</f>
        <v>21.96</v>
      </c>
      <c r="G74" s="1520">
        <f>TRUNC(F74*E74,2)</f>
        <v>13.17</v>
      </c>
    </row>
    <row r="75" spans="1:8" s="308" customFormat="1" ht="16.5" thickBot="1">
      <c r="B75" s="2392" t="s">
        <v>14128</v>
      </c>
      <c r="C75" s="2392"/>
      <c r="D75" s="2392"/>
      <c r="E75" s="2392"/>
      <c r="F75" s="325" t="s">
        <v>167</v>
      </c>
      <c r="G75" s="326">
        <f>SUM(G70:G74)</f>
        <v>75.59</v>
      </c>
    </row>
    <row r="76" spans="1:8" ht="13.5" thickBot="1"/>
    <row r="77" spans="1:8" s="308" customFormat="1" ht="42" customHeight="1">
      <c r="B77" s="623" t="str">
        <f>IF(COUNT($H$14:H77)&lt;10,CONCATENATE("CPU ELE 00",COUNT($H$14:H77)),CONCATENATE("CPU ELE 0",COUNT($H$14:H77)))</f>
        <v>CPU ELE 007</v>
      </c>
      <c r="C77" s="2180" t="s">
        <v>14130</v>
      </c>
      <c r="D77" s="2181"/>
      <c r="E77" s="2181"/>
      <c r="F77" s="2181"/>
      <c r="G77" s="624" t="s">
        <v>22</v>
      </c>
      <c r="H77" s="615">
        <f>G84</f>
        <v>233.13</v>
      </c>
    </row>
    <row r="78" spans="1:8" s="308" customFormat="1" ht="31.5">
      <c r="B78" s="1093" t="s">
        <v>197</v>
      </c>
      <c r="C78" s="1094" t="s">
        <v>161</v>
      </c>
      <c r="D78" s="1194" t="s">
        <v>22</v>
      </c>
      <c r="E78" s="1094" t="s">
        <v>162</v>
      </c>
      <c r="F78" s="1095" t="s">
        <v>163</v>
      </c>
      <c r="G78" s="1096" t="s">
        <v>164</v>
      </c>
    </row>
    <row r="79" spans="1:8" s="308" customFormat="1" ht="15.75">
      <c r="B79" s="2389" t="s">
        <v>165</v>
      </c>
      <c r="C79" s="2390"/>
      <c r="D79" s="2390"/>
      <c r="E79" s="2390"/>
      <c r="F79" s="2390"/>
      <c r="G79" s="2391"/>
    </row>
    <row r="80" spans="1:8" s="308" customFormat="1" ht="30">
      <c r="A80" s="333" t="s">
        <v>390</v>
      </c>
      <c r="B80" s="1097">
        <v>39467</v>
      </c>
      <c r="C80" s="1098" t="str">
        <f>IF($A80="INSUMO",VLOOKUP($B80,'BANCO DE DADOS JANEIRO-24 INS'!$A:$D,2,FALSE),VLOOKUP($B80,'BANCO DE DADOS JANEIRO-24 SERV'!$B:$E,2,FALSE))</f>
        <v xml:space="preserve">DISPOSITIVO DPS CLASSE II, 1 POLO, TENSAO MAXIMA DE 175 V, CORRENTE MAXIMA DE *45* KA (TIPO AC)                                                                                                                                                                                                                                                                                                                                                                                                           </v>
      </c>
      <c r="D80" s="1099" t="str">
        <f>IF($A80="INSUMO",VLOOKUP($B80,'BANCO DE DADOS JANEIRO-24 INS'!$A:$D,3,FALSE),VLOOKUP($B80,'BANCO DE DADOS JANEIRO-24 SERV'!$B:$E,3,FALSE))</f>
        <v xml:space="preserve">UN    </v>
      </c>
      <c r="E80" s="1208">
        <v>1</v>
      </c>
      <c r="F80" s="1146">
        <f>IF($A80="INSUMO",VLOOKUP($B80,'BANCO DE DADOS JANEIRO-24 INS'!$A:$D,4,FALSE),VLOOKUP($B80,'BANCO DE DADOS JANEIRO-24 SERV'!$B:$E,4,FALSE))</f>
        <v>87.21</v>
      </c>
      <c r="G80" s="1164">
        <f>TRUNC(F80*E80,2)</f>
        <v>87.21</v>
      </c>
    </row>
    <row r="81" spans="1:8" s="308" customFormat="1" ht="15.75">
      <c r="B81" s="2389" t="s">
        <v>166</v>
      </c>
      <c r="C81" s="2390"/>
      <c r="D81" s="2390"/>
      <c r="E81" s="2390"/>
      <c r="F81" s="2390"/>
      <c r="G81" s="2391"/>
    </row>
    <row r="82" spans="1:8" s="308" customFormat="1" ht="15.75">
      <c r="A82" s="333" t="s">
        <v>391</v>
      </c>
      <c r="B82" s="1200">
        <v>88264</v>
      </c>
      <c r="C82" s="1098" t="str">
        <f>IF($A82="INSUMO",VLOOKUP($B82,'BANCO DE DADOS JANEIRO-24 INS'!$A:$D,2,FALSE),VLOOKUP($B82,'BANCO DE DADOS JANEIRO-24 SERV'!$B:$E,2,FALSE))</f>
        <v>ELETRICISTA COM ENCARGOS COMPLEMENTARES</v>
      </c>
      <c r="D82" s="1099" t="str">
        <f>IF($A82="INSUMO",VLOOKUP($B82,'BANCO DE DADOS JANEIRO-24 INS'!$A:$D,3,FALSE),VLOOKUP($B82,'BANCO DE DADOS JANEIRO-24 SERV'!$B:$E,3,FALSE))</f>
        <v>H</v>
      </c>
      <c r="E82" s="1210">
        <v>3</v>
      </c>
      <c r="F82" s="1146">
        <f>IF($A82="INSUMO",VLOOKUP($B82,'BANCO DE DADOS JANEIRO-24 INS'!$A:$D,4,FALSE),VLOOKUP($B82,'BANCO DE DADOS JANEIRO-24 SERV'!$B:$E,4,FALSE))</f>
        <v>26.68</v>
      </c>
      <c r="G82" s="1199">
        <f>TRUNC(F82*E82,2)</f>
        <v>80.040000000000006</v>
      </c>
    </row>
    <row r="83" spans="1:8" s="308" customFormat="1" ht="16.5" thickBot="1">
      <c r="A83" s="333" t="s">
        <v>391</v>
      </c>
      <c r="B83" s="1523">
        <v>88247</v>
      </c>
      <c r="C83" s="1522" t="str">
        <f>IF($A83="INSUMO",VLOOKUP($B83,'BANCO DE DADOS JANEIRO-24 INS'!$A:$D,2,FALSE),VLOOKUP($B83,'BANCO DE DADOS JANEIRO-24 SERV'!$B:$E,2,FALSE))</f>
        <v>AUXILIAR DE ELETRICISTA COM ENCARGOS COMPLEMENTARES</v>
      </c>
      <c r="D83" s="1521" t="str">
        <f>IF($A83="INSUMO",VLOOKUP($B83,'BANCO DE DADOS JANEIRO-24 INS'!$A:$D,3,FALSE),VLOOKUP($B83,'BANCO DE DADOS JANEIRO-24 SERV'!$B:$E,3,FALSE))</f>
        <v>H</v>
      </c>
      <c r="E83" s="1518">
        <v>3</v>
      </c>
      <c r="F83" s="1525">
        <f>IF($A83="INSUMO",VLOOKUP($B83,'BANCO DE DADOS JANEIRO-24 INS'!$A:$D,4,FALSE),VLOOKUP($B83,'BANCO DE DADOS JANEIRO-24 SERV'!$B:$E,4,FALSE))</f>
        <v>21.96</v>
      </c>
      <c r="G83" s="1520">
        <f>TRUNC(F83*E83,2)</f>
        <v>65.88</v>
      </c>
    </row>
    <row r="84" spans="1:8" s="308" customFormat="1" ht="16.5" thickBot="1">
      <c r="B84" s="2392" t="s">
        <v>14131</v>
      </c>
      <c r="C84" s="2392"/>
      <c r="D84" s="2392"/>
      <c r="E84" s="2392"/>
      <c r="F84" s="325" t="s">
        <v>167</v>
      </c>
      <c r="G84" s="326">
        <f>SUM(G79:G83)</f>
        <v>233.13</v>
      </c>
    </row>
    <row r="85" spans="1:8" ht="13.5" thickBot="1"/>
    <row r="86" spans="1:8" s="308" customFormat="1" ht="42" customHeight="1">
      <c r="B86" s="623" t="str">
        <f>IF(COUNT($H$14:H86)&lt;10,CONCATENATE("CPU ELE 00",COUNT($H$14:H86)),CONCATENATE("CPU ELE 0",COUNT($H$14:H86)))</f>
        <v>CPU ELE 008</v>
      </c>
      <c r="C86" s="2180" t="s">
        <v>14132</v>
      </c>
      <c r="D86" s="2181"/>
      <c r="E86" s="2181"/>
      <c r="F86" s="2181"/>
      <c r="G86" s="624" t="s">
        <v>22</v>
      </c>
      <c r="H86" s="615">
        <f>G93</f>
        <v>151.75000000000003</v>
      </c>
    </row>
    <row r="87" spans="1:8" s="308" customFormat="1" ht="31.5">
      <c r="B87" s="1093" t="s">
        <v>197</v>
      </c>
      <c r="C87" s="1094" t="s">
        <v>161</v>
      </c>
      <c r="D87" s="1194" t="s">
        <v>22</v>
      </c>
      <c r="E87" s="1094" t="s">
        <v>162</v>
      </c>
      <c r="F87" s="1095" t="s">
        <v>163</v>
      </c>
      <c r="G87" s="1096" t="s">
        <v>164</v>
      </c>
    </row>
    <row r="88" spans="1:8" s="308" customFormat="1" ht="15.75">
      <c r="B88" s="2389" t="s">
        <v>165</v>
      </c>
      <c r="C88" s="2390"/>
      <c r="D88" s="2390"/>
      <c r="E88" s="2390"/>
      <c r="F88" s="2390"/>
      <c r="G88" s="2391"/>
    </row>
    <row r="89" spans="1:8" s="308" customFormat="1" ht="30">
      <c r="A89" s="333" t="s">
        <v>390</v>
      </c>
      <c r="B89" s="1097">
        <v>39455</v>
      </c>
      <c r="C89" s="1098" t="str">
        <f>IF($A89="INSUMO",VLOOKUP($B89,'BANCO DE DADOS JANEIRO-24 INS'!$A:$D,2,FALSE),VLOOKUP($B89,'BANCO DE DADOS JANEIRO-24 SERV'!$B:$E,2,FALSE))</f>
        <v xml:space="preserve">DISPOSITIVO DR, 4 POLOS, SENSIBILIDADE DE 30 MA, CORRENTE DE 25 A, TIPO AC                                                                                                                                                                                                                                                                                                                                                                                                                                </v>
      </c>
      <c r="D89" s="1099" t="str">
        <f>IF($A89="INSUMO",VLOOKUP($B89,'BANCO DE DADOS JANEIRO-24 INS'!$A:$D,3,FALSE),VLOOKUP($B89,'BANCO DE DADOS JANEIRO-24 SERV'!$B:$E,3,FALSE))</f>
        <v xml:space="preserve">UN    </v>
      </c>
      <c r="E89" s="1208">
        <v>1</v>
      </c>
      <c r="F89" s="1146">
        <f>IF($A89="INSUMO",VLOOKUP($B89,'BANCO DE DADOS JANEIRO-24 INS'!$A:$D,4,FALSE),VLOOKUP($B89,'BANCO DE DADOS JANEIRO-24 SERV'!$B:$E,4,FALSE))</f>
        <v>142.09</v>
      </c>
      <c r="G89" s="1164">
        <f>TRUNC(F89*E89,2)</f>
        <v>142.09</v>
      </c>
    </row>
    <row r="90" spans="1:8" s="308" customFormat="1" ht="15.75">
      <c r="B90" s="2389" t="s">
        <v>166</v>
      </c>
      <c r="C90" s="2390"/>
      <c r="D90" s="2390"/>
      <c r="E90" s="2390"/>
      <c r="F90" s="2390"/>
      <c r="G90" s="2391"/>
    </row>
    <row r="91" spans="1:8" s="308" customFormat="1" ht="15.75">
      <c r="A91" s="333" t="s">
        <v>391</v>
      </c>
      <c r="B91" s="1200">
        <v>88264</v>
      </c>
      <c r="C91" s="1098" t="str">
        <f>IF($A91="INSUMO",VLOOKUP($B91,'BANCO DE DADOS JANEIRO-24 INS'!$A:$D,2,FALSE),VLOOKUP($B91,'BANCO DE DADOS JANEIRO-24 SERV'!$B:$E,2,FALSE))</f>
        <v>ELETRICISTA COM ENCARGOS COMPLEMENTARES</v>
      </c>
      <c r="D91" s="1099" t="str">
        <f>IF($A91="INSUMO",VLOOKUP($B91,'BANCO DE DADOS JANEIRO-24 INS'!$A:$D,3,FALSE),VLOOKUP($B91,'BANCO DE DADOS JANEIRO-24 SERV'!$B:$E,3,FALSE))</f>
        <v>H</v>
      </c>
      <c r="E91" s="1218">
        <v>0.1988</v>
      </c>
      <c r="F91" s="1146">
        <f>IF($A91="INSUMO",VLOOKUP($B91,'BANCO DE DADOS JANEIRO-24 INS'!$A:$D,4,FALSE),VLOOKUP($B91,'BANCO DE DADOS JANEIRO-24 SERV'!$B:$E,4,FALSE))</f>
        <v>26.68</v>
      </c>
      <c r="G91" s="1199">
        <f>TRUNC(F91*E91,2)</f>
        <v>5.3</v>
      </c>
    </row>
    <row r="92" spans="1:8" s="308" customFormat="1" ht="16.5" thickBot="1">
      <c r="A92" s="333" t="s">
        <v>391</v>
      </c>
      <c r="B92" s="1523">
        <v>88247</v>
      </c>
      <c r="C92" s="1522" t="str">
        <f>IF($A92="INSUMO",VLOOKUP($B92,'BANCO DE DADOS JANEIRO-24 INS'!$A:$D,2,FALSE),VLOOKUP($B92,'BANCO DE DADOS JANEIRO-24 SERV'!$B:$E,2,FALSE))</f>
        <v>AUXILIAR DE ELETRICISTA COM ENCARGOS COMPLEMENTARES</v>
      </c>
      <c r="D92" s="1521" t="str">
        <f>IF($A92="INSUMO",VLOOKUP($B92,'BANCO DE DADOS JANEIRO-24 INS'!$A:$D,3,FALSE),VLOOKUP($B92,'BANCO DE DADOS JANEIRO-24 SERV'!$B:$E,3,FALSE))</f>
        <v>H</v>
      </c>
      <c r="E92" s="1562">
        <v>0.1988</v>
      </c>
      <c r="F92" s="1525">
        <f>IF($A92="INSUMO",VLOOKUP($B92,'BANCO DE DADOS JANEIRO-24 INS'!$A:$D,4,FALSE),VLOOKUP($B92,'BANCO DE DADOS JANEIRO-24 SERV'!$B:$E,4,FALSE))</f>
        <v>21.96</v>
      </c>
      <c r="G92" s="1520">
        <f>TRUNC(F92*E92,2)</f>
        <v>4.3600000000000003</v>
      </c>
    </row>
    <row r="93" spans="1:8" s="308" customFormat="1" ht="16.5" thickBot="1">
      <c r="B93" s="2392" t="s">
        <v>14133</v>
      </c>
      <c r="C93" s="2392"/>
      <c r="D93" s="2392"/>
      <c r="E93" s="2392"/>
      <c r="F93" s="325" t="s">
        <v>167</v>
      </c>
      <c r="G93" s="326">
        <f>SUM(G88:G92)</f>
        <v>151.75000000000003</v>
      </c>
    </row>
    <row r="94" spans="1:8" ht="13.5" thickBot="1"/>
    <row r="95" spans="1:8" s="308" customFormat="1" ht="42" customHeight="1">
      <c r="B95" s="623" t="str">
        <f>IF(COUNT($H$14:H95)&lt;10,CONCATENATE("CPU ELE 00",COUNT($H$14:H95)),CONCATENATE("CPU ELE 0",COUNT($H$14:H95)))</f>
        <v>CPU ELE 009</v>
      </c>
      <c r="C95" s="2180" t="s">
        <v>14134</v>
      </c>
      <c r="D95" s="2181"/>
      <c r="E95" s="2181"/>
      <c r="F95" s="2181"/>
      <c r="G95" s="624" t="s">
        <v>22</v>
      </c>
      <c r="H95" s="615">
        <f>G103</f>
        <v>239.71</v>
      </c>
    </row>
    <row r="96" spans="1:8" s="308" customFormat="1" ht="31.5">
      <c r="B96" s="1093" t="s">
        <v>197</v>
      </c>
      <c r="C96" s="1094" t="s">
        <v>161</v>
      </c>
      <c r="D96" s="1194" t="s">
        <v>22</v>
      </c>
      <c r="E96" s="1094" t="s">
        <v>162</v>
      </c>
      <c r="F96" s="1095" t="s">
        <v>163</v>
      </c>
      <c r="G96" s="1096" t="s">
        <v>164</v>
      </c>
    </row>
    <row r="97" spans="1:8" s="308" customFormat="1" ht="15.75">
      <c r="B97" s="2389" t="s">
        <v>165</v>
      </c>
      <c r="C97" s="2390"/>
      <c r="D97" s="2390"/>
      <c r="E97" s="2390"/>
      <c r="F97" s="2390"/>
      <c r="G97" s="2391"/>
    </row>
    <row r="98" spans="1:8" s="308" customFormat="1" ht="30">
      <c r="A98" s="333" t="s">
        <v>390</v>
      </c>
      <c r="B98" s="1097">
        <v>39456</v>
      </c>
      <c r="C98" s="1098" t="str">
        <f>IF($A98="INSUMO",VLOOKUP($B98,'BANCO DE DADOS JANEIRO-24 INS'!$A:$D,2,FALSE),VLOOKUP($B98,'BANCO DE DADOS JANEIRO-24 SERV'!$B:$E,2,FALSE))</f>
        <v xml:space="preserve">DISPOSITIVO DR, 4 POLOS, SENSIBILIDADE DE 30 MA, CORRENTE DE 40 A, TIPO AC                                                                                                                                                                                                                                                                                                                                                                                                                                </v>
      </c>
      <c r="D98" s="1099" t="str">
        <f>IF($A98="INSUMO",VLOOKUP($B98,'BANCO DE DADOS JANEIRO-24 INS'!$A:$D,3,FALSE),VLOOKUP($B98,'BANCO DE DADOS JANEIRO-24 SERV'!$B:$E,3,FALSE))</f>
        <v xml:space="preserve">UN    </v>
      </c>
      <c r="E98" s="1208">
        <v>1</v>
      </c>
      <c r="F98" s="1146">
        <f>IF($A98="INSUMO",VLOOKUP($B98,'BANCO DE DADOS JANEIRO-24 INS'!$A:$D,4,FALSE),VLOOKUP($B98,'BANCO DE DADOS JANEIRO-24 SERV'!$B:$E,4,FALSE))</f>
        <v>142.19</v>
      </c>
      <c r="G98" s="1164">
        <f>TRUNC(F98*E98,2)</f>
        <v>142.19</v>
      </c>
    </row>
    <row r="99" spans="1:8" s="308" customFormat="1" ht="15.75">
      <c r="B99" s="2389" t="s">
        <v>166</v>
      </c>
      <c r="C99" s="2390"/>
      <c r="D99" s="2390"/>
      <c r="E99" s="2390"/>
      <c r="F99" s="2390"/>
      <c r="G99" s="2391"/>
    </row>
    <row r="100" spans="1:8" s="308" customFormat="1" ht="15.75">
      <c r="A100" s="333" t="s">
        <v>391</v>
      </c>
      <c r="B100" s="1200">
        <v>88266</v>
      </c>
      <c r="C100" s="1098" t="str">
        <f>IF($A100="INSUMO",VLOOKUP($B100,'BANCO DE DADOS JANEIRO-24 INS'!$A:$D,2,FALSE),VLOOKUP($B100,'BANCO DE DADOS JANEIRO-24 SERV'!$B:$E,2,FALSE))</f>
        <v>ELETROTÉCNICO COM ENCARGOS COMPLEMENTARES</v>
      </c>
      <c r="D100" s="1099" t="str">
        <f>IF($A100="INSUMO",VLOOKUP($B100,'BANCO DE DADOS JANEIRO-24 INS'!$A:$D,3,FALSE),VLOOKUP($B100,'BANCO DE DADOS JANEIRO-24 SERV'!$B:$E,3,FALSE))</f>
        <v>H</v>
      </c>
      <c r="E100" s="1218">
        <v>0.6</v>
      </c>
      <c r="F100" s="1146">
        <f>IF($A100="INSUMO",VLOOKUP($B100,'BANCO DE DADOS JANEIRO-24 INS'!$A:$D,4,FALSE),VLOOKUP($B100,'BANCO DE DADOS JANEIRO-24 SERV'!$B:$E,4,FALSE))</f>
        <v>32.85</v>
      </c>
      <c r="G100" s="1199">
        <f>TRUNC(F100*E100,2)</f>
        <v>19.71</v>
      </c>
    </row>
    <row r="101" spans="1:8" s="308" customFormat="1" ht="15.75">
      <c r="A101" s="333" t="s">
        <v>391</v>
      </c>
      <c r="B101" s="1200">
        <v>88264</v>
      </c>
      <c r="C101" s="1098" t="str">
        <f>IF($A101="INSUMO",VLOOKUP($B101,'BANCO DE DADOS JANEIRO-24 INS'!$A:$D,2,FALSE),VLOOKUP($B101,'BANCO DE DADOS JANEIRO-24 SERV'!$B:$E,2,FALSE))</f>
        <v>ELETRICISTA COM ENCARGOS COMPLEMENTARES</v>
      </c>
      <c r="D101" s="1099" t="str">
        <f>IF($A101="INSUMO",VLOOKUP($B101,'BANCO DE DADOS JANEIRO-24 INS'!$A:$D,3,FALSE),VLOOKUP($B101,'BANCO DE DADOS JANEIRO-24 SERV'!$B:$E,3,FALSE))</f>
        <v>H</v>
      </c>
      <c r="E101" s="1218">
        <v>1.6</v>
      </c>
      <c r="F101" s="1146">
        <f>IF($A101="INSUMO",VLOOKUP($B101,'BANCO DE DADOS JANEIRO-24 INS'!$A:$D,4,FALSE),VLOOKUP($B101,'BANCO DE DADOS JANEIRO-24 SERV'!$B:$E,4,FALSE))</f>
        <v>26.68</v>
      </c>
      <c r="G101" s="1199">
        <f>TRUNC(F101*E101,2)</f>
        <v>42.68</v>
      </c>
    </row>
    <row r="102" spans="1:8" s="308" customFormat="1" ht="16.5" thickBot="1">
      <c r="A102" s="333" t="s">
        <v>391</v>
      </c>
      <c r="B102" s="1523">
        <v>88247</v>
      </c>
      <c r="C102" s="1522" t="str">
        <f>IF($A102="INSUMO",VLOOKUP($B102,'BANCO DE DADOS JANEIRO-24 INS'!$A:$D,2,FALSE),VLOOKUP($B102,'BANCO DE DADOS JANEIRO-24 SERV'!$B:$E,2,FALSE))</f>
        <v>AUXILIAR DE ELETRICISTA COM ENCARGOS COMPLEMENTARES</v>
      </c>
      <c r="D102" s="1521" t="str">
        <f>IF($A102="INSUMO",VLOOKUP($B102,'BANCO DE DADOS JANEIRO-24 INS'!$A:$D,3,FALSE),VLOOKUP($B102,'BANCO DE DADOS JANEIRO-24 SERV'!$B:$E,3,FALSE))</f>
        <v>H</v>
      </c>
      <c r="E102" s="1562">
        <v>1.6</v>
      </c>
      <c r="F102" s="1525">
        <f>IF($A102="INSUMO",VLOOKUP($B102,'BANCO DE DADOS JANEIRO-24 INS'!$A:$D,4,FALSE),VLOOKUP($B102,'BANCO DE DADOS JANEIRO-24 SERV'!$B:$E,4,FALSE))</f>
        <v>21.96</v>
      </c>
      <c r="G102" s="1520">
        <f>TRUNC(F102*E102,2)</f>
        <v>35.130000000000003</v>
      </c>
    </row>
    <row r="103" spans="1:8" s="308" customFormat="1" ht="16.5" thickBot="1">
      <c r="B103" s="2392" t="s">
        <v>14135</v>
      </c>
      <c r="C103" s="2392"/>
      <c r="D103" s="2392"/>
      <c r="E103" s="2392"/>
      <c r="F103" s="325" t="s">
        <v>167</v>
      </c>
      <c r="G103" s="326">
        <f>SUM(G97:G102)</f>
        <v>239.71</v>
      </c>
    </row>
    <row r="104" spans="1:8" ht="13.5" thickBot="1"/>
    <row r="105" spans="1:8" s="308" customFormat="1" ht="42" customHeight="1">
      <c r="B105" s="623" t="str">
        <f>IF(COUNT($H$14:H105)&lt;10,CONCATENATE("CPU ELE 00",COUNT($H$14:H105)),CONCATENATE("CPU ELE 0",COUNT($H$14:H105)))</f>
        <v>CPU ELE 010</v>
      </c>
      <c r="C105" s="2180" t="s">
        <v>14147</v>
      </c>
      <c r="D105" s="2181"/>
      <c r="E105" s="2181"/>
      <c r="F105" s="2181"/>
      <c r="G105" s="624" t="s">
        <v>22</v>
      </c>
      <c r="H105" s="615">
        <f>G112</f>
        <v>229.55</v>
      </c>
    </row>
    <row r="106" spans="1:8" s="308" customFormat="1" ht="31.5">
      <c r="B106" s="1093" t="s">
        <v>197</v>
      </c>
      <c r="C106" s="1094" t="s">
        <v>161</v>
      </c>
      <c r="D106" s="1194" t="s">
        <v>22</v>
      </c>
      <c r="E106" s="1094" t="s">
        <v>162</v>
      </c>
      <c r="F106" s="1095" t="s">
        <v>163</v>
      </c>
      <c r="G106" s="1096" t="s">
        <v>164</v>
      </c>
    </row>
    <row r="107" spans="1:8" s="308" customFormat="1" ht="15.75">
      <c r="B107" s="2389" t="s">
        <v>165</v>
      </c>
      <c r="C107" s="2390"/>
      <c r="D107" s="2390"/>
      <c r="E107" s="2390"/>
      <c r="F107" s="2390"/>
      <c r="G107" s="2391"/>
    </row>
    <row r="108" spans="1:8" s="308" customFormat="1" ht="30">
      <c r="A108" s="333" t="s">
        <v>390</v>
      </c>
      <c r="B108" s="1097">
        <v>39456</v>
      </c>
      <c r="C108" s="1098" t="str">
        <f>IF($A108="INSUMO",VLOOKUP($B108,'BANCO DE DADOS JANEIRO-24 INS'!$A:$D,2,FALSE),VLOOKUP($B108,'BANCO DE DADOS JANEIRO-24 SERV'!$B:$E,2,FALSE))</f>
        <v xml:space="preserve">DISPOSITIVO DR, 4 POLOS, SENSIBILIDADE DE 30 MA, CORRENTE DE 40 A, TIPO AC                                                                                                                                                                                                                                                                                                                                                                                                                                </v>
      </c>
      <c r="D108" s="1099" t="str">
        <f>IF($A108="INSUMO",VLOOKUP($B108,'BANCO DE DADOS JANEIRO-24 INS'!$A:$D,3,FALSE),VLOOKUP($B108,'BANCO DE DADOS JANEIRO-24 SERV'!$B:$E,3,FALSE))</f>
        <v xml:space="preserve">UN    </v>
      </c>
      <c r="E108" s="1208">
        <v>1</v>
      </c>
      <c r="F108" s="1146">
        <f>D119</f>
        <v>180.91</v>
      </c>
      <c r="G108" s="1164">
        <f>TRUNC(F108*E108,2)</f>
        <v>180.91</v>
      </c>
    </row>
    <row r="109" spans="1:8" s="308" customFormat="1" ht="15.75">
      <c r="B109" s="2389" t="s">
        <v>166</v>
      </c>
      <c r="C109" s="2390"/>
      <c r="D109" s="2390"/>
      <c r="E109" s="2390"/>
      <c r="F109" s="2390"/>
      <c r="G109" s="2391"/>
    </row>
    <row r="110" spans="1:8" s="308" customFormat="1" ht="15.75">
      <c r="A110" s="333" t="s">
        <v>391</v>
      </c>
      <c r="B110" s="1200">
        <v>88264</v>
      </c>
      <c r="C110" s="1098" t="str">
        <f>IF($A110="INSUMO",VLOOKUP($B110,'BANCO DE DADOS JANEIRO-24 INS'!$A:$D,2,FALSE),VLOOKUP($B110,'BANCO DE DADOS JANEIRO-24 SERV'!$B:$E,2,FALSE))</f>
        <v>ELETRICISTA COM ENCARGOS COMPLEMENTARES</v>
      </c>
      <c r="D110" s="1099" t="str">
        <f>IF($A110="INSUMO",VLOOKUP($B110,'BANCO DE DADOS JANEIRO-24 INS'!$A:$D,3,FALSE),VLOOKUP($B110,'BANCO DE DADOS JANEIRO-24 SERV'!$B:$E,3,FALSE))</f>
        <v>H</v>
      </c>
      <c r="E110" s="1218">
        <v>1</v>
      </c>
      <c r="F110" s="1146">
        <f>IF($A110="INSUMO",VLOOKUP($B110,'BANCO DE DADOS JANEIRO-24 INS'!$A:$D,4,FALSE),VLOOKUP($B110,'BANCO DE DADOS JANEIRO-24 SERV'!$B:$E,4,FALSE))</f>
        <v>26.68</v>
      </c>
      <c r="G110" s="1199">
        <f>TRUNC(F110*E110,2)</f>
        <v>26.68</v>
      </c>
    </row>
    <row r="111" spans="1:8" s="308" customFormat="1" ht="16.5" thickBot="1">
      <c r="A111" s="333" t="s">
        <v>391</v>
      </c>
      <c r="B111" s="1523">
        <v>88247</v>
      </c>
      <c r="C111" s="1522" t="str">
        <f>IF($A111="INSUMO",VLOOKUP($B111,'BANCO DE DADOS JANEIRO-24 INS'!$A:$D,2,FALSE),VLOOKUP($B111,'BANCO DE DADOS JANEIRO-24 SERV'!$B:$E,2,FALSE))</f>
        <v>AUXILIAR DE ELETRICISTA COM ENCARGOS COMPLEMENTARES</v>
      </c>
      <c r="D111" s="1521" t="str">
        <f>IF($A111="INSUMO",VLOOKUP($B111,'BANCO DE DADOS JANEIRO-24 INS'!$A:$D,3,FALSE),VLOOKUP($B111,'BANCO DE DADOS JANEIRO-24 SERV'!$B:$E,3,FALSE))</f>
        <v>H</v>
      </c>
      <c r="E111" s="1562">
        <v>1</v>
      </c>
      <c r="F111" s="1525">
        <f>IF($A111="INSUMO",VLOOKUP($B111,'BANCO DE DADOS JANEIRO-24 INS'!$A:$D,4,FALSE),VLOOKUP($B111,'BANCO DE DADOS JANEIRO-24 SERV'!$B:$E,4,FALSE))</f>
        <v>21.96</v>
      </c>
      <c r="G111" s="1520">
        <f>TRUNC(F111*E111,2)</f>
        <v>21.96</v>
      </c>
    </row>
    <row r="112" spans="1:8" s="308" customFormat="1" ht="16.5" thickBot="1">
      <c r="B112" s="2392" t="s">
        <v>14148</v>
      </c>
      <c r="C112" s="2392"/>
      <c r="D112" s="2392"/>
      <c r="E112" s="2392"/>
      <c r="F112" s="325" t="s">
        <v>167</v>
      </c>
      <c r="G112" s="326">
        <f>SUM(G107:G111)</f>
        <v>229.55</v>
      </c>
    </row>
    <row r="113" spans="1:8" ht="13.5" thickBot="1"/>
    <row r="114" spans="1:8" ht="15.75">
      <c r="B114" s="1669" t="s">
        <v>181</v>
      </c>
      <c r="C114" s="2399" t="s">
        <v>14420</v>
      </c>
      <c r="D114" s="2400"/>
      <c r="E114" s="2400"/>
      <c r="F114" s="2401"/>
      <c r="G114" s="1676"/>
    </row>
    <row r="115" spans="1:8" ht="31.5">
      <c r="B115" s="1524" t="s">
        <v>174</v>
      </c>
      <c r="C115" s="1533" t="s">
        <v>175</v>
      </c>
      <c r="D115" s="1529" t="s">
        <v>176</v>
      </c>
      <c r="E115" s="1530" t="s">
        <v>177</v>
      </c>
      <c r="F115" s="1531" t="s">
        <v>178</v>
      </c>
      <c r="G115" s="1532" t="s">
        <v>179</v>
      </c>
    </row>
    <row r="116" spans="1:8" ht="15">
      <c r="B116" s="1526">
        <v>45274</v>
      </c>
      <c r="C116" s="1526" t="s">
        <v>14417</v>
      </c>
      <c r="D116" s="1527">
        <f>180.91</f>
        <v>180.91</v>
      </c>
      <c r="E116" s="1526" t="s">
        <v>14418</v>
      </c>
      <c r="F116" s="1526" t="s">
        <v>14419</v>
      </c>
      <c r="G116" s="1526" t="s">
        <v>14421</v>
      </c>
    </row>
    <row r="117" spans="1:8" ht="15">
      <c r="B117" s="1526">
        <v>45274</v>
      </c>
      <c r="C117" s="1526" t="s">
        <v>14422</v>
      </c>
      <c r="D117" s="1527">
        <v>146.88999999999999</v>
      </c>
      <c r="E117" s="1526" t="s">
        <v>14423</v>
      </c>
      <c r="F117" s="1526" t="s">
        <v>14046</v>
      </c>
      <c r="G117" s="1526" t="s">
        <v>14424</v>
      </c>
    </row>
    <row r="118" spans="1:8" ht="15">
      <c r="B118" s="1526">
        <v>45274</v>
      </c>
      <c r="C118" s="1526" t="s">
        <v>14425</v>
      </c>
      <c r="D118" s="1527">
        <v>190.87</v>
      </c>
      <c r="E118" s="1526" t="s">
        <v>14426</v>
      </c>
      <c r="F118" s="1526" t="s">
        <v>14427</v>
      </c>
      <c r="G118" s="1526" t="s">
        <v>14428</v>
      </c>
    </row>
    <row r="119" spans="1:8" ht="16.5" thickBot="1">
      <c r="B119" s="1678"/>
      <c r="C119" s="1679"/>
      <c r="D119" s="1680">
        <f>IF(COUNT(D115:D118)=3,MEDIAN(D116:D118),SMALL(D116:D118,1))</f>
        <v>180.91</v>
      </c>
      <c r="E119" s="1681"/>
      <c r="F119" s="1683"/>
      <c r="G119" s="1682"/>
    </row>
    <row r="120" spans="1:8" ht="13.5" thickBot="1"/>
    <row r="121" spans="1:8" s="308" customFormat="1" ht="42" customHeight="1">
      <c r="B121" s="623" t="str">
        <f>IF(COUNT($H$14:H121)&lt;10,CONCATENATE("CPU ELE 00",COUNT($H$14:H121)),CONCATENATE("CPU ELE 0",COUNT($H$14:H121)))</f>
        <v>CPU ELE 011</v>
      </c>
      <c r="C121" s="2180" t="s">
        <v>14150</v>
      </c>
      <c r="D121" s="2181"/>
      <c r="E121" s="2181"/>
      <c r="F121" s="2181"/>
      <c r="G121" s="624" t="s">
        <v>22</v>
      </c>
      <c r="H121" s="615">
        <f>G129</f>
        <v>66.34</v>
      </c>
    </row>
    <row r="122" spans="1:8" s="308" customFormat="1" ht="31.5">
      <c r="B122" s="1093" t="s">
        <v>197</v>
      </c>
      <c r="C122" s="1094" t="s">
        <v>161</v>
      </c>
      <c r="D122" s="1194" t="s">
        <v>22</v>
      </c>
      <c r="E122" s="1094" t="s">
        <v>162</v>
      </c>
      <c r="F122" s="1095" t="s">
        <v>163</v>
      </c>
      <c r="G122" s="1096" t="s">
        <v>164</v>
      </c>
    </row>
    <row r="123" spans="1:8" s="308" customFormat="1" ht="15.75">
      <c r="B123" s="2389" t="s">
        <v>165</v>
      </c>
      <c r="C123" s="2390"/>
      <c r="D123" s="2390"/>
      <c r="E123" s="2390"/>
      <c r="F123" s="2390"/>
      <c r="G123" s="2391"/>
    </row>
    <row r="124" spans="1:8" s="308" customFormat="1" ht="15.75">
      <c r="A124" s="333" t="s">
        <v>390</v>
      </c>
      <c r="B124" s="1097">
        <v>39387</v>
      </c>
      <c r="C124" s="1098" t="str">
        <f>IF($A124="INSUMO",VLOOKUP($B124,'BANCO DE DADOS JANEIRO-24 INS'!$A:$D,2,FALSE),VLOOKUP($B124,'BANCO DE DADOS JANEIRO-24 SERV'!$B:$E,2,FALSE))</f>
        <v xml:space="preserve">LAMPADA LED TUBULAR BIVOLT 18/20 W, BASE G13                                                                                                                                                                                                                                                                                                                                                                                                                                                              </v>
      </c>
      <c r="D124" s="1099" t="str">
        <f>IF($A124="INSUMO",VLOOKUP($B124,'BANCO DE DADOS JANEIRO-24 INS'!$A:$D,3,FALSE),VLOOKUP($B124,'BANCO DE DADOS JANEIRO-24 SERV'!$B:$E,3,FALSE))</f>
        <v xml:space="preserve">UN    </v>
      </c>
      <c r="E124" s="1208">
        <v>1</v>
      </c>
      <c r="F124" s="1146">
        <f>IF($A124="INSUMO",VLOOKUP($B124,'BANCO DE DADOS JANEIRO-24 INS'!$A:$D,4,FALSE),VLOOKUP($B124,'BANCO DE DADOS JANEIRO-24 SERV'!$B:$E,4,FALSE))</f>
        <v>8.6</v>
      </c>
      <c r="G124" s="1164">
        <f>TRUNC(F124*E124,2)</f>
        <v>8.6</v>
      </c>
    </row>
    <row r="125" spans="1:8" s="308" customFormat="1" ht="45">
      <c r="A125" s="333" t="s">
        <v>390</v>
      </c>
      <c r="B125" s="1097">
        <v>12230</v>
      </c>
      <c r="C125" s="1098" t="str">
        <f>IF($A125="INSUMO",VLOOKUP($B125,'BANCO DE DADOS JANEIRO-24 INS'!$A:$D,2,FALSE),VLOOKUP($B125,'BANCO DE DADOS JANEIRO-24 SERV'!$B:$E,2,FALSE))</f>
        <v xml:space="preserve">LUMINARIA DE SOBREPOR EM CHAPA DE ACO PARA 1 LAMPADA FLUORESCENTE DE *18* W, PERFIL COMERCIAL (NAO INCLUI REATOR E LAMPADA)                                                                                                                                                                                                                                                                                                                                                                               </v>
      </c>
      <c r="D125" s="1099" t="str">
        <f>IF($A125="INSUMO",VLOOKUP($B125,'BANCO DE DADOS JANEIRO-24 INS'!$A:$D,3,FALSE),VLOOKUP($B125,'BANCO DE DADOS JANEIRO-24 SERV'!$B:$E,3,FALSE))</f>
        <v xml:space="preserve">UN    </v>
      </c>
      <c r="E125" s="1208">
        <v>1</v>
      </c>
      <c r="F125" s="1146">
        <f>IF($A125="INSUMO",VLOOKUP($B125,'BANCO DE DADOS JANEIRO-24 INS'!$A:$D,4,FALSE),VLOOKUP($B125,'BANCO DE DADOS JANEIRO-24 SERV'!$B:$E,4,FALSE))</f>
        <v>18.84</v>
      </c>
      <c r="G125" s="1164">
        <f>TRUNC(F125*E125,2)</f>
        <v>18.84</v>
      </c>
    </row>
    <row r="126" spans="1:8" s="308" customFormat="1" ht="15.75">
      <c r="B126" s="2389" t="s">
        <v>166</v>
      </c>
      <c r="C126" s="2390"/>
      <c r="D126" s="2390"/>
      <c r="E126" s="2390"/>
      <c r="F126" s="2390"/>
      <c r="G126" s="2391"/>
    </row>
    <row r="127" spans="1:8" s="308" customFormat="1" ht="15.75">
      <c r="A127" s="333" t="s">
        <v>391</v>
      </c>
      <c r="B127" s="1200">
        <v>88264</v>
      </c>
      <c r="C127" s="1098" t="str">
        <f>IF($A127="INSUMO",VLOOKUP($B127,'BANCO DE DADOS JANEIRO-24 INS'!$A:$D,2,FALSE),VLOOKUP($B127,'BANCO DE DADOS JANEIRO-24 SERV'!$B:$E,2,FALSE))</f>
        <v>ELETRICISTA COM ENCARGOS COMPLEMENTARES</v>
      </c>
      <c r="D127" s="1099" t="str">
        <f>IF($A127="INSUMO",VLOOKUP($B127,'BANCO DE DADOS JANEIRO-24 INS'!$A:$D,3,FALSE),VLOOKUP($B127,'BANCO DE DADOS JANEIRO-24 SERV'!$B:$E,3,FALSE))</f>
        <v>H</v>
      </c>
      <c r="E127" s="1218">
        <v>0.8</v>
      </c>
      <c r="F127" s="1146">
        <f>IF($A127="INSUMO",VLOOKUP($B127,'BANCO DE DADOS JANEIRO-24 INS'!$A:$D,4,FALSE),VLOOKUP($B127,'BANCO DE DADOS JANEIRO-24 SERV'!$B:$E,4,FALSE))</f>
        <v>26.68</v>
      </c>
      <c r="G127" s="1199">
        <f>TRUNC(F127*E127,2)</f>
        <v>21.34</v>
      </c>
    </row>
    <row r="128" spans="1:8" s="308" customFormat="1" ht="16.5" thickBot="1">
      <c r="A128" s="333" t="s">
        <v>391</v>
      </c>
      <c r="B128" s="1523">
        <v>88247</v>
      </c>
      <c r="C128" s="1522" t="str">
        <f>IF($A128="INSUMO",VLOOKUP($B128,'BANCO DE DADOS JANEIRO-24 INS'!$A:$D,2,FALSE),VLOOKUP($B128,'BANCO DE DADOS JANEIRO-24 SERV'!$B:$E,2,FALSE))</f>
        <v>AUXILIAR DE ELETRICISTA COM ENCARGOS COMPLEMENTARES</v>
      </c>
      <c r="D128" s="1521" t="str">
        <f>IF($A128="INSUMO",VLOOKUP($B128,'BANCO DE DADOS JANEIRO-24 INS'!$A:$D,3,FALSE),VLOOKUP($B128,'BANCO DE DADOS JANEIRO-24 SERV'!$B:$E,3,FALSE))</f>
        <v>H</v>
      </c>
      <c r="E128" s="1562">
        <v>0.8</v>
      </c>
      <c r="F128" s="1525">
        <f>IF($A128="INSUMO",VLOOKUP($B128,'BANCO DE DADOS JANEIRO-24 INS'!$A:$D,4,FALSE),VLOOKUP($B128,'BANCO DE DADOS JANEIRO-24 SERV'!$B:$E,4,FALSE))</f>
        <v>21.96</v>
      </c>
      <c r="G128" s="1520">
        <f>TRUNC(F128*E128,2)</f>
        <v>17.559999999999999</v>
      </c>
    </row>
    <row r="129" spans="1:8" s="308" customFormat="1" ht="16.5" thickBot="1">
      <c r="B129" s="2392" t="s">
        <v>14151</v>
      </c>
      <c r="C129" s="2392"/>
      <c r="D129" s="2392"/>
      <c r="E129" s="2392"/>
      <c r="F129" s="325" t="s">
        <v>167</v>
      </c>
      <c r="G129" s="326">
        <f>SUM(G123:G128)</f>
        <v>66.34</v>
      </c>
    </row>
    <row r="130" spans="1:8" ht="13.5" thickBot="1"/>
    <row r="131" spans="1:8" s="308" customFormat="1" ht="42" customHeight="1">
      <c r="B131" s="623" t="str">
        <f>IF(COUNT($H$14:H131)&lt;10,CONCATENATE("CPU ELE 00",COUNT($H$14:H131)),CONCATENATE("CPU ELE 0",COUNT($H$14:H131)))</f>
        <v>CPU ELE 012</v>
      </c>
      <c r="C131" s="2180" t="s">
        <v>14154</v>
      </c>
      <c r="D131" s="2181"/>
      <c r="E131" s="2181"/>
      <c r="F131" s="2181"/>
      <c r="G131" s="624" t="s">
        <v>22</v>
      </c>
      <c r="H131" s="615">
        <f>G138</f>
        <v>448.84000000000003</v>
      </c>
    </row>
    <row r="132" spans="1:8" s="308" customFormat="1" ht="31.5">
      <c r="B132" s="1093" t="s">
        <v>197</v>
      </c>
      <c r="C132" s="1094" t="s">
        <v>161</v>
      </c>
      <c r="D132" s="1194" t="s">
        <v>22</v>
      </c>
      <c r="E132" s="1094" t="s">
        <v>162</v>
      </c>
      <c r="F132" s="1095" t="s">
        <v>163</v>
      </c>
      <c r="G132" s="1096" t="s">
        <v>164</v>
      </c>
    </row>
    <row r="133" spans="1:8" s="308" customFormat="1" ht="15.75">
      <c r="B133" s="2389" t="s">
        <v>165</v>
      </c>
      <c r="C133" s="2390"/>
      <c r="D133" s="2390"/>
      <c r="E133" s="2390"/>
      <c r="F133" s="2390"/>
      <c r="G133" s="2391"/>
    </row>
    <row r="134" spans="1:8" s="308" customFormat="1" ht="45">
      <c r="A134" s="333" t="s">
        <v>390</v>
      </c>
      <c r="B134" s="1097">
        <v>39803</v>
      </c>
      <c r="C134" s="1098" t="str">
        <f>IF($A134="INSUMO",VLOOKUP($B134,'BANCO DE DADOS JANEIRO-24 INS'!$A:$D,2,FALSE),VLOOKUP($B134,'BANCO DE DADOS JANEIRO-24 SERV'!$B:$E,2,FALSE))</f>
        <v xml:space="preserve">QUADRO DE DISTRIBUICAO, SEM BARRAMENTO, EM PVC, DE SOBREPOR, PARA 27 DISJUNTORES NEMA OU 36 DISJUNTORES DIN                                                                                                                                                                                                                                                                                                                                                                                               </v>
      </c>
      <c r="D134" s="1099" t="str">
        <f>IF($A134="INSUMO",VLOOKUP($B134,'BANCO DE DADOS JANEIRO-24 INS'!$A:$D,3,FALSE),VLOOKUP($B134,'BANCO DE DADOS JANEIRO-24 SERV'!$B:$E,3,FALSE))</f>
        <v xml:space="preserve">UN    </v>
      </c>
      <c r="E134" s="1208">
        <v>1</v>
      </c>
      <c r="F134" s="1146">
        <f>IF($A134="INSUMO",VLOOKUP($B134,'BANCO DE DADOS JANEIRO-24 INS'!$A:$D,4,FALSE),VLOOKUP($B134,'BANCO DE DADOS JANEIRO-24 SERV'!$B:$E,4,FALSE))</f>
        <v>302.92</v>
      </c>
      <c r="G134" s="1164">
        <f>TRUNC(F134*E134,2)</f>
        <v>302.92</v>
      </c>
    </row>
    <row r="135" spans="1:8" s="308" customFormat="1" ht="15.75">
      <c r="B135" s="2389" t="s">
        <v>166</v>
      </c>
      <c r="C135" s="2390"/>
      <c r="D135" s="2390"/>
      <c r="E135" s="2390"/>
      <c r="F135" s="2390"/>
      <c r="G135" s="2391"/>
    </row>
    <row r="136" spans="1:8" s="308" customFormat="1" ht="15.75">
      <c r="A136" s="333" t="s">
        <v>391</v>
      </c>
      <c r="B136" s="1200">
        <v>88264</v>
      </c>
      <c r="C136" s="1098" t="str">
        <f>IF($A136="INSUMO",VLOOKUP($B136,'BANCO DE DADOS JANEIRO-24 INS'!$A:$D,2,FALSE),VLOOKUP($B136,'BANCO DE DADOS JANEIRO-24 SERV'!$B:$E,2,FALSE))</f>
        <v>ELETRICISTA COM ENCARGOS COMPLEMENTARES</v>
      </c>
      <c r="D136" s="1099" t="str">
        <f>IF($A136="INSUMO",VLOOKUP($B136,'BANCO DE DADOS JANEIRO-24 INS'!$A:$D,3,FALSE),VLOOKUP($B136,'BANCO DE DADOS JANEIRO-24 SERV'!$B:$E,3,FALSE))</f>
        <v>H</v>
      </c>
      <c r="E136" s="1218">
        <v>3</v>
      </c>
      <c r="F136" s="1146">
        <f>IF($A136="INSUMO",VLOOKUP($B136,'BANCO DE DADOS JANEIRO-24 INS'!$A:$D,4,FALSE),VLOOKUP($B136,'BANCO DE DADOS JANEIRO-24 SERV'!$B:$E,4,FALSE))</f>
        <v>26.68</v>
      </c>
      <c r="G136" s="1199">
        <f>TRUNC(F136*E136,2)</f>
        <v>80.040000000000006</v>
      </c>
    </row>
    <row r="137" spans="1:8" s="308" customFormat="1" ht="16.5" thickBot="1">
      <c r="A137" s="333" t="s">
        <v>391</v>
      </c>
      <c r="B137" s="1523">
        <v>88247</v>
      </c>
      <c r="C137" s="1522" t="str">
        <f>IF($A137="INSUMO",VLOOKUP($B137,'BANCO DE DADOS JANEIRO-24 INS'!$A:$D,2,FALSE),VLOOKUP($B137,'BANCO DE DADOS JANEIRO-24 SERV'!$B:$E,2,FALSE))</f>
        <v>AUXILIAR DE ELETRICISTA COM ENCARGOS COMPLEMENTARES</v>
      </c>
      <c r="D137" s="1521" t="str">
        <f>IF($A137="INSUMO",VLOOKUP($B137,'BANCO DE DADOS JANEIRO-24 INS'!$A:$D,3,FALSE),VLOOKUP($B137,'BANCO DE DADOS JANEIRO-24 SERV'!$B:$E,3,FALSE))</f>
        <v>H</v>
      </c>
      <c r="E137" s="1562">
        <v>3</v>
      </c>
      <c r="F137" s="1525">
        <f>IF($A137="INSUMO",VLOOKUP($B137,'BANCO DE DADOS JANEIRO-24 INS'!$A:$D,4,FALSE),VLOOKUP($B137,'BANCO DE DADOS JANEIRO-24 SERV'!$B:$E,4,FALSE))</f>
        <v>21.96</v>
      </c>
      <c r="G137" s="1520">
        <f>TRUNC(F137*E137,2)</f>
        <v>65.88</v>
      </c>
    </row>
    <row r="138" spans="1:8" s="308" customFormat="1" ht="16.5" thickBot="1">
      <c r="B138" s="2392" t="s">
        <v>14155</v>
      </c>
      <c r="C138" s="2392"/>
      <c r="D138" s="2392"/>
      <c r="E138" s="2392"/>
      <c r="F138" s="325" t="s">
        <v>167</v>
      </c>
      <c r="G138" s="326">
        <f>SUM(G133:G137)</f>
        <v>448.84000000000003</v>
      </c>
    </row>
    <row r="139" spans="1:8" ht="13.5" thickBot="1"/>
    <row r="140" spans="1:8" s="308" customFormat="1" ht="42" customHeight="1">
      <c r="B140" s="623" t="str">
        <f>IF(COUNT($H$14:H140)&lt;10,CONCATENATE("CPU ELE 00",COUNT($H$14:H140)),CONCATENATE("CPU ELE 0",COUNT($H$14:H140)))</f>
        <v>CPU ELE 013</v>
      </c>
      <c r="C140" s="2180" t="s">
        <v>14156</v>
      </c>
      <c r="D140" s="2181"/>
      <c r="E140" s="2181"/>
      <c r="F140" s="2181"/>
      <c r="G140" s="624" t="s">
        <v>22</v>
      </c>
      <c r="H140" s="615">
        <f>G147</f>
        <v>685.87</v>
      </c>
    </row>
    <row r="141" spans="1:8" s="308" customFormat="1" ht="31.5">
      <c r="B141" s="1093" t="s">
        <v>197</v>
      </c>
      <c r="C141" s="1094" t="s">
        <v>161</v>
      </c>
      <c r="D141" s="1194" t="s">
        <v>22</v>
      </c>
      <c r="E141" s="1094" t="s">
        <v>162</v>
      </c>
      <c r="F141" s="1095" t="s">
        <v>163</v>
      </c>
      <c r="G141" s="1096" t="s">
        <v>164</v>
      </c>
    </row>
    <row r="142" spans="1:8" s="308" customFormat="1" ht="15.75">
      <c r="B142" s="2389" t="s">
        <v>165</v>
      </c>
      <c r="C142" s="2390"/>
      <c r="D142" s="2390"/>
      <c r="E142" s="2390"/>
      <c r="F142" s="2390"/>
      <c r="G142" s="2391"/>
    </row>
    <row r="143" spans="1:8" s="308" customFormat="1" ht="30">
      <c r="A143" s="333" t="s">
        <v>390</v>
      </c>
      <c r="B143" s="1097">
        <v>43100</v>
      </c>
      <c r="C143" s="1098" t="str">
        <f>IF($A143="INSUMO",VLOOKUP($B143,'BANCO DE DADOS JANEIRO-24 INS'!$A:$D,2,FALSE),VLOOKUP($B143,'BANCO DE DADOS JANEIRO-24 SERV'!$B:$E,2,FALSE))</f>
        <v xml:space="preserve">QUADRO DE DISTRIBUICAO, EM PVC, DE EMBUTIR, COM BARRAMENTO TERRA / NEUTRO, PARA 48 DISJUNTORES DIN                                                                                                                                                                                                                                                                                                                                                                                                        </v>
      </c>
      <c r="D143" s="1099" t="str">
        <f>IF($A143="INSUMO",VLOOKUP($B143,'BANCO DE DADOS JANEIRO-24 INS'!$A:$D,3,FALSE),VLOOKUP($B143,'BANCO DE DADOS JANEIRO-24 SERV'!$B:$E,3,FALSE))</f>
        <v xml:space="preserve">UN    </v>
      </c>
      <c r="E143" s="1208">
        <v>1</v>
      </c>
      <c r="F143" s="1146">
        <f>IF($A143="INSUMO",VLOOKUP($B143,'BANCO DE DADOS JANEIRO-24 INS'!$A:$D,4,FALSE),VLOOKUP($B143,'BANCO DE DADOS JANEIRO-24 SERV'!$B:$E,4,FALSE))</f>
        <v>539.95000000000005</v>
      </c>
      <c r="G143" s="1164">
        <f>TRUNC(F143*E143,2)</f>
        <v>539.95000000000005</v>
      </c>
    </row>
    <row r="144" spans="1:8" s="308" customFormat="1" ht="15.75">
      <c r="B144" s="2389" t="s">
        <v>166</v>
      </c>
      <c r="C144" s="2390"/>
      <c r="D144" s="2390"/>
      <c r="E144" s="2390"/>
      <c r="F144" s="2390"/>
      <c r="G144" s="2391"/>
    </row>
    <row r="145" spans="1:7" s="308" customFormat="1" ht="15.75">
      <c r="A145" s="333" t="s">
        <v>391</v>
      </c>
      <c r="B145" s="1200">
        <v>88264</v>
      </c>
      <c r="C145" s="1098" t="str">
        <f>IF($A145="INSUMO",VLOOKUP($B145,'BANCO DE DADOS JANEIRO-24 INS'!$A:$D,2,FALSE),VLOOKUP($B145,'BANCO DE DADOS JANEIRO-24 SERV'!$B:$E,2,FALSE))</f>
        <v>ELETRICISTA COM ENCARGOS COMPLEMENTARES</v>
      </c>
      <c r="D145" s="1099" t="str">
        <f>IF($A145="INSUMO",VLOOKUP($B145,'BANCO DE DADOS JANEIRO-24 INS'!$A:$D,3,FALSE),VLOOKUP($B145,'BANCO DE DADOS JANEIRO-24 SERV'!$B:$E,3,FALSE))</f>
        <v>H</v>
      </c>
      <c r="E145" s="1218">
        <v>3</v>
      </c>
      <c r="F145" s="1146">
        <f>IF($A145="INSUMO",VLOOKUP($B145,'BANCO DE DADOS JANEIRO-24 INS'!$A:$D,4,FALSE),VLOOKUP($B145,'BANCO DE DADOS JANEIRO-24 SERV'!$B:$E,4,FALSE))</f>
        <v>26.68</v>
      </c>
      <c r="G145" s="1199">
        <f>TRUNC(F145*E145,2)</f>
        <v>80.040000000000006</v>
      </c>
    </row>
    <row r="146" spans="1:7" s="308" customFormat="1" ht="16.5" thickBot="1">
      <c r="A146" s="333" t="s">
        <v>391</v>
      </c>
      <c r="B146" s="1523">
        <v>88247</v>
      </c>
      <c r="C146" s="1522" t="str">
        <f>IF($A146="INSUMO",VLOOKUP($B146,'BANCO DE DADOS JANEIRO-24 INS'!$A:$D,2,FALSE),VLOOKUP($B146,'BANCO DE DADOS JANEIRO-24 SERV'!$B:$E,2,FALSE))</f>
        <v>AUXILIAR DE ELETRICISTA COM ENCARGOS COMPLEMENTARES</v>
      </c>
      <c r="D146" s="1521" t="str">
        <f>IF($A146="INSUMO",VLOOKUP($B146,'BANCO DE DADOS JANEIRO-24 INS'!$A:$D,3,FALSE),VLOOKUP($B146,'BANCO DE DADOS JANEIRO-24 SERV'!$B:$E,3,FALSE))</f>
        <v>H</v>
      </c>
      <c r="E146" s="1562">
        <v>3</v>
      </c>
      <c r="F146" s="1525">
        <f>IF($A146="INSUMO",VLOOKUP($B146,'BANCO DE DADOS JANEIRO-24 INS'!$A:$D,4,FALSE),VLOOKUP($B146,'BANCO DE DADOS JANEIRO-24 SERV'!$B:$E,4,FALSE))</f>
        <v>21.96</v>
      </c>
      <c r="G146" s="1520">
        <f>TRUNC(F146*E146,2)</f>
        <v>65.88</v>
      </c>
    </row>
    <row r="147" spans="1:7" s="308" customFormat="1" ht="16.5" thickBot="1">
      <c r="B147" s="2392" t="s">
        <v>14155</v>
      </c>
      <c r="C147" s="2392"/>
      <c r="D147" s="2392"/>
      <c r="E147" s="2392"/>
      <c r="F147" s="325" t="s">
        <v>167</v>
      </c>
      <c r="G147" s="326">
        <f>SUM(G142:G146)</f>
        <v>685.87</v>
      </c>
    </row>
  </sheetData>
  <autoFilter ref="G1:G50" xr:uid="{00000000-0009-0000-0000-000010000000}"/>
  <mergeCells count="65">
    <mergeCell ref="C140:F140"/>
    <mergeCell ref="B142:G142"/>
    <mergeCell ref="B144:G144"/>
    <mergeCell ref="B147:E147"/>
    <mergeCell ref="C105:F105"/>
    <mergeCell ref="B107:G107"/>
    <mergeCell ref="B109:G109"/>
    <mergeCell ref="B112:E112"/>
    <mergeCell ref="C114:F114"/>
    <mergeCell ref="C121:F121"/>
    <mergeCell ref="B123:G123"/>
    <mergeCell ref="B126:G126"/>
    <mergeCell ref="B129:E129"/>
    <mergeCell ref="C131:F131"/>
    <mergeCell ref="B133:G133"/>
    <mergeCell ref="B135:G135"/>
    <mergeCell ref="B138:E138"/>
    <mergeCell ref="B99:G99"/>
    <mergeCell ref="B103:E103"/>
    <mergeCell ref="C77:F77"/>
    <mergeCell ref="B79:G79"/>
    <mergeCell ref="B81:G81"/>
    <mergeCell ref="B84:E84"/>
    <mergeCell ref="C86:F86"/>
    <mergeCell ref="B88:G88"/>
    <mergeCell ref="B90:G90"/>
    <mergeCell ref="B93:E93"/>
    <mergeCell ref="C95:F95"/>
    <mergeCell ref="B97:G97"/>
    <mergeCell ref="C41:F41"/>
    <mergeCell ref="B43:G43"/>
    <mergeCell ref="B46:G46"/>
    <mergeCell ref="B49:E49"/>
    <mergeCell ref="C25:F25"/>
    <mergeCell ref="B27:G27"/>
    <mergeCell ref="B29:G29"/>
    <mergeCell ref="B32:E32"/>
    <mergeCell ref="C34:F34"/>
    <mergeCell ref="B22:E23"/>
    <mergeCell ref="F3:G3"/>
    <mergeCell ref="B5:G5"/>
    <mergeCell ref="B11:G11"/>
    <mergeCell ref="C15:F15"/>
    <mergeCell ref="B3:B4"/>
    <mergeCell ref="B9:D9"/>
    <mergeCell ref="E9:F9"/>
    <mergeCell ref="C3:D3"/>
    <mergeCell ref="C4:D4"/>
    <mergeCell ref="B17:G17"/>
    <mergeCell ref="B19:G19"/>
    <mergeCell ref="C7:E7"/>
    <mergeCell ref="E8:F8"/>
    <mergeCell ref="C8:D8"/>
    <mergeCell ref="C68:F68"/>
    <mergeCell ref="B70:G70"/>
    <mergeCell ref="B72:G72"/>
    <mergeCell ref="B75:E75"/>
    <mergeCell ref="C51:F51"/>
    <mergeCell ref="B53:G53"/>
    <mergeCell ref="B55:G55"/>
    <mergeCell ref="B58:E58"/>
    <mergeCell ref="C60:F60"/>
    <mergeCell ref="B62:G62"/>
    <mergeCell ref="B64:G64"/>
    <mergeCell ref="B66:E66"/>
  </mergeCells>
  <dataValidations disablePrompts="1" count="1">
    <dataValidation type="list" allowBlank="1" showInputMessage="1" showErrorMessage="1" sqref="A44:A45 A47:A48 A30:A31 A18 A20:A21 A56:A57 A54 A63 A65 A73:A74 A71 A82:A83 A80 A91:A92 A89 A100:A102 A98 A108 A110:A111 A124:A125 A127:A128 A134 A136:A137 A143 A145:A146" xr:uid="{00000000-0002-0000-1000-000000000000}">
      <formula1>$A$3:$A$4</formula1>
    </dataValidation>
  </dataValidations>
  <pageMargins left="0.511811024" right="0.511811024" top="0.78740157499999996" bottom="0.78740157499999996" header="0.31496062000000002" footer="0.31496062000000002"/>
  <pageSetup paperSize="9" scale="51" fitToHeight="0" orientation="portrait" r:id="rId1"/>
  <rowBreaks count="2" manualBreakCount="2">
    <brk id="67" min="1" max="6" man="1"/>
    <brk id="120" min="1"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4">
    <tabColor theme="3" tint="0.79998168889431442"/>
    <pageSetUpPr fitToPage="1"/>
  </sheetPr>
  <dimension ref="A3:H58"/>
  <sheetViews>
    <sheetView view="pageBreakPreview" zoomScale="85" zoomScaleNormal="100" zoomScaleSheetLayoutView="85" workbookViewId="0">
      <selection activeCell="AG38" sqref="AG38"/>
    </sheetView>
  </sheetViews>
  <sheetFormatPr defaultRowHeight="12.75"/>
  <cols>
    <col min="1" max="1" width="19.5703125" style="259" customWidth="1"/>
    <col min="2" max="2" width="24.7109375" style="259" customWidth="1"/>
    <col min="3" max="3" width="75.7109375" style="259" customWidth="1"/>
    <col min="4" max="4" width="15.7109375" style="259" customWidth="1"/>
    <col min="5" max="5" width="23.7109375" style="259" customWidth="1"/>
    <col min="6" max="6" width="18.7109375" style="259" customWidth="1"/>
    <col min="7" max="7" width="20.7109375" style="259" customWidth="1"/>
    <col min="8" max="8" width="22.5703125" style="259" bestFit="1" customWidth="1"/>
    <col min="9" max="9" width="16.5703125" style="259" bestFit="1" customWidth="1"/>
    <col min="10" max="257" width="9.140625" style="259"/>
    <col min="258" max="258" width="24.5703125" style="259" customWidth="1"/>
    <col min="259" max="259" width="71.7109375" style="259" customWidth="1"/>
    <col min="260" max="260" width="17.140625" style="259" bestFit="1" customWidth="1"/>
    <col min="261" max="261" width="16.7109375" style="259" bestFit="1" customWidth="1"/>
    <col min="262" max="262" width="16.85546875" style="259" bestFit="1" customWidth="1"/>
    <col min="263" max="263" width="21.42578125" style="259" customWidth="1"/>
    <col min="264" max="264" width="9.140625" style="259"/>
    <col min="265" max="265" width="16.5703125" style="259" bestFit="1" customWidth="1"/>
    <col min="266" max="513" width="9.140625" style="259"/>
    <col min="514" max="514" width="24.5703125" style="259" customWidth="1"/>
    <col min="515" max="515" width="71.7109375" style="259" customWidth="1"/>
    <col min="516" max="516" width="17.140625" style="259" bestFit="1" customWidth="1"/>
    <col min="517" max="517" width="16.7109375" style="259" bestFit="1" customWidth="1"/>
    <col min="518" max="518" width="16.85546875" style="259" bestFit="1" customWidth="1"/>
    <col min="519" max="519" width="21.42578125" style="259" customWidth="1"/>
    <col min="520" max="520" width="9.140625" style="259"/>
    <col min="521" max="521" width="16.5703125" style="259" bestFit="1" customWidth="1"/>
    <col min="522" max="769" width="9.140625" style="259"/>
    <col min="770" max="770" width="24.5703125" style="259" customWidth="1"/>
    <col min="771" max="771" width="71.7109375" style="259" customWidth="1"/>
    <col min="772" max="772" width="17.140625" style="259" bestFit="1" customWidth="1"/>
    <col min="773" max="773" width="16.7109375" style="259" bestFit="1" customWidth="1"/>
    <col min="774" max="774" width="16.85546875" style="259" bestFit="1" customWidth="1"/>
    <col min="775" max="775" width="21.42578125" style="259" customWidth="1"/>
    <col min="776" max="776" width="9.140625" style="259"/>
    <col min="777" max="777" width="16.5703125" style="259" bestFit="1" customWidth="1"/>
    <col min="778" max="1025" width="9.140625" style="259"/>
    <col min="1026" max="1026" width="24.5703125" style="259" customWidth="1"/>
    <col min="1027" max="1027" width="71.7109375" style="259" customWidth="1"/>
    <col min="1028" max="1028" width="17.140625" style="259" bestFit="1" customWidth="1"/>
    <col min="1029" max="1029" width="16.7109375" style="259" bestFit="1" customWidth="1"/>
    <col min="1030" max="1030" width="16.85546875" style="259" bestFit="1" customWidth="1"/>
    <col min="1031" max="1031" width="21.42578125" style="259" customWidth="1"/>
    <col min="1032" max="1032" width="9.140625" style="259"/>
    <col min="1033" max="1033" width="16.5703125" style="259" bestFit="1" customWidth="1"/>
    <col min="1034" max="1281" width="9.140625" style="259"/>
    <col min="1282" max="1282" width="24.5703125" style="259" customWidth="1"/>
    <col min="1283" max="1283" width="71.7109375" style="259" customWidth="1"/>
    <col min="1284" max="1284" width="17.140625" style="259" bestFit="1" customWidth="1"/>
    <col min="1285" max="1285" width="16.7109375" style="259" bestFit="1" customWidth="1"/>
    <col min="1286" max="1286" width="16.85546875" style="259" bestFit="1" customWidth="1"/>
    <col min="1287" max="1287" width="21.42578125" style="259" customWidth="1"/>
    <col min="1288" max="1288" width="9.140625" style="259"/>
    <col min="1289" max="1289" width="16.5703125" style="259" bestFit="1" customWidth="1"/>
    <col min="1290" max="1537" width="9.140625" style="259"/>
    <col min="1538" max="1538" width="24.5703125" style="259" customWidth="1"/>
    <col min="1539" max="1539" width="71.7109375" style="259" customWidth="1"/>
    <col min="1540" max="1540" width="17.140625" style="259" bestFit="1" customWidth="1"/>
    <col min="1541" max="1541" width="16.7109375" style="259" bestFit="1" customWidth="1"/>
    <col min="1542" max="1542" width="16.85546875" style="259" bestFit="1" customWidth="1"/>
    <col min="1543" max="1543" width="21.42578125" style="259" customWidth="1"/>
    <col min="1544" max="1544" width="9.140625" style="259"/>
    <col min="1545" max="1545" width="16.5703125" style="259" bestFit="1" customWidth="1"/>
    <col min="1546" max="1793" width="9.140625" style="259"/>
    <col min="1794" max="1794" width="24.5703125" style="259" customWidth="1"/>
    <col min="1795" max="1795" width="71.7109375" style="259" customWidth="1"/>
    <col min="1796" max="1796" width="17.140625" style="259" bestFit="1" customWidth="1"/>
    <col min="1797" max="1797" width="16.7109375" style="259" bestFit="1" customWidth="1"/>
    <col min="1798" max="1798" width="16.85546875" style="259" bestFit="1" customWidth="1"/>
    <col min="1799" max="1799" width="21.42578125" style="259" customWidth="1"/>
    <col min="1800" max="1800" width="9.140625" style="259"/>
    <col min="1801" max="1801" width="16.5703125" style="259" bestFit="1" customWidth="1"/>
    <col min="1802" max="2049" width="9.140625" style="259"/>
    <col min="2050" max="2050" width="24.5703125" style="259" customWidth="1"/>
    <col min="2051" max="2051" width="71.7109375" style="259" customWidth="1"/>
    <col min="2052" max="2052" width="17.140625" style="259" bestFit="1" customWidth="1"/>
    <col min="2053" max="2053" width="16.7109375" style="259" bestFit="1" customWidth="1"/>
    <col min="2054" max="2054" width="16.85546875" style="259" bestFit="1" customWidth="1"/>
    <col min="2055" max="2055" width="21.42578125" style="259" customWidth="1"/>
    <col min="2056" max="2056" width="9.140625" style="259"/>
    <col min="2057" max="2057" width="16.5703125" style="259" bestFit="1" customWidth="1"/>
    <col min="2058" max="2305" width="9.140625" style="259"/>
    <col min="2306" max="2306" width="24.5703125" style="259" customWidth="1"/>
    <col min="2307" max="2307" width="71.7109375" style="259" customWidth="1"/>
    <col min="2308" max="2308" width="17.140625" style="259" bestFit="1" customWidth="1"/>
    <col min="2309" max="2309" width="16.7109375" style="259" bestFit="1" customWidth="1"/>
    <col min="2310" max="2310" width="16.85546875" style="259" bestFit="1" customWidth="1"/>
    <col min="2311" max="2311" width="21.42578125" style="259" customWidth="1"/>
    <col min="2312" max="2312" width="9.140625" style="259"/>
    <col min="2313" max="2313" width="16.5703125" style="259" bestFit="1" customWidth="1"/>
    <col min="2314" max="2561" width="9.140625" style="259"/>
    <col min="2562" max="2562" width="24.5703125" style="259" customWidth="1"/>
    <col min="2563" max="2563" width="71.7109375" style="259" customWidth="1"/>
    <col min="2564" max="2564" width="17.140625" style="259" bestFit="1" customWidth="1"/>
    <col min="2565" max="2565" width="16.7109375" style="259" bestFit="1" customWidth="1"/>
    <col min="2566" max="2566" width="16.85546875" style="259" bestFit="1" customWidth="1"/>
    <col min="2567" max="2567" width="21.42578125" style="259" customWidth="1"/>
    <col min="2568" max="2568" width="9.140625" style="259"/>
    <col min="2569" max="2569" width="16.5703125" style="259" bestFit="1" customWidth="1"/>
    <col min="2570" max="2817" width="9.140625" style="259"/>
    <col min="2818" max="2818" width="24.5703125" style="259" customWidth="1"/>
    <col min="2819" max="2819" width="71.7109375" style="259" customWidth="1"/>
    <col min="2820" max="2820" width="17.140625" style="259" bestFit="1" customWidth="1"/>
    <col min="2821" max="2821" width="16.7109375" style="259" bestFit="1" customWidth="1"/>
    <col min="2822" max="2822" width="16.85546875" style="259" bestFit="1" customWidth="1"/>
    <col min="2823" max="2823" width="21.42578125" style="259" customWidth="1"/>
    <col min="2824" max="2824" width="9.140625" style="259"/>
    <col min="2825" max="2825" width="16.5703125" style="259" bestFit="1" customWidth="1"/>
    <col min="2826" max="3073" width="9.140625" style="259"/>
    <col min="3074" max="3074" width="24.5703125" style="259" customWidth="1"/>
    <col min="3075" max="3075" width="71.7109375" style="259" customWidth="1"/>
    <col min="3076" max="3076" width="17.140625" style="259" bestFit="1" customWidth="1"/>
    <col min="3077" max="3077" width="16.7109375" style="259" bestFit="1" customWidth="1"/>
    <col min="3078" max="3078" width="16.85546875" style="259" bestFit="1" customWidth="1"/>
    <col min="3079" max="3079" width="21.42578125" style="259" customWidth="1"/>
    <col min="3080" max="3080" width="9.140625" style="259"/>
    <col min="3081" max="3081" width="16.5703125" style="259" bestFit="1" customWidth="1"/>
    <col min="3082" max="3329" width="9.140625" style="259"/>
    <col min="3330" max="3330" width="24.5703125" style="259" customWidth="1"/>
    <col min="3331" max="3331" width="71.7109375" style="259" customWidth="1"/>
    <col min="3332" max="3332" width="17.140625" style="259" bestFit="1" customWidth="1"/>
    <col min="3333" max="3333" width="16.7109375" style="259" bestFit="1" customWidth="1"/>
    <col min="3334" max="3334" width="16.85546875" style="259" bestFit="1" customWidth="1"/>
    <col min="3335" max="3335" width="21.42578125" style="259" customWidth="1"/>
    <col min="3336" max="3336" width="9.140625" style="259"/>
    <col min="3337" max="3337" width="16.5703125" style="259" bestFit="1" customWidth="1"/>
    <col min="3338" max="3585" width="9.140625" style="259"/>
    <col min="3586" max="3586" width="24.5703125" style="259" customWidth="1"/>
    <col min="3587" max="3587" width="71.7109375" style="259" customWidth="1"/>
    <col min="3588" max="3588" width="17.140625" style="259" bestFit="1" customWidth="1"/>
    <col min="3589" max="3589" width="16.7109375" style="259" bestFit="1" customWidth="1"/>
    <col min="3590" max="3590" width="16.85546875" style="259" bestFit="1" customWidth="1"/>
    <col min="3591" max="3591" width="21.42578125" style="259" customWidth="1"/>
    <col min="3592" max="3592" width="9.140625" style="259"/>
    <col min="3593" max="3593" width="16.5703125" style="259" bestFit="1" customWidth="1"/>
    <col min="3594" max="3841" width="9.140625" style="259"/>
    <col min="3842" max="3842" width="24.5703125" style="259" customWidth="1"/>
    <col min="3843" max="3843" width="71.7109375" style="259" customWidth="1"/>
    <col min="3844" max="3844" width="17.140625" style="259" bestFit="1" customWidth="1"/>
    <col min="3845" max="3845" width="16.7109375" style="259" bestFit="1" customWidth="1"/>
    <col min="3846" max="3846" width="16.85546875" style="259" bestFit="1" customWidth="1"/>
    <col min="3847" max="3847" width="21.42578125" style="259" customWidth="1"/>
    <col min="3848" max="3848" width="9.140625" style="259"/>
    <col min="3849" max="3849" width="16.5703125" style="259" bestFit="1" customWidth="1"/>
    <col min="3850" max="4097" width="9.140625" style="259"/>
    <col min="4098" max="4098" width="24.5703125" style="259" customWidth="1"/>
    <col min="4099" max="4099" width="71.7109375" style="259" customWidth="1"/>
    <col min="4100" max="4100" width="17.140625" style="259" bestFit="1" customWidth="1"/>
    <col min="4101" max="4101" width="16.7109375" style="259" bestFit="1" customWidth="1"/>
    <col min="4102" max="4102" width="16.85546875" style="259" bestFit="1" customWidth="1"/>
    <col min="4103" max="4103" width="21.42578125" style="259" customWidth="1"/>
    <col min="4104" max="4104" width="9.140625" style="259"/>
    <col min="4105" max="4105" width="16.5703125" style="259" bestFit="1" customWidth="1"/>
    <col min="4106" max="4353" width="9.140625" style="259"/>
    <col min="4354" max="4354" width="24.5703125" style="259" customWidth="1"/>
    <col min="4355" max="4355" width="71.7109375" style="259" customWidth="1"/>
    <col min="4356" max="4356" width="17.140625" style="259" bestFit="1" customWidth="1"/>
    <col min="4357" max="4357" width="16.7109375" style="259" bestFit="1" customWidth="1"/>
    <col min="4358" max="4358" width="16.85546875" style="259" bestFit="1" customWidth="1"/>
    <col min="4359" max="4359" width="21.42578125" style="259" customWidth="1"/>
    <col min="4360" max="4360" width="9.140625" style="259"/>
    <col min="4361" max="4361" width="16.5703125" style="259" bestFit="1" customWidth="1"/>
    <col min="4362" max="4609" width="9.140625" style="259"/>
    <col min="4610" max="4610" width="24.5703125" style="259" customWidth="1"/>
    <col min="4611" max="4611" width="71.7109375" style="259" customWidth="1"/>
    <col min="4612" max="4612" width="17.140625" style="259" bestFit="1" customWidth="1"/>
    <col min="4613" max="4613" width="16.7109375" style="259" bestFit="1" customWidth="1"/>
    <col min="4614" max="4614" width="16.85546875" style="259" bestFit="1" customWidth="1"/>
    <col min="4615" max="4615" width="21.42578125" style="259" customWidth="1"/>
    <col min="4616" max="4616" width="9.140625" style="259"/>
    <col min="4617" max="4617" width="16.5703125" style="259" bestFit="1" customWidth="1"/>
    <col min="4618" max="4865" width="9.140625" style="259"/>
    <col min="4866" max="4866" width="24.5703125" style="259" customWidth="1"/>
    <col min="4867" max="4867" width="71.7109375" style="259" customWidth="1"/>
    <col min="4868" max="4868" width="17.140625" style="259" bestFit="1" customWidth="1"/>
    <col min="4869" max="4869" width="16.7109375" style="259" bestFit="1" customWidth="1"/>
    <col min="4870" max="4870" width="16.85546875" style="259" bestFit="1" customWidth="1"/>
    <col min="4871" max="4871" width="21.42578125" style="259" customWidth="1"/>
    <col min="4872" max="4872" width="9.140625" style="259"/>
    <col min="4873" max="4873" width="16.5703125" style="259" bestFit="1" customWidth="1"/>
    <col min="4874" max="5121" width="9.140625" style="259"/>
    <col min="5122" max="5122" width="24.5703125" style="259" customWidth="1"/>
    <col min="5123" max="5123" width="71.7109375" style="259" customWidth="1"/>
    <col min="5124" max="5124" width="17.140625" style="259" bestFit="1" customWidth="1"/>
    <col min="5125" max="5125" width="16.7109375" style="259" bestFit="1" customWidth="1"/>
    <col min="5126" max="5126" width="16.85546875" style="259" bestFit="1" customWidth="1"/>
    <col min="5127" max="5127" width="21.42578125" style="259" customWidth="1"/>
    <col min="5128" max="5128" width="9.140625" style="259"/>
    <col min="5129" max="5129" width="16.5703125" style="259" bestFit="1" customWidth="1"/>
    <col min="5130" max="5377" width="9.140625" style="259"/>
    <col min="5378" max="5378" width="24.5703125" style="259" customWidth="1"/>
    <col min="5379" max="5379" width="71.7109375" style="259" customWidth="1"/>
    <col min="5380" max="5380" width="17.140625" style="259" bestFit="1" customWidth="1"/>
    <col min="5381" max="5381" width="16.7109375" style="259" bestFit="1" customWidth="1"/>
    <col min="5382" max="5382" width="16.85546875" style="259" bestFit="1" customWidth="1"/>
    <col min="5383" max="5383" width="21.42578125" style="259" customWidth="1"/>
    <col min="5384" max="5384" width="9.140625" style="259"/>
    <col min="5385" max="5385" width="16.5703125" style="259" bestFit="1" customWidth="1"/>
    <col min="5386" max="5633" width="9.140625" style="259"/>
    <col min="5634" max="5634" width="24.5703125" style="259" customWidth="1"/>
    <col min="5635" max="5635" width="71.7109375" style="259" customWidth="1"/>
    <col min="5636" max="5636" width="17.140625" style="259" bestFit="1" customWidth="1"/>
    <col min="5637" max="5637" width="16.7109375" style="259" bestFit="1" customWidth="1"/>
    <col min="5638" max="5638" width="16.85546875" style="259" bestFit="1" customWidth="1"/>
    <col min="5639" max="5639" width="21.42578125" style="259" customWidth="1"/>
    <col min="5640" max="5640" width="9.140625" style="259"/>
    <col min="5641" max="5641" width="16.5703125" style="259" bestFit="1" customWidth="1"/>
    <col min="5642" max="5889" width="9.140625" style="259"/>
    <col min="5890" max="5890" width="24.5703125" style="259" customWidth="1"/>
    <col min="5891" max="5891" width="71.7109375" style="259" customWidth="1"/>
    <col min="5892" max="5892" width="17.140625" style="259" bestFit="1" customWidth="1"/>
    <col min="5893" max="5893" width="16.7109375" style="259" bestFit="1" customWidth="1"/>
    <col min="5894" max="5894" width="16.85546875" style="259" bestFit="1" customWidth="1"/>
    <col min="5895" max="5895" width="21.42578125" style="259" customWidth="1"/>
    <col min="5896" max="5896" width="9.140625" style="259"/>
    <col min="5897" max="5897" width="16.5703125" style="259" bestFit="1" customWidth="1"/>
    <col min="5898" max="6145" width="9.140625" style="259"/>
    <col min="6146" max="6146" width="24.5703125" style="259" customWidth="1"/>
    <col min="6147" max="6147" width="71.7109375" style="259" customWidth="1"/>
    <col min="6148" max="6148" width="17.140625" style="259" bestFit="1" customWidth="1"/>
    <col min="6149" max="6149" width="16.7109375" style="259" bestFit="1" customWidth="1"/>
    <col min="6150" max="6150" width="16.85546875" style="259" bestFit="1" customWidth="1"/>
    <col min="6151" max="6151" width="21.42578125" style="259" customWidth="1"/>
    <col min="6152" max="6152" width="9.140625" style="259"/>
    <col min="6153" max="6153" width="16.5703125" style="259" bestFit="1" customWidth="1"/>
    <col min="6154" max="6401" width="9.140625" style="259"/>
    <col min="6402" max="6402" width="24.5703125" style="259" customWidth="1"/>
    <col min="6403" max="6403" width="71.7109375" style="259" customWidth="1"/>
    <col min="6404" max="6404" width="17.140625" style="259" bestFit="1" customWidth="1"/>
    <col min="6405" max="6405" width="16.7109375" style="259" bestFit="1" customWidth="1"/>
    <col min="6406" max="6406" width="16.85546875" style="259" bestFit="1" customWidth="1"/>
    <col min="6407" max="6407" width="21.42578125" style="259" customWidth="1"/>
    <col min="6408" max="6408" width="9.140625" style="259"/>
    <col min="6409" max="6409" width="16.5703125" style="259" bestFit="1" customWidth="1"/>
    <col min="6410" max="6657" width="9.140625" style="259"/>
    <col min="6658" max="6658" width="24.5703125" style="259" customWidth="1"/>
    <col min="6659" max="6659" width="71.7109375" style="259" customWidth="1"/>
    <col min="6660" max="6660" width="17.140625" style="259" bestFit="1" customWidth="1"/>
    <col min="6661" max="6661" width="16.7109375" style="259" bestFit="1" customWidth="1"/>
    <col min="6662" max="6662" width="16.85546875" style="259" bestFit="1" customWidth="1"/>
    <col min="6663" max="6663" width="21.42578125" style="259" customWidth="1"/>
    <col min="6664" max="6664" width="9.140625" style="259"/>
    <col min="6665" max="6665" width="16.5703125" style="259" bestFit="1" customWidth="1"/>
    <col min="6666" max="6913" width="9.140625" style="259"/>
    <col min="6914" max="6914" width="24.5703125" style="259" customWidth="1"/>
    <col min="6915" max="6915" width="71.7109375" style="259" customWidth="1"/>
    <col min="6916" max="6916" width="17.140625" style="259" bestFit="1" customWidth="1"/>
    <col min="6917" max="6917" width="16.7109375" style="259" bestFit="1" customWidth="1"/>
    <col min="6918" max="6918" width="16.85546875" style="259" bestFit="1" customWidth="1"/>
    <col min="6919" max="6919" width="21.42578125" style="259" customWidth="1"/>
    <col min="6920" max="6920" width="9.140625" style="259"/>
    <col min="6921" max="6921" width="16.5703125" style="259" bestFit="1" customWidth="1"/>
    <col min="6922" max="7169" width="9.140625" style="259"/>
    <col min="7170" max="7170" width="24.5703125" style="259" customWidth="1"/>
    <col min="7171" max="7171" width="71.7109375" style="259" customWidth="1"/>
    <col min="7172" max="7172" width="17.140625" style="259" bestFit="1" customWidth="1"/>
    <col min="7173" max="7173" width="16.7109375" style="259" bestFit="1" customWidth="1"/>
    <col min="7174" max="7174" width="16.85546875" style="259" bestFit="1" customWidth="1"/>
    <col min="7175" max="7175" width="21.42578125" style="259" customWidth="1"/>
    <col min="7176" max="7176" width="9.140625" style="259"/>
    <col min="7177" max="7177" width="16.5703125" style="259" bestFit="1" customWidth="1"/>
    <col min="7178" max="7425" width="9.140625" style="259"/>
    <col min="7426" max="7426" width="24.5703125" style="259" customWidth="1"/>
    <col min="7427" max="7427" width="71.7109375" style="259" customWidth="1"/>
    <col min="7428" max="7428" width="17.140625" style="259" bestFit="1" customWidth="1"/>
    <col min="7429" max="7429" width="16.7109375" style="259" bestFit="1" customWidth="1"/>
    <col min="7430" max="7430" width="16.85546875" style="259" bestFit="1" customWidth="1"/>
    <col min="7431" max="7431" width="21.42578125" style="259" customWidth="1"/>
    <col min="7432" max="7432" width="9.140625" style="259"/>
    <col min="7433" max="7433" width="16.5703125" style="259" bestFit="1" customWidth="1"/>
    <col min="7434" max="7681" width="9.140625" style="259"/>
    <col min="7682" max="7682" width="24.5703125" style="259" customWidth="1"/>
    <col min="7683" max="7683" width="71.7109375" style="259" customWidth="1"/>
    <col min="7684" max="7684" width="17.140625" style="259" bestFit="1" customWidth="1"/>
    <col min="7685" max="7685" width="16.7109375" style="259" bestFit="1" customWidth="1"/>
    <col min="7686" max="7686" width="16.85546875" style="259" bestFit="1" customWidth="1"/>
    <col min="7687" max="7687" width="21.42578125" style="259" customWidth="1"/>
    <col min="7688" max="7688" width="9.140625" style="259"/>
    <col min="7689" max="7689" width="16.5703125" style="259" bestFit="1" customWidth="1"/>
    <col min="7690" max="7937" width="9.140625" style="259"/>
    <col min="7938" max="7938" width="24.5703125" style="259" customWidth="1"/>
    <col min="7939" max="7939" width="71.7109375" style="259" customWidth="1"/>
    <col min="7940" max="7940" width="17.140625" style="259" bestFit="1" customWidth="1"/>
    <col min="7941" max="7941" width="16.7109375" style="259" bestFit="1" customWidth="1"/>
    <col min="7942" max="7942" width="16.85546875" style="259" bestFit="1" customWidth="1"/>
    <col min="7943" max="7943" width="21.42578125" style="259" customWidth="1"/>
    <col min="7944" max="7944" width="9.140625" style="259"/>
    <col min="7945" max="7945" width="16.5703125" style="259" bestFit="1" customWidth="1"/>
    <col min="7946" max="8193" width="9.140625" style="259"/>
    <col min="8194" max="8194" width="24.5703125" style="259" customWidth="1"/>
    <col min="8195" max="8195" width="71.7109375" style="259" customWidth="1"/>
    <col min="8196" max="8196" width="17.140625" style="259" bestFit="1" customWidth="1"/>
    <col min="8197" max="8197" width="16.7109375" style="259" bestFit="1" customWidth="1"/>
    <col min="8198" max="8198" width="16.85546875" style="259" bestFit="1" customWidth="1"/>
    <col min="8199" max="8199" width="21.42578125" style="259" customWidth="1"/>
    <col min="8200" max="8200" width="9.140625" style="259"/>
    <col min="8201" max="8201" width="16.5703125" style="259" bestFit="1" customWidth="1"/>
    <col min="8202" max="8449" width="9.140625" style="259"/>
    <col min="8450" max="8450" width="24.5703125" style="259" customWidth="1"/>
    <col min="8451" max="8451" width="71.7109375" style="259" customWidth="1"/>
    <col min="8452" max="8452" width="17.140625" style="259" bestFit="1" customWidth="1"/>
    <col min="8453" max="8453" width="16.7109375" style="259" bestFit="1" customWidth="1"/>
    <col min="8454" max="8454" width="16.85546875" style="259" bestFit="1" customWidth="1"/>
    <col min="8455" max="8455" width="21.42578125" style="259" customWidth="1"/>
    <col min="8456" max="8456" width="9.140625" style="259"/>
    <col min="8457" max="8457" width="16.5703125" style="259" bestFit="1" customWidth="1"/>
    <col min="8458" max="8705" width="9.140625" style="259"/>
    <col min="8706" max="8706" width="24.5703125" style="259" customWidth="1"/>
    <col min="8707" max="8707" width="71.7109375" style="259" customWidth="1"/>
    <col min="8708" max="8708" width="17.140625" style="259" bestFit="1" customWidth="1"/>
    <col min="8709" max="8709" width="16.7109375" style="259" bestFit="1" customWidth="1"/>
    <col min="8710" max="8710" width="16.85546875" style="259" bestFit="1" customWidth="1"/>
    <col min="8711" max="8711" width="21.42578125" style="259" customWidth="1"/>
    <col min="8712" max="8712" width="9.140625" style="259"/>
    <col min="8713" max="8713" width="16.5703125" style="259" bestFit="1" customWidth="1"/>
    <col min="8714" max="8961" width="9.140625" style="259"/>
    <col min="8962" max="8962" width="24.5703125" style="259" customWidth="1"/>
    <col min="8963" max="8963" width="71.7109375" style="259" customWidth="1"/>
    <col min="8964" max="8964" width="17.140625" style="259" bestFit="1" customWidth="1"/>
    <col min="8965" max="8965" width="16.7109375" style="259" bestFit="1" customWidth="1"/>
    <col min="8966" max="8966" width="16.85546875" style="259" bestFit="1" customWidth="1"/>
    <col min="8967" max="8967" width="21.42578125" style="259" customWidth="1"/>
    <col min="8968" max="8968" width="9.140625" style="259"/>
    <col min="8969" max="8969" width="16.5703125" style="259" bestFit="1" customWidth="1"/>
    <col min="8970" max="9217" width="9.140625" style="259"/>
    <col min="9218" max="9218" width="24.5703125" style="259" customWidth="1"/>
    <col min="9219" max="9219" width="71.7109375" style="259" customWidth="1"/>
    <col min="9220" max="9220" width="17.140625" style="259" bestFit="1" customWidth="1"/>
    <col min="9221" max="9221" width="16.7109375" style="259" bestFit="1" customWidth="1"/>
    <col min="9222" max="9222" width="16.85546875" style="259" bestFit="1" customWidth="1"/>
    <col min="9223" max="9223" width="21.42578125" style="259" customWidth="1"/>
    <col min="9224" max="9224" width="9.140625" style="259"/>
    <col min="9225" max="9225" width="16.5703125" style="259" bestFit="1" customWidth="1"/>
    <col min="9226" max="9473" width="9.140625" style="259"/>
    <col min="9474" max="9474" width="24.5703125" style="259" customWidth="1"/>
    <col min="9475" max="9475" width="71.7109375" style="259" customWidth="1"/>
    <col min="9476" max="9476" width="17.140625" style="259" bestFit="1" customWidth="1"/>
    <col min="9477" max="9477" width="16.7109375" style="259" bestFit="1" customWidth="1"/>
    <col min="9478" max="9478" width="16.85546875" style="259" bestFit="1" customWidth="1"/>
    <col min="9479" max="9479" width="21.42578125" style="259" customWidth="1"/>
    <col min="9480" max="9480" width="9.140625" style="259"/>
    <col min="9481" max="9481" width="16.5703125" style="259" bestFit="1" customWidth="1"/>
    <col min="9482" max="9729" width="9.140625" style="259"/>
    <col min="9730" max="9730" width="24.5703125" style="259" customWidth="1"/>
    <col min="9731" max="9731" width="71.7109375" style="259" customWidth="1"/>
    <col min="9732" max="9732" width="17.140625" style="259" bestFit="1" customWidth="1"/>
    <col min="9733" max="9733" width="16.7109375" style="259" bestFit="1" customWidth="1"/>
    <col min="9734" max="9734" width="16.85546875" style="259" bestFit="1" customWidth="1"/>
    <col min="9735" max="9735" width="21.42578125" style="259" customWidth="1"/>
    <col min="9736" max="9736" width="9.140625" style="259"/>
    <col min="9737" max="9737" width="16.5703125" style="259" bestFit="1" customWidth="1"/>
    <col min="9738" max="9985" width="9.140625" style="259"/>
    <col min="9986" max="9986" width="24.5703125" style="259" customWidth="1"/>
    <col min="9987" max="9987" width="71.7109375" style="259" customWidth="1"/>
    <col min="9988" max="9988" width="17.140625" style="259" bestFit="1" customWidth="1"/>
    <col min="9989" max="9989" width="16.7109375" style="259" bestFit="1" customWidth="1"/>
    <col min="9990" max="9990" width="16.85546875" style="259" bestFit="1" customWidth="1"/>
    <col min="9991" max="9991" width="21.42578125" style="259" customWidth="1"/>
    <col min="9992" max="9992" width="9.140625" style="259"/>
    <col min="9993" max="9993" width="16.5703125" style="259" bestFit="1" customWidth="1"/>
    <col min="9994" max="10241" width="9.140625" style="259"/>
    <col min="10242" max="10242" width="24.5703125" style="259" customWidth="1"/>
    <col min="10243" max="10243" width="71.7109375" style="259" customWidth="1"/>
    <col min="10244" max="10244" width="17.140625" style="259" bestFit="1" customWidth="1"/>
    <col min="10245" max="10245" width="16.7109375" style="259" bestFit="1" customWidth="1"/>
    <col min="10246" max="10246" width="16.85546875" style="259" bestFit="1" customWidth="1"/>
    <col min="10247" max="10247" width="21.42578125" style="259" customWidth="1"/>
    <col min="10248" max="10248" width="9.140625" style="259"/>
    <col min="10249" max="10249" width="16.5703125" style="259" bestFit="1" customWidth="1"/>
    <col min="10250" max="10497" width="9.140625" style="259"/>
    <col min="10498" max="10498" width="24.5703125" style="259" customWidth="1"/>
    <col min="10499" max="10499" width="71.7109375" style="259" customWidth="1"/>
    <col min="10500" max="10500" width="17.140625" style="259" bestFit="1" customWidth="1"/>
    <col min="10501" max="10501" width="16.7109375" style="259" bestFit="1" customWidth="1"/>
    <col min="10502" max="10502" width="16.85546875" style="259" bestFit="1" customWidth="1"/>
    <col min="10503" max="10503" width="21.42578125" style="259" customWidth="1"/>
    <col min="10504" max="10504" width="9.140625" style="259"/>
    <col min="10505" max="10505" width="16.5703125" style="259" bestFit="1" customWidth="1"/>
    <col min="10506" max="10753" width="9.140625" style="259"/>
    <col min="10754" max="10754" width="24.5703125" style="259" customWidth="1"/>
    <col min="10755" max="10755" width="71.7109375" style="259" customWidth="1"/>
    <col min="10756" max="10756" width="17.140625" style="259" bestFit="1" customWidth="1"/>
    <col min="10757" max="10757" width="16.7109375" style="259" bestFit="1" customWidth="1"/>
    <col min="10758" max="10758" width="16.85546875" style="259" bestFit="1" customWidth="1"/>
    <col min="10759" max="10759" width="21.42578125" style="259" customWidth="1"/>
    <col min="10760" max="10760" width="9.140625" style="259"/>
    <col min="10761" max="10761" width="16.5703125" style="259" bestFit="1" customWidth="1"/>
    <col min="10762" max="11009" width="9.140625" style="259"/>
    <col min="11010" max="11010" width="24.5703125" style="259" customWidth="1"/>
    <col min="11011" max="11011" width="71.7109375" style="259" customWidth="1"/>
    <col min="11012" max="11012" width="17.140625" style="259" bestFit="1" customWidth="1"/>
    <col min="11013" max="11013" width="16.7109375" style="259" bestFit="1" customWidth="1"/>
    <col min="11014" max="11014" width="16.85546875" style="259" bestFit="1" customWidth="1"/>
    <col min="11015" max="11015" width="21.42578125" style="259" customWidth="1"/>
    <col min="11016" max="11016" width="9.140625" style="259"/>
    <col min="11017" max="11017" width="16.5703125" style="259" bestFit="1" customWidth="1"/>
    <col min="11018" max="11265" width="9.140625" style="259"/>
    <col min="11266" max="11266" width="24.5703125" style="259" customWidth="1"/>
    <col min="11267" max="11267" width="71.7109375" style="259" customWidth="1"/>
    <col min="11268" max="11268" width="17.140625" style="259" bestFit="1" customWidth="1"/>
    <col min="11269" max="11269" width="16.7109375" style="259" bestFit="1" customWidth="1"/>
    <col min="11270" max="11270" width="16.85546875" style="259" bestFit="1" customWidth="1"/>
    <col min="11271" max="11271" width="21.42578125" style="259" customWidth="1"/>
    <col min="11272" max="11272" width="9.140625" style="259"/>
    <col min="11273" max="11273" width="16.5703125" style="259" bestFit="1" customWidth="1"/>
    <col min="11274" max="11521" width="9.140625" style="259"/>
    <col min="11522" max="11522" width="24.5703125" style="259" customWidth="1"/>
    <col min="11523" max="11523" width="71.7109375" style="259" customWidth="1"/>
    <col min="11524" max="11524" width="17.140625" style="259" bestFit="1" customWidth="1"/>
    <col min="11525" max="11525" width="16.7109375" style="259" bestFit="1" customWidth="1"/>
    <col min="11526" max="11526" width="16.85546875" style="259" bestFit="1" customWidth="1"/>
    <col min="11527" max="11527" width="21.42578125" style="259" customWidth="1"/>
    <col min="11528" max="11528" width="9.140625" style="259"/>
    <col min="11529" max="11529" width="16.5703125" style="259" bestFit="1" customWidth="1"/>
    <col min="11530" max="11777" width="9.140625" style="259"/>
    <col min="11778" max="11778" width="24.5703125" style="259" customWidth="1"/>
    <col min="11779" max="11779" width="71.7109375" style="259" customWidth="1"/>
    <col min="11780" max="11780" width="17.140625" style="259" bestFit="1" customWidth="1"/>
    <col min="11781" max="11781" width="16.7109375" style="259" bestFit="1" customWidth="1"/>
    <col min="11782" max="11782" width="16.85546875" style="259" bestFit="1" customWidth="1"/>
    <col min="11783" max="11783" width="21.42578125" style="259" customWidth="1"/>
    <col min="11784" max="11784" width="9.140625" style="259"/>
    <col min="11785" max="11785" width="16.5703125" style="259" bestFit="1" customWidth="1"/>
    <col min="11786" max="12033" width="9.140625" style="259"/>
    <col min="12034" max="12034" width="24.5703125" style="259" customWidth="1"/>
    <col min="12035" max="12035" width="71.7109375" style="259" customWidth="1"/>
    <col min="12036" max="12036" width="17.140625" style="259" bestFit="1" customWidth="1"/>
    <col min="12037" max="12037" width="16.7109375" style="259" bestFit="1" customWidth="1"/>
    <col min="12038" max="12038" width="16.85546875" style="259" bestFit="1" customWidth="1"/>
    <col min="12039" max="12039" width="21.42578125" style="259" customWidth="1"/>
    <col min="12040" max="12040" width="9.140625" style="259"/>
    <col min="12041" max="12041" width="16.5703125" style="259" bestFit="1" customWidth="1"/>
    <col min="12042" max="12289" width="9.140625" style="259"/>
    <col min="12290" max="12290" width="24.5703125" style="259" customWidth="1"/>
    <col min="12291" max="12291" width="71.7109375" style="259" customWidth="1"/>
    <col min="12292" max="12292" width="17.140625" style="259" bestFit="1" customWidth="1"/>
    <col min="12293" max="12293" width="16.7109375" style="259" bestFit="1" customWidth="1"/>
    <col min="12294" max="12294" width="16.85546875" style="259" bestFit="1" customWidth="1"/>
    <col min="12295" max="12295" width="21.42578125" style="259" customWidth="1"/>
    <col min="12296" max="12296" width="9.140625" style="259"/>
    <col min="12297" max="12297" width="16.5703125" style="259" bestFit="1" customWidth="1"/>
    <col min="12298" max="12545" width="9.140625" style="259"/>
    <col min="12546" max="12546" width="24.5703125" style="259" customWidth="1"/>
    <col min="12547" max="12547" width="71.7109375" style="259" customWidth="1"/>
    <col min="12548" max="12548" width="17.140625" style="259" bestFit="1" customWidth="1"/>
    <col min="12549" max="12549" width="16.7109375" style="259" bestFit="1" customWidth="1"/>
    <col min="12550" max="12550" width="16.85546875" style="259" bestFit="1" customWidth="1"/>
    <col min="12551" max="12551" width="21.42578125" style="259" customWidth="1"/>
    <col min="12552" max="12552" width="9.140625" style="259"/>
    <col min="12553" max="12553" width="16.5703125" style="259" bestFit="1" customWidth="1"/>
    <col min="12554" max="12801" width="9.140625" style="259"/>
    <col min="12802" max="12802" width="24.5703125" style="259" customWidth="1"/>
    <col min="12803" max="12803" width="71.7109375" style="259" customWidth="1"/>
    <col min="12804" max="12804" width="17.140625" style="259" bestFit="1" customWidth="1"/>
    <col min="12805" max="12805" width="16.7109375" style="259" bestFit="1" customWidth="1"/>
    <col min="12806" max="12806" width="16.85546875" style="259" bestFit="1" customWidth="1"/>
    <col min="12807" max="12807" width="21.42578125" style="259" customWidth="1"/>
    <col min="12808" max="12808" width="9.140625" style="259"/>
    <col min="12809" max="12809" width="16.5703125" style="259" bestFit="1" customWidth="1"/>
    <col min="12810" max="13057" width="9.140625" style="259"/>
    <col min="13058" max="13058" width="24.5703125" style="259" customWidth="1"/>
    <col min="13059" max="13059" width="71.7109375" style="259" customWidth="1"/>
    <col min="13060" max="13060" width="17.140625" style="259" bestFit="1" customWidth="1"/>
    <col min="13061" max="13061" width="16.7109375" style="259" bestFit="1" customWidth="1"/>
    <col min="13062" max="13062" width="16.85546875" style="259" bestFit="1" customWidth="1"/>
    <col min="13063" max="13063" width="21.42578125" style="259" customWidth="1"/>
    <col min="13064" max="13064" width="9.140625" style="259"/>
    <col min="13065" max="13065" width="16.5703125" style="259" bestFit="1" customWidth="1"/>
    <col min="13066" max="13313" width="9.140625" style="259"/>
    <col min="13314" max="13314" width="24.5703125" style="259" customWidth="1"/>
    <col min="13315" max="13315" width="71.7109375" style="259" customWidth="1"/>
    <col min="13316" max="13316" width="17.140625" style="259" bestFit="1" customWidth="1"/>
    <col min="13317" max="13317" width="16.7109375" style="259" bestFit="1" customWidth="1"/>
    <col min="13318" max="13318" width="16.85546875" style="259" bestFit="1" customWidth="1"/>
    <col min="13319" max="13319" width="21.42578125" style="259" customWidth="1"/>
    <col min="13320" max="13320" width="9.140625" style="259"/>
    <col min="13321" max="13321" width="16.5703125" style="259" bestFit="1" customWidth="1"/>
    <col min="13322" max="13569" width="9.140625" style="259"/>
    <col min="13570" max="13570" width="24.5703125" style="259" customWidth="1"/>
    <col min="13571" max="13571" width="71.7109375" style="259" customWidth="1"/>
    <col min="13572" max="13572" width="17.140625" style="259" bestFit="1" customWidth="1"/>
    <col min="13573" max="13573" width="16.7109375" style="259" bestFit="1" customWidth="1"/>
    <col min="13574" max="13574" width="16.85546875" style="259" bestFit="1" customWidth="1"/>
    <col min="13575" max="13575" width="21.42578125" style="259" customWidth="1"/>
    <col min="13576" max="13576" width="9.140625" style="259"/>
    <col min="13577" max="13577" width="16.5703125" style="259" bestFit="1" customWidth="1"/>
    <col min="13578" max="13825" width="9.140625" style="259"/>
    <col min="13826" max="13826" width="24.5703125" style="259" customWidth="1"/>
    <col min="13827" max="13827" width="71.7109375" style="259" customWidth="1"/>
    <col min="13828" max="13828" width="17.140625" style="259" bestFit="1" customWidth="1"/>
    <col min="13829" max="13829" width="16.7109375" style="259" bestFit="1" customWidth="1"/>
    <col min="13830" max="13830" width="16.85546875" style="259" bestFit="1" customWidth="1"/>
    <col min="13831" max="13831" width="21.42578125" style="259" customWidth="1"/>
    <col min="13832" max="13832" width="9.140625" style="259"/>
    <col min="13833" max="13833" width="16.5703125" style="259" bestFit="1" customWidth="1"/>
    <col min="13834" max="14081" width="9.140625" style="259"/>
    <col min="14082" max="14082" width="24.5703125" style="259" customWidth="1"/>
    <col min="14083" max="14083" width="71.7109375" style="259" customWidth="1"/>
    <col min="14084" max="14084" width="17.140625" style="259" bestFit="1" customWidth="1"/>
    <col min="14085" max="14085" width="16.7109375" style="259" bestFit="1" customWidth="1"/>
    <col min="14086" max="14086" width="16.85546875" style="259" bestFit="1" customWidth="1"/>
    <col min="14087" max="14087" width="21.42578125" style="259" customWidth="1"/>
    <col min="14088" max="14088" width="9.140625" style="259"/>
    <col min="14089" max="14089" width="16.5703125" style="259" bestFit="1" customWidth="1"/>
    <col min="14090" max="14337" width="9.140625" style="259"/>
    <col min="14338" max="14338" width="24.5703125" style="259" customWidth="1"/>
    <col min="14339" max="14339" width="71.7109375" style="259" customWidth="1"/>
    <col min="14340" max="14340" width="17.140625" style="259" bestFit="1" customWidth="1"/>
    <col min="14341" max="14341" width="16.7109375" style="259" bestFit="1" customWidth="1"/>
    <col min="14342" max="14342" width="16.85546875" style="259" bestFit="1" customWidth="1"/>
    <col min="14343" max="14343" width="21.42578125" style="259" customWidth="1"/>
    <col min="14344" max="14344" width="9.140625" style="259"/>
    <col min="14345" max="14345" width="16.5703125" style="259" bestFit="1" customWidth="1"/>
    <col min="14346" max="14593" width="9.140625" style="259"/>
    <col min="14594" max="14594" width="24.5703125" style="259" customWidth="1"/>
    <col min="14595" max="14595" width="71.7109375" style="259" customWidth="1"/>
    <col min="14596" max="14596" width="17.140625" style="259" bestFit="1" customWidth="1"/>
    <col min="14597" max="14597" width="16.7109375" style="259" bestFit="1" customWidth="1"/>
    <col min="14598" max="14598" width="16.85546875" style="259" bestFit="1" customWidth="1"/>
    <col min="14599" max="14599" width="21.42578125" style="259" customWidth="1"/>
    <col min="14600" max="14600" width="9.140625" style="259"/>
    <col min="14601" max="14601" width="16.5703125" style="259" bestFit="1" customWidth="1"/>
    <col min="14602" max="14849" width="9.140625" style="259"/>
    <col min="14850" max="14850" width="24.5703125" style="259" customWidth="1"/>
    <col min="14851" max="14851" width="71.7109375" style="259" customWidth="1"/>
    <col min="14852" max="14852" width="17.140625" style="259" bestFit="1" customWidth="1"/>
    <col min="14853" max="14853" width="16.7109375" style="259" bestFit="1" customWidth="1"/>
    <col min="14854" max="14854" width="16.85546875" style="259" bestFit="1" customWidth="1"/>
    <col min="14855" max="14855" width="21.42578125" style="259" customWidth="1"/>
    <col min="14856" max="14856" width="9.140625" style="259"/>
    <col min="14857" max="14857" width="16.5703125" style="259" bestFit="1" customWidth="1"/>
    <col min="14858" max="15105" width="9.140625" style="259"/>
    <col min="15106" max="15106" width="24.5703125" style="259" customWidth="1"/>
    <col min="15107" max="15107" width="71.7109375" style="259" customWidth="1"/>
    <col min="15108" max="15108" width="17.140625" style="259" bestFit="1" customWidth="1"/>
    <col min="15109" max="15109" width="16.7109375" style="259" bestFit="1" customWidth="1"/>
    <col min="15110" max="15110" width="16.85546875" style="259" bestFit="1" customWidth="1"/>
    <col min="15111" max="15111" width="21.42578125" style="259" customWidth="1"/>
    <col min="15112" max="15112" width="9.140625" style="259"/>
    <col min="15113" max="15113" width="16.5703125" style="259" bestFit="1" customWidth="1"/>
    <col min="15114" max="15361" width="9.140625" style="259"/>
    <col min="15362" max="15362" width="24.5703125" style="259" customWidth="1"/>
    <col min="15363" max="15363" width="71.7109375" style="259" customWidth="1"/>
    <col min="15364" max="15364" width="17.140625" style="259" bestFit="1" customWidth="1"/>
    <col min="15365" max="15365" width="16.7109375" style="259" bestFit="1" customWidth="1"/>
    <col min="15366" max="15366" width="16.85546875" style="259" bestFit="1" customWidth="1"/>
    <col min="15367" max="15367" width="21.42578125" style="259" customWidth="1"/>
    <col min="15368" max="15368" width="9.140625" style="259"/>
    <col min="15369" max="15369" width="16.5703125" style="259" bestFit="1" customWidth="1"/>
    <col min="15370" max="15617" width="9.140625" style="259"/>
    <col min="15618" max="15618" width="24.5703125" style="259" customWidth="1"/>
    <col min="15619" max="15619" width="71.7109375" style="259" customWidth="1"/>
    <col min="15620" max="15620" width="17.140625" style="259" bestFit="1" customWidth="1"/>
    <col min="15621" max="15621" width="16.7109375" style="259" bestFit="1" customWidth="1"/>
    <col min="15622" max="15622" width="16.85546875" style="259" bestFit="1" customWidth="1"/>
    <col min="15623" max="15623" width="21.42578125" style="259" customWidth="1"/>
    <col min="15624" max="15624" width="9.140625" style="259"/>
    <col min="15625" max="15625" width="16.5703125" style="259" bestFit="1" customWidth="1"/>
    <col min="15626" max="15873" width="9.140625" style="259"/>
    <col min="15874" max="15874" width="24.5703125" style="259" customWidth="1"/>
    <col min="15875" max="15875" width="71.7109375" style="259" customWidth="1"/>
    <col min="15876" max="15876" width="17.140625" style="259" bestFit="1" customWidth="1"/>
    <col min="15877" max="15877" width="16.7109375" style="259" bestFit="1" customWidth="1"/>
    <col min="15878" max="15878" width="16.85546875" style="259" bestFit="1" customWidth="1"/>
    <col min="15879" max="15879" width="21.42578125" style="259" customWidth="1"/>
    <col min="15880" max="15880" width="9.140625" style="259"/>
    <col min="15881" max="15881" width="16.5703125" style="259" bestFit="1" customWidth="1"/>
    <col min="15882" max="16129" width="9.140625" style="259"/>
    <col min="16130" max="16130" width="24.5703125" style="259" customWidth="1"/>
    <col min="16131" max="16131" width="71.7109375" style="259" customWidth="1"/>
    <col min="16132" max="16132" width="17.140625" style="259" bestFit="1" customWidth="1"/>
    <col min="16133" max="16133" width="16.7109375" style="259" bestFit="1" customWidth="1"/>
    <col min="16134" max="16134" width="16.85546875" style="259" bestFit="1" customWidth="1"/>
    <col min="16135" max="16135" width="21.42578125" style="259" customWidth="1"/>
    <col min="16136" max="16136" width="9.140625" style="259"/>
    <col min="16137" max="16137" width="16.5703125" style="259" bestFit="1" customWidth="1"/>
    <col min="16138" max="16384" width="9.140625" style="259"/>
  </cols>
  <sheetData>
    <row r="3" spans="1:7" ht="15">
      <c r="A3" s="271" t="s">
        <v>390</v>
      </c>
    </row>
    <row r="4" spans="1:7" ht="15.75" thickBot="1">
      <c r="A4" s="271" t="s">
        <v>391</v>
      </c>
    </row>
    <row r="5" spans="1:7" s="277" customFormat="1" ht="7.5" customHeight="1" thickBot="1">
      <c r="B5" s="272"/>
      <c r="C5" s="1388"/>
      <c r="D5" s="274"/>
      <c r="E5" s="275"/>
      <c r="F5" s="275"/>
      <c r="G5" s="276"/>
    </row>
    <row r="6" spans="1:7" s="265" customFormat="1" ht="60" customHeight="1" thickBot="1">
      <c r="A6" s="278"/>
      <c r="B6" s="2285"/>
      <c r="C6" s="2250" t="s">
        <v>13361</v>
      </c>
      <c r="D6" s="2251"/>
      <c r="E6" s="1612"/>
      <c r="F6" s="2118" t="str">
        <f>'ORÇAMENTO '!M5</f>
        <v>Ref.: Tabela de Serviços
SINAPI (JANEIRO/2024)</v>
      </c>
      <c r="G6" s="2119"/>
    </row>
    <row r="7" spans="1:7" s="265" customFormat="1" ht="60" customHeight="1" thickBot="1">
      <c r="A7" s="278"/>
      <c r="B7" s="2286"/>
      <c r="C7" s="2191" t="s">
        <v>13363</v>
      </c>
      <c r="D7" s="2192"/>
      <c r="E7" s="1613"/>
      <c r="F7" s="1324" t="s">
        <v>4</v>
      </c>
      <c r="G7" s="1325">
        <f>'BDI '!G32</f>
        <v>0.24199999999999999</v>
      </c>
    </row>
    <row r="8" spans="1:7" s="280" customFormat="1" ht="15" customHeight="1" thickBot="1">
      <c r="B8" s="2395" t="str">
        <f>RESUMO!B7</f>
        <v>C E N T R A L   D E   P R O J E T O S</v>
      </c>
      <c r="C8" s="2396"/>
      <c r="D8" s="2397"/>
      <c r="E8" s="2397"/>
      <c r="F8" s="2396"/>
      <c r="G8" s="2398"/>
    </row>
    <row r="9" spans="1:7" s="277" customFormat="1" ht="6" thickBot="1">
      <c r="B9" s="272"/>
      <c r="C9" s="273"/>
      <c r="D9" s="274"/>
      <c r="E9" s="275"/>
      <c r="F9" s="275"/>
      <c r="G9" s="276"/>
    </row>
    <row r="10" spans="1:7" s="265" customFormat="1" ht="15" customHeight="1">
      <c r="B10" s="207" t="s">
        <v>5</v>
      </c>
      <c r="C10" s="2215" t="str">
        <f>'ORÇAMENTO '!G11</f>
        <v xml:space="preserve">ESCOLA MUNICIPAL DOMINGOS AZZOLINI </v>
      </c>
      <c r="D10" s="2215"/>
      <c r="E10" s="2215"/>
      <c r="F10" s="208" t="s">
        <v>6</v>
      </c>
      <c r="G10" s="209">
        <f>'ORÇAMENTO '!N11</f>
        <v>45366</v>
      </c>
    </row>
    <row r="11" spans="1:7" s="265" customFormat="1" ht="15.75">
      <c r="B11" s="210" t="s">
        <v>7</v>
      </c>
      <c r="C11" s="2213" t="str">
        <f>'ORÇAMENTO '!G12</f>
        <v>SANTO ANTONIO DO LESTE</v>
      </c>
      <c r="D11" s="2213"/>
      <c r="E11" s="2214" t="str">
        <f>'ORÇAMENTO '!K12</f>
        <v>LEIS SOCIAIS: HORISTA</v>
      </c>
      <c r="F11" s="2214" t="str">
        <f>'ORÇAMENTO '!K12</f>
        <v>LEIS SOCIAIS: HORISTA</v>
      </c>
      <c r="G11" s="211">
        <f>'ORÇAMENTO '!N12</f>
        <v>1.0684</v>
      </c>
    </row>
    <row r="12" spans="1:7" s="46" customFormat="1" ht="18" customHeight="1" thickBot="1">
      <c r="B12" s="2187"/>
      <c r="C12" s="2188"/>
      <c r="D12" s="2188"/>
      <c r="E12" s="2186" t="str">
        <f>'ORÇAMENTO '!K13</f>
        <v>LEIS SOCIAIS: MENSALISTA</v>
      </c>
      <c r="F12" s="2186"/>
      <c r="G12" s="193">
        <f>'ORÇAMENTO '!N13</f>
        <v>0.65400000000000003</v>
      </c>
    </row>
    <row r="13" spans="1:7" s="277" customFormat="1" ht="6" thickBot="1">
      <c r="B13" s="1712"/>
      <c r="C13" s="1664"/>
      <c r="D13" s="1665"/>
      <c r="E13" s="1666"/>
      <c r="F13" s="1666"/>
      <c r="G13" s="1713"/>
    </row>
    <row r="14" spans="1:7" s="265" customFormat="1" ht="18.75" thickBot="1">
      <c r="B14" s="2402" t="s">
        <v>372</v>
      </c>
      <c r="C14" s="2246"/>
      <c r="D14" s="2246"/>
      <c r="E14" s="2246"/>
      <c r="F14" s="2246"/>
      <c r="G14" s="2403"/>
    </row>
    <row r="15" spans="1:7" s="277" customFormat="1" ht="6" thickBot="1">
      <c r="B15" s="1712"/>
      <c r="C15" s="1664"/>
      <c r="D15" s="1665"/>
      <c r="E15" s="1666"/>
      <c r="F15" s="1666"/>
      <c r="G15" s="1713"/>
    </row>
    <row r="16" spans="1:7" s="260" customFormat="1" ht="9.9499999999999993" customHeight="1" thickBot="1">
      <c r="B16" s="305"/>
      <c r="C16" s="281"/>
      <c r="D16" s="281"/>
      <c r="E16" s="281"/>
      <c r="F16" s="281"/>
      <c r="G16" s="306"/>
    </row>
    <row r="17" spans="1:8" ht="15.75">
      <c r="A17" s="308"/>
      <c r="B17" s="623" t="str">
        <f>IF(COUNT($H$17:H17)&lt;10,CONCATENATE("CPU SPDA 00",COUNT($H$17:H17)),CONCATENATE("CPU SPDA 0",COUNT($H$17:H17)))</f>
        <v>CPU SPDA 001</v>
      </c>
      <c r="C17" s="2180" t="s">
        <v>14034</v>
      </c>
      <c r="D17" s="2180"/>
      <c r="E17" s="2180"/>
      <c r="F17" s="2180"/>
      <c r="G17" s="624" t="s">
        <v>22</v>
      </c>
      <c r="H17" s="619">
        <f>G24</f>
        <v>44.05</v>
      </c>
    </row>
    <row r="18" spans="1:8" ht="31.5">
      <c r="A18" s="308"/>
      <c r="B18" s="1093" t="s">
        <v>197</v>
      </c>
      <c r="C18" s="1194" t="s">
        <v>161</v>
      </c>
      <c r="D18" s="1194" t="s">
        <v>22</v>
      </c>
      <c r="E18" s="1194" t="s">
        <v>162</v>
      </c>
      <c r="F18" s="1195" t="s">
        <v>163</v>
      </c>
      <c r="G18" s="1196" t="s">
        <v>164</v>
      </c>
    </row>
    <row r="19" spans="1:8" ht="15.75">
      <c r="A19" s="308"/>
      <c r="B19" s="2300" t="s">
        <v>165</v>
      </c>
      <c r="C19" s="2301"/>
      <c r="D19" s="2301"/>
      <c r="E19" s="2301"/>
      <c r="F19" s="2301"/>
      <c r="G19" s="2302"/>
    </row>
    <row r="20" spans="1:8" ht="30">
      <c r="A20" s="333" t="s">
        <v>390</v>
      </c>
      <c r="B20" s="1200" t="s">
        <v>181</v>
      </c>
      <c r="C20" s="1229" t="str">
        <f>C26</f>
        <v>TERMINAL AÉREO EM AÇO GALVANIZADO COM BASE DE FIXAÇÃO H=30CM</v>
      </c>
      <c r="D20" s="1178" t="str">
        <f>G26</f>
        <v>UN</v>
      </c>
      <c r="E20" s="1102">
        <v>1</v>
      </c>
      <c r="F20" s="1146">
        <f>D31</f>
        <v>14.39</v>
      </c>
      <c r="G20" s="1199">
        <f>TRUNC(F20*E20,2)</f>
        <v>14.39</v>
      </c>
    </row>
    <row r="21" spans="1:8" ht="15.75">
      <c r="A21" s="308"/>
      <c r="B21" s="2300" t="s">
        <v>166</v>
      </c>
      <c r="C21" s="2301"/>
      <c r="D21" s="2301"/>
      <c r="E21" s="2301"/>
      <c r="F21" s="2301"/>
      <c r="G21" s="2302"/>
    </row>
    <row r="22" spans="1:8" ht="15.75">
      <c r="A22" s="333" t="s">
        <v>391</v>
      </c>
      <c r="B22" s="1200">
        <v>88247</v>
      </c>
      <c r="C22" s="1098" t="str">
        <f>IF($A22="INSUMO",VLOOKUP($B22,'BANCO DE DADOS JANEIRO-24 INS'!$A:$D,2,FALSE),VLOOKUP($B22,'BANCO DE DADOS JANEIRO-24 SERV'!$B:$E,2,FALSE))</f>
        <v>AUXILIAR DE ELETRICISTA COM ENCARGOS COMPLEMENTARES</v>
      </c>
      <c r="D22" s="1099" t="str">
        <f>IF($A22="INSUMO",VLOOKUP($B22,'BANCO DE DADOS JANEIRO-24 INS'!$A:$D,3,FALSE),VLOOKUP($B22,'BANCO DE DADOS JANEIRO-24 SERV'!$B:$E,3,FALSE))</f>
        <v>H</v>
      </c>
      <c r="E22" s="1102">
        <v>0.61</v>
      </c>
      <c r="F22" s="1146">
        <f>IF($A22="INSUMO",VLOOKUP($B22,'BANCO DE DADOS JANEIRO-24 INS'!$A:$D,4,FALSE),VLOOKUP($B22,'BANCO DE DADOS JANEIRO-24 SERV'!$B:$E,4,FALSE))</f>
        <v>21.96</v>
      </c>
      <c r="G22" s="1199">
        <f>TRUNC(F22*E22,2)</f>
        <v>13.39</v>
      </c>
    </row>
    <row r="23" spans="1:8" ht="16.5" thickBot="1">
      <c r="A23" s="333" t="s">
        <v>391</v>
      </c>
      <c r="B23" s="895">
        <v>88264</v>
      </c>
      <c r="C23" s="1103" t="str">
        <f>IF($A23="INSUMO",VLOOKUP($B23,'BANCO DE DADOS JANEIRO-24 INS'!$A:$D,2,FALSE),VLOOKUP($B23,'BANCO DE DADOS JANEIRO-24 SERV'!$B:$E,2,FALSE))</f>
        <v>ELETRICISTA COM ENCARGOS COMPLEMENTARES</v>
      </c>
      <c r="D23" s="1104" t="str">
        <f>IF($A23="INSUMO",VLOOKUP($B23,'BANCO DE DADOS JANEIRO-24 INS'!$A:$D,3,FALSE),VLOOKUP($B23,'BANCO DE DADOS JANEIRO-24 SERV'!$B:$E,3,FALSE))</f>
        <v>H</v>
      </c>
      <c r="E23" s="1184">
        <v>0.61</v>
      </c>
      <c r="F23" s="1105">
        <f>IF($A23="INSUMO",VLOOKUP($B23,'BANCO DE DADOS JANEIRO-24 INS'!$A:$D,4,FALSE),VLOOKUP($B23,'BANCO DE DADOS JANEIRO-24 SERV'!$B:$E,4,FALSE))</f>
        <v>26.68</v>
      </c>
      <c r="G23" s="1202">
        <f>TRUNC(F23*E23,2)</f>
        <v>16.27</v>
      </c>
    </row>
    <row r="24" spans="1:8" ht="16.5" customHeight="1" thickBot="1">
      <c r="A24" s="308"/>
      <c r="B24" s="2404" t="s">
        <v>14037</v>
      </c>
      <c r="C24" s="2404"/>
      <c r="D24" s="2404"/>
      <c r="E24" s="2404"/>
      <c r="F24" s="325" t="s">
        <v>167</v>
      </c>
      <c r="G24" s="326">
        <f>SUM(G20:G23)</f>
        <v>44.05</v>
      </c>
    </row>
    <row r="25" spans="1:8" ht="13.5" thickBot="1"/>
    <row r="26" spans="1:8" ht="15.75">
      <c r="B26" s="1714" t="s">
        <v>181</v>
      </c>
      <c r="C26" s="2164" t="s">
        <v>4737</v>
      </c>
      <c r="D26" s="2165"/>
      <c r="E26" s="2165"/>
      <c r="F26" s="2166"/>
      <c r="G26" s="1715" t="s">
        <v>22</v>
      </c>
    </row>
    <row r="27" spans="1:8" ht="31.5">
      <c r="B27" s="1107" t="s">
        <v>174</v>
      </c>
      <c r="C27" s="1108" t="s">
        <v>175</v>
      </c>
      <c r="D27" s="1109" t="s">
        <v>176</v>
      </c>
      <c r="E27" s="1110" t="s">
        <v>177</v>
      </c>
      <c r="F27" s="1111" t="s">
        <v>178</v>
      </c>
      <c r="G27" s="1112" t="s">
        <v>179</v>
      </c>
    </row>
    <row r="28" spans="1:8" ht="15">
      <c r="B28" s="1882">
        <v>45264</v>
      </c>
      <c r="C28" s="1877" t="s">
        <v>2708</v>
      </c>
      <c r="D28" s="1883">
        <v>14.39</v>
      </c>
      <c r="E28" s="1884" t="s">
        <v>545</v>
      </c>
      <c r="F28" s="1885" t="s">
        <v>1808</v>
      </c>
      <c r="G28" s="1881" t="s">
        <v>555</v>
      </c>
    </row>
    <row r="29" spans="1:8" ht="15">
      <c r="B29" s="1886">
        <v>45253</v>
      </c>
      <c r="C29" s="1887" t="s">
        <v>2061</v>
      </c>
      <c r="D29" s="1888">
        <v>8.41</v>
      </c>
      <c r="E29" s="1889" t="s">
        <v>2062</v>
      </c>
      <c r="F29" s="1880" t="s">
        <v>2063</v>
      </c>
      <c r="G29" s="1881" t="s">
        <v>5870</v>
      </c>
    </row>
    <row r="30" spans="1:8" ht="15">
      <c r="B30" s="1890">
        <v>45254</v>
      </c>
      <c r="C30" s="1891" t="s">
        <v>4588</v>
      </c>
      <c r="D30" s="1892">
        <v>17.93</v>
      </c>
      <c r="E30" s="1893" t="s">
        <v>5057</v>
      </c>
      <c r="F30" s="1893" t="s">
        <v>1979</v>
      </c>
      <c r="G30" s="1894" t="s">
        <v>5871</v>
      </c>
    </row>
    <row r="31" spans="1:8" ht="16.5" thickBot="1">
      <c r="B31" s="1672"/>
      <c r="C31" s="1668" t="s">
        <v>180</v>
      </c>
      <c r="D31" s="1673">
        <f>IF(COUNT(D27:D30)=3,MEDIAN(D27:D30),SMALL(D28:D30,1))</f>
        <v>14.39</v>
      </c>
      <c r="E31" s="1674"/>
      <c r="F31" s="1675"/>
      <c r="G31" s="1671"/>
    </row>
    <row r="32" spans="1:8" ht="13.5" thickBot="1"/>
    <row r="33" spans="1:8" ht="15.75">
      <c r="A33" s="308"/>
      <c r="B33" s="623" t="str">
        <f>IF(COUNT($H$17:H33)&lt;10,CONCATENATE("CPU SPDA 00",COUNT($H$17:H33)),CONCATENATE("CPU SPDA 0",COUNT($H$17:H33)))</f>
        <v>CPU SPDA 002</v>
      </c>
      <c r="C33" s="2180" t="s">
        <v>14489</v>
      </c>
      <c r="D33" s="2180"/>
      <c r="E33" s="2180"/>
      <c r="F33" s="2180"/>
      <c r="G33" s="624" t="s">
        <v>22</v>
      </c>
      <c r="H33" s="619">
        <f>G40</f>
        <v>77.17</v>
      </c>
    </row>
    <row r="34" spans="1:8" ht="31.5">
      <c r="A34" s="308"/>
      <c r="B34" s="1093" t="s">
        <v>197</v>
      </c>
      <c r="C34" s="1194" t="s">
        <v>161</v>
      </c>
      <c r="D34" s="1194" t="s">
        <v>22</v>
      </c>
      <c r="E34" s="1194" t="s">
        <v>162</v>
      </c>
      <c r="F34" s="1195" t="s">
        <v>163</v>
      </c>
      <c r="G34" s="1196" t="s">
        <v>164</v>
      </c>
    </row>
    <row r="35" spans="1:8" ht="15.75">
      <c r="A35" s="308"/>
      <c r="B35" s="2300" t="s">
        <v>165</v>
      </c>
      <c r="C35" s="2301"/>
      <c r="D35" s="2301"/>
      <c r="E35" s="2301"/>
      <c r="F35" s="2301"/>
      <c r="G35" s="2302"/>
    </row>
    <row r="36" spans="1:8" ht="30">
      <c r="A36" s="333" t="s">
        <v>390</v>
      </c>
      <c r="B36" s="1200" t="s">
        <v>181</v>
      </c>
      <c r="C36" s="1229" t="str">
        <f>C42</f>
        <v>TERMINAL AÉREO EM AÇO GALVANIZADO COM BASE DE FIXAÇÃO H=60CM</v>
      </c>
      <c r="D36" s="1178" t="str">
        <f>G42</f>
        <v>UN</v>
      </c>
      <c r="E36" s="1102">
        <v>1</v>
      </c>
      <c r="F36" s="1146">
        <f>D47</f>
        <v>65.010000000000005</v>
      </c>
      <c r="G36" s="1199">
        <f>TRUNC(F36*E36,2)</f>
        <v>65.010000000000005</v>
      </c>
    </row>
    <row r="37" spans="1:8" ht="15.75">
      <c r="A37" s="308"/>
      <c r="B37" s="2300" t="s">
        <v>166</v>
      </c>
      <c r="C37" s="2301"/>
      <c r="D37" s="2301"/>
      <c r="E37" s="2301"/>
      <c r="F37" s="2301"/>
      <c r="G37" s="2302"/>
    </row>
    <row r="38" spans="1:8" ht="15.75">
      <c r="A38" s="333" t="s">
        <v>391</v>
      </c>
      <c r="B38" s="1200">
        <v>88247</v>
      </c>
      <c r="C38" s="1098" t="str">
        <f>IF($A38="INSUMO",VLOOKUP($B38,'BANCO DE DADOS JANEIRO-24 INS'!$A:$D,2,FALSE),VLOOKUP($B38,'BANCO DE DADOS JANEIRO-24 SERV'!$B:$E,2,FALSE))</f>
        <v>AUXILIAR DE ELETRICISTA COM ENCARGOS COMPLEMENTARES</v>
      </c>
      <c r="D38" s="1099" t="str">
        <f>IF($A38="INSUMO",VLOOKUP($B38,'BANCO DE DADOS JANEIRO-24 INS'!$A:$D,3,FALSE),VLOOKUP($B38,'BANCO DE DADOS JANEIRO-24 SERV'!$B:$E,3,FALSE))</f>
        <v>H</v>
      </c>
      <c r="E38" s="1102">
        <v>0.25</v>
      </c>
      <c r="F38" s="1146">
        <f>IF($A38="INSUMO",VLOOKUP($B38,'BANCO DE DADOS JANEIRO-24 INS'!$A:$D,4,FALSE),VLOOKUP($B38,'BANCO DE DADOS JANEIRO-24 SERV'!$B:$E,4,FALSE))</f>
        <v>21.96</v>
      </c>
      <c r="G38" s="1199">
        <f>TRUNC(F38*E38,2)</f>
        <v>5.49</v>
      </c>
    </row>
    <row r="39" spans="1:8" ht="16.5" thickBot="1">
      <c r="A39" s="333" t="s">
        <v>391</v>
      </c>
      <c r="B39" s="895">
        <v>88264</v>
      </c>
      <c r="C39" s="1103" t="str">
        <f>IF($A39="INSUMO",VLOOKUP($B39,'BANCO DE DADOS JANEIRO-24 INS'!$A:$D,2,FALSE),VLOOKUP($B39,'BANCO DE DADOS JANEIRO-24 SERV'!$B:$E,2,FALSE))</f>
        <v>ELETRICISTA COM ENCARGOS COMPLEMENTARES</v>
      </c>
      <c r="D39" s="1104" t="str">
        <f>IF($A39="INSUMO",VLOOKUP($B39,'BANCO DE DADOS JANEIRO-24 INS'!$A:$D,3,FALSE),VLOOKUP($B39,'BANCO DE DADOS JANEIRO-24 SERV'!$B:$E,3,FALSE))</f>
        <v>H</v>
      </c>
      <c r="E39" s="1184">
        <v>0.25</v>
      </c>
      <c r="F39" s="1105">
        <f>IF($A39="INSUMO",VLOOKUP($B39,'BANCO DE DADOS JANEIRO-24 INS'!$A:$D,4,FALSE),VLOOKUP($B39,'BANCO DE DADOS JANEIRO-24 SERV'!$B:$E,4,FALSE))</f>
        <v>26.68</v>
      </c>
      <c r="G39" s="1202">
        <f>TRUNC(F39*E39,2)</f>
        <v>6.67</v>
      </c>
    </row>
    <row r="40" spans="1:8" ht="16.5" customHeight="1" thickBot="1">
      <c r="A40" s="308"/>
      <c r="B40" s="2404" t="s">
        <v>14039</v>
      </c>
      <c r="C40" s="2404"/>
      <c r="D40" s="2404"/>
      <c r="E40" s="2404"/>
      <c r="F40" s="325" t="s">
        <v>167</v>
      </c>
      <c r="G40" s="326">
        <f>SUM(G36:G39)</f>
        <v>77.17</v>
      </c>
    </row>
    <row r="41" spans="1:8" ht="13.5" thickBot="1"/>
    <row r="42" spans="1:8" ht="15.75">
      <c r="B42" s="1714" t="s">
        <v>181</v>
      </c>
      <c r="C42" s="2164" t="s">
        <v>14038</v>
      </c>
      <c r="D42" s="2165"/>
      <c r="E42" s="2165"/>
      <c r="F42" s="2166"/>
      <c r="G42" s="1715" t="s">
        <v>22</v>
      </c>
    </row>
    <row r="43" spans="1:8" ht="31.5">
      <c r="B43" s="1107" t="s">
        <v>174</v>
      </c>
      <c r="C43" s="1108" t="s">
        <v>175</v>
      </c>
      <c r="D43" s="1109" t="s">
        <v>176</v>
      </c>
      <c r="E43" s="1110" t="s">
        <v>177</v>
      </c>
      <c r="F43" s="1111" t="s">
        <v>178</v>
      </c>
      <c r="G43" s="1112" t="s">
        <v>179</v>
      </c>
    </row>
    <row r="44" spans="1:8" ht="15">
      <c r="B44" s="1113">
        <v>45239</v>
      </c>
      <c r="C44" s="1366" t="s">
        <v>5209</v>
      </c>
      <c r="D44" s="1366">
        <v>65.010000000000005</v>
      </c>
      <c r="E44" s="1366" t="s">
        <v>14035</v>
      </c>
      <c r="F44" s="1367" t="s">
        <v>14040</v>
      </c>
      <c r="G44" s="1298" t="s">
        <v>555</v>
      </c>
    </row>
    <row r="45" spans="1:8" ht="15">
      <c r="B45" s="1113">
        <v>45239</v>
      </c>
      <c r="C45" s="1366" t="s">
        <v>14041</v>
      </c>
      <c r="D45" s="1366">
        <v>51.25</v>
      </c>
      <c r="E45" s="1366" t="s">
        <v>14042</v>
      </c>
      <c r="F45" s="1367" t="s">
        <v>14043</v>
      </c>
      <c r="G45" s="1298" t="s">
        <v>5870</v>
      </c>
    </row>
    <row r="46" spans="1:8" ht="15">
      <c r="B46" s="1113">
        <v>45239</v>
      </c>
      <c r="C46" s="1366" t="s">
        <v>14044</v>
      </c>
      <c r="D46" s="1366">
        <v>92.25</v>
      </c>
      <c r="E46" s="1366" t="s">
        <v>14045</v>
      </c>
      <c r="F46" s="1367" t="s">
        <v>14046</v>
      </c>
      <c r="G46" s="1298" t="s">
        <v>5871</v>
      </c>
    </row>
    <row r="47" spans="1:8" ht="16.5" thickBot="1">
      <c r="B47" s="1672"/>
      <c r="C47" s="1668" t="s">
        <v>180</v>
      </c>
      <c r="D47" s="1673">
        <f>IF(COUNT(D43:D46)=3,MEDIAN(D43:D46),SMALL(D44:D46,1))</f>
        <v>65.010000000000005</v>
      </c>
      <c r="E47" s="1674"/>
      <c r="F47" s="1675"/>
      <c r="G47" s="1671"/>
    </row>
    <row r="48" spans="1:8" ht="13.5" thickBot="1"/>
    <row r="49" spans="1:8" s="308" customFormat="1" ht="36.75" customHeight="1">
      <c r="B49" s="623" t="str">
        <f>IF(COUNT($H$17:H49)&lt;10,CONCATENATE("CPU SPDA 00",COUNT($H$17:H49)),CONCATENATE("CPU SPDA 0",COUNT($H$17:H49)))</f>
        <v>CPU SPDA 003</v>
      </c>
      <c r="C49" s="2180" t="s">
        <v>14084</v>
      </c>
      <c r="D49" s="2181"/>
      <c r="E49" s="2181"/>
      <c r="F49" s="2181"/>
      <c r="G49" s="624" t="s">
        <v>22</v>
      </c>
      <c r="H49" s="615">
        <f>G56</f>
        <v>28.66</v>
      </c>
    </row>
    <row r="50" spans="1:8" s="308" customFormat="1" ht="31.5">
      <c r="B50" s="1093" t="s">
        <v>197</v>
      </c>
      <c r="C50" s="1094" t="s">
        <v>161</v>
      </c>
      <c r="D50" s="1194" t="s">
        <v>22</v>
      </c>
      <c r="E50" s="1094" t="s">
        <v>162</v>
      </c>
      <c r="F50" s="1095" t="s">
        <v>163</v>
      </c>
      <c r="G50" s="1096" t="s">
        <v>164</v>
      </c>
    </row>
    <row r="51" spans="1:8" s="308" customFormat="1" ht="15.75">
      <c r="B51" s="2389" t="s">
        <v>165</v>
      </c>
      <c r="C51" s="2390"/>
      <c r="D51" s="2390"/>
      <c r="E51" s="2390"/>
      <c r="F51" s="2390"/>
      <c r="G51" s="2391"/>
    </row>
    <row r="52" spans="1:8" s="308" customFormat="1" ht="15.75">
      <c r="A52" s="333" t="s">
        <v>390</v>
      </c>
      <c r="B52" s="1212">
        <v>546</v>
      </c>
      <c r="C52" s="1098" t="str">
        <f>IF($A52="INSUMO",VLOOKUP($B52,'BANCO DE DADOS JANEIRO-24 INS'!$A:$D,2,FALSE),VLOOKUP($B52,'BANCO DE DADOS JANEIRO-24 SERV'!$B:$E,2,FALSE))</f>
        <v xml:space="preserve">BARRA DE ACO CHATA, RETANGULAR (QUALQUER BITOLA)                                                                                                                                                                                                                                                                                                                                                                                                                                                          </v>
      </c>
      <c r="D52" s="1099" t="str">
        <f>IF($A52="INSUMO",VLOOKUP($B52,'BANCO DE DADOS JANEIRO-24 INS'!$A:$D,3,FALSE),VLOOKUP($B52,'BANCO DE DADOS JANEIRO-24 SERV'!$B:$E,3,FALSE))</f>
        <v xml:space="preserve">KG    </v>
      </c>
      <c r="E52" s="1468">
        <v>0.53010000000000002</v>
      </c>
      <c r="F52" s="1146">
        <f>IF($A52="INSUMO",VLOOKUP($B52,'BANCO DE DADOS JANEIRO-24 INS'!$A:$D,4,FALSE),VLOOKUP($B52,'BANCO DE DADOS JANEIRO-24 SERV'!$B:$E,4,FALSE))</f>
        <v>8.1999999999999993</v>
      </c>
      <c r="G52" s="1164">
        <f>TRUNC(F52*E52,2)</f>
        <v>4.34</v>
      </c>
    </row>
    <row r="53" spans="1:8" s="308" customFormat="1" ht="15.75">
      <c r="B53" s="2389" t="s">
        <v>166</v>
      </c>
      <c r="C53" s="2390"/>
      <c r="D53" s="2390"/>
      <c r="E53" s="2390"/>
      <c r="F53" s="2390"/>
      <c r="G53" s="2391"/>
    </row>
    <row r="54" spans="1:8" ht="15.75">
      <c r="A54" s="333" t="s">
        <v>391</v>
      </c>
      <c r="B54" s="1200">
        <v>88247</v>
      </c>
      <c r="C54" s="1098" t="str">
        <f>IF($A54="INSUMO",VLOOKUP($B54,'BANCO DE DADOS JANEIRO-24 INS'!$A:$D,2,FALSE),VLOOKUP($B54,'BANCO DE DADOS JANEIRO-24 SERV'!$B:$E,2,FALSE))</f>
        <v>AUXILIAR DE ELETRICISTA COM ENCARGOS COMPLEMENTARES</v>
      </c>
      <c r="D54" s="1099" t="str">
        <f>IF($A54="INSUMO",VLOOKUP($B54,'BANCO DE DADOS JANEIRO-24 INS'!$A:$D,3,FALSE),VLOOKUP($B54,'BANCO DE DADOS JANEIRO-24 SERV'!$B:$E,3,FALSE))</f>
        <v>H</v>
      </c>
      <c r="E54" s="1102">
        <v>0.5</v>
      </c>
      <c r="F54" s="1146">
        <f>IF($A54="INSUMO",VLOOKUP($B54,'BANCO DE DADOS JANEIRO-24 INS'!$A:$D,4,FALSE),VLOOKUP($B54,'BANCO DE DADOS JANEIRO-24 SERV'!$B:$E,4,FALSE))</f>
        <v>21.96</v>
      </c>
      <c r="G54" s="1199">
        <f>TRUNC(F54*E54,2)</f>
        <v>10.98</v>
      </c>
    </row>
    <row r="55" spans="1:8" s="308" customFormat="1" ht="16.5" thickBot="1">
      <c r="A55" s="333" t="s">
        <v>391</v>
      </c>
      <c r="B55" s="1201">
        <v>88264</v>
      </c>
      <c r="C55" s="1103" t="str">
        <f>IF($A55="INSUMO",VLOOKUP($B55,'BANCO DE DADOS JANEIRO-24 INS'!$A:$D,2,FALSE),VLOOKUP($B55,'BANCO DE DADOS JANEIRO-24 SERV'!$B:$E,2,FALSE))</f>
        <v>ELETRICISTA COM ENCARGOS COMPLEMENTARES</v>
      </c>
      <c r="D55" s="1104" t="str">
        <f>IF($A55="INSUMO",VLOOKUP($B55,'BANCO DE DADOS JANEIRO-24 INS'!$A:$D,3,FALSE),VLOOKUP($B55,'BANCO DE DADOS JANEIRO-24 SERV'!$B:$E,3,FALSE))</f>
        <v>H</v>
      </c>
      <c r="E55" s="1184">
        <v>0.5</v>
      </c>
      <c r="F55" s="1105">
        <f>IF($A55="INSUMO",VLOOKUP($B55,'BANCO DE DADOS JANEIRO-24 INS'!$A:$D,4,FALSE),VLOOKUP($B55,'BANCO DE DADOS JANEIRO-24 SERV'!$B:$E,4,FALSE))</f>
        <v>26.68</v>
      </c>
      <c r="G55" s="1202">
        <f>TRUNC(F55*E55,2)</f>
        <v>13.34</v>
      </c>
    </row>
    <row r="56" spans="1:8" s="308" customFormat="1" ht="27.75" customHeight="1" thickBot="1">
      <c r="B56" s="2405" t="s">
        <v>14086</v>
      </c>
      <c r="C56" s="2405"/>
      <c r="D56" s="2405"/>
      <c r="E56" s="2405"/>
      <c r="F56" s="325" t="s">
        <v>167</v>
      </c>
      <c r="G56" s="326">
        <f>SUM(G51:G55)</f>
        <v>28.66</v>
      </c>
    </row>
    <row r="57" spans="1:8" ht="46.5" customHeight="1">
      <c r="B57" s="2406" t="s">
        <v>14085</v>
      </c>
      <c r="C57" s="2406"/>
      <c r="D57" s="2406"/>
      <c r="E57" s="2406"/>
      <c r="F57" s="2406"/>
      <c r="G57" s="2406"/>
    </row>
    <row r="58" spans="1:8" s="271" customFormat="1" ht="15.75">
      <c r="B58" s="329"/>
      <c r="C58" s="300"/>
      <c r="D58" s="300"/>
      <c r="E58" s="300"/>
      <c r="F58" s="300"/>
      <c r="G58" s="300"/>
    </row>
  </sheetData>
  <autoFilter ref="G3:G16" xr:uid="{00000000-0009-0000-0000-000011000000}"/>
  <mergeCells count="26">
    <mergeCell ref="C49:F49"/>
    <mergeCell ref="B51:G51"/>
    <mergeCell ref="B53:G53"/>
    <mergeCell ref="B56:E56"/>
    <mergeCell ref="B57:G57"/>
    <mergeCell ref="B37:G37"/>
    <mergeCell ref="B40:E40"/>
    <mergeCell ref="C42:F42"/>
    <mergeCell ref="C17:F17"/>
    <mergeCell ref="B19:G19"/>
    <mergeCell ref="B21:G21"/>
    <mergeCell ref="B24:E24"/>
    <mergeCell ref="C26:F26"/>
    <mergeCell ref="C33:F33"/>
    <mergeCell ref="B35:G35"/>
    <mergeCell ref="F6:G6"/>
    <mergeCell ref="B8:G8"/>
    <mergeCell ref="B14:G14"/>
    <mergeCell ref="B6:B7"/>
    <mergeCell ref="C10:E10"/>
    <mergeCell ref="E11:F11"/>
    <mergeCell ref="C6:D6"/>
    <mergeCell ref="C7:D7"/>
    <mergeCell ref="B12:D12"/>
    <mergeCell ref="E12:F12"/>
    <mergeCell ref="C11:D11"/>
  </mergeCells>
  <dataValidations disablePrompts="1" count="1">
    <dataValidation type="list" allowBlank="1" showInputMessage="1" showErrorMessage="1" sqref="A22:A23 A20 A38:A39 A36 A54:A55 A52" xr:uid="{00000000-0002-0000-1100-000000000000}">
      <formula1>$A$3:$A$4</formula1>
    </dataValidation>
  </dataValidations>
  <pageMargins left="0.511811024" right="0.511811024" top="0.78740157499999996" bottom="0.78740157499999996" header="0.31496062000000002" footer="0.31496062000000002"/>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theme="5" tint="0.39997558519241921"/>
    <pageSetUpPr fitToPage="1"/>
  </sheetPr>
  <dimension ref="B1:I69"/>
  <sheetViews>
    <sheetView view="pageBreakPreview" zoomScaleNormal="100" zoomScaleSheetLayoutView="100" workbookViewId="0">
      <selection activeCell="D10" sqref="D10"/>
    </sheetView>
  </sheetViews>
  <sheetFormatPr defaultRowHeight="12.75"/>
  <cols>
    <col min="1" max="1" width="9.140625" style="85"/>
    <col min="2" max="2" width="10.140625" style="81" customWidth="1"/>
    <col min="3" max="3" width="14.42578125" style="81" bestFit="1" customWidth="1"/>
    <col min="4" max="4" width="81.42578125" style="81" customWidth="1"/>
    <col min="5" max="5" width="9.7109375" style="82" customWidth="1"/>
    <col min="6" max="6" width="10" style="81" customWidth="1"/>
    <col min="7" max="7" width="10.5703125" style="83" bestFit="1" customWidth="1"/>
    <col min="8" max="8" width="14.140625" style="67" bestFit="1" customWidth="1"/>
    <col min="9" max="9" width="15.5703125" style="84" bestFit="1" customWidth="1"/>
    <col min="10" max="10" width="11" style="85" bestFit="1" customWidth="1"/>
    <col min="11" max="13" width="9.140625" style="85"/>
    <col min="14" max="14" width="11.7109375" style="85" bestFit="1" customWidth="1"/>
    <col min="15" max="257" width="9.140625" style="85"/>
    <col min="258" max="258" width="8.5703125" style="85" customWidth="1"/>
    <col min="259" max="259" width="14.42578125" style="85" bestFit="1" customWidth="1"/>
    <col min="260" max="260" width="81.42578125" style="85" customWidth="1"/>
    <col min="261" max="261" width="9.7109375" style="85" customWidth="1"/>
    <col min="262" max="262" width="10" style="85" customWidth="1"/>
    <col min="263" max="263" width="10.5703125" style="85" bestFit="1" customWidth="1"/>
    <col min="264" max="264" width="14.140625" style="85" bestFit="1" customWidth="1"/>
    <col min="265" max="265" width="15.5703125" style="85" bestFit="1" customWidth="1"/>
    <col min="266" max="266" width="11" style="85" bestFit="1" customWidth="1"/>
    <col min="267" max="269" width="9.140625" style="85"/>
    <col min="270" max="270" width="11.7109375" style="85" bestFit="1" customWidth="1"/>
    <col min="271" max="513" width="9.140625" style="85"/>
    <col min="514" max="514" width="8.5703125" style="85" customWidth="1"/>
    <col min="515" max="515" width="14.42578125" style="85" bestFit="1" customWidth="1"/>
    <col min="516" max="516" width="81.42578125" style="85" customWidth="1"/>
    <col min="517" max="517" width="9.7109375" style="85" customWidth="1"/>
    <col min="518" max="518" width="10" style="85" customWidth="1"/>
    <col min="519" max="519" width="10.5703125" style="85" bestFit="1" customWidth="1"/>
    <col min="520" max="520" width="14.140625" style="85" bestFit="1" customWidth="1"/>
    <col min="521" max="521" width="15.5703125" style="85" bestFit="1" customWidth="1"/>
    <col min="522" max="522" width="11" style="85" bestFit="1" customWidth="1"/>
    <col min="523" max="525" width="9.140625" style="85"/>
    <col min="526" max="526" width="11.7109375" style="85" bestFit="1" customWidth="1"/>
    <col min="527" max="769" width="9.140625" style="85"/>
    <col min="770" max="770" width="8.5703125" style="85" customWidth="1"/>
    <col min="771" max="771" width="14.42578125" style="85" bestFit="1" customWidth="1"/>
    <col min="772" max="772" width="81.42578125" style="85" customWidth="1"/>
    <col min="773" max="773" width="9.7109375" style="85" customWidth="1"/>
    <col min="774" max="774" width="10" style="85" customWidth="1"/>
    <col min="775" max="775" width="10.5703125" style="85" bestFit="1" customWidth="1"/>
    <col min="776" max="776" width="14.140625" style="85" bestFit="1" customWidth="1"/>
    <col min="777" max="777" width="15.5703125" style="85" bestFit="1" customWidth="1"/>
    <col min="778" max="778" width="11" style="85" bestFit="1" customWidth="1"/>
    <col min="779" max="781" width="9.140625" style="85"/>
    <col min="782" max="782" width="11.7109375" style="85" bestFit="1" customWidth="1"/>
    <col min="783" max="1025" width="9.140625" style="85"/>
    <col min="1026" max="1026" width="8.5703125" style="85" customWidth="1"/>
    <col min="1027" max="1027" width="14.42578125" style="85" bestFit="1" customWidth="1"/>
    <col min="1028" max="1028" width="81.42578125" style="85" customWidth="1"/>
    <col min="1029" max="1029" width="9.7109375" style="85" customWidth="1"/>
    <col min="1030" max="1030" width="10" style="85" customWidth="1"/>
    <col min="1031" max="1031" width="10.5703125" style="85" bestFit="1" customWidth="1"/>
    <col min="1032" max="1032" width="14.140625" style="85" bestFit="1" customWidth="1"/>
    <col min="1033" max="1033" width="15.5703125" style="85" bestFit="1" customWidth="1"/>
    <col min="1034" max="1034" width="11" style="85" bestFit="1" customWidth="1"/>
    <col min="1035" max="1037" width="9.140625" style="85"/>
    <col min="1038" max="1038" width="11.7109375" style="85" bestFit="1" customWidth="1"/>
    <col min="1039" max="1281" width="9.140625" style="85"/>
    <col min="1282" max="1282" width="8.5703125" style="85" customWidth="1"/>
    <col min="1283" max="1283" width="14.42578125" style="85" bestFit="1" customWidth="1"/>
    <col min="1284" max="1284" width="81.42578125" style="85" customWidth="1"/>
    <col min="1285" max="1285" width="9.7109375" style="85" customWidth="1"/>
    <col min="1286" max="1286" width="10" style="85" customWidth="1"/>
    <col min="1287" max="1287" width="10.5703125" style="85" bestFit="1" customWidth="1"/>
    <col min="1288" max="1288" width="14.140625" style="85" bestFit="1" customWidth="1"/>
    <col min="1289" max="1289" width="15.5703125" style="85" bestFit="1" customWidth="1"/>
    <col min="1290" max="1290" width="11" style="85" bestFit="1" customWidth="1"/>
    <col min="1291" max="1293" width="9.140625" style="85"/>
    <col min="1294" max="1294" width="11.7109375" style="85" bestFit="1" customWidth="1"/>
    <col min="1295" max="1537" width="9.140625" style="85"/>
    <col min="1538" max="1538" width="8.5703125" style="85" customWidth="1"/>
    <col min="1539" max="1539" width="14.42578125" style="85" bestFit="1" customWidth="1"/>
    <col min="1540" max="1540" width="81.42578125" style="85" customWidth="1"/>
    <col min="1541" max="1541" width="9.7109375" style="85" customWidth="1"/>
    <col min="1542" max="1542" width="10" style="85" customWidth="1"/>
    <col min="1543" max="1543" width="10.5703125" style="85" bestFit="1" customWidth="1"/>
    <col min="1544" max="1544" width="14.140625" style="85" bestFit="1" customWidth="1"/>
    <col min="1545" max="1545" width="15.5703125" style="85" bestFit="1" customWidth="1"/>
    <col min="1546" max="1546" width="11" style="85" bestFit="1" customWidth="1"/>
    <col min="1547" max="1549" width="9.140625" style="85"/>
    <col min="1550" max="1550" width="11.7109375" style="85" bestFit="1" customWidth="1"/>
    <col min="1551" max="1793" width="9.140625" style="85"/>
    <col min="1794" max="1794" width="8.5703125" style="85" customWidth="1"/>
    <col min="1795" max="1795" width="14.42578125" style="85" bestFit="1" customWidth="1"/>
    <col min="1796" max="1796" width="81.42578125" style="85" customWidth="1"/>
    <col min="1797" max="1797" width="9.7109375" style="85" customWidth="1"/>
    <col min="1798" max="1798" width="10" style="85" customWidth="1"/>
    <col min="1799" max="1799" width="10.5703125" style="85" bestFit="1" customWidth="1"/>
    <col min="1800" max="1800" width="14.140625" style="85" bestFit="1" customWidth="1"/>
    <col min="1801" max="1801" width="15.5703125" style="85" bestFit="1" customWidth="1"/>
    <col min="1802" max="1802" width="11" style="85" bestFit="1" customWidth="1"/>
    <col min="1803" max="1805" width="9.140625" style="85"/>
    <col min="1806" max="1806" width="11.7109375" style="85" bestFit="1" customWidth="1"/>
    <col min="1807" max="2049" width="9.140625" style="85"/>
    <col min="2050" max="2050" width="8.5703125" style="85" customWidth="1"/>
    <col min="2051" max="2051" width="14.42578125" style="85" bestFit="1" customWidth="1"/>
    <col min="2052" max="2052" width="81.42578125" style="85" customWidth="1"/>
    <col min="2053" max="2053" width="9.7109375" style="85" customWidth="1"/>
    <col min="2054" max="2054" width="10" style="85" customWidth="1"/>
    <col min="2055" max="2055" width="10.5703125" style="85" bestFit="1" customWidth="1"/>
    <col min="2056" max="2056" width="14.140625" style="85" bestFit="1" customWidth="1"/>
    <col min="2057" max="2057" width="15.5703125" style="85" bestFit="1" customWidth="1"/>
    <col min="2058" max="2058" width="11" style="85" bestFit="1" customWidth="1"/>
    <col min="2059" max="2061" width="9.140625" style="85"/>
    <col min="2062" max="2062" width="11.7109375" style="85" bestFit="1" customWidth="1"/>
    <col min="2063" max="2305" width="9.140625" style="85"/>
    <col min="2306" max="2306" width="8.5703125" style="85" customWidth="1"/>
    <col min="2307" max="2307" width="14.42578125" style="85" bestFit="1" customWidth="1"/>
    <col min="2308" max="2308" width="81.42578125" style="85" customWidth="1"/>
    <col min="2309" max="2309" width="9.7109375" style="85" customWidth="1"/>
    <col min="2310" max="2310" width="10" style="85" customWidth="1"/>
    <col min="2311" max="2311" width="10.5703125" style="85" bestFit="1" customWidth="1"/>
    <col min="2312" max="2312" width="14.140625" style="85" bestFit="1" customWidth="1"/>
    <col min="2313" max="2313" width="15.5703125" style="85" bestFit="1" customWidth="1"/>
    <col min="2314" max="2314" width="11" style="85" bestFit="1" customWidth="1"/>
    <col min="2315" max="2317" width="9.140625" style="85"/>
    <col min="2318" max="2318" width="11.7109375" style="85" bestFit="1" customWidth="1"/>
    <col min="2319" max="2561" width="9.140625" style="85"/>
    <col min="2562" max="2562" width="8.5703125" style="85" customWidth="1"/>
    <col min="2563" max="2563" width="14.42578125" style="85" bestFit="1" customWidth="1"/>
    <col min="2564" max="2564" width="81.42578125" style="85" customWidth="1"/>
    <col min="2565" max="2565" width="9.7109375" style="85" customWidth="1"/>
    <col min="2566" max="2566" width="10" style="85" customWidth="1"/>
    <col min="2567" max="2567" width="10.5703125" style="85" bestFit="1" customWidth="1"/>
    <col min="2568" max="2568" width="14.140625" style="85" bestFit="1" customWidth="1"/>
    <col min="2569" max="2569" width="15.5703125" style="85" bestFit="1" customWidth="1"/>
    <col min="2570" max="2570" width="11" style="85" bestFit="1" customWidth="1"/>
    <col min="2571" max="2573" width="9.140625" style="85"/>
    <col min="2574" max="2574" width="11.7109375" style="85" bestFit="1" customWidth="1"/>
    <col min="2575" max="2817" width="9.140625" style="85"/>
    <col min="2818" max="2818" width="8.5703125" style="85" customWidth="1"/>
    <col min="2819" max="2819" width="14.42578125" style="85" bestFit="1" customWidth="1"/>
    <col min="2820" max="2820" width="81.42578125" style="85" customWidth="1"/>
    <col min="2821" max="2821" width="9.7109375" style="85" customWidth="1"/>
    <col min="2822" max="2822" width="10" style="85" customWidth="1"/>
    <col min="2823" max="2823" width="10.5703125" style="85" bestFit="1" customWidth="1"/>
    <col min="2824" max="2824" width="14.140625" style="85" bestFit="1" customWidth="1"/>
    <col min="2825" max="2825" width="15.5703125" style="85" bestFit="1" customWidth="1"/>
    <col min="2826" max="2826" width="11" style="85" bestFit="1" customWidth="1"/>
    <col min="2827" max="2829" width="9.140625" style="85"/>
    <col min="2830" max="2830" width="11.7109375" style="85" bestFit="1" customWidth="1"/>
    <col min="2831" max="3073" width="9.140625" style="85"/>
    <col min="3074" max="3074" width="8.5703125" style="85" customWidth="1"/>
    <col min="3075" max="3075" width="14.42578125" style="85" bestFit="1" customWidth="1"/>
    <col min="3076" max="3076" width="81.42578125" style="85" customWidth="1"/>
    <col min="3077" max="3077" width="9.7109375" style="85" customWidth="1"/>
    <col min="3078" max="3078" width="10" style="85" customWidth="1"/>
    <col min="3079" max="3079" width="10.5703125" style="85" bestFit="1" customWidth="1"/>
    <col min="3080" max="3080" width="14.140625" style="85" bestFit="1" customWidth="1"/>
    <col min="3081" max="3081" width="15.5703125" style="85" bestFit="1" customWidth="1"/>
    <col min="3082" max="3082" width="11" style="85" bestFit="1" customWidth="1"/>
    <col min="3083" max="3085" width="9.140625" style="85"/>
    <col min="3086" max="3086" width="11.7109375" style="85" bestFit="1" customWidth="1"/>
    <col min="3087" max="3329" width="9.140625" style="85"/>
    <col min="3330" max="3330" width="8.5703125" style="85" customWidth="1"/>
    <col min="3331" max="3331" width="14.42578125" style="85" bestFit="1" customWidth="1"/>
    <col min="3332" max="3332" width="81.42578125" style="85" customWidth="1"/>
    <col min="3333" max="3333" width="9.7109375" style="85" customWidth="1"/>
    <col min="3334" max="3334" width="10" style="85" customWidth="1"/>
    <col min="3335" max="3335" width="10.5703125" style="85" bestFit="1" customWidth="1"/>
    <col min="3336" max="3336" width="14.140625" style="85" bestFit="1" customWidth="1"/>
    <col min="3337" max="3337" width="15.5703125" style="85" bestFit="1" customWidth="1"/>
    <col min="3338" max="3338" width="11" style="85" bestFit="1" customWidth="1"/>
    <col min="3339" max="3341" width="9.140625" style="85"/>
    <col min="3342" max="3342" width="11.7109375" style="85" bestFit="1" customWidth="1"/>
    <col min="3343" max="3585" width="9.140625" style="85"/>
    <col min="3586" max="3586" width="8.5703125" style="85" customWidth="1"/>
    <col min="3587" max="3587" width="14.42578125" style="85" bestFit="1" customWidth="1"/>
    <col min="3588" max="3588" width="81.42578125" style="85" customWidth="1"/>
    <col min="3589" max="3589" width="9.7109375" style="85" customWidth="1"/>
    <col min="3590" max="3590" width="10" style="85" customWidth="1"/>
    <col min="3591" max="3591" width="10.5703125" style="85" bestFit="1" customWidth="1"/>
    <col min="3592" max="3592" width="14.140625" style="85" bestFit="1" customWidth="1"/>
    <col min="3593" max="3593" width="15.5703125" style="85" bestFit="1" customWidth="1"/>
    <col min="3594" max="3594" width="11" style="85" bestFit="1" customWidth="1"/>
    <col min="3595" max="3597" width="9.140625" style="85"/>
    <col min="3598" max="3598" width="11.7109375" style="85" bestFit="1" customWidth="1"/>
    <col min="3599" max="3841" width="9.140625" style="85"/>
    <col min="3842" max="3842" width="8.5703125" style="85" customWidth="1"/>
    <col min="3843" max="3843" width="14.42578125" style="85" bestFit="1" customWidth="1"/>
    <col min="3844" max="3844" width="81.42578125" style="85" customWidth="1"/>
    <col min="3845" max="3845" width="9.7109375" style="85" customWidth="1"/>
    <col min="3846" max="3846" width="10" style="85" customWidth="1"/>
    <col min="3847" max="3847" width="10.5703125" style="85" bestFit="1" customWidth="1"/>
    <col min="3848" max="3848" width="14.140625" style="85" bestFit="1" customWidth="1"/>
    <col min="3849" max="3849" width="15.5703125" style="85" bestFit="1" customWidth="1"/>
    <col min="3850" max="3850" width="11" style="85" bestFit="1" customWidth="1"/>
    <col min="3851" max="3853" width="9.140625" style="85"/>
    <col min="3854" max="3854" width="11.7109375" style="85" bestFit="1" customWidth="1"/>
    <col min="3855" max="4097" width="9.140625" style="85"/>
    <col min="4098" max="4098" width="8.5703125" style="85" customWidth="1"/>
    <col min="4099" max="4099" width="14.42578125" style="85" bestFit="1" customWidth="1"/>
    <col min="4100" max="4100" width="81.42578125" style="85" customWidth="1"/>
    <col min="4101" max="4101" width="9.7109375" style="85" customWidth="1"/>
    <col min="4102" max="4102" width="10" style="85" customWidth="1"/>
    <col min="4103" max="4103" width="10.5703125" style="85" bestFit="1" customWidth="1"/>
    <col min="4104" max="4104" width="14.140625" style="85" bestFit="1" customWidth="1"/>
    <col min="4105" max="4105" width="15.5703125" style="85" bestFit="1" customWidth="1"/>
    <col min="4106" max="4106" width="11" style="85" bestFit="1" customWidth="1"/>
    <col min="4107" max="4109" width="9.140625" style="85"/>
    <col min="4110" max="4110" width="11.7109375" style="85" bestFit="1" customWidth="1"/>
    <col min="4111" max="4353" width="9.140625" style="85"/>
    <col min="4354" max="4354" width="8.5703125" style="85" customWidth="1"/>
    <col min="4355" max="4355" width="14.42578125" style="85" bestFit="1" customWidth="1"/>
    <col min="4356" max="4356" width="81.42578125" style="85" customWidth="1"/>
    <col min="4357" max="4357" width="9.7109375" style="85" customWidth="1"/>
    <col min="4358" max="4358" width="10" style="85" customWidth="1"/>
    <col min="4359" max="4359" width="10.5703125" style="85" bestFit="1" customWidth="1"/>
    <col min="4360" max="4360" width="14.140625" style="85" bestFit="1" customWidth="1"/>
    <col min="4361" max="4361" width="15.5703125" style="85" bestFit="1" customWidth="1"/>
    <col min="4362" max="4362" width="11" style="85" bestFit="1" customWidth="1"/>
    <col min="4363" max="4365" width="9.140625" style="85"/>
    <col min="4366" max="4366" width="11.7109375" style="85" bestFit="1" customWidth="1"/>
    <col min="4367" max="4609" width="9.140625" style="85"/>
    <col min="4610" max="4610" width="8.5703125" style="85" customWidth="1"/>
    <col min="4611" max="4611" width="14.42578125" style="85" bestFit="1" customWidth="1"/>
    <col min="4612" max="4612" width="81.42578125" style="85" customWidth="1"/>
    <col min="4613" max="4613" width="9.7109375" style="85" customWidth="1"/>
    <col min="4614" max="4614" width="10" style="85" customWidth="1"/>
    <col min="4615" max="4615" width="10.5703125" style="85" bestFit="1" customWidth="1"/>
    <col min="4616" max="4616" width="14.140625" style="85" bestFit="1" customWidth="1"/>
    <col min="4617" max="4617" width="15.5703125" style="85" bestFit="1" customWidth="1"/>
    <col min="4618" max="4618" width="11" style="85" bestFit="1" customWidth="1"/>
    <col min="4619" max="4621" width="9.140625" style="85"/>
    <col min="4622" max="4622" width="11.7109375" style="85" bestFit="1" customWidth="1"/>
    <col min="4623" max="4865" width="9.140625" style="85"/>
    <col min="4866" max="4866" width="8.5703125" style="85" customWidth="1"/>
    <col min="4867" max="4867" width="14.42578125" style="85" bestFit="1" customWidth="1"/>
    <col min="4868" max="4868" width="81.42578125" style="85" customWidth="1"/>
    <col min="4869" max="4869" width="9.7109375" style="85" customWidth="1"/>
    <col min="4870" max="4870" width="10" style="85" customWidth="1"/>
    <col min="4871" max="4871" width="10.5703125" style="85" bestFit="1" customWidth="1"/>
    <col min="4872" max="4872" width="14.140625" style="85" bestFit="1" customWidth="1"/>
    <col min="4873" max="4873" width="15.5703125" style="85" bestFit="1" customWidth="1"/>
    <col min="4874" max="4874" width="11" style="85" bestFit="1" customWidth="1"/>
    <col min="4875" max="4877" width="9.140625" style="85"/>
    <col min="4878" max="4878" width="11.7109375" style="85" bestFit="1" customWidth="1"/>
    <col min="4879" max="5121" width="9.140625" style="85"/>
    <col min="5122" max="5122" width="8.5703125" style="85" customWidth="1"/>
    <col min="5123" max="5123" width="14.42578125" style="85" bestFit="1" customWidth="1"/>
    <col min="5124" max="5124" width="81.42578125" style="85" customWidth="1"/>
    <col min="5125" max="5125" width="9.7109375" style="85" customWidth="1"/>
    <col min="5126" max="5126" width="10" style="85" customWidth="1"/>
    <col min="5127" max="5127" width="10.5703125" style="85" bestFit="1" customWidth="1"/>
    <col min="5128" max="5128" width="14.140625" style="85" bestFit="1" customWidth="1"/>
    <col min="5129" max="5129" width="15.5703125" style="85" bestFit="1" customWidth="1"/>
    <col min="5130" max="5130" width="11" style="85" bestFit="1" customWidth="1"/>
    <col min="5131" max="5133" width="9.140625" style="85"/>
    <col min="5134" max="5134" width="11.7109375" style="85" bestFit="1" customWidth="1"/>
    <col min="5135" max="5377" width="9.140625" style="85"/>
    <col min="5378" max="5378" width="8.5703125" style="85" customWidth="1"/>
    <col min="5379" max="5379" width="14.42578125" style="85" bestFit="1" customWidth="1"/>
    <col min="5380" max="5380" width="81.42578125" style="85" customWidth="1"/>
    <col min="5381" max="5381" width="9.7109375" style="85" customWidth="1"/>
    <col min="5382" max="5382" width="10" style="85" customWidth="1"/>
    <col min="5383" max="5383" width="10.5703125" style="85" bestFit="1" customWidth="1"/>
    <col min="5384" max="5384" width="14.140625" style="85" bestFit="1" customWidth="1"/>
    <col min="5385" max="5385" width="15.5703125" style="85" bestFit="1" customWidth="1"/>
    <col min="5386" max="5386" width="11" style="85" bestFit="1" customWidth="1"/>
    <col min="5387" max="5389" width="9.140625" style="85"/>
    <col min="5390" max="5390" width="11.7109375" style="85" bestFit="1" customWidth="1"/>
    <col min="5391" max="5633" width="9.140625" style="85"/>
    <col min="5634" max="5634" width="8.5703125" style="85" customWidth="1"/>
    <col min="5635" max="5635" width="14.42578125" style="85" bestFit="1" customWidth="1"/>
    <col min="5636" max="5636" width="81.42578125" style="85" customWidth="1"/>
    <col min="5637" max="5637" width="9.7109375" style="85" customWidth="1"/>
    <col min="5638" max="5638" width="10" style="85" customWidth="1"/>
    <col min="5639" max="5639" width="10.5703125" style="85" bestFit="1" customWidth="1"/>
    <col min="5640" max="5640" width="14.140625" style="85" bestFit="1" customWidth="1"/>
    <col min="5641" max="5641" width="15.5703125" style="85" bestFit="1" customWidth="1"/>
    <col min="5642" max="5642" width="11" style="85" bestFit="1" customWidth="1"/>
    <col min="5643" max="5645" width="9.140625" style="85"/>
    <col min="5646" max="5646" width="11.7109375" style="85" bestFit="1" customWidth="1"/>
    <col min="5647" max="5889" width="9.140625" style="85"/>
    <col min="5890" max="5890" width="8.5703125" style="85" customWidth="1"/>
    <col min="5891" max="5891" width="14.42578125" style="85" bestFit="1" customWidth="1"/>
    <col min="5892" max="5892" width="81.42578125" style="85" customWidth="1"/>
    <col min="5893" max="5893" width="9.7109375" style="85" customWidth="1"/>
    <col min="5894" max="5894" width="10" style="85" customWidth="1"/>
    <col min="5895" max="5895" width="10.5703125" style="85" bestFit="1" customWidth="1"/>
    <col min="5896" max="5896" width="14.140625" style="85" bestFit="1" customWidth="1"/>
    <col min="5897" max="5897" width="15.5703125" style="85" bestFit="1" customWidth="1"/>
    <col min="5898" max="5898" width="11" style="85" bestFit="1" customWidth="1"/>
    <col min="5899" max="5901" width="9.140625" style="85"/>
    <col min="5902" max="5902" width="11.7109375" style="85" bestFit="1" customWidth="1"/>
    <col min="5903" max="6145" width="9.140625" style="85"/>
    <col min="6146" max="6146" width="8.5703125" style="85" customWidth="1"/>
    <col min="6147" max="6147" width="14.42578125" style="85" bestFit="1" customWidth="1"/>
    <col min="6148" max="6148" width="81.42578125" style="85" customWidth="1"/>
    <col min="6149" max="6149" width="9.7109375" style="85" customWidth="1"/>
    <col min="6150" max="6150" width="10" style="85" customWidth="1"/>
    <col min="6151" max="6151" width="10.5703125" style="85" bestFit="1" customWidth="1"/>
    <col min="6152" max="6152" width="14.140625" style="85" bestFit="1" customWidth="1"/>
    <col min="6153" max="6153" width="15.5703125" style="85" bestFit="1" customWidth="1"/>
    <col min="6154" max="6154" width="11" style="85" bestFit="1" customWidth="1"/>
    <col min="6155" max="6157" width="9.140625" style="85"/>
    <col min="6158" max="6158" width="11.7109375" style="85" bestFit="1" customWidth="1"/>
    <col min="6159" max="6401" width="9.140625" style="85"/>
    <col min="6402" max="6402" width="8.5703125" style="85" customWidth="1"/>
    <col min="6403" max="6403" width="14.42578125" style="85" bestFit="1" customWidth="1"/>
    <col min="6404" max="6404" width="81.42578125" style="85" customWidth="1"/>
    <col min="6405" max="6405" width="9.7109375" style="85" customWidth="1"/>
    <col min="6406" max="6406" width="10" style="85" customWidth="1"/>
    <col min="6407" max="6407" width="10.5703125" style="85" bestFit="1" customWidth="1"/>
    <col min="6408" max="6408" width="14.140625" style="85" bestFit="1" customWidth="1"/>
    <col min="6409" max="6409" width="15.5703125" style="85" bestFit="1" customWidth="1"/>
    <col min="6410" max="6410" width="11" style="85" bestFit="1" customWidth="1"/>
    <col min="6411" max="6413" width="9.140625" style="85"/>
    <col min="6414" max="6414" width="11.7109375" style="85" bestFit="1" customWidth="1"/>
    <col min="6415" max="6657" width="9.140625" style="85"/>
    <col min="6658" max="6658" width="8.5703125" style="85" customWidth="1"/>
    <col min="6659" max="6659" width="14.42578125" style="85" bestFit="1" customWidth="1"/>
    <col min="6660" max="6660" width="81.42578125" style="85" customWidth="1"/>
    <col min="6661" max="6661" width="9.7109375" style="85" customWidth="1"/>
    <col min="6662" max="6662" width="10" style="85" customWidth="1"/>
    <col min="6663" max="6663" width="10.5703125" style="85" bestFit="1" customWidth="1"/>
    <col min="6664" max="6664" width="14.140625" style="85" bestFit="1" customWidth="1"/>
    <col min="6665" max="6665" width="15.5703125" style="85" bestFit="1" customWidth="1"/>
    <col min="6666" max="6666" width="11" style="85" bestFit="1" customWidth="1"/>
    <col min="6667" max="6669" width="9.140625" style="85"/>
    <col min="6670" max="6670" width="11.7109375" style="85" bestFit="1" customWidth="1"/>
    <col min="6671" max="6913" width="9.140625" style="85"/>
    <col min="6914" max="6914" width="8.5703125" style="85" customWidth="1"/>
    <col min="6915" max="6915" width="14.42578125" style="85" bestFit="1" customWidth="1"/>
    <col min="6916" max="6916" width="81.42578125" style="85" customWidth="1"/>
    <col min="6917" max="6917" width="9.7109375" style="85" customWidth="1"/>
    <col min="6918" max="6918" width="10" style="85" customWidth="1"/>
    <col min="6919" max="6919" width="10.5703125" style="85" bestFit="1" customWidth="1"/>
    <col min="6920" max="6920" width="14.140625" style="85" bestFit="1" customWidth="1"/>
    <col min="6921" max="6921" width="15.5703125" style="85" bestFit="1" customWidth="1"/>
    <col min="6922" max="6922" width="11" style="85" bestFit="1" customWidth="1"/>
    <col min="6923" max="6925" width="9.140625" style="85"/>
    <col min="6926" max="6926" width="11.7109375" style="85" bestFit="1" customWidth="1"/>
    <col min="6927" max="7169" width="9.140625" style="85"/>
    <col min="7170" max="7170" width="8.5703125" style="85" customWidth="1"/>
    <col min="7171" max="7171" width="14.42578125" style="85" bestFit="1" customWidth="1"/>
    <col min="7172" max="7172" width="81.42578125" style="85" customWidth="1"/>
    <col min="7173" max="7173" width="9.7109375" style="85" customWidth="1"/>
    <col min="7174" max="7174" width="10" style="85" customWidth="1"/>
    <col min="7175" max="7175" width="10.5703125" style="85" bestFit="1" customWidth="1"/>
    <col min="7176" max="7176" width="14.140625" style="85" bestFit="1" customWidth="1"/>
    <col min="7177" max="7177" width="15.5703125" style="85" bestFit="1" customWidth="1"/>
    <col min="7178" max="7178" width="11" style="85" bestFit="1" customWidth="1"/>
    <col min="7179" max="7181" width="9.140625" style="85"/>
    <col min="7182" max="7182" width="11.7109375" style="85" bestFit="1" customWidth="1"/>
    <col min="7183" max="7425" width="9.140625" style="85"/>
    <col min="7426" max="7426" width="8.5703125" style="85" customWidth="1"/>
    <col min="7427" max="7427" width="14.42578125" style="85" bestFit="1" customWidth="1"/>
    <col min="7428" max="7428" width="81.42578125" style="85" customWidth="1"/>
    <col min="7429" max="7429" width="9.7109375" style="85" customWidth="1"/>
    <col min="7430" max="7430" width="10" style="85" customWidth="1"/>
    <col min="7431" max="7431" width="10.5703125" style="85" bestFit="1" customWidth="1"/>
    <col min="7432" max="7432" width="14.140625" style="85" bestFit="1" customWidth="1"/>
    <col min="7433" max="7433" width="15.5703125" style="85" bestFit="1" customWidth="1"/>
    <col min="7434" max="7434" width="11" style="85" bestFit="1" customWidth="1"/>
    <col min="7435" max="7437" width="9.140625" style="85"/>
    <col min="7438" max="7438" width="11.7109375" style="85" bestFit="1" customWidth="1"/>
    <col min="7439" max="7681" width="9.140625" style="85"/>
    <col min="7682" max="7682" width="8.5703125" style="85" customWidth="1"/>
    <col min="7683" max="7683" width="14.42578125" style="85" bestFit="1" customWidth="1"/>
    <col min="7684" max="7684" width="81.42578125" style="85" customWidth="1"/>
    <col min="7685" max="7685" width="9.7109375" style="85" customWidth="1"/>
    <col min="7686" max="7686" width="10" style="85" customWidth="1"/>
    <col min="7687" max="7687" width="10.5703125" style="85" bestFit="1" customWidth="1"/>
    <col min="7688" max="7688" width="14.140625" style="85" bestFit="1" customWidth="1"/>
    <col min="7689" max="7689" width="15.5703125" style="85" bestFit="1" customWidth="1"/>
    <col min="7690" max="7690" width="11" style="85" bestFit="1" customWidth="1"/>
    <col min="7691" max="7693" width="9.140625" style="85"/>
    <col min="7694" max="7694" width="11.7109375" style="85" bestFit="1" customWidth="1"/>
    <col min="7695" max="7937" width="9.140625" style="85"/>
    <col min="7938" max="7938" width="8.5703125" style="85" customWidth="1"/>
    <col min="7939" max="7939" width="14.42578125" style="85" bestFit="1" customWidth="1"/>
    <col min="7940" max="7940" width="81.42578125" style="85" customWidth="1"/>
    <col min="7941" max="7941" width="9.7109375" style="85" customWidth="1"/>
    <col min="7942" max="7942" width="10" style="85" customWidth="1"/>
    <col min="7943" max="7943" width="10.5703125" style="85" bestFit="1" customWidth="1"/>
    <col min="7944" max="7944" width="14.140625" style="85" bestFit="1" customWidth="1"/>
    <col min="7945" max="7945" width="15.5703125" style="85" bestFit="1" customWidth="1"/>
    <col min="7946" max="7946" width="11" style="85" bestFit="1" customWidth="1"/>
    <col min="7947" max="7949" width="9.140625" style="85"/>
    <col min="7950" max="7950" width="11.7109375" style="85" bestFit="1" customWidth="1"/>
    <col min="7951" max="8193" width="9.140625" style="85"/>
    <col min="8194" max="8194" width="8.5703125" style="85" customWidth="1"/>
    <col min="8195" max="8195" width="14.42578125" style="85" bestFit="1" customWidth="1"/>
    <col min="8196" max="8196" width="81.42578125" style="85" customWidth="1"/>
    <col min="8197" max="8197" width="9.7109375" style="85" customWidth="1"/>
    <col min="8198" max="8198" width="10" style="85" customWidth="1"/>
    <col min="8199" max="8199" width="10.5703125" style="85" bestFit="1" customWidth="1"/>
    <col min="8200" max="8200" width="14.140625" style="85" bestFit="1" customWidth="1"/>
    <col min="8201" max="8201" width="15.5703125" style="85" bestFit="1" customWidth="1"/>
    <col min="8202" max="8202" width="11" style="85" bestFit="1" customWidth="1"/>
    <col min="8203" max="8205" width="9.140625" style="85"/>
    <col min="8206" max="8206" width="11.7109375" style="85" bestFit="1" customWidth="1"/>
    <col min="8207" max="8449" width="9.140625" style="85"/>
    <col min="8450" max="8450" width="8.5703125" style="85" customWidth="1"/>
    <col min="8451" max="8451" width="14.42578125" style="85" bestFit="1" customWidth="1"/>
    <col min="8452" max="8452" width="81.42578125" style="85" customWidth="1"/>
    <col min="8453" max="8453" width="9.7109375" style="85" customWidth="1"/>
    <col min="8454" max="8454" width="10" style="85" customWidth="1"/>
    <col min="8455" max="8455" width="10.5703125" style="85" bestFit="1" customWidth="1"/>
    <col min="8456" max="8456" width="14.140625" style="85" bestFit="1" customWidth="1"/>
    <col min="8457" max="8457" width="15.5703125" style="85" bestFit="1" customWidth="1"/>
    <col min="8458" max="8458" width="11" style="85" bestFit="1" customWidth="1"/>
    <col min="8459" max="8461" width="9.140625" style="85"/>
    <col min="8462" max="8462" width="11.7109375" style="85" bestFit="1" customWidth="1"/>
    <col min="8463" max="8705" width="9.140625" style="85"/>
    <col min="8706" max="8706" width="8.5703125" style="85" customWidth="1"/>
    <col min="8707" max="8707" width="14.42578125" style="85" bestFit="1" customWidth="1"/>
    <col min="8708" max="8708" width="81.42578125" style="85" customWidth="1"/>
    <col min="8709" max="8709" width="9.7109375" style="85" customWidth="1"/>
    <col min="8710" max="8710" width="10" style="85" customWidth="1"/>
    <col min="8711" max="8711" width="10.5703125" style="85" bestFit="1" customWidth="1"/>
    <col min="8712" max="8712" width="14.140625" style="85" bestFit="1" customWidth="1"/>
    <col min="8713" max="8713" width="15.5703125" style="85" bestFit="1" customWidth="1"/>
    <col min="8714" max="8714" width="11" style="85" bestFit="1" customWidth="1"/>
    <col min="8715" max="8717" width="9.140625" style="85"/>
    <col min="8718" max="8718" width="11.7109375" style="85" bestFit="1" customWidth="1"/>
    <col min="8719" max="8961" width="9.140625" style="85"/>
    <col min="8962" max="8962" width="8.5703125" style="85" customWidth="1"/>
    <col min="8963" max="8963" width="14.42578125" style="85" bestFit="1" customWidth="1"/>
    <col min="8964" max="8964" width="81.42578125" style="85" customWidth="1"/>
    <col min="8965" max="8965" width="9.7109375" style="85" customWidth="1"/>
    <col min="8966" max="8966" width="10" style="85" customWidth="1"/>
    <col min="8967" max="8967" width="10.5703125" style="85" bestFit="1" customWidth="1"/>
    <col min="8968" max="8968" width="14.140625" style="85" bestFit="1" customWidth="1"/>
    <col min="8969" max="8969" width="15.5703125" style="85" bestFit="1" customWidth="1"/>
    <col min="8970" max="8970" width="11" style="85" bestFit="1" customWidth="1"/>
    <col min="8971" max="8973" width="9.140625" style="85"/>
    <col min="8974" max="8974" width="11.7109375" style="85" bestFit="1" customWidth="1"/>
    <col min="8975" max="9217" width="9.140625" style="85"/>
    <col min="9218" max="9218" width="8.5703125" style="85" customWidth="1"/>
    <col min="9219" max="9219" width="14.42578125" style="85" bestFit="1" customWidth="1"/>
    <col min="9220" max="9220" width="81.42578125" style="85" customWidth="1"/>
    <col min="9221" max="9221" width="9.7109375" style="85" customWidth="1"/>
    <col min="9222" max="9222" width="10" style="85" customWidth="1"/>
    <col min="9223" max="9223" width="10.5703125" style="85" bestFit="1" customWidth="1"/>
    <col min="9224" max="9224" width="14.140625" style="85" bestFit="1" customWidth="1"/>
    <col min="9225" max="9225" width="15.5703125" style="85" bestFit="1" customWidth="1"/>
    <col min="9226" max="9226" width="11" style="85" bestFit="1" customWidth="1"/>
    <col min="9227" max="9229" width="9.140625" style="85"/>
    <col min="9230" max="9230" width="11.7109375" style="85" bestFit="1" customWidth="1"/>
    <col min="9231" max="9473" width="9.140625" style="85"/>
    <col min="9474" max="9474" width="8.5703125" style="85" customWidth="1"/>
    <col min="9475" max="9475" width="14.42578125" style="85" bestFit="1" customWidth="1"/>
    <col min="9476" max="9476" width="81.42578125" style="85" customWidth="1"/>
    <col min="9477" max="9477" width="9.7109375" style="85" customWidth="1"/>
    <col min="9478" max="9478" width="10" style="85" customWidth="1"/>
    <col min="9479" max="9479" width="10.5703125" style="85" bestFit="1" customWidth="1"/>
    <col min="9480" max="9480" width="14.140625" style="85" bestFit="1" customWidth="1"/>
    <col min="9481" max="9481" width="15.5703125" style="85" bestFit="1" customWidth="1"/>
    <col min="9482" max="9482" width="11" style="85" bestFit="1" customWidth="1"/>
    <col min="9483" max="9485" width="9.140625" style="85"/>
    <col min="9486" max="9486" width="11.7109375" style="85" bestFit="1" customWidth="1"/>
    <col min="9487" max="9729" width="9.140625" style="85"/>
    <col min="9730" max="9730" width="8.5703125" style="85" customWidth="1"/>
    <col min="9731" max="9731" width="14.42578125" style="85" bestFit="1" customWidth="1"/>
    <col min="9732" max="9732" width="81.42578125" style="85" customWidth="1"/>
    <col min="9733" max="9733" width="9.7109375" style="85" customWidth="1"/>
    <col min="9734" max="9734" width="10" style="85" customWidth="1"/>
    <col min="9735" max="9735" width="10.5703125" style="85" bestFit="1" customWidth="1"/>
    <col min="9736" max="9736" width="14.140625" style="85" bestFit="1" customWidth="1"/>
    <col min="9737" max="9737" width="15.5703125" style="85" bestFit="1" customWidth="1"/>
    <col min="9738" max="9738" width="11" style="85" bestFit="1" customWidth="1"/>
    <col min="9739" max="9741" width="9.140625" style="85"/>
    <col min="9742" max="9742" width="11.7109375" style="85" bestFit="1" customWidth="1"/>
    <col min="9743" max="9985" width="9.140625" style="85"/>
    <col min="9986" max="9986" width="8.5703125" style="85" customWidth="1"/>
    <col min="9987" max="9987" width="14.42578125" style="85" bestFit="1" customWidth="1"/>
    <col min="9988" max="9988" width="81.42578125" style="85" customWidth="1"/>
    <col min="9989" max="9989" width="9.7109375" style="85" customWidth="1"/>
    <col min="9990" max="9990" width="10" style="85" customWidth="1"/>
    <col min="9991" max="9991" width="10.5703125" style="85" bestFit="1" customWidth="1"/>
    <col min="9992" max="9992" width="14.140625" style="85" bestFit="1" customWidth="1"/>
    <col min="9993" max="9993" width="15.5703125" style="85" bestFit="1" customWidth="1"/>
    <col min="9994" max="9994" width="11" style="85" bestFit="1" customWidth="1"/>
    <col min="9995" max="9997" width="9.140625" style="85"/>
    <col min="9998" max="9998" width="11.7109375" style="85" bestFit="1" customWidth="1"/>
    <col min="9999" max="10241" width="9.140625" style="85"/>
    <col min="10242" max="10242" width="8.5703125" style="85" customWidth="1"/>
    <col min="10243" max="10243" width="14.42578125" style="85" bestFit="1" customWidth="1"/>
    <col min="10244" max="10244" width="81.42578125" style="85" customWidth="1"/>
    <col min="10245" max="10245" width="9.7109375" style="85" customWidth="1"/>
    <col min="10246" max="10246" width="10" style="85" customWidth="1"/>
    <col min="10247" max="10247" width="10.5703125" style="85" bestFit="1" customWidth="1"/>
    <col min="10248" max="10248" width="14.140625" style="85" bestFit="1" customWidth="1"/>
    <col min="10249" max="10249" width="15.5703125" style="85" bestFit="1" customWidth="1"/>
    <col min="10250" max="10250" width="11" style="85" bestFit="1" customWidth="1"/>
    <col min="10251" max="10253" width="9.140625" style="85"/>
    <col min="10254" max="10254" width="11.7109375" style="85" bestFit="1" customWidth="1"/>
    <col min="10255" max="10497" width="9.140625" style="85"/>
    <col min="10498" max="10498" width="8.5703125" style="85" customWidth="1"/>
    <col min="10499" max="10499" width="14.42578125" style="85" bestFit="1" customWidth="1"/>
    <col min="10500" max="10500" width="81.42578125" style="85" customWidth="1"/>
    <col min="10501" max="10501" width="9.7109375" style="85" customWidth="1"/>
    <col min="10502" max="10502" width="10" style="85" customWidth="1"/>
    <col min="10503" max="10503" width="10.5703125" style="85" bestFit="1" customWidth="1"/>
    <col min="10504" max="10504" width="14.140625" style="85" bestFit="1" customWidth="1"/>
    <col min="10505" max="10505" width="15.5703125" style="85" bestFit="1" customWidth="1"/>
    <col min="10506" max="10506" width="11" style="85" bestFit="1" customWidth="1"/>
    <col min="10507" max="10509" width="9.140625" style="85"/>
    <col min="10510" max="10510" width="11.7109375" style="85" bestFit="1" customWidth="1"/>
    <col min="10511" max="10753" width="9.140625" style="85"/>
    <col min="10754" max="10754" width="8.5703125" style="85" customWidth="1"/>
    <col min="10755" max="10755" width="14.42578125" style="85" bestFit="1" customWidth="1"/>
    <col min="10756" max="10756" width="81.42578125" style="85" customWidth="1"/>
    <col min="10757" max="10757" width="9.7109375" style="85" customWidth="1"/>
    <col min="10758" max="10758" width="10" style="85" customWidth="1"/>
    <col min="10759" max="10759" width="10.5703125" style="85" bestFit="1" customWidth="1"/>
    <col min="10760" max="10760" width="14.140625" style="85" bestFit="1" customWidth="1"/>
    <col min="10761" max="10761" width="15.5703125" style="85" bestFit="1" customWidth="1"/>
    <col min="10762" max="10762" width="11" style="85" bestFit="1" customWidth="1"/>
    <col min="10763" max="10765" width="9.140625" style="85"/>
    <col min="10766" max="10766" width="11.7109375" style="85" bestFit="1" customWidth="1"/>
    <col min="10767" max="11009" width="9.140625" style="85"/>
    <col min="11010" max="11010" width="8.5703125" style="85" customWidth="1"/>
    <col min="11011" max="11011" width="14.42578125" style="85" bestFit="1" customWidth="1"/>
    <col min="11012" max="11012" width="81.42578125" style="85" customWidth="1"/>
    <col min="11013" max="11013" width="9.7109375" style="85" customWidth="1"/>
    <col min="11014" max="11014" width="10" style="85" customWidth="1"/>
    <col min="11015" max="11015" width="10.5703125" style="85" bestFit="1" customWidth="1"/>
    <col min="11016" max="11016" width="14.140625" style="85" bestFit="1" customWidth="1"/>
    <col min="11017" max="11017" width="15.5703125" style="85" bestFit="1" customWidth="1"/>
    <col min="11018" max="11018" width="11" style="85" bestFit="1" customWidth="1"/>
    <col min="11019" max="11021" width="9.140625" style="85"/>
    <col min="11022" max="11022" width="11.7109375" style="85" bestFit="1" customWidth="1"/>
    <col min="11023" max="11265" width="9.140625" style="85"/>
    <col min="11266" max="11266" width="8.5703125" style="85" customWidth="1"/>
    <col min="11267" max="11267" width="14.42578125" style="85" bestFit="1" customWidth="1"/>
    <col min="11268" max="11268" width="81.42578125" style="85" customWidth="1"/>
    <col min="11269" max="11269" width="9.7109375" style="85" customWidth="1"/>
    <col min="11270" max="11270" width="10" style="85" customWidth="1"/>
    <col min="11271" max="11271" width="10.5703125" style="85" bestFit="1" customWidth="1"/>
    <col min="11272" max="11272" width="14.140625" style="85" bestFit="1" customWidth="1"/>
    <col min="11273" max="11273" width="15.5703125" style="85" bestFit="1" customWidth="1"/>
    <col min="11274" max="11274" width="11" style="85" bestFit="1" customWidth="1"/>
    <col min="11275" max="11277" width="9.140625" style="85"/>
    <col min="11278" max="11278" width="11.7109375" style="85" bestFit="1" customWidth="1"/>
    <col min="11279" max="11521" width="9.140625" style="85"/>
    <col min="11522" max="11522" width="8.5703125" style="85" customWidth="1"/>
    <col min="11523" max="11523" width="14.42578125" style="85" bestFit="1" customWidth="1"/>
    <col min="11524" max="11524" width="81.42578125" style="85" customWidth="1"/>
    <col min="11525" max="11525" width="9.7109375" style="85" customWidth="1"/>
    <col min="11526" max="11526" width="10" style="85" customWidth="1"/>
    <col min="11527" max="11527" width="10.5703125" style="85" bestFit="1" customWidth="1"/>
    <col min="11528" max="11528" width="14.140625" style="85" bestFit="1" customWidth="1"/>
    <col min="11529" max="11529" width="15.5703125" style="85" bestFit="1" customWidth="1"/>
    <col min="11530" max="11530" width="11" style="85" bestFit="1" customWidth="1"/>
    <col min="11531" max="11533" width="9.140625" style="85"/>
    <col min="11534" max="11534" width="11.7109375" style="85" bestFit="1" customWidth="1"/>
    <col min="11535" max="11777" width="9.140625" style="85"/>
    <col min="11778" max="11778" width="8.5703125" style="85" customWidth="1"/>
    <col min="11779" max="11779" width="14.42578125" style="85" bestFit="1" customWidth="1"/>
    <col min="11780" max="11780" width="81.42578125" style="85" customWidth="1"/>
    <col min="11781" max="11781" width="9.7109375" style="85" customWidth="1"/>
    <col min="11782" max="11782" width="10" style="85" customWidth="1"/>
    <col min="11783" max="11783" width="10.5703125" style="85" bestFit="1" customWidth="1"/>
    <col min="11784" max="11784" width="14.140625" style="85" bestFit="1" customWidth="1"/>
    <col min="11785" max="11785" width="15.5703125" style="85" bestFit="1" customWidth="1"/>
    <col min="11786" max="11786" width="11" style="85" bestFit="1" customWidth="1"/>
    <col min="11787" max="11789" width="9.140625" style="85"/>
    <col min="11790" max="11790" width="11.7109375" style="85" bestFit="1" customWidth="1"/>
    <col min="11791" max="12033" width="9.140625" style="85"/>
    <col min="12034" max="12034" width="8.5703125" style="85" customWidth="1"/>
    <col min="12035" max="12035" width="14.42578125" style="85" bestFit="1" customWidth="1"/>
    <col min="12036" max="12036" width="81.42578125" style="85" customWidth="1"/>
    <col min="12037" max="12037" width="9.7109375" style="85" customWidth="1"/>
    <col min="12038" max="12038" width="10" style="85" customWidth="1"/>
    <col min="12039" max="12039" width="10.5703125" style="85" bestFit="1" customWidth="1"/>
    <col min="12040" max="12040" width="14.140625" style="85" bestFit="1" customWidth="1"/>
    <col min="12041" max="12041" width="15.5703125" style="85" bestFit="1" customWidth="1"/>
    <col min="12042" max="12042" width="11" style="85" bestFit="1" customWidth="1"/>
    <col min="12043" max="12045" width="9.140625" style="85"/>
    <col min="12046" max="12046" width="11.7109375" style="85" bestFit="1" customWidth="1"/>
    <col min="12047" max="12289" width="9.140625" style="85"/>
    <col min="12290" max="12290" width="8.5703125" style="85" customWidth="1"/>
    <col min="12291" max="12291" width="14.42578125" style="85" bestFit="1" customWidth="1"/>
    <col min="12292" max="12292" width="81.42578125" style="85" customWidth="1"/>
    <col min="12293" max="12293" width="9.7109375" style="85" customWidth="1"/>
    <col min="12294" max="12294" width="10" style="85" customWidth="1"/>
    <col min="12295" max="12295" width="10.5703125" style="85" bestFit="1" customWidth="1"/>
    <col min="12296" max="12296" width="14.140625" style="85" bestFit="1" customWidth="1"/>
    <col min="12297" max="12297" width="15.5703125" style="85" bestFit="1" customWidth="1"/>
    <col min="12298" max="12298" width="11" style="85" bestFit="1" customWidth="1"/>
    <col min="12299" max="12301" width="9.140625" style="85"/>
    <col min="12302" max="12302" width="11.7109375" style="85" bestFit="1" customWidth="1"/>
    <col min="12303" max="12545" width="9.140625" style="85"/>
    <col min="12546" max="12546" width="8.5703125" style="85" customWidth="1"/>
    <col min="12547" max="12547" width="14.42578125" style="85" bestFit="1" customWidth="1"/>
    <col min="12548" max="12548" width="81.42578125" style="85" customWidth="1"/>
    <col min="12549" max="12549" width="9.7109375" style="85" customWidth="1"/>
    <col min="12550" max="12550" width="10" style="85" customWidth="1"/>
    <col min="12551" max="12551" width="10.5703125" style="85" bestFit="1" customWidth="1"/>
    <col min="12552" max="12552" width="14.140625" style="85" bestFit="1" customWidth="1"/>
    <col min="12553" max="12553" width="15.5703125" style="85" bestFit="1" customWidth="1"/>
    <col min="12554" max="12554" width="11" style="85" bestFit="1" customWidth="1"/>
    <col min="12555" max="12557" width="9.140625" style="85"/>
    <col min="12558" max="12558" width="11.7109375" style="85" bestFit="1" customWidth="1"/>
    <col min="12559" max="12801" width="9.140625" style="85"/>
    <col min="12802" max="12802" width="8.5703125" style="85" customWidth="1"/>
    <col min="12803" max="12803" width="14.42578125" style="85" bestFit="1" customWidth="1"/>
    <col min="12804" max="12804" width="81.42578125" style="85" customWidth="1"/>
    <col min="12805" max="12805" width="9.7109375" style="85" customWidth="1"/>
    <col min="12806" max="12806" width="10" style="85" customWidth="1"/>
    <col min="12807" max="12807" width="10.5703125" style="85" bestFit="1" customWidth="1"/>
    <col min="12808" max="12808" width="14.140625" style="85" bestFit="1" customWidth="1"/>
    <col min="12809" max="12809" width="15.5703125" style="85" bestFit="1" customWidth="1"/>
    <col min="12810" max="12810" width="11" style="85" bestFit="1" customWidth="1"/>
    <col min="12811" max="12813" width="9.140625" style="85"/>
    <col min="12814" max="12814" width="11.7109375" style="85" bestFit="1" customWidth="1"/>
    <col min="12815" max="13057" width="9.140625" style="85"/>
    <col min="13058" max="13058" width="8.5703125" style="85" customWidth="1"/>
    <col min="13059" max="13059" width="14.42578125" style="85" bestFit="1" customWidth="1"/>
    <col min="13060" max="13060" width="81.42578125" style="85" customWidth="1"/>
    <col min="13061" max="13061" width="9.7109375" style="85" customWidth="1"/>
    <col min="13062" max="13062" width="10" style="85" customWidth="1"/>
    <col min="13063" max="13063" width="10.5703125" style="85" bestFit="1" customWidth="1"/>
    <col min="13064" max="13064" width="14.140625" style="85" bestFit="1" customWidth="1"/>
    <col min="13065" max="13065" width="15.5703125" style="85" bestFit="1" customWidth="1"/>
    <col min="13066" max="13066" width="11" style="85" bestFit="1" customWidth="1"/>
    <col min="13067" max="13069" width="9.140625" style="85"/>
    <col min="13070" max="13070" width="11.7109375" style="85" bestFit="1" customWidth="1"/>
    <col min="13071" max="13313" width="9.140625" style="85"/>
    <col min="13314" max="13314" width="8.5703125" style="85" customWidth="1"/>
    <col min="13315" max="13315" width="14.42578125" style="85" bestFit="1" customWidth="1"/>
    <col min="13316" max="13316" width="81.42578125" style="85" customWidth="1"/>
    <col min="13317" max="13317" width="9.7109375" style="85" customWidth="1"/>
    <col min="13318" max="13318" width="10" style="85" customWidth="1"/>
    <col min="13319" max="13319" width="10.5703125" style="85" bestFit="1" customWidth="1"/>
    <col min="13320" max="13320" width="14.140625" style="85" bestFit="1" customWidth="1"/>
    <col min="13321" max="13321" width="15.5703125" style="85" bestFit="1" customWidth="1"/>
    <col min="13322" max="13322" width="11" style="85" bestFit="1" customWidth="1"/>
    <col min="13323" max="13325" width="9.140625" style="85"/>
    <col min="13326" max="13326" width="11.7109375" style="85" bestFit="1" customWidth="1"/>
    <col min="13327" max="13569" width="9.140625" style="85"/>
    <col min="13570" max="13570" width="8.5703125" style="85" customWidth="1"/>
    <col min="13571" max="13571" width="14.42578125" style="85" bestFit="1" customWidth="1"/>
    <col min="13572" max="13572" width="81.42578125" style="85" customWidth="1"/>
    <col min="13573" max="13573" width="9.7109375" style="85" customWidth="1"/>
    <col min="13574" max="13574" width="10" style="85" customWidth="1"/>
    <col min="13575" max="13575" width="10.5703125" style="85" bestFit="1" customWidth="1"/>
    <col min="13576" max="13576" width="14.140625" style="85" bestFit="1" customWidth="1"/>
    <col min="13577" max="13577" width="15.5703125" style="85" bestFit="1" customWidth="1"/>
    <col min="13578" max="13578" width="11" style="85" bestFit="1" customWidth="1"/>
    <col min="13579" max="13581" width="9.140625" style="85"/>
    <col min="13582" max="13582" width="11.7109375" style="85" bestFit="1" customWidth="1"/>
    <col min="13583" max="13825" width="9.140625" style="85"/>
    <col min="13826" max="13826" width="8.5703125" style="85" customWidth="1"/>
    <col min="13827" max="13827" width="14.42578125" style="85" bestFit="1" customWidth="1"/>
    <col min="13828" max="13828" width="81.42578125" style="85" customWidth="1"/>
    <col min="13829" max="13829" width="9.7109375" style="85" customWidth="1"/>
    <col min="13830" max="13830" width="10" style="85" customWidth="1"/>
    <col min="13831" max="13831" width="10.5703125" style="85" bestFit="1" customWidth="1"/>
    <col min="13832" max="13832" width="14.140625" style="85" bestFit="1" customWidth="1"/>
    <col min="13833" max="13833" width="15.5703125" style="85" bestFit="1" customWidth="1"/>
    <col min="13834" max="13834" width="11" style="85" bestFit="1" customWidth="1"/>
    <col min="13835" max="13837" width="9.140625" style="85"/>
    <col min="13838" max="13838" width="11.7109375" style="85" bestFit="1" customWidth="1"/>
    <col min="13839" max="14081" width="9.140625" style="85"/>
    <col min="14082" max="14082" width="8.5703125" style="85" customWidth="1"/>
    <col min="14083" max="14083" width="14.42578125" style="85" bestFit="1" customWidth="1"/>
    <col min="14084" max="14084" width="81.42578125" style="85" customWidth="1"/>
    <col min="14085" max="14085" width="9.7109375" style="85" customWidth="1"/>
    <col min="14086" max="14086" width="10" style="85" customWidth="1"/>
    <col min="14087" max="14087" width="10.5703125" style="85" bestFit="1" customWidth="1"/>
    <col min="14088" max="14088" width="14.140625" style="85" bestFit="1" customWidth="1"/>
    <col min="14089" max="14089" width="15.5703125" style="85" bestFit="1" customWidth="1"/>
    <col min="14090" max="14090" width="11" style="85" bestFit="1" customWidth="1"/>
    <col min="14091" max="14093" width="9.140625" style="85"/>
    <col min="14094" max="14094" width="11.7109375" style="85" bestFit="1" customWidth="1"/>
    <col min="14095" max="14337" width="9.140625" style="85"/>
    <col min="14338" max="14338" width="8.5703125" style="85" customWidth="1"/>
    <col min="14339" max="14339" width="14.42578125" style="85" bestFit="1" customWidth="1"/>
    <col min="14340" max="14340" width="81.42578125" style="85" customWidth="1"/>
    <col min="14341" max="14341" width="9.7109375" style="85" customWidth="1"/>
    <col min="14342" max="14342" width="10" style="85" customWidth="1"/>
    <col min="14343" max="14343" width="10.5703125" style="85" bestFit="1" customWidth="1"/>
    <col min="14344" max="14344" width="14.140625" style="85" bestFit="1" customWidth="1"/>
    <col min="14345" max="14345" width="15.5703125" style="85" bestFit="1" customWidth="1"/>
    <col min="14346" max="14346" width="11" style="85" bestFit="1" customWidth="1"/>
    <col min="14347" max="14349" width="9.140625" style="85"/>
    <col min="14350" max="14350" width="11.7109375" style="85" bestFit="1" customWidth="1"/>
    <col min="14351" max="14593" width="9.140625" style="85"/>
    <col min="14594" max="14594" width="8.5703125" style="85" customWidth="1"/>
    <col min="14595" max="14595" width="14.42578125" style="85" bestFit="1" customWidth="1"/>
    <col min="14596" max="14596" width="81.42578125" style="85" customWidth="1"/>
    <col min="14597" max="14597" width="9.7109375" style="85" customWidth="1"/>
    <col min="14598" max="14598" width="10" style="85" customWidth="1"/>
    <col min="14599" max="14599" width="10.5703125" style="85" bestFit="1" customWidth="1"/>
    <col min="14600" max="14600" width="14.140625" style="85" bestFit="1" customWidth="1"/>
    <col min="14601" max="14601" width="15.5703125" style="85" bestFit="1" customWidth="1"/>
    <col min="14602" max="14602" width="11" style="85" bestFit="1" customWidth="1"/>
    <col min="14603" max="14605" width="9.140625" style="85"/>
    <col min="14606" max="14606" width="11.7109375" style="85" bestFit="1" customWidth="1"/>
    <col min="14607" max="14849" width="9.140625" style="85"/>
    <col min="14850" max="14850" width="8.5703125" style="85" customWidth="1"/>
    <col min="14851" max="14851" width="14.42578125" style="85" bestFit="1" customWidth="1"/>
    <col min="14852" max="14852" width="81.42578125" style="85" customWidth="1"/>
    <col min="14853" max="14853" width="9.7109375" style="85" customWidth="1"/>
    <col min="14854" max="14854" width="10" style="85" customWidth="1"/>
    <col min="14855" max="14855" width="10.5703125" style="85" bestFit="1" customWidth="1"/>
    <col min="14856" max="14856" width="14.140625" style="85" bestFit="1" customWidth="1"/>
    <col min="14857" max="14857" width="15.5703125" style="85" bestFit="1" customWidth="1"/>
    <col min="14858" max="14858" width="11" style="85" bestFit="1" customWidth="1"/>
    <col min="14859" max="14861" width="9.140625" style="85"/>
    <col min="14862" max="14862" width="11.7109375" style="85" bestFit="1" customWidth="1"/>
    <col min="14863" max="15105" width="9.140625" style="85"/>
    <col min="15106" max="15106" width="8.5703125" style="85" customWidth="1"/>
    <col min="15107" max="15107" width="14.42578125" style="85" bestFit="1" customWidth="1"/>
    <col min="15108" max="15108" width="81.42578125" style="85" customWidth="1"/>
    <col min="15109" max="15109" width="9.7109375" style="85" customWidth="1"/>
    <col min="15110" max="15110" width="10" style="85" customWidth="1"/>
    <col min="15111" max="15111" width="10.5703125" style="85" bestFit="1" customWidth="1"/>
    <col min="15112" max="15112" width="14.140625" style="85" bestFit="1" customWidth="1"/>
    <col min="15113" max="15113" width="15.5703125" style="85" bestFit="1" customWidth="1"/>
    <col min="15114" max="15114" width="11" style="85" bestFit="1" customWidth="1"/>
    <col min="15115" max="15117" width="9.140625" style="85"/>
    <col min="15118" max="15118" width="11.7109375" style="85" bestFit="1" customWidth="1"/>
    <col min="15119" max="15361" width="9.140625" style="85"/>
    <col min="15362" max="15362" width="8.5703125" style="85" customWidth="1"/>
    <col min="15363" max="15363" width="14.42578125" style="85" bestFit="1" customWidth="1"/>
    <col min="15364" max="15364" width="81.42578125" style="85" customWidth="1"/>
    <col min="15365" max="15365" width="9.7109375" style="85" customWidth="1"/>
    <col min="15366" max="15366" width="10" style="85" customWidth="1"/>
    <col min="15367" max="15367" width="10.5703125" style="85" bestFit="1" customWidth="1"/>
    <col min="15368" max="15368" width="14.140625" style="85" bestFit="1" customWidth="1"/>
    <col min="15369" max="15369" width="15.5703125" style="85" bestFit="1" customWidth="1"/>
    <col min="15370" max="15370" width="11" style="85" bestFit="1" customWidth="1"/>
    <col min="15371" max="15373" width="9.140625" style="85"/>
    <col min="15374" max="15374" width="11.7109375" style="85" bestFit="1" customWidth="1"/>
    <col min="15375" max="15617" width="9.140625" style="85"/>
    <col min="15618" max="15618" width="8.5703125" style="85" customWidth="1"/>
    <col min="15619" max="15619" width="14.42578125" style="85" bestFit="1" customWidth="1"/>
    <col min="15620" max="15620" width="81.42578125" style="85" customWidth="1"/>
    <col min="15621" max="15621" width="9.7109375" style="85" customWidth="1"/>
    <col min="15622" max="15622" width="10" style="85" customWidth="1"/>
    <col min="15623" max="15623" width="10.5703125" style="85" bestFit="1" customWidth="1"/>
    <col min="15624" max="15624" width="14.140625" style="85" bestFit="1" customWidth="1"/>
    <col min="15625" max="15625" width="15.5703125" style="85" bestFit="1" customWidth="1"/>
    <col min="15626" max="15626" width="11" style="85" bestFit="1" customWidth="1"/>
    <col min="15627" max="15629" width="9.140625" style="85"/>
    <col min="15630" max="15630" width="11.7109375" style="85" bestFit="1" customWidth="1"/>
    <col min="15631" max="15873" width="9.140625" style="85"/>
    <col min="15874" max="15874" width="8.5703125" style="85" customWidth="1"/>
    <col min="15875" max="15875" width="14.42578125" style="85" bestFit="1" customWidth="1"/>
    <col min="15876" max="15876" width="81.42578125" style="85" customWidth="1"/>
    <col min="15877" max="15877" width="9.7109375" style="85" customWidth="1"/>
    <col min="15878" max="15878" width="10" style="85" customWidth="1"/>
    <col min="15879" max="15879" width="10.5703125" style="85" bestFit="1" customWidth="1"/>
    <col min="15880" max="15880" width="14.140625" style="85" bestFit="1" customWidth="1"/>
    <col min="15881" max="15881" width="15.5703125" style="85" bestFit="1" customWidth="1"/>
    <col min="15882" max="15882" width="11" style="85" bestFit="1" customWidth="1"/>
    <col min="15883" max="15885" width="9.140625" style="85"/>
    <col min="15886" max="15886" width="11.7109375" style="85" bestFit="1" customWidth="1"/>
    <col min="15887" max="16129" width="9.140625" style="85"/>
    <col min="16130" max="16130" width="8.5703125" style="85" customWidth="1"/>
    <col min="16131" max="16131" width="14.42578125" style="85" bestFit="1" customWidth="1"/>
    <col min="16132" max="16132" width="81.42578125" style="85" customWidth="1"/>
    <col min="16133" max="16133" width="9.7109375" style="85" customWidth="1"/>
    <col min="16134" max="16134" width="10" style="85" customWidth="1"/>
    <col min="16135" max="16135" width="10.5703125" style="85" bestFit="1" customWidth="1"/>
    <col min="16136" max="16136" width="14.140625" style="85" bestFit="1" customWidth="1"/>
    <col min="16137" max="16137" width="15.5703125" style="85" bestFit="1" customWidth="1"/>
    <col min="16138" max="16138" width="11" style="85" bestFit="1" customWidth="1"/>
    <col min="16139" max="16141" width="9.140625" style="85"/>
    <col min="16142" max="16142" width="11.7109375" style="85" bestFit="1" customWidth="1"/>
    <col min="16143" max="16384" width="9.140625" style="85"/>
  </cols>
  <sheetData>
    <row r="1" spans="2:9" ht="13.5" thickBot="1"/>
    <row r="2" spans="2:9" s="91" customFormat="1" ht="6" thickBot="1">
      <c r="B2" s="86"/>
      <c r="C2" s="87"/>
      <c r="D2" s="88"/>
      <c r="E2" s="87"/>
      <c r="F2" s="89"/>
      <c r="G2" s="89"/>
      <c r="H2" s="89"/>
      <c r="I2" s="90"/>
    </row>
    <row r="3" spans="2:9" ht="56.25" customHeight="1" thickBot="1">
      <c r="B3" s="2003"/>
      <c r="C3" s="2004"/>
      <c r="D3" s="2009" t="s">
        <v>2</v>
      </c>
      <c r="E3" s="2010"/>
      <c r="F3" s="2010"/>
      <c r="G3" s="2011"/>
      <c r="H3" s="2007" t="str">
        <f>'ORÇAMENTO '!M5</f>
        <v>Ref.: Tabela de Serviços
SINAPI (JANEIRO/2024)</v>
      </c>
      <c r="I3" s="2008"/>
    </row>
    <row r="4" spans="2:9" ht="45.75" customHeight="1" thickBot="1">
      <c r="B4" s="2005"/>
      <c r="C4" s="2006"/>
      <c r="D4" s="2012" t="s">
        <v>1579</v>
      </c>
      <c r="E4" s="2013"/>
      <c r="F4" s="2013"/>
      <c r="G4" s="2014"/>
      <c r="H4" s="92" t="s">
        <v>4</v>
      </c>
      <c r="I4" s="1318">
        <f>'ORÇAMENTO '!N7</f>
        <v>0.24199999999999999</v>
      </c>
    </row>
    <row r="5" spans="2:9" s="93" customFormat="1" ht="15" customHeight="1" thickBot="1">
      <c r="B5" s="1997" t="s">
        <v>413</v>
      </c>
      <c r="C5" s="1998"/>
      <c r="D5" s="1998"/>
      <c r="E5" s="1998"/>
      <c r="F5" s="1998"/>
      <c r="G5" s="1998"/>
      <c r="H5" s="1998"/>
      <c r="I5" s="1999"/>
    </row>
    <row r="6" spans="2:9" s="91" customFormat="1" ht="6" thickBot="1">
      <c r="B6" s="86"/>
      <c r="C6" s="87"/>
      <c r="D6" s="88"/>
      <c r="E6" s="87"/>
      <c r="F6" s="89"/>
      <c r="G6" s="89"/>
      <c r="H6" s="89"/>
      <c r="I6" s="90"/>
    </row>
    <row r="7" spans="2:9" ht="15.75">
      <c r="B7" s="182" t="s">
        <v>5</v>
      </c>
      <c r="C7" s="175" t="str">
        <f>'ORÇAMENTO '!G11</f>
        <v xml:space="preserve">ESCOLA MUNICIPAL DOMINGOS AZZOLINI </v>
      </c>
      <c r="D7" s="183"/>
      <c r="E7" s="183"/>
      <c r="F7" s="183"/>
      <c r="G7" s="184"/>
      <c r="H7" s="185" t="s">
        <v>6</v>
      </c>
      <c r="I7" s="186">
        <f>'ORÇAMENTO '!N11</f>
        <v>45366</v>
      </c>
    </row>
    <row r="8" spans="2:9" ht="16.5" thickBot="1">
      <c r="B8" s="187" t="s">
        <v>7</v>
      </c>
      <c r="C8" s="188" t="str">
        <f>'ORÇAMENTO '!G12</f>
        <v>SANTO ANTONIO DO LESTE</v>
      </c>
      <c r="D8" s="189"/>
      <c r="E8" s="190"/>
      <c r="F8" s="190"/>
      <c r="G8" s="191"/>
      <c r="H8" s="192" t="s">
        <v>8</v>
      </c>
      <c r="I8" s="193">
        <f>'ORÇAMENTO '!N12</f>
        <v>1.0684</v>
      </c>
    </row>
    <row r="9" spans="2:9" ht="18.75" thickBot="1">
      <c r="B9" s="2000" t="s">
        <v>405</v>
      </c>
      <c r="C9" s="2001"/>
      <c r="D9" s="2001"/>
      <c r="E9" s="2001"/>
      <c r="F9" s="2001"/>
      <c r="G9" s="2001"/>
      <c r="H9" s="2001"/>
      <c r="I9" s="2002"/>
    </row>
    <row r="10" spans="2:9" s="91" customFormat="1" ht="15" customHeight="1" thickBot="1">
      <c r="B10" s="131"/>
      <c r="C10" s="131"/>
      <c r="D10" s="131"/>
      <c r="E10" s="131"/>
      <c r="F10" s="131"/>
      <c r="G10" s="131"/>
      <c r="H10" s="131"/>
      <c r="I10" s="131"/>
    </row>
    <row r="11" spans="2:9" s="91" customFormat="1" ht="9.9499999999999993" customHeight="1">
      <c r="B11" s="1986" t="s">
        <v>406</v>
      </c>
      <c r="C11" s="1987"/>
      <c r="D11" s="1987"/>
      <c r="E11" s="1987"/>
      <c r="F11" s="1987"/>
      <c r="G11" s="1987"/>
      <c r="H11" s="1987"/>
      <c r="I11" s="1988"/>
    </row>
    <row r="12" spans="2:9" s="91" customFormat="1" ht="9.9499999999999993" customHeight="1" thickBot="1">
      <c r="B12" s="1989"/>
      <c r="C12" s="1990"/>
      <c r="D12" s="1990"/>
      <c r="E12" s="1990"/>
      <c r="F12" s="1990"/>
      <c r="G12" s="1990"/>
      <c r="H12" s="1990"/>
      <c r="I12" s="1991"/>
    </row>
    <row r="13" spans="2:9" s="91" customFormat="1" ht="48" thickBot="1">
      <c r="B13" s="194" t="s">
        <v>10</v>
      </c>
      <c r="C13" s="195" t="s">
        <v>11</v>
      </c>
      <c r="D13" s="195" t="s">
        <v>12</v>
      </c>
      <c r="E13" s="195" t="s">
        <v>13</v>
      </c>
      <c r="F13" s="196" t="s">
        <v>14</v>
      </c>
      <c r="G13" s="196" t="s">
        <v>15</v>
      </c>
      <c r="H13" s="196" t="s">
        <v>16</v>
      </c>
      <c r="I13" s="197" t="s">
        <v>17</v>
      </c>
    </row>
    <row r="14" spans="2:9" s="91" customFormat="1" ht="15" customHeight="1">
      <c r="B14" s="198"/>
      <c r="C14" s="199"/>
      <c r="D14" s="199"/>
      <c r="E14" s="199"/>
      <c r="F14" s="199"/>
      <c r="G14" s="199"/>
      <c r="H14" s="199"/>
      <c r="I14" s="200"/>
    </row>
    <row r="15" spans="2:9" s="91" customFormat="1" ht="15" customHeight="1">
      <c r="B15" s="201"/>
      <c r="C15" s="202"/>
      <c r="D15" s="202"/>
      <c r="E15" s="202"/>
      <c r="F15" s="202"/>
      <c r="G15" s="202"/>
      <c r="H15" s="202"/>
      <c r="I15" s="203"/>
    </row>
    <row r="16" spans="2:9" s="91" customFormat="1" ht="15" customHeight="1">
      <c r="B16" s="201"/>
      <c r="C16" s="202"/>
      <c r="D16" s="202"/>
      <c r="E16" s="202"/>
      <c r="F16" s="202"/>
      <c r="G16" s="202"/>
      <c r="H16" s="202"/>
      <c r="I16" s="203"/>
    </row>
    <row r="17" spans="2:9" s="91" customFormat="1" ht="15" customHeight="1">
      <c r="B17" s="201"/>
      <c r="C17" s="202"/>
      <c r="D17" s="202"/>
      <c r="E17" s="202"/>
      <c r="F17" s="202"/>
      <c r="G17" s="202"/>
      <c r="H17" s="202"/>
      <c r="I17" s="203"/>
    </row>
    <row r="18" spans="2:9" s="91" customFormat="1" ht="15" customHeight="1">
      <c r="B18" s="201"/>
      <c r="C18" s="202"/>
      <c r="D18" s="202"/>
      <c r="E18" s="202"/>
      <c r="F18" s="202"/>
      <c r="G18" s="202"/>
      <c r="H18" s="202"/>
      <c r="I18" s="203"/>
    </row>
    <row r="19" spans="2:9" s="91" customFormat="1" ht="15" customHeight="1">
      <c r="B19" s="201"/>
      <c r="C19" s="202"/>
      <c r="D19" s="202"/>
      <c r="E19" s="202"/>
      <c r="F19" s="202"/>
      <c r="G19" s="202"/>
      <c r="H19" s="202"/>
      <c r="I19" s="203"/>
    </row>
    <row r="20" spans="2:9" s="91" customFormat="1" ht="15" customHeight="1">
      <c r="B20" s="201"/>
      <c r="C20" s="202"/>
      <c r="D20" s="202"/>
      <c r="E20" s="202"/>
      <c r="F20" s="202"/>
      <c r="G20" s="202"/>
      <c r="H20" s="202"/>
      <c r="I20" s="203"/>
    </row>
    <row r="21" spans="2:9" s="91" customFormat="1" ht="15" customHeight="1">
      <c r="B21" s="201"/>
      <c r="C21" s="202"/>
      <c r="D21" s="202"/>
      <c r="E21" s="202"/>
      <c r="F21" s="202"/>
      <c r="G21" s="202"/>
      <c r="H21" s="202"/>
      <c r="I21" s="203"/>
    </row>
    <row r="22" spans="2:9" s="91" customFormat="1" ht="15" customHeight="1">
      <c r="B22" s="201"/>
      <c r="C22" s="202"/>
      <c r="D22" s="202"/>
      <c r="E22" s="202"/>
      <c r="F22" s="202"/>
      <c r="G22" s="202"/>
      <c r="H22" s="202"/>
      <c r="I22" s="203"/>
    </row>
    <row r="23" spans="2:9" s="91" customFormat="1" ht="15" customHeight="1">
      <c r="B23" s="201"/>
      <c r="C23" s="202"/>
      <c r="D23" s="202"/>
      <c r="E23" s="202"/>
      <c r="F23" s="202"/>
      <c r="G23" s="202"/>
      <c r="H23" s="202"/>
      <c r="I23" s="203"/>
    </row>
    <row r="24" spans="2:9" s="91" customFormat="1" ht="15" customHeight="1">
      <c r="B24" s="201"/>
      <c r="C24" s="202"/>
      <c r="D24" s="202"/>
      <c r="E24" s="202"/>
      <c r="F24" s="202"/>
      <c r="G24" s="202"/>
      <c r="H24" s="202"/>
      <c r="I24" s="203"/>
    </row>
    <row r="25" spans="2:9" s="91" customFormat="1" ht="15" customHeight="1">
      <c r="B25" s="201"/>
      <c r="C25" s="202"/>
      <c r="D25" s="202"/>
      <c r="E25" s="202"/>
      <c r="F25" s="202"/>
      <c r="G25" s="202"/>
      <c r="H25" s="202"/>
      <c r="I25" s="203"/>
    </row>
    <row r="26" spans="2:9" s="91" customFormat="1" ht="15" customHeight="1" thickBot="1">
      <c r="B26" s="204"/>
      <c r="C26" s="205"/>
      <c r="D26" s="205"/>
      <c r="E26" s="205"/>
      <c r="F26" s="205"/>
      <c r="G26" s="205"/>
      <c r="H26" s="205"/>
      <c r="I26" s="206"/>
    </row>
    <row r="27" spans="2:9" ht="24" customHeight="1" thickBot="1">
      <c r="B27" s="1992" t="s">
        <v>330</v>
      </c>
      <c r="C27" s="1993"/>
      <c r="D27" s="1993"/>
      <c r="E27" s="1993"/>
      <c r="F27" s="1993"/>
      <c r="G27" s="1994"/>
      <c r="H27" s="1995"/>
      <c r="I27" s="1996"/>
    </row>
    <row r="28" spans="2:9" s="91" customFormat="1" ht="15" customHeight="1">
      <c r="B28" s="131"/>
      <c r="C28" s="131"/>
      <c r="D28" s="131"/>
      <c r="E28" s="131"/>
      <c r="F28" s="131"/>
      <c r="G28" s="131"/>
      <c r="H28" s="131"/>
      <c r="I28" s="131"/>
    </row>
    <row r="29" spans="2:9" s="91" customFormat="1" ht="15" customHeight="1" thickBot="1">
      <c r="B29" s="131"/>
      <c r="C29" s="131"/>
      <c r="D29" s="131"/>
      <c r="E29" s="131"/>
      <c r="F29" s="131"/>
      <c r="G29" s="131"/>
      <c r="H29" s="131"/>
      <c r="I29" s="131"/>
    </row>
    <row r="30" spans="2:9" s="91" customFormat="1" ht="15" customHeight="1">
      <c r="B30" s="1986" t="s">
        <v>407</v>
      </c>
      <c r="C30" s="1987"/>
      <c r="D30" s="1987"/>
      <c r="E30" s="1987"/>
      <c r="F30" s="1987"/>
      <c r="G30" s="1987"/>
      <c r="H30" s="1987"/>
      <c r="I30" s="1988"/>
    </row>
    <row r="31" spans="2:9" s="91" customFormat="1" ht="15" customHeight="1" thickBot="1">
      <c r="B31" s="1989"/>
      <c r="C31" s="1990"/>
      <c r="D31" s="1990"/>
      <c r="E31" s="1990"/>
      <c r="F31" s="1990"/>
      <c r="G31" s="1990"/>
      <c r="H31" s="1990"/>
      <c r="I31" s="1991"/>
    </row>
    <row r="32" spans="2:9" s="91" customFormat="1" ht="48" thickBot="1">
      <c r="B32" s="194" t="s">
        <v>10</v>
      </c>
      <c r="C32" s="195" t="s">
        <v>11</v>
      </c>
      <c r="D32" s="195" t="s">
        <v>12</v>
      </c>
      <c r="E32" s="195" t="s">
        <v>13</v>
      </c>
      <c r="F32" s="196" t="s">
        <v>14</v>
      </c>
      <c r="G32" s="196" t="s">
        <v>15</v>
      </c>
      <c r="H32" s="196" t="s">
        <v>16</v>
      </c>
      <c r="I32" s="197" t="s">
        <v>17</v>
      </c>
    </row>
    <row r="33" spans="2:9" s="91" customFormat="1" ht="15" customHeight="1">
      <c r="B33" s="198"/>
      <c r="C33" s="199"/>
      <c r="D33" s="199"/>
      <c r="E33" s="199"/>
      <c r="F33" s="199"/>
      <c r="G33" s="199"/>
      <c r="H33" s="199"/>
      <c r="I33" s="200"/>
    </row>
    <row r="34" spans="2:9" s="91" customFormat="1" ht="15" customHeight="1">
      <c r="B34" s="201"/>
      <c r="C34" s="202"/>
      <c r="D34" s="202"/>
      <c r="E34" s="202"/>
      <c r="F34" s="202"/>
      <c r="G34" s="202"/>
      <c r="H34" s="202"/>
      <c r="I34" s="203"/>
    </row>
    <row r="35" spans="2:9" s="91" customFormat="1" ht="15" customHeight="1">
      <c r="B35" s="201"/>
      <c r="C35" s="202"/>
      <c r="D35" s="202"/>
      <c r="E35" s="202"/>
      <c r="F35" s="202"/>
      <c r="G35" s="202"/>
      <c r="H35" s="202"/>
      <c r="I35" s="203"/>
    </row>
    <row r="36" spans="2:9" s="91" customFormat="1" ht="15" customHeight="1">
      <c r="B36" s="201"/>
      <c r="C36" s="202"/>
      <c r="D36" s="202"/>
      <c r="E36" s="202"/>
      <c r="F36" s="202"/>
      <c r="G36" s="202"/>
      <c r="H36" s="202"/>
      <c r="I36" s="203"/>
    </row>
    <row r="37" spans="2:9" s="91" customFormat="1" ht="15" customHeight="1">
      <c r="B37" s="201"/>
      <c r="C37" s="202"/>
      <c r="D37" s="202"/>
      <c r="E37" s="202"/>
      <c r="F37" s="202"/>
      <c r="G37" s="202"/>
      <c r="H37" s="202"/>
      <c r="I37" s="203"/>
    </row>
    <row r="38" spans="2:9" s="91" customFormat="1" ht="15" customHeight="1">
      <c r="B38" s="201"/>
      <c r="C38" s="202"/>
      <c r="D38" s="202"/>
      <c r="E38" s="202"/>
      <c r="F38" s="202"/>
      <c r="G38" s="202"/>
      <c r="H38" s="202"/>
      <c r="I38" s="203"/>
    </row>
    <row r="39" spans="2:9" s="91" customFormat="1" ht="15" customHeight="1">
      <c r="B39" s="201"/>
      <c r="C39" s="202"/>
      <c r="D39" s="202"/>
      <c r="E39" s="202"/>
      <c r="F39" s="202"/>
      <c r="G39" s="202"/>
      <c r="H39" s="202"/>
      <c r="I39" s="203"/>
    </row>
    <row r="40" spans="2:9" s="91" customFormat="1" ht="15" customHeight="1">
      <c r="B40" s="201"/>
      <c r="C40" s="202"/>
      <c r="D40" s="202"/>
      <c r="E40" s="202"/>
      <c r="F40" s="202"/>
      <c r="G40" s="202"/>
      <c r="H40" s="202"/>
      <c r="I40" s="203"/>
    </row>
    <row r="41" spans="2:9" s="91" customFormat="1" ht="15" customHeight="1">
      <c r="B41" s="201"/>
      <c r="C41" s="202"/>
      <c r="D41" s="202"/>
      <c r="E41" s="202"/>
      <c r="F41" s="202"/>
      <c r="G41" s="202"/>
      <c r="H41" s="202"/>
      <c r="I41" s="203"/>
    </row>
    <row r="42" spans="2:9" s="91" customFormat="1" ht="15" customHeight="1">
      <c r="B42" s="201"/>
      <c r="C42" s="202"/>
      <c r="D42" s="202"/>
      <c r="E42" s="202"/>
      <c r="F42" s="202"/>
      <c r="G42" s="202"/>
      <c r="H42" s="202"/>
      <c r="I42" s="203"/>
    </row>
    <row r="43" spans="2:9" s="91" customFormat="1" ht="15" customHeight="1">
      <c r="B43" s="201"/>
      <c r="C43" s="202"/>
      <c r="D43" s="202"/>
      <c r="E43" s="202"/>
      <c r="F43" s="202"/>
      <c r="G43" s="202"/>
      <c r="H43" s="202"/>
      <c r="I43" s="203"/>
    </row>
    <row r="44" spans="2:9" s="91" customFormat="1" ht="15" customHeight="1">
      <c r="B44" s="201"/>
      <c r="C44" s="202"/>
      <c r="D44" s="202"/>
      <c r="E44" s="202"/>
      <c r="F44" s="202"/>
      <c r="G44" s="202"/>
      <c r="H44" s="202"/>
      <c r="I44" s="203"/>
    </row>
    <row r="45" spans="2:9" s="91" customFormat="1" ht="15" customHeight="1" thickBot="1">
      <c r="B45" s="204"/>
      <c r="C45" s="205"/>
      <c r="D45" s="205"/>
      <c r="E45" s="205"/>
      <c r="F45" s="205"/>
      <c r="G45" s="205"/>
      <c r="H45" s="205"/>
      <c r="I45" s="206"/>
    </row>
    <row r="46" spans="2:9" ht="24" customHeight="1" thickBot="1">
      <c r="B46" s="1992" t="s">
        <v>330</v>
      </c>
      <c r="C46" s="1993"/>
      <c r="D46" s="1993"/>
      <c r="E46" s="1993"/>
      <c r="F46" s="1993"/>
      <c r="G46" s="1994"/>
      <c r="H46" s="1995"/>
      <c r="I46" s="1996"/>
    </row>
    <row r="47" spans="2:9" s="91" customFormat="1" ht="15" customHeight="1">
      <c r="B47" s="131"/>
      <c r="C47" s="131"/>
      <c r="D47" s="131"/>
      <c r="E47" s="131"/>
      <c r="F47" s="131"/>
      <c r="G47" s="131"/>
      <c r="H47" s="131"/>
      <c r="I47" s="131"/>
    </row>
    <row r="48" spans="2:9" s="91" customFormat="1" ht="15" customHeight="1">
      <c r="B48" s="131"/>
      <c r="C48" s="131"/>
      <c r="D48" s="131"/>
      <c r="E48" s="131"/>
      <c r="F48" s="131"/>
      <c r="G48" s="131"/>
      <c r="H48" s="131"/>
      <c r="I48" s="131"/>
    </row>
    <row r="49" spans="2:9" s="91" customFormat="1" ht="15" customHeight="1">
      <c r="B49" s="131"/>
      <c r="C49" s="131"/>
      <c r="D49" s="131"/>
      <c r="E49" s="131"/>
      <c r="F49" s="131"/>
      <c r="G49" s="131"/>
      <c r="H49" s="131"/>
      <c r="I49" s="131"/>
    </row>
    <row r="50" spans="2:9" s="91" customFormat="1" ht="15" customHeight="1">
      <c r="B50" s="131"/>
      <c r="C50" s="131"/>
      <c r="D50" s="131"/>
      <c r="E50" s="131"/>
      <c r="F50" s="131"/>
      <c r="G50" s="131"/>
      <c r="H50" s="131"/>
      <c r="I50" s="131"/>
    </row>
    <row r="51" spans="2:9" s="91" customFormat="1" ht="15" customHeight="1">
      <c r="B51" s="131"/>
      <c r="C51" s="131"/>
      <c r="D51" s="131"/>
      <c r="E51" s="131"/>
      <c r="F51" s="131"/>
      <c r="G51" s="131"/>
      <c r="H51" s="131"/>
      <c r="I51" s="131"/>
    </row>
    <row r="52" spans="2:9" s="91" customFormat="1" ht="15" customHeight="1">
      <c r="B52" s="131"/>
      <c r="C52" s="131"/>
      <c r="D52" s="131"/>
      <c r="E52" s="131"/>
      <c r="F52" s="131"/>
      <c r="G52" s="131"/>
      <c r="H52" s="131"/>
      <c r="I52" s="131"/>
    </row>
    <row r="53" spans="2:9" s="91" customFormat="1" ht="15" customHeight="1">
      <c r="B53" s="131"/>
      <c r="C53" s="131"/>
      <c r="D53" s="131"/>
      <c r="E53" s="131"/>
      <c r="F53" s="131"/>
      <c r="G53" s="131"/>
      <c r="H53" s="131"/>
      <c r="I53" s="131"/>
    </row>
    <row r="54" spans="2:9" s="91" customFormat="1" ht="15" customHeight="1">
      <c r="B54" s="131"/>
      <c r="C54" s="131"/>
      <c r="D54" s="131"/>
      <c r="E54" s="131"/>
      <c r="F54" s="131"/>
      <c r="G54" s="131"/>
      <c r="H54" s="131"/>
      <c r="I54" s="131"/>
    </row>
    <row r="55" spans="2:9" s="91" customFormat="1" ht="15" customHeight="1">
      <c r="B55" s="131"/>
      <c r="C55" s="131"/>
      <c r="D55" s="131"/>
      <c r="E55" s="131"/>
      <c r="F55" s="131"/>
      <c r="G55" s="131"/>
      <c r="H55" s="131"/>
      <c r="I55" s="131"/>
    </row>
    <row r="56" spans="2:9" s="91" customFormat="1" ht="15" customHeight="1">
      <c r="B56" s="131"/>
      <c r="C56" s="131"/>
      <c r="D56" s="131"/>
      <c r="E56" s="131"/>
      <c r="F56" s="131"/>
      <c r="G56" s="131"/>
      <c r="H56" s="131"/>
      <c r="I56" s="131"/>
    </row>
    <row r="57" spans="2:9" s="91" customFormat="1" ht="15" customHeight="1">
      <c r="B57" s="131"/>
      <c r="C57" s="131"/>
      <c r="D57" s="131"/>
      <c r="E57" s="131"/>
      <c r="F57" s="131"/>
      <c r="G57" s="131"/>
      <c r="H57" s="131"/>
      <c r="I57" s="131"/>
    </row>
    <row r="58" spans="2:9" s="91" customFormat="1" ht="15" customHeight="1">
      <c r="B58" s="131"/>
      <c r="C58" s="131"/>
      <c r="D58" s="131"/>
      <c r="E58" s="131"/>
      <c r="F58" s="131"/>
      <c r="G58" s="131"/>
      <c r="H58" s="131"/>
      <c r="I58" s="131"/>
    </row>
    <row r="59" spans="2:9" s="91" customFormat="1" ht="15" customHeight="1">
      <c r="B59" s="131"/>
      <c r="C59" s="131"/>
      <c r="D59" s="131"/>
      <c r="E59" s="131"/>
      <c r="F59" s="131"/>
      <c r="G59" s="131"/>
      <c r="H59" s="131"/>
      <c r="I59" s="131"/>
    </row>
    <row r="60" spans="2:9" s="91" customFormat="1" ht="15" customHeight="1">
      <c r="B60" s="131"/>
      <c r="C60" s="131"/>
      <c r="D60" s="131"/>
      <c r="E60" s="131"/>
      <c r="F60" s="131"/>
      <c r="G60" s="131"/>
      <c r="H60" s="131"/>
      <c r="I60" s="131"/>
    </row>
    <row r="61" spans="2:9" s="91" customFormat="1" ht="15" customHeight="1">
      <c r="B61" s="131"/>
      <c r="C61" s="131"/>
      <c r="D61" s="131"/>
      <c r="E61" s="131"/>
      <c r="F61" s="131"/>
      <c r="G61" s="131"/>
      <c r="H61" s="131"/>
      <c r="I61" s="131"/>
    </row>
    <row r="62" spans="2:9" s="91" customFormat="1" ht="15" customHeight="1">
      <c r="B62" s="131"/>
      <c r="C62" s="131"/>
      <c r="D62" s="131"/>
      <c r="E62" s="131"/>
      <c r="F62" s="131"/>
      <c r="G62" s="131"/>
      <c r="H62" s="131"/>
      <c r="I62" s="131"/>
    </row>
    <row r="63" spans="2:9" s="91" customFormat="1" ht="15" customHeight="1">
      <c r="B63" s="131"/>
      <c r="C63" s="131"/>
      <c r="D63" s="131"/>
      <c r="E63" s="131"/>
      <c r="F63" s="131"/>
      <c r="G63" s="131"/>
      <c r="H63" s="131"/>
      <c r="I63" s="131"/>
    </row>
    <row r="64" spans="2:9" s="91" customFormat="1" ht="15" customHeight="1">
      <c r="B64" s="131"/>
      <c r="C64" s="131"/>
      <c r="D64" s="131"/>
      <c r="E64" s="131"/>
      <c r="F64" s="131"/>
      <c r="G64" s="131"/>
      <c r="H64" s="131"/>
      <c r="I64" s="131"/>
    </row>
    <row r="65" spans="2:9" s="91" customFormat="1" ht="15" customHeight="1">
      <c r="B65" s="131"/>
      <c r="C65" s="131"/>
      <c r="D65" s="131"/>
      <c r="E65" s="131"/>
      <c r="F65" s="131"/>
      <c r="G65" s="131"/>
      <c r="H65" s="131"/>
      <c r="I65" s="131"/>
    </row>
    <row r="66" spans="2:9" s="91" customFormat="1" ht="15" customHeight="1">
      <c r="B66" s="131"/>
      <c r="C66" s="131"/>
      <c r="D66" s="131"/>
      <c r="E66" s="131"/>
      <c r="F66" s="131"/>
      <c r="G66" s="131"/>
      <c r="H66" s="131"/>
      <c r="I66" s="131"/>
    </row>
    <row r="67" spans="2:9" s="91" customFormat="1" ht="15" customHeight="1">
      <c r="B67" s="131"/>
      <c r="C67" s="131"/>
      <c r="D67" s="131"/>
      <c r="E67" s="131"/>
      <c r="F67" s="131"/>
      <c r="G67" s="131"/>
      <c r="H67" s="131"/>
      <c r="I67" s="131"/>
    </row>
    <row r="68" spans="2:9" s="91" customFormat="1" ht="15" customHeight="1">
      <c r="B68" s="131"/>
      <c r="C68" s="131"/>
      <c r="D68" s="131"/>
      <c r="E68" s="131"/>
      <c r="F68" s="131"/>
      <c r="G68" s="131"/>
      <c r="H68" s="131"/>
      <c r="I68" s="131"/>
    </row>
    <row r="69" spans="2:9" s="91" customFormat="1" ht="15" customHeight="1">
      <c r="B69" s="131"/>
      <c r="C69" s="131"/>
      <c r="D69" s="131"/>
      <c r="E69" s="131"/>
      <c r="F69" s="131"/>
      <c r="G69" s="131"/>
      <c r="H69" s="131"/>
      <c r="I69" s="131"/>
    </row>
  </sheetData>
  <mergeCells count="12">
    <mergeCell ref="B5:I5"/>
    <mergeCell ref="B9:I9"/>
    <mergeCell ref="B3:C4"/>
    <mergeCell ref="H3:I3"/>
    <mergeCell ref="D3:G3"/>
    <mergeCell ref="D4:G4"/>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5">
    <tabColor theme="3" tint="0.79998168889431442"/>
  </sheetPr>
  <dimension ref="A3:L901"/>
  <sheetViews>
    <sheetView view="pageBreakPreview" topLeftCell="A877" zoomScale="85" zoomScaleNormal="100" zoomScaleSheetLayoutView="85" workbookViewId="0">
      <selection activeCell="I883" sqref="I883"/>
    </sheetView>
  </sheetViews>
  <sheetFormatPr defaultRowHeight="15"/>
  <cols>
    <col min="1" max="1" width="19.5703125" style="308" customWidth="1"/>
    <col min="2" max="2" width="24.7109375" style="308" customWidth="1"/>
    <col min="3" max="3" width="75.7109375" style="308" customWidth="1"/>
    <col min="4" max="4" width="15.7109375" style="308" customWidth="1"/>
    <col min="5" max="5" width="23.7109375" style="308" customWidth="1"/>
    <col min="6" max="6" width="18.7109375" style="308" customWidth="1"/>
    <col min="7" max="7" width="20.7109375" style="308" customWidth="1"/>
    <col min="8" max="8" width="16.140625" style="308" bestFit="1" customWidth="1"/>
    <col min="9" max="9" width="16.5703125" style="308" bestFit="1" customWidth="1"/>
    <col min="10" max="257" width="9.140625" style="308"/>
    <col min="258" max="258" width="24.5703125" style="308" customWidth="1"/>
    <col min="259" max="259" width="71.7109375" style="308" customWidth="1"/>
    <col min="260" max="260" width="17.140625" style="308" bestFit="1" customWidth="1"/>
    <col min="261" max="261" width="16.7109375" style="308" bestFit="1" customWidth="1"/>
    <col min="262" max="262" width="16.85546875" style="308" bestFit="1" customWidth="1"/>
    <col min="263" max="263" width="21.42578125" style="308" customWidth="1"/>
    <col min="264" max="264" width="9.140625" style="308"/>
    <col min="265" max="265" width="16.5703125" style="308" bestFit="1" customWidth="1"/>
    <col min="266" max="513" width="9.140625" style="308"/>
    <col min="514" max="514" width="24.5703125" style="308" customWidth="1"/>
    <col min="515" max="515" width="71.7109375" style="308" customWidth="1"/>
    <col min="516" max="516" width="17.140625" style="308" bestFit="1" customWidth="1"/>
    <col min="517" max="517" width="16.7109375" style="308" bestFit="1" customWidth="1"/>
    <col min="518" max="518" width="16.85546875" style="308" bestFit="1" customWidth="1"/>
    <col min="519" max="519" width="21.42578125" style="308" customWidth="1"/>
    <col min="520" max="520" width="9.140625" style="308"/>
    <col min="521" max="521" width="16.5703125" style="308" bestFit="1" customWidth="1"/>
    <col min="522" max="769" width="9.140625" style="308"/>
    <col min="770" max="770" width="24.5703125" style="308" customWidth="1"/>
    <col min="771" max="771" width="71.7109375" style="308" customWidth="1"/>
    <col min="772" max="772" width="17.140625" style="308" bestFit="1" customWidth="1"/>
    <col min="773" max="773" width="16.7109375" style="308" bestFit="1" customWidth="1"/>
    <col min="774" max="774" width="16.85546875" style="308" bestFit="1" customWidth="1"/>
    <col min="775" max="775" width="21.42578125" style="308" customWidth="1"/>
    <col min="776" max="776" width="9.140625" style="308"/>
    <col min="777" max="777" width="16.5703125" style="308" bestFit="1" customWidth="1"/>
    <col min="778" max="1025" width="9.140625" style="308"/>
    <col min="1026" max="1026" width="24.5703125" style="308" customWidth="1"/>
    <col min="1027" max="1027" width="71.7109375" style="308" customWidth="1"/>
    <col min="1028" max="1028" width="17.140625" style="308" bestFit="1" customWidth="1"/>
    <col min="1029" max="1029" width="16.7109375" style="308" bestFit="1" customWidth="1"/>
    <col min="1030" max="1030" width="16.85546875" style="308" bestFit="1" customWidth="1"/>
    <col min="1031" max="1031" width="21.42578125" style="308" customWidth="1"/>
    <col min="1032" max="1032" width="9.140625" style="308"/>
    <col min="1033" max="1033" width="16.5703125" style="308" bestFit="1" customWidth="1"/>
    <col min="1034" max="1281" width="9.140625" style="308"/>
    <col min="1282" max="1282" width="24.5703125" style="308" customWidth="1"/>
    <col min="1283" max="1283" width="71.7109375" style="308" customWidth="1"/>
    <col min="1284" max="1284" width="17.140625" style="308" bestFit="1" customWidth="1"/>
    <col min="1285" max="1285" width="16.7109375" style="308" bestFit="1" customWidth="1"/>
    <col min="1286" max="1286" width="16.85546875" style="308" bestFit="1" customWidth="1"/>
    <col min="1287" max="1287" width="21.42578125" style="308" customWidth="1"/>
    <col min="1288" max="1288" width="9.140625" style="308"/>
    <col min="1289" max="1289" width="16.5703125" style="308" bestFit="1" customWidth="1"/>
    <col min="1290" max="1537" width="9.140625" style="308"/>
    <col min="1538" max="1538" width="24.5703125" style="308" customWidth="1"/>
    <col min="1539" max="1539" width="71.7109375" style="308" customWidth="1"/>
    <col min="1540" max="1540" width="17.140625" style="308" bestFit="1" customWidth="1"/>
    <col min="1541" max="1541" width="16.7109375" style="308" bestFit="1" customWidth="1"/>
    <col min="1542" max="1542" width="16.85546875" style="308" bestFit="1" customWidth="1"/>
    <col min="1543" max="1543" width="21.42578125" style="308" customWidth="1"/>
    <col min="1544" max="1544" width="9.140625" style="308"/>
    <col min="1545" max="1545" width="16.5703125" style="308" bestFit="1" customWidth="1"/>
    <col min="1546" max="1793" width="9.140625" style="308"/>
    <col min="1794" max="1794" width="24.5703125" style="308" customWidth="1"/>
    <col min="1795" max="1795" width="71.7109375" style="308" customWidth="1"/>
    <col min="1796" max="1796" width="17.140625" style="308" bestFit="1" customWidth="1"/>
    <col min="1797" max="1797" width="16.7109375" style="308" bestFit="1" customWidth="1"/>
    <col min="1798" max="1798" width="16.85546875" style="308" bestFit="1" customWidth="1"/>
    <col min="1799" max="1799" width="21.42578125" style="308" customWidth="1"/>
    <col min="1800" max="1800" width="9.140625" style="308"/>
    <col min="1801" max="1801" width="16.5703125" style="308" bestFit="1" customWidth="1"/>
    <col min="1802" max="2049" width="9.140625" style="308"/>
    <col min="2050" max="2050" width="24.5703125" style="308" customWidth="1"/>
    <col min="2051" max="2051" width="71.7109375" style="308" customWidth="1"/>
    <col min="2052" max="2052" width="17.140625" style="308" bestFit="1" customWidth="1"/>
    <col min="2053" max="2053" width="16.7109375" style="308" bestFit="1" customWidth="1"/>
    <col min="2054" max="2054" width="16.85546875" style="308" bestFit="1" customWidth="1"/>
    <col min="2055" max="2055" width="21.42578125" style="308" customWidth="1"/>
    <col min="2056" max="2056" width="9.140625" style="308"/>
    <col min="2057" max="2057" width="16.5703125" style="308" bestFit="1" customWidth="1"/>
    <col min="2058" max="2305" width="9.140625" style="308"/>
    <col min="2306" max="2306" width="24.5703125" style="308" customWidth="1"/>
    <col min="2307" max="2307" width="71.7109375" style="308" customWidth="1"/>
    <col min="2308" max="2308" width="17.140625" style="308" bestFit="1" customWidth="1"/>
    <col min="2309" max="2309" width="16.7109375" style="308" bestFit="1" customWidth="1"/>
    <col min="2310" max="2310" width="16.85546875" style="308" bestFit="1" customWidth="1"/>
    <col min="2311" max="2311" width="21.42578125" style="308" customWidth="1"/>
    <col min="2312" max="2312" width="9.140625" style="308"/>
    <col min="2313" max="2313" width="16.5703125" style="308" bestFit="1" customWidth="1"/>
    <col min="2314" max="2561" width="9.140625" style="308"/>
    <col min="2562" max="2562" width="24.5703125" style="308" customWidth="1"/>
    <col min="2563" max="2563" width="71.7109375" style="308" customWidth="1"/>
    <col min="2564" max="2564" width="17.140625" style="308" bestFit="1" customWidth="1"/>
    <col min="2565" max="2565" width="16.7109375" style="308" bestFit="1" customWidth="1"/>
    <col min="2566" max="2566" width="16.85546875" style="308" bestFit="1" customWidth="1"/>
    <col min="2567" max="2567" width="21.42578125" style="308" customWidth="1"/>
    <col min="2568" max="2568" width="9.140625" style="308"/>
    <col min="2569" max="2569" width="16.5703125" style="308" bestFit="1" customWidth="1"/>
    <col min="2570" max="2817" width="9.140625" style="308"/>
    <col min="2818" max="2818" width="24.5703125" style="308" customWidth="1"/>
    <col min="2819" max="2819" width="71.7109375" style="308" customWidth="1"/>
    <col min="2820" max="2820" width="17.140625" style="308" bestFit="1" customWidth="1"/>
    <col min="2821" max="2821" width="16.7109375" style="308" bestFit="1" customWidth="1"/>
    <col min="2822" max="2822" width="16.85546875" style="308" bestFit="1" customWidth="1"/>
    <col min="2823" max="2823" width="21.42578125" style="308" customWidth="1"/>
    <col min="2824" max="2824" width="9.140625" style="308"/>
    <col min="2825" max="2825" width="16.5703125" style="308" bestFit="1" customWidth="1"/>
    <col min="2826" max="3073" width="9.140625" style="308"/>
    <col min="3074" max="3074" width="24.5703125" style="308" customWidth="1"/>
    <col min="3075" max="3075" width="71.7109375" style="308" customWidth="1"/>
    <col min="3076" max="3076" width="17.140625" style="308" bestFit="1" customWidth="1"/>
    <col min="3077" max="3077" width="16.7109375" style="308" bestFit="1" customWidth="1"/>
    <col min="3078" max="3078" width="16.85546875" style="308" bestFit="1" customWidth="1"/>
    <col min="3079" max="3079" width="21.42578125" style="308" customWidth="1"/>
    <col min="3080" max="3080" width="9.140625" style="308"/>
    <col min="3081" max="3081" width="16.5703125" style="308" bestFit="1" customWidth="1"/>
    <col min="3082" max="3329" width="9.140625" style="308"/>
    <col min="3330" max="3330" width="24.5703125" style="308" customWidth="1"/>
    <col min="3331" max="3331" width="71.7109375" style="308" customWidth="1"/>
    <col min="3332" max="3332" width="17.140625" style="308" bestFit="1" customWidth="1"/>
    <col min="3333" max="3333" width="16.7109375" style="308" bestFit="1" customWidth="1"/>
    <col min="3334" max="3334" width="16.85546875" style="308" bestFit="1" customWidth="1"/>
    <col min="3335" max="3335" width="21.42578125" style="308" customWidth="1"/>
    <col min="3336" max="3336" width="9.140625" style="308"/>
    <col min="3337" max="3337" width="16.5703125" style="308" bestFit="1" customWidth="1"/>
    <col min="3338" max="3585" width="9.140625" style="308"/>
    <col min="3586" max="3586" width="24.5703125" style="308" customWidth="1"/>
    <col min="3587" max="3587" width="71.7109375" style="308" customWidth="1"/>
    <col min="3588" max="3588" width="17.140625" style="308" bestFit="1" customWidth="1"/>
    <col min="3589" max="3589" width="16.7109375" style="308" bestFit="1" customWidth="1"/>
    <col min="3590" max="3590" width="16.85546875" style="308" bestFit="1" customWidth="1"/>
    <col min="3591" max="3591" width="21.42578125" style="308" customWidth="1"/>
    <col min="3592" max="3592" width="9.140625" style="308"/>
    <col min="3593" max="3593" width="16.5703125" style="308" bestFit="1" customWidth="1"/>
    <col min="3594" max="3841" width="9.140625" style="308"/>
    <col min="3842" max="3842" width="24.5703125" style="308" customWidth="1"/>
    <col min="3843" max="3843" width="71.7109375" style="308" customWidth="1"/>
    <col min="3844" max="3844" width="17.140625" style="308" bestFit="1" customWidth="1"/>
    <col min="3845" max="3845" width="16.7109375" style="308" bestFit="1" customWidth="1"/>
    <col min="3846" max="3846" width="16.85546875" style="308" bestFit="1" customWidth="1"/>
    <col min="3847" max="3847" width="21.42578125" style="308" customWidth="1"/>
    <col min="3848" max="3848" width="9.140625" style="308"/>
    <col min="3849" max="3849" width="16.5703125" style="308" bestFit="1" customWidth="1"/>
    <col min="3850" max="4097" width="9.140625" style="308"/>
    <col min="4098" max="4098" width="24.5703125" style="308" customWidth="1"/>
    <col min="4099" max="4099" width="71.7109375" style="308" customWidth="1"/>
    <col min="4100" max="4100" width="17.140625" style="308" bestFit="1" customWidth="1"/>
    <col min="4101" max="4101" width="16.7109375" style="308" bestFit="1" customWidth="1"/>
    <col min="4102" max="4102" width="16.85546875" style="308" bestFit="1" customWidth="1"/>
    <col min="4103" max="4103" width="21.42578125" style="308" customWidth="1"/>
    <col min="4104" max="4104" width="9.140625" style="308"/>
    <col min="4105" max="4105" width="16.5703125" style="308" bestFit="1" customWidth="1"/>
    <col min="4106" max="4353" width="9.140625" style="308"/>
    <col min="4354" max="4354" width="24.5703125" style="308" customWidth="1"/>
    <col min="4355" max="4355" width="71.7109375" style="308" customWidth="1"/>
    <col min="4356" max="4356" width="17.140625" style="308" bestFit="1" customWidth="1"/>
    <col min="4357" max="4357" width="16.7109375" style="308" bestFit="1" customWidth="1"/>
    <col min="4358" max="4358" width="16.85546875" style="308" bestFit="1" customWidth="1"/>
    <col min="4359" max="4359" width="21.42578125" style="308" customWidth="1"/>
    <col min="4360" max="4360" width="9.140625" style="308"/>
    <col min="4361" max="4361" width="16.5703125" style="308" bestFit="1" customWidth="1"/>
    <col min="4362" max="4609" width="9.140625" style="308"/>
    <col min="4610" max="4610" width="24.5703125" style="308" customWidth="1"/>
    <col min="4611" max="4611" width="71.7109375" style="308" customWidth="1"/>
    <col min="4612" max="4612" width="17.140625" style="308" bestFit="1" customWidth="1"/>
    <col min="4613" max="4613" width="16.7109375" style="308" bestFit="1" customWidth="1"/>
    <col min="4614" max="4614" width="16.85546875" style="308" bestFit="1" customWidth="1"/>
    <col min="4615" max="4615" width="21.42578125" style="308" customWidth="1"/>
    <col min="4616" max="4616" width="9.140625" style="308"/>
    <col min="4617" max="4617" width="16.5703125" style="308" bestFit="1" customWidth="1"/>
    <col min="4618" max="4865" width="9.140625" style="308"/>
    <col min="4866" max="4866" width="24.5703125" style="308" customWidth="1"/>
    <col min="4867" max="4867" width="71.7109375" style="308" customWidth="1"/>
    <col min="4868" max="4868" width="17.140625" style="308" bestFit="1" customWidth="1"/>
    <col min="4869" max="4869" width="16.7109375" style="308" bestFit="1" customWidth="1"/>
    <col min="4870" max="4870" width="16.85546875" style="308" bestFit="1" customWidth="1"/>
    <col min="4871" max="4871" width="21.42578125" style="308" customWidth="1"/>
    <col min="4872" max="4872" width="9.140625" style="308"/>
    <col min="4873" max="4873" width="16.5703125" style="308" bestFit="1" customWidth="1"/>
    <col min="4874" max="5121" width="9.140625" style="308"/>
    <col min="5122" max="5122" width="24.5703125" style="308" customWidth="1"/>
    <col min="5123" max="5123" width="71.7109375" style="308" customWidth="1"/>
    <col min="5124" max="5124" width="17.140625" style="308" bestFit="1" customWidth="1"/>
    <col min="5125" max="5125" width="16.7109375" style="308" bestFit="1" customWidth="1"/>
    <col min="5126" max="5126" width="16.85546875" style="308" bestFit="1" customWidth="1"/>
    <col min="5127" max="5127" width="21.42578125" style="308" customWidth="1"/>
    <col min="5128" max="5128" width="9.140625" style="308"/>
    <col min="5129" max="5129" width="16.5703125" style="308" bestFit="1" customWidth="1"/>
    <col min="5130" max="5377" width="9.140625" style="308"/>
    <col min="5378" max="5378" width="24.5703125" style="308" customWidth="1"/>
    <col min="5379" max="5379" width="71.7109375" style="308" customWidth="1"/>
    <col min="5380" max="5380" width="17.140625" style="308" bestFit="1" customWidth="1"/>
    <col min="5381" max="5381" width="16.7109375" style="308" bestFit="1" customWidth="1"/>
    <col min="5382" max="5382" width="16.85546875" style="308" bestFit="1" customWidth="1"/>
    <col min="5383" max="5383" width="21.42578125" style="308" customWidth="1"/>
    <col min="5384" max="5384" width="9.140625" style="308"/>
    <col min="5385" max="5385" width="16.5703125" style="308" bestFit="1" customWidth="1"/>
    <col min="5386" max="5633" width="9.140625" style="308"/>
    <col min="5634" max="5634" width="24.5703125" style="308" customWidth="1"/>
    <col min="5635" max="5635" width="71.7109375" style="308" customWidth="1"/>
    <col min="5636" max="5636" width="17.140625" style="308" bestFit="1" customWidth="1"/>
    <col min="5637" max="5637" width="16.7109375" style="308" bestFit="1" customWidth="1"/>
    <col min="5638" max="5638" width="16.85546875" style="308" bestFit="1" customWidth="1"/>
    <col min="5639" max="5639" width="21.42578125" style="308" customWidth="1"/>
    <col min="5640" max="5640" width="9.140625" style="308"/>
    <col min="5641" max="5641" width="16.5703125" style="308" bestFit="1" customWidth="1"/>
    <col min="5642" max="5889" width="9.140625" style="308"/>
    <col min="5890" max="5890" width="24.5703125" style="308" customWidth="1"/>
    <col min="5891" max="5891" width="71.7109375" style="308" customWidth="1"/>
    <col min="5892" max="5892" width="17.140625" style="308" bestFit="1" customWidth="1"/>
    <col min="5893" max="5893" width="16.7109375" style="308" bestFit="1" customWidth="1"/>
    <col min="5894" max="5894" width="16.85546875" style="308" bestFit="1" customWidth="1"/>
    <col min="5895" max="5895" width="21.42578125" style="308" customWidth="1"/>
    <col min="5896" max="5896" width="9.140625" style="308"/>
    <col min="5897" max="5897" width="16.5703125" style="308" bestFit="1" customWidth="1"/>
    <col min="5898" max="6145" width="9.140625" style="308"/>
    <col min="6146" max="6146" width="24.5703125" style="308" customWidth="1"/>
    <col min="6147" max="6147" width="71.7109375" style="308" customWidth="1"/>
    <col min="6148" max="6148" width="17.140625" style="308" bestFit="1" customWidth="1"/>
    <col min="6149" max="6149" width="16.7109375" style="308" bestFit="1" customWidth="1"/>
    <col min="6150" max="6150" width="16.85546875" style="308" bestFit="1" customWidth="1"/>
    <col min="6151" max="6151" width="21.42578125" style="308" customWidth="1"/>
    <col min="6152" max="6152" width="9.140625" style="308"/>
    <col min="6153" max="6153" width="16.5703125" style="308" bestFit="1" customWidth="1"/>
    <col min="6154" max="6401" width="9.140625" style="308"/>
    <col min="6402" max="6402" width="24.5703125" style="308" customWidth="1"/>
    <col min="6403" max="6403" width="71.7109375" style="308" customWidth="1"/>
    <col min="6404" max="6404" width="17.140625" style="308" bestFit="1" customWidth="1"/>
    <col min="6405" max="6405" width="16.7109375" style="308" bestFit="1" customWidth="1"/>
    <col min="6406" max="6406" width="16.85546875" style="308" bestFit="1" customWidth="1"/>
    <col min="6407" max="6407" width="21.42578125" style="308" customWidth="1"/>
    <col min="6408" max="6408" width="9.140625" style="308"/>
    <col min="6409" max="6409" width="16.5703125" style="308" bestFit="1" customWidth="1"/>
    <col min="6410" max="6657" width="9.140625" style="308"/>
    <col min="6658" max="6658" width="24.5703125" style="308" customWidth="1"/>
    <col min="6659" max="6659" width="71.7109375" style="308" customWidth="1"/>
    <col min="6660" max="6660" width="17.140625" style="308" bestFit="1" customWidth="1"/>
    <col min="6661" max="6661" width="16.7109375" style="308" bestFit="1" customWidth="1"/>
    <col min="6662" max="6662" width="16.85546875" style="308" bestFit="1" customWidth="1"/>
    <col min="6663" max="6663" width="21.42578125" style="308" customWidth="1"/>
    <col min="6664" max="6664" width="9.140625" style="308"/>
    <col min="6665" max="6665" width="16.5703125" style="308" bestFit="1" customWidth="1"/>
    <col min="6666" max="6913" width="9.140625" style="308"/>
    <col min="6914" max="6914" width="24.5703125" style="308" customWidth="1"/>
    <col min="6915" max="6915" width="71.7109375" style="308" customWidth="1"/>
    <col min="6916" max="6916" width="17.140625" style="308" bestFit="1" customWidth="1"/>
    <col min="6917" max="6917" width="16.7109375" style="308" bestFit="1" customWidth="1"/>
    <col min="6918" max="6918" width="16.85546875" style="308" bestFit="1" customWidth="1"/>
    <col min="6919" max="6919" width="21.42578125" style="308" customWidth="1"/>
    <col min="6920" max="6920" width="9.140625" style="308"/>
    <col min="6921" max="6921" width="16.5703125" style="308" bestFit="1" customWidth="1"/>
    <col min="6922" max="7169" width="9.140625" style="308"/>
    <col min="7170" max="7170" width="24.5703125" style="308" customWidth="1"/>
    <col min="7171" max="7171" width="71.7109375" style="308" customWidth="1"/>
    <col min="7172" max="7172" width="17.140625" style="308" bestFit="1" customWidth="1"/>
    <col min="7173" max="7173" width="16.7109375" style="308" bestFit="1" customWidth="1"/>
    <col min="7174" max="7174" width="16.85546875" style="308" bestFit="1" customWidth="1"/>
    <col min="7175" max="7175" width="21.42578125" style="308" customWidth="1"/>
    <col min="7176" max="7176" width="9.140625" style="308"/>
    <col min="7177" max="7177" width="16.5703125" style="308" bestFit="1" customWidth="1"/>
    <col min="7178" max="7425" width="9.140625" style="308"/>
    <col min="7426" max="7426" width="24.5703125" style="308" customWidth="1"/>
    <col min="7427" max="7427" width="71.7109375" style="308" customWidth="1"/>
    <col min="7428" max="7428" width="17.140625" style="308" bestFit="1" customWidth="1"/>
    <col min="7429" max="7429" width="16.7109375" style="308" bestFit="1" customWidth="1"/>
    <col min="7430" max="7430" width="16.85546875" style="308" bestFit="1" customWidth="1"/>
    <col min="7431" max="7431" width="21.42578125" style="308" customWidth="1"/>
    <col min="7432" max="7432" width="9.140625" style="308"/>
    <col min="7433" max="7433" width="16.5703125" style="308" bestFit="1" customWidth="1"/>
    <col min="7434" max="7681" width="9.140625" style="308"/>
    <col min="7682" max="7682" width="24.5703125" style="308" customWidth="1"/>
    <col min="7683" max="7683" width="71.7109375" style="308" customWidth="1"/>
    <col min="7684" max="7684" width="17.140625" style="308" bestFit="1" customWidth="1"/>
    <col min="7685" max="7685" width="16.7109375" style="308" bestFit="1" customWidth="1"/>
    <col min="7686" max="7686" width="16.85546875" style="308" bestFit="1" customWidth="1"/>
    <col min="7687" max="7687" width="21.42578125" style="308" customWidth="1"/>
    <col min="7688" max="7688" width="9.140625" style="308"/>
    <col min="7689" max="7689" width="16.5703125" style="308" bestFit="1" customWidth="1"/>
    <col min="7690" max="7937" width="9.140625" style="308"/>
    <col min="7938" max="7938" width="24.5703125" style="308" customWidth="1"/>
    <col min="7939" max="7939" width="71.7109375" style="308" customWidth="1"/>
    <col min="7940" max="7940" width="17.140625" style="308" bestFit="1" customWidth="1"/>
    <col min="7941" max="7941" width="16.7109375" style="308" bestFit="1" customWidth="1"/>
    <col min="7942" max="7942" width="16.85546875" style="308" bestFit="1" customWidth="1"/>
    <col min="7943" max="7943" width="21.42578125" style="308" customWidth="1"/>
    <col min="7944" max="7944" width="9.140625" style="308"/>
    <col min="7945" max="7945" width="16.5703125" style="308" bestFit="1" customWidth="1"/>
    <col min="7946" max="8193" width="9.140625" style="308"/>
    <col min="8194" max="8194" width="24.5703125" style="308" customWidth="1"/>
    <col min="8195" max="8195" width="71.7109375" style="308" customWidth="1"/>
    <col min="8196" max="8196" width="17.140625" style="308" bestFit="1" customWidth="1"/>
    <col min="8197" max="8197" width="16.7109375" style="308" bestFit="1" customWidth="1"/>
    <col min="8198" max="8198" width="16.85546875" style="308" bestFit="1" customWidth="1"/>
    <col min="8199" max="8199" width="21.42578125" style="308" customWidth="1"/>
    <col min="8200" max="8200" width="9.140625" style="308"/>
    <col min="8201" max="8201" width="16.5703125" style="308" bestFit="1" customWidth="1"/>
    <col min="8202" max="8449" width="9.140625" style="308"/>
    <col min="8450" max="8450" width="24.5703125" style="308" customWidth="1"/>
    <col min="8451" max="8451" width="71.7109375" style="308" customWidth="1"/>
    <col min="8452" max="8452" width="17.140625" style="308" bestFit="1" customWidth="1"/>
    <col min="8453" max="8453" width="16.7109375" style="308" bestFit="1" customWidth="1"/>
    <col min="8454" max="8454" width="16.85546875" style="308" bestFit="1" customWidth="1"/>
    <col min="8455" max="8455" width="21.42578125" style="308" customWidth="1"/>
    <col min="8456" max="8456" width="9.140625" style="308"/>
    <col min="8457" max="8457" width="16.5703125" style="308" bestFit="1" customWidth="1"/>
    <col min="8458" max="8705" width="9.140625" style="308"/>
    <col min="8706" max="8706" width="24.5703125" style="308" customWidth="1"/>
    <col min="8707" max="8707" width="71.7109375" style="308" customWidth="1"/>
    <col min="8708" max="8708" width="17.140625" style="308" bestFit="1" customWidth="1"/>
    <col min="8709" max="8709" width="16.7109375" style="308" bestFit="1" customWidth="1"/>
    <col min="8710" max="8710" width="16.85546875" style="308" bestFit="1" customWidth="1"/>
    <col min="8711" max="8711" width="21.42578125" style="308" customWidth="1"/>
    <col min="8712" max="8712" width="9.140625" style="308"/>
    <col min="8713" max="8713" width="16.5703125" style="308" bestFit="1" customWidth="1"/>
    <col min="8714" max="8961" width="9.140625" style="308"/>
    <col min="8962" max="8962" width="24.5703125" style="308" customWidth="1"/>
    <col min="8963" max="8963" width="71.7109375" style="308" customWidth="1"/>
    <col min="8964" max="8964" width="17.140625" style="308" bestFit="1" customWidth="1"/>
    <col min="8965" max="8965" width="16.7109375" style="308" bestFit="1" customWidth="1"/>
    <col min="8966" max="8966" width="16.85546875" style="308" bestFit="1" customWidth="1"/>
    <col min="8967" max="8967" width="21.42578125" style="308" customWidth="1"/>
    <col min="8968" max="8968" width="9.140625" style="308"/>
    <col min="8969" max="8969" width="16.5703125" style="308" bestFit="1" customWidth="1"/>
    <col min="8970" max="9217" width="9.140625" style="308"/>
    <col min="9218" max="9218" width="24.5703125" style="308" customWidth="1"/>
    <col min="9219" max="9219" width="71.7109375" style="308" customWidth="1"/>
    <col min="9220" max="9220" width="17.140625" style="308" bestFit="1" customWidth="1"/>
    <col min="9221" max="9221" width="16.7109375" style="308" bestFit="1" customWidth="1"/>
    <col min="9222" max="9222" width="16.85546875" style="308" bestFit="1" customWidth="1"/>
    <col min="9223" max="9223" width="21.42578125" style="308" customWidth="1"/>
    <col min="9224" max="9224" width="9.140625" style="308"/>
    <col min="9225" max="9225" width="16.5703125" style="308" bestFit="1" customWidth="1"/>
    <col min="9226" max="9473" width="9.140625" style="308"/>
    <col min="9474" max="9474" width="24.5703125" style="308" customWidth="1"/>
    <col min="9475" max="9475" width="71.7109375" style="308" customWidth="1"/>
    <col min="9476" max="9476" width="17.140625" style="308" bestFit="1" customWidth="1"/>
    <col min="9477" max="9477" width="16.7109375" style="308" bestFit="1" customWidth="1"/>
    <col min="9478" max="9478" width="16.85546875" style="308" bestFit="1" customWidth="1"/>
    <col min="9479" max="9479" width="21.42578125" style="308" customWidth="1"/>
    <col min="9480" max="9480" width="9.140625" style="308"/>
    <col min="9481" max="9481" width="16.5703125" style="308" bestFit="1" customWidth="1"/>
    <col min="9482" max="9729" width="9.140625" style="308"/>
    <col min="9730" max="9730" width="24.5703125" style="308" customWidth="1"/>
    <col min="9731" max="9731" width="71.7109375" style="308" customWidth="1"/>
    <col min="9732" max="9732" width="17.140625" style="308" bestFit="1" customWidth="1"/>
    <col min="9733" max="9733" width="16.7109375" style="308" bestFit="1" customWidth="1"/>
    <col min="9734" max="9734" width="16.85546875" style="308" bestFit="1" customWidth="1"/>
    <col min="9735" max="9735" width="21.42578125" style="308" customWidth="1"/>
    <col min="9736" max="9736" width="9.140625" style="308"/>
    <col min="9737" max="9737" width="16.5703125" style="308" bestFit="1" customWidth="1"/>
    <col min="9738" max="9985" width="9.140625" style="308"/>
    <col min="9986" max="9986" width="24.5703125" style="308" customWidth="1"/>
    <col min="9987" max="9987" width="71.7109375" style="308" customWidth="1"/>
    <col min="9988" max="9988" width="17.140625" style="308" bestFit="1" customWidth="1"/>
    <col min="9989" max="9989" width="16.7109375" style="308" bestFit="1" customWidth="1"/>
    <col min="9990" max="9990" width="16.85546875" style="308" bestFit="1" customWidth="1"/>
    <col min="9991" max="9991" width="21.42578125" style="308" customWidth="1"/>
    <col min="9992" max="9992" width="9.140625" style="308"/>
    <col min="9993" max="9993" width="16.5703125" style="308" bestFit="1" customWidth="1"/>
    <col min="9994" max="10241" width="9.140625" style="308"/>
    <col min="10242" max="10242" width="24.5703125" style="308" customWidth="1"/>
    <col min="10243" max="10243" width="71.7109375" style="308" customWidth="1"/>
    <col min="10244" max="10244" width="17.140625" style="308" bestFit="1" customWidth="1"/>
    <col min="10245" max="10245" width="16.7109375" style="308" bestFit="1" customWidth="1"/>
    <col min="10246" max="10246" width="16.85546875" style="308" bestFit="1" customWidth="1"/>
    <col min="10247" max="10247" width="21.42578125" style="308" customWidth="1"/>
    <col min="10248" max="10248" width="9.140625" style="308"/>
    <col min="10249" max="10249" width="16.5703125" style="308" bestFit="1" customWidth="1"/>
    <col min="10250" max="10497" width="9.140625" style="308"/>
    <col min="10498" max="10498" width="24.5703125" style="308" customWidth="1"/>
    <col min="10499" max="10499" width="71.7109375" style="308" customWidth="1"/>
    <col min="10500" max="10500" width="17.140625" style="308" bestFit="1" customWidth="1"/>
    <col min="10501" max="10501" width="16.7109375" style="308" bestFit="1" customWidth="1"/>
    <col min="10502" max="10502" width="16.85546875" style="308" bestFit="1" customWidth="1"/>
    <col min="10503" max="10503" width="21.42578125" style="308" customWidth="1"/>
    <col min="10504" max="10504" width="9.140625" style="308"/>
    <col min="10505" max="10505" width="16.5703125" style="308" bestFit="1" customWidth="1"/>
    <col min="10506" max="10753" width="9.140625" style="308"/>
    <col min="10754" max="10754" width="24.5703125" style="308" customWidth="1"/>
    <col min="10755" max="10755" width="71.7109375" style="308" customWidth="1"/>
    <col min="10756" max="10756" width="17.140625" style="308" bestFit="1" customWidth="1"/>
    <col min="10757" max="10757" width="16.7109375" style="308" bestFit="1" customWidth="1"/>
    <col min="10758" max="10758" width="16.85546875" style="308" bestFit="1" customWidth="1"/>
    <col min="10759" max="10759" width="21.42578125" style="308" customWidth="1"/>
    <col min="10760" max="10760" width="9.140625" style="308"/>
    <col min="10761" max="10761" width="16.5703125" style="308" bestFit="1" customWidth="1"/>
    <col min="10762" max="11009" width="9.140625" style="308"/>
    <col min="11010" max="11010" width="24.5703125" style="308" customWidth="1"/>
    <col min="11011" max="11011" width="71.7109375" style="308" customWidth="1"/>
    <col min="11012" max="11012" width="17.140625" style="308" bestFit="1" customWidth="1"/>
    <col min="11013" max="11013" width="16.7109375" style="308" bestFit="1" customWidth="1"/>
    <col min="11014" max="11014" width="16.85546875" style="308" bestFit="1" customWidth="1"/>
    <col min="11015" max="11015" width="21.42578125" style="308" customWidth="1"/>
    <col min="11016" max="11016" width="9.140625" style="308"/>
    <col min="11017" max="11017" width="16.5703125" style="308" bestFit="1" customWidth="1"/>
    <col min="11018" max="11265" width="9.140625" style="308"/>
    <col min="11266" max="11266" width="24.5703125" style="308" customWidth="1"/>
    <col min="11267" max="11267" width="71.7109375" style="308" customWidth="1"/>
    <col min="11268" max="11268" width="17.140625" style="308" bestFit="1" customWidth="1"/>
    <col min="11269" max="11269" width="16.7109375" style="308" bestFit="1" customWidth="1"/>
    <col min="11270" max="11270" width="16.85546875" style="308" bestFit="1" customWidth="1"/>
    <col min="11271" max="11271" width="21.42578125" style="308" customWidth="1"/>
    <col min="11272" max="11272" width="9.140625" style="308"/>
    <col min="11273" max="11273" width="16.5703125" style="308" bestFit="1" customWidth="1"/>
    <col min="11274" max="11521" width="9.140625" style="308"/>
    <col min="11522" max="11522" width="24.5703125" style="308" customWidth="1"/>
    <col min="11523" max="11523" width="71.7109375" style="308" customWidth="1"/>
    <col min="11524" max="11524" width="17.140625" style="308" bestFit="1" customWidth="1"/>
    <col min="11525" max="11525" width="16.7109375" style="308" bestFit="1" customWidth="1"/>
    <col min="11526" max="11526" width="16.85546875" style="308" bestFit="1" customWidth="1"/>
    <col min="11527" max="11527" width="21.42578125" style="308" customWidth="1"/>
    <col min="11528" max="11528" width="9.140625" style="308"/>
    <col min="11529" max="11529" width="16.5703125" style="308" bestFit="1" customWidth="1"/>
    <col min="11530" max="11777" width="9.140625" style="308"/>
    <col min="11778" max="11778" width="24.5703125" style="308" customWidth="1"/>
    <col min="11779" max="11779" width="71.7109375" style="308" customWidth="1"/>
    <col min="11780" max="11780" width="17.140625" style="308" bestFit="1" customWidth="1"/>
    <col min="11781" max="11781" width="16.7109375" style="308" bestFit="1" customWidth="1"/>
    <col min="11782" max="11782" width="16.85546875" style="308" bestFit="1" customWidth="1"/>
    <col min="11783" max="11783" width="21.42578125" style="308" customWidth="1"/>
    <col min="11784" max="11784" width="9.140625" style="308"/>
    <col min="11785" max="11785" width="16.5703125" style="308" bestFit="1" customWidth="1"/>
    <col min="11786" max="12033" width="9.140625" style="308"/>
    <col min="12034" max="12034" width="24.5703125" style="308" customWidth="1"/>
    <col min="12035" max="12035" width="71.7109375" style="308" customWidth="1"/>
    <col min="12036" max="12036" width="17.140625" style="308" bestFit="1" customWidth="1"/>
    <col min="12037" max="12037" width="16.7109375" style="308" bestFit="1" customWidth="1"/>
    <col min="12038" max="12038" width="16.85546875" style="308" bestFit="1" customWidth="1"/>
    <col min="12039" max="12039" width="21.42578125" style="308" customWidth="1"/>
    <col min="12040" max="12040" width="9.140625" style="308"/>
    <col min="12041" max="12041" width="16.5703125" style="308" bestFit="1" customWidth="1"/>
    <col min="12042" max="12289" width="9.140625" style="308"/>
    <col min="12290" max="12290" width="24.5703125" style="308" customWidth="1"/>
    <col min="12291" max="12291" width="71.7109375" style="308" customWidth="1"/>
    <col min="12292" max="12292" width="17.140625" style="308" bestFit="1" customWidth="1"/>
    <col min="12293" max="12293" width="16.7109375" style="308" bestFit="1" customWidth="1"/>
    <col min="12294" max="12294" width="16.85546875" style="308" bestFit="1" customWidth="1"/>
    <col min="12295" max="12295" width="21.42578125" style="308" customWidth="1"/>
    <col min="12296" max="12296" width="9.140625" style="308"/>
    <col min="12297" max="12297" width="16.5703125" style="308" bestFit="1" customWidth="1"/>
    <col min="12298" max="12545" width="9.140625" style="308"/>
    <col min="12546" max="12546" width="24.5703125" style="308" customWidth="1"/>
    <col min="12547" max="12547" width="71.7109375" style="308" customWidth="1"/>
    <col min="12548" max="12548" width="17.140625" style="308" bestFit="1" customWidth="1"/>
    <col min="12549" max="12549" width="16.7109375" style="308" bestFit="1" customWidth="1"/>
    <col min="12550" max="12550" width="16.85546875" style="308" bestFit="1" customWidth="1"/>
    <col min="12551" max="12551" width="21.42578125" style="308" customWidth="1"/>
    <col min="12552" max="12552" width="9.140625" style="308"/>
    <col min="12553" max="12553" width="16.5703125" style="308" bestFit="1" customWidth="1"/>
    <col min="12554" max="12801" width="9.140625" style="308"/>
    <col min="12802" max="12802" width="24.5703125" style="308" customWidth="1"/>
    <col min="12803" max="12803" width="71.7109375" style="308" customWidth="1"/>
    <col min="12804" max="12804" width="17.140625" style="308" bestFit="1" customWidth="1"/>
    <col min="12805" max="12805" width="16.7109375" style="308" bestFit="1" customWidth="1"/>
    <col min="12806" max="12806" width="16.85546875" style="308" bestFit="1" customWidth="1"/>
    <col min="12807" max="12807" width="21.42578125" style="308" customWidth="1"/>
    <col min="12808" max="12808" width="9.140625" style="308"/>
    <col min="12809" max="12809" width="16.5703125" style="308" bestFit="1" customWidth="1"/>
    <col min="12810" max="13057" width="9.140625" style="308"/>
    <col min="13058" max="13058" width="24.5703125" style="308" customWidth="1"/>
    <col min="13059" max="13059" width="71.7109375" style="308" customWidth="1"/>
    <col min="13060" max="13060" width="17.140625" style="308" bestFit="1" customWidth="1"/>
    <col min="13061" max="13061" width="16.7109375" style="308" bestFit="1" customWidth="1"/>
    <col min="13062" max="13062" width="16.85546875" style="308" bestFit="1" customWidth="1"/>
    <col min="13063" max="13063" width="21.42578125" style="308" customWidth="1"/>
    <col min="13064" max="13064" width="9.140625" style="308"/>
    <col min="13065" max="13065" width="16.5703125" style="308" bestFit="1" customWidth="1"/>
    <col min="13066" max="13313" width="9.140625" style="308"/>
    <col min="13314" max="13314" width="24.5703125" style="308" customWidth="1"/>
    <col min="13315" max="13315" width="71.7109375" style="308" customWidth="1"/>
    <col min="13316" max="13316" width="17.140625" style="308" bestFit="1" customWidth="1"/>
    <col min="13317" max="13317" width="16.7109375" style="308" bestFit="1" customWidth="1"/>
    <col min="13318" max="13318" width="16.85546875" style="308" bestFit="1" customWidth="1"/>
    <col min="13319" max="13319" width="21.42578125" style="308" customWidth="1"/>
    <col min="13320" max="13320" width="9.140625" style="308"/>
    <col min="13321" max="13321" width="16.5703125" style="308" bestFit="1" customWidth="1"/>
    <col min="13322" max="13569" width="9.140625" style="308"/>
    <col min="13570" max="13570" width="24.5703125" style="308" customWidth="1"/>
    <col min="13571" max="13571" width="71.7109375" style="308" customWidth="1"/>
    <col min="13572" max="13572" width="17.140625" style="308" bestFit="1" customWidth="1"/>
    <col min="13573" max="13573" width="16.7109375" style="308" bestFit="1" customWidth="1"/>
    <col min="13574" max="13574" width="16.85546875" style="308" bestFit="1" customWidth="1"/>
    <col min="13575" max="13575" width="21.42578125" style="308" customWidth="1"/>
    <col min="13576" max="13576" width="9.140625" style="308"/>
    <col min="13577" max="13577" width="16.5703125" style="308" bestFit="1" customWidth="1"/>
    <col min="13578" max="13825" width="9.140625" style="308"/>
    <col min="13826" max="13826" width="24.5703125" style="308" customWidth="1"/>
    <col min="13827" max="13827" width="71.7109375" style="308" customWidth="1"/>
    <col min="13828" max="13828" width="17.140625" style="308" bestFit="1" customWidth="1"/>
    <col min="13829" max="13829" width="16.7109375" style="308" bestFit="1" customWidth="1"/>
    <col min="13830" max="13830" width="16.85546875" style="308" bestFit="1" customWidth="1"/>
    <col min="13831" max="13831" width="21.42578125" style="308" customWidth="1"/>
    <col min="13832" max="13832" width="9.140625" style="308"/>
    <col min="13833" max="13833" width="16.5703125" style="308" bestFit="1" customWidth="1"/>
    <col min="13834" max="14081" width="9.140625" style="308"/>
    <col min="14082" max="14082" width="24.5703125" style="308" customWidth="1"/>
    <col min="14083" max="14083" width="71.7109375" style="308" customWidth="1"/>
    <col min="14084" max="14084" width="17.140625" style="308" bestFit="1" customWidth="1"/>
    <col min="14085" max="14085" width="16.7109375" style="308" bestFit="1" customWidth="1"/>
    <col min="14086" max="14086" width="16.85546875" style="308" bestFit="1" customWidth="1"/>
    <col min="14087" max="14087" width="21.42578125" style="308" customWidth="1"/>
    <col min="14088" max="14088" width="9.140625" style="308"/>
    <col min="14089" max="14089" width="16.5703125" style="308" bestFit="1" customWidth="1"/>
    <col min="14090" max="14337" width="9.140625" style="308"/>
    <col min="14338" max="14338" width="24.5703125" style="308" customWidth="1"/>
    <col min="14339" max="14339" width="71.7109375" style="308" customWidth="1"/>
    <col min="14340" max="14340" width="17.140625" style="308" bestFit="1" customWidth="1"/>
    <col min="14341" max="14341" width="16.7109375" style="308" bestFit="1" customWidth="1"/>
    <col min="14342" max="14342" width="16.85546875" style="308" bestFit="1" customWidth="1"/>
    <col min="14343" max="14343" width="21.42578125" style="308" customWidth="1"/>
    <col min="14344" max="14344" width="9.140625" style="308"/>
    <col min="14345" max="14345" width="16.5703125" style="308" bestFit="1" customWidth="1"/>
    <col min="14346" max="14593" width="9.140625" style="308"/>
    <col min="14594" max="14594" width="24.5703125" style="308" customWidth="1"/>
    <col min="14595" max="14595" width="71.7109375" style="308" customWidth="1"/>
    <col min="14596" max="14596" width="17.140625" style="308" bestFit="1" customWidth="1"/>
    <col min="14597" max="14597" width="16.7109375" style="308" bestFit="1" customWidth="1"/>
    <col min="14598" max="14598" width="16.85546875" style="308" bestFit="1" customWidth="1"/>
    <col min="14599" max="14599" width="21.42578125" style="308" customWidth="1"/>
    <col min="14600" max="14600" width="9.140625" style="308"/>
    <col min="14601" max="14601" width="16.5703125" style="308" bestFit="1" customWidth="1"/>
    <col min="14602" max="14849" width="9.140625" style="308"/>
    <col min="14850" max="14850" width="24.5703125" style="308" customWidth="1"/>
    <col min="14851" max="14851" width="71.7109375" style="308" customWidth="1"/>
    <col min="14852" max="14852" width="17.140625" style="308" bestFit="1" customWidth="1"/>
    <col min="14853" max="14853" width="16.7109375" style="308" bestFit="1" customWidth="1"/>
    <col min="14854" max="14854" width="16.85546875" style="308" bestFit="1" customWidth="1"/>
    <col min="14855" max="14855" width="21.42578125" style="308" customWidth="1"/>
    <col min="14856" max="14856" width="9.140625" style="308"/>
    <col min="14857" max="14857" width="16.5703125" style="308" bestFit="1" customWidth="1"/>
    <col min="14858" max="15105" width="9.140625" style="308"/>
    <col min="15106" max="15106" width="24.5703125" style="308" customWidth="1"/>
    <col min="15107" max="15107" width="71.7109375" style="308" customWidth="1"/>
    <col min="15108" max="15108" width="17.140625" style="308" bestFit="1" customWidth="1"/>
    <col min="15109" max="15109" width="16.7109375" style="308" bestFit="1" customWidth="1"/>
    <col min="15110" max="15110" width="16.85546875" style="308" bestFit="1" customWidth="1"/>
    <col min="15111" max="15111" width="21.42578125" style="308" customWidth="1"/>
    <col min="15112" max="15112" width="9.140625" style="308"/>
    <col min="15113" max="15113" width="16.5703125" style="308" bestFit="1" customWidth="1"/>
    <col min="15114" max="15361" width="9.140625" style="308"/>
    <col min="15362" max="15362" width="24.5703125" style="308" customWidth="1"/>
    <col min="15363" max="15363" width="71.7109375" style="308" customWidth="1"/>
    <col min="15364" max="15364" width="17.140625" style="308" bestFit="1" customWidth="1"/>
    <col min="15365" max="15365" width="16.7109375" style="308" bestFit="1" customWidth="1"/>
    <col min="15366" max="15366" width="16.85546875" style="308" bestFit="1" customWidth="1"/>
    <col min="15367" max="15367" width="21.42578125" style="308" customWidth="1"/>
    <col min="15368" max="15368" width="9.140625" style="308"/>
    <col min="15369" max="15369" width="16.5703125" style="308" bestFit="1" customWidth="1"/>
    <col min="15370" max="15617" width="9.140625" style="308"/>
    <col min="15618" max="15618" width="24.5703125" style="308" customWidth="1"/>
    <col min="15619" max="15619" width="71.7109375" style="308" customWidth="1"/>
    <col min="15620" max="15620" width="17.140625" style="308" bestFit="1" customWidth="1"/>
    <col min="15621" max="15621" width="16.7109375" style="308" bestFit="1" customWidth="1"/>
    <col min="15622" max="15622" width="16.85546875" style="308" bestFit="1" customWidth="1"/>
    <col min="15623" max="15623" width="21.42578125" style="308" customWidth="1"/>
    <col min="15624" max="15624" width="9.140625" style="308"/>
    <col min="15625" max="15625" width="16.5703125" style="308" bestFit="1" customWidth="1"/>
    <col min="15626" max="15873" width="9.140625" style="308"/>
    <col min="15874" max="15874" width="24.5703125" style="308" customWidth="1"/>
    <col min="15875" max="15875" width="71.7109375" style="308" customWidth="1"/>
    <col min="15876" max="15876" width="17.140625" style="308" bestFit="1" customWidth="1"/>
    <col min="15877" max="15877" width="16.7109375" style="308" bestFit="1" customWidth="1"/>
    <col min="15878" max="15878" width="16.85546875" style="308" bestFit="1" customWidth="1"/>
    <col min="15879" max="15879" width="21.42578125" style="308" customWidth="1"/>
    <col min="15880" max="15880" width="9.140625" style="308"/>
    <col min="15881" max="15881" width="16.5703125" style="308" bestFit="1" customWidth="1"/>
    <col min="15882" max="16129" width="9.140625" style="308"/>
    <col min="16130" max="16130" width="24.5703125" style="308" customWidth="1"/>
    <col min="16131" max="16131" width="71.7109375" style="308" customWidth="1"/>
    <col min="16132" max="16132" width="17.140625" style="308" bestFit="1" customWidth="1"/>
    <col min="16133" max="16133" width="16.7109375" style="308" bestFit="1" customWidth="1"/>
    <col min="16134" max="16134" width="16.85546875" style="308" bestFit="1" customWidth="1"/>
    <col min="16135" max="16135" width="21.42578125" style="308" customWidth="1"/>
    <col min="16136" max="16136" width="9.140625" style="308"/>
    <col min="16137" max="16137" width="16.5703125" style="308" bestFit="1" customWidth="1"/>
    <col min="16138" max="16384" width="9.140625" style="308"/>
  </cols>
  <sheetData>
    <row r="3" spans="1:7">
      <c r="A3" s="271" t="s">
        <v>390</v>
      </c>
    </row>
    <row r="4" spans="1:7" ht="15.75" thickBot="1">
      <c r="A4" s="271" t="s">
        <v>391</v>
      </c>
    </row>
    <row r="5" spans="1:7" s="271" customFormat="1" ht="15.75" thickBot="1">
      <c r="B5" s="1513"/>
      <c r="C5" s="1514"/>
      <c r="D5" s="1515"/>
      <c r="E5" s="1516"/>
      <c r="F5" s="1516"/>
      <c r="G5" s="1517"/>
    </row>
    <row r="6" spans="1:7" s="271" customFormat="1" ht="60" customHeight="1" thickBot="1">
      <c r="B6" s="2427"/>
      <c r="C6" s="2250" t="s">
        <v>13361</v>
      </c>
      <c r="D6" s="2251"/>
      <c r="E6" s="1614"/>
      <c r="F6" s="2118" t="str">
        <f>'ORÇAMENTO '!M5</f>
        <v>Ref.: Tabela de Serviços
SINAPI (JANEIRO/2024)</v>
      </c>
      <c r="G6" s="2119"/>
    </row>
    <row r="7" spans="1:7" s="271" customFormat="1" ht="60.75" customHeight="1" thickBot="1">
      <c r="B7" s="2428"/>
      <c r="C7" s="2191" t="s">
        <v>13363</v>
      </c>
      <c r="D7" s="2192"/>
      <c r="E7" s="1615"/>
      <c r="F7" s="1324" t="s">
        <v>4</v>
      </c>
      <c r="G7" s="1325">
        <f>'BDI '!G32</f>
        <v>0.24199999999999999</v>
      </c>
    </row>
    <row r="8" spans="1:7" s="271" customFormat="1" ht="15" customHeight="1" thickBot="1">
      <c r="B8" s="2395" t="str">
        <f>RESUMO!B7</f>
        <v>C E N T R A L   D E   P R O J E T O S</v>
      </c>
      <c r="C8" s="2397"/>
      <c r="D8" s="2397"/>
      <c r="E8" s="2397"/>
      <c r="F8" s="2396"/>
      <c r="G8" s="2398"/>
    </row>
    <row r="9" spans="1:7" s="271" customFormat="1" ht="15.75" thickBot="1">
      <c r="B9" s="1513"/>
      <c r="C9" s="1514"/>
      <c r="D9" s="1515"/>
      <c r="E9" s="1516"/>
      <c r="F9" s="1516"/>
      <c r="G9" s="1517"/>
    </row>
    <row r="10" spans="1:7" s="271" customFormat="1" ht="15" customHeight="1">
      <c r="B10" s="207" t="s">
        <v>5</v>
      </c>
      <c r="C10" s="2215" t="str">
        <f>'ORÇAMENTO '!G11</f>
        <v xml:space="preserve">ESCOLA MUNICIPAL DOMINGOS AZZOLINI </v>
      </c>
      <c r="D10" s="2215"/>
      <c r="E10" s="2215"/>
      <c r="F10" s="208" t="s">
        <v>6</v>
      </c>
      <c r="G10" s="209">
        <f>'ORÇAMENTO '!N11</f>
        <v>45366</v>
      </c>
    </row>
    <row r="11" spans="1:7" s="271" customFormat="1" ht="15.75">
      <c r="B11" s="210" t="s">
        <v>7</v>
      </c>
      <c r="C11" s="2213" t="str">
        <f>'ORÇAMENTO '!G12</f>
        <v>SANTO ANTONIO DO LESTE</v>
      </c>
      <c r="D11" s="2213"/>
      <c r="E11" s="2214" t="str">
        <f>'ORÇAMENTO '!K12</f>
        <v>LEIS SOCIAIS: HORISTA</v>
      </c>
      <c r="F11" s="2214"/>
      <c r="G11" s="211">
        <f>'ORÇAMENTO '!N12</f>
        <v>1.0684</v>
      </c>
    </row>
    <row r="12" spans="1:7" s="226" customFormat="1" ht="18" customHeight="1" thickBot="1">
      <c r="B12" s="2187"/>
      <c r="C12" s="2188"/>
      <c r="D12" s="2188"/>
      <c r="E12" s="2186" t="str">
        <f>'ORÇAMENTO '!K13</f>
        <v>LEIS SOCIAIS: MENSALISTA</v>
      </c>
      <c r="F12" s="2186"/>
      <c r="G12" s="193">
        <f>'ORÇAMENTO '!N13</f>
        <v>0.65400000000000003</v>
      </c>
    </row>
    <row r="13" spans="1:7" s="271" customFormat="1" ht="5.25" customHeight="1" thickBot="1">
      <c r="B13" s="1716"/>
      <c r="C13" s="1717"/>
      <c r="D13" s="1718"/>
      <c r="E13" s="1719"/>
      <c r="F13" s="1719"/>
      <c r="G13" s="1720"/>
    </row>
    <row r="14" spans="1:7" s="271" customFormat="1" ht="16.5" thickBot="1">
      <c r="B14" s="2435" t="s">
        <v>517</v>
      </c>
      <c r="C14" s="2436"/>
      <c r="D14" s="2436"/>
      <c r="E14" s="2436"/>
      <c r="F14" s="2436"/>
      <c r="G14" s="2437"/>
    </row>
    <row r="15" spans="1:7" s="271" customFormat="1" ht="5.25" customHeight="1" thickBot="1">
      <c r="B15" s="1716"/>
      <c r="C15" s="1717"/>
      <c r="D15" s="1718"/>
      <c r="E15" s="1719"/>
      <c r="F15" s="1719"/>
      <c r="G15" s="1720"/>
    </row>
    <row r="16" spans="1:7" s="271" customFormat="1" ht="16.5" thickBot="1">
      <c r="B16" s="329"/>
      <c r="C16" s="300"/>
      <c r="D16" s="300"/>
      <c r="E16" s="300"/>
      <c r="F16" s="300"/>
      <c r="G16" s="300"/>
    </row>
    <row r="17" spans="1:8" ht="26.25" customHeight="1">
      <c r="B17" s="623" t="str">
        <f>IF(COUNT($H$17:H17)&lt;10,CONCATENATE("CPU LOG 00",COUNT($H$17:H17)),CONCATENATE("CPU LOG 0",COUNT($H$17:H17)))</f>
        <v>CPU LOG 001</v>
      </c>
      <c r="C17" s="2174" t="str">
        <f>CONCATENATE("FORNECIMENTO E INSTALAÇÃO DE ",C20)</f>
        <v>FORNECIMENTO E INSTALAÇÃO DE BLOCO TERMINAL PARA TELEFONE 10 PARES - BLOCO M10</v>
      </c>
      <c r="D17" s="2175"/>
      <c r="E17" s="2175"/>
      <c r="F17" s="2176"/>
      <c r="G17" s="624" t="s">
        <v>22</v>
      </c>
      <c r="H17" s="615">
        <f>G24</f>
        <v>26.529999999999998</v>
      </c>
    </row>
    <row r="18" spans="1:8" ht="31.5">
      <c r="B18" s="750" t="s">
        <v>197</v>
      </c>
      <c r="C18" s="751" t="s">
        <v>161</v>
      </c>
      <c r="D18" s="826" t="s">
        <v>22</v>
      </c>
      <c r="E18" s="751" t="s">
        <v>162</v>
      </c>
      <c r="F18" s="752" t="s">
        <v>163</v>
      </c>
      <c r="G18" s="753" t="s">
        <v>164</v>
      </c>
    </row>
    <row r="19" spans="1:8" ht="15.75">
      <c r="B19" s="2429" t="s">
        <v>165</v>
      </c>
      <c r="C19" s="2430"/>
      <c r="D19" s="2430"/>
      <c r="E19" s="2430"/>
      <c r="F19" s="2430"/>
      <c r="G19" s="2431"/>
    </row>
    <row r="20" spans="1:8">
      <c r="B20" s="856" t="s">
        <v>181</v>
      </c>
      <c r="C20" s="852" t="str">
        <f>C26</f>
        <v>BLOCO TERMINAL PARA TELEFONE 10 PARES - BLOCO M10</v>
      </c>
      <c r="D20" s="859" t="str">
        <f>G26</f>
        <v>UN</v>
      </c>
      <c r="E20" s="846">
        <v>1</v>
      </c>
      <c r="F20" s="846">
        <f>D31</f>
        <v>17.14</v>
      </c>
      <c r="G20" s="848">
        <f>TRUNC(F20*E20,2)</f>
        <v>17.14</v>
      </c>
    </row>
    <row r="21" spans="1:8" ht="15.75">
      <c r="B21" s="2408" t="s">
        <v>166</v>
      </c>
      <c r="C21" s="2409"/>
      <c r="D21" s="2409"/>
      <c r="E21" s="2409"/>
      <c r="F21" s="2409"/>
      <c r="G21" s="2410"/>
    </row>
    <row r="22" spans="1:8" ht="15.75">
      <c r="A22" s="333" t="s">
        <v>391</v>
      </c>
      <c r="B22" s="841">
        <v>88264</v>
      </c>
      <c r="C22" s="728" t="str">
        <f>IF($A22="INSUMO",VLOOKUP($B22,'BANCO DE DADOS JANEIRO-24 INS'!$A:$D,2,FALSE),VLOOKUP($B22,'BANCO DE DADOS JANEIRO-24 SERV'!$B:$E,2,FALSE))</f>
        <v>ELETRICISTA COM ENCARGOS COMPLEMENTARES</v>
      </c>
      <c r="D22" s="732" t="str">
        <f>IF($A22="INSUMO",VLOOKUP($B22,'BANCO DE DADOS JANEIRO-24 INS'!$A:$D,3,FALSE),VLOOKUP($B22,'BANCO DE DADOS JANEIRO-24 SERV'!$B:$E,3,FALSE))</f>
        <v>H</v>
      </c>
      <c r="E22" s="839">
        <v>0.2</v>
      </c>
      <c r="F22" s="755">
        <f>IF($A22="INSUMO",VLOOKUP($B22,'BANCO DE DADOS JANEIRO-24 INS'!$A:$D,4,FALSE),VLOOKUP($B22,'BANCO DE DADOS JANEIRO-24 SERV'!$B:$E,4,FALSE))</f>
        <v>26.68</v>
      </c>
      <c r="G22" s="840">
        <f>TRUNC(F22*E22,2)</f>
        <v>5.33</v>
      </c>
    </row>
    <row r="23" spans="1:8" ht="16.5" thickBot="1">
      <c r="A23" s="333" t="s">
        <v>391</v>
      </c>
      <c r="B23" s="625">
        <v>88316</v>
      </c>
      <c r="C23" s="731" t="str">
        <f>IF($A23="INSUMO",VLOOKUP($B23,'BANCO DE DADOS JANEIRO-24 INS'!$A:$D,2,FALSE),VLOOKUP($B23,'BANCO DE DADOS JANEIRO-24 SERV'!$B:$E,2,FALSE))</f>
        <v>SERVENTE COM ENCARGOS COMPLEMENTARES</v>
      </c>
      <c r="D23" s="729" t="str">
        <f>IF($A23="INSUMO",VLOOKUP($B23,'BANCO DE DADOS JANEIRO-24 INS'!$A:$D,3,FALSE),VLOOKUP($B23,'BANCO DE DADOS JANEIRO-24 SERV'!$B:$E,3,FALSE))</f>
        <v>H</v>
      </c>
      <c r="E23" s="842">
        <v>0.2</v>
      </c>
      <c r="F23" s="757">
        <f>IF($A23="INSUMO",VLOOKUP($B23,'BANCO DE DADOS JANEIRO-24 INS'!$A:$D,4,FALSE),VLOOKUP($B23,'BANCO DE DADOS JANEIRO-24 SERV'!$B:$E,4,FALSE))</f>
        <v>20.32</v>
      </c>
      <c r="G23" s="626">
        <f>TRUNC(F23*E23,2)</f>
        <v>4.0599999999999996</v>
      </c>
    </row>
    <row r="24" spans="1:8" ht="16.5" thickBot="1">
      <c r="B24" s="2404" t="s">
        <v>7284</v>
      </c>
      <c r="C24" s="2404"/>
      <c r="D24" s="2404"/>
      <c r="E24" s="2422"/>
      <c r="F24" s="325" t="s">
        <v>167</v>
      </c>
      <c r="G24" s="326">
        <f>SUM(G19:G23)</f>
        <v>26.529999999999998</v>
      </c>
    </row>
    <row r="25" spans="1:8" ht="15.75" thickBot="1"/>
    <row r="26" spans="1:8" ht="15.75">
      <c r="A26" s="271"/>
      <c r="B26" s="1669" t="s">
        <v>181</v>
      </c>
      <c r="C26" s="2164" t="s">
        <v>543</v>
      </c>
      <c r="D26" s="2165"/>
      <c r="E26" s="2165"/>
      <c r="F26" s="2166"/>
      <c r="G26" s="1670" t="s">
        <v>22</v>
      </c>
      <c r="H26" s="271"/>
    </row>
    <row r="27" spans="1:8" ht="31.5">
      <c r="A27" s="271"/>
      <c r="B27" s="1107" t="s">
        <v>174</v>
      </c>
      <c r="C27" s="1108" t="s">
        <v>175</v>
      </c>
      <c r="D27" s="1109" t="s">
        <v>176</v>
      </c>
      <c r="E27" s="1110" t="s">
        <v>177</v>
      </c>
      <c r="F27" s="1111" t="s">
        <v>178</v>
      </c>
      <c r="G27" s="1112" t="s">
        <v>179</v>
      </c>
      <c r="H27" s="271"/>
    </row>
    <row r="28" spans="1:8" ht="15.75">
      <c r="A28" s="271"/>
      <c r="B28" s="1113">
        <v>45218</v>
      </c>
      <c r="C28" s="1114" t="s">
        <v>2184</v>
      </c>
      <c r="D28" s="1115">
        <v>21.03</v>
      </c>
      <c r="E28" s="1185" t="s">
        <v>13345</v>
      </c>
      <c r="F28" s="1139" t="s">
        <v>2002</v>
      </c>
      <c r="G28" s="1117" t="s">
        <v>2838</v>
      </c>
      <c r="H28" s="610"/>
    </row>
    <row r="29" spans="1:8" ht="15.75">
      <c r="A29" s="271"/>
      <c r="B29" s="1113">
        <v>45219</v>
      </c>
      <c r="C29" s="1114" t="s">
        <v>13346</v>
      </c>
      <c r="D29" s="1115">
        <v>17.14</v>
      </c>
      <c r="E29" s="1185" t="s">
        <v>13347</v>
      </c>
      <c r="F29" s="1139" t="s">
        <v>411</v>
      </c>
      <c r="G29" s="1117" t="s">
        <v>409</v>
      </c>
      <c r="H29" s="610"/>
    </row>
    <row r="30" spans="1:8" ht="15.75">
      <c r="A30" s="271"/>
      <c r="B30" s="1113">
        <v>44908</v>
      </c>
      <c r="C30" s="1114" t="s">
        <v>5873</v>
      </c>
      <c r="D30" s="1115">
        <v>15.3</v>
      </c>
      <c r="E30" s="1192" t="s">
        <v>5874</v>
      </c>
      <c r="F30" s="1139" t="s">
        <v>5875</v>
      </c>
      <c r="G30" s="1117" t="s">
        <v>7278</v>
      </c>
      <c r="H30" s="610"/>
    </row>
    <row r="31" spans="1:8" ht="16.5" thickBot="1">
      <c r="A31" s="271"/>
      <c r="B31" s="1672"/>
      <c r="C31" s="1668" t="s">
        <v>180</v>
      </c>
      <c r="D31" s="1673">
        <f>IF(COUNT(D27:D30)=3,MEDIAN(D27:D30),SMALL(D28:D30,1))</f>
        <v>17.14</v>
      </c>
      <c r="E31" s="1674"/>
      <c r="F31" s="1675"/>
      <c r="G31" s="1671"/>
      <c r="H31" s="271"/>
    </row>
    <row r="32" spans="1:8" ht="15.75" thickBot="1"/>
    <row r="33" spans="1:8" ht="27.75" customHeight="1">
      <c r="B33" s="623" t="str">
        <f>IF(COUNT($H$17:H33)&lt;10,CONCATENATE("CPU LOG 00",COUNT($H$17:H33)),CONCATENATE("CPU LOG 0",COUNT($H$17:H33)))</f>
        <v>CPU LOG 002</v>
      </c>
      <c r="C33" s="2180" t="str">
        <f>CONCATENATE("FORNECIMENTO E INSTALAÇÃO DE ",C36)</f>
        <v>FORNECIMENTO E INSTALAÇÃO DE ESPELHO PARA CAIXA 4X2" COM DUAS SAIDAS RJ45 (FEMEA), CAT 6</v>
      </c>
      <c r="D33" s="2181"/>
      <c r="E33" s="2181"/>
      <c r="F33" s="2181"/>
      <c r="G33" s="624" t="s">
        <v>22</v>
      </c>
      <c r="H33" s="615">
        <f>G39</f>
        <v>6.8</v>
      </c>
    </row>
    <row r="34" spans="1:8" ht="31.5">
      <c r="B34" s="750" t="s">
        <v>197</v>
      </c>
      <c r="C34" s="751" t="s">
        <v>161</v>
      </c>
      <c r="D34" s="826" t="s">
        <v>22</v>
      </c>
      <c r="E34" s="751" t="s">
        <v>162</v>
      </c>
      <c r="F34" s="752" t="s">
        <v>163</v>
      </c>
      <c r="G34" s="753" t="s">
        <v>164</v>
      </c>
    </row>
    <row r="35" spans="1:8" ht="15.75">
      <c r="B35" s="2408" t="s">
        <v>165</v>
      </c>
      <c r="C35" s="2409"/>
      <c r="D35" s="2409"/>
      <c r="E35" s="2409"/>
      <c r="F35" s="2409"/>
      <c r="G35" s="2410"/>
    </row>
    <row r="36" spans="1:8" ht="30">
      <c r="B36" s="856" t="s">
        <v>181</v>
      </c>
      <c r="C36" s="852" t="str">
        <f>C41</f>
        <v>ESPELHO PARA CAIXA 4X2" COM DUAS SAIDAS RJ45 (FEMEA), CAT 6</v>
      </c>
      <c r="D36" s="859" t="str">
        <f>G41</f>
        <v>UN</v>
      </c>
      <c r="E36" s="846">
        <v>1</v>
      </c>
      <c r="F36" s="846">
        <f>D46</f>
        <v>3.76</v>
      </c>
      <c r="G36" s="848">
        <f>TRUNC(F36*E36,2)</f>
        <v>3.76</v>
      </c>
    </row>
    <row r="37" spans="1:8" ht="15.75">
      <c r="B37" s="2408" t="s">
        <v>166</v>
      </c>
      <c r="C37" s="2409"/>
      <c r="D37" s="2409"/>
      <c r="E37" s="2409"/>
      <c r="F37" s="2409"/>
      <c r="G37" s="2410"/>
    </row>
    <row r="38" spans="1:8" ht="16.5" thickBot="1">
      <c r="A38" s="333" t="s">
        <v>391</v>
      </c>
      <c r="B38" s="625">
        <v>88316</v>
      </c>
      <c r="C38" s="731" t="str">
        <f>IF($A38="INSUMO",VLOOKUP($B38,'BANCO DE DADOS JANEIRO-24 INS'!$A:$D,2,FALSE),VLOOKUP($B38,'BANCO DE DADOS JANEIRO-24 SERV'!$B:$E,2,FALSE))</f>
        <v>SERVENTE COM ENCARGOS COMPLEMENTARES</v>
      </c>
      <c r="D38" s="729" t="str">
        <f>IF($A38="INSUMO",VLOOKUP($B38,'BANCO DE DADOS JANEIRO-24 INS'!$A:$D,3,FALSE),VLOOKUP($B38,'BANCO DE DADOS JANEIRO-24 SERV'!$B:$E,3,FALSE))</f>
        <v>H</v>
      </c>
      <c r="E38" s="850">
        <v>0.15</v>
      </c>
      <c r="F38" s="757">
        <f>IF($A38="INSUMO",VLOOKUP($B38,'BANCO DE DADOS JANEIRO-24 INS'!$A:$D,4,FALSE),VLOOKUP($B38,'BANCO DE DADOS JANEIRO-24 SERV'!$B:$E,4,FALSE))</f>
        <v>20.32</v>
      </c>
      <c r="G38" s="626">
        <f>TRUNC(F38*E38,2)</f>
        <v>3.04</v>
      </c>
    </row>
    <row r="39" spans="1:8" ht="32.25" customHeight="1" thickBot="1">
      <c r="B39" s="2404" t="s">
        <v>7285</v>
      </c>
      <c r="C39" s="2404"/>
      <c r="D39" s="2404"/>
      <c r="E39" s="2422"/>
      <c r="F39" s="325" t="s">
        <v>167</v>
      </c>
      <c r="G39" s="326">
        <f>SUM(G35:G38)</f>
        <v>6.8</v>
      </c>
    </row>
    <row r="40" spans="1:8" ht="15.75" thickBot="1"/>
    <row r="41" spans="1:8" ht="15.75">
      <c r="A41" s="271"/>
      <c r="B41" s="1669" t="s">
        <v>181</v>
      </c>
      <c r="C41" s="2164" t="s">
        <v>3843</v>
      </c>
      <c r="D41" s="2165"/>
      <c r="E41" s="2165"/>
      <c r="F41" s="2166"/>
      <c r="G41" s="1670" t="s">
        <v>22</v>
      </c>
      <c r="H41" s="271"/>
    </row>
    <row r="42" spans="1:8" ht="31.5">
      <c r="A42" s="271"/>
      <c r="B42" s="1107" t="s">
        <v>174</v>
      </c>
      <c r="C42" s="1108" t="s">
        <v>175</v>
      </c>
      <c r="D42" s="1109" t="s">
        <v>176</v>
      </c>
      <c r="E42" s="1110" t="s">
        <v>177</v>
      </c>
      <c r="F42" s="1111" t="s">
        <v>178</v>
      </c>
      <c r="G42" s="1112" t="s">
        <v>179</v>
      </c>
      <c r="H42" s="271"/>
    </row>
    <row r="43" spans="1:8" ht="15.75">
      <c r="A43" s="271"/>
      <c r="B43" s="1137">
        <v>45219</v>
      </c>
      <c r="C43" s="1114" t="s">
        <v>13346</v>
      </c>
      <c r="D43" s="1115">
        <v>4.01</v>
      </c>
      <c r="E43" s="1138" t="s">
        <v>13347</v>
      </c>
      <c r="F43" s="1139" t="s">
        <v>411</v>
      </c>
      <c r="G43" s="968" t="s">
        <v>409</v>
      </c>
      <c r="H43" s="610"/>
    </row>
    <row r="44" spans="1:8" ht="15.75">
      <c r="A44" s="271"/>
      <c r="B44" s="1342">
        <v>45219</v>
      </c>
      <c r="C44" s="1114" t="s">
        <v>5207</v>
      </c>
      <c r="D44" s="1115">
        <v>3.76</v>
      </c>
      <c r="E44" s="1138" t="s">
        <v>525</v>
      </c>
      <c r="F44" s="1139" t="s">
        <v>13348</v>
      </c>
      <c r="G44" s="1117" t="s">
        <v>13349</v>
      </c>
      <c r="H44" s="610"/>
    </row>
    <row r="45" spans="1:8" ht="15.75">
      <c r="A45" s="271"/>
      <c r="B45" s="1342">
        <v>45218</v>
      </c>
      <c r="C45" s="1114" t="s">
        <v>2184</v>
      </c>
      <c r="D45" s="1115">
        <v>3.68</v>
      </c>
      <c r="E45" s="1138" t="s">
        <v>13345</v>
      </c>
      <c r="F45" s="1139" t="s">
        <v>2002</v>
      </c>
      <c r="G45" s="1117" t="s">
        <v>2838</v>
      </c>
      <c r="H45" s="610"/>
    </row>
    <row r="46" spans="1:8" ht="16.5" thickBot="1">
      <c r="A46" s="271"/>
      <c r="B46" s="1672"/>
      <c r="C46" s="1668" t="s">
        <v>180</v>
      </c>
      <c r="D46" s="1673">
        <f>IF(COUNT(D42:D45)=3,MEDIAN(D42:D45),SMALL(D43:D45,1))</f>
        <v>3.76</v>
      </c>
      <c r="E46" s="1674"/>
      <c r="F46" s="1675"/>
      <c r="G46" s="1671"/>
      <c r="H46" s="271"/>
    </row>
    <row r="47" spans="1:8" ht="15.75" thickBot="1"/>
    <row r="48" spans="1:8" ht="21.75" customHeight="1">
      <c r="B48" s="623" t="str">
        <f>IF(COUNT($H$17:H48)&lt;10,CONCATENATE("CPU LOG 00",COUNT($H$17:H48)),CONCATENATE("CPU LOG 0",COUNT($H$17:H48)))</f>
        <v>CPU LOG 003</v>
      </c>
      <c r="C48" s="2180" t="str">
        <f>CONCATENATE("FORNECIMENTO E INSTALAÇÃO DE ",C51)</f>
        <v xml:space="preserve">FORNECIMENTO E INSTALAÇÃO DE CONECTOR / TOMADA FEMEA RJ 45, CATEGORIA 6 (CAT 6) PARA CABOS                                                                                                                                                                                                                                                                                                                                                                                                                                             </v>
      </c>
      <c r="D48" s="2181"/>
      <c r="E48" s="2181"/>
      <c r="F48" s="2181"/>
      <c r="G48" s="624" t="s">
        <v>22</v>
      </c>
      <c r="H48" s="615">
        <f>G55</f>
        <v>35.61</v>
      </c>
    </row>
    <row r="49" spans="1:8" ht="31.5">
      <c r="B49" s="750" t="s">
        <v>197</v>
      </c>
      <c r="C49" s="751" t="s">
        <v>161</v>
      </c>
      <c r="D49" s="826" t="s">
        <v>22</v>
      </c>
      <c r="E49" s="751" t="s">
        <v>162</v>
      </c>
      <c r="F49" s="752" t="s">
        <v>163</v>
      </c>
      <c r="G49" s="753" t="s">
        <v>164</v>
      </c>
    </row>
    <row r="50" spans="1:8" ht="15.75">
      <c r="B50" s="2408" t="s">
        <v>165</v>
      </c>
      <c r="C50" s="2409"/>
      <c r="D50" s="2409"/>
      <c r="E50" s="2409"/>
      <c r="F50" s="2409"/>
      <c r="G50" s="2410"/>
    </row>
    <row r="51" spans="1:8" ht="30">
      <c r="A51" s="333" t="s">
        <v>390</v>
      </c>
      <c r="B51" s="883">
        <v>39601</v>
      </c>
      <c r="C51" s="728" t="str">
        <f>IF($A51="INSUMO",VLOOKUP($B51,'BANCO DE DADOS JANEIRO-24 INS'!$A:$D,2,FALSE),VLOOKUP($B51,'BANCO DE DADOS JANEIRO-24 SERV'!$B:$E,2,FALSE))</f>
        <v xml:space="preserve">CONECTOR / TOMADA FEMEA RJ 45, CATEGORIA 6 (CAT 6) PARA CABOS                                                                                                                                                                                                                                                                                                                                                                                                                                             </v>
      </c>
      <c r="D51" s="732" t="str">
        <f>IF($A51="INSUMO",VLOOKUP($B51,'BANCO DE DADOS JANEIRO-24 INS'!$A:$D,3,FALSE),VLOOKUP($B51,'BANCO DE DADOS JANEIRO-24 SERV'!$B:$E,3,FALSE))</f>
        <v xml:space="preserve">UN    </v>
      </c>
      <c r="E51" s="846">
        <v>1</v>
      </c>
      <c r="F51" s="755">
        <f>IF($A51="INSUMO",VLOOKUP($B51,'BANCO DE DADOS JANEIRO-24 INS'!$A:$D,4,FALSE),VLOOKUP($B51,'BANCO DE DADOS JANEIRO-24 SERV'!$B:$E,4,FALSE))</f>
        <v>30.92</v>
      </c>
      <c r="G51" s="848">
        <f>TRUNC(F51*E51,2)</f>
        <v>30.92</v>
      </c>
    </row>
    <row r="52" spans="1:8" ht="15.75">
      <c r="B52" s="2408" t="s">
        <v>166</v>
      </c>
      <c r="C52" s="2409"/>
      <c r="D52" s="2409"/>
      <c r="E52" s="2409"/>
      <c r="F52" s="2409"/>
      <c r="G52" s="2410"/>
    </row>
    <row r="53" spans="1:8" ht="15.75">
      <c r="A53" s="333" t="s">
        <v>391</v>
      </c>
      <c r="B53" s="841">
        <v>88264</v>
      </c>
      <c r="C53" s="728" t="str">
        <f>IF($A53="INSUMO",VLOOKUP($B53,'BANCO DE DADOS JANEIRO-24 INS'!$A:$D,2,FALSE),VLOOKUP($B53,'BANCO DE DADOS JANEIRO-24 SERV'!$B:$E,2,FALSE))</f>
        <v>ELETRICISTA COM ENCARGOS COMPLEMENTARES</v>
      </c>
      <c r="D53" s="732" t="str">
        <f>IF($A53="INSUMO",VLOOKUP($B53,'BANCO DE DADOS JANEIRO-24 INS'!$A:$D,3,FALSE),VLOOKUP($B53,'BANCO DE DADOS JANEIRO-24 SERV'!$B:$E,3,FALSE))</f>
        <v>H</v>
      </c>
      <c r="E53" s="820">
        <v>0.1</v>
      </c>
      <c r="F53" s="755">
        <f>IF($A53="INSUMO",VLOOKUP($B53,'BANCO DE DADOS JANEIRO-24 INS'!$A:$D,4,FALSE),VLOOKUP($B53,'BANCO DE DADOS JANEIRO-24 SERV'!$B:$E,4,FALSE))</f>
        <v>26.68</v>
      </c>
      <c r="G53" s="840">
        <f>TRUNC(F53*E53,2)</f>
        <v>2.66</v>
      </c>
    </row>
    <row r="54" spans="1:8" ht="16.5" thickBot="1">
      <c r="A54" s="333" t="s">
        <v>391</v>
      </c>
      <c r="B54" s="625">
        <v>88316</v>
      </c>
      <c r="C54" s="731" t="str">
        <f>IF($A54="INSUMO",VLOOKUP($B54,'BANCO DE DADOS JANEIRO-24 INS'!$A:$D,2,FALSE),VLOOKUP($B54,'BANCO DE DADOS JANEIRO-24 SERV'!$B:$E,2,FALSE))</f>
        <v>SERVENTE COM ENCARGOS COMPLEMENTARES</v>
      </c>
      <c r="D54" s="729" t="str">
        <f>IF($A54="INSUMO",VLOOKUP($B54,'BANCO DE DADOS JANEIRO-24 INS'!$A:$D,3,FALSE),VLOOKUP($B54,'BANCO DE DADOS JANEIRO-24 SERV'!$B:$E,3,FALSE))</f>
        <v>H</v>
      </c>
      <c r="E54" s="850">
        <v>0.1</v>
      </c>
      <c r="F54" s="757">
        <f>IF($A54="INSUMO",VLOOKUP($B54,'BANCO DE DADOS JANEIRO-24 INS'!$A:$D,4,FALSE),VLOOKUP($B54,'BANCO DE DADOS JANEIRO-24 SERV'!$B:$E,4,FALSE))</f>
        <v>20.32</v>
      </c>
      <c r="G54" s="626">
        <f>TRUNC(F54*E54,2)</f>
        <v>2.0299999999999998</v>
      </c>
    </row>
    <row r="55" spans="1:8" ht="16.5" thickBot="1">
      <c r="B55" s="2404" t="s">
        <v>7286</v>
      </c>
      <c r="C55" s="2404"/>
      <c r="D55" s="2404"/>
      <c r="E55" s="2422"/>
      <c r="F55" s="325" t="s">
        <v>167</v>
      </c>
      <c r="G55" s="326">
        <f>SUM(G50:G54)</f>
        <v>35.61</v>
      </c>
    </row>
    <row r="56" spans="1:8" ht="15.75" thickBot="1"/>
    <row r="57" spans="1:8" ht="21.75" customHeight="1">
      <c r="B57" s="623" t="str">
        <f>IF(COUNT($H$17:H57)&lt;10,CONCATENATE("CPU LOG 00",COUNT($H$17:H57)),CONCATENATE("CPU LOG 0",COUNT($H$17:H57)))</f>
        <v>CPU LOG 004</v>
      </c>
      <c r="C57" s="2180" t="str">
        <f>CONCATENATE("FORNECIMENTO E INSTALAÇÃO DE ",C60)</f>
        <v xml:space="preserve">FORNECIMENTO E INSTALAÇÃO DE CONECTOR MACHO RJ 45, CATEGORIA 6 (CAT 6) PARA CABOS                                                                                                                                                                                                                                                                                                                                                                                                                                                      </v>
      </c>
      <c r="D57" s="2181"/>
      <c r="E57" s="2181"/>
      <c r="F57" s="2181"/>
      <c r="G57" s="624" t="s">
        <v>22</v>
      </c>
      <c r="H57" s="615">
        <f>G64</f>
        <v>7.98</v>
      </c>
    </row>
    <row r="58" spans="1:8" ht="31.5">
      <c r="B58" s="750" t="s">
        <v>197</v>
      </c>
      <c r="C58" s="751" t="s">
        <v>161</v>
      </c>
      <c r="D58" s="826" t="s">
        <v>22</v>
      </c>
      <c r="E58" s="751" t="s">
        <v>162</v>
      </c>
      <c r="F58" s="752" t="s">
        <v>163</v>
      </c>
      <c r="G58" s="753" t="s">
        <v>164</v>
      </c>
    </row>
    <row r="59" spans="1:8" ht="15.75">
      <c r="B59" s="2408" t="s">
        <v>165</v>
      </c>
      <c r="C59" s="2409"/>
      <c r="D59" s="2409"/>
      <c r="E59" s="2409"/>
      <c r="F59" s="2409"/>
      <c r="G59" s="2410"/>
    </row>
    <row r="60" spans="1:8" ht="15.75">
      <c r="A60" s="333" t="s">
        <v>390</v>
      </c>
      <c r="B60" s="883">
        <v>39603</v>
      </c>
      <c r="C60" s="728" t="str">
        <f>IF($A60="INSUMO",VLOOKUP($B60,'BANCO DE DADOS JANEIRO-24 INS'!$A:$D,2,FALSE),VLOOKUP($B60,'BANCO DE DADOS JANEIRO-24 SERV'!$B:$E,2,FALSE))</f>
        <v xml:space="preserve">CONECTOR MACHO RJ 45, CATEGORIA 6 (CAT 6) PARA CABOS                                                                                                                                                                                                                                                                                                                                                                                                                                                      </v>
      </c>
      <c r="D60" s="732" t="str">
        <f>IF($A60="INSUMO",VLOOKUP($B60,'BANCO DE DADOS JANEIRO-24 INS'!$A:$D,3,FALSE),VLOOKUP($B60,'BANCO DE DADOS JANEIRO-24 SERV'!$B:$E,3,FALSE))</f>
        <v xml:space="preserve">UN    </v>
      </c>
      <c r="E60" s="846">
        <v>1</v>
      </c>
      <c r="F60" s="755">
        <f>IF($A60="INSUMO",VLOOKUP($B60,'BANCO DE DADOS JANEIRO-24 INS'!$A:$D,4,FALSE),VLOOKUP($B60,'BANCO DE DADOS JANEIRO-24 SERV'!$B:$E,4,FALSE))</f>
        <v>3.29</v>
      </c>
      <c r="G60" s="848">
        <f>TRUNC(F60*E60,2)</f>
        <v>3.29</v>
      </c>
    </row>
    <row r="61" spans="1:8" ht="15.75">
      <c r="B61" s="2408" t="s">
        <v>166</v>
      </c>
      <c r="C61" s="2409"/>
      <c r="D61" s="2409"/>
      <c r="E61" s="2409"/>
      <c r="F61" s="2409"/>
      <c r="G61" s="2410"/>
    </row>
    <row r="62" spans="1:8" ht="15.75">
      <c r="A62" s="333" t="s">
        <v>391</v>
      </c>
      <c r="B62" s="841">
        <v>88264</v>
      </c>
      <c r="C62" s="728" t="str">
        <f>IF($A62="INSUMO",VLOOKUP($B62,'BANCO DE DADOS JANEIRO-24 INS'!$A:$D,2,FALSE),VLOOKUP($B62,'BANCO DE DADOS JANEIRO-24 SERV'!$B:$E,2,FALSE))</f>
        <v>ELETRICISTA COM ENCARGOS COMPLEMENTARES</v>
      </c>
      <c r="D62" s="732" t="str">
        <f>IF($A62="INSUMO",VLOOKUP($B62,'BANCO DE DADOS JANEIRO-24 INS'!$A:$D,3,FALSE),VLOOKUP($B62,'BANCO DE DADOS JANEIRO-24 SERV'!$B:$E,3,FALSE))</f>
        <v>H</v>
      </c>
      <c r="E62" s="820">
        <v>0.1</v>
      </c>
      <c r="F62" s="755">
        <f>IF($A62="INSUMO",VLOOKUP($B62,'BANCO DE DADOS JANEIRO-24 INS'!$A:$D,4,FALSE),VLOOKUP($B62,'BANCO DE DADOS JANEIRO-24 SERV'!$B:$E,4,FALSE))</f>
        <v>26.68</v>
      </c>
      <c r="G62" s="840">
        <f>TRUNC(F62*E62,2)</f>
        <v>2.66</v>
      </c>
    </row>
    <row r="63" spans="1:8" ht="16.5" thickBot="1">
      <c r="A63" s="333" t="s">
        <v>391</v>
      </c>
      <c r="B63" s="625">
        <v>88316</v>
      </c>
      <c r="C63" s="731" t="str">
        <f>IF($A63="INSUMO",VLOOKUP($B63,'BANCO DE DADOS JANEIRO-24 INS'!$A:$D,2,FALSE),VLOOKUP($B63,'BANCO DE DADOS JANEIRO-24 SERV'!$B:$E,2,FALSE))</f>
        <v>SERVENTE COM ENCARGOS COMPLEMENTARES</v>
      </c>
      <c r="D63" s="729" t="str">
        <f>IF($A63="INSUMO",VLOOKUP($B63,'BANCO DE DADOS JANEIRO-24 INS'!$A:$D,3,FALSE),VLOOKUP($B63,'BANCO DE DADOS JANEIRO-24 SERV'!$B:$E,3,FALSE))</f>
        <v>H</v>
      </c>
      <c r="E63" s="850">
        <v>0.1</v>
      </c>
      <c r="F63" s="757">
        <f>IF($A63="INSUMO",VLOOKUP($B63,'BANCO DE DADOS JANEIRO-24 INS'!$A:$D,4,FALSE),VLOOKUP($B63,'BANCO DE DADOS JANEIRO-24 SERV'!$B:$E,4,FALSE))</f>
        <v>20.32</v>
      </c>
      <c r="G63" s="626">
        <f>TRUNC(F63*E63,2)</f>
        <v>2.0299999999999998</v>
      </c>
    </row>
    <row r="64" spans="1:8" ht="48.75" customHeight="1" thickBot="1">
      <c r="B64" s="2404" t="s">
        <v>7286</v>
      </c>
      <c r="C64" s="2404"/>
      <c r="D64" s="2404"/>
      <c r="E64" s="2422"/>
      <c r="F64" s="325" t="s">
        <v>167</v>
      </c>
      <c r="G64" s="326">
        <f>SUM(G59:G63)</f>
        <v>7.98</v>
      </c>
    </row>
    <row r="65" spans="1:8" ht="15.75" thickBot="1"/>
    <row r="66" spans="1:8" ht="41.25" customHeight="1">
      <c r="B66" s="623" t="str">
        <f>IF(COUNT($H$17:H66)&lt;10,CONCATENATE("CPU LOG 00",COUNT($H$17:H66)),CONCATENATE("CPU LOG 0",COUNT($H$17:H66)))</f>
        <v>CPU LOG 005</v>
      </c>
      <c r="C66" s="2180" t="str">
        <f>CONCATENATE("FORNECIMENTO E INSTALAÇÃO DE ",C69)</f>
        <v xml:space="preserve">FORNECIMENTO E INSTALAÇÃO DE ELETRODUTO FLEXIVEL, EM ACO GALVANIZADO, REVESTIDO EXTERNAMENTE COM PVC PRETO, DIAMETRO EXTERNO DE 32 MM (1"), TIPO SEALTUBO                                                                                                                                                                                                                                                                                                                                                                              </v>
      </c>
      <c r="D66" s="2181"/>
      <c r="E66" s="2181"/>
      <c r="F66" s="2181"/>
      <c r="G66" s="624" t="s">
        <v>22</v>
      </c>
      <c r="H66" s="615">
        <f>G73</f>
        <v>27.119999999999997</v>
      </c>
    </row>
    <row r="67" spans="1:8" ht="31.5">
      <c r="B67" s="750" t="s">
        <v>197</v>
      </c>
      <c r="C67" s="751" t="s">
        <v>161</v>
      </c>
      <c r="D67" s="826" t="s">
        <v>22</v>
      </c>
      <c r="E67" s="751" t="s">
        <v>162</v>
      </c>
      <c r="F67" s="752" t="s">
        <v>163</v>
      </c>
      <c r="G67" s="753" t="s">
        <v>164</v>
      </c>
    </row>
    <row r="68" spans="1:8" ht="15.75">
      <c r="B68" s="2408" t="s">
        <v>165</v>
      </c>
      <c r="C68" s="2409"/>
      <c r="D68" s="2409"/>
      <c r="E68" s="2409"/>
      <c r="F68" s="2409"/>
      <c r="G68" s="2410"/>
    </row>
    <row r="69" spans="1:8" ht="45">
      <c r="A69" s="333" t="s">
        <v>390</v>
      </c>
      <c r="B69" s="836">
        <v>2501</v>
      </c>
      <c r="C69" s="829" t="str">
        <f>IF($A69="INSUMO",VLOOKUP($B69,'BANCO DE DADOS JANEIRO-24 INS'!$A:$D,2,FALSE),VLOOKUP($B69,'BANCO DE DADOS JANEIRO-24 SERV'!$B:$E,2,FALSE))</f>
        <v xml:space="preserve">ELETRODUTO FLEXIVEL, EM ACO GALVANIZADO, REVESTIDO EXTERNAMENTE COM PVC PRETO, DIAMETRO EXTERNO DE 32 MM (1"), TIPO SEALTUBO                                                                                                                                                                                                                                                                                                                                                                              </v>
      </c>
      <c r="D69" s="828" t="str">
        <f>IF($A69="INSUMO",VLOOKUP($B69,'BANCO DE DADOS JANEIRO-24 INS'!$A:$D,3,FALSE),VLOOKUP($B69,'BANCO DE DADOS JANEIRO-24 SERV'!$B:$E,3,FALSE))</f>
        <v xml:space="preserve">M     </v>
      </c>
      <c r="E69" s="835">
        <v>1.05</v>
      </c>
      <c r="F69" s="830">
        <f>IF($A69="INSUMO",VLOOKUP($B69,'BANCO DE DADOS JANEIRO-24 INS'!$A:$D,4,FALSE),VLOOKUP($B69,'BANCO DE DADOS JANEIRO-24 SERV'!$B:$E,4,FALSE))</f>
        <v>14.64</v>
      </c>
      <c r="G69" s="833">
        <f>TRUNC(F69*E69,2)</f>
        <v>15.37</v>
      </c>
    </row>
    <row r="70" spans="1:8" ht="15.75">
      <c r="B70" s="2408" t="s">
        <v>166</v>
      </c>
      <c r="C70" s="2409"/>
      <c r="D70" s="2409"/>
      <c r="E70" s="2409"/>
      <c r="F70" s="2409"/>
      <c r="G70" s="2410"/>
    </row>
    <row r="71" spans="1:8" ht="15.75">
      <c r="A71" s="333" t="s">
        <v>391</v>
      </c>
      <c r="B71" s="841">
        <v>88264</v>
      </c>
      <c r="C71" s="728" t="str">
        <f>IF($A71="INSUMO",VLOOKUP($B71,'BANCO DE DADOS JANEIRO-24 INS'!$A:$D,2,FALSE),VLOOKUP($B71,'BANCO DE DADOS JANEIRO-24 SERV'!$B:$E,2,FALSE))</f>
        <v>ELETRICISTA COM ENCARGOS COMPLEMENTARES</v>
      </c>
      <c r="D71" s="732" t="str">
        <f>IF($A71="INSUMO",VLOOKUP($B71,'BANCO DE DADOS JANEIRO-24 INS'!$A:$D,3,FALSE),VLOOKUP($B71,'BANCO DE DADOS JANEIRO-24 SERV'!$B:$E,3,FALSE))</f>
        <v>H</v>
      </c>
      <c r="E71" s="820">
        <v>0.25</v>
      </c>
      <c r="F71" s="755">
        <f>IF($A71="INSUMO",VLOOKUP($B71,'BANCO DE DADOS JANEIRO-24 INS'!$A:$D,4,FALSE),VLOOKUP($B71,'BANCO DE DADOS JANEIRO-24 SERV'!$B:$E,4,FALSE))</f>
        <v>26.68</v>
      </c>
      <c r="G71" s="840">
        <f>TRUNC(F71*E71,2)</f>
        <v>6.67</v>
      </c>
    </row>
    <row r="72" spans="1:8" ht="16.5" thickBot="1">
      <c r="A72" s="333" t="s">
        <v>391</v>
      </c>
      <c r="B72" s="625">
        <v>88316</v>
      </c>
      <c r="C72" s="731" t="str">
        <f>IF($A72="INSUMO",VLOOKUP($B72,'BANCO DE DADOS JANEIRO-24 INS'!$A:$D,2,FALSE),VLOOKUP($B72,'BANCO DE DADOS JANEIRO-24 SERV'!$B:$E,2,FALSE))</f>
        <v>SERVENTE COM ENCARGOS COMPLEMENTARES</v>
      </c>
      <c r="D72" s="729" t="str">
        <f>IF($A72="INSUMO",VLOOKUP($B72,'BANCO DE DADOS JANEIRO-24 INS'!$A:$D,3,FALSE),VLOOKUP($B72,'BANCO DE DADOS JANEIRO-24 SERV'!$B:$E,3,FALSE))</f>
        <v>H</v>
      </c>
      <c r="E72" s="850">
        <v>0.25</v>
      </c>
      <c r="F72" s="757">
        <f>IF($A72="INSUMO",VLOOKUP($B72,'BANCO DE DADOS JANEIRO-24 INS'!$A:$D,4,FALSE),VLOOKUP($B72,'BANCO DE DADOS JANEIRO-24 SERV'!$B:$E,4,FALSE))</f>
        <v>20.32</v>
      </c>
      <c r="G72" s="626">
        <f>TRUNC(F72*E72,2)</f>
        <v>5.08</v>
      </c>
    </row>
    <row r="73" spans="1:8" ht="16.5" thickBot="1">
      <c r="B73" s="2404" t="s">
        <v>7287</v>
      </c>
      <c r="C73" s="2404"/>
      <c r="D73" s="2404"/>
      <c r="E73" s="2422"/>
      <c r="F73" s="325" t="s">
        <v>167</v>
      </c>
      <c r="G73" s="326">
        <f>SUM(G68:G72)</f>
        <v>27.119999999999997</v>
      </c>
    </row>
    <row r="74" spans="1:8" ht="15.75" thickBot="1"/>
    <row r="75" spans="1:8" ht="41.25" customHeight="1">
      <c r="B75" s="623" t="str">
        <f>IF(COUNT($H$17:H75)&lt;10,CONCATENATE("CPU LOG 00",COUNT($H$17:H75)),CONCATENATE("CPU LOG 0",COUNT($H$17:H75)))</f>
        <v>CPU LOG 006</v>
      </c>
      <c r="C75" s="2180" t="str">
        <f>CONCATENATE("FORNECIMENTO E INSTALAÇÃO DE ",C78)</f>
        <v xml:space="preserve">FORNECIMENTO E INSTALAÇÃO DE ELETRODUTO FLEXIVEL PLANO EM PEAD, COR PRETA E LARANJA,  DIAMETRO 40 MM                                                                                                                                                                                                                                                                                                                                                                                                                                   </v>
      </c>
      <c r="D75" s="2181"/>
      <c r="E75" s="2181"/>
      <c r="F75" s="2181"/>
      <c r="G75" s="624" t="s">
        <v>22</v>
      </c>
      <c r="H75" s="615">
        <f>G82</f>
        <v>14.74</v>
      </c>
    </row>
    <row r="76" spans="1:8" ht="31.5">
      <c r="B76" s="750" t="s">
        <v>197</v>
      </c>
      <c r="C76" s="751" t="s">
        <v>161</v>
      </c>
      <c r="D76" s="826" t="s">
        <v>22</v>
      </c>
      <c r="E76" s="751" t="s">
        <v>162</v>
      </c>
      <c r="F76" s="752" t="s">
        <v>163</v>
      </c>
      <c r="G76" s="753" t="s">
        <v>164</v>
      </c>
    </row>
    <row r="77" spans="1:8" ht="15.75">
      <c r="B77" s="2408" t="s">
        <v>165</v>
      </c>
      <c r="C77" s="2409"/>
      <c r="D77" s="2409"/>
      <c r="E77" s="2409"/>
      <c r="F77" s="2409"/>
      <c r="G77" s="2410"/>
    </row>
    <row r="78" spans="1:8" ht="30">
      <c r="A78" s="333" t="s">
        <v>390</v>
      </c>
      <c r="B78" s="836">
        <v>40402</v>
      </c>
      <c r="C78" s="829" t="str">
        <f>IF($A78="INSUMO",VLOOKUP($B78,'BANCO DE DADOS JANEIRO-24 INS'!$A:$D,2,FALSE),VLOOKUP($B78,'BANCO DE DADOS JANEIRO-24 SERV'!$B:$E,2,FALSE))</f>
        <v xml:space="preserve">ELETRODUTO FLEXIVEL PLANO EM PEAD, COR PRETA E LARANJA,  DIAMETRO 40 MM                                                                                                                                                                                                                                                                                                                                                                                                                                   </v>
      </c>
      <c r="D78" s="828" t="str">
        <f>IF($A78="INSUMO",VLOOKUP($B78,'BANCO DE DADOS JANEIRO-24 INS'!$A:$D,3,FALSE),VLOOKUP($B78,'BANCO DE DADOS JANEIRO-24 SERV'!$B:$E,3,FALSE))</f>
        <v xml:space="preserve">M     </v>
      </c>
      <c r="E78" s="835">
        <v>1.05</v>
      </c>
      <c r="F78" s="830">
        <f>IF($A78="INSUMO",VLOOKUP($B78,'BANCO DE DADOS JANEIRO-24 INS'!$A:$D,4,FALSE),VLOOKUP($B78,'BANCO DE DADOS JANEIRO-24 SERV'!$B:$E,4,FALSE))</f>
        <v>2.85</v>
      </c>
      <c r="G78" s="833">
        <f>TRUNC(F78*E78,2)</f>
        <v>2.99</v>
      </c>
    </row>
    <row r="79" spans="1:8" ht="15.75">
      <c r="B79" s="2408" t="s">
        <v>166</v>
      </c>
      <c r="C79" s="2409"/>
      <c r="D79" s="2409"/>
      <c r="E79" s="2409"/>
      <c r="F79" s="2409"/>
      <c r="G79" s="2410"/>
    </row>
    <row r="80" spans="1:8" ht="15.75">
      <c r="A80" s="333" t="s">
        <v>391</v>
      </c>
      <c r="B80" s="841">
        <v>88264</v>
      </c>
      <c r="C80" s="728" t="str">
        <f>IF($A80="INSUMO",VLOOKUP($B80,'BANCO DE DADOS JANEIRO-24 INS'!$A:$D,2,FALSE),VLOOKUP($B80,'BANCO DE DADOS JANEIRO-24 SERV'!$B:$E,2,FALSE))</f>
        <v>ELETRICISTA COM ENCARGOS COMPLEMENTARES</v>
      </c>
      <c r="D80" s="732" t="str">
        <f>IF($A80="INSUMO",VLOOKUP($B80,'BANCO DE DADOS JANEIRO-24 INS'!$A:$D,3,FALSE),VLOOKUP($B80,'BANCO DE DADOS JANEIRO-24 SERV'!$B:$E,3,FALSE))</f>
        <v>H</v>
      </c>
      <c r="E80" s="820">
        <v>0.25</v>
      </c>
      <c r="F80" s="755">
        <f>IF($A80="INSUMO",VLOOKUP($B80,'BANCO DE DADOS JANEIRO-24 INS'!$A:$D,4,FALSE),VLOOKUP($B80,'BANCO DE DADOS JANEIRO-24 SERV'!$B:$E,4,FALSE))</f>
        <v>26.68</v>
      </c>
      <c r="G80" s="840">
        <f>TRUNC(F80*E80,2)</f>
        <v>6.67</v>
      </c>
    </row>
    <row r="81" spans="1:8" ht="16.5" thickBot="1">
      <c r="A81" s="333" t="s">
        <v>391</v>
      </c>
      <c r="B81" s="625">
        <v>88316</v>
      </c>
      <c r="C81" s="731" t="str">
        <f>IF($A81="INSUMO",VLOOKUP($B81,'BANCO DE DADOS JANEIRO-24 INS'!$A:$D,2,FALSE),VLOOKUP($B81,'BANCO DE DADOS JANEIRO-24 SERV'!$B:$E,2,FALSE))</f>
        <v>SERVENTE COM ENCARGOS COMPLEMENTARES</v>
      </c>
      <c r="D81" s="729" t="str">
        <f>IF($A81="INSUMO",VLOOKUP($B81,'BANCO DE DADOS JANEIRO-24 INS'!$A:$D,3,FALSE),VLOOKUP($B81,'BANCO DE DADOS JANEIRO-24 SERV'!$B:$E,3,FALSE))</f>
        <v>H</v>
      </c>
      <c r="E81" s="850">
        <v>0.25</v>
      </c>
      <c r="F81" s="757">
        <f>IF($A81="INSUMO",VLOOKUP($B81,'BANCO DE DADOS JANEIRO-24 INS'!$A:$D,4,FALSE),VLOOKUP($B81,'BANCO DE DADOS JANEIRO-24 SERV'!$B:$E,4,FALSE))</f>
        <v>20.32</v>
      </c>
      <c r="G81" s="626">
        <f>TRUNC(F81*E81,2)</f>
        <v>5.08</v>
      </c>
    </row>
    <row r="82" spans="1:8" ht="16.5" thickBot="1">
      <c r="B82" s="2404" t="s">
        <v>7287</v>
      </c>
      <c r="C82" s="2404"/>
      <c r="D82" s="2404"/>
      <c r="E82" s="2422"/>
      <c r="F82" s="325" t="s">
        <v>167</v>
      </c>
      <c r="G82" s="326">
        <f>SUM(G77:G81)</f>
        <v>14.74</v>
      </c>
    </row>
    <row r="83" spans="1:8" ht="15.75" thickBot="1"/>
    <row r="84" spans="1:8" ht="41.25" customHeight="1">
      <c r="B84" s="623" t="str">
        <f>IF(COUNT($H$17:H84)&lt;10,CONCATENATE("CPU LOG 00",COUNT($H$17:H84)),CONCATENATE("CPU LOG 0",COUNT($H$17:H84)))</f>
        <v>CPU LOG 007</v>
      </c>
      <c r="C84" s="2180" t="str">
        <f>CONCATENATE("FORNECIMENTO E INSTALAÇÃO DE ",C87)</f>
        <v xml:space="preserve">FORNECIMENTO E INSTALAÇÃO DE ELETRODUTO EM ACO GALVANIZADO ELETROLITICO, LEVE, DIAMETRO 1", PAREDE DE 0,90 MM                                                                                                                                                                                                                                                                                                                                                                                                                          </v>
      </c>
      <c r="D84" s="2181"/>
      <c r="E84" s="2181"/>
      <c r="F84" s="2181"/>
      <c r="G84" s="624" t="s">
        <v>22</v>
      </c>
      <c r="H84" s="615">
        <f>G91</f>
        <v>48.900000000000006</v>
      </c>
    </row>
    <row r="85" spans="1:8" ht="31.5">
      <c r="B85" s="750" t="s">
        <v>197</v>
      </c>
      <c r="C85" s="751" t="s">
        <v>161</v>
      </c>
      <c r="D85" s="826" t="s">
        <v>22</v>
      </c>
      <c r="E85" s="751" t="s">
        <v>162</v>
      </c>
      <c r="F85" s="752" t="s">
        <v>163</v>
      </c>
      <c r="G85" s="753" t="s">
        <v>164</v>
      </c>
    </row>
    <row r="86" spans="1:8" ht="15.75">
      <c r="B86" s="2408" t="s">
        <v>165</v>
      </c>
      <c r="C86" s="2409"/>
      <c r="D86" s="2409"/>
      <c r="E86" s="2409"/>
      <c r="F86" s="2409"/>
      <c r="G86" s="2410"/>
    </row>
    <row r="87" spans="1:8" ht="30" customHeight="1">
      <c r="A87" s="333" t="s">
        <v>390</v>
      </c>
      <c r="B87" s="841">
        <v>21136</v>
      </c>
      <c r="C87" s="728" t="str">
        <f>IF($A87="INSUMO",VLOOKUP($B87,'BANCO DE DADOS JANEIRO-24 INS'!$A:$D,2,FALSE),VLOOKUP($B87,'BANCO DE DADOS JANEIRO-24 SERV'!$B:$E,2,FALSE))</f>
        <v xml:space="preserve">ELETRODUTO EM ACO GALVANIZADO ELETROLITICO, LEVE, DIAMETRO 1", PAREDE DE 0,90 MM                                                                                                                                                                                                                                                                                                                                                                                                                          </v>
      </c>
      <c r="D87" s="732" t="str">
        <f>IF($A87="INSUMO",VLOOKUP($B87,'BANCO DE DADOS JANEIRO-24 INS'!$A:$D,3,FALSE),VLOOKUP($B87,'BANCO DE DADOS JANEIRO-24 SERV'!$B:$E,3,FALSE))</f>
        <v xml:space="preserve">M     </v>
      </c>
      <c r="E87" s="820">
        <v>1.05</v>
      </c>
      <c r="F87" s="755">
        <f>IF($A87="INSUMO",VLOOKUP($B87,'BANCO DE DADOS JANEIRO-24 INS'!$A:$D,4,FALSE),VLOOKUP($B87,'BANCO DE DADOS JANEIRO-24 SERV'!$B:$E,4,FALSE))</f>
        <v>13</v>
      </c>
      <c r="G87" s="840">
        <f>TRUNC(F87*E87,2)</f>
        <v>13.65</v>
      </c>
    </row>
    <row r="88" spans="1:8" ht="15.75">
      <c r="B88" s="2408" t="s">
        <v>166</v>
      </c>
      <c r="C88" s="2409"/>
      <c r="D88" s="2409"/>
      <c r="E88" s="2409"/>
      <c r="F88" s="2409"/>
      <c r="G88" s="2410"/>
    </row>
    <row r="89" spans="1:8" ht="15.75">
      <c r="A89" s="333" t="s">
        <v>391</v>
      </c>
      <c r="B89" s="841">
        <v>88264</v>
      </c>
      <c r="C89" s="728" t="str">
        <f>IF($A89="INSUMO",VLOOKUP($B89,'BANCO DE DADOS JANEIRO-24 INS'!$A:$D,2,FALSE),VLOOKUP($B89,'BANCO DE DADOS JANEIRO-24 SERV'!$B:$E,2,FALSE))</f>
        <v>ELETRICISTA COM ENCARGOS COMPLEMENTARES</v>
      </c>
      <c r="D89" s="732" t="str">
        <f>IF($A89="INSUMO",VLOOKUP($B89,'BANCO DE DADOS JANEIRO-24 INS'!$A:$D,3,FALSE),VLOOKUP($B89,'BANCO DE DADOS JANEIRO-24 SERV'!$B:$E,3,FALSE))</f>
        <v>H</v>
      </c>
      <c r="E89" s="820">
        <v>0.75</v>
      </c>
      <c r="F89" s="755">
        <f>IF($A89="INSUMO",VLOOKUP($B89,'BANCO DE DADOS JANEIRO-24 INS'!$A:$D,4,FALSE),VLOOKUP($B89,'BANCO DE DADOS JANEIRO-24 SERV'!$B:$E,4,FALSE))</f>
        <v>26.68</v>
      </c>
      <c r="G89" s="840">
        <f>TRUNC(F89*E89,2)</f>
        <v>20.010000000000002</v>
      </c>
    </row>
    <row r="90" spans="1:8" ht="16.5" thickBot="1">
      <c r="A90" s="333" t="s">
        <v>391</v>
      </c>
      <c r="B90" s="625">
        <v>88316</v>
      </c>
      <c r="C90" s="731" t="str">
        <f>IF($A90="INSUMO",VLOOKUP($B90,'BANCO DE DADOS JANEIRO-24 INS'!$A:$D,2,FALSE),VLOOKUP($B90,'BANCO DE DADOS JANEIRO-24 SERV'!$B:$E,2,FALSE))</f>
        <v>SERVENTE COM ENCARGOS COMPLEMENTARES</v>
      </c>
      <c r="D90" s="729" t="str">
        <f>IF($A90="INSUMO",VLOOKUP($B90,'BANCO DE DADOS JANEIRO-24 INS'!$A:$D,3,FALSE),VLOOKUP($B90,'BANCO DE DADOS JANEIRO-24 SERV'!$B:$E,3,FALSE))</f>
        <v>H</v>
      </c>
      <c r="E90" s="850">
        <v>0.75</v>
      </c>
      <c r="F90" s="757">
        <f>IF($A90="INSUMO",VLOOKUP($B90,'BANCO DE DADOS JANEIRO-24 INS'!$A:$D,4,FALSE),VLOOKUP($B90,'BANCO DE DADOS JANEIRO-24 SERV'!$B:$E,4,FALSE))</f>
        <v>20.32</v>
      </c>
      <c r="G90" s="626">
        <f>TRUNC(F90*E90,2)</f>
        <v>15.24</v>
      </c>
    </row>
    <row r="91" spans="1:8" ht="16.5" thickBot="1">
      <c r="B91" s="2404" t="s">
        <v>7288</v>
      </c>
      <c r="C91" s="2404"/>
      <c r="D91" s="2404"/>
      <c r="E91" s="2422"/>
      <c r="F91" s="325" t="s">
        <v>167</v>
      </c>
      <c r="G91" s="326">
        <f>SUM(G86:G90)</f>
        <v>48.900000000000006</v>
      </c>
    </row>
    <row r="92" spans="1:8" ht="15.75" thickBot="1"/>
    <row r="93" spans="1:8" ht="16.5" customHeight="1" thickBot="1">
      <c r="B93" s="2432"/>
      <c r="C93" s="2433"/>
      <c r="D93" s="2433"/>
      <c r="E93" s="2433"/>
      <c r="F93" s="2433"/>
      <c r="G93" s="2434"/>
    </row>
    <row r="94" spans="1:8" ht="41.25" customHeight="1">
      <c r="B94" s="623" t="str">
        <f>IF(COUNT($H$17:H94)&lt;10,CONCATENATE("CPU LOG 00",COUNT($H$17:H94)),CONCATENATE("CPU LOG 0",COUNT($H$17:H94)))</f>
        <v>CPU LOG 008</v>
      </c>
      <c r="C94" s="2180" t="str">
        <f>CONCATENATE("FORNECIMENTO E INSTALAÇÃO DE ",C97)</f>
        <v xml:space="preserve">FORNECIMENTO E INSTALAÇÃO DE ELETRODUTO EM ACO GALVANIZADO ELETROLITICO, SEMI-PESADO, DIAMETRO 1 1/4", PAREDE DE 1,20 MM                                                                                                                                                                                                                                                                                                                                                                                                               </v>
      </c>
      <c r="D94" s="2181"/>
      <c r="E94" s="2181"/>
      <c r="F94" s="2181"/>
      <c r="G94" s="624" t="s">
        <v>22</v>
      </c>
      <c r="H94" s="615">
        <f>G101</f>
        <v>61.510000000000005</v>
      </c>
    </row>
    <row r="95" spans="1:8" ht="31.5">
      <c r="B95" s="750" t="s">
        <v>197</v>
      </c>
      <c r="C95" s="751" t="s">
        <v>161</v>
      </c>
      <c r="D95" s="826" t="s">
        <v>22</v>
      </c>
      <c r="E95" s="751" t="s">
        <v>162</v>
      </c>
      <c r="F95" s="752" t="s">
        <v>163</v>
      </c>
      <c r="G95" s="753" t="s">
        <v>164</v>
      </c>
    </row>
    <row r="96" spans="1:8" ht="15.75">
      <c r="B96" s="2408" t="s">
        <v>165</v>
      </c>
      <c r="C96" s="2409"/>
      <c r="D96" s="2409"/>
      <c r="E96" s="2409"/>
      <c r="F96" s="2409"/>
      <c r="G96" s="2410"/>
    </row>
    <row r="97" spans="1:8" ht="30" customHeight="1">
      <c r="A97" s="333" t="s">
        <v>390</v>
      </c>
      <c r="B97" s="841">
        <v>21135</v>
      </c>
      <c r="C97" s="728" t="str">
        <f>IF($A97="INSUMO",VLOOKUP($B97,'BANCO DE DADOS JANEIRO-24 INS'!$A:$D,2,FALSE),VLOOKUP($B97,'BANCO DE DADOS JANEIRO-24 SERV'!$B:$E,2,FALSE))</f>
        <v xml:space="preserve">ELETRODUTO EM ACO GALVANIZADO ELETROLITICO, SEMI-PESADO, DIAMETRO 1 1/4", PAREDE DE 1,20 MM                                                                                                                                                                                                                                                                                                                                                                                                               </v>
      </c>
      <c r="D97" s="732" t="str">
        <f>IF($A97="INSUMO",VLOOKUP($B97,'BANCO DE DADOS JANEIRO-24 INS'!$A:$D,3,FALSE),VLOOKUP($B97,'BANCO DE DADOS JANEIRO-24 SERV'!$B:$E,3,FALSE))</f>
        <v xml:space="preserve">M     </v>
      </c>
      <c r="E97" s="820">
        <v>1.05</v>
      </c>
      <c r="F97" s="755">
        <f>IF($A97="INSUMO",VLOOKUP($B97,'BANCO DE DADOS JANEIRO-24 INS'!$A:$D,4,FALSE),VLOOKUP($B97,'BANCO DE DADOS JANEIRO-24 SERV'!$B:$E,4,FALSE))</f>
        <v>25.01</v>
      </c>
      <c r="G97" s="840">
        <f>TRUNC(F97*E97,2)</f>
        <v>26.26</v>
      </c>
    </row>
    <row r="98" spans="1:8" ht="15.75">
      <c r="B98" s="2408" t="s">
        <v>166</v>
      </c>
      <c r="C98" s="2409"/>
      <c r="D98" s="2409"/>
      <c r="E98" s="2409"/>
      <c r="F98" s="2409"/>
      <c r="G98" s="2410"/>
    </row>
    <row r="99" spans="1:8" ht="15.75">
      <c r="A99" s="333" t="s">
        <v>391</v>
      </c>
      <c r="B99" s="841">
        <v>88264</v>
      </c>
      <c r="C99" s="728" t="str">
        <f>IF($A99="INSUMO",VLOOKUP($B99,'BANCO DE DADOS JANEIRO-24 INS'!$A:$D,2,FALSE),VLOOKUP($B99,'BANCO DE DADOS JANEIRO-24 SERV'!$B:$E,2,FALSE))</f>
        <v>ELETRICISTA COM ENCARGOS COMPLEMENTARES</v>
      </c>
      <c r="D99" s="732" t="str">
        <f>IF($A99="INSUMO",VLOOKUP($B99,'BANCO DE DADOS JANEIRO-24 INS'!$A:$D,3,FALSE),VLOOKUP($B99,'BANCO DE DADOS JANEIRO-24 SERV'!$B:$E,3,FALSE))</f>
        <v>H</v>
      </c>
      <c r="E99" s="820">
        <v>0.75</v>
      </c>
      <c r="F99" s="755">
        <f>IF($A99="INSUMO",VLOOKUP($B99,'BANCO DE DADOS JANEIRO-24 INS'!$A:$D,4,FALSE),VLOOKUP($B99,'BANCO DE DADOS JANEIRO-24 SERV'!$B:$E,4,FALSE))</f>
        <v>26.68</v>
      </c>
      <c r="G99" s="840">
        <f>TRUNC(F99*E99,2)</f>
        <v>20.010000000000002</v>
      </c>
    </row>
    <row r="100" spans="1:8" ht="16.5" thickBot="1">
      <c r="A100" s="333" t="s">
        <v>391</v>
      </c>
      <c r="B100" s="625">
        <v>88316</v>
      </c>
      <c r="C100" s="731" t="str">
        <f>IF($A100="INSUMO",VLOOKUP($B100,'BANCO DE DADOS JANEIRO-24 INS'!$A:$D,2,FALSE),VLOOKUP($B100,'BANCO DE DADOS JANEIRO-24 SERV'!$B:$E,2,FALSE))</f>
        <v>SERVENTE COM ENCARGOS COMPLEMENTARES</v>
      </c>
      <c r="D100" s="729" t="str">
        <f>IF($A100="INSUMO",VLOOKUP($B100,'BANCO DE DADOS JANEIRO-24 INS'!$A:$D,3,FALSE),VLOOKUP($B100,'BANCO DE DADOS JANEIRO-24 SERV'!$B:$E,3,FALSE))</f>
        <v>H</v>
      </c>
      <c r="E100" s="850">
        <v>0.75</v>
      </c>
      <c r="F100" s="757">
        <f>IF($A100="INSUMO",VLOOKUP($B100,'BANCO DE DADOS JANEIRO-24 INS'!$A:$D,4,FALSE),VLOOKUP($B100,'BANCO DE DADOS JANEIRO-24 SERV'!$B:$E,4,FALSE))</f>
        <v>20.32</v>
      </c>
      <c r="G100" s="626">
        <f>TRUNC(F100*E100,2)</f>
        <v>15.24</v>
      </c>
    </row>
    <row r="101" spans="1:8" ht="16.5" thickBot="1">
      <c r="B101" s="2404" t="s">
        <v>7289</v>
      </c>
      <c r="C101" s="2404"/>
      <c r="D101" s="2404"/>
      <c r="E101" s="2422"/>
      <c r="F101" s="325" t="s">
        <v>167</v>
      </c>
      <c r="G101" s="326">
        <f>SUM(G96:G100)</f>
        <v>61.510000000000005</v>
      </c>
    </row>
    <row r="102" spans="1:8" ht="15.75" thickBot="1"/>
    <row r="103" spans="1:8" ht="15.75" thickBot="1">
      <c r="B103" s="2432"/>
      <c r="C103" s="2433"/>
      <c r="D103" s="2433"/>
      <c r="E103" s="2433"/>
      <c r="F103" s="2433"/>
      <c r="G103" s="2434"/>
    </row>
    <row r="104" spans="1:8" ht="29.25" customHeight="1">
      <c r="B104" s="623" t="str">
        <f>IF(COUNT($H$17:H104)&lt;10,CONCATENATE("CPU LOG 00",COUNT($H$17:H104)),CONCATENATE("CPU LOG 0",COUNT($H$17:H104)))</f>
        <v>CPU LOG 009</v>
      </c>
      <c r="C104" s="2180" t="str">
        <f>CONCATENATE("FORNECIMENTO E INSTALAÇÃO DE ",C107)</f>
        <v xml:space="preserve">FORNECIMENTO E INSTALAÇÃO DE PATCH CORD (CABO DE REDE), CATEGORIA 6 (CAT 6) UTP, 23 AWG, 4 PARES, EXTENSAO DE 2,50 M                                                                                                                                                                                                                                                                                                                                                                                                                   </v>
      </c>
      <c r="D104" s="2181"/>
      <c r="E104" s="2181"/>
      <c r="F104" s="2181"/>
      <c r="G104" s="624" t="s">
        <v>22</v>
      </c>
      <c r="H104" s="615">
        <f>G111</f>
        <v>41.09</v>
      </c>
    </row>
    <row r="105" spans="1:8" ht="31.5">
      <c r="B105" s="750" t="s">
        <v>197</v>
      </c>
      <c r="C105" s="751" t="s">
        <v>161</v>
      </c>
      <c r="D105" s="826" t="s">
        <v>22</v>
      </c>
      <c r="E105" s="751" t="s">
        <v>162</v>
      </c>
      <c r="F105" s="752" t="s">
        <v>163</v>
      </c>
      <c r="G105" s="753" t="s">
        <v>164</v>
      </c>
    </row>
    <row r="106" spans="1:8" ht="15.75">
      <c r="B106" s="2408" t="s">
        <v>165</v>
      </c>
      <c r="C106" s="2409"/>
      <c r="D106" s="2409"/>
      <c r="E106" s="2409"/>
      <c r="F106" s="2409"/>
      <c r="G106" s="2410"/>
    </row>
    <row r="107" spans="1:8" ht="30">
      <c r="A107" s="333" t="s">
        <v>390</v>
      </c>
      <c r="B107" s="883">
        <v>39607</v>
      </c>
      <c r="C107" s="728" t="str">
        <f>IF($A107="INSUMO",VLOOKUP($B107,'BANCO DE DADOS JANEIRO-24 INS'!$A:$D,2,FALSE),VLOOKUP($B107,'BANCO DE DADOS JANEIRO-24 SERV'!$B:$E,2,FALSE))</f>
        <v xml:space="preserve">PATCH CORD (CABO DE REDE), CATEGORIA 6 (CAT 6) UTP, 23 AWG, 4 PARES, EXTENSAO DE 2,50 M                                                                                                                                                                                                                                                                                                                                                                                                                   </v>
      </c>
      <c r="D107" s="732" t="str">
        <f>IF($A107="INSUMO",VLOOKUP($B107,'BANCO DE DADOS JANEIRO-24 INS'!$A:$D,3,FALSE),VLOOKUP($B107,'BANCO DE DADOS JANEIRO-24 SERV'!$B:$E,3,FALSE))</f>
        <v xml:space="preserve">UN    </v>
      </c>
      <c r="E107" s="846">
        <v>1</v>
      </c>
      <c r="F107" s="755">
        <f>IF($A107="INSUMO",VLOOKUP($B107,'BANCO DE DADOS JANEIRO-24 INS'!$A:$D,4,FALSE),VLOOKUP($B107,'BANCO DE DADOS JANEIRO-24 SERV'!$B:$E,4,FALSE))</f>
        <v>31.7</v>
      </c>
      <c r="G107" s="848">
        <f>TRUNC(F107*E107,2)</f>
        <v>31.7</v>
      </c>
    </row>
    <row r="108" spans="1:8" ht="15.75">
      <c r="B108" s="2408" t="s">
        <v>166</v>
      </c>
      <c r="C108" s="2409"/>
      <c r="D108" s="2409"/>
      <c r="E108" s="2409"/>
      <c r="F108" s="2409"/>
      <c r="G108" s="2410"/>
    </row>
    <row r="109" spans="1:8" ht="15.75">
      <c r="A109" s="333" t="s">
        <v>391</v>
      </c>
      <c r="B109" s="841">
        <v>88264</v>
      </c>
      <c r="C109" s="728" t="str">
        <f>IF($A109="INSUMO",VLOOKUP($B109,'BANCO DE DADOS JANEIRO-24 INS'!$A:$D,2,FALSE),VLOOKUP($B109,'BANCO DE DADOS JANEIRO-24 SERV'!$B:$E,2,FALSE))</f>
        <v>ELETRICISTA COM ENCARGOS COMPLEMENTARES</v>
      </c>
      <c r="D109" s="732" t="str">
        <f>IF($A109="INSUMO",VLOOKUP($B109,'BANCO DE DADOS JANEIRO-24 INS'!$A:$D,3,FALSE),VLOOKUP($B109,'BANCO DE DADOS JANEIRO-24 SERV'!$B:$E,3,FALSE))</f>
        <v>H</v>
      </c>
      <c r="E109" s="839">
        <v>0.2</v>
      </c>
      <c r="F109" s="755">
        <f>IF($A109="INSUMO",VLOOKUP($B109,'BANCO DE DADOS JANEIRO-24 INS'!$A:$D,4,FALSE),VLOOKUP($B109,'BANCO DE DADOS JANEIRO-24 SERV'!$B:$E,4,FALSE))</f>
        <v>26.68</v>
      </c>
      <c r="G109" s="840">
        <f>TRUNC(F109*E109,2)</f>
        <v>5.33</v>
      </c>
    </row>
    <row r="110" spans="1:8" ht="16.5" thickBot="1">
      <c r="A110" s="333" t="s">
        <v>391</v>
      </c>
      <c r="B110" s="625">
        <v>88316</v>
      </c>
      <c r="C110" s="731" t="str">
        <f>IF($A110="INSUMO",VLOOKUP($B110,'BANCO DE DADOS JANEIRO-24 INS'!$A:$D,2,FALSE),VLOOKUP($B110,'BANCO DE DADOS JANEIRO-24 SERV'!$B:$E,2,FALSE))</f>
        <v>SERVENTE COM ENCARGOS COMPLEMENTARES</v>
      </c>
      <c r="D110" s="729" t="str">
        <f>IF($A110="INSUMO",VLOOKUP($B110,'BANCO DE DADOS JANEIRO-24 INS'!$A:$D,3,FALSE),VLOOKUP($B110,'BANCO DE DADOS JANEIRO-24 SERV'!$B:$E,3,FALSE))</f>
        <v>H</v>
      </c>
      <c r="E110" s="842">
        <v>0.2</v>
      </c>
      <c r="F110" s="757">
        <f>IF($A110="INSUMO",VLOOKUP($B110,'BANCO DE DADOS JANEIRO-24 INS'!$A:$D,4,FALSE),VLOOKUP($B110,'BANCO DE DADOS JANEIRO-24 SERV'!$B:$E,4,FALSE))</f>
        <v>20.32</v>
      </c>
      <c r="G110" s="626">
        <f>TRUNC(F110*E110,2)</f>
        <v>4.0599999999999996</v>
      </c>
    </row>
    <row r="111" spans="1:8" ht="60.75" customHeight="1" thickBot="1">
      <c r="B111" s="2404" t="s">
        <v>7290</v>
      </c>
      <c r="C111" s="2404"/>
      <c r="D111" s="2404"/>
      <c r="E111" s="2422"/>
      <c r="F111" s="325" t="s">
        <v>167</v>
      </c>
      <c r="G111" s="326">
        <f>SUM(G106:G110)</f>
        <v>41.09</v>
      </c>
    </row>
    <row r="112" spans="1:8" ht="15.75" thickBot="1"/>
    <row r="113" spans="1:8" ht="34.5" customHeight="1">
      <c r="B113" s="623" t="str">
        <f>IF(COUNT($H$17:H113)&lt;10,CONCATENATE("CPU LOG 00",COUNT($H$17:H113)),CONCATENATE("CPU LOG 0",COUNT($H$17:H113)))</f>
        <v>CPU LOG 010</v>
      </c>
      <c r="C113" s="2180" t="str">
        <f>CONCATENATE("FORNECIMENTO E INSTALAÇÃO DE ",C116)</f>
        <v xml:space="preserve">FORNECIMENTO E INSTALAÇÃO DE PATCH CORD (CABO DE REDE), CATEGORIA 6 (CAT 6) UTP, 23 AWG, 4 PARES, EXTENSAO DE 1,50 M                                                                                                                                                                                                                                                                                                                                                                                                                   </v>
      </c>
      <c r="D113" s="2181"/>
      <c r="E113" s="2181"/>
      <c r="F113" s="2181"/>
      <c r="G113" s="624" t="s">
        <v>22</v>
      </c>
      <c r="H113" s="615">
        <f>G120</f>
        <v>32.82</v>
      </c>
    </row>
    <row r="114" spans="1:8" ht="31.5">
      <c r="B114" s="750" t="s">
        <v>197</v>
      </c>
      <c r="C114" s="751" t="s">
        <v>161</v>
      </c>
      <c r="D114" s="826" t="s">
        <v>22</v>
      </c>
      <c r="E114" s="751" t="s">
        <v>162</v>
      </c>
      <c r="F114" s="752" t="s">
        <v>163</v>
      </c>
      <c r="G114" s="753" t="s">
        <v>164</v>
      </c>
    </row>
    <row r="115" spans="1:8" ht="15.75">
      <c r="B115" s="2408" t="s">
        <v>165</v>
      </c>
      <c r="C115" s="2409"/>
      <c r="D115" s="2409"/>
      <c r="E115" s="2409"/>
      <c r="F115" s="2409"/>
      <c r="G115" s="2410"/>
    </row>
    <row r="116" spans="1:8" ht="30">
      <c r="A116" s="333" t="s">
        <v>390</v>
      </c>
      <c r="B116" s="883">
        <v>39606</v>
      </c>
      <c r="C116" s="728" t="str">
        <f>IF($A116="INSUMO",VLOOKUP($B116,'BANCO DE DADOS JANEIRO-24 INS'!$A:$D,2,FALSE),VLOOKUP($B116,'BANCO DE DADOS JANEIRO-24 SERV'!$B:$E,2,FALSE))</f>
        <v xml:space="preserve">PATCH CORD (CABO DE REDE), CATEGORIA 6 (CAT 6) UTP, 23 AWG, 4 PARES, EXTENSAO DE 1,50 M                                                                                                                                                                                                                                                                                                                                                                                                                   </v>
      </c>
      <c r="D116" s="732" t="str">
        <f>IF($A116="INSUMO",VLOOKUP($B116,'BANCO DE DADOS JANEIRO-24 INS'!$A:$D,3,FALSE),VLOOKUP($B116,'BANCO DE DADOS JANEIRO-24 SERV'!$B:$E,3,FALSE))</f>
        <v xml:space="preserve">UN    </v>
      </c>
      <c r="E116" s="846">
        <v>1</v>
      </c>
      <c r="F116" s="755">
        <f>IF($A116="INSUMO",VLOOKUP($B116,'BANCO DE DADOS JANEIRO-24 INS'!$A:$D,4,FALSE),VLOOKUP($B116,'BANCO DE DADOS JANEIRO-24 SERV'!$B:$E,4,FALSE))</f>
        <v>23.43</v>
      </c>
      <c r="G116" s="848">
        <f>TRUNC(F116*E116,2)</f>
        <v>23.43</v>
      </c>
    </row>
    <row r="117" spans="1:8" ht="15.75">
      <c r="B117" s="2408" t="s">
        <v>166</v>
      </c>
      <c r="C117" s="2409"/>
      <c r="D117" s="2409"/>
      <c r="E117" s="2409"/>
      <c r="F117" s="2409"/>
      <c r="G117" s="2410"/>
    </row>
    <row r="118" spans="1:8" ht="15.75">
      <c r="A118" s="333" t="s">
        <v>391</v>
      </c>
      <c r="B118" s="841">
        <v>88264</v>
      </c>
      <c r="C118" s="728" t="str">
        <f>IF($A118="INSUMO",VLOOKUP($B118,'BANCO DE DADOS JANEIRO-24 INS'!$A:$D,2,FALSE),VLOOKUP($B118,'BANCO DE DADOS JANEIRO-24 SERV'!$B:$E,2,FALSE))</f>
        <v>ELETRICISTA COM ENCARGOS COMPLEMENTARES</v>
      </c>
      <c r="D118" s="732" t="str">
        <f>IF($A118="INSUMO",VLOOKUP($B118,'BANCO DE DADOS JANEIRO-24 INS'!$A:$D,3,FALSE),VLOOKUP($B118,'BANCO DE DADOS JANEIRO-24 SERV'!$B:$E,3,FALSE))</f>
        <v>H</v>
      </c>
      <c r="E118" s="820">
        <v>0.2</v>
      </c>
      <c r="F118" s="755">
        <f>IF($A118="INSUMO",VLOOKUP($B118,'BANCO DE DADOS JANEIRO-24 INS'!$A:$D,4,FALSE),VLOOKUP($B118,'BANCO DE DADOS JANEIRO-24 SERV'!$B:$E,4,FALSE))</f>
        <v>26.68</v>
      </c>
      <c r="G118" s="840">
        <f>TRUNC(F118*E118,2)</f>
        <v>5.33</v>
      </c>
    </row>
    <row r="119" spans="1:8" ht="16.5" thickBot="1">
      <c r="A119" s="333" t="s">
        <v>391</v>
      </c>
      <c r="B119" s="625">
        <v>88316</v>
      </c>
      <c r="C119" s="731" t="str">
        <f>IF($A119="INSUMO",VLOOKUP($B119,'BANCO DE DADOS JANEIRO-24 INS'!$A:$D,2,FALSE),VLOOKUP($B119,'BANCO DE DADOS JANEIRO-24 SERV'!$B:$E,2,FALSE))</f>
        <v>SERVENTE COM ENCARGOS COMPLEMENTARES</v>
      </c>
      <c r="D119" s="729" t="str">
        <f>IF($A119="INSUMO",VLOOKUP($B119,'BANCO DE DADOS JANEIRO-24 INS'!$A:$D,3,FALSE),VLOOKUP($B119,'BANCO DE DADOS JANEIRO-24 SERV'!$B:$E,3,FALSE))</f>
        <v>H</v>
      </c>
      <c r="E119" s="850">
        <v>0.2</v>
      </c>
      <c r="F119" s="757">
        <f>IF($A119="INSUMO",VLOOKUP($B119,'BANCO DE DADOS JANEIRO-24 INS'!$A:$D,4,FALSE),VLOOKUP($B119,'BANCO DE DADOS JANEIRO-24 SERV'!$B:$E,4,FALSE))</f>
        <v>20.32</v>
      </c>
      <c r="G119" s="626">
        <f>TRUNC(F119*E119,2)</f>
        <v>4.0599999999999996</v>
      </c>
    </row>
    <row r="120" spans="1:8" ht="51" customHeight="1" thickBot="1">
      <c r="B120" s="2404" t="s">
        <v>7291</v>
      </c>
      <c r="C120" s="2404"/>
      <c r="D120" s="2404"/>
      <c r="E120" s="2422"/>
      <c r="F120" s="325" t="s">
        <v>167</v>
      </c>
      <c r="G120" s="326">
        <f>SUM(G115:G119)</f>
        <v>32.82</v>
      </c>
    </row>
    <row r="121" spans="1:8" ht="15.75" thickBot="1"/>
    <row r="122" spans="1:8" ht="33.75" customHeight="1">
      <c r="B122" s="623" t="str">
        <f>IF(COUNT($H$17:H122)&lt;10,CONCATENATE("CPU LOG 00",COUNT($H$17:H122)),CONCATENATE("CPU LOG 0",COUNT($H$17:H122)))</f>
        <v>CPU LOG 011</v>
      </c>
      <c r="C122" s="2180" t="str">
        <f>CONCATENATE("FORNECIMENTO E INSTALAÇÃO DE ",C125)</f>
        <v xml:space="preserve">FORNECIMENTO E INSTALAÇÃO DE CURVA 90 GRAUS, PARA ELETRODUTO, EM ACO GALVANIZADO ELETROLITICO, DIAMETRO DE 25 MM (1")                                                                                                                                                                                                                                                                                                                                                                                                                  </v>
      </c>
      <c r="D122" s="2181"/>
      <c r="E122" s="2181"/>
      <c r="F122" s="2181"/>
      <c r="G122" s="624" t="s">
        <v>22</v>
      </c>
      <c r="H122" s="615">
        <f>G129</f>
        <v>19.829999999999998</v>
      </c>
    </row>
    <row r="123" spans="1:8" ht="31.5">
      <c r="B123" s="750" t="s">
        <v>197</v>
      </c>
      <c r="C123" s="751" t="s">
        <v>161</v>
      </c>
      <c r="D123" s="826" t="s">
        <v>22</v>
      </c>
      <c r="E123" s="751" t="s">
        <v>162</v>
      </c>
      <c r="F123" s="752" t="s">
        <v>163</v>
      </c>
      <c r="G123" s="753" t="s">
        <v>164</v>
      </c>
    </row>
    <row r="124" spans="1:8" ht="15.75">
      <c r="B124" s="2408" t="s">
        <v>165</v>
      </c>
      <c r="C124" s="2409"/>
      <c r="D124" s="2409"/>
      <c r="E124" s="2409"/>
      <c r="F124" s="2409"/>
      <c r="G124" s="2410"/>
    </row>
    <row r="125" spans="1:8" ht="30">
      <c r="A125" s="333" t="s">
        <v>390</v>
      </c>
      <c r="B125" s="841">
        <v>2617</v>
      </c>
      <c r="C125" s="728" t="str">
        <f>IF($A125="INSUMO",VLOOKUP($B125,'BANCO DE DADOS JANEIRO-24 INS'!$A:$D,2,FALSE),VLOOKUP($B125,'BANCO DE DADOS JANEIRO-24 SERV'!$B:$E,2,FALSE))</f>
        <v xml:space="preserve">CURVA 90 GRAUS, PARA ELETRODUTO, EM ACO GALVANIZADO ELETROLITICO, DIAMETRO DE 25 MM (1")                                                                                                                                                                                                                                                                                                                                                                                                                  </v>
      </c>
      <c r="D125" s="732" t="str">
        <f>IF($A125="INSUMO",VLOOKUP($B125,'BANCO DE DADOS JANEIRO-24 INS'!$A:$D,3,FALSE),VLOOKUP($B125,'BANCO DE DADOS JANEIRO-24 SERV'!$B:$E,3,FALSE))</f>
        <v xml:space="preserve">UN    </v>
      </c>
      <c r="E125" s="839">
        <v>1</v>
      </c>
      <c r="F125" s="755">
        <f>IF($A125="INSUMO",VLOOKUP($B125,'BANCO DE DADOS JANEIRO-24 INS'!$A:$D,4,FALSE),VLOOKUP($B125,'BANCO DE DADOS JANEIRO-24 SERV'!$B:$E,4,FALSE))</f>
        <v>6.68</v>
      </c>
      <c r="G125" s="840">
        <f>TRUNC(F125*E125,2)</f>
        <v>6.68</v>
      </c>
    </row>
    <row r="126" spans="1:8" ht="15.75">
      <c r="B126" s="2408" t="s">
        <v>166</v>
      </c>
      <c r="C126" s="2409"/>
      <c r="D126" s="2409"/>
      <c r="E126" s="2409"/>
      <c r="F126" s="2409"/>
      <c r="G126" s="2410"/>
    </row>
    <row r="127" spans="1:8" ht="15.75">
      <c r="A127" s="333" t="s">
        <v>391</v>
      </c>
      <c r="B127" s="841">
        <v>88264</v>
      </c>
      <c r="C127" s="728" t="str">
        <f>IF($A127="INSUMO",VLOOKUP($B127,'BANCO DE DADOS JANEIRO-24 INS'!$A:$D,2,FALSE),VLOOKUP($B127,'BANCO DE DADOS JANEIRO-24 SERV'!$B:$E,2,FALSE))</f>
        <v>ELETRICISTA COM ENCARGOS COMPLEMENTARES</v>
      </c>
      <c r="D127" s="732" t="str">
        <f>IF($A127="INSUMO",VLOOKUP($B127,'BANCO DE DADOS JANEIRO-24 INS'!$A:$D,3,FALSE),VLOOKUP($B127,'BANCO DE DADOS JANEIRO-24 SERV'!$B:$E,3,FALSE))</f>
        <v>H</v>
      </c>
      <c r="E127" s="839">
        <v>0.28000000000000003</v>
      </c>
      <c r="F127" s="755">
        <f>IF($A127="INSUMO",VLOOKUP($B127,'BANCO DE DADOS JANEIRO-24 INS'!$A:$D,4,FALSE),VLOOKUP($B127,'BANCO DE DADOS JANEIRO-24 SERV'!$B:$E,4,FALSE))</f>
        <v>26.68</v>
      </c>
      <c r="G127" s="840">
        <f>TRUNC(F127*E127,2)</f>
        <v>7.47</v>
      </c>
    </row>
    <row r="128" spans="1:8" ht="16.5" thickBot="1">
      <c r="A128" s="333" t="s">
        <v>391</v>
      </c>
      <c r="B128" s="625">
        <v>88316</v>
      </c>
      <c r="C128" s="731" t="str">
        <f>IF($A128="INSUMO",VLOOKUP($B128,'BANCO DE DADOS JANEIRO-24 INS'!$A:$D,2,FALSE),VLOOKUP($B128,'BANCO DE DADOS JANEIRO-24 SERV'!$B:$E,2,FALSE))</f>
        <v>SERVENTE COM ENCARGOS COMPLEMENTARES</v>
      </c>
      <c r="D128" s="729" t="str">
        <f>IF($A128="INSUMO",VLOOKUP($B128,'BANCO DE DADOS JANEIRO-24 INS'!$A:$D,3,FALSE),VLOOKUP($B128,'BANCO DE DADOS JANEIRO-24 SERV'!$B:$E,3,FALSE))</f>
        <v>H</v>
      </c>
      <c r="E128" s="842">
        <v>0.28000000000000003</v>
      </c>
      <c r="F128" s="757">
        <f>IF($A128="INSUMO",VLOOKUP($B128,'BANCO DE DADOS JANEIRO-24 INS'!$A:$D,4,FALSE),VLOOKUP($B128,'BANCO DE DADOS JANEIRO-24 SERV'!$B:$E,4,FALSE))</f>
        <v>20.32</v>
      </c>
      <c r="G128" s="626">
        <f>TRUNC(F128*E128,2)</f>
        <v>5.68</v>
      </c>
    </row>
    <row r="129" spans="1:8" ht="16.5" thickBot="1">
      <c r="B129" s="2404" t="s">
        <v>7292</v>
      </c>
      <c r="C129" s="2404"/>
      <c r="D129" s="2404"/>
      <c r="E129" s="2422"/>
      <c r="F129" s="325" t="s">
        <v>167</v>
      </c>
      <c r="G129" s="326">
        <f>SUM(G124:G128)</f>
        <v>19.829999999999998</v>
      </c>
    </row>
    <row r="130" spans="1:8" ht="15.75" thickBot="1"/>
    <row r="131" spans="1:8" ht="33.75" customHeight="1">
      <c r="B131" s="623" t="str">
        <f>IF(COUNT($H$17:H131)&lt;10,CONCATENATE("CPU LOG 00",COUNT($H$17:H131)),CONCATENATE("CPU LOG 0",COUNT($H$17:H131)))</f>
        <v>CPU LOG 012</v>
      </c>
      <c r="C131" s="2180" t="str">
        <f>CONCATENATE("FORNECIMENTO E INSTALAÇÃO DE ",C134)</f>
        <v xml:space="preserve">FORNECIMENTO E INSTALAÇÃO DE CURVA 90 GRAUS, PARA ELETRODUTO, EM ACO GALVANIZADO ELETROLITICO, DIAMETRO DE 32 MM (1 1/4")                                                                                                                                                                                                                                                                                                                                                                                                              </v>
      </c>
      <c r="D131" s="2181"/>
      <c r="E131" s="2181"/>
      <c r="F131" s="2181"/>
      <c r="G131" s="624" t="s">
        <v>22</v>
      </c>
      <c r="H131" s="615">
        <f>G138</f>
        <v>28.36</v>
      </c>
    </row>
    <row r="132" spans="1:8" ht="31.5">
      <c r="B132" s="750" t="s">
        <v>197</v>
      </c>
      <c r="C132" s="751" t="s">
        <v>161</v>
      </c>
      <c r="D132" s="826" t="s">
        <v>22</v>
      </c>
      <c r="E132" s="751" t="s">
        <v>162</v>
      </c>
      <c r="F132" s="752" t="s">
        <v>163</v>
      </c>
      <c r="G132" s="753" t="s">
        <v>164</v>
      </c>
    </row>
    <row r="133" spans="1:8" ht="15.75">
      <c r="B133" s="2408" t="s">
        <v>165</v>
      </c>
      <c r="C133" s="2409"/>
      <c r="D133" s="2409"/>
      <c r="E133" s="2409"/>
      <c r="F133" s="2409"/>
      <c r="G133" s="2410"/>
    </row>
    <row r="134" spans="1:8" ht="30">
      <c r="A134" s="333" t="s">
        <v>390</v>
      </c>
      <c r="B134" s="841">
        <v>2618</v>
      </c>
      <c r="C134" s="728" t="str">
        <f>IF($A134="INSUMO",VLOOKUP($B134,'BANCO DE DADOS JANEIRO-24 INS'!$A:$D,2,FALSE),VLOOKUP($B134,'BANCO DE DADOS JANEIRO-24 SERV'!$B:$E,2,FALSE))</f>
        <v xml:space="preserve">CURVA 90 GRAUS, PARA ELETRODUTO, EM ACO GALVANIZADO ELETROLITICO, DIAMETRO DE 32 MM (1 1/4")                                                                                                                                                                                                                                                                                                                                                                                                              </v>
      </c>
      <c r="D134" s="732" t="str">
        <f>IF($A134="INSUMO",VLOOKUP($B134,'BANCO DE DADOS JANEIRO-24 INS'!$A:$D,3,FALSE),VLOOKUP($B134,'BANCO DE DADOS JANEIRO-24 SERV'!$B:$E,3,FALSE))</f>
        <v xml:space="preserve">UN    </v>
      </c>
      <c r="E134" s="839">
        <v>1</v>
      </c>
      <c r="F134" s="755">
        <f>IF($A134="INSUMO",VLOOKUP($B134,'BANCO DE DADOS JANEIRO-24 INS'!$A:$D,4,FALSE),VLOOKUP($B134,'BANCO DE DADOS JANEIRO-24 SERV'!$B:$E,4,FALSE))</f>
        <v>15.21</v>
      </c>
      <c r="G134" s="840">
        <f>TRUNC(F134*E134,2)</f>
        <v>15.21</v>
      </c>
    </row>
    <row r="135" spans="1:8" ht="15.75">
      <c r="B135" s="2408" t="s">
        <v>166</v>
      </c>
      <c r="C135" s="2409"/>
      <c r="D135" s="2409"/>
      <c r="E135" s="2409"/>
      <c r="F135" s="2409"/>
      <c r="G135" s="2410"/>
    </row>
    <row r="136" spans="1:8" ht="15.75">
      <c r="A136" s="333" t="s">
        <v>391</v>
      </c>
      <c r="B136" s="841">
        <v>88264</v>
      </c>
      <c r="C136" s="728" t="str">
        <f>IF($A136="INSUMO",VLOOKUP($B136,'BANCO DE DADOS JANEIRO-24 INS'!$A:$D,2,FALSE),VLOOKUP($B136,'BANCO DE DADOS JANEIRO-24 SERV'!$B:$E,2,FALSE))</f>
        <v>ELETRICISTA COM ENCARGOS COMPLEMENTARES</v>
      </c>
      <c r="D136" s="732" t="str">
        <f>IF($A136="INSUMO",VLOOKUP($B136,'BANCO DE DADOS JANEIRO-24 INS'!$A:$D,3,FALSE),VLOOKUP($B136,'BANCO DE DADOS JANEIRO-24 SERV'!$B:$E,3,FALSE))</f>
        <v>H</v>
      </c>
      <c r="E136" s="839">
        <v>0.28000000000000003</v>
      </c>
      <c r="F136" s="755">
        <f>IF($A136="INSUMO",VLOOKUP($B136,'BANCO DE DADOS JANEIRO-24 INS'!$A:$D,4,FALSE),VLOOKUP($B136,'BANCO DE DADOS JANEIRO-24 SERV'!$B:$E,4,FALSE))</f>
        <v>26.68</v>
      </c>
      <c r="G136" s="840">
        <f>TRUNC(F136*E136,2)</f>
        <v>7.47</v>
      </c>
    </row>
    <row r="137" spans="1:8" ht="16.5" thickBot="1">
      <c r="A137" s="333" t="s">
        <v>391</v>
      </c>
      <c r="B137" s="625">
        <v>88316</v>
      </c>
      <c r="C137" s="731" t="str">
        <f>IF($A137="INSUMO",VLOOKUP($B137,'BANCO DE DADOS JANEIRO-24 INS'!$A:$D,2,FALSE),VLOOKUP($B137,'BANCO DE DADOS JANEIRO-24 SERV'!$B:$E,2,FALSE))</f>
        <v>SERVENTE COM ENCARGOS COMPLEMENTARES</v>
      </c>
      <c r="D137" s="729" t="str">
        <f>IF($A137="INSUMO",VLOOKUP($B137,'BANCO DE DADOS JANEIRO-24 INS'!$A:$D,3,FALSE),VLOOKUP($B137,'BANCO DE DADOS JANEIRO-24 SERV'!$B:$E,3,FALSE))</f>
        <v>H</v>
      </c>
      <c r="E137" s="842">
        <v>0.28000000000000003</v>
      </c>
      <c r="F137" s="757">
        <f>IF($A137="INSUMO",VLOOKUP($B137,'BANCO DE DADOS JANEIRO-24 INS'!$A:$D,4,FALSE),VLOOKUP($B137,'BANCO DE DADOS JANEIRO-24 SERV'!$B:$E,4,FALSE))</f>
        <v>20.32</v>
      </c>
      <c r="G137" s="626">
        <f>TRUNC(F137*E137,2)</f>
        <v>5.68</v>
      </c>
    </row>
    <row r="138" spans="1:8" ht="16.5" thickBot="1">
      <c r="B138" s="2404" t="s">
        <v>7292</v>
      </c>
      <c r="C138" s="2404"/>
      <c r="D138" s="2404"/>
      <c r="E138" s="2422"/>
      <c r="F138" s="325" t="s">
        <v>167</v>
      </c>
      <c r="G138" s="326">
        <f>SUM(G133:G137)</f>
        <v>28.36</v>
      </c>
    </row>
    <row r="139" spans="1:8" ht="15.75" thickBot="1"/>
    <row r="140" spans="1:8" ht="36.75" customHeight="1">
      <c r="B140" s="623" t="str">
        <f>IF(COUNT($H$17:H140)&lt;10,CONCATENATE("CPU LOG 00",COUNT($H$17:H140)),CONCATENATE("CPU LOG 0",COUNT($H$17:H140)))</f>
        <v>CPU LOG 013</v>
      </c>
      <c r="C140" s="2180" t="str">
        <f>CONCATENATE("FORNECIMENTO E INSTALAÇÃO DE ",C143)</f>
        <v xml:space="preserve">FORNECIMENTO E INSTALAÇÃO DE LUVA PARA ELETRODUTO, EM ACO GALVANIZADO ELETROLITICO, DIAMETRO DE 25 MM (1")                                                                                                                                                                                                                                                                                                                                                                                                                             </v>
      </c>
      <c r="D140" s="2181"/>
      <c r="E140" s="2181"/>
      <c r="F140" s="2181"/>
      <c r="G140" s="624" t="s">
        <v>22</v>
      </c>
      <c r="H140" s="615">
        <f>G147</f>
        <v>8.51</v>
      </c>
    </row>
    <row r="141" spans="1:8" ht="31.5">
      <c r="B141" s="750" t="s">
        <v>197</v>
      </c>
      <c r="C141" s="751" t="s">
        <v>161</v>
      </c>
      <c r="D141" s="826" t="s">
        <v>22</v>
      </c>
      <c r="E141" s="751" t="s">
        <v>162</v>
      </c>
      <c r="F141" s="752" t="s">
        <v>163</v>
      </c>
      <c r="G141" s="753" t="s">
        <v>164</v>
      </c>
    </row>
    <row r="142" spans="1:8" ht="15.75">
      <c r="B142" s="2408" t="s">
        <v>165</v>
      </c>
      <c r="C142" s="2409"/>
      <c r="D142" s="2409"/>
      <c r="E142" s="2409"/>
      <c r="F142" s="2409"/>
      <c r="G142" s="2410"/>
    </row>
    <row r="143" spans="1:8" ht="30">
      <c r="A143" s="333" t="s">
        <v>390</v>
      </c>
      <c r="B143" s="841">
        <v>2638</v>
      </c>
      <c r="C143" s="728" t="str">
        <f>IF($A143="INSUMO",VLOOKUP($B143,'BANCO DE DADOS JANEIRO-24 INS'!$A:$D,2,FALSE),VLOOKUP($B143,'BANCO DE DADOS JANEIRO-24 SERV'!$B:$E,2,FALSE))</f>
        <v xml:space="preserve">LUVA PARA ELETRODUTO, EM ACO GALVANIZADO ELETROLITICO, DIAMETRO DE 25 MM (1")                                                                                                                                                                                                                                                                                                                                                                                                                             </v>
      </c>
      <c r="D143" s="732" t="str">
        <f>IF($A143="INSUMO",VLOOKUP($B143,'BANCO DE DADOS JANEIRO-24 INS'!$A:$D,3,FALSE),VLOOKUP($B143,'BANCO DE DADOS JANEIRO-24 SERV'!$B:$E,3,FALSE))</f>
        <v xml:space="preserve">UN    </v>
      </c>
      <c r="E143" s="839">
        <v>1</v>
      </c>
      <c r="F143" s="755">
        <f>IF($A143="INSUMO",VLOOKUP($B143,'BANCO DE DADOS JANEIRO-24 INS'!$A:$D,4,FALSE),VLOOKUP($B143,'BANCO DE DADOS JANEIRO-24 SERV'!$B:$E,4,FALSE))</f>
        <v>2.15</v>
      </c>
      <c r="G143" s="840">
        <f>TRUNC(F143*E143,2)</f>
        <v>2.15</v>
      </c>
    </row>
    <row r="144" spans="1:8" ht="15.75">
      <c r="B144" s="2408" t="s">
        <v>166</v>
      </c>
      <c r="C144" s="2409"/>
      <c r="D144" s="2409"/>
      <c r="E144" s="2409"/>
      <c r="F144" s="2409"/>
      <c r="G144" s="2410"/>
    </row>
    <row r="145" spans="1:8" ht="15.75">
      <c r="A145" s="333" t="s">
        <v>391</v>
      </c>
      <c r="B145" s="841">
        <v>88264</v>
      </c>
      <c r="C145" s="728" t="str">
        <f>IF($A145="INSUMO",VLOOKUP($B145,'BANCO DE DADOS JANEIRO-24 INS'!$A:$D,2,FALSE),VLOOKUP($B145,'BANCO DE DADOS JANEIRO-24 SERV'!$B:$E,2,FALSE))</f>
        <v>ELETRICISTA COM ENCARGOS COMPLEMENTARES</v>
      </c>
      <c r="D145" s="732" t="str">
        <f>IF($A145="INSUMO",VLOOKUP($B145,'BANCO DE DADOS JANEIRO-24 INS'!$A:$D,3,FALSE),VLOOKUP($B145,'BANCO DE DADOS JANEIRO-24 SERV'!$B:$E,3,FALSE))</f>
        <v>H</v>
      </c>
      <c r="E145" s="1540">
        <v>0.13539999999999999</v>
      </c>
      <c r="F145" s="755">
        <f>IF($A145="INSUMO",VLOOKUP($B145,'BANCO DE DADOS JANEIRO-24 INS'!$A:$D,4,FALSE),VLOOKUP($B145,'BANCO DE DADOS JANEIRO-24 SERV'!$B:$E,4,FALSE))</f>
        <v>26.68</v>
      </c>
      <c r="G145" s="840">
        <f>TRUNC(F145*E145,2)</f>
        <v>3.61</v>
      </c>
    </row>
    <row r="146" spans="1:8" ht="16.5" thickBot="1">
      <c r="A146" s="333" t="s">
        <v>391</v>
      </c>
      <c r="B146" s="625">
        <v>88316</v>
      </c>
      <c r="C146" s="731" t="str">
        <f>IF($A146="INSUMO",VLOOKUP($B146,'BANCO DE DADOS JANEIRO-24 INS'!$A:$D,2,FALSE),VLOOKUP($B146,'BANCO DE DADOS JANEIRO-24 SERV'!$B:$E,2,FALSE))</f>
        <v>SERVENTE COM ENCARGOS COMPLEMENTARES</v>
      </c>
      <c r="D146" s="729" t="str">
        <f>IF($A146="INSUMO",VLOOKUP($B146,'BANCO DE DADOS JANEIRO-24 INS'!$A:$D,3,FALSE),VLOOKUP($B146,'BANCO DE DADOS JANEIRO-24 SERV'!$B:$E,3,FALSE))</f>
        <v>H</v>
      </c>
      <c r="E146" s="1540">
        <v>0.13539999999999999</v>
      </c>
      <c r="F146" s="757">
        <f>IF($A146="INSUMO",VLOOKUP($B146,'BANCO DE DADOS JANEIRO-24 INS'!$A:$D,4,FALSE),VLOOKUP($B146,'BANCO DE DADOS JANEIRO-24 SERV'!$B:$E,4,FALSE))</f>
        <v>20.32</v>
      </c>
      <c r="G146" s="626">
        <f>TRUNC(F146*E146,2)</f>
        <v>2.75</v>
      </c>
    </row>
    <row r="147" spans="1:8" ht="16.5" thickBot="1">
      <c r="B147" s="2404" t="s">
        <v>7293</v>
      </c>
      <c r="C147" s="2404"/>
      <c r="D147" s="2404"/>
      <c r="E147" s="2422"/>
      <c r="F147" s="325" t="s">
        <v>167</v>
      </c>
      <c r="G147" s="326">
        <f>SUM(G142:G146)</f>
        <v>8.51</v>
      </c>
    </row>
    <row r="148" spans="1:8" ht="15.75" thickBot="1"/>
    <row r="149" spans="1:8" ht="36.75" customHeight="1">
      <c r="B149" s="623" t="str">
        <f>IF(COUNT($H$17:H149)&lt;10,CONCATENATE("CPU LOG 00",COUNT($H$17:H149)),CONCATENATE("CPU LOG 0",COUNT($H$17:H149)))</f>
        <v>CPU LOG 014</v>
      </c>
      <c r="C149" s="2180" t="str">
        <f>CONCATENATE("FORNECIMENTO E INSTALAÇÃO DE ",C152)</f>
        <v xml:space="preserve">FORNECIMENTO E INSTALAÇÃO DE LUVA PARA ELETRODUTO, EM ACO GALVANIZADO ELETROLITICO, DIAMETRO DE 32 MM (1 1/4")                                                                                                                                                                                                                                                                                                                                                                                                                         </v>
      </c>
      <c r="D149" s="2181"/>
      <c r="E149" s="2181"/>
      <c r="F149" s="2181"/>
      <c r="G149" s="624" t="s">
        <v>22</v>
      </c>
      <c r="H149" s="615">
        <f>G156</f>
        <v>10.18</v>
      </c>
    </row>
    <row r="150" spans="1:8" ht="31.5">
      <c r="B150" s="750" t="s">
        <v>197</v>
      </c>
      <c r="C150" s="751" t="s">
        <v>161</v>
      </c>
      <c r="D150" s="826" t="s">
        <v>22</v>
      </c>
      <c r="E150" s="751" t="s">
        <v>162</v>
      </c>
      <c r="F150" s="752" t="s">
        <v>163</v>
      </c>
      <c r="G150" s="753" t="s">
        <v>164</v>
      </c>
    </row>
    <row r="151" spans="1:8" ht="15.75">
      <c r="B151" s="2408" t="s">
        <v>165</v>
      </c>
      <c r="C151" s="2409"/>
      <c r="D151" s="2409"/>
      <c r="E151" s="2409"/>
      <c r="F151" s="2409"/>
      <c r="G151" s="2410"/>
    </row>
    <row r="152" spans="1:8" ht="30">
      <c r="A152" s="333" t="s">
        <v>390</v>
      </c>
      <c r="B152" s="841">
        <v>2639</v>
      </c>
      <c r="C152" s="728" t="str">
        <f>IF($A152="INSUMO",VLOOKUP($B152,'BANCO DE DADOS JANEIRO-24 INS'!$A:$D,2,FALSE),VLOOKUP($B152,'BANCO DE DADOS JANEIRO-24 SERV'!$B:$E,2,FALSE))</f>
        <v xml:space="preserve">LUVA PARA ELETRODUTO, EM ACO GALVANIZADO ELETROLITICO, DIAMETRO DE 32 MM (1 1/4")                                                                                                                                                                                                                                                                                                                                                                                                                         </v>
      </c>
      <c r="D152" s="732" t="str">
        <f>IF($A152="INSUMO",VLOOKUP($B152,'BANCO DE DADOS JANEIRO-24 INS'!$A:$D,3,FALSE),VLOOKUP($B152,'BANCO DE DADOS JANEIRO-24 SERV'!$B:$E,3,FALSE))</f>
        <v xml:space="preserve">UN    </v>
      </c>
      <c r="E152" s="839">
        <v>1</v>
      </c>
      <c r="F152" s="755">
        <f>IF($A152="INSUMO",VLOOKUP($B152,'BANCO DE DADOS JANEIRO-24 INS'!$A:$D,4,FALSE),VLOOKUP($B152,'BANCO DE DADOS JANEIRO-24 SERV'!$B:$E,4,FALSE))</f>
        <v>3.82</v>
      </c>
      <c r="G152" s="840">
        <f>TRUNC(F152*E152,2)</f>
        <v>3.82</v>
      </c>
    </row>
    <row r="153" spans="1:8" ht="15.75">
      <c r="B153" s="2408" t="s">
        <v>166</v>
      </c>
      <c r="C153" s="2409"/>
      <c r="D153" s="2409"/>
      <c r="E153" s="2409"/>
      <c r="F153" s="2409"/>
      <c r="G153" s="2410"/>
    </row>
    <row r="154" spans="1:8" ht="15.75">
      <c r="A154" s="333" t="s">
        <v>391</v>
      </c>
      <c r="B154" s="841">
        <v>88264</v>
      </c>
      <c r="C154" s="728" t="str">
        <f>IF($A154="INSUMO",VLOOKUP($B154,'BANCO DE DADOS JANEIRO-24 INS'!$A:$D,2,FALSE),VLOOKUP($B154,'BANCO DE DADOS JANEIRO-24 SERV'!$B:$E,2,FALSE))</f>
        <v>ELETRICISTA COM ENCARGOS COMPLEMENTARES</v>
      </c>
      <c r="D154" s="732" t="str">
        <f>IF($A154="INSUMO",VLOOKUP($B154,'BANCO DE DADOS JANEIRO-24 INS'!$A:$D,3,FALSE),VLOOKUP($B154,'BANCO DE DADOS JANEIRO-24 SERV'!$B:$E,3,FALSE))</f>
        <v>H</v>
      </c>
      <c r="E154" s="1540">
        <v>0.13539999999999999</v>
      </c>
      <c r="F154" s="755">
        <f>IF($A154="INSUMO",VLOOKUP($B154,'BANCO DE DADOS JANEIRO-24 INS'!$A:$D,4,FALSE),VLOOKUP($B154,'BANCO DE DADOS JANEIRO-24 SERV'!$B:$E,4,FALSE))</f>
        <v>26.68</v>
      </c>
      <c r="G154" s="840">
        <f>TRUNC(F154*E154,2)</f>
        <v>3.61</v>
      </c>
    </row>
    <row r="155" spans="1:8" ht="16.5" thickBot="1">
      <c r="A155" s="333" t="s">
        <v>391</v>
      </c>
      <c r="B155" s="625">
        <v>88316</v>
      </c>
      <c r="C155" s="731" t="str">
        <f>IF($A155="INSUMO",VLOOKUP($B155,'BANCO DE DADOS JANEIRO-24 INS'!$A:$D,2,FALSE),VLOOKUP($B155,'BANCO DE DADOS JANEIRO-24 SERV'!$B:$E,2,FALSE))</f>
        <v>SERVENTE COM ENCARGOS COMPLEMENTARES</v>
      </c>
      <c r="D155" s="729" t="str">
        <f>IF($A155="INSUMO",VLOOKUP($B155,'BANCO DE DADOS JANEIRO-24 INS'!$A:$D,3,FALSE),VLOOKUP($B155,'BANCO DE DADOS JANEIRO-24 SERV'!$B:$E,3,FALSE))</f>
        <v>H</v>
      </c>
      <c r="E155" s="1540">
        <v>0.13539999999999999</v>
      </c>
      <c r="F155" s="757">
        <f>IF($A155="INSUMO",VLOOKUP($B155,'BANCO DE DADOS JANEIRO-24 INS'!$A:$D,4,FALSE),VLOOKUP($B155,'BANCO DE DADOS JANEIRO-24 SERV'!$B:$E,4,FALSE))</f>
        <v>20.32</v>
      </c>
      <c r="G155" s="626">
        <f>TRUNC(F155*E155,2)</f>
        <v>2.75</v>
      </c>
    </row>
    <row r="156" spans="1:8" ht="16.5" thickBot="1">
      <c r="B156" s="2404" t="s">
        <v>7293</v>
      </c>
      <c r="C156" s="2404"/>
      <c r="D156" s="2404"/>
      <c r="E156" s="2422"/>
      <c r="F156" s="325" t="s">
        <v>167</v>
      </c>
      <c r="G156" s="326">
        <f>SUM(G151:G155)</f>
        <v>10.18</v>
      </c>
    </row>
    <row r="157" spans="1:8" ht="15.75" thickBot="1"/>
    <row r="158" spans="1:8" ht="25.5" customHeight="1">
      <c r="B158" s="623" t="str">
        <f>IF(COUNT($H$17:H158)&lt;10,CONCATENATE("CPU LOG 00",COUNT($H$17:H158)),CONCATENATE("CPU LOG 0",COUNT($H$17:H158)))</f>
        <v>CPU LOG 015</v>
      </c>
      <c r="C158" s="2180" t="str">
        <f>CONCATENATE("FORNECIMENTO E INSTALAÇÃO DE ",C161)</f>
        <v>FORNECIMENTO E INSTALAÇÃO DE  SAÍDA HORIZONTAL PARA ELETRODUTO 1"</v>
      </c>
      <c r="D158" s="2180"/>
      <c r="E158" s="2180"/>
      <c r="F158" s="2180"/>
      <c r="G158" s="624" t="s">
        <v>22</v>
      </c>
      <c r="H158" s="615">
        <f>G165</f>
        <v>9.65</v>
      </c>
    </row>
    <row r="159" spans="1:8" ht="31.5">
      <c r="B159" s="750" t="s">
        <v>197</v>
      </c>
      <c r="C159" s="751" t="s">
        <v>161</v>
      </c>
      <c r="D159" s="826" t="s">
        <v>22</v>
      </c>
      <c r="E159" s="751" t="s">
        <v>162</v>
      </c>
      <c r="F159" s="752" t="s">
        <v>163</v>
      </c>
      <c r="G159" s="753" t="s">
        <v>164</v>
      </c>
    </row>
    <row r="160" spans="1:8" ht="15.75">
      <c r="B160" s="2408" t="s">
        <v>165</v>
      </c>
      <c r="C160" s="2409"/>
      <c r="D160" s="2409"/>
      <c r="E160" s="2409"/>
      <c r="F160" s="2409"/>
      <c r="G160" s="2410"/>
    </row>
    <row r="161" spans="1:8">
      <c r="B161" s="856" t="s">
        <v>181</v>
      </c>
      <c r="C161" s="852" t="str">
        <f>C167</f>
        <v xml:space="preserve"> SAÍDA HORIZONTAL PARA ELETRODUTO 1"</v>
      </c>
      <c r="D161" s="859" t="str">
        <f>G167</f>
        <v>UN</v>
      </c>
      <c r="E161" s="846">
        <v>1</v>
      </c>
      <c r="F161" s="846">
        <f>D172</f>
        <v>4.0199999999999996</v>
      </c>
      <c r="G161" s="848">
        <f>TRUNC(F161*E161,2)</f>
        <v>4.0199999999999996</v>
      </c>
    </row>
    <row r="162" spans="1:8" ht="15.75">
      <c r="B162" s="2408" t="s">
        <v>166</v>
      </c>
      <c r="C162" s="2409"/>
      <c r="D162" s="2409"/>
      <c r="E162" s="2409"/>
      <c r="F162" s="2409"/>
      <c r="G162" s="2410"/>
    </row>
    <row r="163" spans="1:8" ht="15.75">
      <c r="A163" s="333" t="s">
        <v>391</v>
      </c>
      <c r="B163" s="841">
        <v>88264</v>
      </c>
      <c r="C163" s="728" t="str">
        <f>IF($A163="INSUMO",VLOOKUP($B163,'BANCO DE DADOS JANEIRO-24 INS'!$A:$D,2,FALSE),VLOOKUP($B163,'BANCO DE DADOS JANEIRO-24 SERV'!$B:$E,2,FALSE))</f>
        <v>ELETRICISTA COM ENCARGOS COMPLEMENTARES</v>
      </c>
      <c r="D163" s="732" t="str">
        <f>IF($A163="INSUMO",VLOOKUP($B163,'BANCO DE DADOS JANEIRO-24 INS'!$A:$D,3,FALSE),VLOOKUP($B163,'BANCO DE DADOS JANEIRO-24 SERV'!$B:$E,3,FALSE))</f>
        <v>H</v>
      </c>
      <c r="E163" s="1210">
        <v>0.12</v>
      </c>
      <c r="F163" s="755">
        <f>IF($A163="INSUMO",VLOOKUP($B163,'BANCO DE DADOS JANEIRO-24 INS'!$A:$D,4,FALSE),VLOOKUP($B163,'BANCO DE DADOS JANEIRO-24 SERV'!$B:$E,4,FALSE))</f>
        <v>26.68</v>
      </c>
      <c r="G163" s="840">
        <f>TRUNC(F163*E163,2)</f>
        <v>3.2</v>
      </c>
    </row>
    <row r="164" spans="1:8" ht="16.5" thickBot="1">
      <c r="A164" s="333" t="s">
        <v>391</v>
      </c>
      <c r="B164" s="625">
        <v>88316</v>
      </c>
      <c r="C164" s="731" t="str">
        <f>IF($A164="INSUMO",VLOOKUP($B164,'BANCO DE DADOS JANEIRO-24 INS'!$A:$D,2,FALSE),VLOOKUP($B164,'BANCO DE DADOS JANEIRO-24 SERV'!$B:$E,2,FALSE))</f>
        <v>SERVENTE COM ENCARGOS COMPLEMENTARES</v>
      </c>
      <c r="D164" s="729" t="str">
        <f>IF($A164="INSUMO",VLOOKUP($B164,'BANCO DE DADOS JANEIRO-24 INS'!$A:$D,3,FALSE),VLOOKUP($B164,'BANCO DE DADOS JANEIRO-24 SERV'!$B:$E,3,FALSE))</f>
        <v>H</v>
      </c>
      <c r="E164" s="1518">
        <v>0.12</v>
      </c>
      <c r="F164" s="757">
        <f>IF($A164="INSUMO",VLOOKUP($B164,'BANCO DE DADOS JANEIRO-24 INS'!$A:$D,4,FALSE),VLOOKUP($B164,'BANCO DE DADOS JANEIRO-24 SERV'!$B:$E,4,FALSE))</f>
        <v>20.32</v>
      </c>
      <c r="G164" s="626">
        <f>TRUNC(F164*E164,2)</f>
        <v>2.4300000000000002</v>
      </c>
    </row>
    <row r="165" spans="1:8" ht="16.5" customHeight="1" thickBot="1">
      <c r="B165" s="2404" t="s">
        <v>7294</v>
      </c>
      <c r="C165" s="2404"/>
      <c r="D165" s="2404"/>
      <c r="E165" s="2404"/>
      <c r="F165" s="325" t="s">
        <v>167</v>
      </c>
      <c r="G165" s="326">
        <f>SUM(G160:G164)</f>
        <v>9.65</v>
      </c>
    </row>
    <row r="166" spans="1:8" ht="15.75" thickBot="1">
      <c r="B166" s="2404"/>
      <c r="C166" s="2404"/>
      <c r="D166" s="2404"/>
      <c r="E166" s="2404"/>
    </row>
    <row r="167" spans="1:8" ht="15.75">
      <c r="A167" s="271"/>
      <c r="B167" s="1669" t="s">
        <v>181</v>
      </c>
      <c r="C167" s="2164" t="s">
        <v>7274</v>
      </c>
      <c r="D167" s="2165"/>
      <c r="E167" s="2165"/>
      <c r="F167" s="2166"/>
      <c r="G167" s="1715" t="s">
        <v>22</v>
      </c>
      <c r="H167" s="681" t="s">
        <v>1978</v>
      </c>
    </row>
    <row r="168" spans="1:8" ht="31.5">
      <c r="A168" s="271"/>
      <c r="B168" s="1107" t="s">
        <v>174</v>
      </c>
      <c r="C168" s="1108" t="s">
        <v>175</v>
      </c>
      <c r="D168" s="1109" t="s">
        <v>176</v>
      </c>
      <c r="E168" s="1110" t="s">
        <v>177</v>
      </c>
      <c r="F168" s="1181" t="s">
        <v>178</v>
      </c>
      <c r="G168" s="1112" t="s">
        <v>179</v>
      </c>
      <c r="H168" s="271"/>
    </row>
    <row r="169" spans="1:8" ht="15.75">
      <c r="A169" s="271"/>
      <c r="B169" s="1174">
        <v>45180</v>
      </c>
      <c r="C169" s="1297" t="s">
        <v>5876</v>
      </c>
      <c r="D169" s="1333">
        <v>4.0199999999999996</v>
      </c>
      <c r="E169" s="1192" t="s">
        <v>1846</v>
      </c>
      <c r="F169" s="1461" t="s">
        <v>192</v>
      </c>
      <c r="G169" s="1332" t="s">
        <v>13343</v>
      </c>
      <c r="H169" s="610"/>
    </row>
    <row r="170" spans="1:8" ht="15.75">
      <c r="A170" s="271"/>
      <c r="B170" s="1174">
        <v>45253</v>
      </c>
      <c r="C170" s="1114" t="s">
        <v>5879</v>
      </c>
      <c r="D170" s="1115">
        <v>2.0699999999999998</v>
      </c>
      <c r="E170" s="1114" t="s">
        <v>2185</v>
      </c>
      <c r="F170" s="1139" t="s">
        <v>4611</v>
      </c>
      <c r="G170" s="968" t="s">
        <v>2840</v>
      </c>
      <c r="H170" s="610"/>
    </row>
    <row r="171" spans="1:8" ht="15.75">
      <c r="A171" s="271"/>
      <c r="B171" s="1174">
        <v>45254</v>
      </c>
      <c r="C171" s="1297" t="s">
        <v>4588</v>
      </c>
      <c r="D171" s="1333">
        <v>4.82</v>
      </c>
      <c r="E171" s="1192" t="s">
        <v>5057</v>
      </c>
      <c r="F171" s="1461" t="s">
        <v>1979</v>
      </c>
      <c r="G171" s="1332" t="s">
        <v>5871</v>
      </c>
      <c r="H171" s="610"/>
    </row>
    <row r="172" spans="1:8" ht="16.5" thickBot="1">
      <c r="A172" s="271"/>
      <c r="B172" s="1672"/>
      <c r="C172" s="1668" t="s">
        <v>180</v>
      </c>
      <c r="D172" s="1673">
        <f>IF(COUNT(D168:D171)=3,MEDIAN(D168:D171),SMALL(D169:D171,1))</f>
        <v>4.0199999999999996</v>
      </c>
      <c r="E172" s="1674"/>
      <c r="F172" s="1675"/>
      <c r="G172" s="1671"/>
      <c r="H172" s="271"/>
    </row>
    <row r="173" spans="1:8" ht="15.75" thickBot="1"/>
    <row r="174" spans="1:8" ht="25.5" customHeight="1">
      <c r="B174" s="623" t="str">
        <f>IF(COUNT($H$17:H174)&lt;10,CONCATENATE("CPU LOG 00",COUNT($H$17:H174)),CONCATENATE("CPU LOG 0",COUNT($H$17:H174)))</f>
        <v>CPU LOG 016</v>
      </c>
      <c r="C174" s="2180" t="str">
        <f>CONCATENATE("FORNECIMENTO E INSTALAÇÃO DE ",C177)</f>
        <v>FORNECIMENTO E INSTALAÇÃO DE  SAÍDA HORIZONTAL PARA ELETRODUTO 3/4"</v>
      </c>
      <c r="D174" s="2180"/>
      <c r="E174" s="2180"/>
      <c r="F174" s="2180"/>
      <c r="G174" s="624" t="s">
        <v>22</v>
      </c>
      <c r="H174" s="615">
        <f>G181</f>
        <v>8.1000000000000014</v>
      </c>
    </row>
    <row r="175" spans="1:8" ht="31.5">
      <c r="B175" s="750" t="s">
        <v>197</v>
      </c>
      <c r="C175" s="751" t="s">
        <v>161</v>
      </c>
      <c r="D175" s="826" t="s">
        <v>22</v>
      </c>
      <c r="E175" s="751" t="s">
        <v>162</v>
      </c>
      <c r="F175" s="752" t="s">
        <v>163</v>
      </c>
      <c r="G175" s="753" t="s">
        <v>164</v>
      </c>
    </row>
    <row r="176" spans="1:8" ht="15.75">
      <c r="B176" s="2408" t="s">
        <v>165</v>
      </c>
      <c r="C176" s="2409"/>
      <c r="D176" s="2409"/>
      <c r="E176" s="2409"/>
      <c r="F176" s="2409"/>
      <c r="G176" s="2410"/>
    </row>
    <row r="177" spans="1:8">
      <c r="B177" s="856" t="s">
        <v>181</v>
      </c>
      <c r="C177" s="852" t="str">
        <f>C183</f>
        <v xml:space="preserve"> SAÍDA HORIZONTAL PARA ELETRODUTO 3/4"</v>
      </c>
      <c r="D177" s="859" t="str">
        <f>G183</f>
        <v>UN</v>
      </c>
      <c r="E177" s="846">
        <v>1</v>
      </c>
      <c r="F177" s="846">
        <f>D188</f>
        <v>5.29</v>
      </c>
      <c r="G177" s="848">
        <f>TRUNC(F177*E177,2)</f>
        <v>5.29</v>
      </c>
    </row>
    <row r="178" spans="1:8" ht="15.75">
      <c r="B178" s="2408" t="s">
        <v>166</v>
      </c>
      <c r="C178" s="2409"/>
      <c r="D178" s="2409"/>
      <c r="E178" s="2409"/>
      <c r="F178" s="2409"/>
      <c r="G178" s="2410"/>
    </row>
    <row r="179" spans="1:8" ht="15.75">
      <c r="A179" s="333" t="s">
        <v>391</v>
      </c>
      <c r="B179" s="841">
        <v>88264</v>
      </c>
      <c r="C179" s="728" t="str">
        <f>IF($A179="INSUMO",VLOOKUP($B179,'BANCO DE DADOS JANEIRO-24 INS'!$A:$D,2,FALSE),VLOOKUP($B179,'BANCO DE DADOS JANEIRO-24 SERV'!$B:$E,2,FALSE))</f>
        <v>ELETRICISTA COM ENCARGOS COMPLEMENTARES</v>
      </c>
      <c r="D179" s="732" t="str">
        <f>IF($A179="INSUMO",VLOOKUP($B179,'BANCO DE DADOS JANEIRO-24 INS'!$A:$D,3,FALSE),VLOOKUP($B179,'BANCO DE DADOS JANEIRO-24 SERV'!$B:$E,3,FALSE))</f>
        <v>H</v>
      </c>
      <c r="E179" s="1210">
        <v>0.06</v>
      </c>
      <c r="F179" s="755">
        <f>IF($A179="INSUMO",VLOOKUP($B179,'BANCO DE DADOS JANEIRO-24 INS'!$A:$D,4,FALSE),VLOOKUP($B179,'BANCO DE DADOS JANEIRO-24 SERV'!$B:$E,4,FALSE))</f>
        <v>26.68</v>
      </c>
      <c r="G179" s="840">
        <f>TRUNC(F179*E179,2)</f>
        <v>1.6</v>
      </c>
    </row>
    <row r="180" spans="1:8" ht="16.5" thickBot="1">
      <c r="A180" s="333" t="s">
        <v>391</v>
      </c>
      <c r="B180" s="625">
        <v>88316</v>
      </c>
      <c r="C180" s="731" t="str">
        <f>IF($A180="INSUMO",VLOOKUP($B180,'BANCO DE DADOS JANEIRO-24 INS'!$A:$D,2,FALSE),VLOOKUP($B180,'BANCO DE DADOS JANEIRO-24 SERV'!$B:$E,2,FALSE))</f>
        <v>SERVENTE COM ENCARGOS COMPLEMENTARES</v>
      </c>
      <c r="D180" s="729" t="str">
        <f>IF($A180="INSUMO",VLOOKUP($B180,'BANCO DE DADOS JANEIRO-24 INS'!$A:$D,3,FALSE),VLOOKUP($B180,'BANCO DE DADOS JANEIRO-24 SERV'!$B:$E,3,FALSE))</f>
        <v>H</v>
      </c>
      <c r="E180" s="1518">
        <v>0.06</v>
      </c>
      <c r="F180" s="757">
        <f>IF($A180="INSUMO",VLOOKUP($B180,'BANCO DE DADOS JANEIRO-24 INS'!$A:$D,4,FALSE),VLOOKUP($B180,'BANCO DE DADOS JANEIRO-24 SERV'!$B:$E,4,FALSE))</f>
        <v>20.32</v>
      </c>
      <c r="G180" s="626">
        <f>TRUNC(F180*E180,2)</f>
        <v>1.21</v>
      </c>
    </row>
    <row r="181" spans="1:8" ht="16.5" customHeight="1" thickBot="1">
      <c r="B181" s="2404" t="s">
        <v>7273</v>
      </c>
      <c r="C181" s="2404"/>
      <c r="D181" s="2404"/>
      <c r="E181" s="2404"/>
      <c r="F181" s="325" t="s">
        <v>167</v>
      </c>
      <c r="G181" s="326">
        <f>SUM(G176:G180)</f>
        <v>8.1000000000000014</v>
      </c>
    </row>
    <row r="182" spans="1:8" ht="15.75" thickBot="1">
      <c r="B182" s="2404"/>
      <c r="C182" s="2404"/>
      <c r="D182" s="2404"/>
      <c r="E182" s="2404"/>
    </row>
    <row r="183" spans="1:8" ht="15.75">
      <c r="A183" s="271"/>
      <c r="B183" s="1669" t="s">
        <v>181</v>
      </c>
      <c r="C183" s="2164" t="s">
        <v>7275</v>
      </c>
      <c r="D183" s="2165"/>
      <c r="E183" s="2165"/>
      <c r="F183" s="2166"/>
      <c r="G183" s="1715" t="s">
        <v>22</v>
      </c>
      <c r="H183" s="681" t="s">
        <v>1978</v>
      </c>
    </row>
    <row r="184" spans="1:8" ht="31.5">
      <c r="A184" s="271"/>
      <c r="B184" s="1107" t="s">
        <v>174</v>
      </c>
      <c r="C184" s="1108" t="s">
        <v>175</v>
      </c>
      <c r="D184" s="1109" t="s">
        <v>176</v>
      </c>
      <c r="E184" s="1110" t="s">
        <v>177</v>
      </c>
      <c r="F184" s="1181" t="s">
        <v>178</v>
      </c>
      <c r="G184" s="1112" t="s">
        <v>179</v>
      </c>
      <c r="H184" s="271"/>
    </row>
    <row r="185" spans="1:8" ht="15.75">
      <c r="A185" s="271"/>
      <c r="B185" s="1174">
        <v>45253</v>
      </c>
      <c r="C185" s="1297" t="s">
        <v>5879</v>
      </c>
      <c r="D185" s="1333">
        <v>5.29</v>
      </c>
      <c r="E185" s="1192" t="s">
        <v>2185</v>
      </c>
      <c r="F185" s="1461" t="s">
        <v>4611</v>
      </c>
      <c r="G185" s="1332" t="s">
        <v>2840</v>
      </c>
      <c r="H185" s="610"/>
    </row>
    <row r="186" spans="1:8" ht="15.75">
      <c r="A186" s="271"/>
      <c r="B186" s="1174">
        <v>45104</v>
      </c>
      <c r="C186" s="1114" t="s">
        <v>2708</v>
      </c>
      <c r="D186" s="1115">
        <v>3.46</v>
      </c>
      <c r="E186" s="1114" t="s">
        <v>545</v>
      </c>
      <c r="F186" s="1139" t="s">
        <v>1808</v>
      </c>
      <c r="G186" s="968" t="s">
        <v>555</v>
      </c>
      <c r="H186" s="610"/>
    </row>
    <row r="187" spans="1:8" ht="15.75">
      <c r="A187" s="271"/>
      <c r="B187" s="1174">
        <v>45254</v>
      </c>
      <c r="C187" s="1297" t="s">
        <v>4588</v>
      </c>
      <c r="D187" s="1333">
        <v>6.68</v>
      </c>
      <c r="E187" s="1192" t="s">
        <v>5057</v>
      </c>
      <c r="F187" s="1461" t="s">
        <v>1979</v>
      </c>
      <c r="G187" s="1332" t="s">
        <v>5871</v>
      </c>
      <c r="H187" s="610"/>
    </row>
    <row r="188" spans="1:8" ht="16.5" thickBot="1">
      <c r="A188" s="271"/>
      <c r="B188" s="1672"/>
      <c r="C188" s="1668" t="s">
        <v>180</v>
      </c>
      <c r="D188" s="1673">
        <f>IF(COUNT(D184:D187)=3,MEDIAN(D184:D187),SMALL(D185:D187,1))</f>
        <v>5.29</v>
      </c>
      <c r="E188" s="1674"/>
      <c r="F188" s="1675"/>
      <c r="G188" s="1671"/>
      <c r="H188" s="271"/>
    </row>
    <row r="189" spans="1:8" ht="16.5" customHeight="1" thickBot="1">
      <c r="A189" s="271"/>
      <c r="B189" s="2419"/>
      <c r="C189" s="2420"/>
      <c r="D189" s="2420"/>
      <c r="E189" s="2420"/>
      <c r="F189" s="2420"/>
      <c r="G189" s="2421"/>
      <c r="H189" s="271"/>
    </row>
    <row r="190" spans="1:8" ht="25.5" customHeight="1">
      <c r="B190" s="623" t="str">
        <f>IF(COUNT($H$17:H190)&lt;10,CONCATENATE("CPU LOG 00",COUNT($H$17:H190)),CONCATENATE("CPU LOG 0",COUNT($H$17:H190)))</f>
        <v>CPU LOG 017</v>
      </c>
      <c r="C190" s="2180" t="str">
        <f>CONCATENATE("FORNECIMENTO E INSTALAÇÃO DE ",C193)</f>
        <v>FORNECIMENTO E INSTALAÇÃO DE  SAÍDA HORIZONTAL PARA ELETRODUTO 1.1/4"</v>
      </c>
      <c r="D190" s="2180"/>
      <c r="E190" s="2180"/>
      <c r="F190" s="2180"/>
      <c r="G190" s="624" t="s">
        <v>22</v>
      </c>
      <c r="H190" s="615">
        <f>G197</f>
        <v>9.73</v>
      </c>
    </row>
    <row r="191" spans="1:8" ht="31.5">
      <c r="B191" s="750" t="s">
        <v>197</v>
      </c>
      <c r="C191" s="751" t="s">
        <v>161</v>
      </c>
      <c r="D191" s="826" t="s">
        <v>22</v>
      </c>
      <c r="E191" s="751" t="s">
        <v>162</v>
      </c>
      <c r="F191" s="752" t="s">
        <v>163</v>
      </c>
      <c r="G191" s="753" t="s">
        <v>164</v>
      </c>
    </row>
    <row r="192" spans="1:8" ht="15.75">
      <c r="B192" s="2408" t="s">
        <v>165</v>
      </c>
      <c r="C192" s="2409"/>
      <c r="D192" s="2409"/>
      <c r="E192" s="2409"/>
      <c r="F192" s="2409"/>
      <c r="G192" s="2410"/>
    </row>
    <row r="193" spans="1:8">
      <c r="B193" s="856" t="s">
        <v>181</v>
      </c>
      <c r="C193" s="852" t="str">
        <f>C199</f>
        <v xml:space="preserve"> SAÍDA HORIZONTAL PARA ELETRODUTO 1.1/4"</v>
      </c>
      <c r="D193" s="859" t="str">
        <f>G199</f>
        <v>UN</v>
      </c>
      <c r="E193" s="846">
        <v>1</v>
      </c>
      <c r="F193" s="846">
        <f>D204</f>
        <v>4.0999999999999996</v>
      </c>
      <c r="G193" s="848">
        <f>TRUNC(F193*E193,2)</f>
        <v>4.0999999999999996</v>
      </c>
    </row>
    <row r="194" spans="1:8" ht="15.75">
      <c r="B194" s="2408" t="s">
        <v>166</v>
      </c>
      <c r="C194" s="2409"/>
      <c r="D194" s="2409"/>
      <c r="E194" s="2409"/>
      <c r="F194" s="2409"/>
      <c r="G194" s="2410"/>
    </row>
    <row r="195" spans="1:8" ht="15.75">
      <c r="A195" s="333" t="s">
        <v>391</v>
      </c>
      <c r="B195" s="841">
        <v>88264</v>
      </c>
      <c r="C195" s="728" t="str">
        <f>IF($A195="INSUMO",VLOOKUP($B195,'BANCO DE DADOS JANEIRO-24 INS'!$A:$D,2,FALSE),VLOOKUP($B195,'BANCO DE DADOS JANEIRO-24 SERV'!$B:$E,2,FALSE))</f>
        <v>ELETRICISTA COM ENCARGOS COMPLEMENTARES</v>
      </c>
      <c r="D195" s="732" t="str">
        <f>IF($A195="INSUMO",VLOOKUP($B195,'BANCO DE DADOS JANEIRO-24 INS'!$A:$D,3,FALSE),VLOOKUP($B195,'BANCO DE DADOS JANEIRO-24 SERV'!$B:$E,3,FALSE))</f>
        <v>H</v>
      </c>
      <c r="E195" s="1210">
        <v>0.12</v>
      </c>
      <c r="F195" s="755">
        <f>IF($A195="INSUMO",VLOOKUP($B195,'BANCO DE DADOS JANEIRO-24 INS'!$A:$D,4,FALSE),VLOOKUP($B195,'BANCO DE DADOS JANEIRO-24 SERV'!$B:$E,4,FALSE))</f>
        <v>26.68</v>
      </c>
      <c r="G195" s="840">
        <f>TRUNC(F195*E195,2)</f>
        <v>3.2</v>
      </c>
    </row>
    <row r="196" spans="1:8" ht="16.5" thickBot="1">
      <c r="A196" s="333" t="s">
        <v>391</v>
      </c>
      <c r="B196" s="625">
        <v>88316</v>
      </c>
      <c r="C196" s="731" t="str">
        <f>IF($A196="INSUMO",VLOOKUP($B196,'BANCO DE DADOS JANEIRO-24 INS'!$A:$D,2,FALSE),VLOOKUP($B196,'BANCO DE DADOS JANEIRO-24 SERV'!$B:$E,2,FALSE))</f>
        <v>SERVENTE COM ENCARGOS COMPLEMENTARES</v>
      </c>
      <c r="D196" s="729" t="str">
        <f>IF($A196="INSUMO",VLOOKUP($B196,'BANCO DE DADOS JANEIRO-24 INS'!$A:$D,3,FALSE),VLOOKUP($B196,'BANCO DE DADOS JANEIRO-24 SERV'!$B:$E,3,FALSE))</f>
        <v>H</v>
      </c>
      <c r="E196" s="1518">
        <v>0.12</v>
      </c>
      <c r="F196" s="757">
        <f>IF($A196="INSUMO",VLOOKUP($B196,'BANCO DE DADOS JANEIRO-24 INS'!$A:$D,4,FALSE),VLOOKUP($B196,'BANCO DE DADOS JANEIRO-24 SERV'!$B:$E,4,FALSE))</f>
        <v>20.32</v>
      </c>
      <c r="G196" s="626">
        <f>TRUNC(F196*E196,2)</f>
        <v>2.4300000000000002</v>
      </c>
    </row>
    <row r="197" spans="1:8" ht="16.5" customHeight="1" thickBot="1">
      <c r="B197" s="2404" t="s">
        <v>7295</v>
      </c>
      <c r="C197" s="2404"/>
      <c r="D197" s="2404"/>
      <c r="E197" s="2404"/>
      <c r="F197" s="325" t="s">
        <v>167</v>
      </c>
      <c r="G197" s="326">
        <f>SUM(G192:G196)</f>
        <v>9.73</v>
      </c>
    </row>
    <row r="198" spans="1:8" ht="15.75" thickBot="1">
      <c r="B198" s="2404"/>
      <c r="C198" s="2404"/>
      <c r="D198" s="2404"/>
      <c r="E198" s="2404"/>
    </row>
    <row r="199" spans="1:8" ht="15.75">
      <c r="A199" s="271"/>
      <c r="B199" s="1669" t="s">
        <v>181</v>
      </c>
      <c r="C199" s="2164" t="s">
        <v>7276</v>
      </c>
      <c r="D199" s="2165"/>
      <c r="E199" s="2165"/>
      <c r="F199" s="2166"/>
      <c r="G199" s="1715" t="s">
        <v>22</v>
      </c>
      <c r="H199" s="681" t="s">
        <v>1978</v>
      </c>
    </row>
    <row r="200" spans="1:8" ht="31.5">
      <c r="A200" s="271"/>
      <c r="B200" s="1107" t="s">
        <v>174</v>
      </c>
      <c r="C200" s="1108" t="s">
        <v>175</v>
      </c>
      <c r="D200" s="1109" t="s">
        <v>176</v>
      </c>
      <c r="E200" s="1110" t="s">
        <v>177</v>
      </c>
      <c r="F200" s="1181" t="s">
        <v>178</v>
      </c>
      <c r="G200" s="1112" t="s">
        <v>179</v>
      </c>
      <c r="H200" s="271"/>
    </row>
    <row r="201" spans="1:8" ht="15.75">
      <c r="A201" s="271"/>
      <c r="B201" s="1174">
        <v>45183</v>
      </c>
      <c r="C201" s="1297" t="s">
        <v>2165</v>
      </c>
      <c r="D201" s="1333">
        <v>4.0999999999999996</v>
      </c>
      <c r="E201" s="1192" t="s">
        <v>190</v>
      </c>
      <c r="F201" s="1461" t="s">
        <v>191</v>
      </c>
      <c r="G201" s="1332" t="s">
        <v>1869</v>
      </c>
      <c r="H201" s="610"/>
    </row>
    <row r="202" spans="1:8" ht="15.75">
      <c r="A202" s="271"/>
      <c r="B202" s="1174">
        <v>45253</v>
      </c>
      <c r="C202" s="1114" t="s">
        <v>5879</v>
      </c>
      <c r="D202" s="1115">
        <v>3.41</v>
      </c>
      <c r="E202" s="1114" t="s">
        <v>2185</v>
      </c>
      <c r="F202" s="1139" t="s">
        <v>4611</v>
      </c>
      <c r="G202" s="968" t="s">
        <v>2840</v>
      </c>
      <c r="H202" s="610"/>
    </row>
    <row r="203" spans="1:8" ht="15.75">
      <c r="A203" s="271"/>
      <c r="B203" s="1174">
        <v>45254</v>
      </c>
      <c r="C203" s="1297" t="s">
        <v>4588</v>
      </c>
      <c r="D203" s="1333">
        <v>6.82</v>
      </c>
      <c r="E203" s="1192" t="s">
        <v>5057</v>
      </c>
      <c r="F203" s="1461" t="s">
        <v>1979</v>
      </c>
      <c r="G203" s="1332" t="s">
        <v>5871</v>
      </c>
      <c r="H203" s="610"/>
    </row>
    <row r="204" spans="1:8" ht="16.5" thickBot="1">
      <c r="A204" s="271"/>
      <c r="B204" s="1672"/>
      <c r="C204" s="1668" t="s">
        <v>180</v>
      </c>
      <c r="D204" s="1673">
        <f>IF(COUNT(D200:D203)=3,MEDIAN(D200:D203),SMALL(D201:D203,1))</f>
        <v>4.0999999999999996</v>
      </c>
      <c r="E204" s="1674"/>
      <c r="F204" s="1675"/>
      <c r="G204" s="1671"/>
      <c r="H204" s="271"/>
    </row>
    <row r="205" spans="1:8" ht="16.5" customHeight="1" thickBot="1">
      <c r="A205" s="271"/>
      <c r="B205" s="2419"/>
      <c r="C205" s="2420"/>
      <c r="D205" s="2420"/>
      <c r="E205" s="2420"/>
      <c r="F205" s="2420"/>
      <c r="G205" s="2421"/>
      <c r="H205" s="271"/>
    </row>
    <row r="206" spans="1:8" ht="52.5" customHeight="1">
      <c r="B206" s="623" t="str">
        <f>IF(COUNT($H$17:H206)&lt;10,CONCATENATE("CPU LOG 00",COUNT($H$17:H206)),CONCATENATE("CPU LOG 0",COUNT($H$17:H206)))</f>
        <v>CPU LOG 018</v>
      </c>
      <c r="C206" s="2180" t="str">
        <f>CONCATENATE("FORNECIMENTO E INSTALAÇÃO DE ",C209)</f>
        <v>FORNECIMENTO E INSTALAÇÃO DE MINI RACK DE PAREDE COM UNIDADE DE VENTILAÇÃO, COM 12U PARA INSTALAÇÃO DE EQUIPAMENTOS</v>
      </c>
      <c r="D206" s="2181"/>
      <c r="E206" s="2181"/>
      <c r="F206" s="2181"/>
      <c r="G206" s="624" t="s">
        <v>22</v>
      </c>
      <c r="H206" s="615">
        <f>G213</f>
        <v>729.97</v>
      </c>
    </row>
    <row r="207" spans="1:8" ht="31.5">
      <c r="B207" s="1093" t="s">
        <v>197</v>
      </c>
      <c r="C207" s="1094" t="s">
        <v>161</v>
      </c>
      <c r="D207" s="1194" t="s">
        <v>22</v>
      </c>
      <c r="E207" s="1094" t="s">
        <v>162</v>
      </c>
      <c r="F207" s="1095" t="s">
        <v>163</v>
      </c>
      <c r="G207" s="1096" t="s">
        <v>164</v>
      </c>
    </row>
    <row r="208" spans="1:8" ht="15.75">
      <c r="B208" s="2389" t="s">
        <v>165</v>
      </c>
      <c r="C208" s="2390"/>
      <c r="D208" s="2390"/>
      <c r="E208" s="2390"/>
      <c r="F208" s="2390"/>
      <c r="G208" s="2391"/>
    </row>
    <row r="209" spans="1:8" ht="30">
      <c r="B209" s="1213" t="s">
        <v>181</v>
      </c>
      <c r="C209" s="1214" t="str">
        <f>C215</f>
        <v>MINI RACK DE PAREDE COM UNIDADE DE VENTILAÇÃO, COM 12U PARA INSTALAÇÃO DE EQUIPAMENTOS</v>
      </c>
      <c r="D209" s="1161" t="str">
        <f>G215</f>
        <v>UN</v>
      </c>
      <c r="E209" s="1208">
        <v>1</v>
      </c>
      <c r="F209" s="1208">
        <f>D220</f>
        <v>635.97</v>
      </c>
      <c r="G209" s="1164">
        <f>TRUNC(F209*E209,2)</f>
        <v>635.97</v>
      </c>
    </row>
    <row r="210" spans="1:8" ht="15.75">
      <c r="B210" s="2389" t="s">
        <v>166</v>
      </c>
      <c r="C210" s="2390"/>
      <c r="D210" s="2390"/>
      <c r="E210" s="2390"/>
      <c r="F210" s="2390"/>
      <c r="G210" s="2391"/>
    </row>
    <row r="211" spans="1:8" ht="15.75">
      <c r="A211" s="333" t="s">
        <v>391</v>
      </c>
      <c r="B211" s="1200">
        <v>88264</v>
      </c>
      <c r="C211" s="1098" t="str">
        <f>IF($A211="INSUMO",VLOOKUP($B211,'BANCO DE DADOS JANEIRO-24 INS'!$A:$D,2,FALSE),VLOOKUP($B211,'BANCO DE DADOS JANEIRO-24 SERV'!$B:$E,2,FALSE))</f>
        <v>ELETRICISTA COM ENCARGOS COMPLEMENTARES</v>
      </c>
      <c r="D211" s="1099" t="str">
        <f>IF($A211="INSUMO",VLOOKUP($B211,'BANCO DE DADOS JANEIRO-24 INS'!$A:$D,3,FALSE),VLOOKUP($B211,'BANCO DE DADOS JANEIRO-24 SERV'!$B:$E,3,FALSE))</f>
        <v>H</v>
      </c>
      <c r="E211" s="1210">
        <v>2</v>
      </c>
      <c r="F211" s="1146">
        <f>IF($A211="INSUMO",VLOOKUP($B211,'BANCO DE DADOS JANEIRO-24 INS'!$A:$D,4,FALSE),VLOOKUP($B211,'BANCO DE DADOS JANEIRO-24 SERV'!$B:$E,4,FALSE))</f>
        <v>26.68</v>
      </c>
      <c r="G211" s="1199">
        <f>TRUNC(F211*E211,2)</f>
        <v>53.36</v>
      </c>
    </row>
    <row r="212" spans="1:8" ht="16.5" customHeight="1" thickBot="1">
      <c r="B212" s="895">
        <v>88316</v>
      </c>
      <c r="C212" s="731" t="str">
        <f>IF($A212="INSUMO",VLOOKUP($B212,'BANCO DE DADOS JANEIRO-24 INS'!$A:$D,2,FALSE),VLOOKUP($B212,'BANCO DE DADOS JANEIRO-24 SERV'!$B:$E,2,FALSE))</f>
        <v>SERVENTE COM ENCARGOS COMPLEMENTARES</v>
      </c>
      <c r="D212" s="729" t="str">
        <f>IF($A212="INSUMO",VLOOKUP($B212,'BANCO DE DADOS JANEIRO-24 INS'!$A:$D,3,FALSE),VLOOKUP($B212,'BANCO DE DADOS JANEIRO-24 SERV'!$B:$E,3,FALSE))</f>
        <v>H</v>
      </c>
      <c r="E212" s="850">
        <v>2</v>
      </c>
      <c r="F212" s="757">
        <f>IF($A212="INSUMO",VLOOKUP($B212,'BANCO DE DADOS JANEIRO-24 INS'!$A:$D,4,FALSE),VLOOKUP($B212,'BANCO DE DADOS JANEIRO-24 SERV'!$B:$E,4,FALSE))</f>
        <v>20.32</v>
      </c>
      <c r="G212" s="1355">
        <f>TRUNC(F212*E212,2)</f>
        <v>40.64</v>
      </c>
    </row>
    <row r="213" spans="1:8" ht="41.25" customHeight="1" thickBot="1">
      <c r="B213" s="2404" t="s">
        <v>7297</v>
      </c>
      <c r="C213" s="2404"/>
      <c r="D213" s="2404"/>
      <c r="E213" s="2422"/>
      <c r="F213" s="325" t="s">
        <v>167</v>
      </c>
      <c r="G213" s="326">
        <f>SUM(G208:G212)</f>
        <v>729.97</v>
      </c>
    </row>
    <row r="214" spans="1:8" ht="15.75" thickBot="1"/>
    <row r="215" spans="1:8" ht="15.75">
      <c r="A215" s="271"/>
      <c r="B215" s="1669" t="s">
        <v>181</v>
      </c>
      <c r="C215" s="2416" t="s">
        <v>553</v>
      </c>
      <c r="D215" s="2417"/>
      <c r="E215" s="2417"/>
      <c r="F215" s="2418"/>
      <c r="G215" s="1670" t="s">
        <v>22</v>
      </c>
      <c r="H215" s="271"/>
    </row>
    <row r="216" spans="1:8" ht="31.5">
      <c r="A216" s="271"/>
      <c r="B216" s="1107" t="s">
        <v>174</v>
      </c>
      <c r="C216" s="1108" t="s">
        <v>175</v>
      </c>
      <c r="D216" s="1109" t="s">
        <v>176</v>
      </c>
      <c r="E216" s="1110" t="s">
        <v>177</v>
      </c>
      <c r="F216" s="1111" t="s">
        <v>178</v>
      </c>
      <c r="G216" s="1112" t="s">
        <v>179</v>
      </c>
      <c r="H216" s="271"/>
    </row>
    <row r="217" spans="1:8">
      <c r="A217" s="271"/>
      <c r="B217" s="1137">
        <v>45104</v>
      </c>
      <c r="C217" s="1114" t="s">
        <v>2184</v>
      </c>
      <c r="D217" s="1115">
        <v>718.88</v>
      </c>
      <c r="E217" s="1185" t="s">
        <v>512</v>
      </c>
      <c r="F217" s="1139" t="s">
        <v>2002</v>
      </c>
      <c r="G217" s="968" t="s">
        <v>2838</v>
      </c>
      <c r="H217" s="271"/>
    </row>
    <row r="218" spans="1:8">
      <c r="A218" s="271"/>
      <c r="B218" s="1113">
        <v>45219</v>
      </c>
      <c r="C218" s="1114" t="s">
        <v>13346</v>
      </c>
      <c r="D218" s="1115">
        <v>542.22</v>
      </c>
      <c r="E218" s="1192" t="s">
        <v>13347</v>
      </c>
      <c r="F218" s="1296" t="s">
        <v>411</v>
      </c>
      <c r="G218" s="1117" t="s">
        <v>409</v>
      </c>
      <c r="H218" s="271"/>
    </row>
    <row r="219" spans="1:8">
      <c r="A219" s="271"/>
      <c r="B219" s="1342">
        <v>45168</v>
      </c>
      <c r="C219" s="1114" t="s">
        <v>5207</v>
      </c>
      <c r="D219" s="1115">
        <v>635.97</v>
      </c>
      <c r="E219" s="1138" t="s">
        <v>525</v>
      </c>
      <c r="F219" s="1139" t="s">
        <v>5208</v>
      </c>
      <c r="G219" s="1308" t="s">
        <v>13350</v>
      </c>
      <c r="H219" s="271"/>
    </row>
    <row r="220" spans="1:8" ht="16.5" thickBot="1">
      <c r="A220" s="271"/>
      <c r="B220" s="1672"/>
      <c r="C220" s="1668" t="s">
        <v>180</v>
      </c>
      <c r="D220" s="1673">
        <f>IF(COUNT(D216:D219)=3,MEDIAN(D216:D219),SMALL(D217:D219,1))</f>
        <v>635.97</v>
      </c>
      <c r="E220" s="1674"/>
      <c r="F220" s="1675"/>
      <c r="G220" s="1671"/>
      <c r="H220" s="271"/>
    </row>
    <row r="221" spans="1:8" ht="16.5" thickBot="1">
      <c r="A221" s="333" t="s">
        <v>391</v>
      </c>
    </row>
    <row r="222" spans="1:8" ht="52.5" customHeight="1">
      <c r="B222" s="623" t="str">
        <f>IF(COUNT($H$17:H222)&lt;10,CONCATENATE("CPU LOG 00",COUNT($H$17:H222)),CONCATENATE("CPU LOG 0",COUNT($H$17:H222)))</f>
        <v>CPU LOG 019</v>
      </c>
      <c r="C222" s="2180" t="str">
        <f>CONCATENATE("FORNECIMENTO E INSTALAÇÃO DE ",C225)</f>
        <v xml:space="preserve">FORNECIMENTO E INSTALAÇÃO DE SWITCH COM 16 PORTAS DE 10/100/1000Mbps E CAPACIDADE DE ROUTING/SWITCHING DE 10 Gbps. SUPORTE AOS PROTOCOLOS  IEEE 802.3 10BASE-T, IEEE 802.3u 100BASE-TX e IEEE 802.3ab 1000BASE-T. </v>
      </c>
      <c r="D222" s="2181"/>
      <c r="E222" s="2181"/>
      <c r="F222" s="2181"/>
      <c r="G222" s="624" t="s">
        <v>22</v>
      </c>
      <c r="H222" s="615">
        <f>G229</f>
        <v>1690.56</v>
      </c>
    </row>
    <row r="223" spans="1:8" ht="31.5">
      <c r="B223" s="1093" t="s">
        <v>197</v>
      </c>
      <c r="C223" s="1094" t="s">
        <v>161</v>
      </c>
      <c r="D223" s="1194" t="s">
        <v>22</v>
      </c>
      <c r="E223" s="1094" t="s">
        <v>162</v>
      </c>
      <c r="F223" s="1095" t="s">
        <v>163</v>
      </c>
      <c r="G223" s="1096" t="s">
        <v>164</v>
      </c>
    </row>
    <row r="224" spans="1:8" ht="15.75">
      <c r="B224" s="2389" t="s">
        <v>165</v>
      </c>
      <c r="C224" s="2390"/>
      <c r="D224" s="2390"/>
      <c r="E224" s="2390"/>
      <c r="F224" s="2390"/>
      <c r="G224" s="2391"/>
    </row>
    <row r="225" spans="1:8" ht="60.75" thickBot="1">
      <c r="B225" s="1471" t="s">
        <v>181</v>
      </c>
      <c r="C225" s="1541" t="str">
        <f>C232</f>
        <v xml:space="preserve">SWITCH COM 16 PORTAS DE 10/100/1000Mbps E CAPACIDADE DE ROUTING/SWITCHING DE 10 Gbps. SUPORTE AOS PROTOCOLOS  IEEE 802.3 10BASE-T, IEEE 802.3u 100BASE-TX e IEEE 802.3ab 1000BASE-T. </v>
      </c>
      <c r="D225" s="1542" t="str">
        <f>G232</f>
        <v>UN</v>
      </c>
      <c r="E225" s="1543">
        <v>1</v>
      </c>
      <c r="F225" s="1543">
        <f>D237</f>
        <v>1596.56</v>
      </c>
      <c r="G225" s="1544">
        <f>TRUNC(F225*E225,2)</f>
        <v>1596.56</v>
      </c>
    </row>
    <row r="226" spans="1:8" ht="15.75">
      <c r="B226" s="2389" t="s">
        <v>166</v>
      </c>
      <c r="C226" s="2390"/>
      <c r="D226" s="2390"/>
      <c r="E226" s="2390"/>
      <c r="F226" s="2390"/>
      <c r="G226" s="2391"/>
    </row>
    <row r="227" spans="1:8" ht="15.75">
      <c r="A227" s="333" t="s">
        <v>391</v>
      </c>
      <c r="B227" s="1200">
        <v>88264</v>
      </c>
      <c r="C227" s="1098" t="str">
        <f>IF($A227="INSUMO",VLOOKUP($B227,'BANCO DE DADOS JANEIRO-24 INS'!$A:$D,2,FALSE),VLOOKUP($B227,'BANCO DE DADOS JANEIRO-24 SERV'!$B:$E,2,FALSE))</f>
        <v>ELETRICISTA COM ENCARGOS COMPLEMENTARES</v>
      </c>
      <c r="D227" s="1099" t="str">
        <f>IF($A227="INSUMO",VLOOKUP($B227,'BANCO DE DADOS JANEIRO-24 INS'!$A:$D,3,FALSE),VLOOKUP($B227,'BANCO DE DADOS JANEIRO-24 SERV'!$B:$E,3,FALSE))</f>
        <v>H</v>
      </c>
      <c r="E227" s="1210">
        <v>2</v>
      </c>
      <c r="F227" s="1146">
        <f>IF($A227="INSUMO",VLOOKUP($B227,'BANCO DE DADOS JANEIRO-24 INS'!$A:$D,4,FALSE),VLOOKUP($B227,'BANCO DE DADOS JANEIRO-24 SERV'!$B:$E,4,FALSE))</f>
        <v>26.68</v>
      </c>
      <c r="G227" s="1199">
        <f>TRUNC(F227*E227,2)</f>
        <v>53.36</v>
      </c>
    </row>
    <row r="228" spans="1:8" ht="16.5" customHeight="1" thickBot="1">
      <c r="B228" s="895">
        <v>88316</v>
      </c>
      <c r="C228" s="731" t="str">
        <f>IF($A228="INSUMO",VLOOKUP($B228,'BANCO DE DADOS JANEIRO-24 INS'!$A:$D,2,FALSE),VLOOKUP($B228,'BANCO DE DADOS JANEIRO-24 SERV'!$B:$E,2,FALSE))</f>
        <v>SERVENTE COM ENCARGOS COMPLEMENTARES</v>
      </c>
      <c r="D228" s="729" t="str">
        <f>IF($A228="INSUMO",VLOOKUP($B228,'BANCO DE DADOS JANEIRO-24 INS'!$A:$D,3,FALSE),VLOOKUP($B228,'BANCO DE DADOS JANEIRO-24 SERV'!$B:$E,3,FALSE))</f>
        <v>H</v>
      </c>
      <c r="E228" s="850">
        <v>2</v>
      </c>
      <c r="F228" s="757">
        <f>IF($A228="INSUMO",VLOOKUP($B228,'BANCO DE DADOS JANEIRO-24 INS'!$A:$D,4,FALSE),VLOOKUP($B228,'BANCO DE DADOS JANEIRO-24 SERV'!$B:$E,4,FALSE))</f>
        <v>20.32</v>
      </c>
      <c r="G228" s="1355">
        <f>TRUNC(F228*E228,2)</f>
        <v>40.64</v>
      </c>
    </row>
    <row r="229" spans="1:8" ht="16.5" customHeight="1" thickBot="1">
      <c r="B229" s="2404" t="s">
        <v>7296</v>
      </c>
      <c r="C229" s="2404"/>
      <c r="D229" s="2404"/>
      <c r="E229" s="2404"/>
      <c r="F229" s="325" t="s">
        <v>167</v>
      </c>
      <c r="G229" s="326">
        <f>SUM(G224:G228)</f>
        <v>1690.56</v>
      </c>
    </row>
    <row r="230" spans="1:8">
      <c r="B230" s="2404"/>
      <c r="C230" s="2404"/>
      <c r="D230" s="2404"/>
      <c r="E230" s="2404"/>
    </row>
    <row r="231" spans="1:8" ht="15.75" thickBot="1"/>
    <row r="232" spans="1:8" ht="42.75" customHeight="1">
      <c r="A232" s="271"/>
      <c r="B232" s="1669" t="s">
        <v>181</v>
      </c>
      <c r="C232" s="2416" t="s">
        <v>550</v>
      </c>
      <c r="D232" s="2417"/>
      <c r="E232" s="2417"/>
      <c r="F232" s="2418"/>
      <c r="G232" s="1670" t="s">
        <v>22</v>
      </c>
      <c r="H232" s="271"/>
    </row>
    <row r="233" spans="1:8" ht="31.5">
      <c r="A233" s="271"/>
      <c r="B233" s="1107" t="s">
        <v>174</v>
      </c>
      <c r="C233" s="1108" t="s">
        <v>175</v>
      </c>
      <c r="D233" s="1109" t="s">
        <v>176</v>
      </c>
      <c r="E233" s="1110" t="s">
        <v>177</v>
      </c>
      <c r="F233" s="1111" t="s">
        <v>178</v>
      </c>
      <c r="G233" s="1112" t="s">
        <v>179</v>
      </c>
      <c r="H233" s="271"/>
    </row>
    <row r="234" spans="1:8">
      <c r="B234" s="1177">
        <v>45219</v>
      </c>
      <c r="C234" s="1114" t="s">
        <v>13346</v>
      </c>
      <c r="D234" s="1136">
        <v>1949.74</v>
      </c>
      <c r="E234" s="1138" t="s">
        <v>13347</v>
      </c>
      <c r="F234" s="1116" t="s">
        <v>411</v>
      </c>
      <c r="G234" s="1308" t="s">
        <v>409</v>
      </c>
    </row>
    <row r="235" spans="1:8" ht="29.25" customHeight="1">
      <c r="B235" s="1113">
        <v>45218</v>
      </c>
      <c r="C235" s="1114" t="s">
        <v>2184</v>
      </c>
      <c r="D235" s="1115">
        <v>688.87</v>
      </c>
      <c r="E235" s="1192" t="s">
        <v>13345</v>
      </c>
      <c r="F235" s="1296" t="s">
        <v>2002</v>
      </c>
      <c r="G235" s="1308" t="s">
        <v>2838</v>
      </c>
    </row>
    <row r="236" spans="1:8">
      <c r="B236" s="1342">
        <v>45219</v>
      </c>
      <c r="C236" s="1114" t="s">
        <v>5207</v>
      </c>
      <c r="D236" s="1115">
        <v>1596.56</v>
      </c>
      <c r="E236" s="1138" t="s">
        <v>525</v>
      </c>
      <c r="F236" s="1139" t="s">
        <v>13348</v>
      </c>
      <c r="G236" s="1308" t="s">
        <v>13349</v>
      </c>
      <c r="H236" s="1135"/>
    </row>
    <row r="237" spans="1:8" ht="16.5" thickBot="1">
      <c r="B237" s="1672"/>
      <c r="C237" s="1668" t="s">
        <v>180</v>
      </c>
      <c r="D237" s="1673">
        <f>IF(COUNT(D233:D236)=3,MEDIAN(D233:D236),SMALL(D234:D236,1))</f>
        <v>1596.56</v>
      </c>
      <c r="E237" s="1674"/>
      <c r="F237" s="1675"/>
      <c r="G237" s="1671"/>
    </row>
    <row r="238" spans="1:8" ht="15.75" thickBot="1"/>
    <row r="239" spans="1:8" ht="15.75">
      <c r="B239" s="623" t="str">
        <f>IF(COUNT($H$17:H239)&lt;10,CONCATENATE("CPU LOG 00",COUNT($H$17:H239)),CONCATENATE("CPU LOG 0",COUNT($H$17:H239)))</f>
        <v>CPU LOG 020</v>
      </c>
      <c r="C239" s="2180" t="str">
        <f>CONCATENATE("FORNECIMENTO E INSTALAÇÃO DE ",C242)</f>
        <v>FORNECIMENTO E INSTALAÇÃO DE SWITCH 24P 10/100/1000</v>
      </c>
      <c r="D239" s="2181"/>
      <c r="E239" s="2181"/>
      <c r="F239" s="2181"/>
      <c r="G239" s="624" t="s">
        <v>22</v>
      </c>
      <c r="H239" s="615">
        <f>G246</f>
        <v>2159.52</v>
      </c>
    </row>
    <row r="240" spans="1:8" ht="31.5">
      <c r="B240" s="1093" t="s">
        <v>197</v>
      </c>
      <c r="C240" s="1094" t="s">
        <v>161</v>
      </c>
      <c r="D240" s="1194" t="s">
        <v>22</v>
      </c>
      <c r="E240" s="1094" t="s">
        <v>162</v>
      </c>
      <c r="F240" s="1095" t="s">
        <v>163</v>
      </c>
      <c r="G240" s="1096" t="s">
        <v>164</v>
      </c>
    </row>
    <row r="241" spans="1:8" ht="15.75">
      <c r="B241" s="2389" t="s">
        <v>165</v>
      </c>
      <c r="C241" s="2390"/>
      <c r="D241" s="2390"/>
      <c r="E241" s="2390"/>
      <c r="F241" s="2390"/>
      <c r="G241" s="2391"/>
    </row>
    <row r="242" spans="1:8" ht="15.75" thickBot="1">
      <c r="B242" s="1471" t="s">
        <v>181</v>
      </c>
      <c r="C242" s="1472" t="str">
        <f>C249</f>
        <v>SWITCH 24P 10/100/1000</v>
      </c>
      <c r="D242" s="1473" t="str">
        <f>G249</f>
        <v>UN</v>
      </c>
      <c r="E242" s="1209">
        <v>1</v>
      </c>
      <c r="F242" s="1209">
        <f>D254</f>
        <v>2065.52</v>
      </c>
      <c r="G242" s="1170">
        <f>TRUNC(F242*E242,2)</f>
        <v>2065.52</v>
      </c>
    </row>
    <row r="243" spans="1:8" ht="15.75">
      <c r="B243" s="2389" t="s">
        <v>166</v>
      </c>
      <c r="C243" s="2390"/>
      <c r="D243" s="2390"/>
      <c r="E243" s="2390"/>
      <c r="F243" s="2390"/>
      <c r="G243" s="2391"/>
    </row>
    <row r="244" spans="1:8" ht="15.75">
      <c r="A244" s="333" t="s">
        <v>391</v>
      </c>
      <c r="B244" s="1200">
        <v>88264</v>
      </c>
      <c r="C244" s="1098" t="str">
        <f>IF($A244="INSUMO",VLOOKUP($B244,'BANCO DE DADOS JANEIRO-24 INS'!$A:$D,2,FALSE),VLOOKUP($B244,'BANCO DE DADOS JANEIRO-24 SERV'!$B:$E,2,FALSE))</f>
        <v>ELETRICISTA COM ENCARGOS COMPLEMENTARES</v>
      </c>
      <c r="D244" s="1099" t="str">
        <f>IF($A244="INSUMO",VLOOKUP($B244,'BANCO DE DADOS JANEIRO-24 INS'!$A:$D,3,FALSE),VLOOKUP($B244,'BANCO DE DADOS JANEIRO-24 SERV'!$B:$E,3,FALSE))</f>
        <v>H</v>
      </c>
      <c r="E244" s="1210">
        <v>2</v>
      </c>
      <c r="F244" s="1146">
        <f>IF($A244="INSUMO",VLOOKUP($B244,'BANCO DE DADOS JANEIRO-24 INS'!$A:$D,4,FALSE),VLOOKUP($B244,'BANCO DE DADOS JANEIRO-24 SERV'!$B:$E,4,FALSE))</f>
        <v>26.68</v>
      </c>
      <c r="G244" s="1199">
        <f>TRUNC(F244*E244,2)</f>
        <v>53.36</v>
      </c>
    </row>
    <row r="245" spans="1:8" ht="16.5" customHeight="1" thickBot="1">
      <c r="B245" s="895">
        <v>88316</v>
      </c>
      <c r="C245" s="731" t="str">
        <f>IF($A245="INSUMO",VLOOKUP($B245,'BANCO DE DADOS JANEIRO-24 INS'!$A:$D,2,FALSE),VLOOKUP($B245,'BANCO DE DADOS JANEIRO-24 SERV'!$B:$E,2,FALSE))</f>
        <v>SERVENTE COM ENCARGOS COMPLEMENTARES</v>
      </c>
      <c r="D245" s="729" t="str">
        <f>IF($A245="INSUMO",VLOOKUP($B245,'BANCO DE DADOS JANEIRO-24 INS'!$A:$D,3,FALSE),VLOOKUP($B245,'BANCO DE DADOS JANEIRO-24 SERV'!$B:$E,3,FALSE))</f>
        <v>H</v>
      </c>
      <c r="E245" s="850">
        <v>2</v>
      </c>
      <c r="F245" s="757">
        <f>IF($A245="INSUMO",VLOOKUP($B245,'BANCO DE DADOS JANEIRO-24 INS'!$A:$D,4,FALSE),VLOOKUP($B245,'BANCO DE DADOS JANEIRO-24 SERV'!$B:$E,4,FALSE))</f>
        <v>20.32</v>
      </c>
      <c r="G245" s="1355">
        <f>TRUNC(F245*E245,2)</f>
        <v>40.64</v>
      </c>
    </row>
    <row r="246" spans="1:8" ht="16.5" customHeight="1" thickBot="1">
      <c r="B246" s="2404" t="s">
        <v>7296</v>
      </c>
      <c r="C246" s="2404"/>
      <c r="D246" s="2404"/>
      <c r="E246" s="2404"/>
      <c r="F246" s="325" t="s">
        <v>167</v>
      </c>
      <c r="G246" s="326">
        <f>SUM(G241:G245)</f>
        <v>2159.52</v>
      </c>
    </row>
    <row r="247" spans="1:8">
      <c r="B247" s="2404"/>
      <c r="C247" s="2404"/>
      <c r="D247" s="2404"/>
      <c r="E247" s="2404"/>
    </row>
    <row r="248" spans="1:8">
      <c r="B248" s="669"/>
      <c r="C248" s="669"/>
      <c r="D248" s="669"/>
      <c r="E248" s="669"/>
    </row>
    <row r="249" spans="1:8" s="1564" customFormat="1" ht="15.75" customHeight="1">
      <c r="A249" s="1563"/>
      <c r="B249" s="1721"/>
      <c r="C249" s="1722" t="s">
        <v>7277</v>
      </c>
      <c r="D249" s="1723"/>
      <c r="E249" s="1724"/>
      <c r="F249" s="1725"/>
      <c r="G249" s="1725" t="s">
        <v>22</v>
      </c>
      <c r="H249" s="1563"/>
    </row>
    <row r="250" spans="1:8" ht="31.5">
      <c r="B250" s="1108" t="s">
        <v>174</v>
      </c>
      <c r="C250" s="1108" t="s">
        <v>175</v>
      </c>
      <c r="D250" s="1109" t="s">
        <v>176</v>
      </c>
      <c r="E250" s="1110" t="s">
        <v>177</v>
      </c>
      <c r="F250" s="1111" t="s">
        <v>178</v>
      </c>
      <c r="G250" s="1295" t="s">
        <v>179</v>
      </c>
    </row>
    <row r="251" spans="1:8">
      <c r="A251" s="271"/>
      <c r="B251" s="1282">
        <v>45219</v>
      </c>
      <c r="C251" s="1300" t="s">
        <v>13346</v>
      </c>
      <c r="D251" s="1136">
        <v>2065.52</v>
      </c>
      <c r="E251" s="1175" t="s">
        <v>13347</v>
      </c>
      <c r="F251" s="1536" t="s">
        <v>411</v>
      </c>
      <c r="G251" s="1536" t="s">
        <v>409</v>
      </c>
      <c r="H251" s="271"/>
    </row>
    <row r="252" spans="1:8">
      <c r="B252" s="1537">
        <v>45218</v>
      </c>
      <c r="C252" s="1300" t="s">
        <v>2184</v>
      </c>
      <c r="D252" s="1136">
        <v>1052.9000000000001</v>
      </c>
      <c r="E252" s="1175" t="s">
        <v>13345</v>
      </c>
      <c r="F252" s="1301" t="s">
        <v>2002</v>
      </c>
      <c r="G252" s="1302" t="s">
        <v>2838</v>
      </c>
    </row>
    <row r="253" spans="1:8" ht="17.25" customHeight="1">
      <c r="B253" s="1282">
        <v>45219</v>
      </c>
      <c r="C253" s="1300" t="s">
        <v>5207</v>
      </c>
      <c r="D253" s="1136">
        <v>2221.25</v>
      </c>
      <c r="E253" s="1538" t="s">
        <v>525</v>
      </c>
      <c r="F253" s="1539" t="s">
        <v>13348</v>
      </c>
      <c r="G253" s="1302" t="s">
        <v>13349</v>
      </c>
    </row>
    <row r="254" spans="1:8" s="1564" customFormat="1" ht="15.75">
      <c r="B254" s="1726"/>
      <c r="C254" s="1721" t="s">
        <v>180</v>
      </c>
      <c r="D254" s="1727">
        <f>IF(COUNT(D250:D253)=3,MEDIAN(D250:D253),SMALL(D251:D253,1))</f>
        <v>2065.52</v>
      </c>
      <c r="E254" s="1728"/>
      <c r="F254" s="1729"/>
      <c r="G254" s="1730"/>
      <c r="H254" s="1565"/>
    </row>
    <row r="255" spans="1:8" ht="15.75" thickBot="1"/>
    <row r="256" spans="1:8" ht="15.75">
      <c r="B256" s="623" t="str">
        <f>IF(COUNT($H$17:H256)&lt;10,CONCATENATE("CPU LOG 00",COUNT($H$17:H256)),CONCATENATE("CPU LOG 0",COUNT($H$17:H256)))</f>
        <v>CPU LOG 021</v>
      </c>
      <c r="C256" s="2180" t="str">
        <f>CONCATENATE("FORNECIMENTO E INSTALAÇÃO DE ",C259)</f>
        <v>FORNECIMENTO E INSTALAÇÃO DE SWITCH 48P 10/100/1000</v>
      </c>
      <c r="D256" s="2181"/>
      <c r="E256" s="2181"/>
      <c r="F256" s="2181"/>
      <c r="G256" s="624" t="s">
        <v>22</v>
      </c>
      <c r="H256" s="615">
        <f>G263</f>
        <v>4677.22</v>
      </c>
    </row>
    <row r="257" spans="1:8" ht="31.5">
      <c r="B257" s="1093" t="s">
        <v>197</v>
      </c>
      <c r="C257" s="1094" t="s">
        <v>161</v>
      </c>
      <c r="D257" s="1194" t="s">
        <v>22</v>
      </c>
      <c r="E257" s="1094" t="s">
        <v>162</v>
      </c>
      <c r="F257" s="1095" t="s">
        <v>163</v>
      </c>
      <c r="G257" s="1096" t="s">
        <v>164</v>
      </c>
    </row>
    <row r="258" spans="1:8" ht="15.75">
      <c r="B258" s="2389" t="s">
        <v>165</v>
      </c>
      <c r="C258" s="2390"/>
      <c r="D258" s="2390"/>
      <c r="E258" s="2390"/>
      <c r="F258" s="2390"/>
      <c r="G258" s="2391"/>
    </row>
    <row r="259" spans="1:8" ht="15.75" thickBot="1">
      <c r="B259" s="1471" t="s">
        <v>181</v>
      </c>
      <c r="C259" s="1472" t="str">
        <f>C266</f>
        <v>SWITCH 48P 10/100/1000</v>
      </c>
      <c r="D259" s="1473" t="str">
        <f>G266</f>
        <v>UN</v>
      </c>
      <c r="E259" s="1209">
        <v>1</v>
      </c>
      <c r="F259" s="1209">
        <f>D271</f>
        <v>4583.22</v>
      </c>
      <c r="G259" s="1170">
        <f>TRUNC(F259*E259,2)</f>
        <v>4583.22</v>
      </c>
    </row>
    <row r="260" spans="1:8" ht="15.75">
      <c r="B260" s="2389" t="s">
        <v>166</v>
      </c>
      <c r="C260" s="2390"/>
      <c r="D260" s="2390"/>
      <c r="E260" s="2390"/>
      <c r="F260" s="2390"/>
      <c r="G260" s="2391"/>
    </row>
    <row r="261" spans="1:8" ht="15.75">
      <c r="A261" s="333" t="s">
        <v>391</v>
      </c>
      <c r="B261" s="1200">
        <v>88264</v>
      </c>
      <c r="C261" s="1098" t="str">
        <f>IF($A261="INSUMO",VLOOKUP($B261,'BANCO DE DADOS JANEIRO-24 INS'!$A:$D,2,FALSE),VLOOKUP($B261,'BANCO DE DADOS JANEIRO-24 SERV'!$B:$E,2,FALSE))</f>
        <v>ELETRICISTA COM ENCARGOS COMPLEMENTARES</v>
      </c>
      <c r="D261" s="1099" t="str">
        <f>IF($A261="INSUMO",VLOOKUP($B261,'BANCO DE DADOS JANEIRO-24 INS'!$A:$D,3,FALSE),VLOOKUP($B261,'BANCO DE DADOS JANEIRO-24 SERV'!$B:$E,3,FALSE))</f>
        <v>H</v>
      </c>
      <c r="E261" s="1210">
        <v>2</v>
      </c>
      <c r="F261" s="1146">
        <f>IF($A261="INSUMO",VLOOKUP($B261,'BANCO DE DADOS JANEIRO-24 INS'!$A:$D,4,FALSE),VLOOKUP($B261,'BANCO DE DADOS JANEIRO-24 SERV'!$B:$E,4,FALSE))</f>
        <v>26.68</v>
      </c>
      <c r="G261" s="1199">
        <f>TRUNC(F261*E261,2)</f>
        <v>53.36</v>
      </c>
    </row>
    <row r="262" spans="1:8" ht="16.5" customHeight="1" thickBot="1">
      <c r="B262" s="895">
        <v>88316</v>
      </c>
      <c r="C262" s="731" t="str">
        <f>IF($A262="INSUMO",VLOOKUP($B262,'BANCO DE DADOS JANEIRO-24 INS'!$A:$D,2,FALSE),VLOOKUP($B262,'BANCO DE DADOS JANEIRO-24 SERV'!$B:$E,2,FALSE))</f>
        <v>SERVENTE COM ENCARGOS COMPLEMENTARES</v>
      </c>
      <c r="D262" s="729" t="str">
        <f>IF($A262="INSUMO",VLOOKUP($B262,'BANCO DE DADOS JANEIRO-24 INS'!$A:$D,3,FALSE),VLOOKUP($B262,'BANCO DE DADOS JANEIRO-24 SERV'!$B:$E,3,FALSE))</f>
        <v>H</v>
      </c>
      <c r="E262" s="850">
        <v>2</v>
      </c>
      <c r="F262" s="757">
        <f>IF($A262="INSUMO",VLOOKUP($B262,'BANCO DE DADOS JANEIRO-24 INS'!$A:$D,4,FALSE),VLOOKUP($B262,'BANCO DE DADOS JANEIRO-24 SERV'!$B:$E,4,FALSE))</f>
        <v>20.32</v>
      </c>
      <c r="G262" s="1355">
        <f>TRUNC(F262*E262,2)</f>
        <v>40.64</v>
      </c>
    </row>
    <row r="263" spans="1:8" ht="16.5" customHeight="1" thickBot="1">
      <c r="B263" s="2404" t="s">
        <v>7296</v>
      </c>
      <c r="C263" s="2404"/>
      <c r="D263" s="2404"/>
      <c r="E263" s="2404"/>
      <c r="F263" s="325" t="s">
        <v>167</v>
      </c>
      <c r="G263" s="326">
        <f>SUM(G258:G262)</f>
        <v>4677.22</v>
      </c>
    </row>
    <row r="264" spans="1:8">
      <c r="B264" s="2404"/>
      <c r="C264" s="2404"/>
      <c r="D264" s="2404"/>
      <c r="E264" s="2404"/>
    </row>
    <row r="265" spans="1:8">
      <c r="B265" s="669"/>
      <c r="C265" s="669"/>
      <c r="D265" s="669"/>
      <c r="E265" s="669"/>
    </row>
    <row r="266" spans="1:8" s="1564" customFormat="1" ht="15.75" customHeight="1">
      <c r="A266" s="1563"/>
      <c r="B266" s="1721"/>
      <c r="C266" s="1722" t="s">
        <v>7280</v>
      </c>
      <c r="D266" s="1723"/>
      <c r="E266" s="1724"/>
      <c r="F266" s="1725"/>
      <c r="G266" s="1725" t="s">
        <v>22</v>
      </c>
      <c r="H266" s="1563"/>
    </row>
    <row r="267" spans="1:8" ht="31.5">
      <c r="B267" s="1108" t="s">
        <v>174</v>
      </c>
      <c r="C267" s="1108" t="s">
        <v>175</v>
      </c>
      <c r="D267" s="1109" t="s">
        <v>176</v>
      </c>
      <c r="E267" s="1110" t="s">
        <v>177</v>
      </c>
      <c r="F267" s="1111" t="s">
        <v>178</v>
      </c>
      <c r="G267" s="1295" t="s">
        <v>179</v>
      </c>
    </row>
    <row r="268" spans="1:8">
      <c r="A268" s="271"/>
      <c r="B268" s="1282">
        <v>45219</v>
      </c>
      <c r="C268" s="1300" t="s">
        <v>13346</v>
      </c>
      <c r="D268" s="1136">
        <v>4583.22</v>
      </c>
      <c r="E268" s="1175" t="s">
        <v>13347</v>
      </c>
      <c r="F268" s="1536" t="s">
        <v>411</v>
      </c>
      <c r="G268" s="1536" t="s">
        <v>409</v>
      </c>
      <c r="H268" s="271"/>
    </row>
    <row r="269" spans="1:8">
      <c r="B269" s="1537">
        <v>45218</v>
      </c>
      <c r="C269" s="1300" t="s">
        <v>2184</v>
      </c>
      <c r="D269" s="1136">
        <v>4124.8999999999996</v>
      </c>
      <c r="E269" s="1175" t="s">
        <v>13345</v>
      </c>
      <c r="F269" s="1301" t="s">
        <v>2002</v>
      </c>
      <c r="G269" s="1302" t="s">
        <v>2838</v>
      </c>
    </row>
    <row r="270" spans="1:8" ht="29.25" customHeight="1">
      <c r="B270" s="1282">
        <v>45219</v>
      </c>
      <c r="C270" s="1300" t="s">
        <v>5207</v>
      </c>
      <c r="D270" s="1136">
        <v>5485.39</v>
      </c>
      <c r="E270" s="1538" t="s">
        <v>525</v>
      </c>
      <c r="F270" s="1539" t="s">
        <v>13348</v>
      </c>
      <c r="G270" s="1302" t="s">
        <v>13349</v>
      </c>
    </row>
    <row r="271" spans="1:8" s="1564" customFormat="1" ht="16.5" thickBot="1">
      <c r="B271" s="1731"/>
      <c r="C271" s="1732" t="s">
        <v>180</v>
      </c>
      <c r="D271" s="1733">
        <f>IF(COUNT(D267:D270)=3,MEDIAN(D267:D270),SMALL(D268:D270,1))</f>
        <v>4583.22</v>
      </c>
      <c r="E271" s="1734"/>
      <c r="F271" s="1735"/>
      <c r="G271" s="1736"/>
      <c r="H271" s="1565"/>
    </row>
    <row r="272" spans="1:8" ht="16.5" customHeight="1" thickBot="1">
      <c r="B272" s="2419"/>
      <c r="C272" s="2420"/>
      <c r="D272" s="2420"/>
      <c r="E272" s="2420"/>
      <c r="F272" s="2420"/>
      <c r="G272" s="2421"/>
      <c r="H272" s="1135"/>
    </row>
    <row r="273" spans="1:8" ht="15.75">
      <c r="B273" s="623" t="str">
        <f>IF(COUNT($H$17:H273)&lt;10,CONCATENATE("CPU LOG 00",COUNT($H$17:H273)),CONCATENATE("CPU LOG 0",COUNT($H$17:H273)))</f>
        <v>CPU LOG 022</v>
      </c>
      <c r="C273" s="2180" t="str">
        <f>CONCATENATE("FORNECIMENTO E INSTALAÇÃO DE ",C276)</f>
        <v>FORNECIMENTO E INSTALAÇÃO DE VOICE PAINEL 50 POSIÇÕES RJ45, CAT 6.</v>
      </c>
      <c r="D273" s="2181"/>
      <c r="E273" s="2181"/>
      <c r="F273" s="2181"/>
      <c r="G273" s="624" t="s">
        <v>22</v>
      </c>
      <c r="H273" s="615">
        <f>G279</f>
        <v>526.66999999999996</v>
      </c>
    </row>
    <row r="274" spans="1:8" ht="31.5">
      <c r="B274" s="750" t="s">
        <v>197</v>
      </c>
      <c r="C274" s="751" t="s">
        <v>161</v>
      </c>
      <c r="D274" s="826" t="s">
        <v>22</v>
      </c>
      <c r="E274" s="751" t="s">
        <v>162</v>
      </c>
      <c r="F274" s="752" t="s">
        <v>163</v>
      </c>
      <c r="G274" s="753" t="s">
        <v>164</v>
      </c>
    </row>
    <row r="275" spans="1:8" ht="15.75">
      <c r="B275" s="2408" t="s">
        <v>165</v>
      </c>
      <c r="C275" s="2409"/>
      <c r="D275" s="2409"/>
      <c r="E275" s="2409"/>
      <c r="F275" s="2409"/>
      <c r="G275" s="2410"/>
    </row>
    <row r="276" spans="1:8">
      <c r="B276" s="856" t="s">
        <v>181</v>
      </c>
      <c r="C276" s="852" t="str">
        <f>C281</f>
        <v>VOICE PAINEL 50 POSIÇÕES RJ45, CAT 6.</v>
      </c>
      <c r="D276" s="859" t="str">
        <f>G281</f>
        <v>UN</v>
      </c>
      <c r="E276" s="846">
        <v>1</v>
      </c>
      <c r="F276" s="846">
        <f>D286</f>
        <v>499.99</v>
      </c>
      <c r="G276" s="848">
        <f>TRUNC(F276*E276,2)</f>
        <v>499.99</v>
      </c>
    </row>
    <row r="277" spans="1:8" ht="15.75">
      <c r="B277" s="2408" t="s">
        <v>166</v>
      </c>
      <c r="C277" s="2409"/>
      <c r="D277" s="2409"/>
      <c r="E277" s="2409"/>
      <c r="F277" s="2409"/>
      <c r="G277" s="2410"/>
    </row>
    <row r="278" spans="1:8" ht="16.5" thickBot="1">
      <c r="A278" s="333" t="s">
        <v>391</v>
      </c>
      <c r="B278" s="625">
        <v>88264</v>
      </c>
      <c r="C278" s="731" t="str">
        <f>IF($A278="INSUMO",VLOOKUP($B278,'BANCO DE DADOS JANEIRO-24 INS'!$A:$D,2,FALSE),VLOOKUP($B278,'BANCO DE DADOS JANEIRO-24 SERV'!$B:$E,2,FALSE))</f>
        <v>ELETRICISTA COM ENCARGOS COMPLEMENTARES</v>
      </c>
      <c r="D278" s="729" t="str">
        <f>IF($A278="INSUMO",VLOOKUP($B278,'BANCO DE DADOS JANEIRO-24 INS'!$A:$D,3,FALSE),VLOOKUP($B278,'BANCO DE DADOS JANEIRO-24 SERV'!$B:$E,3,FALSE))</f>
        <v>H</v>
      </c>
      <c r="E278" s="850">
        <v>1</v>
      </c>
      <c r="F278" s="757">
        <f>IF($A278="INSUMO",VLOOKUP($B278,'BANCO DE DADOS JANEIRO-24 INS'!$A:$D,4,FALSE),VLOOKUP($B278,'BANCO DE DADOS JANEIRO-24 SERV'!$B:$E,4,FALSE))</f>
        <v>26.68</v>
      </c>
      <c r="G278" s="626">
        <f>TRUNC(F278*E278,2)</f>
        <v>26.68</v>
      </c>
    </row>
    <row r="279" spans="1:8" ht="16.5" thickBot="1">
      <c r="B279" s="2414" t="s">
        <v>7298</v>
      </c>
      <c r="C279" s="2404"/>
      <c r="D279" s="2404"/>
      <c r="E279" s="2422"/>
      <c r="F279" s="325" t="s">
        <v>167</v>
      </c>
      <c r="G279" s="326">
        <f>SUM(G275:G278)</f>
        <v>526.66999999999996</v>
      </c>
    </row>
    <row r="280" spans="1:8" ht="15.75" thickBot="1">
      <c r="B280" s="682"/>
      <c r="G280" s="668"/>
    </row>
    <row r="281" spans="1:8" ht="15.75">
      <c r="A281" s="271"/>
      <c r="B281" s="1669" t="s">
        <v>181</v>
      </c>
      <c r="C281" s="2416" t="s">
        <v>7281</v>
      </c>
      <c r="D281" s="2417"/>
      <c r="E281" s="2417"/>
      <c r="F281" s="2418"/>
      <c r="G281" s="1670" t="s">
        <v>22</v>
      </c>
      <c r="H281" s="271"/>
    </row>
    <row r="282" spans="1:8" ht="31.5">
      <c r="A282" s="271"/>
      <c r="B282" s="1107" t="s">
        <v>174</v>
      </c>
      <c r="C282" s="1108" t="s">
        <v>175</v>
      </c>
      <c r="D282" s="1109" t="s">
        <v>176</v>
      </c>
      <c r="E282" s="1110" t="s">
        <v>177</v>
      </c>
      <c r="F282" s="1111" t="s">
        <v>178</v>
      </c>
      <c r="G282" s="1112" t="s">
        <v>179</v>
      </c>
      <c r="H282" s="271"/>
    </row>
    <row r="283" spans="1:8">
      <c r="A283" s="271"/>
      <c r="B283" s="1177">
        <v>45219</v>
      </c>
      <c r="C283" s="1114" t="s">
        <v>13346</v>
      </c>
      <c r="D283" s="1136">
        <v>499.99</v>
      </c>
      <c r="E283" s="1138" t="s">
        <v>13347</v>
      </c>
      <c r="F283" s="1116" t="s">
        <v>411</v>
      </c>
      <c r="G283" s="1308" t="s">
        <v>409</v>
      </c>
      <c r="H283" s="271"/>
    </row>
    <row r="284" spans="1:8">
      <c r="A284" s="271"/>
      <c r="B284" s="1113">
        <v>45218</v>
      </c>
      <c r="C284" s="1114" t="s">
        <v>2184</v>
      </c>
      <c r="D284" s="1115">
        <v>963.2</v>
      </c>
      <c r="E284" s="1192" t="s">
        <v>13345</v>
      </c>
      <c r="F284" s="1296" t="s">
        <v>2002</v>
      </c>
      <c r="G284" s="1308" t="s">
        <v>2838</v>
      </c>
      <c r="H284" s="271"/>
    </row>
    <row r="285" spans="1:8">
      <c r="A285" s="271"/>
      <c r="B285" s="1342">
        <v>45219</v>
      </c>
      <c r="C285" s="1114" t="s">
        <v>5207</v>
      </c>
      <c r="D285" s="1115">
        <v>220.7</v>
      </c>
      <c r="E285" s="1138" t="s">
        <v>525</v>
      </c>
      <c r="F285" s="1139" t="s">
        <v>13348</v>
      </c>
      <c r="G285" s="1308" t="s">
        <v>13349</v>
      </c>
      <c r="H285" s="271"/>
    </row>
    <row r="286" spans="1:8" ht="16.5" thickBot="1">
      <c r="B286" s="1672"/>
      <c r="C286" s="1668" t="s">
        <v>180</v>
      </c>
      <c r="D286" s="1673">
        <f>IF(COUNT(D282:D285)=3,MEDIAN(D282:D285),SMALL(D283:D285,1))</f>
        <v>499.99</v>
      </c>
      <c r="E286" s="1674"/>
      <c r="F286" s="1675"/>
      <c r="G286" s="1671"/>
      <c r="H286" s="1135"/>
    </row>
    <row r="287" spans="1:8" ht="15.75" thickBot="1"/>
    <row r="288" spans="1:8" ht="15.75">
      <c r="B288" s="623" t="str">
        <f>IF(COUNT($H$17:H288)&lt;10,CONCATENATE("CPU LOG 00",COUNT($H$17:H288)),CONCATENATE("CPU LOG 0",COUNT($H$17:H288)))</f>
        <v>CPU LOG 023</v>
      </c>
      <c r="C288" s="2180" t="str">
        <f>CONCATENATE("FORNECIMENTO E INSTALAÇÃO DE ",C296)</f>
        <v>FORNECIMENTO E INSTALAÇÃO DE VOICE PAINEL 30 POSIÇÕES RJ45, CAT 6.</v>
      </c>
      <c r="D288" s="2181"/>
      <c r="E288" s="2181"/>
      <c r="F288" s="2181"/>
      <c r="G288" s="624" t="s">
        <v>22</v>
      </c>
      <c r="H288" s="615">
        <f>G294</f>
        <v>452.53000000000003</v>
      </c>
    </row>
    <row r="289" spans="1:8" ht="31.5">
      <c r="B289" s="750" t="s">
        <v>197</v>
      </c>
      <c r="C289" s="751" t="s">
        <v>161</v>
      </c>
      <c r="D289" s="826" t="s">
        <v>22</v>
      </c>
      <c r="E289" s="751" t="s">
        <v>162</v>
      </c>
      <c r="F289" s="752" t="s">
        <v>163</v>
      </c>
      <c r="G289" s="753" t="s">
        <v>164</v>
      </c>
    </row>
    <row r="290" spans="1:8" ht="15.75">
      <c r="B290" s="2408" t="s">
        <v>165</v>
      </c>
      <c r="C290" s="2409"/>
      <c r="D290" s="2409"/>
      <c r="E290" s="2409"/>
      <c r="F290" s="2409"/>
      <c r="G290" s="2410"/>
    </row>
    <row r="291" spans="1:8">
      <c r="B291" s="856" t="s">
        <v>181</v>
      </c>
      <c r="C291" s="852" t="str">
        <f>C296</f>
        <v>VOICE PAINEL 30 POSIÇÕES RJ45, CAT 6.</v>
      </c>
      <c r="D291" s="859" t="str">
        <f>G296</f>
        <v>UN</v>
      </c>
      <c r="E291" s="846">
        <v>1</v>
      </c>
      <c r="F291" s="846">
        <f>D301</f>
        <v>425.85</v>
      </c>
      <c r="G291" s="848">
        <f>TRUNC(F291*E291,2)</f>
        <v>425.85</v>
      </c>
    </row>
    <row r="292" spans="1:8" ht="15.75">
      <c r="B292" s="2408" t="s">
        <v>166</v>
      </c>
      <c r="C292" s="2409"/>
      <c r="D292" s="2409"/>
      <c r="E292" s="2409"/>
      <c r="F292" s="2409"/>
      <c r="G292" s="2410"/>
    </row>
    <row r="293" spans="1:8" ht="16.5" thickBot="1">
      <c r="A293" s="333" t="s">
        <v>391</v>
      </c>
      <c r="B293" s="625">
        <v>88264</v>
      </c>
      <c r="C293" s="731" t="str">
        <f>IF($A293="INSUMO",VLOOKUP($B293,'BANCO DE DADOS JANEIRO-24 INS'!$A:$D,2,FALSE),VLOOKUP($B293,'BANCO DE DADOS JANEIRO-24 SERV'!$B:$E,2,FALSE))</f>
        <v>ELETRICISTA COM ENCARGOS COMPLEMENTARES</v>
      </c>
      <c r="D293" s="729" t="str">
        <f>IF($A293="INSUMO",VLOOKUP($B293,'BANCO DE DADOS JANEIRO-24 INS'!$A:$D,3,FALSE),VLOOKUP($B293,'BANCO DE DADOS JANEIRO-24 SERV'!$B:$E,3,FALSE))</f>
        <v>H</v>
      </c>
      <c r="E293" s="850">
        <v>1</v>
      </c>
      <c r="F293" s="757">
        <f>IF($A293="INSUMO",VLOOKUP($B293,'BANCO DE DADOS JANEIRO-24 INS'!$A:$D,4,FALSE),VLOOKUP($B293,'BANCO DE DADOS JANEIRO-24 SERV'!$B:$E,4,FALSE))</f>
        <v>26.68</v>
      </c>
      <c r="G293" s="626">
        <f>TRUNC(F293*E293,2)</f>
        <v>26.68</v>
      </c>
    </row>
    <row r="294" spans="1:8" ht="16.5" customHeight="1" thickBot="1">
      <c r="B294" s="2414" t="s">
        <v>7298</v>
      </c>
      <c r="C294" s="2404"/>
      <c r="D294" s="2404"/>
      <c r="E294" s="2404"/>
      <c r="F294" s="325" t="s">
        <v>167</v>
      </c>
      <c r="G294" s="326">
        <f>SUM(G290:G293)</f>
        <v>452.53000000000003</v>
      </c>
    </row>
    <row r="295" spans="1:8" ht="30" customHeight="1" thickBot="1">
      <c r="B295" s="2414"/>
      <c r="C295" s="2404"/>
      <c r="D295" s="2404"/>
      <c r="E295" s="2404"/>
      <c r="G295" s="668"/>
    </row>
    <row r="296" spans="1:8" ht="15.75">
      <c r="B296" s="1669" t="s">
        <v>181</v>
      </c>
      <c r="C296" s="2164" t="s">
        <v>7282</v>
      </c>
      <c r="D296" s="2165"/>
      <c r="E296" s="2165"/>
      <c r="F296" s="2166"/>
      <c r="G296" s="1676" t="s">
        <v>22</v>
      </c>
    </row>
    <row r="297" spans="1:8" ht="30.75" customHeight="1">
      <c r="B297" s="1107" t="s">
        <v>174</v>
      </c>
      <c r="C297" s="1108" t="s">
        <v>175</v>
      </c>
      <c r="D297" s="1109" t="s">
        <v>176</v>
      </c>
      <c r="E297" s="1110" t="s">
        <v>177</v>
      </c>
      <c r="F297" s="1111" t="s">
        <v>178</v>
      </c>
      <c r="G297" s="1112" t="s">
        <v>179</v>
      </c>
    </row>
    <row r="298" spans="1:8">
      <c r="B298" s="1113">
        <v>45007</v>
      </c>
      <c r="C298" s="1114" t="s">
        <v>5207</v>
      </c>
      <c r="D298" s="1333">
        <v>240.76</v>
      </c>
      <c r="E298" s="1339" t="s">
        <v>13351</v>
      </c>
      <c r="F298" s="1298" t="s">
        <v>5208</v>
      </c>
      <c r="G298" s="1340" t="s">
        <v>13350</v>
      </c>
    </row>
    <row r="299" spans="1:8">
      <c r="B299" s="1113">
        <v>45218</v>
      </c>
      <c r="C299" s="1338" t="s">
        <v>2184</v>
      </c>
      <c r="D299" s="1343">
        <v>688.85</v>
      </c>
      <c r="E299" s="1339" t="s">
        <v>13345</v>
      </c>
      <c r="F299" s="1344" t="s">
        <v>2002</v>
      </c>
      <c r="G299" s="1334" t="s">
        <v>2838</v>
      </c>
    </row>
    <row r="300" spans="1:8">
      <c r="B300" s="1113">
        <v>45219</v>
      </c>
      <c r="C300" s="1338" t="s">
        <v>13346</v>
      </c>
      <c r="D300" s="1343">
        <v>425.85</v>
      </c>
      <c r="E300" s="1339" t="s">
        <v>13347</v>
      </c>
      <c r="F300" s="1344" t="s">
        <v>411</v>
      </c>
      <c r="G300" s="1334" t="s">
        <v>409</v>
      </c>
    </row>
    <row r="301" spans="1:8" ht="16.5" thickBot="1">
      <c r="A301" s="271"/>
      <c r="B301" s="1672"/>
      <c r="C301" s="1668" t="s">
        <v>180</v>
      </c>
      <c r="D301" s="1673">
        <f>IF(COUNT(D297:D300)=3,MEDIAN(D297:D300),SMALL(D298:D300,1))</f>
        <v>425.85</v>
      </c>
      <c r="E301" s="1674"/>
      <c r="F301" s="1675"/>
      <c r="G301" s="1671"/>
      <c r="H301" s="271"/>
    </row>
    <row r="302" spans="1:8" ht="15.75" thickBot="1"/>
    <row r="303" spans="1:8" ht="24" customHeight="1">
      <c r="B303" s="623" t="str">
        <f>IF(COUNT($H$17:H303)&lt;10,CONCATENATE("CPU LOG 00",COUNT($H$17:H303)),CONCATENATE("CPU LOG 0",COUNT($H$17:H303)))</f>
        <v>CPU LOG 024</v>
      </c>
      <c r="C303" s="2180" t="str">
        <f>CONCATENATE("FORNECIMENTO E INSTALAÇÃO DE ",C306)</f>
        <v>FORNECIMENTO E INSTALAÇÃO DE CENTRAL TELEFONICA PABX, CAPACIDADE DE 2 LINHAS E 8 RAMAIS</v>
      </c>
      <c r="D303" s="2181"/>
      <c r="E303" s="2181"/>
      <c r="F303" s="2181"/>
      <c r="G303" s="624" t="s">
        <v>22</v>
      </c>
      <c r="H303" s="615">
        <f>G310</f>
        <v>1726.7</v>
      </c>
    </row>
    <row r="304" spans="1:8" ht="31.5">
      <c r="B304" s="1093" t="s">
        <v>197</v>
      </c>
      <c r="C304" s="1094" t="s">
        <v>161</v>
      </c>
      <c r="D304" s="1194" t="s">
        <v>22</v>
      </c>
      <c r="E304" s="1094" t="s">
        <v>162</v>
      </c>
      <c r="F304" s="1095" t="s">
        <v>163</v>
      </c>
      <c r="G304" s="1096" t="s">
        <v>164</v>
      </c>
    </row>
    <row r="305" spans="1:8" ht="15.75">
      <c r="B305" s="2389" t="s">
        <v>165</v>
      </c>
      <c r="C305" s="2390"/>
      <c r="D305" s="2390"/>
      <c r="E305" s="2390"/>
      <c r="F305" s="2390"/>
      <c r="G305" s="2391"/>
    </row>
    <row r="306" spans="1:8" ht="30.75" thickBot="1">
      <c r="B306" s="1471" t="s">
        <v>181</v>
      </c>
      <c r="C306" s="1472" t="str">
        <f>C312</f>
        <v>CENTRAL TELEFONICA PABX, CAPACIDADE DE 2 LINHAS E 8 RAMAIS</v>
      </c>
      <c r="D306" s="1473" t="str">
        <f>G312</f>
        <v>UN</v>
      </c>
      <c r="E306" s="1209">
        <v>1</v>
      </c>
      <c r="F306" s="1209">
        <f>D317</f>
        <v>1656.2</v>
      </c>
      <c r="G306" s="1170">
        <f>TRUNC(F306*E306,2)</f>
        <v>1656.2</v>
      </c>
    </row>
    <row r="307" spans="1:8" ht="15.75">
      <c r="B307" s="2389" t="s">
        <v>166</v>
      </c>
      <c r="C307" s="2390"/>
      <c r="D307" s="2390"/>
      <c r="E307" s="2390"/>
      <c r="F307" s="2390"/>
      <c r="G307" s="2391"/>
    </row>
    <row r="308" spans="1:8" ht="15.75">
      <c r="A308" s="333" t="s">
        <v>391</v>
      </c>
      <c r="B308" s="1200">
        <v>88264</v>
      </c>
      <c r="C308" s="1098" t="str">
        <f>IF($A308="INSUMO",VLOOKUP($B308,'BANCO DE DADOS JANEIRO-24 INS'!$A:$D,2,FALSE),VLOOKUP($B308,'BANCO DE DADOS JANEIRO-24 SERV'!$B:$E,2,FALSE))</f>
        <v>ELETRICISTA COM ENCARGOS COMPLEMENTARES</v>
      </c>
      <c r="D308" s="1099" t="str">
        <f>IF($A308="INSUMO",VLOOKUP($B308,'BANCO DE DADOS JANEIRO-24 INS'!$A:$D,3,FALSE),VLOOKUP($B308,'BANCO DE DADOS JANEIRO-24 SERV'!$B:$E,3,FALSE))</f>
        <v>H</v>
      </c>
      <c r="E308" s="1210">
        <v>1.5</v>
      </c>
      <c r="F308" s="1146">
        <f>IF($A308="INSUMO",VLOOKUP($B308,'BANCO DE DADOS JANEIRO-24 INS'!$A:$D,4,FALSE),VLOOKUP($B308,'BANCO DE DADOS JANEIRO-24 SERV'!$B:$E,4,FALSE))</f>
        <v>26.68</v>
      </c>
      <c r="G308" s="1199">
        <f>TRUNC(F308*E308,2)</f>
        <v>40.020000000000003</v>
      </c>
    </row>
    <row r="309" spans="1:8" ht="16.5" customHeight="1" thickBot="1">
      <c r="B309" s="895">
        <v>88316</v>
      </c>
      <c r="C309" s="731" t="str">
        <f>IF($A309="INSUMO",VLOOKUP($B309,'BANCO DE DADOS JANEIRO-24 INS'!$A:$D,2,FALSE),VLOOKUP($B309,'BANCO DE DADOS JANEIRO-24 SERV'!$B:$E,2,FALSE))</f>
        <v>SERVENTE COM ENCARGOS COMPLEMENTARES</v>
      </c>
      <c r="D309" s="729" t="str">
        <f>IF($A309="INSUMO",VLOOKUP($B309,'BANCO DE DADOS JANEIRO-24 INS'!$A:$D,3,FALSE),VLOOKUP($B309,'BANCO DE DADOS JANEIRO-24 SERV'!$B:$E,3,FALSE))</f>
        <v>H</v>
      </c>
      <c r="E309" s="850">
        <v>1.5</v>
      </c>
      <c r="F309" s="757">
        <f>IF($A309="INSUMO",VLOOKUP($B309,'BANCO DE DADOS JANEIRO-24 INS'!$A:$D,4,FALSE),VLOOKUP($B309,'BANCO DE DADOS JANEIRO-24 SERV'!$B:$E,4,FALSE))</f>
        <v>20.32</v>
      </c>
      <c r="G309" s="1355">
        <f>TRUNC(F309*E309,2)</f>
        <v>30.48</v>
      </c>
    </row>
    <row r="310" spans="1:8" ht="25.5" customHeight="1" thickBot="1">
      <c r="B310" s="2414" t="s">
        <v>7299</v>
      </c>
      <c r="C310" s="2404"/>
      <c r="D310" s="2404"/>
      <c r="E310" s="2422"/>
      <c r="F310" s="325" t="s">
        <v>167</v>
      </c>
      <c r="G310" s="326">
        <f>SUM(G305:G309)</f>
        <v>1726.7</v>
      </c>
    </row>
    <row r="311" spans="1:8" ht="15.75" thickBot="1">
      <c r="B311" s="682"/>
      <c r="G311" s="668"/>
    </row>
    <row r="312" spans="1:8" ht="15.75">
      <c r="A312" s="271"/>
      <c r="B312" s="1669" t="s">
        <v>181</v>
      </c>
      <c r="C312" s="2164" t="s">
        <v>548</v>
      </c>
      <c r="D312" s="2165"/>
      <c r="E312" s="2165"/>
      <c r="F312" s="2166"/>
      <c r="G312" s="1676" t="s">
        <v>22</v>
      </c>
      <c r="H312" s="271"/>
    </row>
    <row r="313" spans="1:8" ht="31.5">
      <c r="B313" s="1107" t="s">
        <v>174</v>
      </c>
      <c r="C313" s="1108" t="s">
        <v>175</v>
      </c>
      <c r="D313" s="1109" t="s">
        <v>176</v>
      </c>
      <c r="E313" s="1110" t="s">
        <v>177</v>
      </c>
      <c r="F313" s="1111" t="s">
        <v>178</v>
      </c>
      <c r="G313" s="1112" t="s">
        <v>179</v>
      </c>
    </row>
    <row r="314" spans="1:8" ht="15.75">
      <c r="A314" s="333" t="s">
        <v>390</v>
      </c>
      <c r="B314" s="1137">
        <v>45219</v>
      </c>
      <c r="C314" s="1114" t="s">
        <v>13346</v>
      </c>
      <c r="D314" s="1115">
        <v>1656.2</v>
      </c>
      <c r="E314" s="1185" t="s">
        <v>13347</v>
      </c>
      <c r="F314" s="1139" t="s">
        <v>411</v>
      </c>
      <c r="G314" s="968" t="s">
        <v>409</v>
      </c>
    </row>
    <row r="315" spans="1:8">
      <c r="B315" s="1137">
        <v>45104</v>
      </c>
      <c r="C315" s="1114" t="s">
        <v>5209</v>
      </c>
      <c r="D315" s="1115">
        <v>1656.21</v>
      </c>
      <c r="E315" s="1185" t="s">
        <v>5210</v>
      </c>
      <c r="F315" s="1139" t="s">
        <v>5878</v>
      </c>
      <c r="G315" s="968" t="s">
        <v>7279</v>
      </c>
    </row>
    <row r="316" spans="1:8" ht="15.75">
      <c r="A316" s="333" t="s">
        <v>391</v>
      </c>
      <c r="B316" s="1113">
        <v>45218</v>
      </c>
      <c r="C316" s="1114" t="s">
        <v>2184</v>
      </c>
      <c r="D316" s="1333">
        <v>1490.58</v>
      </c>
      <c r="E316" s="1339" t="s">
        <v>13345</v>
      </c>
      <c r="F316" s="1298" t="s">
        <v>2002</v>
      </c>
      <c r="G316" s="1340" t="s">
        <v>2838</v>
      </c>
    </row>
    <row r="317" spans="1:8" ht="16.5" thickBot="1">
      <c r="A317" s="271"/>
      <c r="B317" s="1672"/>
      <c r="C317" s="1668" t="s">
        <v>180</v>
      </c>
      <c r="D317" s="1673">
        <f>IF(COUNT(D313:D316)=3,MEDIAN(D313:D316),SMALL(D314:D316,1))</f>
        <v>1656.2</v>
      </c>
      <c r="E317" s="1674"/>
      <c r="F317" s="1675"/>
      <c r="G317" s="1671"/>
      <c r="H317" s="610"/>
    </row>
    <row r="318" spans="1:8" ht="15.75" thickBot="1"/>
    <row r="319" spans="1:8" ht="15.75">
      <c r="B319" s="623" t="str">
        <f>IF(COUNT($H$17:H319)&lt;10,CONCATENATE("CPU LOG 00",COUNT($H$17:H319)),CONCATENATE("CPU LOG 0",COUNT($H$17:H319)))</f>
        <v>CPU LOG 025</v>
      </c>
      <c r="C319" s="2180" t="str">
        <f>CONCATENATE("FORNECIMENTO E INSTALAÇÃO DE ",C322)</f>
        <v>FORNECIMENTO E INSTALAÇÃO DE GUIA DE CABOS HORIZONTAIS FECHADOS</v>
      </c>
      <c r="D319" s="2181"/>
      <c r="E319" s="2181"/>
      <c r="F319" s="2181"/>
      <c r="G319" s="624" t="s">
        <v>22</v>
      </c>
      <c r="H319" s="615">
        <f>G325</f>
        <v>35.76</v>
      </c>
    </row>
    <row r="320" spans="1:8" ht="31.5">
      <c r="B320" s="750" t="s">
        <v>197</v>
      </c>
      <c r="C320" s="751" t="s">
        <v>161</v>
      </c>
      <c r="D320" s="826" t="s">
        <v>22</v>
      </c>
      <c r="E320" s="751" t="s">
        <v>162</v>
      </c>
      <c r="F320" s="752" t="s">
        <v>163</v>
      </c>
      <c r="G320" s="753" t="s">
        <v>164</v>
      </c>
    </row>
    <row r="321" spans="1:8" ht="15.75">
      <c r="B321" s="2408" t="s">
        <v>165</v>
      </c>
      <c r="C321" s="2409"/>
      <c r="D321" s="2409"/>
      <c r="E321" s="2409"/>
      <c r="F321" s="2409"/>
      <c r="G321" s="2410"/>
    </row>
    <row r="322" spans="1:8">
      <c r="B322" s="856" t="s">
        <v>181</v>
      </c>
      <c r="C322" s="852" t="str">
        <f>C327</f>
        <v>GUIA DE CABOS HORIZONTAIS FECHADOS</v>
      </c>
      <c r="D322" s="859" t="str">
        <f>G327</f>
        <v>UN</v>
      </c>
      <c r="E322" s="846">
        <v>1</v>
      </c>
      <c r="F322" s="846">
        <f>D332</f>
        <v>30.43</v>
      </c>
      <c r="G322" s="848">
        <f>TRUNC(F322*E322,2)</f>
        <v>30.43</v>
      </c>
    </row>
    <row r="323" spans="1:8" ht="15.75">
      <c r="B323" s="2408" t="s">
        <v>166</v>
      </c>
      <c r="C323" s="2409"/>
      <c r="D323" s="2409"/>
      <c r="E323" s="2409"/>
      <c r="F323" s="2409"/>
      <c r="G323" s="2410"/>
    </row>
    <row r="324" spans="1:8" ht="16.5" thickBot="1">
      <c r="A324" s="333" t="s">
        <v>391</v>
      </c>
      <c r="B324" s="625">
        <v>88264</v>
      </c>
      <c r="C324" s="731" t="str">
        <f>IF($A324="INSUMO",VLOOKUP($B324,'BANCO DE DADOS JANEIRO-24 INS'!$A:$D,2,FALSE),VLOOKUP($B324,'BANCO DE DADOS JANEIRO-24 SERV'!$B:$E,2,FALSE))</f>
        <v>ELETRICISTA COM ENCARGOS COMPLEMENTARES</v>
      </c>
      <c r="D324" s="729" t="str">
        <f>IF($A324="INSUMO",VLOOKUP($B324,'BANCO DE DADOS JANEIRO-24 INS'!$A:$D,3,FALSE),VLOOKUP($B324,'BANCO DE DADOS JANEIRO-24 SERV'!$B:$E,3,FALSE))</f>
        <v>H</v>
      </c>
      <c r="E324" s="850">
        <v>0.2</v>
      </c>
      <c r="F324" s="757">
        <f>IF($A324="INSUMO",VLOOKUP($B324,'BANCO DE DADOS JANEIRO-24 INS'!$A:$D,4,FALSE),VLOOKUP($B324,'BANCO DE DADOS JANEIRO-24 SERV'!$B:$E,4,FALSE))</f>
        <v>26.68</v>
      </c>
      <c r="G324" s="626">
        <f>TRUNC(F324*E324,2)</f>
        <v>5.33</v>
      </c>
    </row>
    <row r="325" spans="1:8" ht="16.5" thickBot="1">
      <c r="B325" s="2414" t="s">
        <v>7300</v>
      </c>
      <c r="C325" s="2404"/>
      <c r="D325" s="2404"/>
      <c r="E325" s="2422"/>
      <c r="F325" s="325" t="s">
        <v>167</v>
      </c>
      <c r="G325" s="326">
        <f>SUM(G321:G324)</f>
        <v>35.76</v>
      </c>
    </row>
    <row r="326" spans="1:8" ht="15.75" thickBot="1">
      <c r="B326" s="682"/>
      <c r="G326" s="668"/>
    </row>
    <row r="327" spans="1:8" ht="15.75">
      <c r="A327" s="333" t="s">
        <v>390</v>
      </c>
      <c r="B327" s="1669" t="s">
        <v>181</v>
      </c>
      <c r="C327" s="2164" t="s">
        <v>549</v>
      </c>
      <c r="D327" s="2165"/>
      <c r="E327" s="2165"/>
      <c r="F327" s="2166"/>
      <c r="G327" s="1676" t="s">
        <v>22</v>
      </c>
    </row>
    <row r="328" spans="1:8" ht="31.5">
      <c r="B328" s="1107" t="s">
        <v>174</v>
      </c>
      <c r="C328" s="1108" t="s">
        <v>175</v>
      </c>
      <c r="D328" s="1109" t="s">
        <v>176</v>
      </c>
      <c r="E328" s="1110" t="s">
        <v>177</v>
      </c>
      <c r="F328" s="1111" t="s">
        <v>178</v>
      </c>
      <c r="G328" s="1112" t="s">
        <v>179</v>
      </c>
    </row>
    <row r="329" spans="1:8" ht="15.75">
      <c r="A329" s="333" t="s">
        <v>390</v>
      </c>
      <c r="B329" s="1113">
        <v>45218</v>
      </c>
      <c r="C329" s="1114" t="s">
        <v>2184</v>
      </c>
      <c r="D329" s="1115">
        <v>37.81</v>
      </c>
      <c r="E329" s="1192" t="s">
        <v>13345</v>
      </c>
      <c r="F329" s="1296" t="s">
        <v>2002</v>
      </c>
      <c r="G329" s="1117" t="s">
        <v>2838</v>
      </c>
    </row>
    <row r="330" spans="1:8">
      <c r="B330" s="1113">
        <v>45168</v>
      </c>
      <c r="C330" s="1114" t="s">
        <v>5207</v>
      </c>
      <c r="D330" s="1115">
        <v>22.78</v>
      </c>
      <c r="E330" s="1185" t="s">
        <v>525</v>
      </c>
      <c r="F330" s="1139" t="s">
        <v>5208</v>
      </c>
      <c r="G330" s="1117" t="s">
        <v>13350</v>
      </c>
    </row>
    <row r="331" spans="1:8" ht="15.75">
      <c r="A331" s="333" t="s">
        <v>391</v>
      </c>
      <c r="B331" s="1113">
        <v>45219</v>
      </c>
      <c r="C331" s="1114" t="s">
        <v>13346</v>
      </c>
      <c r="D331" s="1115">
        <v>30.43</v>
      </c>
      <c r="E331" s="1185" t="s">
        <v>13347</v>
      </c>
      <c r="F331" s="1139" t="s">
        <v>411</v>
      </c>
      <c r="G331" s="1117" t="s">
        <v>409</v>
      </c>
    </row>
    <row r="332" spans="1:8" ht="16.5" thickBot="1">
      <c r="A332" s="271"/>
      <c r="B332" s="1672"/>
      <c r="C332" s="1668" t="s">
        <v>180</v>
      </c>
      <c r="D332" s="1737">
        <f>IF(COUNT(D328:D331)=3,MEDIAN(D328:D331),SMALL(D329:D331,1))</f>
        <v>30.43</v>
      </c>
      <c r="E332" s="1674"/>
      <c r="F332" s="1675"/>
      <c r="G332" s="1671"/>
      <c r="H332" s="610"/>
    </row>
    <row r="333" spans="1:8" ht="16.5" thickBot="1">
      <c r="A333" s="271"/>
      <c r="H333" s="610"/>
    </row>
    <row r="334" spans="1:8" ht="15.75">
      <c r="B334" s="623" t="str">
        <f>IF(COUNT($H$17:H334)&lt;10,CONCATENATE("CPU LOG 00",COUNT($H$17:H334)),CONCATENATE("CPU LOG 0",COUNT($H$17:H334)))</f>
        <v>CPU LOG 026</v>
      </c>
      <c r="C334" s="2180" t="str">
        <f>CONCATENATE("FORNECIMENTO E INSTALAÇÃO DE ",C337)</f>
        <v>FORNECIMENTO E INSTALAÇÃO DE RÉGUA DE TOMADAS PARA RACK - 8 TOMADAS 2P+T 10A - 1U</v>
      </c>
      <c r="D334" s="2181"/>
      <c r="E334" s="2181"/>
      <c r="F334" s="2181"/>
      <c r="G334" s="624" t="s">
        <v>22</v>
      </c>
      <c r="H334" s="615">
        <f>G341</f>
        <v>128.66</v>
      </c>
    </row>
    <row r="335" spans="1:8" ht="31.5">
      <c r="B335" s="750" t="s">
        <v>197</v>
      </c>
      <c r="C335" s="751" t="s">
        <v>161</v>
      </c>
      <c r="D335" s="826" t="s">
        <v>22</v>
      </c>
      <c r="E335" s="751" t="s">
        <v>162</v>
      </c>
      <c r="F335" s="752" t="s">
        <v>163</v>
      </c>
      <c r="G335" s="753" t="s">
        <v>164</v>
      </c>
    </row>
    <row r="336" spans="1:8" ht="15.75">
      <c r="B336" s="2408" t="s">
        <v>165</v>
      </c>
      <c r="C336" s="2409"/>
      <c r="D336" s="2409"/>
      <c r="E336" s="2409"/>
      <c r="F336" s="2409"/>
      <c r="G336" s="2410"/>
    </row>
    <row r="337" spans="1:8">
      <c r="B337" s="856" t="s">
        <v>181</v>
      </c>
      <c r="C337" s="852" t="str">
        <f>C343</f>
        <v>RÉGUA DE TOMADAS PARA RACK - 8 TOMADAS 2P+T 10A - 1U</v>
      </c>
      <c r="D337" s="859" t="str">
        <f>G343</f>
        <v>UN</v>
      </c>
      <c r="E337" s="846">
        <v>1</v>
      </c>
      <c r="F337" s="846">
        <f>D348</f>
        <v>91</v>
      </c>
      <c r="G337" s="848">
        <f>TRUNC(F337*E337,2)</f>
        <v>91</v>
      </c>
    </row>
    <row r="338" spans="1:8" ht="15.75">
      <c r="B338" s="2408" t="s">
        <v>166</v>
      </c>
      <c r="C338" s="2409"/>
      <c r="D338" s="2409"/>
      <c r="E338" s="2409"/>
      <c r="F338" s="2409"/>
      <c r="G338" s="2410"/>
    </row>
    <row r="339" spans="1:8" ht="15.75">
      <c r="A339" s="333" t="s">
        <v>391</v>
      </c>
      <c r="B339" s="841">
        <v>88264</v>
      </c>
      <c r="C339" s="728" t="str">
        <f>IF($A339="INSUMO",VLOOKUP($B339,'BANCO DE DADOS JANEIRO-24 INS'!$A:$D,2,FALSE),VLOOKUP($B339,'BANCO DE DADOS JANEIRO-24 SERV'!$B:$E,2,FALSE))</f>
        <v>ELETRICISTA COM ENCARGOS COMPLEMENTARES</v>
      </c>
      <c r="D339" s="732" t="str">
        <f>IF($A339="INSUMO",VLOOKUP($B339,'BANCO DE DADOS JANEIRO-24 INS'!$A:$D,3,FALSE),VLOOKUP($B339,'BANCO DE DADOS JANEIRO-24 SERV'!$B:$E,3,FALSE))</f>
        <v>H</v>
      </c>
      <c r="E339" s="820">
        <v>1</v>
      </c>
      <c r="F339" s="755">
        <f>IF($A339="INSUMO",VLOOKUP($B339,'BANCO DE DADOS JANEIRO-24 INS'!$A:$D,4,FALSE),VLOOKUP($B339,'BANCO DE DADOS JANEIRO-24 SERV'!$B:$E,4,FALSE))</f>
        <v>26.68</v>
      </c>
      <c r="G339" s="840">
        <f>TRUNC(F339*E339,2)</f>
        <v>26.68</v>
      </c>
    </row>
    <row r="340" spans="1:8" ht="16.5" thickBot="1">
      <c r="A340" s="333" t="s">
        <v>391</v>
      </c>
      <c r="B340" s="625">
        <v>88247</v>
      </c>
      <c r="C340" s="731" t="str">
        <f>IF($A340="INSUMO",VLOOKUP($B340,'BANCO DE DADOS JANEIRO-24 INS'!$A:$D,2,FALSE),VLOOKUP($B340,'BANCO DE DADOS JANEIRO-24 SERV'!$B:$E,2,FALSE))</f>
        <v>AUXILIAR DE ELETRICISTA COM ENCARGOS COMPLEMENTARES</v>
      </c>
      <c r="D340" s="729" t="str">
        <f>IF($A340="INSUMO",VLOOKUP($B340,'BANCO DE DADOS JANEIRO-24 INS'!$A:$D,3,FALSE),VLOOKUP($B340,'BANCO DE DADOS JANEIRO-24 SERV'!$B:$E,3,FALSE))</f>
        <v>H</v>
      </c>
      <c r="E340" s="850">
        <v>0.5</v>
      </c>
      <c r="F340" s="757">
        <f>IF($A340="INSUMO",VLOOKUP($B340,'BANCO DE DADOS JANEIRO-24 INS'!$A:$D,4,FALSE),VLOOKUP($B340,'BANCO DE DADOS JANEIRO-24 SERV'!$B:$E,4,FALSE))</f>
        <v>21.96</v>
      </c>
      <c r="G340" s="626">
        <f>TRUNC(F340*E340,2)</f>
        <v>10.98</v>
      </c>
    </row>
    <row r="341" spans="1:8" ht="16.5" thickBot="1">
      <c r="B341" s="2414" t="s">
        <v>3835</v>
      </c>
      <c r="C341" s="2404"/>
      <c r="D341" s="2404"/>
      <c r="E341" s="2422"/>
      <c r="F341" s="325" t="s">
        <v>167</v>
      </c>
      <c r="G341" s="326">
        <f>SUM(G336:G340)</f>
        <v>128.66</v>
      </c>
    </row>
    <row r="342" spans="1:8" ht="15.75" thickBot="1">
      <c r="B342" s="682"/>
      <c r="G342" s="668"/>
    </row>
    <row r="343" spans="1:8" ht="15.75">
      <c r="A343" s="271"/>
      <c r="B343" s="1669" t="s">
        <v>181</v>
      </c>
      <c r="C343" s="2164" t="s">
        <v>13352</v>
      </c>
      <c r="D343" s="2165"/>
      <c r="E343" s="2165"/>
      <c r="F343" s="2166"/>
      <c r="G343" s="1676" t="s">
        <v>22</v>
      </c>
      <c r="H343" s="271"/>
    </row>
    <row r="344" spans="1:8" ht="31.5">
      <c r="A344" s="271"/>
      <c r="B344" s="810" t="s">
        <v>174</v>
      </c>
      <c r="C344" s="811" t="s">
        <v>175</v>
      </c>
      <c r="D344" s="812" t="s">
        <v>176</v>
      </c>
      <c r="E344" s="813" t="s">
        <v>177</v>
      </c>
      <c r="F344" s="837" t="s">
        <v>178</v>
      </c>
      <c r="G344" s="815" t="s">
        <v>179</v>
      </c>
      <c r="H344" s="271"/>
    </row>
    <row r="345" spans="1:8" ht="15.75">
      <c r="A345" s="271"/>
      <c r="B345" s="1113">
        <v>45219</v>
      </c>
      <c r="C345" s="1114" t="s">
        <v>13346</v>
      </c>
      <c r="D345" s="1115">
        <v>91</v>
      </c>
      <c r="E345" s="1185" t="s">
        <v>13347</v>
      </c>
      <c r="F345" s="1139" t="s">
        <v>411</v>
      </c>
      <c r="G345" s="1117" t="s">
        <v>409</v>
      </c>
      <c r="H345" s="610"/>
    </row>
    <row r="346" spans="1:8" ht="15.75">
      <c r="A346" s="271"/>
      <c r="B346" s="1113">
        <v>45113</v>
      </c>
      <c r="C346" s="1114" t="s">
        <v>13353</v>
      </c>
      <c r="D346" s="1115">
        <v>110.3</v>
      </c>
      <c r="E346" s="1297" t="s">
        <v>13354</v>
      </c>
      <c r="F346" s="1139" t="s">
        <v>13355</v>
      </c>
      <c r="G346" s="1117" t="s">
        <v>13356</v>
      </c>
      <c r="H346" s="610"/>
    </row>
    <row r="347" spans="1:8" ht="15.75">
      <c r="A347" s="271"/>
      <c r="B347" s="1174">
        <v>45218</v>
      </c>
      <c r="C347" s="1114" t="s">
        <v>2184</v>
      </c>
      <c r="D347" s="1115">
        <v>81.900000000000006</v>
      </c>
      <c r="E347" s="1192" t="s">
        <v>13345</v>
      </c>
      <c r="F347" s="1139" t="s">
        <v>2002</v>
      </c>
      <c r="G347" s="1117" t="s">
        <v>2838</v>
      </c>
      <c r="H347" s="610"/>
    </row>
    <row r="348" spans="1:8" ht="16.5" thickBot="1">
      <c r="A348" s="271"/>
      <c r="B348" s="1738"/>
      <c r="C348" s="1739" t="s">
        <v>180</v>
      </c>
      <c r="D348" s="1737">
        <f>IF(COUNT(D344:D347)=3,MEDIAN(D344:D347),SMALL(D345:D347,1))</f>
        <v>91</v>
      </c>
      <c r="E348" s="1740"/>
      <c r="F348" s="1741"/>
      <c r="G348" s="1742"/>
      <c r="H348" s="271"/>
    </row>
    <row r="349" spans="1:8" ht="15.75" thickBot="1"/>
    <row r="350" spans="1:8" ht="36" customHeight="1">
      <c r="B350" s="623" t="str">
        <f>IF(COUNT($H$17:H350)&lt;10,CONCATENATE("CPU LOG 00",COUNT($H$17:H350)),CONCATENATE("CPU LOG 0",COUNT($H$17:H350)))</f>
        <v>CPU LOG 027</v>
      </c>
      <c r="C350" s="2180" t="str">
        <f>CONCATENATE("FORNECIMENTO E INSTALAÇÃO DE ",C353)</f>
        <v>FORNECIMENTO E INSTALAÇÃO DE TOMADA RJ45 DUPLA COM CAIXA DE PASSAGEM 4x2" PARA EMBUTIR NO PISO, COM ESPELHO CROMADO</v>
      </c>
      <c r="D350" s="2181"/>
      <c r="E350" s="2181"/>
      <c r="F350" s="2181"/>
      <c r="G350" s="624" t="s">
        <v>22</v>
      </c>
      <c r="H350" s="615">
        <f>G357</f>
        <v>65.22</v>
      </c>
    </row>
    <row r="351" spans="1:8" ht="31.5">
      <c r="B351" s="750" t="s">
        <v>197</v>
      </c>
      <c r="C351" s="751" t="s">
        <v>161</v>
      </c>
      <c r="D351" s="826" t="s">
        <v>22</v>
      </c>
      <c r="E351" s="751" t="s">
        <v>162</v>
      </c>
      <c r="F351" s="752" t="s">
        <v>163</v>
      </c>
      <c r="G351" s="753" t="s">
        <v>164</v>
      </c>
    </row>
    <row r="352" spans="1:8" ht="15.75">
      <c r="B352" s="2408" t="s">
        <v>165</v>
      </c>
      <c r="C352" s="2409"/>
      <c r="D352" s="2409"/>
      <c r="E352" s="2409"/>
      <c r="F352" s="2409"/>
      <c r="G352" s="2410"/>
    </row>
    <row r="353" spans="1:8" ht="30">
      <c r="B353" s="856" t="s">
        <v>181</v>
      </c>
      <c r="C353" s="852" t="str">
        <f>C359</f>
        <v>TOMADA RJ45 DUPLA COM CAIXA DE PASSAGEM 4x2" PARA EMBUTIR NO PISO, COM ESPELHO CROMADO</v>
      </c>
      <c r="D353" s="859" t="str">
        <f>G359</f>
        <v>UN</v>
      </c>
      <c r="E353" s="846">
        <v>1</v>
      </c>
      <c r="F353" s="846">
        <f>D364</f>
        <v>32.33</v>
      </c>
      <c r="G353" s="848">
        <f>TRUNC(F353*E353,2)</f>
        <v>32.33</v>
      </c>
    </row>
    <row r="354" spans="1:8" ht="15.75">
      <c r="B354" s="2408" t="s">
        <v>166</v>
      </c>
      <c r="C354" s="2409"/>
      <c r="D354" s="2409"/>
      <c r="E354" s="2409"/>
      <c r="F354" s="2409"/>
      <c r="G354" s="2410"/>
    </row>
    <row r="355" spans="1:8" ht="15.75">
      <c r="A355" s="333" t="s">
        <v>391</v>
      </c>
      <c r="B355" s="841">
        <v>88264</v>
      </c>
      <c r="C355" s="728" t="str">
        <f>IF($A355="INSUMO",VLOOKUP($B355,'BANCO DE DADOS JANEIRO-24 INS'!$A:$D,2,FALSE),VLOOKUP($B355,'BANCO DE DADOS JANEIRO-24 SERV'!$B:$E,2,FALSE))</f>
        <v>ELETRICISTA COM ENCARGOS COMPLEMENTARES</v>
      </c>
      <c r="D355" s="732" t="str">
        <f>IF($A355="INSUMO",VLOOKUP($B355,'BANCO DE DADOS JANEIRO-24 INS'!$A:$D,3,FALSE),VLOOKUP($B355,'BANCO DE DADOS JANEIRO-24 SERV'!$B:$E,3,FALSE))</f>
        <v>H</v>
      </c>
      <c r="E355" s="820">
        <v>0.7</v>
      </c>
      <c r="F355" s="755">
        <f>IF($A355="INSUMO",VLOOKUP($B355,'BANCO DE DADOS JANEIRO-24 INS'!$A:$D,4,FALSE),VLOOKUP($B355,'BANCO DE DADOS JANEIRO-24 SERV'!$B:$E,4,FALSE))</f>
        <v>26.68</v>
      </c>
      <c r="G355" s="840">
        <f>TRUNC(F355*E355,2)</f>
        <v>18.670000000000002</v>
      </c>
    </row>
    <row r="356" spans="1:8" ht="16.5" thickBot="1">
      <c r="A356" s="333" t="s">
        <v>391</v>
      </c>
      <c r="B356" s="625">
        <v>88316</v>
      </c>
      <c r="C356" s="731" t="str">
        <f>IF($A356="INSUMO",VLOOKUP($B356,'BANCO DE DADOS JANEIRO-24 INS'!$A:$D,2,FALSE),VLOOKUP($B356,'BANCO DE DADOS JANEIRO-24 SERV'!$B:$E,2,FALSE))</f>
        <v>SERVENTE COM ENCARGOS COMPLEMENTARES</v>
      </c>
      <c r="D356" s="729" t="str">
        <f>IF($A356="INSUMO",VLOOKUP($B356,'BANCO DE DADOS JANEIRO-24 INS'!$A:$D,3,FALSE),VLOOKUP($B356,'BANCO DE DADOS JANEIRO-24 SERV'!$B:$E,3,FALSE))</f>
        <v>H</v>
      </c>
      <c r="E356" s="850">
        <v>0.7</v>
      </c>
      <c r="F356" s="757">
        <f>IF($A356="INSUMO",VLOOKUP($B356,'BANCO DE DADOS JANEIRO-24 INS'!$A:$D,4,FALSE),VLOOKUP($B356,'BANCO DE DADOS JANEIRO-24 SERV'!$B:$E,4,FALSE))</f>
        <v>20.32</v>
      </c>
      <c r="G356" s="626">
        <f>TRUNC(F356*E356,2)</f>
        <v>14.22</v>
      </c>
    </row>
    <row r="357" spans="1:8" ht="16.5" customHeight="1" thickBot="1">
      <c r="B357" s="2414" t="s">
        <v>7301</v>
      </c>
      <c r="C357" s="2404"/>
      <c r="D357" s="2404"/>
      <c r="E357" s="2404"/>
      <c r="F357" s="325" t="s">
        <v>167</v>
      </c>
      <c r="G357" s="326">
        <f>SUM(G352:G356)</f>
        <v>65.22</v>
      </c>
    </row>
    <row r="358" spans="1:8" ht="15.75" thickBot="1">
      <c r="B358" s="2414"/>
      <c r="C358" s="2404"/>
      <c r="D358" s="2404"/>
      <c r="E358" s="2404"/>
      <c r="G358" s="668"/>
    </row>
    <row r="359" spans="1:8" ht="15.75">
      <c r="A359" s="271"/>
      <c r="B359" s="1669" t="s">
        <v>181</v>
      </c>
      <c r="C359" s="2164" t="s">
        <v>551</v>
      </c>
      <c r="D359" s="2165"/>
      <c r="E359" s="2165"/>
      <c r="F359" s="2166"/>
      <c r="G359" s="1676" t="s">
        <v>22</v>
      </c>
      <c r="H359" s="271"/>
    </row>
    <row r="360" spans="1:8" ht="31.5">
      <c r="A360" s="271"/>
      <c r="B360" s="810" t="s">
        <v>174</v>
      </c>
      <c r="C360" s="811" t="s">
        <v>175</v>
      </c>
      <c r="D360" s="812" t="s">
        <v>176</v>
      </c>
      <c r="E360" s="813" t="s">
        <v>177</v>
      </c>
      <c r="F360" s="837" t="s">
        <v>178</v>
      </c>
      <c r="G360" s="815" t="s">
        <v>179</v>
      </c>
      <c r="H360" s="271"/>
    </row>
    <row r="361" spans="1:8">
      <c r="A361" s="271"/>
      <c r="B361" s="1113">
        <v>45210</v>
      </c>
      <c r="C361" s="1114" t="s">
        <v>5204</v>
      </c>
      <c r="D361" s="1115">
        <v>32.33</v>
      </c>
      <c r="E361" s="1138" t="s">
        <v>5205</v>
      </c>
      <c r="F361" s="1139" t="s">
        <v>5206</v>
      </c>
      <c r="G361" s="1117" t="s">
        <v>7270</v>
      </c>
      <c r="H361" s="271"/>
    </row>
    <row r="362" spans="1:8">
      <c r="A362" s="271"/>
      <c r="B362" s="1113">
        <v>45215</v>
      </c>
      <c r="C362" s="1114" t="s">
        <v>5877</v>
      </c>
      <c r="D362" s="1115">
        <v>30</v>
      </c>
      <c r="E362" s="1138" t="s">
        <v>1982</v>
      </c>
      <c r="F362" s="1139" t="s">
        <v>195</v>
      </c>
      <c r="G362" s="1117" t="s">
        <v>516</v>
      </c>
      <c r="H362" s="271"/>
    </row>
    <row r="363" spans="1:8">
      <c r="A363" s="271"/>
      <c r="B363" s="1299">
        <v>45210</v>
      </c>
      <c r="C363" s="1114" t="s">
        <v>513</v>
      </c>
      <c r="D363" s="1330">
        <v>46.49</v>
      </c>
      <c r="E363" s="1185" t="s">
        <v>514</v>
      </c>
      <c r="F363" s="1139" t="s">
        <v>515</v>
      </c>
      <c r="G363" s="968" t="s">
        <v>5882</v>
      </c>
      <c r="H363" s="271"/>
    </row>
    <row r="364" spans="1:8" ht="16.5" thickBot="1">
      <c r="A364" s="271"/>
      <c r="B364" s="1738"/>
      <c r="C364" s="1739" t="s">
        <v>180</v>
      </c>
      <c r="D364" s="1737">
        <f>IF(COUNT(D360:D363)=3,MEDIAN(D360:D363),SMALL(D361:D363,1))</f>
        <v>32.33</v>
      </c>
      <c r="E364" s="1740"/>
      <c r="F364" s="1741"/>
      <c r="G364" s="1742"/>
      <c r="H364" s="271"/>
    </row>
    <row r="365" spans="1:8" ht="15.75" thickBot="1"/>
    <row r="366" spans="1:8" ht="21" customHeight="1">
      <c r="B366" s="623" t="str">
        <f>IF(COUNT($H$17:H366)&lt;10,CONCATENATE("CPU LOG 00",COUNT($H$17:H366)),CONCATENATE("CPU LOG 0",COUNT($H$17:H366)))</f>
        <v>CPU LOG 028</v>
      </c>
      <c r="C366" s="2180" t="str">
        <f>CONCATENATE("FORNECIMENTO E INSTALAÇÃO DE ",C369)</f>
        <v xml:space="preserve">FORNECIMENTO E INSTALAÇÃO DE CONECTOR MACHO RJ 45, CATEGORIA 6 (CAT 6) PARA CABOS                                                                                                                                                                                                                                                                                                                                                                                                                                                      </v>
      </c>
      <c r="D366" s="2181"/>
      <c r="E366" s="2181"/>
      <c r="F366" s="2181"/>
      <c r="G366" s="624" t="s">
        <v>22</v>
      </c>
      <c r="H366" s="615">
        <f>G373</f>
        <v>7.98</v>
      </c>
    </row>
    <row r="367" spans="1:8" ht="31.5">
      <c r="B367" s="1093" t="s">
        <v>197</v>
      </c>
      <c r="C367" s="1094" t="s">
        <v>161</v>
      </c>
      <c r="D367" s="1194" t="s">
        <v>22</v>
      </c>
      <c r="E367" s="1094" t="s">
        <v>162</v>
      </c>
      <c r="F367" s="1095" t="s">
        <v>163</v>
      </c>
      <c r="G367" s="1096" t="s">
        <v>164</v>
      </c>
    </row>
    <row r="368" spans="1:8" ht="15.75">
      <c r="B368" s="2389" t="s">
        <v>165</v>
      </c>
      <c r="C368" s="2390"/>
      <c r="D368" s="2390"/>
      <c r="E368" s="2390"/>
      <c r="F368" s="2390"/>
      <c r="G368" s="2391"/>
    </row>
    <row r="369" spans="1:8" ht="24" customHeight="1">
      <c r="A369" s="333" t="s">
        <v>390</v>
      </c>
      <c r="B369" s="1097">
        <v>39603</v>
      </c>
      <c r="C369" s="1222" t="str">
        <f>IF($A369="INSUMO",VLOOKUP($B369,'BANCO DE DADOS JANEIRO-24 INS'!$A:$D,2,FALSE),VLOOKUP($B369,'BANCO DE DADOS JANEIRO-24 SERV'!$B:$E,2,FALSE))</f>
        <v xml:space="preserve">CONECTOR MACHO RJ 45, CATEGORIA 6 (CAT 6) PARA CABOS                                                                                                                                                                                                                                                                                                                                                                                                                                                      </v>
      </c>
      <c r="D369" s="1215" t="str">
        <f>IF($A369="INSUMO",VLOOKUP($B369,'BANCO DE DADOS JANEIRO-24 INS'!$A:$D,3,FALSE),VLOOKUP($B369,'BANCO DE DADOS JANEIRO-24 SERV'!$B:$E,3,FALSE))</f>
        <v xml:space="preserve">UN    </v>
      </c>
      <c r="E369" s="1348">
        <v>1</v>
      </c>
      <c r="F369" s="1349">
        <f>IF($A369="INSUMO",VLOOKUP($B369,'BANCO DE DADOS JANEIRO-24 INS'!$A:$D,4,FALSE),VLOOKUP($B369,'BANCO DE DADOS JANEIRO-24 SERV'!$B:$E,4,FALSE))</f>
        <v>3.29</v>
      </c>
      <c r="G369" s="1117">
        <f>TRUNC(F369*E369,2)</f>
        <v>3.29</v>
      </c>
    </row>
    <row r="370" spans="1:8" ht="15.75">
      <c r="B370" s="2389" t="s">
        <v>166</v>
      </c>
      <c r="C370" s="2390"/>
      <c r="D370" s="2390"/>
      <c r="E370" s="2390"/>
      <c r="F370" s="2390"/>
      <c r="G370" s="2391"/>
    </row>
    <row r="371" spans="1:8" ht="15.75">
      <c r="A371" s="333" t="s">
        <v>391</v>
      </c>
      <c r="B371" s="1200">
        <v>88264</v>
      </c>
      <c r="C371" s="1098" t="str">
        <f>IF($A371="INSUMO",VLOOKUP($B371,'BANCO DE DADOS JANEIRO-24 INS'!$A:$D,2,FALSE),VLOOKUP($B371,'BANCO DE DADOS JANEIRO-24 SERV'!$B:$E,2,FALSE))</f>
        <v>ELETRICISTA COM ENCARGOS COMPLEMENTARES</v>
      </c>
      <c r="D371" s="1099" t="str">
        <f>IF($A371="INSUMO",VLOOKUP($B371,'BANCO DE DADOS JANEIRO-24 INS'!$A:$D,3,FALSE),VLOOKUP($B371,'BANCO DE DADOS JANEIRO-24 SERV'!$B:$E,3,FALSE))</f>
        <v>H</v>
      </c>
      <c r="E371" s="1210">
        <v>0.1</v>
      </c>
      <c r="F371" s="1146">
        <f>IF($A371="INSUMO",VLOOKUP($B371,'BANCO DE DADOS JANEIRO-24 INS'!$A:$D,4,FALSE),VLOOKUP($B371,'BANCO DE DADOS JANEIRO-24 SERV'!$B:$E,4,FALSE))</f>
        <v>26.68</v>
      </c>
      <c r="G371" s="1199">
        <f>TRUNC(F371*E371,2)</f>
        <v>2.66</v>
      </c>
    </row>
    <row r="372" spans="1:8" ht="16.5" thickBot="1">
      <c r="A372" s="333" t="s">
        <v>391</v>
      </c>
      <c r="B372" s="1201">
        <v>88316</v>
      </c>
      <c r="C372" s="1103" t="str">
        <f>IF($A372="INSUMO",VLOOKUP($B372,'BANCO DE DADOS JANEIRO-24 INS'!$A:$D,2,FALSE),VLOOKUP($B372,'BANCO DE DADOS JANEIRO-24 SERV'!$B:$E,2,FALSE))</f>
        <v>SERVENTE COM ENCARGOS COMPLEMENTARES</v>
      </c>
      <c r="D372" s="1104" t="str">
        <f>IF($A372="INSUMO",VLOOKUP($B372,'BANCO DE DADOS JANEIRO-24 INS'!$A:$D,3,FALSE),VLOOKUP($B372,'BANCO DE DADOS JANEIRO-24 SERV'!$B:$E,3,FALSE))</f>
        <v>H</v>
      </c>
      <c r="E372" s="1211">
        <v>0.1</v>
      </c>
      <c r="F372" s="1105">
        <f>IF($A372="INSUMO",VLOOKUP($B372,'BANCO DE DADOS JANEIRO-24 INS'!$A:$D,4,FALSE),VLOOKUP($B372,'BANCO DE DADOS JANEIRO-24 SERV'!$B:$E,4,FALSE))</f>
        <v>20.32</v>
      </c>
      <c r="G372" s="1202">
        <f>TRUNC(F372*E372,2)</f>
        <v>2.0299999999999998</v>
      </c>
    </row>
    <row r="373" spans="1:8" ht="16.5" thickBot="1">
      <c r="B373" s="2414" t="s">
        <v>3833</v>
      </c>
      <c r="C373" s="2404"/>
      <c r="D373" s="2404"/>
      <c r="E373" s="2422"/>
      <c r="F373" s="325" t="s">
        <v>167</v>
      </c>
      <c r="G373" s="326">
        <f>SUM(G368:G372)</f>
        <v>7.98</v>
      </c>
    </row>
    <row r="374" spans="1:8" ht="15.75" thickBot="1">
      <c r="B374" s="682"/>
      <c r="F374" s="308" t="s">
        <v>3834</v>
      </c>
      <c r="G374" s="668"/>
    </row>
    <row r="375" spans="1:8" ht="24" customHeight="1">
      <c r="B375" s="623" t="str">
        <f>IF(COUNT($H$17:H375)&lt;10,CONCATENATE("CPU LOG 00",COUNT($H$17:H375)),CONCATENATE("CPU LOG 0",COUNT($H$17:H375)))</f>
        <v>CPU LOG 029</v>
      </c>
      <c r="C375" s="2180" t="str">
        <f>CONCATENATE("FORNECIMENTO E INSTALAÇÃO DE ",C378)</f>
        <v xml:space="preserve">FORNECIMENTO E INSTALAÇÃO DE PERFILADO PERFURADO SIMPLES 38 X 38 MM, CHAPA 22                                                                                                                                                                                                                                                                                                                                                                                                                                                          </v>
      </c>
      <c r="D375" s="2181"/>
      <c r="E375" s="2181"/>
      <c r="F375" s="2181"/>
      <c r="G375" s="624" t="s">
        <v>22</v>
      </c>
      <c r="H375" s="615">
        <f>G382</f>
        <v>67.84</v>
      </c>
    </row>
    <row r="376" spans="1:8" ht="31.5">
      <c r="B376" s="750" t="s">
        <v>197</v>
      </c>
      <c r="C376" s="751" t="s">
        <v>161</v>
      </c>
      <c r="D376" s="826" t="s">
        <v>22</v>
      </c>
      <c r="E376" s="751" t="s">
        <v>162</v>
      </c>
      <c r="F376" s="752" t="s">
        <v>163</v>
      </c>
      <c r="G376" s="753" t="s">
        <v>164</v>
      </c>
    </row>
    <row r="377" spans="1:8" ht="15.75">
      <c r="B377" s="2408" t="s">
        <v>165</v>
      </c>
      <c r="C377" s="2409"/>
      <c r="D377" s="2409"/>
      <c r="E377" s="2409"/>
      <c r="F377" s="2409"/>
      <c r="G377" s="2410"/>
    </row>
    <row r="378" spans="1:8" ht="15.75">
      <c r="A378" s="333" t="s">
        <v>390</v>
      </c>
      <c r="B378" s="1097">
        <v>39028</v>
      </c>
      <c r="C378" s="1222" t="str">
        <f>IF($A378="INSUMO",VLOOKUP($B378,'BANCO DE DADOS JANEIRO-24 INS'!$A:$D,2,FALSE),VLOOKUP($B378,'BANCO DE DADOS JANEIRO-24 SERV'!$B:$E,2,FALSE))</f>
        <v xml:space="preserve">PERFILADO PERFURADO SIMPLES 38 X 38 MM, CHAPA 22                                                                                                                                                                                                                                                                                                                                                                                                                                                          </v>
      </c>
      <c r="D378" s="1215" t="str">
        <f>IF($A378="INSUMO",VLOOKUP($B378,'BANCO DE DADOS JANEIRO-24 INS'!$A:$D,3,FALSE),VLOOKUP($B378,'BANCO DE DADOS JANEIRO-24 SERV'!$B:$E,3,FALSE))</f>
        <v xml:space="preserve">M     </v>
      </c>
      <c r="E378" s="1348">
        <v>6</v>
      </c>
      <c r="F378" s="1349">
        <f>IF($A378="INSUMO",VLOOKUP($B378,'BANCO DE DADOS JANEIRO-24 INS'!$A:$D,4,FALSE),VLOOKUP($B378,'BANCO DE DADOS JANEIRO-24 SERV'!$B:$E,4,FALSE))</f>
        <v>7.39</v>
      </c>
      <c r="G378" s="1117">
        <f>TRUNC(F378*E378,2)</f>
        <v>44.34</v>
      </c>
    </row>
    <row r="379" spans="1:8" ht="15.75">
      <c r="B379" s="2408" t="s">
        <v>166</v>
      </c>
      <c r="C379" s="2409"/>
      <c r="D379" s="2409"/>
      <c r="E379" s="2409"/>
      <c r="F379" s="2409"/>
      <c r="G379" s="2410"/>
    </row>
    <row r="380" spans="1:8" ht="15.75">
      <c r="A380" s="333" t="s">
        <v>391</v>
      </c>
      <c r="B380" s="847">
        <v>88264</v>
      </c>
      <c r="C380" s="728" t="str">
        <f>IF($A380="INSUMO",VLOOKUP($B380,'BANCO DE DADOS JANEIRO-24 INS'!$A:$D,2,FALSE),VLOOKUP($B380,'BANCO DE DADOS JANEIRO-24 SERV'!$B:$E,2,FALSE))</f>
        <v>ELETRICISTA COM ENCARGOS COMPLEMENTARES</v>
      </c>
      <c r="D380" s="732" t="str">
        <f>IF($A380="INSUMO",VLOOKUP($B380,'BANCO DE DADOS JANEIRO-24 INS'!$A:$D,3,FALSE),VLOOKUP($B380,'BANCO DE DADOS JANEIRO-24 SERV'!$B:$E,3,FALSE))</f>
        <v>H</v>
      </c>
      <c r="E380" s="862">
        <v>0.5</v>
      </c>
      <c r="F380" s="755">
        <f>IF($A380="INSUMO",VLOOKUP($B380,'BANCO DE DADOS JANEIRO-24 INS'!$A:$D,4,FALSE),VLOOKUP($B380,'BANCO DE DADOS JANEIRO-24 SERV'!$B:$E,4,FALSE))</f>
        <v>26.68</v>
      </c>
      <c r="G380" s="840">
        <f>TRUNC(F380*E380,2)</f>
        <v>13.34</v>
      </c>
    </row>
    <row r="381" spans="1:8" ht="16.5" thickBot="1">
      <c r="A381" s="333" t="s">
        <v>391</v>
      </c>
      <c r="B381" s="863">
        <v>88316</v>
      </c>
      <c r="C381" s="731" t="str">
        <f>IF($A381="INSUMO",VLOOKUP($B381,'BANCO DE DADOS JANEIRO-24 INS'!$A:$D,2,FALSE),VLOOKUP($B381,'BANCO DE DADOS JANEIRO-24 SERV'!$B:$E,2,FALSE))</f>
        <v>SERVENTE COM ENCARGOS COMPLEMENTARES</v>
      </c>
      <c r="D381" s="729" t="str">
        <f>IF($A381="INSUMO",VLOOKUP($B381,'BANCO DE DADOS JANEIRO-24 INS'!$A:$D,3,FALSE),VLOOKUP($B381,'BANCO DE DADOS JANEIRO-24 SERV'!$B:$E,3,FALSE))</f>
        <v>H</v>
      </c>
      <c r="E381" s="864">
        <v>0.5</v>
      </c>
      <c r="F381" s="757">
        <f>IF($A381="INSUMO",VLOOKUP($B381,'BANCO DE DADOS JANEIRO-24 INS'!$A:$D,4,FALSE),VLOOKUP($B381,'BANCO DE DADOS JANEIRO-24 SERV'!$B:$E,4,FALSE))</f>
        <v>20.32</v>
      </c>
      <c r="G381" s="626">
        <f>TRUNC(F381*E381,2)</f>
        <v>10.16</v>
      </c>
    </row>
    <row r="382" spans="1:8" ht="16.5" thickBot="1">
      <c r="B382" s="2414" t="s">
        <v>7283</v>
      </c>
      <c r="C382" s="2404"/>
      <c r="D382" s="2404"/>
      <c r="E382" s="2422"/>
      <c r="F382" s="325" t="s">
        <v>167</v>
      </c>
      <c r="G382" s="326">
        <f>SUM(G377:G381)</f>
        <v>67.84</v>
      </c>
    </row>
    <row r="383" spans="1:8" ht="15.75" thickBot="1">
      <c r="B383" s="682"/>
      <c r="G383" s="668"/>
    </row>
    <row r="384" spans="1:8" ht="30" customHeight="1">
      <c r="B384" s="623" t="str">
        <f>IF(COUNT($H$17:H384)&lt;10,CONCATENATE("CPU LOG 00",COUNT($H$17:H384)),CONCATENATE("CPU LOG 0",COUNT($H$17:H384)))</f>
        <v>CPU LOG 030</v>
      </c>
      <c r="C384" s="2180" t="str">
        <f>CONCATENATE("FORNECIMENTO E INSTALAÇÃO DE ",C387)</f>
        <v xml:space="preserve">FORNECIMENTO E INSTALAÇÃO DE PERFILADO PERFURADO DUPLO 38 X 76 MM, CHAPA 22                                                                                                                                                                                                                                                                                                                                                                                                                                                            </v>
      </c>
      <c r="D384" s="2181"/>
      <c r="E384" s="2181"/>
      <c r="F384" s="2181"/>
      <c r="G384" s="624" t="s">
        <v>22</v>
      </c>
      <c r="H384" s="615">
        <f>G391</f>
        <v>99.64</v>
      </c>
    </row>
    <row r="385" spans="1:8" ht="31.5">
      <c r="B385" s="750" t="s">
        <v>197</v>
      </c>
      <c r="C385" s="751" t="s">
        <v>161</v>
      </c>
      <c r="D385" s="826" t="s">
        <v>22</v>
      </c>
      <c r="E385" s="751" t="s">
        <v>162</v>
      </c>
      <c r="F385" s="752" t="s">
        <v>163</v>
      </c>
      <c r="G385" s="753" t="s">
        <v>164</v>
      </c>
    </row>
    <row r="386" spans="1:8" ht="15.75">
      <c r="B386" s="2408" t="s">
        <v>165</v>
      </c>
      <c r="C386" s="2409"/>
      <c r="D386" s="2409"/>
      <c r="E386" s="2409"/>
      <c r="F386" s="2409"/>
      <c r="G386" s="2410"/>
    </row>
    <row r="387" spans="1:8" ht="15.75">
      <c r="A387" s="333" t="s">
        <v>390</v>
      </c>
      <c r="B387" s="1097">
        <v>39029</v>
      </c>
      <c r="C387" s="1222" t="str">
        <f>IF($A387="INSUMO",VLOOKUP($B387,'BANCO DE DADOS JANEIRO-24 INS'!$A:$D,2,FALSE),VLOOKUP($B387,'BANCO DE DADOS JANEIRO-24 SERV'!$B:$E,2,FALSE))</f>
        <v xml:space="preserve">PERFILADO PERFURADO DUPLO 38 X 76 MM, CHAPA 22                                                                                                                                                                                                                                                                                                                                                                                                                                                            </v>
      </c>
      <c r="D387" s="1215" t="str">
        <f>IF($A387="INSUMO",VLOOKUP($B387,'BANCO DE DADOS JANEIRO-24 INS'!$A:$D,3,FALSE),VLOOKUP($B387,'BANCO DE DADOS JANEIRO-24 SERV'!$B:$E,3,FALSE))</f>
        <v xml:space="preserve">M     </v>
      </c>
      <c r="E387" s="1348">
        <v>6</v>
      </c>
      <c r="F387" s="1349">
        <f>IF($A387="INSUMO",VLOOKUP($B387,'BANCO DE DADOS JANEIRO-24 INS'!$A:$D,4,FALSE),VLOOKUP($B387,'BANCO DE DADOS JANEIRO-24 SERV'!$B:$E,4,FALSE))</f>
        <v>12.69</v>
      </c>
      <c r="G387" s="1117">
        <f>TRUNC(F387*E387,2)</f>
        <v>76.14</v>
      </c>
    </row>
    <row r="388" spans="1:8" ht="15.75">
      <c r="B388" s="2408" t="s">
        <v>166</v>
      </c>
      <c r="C388" s="2409"/>
      <c r="D388" s="2409"/>
      <c r="E388" s="2409"/>
      <c r="F388" s="2409"/>
      <c r="G388" s="2410"/>
    </row>
    <row r="389" spans="1:8" ht="15.75">
      <c r="A389" s="333" t="s">
        <v>391</v>
      </c>
      <c r="B389" s="847">
        <v>88264</v>
      </c>
      <c r="C389" s="728" t="str">
        <f>IF($A389="INSUMO",VLOOKUP($B389,'BANCO DE DADOS JANEIRO-24 INS'!$A:$D,2,FALSE),VLOOKUP($B389,'BANCO DE DADOS JANEIRO-24 SERV'!$B:$E,2,FALSE))</f>
        <v>ELETRICISTA COM ENCARGOS COMPLEMENTARES</v>
      </c>
      <c r="D389" s="732" t="str">
        <f>IF($A389="INSUMO",VLOOKUP($B389,'BANCO DE DADOS JANEIRO-24 INS'!$A:$D,3,FALSE),VLOOKUP($B389,'BANCO DE DADOS JANEIRO-24 SERV'!$B:$E,3,FALSE))</f>
        <v>H</v>
      </c>
      <c r="E389" s="862">
        <v>0.5</v>
      </c>
      <c r="F389" s="755">
        <f>IF($A389="INSUMO",VLOOKUP($B389,'BANCO DE DADOS JANEIRO-24 INS'!$A:$D,4,FALSE),VLOOKUP($B389,'BANCO DE DADOS JANEIRO-24 SERV'!$B:$E,4,FALSE))</f>
        <v>26.68</v>
      </c>
      <c r="G389" s="840">
        <f>TRUNC(F389*E389,2)</f>
        <v>13.34</v>
      </c>
    </row>
    <row r="390" spans="1:8" ht="16.5" thickBot="1">
      <c r="A390" s="333" t="s">
        <v>391</v>
      </c>
      <c r="B390" s="863">
        <v>88316</v>
      </c>
      <c r="C390" s="731" t="str">
        <f>IF($A390="INSUMO",VLOOKUP($B390,'BANCO DE DADOS JANEIRO-24 INS'!$A:$D,2,FALSE),VLOOKUP($B390,'BANCO DE DADOS JANEIRO-24 SERV'!$B:$E,2,FALSE))</f>
        <v>SERVENTE COM ENCARGOS COMPLEMENTARES</v>
      </c>
      <c r="D390" s="729" t="str">
        <f>IF($A390="INSUMO",VLOOKUP($B390,'BANCO DE DADOS JANEIRO-24 INS'!$A:$D,3,FALSE),VLOOKUP($B390,'BANCO DE DADOS JANEIRO-24 SERV'!$B:$E,3,FALSE))</f>
        <v>H</v>
      </c>
      <c r="E390" s="864">
        <v>0.5</v>
      </c>
      <c r="F390" s="757">
        <f>IF($A390="INSUMO",VLOOKUP($B390,'BANCO DE DADOS JANEIRO-24 INS'!$A:$D,4,FALSE),VLOOKUP($B390,'BANCO DE DADOS JANEIRO-24 SERV'!$B:$E,4,FALSE))</f>
        <v>20.32</v>
      </c>
      <c r="G390" s="626">
        <f>TRUNC(F390*E390,2)</f>
        <v>10.16</v>
      </c>
    </row>
    <row r="391" spans="1:8" ht="16.5" thickBot="1">
      <c r="B391" s="2414" t="s">
        <v>7283</v>
      </c>
      <c r="C391" s="2404"/>
      <c r="D391" s="2404"/>
      <c r="E391" s="2422"/>
      <c r="F391" s="325" t="s">
        <v>167</v>
      </c>
      <c r="G391" s="326">
        <f>SUM(G386:G390)</f>
        <v>99.64</v>
      </c>
    </row>
    <row r="392" spans="1:8" ht="15.75" thickBot="1">
      <c r="B392" s="682"/>
      <c r="G392" s="668"/>
    </row>
    <row r="393" spans="1:8" ht="24" customHeight="1">
      <c r="B393" s="623" t="str">
        <f>IF(COUNT($H$17:H393)&lt;10,CONCATENATE("CPU LOG 00",COUNT($H$17:H393)),CONCATENATE("CPU LOG 0",COUNT($H$17:H393)))</f>
        <v>CPU LOG 031</v>
      </c>
      <c r="C393" s="2180" t="str">
        <f>CONCATENATE("FORNECIMENTO E INSTALAÇÃO DE ",C396)</f>
        <v>FORNECIMENTO E INSTALAÇÃO DE ELETROCALHA PERFURADA GALVANIZADA DE 50 X 50 X 3000mm</v>
      </c>
      <c r="D393" s="2181"/>
      <c r="E393" s="2181"/>
      <c r="F393" s="2181"/>
      <c r="G393" s="624" t="s">
        <v>21</v>
      </c>
      <c r="H393" s="615">
        <f>G400</f>
        <v>27.81</v>
      </c>
    </row>
    <row r="394" spans="1:8" ht="31.5">
      <c r="B394" s="750" t="s">
        <v>197</v>
      </c>
      <c r="C394" s="751" t="s">
        <v>161</v>
      </c>
      <c r="D394" s="826" t="s">
        <v>22</v>
      </c>
      <c r="E394" s="751" t="s">
        <v>162</v>
      </c>
      <c r="F394" s="752" t="s">
        <v>163</v>
      </c>
      <c r="G394" s="753" t="s">
        <v>164</v>
      </c>
    </row>
    <row r="395" spans="1:8" ht="15.75">
      <c r="B395" s="2408" t="s">
        <v>165</v>
      </c>
      <c r="C395" s="2409"/>
      <c r="D395" s="2409"/>
      <c r="E395" s="2409"/>
      <c r="F395" s="2409"/>
      <c r="G395" s="2410"/>
    </row>
    <row r="396" spans="1:8">
      <c r="B396" s="856" t="s">
        <v>181</v>
      </c>
      <c r="C396" s="852" t="str">
        <f>C402</f>
        <v>ELETROCALHA PERFURADA GALVANIZADA DE 50 X 50 X 3000mm</v>
      </c>
      <c r="D396" s="859" t="s">
        <v>21</v>
      </c>
      <c r="E396" s="846">
        <v>1</v>
      </c>
      <c r="F396" s="846">
        <f>D414</f>
        <v>18.426666666666666</v>
      </c>
      <c r="G396" s="848">
        <f>TRUNC(F396*E396,2)</f>
        <v>18.420000000000002</v>
      </c>
    </row>
    <row r="397" spans="1:8" ht="15.75">
      <c r="B397" s="2408" t="s">
        <v>166</v>
      </c>
      <c r="C397" s="2409"/>
      <c r="D397" s="2409"/>
      <c r="E397" s="2409"/>
      <c r="F397" s="2409"/>
      <c r="G397" s="2410"/>
    </row>
    <row r="398" spans="1:8" ht="15.75">
      <c r="A398" s="333" t="s">
        <v>391</v>
      </c>
      <c r="B398" s="847">
        <v>88264</v>
      </c>
      <c r="C398" s="728" t="str">
        <f>IF($A398="INSUMO",VLOOKUP($B398,'BANCO DE DADOS JANEIRO-24 INS'!$A:$D,2,FALSE),VLOOKUP($B398,'BANCO DE DADOS JANEIRO-24 SERV'!$B:$E,2,FALSE))</f>
        <v>ELETRICISTA COM ENCARGOS COMPLEMENTARES</v>
      </c>
      <c r="D398" s="732" t="str">
        <f>IF($A398="INSUMO",VLOOKUP($B398,'BANCO DE DADOS JANEIRO-24 INS'!$A:$D,3,FALSE),VLOOKUP($B398,'BANCO DE DADOS JANEIRO-24 SERV'!$B:$E,3,FALSE))</f>
        <v>H</v>
      </c>
      <c r="E398" s="862">
        <v>0.2</v>
      </c>
      <c r="F398" s="755">
        <f>IF($A398="INSUMO",VLOOKUP($B398,'BANCO DE DADOS JANEIRO-24 INS'!$A:$D,4,FALSE),VLOOKUP($B398,'BANCO DE DADOS JANEIRO-24 SERV'!$B:$E,4,FALSE))</f>
        <v>26.68</v>
      </c>
      <c r="G398" s="840">
        <f>TRUNC(F398*E398,2)</f>
        <v>5.33</v>
      </c>
    </row>
    <row r="399" spans="1:8" ht="16.5" thickBot="1">
      <c r="A399" s="333" t="s">
        <v>391</v>
      </c>
      <c r="B399" s="863">
        <v>88316</v>
      </c>
      <c r="C399" s="731" t="str">
        <f>IF($A399="INSUMO",VLOOKUP($B399,'BANCO DE DADOS JANEIRO-24 INS'!$A:$D,2,FALSE),VLOOKUP($B399,'BANCO DE DADOS JANEIRO-24 SERV'!$B:$E,2,FALSE))</f>
        <v>SERVENTE COM ENCARGOS COMPLEMENTARES</v>
      </c>
      <c r="D399" s="729" t="str">
        <f>IF($A399="INSUMO",VLOOKUP($B399,'BANCO DE DADOS JANEIRO-24 INS'!$A:$D,3,FALSE),VLOOKUP($B399,'BANCO DE DADOS JANEIRO-24 SERV'!$B:$E,3,FALSE))</f>
        <v>H</v>
      </c>
      <c r="E399" s="864">
        <v>0.2</v>
      </c>
      <c r="F399" s="757">
        <f>IF($A399="INSUMO",VLOOKUP($B399,'BANCO DE DADOS JANEIRO-24 INS'!$A:$D,4,FALSE),VLOOKUP($B399,'BANCO DE DADOS JANEIRO-24 SERV'!$B:$E,4,FALSE))</f>
        <v>20.32</v>
      </c>
      <c r="G399" s="626">
        <f>TRUNC(F399*E399,2)</f>
        <v>4.0599999999999996</v>
      </c>
    </row>
    <row r="400" spans="1:8" ht="16.5" thickBot="1">
      <c r="B400" s="2414" t="s">
        <v>7351</v>
      </c>
      <c r="C400" s="2404"/>
      <c r="D400" s="2404"/>
      <c r="E400" s="2422"/>
      <c r="F400" s="325" t="s">
        <v>167</v>
      </c>
      <c r="G400" s="326">
        <f>SUM(G395:G399)</f>
        <v>27.81</v>
      </c>
    </row>
    <row r="401" spans="1:8" ht="15.75" thickBot="1">
      <c r="B401" s="682"/>
      <c r="G401" s="668"/>
    </row>
    <row r="402" spans="1:8" ht="15.75">
      <c r="A402" s="271"/>
      <c r="B402" s="1669" t="s">
        <v>181</v>
      </c>
      <c r="C402" s="2416" t="s">
        <v>554</v>
      </c>
      <c r="D402" s="2417"/>
      <c r="E402" s="2417"/>
      <c r="F402" s="2418"/>
      <c r="G402" s="1676" t="s">
        <v>22</v>
      </c>
      <c r="H402" s="681" t="s">
        <v>1977</v>
      </c>
    </row>
    <row r="403" spans="1:8" ht="31.5">
      <c r="A403" s="271"/>
      <c r="B403" s="1183" t="s">
        <v>174</v>
      </c>
      <c r="C403" s="1094" t="s">
        <v>175</v>
      </c>
      <c r="D403" s="1095" t="s">
        <v>176</v>
      </c>
      <c r="E403" s="1110" t="s">
        <v>177</v>
      </c>
      <c r="F403" s="1111" t="s">
        <v>178</v>
      </c>
      <c r="G403" s="1112" t="s">
        <v>179</v>
      </c>
      <c r="H403" s="271"/>
    </row>
    <row r="404" spans="1:8" ht="15.75">
      <c r="A404" s="271"/>
      <c r="B404" s="1299">
        <v>45181</v>
      </c>
      <c r="C404" s="1297" t="s">
        <v>4588</v>
      </c>
      <c r="D404" s="1333">
        <v>56.87</v>
      </c>
      <c r="E404" s="1192" t="s">
        <v>5057</v>
      </c>
      <c r="F404" s="1298" t="s">
        <v>1979</v>
      </c>
      <c r="G404" s="1364" t="s">
        <v>5871</v>
      </c>
      <c r="H404" s="610"/>
    </row>
    <row r="405" spans="1:8" ht="15.75">
      <c r="A405" s="271"/>
      <c r="B405" s="1299">
        <v>45182</v>
      </c>
      <c r="C405" s="1297" t="s">
        <v>5877</v>
      </c>
      <c r="D405" s="1333">
        <v>55.28</v>
      </c>
      <c r="E405" s="1339" t="s">
        <v>1982</v>
      </c>
      <c r="F405" s="1298" t="s">
        <v>195</v>
      </c>
      <c r="G405" s="1332" t="s">
        <v>5211</v>
      </c>
      <c r="H405" s="610"/>
    </row>
    <row r="406" spans="1:8" ht="15.75">
      <c r="A406" s="271"/>
      <c r="B406" s="1174">
        <v>45180</v>
      </c>
      <c r="C406" s="1297" t="s">
        <v>5879</v>
      </c>
      <c r="D406" s="1333">
        <v>52.45</v>
      </c>
      <c r="E406" s="1339" t="s">
        <v>2185</v>
      </c>
      <c r="F406" s="1298" t="s">
        <v>4611</v>
      </c>
      <c r="G406" s="1332" t="s">
        <v>2840</v>
      </c>
      <c r="H406" s="610"/>
    </row>
    <row r="407" spans="1:8" ht="16.5" thickBot="1">
      <c r="A407" s="271"/>
      <c r="B407" s="1672"/>
      <c r="C407" s="1668"/>
      <c r="D407" s="1673">
        <f>IF(COUNT(D403:D406)=3,MEDIAN(D403:D406),SMALL(D404:D406,1))</f>
        <v>55.28</v>
      </c>
      <c r="E407" s="1674"/>
      <c r="F407" s="1675"/>
      <c r="G407" s="1671"/>
      <c r="H407" s="271"/>
    </row>
    <row r="408" spans="1:8" ht="15.75" thickBot="1"/>
    <row r="409" spans="1:8" ht="15.75">
      <c r="A409" s="271"/>
      <c r="B409" s="1669" t="s">
        <v>181</v>
      </c>
      <c r="C409" s="2416" t="s">
        <v>7352</v>
      </c>
      <c r="D409" s="2417"/>
      <c r="E409" s="2417"/>
      <c r="F409" s="2418"/>
      <c r="G409" s="1676" t="s">
        <v>21</v>
      </c>
      <c r="H409" s="681" t="s">
        <v>1977</v>
      </c>
    </row>
    <row r="410" spans="1:8" ht="31.5">
      <c r="A410" s="271"/>
      <c r="B410" s="1183" t="s">
        <v>174</v>
      </c>
      <c r="C410" s="1094" t="s">
        <v>175</v>
      </c>
      <c r="D410" s="1095" t="s">
        <v>176</v>
      </c>
      <c r="E410" s="1110" t="s">
        <v>177</v>
      </c>
      <c r="F410" s="1111" t="s">
        <v>178</v>
      </c>
      <c r="G410" s="1112" t="s">
        <v>179</v>
      </c>
      <c r="H410" s="271"/>
    </row>
    <row r="411" spans="1:8" ht="15.75">
      <c r="A411" s="271"/>
      <c r="B411" s="1299">
        <v>44624</v>
      </c>
      <c r="C411" s="1297" t="s">
        <v>2165</v>
      </c>
      <c r="D411" s="1333">
        <f>D404/3</f>
        <v>18.956666666666667</v>
      </c>
      <c r="E411" s="1192" t="s">
        <v>190</v>
      </c>
      <c r="F411" s="1298" t="s">
        <v>191</v>
      </c>
      <c r="G411" s="1364" t="s">
        <v>5059</v>
      </c>
      <c r="H411" s="610"/>
    </row>
    <row r="412" spans="1:8" ht="15.75">
      <c r="A412" s="271"/>
      <c r="B412" s="1299">
        <v>44610</v>
      </c>
      <c r="C412" s="1297" t="s">
        <v>5060</v>
      </c>
      <c r="D412" s="1333">
        <f>D405/3</f>
        <v>18.426666666666666</v>
      </c>
      <c r="E412" s="1339" t="s">
        <v>545</v>
      </c>
      <c r="F412" s="1298" t="s">
        <v>1808</v>
      </c>
      <c r="G412" s="1332" t="s">
        <v>5872</v>
      </c>
      <c r="H412" s="610"/>
    </row>
    <row r="413" spans="1:8" ht="15.75">
      <c r="A413" s="271"/>
      <c r="B413" s="1174">
        <v>44628</v>
      </c>
      <c r="C413" s="1297" t="s">
        <v>5879</v>
      </c>
      <c r="D413" s="1333">
        <f>D406/3</f>
        <v>17.483333333333334</v>
      </c>
      <c r="E413" s="1339" t="s">
        <v>2185</v>
      </c>
      <c r="F413" s="1298" t="s">
        <v>4611</v>
      </c>
      <c r="G413" s="1332" t="s">
        <v>5880</v>
      </c>
      <c r="H413" s="610"/>
    </row>
    <row r="414" spans="1:8" ht="16.5" thickBot="1">
      <c r="A414" s="271"/>
      <c r="B414" s="1672"/>
      <c r="C414" s="1668"/>
      <c r="D414" s="1673">
        <f>IF(COUNT(D410:D413)=3,MEDIAN(D410:D413),SMALL(D411:D413,1))</f>
        <v>18.426666666666666</v>
      </c>
      <c r="E414" s="1674"/>
      <c r="F414" s="1675"/>
      <c r="G414" s="1671"/>
      <c r="H414" s="271"/>
    </row>
    <row r="415" spans="1:8" ht="16.5" thickBot="1">
      <c r="A415" s="271"/>
      <c r="B415" s="1584"/>
      <c r="C415" s="1585"/>
      <c r="D415" s="1586"/>
      <c r="E415" s="1587"/>
      <c r="F415" s="1588"/>
      <c r="G415" s="1589"/>
      <c r="H415" s="271"/>
    </row>
    <row r="416" spans="1:8" ht="31.5" customHeight="1">
      <c r="A416" s="364"/>
      <c r="B416" s="367" t="str">
        <f>IF(COUNT($H$17:H416)&lt;10,CONCATENATE("CPU LOG 00",COUNT($H$17:H416)),CONCATENATE("CPU LOG 0",COUNT($H$17:H416)))</f>
        <v>CPU LOG 032</v>
      </c>
      <c r="C416" s="2284" t="str">
        <f>CONCATENATE("FORNECIMENTO E INSTALAÇÃO DE ",C419)</f>
        <v>FORNECIMENTO E INSTALAÇÃO DE EMENDA INTERNA PARA ELETROCALHA PERFURADA GALVANIZADA DE 50 X 50 X 3000mm</v>
      </c>
      <c r="D416" s="2423"/>
      <c r="E416" s="2423"/>
      <c r="F416" s="2423"/>
      <c r="G416" s="1545" t="s">
        <v>22</v>
      </c>
      <c r="H416" s="615">
        <f>G423</f>
        <v>13.759999999999998</v>
      </c>
    </row>
    <row r="417" spans="1:8" ht="31.5">
      <c r="B417" s="750" t="s">
        <v>197</v>
      </c>
      <c r="C417" s="751" t="s">
        <v>161</v>
      </c>
      <c r="D417" s="826" t="s">
        <v>22</v>
      </c>
      <c r="E417" s="751" t="s">
        <v>162</v>
      </c>
      <c r="F417" s="752" t="s">
        <v>163</v>
      </c>
      <c r="G417" s="753" t="s">
        <v>164</v>
      </c>
    </row>
    <row r="418" spans="1:8" ht="15.75">
      <c r="B418" s="2408" t="s">
        <v>165</v>
      </c>
      <c r="C418" s="2409"/>
      <c r="D418" s="2409"/>
      <c r="E418" s="2409"/>
      <c r="F418" s="2409"/>
      <c r="G418" s="2410"/>
    </row>
    <row r="419" spans="1:8" ht="30">
      <c r="B419" s="856" t="s">
        <v>181</v>
      </c>
      <c r="C419" s="852" t="str">
        <f>C426</f>
        <v>EMENDA INTERNA PARA ELETROCALHA PERFURADA GALVANIZADA DE 50 X 50 X 3000mm</v>
      </c>
      <c r="D419" s="859" t="str">
        <f>G426</f>
        <v>UN</v>
      </c>
      <c r="E419" s="846">
        <v>1</v>
      </c>
      <c r="F419" s="846">
        <f>D431</f>
        <v>4.37</v>
      </c>
      <c r="G419" s="848">
        <f>TRUNC(F419*E419,2)</f>
        <v>4.37</v>
      </c>
    </row>
    <row r="420" spans="1:8" ht="15.75">
      <c r="B420" s="2408" t="s">
        <v>166</v>
      </c>
      <c r="C420" s="2409"/>
      <c r="D420" s="2409"/>
      <c r="E420" s="2409"/>
      <c r="F420" s="2409"/>
      <c r="G420" s="2410"/>
    </row>
    <row r="421" spans="1:8" ht="15.75">
      <c r="A421" s="333" t="s">
        <v>391</v>
      </c>
      <c r="B421" s="847">
        <v>88264</v>
      </c>
      <c r="C421" s="728" t="str">
        <f>IF($A421="INSUMO",VLOOKUP($B421,'BANCO DE DADOS JANEIRO-24 INS'!$A:$D,2,FALSE),VLOOKUP($B421,'BANCO DE DADOS JANEIRO-24 SERV'!$B:$E,2,FALSE))</f>
        <v>ELETRICISTA COM ENCARGOS COMPLEMENTARES</v>
      </c>
      <c r="D421" s="732" t="str">
        <f>IF($A421="INSUMO",VLOOKUP($B421,'BANCO DE DADOS JANEIRO-24 INS'!$A:$D,3,FALSE),VLOOKUP($B421,'BANCO DE DADOS JANEIRO-24 SERV'!$B:$E,3,FALSE))</f>
        <v>H</v>
      </c>
      <c r="E421" s="862">
        <v>0.2</v>
      </c>
      <c r="F421" s="755">
        <f>IF($A421="INSUMO",VLOOKUP($B421,'BANCO DE DADOS JANEIRO-24 INS'!$A:$D,4,FALSE),VLOOKUP($B421,'BANCO DE DADOS JANEIRO-24 SERV'!$B:$E,4,FALSE))</f>
        <v>26.68</v>
      </c>
      <c r="G421" s="840">
        <f>TRUNC(F421*E421,2)</f>
        <v>5.33</v>
      </c>
    </row>
    <row r="422" spans="1:8" ht="16.5" thickBot="1">
      <c r="A422" s="333" t="s">
        <v>391</v>
      </c>
      <c r="B422" s="863">
        <v>88316</v>
      </c>
      <c r="C422" s="731" t="str">
        <f>IF($A422="INSUMO",VLOOKUP($B422,'BANCO DE DADOS JANEIRO-24 INS'!$A:$D,2,FALSE),VLOOKUP($B422,'BANCO DE DADOS JANEIRO-24 SERV'!$B:$E,2,FALSE))</f>
        <v>SERVENTE COM ENCARGOS COMPLEMENTARES</v>
      </c>
      <c r="D422" s="729" t="str">
        <f>IF($A422="INSUMO",VLOOKUP($B422,'BANCO DE DADOS JANEIRO-24 INS'!$A:$D,3,FALSE),VLOOKUP($B422,'BANCO DE DADOS JANEIRO-24 SERV'!$B:$E,3,FALSE))</f>
        <v>H</v>
      </c>
      <c r="E422" s="864">
        <v>0.2</v>
      </c>
      <c r="F422" s="757">
        <f>IF($A422="INSUMO",VLOOKUP($B422,'BANCO DE DADOS JANEIRO-24 INS'!$A:$D,4,FALSE),VLOOKUP($B422,'BANCO DE DADOS JANEIRO-24 SERV'!$B:$E,4,FALSE))</f>
        <v>20.32</v>
      </c>
      <c r="G422" s="626">
        <f>TRUNC(F422*E422,2)</f>
        <v>4.0599999999999996</v>
      </c>
    </row>
    <row r="423" spans="1:8" ht="16.5" customHeight="1" thickBot="1">
      <c r="B423" s="2404" t="s">
        <v>7302</v>
      </c>
      <c r="C423" s="2404"/>
      <c r="D423" s="2404"/>
      <c r="E423" s="2404"/>
      <c r="F423" s="325" t="s">
        <v>167</v>
      </c>
      <c r="G423" s="326">
        <f>SUM(G418:G422)</f>
        <v>13.759999999999998</v>
      </c>
    </row>
    <row r="424" spans="1:8">
      <c r="B424" s="2404"/>
      <c r="C424" s="2404"/>
      <c r="D424" s="2404"/>
      <c r="E424" s="2404"/>
    </row>
    <row r="425" spans="1:8" ht="15.75" thickBot="1">
      <c r="B425" s="669"/>
      <c r="C425" s="669"/>
      <c r="D425" s="669"/>
      <c r="E425" s="669"/>
    </row>
    <row r="426" spans="1:8" ht="15.75">
      <c r="A426" s="271"/>
      <c r="B426" s="1669" t="s">
        <v>181</v>
      </c>
      <c r="C426" s="2416" t="s">
        <v>5566</v>
      </c>
      <c r="D426" s="2417"/>
      <c r="E426" s="2417"/>
      <c r="F426" s="2418"/>
      <c r="G426" s="1676" t="s">
        <v>22</v>
      </c>
      <c r="H426" s="681" t="s">
        <v>1978</v>
      </c>
    </row>
    <row r="427" spans="1:8" ht="31.5">
      <c r="A427" s="271"/>
      <c r="B427" s="1107" t="s">
        <v>174</v>
      </c>
      <c r="C427" s="1108" t="s">
        <v>175</v>
      </c>
      <c r="D427" s="1109" t="s">
        <v>176</v>
      </c>
      <c r="E427" s="1110" t="s">
        <v>177</v>
      </c>
      <c r="F427" s="1111" t="s">
        <v>178</v>
      </c>
      <c r="G427" s="1112" t="s">
        <v>179</v>
      </c>
      <c r="H427" s="271"/>
    </row>
    <row r="428" spans="1:8" ht="15.75">
      <c r="A428" s="271"/>
      <c r="B428" s="1299">
        <v>45180</v>
      </c>
      <c r="C428" s="1297" t="s">
        <v>5879</v>
      </c>
      <c r="D428" s="1333">
        <v>2.61</v>
      </c>
      <c r="E428" s="1192" t="s">
        <v>2185</v>
      </c>
      <c r="F428" s="1298" t="s">
        <v>4611</v>
      </c>
      <c r="G428" s="1364" t="s">
        <v>2840</v>
      </c>
      <c r="H428" s="610"/>
    </row>
    <row r="429" spans="1:8" ht="15.75">
      <c r="A429" s="271"/>
      <c r="B429" s="1299">
        <v>45182</v>
      </c>
      <c r="C429" s="1297" t="s">
        <v>5877</v>
      </c>
      <c r="D429" s="1333">
        <v>5.42</v>
      </c>
      <c r="E429" s="1339" t="s">
        <v>1982</v>
      </c>
      <c r="F429" s="1298" t="s">
        <v>195</v>
      </c>
      <c r="G429" s="1332" t="s">
        <v>5211</v>
      </c>
      <c r="H429" s="610"/>
    </row>
    <row r="430" spans="1:8" ht="15.75">
      <c r="A430" s="271"/>
      <c r="B430" s="1174">
        <v>45181</v>
      </c>
      <c r="C430" s="1297" t="s">
        <v>4588</v>
      </c>
      <c r="D430" s="1333">
        <v>4.37</v>
      </c>
      <c r="E430" s="1339" t="s">
        <v>5057</v>
      </c>
      <c r="F430" s="1298" t="s">
        <v>1979</v>
      </c>
      <c r="G430" s="1332" t="s">
        <v>5871</v>
      </c>
      <c r="H430" s="610"/>
    </row>
    <row r="431" spans="1:8" ht="16.5" thickBot="1">
      <c r="A431" s="271"/>
      <c r="B431" s="1672"/>
      <c r="C431" s="1668" t="s">
        <v>180</v>
      </c>
      <c r="D431" s="1673">
        <f>IF(COUNT(D427:D430)=3,MEDIAN(D427:D430),SMALL(D428:D430,1))</f>
        <v>4.37</v>
      </c>
      <c r="E431" s="1674"/>
      <c r="F431" s="1675"/>
      <c r="G431" s="1671"/>
      <c r="H431" s="271"/>
    </row>
    <row r="432" spans="1:8" ht="15.75" thickBot="1">
      <c r="B432" s="2411"/>
      <c r="C432" s="2412"/>
      <c r="D432" s="2412"/>
      <c r="E432" s="2412"/>
      <c r="F432" s="2412"/>
      <c r="G432" s="2413"/>
    </row>
    <row r="433" spans="1:8" ht="22.5" customHeight="1">
      <c r="B433" s="623" t="str">
        <f>IF(COUNT($H$17:H433)&lt;10,CONCATENATE("CPU LOG 00",COUNT($H$17:H433)),CONCATENATE("CPU LOG 0",COUNT($H$17:H433)))</f>
        <v>CPU LOG 033</v>
      </c>
      <c r="C433" s="2180" t="str">
        <f>CONCATENATE("FORNECIMENTO E INSTALAÇÃO DE ",C436)</f>
        <v>FORNECIMENTO E INSTALAÇÃO DE CURVA HORIZONTAL RETO 90 º PARA ELETROCALHA #50 X 50MM</v>
      </c>
      <c r="D433" s="2181"/>
      <c r="E433" s="2181"/>
      <c r="F433" s="2181"/>
      <c r="G433" s="624" t="s">
        <v>22</v>
      </c>
      <c r="H433" s="615">
        <f>G440</f>
        <v>36.07</v>
      </c>
    </row>
    <row r="434" spans="1:8" ht="31.5">
      <c r="B434" s="750" t="s">
        <v>197</v>
      </c>
      <c r="C434" s="751" t="s">
        <v>161</v>
      </c>
      <c r="D434" s="826" t="s">
        <v>22</v>
      </c>
      <c r="E434" s="751" t="s">
        <v>162</v>
      </c>
      <c r="F434" s="752" t="s">
        <v>163</v>
      </c>
      <c r="G434" s="753" t="s">
        <v>164</v>
      </c>
    </row>
    <row r="435" spans="1:8" ht="15.75">
      <c r="B435" s="2408" t="s">
        <v>165</v>
      </c>
      <c r="C435" s="2409"/>
      <c r="D435" s="2409"/>
      <c r="E435" s="2409"/>
      <c r="F435" s="2409"/>
      <c r="G435" s="2410"/>
    </row>
    <row r="436" spans="1:8">
      <c r="B436" s="856" t="s">
        <v>181</v>
      </c>
      <c r="C436" s="852" t="str">
        <f>C442</f>
        <v>CURVA HORIZONTAL RETO 90 º PARA ELETROCALHA #50 X 50MM</v>
      </c>
      <c r="D436" s="859" t="str">
        <f>G442</f>
        <v>UN</v>
      </c>
      <c r="E436" s="846">
        <v>1</v>
      </c>
      <c r="F436" s="846">
        <f>D447</f>
        <v>26.68</v>
      </c>
      <c r="G436" s="848">
        <f>TRUNC(F436*E436,2)</f>
        <v>26.68</v>
      </c>
    </row>
    <row r="437" spans="1:8" ht="15.75">
      <c r="B437" s="2408" t="s">
        <v>166</v>
      </c>
      <c r="C437" s="2409"/>
      <c r="D437" s="2409"/>
      <c r="E437" s="2409"/>
      <c r="F437" s="2409"/>
      <c r="G437" s="2410"/>
    </row>
    <row r="438" spans="1:8" ht="15.75">
      <c r="A438" s="333" t="s">
        <v>391</v>
      </c>
      <c r="B438" s="847">
        <v>88264</v>
      </c>
      <c r="C438" s="728" t="str">
        <f>IF($A438="INSUMO",VLOOKUP($B438,'BANCO DE DADOS JANEIRO-24 INS'!$A:$D,2,FALSE),VLOOKUP($B438,'BANCO DE DADOS JANEIRO-24 SERV'!$B:$E,2,FALSE))</f>
        <v>ELETRICISTA COM ENCARGOS COMPLEMENTARES</v>
      </c>
      <c r="D438" s="732" t="str">
        <f>IF($A438="INSUMO",VLOOKUP($B438,'BANCO DE DADOS JANEIRO-24 INS'!$A:$D,3,FALSE),VLOOKUP($B438,'BANCO DE DADOS JANEIRO-24 SERV'!$B:$E,3,FALSE))</f>
        <v>H</v>
      </c>
      <c r="E438" s="862">
        <v>0.2</v>
      </c>
      <c r="F438" s="755">
        <f>IF($A438="INSUMO",VLOOKUP($B438,'BANCO DE DADOS JANEIRO-24 INS'!$A:$D,4,FALSE),VLOOKUP($B438,'BANCO DE DADOS JANEIRO-24 SERV'!$B:$E,4,FALSE))</f>
        <v>26.68</v>
      </c>
      <c r="G438" s="840">
        <f>TRUNC(F438*E438,2)</f>
        <v>5.33</v>
      </c>
    </row>
    <row r="439" spans="1:8" ht="16.5" thickBot="1">
      <c r="A439" s="333" t="s">
        <v>391</v>
      </c>
      <c r="B439" s="863">
        <v>88316</v>
      </c>
      <c r="C439" s="731" t="str">
        <f>IF($A439="INSUMO",VLOOKUP($B439,'BANCO DE DADOS JANEIRO-24 INS'!$A:$D,2,FALSE),VLOOKUP($B439,'BANCO DE DADOS JANEIRO-24 SERV'!$B:$E,2,FALSE))</f>
        <v>SERVENTE COM ENCARGOS COMPLEMENTARES</v>
      </c>
      <c r="D439" s="729" t="str">
        <f>IF($A439="INSUMO",VLOOKUP($B439,'BANCO DE DADOS JANEIRO-24 INS'!$A:$D,3,FALSE),VLOOKUP($B439,'BANCO DE DADOS JANEIRO-24 SERV'!$B:$E,3,FALSE))</f>
        <v>H</v>
      </c>
      <c r="E439" s="864">
        <v>0.2</v>
      </c>
      <c r="F439" s="757">
        <f>IF($A439="INSUMO",VLOOKUP($B439,'BANCO DE DADOS JANEIRO-24 INS'!$A:$D,4,FALSE),VLOOKUP($B439,'BANCO DE DADOS JANEIRO-24 SERV'!$B:$E,4,FALSE))</f>
        <v>20.32</v>
      </c>
      <c r="G439" s="626">
        <f>TRUNC(F439*E439,2)</f>
        <v>4.0599999999999996</v>
      </c>
    </row>
    <row r="440" spans="1:8" ht="16.5" customHeight="1" thickBot="1">
      <c r="B440" s="2404" t="s">
        <v>7305</v>
      </c>
      <c r="C440" s="2404"/>
      <c r="D440" s="2404"/>
      <c r="E440" s="2404"/>
      <c r="F440" s="325" t="s">
        <v>167</v>
      </c>
      <c r="G440" s="326">
        <f>SUM(G435:G439)</f>
        <v>36.07</v>
      </c>
    </row>
    <row r="441" spans="1:8" ht="15.75" thickBot="1">
      <c r="B441" s="2404"/>
      <c r="C441" s="2404"/>
      <c r="D441" s="2404"/>
      <c r="E441" s="2404"/>
    </row>
    <row r="442" spans="1:8" ht="15.75">
      <c r="A442" s="271"/>
      <c r="B442" s="1669" t="s">
        <v>181</v>
      </c>
      <c r="C442" s="2416" t="s">
        <v>7304</v>
      </c>
      <c r="D442" s="2417"/>
      <c r="E442" s="2417"/>
      <c r="F442" s="2418"/>
      <c r="G442" s="1676" t="s">
        <v>22</v>
      </c>
      <c r="H442" s="681" t="s">
        <v>1978</v>
      </c>
    </row>
    <row r="443" spans="1:8" ht="31.5">
      <c r="A443" s="271"/>
      <c r="B443" s="1107" t="s">
        <v>174</v>
      </c>
      <c r="C443" s="1108" t="s">
        <v>175</v>
      </c>
      <c r="D443" s="1109" t="s">
        <v>176</v>
      </c>
      <c r="E443" s="1110" t="s">
        <v>177</v>
      </c>
      <c r="F443" s="1111" t="s">
        <v>178</v>
      </c>
      <c r="G443" s="1112" t="s">
        <v>179</v>
      </c>
      <c r="H443" s="271"/>
    </row>
    <row r="444" spans="1:8" ht="15.75">
      <c r="A444" s="271"/>
      <c r="B444" s="1299">
        <v>45198</v>
      </c>
      <c r="C444" s="1297" t="s">
        <v>2708</v>
      </c>
      <c r="D444" s="1333">
        <v>8.17</v>
      </c>
      <c r="E444" s="1192" t="s">
        <v>545</v>
      </c>
      <c r="F444" s="1298" t="s">
        <v>1808</v>
      </c>
      <c r="G444" s="1364" t="s">
        <v>555</v>
      </c>
      <c r="H444" s="610"/>
    </row>
    <row r="445" spans="1:8" ht="15.75">
      <c r="A445" s="271"/>
      <c r="B445" s="1299">
        <v>45197</v>
      </c>
      <c r="C445" s="1297" t="s">
        <v>3401</v>
      </c>
      <c r="D445" s="1333">
        <v>26.68</v>
      </c>
      <c r="E445" s="1339" t="s">
        <v>2062</v>
      </c>
      <c r="F445" s="1298" t="s">
        <v>2063</v>
      </c>
      <c r="G445" s="1332" t="s">
        <v>5870</v>
      </c>
      <c r="H445" s="610"/>
    </row>
    <row r="446" spans="1:8" ht="15.75">
      <c r="A446" s="271"/>
      <c r="B446" s="1174">
        <v>45196</v>
      </c>
      <c r="C446" s="1297" t="s">
        <v>4588</v>
      </c>
      <c r="D446" s="1333">
        <v>34.409999999999997</v>
      </c>
      <c r="E446" s="1339" t="s">
        <v>5057</v>
      </c>
      <c r="F446" s="1298" t="s">
        <v>1979</v>
      </c>
      <c r="G446" s="1332" t="s">
        <v>5871</v>
      </c>
      <c r="H446" s="610"/>
    </row>
    <row r="447" spans="1:8" ht="16.5" thickBot="1">
      <c r="A447" s="271"/>
      <c r="B447" s="1672"/>
      <c r="C447" s="1668" t="s">
        <v>180</v>
      </c>
      <c r="D447" s="1673">
        <f>IF(COUNT(D443:D446)=3,MEDIAN(D443:D446),SMALL(D444:D446,1))</f>
        <v>26.68</v>
      </c>
      <c r="E447" s="1674"/>
      <c r="F447" s="1675"/>
      <c r="G447" s="1671"/>
      <c r="H447" s="610"/>
    </row>
    <row r="448" spans="1:8" ht="15.75" thickBot="1"/>
    <row r="449" spans="1:8" ht="24.75" customHeight="1">
      <c r="B449" s="623" t="str">
        <f>IF(COUNT($H$17:H449)&lt;10,CONCATENATE("CPU LOG 00",COUNT($H$17:H449)),CONCATENATE("CPU LOG 0",COUNT($H$17:H449)))</f>
        <v>CPU LOG 034</v>
      </c>
      <c r="C449" s="2180" t="s">
        <v>1809</v>
      </c>
      <c r="D449" s="2181"/>
      <c r="E449" s="2181"/>
      <c r="F449" s="2181"/>
      <c r="G449" s="624" t="s">
        <v>22</v>
      </c>
      <c r="H449" s="615">
        <f>G456</f>
        <v>14.969999999999999</v>
      </c>
    </row>
    <row r="450" spans="1:8" ht="31.5">
      <c r="B450" s="750" t="s">
        <v>197</v>
      </c>
      <c r="C450" s="751" t="s">
        <v>161</v>
      </c>
      <c r="D450" s="826" t="s">
        <v>22</v>
      </c>
      <c r="E450" s="751" t="s">
        <v>162</v>
      </c>
      <c r="F450" s="752" t="s">
        <v>163</v>
      </c>
      <c r="G450" s="753" t="s">
        <v>164</v>
      </c>
    </row>
    <row r="451" spans="1:8" ht="15.75">
      <c r="B451" s="2408" t="s">
        <v>165</v>
      </c>
      <c r="C451" s="2409"/>
      <c r="D451" s="2409"/>
      <c r="E451" s="2409"/>
      <c r="F451" s="2409"/>
      <c r="G451" s="2410"/>
    </row>
    <row r="452" spans="1:8" ht="30">
      <c r="B452" s="856" t="s">
        <v>181</v>
      </c>
      <c r="C452" s="852" t="str">
        <f>C458</f>
        <v>SUSPENSÃO VERTICAL PARA ELETROCALHA PERFURADA 50 X 50 mm</v>
      </c>
      <c r="D452" s="859" t="str">
        <f>G458</f>
        <v>UN</v>
      </c>
      <c r="E452" s="846">
        <v>1</v>
      </c>
      <c r="F452" s="846">
        <f>D463</f>
        <v>5.58</v>
      </c>
      <c r="G452" s="848">
        <f>TRUNC(F452*E452,2)</f>
        <v>5.58</v>
      </c>
    </row>
    <row r="453" spans="1:8" ht="15.75">
      <c r="B453" s="2408" t="s">
        <v>166</v>
      </c>
      <c r="C453" s="2409"/>
      <c r="D453" s="2409"/>
      <c r="E453" s="2409"/>
      <c r="F453" s="2409"/>
      <c r="G453" s="2410"/>
    </row>
    <row r="454" spans="1:8" ht="15.75">
      <c r="A454" s="333" t="s">
        <v>391</v>
      </c>
      <c r="B454" s="847">
        <v>88264</v>
      </c>
      <c r="C454" s="728" t="str">
        <f>IF($A454="INSUMO",VLOOKUP($B454,'BANCO DE DADOS JANEIRO-24 INS'!$A:$D,2,FALSE),VLOOKUP($B454,'BANCO DE DADOS JANEIRO-24 SERV'!$B:$E,2,FALSE))</f>
        <v>ELETRICISTA COM ENCARGOS COMPLEMENTARES</v>
      </c>
      <c r="D454" s="732" t="str">
        <f>IF($A454="INSUMO",VLOOKUP($B454,'BANCO DE DADOS JANEIRO-24 INS'!$A:$D,3,FALSE),VLOOKUP($B454,'BANCO DE DADOS JANEIRO-24 SERV'!$B:$E,3,FALSE))</f>
        <v>H</v>
      </c>
      <c r="E454" s="866">
        <v>0.2</v>
      </c>
      <c r="F454" s="755">
        <f>IF($A454="INSUMO",VLOOKUP($B454,'BANCO DE DADOS JANEIRO-24 INS'!$A:$D,4,FALSE),VLOOKUP($B454,'BANCO DE DADOS JANEIRO-24 SERV'!$B:$E,4,FALSE))</f>
        <v>26.68</v>
      </c>
      <c r="G454" s="848">
        <f>TRUNC(F454*E454,2)</f>
        <v>5.33</v>
      </c>
    </row>
    <row r="455" spans="1:8" ht="16.5" thickBot="1">
      <c r="A455" s="333" t="s">
        <v>391</v>
      </c>
      <c r="B455" s="863">
        <v>88316</v>
      </c>
      <c r="C455" s="731" t="str">
        <f>IF($A455="INSUMO",VLOOKUP($B455,'BANCO DE DADOS JANEIRO-24 INS'!$A:$D,2,FALSE),VLOOKUP($B455,'BANCO DE DADOS JANEIRO-24 SERV'!$B:$E,2,FALSE))</f>
        <v>SERVENTE COM ENCARGOS COMPLEMENTARES</v>
      </c>
      <c r="D455" s="729" t="str">
        <f>IF($A455="INSUMO",VLOOKUP($B455,'BANCO DE DADOS JANEIRO-24 INS'!$A:$D,3,FALSE),VLOOKUP($B455,'BANCO DE DADOS JANEIRO-24 SERV'!$B:$E,3,FALSE))</f>
        <v>H</v>
      </c>
      <c r="E455" s="867">
        <v>0.2</v>
      </c>
      <c r="F455" s="757">
        <f>IF($A455="INSUMO",VLOOKUP($B455,'BANCO DE DADOS JANEIRO-24 INS'!$A:$D,4,FALSE),VLOOKUP($B455,'BANCO DE DADOS JANEIRO-24 SERV'!$B:$E,4,FALSE))</f>
        <v>20.32</v>
      </c>
      <c r="G455" s="332">
        <f>TRUNC(F455*E455,2)</f>
        <v>4.0599999999999996</v>
      </c>
    </row>
    <row r="456" spans="1:8" ht="16.5" customHeight="1" thickBot="1">
      <c r="B456" s="2404" t="s">
        <v>7307</v>
      </c>
      <c r="C456" s="2404"/>
      <c r="D456" s="2404"/>
      <c r="E456" s="2404"/>
      <c r="F456" s="865" t="s">
        <v>167</v>
      </c>
      <c r="G456" s="326">
        <f>SUM(G452:G455)</f>
        <v>14.969999999999999</v>
      </c>
    </row>
    <row r="457" spans="1:8" ht="15.75" thickBot="1">
      <c r="B457" s="2404"/>
      <c r="C457" s="2404"/>
      <c r="D457" s="2404"/>
      <c r="E457" s="2404"/>
    </row>
    <row r="458" spans="1:8" ht="15.75">
      <c r="A458" s="271"/>
      <c r="B458" s="1669" t="s">
        <v>181</v>
      </c>
      <c r="C458" s="2416" t="s">
        <v>1810</v>
      </c>
      <c r="D458" s="2417"/>
      <c r="E458" s="2417"/>
      <c r="F458" s="2418"/>
      <c r="G458" s="1676" t="s">
        <v>22</v>
      </c>
      <c r="H458" s="681" t="s">
        <v>1978</v>
      </c>
    </row>
    <row r="459" spans="1:8" ht="31.5">
      <c r="A459" s="271"/>
      <c r="B459" s="1107" t="s">
        <v>174</v>
      </c>
      <c r="C459" s="1108" t="s">
        <v>175</v>
      </c>
      <c r="D459" s="1109" t="s">
        <v>176</v>
      </c>
      <c r="E459" s="1110" t="s">
        <v>177</v>
      </c>
      <c r="F459" s="1111" t="s">
        <v>178</v>
      </c>
      <c r="G459" s="1112" t="s">
        <v>179</v>
      </c>
      <c r="H459" s="271"/>
    </row>
    <row r="460" spans="1:8" ht="15.75">
      <c r="A460" s="271"/>
      <c r="B460" s="1299">
        <v>45254</v>
      </c>
      <c r="C460" s="1297" t="s">
        <v>4588</v>
      </c>
      <c r="D460" s="1333">
        <v>9.6300000000000008</v>
      </c>
      <c r="E460" s="1192" t="s">
        <v>5057</v>
      </c>
      <c r="F460" s="1298" t="s">
        <v>1979</v>
      </c>
      <c r="G460" s="1364" t="s">
        <v>5871</v>
      </c>
      <c r="H460" s="610"/>
    </row>
    <row r="461" spans="1:8" ht="15.75">
      <c r="A461" s="271"/>
      <c r="B461" s="1174">
        <v>45253</v>
      </c>
      <c r="C461" s="1297" t="s">
        <v>2061</v>
      </c>
      <c r="D461" s="1333">
        <v>4.25</v>
      </c>
      <c r="E461" s="1339" t="s">
        <v>2062</v>
      </c>
      <c r="F461" s="1298" t="s">
        <v>2063</v>
      </c>
      <c r="G461" s="1332" t="s">
        <v>5870</v>
      </c>
      <c r="H461" s="610"/>
    </row>
    <row r="462" spans="1:8" ht="15.75">
      <c r="A462" s="271"/>
      <c r="B462" s="1113">
        <v>45264</v>
      </c>
      <c r="C462" s="1114" t="s">
        <v>5876</v>
      </c>
      <c r="D462" s="1330">
        <v>5.58</v>
      </c>
      <c r="E462" s="1192" t="s">
        <v>1846</v>
      </c>
      <c r="F462" s="1139" t="s">
        <v>192</v>
      </c>
      <c r="G462" s="1117" t="s">
        <v>5565</v>
      </c>
      <c r="H462" s="610"/>
    </row>
    <row r="463" spans="1:8" ht="16.5" thickBot="1">
      <c r="A463" s="271"/>
      <c r="B463" s="1672"/>
      <c r="C463" s="1668"/>
      <c r="D463" s="1673">
        <f>IF(COUNT(D459:D462)=3,MEDIAN(D459:D462),SMALL(D460:D462,1))</f>
        <v>5.58</v>
      </c>
      <c r="E463" s="1674"/>
      <c r="F463" s="1675"/>
      <c r="G463" s="1671"/>
      <c r="H463" s="271"/>
    </row>
    <row r="464" spans="1:8" ht="15.75" thickBot="1">
      <c r="B464" s="2424"/>
      <c r="C464" s="2425"/>
      <c r="D464" s="2425"/>
      <c r="E464" s="2425"/>
      <c r="F464" s="2425"/>
      <c r="G464" s="2426"/>
    </row>
    <row r="465" spans="1:8" ht="35.25" customHeight="1">
      <c r="B465" s="623" t="str">
        <f>IF(COUNT($H$17:H465)&lt;10,CONCATENATE("CPU LOG 00",COUNT($H$17:H465)),CONCATENATE("CPU LOG 0",COUNT($H$17:H465)))</f>
        <v>CPU LOG 035</v>
      </c>
      <c r="C465" s="2180" t="str">
        <f>CONCATENATE("FORNECIMENTO E INSTALAÇÃO DE ",C468)</f>
        <v>FORNECIMENTO E INSTALAÇÃO DE T HORIZONTAL PARA ELETROCALHA PERFURADA GALVANIZADA DE 50 X 50 X 3000mm</v>
      </c>
      <c r="D465" s="2181"/>
      <c r="E465" s="2181"/>
      <c r="F465" s="2181"/>
      <c r="G465" s="624" t="s">
        <v>22</v>
      </c>
      <c r="H465" s="615">
        <f>G472</f>
        <v>35.340000000000003</v>
      </c>
    </row>
    <row r="466" spans="1:8" ht="31.5">
      <c r="B466" s="750" t="s">
        <v>197</v>
      </c>
      <c r="C466" s="751" t="s">
        <v>161</v>
      </c>
      <c r="D466" s="826" t="s">
        <v>22</v>
      </c>
      <c r="E466" s="751" t="s">
        <v>162</v>
      </c>
      <c r="F466" s="752" t="s">
        <v>163</v>
      </c>
      <c r="G466" s="753" t="s">
        <v>164</v>
      </c>
    </row>
    <row r="467" spans="1:8" ht="15.75">
      <c r="B467" s="2408" t="s">
        <v>165</v>
      </c>
      <c r="C467" s="2409"/>
      <c r="D467" s="2409"/>
      <c r="E467" s="2409"/>
      <c r="F467" s="2409"/>
      <c r="G467" s="2410"/>
    </row>
    <row r="468" spans="1:8" ht="30">
      <c r="B468" s="856" t="s">
        <v>181</v>
      </c>
      <c r="C468" s="852" t="str">
        <f>C474</f>
        <v>T HORIZONTAL PARA ELETROCALHA PERFURADA GALVANIZADA DE 50 X 50 X 3000mm</v>
      </c>
      <c r="D468" s="859" t="str">
        <f>G474</f>
        <v>UN</v>
      </c>
      <c r="E468" s="846">
        <v>1</v>
      </c>
      <c r="F468" s="846">
        <f>D479</f>
        <v>25.95</v>
      </c>
      <c r="G468" s="848">
        <f>TRUNC(F468*E468,2)</f>
        <v>25.95</v>
      </c>
    </row>
    <row r="469" spans="1:8" ht="15.75">
      <c r="B469" s="2408" t="s">
        <v>166</v>
      </c>
      <c r="C469" s="2409"/>
      <c r="D469" s="2409"/>
      <c r="E469" s="2409"/>
      <c r="F469" s="2409"/>
      <c r="G469" s="2410"/>
    </row>
    <row r="470" spans="1:8" ht="15.75">
      <c r="A470" s="333" t="s">
        <v>391</v>
      </c>
      <c r="B470" s="841">
        <v>88264</v>
      </c>
      <c r="C470" s="728" t="str">
        <f>IF($A470="INSUMO",VLOOKUP($B470,'BANCO DE DADOS JANEIRO-24 INS'!$A:$D,2,FALSE),VLOOKUP($B470,'BANCO DE DADOS JANEIRO-24 SERV'!$B:$E,2,FALSE))</f>
        <v>ELETRICISTA COM ENCARGOS COMPLEMENTARES</v>
      </c>
      <c r="D470" s="732" t="str">
        <f>IF($A470="INSUMO",VLOOKUP($B470,'BANCO DE DADOS JANEIRO-24 INS'!$A:$D,3,FALSE),VLOOKUP($B470,'BANCO DE DADOS JANEIRO-24 SERV'!$B:$E,3,FALSE))</f>
        <v>H</v>
      </c>
      <c r="E470" s="820">
        <v>0.2</v>
      </c>
      <c r="F470" s="755">
        <f>IF($A470="INSUMO",VLOOKUP($B470,'BANCO DE DADOS JANEIRO-24 INS'!$A:$D,4,FALSE),VLOOKUP($B470,'BANCO DE DADOS JANEIRO-24 SERV'!$B:$E,4,FALSE))</f>
        <v>26.68</v>
      </c>
      <c r="G470" s="840">
        <f>TRUNC(F470*E470,2)</f>
        <v>5.33</v>
      </c>
    </row>
    <row r="471" spans="1:8" ht="16.5" thickBot="1">
      <c r="A471" s="333" t="s">
        <v>391</v>
      </c>
      <c r="B471" s="625">
        <v>88316</v>
      </c>
      <c r="C471" s="731" t="str">
        <f>IF($A471="INSUMO",VLOOKUP($B471,'BANCO DE DADOS JANEIRO-24 INS'!$A:$D,2,FALSE),VLOOKUP($B471,'BANCO DE DADOS JANEIRO-24 SERV'!$B:$E,2,FALSE))</f>
        <v>SERVENTE COM ENCARGOS COMPLEMENTARES</v>
      </c>
      <c r="D471" s="729" t="str">
        <f>IF($A471="INSUMO",VLOOKUP($B471,'BANCO DE DADOS JANEIRO-24 INS'!$A:$D,3,FALSE),VLOOKUP($B471,'BANCO DE DADOS JANEIRO-24 SERV'!$B:$E,3,FALSE))</f>
        <v>H</v>
      </c>
      <c r="E471" s="850">
        <v>0.2</v>
      </c>
      <c r="F471" s="757">
        <f>IF($A471="INSUMO",VLOOKUP($B471,'BANCO DE DADOS JANEIRO-24 INS'!$A:$D,4,FALSE),VLOOKUP($B471,'BANCO DE DADOS JANEIRO-24 SERV'!$B:$E,4,FALSE))</f>
        <v>20.32</v>
      </c>
      <c r="G471" s="626">
        <f>TRUNC(F471*E471,2)</f>
        <v>4.0599999999999996</v>
      </c>
    </row>
    <row r="472" spans="1:8" ht="16.5" customHeight="1" thickBot="1">
      <c r="B472" s="2404" t="s">
        <v>7306</v>
      </c>
      <c r="C472" s="2404"/>
      <c r="D472" s="2404"/>
      <c r="E472" s="2404"/>
      <c r="F472" s="325" t="s">
        <v>167</v>
      </c>
      <c r="G472" s="326">
        <f>SUM(G467:G471)</f>
        <v>35.340000000000003</v>
      </c>
    </row>
    <row r="473" spans="1:8" ht="15.75" thickBot="1">
      <c r="B473" s="2404"/>
      <c r="C473" s="2404"/>
      <c r="D473" s="2404"/>
      <c r="E473" s="2404"/>
    </row>
    <row r="474" spans="1:8" ht="15.75">
      <c r="A474" s="271"/>
      <c r="B474" s="1669" t="s">
        <v>181</v>
      </c>
      <c r="C474" s="2416" t="s">
        <v>1811</v>
      </c>
      <c r="D474" s="2417"/>
      <c r="E474" s="2417"/>
      <c r="F474" s="2418"/>
      <c r="G474" s="1676" t="s">
        <v>22</v>
      </c>
      <c r="H474" s="681" t="s">
        <v>1978</v>
      </c>
    </row>
    <row r="475" spans="1:8" ht="31.5">
      <c r="A475" s="271"/>
      <c r="B475" s="1107" t="s">
        <v>174</v>
      </c>
      <c r="C475" s="1108" t="s">
        <v>175</v>
      </c>
      <c r="D475" s="1723" t="s">
        <v>176</v>
      </c>
      <c r="E475" s="1110" t="s">
        <v>177</v>
      </c>
      <c r="F475" s="1111" t="s">
        <v>178</v>
      </c>
      <c r="G475" s="1112" t="s">
        <v>179</v>
      </c>
      <c r="H475" s="271"/>
    </row>
    <row r="476" spans="1:8" ht="15.75">
      <c r="A476" s="271"/>
      <c r="B476" s="1299">
        <v>45254</v>
      </c>
      <c r="C476" s="1297" t="s">
        <v>4588</v>
      </c>
      <c r="D476" s="1333">
        <v>50.6</v>
      </c>
      <c r="E476" s="1192" t="s">
        <v>5057</v>
      </c>
      <c r="F476" s="1298" t="s">
        <v>1979</v>
      </c>
      <c r="G476" s="1364" t="s">
        <v>5871</v>
      </c>
      <c r="H476" s="610"/>
    </row>
    <row r="477" spans="1:8" ht="15.75">
      <c r="A477" s="271"/>
      <c r="B477" s="1299">
        <v>45264</v>
      </c>
      <c r="C477" s="1297" t="s">
        <v>5876</v>
      </c>
      <c r="D477" s="1333">
        <v>25.95</v>
      </c>
      <c r="E477" s="1339" t="s">
        <v>1846</v>
      </c>
      <c r="F477" s="1298" t="s">
        <v>192</v>
      </c>
      <c r="G477" s="1332" t="s">
        <v>5565</v>
      </c>
      <c r="H477" s="610"/>
    </row>
    <row r="478" spans="1:8" ht="15.75">
      <c r="A478" s="271"/>
      <c r="B478" s="1174">
        <v>45253</v>
      </c>
      <c r="C478" s="1297" t="s">
        <v>2061</v>
      </c>
      <c r="D478" s="1333">
        <v>23.87</v>
      </c>
      <c r="E478" s="1339" t="s">
        <v>2062</v>
      </c>
      <c r="F478" s="1298" t="s">
        <v>2063</v>
      </c>
      <c r="G478" s="1332" t="s">
        <v>5870</v>
      </c>
      <c r="H478" s="610"/>
    </row>
    <row r="479" spans="1:8" ht="16.5" thickBot="1">
      <c r="A479" s="271"/>
      <c r="B479" s="1672"/>
      <c r="C479" s="1668" t="s">
        <v>180</v>
      </c>
      <c r="D479" s="1673">
        <f>IF(COUNT(D475:D478)=3,MEDIAN(D475:D478),SMALL(D476:D478,1))</f>
        <v>25.95</v>
      </c>
      <c r="E479" s="1674"/>
      <c r="F479" s="1675"/>
      <c r="G479" s="1671"/>
      <c r="H479" s="271"/>
    </row>
    <row r="480" spans="1:8" ht="15.75" thickBot="1">
      <c r="B480" s="2411"/>
      <c r="C480" s="2412"/>
      <c r="D480" s="2412"/>
      <c r="E480" s="2412"/>
      <c r="F480" s="2412"/>
      <c r="G480" s="2413"/>
    </row>
    <row r="481" spans="1:8" ht="27.75" customHeight="1">
      <c r="B481" s="623" t="str">
        <f>IF(COUNT($H$17:H481)&lt;10,CONCATENATE("CPU LOG 00",COUNT($H$17:H481)),CONCATENATE("CPU LOG 0",COUNT($H$17:H481)))</f>
        <v>CPU LOG 036</v>
      </c>
      <c r="C481" s="2180" t="str">
        <f>CONCATENATE("FORNECIMENTO E INSTALAÇÃO DE ",C484)</f>
        <v>FORNECIMENTO E INSTALAÇÃO DE T VERTICAL PARA ELETROCALHA PERFURADA GALVANIZADA DE #50 X 50MM</v>
      </c>
      <c r="D481" s="2181"/>
      <c r="E481" s="2181"/>
      <c r="F481" s="2181"/>
      <c r="G481" s="624" t="s">
        <v>22</v>
      </c>
      <c r="H481" s="615">
        <f>G488</f>
        <v>38.93</v>
      </c>
    </row>
    <row r="482" spans="1:8" ht="31.5">
      <c r="B482" s="750" t="s">
        <v>197</v>
      </c>
      <c r="C482" s="751" t="s">
        <v>161</v>
      </c>
      <c r="D482" s="826" t="s">
        <v>22</v>
      </c>
      <c r="E482" s="751" t="s">
        <v>162</v>
      </c>
      <c r="F482" s="752" t="s">
        <v>163</v>
      </c>
      <c r="G482" s="753" t="s">
        <v>164</v>
      </c>
    </row>
    <row r="483" spans="1:8" ht="15.75">
      <c r="B483" s="2408" t="s">
        <v>165</v>
      </c>
      <c r="C483" s="2409"/>
      <c r="D483" s="2409"/>
      <c r="E483" s="2409"/>
      <c r="F483" s="2409"/>
      <c r="G483" s="2410"/>
    </row>
    <row r="484" spans="1:8" ht="30">
      <c r="B484" s="856" t="s">
        <v>181</v>
      </c>
      <c r="C484" s="852" t="str">
        <f>C490</f>
        <v>T VERTICAL PARA ELETROCALHA PERFURADA GALVANIZADA DE #50 X 50MM</v>
      </c>
      <c r="D484" s="859" t="str">
        <f>G490</f>
        <v>UN</v>
      </c>
      <c r="E484" s="846">
        <v>1</v>
      </c>
      <c r="F484" s="846">
        <f>D495</f>
        <v>29.54</v>
      </c>
      <c r="G484" s="848">
        <f>TRUNC(F484*E484,2)</f>
        <v>29.54</v>
      </c>
    </row>
    <row r="485" spans="1:8" ht="15.75">
      <c r="B485" s="2408" t="s">
        <v>166</v>
      </c>
      <c r="C485" s="2409"/>
      <c r="D485" s="2409"/>
      <c r="E485" s="2409"/>
      <c r="F485" s="2409"/>
      <c r="G485" s="2410"/>
    </row>
    <row r="486" spans="1:8" ht="15.75">
      <c r="A486" s="333" t="s">
        <v>391</v>
      </c>
      <c r="B486" s="841">
        <v>88264</v>
      </c>
      <c r="C486" s="728" t="str">
        <f>IF($A486="INSUMO",VLOOKUP($B486,'BANCO DE DADOS JANEIRO-24 INS'!$A:$D,2,FALSE),VLOOKUP($B486,'BANCO DE DADOS JANEIRO-24 SERV'!$B:$E,2,FALSE))</f>
        <v>ELETRICISTA COM ENCARGOS COMPLEMENTARES</v>
      </c>
      <c r="D486" s="732" t="str">
        <f>IF($A486="INSUMO",VLOOKUP($B486,'BANCO DE DADOS JANEIRO-24 INS'!$A:$D,3,FALSE),VLOOKUP($B486,'BANCO DE DADOS JANEIRO-24 SERV'!$B:$E,3,FALSE))</f>
        <v>H</v>
      </c>
      <c r="E486" s="820">
        <v>0.2</v>
      </c>
      <c r="F486" s="755">
        <f>IF($A486="INSUMO",VLOOKUP($B486,'BANCO DE DADOS JANEIRO-24 INS'!$A:$D,4,FALSE),VLOOKUP($B486,'BANCO DE DADOS JANEIRO-24 SERV'!$B:$E,4,FALSE))</f>
        <v>26.68</v>
      </c>
      <c r="G486" s="840">
        <f>TRUNC(F486*E486,2)</f>
        <v>5.33</v>
      </c>
    </row>
    <row r="487" spans="1:8" ht="16.5" thickBot="1">
      <c r="A487" s="333" t="s">
        <v>391</v>
      </c>
      <c r="B487" s="625">
        <v>88316</v>
      </c>
      <c r="C487" s="731" t="str">
        <f>IF($A487="INSUMO",VLOOKUP($B487,'BANCO DE DADOS JANEIRO-24 INS'!$A:$D,2,FALSE),VLOOKUP($B487,'BANCO DE DADOS JANEIRO-24 SERV'!$B:$E,2,FALSE))</f>
        <v>SERVENTE COM ENCARGOS COMPLEMENTARES</v>
      </c>
      <c r="D487" s="729" t="str">
        <f>IF($A487="INSUMO",VLOOKUP($B487,'BANCO DE DADOS JANEIRO-24 INS'!$A:$D,3,FALSE),VLOOKUP($B487,'BANCO DE DADOS JANEIRO-24 SERV'!$B:$E,3,FALSE))</f>
        <v>H</v>
      </c>
      <c r="E487" s="850">
        <v>0.2</v>
      </c>
      <c r="F487" s="757">
        <f>IF($A487="INSUMO",VLOOKUP($B487,'BANCO DE DADOS JANEIRO-24 INS'!$A:$D,4,FALSE),VLOOKUP($B487,'BANCO DE DADOS JANEIRO-24 SERV'!$B:$E,4,FALSE))</f>
        <v>20.32</v>
      </c>
      <c r="G487" s="626">
        <f>TRUNC(F487*E487,2)</f>
        <v>4.0599999999999996</v>
      </c>
    </row>
    <row r="488" spans="1:8" ht="16.5" customHeight="1" thickBot="1">
      <c r="B488" s="2404" t="s">
        <v>7306</v>
      </c>
      <c r="C488" s="2404"/>
      <c r="D488" s="2404"/>
      <c r="E488" s="2404"/>
      <c r="F488" s="325" t="s">
        <v>167</v>
      </c>
      <c r="G488" s="326">
        <f>SUM(G483:G487)</f>
        <v>38.93</v>
      </c>
    </row>
    <row r="489" spans="1:8" ht="15.75" thickBot="1">
      <c r="B489" s="2404"/>
      <c r="C489" s="2404"/>
      <c r="D489" s="2404"/>
      <c r="E489" s="2404"/>
    </row>
    <row r="490" spans="1:8" ht="24.75" customHeight="1">
      <c r="A490" s="271"/>
      <c r="B490" s="1669" t="s">
        <v>181</v>
      </c>
      <c r="C490" s="2416" t="s">
        <v>7308</v>
      </c>
      <c r="D490" s="2417"/>
      <c r="E490" s="2417"/>
      <c r="F490" s="2418"/>
      <c r="G490" s="1676" t="s">
        <v>22</v>
      </c>
      <c r="H490" s="681" t="s">
        <v>1978</v>
      </c>
    </row>
    <row r="491" spans="1:8" ht="31.5">
      <c r="A491" s="271"/>
      <c r="B491" s="1107" t="s">
        <v>174</v>
      </c>
      <c r="C491" s="1108" t="s">
        <v>175</v>
      </c>
      <c r="D491" s="1109" t="s">
        <v>176</v>
      </c>
      <c r="E491" s="1110" t="s">
        <v>177</v>
      </c>
      <c r="F491" s="1111" t="s">
        <v>178</v>
      </c>
      <c r="G491" s="1112" t="s">
        <v>179</v>
      </c>
      <c r="H491" s="271"/>
    </row>
    <row r="492" spans="1:8">
      <c r="A492" s="271"/>
      <c r="B492" s="1299">
        <v>45197</v>
      </c>
      <c r="C492" s="1297" t="s">
        <v>3401</v>
      </c>
      <c r="D492" s="1333">
        <v>29.54</v>
      </c>
      <c r="E492" s="1192" t="s">
        <v>2062</v>
      </c>
      <c r="F492" s="1298" t="s">
        <v>2063</v>
      </c>
      <c r="G492" s="1364" t="s">
        <v>5870</v>
      </c>
      <c r="H492" s="271"/>
    </row>
    <row r="493" spans="1:8" ht="15.75">
      <c r="A493" s="271"/>
      <c r="B493" s="1299">
        <v>45231</v>
      </c>
      <c r="C493" s="1297" t="s">
        <v>2165</v>
      </c>
      <c r="D493" s="1333">
        <v>48.45</v>
      </c>
      <c r="E493" s="1339" t="s">
        <v>190</v>
      </c>
      <c r="F493" s="1298" t="s">
        <v>191</v>
      </c>
      <c r="G493" s="1332" t="s">
        <v>1869</v>
      </c>
      <c r="H493" s="610"/>
    </row>
    <row r="494" spans="1:8">
      <c r="A494" s="271"/>
      <c r="B494" s="1174">
        <v>45196</v>
      </c>
      <c r="C494" s="1297" t="s">
        <v>4588</v>
      </c>
      <c r="D494" s="1333">
        <v>29</v>
      </c>
      <c r="E494" s="1339" t="s">
        <v>5057</v>
      </c>
      <c r="F494" s="1298" t="s">
        <v>1979</v>
      </c>
      <c r="G494" s="1332" t="s">
        <v>5871</v>
      </c>
      <c r="H494" s="271"/>
    </row>
    <row r="495" spans="1:8" ht="16.5" thickBot="1">
      <c r="A495" s="271"/>
      <c r="B495" s="1672"/>
      <c r="C495" s="1668" t="s">
        <v>180</v>
      </c>
      <c r="D495" s="1673">
        <f>IF(COUNT(D491:D494)=3,MEDIAN(D491:D494),SMALL(D492:D494,1))</f>
        <v>29.54</v>
      </c>
      <c r="E495" s="1674"/>
      <c r="F495" s="1675"/>
      <c r="G495" s="1671"/>
      <c r="H495" s="271"/>
    </row>
    <row r="496" spans="1:8" ht="15.75" thickBot="1">
      <c r="B496" s="2411"/>
      <c r="C496" s="2412"/>
      <c r="D496" s="2412"/>
      <c r="E496" s="2412"/>
      <c r="F496" s="2412"/>
      <c r="G496" s="2413"/>
    </row>
    <row r="497" spans="1:8" ht="39.75" customHeight="1">
      <c r="B497" s="623" t="str">
        <f>IF(COUNT($H$17:H497)&lt;10,CONCATENATE("CPU LOG 00",COUNT($H$17:H497)),CONCATENATE("CPU LOG 0",COUNT($H$17:H497)))</f>
        <v>CPU LOG 037</v>
      </c>
      <c r="C497" s="2180" t="str">
        <f>CONCATENATE("FORNECIMENTO E INSTALAÇÃO DE ",C500)</f>
        <v>FORNECIMENTO E INSTALAÇÃO DE TERMINAL DE FECHAMENTO PARA ELETROCALHA PERFURADA GALVANIZADA DE #50 X 50MM</v>
      </c>
      <c r="D497" s="2181"/>
      <c r="E497" s="2181"/>
      <c r="F497" s="2181"/>
      <c r="G497" s="624" t="s">
        <v>22</v>
      </c>
      <c r="H497" s="615">
        <f>G504</f>
        <v>6.95</v>
      </c>
    </row>
    <row r="498" spans="1:8" ht="31.5">
      <c r="B498" s="1093" t="s">
        <v>197</v>
      </c>
      <c r="C498" s="1094" t="s">
        <v>161</v>
      </c>
      <c r="D498" s="1194" t="s">
        <v>22</v>
      </c>
      <c r="E498" s="1094" t="s">
        <v>162</v>
      </c>
      <c r="F498" s="1095" t="s">
        <v>163</v>
      </c>
      <c r="G498" s="1096" t="s">
        <v>164</v>
      </c>
    </row>
    <row r="499" spans="1:8" ht="15.75">
      <c r="B499" s="2389" t="s">
        <v>165</v>
      </c>
      <c r="C499" s="2390"/>
      <c r="D499" s="2390"/>
      <c r="E499" s="2390"/>
      <c r="F499" s="2390"/>
      <c r="G499" s="2391"/>
    </row>
    <row r="500" spans="1:8" ht="30">
      <c r="B500" s="1213" t="s">
        <v>181</v>
      </c>
      <c r="C500" s="1214" t="str">
        <f>C506</f>
        <v>TERMINAL DE FECHAMENTO PARA ELETROCALHA PERFURADA GALVANIZADA DE #50 X 50MM</v>
      </c>
      <c r="D500" s="1161" t="str">
        <f>G506</f>
        <v>UN</v>
      </c>
      <c r="E500" s="1208">
        <v>1</v>
      </c>
      <c r="F500" s="1208">
        <f>D511</f>
        <v>3.2</v>
      </c>
      <c r="G500" s="1164">
        <f>TRUNC(F500*E500,2)</f>
        <v>3.2</v>
      </c>
    </row>
    <row r="501" spans="1:8" ht="15.75">
      <c r="B501" s="2389" t="s">
        <v>166</v>
      </c>
      <c r="C501" s="2390"/>
      <c r="D501" s="2390"/>
      <c r="E501" s="2390"/>
      <c r="F501" s="2390"/>
      <c r="G501" s="2391"/>
    </row>
    <row r="502" spans="1:8" ht="15.75">
      <c r="A502" s="333" t="s">
        <v>391</v>
      </c>
      <c r="B502" s="1200">
        <v>88264</v>
      </c>
      <c r="C502" s="1098" t="str">
        <f>IF($A502="INSUMO",VLOOKUP($B502,'BANCO DE DADOS JANEIRO-24 INS'!$A:$D,2,FALSE),VLOOKUP($B502,'BANCO DE DADOS JANEIRO-24 SERV'!$B:$E,2,FALSE))</f>
        <v>ELETRICISTA COM ENCARGOS COMPLEMENTARES</v>
      </c>
      <c r="D502" s="1099" t="str">
        <f>IF($A502="INSUMO",VLOOKUP($B502,'BANCO DE DADOS JANEIRO-24 INS'!$A:$D,3,FALSE),VLOOKUP($B502,'BANCO DE DADOS JANEIRO-24 SERV'!$B:$E,3,FALSE))</f>
        <v>H</v>
      </c>
      <c r="E502" s="1210">
        <v>0.08</v>
      </c>
      <c r="F502" s="1146">
        <f>IF($A502="INSUMO",VLOOKUP($B502,'BANCO DE DADOS JANEIRO-24 INS'!$A:$D,4,FALSE),VLOOKUP($B502,'BANCO DE DADOS JANEIRO-24 SERV'!$B:$E,4,FALSE))</f>
        <v>26.68</v>
      </c>
      <c r="G502" s="1199">
        <f>TRUNC(F502*E502,2)</f>
        <v>2.13</v>
      </c>
    </row>
    <row r="503" spans="1:8" ht="16.5" thickBot="1">
      <c r="A503" s="333" t="s">
        <v>391</v>
      </c>
      <c r="B503" s="1201">
        <v>88316</v>
      </c>
      <c r="C503" s="1103" t="str">
        <f>IF($A503="INSUMO",VLOOKUP($B503,'BANCO DE DADOS JANEIRO-24 INS'!$A:$D,2,FALSE),VLOOKUP($B503,'BANCO DE DADOS JANEIRO-24 SERV'!$B:$E,2,FALSE))</f>
        <v>SERVENTE COM ENCARGOS COMPLEMENTARES</v>
      </c>
      <c r="D503" s="1104" t="str">
        <f>IF($A503="INSUMO",VLOOKUP($B503,'BANCO DE DADOS JANEIRO-24 INS'!$A:$D,3,FALSE),VLOOKUP($B503,'BANCO DE DADOS JANEIRO-24 SERV'!$B:$E,3,FALSE))</f>
        <v>H</v>
      </c>
      <c r="E503" s="1211">
        <v>0.08</v>
      </c>
      <c r="F503" s="1105">
        <f>IF($A503="INSUMO",VLOOKUP($B503,'BANCO DE DADOS JANEIRO-24 INS'!$A:$D,4,FALSE),VLOOKUP($B503,'BANCO DE DADOS JANEIRO-24 SERV'!$B:$E,4,FALSE))</f>
        <v>20.32</v>
      </c>
      <c r="G503" s="1202">
        <f>TRUNC(F503*E503,2)</f>
        <v>1.62</v>
      </c>
    </row>
    <row r="504" spans="1:8" ht="16.5" customHeight="1" thickBot="1">
      <c r="B504" s="2404" t="s">
        <v>7309</v>
      </c>
      <c r="C504" s="2404"/>
      <c r="D504" s="2404"/>
      <c r="E504" s="2404"/>
      <c r="F504" s="325" t="s">
        <v>167</v>
      </c>
      <c r="G504" s="326">
        <f>SUM(G499:G503)</f>
        <v>6.95</v>
      </c>
    </row>
    <row r="505" spans="1:8" ht="15.75" thickBot="1">
      <c r="B505" s="2404"/>
      <c r="C505" s="2404"/>
      <c r="D505" s="2404"/>
      <c r="E505" s="2404"/>
    </row>
    <row r="506" spans="1:8" ht="15.75">
      <c r="A506" s="271"/>
      <c r="B506" s="1669" t="s">
        <v>181</v>
      </c>
      <c r="C506" s="2416" t="s">
        <v>7310</v>
      </c>
      <c r="D506" s="2417"/>
      <c r="E506" s="2417"/>
      <c r="F506" s="2418"/>
      <c r="G506" s="1676" t="s">
        <v>22</v>
      </c>
      <c r="H506" s="681" t="s">
        <v>1978</v>
      </c>
    </row>
    <row r="507" spans="1:8" ht="31.5">
      <c r="A507" s="271"/>
      <c r="B507" s="1107" t="s">
        <v>174</v>
      </c>
      <c r="C507" s="1108" t="s">
        <v>175</v>
      </c>
      <c r="D507" s="1109" t="s">
        <v>176</v>
      </c>
      <c r="E507" s="1110" t="s">
        <v>177</v>
      </c>
      <c r="F507" s="1111" t="s">
        <v>178</v>
      </c>
      <c r="G507" s="1112" t="s">
        <v>179</v>
      </c>
      <c r="H507" s="271"/>
    </row>
    <row r="508" spans="1:8">
      <c r="A508" s="271"/>
      <c r="B508" s="1299">
        <v>45182</v>
      </c>
      <c r="C508" s="1297" t="s">
        <v>5877</v>
      </c>
      <c r="D508" s="1333">
        <v>5.96</v>
      </c>
      <c r="E508" s="1192" t="s">
        <v>1982</v>
      </c>
      <c r="F508" s="1298" t="s">
        <v>195</v>
      </c>
      <c r="G508" s="1364" t="s">
        <v>5211</v>
      </c>
      <c r="H508" s="271"/>
    </row>
    <row r="509" spans="1:8">
      <c r="A509" s="271"/>
      <c r="B509" s="1299">
        <v>45180</v>
      </c>
      <c r="C509" s="1297" t="s">
        <v>5879</v>
      </c>
      <c r="D509" s="1333">
        <v>3.1</v>
      </c>
      <c r="E509" s="1339" t="s">
        <v>2185</v>
      </c>
      <c r="F509" s="1298" t="s">
        <v>4611</v>
      </c>
      <c r="G509" s="1332" t="s">
        <v>2840</v>
      </c>
      <c r="H509" s="271"/>
    </row>
    <row r="510" spans="1:8">
      <c r="A510" s="271"/>
      <c r="B510" s="1174">
        <v>45181</v>
      </c>
      <c r="C510" s="1297" t="s">
        <v>4588</v>
      </c>
      <c r="D510" s="1333">
        <v>3.2</v>
      </c>
      <c r="E510" s="1339" t="s">
        <v>5057</v>
      </c>
      <c r="F510" s="1298" t="s">
        <v>1979</v>
      </c>
      <c r="G510" s="1332" t="s">
        <v>5871</v>
      </c>
      <c r="H510" s="271"/>
    </row>
    <row r="511" spans="1:8" ht="16.5" thickBot="1">
      <c r="A511" s="271"/>
      <c r="B511" s="1672"/>
      <c r="C511" s="1668" t="s">
        <v>180</v>
      </c>
      <c r="D511" s="1673">
        <f>IF(COUNT(D507:D510)=3,MEDIAN(D507:D510),SMALL(D508:D510,1))</f>
        <v>3.2</v>
      </c>
      <c r="E511" s="1674"/>
      <c r="F511" s="1675"/>
      <c r="G511" s="1671"/>
      <c r="H511" s="271"/>
    </row>
    <row r="512" spans="1:8" ht="15.75" thickBot="1">
      <c r="B512" s="2411"/>
      <c r="C512" s="2412"/>
      <c r="D512" s="2412"/>
      <c r="E512" s="2412"/>
      <c r="F512" s="2412"/>
      <c r="G512" s="2413"/>
    </row>
    <row r="513" spans="1:8" ht="24" customHeight="1">
      <c r="B513" s="623" t="str">
        <f>IF(COUNT($H$17:H513)&lt;10,CONCATENATE("CPU LOG 00",COUNT($H$17:H513)),CONCATENATE("CPU LOG 0",COUNT($H$17:H513)))</f>
        <v>CPU LOG 038</v>
      </c>
      <c r="C513" s="2180" t="str">
        <f>CONCATENATE("FORNECIMENTO E INSTALAÇÃO DE ",C516)</f>
        <v>FORNECIMENTO E INSTALAÇÃO DE CURVA DE INVERSÃO PARA ELETROCALHA DE #50 X 50MM</v>
      </c>
      <c r="D513" s="2181"/>
      <c r="E513" s="2181"/>
      <c r="F513" s="2181"/>
      <c r="G513" s="624" t="s">
        <v>22</v>
      </c>
      <c r="H513" s="615">
        <f>G520</f>
        <v>39.090000000000003</v>
      </c>
    </row>
    <row r="514" spans="1:8" ht="31.5">
      <c r="B514" s="750" t="s">
        <v>197</v>
      </c>
      <c r="C514" s="751" t="s">
        <v>161</v>
      </c>
      <c r="D514" s="826" t="s">
        <v>22</v>
      </c>
      <c r="E514" s="751" t="s">
        <v>162</v>
      </c>
      <c r="F514" s="752" t="s">
        <v>163</v>
      </c>
      <c r="G514" s="753" t="s">
        <v>164</v>
      </c>
    </row>
    <row r="515" spans="1:8" ht="15.75">
      <c r="B515" s="2408" t="s">
        <v>165</v>
      </c>
      <c r="C515" s="2409"/>
      <c r="D515" s="2409"/>
      <c r="E515" s="2409"/>
      <c r="F515" s="2409"/>
      <c r="G515" s="2410"/>
    </row>
    <row r="516" spans="1:8">
      <c r="B516" s="856" t="s">
        <v>181</v>
      </c>
      <c r="C516" s="852" t="str">
        <f>C523</f>
        <v>CURVA DE INVERSÃO PARA ELETROCALHA DE #50 X 50MM</v>
      </c>
      <c r="D516" s="859" t="s">
        <v>22</v>
      </c>
      <c r="E516" s="846">
        <v>1</v>
      </c>
      <c r="F516" s="846">
        <f>D528</f>
        <v>29.7</v>
      </c>
      <c r="G516" s="848">
        <f>TRUNC(F516*E516,2)</f>
        <v>29.7</v>
      </c>
    </row>
    <row r="517" spans="1:8" ht="15.75">
      <c r="B517" s="2408" t="s">
        <v>166</v>
      </c>
      <c r="C517" s="2409"/>
      <c r="D517" s="2409"/>
      <c r="E517" s="2409"/>
      <c r="F517" s="2409"/>
      <c r="G517" s="2410"/>
    </row>
    <row r="518" spans="1:8" ht="15.75">
      <c r="A518" s="333" t="s">
        <v>391</v>
      </c>
      <c r="B518" s="841">
        <v>88264</v>
      </c>
      <c r="C518" s="728" t="str">
        <f>IF($A518="INSUMO",VLOOKUP($B518,'BANCO DE DADOS JANEIRO-24 INS'!$A:$D,2,FALSE),VLOOKUP($B518,'BANCO DE DADOS JANEIRO-24 SERV'!$B:$E,2,FALSE))</f>
        <v>ELETRICISTA COM ENCARGOS COMPLEMENTARES</v>
      </c>
      <c r="D518" s="732" t="str">
        <f>IF($A518="INSUMO",VLOOKUP($B518,'BANCO DE DADOS JANEIRO-24 INS'!$A:$D,3,FALSE),VLOOKUP($B518,'BANCO DE DADOS JANEIRO-24 SERV'!$B:$E,3,FALSE))</f>
        <v>H</v>
      </c>
      <c r="E518" s="820">
        <v>0.2</v>
      </c>
      <c r="F518" s="755">
        <f>IF($A518="INSUMO",VLOOKUP($B518,'BANCO DE DADOS JANEIRO-24 INS'!$A:$D,4,FALSE),VLOOKUP($B518,'BANCO DE DADOS JANEIRO-24 SERV'!$B:$E,4,FALSE))</f>
        <v>26.68</v>
      </c>
      <c r="G518" s="848">
        <f>TRUNC(F518*E518,2)</f>
        <v>5.33</v>
      </c>
    </row>
    <row r="519" spans="1:8" ht="16.5" thickBot="1">
      <c r="A519" s="333" t="s">
        <v>391</v>
      </c>
      <c r="B519" s="625">
        <v>88316</v>
      </c>
      <c r="C519" s="731" t="str">
        <f>IF($A519="INSUMO",VLOOKUP($B519,'BANCO DE DADOS JANEIRO-24 INS'!$A:$D,2,FALSE),VLOOKUP($B519,'BANCO DE DADOS JANEIRO-24 SERV'!$B:$E,2,FALSE))</f>
        <v>SERVENTE COM ENCARGOS COMPLEMENTARES</v>
      </c>
      <c r="D519" s="729" t="str">
        <f>IF($A519="INSUMO",VLOOKUP($B519,'BANCO DE DADOS JANEIRO-24 INS'!$A:$D,3,FALSE),VLOOKUP($B519,'BANCO DE DADOS JANEIRO-24 SERV'!$B:$E,3,FALSE))</f>
        <v>H</v>
      </c>
      <c r="E519" s="850">
        <v>0.2</v>
      </c>
      <c r="F519" s="757">
        <f>IF($A519="INSUMO",VLOOKUP($B519,'BANCO DE DADOS JANEIRO-24 INS'!$A:$D,4,FALSE),VLOOKUP($B519,'BANCO DE DADOS JANEIRO-24 SERV'!$B:$E,4,FALSE))</f>
        <v>20.32</v>
      </c>
      <c r="G519" s="332">
        <f>TRUNC(F519*E519,2)</f>
        <v>4.0599999999999996</v>
      </c>
    </row>
    <row r="520" spans="1:8" ht="16.5" customHeight="1" thickBot="1">
      <c r="B520" s="2404" t="s">
        <v>7311</v>
      </c>
      <c r="C520" s="2404"/>
      <c r="D520" s="2404"/>
      <c r="E520" s="2404"/>
      <c r="F520" s="865" t="s">
        <v>167</v>
      </c>
      <c r="G520" s="326">
        <f>SUM(G516:G519)</f>
        <v>39.090000000000003</v>
      </c>
    </row>
    <row r="521" spans="1:8">
      <c r="B521" s="2404"/>
      <c r="C521" s="2404"/>
      <c r="D521" s="2404"/>
      <c r="E521" s="2404"/>
    </row>
    <row r="522" spans="1:8" ht="15.75" thickBot="1">
      <c r="B522" s="682"/>
      <c r="G522" s="668"/>
    </row>
    <row r="523" spans="1:8" ht="15.75">
      <c r="A523" s="271"/>
      <c r="B523" s="1669" t="s">
        <v>181</v>
      </c>
      <c r="C523" s="2416" t="s">
        <v>7312</v>
      </c>
      <c r="D523" s="2417"/>
      <c r="E523" s="2417"/>
      <c r="F523" s="2418"/>
      <c r="G523" s="1676" t="s">
        <v>22</v>
      </c>
      <c r="H523" s="681" t="s">
        <v>1978</v>
      </c>
    </row>
    <row r="524" spans="1:8" ht="31.5">
      <c r="A524" s="271"/>
      <c r="B524" s="1107" t="s">
        <v>174</v>
      </c>
      <c r="C524" s="1108" t="s">
        <v>175</v>
      </c>
      <c r="D524" s="1109" t="s">
        <v>176</v>
      </c>
      <c r="E524" s="1110" t="s">
        <v>177</v>
      </c>
      <c r="F524" s="1111" t="s">
        <v>178</v>
      </c>
      <c r="G524" s="1112" t="s">
        <v>179</v>
      </c>
      <c r="H524" s="271"/>
    </row>
    <row r="525" spans="1:8" ht="15.75">
      <c r="A525" s="271"/>
      <c r="B525" s="1299">
        <v>45182</v>
      </c>
      <c r="C525" s="1297" t="s">
        <v>5877</v>
      </c>
      <c r="D525" s="1333">
        <v>16.05</v>
      </c>
      <c r="E525" s="1192" t="s">
        <v>1982</v>
      </c>
      <c r="F525" s="1298" t="s">
        <v>195</v>
      </c>
      <c r="G525" s="1364" t="s">
        <v>5211</v>
      </c>
      <c r="H525" s="610"/>
    </row>
    <row r="526" spans="1:8" ht="15.75">
      <c r="A526" s="271"/>
      <c r="B526" s="1299">
        <v>45180</v>
      </c>
      <c r="C526" s="1297" t="s">
        <v>5879</v>
      </c>
      <c r="D526" s="1333">
        <v>29.7</v>
      </c>
      <c r="E526" s="1339" t="s">
        <v>2185</v>
      </c>
      <c r="F526" s="1298" t="s">
        <v>4611</v>
      </c>
      <c r="G526" s="1332" t="s">
        <v>2840</v>
      </c>
      <c r="H526" s="610"/>
    </row>
    <row r="527" spans="1:8" ht="19.5" customHeight="1">
      <c r="A527" s="271"/>
      <c r="B527" s="1174">
        <v>45181</v>
      </c>
      <c r="C527" s="1297" t="s">
        <v>513</v>
      </c>
      <c r="D527" s="1333">
        <v>64.95</v>
      </c>
      <c r="E527" s="1339" t="s">
        <v>514</v>
      </c>
      <c r="F527" s="1298" t="s">
        <v>515</v>
      </c>
      <c r="G527" s="1332" t="s">
        <v>5882</v>
      </c>
      <c r="H527" s="271"/>
    </row>
    <row r="528" spans="1:8" ht="16.5" thickBot="1">
      <c r="A528" s="271"/>
      <c r="B528" s="1672"/>
      <c r="C528" s="1668" t="s">
        <v>180</v>
      </c>
      <c r="D528" s="1673">
        <f>IF(COUNT(D524:D527)=3,MEDIAN(D524:D527),SMALL(D525:D527,1))</f>
        <v>29.7</v>
      </c>
      <c r="E528" s="1674"/>
      <c r="F528" s="1675"/>
      <c r="G528" s="1671"/>
      <c r="H528" s="271"/>
    </row>
    <row r="529" spans="1:8" ht="15.75" thickBot="1">
      <c r="B529" s="2411"/>
      <c r="C529" s="2412"/>
      <c r="D529" s="2412"/>
      <c r="E529" s="2412"/>
      <c r="F529" s="2412"/>
      <c r="G529" s="2413"/>
    </row>
    <row r="530" spans="1:8" ht="25.5" customHeight="1">
      <c r="B530" s="623" t="str">
        <f>IF(COUNT($H$17:H530)&lt;10,CONCATENATE("CPU LOG 00",COUNT($H$17:H530)),CONCATENATE("CPU LOG 0",COUNT($H$17:H530)))</f>
        <v>CPU LOG 039</v>
      </c>
      <c r="C530" s="2180" t="str">
        <f>CONCATENATE("FORNECIMENTO E INSTALAÇÃO DE ",C533)</f>
        <v>FORNECIMENTO E INSTALAÇÃO DE CRUZETA RETA 90º EM "X" PARA ELETROCALHA DE #50 X 50MM</v>
      </c>
      <c r="D530" s="2181"/>
      <c r="E530" s="2181"/>
      <c r="F530" s="2181"/>
      <c r="G530" s="624" t="s">
        <v>22</v>
      </c>
      <c r="H530" s="615">
        <f>G537</f>
        <v>54.08</v>
      </c>
    </row>
    <row r="531" spans="1:8" ht="31.5">
      <c r="B531" s="750" t="s">
        <v>197</v>
      </c>
      <c r="C531" s="751" t="s">
        <v>161</v>
      </c>
      <c r="D531" s="826" t="s">
        <v>22</v>
      </c>
      <c r="E531" s="751" t="s">
        <v>162</v>
      </c>
      <c r="F531" s="752" t="s">
        <v>163</v>
      </c>
      <c r="G531" s="753" t="s">
        <v>164</v>
      </c>
    </row>
    <row r="532" spans="1:8" ht="15.75">
      <c r="B532" s="2408" t="s">
        <v>165</v>
      </c>
      <c r="C532" s="2409"/>
      <c r="D532" s="2409"/>
      <c r="E532" s="2409"/>
      <c r="F532" s="2409"/>
      <c r="G532" s="2410"/>
    </row>
    <row r="533" spans="1:8">
      <c r="B533" s="856" t="s">
        <v>181</v>
      </c>
      <c r="C533" s="852" t="str">
        <f>C539</f>
        <v>CRUZETA RETA 90º EM "X" PARA ELETROCALHA DE #50 X 50MM</v>
      </c>
      <c r="D533" s="859" t="s">
        <v>22</v>
      </c>
      <c r="E533" s="846">
        <v>1</v>
      </c>
      <c r="F533" s="846">
        <f>D544</f>
        <v>44.69</v>
      </c>
      <c r="G533" s="848">
        <f>TRUNC(F533*E533,2)</f>
        <v>44.69</v>
      </c>
    </row>
    <row r="534" spans="1:8" ht="15.75">
      <c r="B534" s="2408" t="s">
        <v>166</v>
      </c>
      <c r="C534" s="2409"/>
      <c r="D534" s="2409"/>
      <c r="E534" s="2409"/>
      <c r="F534" s="2409"/>
      <c r="G534" s="2410"/>
    </row>
    <row r="535" spans="1:8" ht="15.75">
      <c r="A535" s="333" t="s">
        <v>391</v>
      </c>
      <c r="B535" s="841">
        <v>88264</v>
      </c>
      <c r="C535" s="728" t="str">
        <f>IF($A535="INSUMO",VLOOKUP($B535,'BANCO DE DADOS JANEIRO-24 INS'!$A:$D,2,FALSE),VLOOKUP($B535,'BANCO DE DADOS JANEIRO-24 SERV'!$B:$E,2,FALSE))</f>
        <v>ELETRICISTA COM ENCARGOS COMPLEMENTARES</v>
      </c>
      <c r="D535" s="732" t="str">
        <f>IF($A535="INSUMO",VLOOKUP($B535,'BANCO DE DADOS JANEIRO-24 INS'!$A:$D,3,FALSE),VLOOKUP($B535,'BANCO DE DADOS JANEIRO-24 SERV'!$B:$E,3,FALSE))</f>
        <v>H</v>
      </c>
      <c r="E535" s="820">
        <v>0.2</v>
      </c>
      <c r="F535" s="755">
        <f>IF($A535="INSUMO",VLOOKUP($B535,'BANCO DE DADOS JANEIRO-24 INS'!$A:$D,4,FALSE),VLOOKUP($B535,'BANCO DE DADOS JANEIRO-24 SERV'!$B:$E,4,FALSE))</f>
        <v>26.68</v>
      </c>
      <c r="G535" s="848">
        <f>TRUNC(F535*E535,2)</f>
        <v>5.33</v>
      </c>
    </row>
    <row r="536" spans="1:8" ht="16.5" thickBot="1">
      <c r="A536" s="333" t="s">
        <v>391</v>
      </c>
      <c r="B536" s="625">
        <v>88316</v>
      </c>
      <c r="C536" s="731" t="str">
        <f>IF($A536="INSUMO",VLOOKUP($B536,'BANCO DE DADOS JANEIRO-24 INS'!$A:$D,2,FALSE),VLOOKUP($B536,'BANCO DE DADOS JANEIRO-24 SERV'!$B:$E,2,FALSE))</f>
        <v>SERVENTE COM ENCARGOS COMPLEMENTARES</v>
      </c>
      <c r="D536" s="729" t="str">
        <f>IF($A536="INSUMO",VLOOKUP($B536,'BANCO DE DADOS JANEIRO-24 INS'!$A:$D,3,FALSE),VLOOKUP($B536,'BANCO DE DADOS JANEIRO-24 SERV'!$B:$E,3,FALSE))</f>
        <v>H</v>
      </c>
      <c r="E536" s="850">
        <v>0.2</v>
      </c>
      <c r="F536" s="757">
        <f>IF($A536="INSUMO",VLOOKUP($B536,'BANCO DE DADOS JANEIRO-24 INS'!$A:$D,4,FALSE),VLOOKUP($B536,'BANCO DE DADOS JANEIRO-24 SERV'!$B:$E,4,FALSE))</f>
        <v>20.32</v>
      </c>
      <c r="G536" s="332">
        <f>TRUNC(F536*E536,2)</f>
        <v>4.0599999999999996</v>
      </c>
    </row>
    <row r="537" spans="1:8" ht="16.5" customHeight="1" thickBot="1">
      <c r="B537" s="2404" t="s">
        <v>7313</v>
      </c>
      <c r="C537" s="2404"/>
      <c r="D537" s="2404"/>
      <c r="E537" s="2404"/>
      <c r="F537" s="865" t="s">
        <v>167</v>
      </c>
      <c r="G537" s="326">
        <f>SUM(G533:G536)</f>
        <v>54.08</v>
      </c>
    </row>
    <row r="538" spans="1:8" ht="15.75" thickBot="1">
      <c r="B538" s="2404"/>
      <c r="C538" s="2404"/>
      <c r="D538" s="2404"/>
      <c r="E538" s="2404"/>
    </row>
    <row r="539" spans="1:8" ht="15.75">
      <c r="A539" s="271"/>
      <c r="B539" s="1669" t="s">
        <v>181</v>
      </c>
      <c r="C539" s="2416" t="s">
        <v>7314</v>
      </c>
      <c r="D539" s="2417"/>
      <c r="E539" s="2417"/>
      <c r="F539" s="2418"/>
      <c r="G539" s="1676" t="s">
        <v>22</v>
      </c>
      <c r="H539" s="681" t="s">
        <v>1978</v>
      </c>
    </row>
    <row r="540" spans="1:8" ht="31.5">
      <c r="A540" s="271"/>
      <c r="B540" s="1107" t="s">
        <v>174</v>
      </c>
      <c r="C540" s="1108" t="s">
        <v>175</v>
      </c>
      <c r="D540" s="1109" t="s">
        <v>176</v>
      </c>
      <c r="E540" s="1110" t="s">
        <v>177</v>
      </c>
      <c r="F540" s="1111" t="s">
        <v>178</v>
      </c>
      <c r="G540" s="1112" t="s">
        <v>179</v>
      </c>
      <c r="H540" s="271"/>
    </row>
    <row r="541" spans="1:8">
      <c r="A541" s="271"/>
      <c r="B541" s="1299">
        <v>45264</v>
      </c>
      <c r="C541" s="1297" t="s">
        <v>2708</v>
      </c>
      <c r="D541" s="1333">
        <v>46.37</v>
      </c>
      <c r="E541" s="1192" t="s">
        <v>545</v>
      </c>
      <c r="F541" s="1298" t="s">
        <v>1808</v>
      </c>
      <c r="G541" s="1364" t="s">
        <v>555</v>
      </c>
      <c r="H541" s="271"/>
    </row>
    <row r="542" spans="1:8">
      <c r="A542" s="271"/>
      <c r="B542" s="1299">
        <v>45264</v>
      </c>
      <c r="C542" s="1297" t="s">
        <v>5879</v>
      </c>
      <c r="D542" s="1333">
        <v>44.69</v>
      </c>
      <c r="E542" s="1339" t="s">
        <v>2185</v>
      </c>
      <c r="F542" s="1298" t="s">
        <v>4611</v>
      </c>
      <c r="G542" s="1332" t="s">
        <v>2840</v>
      </c>
      <c r="H542" s="271"/>
    </row>
    <row r="543" spans="1:8">
      <c r="A543" s="271"/>
      <c r="B543" s="1174">
        <v>45266</v>
      </c>
      <c r="C543" s="1297" t="s">
        <v>2061</v>
      </c>
      <c r="D543" s="1333">
        <v>24.17</v>
      </c>
      <c r="E543" s="1339" t="s">
        <v>2062</v>
      </c>
      <c r="F543" s="1298" t="s">
        <v>2063</v>
      </c>
      <c r="G543" s="1332" t="s">
        <v>5870</v>
      </c>
      <c r="H543" s="271"/>
    </row>
    <row r="544" spans="1:8" ht="16.5" thickBot="1">
      <c r="A544" s="271"/>
      <c r="B544" s="1672"/>
      <c r="C544" s="1668" t="s">
        <v>180</v>
      </c>
      <c r="D544" s="1673">
        <f>IF(COUNT(D540:D543)=3,MEDIAN(D540:D543),SMALL(D541:D543,1))</f>
        <v>44.69</v>
      </c>
      <c r="E544" s="1674"/>
      <c r="F544" s="1675"/>
      <c r="G544" s="1671"/>
      <c r="H544" s="271"/>
    </row>
    <row r="545" spans="1:8" ht="15.75" thickBot="1">
      <c r="B545" s="2411"/>
      <c r="C545" s="2412"/>
      <c r="D545" s="2412"/>
      <c r="E545" s="2412"/>
      <c r="F545" s="2412"/>
      <c r="G545" s="2413"/>
    </row>
    <row r="546" spans="1:8" ht="29.25" customHeight="1">
      <c r="B546" s="623" t="str">
        <f>IF(COUNT($H$17:H546)&lt;10,CONCATENATE("CPU LOG 00",COUNT($H$17:H546)),CONCATENATE("CPU LOG 0",COUNT($H$17:H546)))</f>
        <v>CPU LOG 040</v>
      </c>
      <c r="C546" s="2180" t="str">
        <f>CONCATENATE("FORNECIMENTO E INSTALAÇÃO DE ",C562)</f>
        <v>FORNECIMENTO E INSTALAÇÃO DE ELETROCALHA PERFURADA GALVANIZADA DE #100 X 50mm</v>
      </c>
      <c r="D546" s="2181"/>
      <c r="E546" s="2181"/>
      <c r="F546" s="2181"/>
      <c r="G546" s="624" t="s">
        <v>21</v>
      </c>
      <c r="H546" s="615">
        <f>G553</f>
        <v>40.9</v>
      </c>
    </row>
    <row r="547" spans="1:8" ht="31.5">
      <c r="B547" s="750" t="s">
        <v>197</v>
      </c>
      <c r="C547" s="751" t="s">
        <v>161</v>
      </c>
      <c r="D547" s="826" t="s">
        <v>22</v>
      </c>
      <c r="E547" s="751" t="s">
        <v>162</v>
      </c>
      <c r="F547" s="752" t="s">
        <v>163</v>
      </c>
      <c r="G547" s="753" t="s">
        <v>164</v>
      </c>
    </row>
    <row r="548" spans="1:8" ht="15.75">
      <c r="B548" s="2408" t="s">
        <v>165</v>
      </c>
      <c r="C548" s="2409"/>
      <c r="D548" s="2409"/>
      <c r="E548" s="2409"/>
      <c r="F548" s="2409"/>
      <c r="G548" s="2410"/>
    </row>
    <row r="549" spans="1:8" ht="30">
      <c r="B549" s="856" t="s">
        <v>181</v>
      </c>
      <c r="C549" s="852" t="str">
        <f>C555</f>
        <v>ELETROCALHA PERFURADA GALVANIZADA DE 100 X 50 X 3000mm</v>
      </c>
      <c r="D549" s="859" t="str">
        <f>G555</f>
        <v>UN</v>
      </c>
      <c r="E549" s="846">
        <v>1</v>
      </c>
      <c r="F549" s="846">
        <f>D567</f>
        <v>22.113333333333333</v>
      </c>
      <c r="G549" s="848">
        <f>TRUNC(F549*E549,2)</f>
        <v>22.11</v>
      </c>
    </row>
    <row r="550" spans="1:8" ht="15.75">
      <c r="B550" s="2408" t="s">
        <v>166</v>
      </c>
      <c r="C550" s="2409"/>
      <c r="D550" s="2409"/>
      <c r="E550" s="2409"/>
      <c r="F550" s="2409"/>
      <c r="G550" s="2410"/>
    </row>
    <row r="551" spans="1:8" ht="15.75">
      <c r="A551" s="333" t="s">
        <v>391</v>
      </c>
      <c r="B551" s="841">
        <v>88264</v>
      </c>
      <c r="C551" s="728" t="str">
        <f>IF($A551="INSUMO",VLOOKUP($B551,'BANCO DE DADOS JANEIRO-24 INS'!$A:$D,2,FALSE),VLOOKUP($B551,'BANCO DE DADOS JANEIRO-24 SERV'!$B:$E,2,FALSE))</f>
        <v>ELETRICISTA COM ENCARGOS COMPLEMENTARES</v>
      </c>
      <c r="D551" s="732" t="str">
        <f>IF($A551="INSUMO",VLOOKUP($B551,'BANCO DE DADOS JANEIRO-24 INS'!$A:$D,3,FALSE),VLOOKUP($B551,'BANCO DE DADOS JANEIRO-24 SERV'!$B:$E,3,FALSE))</f>
        <v>H</v>
      </c>
      <c r="E551" s="820">
        <v>0.4</v>
      </c>
      <c r="F551" s="755">
        <f>IF($A551="INSUMO",VLOOKUP($B551,'BANCO DE DADOS JANEIRO-24 INS'!$A:$D,4,FALSE),VLOOKUP($B551,'BANCO DE DADOS JANEIRO-24 SERV'!$B:$E,4,FALSE))</f>
        <v>26.68</v>
      </c>
      <c r="G551" s="840">
        <f>TRUNC(F551*E551,2)</f>
        <v>10.67</v>
      </c>
    </row>
    <row r="552" spans="1:8" ht="16.5" thickBot="1">
      <c r="A552" s="333" t="s">
        <v>391</v>
      </c>
      <c r="B552" s="625">
        <v>88316</v>
      </c>
      <c r="C552" s="731" t="str">
        <f>IF($A552="INSUMO",VLOOKUP($B552,'BANCO DE DADOS JANEIRO-24 INS'!$A:$D,2,FALSE),VLOOKUP($B552,'BANCO DE DADOS JANEIRO-24 SERV'!$B:$E,2,FALSE))</f>
        <v>SERVENTE COM ENCARGOS COMPLEMENTARES</v>
      </c>
      <c r="D552" s="729" t="str">
        <f>IF($A552="INSUMO",VLOOKUP($B552,'BANCO DE DADOS JANEIRO-24 INS'!$A:$D,3,FALSE),VLOOKUP($B552,'BANCO DE DADOS JANEIRO-24 SERV'!$B:$E,3,FALSE))</f>
        <v>H</v>
      </c>
      <c r="E552" s="850">
        <v>0.4</v>
      </c>
      <c r="F552" s="757">
        <f>IF($A552="INSUMO",VLOOKUP($B552,'BANCO DE DADOS JANEIRO-24 INS'!$A:$D,4,FALSE),VLOOKUP($B552,'BANCO DE DADOS JANEIRO-24 SERV'!$B:$E,4,FALSE))</f>
        <v>20.32</v>
      </c>
      <c r="G552" s="626">
        <f>TRUNC(F552*E552,2)</f>
        <v>8.1199999999999992</v>
      </c>
    </row>
    <row r="553" spans="1:8" ht="16.5" customHeight="1" thickBot="1">
      <c r="B553" s="2414" t="s">
        <v>7315</v>
      </c>
      <c r="C553" s="2404"/>
      <c r="D553" s="2404"/>
      <c r="E553" s="2404"/>
      <c r="F553" s="325" t="s">
        <v>167</v>
      </c>
      <c r="G553" s="326">
        <f>SUM(G548:G552)</f>
        <v>40.9</v>
      </c>
    </row>
    <row r="554" spans="1:8" ht="27" customHeight="1" thickBot="1">
      <c r="B554" s="2414"/>
      <c r="C554" s="2404"/>
      <c r="D554" s="2404"/>
      <c r="E554" s="2404"/>
      <c r="G554" s="668"/>
    </row>
    <row r="555" spans="1:8" ht="15.75">
      <c r="A555" s="271"/>
      <c r="B555" s="1669" t="s">
        <v>181</v>
      </c>
      <c r="C555" s="2164" t="s">
        <v>544</v>
      </c>
      <c r="D555" s="2165"/>
      <c r="E555" s="2165"/>
      <c r="F555" s="2166"/>
      <c r="G555" s="1715" t="s">
        <v>22</v>
      </c>
      <c r="H555" s="681" t="s">
        <v>1978</v>
      </c>
    </row>
    <row r="556" spans="1:8" ht="31.5">
      <c r="A556" s="271"/>
      <c r="B556" s="1107" t="s">
        <v>174</v>
      </c>
      <c r="C556" s="1108" t="s">
        <v>175</v>
      </c>
      <c r="D556" s="1109" t="s">
        <v>176</v>
      </c>
      <c r="E556" s="1110" t="s">
        <v>177</v>
      </c>
      <c r="F556" s="1181" t="s">
        <v>178</v>
      </c>
      <c r="G556" s="1112" t="s">
        <v>179</v>
      </c>
      <c r="H556" s="271"/>
    </row>
    <row r="557" spans="1:8" ht="15.75">
      <c r="A557" s="271"/>
      <c r="B557" s="1174">
        <v>45181</v>
      </c>
      <c r="C557" s="1297" t="s">
        <v>4588</v>
      </c>
      <c r="D557" s="1333">
        <v>75.81</v>
      </c>
      <c r="E557" s="1192" t="s">
        <v>5057</v>
      </c>
      <c r="F557" s="1461" t="s">
        <v>1979</v>
      </c>
      <c r="G557" s="1332" t="s">
        <v>5871</v>
      </c>
      <c r="H557" s="610"/>
    </row>
    <row r="558" spans="1:8" ht="15.75">
      <c r="A558" s="271"/>
      <c r="B558" s="1174">
        <v>45182</v>
      </c>
      <c r="C558" s="1114" t="s">
        <v>5877</v>
      </c>
      <c r="D558" s="1115">
        <v>66.34</v>
      </c>
      <c r="E558" s="1114" t="s">
        <v>1982</v>
      </c>
      <c r="F558" s="1139" t="s">
        <v>195</v>
      </c>
      <c r="G558" s="968" t="s">
        <v>5211</v>
      </c>
      <c r="H558" s="610"/>
    </row>
    <row r="559" spans="1:8" ht="15.75">
      <c r="A559" s="271"/>
      <c r="B559" s="1174">
        <v>45180</v>
      </c>
      <c r="C559" s="1297" t="s">
        <v>5879</v>
      </c>
      <c r="D559" s="1333">
        <v>63.47</v>
      </c>
      <c r="E559" s="1192" t="s">
        <v>2185</v>
      </c>
      <c r="F559" s="1461" t="s">
        <v>4611</v>
      </c>
      <c r="G559" s="1332" t="s">
        <v>2840</v>
      </c>
      <c r="H559" s="610"/>
    </row>
    <row r="560" spans="1:8" ht="16.5" thickBot="1">
      <c r="A560" s="271"/>
      <c r="B560" s="1672"/>
      <c r="C560" s="1668"/>
      <c r="D560" s="1673">
        <f>IF(COUNT(D556:D559)=3,MEDIAN(D556:D559),SMALL(D557:D559,1))</f>
        <v>66.34</v>
      </c>
      <c r="E560" s="1674"/>
      <c r="F560" s="1675"/>
      <c r="G560" s="1671"/>
      <c r="H560" s="271"/>
    </row>
    <row r="561" spans="1:8" ht="15.75" thickBot="1"/>
    <row r="562" spans="1:8" ht="15.75">
      <c r="A562" s="271"/>
      <c r="B562" s="1669" t="s">
        <v>181</v>
      </c>
      <c r="C562" s="2164" t="s">
        <v>8216</v>
      </c>
      <c r="D562" s="2165"/>
      <c r="E562" s="2165"/>
      <c r="F562" s="2166"/>
      <c r="G562" s="1715" t="s">
        <v>21</v>
      </c>
      <c r="H562" s="681" t="s">
        <v>1978</v>
      </c>
    </row>
    <row r="563" spans="1:8" ht="31.5">
      <c r="A563" s="271"/>
      <c r="B563" s="1107" t="s">
        <v>174</v>
      </c>
      <c r="C563" s="1108" t="s">
        <v>175</v>
      </c>
      <c r="D563" s="1109" t="s">
        <v>176</v>
      </c>
      <c r="E563" s="1110" t="s">
        <v>177</v>
      </c>
      <c r="F563" s="1181" t="s">
        <v>178</v>
      </c>
      <c r="G563" s="1112" t="s">
        <v>179</v>
      </c>
      <c r="H563" s="271"/>
    </row>
    <row r="564" spans="1:8" ht="15.75">
      <c r="A564" s="271"/>
      <c r="B564" s="1174">
        <v>44651</v>
      </c>
      <c r="C564" s="1297" t="s">
        <v>1995</v>
      </c>
      <c r="D564" s="1333">
        <f>D557/3</f>
        <v>25.27</v>
      </c>
      <c r="E564" s="1192" t="s">
        <v>1996</v>
      </c>
      <c r="F564" s="1461" t="s">
        <v>1979</v>
      </c>
      <c r="G564" s="1332" t="s">
        <v>5216</v>
      </c>
      <c r="H564" s="610"/>
    </row>
    <row r="565" spans="1:8" ht="15.75">
      <c r="A565" s="271"/>
      <c r="B565" s="1174">
        <v>44623</v>
      </c>
      <c r="C565" s="1114" t="s">
        <v>5060</v>
      </c>
      <c r="D565" s="1115">
        <f>D558/3</f>
        <v>22.113333333333333</v>
      </c>
      <c r="E565" s="1114" t="s">
        <v>545</v>
      </c>
      <c r="F565" s="1139" t="s">
        <v>1808</v>
      </c>
      <c r="G565" s="968" t="s">
        <v>555</v>
      </c>
      <c r="H565" s="610"/>
    </row>
    <row r="566" spans="1:8" ht="15.75">
      <c r="A566" s="271"/>
      <c r="B566" s="1174">
        <v>44649</v>
      </c>
      <c r="C566" s="1297" t="s">
        <v>5879</v>
      </c>
      <c r="D566" s="1333">
        <f>D559/3</f>
        <v>21.156666666666666</v>
      </c>
      <c r="E566" s="1192" t="s">
        <v>2185</v>
      </c>
      <c r="F566" s="1461" t="s">
        <v>4611</v>
      </c>
      <c r="G566" s="1332" t="s">
        <v>5881</v>
      </c>
      <c r="H566" s="610"/>
    </row>
    <row r="567" spans="1:8" ht="16.5" thickBot="1">
      <c r="A567" s="271"/>
      <c r="B567" s="1672"/>
      <c r="C567" s="1668"/>
      <c r="D567" s="1673">
        <f>IF(COUNT(D563:D566)=3,MEDIAN(D563:D566),SMALL(D564:D566,1))</f>
        <v>22.113333333333333</v>
      </c>
      <c r="E567" s="1674"/>
      <c r="F567" s="1675"/>
      <c r="G567" s="1671"/>
      <c r="H567" s="271"/>
    </row>
    <row r="568" spans="1:8" ht="16.5" customHeight="1" thickBot="1">
      <c r="A568" s="271"/>
      <c r="B568" s="2419"/>
      <c r="C568" s="2420"/>
      <c r="D568" s="2420"/>
      <c r="E568" s="2420"/>
      <c r="F568" s="2420"/>
      <c r="G568" s="2421"/>
      <c r="H568" s="271"/>
    </row>
    <row r="569" spans="1:8" ht="33.75" customHeight="1">
      <c r="B569" s="623" t="str">
        <f>IF(COUNT($H$17:H569)&lt;10,CONCATENATE("CPU LOG 00",COUNT($H$17:H569)),CONCATENATE("CPU LOG 0",COUNT($H$17:H569)))</f>
        <v>CPU LOG 041</v>
      </c>
      <c r="C569" s="2180" t="str">
        <f>CONCATENATE("FORNECIMENTO E INSTALAÇÃO DE ",C572)</f>
        <v>FORNECIMENTO E INSTALAÇÃO DE Tê HORIZONTAL PARA ELETROCALHA PERFURADA GALVANIZADA DE #100 X 50MM</v>
      </c>
      <c r="D569" s="2415"/>
      <c r="E569" s="2415"/>
      <c r="F569" s="2415"/>
      <c r="G569" s="624" t="s">
        <v>22</v>
      </c>
      <c r="H569" s="615">
        <f>G576</f>
        <v>54.46</v>
      </c>
    </row>
    <row r="570" spans="1:8" ht="31.5">
      <c r="B570" s="750" t="s">
        <v>197</v>
      </c>
      <c r="C570" s="751" t="s">
        <v>161</v>
      </c>
      <c r="D570" s="826" t="s">
        <v>22</v>
      </c>
      <c r="E570" s="751" t="s">
        <v>162</v>
      </c>
      <c r="F570" s="752" t="s">
        <v>163</v>
      </c>
      <c r="G570" s="753" t="s">
        <v>164</v>
      </c>
    </row>
    <row r="571" spans="1:8" ht="15.75">
      <c r="B571" s="2408" t="s">
        <v>165</v>
      </c>
      <c r="C571" s="2409"/>
      <c r="D571" s="2409"/>
      <c r="E571" s="2409"/>
      <c r="F571" s="2409"/>
      <c r="G571" s="2410"/>
    </row>
    <row r="572" spans="1:8" ht="30">
      <c r="B572" s="856" t="s">
        <v>181</v>
      </c>
      <c r="C572" s="852" t="str">
        <f>C578</f>
        <v>Tê HORIZONTAL PARA ELETROCALHA PERFURADA GALVANIZADA DE #100 X 50MM</v>
      </c>
      <c r="D572" s="859" t="str">
        <f>G578</f>
        <v>UN</v>
      </c>
      <c r="E572" s="846">
        <v>1</v>
      </c>
      <c r="F572" s="846">
        <f>D583</f>
        <v>45.07</v>
      </c>
      <c r="G572" s="848">
        <f>TRUNC(F572*E572,2)</f>
        <v>45.07</v>
      </c>
    </row>
    <row r="573" spans="1:8" ht="15.75">
      <c r="B573" s="2408" t="s">
        <v>166</v>
      </c>
      <c r="C573" s="2409"/>
      <c r="D573" s="2409"/>
      <c r="E573" s="2409"/>
      <c r="F573" s="2409"/>
      <c r="G573" s="2410"/>
    </row>
    <row r="574" spans="1:8" ht="15.75">
      <c r="A574" s="333" t="s">
        <v>391</v>
      </c>
      <c r="B574" s="841">
        <v>88264</v>
      </c>
      <c r="C574" s="728" t="str">
        <f>IF($A574="INSUMO",VLOOKUP($B574,'BANCO DE DADOS JANEIRO-24 INS'!$A:$D,2,FALSE),VLOOKUP($B574,'BANCO DE DADOS JANEIRO-24 SERV'!$B:$E,2,FALSE))</f>
        <v>ELETRICISTA COM ENCARGOS COMPLEMENTARES</v>
      </c>
      <c r="D574" s="732" t="str">
        <f>IF($A574="INSUMO",VLOOKUP($B574,'BANCO DE DADOS JANEIRO-24 INS'!$A:$D,3,FALSE),VLOOKUP($B574,'BANCO DE DADOS JANEIRO-24 SERV'!$B:$E,3,FALSE))</f>
        <v>H</v>
      </c>
      <c r="E574" s="820">
        <v>0.2</v>
      </c>
      <c r="F574" s="755">
        <f>IF($A574="INSUMO",VLOOKUP($B574,'BANCO DE DADOS JANEIRO-24 INS'!$A:$D,4,FALSE),VLOOKUP($B574,'BANCO DE DADOS JANEIRO-24 SERV'!$B:$E,4,FALSE))</f>
        <v>26.68</v>
      </c>
      <c r="G574" s="840">
        <f>TRUNC(F574*E574,2)</f>
        <v>5.33</v>
      </c>
    </row>
    <row r="575" spans="1:8" ht="16.5" thickBot="1">
      <c r="A575" s="333" t="s">
        <v>391</v>
      </c>
      <c r="B575" s="625">
        <v>88316</v>
      </c>
      <c r="C575" s="731" t="str">
        <f>IF($A575="INSUMO",VLOOKUP($B575,'BANCO DE DADOS JANEIRO-24 INS'!$A:$D,2,FALSE),VLOOKUP($B575,'BANCO DE DADOS JANEIRO-24 SERV'!$B:$E,2,FALSE))</f>
        <v>SERVENTE COM ENCARGOS COMPLEMENTARES</v>
      </c>
      <c r="D575" s="729" t="str">
        <f>IF($A575="INSUMO",VLOOKUP($B575,'BANCO DE DADOS JANEIRO-24 INS'!$A:$D,3,FALSE),VLOOKUP($B575,'BANCO DE DADOS JANEIRO-24 SERV'!$B:$E,3,FALSE))</f>
        <v>H</v>
      </c>
      <c r="E575" s="850">
        <v>0.2</v>
      </c>
      <c r="F575" s="757">
        <f>IF($A575="INSUMO",VLOOKUP($B575,'BANCO DE DADOS JANEIRO-24 INS'!$A:$D,4,FALSE),VLOOKUP($B575,'BANCO DE DADOS JANEIRO-24 SERV'!$B:$E,4,FALSE))</f>
        <v>20.32</v>
      </c>
      <c r="G575" s="626">
        <f>TRUNC(F575*E575,2)</f>
        <v>4.0599999999999996</v>
      </c>
    </row>
    <row r="576" spans="1:8" ht="16.5" customHeight="1" thickBot="1">
      <c r="B576" s="2404" t="s">
        <v>7316</v>
      </c>
      <c r="C576" s="2404"/>
      <c r="D576" s="2404"/>
      <c r="E576" s="2404"/>
      <c r="F576" s="325" t="s">
        <v>167</v>
      </c>
      <c r="G576" s="326">
        <f>SUM(G571:G575)</f>
        <v>54.46</v>
      </c>
    </row>
    <row r="577" spans="1:8" ht="15.75" thickBot="1">
      <c r="B577" s="2404"/>
      <c r="C577" s="2404"/>
      <c r="D577" s="2404"/>
      <c r="E577" s="2404"/>
    </row>
    <row r="578" spans="1:8" ht="21.75" customHeight="1">
      <c r="A578" s="271"/>
      <c r="B578" s="1669" t="s">
        <v>181</v>
      </c>
      <c r="C578" s="2164" t="s">
        <v>7317</v>
      </c>
      <c r="D578" s="2165"/>
      <c r="E578" s="2165"/>
      <c r="F578" s="2166"/>
      <c r="G578" s="1715" t="s">
        <v>22</v>
      </c>
      <c r="H578" s="681" t="s">
        <v>1978</v>
      </c>
    </row>
    <row r="579" spans="1:8" ht="31.5">
      <c r="A579" s="271"/>
      <c r="B579" s="1107" t="s">
        <v>174</v>
      </c>
      <c r="C579" s="1108" t="s">
        <v>175</v>
      </c>
      <c r="D579" s="1109" t="s">
        <v>176</v>
      </c>
      <c r="E579" s="1110" t="s">
        <v>177</v>
      </c>
      <c r="F579" s="1181" t="s">
        <v>178</v>
      </c>
      <c r="G579" s="1112" t="s">
        <v>179</v>
      </c>
      <c r="H579" s="271"/>
    </row>
    <row r="580" spans="1:8" ht="15.75">
      <c r="A580" s="271"/>
      <c r="B580" s="1174">
        <v>45253</v>
      </c>
      <c r="C580" s="1297" t="s">
        <v>5879</v>
      </c>
      <c r="D580" s="1333">
        <v>32.020000000000003</v>
      </c>
      <c r="E580" s="1192" t="s">
        <v>2185</v>
      </c>
      <c r="F580" s="1461" t="s">
        <v>4611</v>
      </c>
      <c r="G580" s="1332" t="s">
        <v>2840</v>
      </c>
      <c r="H580" s="610"/>
    </row>
    <row r="581" spans="1:8" ht="15.75">
      <c r="A581" s="271"/>
      <c r="B581" s="1174">
        <v>45264</v>
      </c>
      <c r="C581" s="1114" t="s">
        <v>2708</v>
      </c>
      <c r="D581" s="1115">
        <v>45.07</v>
      </c>
      <c r="E581" s="1114" t="s">
        <v>545</v>
      </c>
      <c r="F581" s="1139" t="s">
        <v>1808</v>
      </c>
      <c r="G581" s="968" t="s">
        <v>555</v>
      </c>
      <c r="H581" s="610"/>
    </row>
    <row r="582" spans="1:8" ht="15.75">
      <c r="A582" s="271"/>
      <c r="B582" s="1174">
        <v>45254</v>
      </c>
      <c r="C582" s="1297" t="s">
        <v>4588</v>
      </c>
      <c r="D582" s="1333">
        <v>64.709999999999994</v>
      </c>
      <c r="E582" s="1192" t="s">
        <v>5057</v>
      </c>
      <c r="F582" s="1461" t="s">
        <v>1979</v>
      </c>
      <c r="G582" s="1332" t="s">
        <v>5871</v>
      </c>
      <c r="H582" s="610"/>
    </row>
    <row r="583" spans="1:8" ht="16.5" thickBot="1">
      <c r="A583" s="271"/>
      <c r="B583" s="1672"/>
      <c r="C583" s="1668" t="s">
        <v>180</v>
      </c>
      <c r="D583" s="1673">
        <f>IF(COUNT(D579:D582)=3,MEDIAN(D579:D582),SMALL(D580:D582,1))</f>
        <v>45.07</v>
      </c>
      <c r="E583" s="1674"/>
      <c r="F583" s="1675"/>
      <c r="G583" s="1671"/>
      <c r="H583" s="271"/>
    </row>
    <row r="584" spans="1:8" ht="15.75" thickBot="1">
      <c r="B584" s="2411"/>
      <c r="C584" s="2412"/>
      <c r="D584" s="2412"/>
      <c r="E584" s="2412"/>
      <c r="F584" s="2412"/>
      <c r="G584" s="2413"/>
    </row>
    <row r="585" spans="1:8" ht="31.5" customHeight="1">
      <c r="B585" s="623" t="str">
        <f>IF(COUNT($H$17:H585)&lt;10,CONCATENATE("CPU LOG 00",COUNT($H$17:H585)),CONCATENATE("CPU LOG 0",COUNT($H$17:H585)))</f>
        <v>CPU LOG 042</v>
      </c>
      <c r="C585" s="2180" t="str">
        <f>CONCATENATE("FORNECIMENTO E INSTALAÇÃO DE ",C588)</f>
        <v>FORNECIMENTO E INSTALAÇÃO DE Tê VERTICAL PARA ELETROCALHA PERFURADA GALVANIZADA DE 100 X 50mm</v>
      </c>
      <c r="D585" s="2181"/>
      <c r="E585" s="2181"/>
      <c r="F585" s="2181"/>
      <c r="G585" s="624" t="s">
        <v>22</v>
      </c>
      <c r="H585" s="615">
        <f>G592</f>
        <v>51.65</v>
      </c>
    </row>
    <row r="586" spans="1:8" ht="31.5">
      <c r="B586" s="750" t="s">
        <v>197</v>
      </c>
      <c r="C586" s="751" t="s">
        <v>161</v>
      </c>
      <c r="D586" s="826" t="s">
        <v>22</v>
      </c>
      <c r="E586" s="751" t="s">
        <v>162</v>
      </c>
      <c r="F586" s="752" t="s">
        <v>163</v>
      </c>
      <c r="G586" s="753" t="s">
        <v>164</v>
      </c>
    </row>
    <row r="587" spans="1:8" ht="15.75">
      <c r="B587" s="2408" t="s">
        <v>165</v>
      </c>
      <c r="C587" s="2409"/>
      <c r="D587" s="2409"/>
      <c r="E587" s="2409"/>
      <c r="F587" s="2409"/>
      <c r="G587" s="2410"/>
    </row>
    <row r="588" spans="1:8" ht="30">
      <c r="B588" s="856" t="s">
        <v>181</v>
      </c>
      <c r="C588" s="852" t="str">
        <f>C595</f>
        <v>Tê VERTICAL PARA ELETROCALHA PERFURADA GALVANIZADA DE 100 X 50mm</v>
      </c>
      <c r="D588" s="859" t="str">
        <f>G595</f>
        <v>UN</v>
      </c>
      <c r="E588" s="846">
        <v>1</v>
      </c>
      <c r="F588" s="846">
        <f>D600</f>
        <v>42.26</v>
      </c>
      <c r="G588" s="848">
        <f>TRUNC(F588*E588,2)</f>
        <v>42.26</v>
      </c>
    </row>
    <row r="589" spans="1:8" ht="15.75">
      <c r="B589" s="2408" t="s">
        <v>166</v>
      </c>
      <c r="C589" s="2409"/>
      <c r="D589" s="2409"/>
      <c r="E589" s="2409"/>
      <c r="F589" s="2409"/>
      <c r="G589" s="2410"/>
    </row>
    <row r="590" spans="1:8" ht="15.75">
      <c r="A590" s="333" t="s">
        <v>391</v>
      </c>
      <c r="B590" s="841">
        <v>88264</v>
      </c>
      <c r="C590" s="728" t="str">
        <f>IF($A590="INSUMO",VLOOKUP($B590,'BANCO DE DADOS JANEIRO-24 INS'!$A:$D,2,FALSE),VLOOKUP($B590,'BANCO DE DADOS JANEIRO-24 SERV'!$B:$E,2,FALSE))</f>
        <v>ELETRICISTA COM ENCARGOS COMPLEMENTARES</v>
      </c>
      <c r="D590" s="732" t="str">
        <f>IF($A590="INSUMO",VLOOKUP($B590,'BANCO DE DADOS JANEIRO-24 INS'!$A:$D,3,FALSE),VLOOKUP($B590,'BANCO DE DADOS JANEIRO-24 SERV'!$B:$E,3,FALSE))</f>
        <v>H</v>
      </c>
      <c r="E590" s="820">
        <v>0.2</v>
      </c>
      <c r="F590" s="755">
        <f>IF($A590="INSUMO",VLOOKUP($B590,'BANCO DE DADOS JANEIRO-24 INS'!$A:$D,4,FALSE),VLOOKUP($B590,'BANCO DE DADOS JANEIRO-24 SERV'!$B:$E,4,FALSE))</f>
        <v>26.68</v>
      </c>
      <c r="G590" s="840">
        <f>TRUNC(F590*E590,2)</f>
        <v>5.33</v>
      </c>
    </row>
    <row r="591" spans="1:8" ht="16.5" thickBot="1">
      <c r="A591" s="333" t="s">
        <v>391</v>
      </c>
      <c r="B591" s="625">
        <v>88316</v>
      </c>
      <c r="C591" s="731" t="str">
        <f>IF($A591="INSUMO",VLOOKUP($B591,'BANCO DE DADOS JANEIRO-24 INS'!$A:$D,2,FALSE),VLOOKUP($B591,'BANCO DE DADOS JANEIRO-24 SERV'!$B:$E,2,FALSE))</f>
        <v>SERVENTE COM ENCARGOS COMPLEMENTARES</v>
      </c>
      <c r="D591" s="729" t="str">
        <f>IF($A591="INSUMO",VLOOKUP($B591,'BANCO DE DADOS JANEIRO-24 INS'!$A:$D,3,FALSE),VLOOKUP($B591,'BANCO DE DADOS JANEIRO-24 SERV'!$B:$E,3,FALSE))</f>
        <v>H</v>
      </c>
      <c r="E591" s="850">
        <v>0.2</v>
      </c>
      <c r="F591" s="757">
        <f>IF($A591="INSUMO",VLOOKUP($B591,'BANCO DE DADOS JANEIRO-24 INS'!$A:$D,4,FALSE),VLOOKUP($B591,'BANCO DE DADOS JANEIRO-24 SERV'!$B:$E,4,FALSE))</f>
        <v>20.32</v>
      </c>
      <c r="G591" s="626">
        <f>TRUNC(F591*E591,2)</f>
        <v>4.0599999999999996</v>
      </c>
    </row>
    <row r="592" spans="1:8" ht="16.5" customHeight="1" thickBot="1">
      <c r="B592" s="2404" t="s">
        <v>7319</v>
      </c>
      <c r="C592" s="2404"/>
      <c r="D592" s="2404"/>
      <c r="E592" s="2404"/>
      <c r="F592" s="325" t="s">
        <v>167</v>
      </c>
      <c r="G592" s="326">
        <f>SUM(G587:G591)</f>
        <v>51.65</v>
      </c>
    </row>
    <row r="593" spans="1:8">
      <c r="B593" s="2404"/>
      <c r="C593" s="2404"/>
      <c r="D593" s="2404"/>
      <c r="E593" s="2404"/>
    </row>
    <row r="594" spans="1:8" ht="6" customHeight="1" thickBot="1"/>
    <row r="595" spans="1:8" ht="20.25" customHeight="1">
      <c r="A595" s="271"/>
      <c r="B595" s="1669" t="s">
        <v>181</v>
      </c>
      <c r="C595" s="2416" t="s">
        <v>7318</v>
      </c>
      <c r="D595" s="2417"/>
      <c r="E595" s="2417"/>
      <c r="F595" s="2418"/>
      <c r="G595" s="1676" t="s">
        <v>22</v>
      </c>
      <c r="H595" s="681" t="s">
        <v>1978</v>
      </c>
    </row>
    <row r="596" spans="1:8" ht="31.5">
      <c r="A596" s="271"/>
      <c r="B596" s="1107" t="s">
        <v>174</v>
      </c>
      <c r="C596" s="1108" t="s">
        <v>175</v>
      </c>
      <c r="D596" s="1109" t="s">
        <v>176</v>
      </c>
      <c r="E596" s="1110" t="s">
        <v>177</v>
      </c>
      <c r="F596" s="1111" t="s">
        <v>178</v>
      </c>
      <c r="G596" s="1112" t="s">
        <v>179</v>
      </c>
      <c r="H596" s="271"/>
    </row>
    <row r="597" spans="1:8" ht="15.75">
      <c r="A597" s="271"/>
      <c r="B597" s="1174">
        <v>45180</v>
      </c>
      <c r="C597" s="1297" t="s">
        <v>2708</v>
      </c>
      <c r="D597" s="1333">
        <v>42.26</v>
      </c>
      <c r="E597" s="1339" t="s">
        <v>545</v>
      </c>
      <c r="F597" s="1298" t="s">
        <v>1808</v>
      </c>
      <c r="G597" s="1332" t="s">
        <v>555</v>
      </c>
      <c r="H597" s="610"/>
    </row>
    <row r="598" spans="1:8">
      <c r="A598" s="271"/>
      <c r="B598" s="1299">
        <v>45181</v>
      </c>
      <c r="C598" s="1297" t="s">
        <v>4588</v>
      </c>
      <c r="D598" s="1333">
        <v>61.15</v>
      </c>
      <c r="E598" s="1192" t="s">
        <v>5057</v>
      </c>
      <c r="F598" s="1298" t="s">
        <v>1979</v>
      </c>
      <c r="G598" s="1364" t="s">
        <v>5871</v>
      </c>
      <c r="H598" s="271"/>
    </row>
    <row r="599" spans="1:8">
      <c r="A599" s="271"/>
      <c r="B599" s="1174">
        <v>45181</v>
      </c>
      <c r="C599" s="1297" t="s">
        <v>3401</v>
      </c>
      <c r="D599" s="1333">
        <v>39.799999999999997</v>
      </c>
      <c r="E599" s="1192" t="s">
        <v>2062</v>
      </c>
      <c r="F599" s="1298" t="s">
        <v>2063</v>
      </c>
      <c r="G599" s="1332" t="s">
        <v>5870</v>
      </c>
      <c r="H599" s="271"/>
    </row>
    <row r="600" spans="1:8" ht="16.5" thickBot="1">
      <c r="A600" s="271"/>
      <c r="B600" s="1672"/>
      <c r="C600" s="1668" t="s">
        <v>180</v>
      </c>
      <c r="D600" s="1673">
        <f>IF(COUNT(D596:D599)=3,MEDIAN(D596:D599),SMALL(D597:D599,1))</f>
        <v>42.26</v>
      </c>
      <c r="E600" s="1674"/>
      <c r="F600" s="1675"/>
      <c r="G600" s="1671"/>
      <c r="H600" s="271"/>
    </row>
    <row r="601" spans="1:8" ht="15.75" thickBot="1">
      <c r="B601" s="2411"/>
      <c r="C601" s="2412"/>
      <c r="D601" s="2412"/>
      <c r="E601" s="2412"/>
      <c r="F601" s="2412"/>
      <c r="G601" s="2413"/>
    </row>
    <row r="602" spans="1:8" ht="35.25" customHeight="1">
      <c r="B602" s="623" t="str">
        <f>IF(COUNT($H$17:H602)&lt;10,CONCATENATE("CPU LOG 00",COUNT($H$17:H602)),CONCATENATE("CPU LOG 0",COUNT($H$17:H602)))</f>
        <v>CPU LOG 043</v>
      </c>
      <c r="C602" s="2180" t="str">
        <f>CONCATENATE("FORNECIMENTO E INSTALAÇÃO DE ",C605)</f>
        <v>FORNECIMENTO E INSTALAÇÃO DE EMENDA INTERNA PARA ELETROCLHA PERFURADA GALVANIZADA DE 100 X 50 X 3000mm</v>
      </c>
      <c r="D602" s="2181"/>
      <c r="E602" s="2181"/>
      <c r="F602" s="2181"/>
      <c r="G602" s="624" t="s">
        <v>22</v>
      </c>
      <c r="H602" s="615">
        <f>G609</f>
        <v>15.89</v>
      </c>
    </row>
    <row r="603" spans="1:8" ht="31.5">
      <c r="B603" s="750" t="s">
        <v>197</v>
      </c>
      <c r="C603" s="751" t="s">
        <v>161</v>
      </c>
      <c r="D603" s="826" t="s">
        <v>22</v>
      </c>
      <c r="E603" s="751" t="s">
        <v>162</v>
      </c>
      <c r="F603" s="752" t="s">
        <v>163</v>
      </c>
      <c r="G603" s="753" t="s">
        <v>164</v>
      </c>
    </row>
    <row r="604" spans="1:8" ht="15.75">
      <c r="B604" s="2408" t="s">
        <v>165</v>
      </c>
      <c r="C604" s="2409"/>
      <c r="D604" s="2409"/>
      <c r="E604" s="2409"/>
      <c r="F604" s="2409"/>
      <c r="G604" s="2410"/>
    </row>
    <row r="605" spans="1:8" ht="30">
      <c r="B605" s="856" t="s">
        <v>181</v>
      </c>
      <c r="C605" s="852" t="str">
        <f>C611</f>
        <v>EMENDA INTERNA PARA ELETROCLHA PERFURADA GALVANIZADA DE 100 X 50 X 3000mm</v>
      </c>
      <c r="D605" s="859" t="str">
        <f>G611</f>
        <v>UN</v>
      </c>
      <c r="E605" s="846">
        <v>1</v>
      </c>
      <c r="F605" s="846">
        <f>D616</f>
        <v>6.5</v>
      </c>
      <c r="G605" s="848">
        <f>TRUNC(F605*E605,2)</f>
        <v>6.5</v>
      </c>
    </row>
    <row r="606" spans="1:8" ht="15.75">
      <c r="B606" s="2408" t="s">
        <v>166</v>
      </c>
      <c r="C606" s="2409"/>
      <c r="D606" s="2409"/>
      <c r="E606" s="2409"/>
      <c r="F606" s="2409"/>
      <c r="G606" s="2410"/>
    </row>
    <row r="607" spans="1:8" ht="15.75">
      <c r="A607" s="333" t="s">
        <v>391</v>
      </c>
      <c r="B607" s="841">
        <v>88264</v>
      </c>
      <c r="C607" s="728" t="str">
        <f>IF($A607="INSUMO",VLOOKUP($B607,'BANCO DE DADOS JANEIRO-24 INS'!$A:$D,2,FALSE),VLOOKUP($B607,'BANCO DE DADOS JANEIRO-24 SERV'!$B:$E,2,FALSE))</f>
        <v>ELETRICISTA COM ENCARGOS COMPLEMENTARES</v>
      </c>
      <c r="D607" s="732" t="str">
        <f>IF($A607="INSUMO",VLOOKUP($B607,'BANCO DE DADOS JANEIRO-24 INS'!$A:$D,3,FALSE),VLOOKUP($B607,'BANCO DE DADOS JANEIRO-24 SERV'!$B:$E,3,FALSE))</f>
        <v>H</v>
      </c>
      <c r="E607" s="820">
        <v>0.2</v>
      </c>
      <c r="F607" s="755">
        <f>IF($A607="INSUMO",VLOOKUP($B607,'BANCO DE DADOS JANEIRO-24 INS'!$A:$D,4,FALSE),VLOOKUP($B607,'BANCO DE DADOS JANEIRO-24 SERV'!$B:$E,4,FALSE))</f>
        <v>26.68</v>
      </c>
      <c r="G607" s="840">
        <f>TRUNC(F607*E607,2)</f>
        <v>5.33</v>
      </c>
    </row>
    <row r="608" spans="1:8" ht="16.5" thickBot="1">
      <c r="A608" s="333" t="s">
        <v>391</v>
      </c>
      <c r="B608" s="625">
        <v>88316</v>
      </c>
      <c r="C608" s="731" t="str">
        <f>IF($A608="INSUMO",VLOOKUP($B608,'BANCO DE DADOS JANEIRO-24 INS'!$A:$D,2,FALSE),VLOOKUP($B608,'BANCO DE DADOS JANEIRO-24 SERV'!$B:$E,2,FALSE))</f>
        <v>SERVENTE COM ENCARGOS COMPLEMENTARES</v>
      </c>
      <c r="D608" s="729" t="str">
        <f>IF($A608="INSUMO",VLOOKUP($B608,'BANCO DE DADOS JANEIRO-24 INS'!$A:$D,3,FALSE),VLOOKUP($B608,'BANCO DE DADOS JANEIRO-24 SERV'!$B:$E,3,FALSE))</f>
        <v>H</v>
      </c>
      <c r="E608" s="850">
        <v>0.2</v>
      </c>
      <c r="F608" s="757">
        <f>IF($A608="INSUMO",VLOOKUP($B608,'BANCO DE DADOS JANEIRO-24 INS'!$A:$D,4,FALSE),VLOOKUP($B608,'BANCO DE DADOS JANEIRO-24 SERV'!$B:$E,4,FALSE))</f>
        <v>20.32</v>
      </c>
      <c r="G608" s="626">
        <f>TRUNC(F608*E608,2)</f>
        <v>4.0599999999999996</v>
      </c>
    </row>
    <row r="609" spans="1:8" ht="16.5" customHeight="1" thickBot="1">
      <c r="B609" s="2404" t="s">
        <v>7320</v>
      </c>
      <c r="C609" s="2404"/>
      <c r="D609" s="2404"/>
      <c r="E609" s="2404"/>
      <c r="F609" s="325" t="s">
        <v>167</v>
      </c>
      <c r="G609" s="326">
        <f>SUM(G604:G608)</f>
        <v>15.89</v>
      </c>
    </row>
    <row r="610" spans="1:8" ht="15.75" thickBot="1">
      <c r="B610" s="2404"/>
      <c r="C610" s="2404"/>
      <c r="D610" s="2404"/>
      <c r="E610" s="2404"/>
    </row>
    <row r="611" spans="1:8" ht="15.75">
      <c r="A611" s="271"/>
      <c r="B611" s="1669" t="s">
        <v>181</v>
      </c>
      <c r="C611" s="2164" t="s">
        <v>546</v>
      </c>
      <c r="D611" s="2165"/>
      <c r="E611" s="2165"/>
      <c r="F611" s="2166"/>
      <c r="G611" s="1715" t="s">
        <v>22</v>
      </c>
      <c r="H611" s="681" t="s">
        <v>1978</v>
      </c>
    </row>
    <row r="612" spans="1:8" ht="31.5">
      <c r="A612" s="271"/>
      <c r="B612" s="1107" t="s">
        <v>174</v>
      </c>
      <c r="C612" s="1108" t="s">
        <v>175</v>
      </c>
      <c r="D612" s="1109" t="s">
        <v>176</v>
      </c>
      <c r="E612" s="1110" t="s">
        <v>177</v>
      </c>
      <c r="F612" s="1181" t="s">
        <v>178</v>
      </c>
      <c r="G612" s="1112" t="s">
        <v>179</v>
      </c>
      <c r="H612" s="271"/>
    </row>
    <row r="613" spans="1:8" ht="15.75">
      <c r="A613" s="271"/>
      <c r="B613" s="1174">
        <v>45182</v>
      </c>
      <c r="C613" s="1297" t="s">
        <v>5877</v>
      </c>
      <c r="D613" s="1333">
        <v>6.5</v>
      </c>
      <c r="E613" s="1192" t="s">
        <v>1982</v>
      </c>
      <c r="F613" s="1461" t="s">
        <v>195</v>
      </c>
      <c r="G613" s="1332" t="s">
        <v>5211</v>
      </c>
      <c r="H613" s="610"/>
    </row>
    <row r="614" spans="1:8" ht="15.75">
      <c r="A614" s="271"/>
      <c r="B614" s="1174">
        <v>45181</v>
      </c>
      <c r="C614" s="1114" t="s">
        <v>4588</v>
      </c>
      <c r="D614" s="1115">
        <v>6.6</v>
      </c>
      <c r="E614" s="1114" t="s">
        <v>5057</v>
      </c>
      <c r="F614" s="1139" t="s">
        <v>1979</v>
      </c>
      <c r="G614" s="968" t="s">
        <v>5871</v>
      </c>
      <c r="H614" s="610"/>
    </row>
    <row r="615" spans="1:8" ht="15.75">
      <c r="A615" s="271"/>
      <c r="B615" s="1174">
        <v>45180</v>
      </c>
      <c r="C615" s="1297" t="s">
        <v>5879</v>
      </c>
      <c r="D615" s="1333">
        <v>3.56</v>
      </c>
      <c r="E615" s="1192" t="s">
        <v>2185</v>
      </c>
      <c r="F615" s="1461" t="s">
        <v>4611</v>
      </c>
      <c r="G615" s="1332" t="s">
        <v>2840</v>
      </c>
      <c r="H615" s="610"/>
    </row>
    <row r="616" spans="1:8" ht="16.5" thickBot="1">
      <c r="A616" s="271"/>
      <c r="B616" s="1672"/>
      <c r="C616" s="1668" t="s">
        <v>180</v>
      </c>
      <c r="D616" s="1673">
        <f>IF(COUNT(D612:D615)=3,MEDIAN(D612:D615),SMALL(D613:D615,1))</f>
        <v>6.5</v>
      </c>
      <c r="E616" s="1674"/>
      <c r="F616" s="1675"/>
      <c r="G616" s="1671"/>
      <c r="H616" s="271"/>
    </row>
    <row r="617" spans="1:8" ht="15.75" thickBot="1">
      <c r="B617" s="2411"/>
      <c r="C617" s="2412"/>
      <c r="D617" s="2412"/>
      <c r="E617" s="2412"/>
      <c r="F617" s="2412"/>
      <c r="G617" s="2413"/>
    </row>
    <row r="618" spans="1:8" ht="39.75" customHeight="1">
      <c r="B618" s="623" t="str">
        <f>IF(COUNT($H$17:H618)&lt;10,CONCATENATE("CPU LOG 00",COUNT($H$17:H618)),CONCATENATE("CPU LOG 0",COUNT($H$17:H618)))</f>
        <v>CPU LOG 044</v>
      </c>
      <c r="C618" s="2180" t="str">
        <f>CONCATENATE("FORNECIMENTO E INSTALAÇÃO DE ",C621)</f>
        <v>FORNECIMENTO E INSTALAÇÃO DE TERMINAL DE FECHAMENTO PARA ELETROCALHA PERFURADA GALVANIZADA DE 100 X 50 3000mm</v>
      </c>
      <c r="D618" s="2181"/>
      <c r="E618" s="2181"/>
      <c r="F618" s="2181"/>
      <c r="G618" s="624" t="s">
        <v>22</v>
      </c>
      <c r="H618" s="615">
        <f>G625</f>
        <v>23.189999999999998</v>
      </c>
    </row>
    <row r="619" spans="1:8" ht="31.5">
      <c r="B619" s="750" t="s">
        <v>197</v>
      </c>
      <c r="C619" s="751" t="s">
        <v>161</v>
      </c>
      <c r="D619" s="826" t="s">
        <v>22</v>
      </c>
      <c r="E619" s="751" t="s">
        <v>162</v>
      </c>
      <c r="F619" s="752" t="s">
        <v>163</v>
      </c>
      <c r="G619" s="753" t="s">
        <v>164</v>
      </c>
    </row>
    <row r="620" spans="1:8" ht="15.75">
      <c r="B620" s="2408" t="s">
        <v>165</v>
      </c>
      <c r="C620" s="2409"/>
      <c r="D620" s="2409"/>
      <c r="E620" s="2409"/>
      <c r="F620" s="2409"/>
      <c r="G620" s="2410"/>
    </row>
    <row r="621" spans="1:8" ht="30">
      <c r="B621" s="856" t="s">
        <v>181</v>
      </c>
      <c r="C621" s="852" t="str">
        <f>C628</f>
        <v>TERMINAL DE FECHAMENTO PARA ELETROCALHA PERFURADA GALVANIZADA DE 100 X 50 3000mm</v>
      </c>
      <c r="D621" s="859" t="str">
        <f>G628</f>
        <v>UN</v>
      </c>
      <c r="E621" s="846">
        <v>1</v>
      </c>
      <c r="F621" s="846">
        <f>D633</f>
        <v>6.75</v>
      </c>
      <c r="G621" s="848">
        <f>TRUNC(F621*E621,2)</f>
        <v>6.75</v>
      </c>
    </row>
    <row r="622" spans="1:8" ht="15.75">
      <c r="B622" s="2408" t="s">
        <v>166</v>
      </c>
      <c r="C622" s="2409"/>
      <c r="D622" s="2409"/>
      <c r="E622" s="2409"/>
      <c r="F622" s="2409"/>
      <c r="G622" s="2410"/>
    </row>
    <row r="623" spans="1:8" ht="15.75">
      <c r="A623" s="333" t="s">
        <v>391</v>
      </c>
      <c r="B623" s="841">
        <v>88264</v>
      </c>
      <c r="C623" s="728" t="str">
        <f>IF($A623="INSUMO",VLOOKUP($B623,'BANCO DE DADOS JANEIRO-24 INS'!$A:$D,2,FALSE),VLOOKUP($B623,'BANCO DE DADOS JANEIRO-24 SERV'!$B:$E,2,FALSE))</f>
        <v>ELETRICISTA COM ENCARGOS COMPLEMENTARES</v>
      </c>
      <c r="D623" s="732" t="str">
        <f>IF($A623="INSUMO",VLOOKUP($B623,'BANCO DE DADOS JANEIRO-24 INS'!$A:$D,3,FALSE),VLOOKUP($B623,'BANCO DE DADOS JANEIRO-24 SERV'!$B:$E,3,FALSE))</f>
        <v>H</v>
      </c>
      <c r="E623" s="820">
        <v>0.35</v>
      </c>
      <c r="F623" s="755">
        <f>IF($A623="INSUMO",VLOOKUP($B623,'BANCO DE DADOS JANEIRO-24 INS'!$A:$D,4,FALSE),VLOOKUP($B623,'BANCO DE DADOS JANEIRO-24 SERV'!$B:$E,4,FALSE))</f>
        <v>26.68</v>
      </c>
      <c r="G623" s="840">
        <f>TRUNC(F623*E623,2)</f>
        <v>9.33</v>
      </c>
    </row>
    <row r="624" spans="1:8" ht="16.5" thickBot="1">
      <c r="A624" s="333" t="s">
        <v>391</v>
      </c>
      <c r="B624" s="625">
        <v>88316</v>
      </c>
      <c r="C624" s="731" t="str">
        <f>IF($A624="INSUMO",VLOOKUP($B624,'BANCO DE DADOS JANEIRO-24 INS'!$A:$D,2,FALSE),VLOOKUP($B624,'BANCO DE DADOS JANEIRO-24 SERV'!$B:$E,2,FALSE))</f>
        <v>SERVENTE COM ENCARGOS COMPLEMENTARES</v>
      </c>
      <c r="D624" s="729" t="str">
        <f>IF($A624="INSUMO",VLOOKUP($B624,'BANCO DE DADOS JANEIRO-24 INS'!$A:$D,3,FALSE),VLOOKUP($B624,'BANCO DE DADOS JANEIRO-24 SERV'!$B:$E,3,FALSE))</f>
        <v>H</v>
      </c>
      <c r="E624" s="850">
        <v>0.35</v>
      </c>
      <c r="F624" s="757">
        <f>IF($A624="INSUMO",VLOOKUP($B624,'BANCO DE DADOS JANEIRO-24 INS'!$A:$D,4,FALSE),VLOOKUP($B624,'BANCO DE DADOS JANEIRO-24 SERV'!$B:$E,4,FALSE))</f>
        <v>20.32</v>
      </c>
      <c r="G624" s="626">
        <f>TRUNC(F624*E624,2)</f>
        <v>7.11</v>
      </c>
    </row>
    <row r="625" spans="1:8" ht="16.5" customHeight="1" thickBot="1">
      <c r="B625" s="2404" t="s">
        <v>7321</v>
      </c>
      <c r="C625" s="2404"/>
      <c r="D625" s="2404"/>
      <c r="E625" s="2404"/>
      <c r="F625" s="325" t="s">
        <v>167</v>
      </c>
      <c r="G625" s="326">
        <f>SUM(G620:G624)</f>
        <v>23.189999999999998</v>
      </c>
    </row>
    <row r="626" spans="1:8">
      <c r="B626" s="2404"/>
      <c r="C626" s="2404"/>
      <c r="D626" s="2404"/>
      <c r="E626" s="2404"/>
    </row>
    <row r="627" spans="1:8" ht="15.75" thickBot="1">
      <c r="B627" s="682"/>
      <c r="G627" s="668"/>
    </row>
    <row r="628" spans="1:8" ht="15.75">
      <c r="A628" s="271"/>
      <c r="B628" s="1669" t="s">
        <v>181</v>
      </c>
      <c r="C628" s="2164" t="s">
        <v>547</v>
      </c>
      <c r="D628" s="2165"/>
      <c r="E628" s="2165"/>
      <c r="F628" s="2166"/>
      <c r="G628" s="1715" t="s">
        <v>22</v>
      </c>
      <c r="H628" s="681" t="s">
        <v>1978</v>
      </c>
    </row>
    <row r="629" spans="1:8" ht="31.5">
      <c r="A629" s="271"/>
      <c r="B629" s="1107" t="s">
        <v>174</v>
      </c>
      <c r="C629" s="1108" t="s">
        <v>175</v>
      </c>
      <c r="D629" s="1109" t="s">
        <v>176</v>
      </c>
      <c r="E629" s="1110" t="s">
        <v>177</v>
      </c>
      <c r="F629" s="1181" t="s">
        <v>178</v>
      </c>
      <c r="G629" s="1112" t="s">
        <v>179</v>
      </c>
      <c r="H629" s="271"/>
    </row>
    <row r="630" spans="1:8" ht="15.75">
      <c r="A630" s="271"/>
      <c r="B630" s="1174">
        <v>45181</v>
      </c>
      <c r="C630" s="1297" t="s">
        <v>3401</v>
      </c>
      <c r="D630" s="1333">
        <v>7.59</v>
      </c>
      <c r="E630" s="1192" t="s">
        <v>2062</v>
      </c>
      <c r="F630" s="1461" t="s">
        <v>2063</v>
      </c>
      <c r="G630" s="1332" t="s">
        <v>5870</v>
      </c>
      <c r="H630" s="610"/>
    </row>
    <row r="631" spans="1:8" ht="15.75">
      <c r="A631" s="271"/>
      <c r="B631" s="1174">
        <v>45182</v>
      </c>
      <c r="C631" s="1114" t="s">
        <v>5877</v>
      </c>
      <c r="D631" s="1115">
        <v>6.75</v>
      </c>
      <c r="E631" s="1114" t="s">
        <v>1982</v>
      </c>
      <c r="F631" s="1139" t="s">
        <v>195</v>
      </c>
      <c r="G631" s="968" t="s">
        <v>5211</v>
      </c>
      <c r="H631" s="610"/>
    </row>
    <row r="632" spans="1:8" ht="15.75">
      <c r="A632" s="271"/>
      <c r="B632" s="1174">
        <v>45180</v>
      </c>
      <c r="C632" s="1297" t="s">
        <v>2708</v>
      </c>
      <c r="D632" s="1333">
        <v>5.49</v>
      </c>
      <c r="E632" s="1192" t="s">
        <v>545</v>
      </c>
      <c r="F632" s="1461" t="s">
        <v>1808</v>
      </c>
      <c r="G632" s="1332" t="s">
        <v>555</v>
      </c>
      <c r="H632" s="610"/>
    </row>
    <row r="633" spans="1:8" ht="16.5" thickBot="1">
      <c r="A633" s="271"/>
      <c r="B633" s="1672"/>
      <c r="C633" s="1668" t="s">
        <v>180</v>
      </c>
      <c r="D633" s="1673">
        <f>IF(COUNT(D629:D632)=3,MEDIAN(D629:D632),SMALL(D630:D632,1))</f>
        <v>6.75</v>
      </c>
      <c r="E633" s="1674"/>
      <c r="F633" s="1675"/>
      <c r="G633" s="1671"/>
      <c r="H633" s="610"/>
    </row>
    <row r="634" spans="1:8" ht="15.75" thickBot="1">
      <c r="B634" s="2411"/>
      <c r="C634" s="2412"/>
      <c r="D634" s="2412"/>
      <c r="E634" s="2412"/>
      <c r="F634" s="2412"/>
      <c r="G634" s="2413"/>
    </row>
    <row r="635" spans="1:8" ht="27.75" customHeight="1">
      <c r="B635" s="623" t="str">
        <f>IF(COUNT($H$17:H635)&lt;10,CONCATENATE("CPU LOG 00",COUNT($H$17:H635)),CONCATENATE("CPU LOG 0",COUNT($H$17:H635)))</f>
        <v>CPU LOG 045</v>
      </c>
      <c r="C635" s="2180" t="str">
        <f>CONCATENATE("FORNECIMENTO E INSTALAÇÃO DE ",C638)</f>
        <v>FORNECIMENTO E INSTALAÇÃO DE SUSPENSÃO VERTICAL PARA ELETROCALHA PERFURADA #100 X 50 mm</v>
      </c>
      <c r="D635" s="2181"/>
      <c r="E635" s="2181"/>
      <c r="F635" s="2181"/>
      <c r="G635" s="624" t="s">
        <v>22</v>
      </c>
      <c r="H635" s="615">
        <f>G642</f>
        <v>14.079999999999998</v>
      </c>
    </row>
    <row r="636" spans="1:8" ht="31.5">
      <c r="B636" s="750" t="s">
        <v>197</v>
      </c>
      <c r="C636" s="751" t="s">
        <v>161</v>
      </c>
      <c r="D636" s="826" t="s">
        <v>22</v>
      </c>
      <c r="E636" s="751" t="s">
        <v>162</v>
      </c>
      <c r="F636" s="752" t="s">
        <v>163</v>
      </c>
      <c r="G636" s="753" t="s">
        <v>164</v>
      </c>
    </row>
    <row r="637" spans="1:8" ht="15.75">
      <c r="B637" s="2408" t="s">
        <v>165</v>
      </c>
      <c r="C637" s="2409"/>
      <c r="D637" s="2409"/>
      <c r="E637" s="2409"/>
      <c r="F637" s="2409"/>
      <c r="G637" s="2410"/>
    </row>
    <row r="638" spans="1:8" ht="30">
      <c r="B638" s="856" t="s">
        <v>181</v>
      </c>
      <c r="C638" s="1350" t="str">
        <f>C644</f>
        <v>SUSPENSÃO VERTICAL PARA ELETROCALHA PERFURADA #100 X 50 mm</v>
      </c>
      <c r="D638" s="1341" t="str">
        <f>G644</f>
        <v>UN</v>
      </c>
      <c r="E638" s="1351">
        <v>1</v>
      </c>
      <c r="F638" s="1351">
        <f>D649</f>
        <v>4.6900000000000004</v>
      </c>
      <c r="G638" s="1352">
        <f>TRUNC(F638*E638,2)</f>
        <v>4.6900000000000004</v>
      </c>
    </row>
    <row r="639" spans="1:8" ht="15.75">
      <c r="B639" s="2408" t="s">
        <v>166</v>
      </c>
      <c r="C639" s="2409"/>
      <c r="D639" s="2409"/>
      <c r="E639" s="2409"/>
      <c r="F639" s="2409"/>
      <c r="G639" s="2410"/>
    </row>
    <row r="640" spans="1:8" ht="15.75">
      <c r="A640" s="333" t="s">
        <v>391</v>
      </c>
      <c r="B640" s="841">
        <v>88264</v>
      </c>
      <c r="C640" s="728" t="str">
        <f>IF($A640="INSUMO",VLOOKUP($B640,'BANCO DE DADOS JANEIRO-24 INS'!$A:$D,2,FALSE),VLOOKUP($B640,'BANCO DE DADOS JANEIRO-24 SERV'!$B:$E,2,FALSE))</f>
        <v>ELETRICISTA COM ENCARGOS COMPLEMENTARES</v>
      </c>
      <c r="D640" s="732" t="str">
        <f>IF($A640="INSUMO",VLOOKUP($B640,'BANCO DE DADOS JANEIRO-24 INS'!$A:$D,3,FALSE),VLOOKUP($B640,'BANCO DE DADOS JANEIRO-24 SERV'!$B:$E,3,FALSE))</f>
        <v>H</v>
      </c>
      <c r="E640" s="820">
        <v>0.2</v>
      </c>
      <c r="F640" s="755">
        <f>IF($A640="INSUMO",VLOOKUP($B640,'BANCO DE DADOS JANEIRO-24 INS'!$A:$D,4,FALSE),VLOOKUP($B640,'BANCO DE DADOS JANEIRO-24 SERV'!$B:$E,4,FALSE))</f>
        <v>26.68</v>
      </c>
      <c r="G640" s="840">
        <f>TRUNC(F640*E640,2)</f>
        <v>5.33</v>
      </c>
    </row>
    <row r="641" spans="1:8" ht="16.5" thickBot="1">
      <c r="A641" s="333" t="s">
        <v>391</v>
      </c>
      <c r="B641" s="625">
        <v>88316</v>
      </c>
      <c r="C641" s="731" t="str">
        <f>IF($A641="INSUMO",VLOOKUP($B641,'BANCO DE DADOS JANEIRO-24 INS'!$A:$D,2,FALSE),VLOOKUP($B641,'BANCO DE DADOS JANEIRO-24 SERV'!$B:$E,2,FALSE))</f>
        <v>SERVENTE COM ENCARGOS COMPLEMENTARES</v>
      </c>
      <c r="D641" s="729" t="str">
        <f>IF($A641="INSUMO",VLOOKUP($B641,'BANCO DE DADOS JANEIRO-24 INS'!$A:$D,3,FALSE),VLOOKUP($B641,'BANCO DE DADOS JANEIRO-24 SERV'!$B:$E,3,FALSE))</f>
        <v>H</v>
      </c>
      <c r="E641" s="850">
        <v>0.2</v>
      </c>
      <c r="F641" s="757">
        <f>IF($A641="INSUMO",VLOOKUP($B641,'BANCO DE DADOS JANEIRO-24 INS'!$A:$D,4,FALSE),VLOOKUP($B641,'BANCO DE DADOS JANEIRO-24 SERV'!$B:$E,4,FALSE))</f>
        <v>20.32</v>
      </c>
      <c r="G641" s="626">
        <f>TRUNC(F641*E641,2)</f>
        <v>4.0599999999999996</v>
      </c>
    </row>
    <row r="642" spans="1:8" ht="16.5" customHeight="1" thickBot="1">
      <c r="B642" s="2404" t="s">
        <v>7322</v>
      </c>
      <c r="C642" s="2404"/>
      <c r="D642" s="2404"/>
      <c r="E642" s="2404"/>
      <c r="F642" s="325" t="s">
        <v>167</v>
      </c>
      <c r="G642" s="326">
        <f>SUM(G637:G641)</f>
        <v>14.079999999999998</v>
      </c>
    </row>
    <row r="643" spans="1:8" ht="15.75" thickBot="1">
      <c r="B643" s="2404"/>
      <c r="C643" s="2404"/>
      <c r="D643" s="2404"/>
      <c r="E643" s="2404"/>
    </row>
    <row r="644" spans="1:8" ht="21.75" customHeight="1">
      <c r="B644" s="1669" t="s">
        <v>181</v>
      </c>
      <c r="C644" s="2164" t="s">
        <v>7323</v>
      </c>
      <c r="D644" s="2165"/>
      <c r="E644" s="2165"/>
      <c r="F644" s="2166"/>
      <c r="G644" s="1715" t="s">
        <v>22</v>
      </c>
      <c r="H644" s="575" t="s">
        <v>1978</v>
      </c>
    </row>
    <row r="645" spans="1:8" ht="31.5">
      <c r="B645" s="1107" t="s">
        <v>174</v>
      </c>
      <c r="C645" s="1108" t="s">
        <v>175</v>
      </c>
      <c r="D645" s="1109" t="s">
        <v>176</v>
      </c>
      <c r="E645" s="1110"/>
      <c r="F645" s="1181"/>
      <c r="G645" s="1112"/>
    </row>
    <row r="646" spans="1:8" ht="15.75">
      <c r="B646" s="1174">
        <v>45253</v>
      </c>
      <c r="C646" s="1297" t="s">
        <v>2061</v>
      </c>
      <c r="D646" s="1333">
        <v>4.6900000000000004</v>
      </c>
      <c r="E646" s="1192" t="s">
        <v>2062</v>
      </c>
      <c r="F646" s="1461" t="s">
        <v>2063</v>
      </c>
      <c r="G646" s="1332" t="s">
        <v>5870</v>
      </c>
      <c r="H646" s="610"/>
    </row>
    <row r="647" spans="1:8" ht="15.75">
      <c r="B647" s="1174">
        <v>45264</v>
      </c>
      <c r="C647" s="1114" t="s">
        <v>2708</v>
      </c>
      <c r="D647" s="1115">
        <v>3.72</v>
      </c>
      <c r="E647" s="1114" t="s">
        <v>545</v>
      </c>
      <c r="F647" s="1139" t="s">
        <v>1808</v>
      </c>
      <c r="G647" s="968" t="s">
        <v>555</v>
      </c>
      <c r="H647" s="610"/>
    </row>
    <row r="648" spans="1:8" ht="15.75">
      <c r="B648" s="1174">
        <v>45254</v>
      </c>
      <c r="C648" s="1297" t="s">
        <v>4588</v>
      </c>
      <c r="D648" s="1333">
        <v>10.99</v>
      </c>
      <c r="E648" s="1192" t="s">
        <v>5057</v>
      </c>
      <c r="F648" s="1461" t="s">
        <v>1979</v>
      </c>
      <c r="G648" s="1332" t="s">
        <v>5871</v>
      </c>
      <c r="H648" s="610"/>
    </row>
    <row r="649" spans="1:8" ht="16.5" thickBot="1">
      <c r="B649" s="1672"/>
      <c r="C649" s="1668" t="s">
        <v>180</v>
      </c>
      <c r="D649" s="1673">
        <f>IF(COUNT(D645:D648)=3,MEDIAN(D645:D648),SMALL(D646:D648,1))</f>
        <v>4.6900000000000004</v>
      </c>
      <c r="E649" s="1674"/>
      <c r="F649" s="1675"/>
      <c r="G649" s="1671"/>
    </row>
    <row r="650" spans="1:8" ht="15.75" thickBot="1"/>
    <row r="651" spans="1:8" ht="28.5" customHeight="1">
      <c r="B651" s="623" t="str">
        <f>IF(COUNT($H$17:H651)&lt;10,CONCATENATE("CPU LOG 00",COUNT($H$17:H651)),CONCATENATE("CPU LOG 0",COUNT($H$17:H651)))</f>
        <v>CPU LOG 046</v>
      </c>
      <c r="C651" s="2180" t="str">
        <f>CONCATENATE("FORNECIMENTO E INSTALAÇÃO DE ",C654)</f>
        <v>FORNECIMENTO E INSTALAÇÃO DE CURVA HORIZONTAL  90º PARA ELETROCALHA PERFURADA #100 X 50MM</v>
      </c>
      <c r="D651" s="2181"/>
      <c r="E651" s="2181"/>
      <c r="F651" s="2181"/>
      <c r="G651" s="624" t="s">
        <v>22</v>
      </c>
      <c r="H651" s="615">
        <f>G658</f>
        <v>39.31</v>
      </c>
    </row>
    <row r="652" spans="1:8" ht="31.5">
      <c r="B652" s="750" t="s">
        <v>197</v>
      </c>
      <c r="C652" s="751" t="s">
        <v>161</v>
      </c>
      <c r="D652" s="826" t="s">
        <v>22</v>
      </c>
      <c r="E652" s="751" t="s">
        <v>162</v>
      </c>
      <c r="F652" s="752" t="s">
        <v>163</v>
      </c>
      <c r="G652" s="753" t="s">
        <v>164</v>
      </c>
    </row>
    <row r="653" spans="1:8" ht="15.75">
      <c r="B653" s="2408" t="s">
        <v>165</v>
      </c>
      <c r="C653" s="2409"/>
      <c r="D653" s="2409"/>
      <c r="E653" s="2409"/>
      <c r="F653" s="2409"/>
      <c r="G653" s="2410"/>
    </row>
    <row r="654" spans="1:8" ht="29.25" customHeight="1">
      <c r="B654" s="856" t="s">
        <v>181</v>
      </c>
      <c r="C654" s="852" t="str">
        <f>C661</f>
        <v>CURVA HORIZONTAL  90º PARA ELETROCALHA PERFURADA #100 X 50MM</v>
      </c>
      <c r="D654" s="859" t="str">
        <f>G661</f>
        <v>UN</v>
      </c>
      <c r="E654" s="846">
        <v>1</v>
      </c>
      <c r="F654" s="846">
        <f>D666</f>
        <v>29.92</v>
      </c>
      <c r="G654" s="848">
        <f>TRUNC(F654*E654,2)</f>
        <v>29.92</v>
      </c>
    </row>
    <row r="655" spans="1:8" ht="15.75">
      <c r="B655" s="2408" t="s">
        <v>166</v>
      </c>
      <c r="C655" s="2409"/>
      <c r="D655" s="2409"/>
      <c r="E655" s="2409"/>
      <c r="F655" s="2409"/>
      <c r="G655" s="2410"/>
    </row>
    <row r="656" spans="1:8" ht="15.75">
      <c r="A656" s="333" t="s">
        <v>391</v>
      </c>
      <c r="B656" s="841">
        <v>88264</v>
      </c>
      <c r="C656" s="728" t="str">
        <f>IF($A656="INSUMO",VLOOKUP($B656,'BANCO DE DADOS JANEIRO-24 INS'!$A:$D,2,FALSE),VLOOKUP($B656,'BANCO DE DADOS JANEIRO-24 SERV'!$B:$E,2,FALSE))</f>
        <v>ELETRICISTA COM ENCARGOS COMPLEMENTARES</v>
      </c>
      <c r="D656" s="732" t="str">
        <f>IF($A656="INSUMO",VLOOKUP($B656,'BANCO DE DADOS JANEIRO-24 INS'!$A:$D,3,FALSE),VLOOKUP($B656,'BANCO DE DADOS JANEIRO-24 SERV'!$B:$E,3,FALSE))</f>
        <v>H</v>
      </c>
      <c r="E656" s="820">
        <v>0.2</v>
      </c>
      <c r="F656" s="755">
        <f>IF($A656="INSUMO",VLOOKUP($B656,'BANCO DE DADOS JANEIRO-24 INS'!$A:$D,4,FALSE),VLOOKUP($B656,'BANCO DE DADOS JANEIRO-24 SERV'!$B:$E,4,FALSE))</f>
        <v>26.68</v>
      </c>
      <c r="G656" s="840">
        <f>TRUNC(F656*E656,2)</f>
        <v>5.33</v>
      </c>
    </row>
    <row r="657" spans="1:8" ht="16.5" thickBot="1">
      <c r="A657" s="333" t="s">
        <v>391</v>
      </c>
      <c r="B657" s="625">
        <v>88316</v>
      </c>
      <c r="C657" s="731" t="str">
        <f>IF($A657="INSUMO",VLOOKUP($B657,'BANCO DE DADOS JANEIRO-24 INS'!$A:$D,2,FALSE),VLOOKUP($B657,'BANCO DE DADOS JANEIRO-24 SERV'!$B:$E,2,FALSE))</f>
        <v>SERVENTE COM ENCARGOS COMPLEMENTARES</v>
      </c>
      <c r="D657" s="729" t="str">
        <f>IF($A657="INSUMO",VLOOKUP($B657,'BANCO DE DADOS JANEIRO-24 INS'!$A:$D,3,FALSE),VLOOKUP($B657,'BANCO DE DADOS JANEIRO-24 SERV'!$B:$E,3,FALSE))</f>
        <v>H</v>
      </c>
      <c r="E657" s="850">
        <v>0.2</v>
      </c>
      <c r="F657" s="757">
        <f>IF($A657="INSUMO",VLOOKUP($B657,'BANCO DE DADOS JANEIRO-24 INS'!$A:$D,4,FALSE),VLOOKUP($B657,'BANCO DE DADOS JANEIRO-24 SERV'!$B:$E,4,FALSE))</f>
        <v>20.32</v>
      </c>
      <c r="G657" s="626">
        <f>TRUNC(F657*E657,2)</f>
        <v>4.0599999999999996</v>
      </c>
    </row>
    <row r="658" spans="1:8" ht="16.5" customHeight="1" thickBot="1">
      <c r="B658" s="2404" t="s">
        <v>7324</v>
      </c>
      <c r="C658" s="2404"/>
      <c r="D658" s="2404"/>
      <c r="E658" s="2404"/>
      <c r="F658" s="325" t="s">
        <v>167</v>
      </c>
      <c r="G658" s="326">
        <f>SUM(G653:G657)</f>
        <v>39.31</v>
      </c>
    </row>
    <row r="659" spans="1:8">
      <c r="B659" s="2404"/>
      <c r="C659" s="2404"/>
      <c r="D659" s="2404"/>
      <c r="E659" s="2404"/>
    </row>
    <row r="660" spans="1:8" ht="15.75" thickBot="1"/>
    <row r="661" spans="1:8" ht="21.75" customHeight="1">
      <c r="A661" s="271"/>
      <c r="B661" s="1669" t="s">
        <v>181</v>
      </c>
      <c r="C661" s="2164" t="s">
        <v>7325</v>
      </c>
      <c r="D661" s="2165"/>
      <c r="E661" s="2165"/>
      <c r="F661" s="2166"/>
      <c r="G661" s="1715" t="s">
        <v>22</v>
      </c>
      <c r="H661" s="575" t="s">
        <v>1978</v>
      </c>
    </row>
    <row r="662" spans="1:8" ht="31.5">
      <c r="A662" s="271"/>
      <c r="B662" s="1107" t="s">
        <v>174</v>
      </c>
      <c r="C662" s="1108" t="s">
        <v>175</v>
      </c>
      <c r="D662" s="1109" t="s">
        <v>176</v>
      </c>
      <c r="E662" s="1110" t="s">
        <v>177</v>
      </c>
      <c r="F662" s="1181" t="s">
        <v>178</v>
      </c>
      <c r="G662" s="1112" t="s">
        <v>179</v>
      </c>
      <c r="H662" s="271"/>
    </row>
    <row r="663" spans="1:8" ht="15.75">
      <c r="A663" s="271"/>
      <c r="B663" s="1174">
        <v>45198</v>
      </c>
      <c r="C663" s="1297" t="s">
        <v>2708</v>
      </c>
      <c r="D663" s="1333">
        <v>19.559999999999999</v>
      </c>
      <c r="E663" s="1192" t="s">
        <v>545</v>
      </c>
      <c r="F663" s="1461" t="s">
        <v>1808</v>
      </c>
      <c r="G663" s="1332" t="s">
        <v>555</v>
      </c>
      <c r="H663" s="610"/>
    </row>
    <row r="664" spans="1:8" ht="15.75">
      <c r="A664" s="271"/>
      <c r="B664" s="1174">
        <v>45253</v>
      </c>
      <c r="C664" s="1297" t="s">
        <v>3401</v>
      </c>
      <c r="D664" s="1333">
        <v>29.92</v>
      </c>
      <c r="E664" s="1192" t="s">
        <v>2062</v>
      </c>
      <c r="F664" s="1461" t="s">
        <v>2063</v>
      </c>
      <c r="G664" s="1332" t="s">
        <v>5870</v>
      </c>
      <c r="H664" s="610"/>
    </row>
    <row r="665" spans="1:8" ht="15.75">
      <c r="A665" s="271"/>
      <c r="B665" s="1174">
        <v>45254</v>
      </c>
      <c r="C665" s="1297" t="s">
        <v>4588</v>
      </c>
      <c r="D665" s="1333">
        <v>38.35</v>
      </c>
      <c r="E665" s="1192" t="s">
        <v>5057</v>
      </c>
      <c r="F665" s="1461" t="s">
        <v>1979</v>
      </c>
      <c r="G665" s="1332" t="s">
        <v>5871</v>
      </c>
      <c r="H665" s="610"/>
    </row>
    <row r="666" spans="1:8" ht="16.5" thickBot="1">
      <c r="A666" s="271"/>
      <c r="B666" s="1672"/>
      <c r="C666" s="1668" t="s">
        <v>180</v>
      </c>
      <c r="D666" s="1673">
        <f>IF(COUNT(D662:D665)=3,MEDIAN(D662:D665),SMALL(D663:D665,1))</f>
        <v>29.92</v>
      </c>
      <c r="E666" s="1674"/>
      <c r="F666" s="1675"/>
      <c r="G666" s="1671"/>
      <c r="H666" s="271"/>
    </row>
    <row r="667" spans="1:8" ht="15.75" thickBot="1">
      <c r="B667" s="2411"/>
      <c r="C667" s="2412"/>
      <c r="D667" s="2412"/>
      <c r="E667" s="2412"/>
      <c r="F667" s="2412"/>
      <c r="G667" s="2413"/>
    </row>
    <row r="668" spans="1:8" ht="15.75" customHeight="1">
      <c r="B668" s="623" t="str">
        <f>IF(COUNT($H$17:H668)&lt;10,CONCATENATE("CPU LOG 00",COUNT($H$17:H668)),CONCATENATE("CPU LOG 0",COUNT($H$17:H668)))</f>
        <v>CPU LOG 047</v>
      </c>
      <c r="C668" s="2180" t="str">
        <f>CONCATENATE("FORNECIMENTO E INSTALAÇÃO DE ",C671)</f>
        <v>FORNECIMENTO E INSTALAÇÃO DE CURVA DE INVERSÃO PARA ELETROCALHA DE #100 X 50MM</v>
      </c>
      <c r="D668" s="2181"/>
      <c r="E668" s="2181"/>
      <c r="F668" s="2181"/>
      <c r="G668" s="624" t="s">
        <v>22</v>
      </c>
      <c r="H668" s="615">
        <f>G675</f>
        <v>42.269999999999996</v>
      </c>
    </row>
    <row r="669" spans="1:8" ht="31.5">
      <c r="B669" s="750" t="s">
        <v>197</v>
      </c>
      <c r="C669" s="751" t="s">
        <v>161</v>
      </c>
      <c r="D669" s="826" t="s">
        <v>22</v>
      </c>
      <c r="E669" s="751" t="s">
        <v>162</v>
      </c>
      <c r="F669" s="752" t="s">
        <v>163</v>
      </c>
      <c r="G669" s="753" t="s">
        <v>164</v>
      </c>
    </row>
    <row r="670" spans="1:8" ht="15.75">
      <c r="B670" s="2408" t="s">
        <v>165</v>
      </c>
      <c r="C670" s="2409"/>
      <c r="D670" s="2409"/>
      <c r="E670" s="2409"/>
      <c r="F670" s="2409"/>
      <c r="G670" s="2410"/>
    </row>
    <row r="671" spans="1:8">
      <c r="B671" s="856" t="s">
        <v>181</v>
      </c>
      <c r="C671" s="852" t="str">
        <f>C677</f>
        <v>CURVA DE INVERSÃO PARA ELETROCALHA DE #100 X 50MM</v>
      </c>
      <c r="D671" s="859" t="s">
        <v>22</v>
      </c>
      <c r="E671" s="846">
        <v>1</v>
      </c>
      <c r="F671" s="846">
        <f>D682</f>
        <v>23.48</v>
      </c>
      <c r="G671" s="848">
        <f>TRUNC(F671*E671,2)</f>
        <v>23.48</v>
      </c>
    </row>
    <row r="672" spans="1:8" ht="15.75">
      <c r="B672" s="2408" t="s">
        <v>166</v>
      </c>
      <c r="C672" s="2409"/>
      <c r="D672" s="2409"/>
      <c r="E672" s="2409"/>
      <c r="F672" s="2409"/>
      <c r="G672" s="2410"/>
    </row>
    <row r="673" spans="1:8" ht="15.75">
      <c r="A673" s="333" t="s">
        <v>391</v>
      </c>
      <c r="B673" s="841">
        <v>88264</v>
      </c>
      <c r="C673" s="728" t="str">
        <f>IF($A673="INSUMO",VLOOKUP($B673,'BANCO DE DADOS JANEIRO-24 INS'!$A:$D,2,FALSE),VLOOKUP($B673,'BANCO DE DADOS JANEIRO-24 SERV'!$B:$E,2,FALSE))</f>
        <v>ELETRICISTA COM ENCARGOS COMPLEMENTARES</v>
      </c>
      <c r="D673" s="732" t="str">
        <f>IF($A673="INSUMO",VLOOKUP($B673,'BANCO DE DADOS JANEIRO-24 INS'!$A:$D,3,FALSE),VLOOKUP($B673,'BANCO DE DADOS JANEIRO-24 SERV'!$B:$E,3,FALSE))</f>
        <v>H</v>
      </c>
      <c r="E673" s="820">
        <v>0.4</v>
      </c>
      <c r="F673" s="755">
        <f>IF($A673="INSUMO",VLOOKUP($B673,'BANCO DE DADOS JANEIRO-24 INS'!$A:$D,4,FALSE),VLOOKUP($B673,'BANCO DE DADOS JANEIRO-24 SERV'!$B:$E,4,FALSE))</f>
        <v>26.68</v>
      </c>
      <c r="G673" s="848">
        <f>TRUNC(F673*E673,2)</f>
        <v>10.67</v>
      </c>
    </row>
    <row r="674" spans="1:8" ht="16.5" thickBot="1">
      <c r="A674" s="333" t="s">
        <v>391</v>
      </c>
      <c r="B674" s="625">
        <v>88316</v>
      </c>
      <c r="C674" s="731" t="str">
        <f>IF($A674="INSUMO",VLOOKUP($B674,'BANCO DE DADOS JANEIRO-24 INS'!$A:$D,2,FALSE),VLOOKUP($B674,'BANCO DE DADOS JANEIRO-24 SERV'!$B:$E,2,FALSE))</f>
        <v>SERVENTE COM ENCARGOS COMPLEMENTARES</v>
      </c>
      <c r="D674" s="729" t="str">
        <f>IF($A674="INSUMO",VLOOKUP($B674,'BANCO DE DADOS JANEIRO-24 INS'!$A:$D,3,FALSE),VLOOKUP($B674,'BANCO DE DADOS JANEIRO-24 SERV'!$B:$E,3,FALSE))</f>
        <v>H</v>
      </c>
      <c r="E674" s="850">
        <v>0.4</v>
      </c>
      <c r="F674" s="757">
        <f>IF($A674="INSUMO",VLOOKUP($B674,'BANCO DE DADOS JANEIRO-24 INS'!$A:$D,4,FALSE),VLOOKUP($B674,'BANCO DE DADOS JANEIRO-24 SERV'!$B:$E,4,FALSE))</f>
        <v>20.32</v>
      </c>
      <c r="G674" s="332">
        <f>TRUNC(F674*E674,2)</f>
        <v>8.1199999999999992</v>
      </c>
    </row>
    <row r="675" spans="1:8" ht="16.5" customHeight="1" thickBot="1">
      <c r="B675" s="2404" t="s">
        <v>7326</v>
      </c>
      <c r="C675" s="2404"/>
      <c r="D675" s="2404"/>
      <c r="E675" s="2404"/>
      <c r="F675" s="865" t="s">
        <v>167</v>
      </c>
      <c r="G675" s="326">
        <f>SUM(G671:G674)</f>
        <v>42.269999999999996</v>
      </c>
    </row>
    <row r="676" spans="1:8" ht="15.75" thickBot="1">
      <c r="B676" s="2404"/>
      <c r="C676" s="2404"/>
      <c r="D676" s="2404"/>
      <c r="E676" s="2404"/>
    </row>
    <row r="677" spans="1:8" ht="15.75">
      <c r="A677" s="271"/>
      <c r="B677" s="1669" t="s">
        <v>181</v>
      </c>
      <c r="C677" s="2416" t="s">
        <v>7327</v>
      </c>
      <c r="D677" s="2417"/>
      <c r="E677" s="2417"/>
      <c r="F677" s="2418"/>
      <c r="G677" s="1676" t="s">
        <v>22</v>
      </c>
      <c r="H677" s="575" t="s">
        <v>1978</v>
      </c>
    </row>
    <row r="678" spans="1:8" ht="31.5">
      <c r="A678" s="271"/>
      <c r="B678" s="1107" t="s">
        <v>174</v>
      </c>
      <c r="C678" s="1108" t="s">
        <v>175</v>
      </c>
      <c r="D678" s="1109" t="s">
        <v>176</v>
      </c>
      <c r="E678" s="1110" t="s">
        <v>177</v>
      </c>
      <c r="F678" s="1111" t="s">
        <v>178</v>
      </c>
      <c r="G678" s="1112" t="s">
        <v>179</v>
      </c>
      <c r="H678" s="271"/>
    </row>
    <row r="679" spans="1:8" ht="15.75">
      <c r="A679" s="271"/>
      <c r="B679" s="1174">
        <v>45266</v>
      </c>
      <c r="C679" s="1297" t="s">
        <v>2061</v>
      </c>
      <c r="D679" s="1333">
        <v>23.14</v>
      </c>
      <c r="E679" s="1192" t="s">
        <v>2062</v>
      </c>
      <c r="F679" s="1298" t="s">
        <v>2063</v>
      </c>
      <c r="G679" s="1332" t="s">
        <v>5870</v>
      </c>
      <c r="H679" s="610"/>
    </row>
    <row r="680" spans="1:8" ht="15.75">
      <c r="A680" s="271"/>
      <c r="B680" s="1174">
        <v>45264</v>
      </c>
      <c r="C680" s="1297" t="s">
        <v>5879</v>
      </c>
      <c r="D680" s="1333">
        <v>23.48</v>
      </c>
      <c r="E680" s="1339" t="s">
        <v>2185</v>
      </c>
      <c r="F680" s="1298" t="s">
        <v>4611</v>
      </c>
      <c r="G680" s="1332" t="s">
        <v>2840</v>
      </c>
      <c r="H680" s="610"/>
    </row>
    <row r="681" spans="1:8" ht="15.75">
      <c r="A681" s="271"/>
      <c r="B681" s="1299">
        <v>45264</v>
      </c>
      <c r="C681" s="1297" t="s">
        <v>2708</v>
      </c>
      <c r="D681" s="1333">
        <v>39.35</v>
      </c>
      <c r="E681" s="1192" t="s">
        <v>545</v>
      </c>
      <c r="F681" s="1298" t="s">
        <v>1808</v>
      </c>
      <c r="G681" s="1364" t="s">
        <v>555</v>
      </c>
      <c r="H681" s="610"/>
    </row>
    <row r="682" spans="1:8" ht="16.5" thickBot="1">
      <c r="A682" s="271"/>
      <c r="B682" s="1672"/>
      <c r="C682" s="1668" t="s">
        <v>180</v>
      </c>
      <c r="D682" s="1673">
        <f>IF(COUNT(D678:D681)=3,MEDIAN(D678:D681),SMALL(D679:D681,1))</f>
        <v>23.48</v>
      </c>
      <c r="E682" s="1674"/>
      <c r="F682" s="1675"/>
      <c r="G682" s="1671"/>
      <c r="H682" s="271"/>
    </row>
    <row r="683" spans="1:8" ht="15.75" thickBot="1">
      <c r="B683" s="2411"/>
      <c r="C683" s="2412"/>
      <c r="D683" s="2412"/>
      <c r="E683" s="2412"/>
      <c r="F683" s="2412"/>
      <c r="G683" s="2413"/>
    </row>
    <row r="684" spans="1:8" ht="27" customHeight="1">
      <c r="B684" s="623" t="str">
        <f>IF(COUNT($H$17:H684)&lt;10,CONCATENATE("CPU LOG 00",COUNT($H$17:H684)),CONCATENATE("CPU LOG 0",COUNT($H$17:H684)))</f>
        <v>CPU LOG 048</v>
      </c>
      <c r="C684" s="2180" t="str">
        <f>CONCATENATE("FORNECIMENTO E INSTALAÇÃO DE ",C687)</f>
        <v>FORNECIMENTO E INSTALAÇÃO DE CRUZETA RETA 90º EM "X" PARA ELETROCALHA DE #100 X 50MM</v>
      </c>
      <c r="D684" s="2181"/>
      <c r="E684" s="2181"/>
      <c r="F684" s="2181"/>
      <c r="G684" s="624" t="s">
        <v>22</v>
      </c>
      <c r="H684" s="615">
        <f>G691</f>
        <v>54.08</v>
      </c>
    </row>
    <row r="685" spans="1:8" ht="31.5">
      <c r="B685" s="750" t="s">
        <v>197</v>
      </c>
      <c r="C685" s="751" t="s">
        <v>161</v>
      </c>
      <c r="D685" s="826" t="s">
        <v>22</v>
      </c>
      <c r="E685" s="751" t="s">
        <v>162</v>
      </c>
      <c r="F685" s="752" t="s">
        <v>163</v>
      </c>
      <c r="G685" s="753" t="s">
        <v>164</v>
      </c>
    </row>
    <row r="686" spans="1:8" ht="15.75">
      <c r="B686" s="2408" t="s">
        <v>165</v>
      </c>
      <c r="C686" s="2409"/>
      <c r="D686" s="2409"/>
      <c r="E686" s="2409"/>
      <c r="F686" s="2409"/>
      <c r="G686" s="2410"/>
    </row>
    <row r="687" spans="1:8">
      <c r="B687" s="856" t="s">
        <v>181</v>
      </c>
      <c r="C687" s="852" t="str">
        <f>C693</f>
        <v>CRUZETA RETA 90º EM "X" PARA ELETROCALHA DE #100 X 50MM</v>
      </c>
      <c r="D687" s="859" t="s">
        <v>22</v>
      </c>
      <c r="E687" s="846">
        <v>1</v>
      </c>
      <c r="F687" s="846">
        <f>D698</f>
        <v>44.69</v>
      </c>
      <c r="G687" s="848">
        <f>TRUNC(F687*E687,2)</f>
        <v>44.69</v>
      </c>
    </row>
    <row r="688" spans="1:8" ht="15.75">
      <c r="B688" s="2408" t="s">
        <v>166</v>
      </c>
      <c r="C688" s="2409"/>
      <c r="D688" s="2409"/>
      <c r="E688" s="2409"/>
      <c r="F688" s="2409"/>
      <c r="G688" s="2410"/>
    </row>
    <row r="689" spans="1:8" ht="15.75">
      <c r="A689" s="333" t="s">
        <v>391</v>
      </c>
      <c r="B689" s="841">
        <v>88264</v>
      </c>
      <c r="C689" s="728" t="str">
        <f>IF($A689="INSUMO",VLOOKUP($B689,'BANCO DE DADOS JANEIRO-24 INS'!$A:$D,2,FALSE),VLOOKUP($B689,'BANCO DE DADOS JANEIRO-24 SERV'!$B:$E,2,FALSE))</f>
        <v>ELETRICISTA COM ENCARGOS COMPLEMENTARES</v>
      </c>
      <c r="D689" s="732" t="str">
        <f>IF($A689="INSUMO",VLOOKUP($B689,'BANCO DE DADOS JANEIRO-24 INS'!$A:$D,3,FALSE),VLOOKUP($B689,'BANCO DE DADOS JANEIRO-24 SERV'!$B:$E,3,FALSE))</f>
        <v>H</v>
      </c>
      <c r="E689" s="820">
        <v>0.2</v>
      </c>
      <c r="F689" s="755">
        <f>IF($A689="INSUMO",VLOOKUP($B689,'BANCO DE DADOS JANEIRO-24 INS'!$A:$D,4,FALSE),VLOOKUP($B689,'BANCO DE DADOS JANEIRO-24 SERV'!$B:$E,4,FALSE))</f>
        <v>26.68</v>
      </c>
      <c r="G689" s="848">
        <f>TRUNC(F689*E689,2)</f>
        <v>5.33</v>
      </c>
    </row>
    <row r="690" spans="1:8" ht="16.5" thickBot="1">
      <c r="A690" s="333" t="s">
        <v>391</v>
      </c>
      <c r="B690" s="625">
        <v>88316</v>
      </c>
      <c r="C690" s="731" t="str">
        <f>IF($A690="INSUMO",VLOOKUP($B690,'BANCO DE DADOS JANEIRO-24 INS'!$A:$D,2,FALSE),VLOOKUP($B690,'BANCO DE DADOS JANEIRO-24 SERV'!$B:$E,2,FALSE))</f>
        <v>SERVENTE COM ENCARGOS COMPLEMENTARES</v>
      </c>
      <c r="D690" s="729" t="str">
        <f>IF($A690="INSUMO",VLOOKUP($B690,'BANCO DE DADOS JANEIRO-24 INS'!$A:$D,3,FALSE),VLOOKUP($B690,'BANCO DE DADOS JANEIRO-24 SERV'!$B:$E,3,FALSE))</f>
        <v>H</v>
      </c>
      <c r="E690" s="850">
        <v>0.2</v>
      </c>
      <c r="F690" s="757">
        <f>IF($A690="INSUMO",VLOOKUP($B690,'BANCO DE DADOS JANEIRO-24 INS'!$A:$D,4,FALSE),VLOOKUP($B690,'BANCO DE DADOS JANEIRO-24 SERV'!$B:$E,4,FALSE))</f>
        <v>20.32</v>
      </c>
      <c r="G690" s="332">
        <f>TRUNC(F690*E690,2)</f>
        <v>4.0599999999999996</v>
      </c>
    </row>
    <row r="691" spans="1:8" ht="16.5" customHeight="1" thickBot="1">
      <c r="B691" s="2404" t="s">
        <v>7346</v>
      </c>
      <c r="C691" s="2404"/>
      <c r="D691" s="2404"/>
      <c r="E691" s="2404"/>
      <c r="F691" s="865" t="s">
        <v>167</v>
      </c>
      <c r="G691" s="326">
        <f>SUM(G687:G690)</f>
        <v>54.08</v>
      </c>
    </row>
    <row r="692" spans="1:8" ht="15.75" thickBot="1">
      <c r="B692" s="2404"/>
      <c r="C692" s="2404"/>
      <c r="D692" s="2404"/>
      <c r="E692" s="2404"/>
    </row>
    <row r="693" spans="1:8" ht="15.75">
      <c r="A693" s="271"/>
      <c r="B693" s="1669" t="s">
        <v>181</v>
      </c>
      <c r="C693" s="2416" t="s">
        <v>7328</v>
      </c>
      <c r="D693" s="2417"/>
      <c r="E693" s="2417"/>
      <c r="F693" s="2418"/>
      <c r="G693" s="1676" t="s">
        <v>22</v>
      </c>
      <c r="H693" s="575"/>
    </row>
    <row r="694" spans="1:8" ht="31.5">
      <c r="A694" s="271"/>
      <c r="B694" s="1107" t="s">
        <v>174</v>
      </c>
      <c r="C694" s="1108" t="s">
        <v>175</v>
      </c>
      <c r="D694" s="1109" t="s">
        <v>176</v>
      </c>
      <c r="E694" s="1110" t="s">
        <v>177</v>
      </c>
      <c r="F694" s="1111" t="s">
        <v>178</v>
      </c>
      <c r="G694" s="1112" t="s">
        <v>179</v>
      </c>
      <c r="H694" s="271"/>
    </row>
    <row r="695" spans="1:8">
      <c r="A695" s="271"/>
      <c r="B695" s="1299">
        <v>45180</v>
      </c>
      <c r="C695" s="1297" t="s">
        <v>5879</v>
      </c>
      <c r="D695" s="1333">
        <v>44.69</v>
      </c>
      <c r="E695" s="1192" t="s">
        <v>2185</v>
      </c>
      <c r="F695" s="1298" t="s">
        <v>4611</v>
      </c>
      <c r="G695" s="1364" t="s">
        <v>2840</v>
      </c>
      <c r="H695" s="271"/>
    </row>
    <row r="696" spans="1:8">
      <c r="A696" s="271"/>
      <c r="B696" s="1174">
        <v>45181</v>
      </c>
      <c r="C696" s="1297" t="s">
        <v>4588</v>
      </c>
      <c r="D696" s="1333">
        <v>38.9</v>
      </c>
      <c r="E696" s="1192" t="s">
        <v>5057</v>
      </c>
      <c r="F696" s="1298" t="s">
        <v>1979</v>
      </c>
      <c r="G696" s="1332" t="s">
        <v>5871</v>
      </c>
      <c r="H696" s="271"/>
    </row>
    <row r="697" spans="1:8">
      <c r="A697" s="271"/>
      <c r="B697" s="1174">
        <v>45253</v>
      </c>
      <c r="C697" s="1297" t="s">
        <v>513</v>
      </c>
      <c r="D697" s="1333">
        <v>83.69</v>
      </c>
      <c r="E697" s="1339" t="s">
        <v>514</v>
      </c>
      <c r="F697" s="1298" t="s">
        <v>515</v>
      </c>
      <c r="G697" s="1332" t="s">
        <v>13357</v>
      </c>
      <c r="H697" s="271"/>
    </row>
    <row r="698" spans="1:8" ht="16.5" thickBot="1">
      <c r="A698" s="271"/>
      <c r="B698" s="1672"/>
      <c r="C698" s="1668" t="s">
        <v>180</v>
      </c>
      <c r="D698" s="1673">
        <f>IF(COUNT(D694:D697)=3,MEDIAN(D694:D697),SMALL(D695:D697,1))</f>
        <v>44.69</v>
      </c>
      <c r="E698" s="1674"/>
      <c r="F698" s="1675"/>
      <c r="G698" s="1671"/>
      <c r="H698" s="271"/>
    </row>
    <row r="699" spans="1:8" ht="15.75" thickBot="1">
      <c r="B699" s="2411"/>
      <c r="C699" s="2412"/>
      <c r="D699" s="2412"/>
      <c r="E699" s="2412"/>
      <c r="F699" s="2412"/>
      <c r="G699" s="2413"/>
    </row>
    <row r="700" spans="1:8" ht="25.5" customHeight="1">
      <c r="B700" s="623" t="str">
        <f>IF(COUNT($H$17:H700)&lt;10,CONCATENATE("CPU LOG 00",COUNT($H$17:H700)),CONCATENATE("CPU LOG 0",COUNT($H$17:H700)))</f>
        <v>CPU LOG 049</v>
      </c>
      <c r="C700" s="2180" t="str">
        <f>CONCATENATE("FORNECIMENTO E INSTALAÇÃO DE ",C703)</f>
        <v>FORNECIMENTO E INSTALAÇÃO DE REDUÇÃO CONCENTRICA PARA ELETROCALHA DE 100MM PARA 50MM</v>
      </c>
      <c r="D700" s="2181"/>
      <c r="E700" s="2181"/>
      <c r="F700" s="2181"/>
      <c r="G700" s="624" t="s">
        <v>22</v>
      </c>
      <c r="H700" s="615">
        <f>G707</f>
        <v>25.25</v>
      </c>
    </row>
    <row r="701" spans="1:8" ht="31.5">
      <c r="B701" s="750" t="s">
        <v>197</v>
      </c>
      <c r="C701" s="751" t="s">
        <v>161</v>
      </c>
      <c r="D701" s="826" t="s">
        <v>22</v>
      </c>
      <c r="E701" s="751" t="s">
        <v>162</v>
      </c>
      <c r="F701" s="752" t="s">
        <v>163</v>
      </c>
      <c r="G701" s="753" t="s">
        <v>164</v>
      </c>
    </row>
    <row r="702" spans="1:8" ht="15.75">
      <c r="B702" s="2408" t="s">
        <v>165</v>
      </c>
      <c r="C702" s="2409"/>
      <c r="D702" s="2409"/>
      <c r="E702" s="2409"/>
      <c r="F702" s="2409"/>
      <c r="G702" s="2410"/>
    </row>
    <row r="703" spans="1:8" ht="30">
      <c r="B703" s="856" t="s">
        <v>181</v>
      </c>
      <c r="C703" s="852" t="str">
        <f>C709</f>
        <v>REDUÇÃO CONCENTRICA PARA ELETROCALHA DE 100MM PARA 50MM</v>
      </c>
      <c r="D703" s="859" t="s">
        <v>22</v>
      </c>
      <c r="E703" s="846">
        <v>1</v>
      </c>
      <c r="F703" s="846">
        <f>D714</f>
        <v>20.56</v>
      </c>
      <c r="G703" s="848">
        <f>TRUNC(F703*E703,2)</f>
        <v>20.56</v>
      </c>
    </row>
    <row r="704" spans="1:8" ht="15.75">
      <c r="B704" s="2408" t="s">
        <v>166</v>
      </c>
      <c r="C704" s="2409"/>
      <c r="D704" s="2409"/>
      <c r="E704" s="2409"/>
      <c r="F704" s="2409"/>
      <c r="G704" s="2410"/>
    </row>
    <row r="705" spans="1:8" ht="15.75">
      <c r="A705" s="333" t="s">
        <v>391</v>
      </c>
      <c r="B705" s="841">
        <v>88264</v>
      </c>
      <c r="C705" s="728" t="str">
        <f>IF($A705="INSUMO",VLOOKUP($B705,'BANCO DE DADOS JANEIRO-24 INS'!$A:$D,2,FALSE),VLOOKUP($B705,'BANCO DE DADOS JANEIRO-24 SERV'!$B:$E,2,FALSE))</f>
        <v>ELETRICISTA COM ENCARGOS COMPLEMENTARES</v>
      </c>
      <c r="D705" s="732" t="str">
        <f>IF($A705="INSUMO",VLOOKUP($B705,'BANCO DE DADOS JANEIRO-24 INS'!$A:$D,3,FALSE),VLOOKUP($B705,'BANCO DE DADOS JANEIRO-24 SERV'!$B:$E,3,FALSE))</f>
        <v>H</v>
      </c>
      <c r="E705" s="820">
        <v>0.1</v>
      </c>
      <c r="F705" s="755">
        <f>IF($A705="INSUMO",VLOOKUP($B705,'BANCO DE DADOS JANEIRO-24 INS'!$A:$D,4,FALSE),VLOOKUP($B705,'BANCO DE DADOS JANEIRO-24 SERV'!$B:$E,4,FALSE))</f>
        <v>26.68</v>
      </c>
      <c r="G705" s="848">
        <f>TRUNC(F705*E705,2)</f>
        <v>2.66</v>
      </c>
    </row>
    <row r="706" spans="1:8" ht="16.5" thickBot="1">
      <c r="A706" s="333" t="s">
        <v>391</v>
      </c>
      <c r="B706" s="625">
        <v>88316</v>
      </c>
      <c r="C706" s="731" t="str">
        <f>IF($A706="INSUMO",VLOOKUP($B706,'BANCO DE DADOS JANEIRO-24 INS'!$A:$D,2,FALSE),VLOOKUP($B706,'BANCO DE DADOS JANEIRO-24 SERV'!$B:$E,2,FALSE))</f>
        <v>SERVENTE COM ENCARGOS COMPLEMENTARES</v>
      </c>
      <c r="D706" s="729" t="str">
        <f>IF($A706="INSUMO",VLOOKUP($B706,'BANCO DE DADOS JANEIRO-24 INS'!$A:$D,3,FALSE),VLOOKUP($B706,'BANCO DE DADOS JANEIRO-24 SERV'!$B:$E,3,FALSE))</f>
        <v>H</v>
      </c>
      <c r="E706" s="850">
        <v>0.1</v>
      </c>
      <c r="F706" s="757">
        <f>IF($A706="INSUMO",VLOOKUP($B706,'BANCO DE DADOS JANEIRO-24 INS'!$A:$D,4,FALSE),VLOOKUP($B706,'BANCO DE DADOS JANEIRO-24 SERV'!$B:$E,4,FALSE))</f>
        <v>20.32</v>
      </c>
      <c r="G706" s="332">
        <f>TRUNC(F706*E706,2)</f>
        <v>2.0299999999999998</v>
      </c>
    </row>
    <row r="707" spans="1:8" ht="16.5" customHeight="1" thickBot="1">
      <c r="B707" s="2404" t="s">
        <v>7330</v>
      </c>
      <c r="C707" s="2404"/>
      <c r="D707" s="2404"/>
      <c r="E707" s="2404"/>
      <c r="F707" s="865" t="s">
        <v>167</v>
      </c>
      <c r="G707" s="326">
        <f>SUM(G703:G706)</f>
        <v>25.25</v>
      </c>
    </row>
    <row r="708" spans="1:8" ht="15.75" thickBot="1">
      <c r="B708" s="2404"/>
      <c r="C708" s="2404"/>
      <c r="D708" s="2404"/>
      <c r="E708" s="2404"/>
    </row>
    <row r="709" spans="1:8" ht="20.25" customHeight="1">
      <c r="A709" s="271"/>
      <c r="B709" s="1669" t="s">
        <v>181</v>
      </c>
      <c r="C709" s="2416" t="s">
        <v>7329</v>
      </c>
      <c r="D709" s="2417"/>
      <c r="E709" s="2417"/>
      <c r="F709" s="2418"/>
      <c r="G709" s="1676" t="s">
        <v>22</v>
      </c>
      <c r="H709" s="575"/>
    </row>
    <row r="710" spans="1:8" ht="31.5">
      <c r="A710" s="271"/>
      <c r="B710" s="1183" t="s">
        <v>174</v>
      </c>
      <c r="C710" s="1094" t="s">
        <v>175</v>
      </c>
      <c r="D710" s="1095" t="s">
        <v>176</v>
      </c>
      <c r="E710" s="1110" t="s">
        <v>177</v>
      </c>
      <c r="F710" s="1111" t="s">
        <v>178</v>
      </c>
      <c r="G710" s="1112" t="s">
        <v>179</v>
      </c>
      <c r="H710" s="271"/>
    </row>
    <row r="711" spans="1:8">
      <c r="A711" s="271"/>
      <c r="B711" s="1174">
        <v>45181</v>
      </c>
      <c r="C711" s="1297" t="s">
        <v>4588</v>
      </c>
      <c r="D711" s="1333">
        <v>22.34</v>
      </c>
      <c r="E711" s="1339" t="s">
        <v>5057</v>
      </c>
      <c r="F711" s="1298" t="s">
        <v>1979</v>
      </c>
      <c r="G711" s="1332" t="s">
        <v>5871</v>
      </c>
      <c r="H711" s="271"/>
    </row>
    <row r="712" spans="1:8">
      <c r="A712" s="271"/>
      <c r="B712" s="1299">
        <v>45180</v>
      </c>
      <c r="C712" s="1297" t="s">
        <v>5879</v>
      </c>
      <c r="D712" s="1333">
        <v>17.73</v>
      </c>
      <c r="E712" s="1192" t="s">
        <v>2185</v>
      </c>
      <c r="F712" s="1298" t="s">
        <v>4611</v>
      </c>
      <c r="G712" s="1364" t="s">
        <v>2840</v>
      </c>
      <c r="H712" s="271"/>
    </row>
    <row r="713" spans="1:8">
      <c r="A713" s="271"/>
      <c r="B713" s="1113">
        <v>45182</v>
      </c>
      <c r="C713" s="1114" t="s">
        <v>5877</v>
      </c>
      <c r="D713" s="1115">
        <v>20.56</v>
      </c>
      <c r="E713" s="1192" t="s">
        <v>1982</v>
      </c>
      <c r="F713" s="1139" t="s">
        <v>195</v>
      </c>
      <c r="G713" s="1117" t="s">
        <v>5211</v>
      </c>
      <c r="H713" s="271"/>
    </row>
    <row r="714" spans="1:8" ht="16.5" thickBot="1">
      <c r="A714" s="271"/>
      <c r="B714" s="1672"/>
      <c r="C714" s="1668" t="s">
        <v>180</v>
      </c>
      <c r="D714" s="1673">
        <f>IF(COUNT(D710:D713)=3,MEDIAN(D710:D713),SMALL(D711:D713,1))</f>
        <v>20.56</v>
      </c>
      <c r="E714" s="1674"/>
      <c r="F714" s="1675"/>
      <c r="G714" s="1671"/>
      <c r="H714" s="271"/>
    </row>
    <row r="715" spans="1:8" ht="15.75" thickBot="1">
      <c r="B715" s="2411"/>
      <c r="C715" s="2412"/>
      <c r="D715" s="2412"/>
      <c r="E715" s="2412"/>
      <c r="F715" s="2412"/>
      <c r="G715" s="2413"/>
    </row>
    <row r="716" spans="1:8" ht="27" customHeight="1">
      <c r="B716" s="623" t="str">
        <f>IF(COUNT($H$17:H716)&lt;10,CONCATENATE("CPU LOG 00",COUNT($H$17:H716)),CONCATENATE("CPU LOG 0",COUNT($H$17:H716)))</f>
        <v>CPU LOG 050</v>
      </c>
      <c r="C716" s="2180" t="str">
        <f>CONCATENATE("FORNECIMENTO E INSTALAÇÃO DE ",C719)</f>
        <v>FORNECIMENTO E INSTALAÇÃO DE ELETROCALHA PERFURADA GALVANIZADA DE #200 X 100MM</v>
      </c>
      <c r="D716" s="2181"/>
      <c r="E716" s="2181"/>
      <c r="F716" s="2181"/>
      <c r="G716" s="624" t="s">
        <v>21</v>
      </c>
      <c r="H716" s="615">
        <f>G723</f>
        <v>51.790000000000006</v>
      </c>
    </row>
    <row r="717" spans="1:8" ht="31.5">
      <c r="B717" s="750" t="s">
        <v>197</v>
      </c>
      <c r="C717" s="751" t="s">
        <v>161</v>
      </c>
      <c r="D717" s="826" t="s">
        <v>22</v>
      </c>
      <c r="E717" s="751" t="s">
        <v>162</v>
      </c>
      <c r="F717" s="752" t="s">
        <v>163</v>
      </c>
      <c r="G717" s="753" t="s">
        <v>164</v>
      </c>
    </row>
    <row r="718" spans="1:8" ht="15.75">
      <c r="B718" s="2408" t="s">
        <v>165</v>
      </c>
      <c r="C718" s="2409"/>
      <c r="D718" s="2409"/>
      <c r="E718" s="2409"/>
      <c r="F718" s="2409"/>
      <c r="G718" s="2410"/>
    </row>
    <row r="719" spans="1:8">
      <c r="B719" s="856" t="s">
        <v>181</v>
      </c>
      <c r="C719" s="852" t="s">
        <v>8218</v>
      </c>
      <c r="D719" s="859" t="s">
        <v>21</v>
      </c>
      <c r="E719" s="846">
        <v>1</v>
      </c>
      <c r="F719" s="846">
        <f>D738</f>
        <v>37.706666666666671</v>
      </c>
      <c r="G719" s="848">
        <f>TRUNC(F719*E719,2)</f>
        <v>37.700000000000003</v>
      </c>
    </row>
    <row r="720" spans="1:8" ht="15.75">
      <c r="B720" s="2408" t="s">
        <v>166</v>
      </c>
      <c r="C720" s="2409"/>
      <c r="D720" s="2409"/>
      <c r="E720" s="2409"/>
      <c r="F720" s="2409"/>
      <c r="G720" s="2410"/>
    </row>
    <row r="721" spans="1:8" ht="15.75">
      <c r="A721" s="333" t="s">
        <v>391</v>
      </c>
      <c r="B721" s="841">
        <v>88264</v>
      </c>
      <c r="C721" s="728" t="str">
        <f>IF($A721="INSUMO",VLOOKUP($B721,'BANCO DE DADOS JANEIRO-24 INS'!$A:$D,2,FALSE),VLOOKUP($B721,'BANCO DE DADOS JANEIRO-24 SERV'!$B:$E,2,FALSE))</f>
        <v>ELETRICISTA COM ENCARGOS COMPLEMENTARES</v>
      </c>
      <c r="D721" s="732" t="str">
        <f>IF($A721="INSUMO",VLOOKUP($B721,'BANCO DE DADOS JANEIRO-24 INS'!$A:$D,3,FALSE),VLOOKUP($B721,'BANCO DE DADOS JANEIRO-24 SERV'!$B:$E,3,FALSE))</f>
        <v>H</v>
      </c>
      <c r="E721" s="820">
        <v>0.3</v>
      </c>
      <c r="F721" s="755">
        <f>IF($A721="INSUMO",VLOOKUP($B721,'BANCO DE DADOS JANEIRO-24 INS'!$A:$D,4,FALSE),VLOOKUP($B721,'BANCO DE DADOS JANEIRO-24 SERV'!$B:$E,4,FALSE))</f>
        <v>26.68</v>
      </c>
      <c r="G721" s="848">
        <f>TRUNC(F721*E721,2)</f>
        <v>8</v>
      </c>
    </row>
    <row r="722" spans="1:8" ht="16.5" thickBot="1">
      <c r="A722" s="333" t="s">
        <v>391</v>
      </c>
      <c r="B722" s="625">
        <v>88316</v>
      </c>
      <c r="C722" s="731" t="str">
        <f>IF($A722="INSUMO",VLOOKUP($B722,'BANCO DE DADOS JANEIRO-24 INS'!$A:$D,2,FALSE),VLOOKUP($B722,'BANCO DE DADOS JANEIRO-24 SERV'!$B:$E,2,FALSE))</f>
        <v>SERVENTE COM ENCARGOS COMPLEMENTARES</v>
      </c>
      <c r="D722" s="729" t="str">
        <f>IF($A722="INSUMO",VLOOKUP($B722,'BANCO DE DADOS JANEIRO-24 INS'!$A:$D,3,FALSE),VLOOKUP($B722,'BANCO DE DADOS JANEIRO-24 SERV'!$B:$E,3,FALSE))</f>
        <v>H</v>
      </c>
      <c r="E722" s="850">
        <v>0.3</v>
      </c>
      <c r="F722" s="757">
        <f>IF($A722="INSUMO",VLOOKUP($B722,'BANCO DE DADOS JANEIRO-24 INS'!$A:$D,4,FALSE),VLOOKUP($B722,'BANCO DE DADOS JANEIRO-24 SERV'!$B:$E,4,FALSE))</f>
        <v>20.32</v>
      </c>
      <c r="G722" s="332">
        <f>TRUNC(F722*E722,2)</f>
        <v>6.09</v>
      </c>
    </row>
    <row r="723" spans="1:8" ht="16.5" customHeight="1" thickBot="1">
      <c r="B723" s="2414" t="s">
        <v>7331</v>
      </c>
      <c r="C723" s="2404"/>
      <c r="D723" s="2404"/>
      <c r="E723" s="2404"/>
      <c r="F723" s="865" t="s">
        <v>167</v>
      </c>
      <c r="G723" s="326">
        <f>SUM(G719:G722)</f>
        <v>51.790000000000006</v>
      </c>
    </row>
    <row r="724" spans="1:8" ht="33.75" customHeight="1">
      <c r="B724" s="2414"/>
      <c r="C724" s="2404"/>
      <c r="D724" s="2404"/>
      <c r="E724" s="2404"/>
      <c r="G724" s="668"/>
    </row>
    <row r="725" spans="1:8" ht="15.75" thickBot="1">
      <c r="B725" s="682"/>
      <c r="G725" s="668"/>
    </row>
    <row r="726" spans="1:8" ht="15.75">
      <c r="A726" s="271"/>
      <c r="B726" s="1669" t="s">
        <v>181</v>
      </c>
      <c r="C726" s="2416" t="s">
        <v>1812</v>
      </c>
      <c r="D726" s="2417"/>
      <c r="E726" s="2417"/>
      <c r="F726" s="2418"/>
      <c r="G726" s="1676" t="s">
        <v>22</v>
      </c>
      <c r="H726" s="575" t="s">
        <v>1978</v>
      </c>
    </row>
    <row r="727" spans="1:8" ht="31.5">
      <c r="A727" s="271"/>
      <c r="B727" s="1183" t="s">
        <v>174</v>
      </c>
      <c r="C727" s="1094" t="s">
        <v>175</v>
      </c>
      <c r="D727" s="1095" t="s">
        <v>176</v>
      </c>
      <c r="E727" s="1110" t="s">
        <v>177</v>
      </c>
      <c r="F727" s="1111" t="s">
        <v>178</v>
      </c>
      <c r="G727" s="1112" t="s">
        <v>179</v>
      </c>
      <c r="H727" s="271"/>
    </row>
    <row r="728" spans="1:8" ht="15.75">
      <c r="A728" s="271"/>
      <c r="B728" s="1174">
        <v>45254</v>
      </c>
      <c r="C728" s="1297" t="s">
        <v>4588</v>
      </c>
      <c r="D728" s="1333">
        <v>190.21</v>
      </c>
      <c r="E728" s="1339" t="s">
        <v>5057</v>
      </c>
      <c r="F728" s="1298" t="s">
        <v>1979</v>
      </c>
      <c r="G728" s="1332" t="s">
        <v>5871</v>
      </c>
      <c r="H728" s="610"/>
    </row>
    <row r="729" spans="1:8" ht="15.75">
      <c r="A729" s="271"/>
      <c r="B729" s="1299">
        <v>45253</v>
      </c>
      <c r="C729" s="1297" t="s">
        <v>5879</v>
      </c>
      <c r="D729" s="1333">
        <v>99.89</v>
      </c>
      <c r="E729" s="1192" t="s">
        <v>2185</v>
      </c>
      <c r="F729" s="1298" t="s">
        <v>4611</v>
      </c>
      <c r="G729" s="1364" t="s">
        <v>2840</v>
      </c>
      <c r="H729" s="610"/>
    </row>
    <row r="730" spans="1:8" ht="15.75">
      <c r="A730" s="271"/>
      <c r="B730" s="1174">
        <v>45215</v>
      </c>
      <c r="C730" s="1297" t="s">
        <v>5877</v>
      </c>
      <c r="D730" s="1333">
        <v>113.12</v>
      </c>
      <c r="E730" s="1192" t="s">
        <v>1982</v>
      </c>
      <c r="F730" s="1298" t="s">
        <v>195</v>
      </c>
      <c r="G730" s="1332" t="s">
        <v>516</v>
      </c>
      <c r="H730" s="610"/>
    </row>
    <row r="731" spans="1:8" ht="16.5" thickBot="1">
      <c r="A731" s="271"/>
      <c r="B731" s="1672"/>
      <c r="C731" s="1668"/>
      <c r="D731" s="1673">
        <f>IF(COUNT(D727:D730)=3,MEDIAN(D727:D730),SMALL(D728:D730,1))</f>
        <v>113.12</v>
      </c>
      <c r="E731" s="1674"/>
      <c r="F731" s="1675"/>
      <c r="G731" s="1671"/>
      <c r="H731" s="271"/>
    </row>
    <row r="732" spans="1:8" ht="15.75" thickBot="1"/>
    <row r="733" spans="1:8" ht="15.75">
      <c r="A733" s="271"/>
      <c r="B733" s="1669" t="s">
        <v>181</v>
      </c>
      <c r="C733" s="2416" t="s">
        <v>8217</v>
      </c>
      <c r="D733" s="2417"/>
      <c r="E733" s="2417"/>
      <c r="F733" s="2418"/>
      <c r="G733" s="1676" t="s">
        <v>21</v>
      </c>
      <c r="H733" s="575" t="s">
        <v>1978</v>
      </c>
    </row>
    <row r="734" spans="1:8" ht="31.5">
      <c r="A734" s="271"/>
      <c r="B734" s="1183" t="s">
        <v>174</v>
      </c>
      <c r="C734" s="1094" t="s">
        <v>175</v>
      </c>
      <c r="D734" s="1095" t="s">
        <v>176</v>
      </c>
      <c r="E734" s="1110" t="s">
        <v>177</v>
      </c>
      <c r="F734" s="1111" t="s">
        <v>178</v>
      </c>
      <c r="G734" s="1112" t="s">
        <v>179</v>
      </c>
      <c r="H734" s="271"/>
    </row>
    <row r="735" spans="1:8" ht="15.75">
      <c r="A735" s="271"/>
      <c r="B735" s="1534">
        <f t="shared" ref="B735:C737" si="0">B728</f>
        <v>45254</v>
      </c>
      <c r="C735" s="1534" t="str">
        <f t="shared" si="0"/>
        <v>ELETRO ATIVA</v>
      </c>
      <c r="D735" s="1333">
        <f>D728/3</f>
        <v>63.403333333333336</v>
      </c>
      <c r="E735" s="1339" t="str">
        <f t="shared" ref="E735:G737" si="1">E728</f>
        <v>06.110.817/0004-41</v>
      </c>
      <c r="F735" s="1339" t="str">
        <f t="shared" si="1"/>
        <v>(65) 3051-7844</v>
      </c>
      <c r="G735" s="1339" t="str">
        <f t="shared" si="1"/>
        <v>JEAN</v>
      </c>
      <c r="H735" s="610"/>
    </row>
    <row r="736" spans="1:8" ht="15.75">
      <c r="A736" s="271"/>
      <c r="B736" s="1534">
        <f t="shared" si="0"/>
        <v>45253</v>
      </c>
      <c r="C736" s="1534" t="str">
        <f t="shared" si="0"/>
        <v>ELÉTRICA UNIÃO</v>
      </c>
      <c r="D736" s="1333">
        <f>D729/3</f>
        <v>33.296666666666667</v>
      </c>
      <c r="E736" s="1339" t="str">
        <f t="shared" si="1"/>
        <v>25.211.602/0001-19</v>
      </c>
      <c r="F736" s="1339" t="str">
        <f t="shared" si="1"/>
        <v>(65) 3632-9300</v>
      </c>
      <c r="G736" s="1339" t="str">
        <f t="shared" si="1"/>
        <v>FERNANDO</v>
      </c>
      <c r="H736" s="610"/>
    </row>
    <row r="737" spans="1:8" ht="15.75">
      <c r="A737" s="271"/>
      <c r="B737" s="1534">
        <f t="shared" si="0"/>
        <v>45215</v>
      </c>
      <c r="C737" s="1534" t="str">
        <f t="shared" si="0"/>
        <v>TUDO HIDRÁULICA E ELÉTRICA</v>
      </c>
      <c r="D737" s="1333">
        <f>D730/3</f>
        <v>37.706666666666671</v>
      </c>
      <c r="E737" s="1339" t="str">
        <f t="shared" si="1"/>
        <v>15.987.913/0001-10</v>
      </c>
      <c r="F737" s="1339" t="str">
        <f t="shared" si="1"/>
        <v>(65) 3321-0009</v>
      </c>
      <c r="G737" s="1339" t="str">
        <f t="shared" si="1"/>
        <v>PAULO</v>
      </c>
      <c r="H737" s="610"/>
    </row>
    <row r="738" spans="1:8" ht="16.5" thickBot="1">
      <c r="A738" s="271"/>
      <c r="B738" s="1672"/>
      <c r="C738" s="1668"/>
      <c r="D738" s="1673">
        <f>IF(COUNT(D734:D737)=3,MEDIAN(D734:D737),SMALL(D735:D737,1))</f>
        <v>37.706666666666671</v>
      </c>
      <c r="E738" s="1674"/>
      <c r="F738" s="1675"/>
      <c r="G738" s="1671"/>
      <c r="H738" s="271"/>
    </row>
    <row r="739" spans="1:8" ht="16.5" customHeight="1" thickBot="1">
      <c r="A739" s="271"/>
      <c r="B739" s="2419"/>
      <c r="C739" s="2420"/>
      <c r="D739" s="2420"/>
      <c r="E739" s="2420"/>
      <c r="F739" s="2420"/>
      <c r="G739" s="2421"/>
      <c r="H739" s="271"/>
    </row>
    <row r="740" spans="1:8" ht="35.25" customHeight="1">
      <c r="B740" s="623" t="str">
        <f>IF(COUNT($H$17:H740)&lt;10,CONCATENATE("CPU LOG 00",COUNT($H$17:H740)),CONCATENATE("CPU LOG 0",COUNT($H$17:H740)))</f>
        <v>CPU LOG 051</v>
      </c>
      <c r="C740" s="2180" t="str">
        <f>CONCATENATE("FORNECIMENTO E INSTALAÇÃO DE ",C743)</f>
        <v>FORNECIMENTO E INSTALAÇÃO DE EMENDA INTERNA PARA ELETROCALHA PERFURADA GALVANIZADA DE 200 X 100MM</v>
      </c>
      <c r="D740" s="2181"/>
      <c r="E740" s="2181"/>
      <c r="F740" s="2181"/>
      <c r="G740" s="624" t="s">
        <v>22</v>
      </c>
      <c r="H740" s="615">
        <f>G747</f>
        <v>21.69</v>
      </c>
    </row>
    <row r="741" spans="1:8" ht="31.5">
      <c r="B741" s="750" t="s">
        <v>197</v>
      </c>
      <c r="C741" s="751" t="s">
        <v>161</v>
      </c>
      <c r="D741" s="826" t="s">
        <v>22</v>
      </c>
      <c r="E741" s="751" t="s">
        <v>162</v>
      </c>
      <c r="F741" s="752" t="s">
        <v>163</v>
      </c>
      <c r="G741" s="753" t="s">
        <v>164</v>
      </c>
    </row>
    <row r="742" spans="1:8" ht="15.75">
      <c r="B742" s="2408" t="s">
        <v>165</v>
      </c>
      <c r="C742" s="2409"/>
      <c r="D742" s="2409"/>
      <c r="E742" s="2409"/>
      <c r="F742" s="2409"/>
      <c r="G742" s="2410"/>
    </row>
    <row r="743" spans="1:8" ht="30">
      <c r="B743" s="856" t="s">
        <v>181</v>
      </c>
      <c r="C743" s="852" t="str">
        <f>C749</f>
        <v>EMENDA INTERNA PARA ELETROCALHA PERFURADA GALVANIZADA DE 200 X 100MM</v>
      </c>
      <c r="D743" s="859" t="str">
        <f>G749</f>
        <v>UN</v>
      </c>
      <c r="E743" s="846">
        <v>1</v>
      </c>
      <c r="F743" s="846">
        <f>D754</f>
        <v>12.3</v>
      </c>
      <c r="G743" s="848">
        <f>TRUNC(F743*E743,2)</f>
        <v>12.3</v>
      </c>
    </row>
    <row r="744" spans="1:8" ht="15.75">
      <c r="B744" s="2408" t="s">
        <v>166</v>
      </c>
      <c r="C744" s="2409"/>
      <c r="D744" s="2409"/>
      <c r="E744" s="2409"/>
      <c r="F744" s="2409"/>
      <c r="G744" s="2410"/>
    </row>
    <row r="745" spans="1:8" ht="15.75">
      <c r="A745" s="333" t="s">
        <v>391</v>
      </c>
      <c r="B745" s="841">
        <v>88264</v>
      </c>
      <c r="C745" s="728" t="str">
        <f>IF($A745="INSUMO",VLOOKUP($B745,'BANCO DE DADOS JANEIRO-24 INS'!$A:$D,2,FALSE),VLOOKUP($B745,'BANCO DE DADOS JANEIRO-24 SERV'!$B:$E,2,FALSE))</f>
        <v>ELETRICISTA COM ENCARGOS COMPLEMENTARES</v>
      </c>
      <c r="D745" s="732" t="str">
        <f>IF($A745="INSUMO",VLOOKUP($B745,'BANCO DE DADOS JANEIRO-24 INS'!$A:$D,3,FALSE),VLOOKUP($B745,'BANCO DE DADOS JANEIRO-24 SERV'!$B:$E,3,FALSE))</f>
        <v>H</v>
      </c>
      <c r="E745" s="820">
        <v>0.2</v>
      </c>
      <c r="F745" s="755">
        <f>IF($A745="INSUMO",VLOOKUP($B745,'BANCO DE DADOS JANEIRO-24 INS'!$A:$D,4,FALSE),VLOOKUP($B745,'BANCO DE DADOS JANEIRO-24 SERV'!$B:$E,4,FALSE))</f>
        <v>26.68</v>
      </c>
      <c r="G745" s="848">
        <f>TRUNC(F745*E745,2)</f>
        <v>5.33</v>
      </c>
    </row>
    <row r="746" spans="1:8" ht="16.5" thickBot="1">
      <c r="A746" s="333" t="s">
        <v>391</v>
      </c>
      <c r="B746" s="625">
        <v>88316</v>
      </c>
      <c r="C746" s="731" t="str">
        <f>IF($A746="INSUMO",VLOOKUP($B746,'BANCO DE DADOS JANEIRO-24 INS'!$A:$D,2,FALSE),VLOOKUP($B746,'BANCO DE DADOS JANEIRO-24 SERV'!$B:$E,2,FALSE))</f>
        <v>SERVENTE COM ENCARGOS COMPLEMENTARES</v>
      </c>
      <c r="D746" s="729" t="str">
        <f>IF($A746="INSUMO",VLOOKUP($B746,'BANCO DE DADOS JANEIRO-24 INS'!$A:$D,3,FALSE),VLOOKUP($B746,'BANCO DE DADOS JANEIRO-24 SERV'!$B:$E,3,FALSE))</f>
        <v>H</v>
      </c>
      <c r="E746" s="850">
        <v>0.2</v>
      </c>
      <c r="F746" s="757">
        <f>IF($A746="INSUMO",VLOOKUP($B746,'BANCO DE DADOS JANEIRO-24 INS'!$A:$D,4,FALSE),VLOOKUP($B746,'BANCO DE DADOS JANEIRO-24 SERV'!$B:$E,4,FALSE))</f>
        <v>20.32</v>
      </c>
      <c r="G746" s="332">
        <f>TRUNC(F746*E746,2)</f>
        <v>4.0599999999999996</v>
      </c>
    </row>
    <row r="747" spans="1:8" ht="16.5" customHeight="1" thickBot="1">
      <c r="B747" s="2404" t="s">
        <v>7332</v>
      </c>
      <c r="C747" s="2404"/>
      <c r="D747" s="2404"/>
      <c r="E747" s="2404"/>
      <c r="F747" s="865" t="s">
        <v>167</v>
      </c>
      <c r="G747" s="326">
        <f>SUM(G743:G746)</f>
        <v>21.69</v>
      </c>
    </row>
    <row r="748" spans="1:8" ht="15.75" thickBot="1">
      <c r="B748" s="2404"/>
      <c r="C748" s="2404"/>
      <c r="D748" s="2404"/>
      <c r="E748" s="2404"/>
    </row>
    <row r="749" spans="1:8" ht="20.25" customHeight="1">
      <c r="A749" s="271"/>
      <c r="B749" s="1669" t="s">
        <v>181</v>
      </c>
      <c r="C749" s="2416" t="s">
        <v>7333</v>
      </c>
      <c r="D749" s="2417"/>
      <c r="E749" s="2417"/>
      <c r="F749" s="2418"/>
      <c r="G749" s="1676" t="s">
        <v>22</v>
      </c>
      <c r="H749" s="1743"/>
    </row>
    <row r="750" spans="1:8" ht="31.5">
      <c r="A750" s="271"/>
      <c r="B750" s="1183" t="s">
        <v>174</v>
      </c>
      <c r="C750" s="1094" t="s">
        <v>175</v>
      </c>
      <c r="D750" s="1095" t="s">
        <v>176</v>
      </c>
      <c r="E750" s="1110" t="s">
        <v>177</v>
      </c>
      <c r="F750" s="1111" t="s">
        <v>178</v>
      </c>
      <c r="G750" s="1112" t="s">
        <v>179</v>
      </c>
      <c r="H750" s="271"/>
    </row>
    <row r="751" spans="1:8" ht="15.75">
      <c r="A751" s="271"/>
      <c r="B751" s="1174">
        <v>45181</v>
      </c>
      <c r="C751" s="1297" t="s">
        <v>4588</v>
      </c>
      <c r="D751" s="1333">
        <v>12.3</v>
      </c>
      <c r="E751" s="1339" t="s">
        <v>5057</v>
      </c>
      <c r="F751" s="1298" t="s">
        <v>1979</v>
      </c>
      <c r="G751" s="1332" t="s">
        <v>5871</v>
      </c>
      <c r="H751" s="610"/>
    </row>
    <row r="752" spans="1:8" ht="15.75">
      <c r="A752" s="271"/>
      <c r="B752" s="1299">
        <v>45180</v>
      </c>
      <c r="C752" s="1297" t="s">
        <v>5879</v>
      </c>
      <c r="D752" s="1333">
        <v>9.24</v>
      </c>
      <c r="E752" s="1192" t="s">
        <v>2185</v>
      </c>
      <c r="F752" s="1298" t="s">
        <v>4611</v>
      </c>
      <c r="G752" s="1364" t="s">
        <v>2840</v>
      </c>
      <c r="H752" s="610"/>
    </row>
    <row r="753" spans="1:8" ht="15.75">
      <c r="A753" s="271"/>
      <c r="B753" s="1174">
        <v>45181</v>
      </c>
      <c r="C753" s="1297" t="s">
        <v>513</v>
      </c>
      <c r="D753" s="1333">
        <v>23.9</v>
      </c>
      <c r="E753" s="1192" t="s">
        <v>514</v>
      </c>
      <c r="F753" s="1298" t="s">
        <v>515</v>
      </c>
      <c r="G753" s="1332" t="s">
        <v>5882</v>
      </c>
      <c r="H753" s="610"/>
    </row>
    <row r="754" spans="1:8" ht="16.5" thickBot="1">
      <c r="A754" s="271"/>
      <c r="B754" s="1672"/>
      <c r="C754" s="1668" t="s">
        <v>180</v>
      </c>
      <c r="D754" s="1673">
        <f>IF(COUNT(D750:D753)=3,MEDIAN(D750:D753),SMALL(D751:D753,1))</f>
        <v>12.3</v>
      </c>
      <c r="E754" s="1674"/>
      <c r="F754" s="1675"/>
      <c r="G754" s="1671"/>
      <c r="H754" s="610"/>
    </row>
    <row r="755" spans="1:8" ht="15.75" thickBot="1">
      <c r="B755" s="2411"/>
      <c r="C755" s="2412"/>
      <c r="D755" s="2412"/>
      <c r="E755" s="2412"/>
      <c r="F755" s="2412"/>
      <c r="G755" s="2413"/>
    </row>
    <row r="756" spans="1:8" ht="29.25" customHeight="1">
      <c r="B756" s="623" t="str">
        <f>IF(COUNT($H$17:H756)&lt;10,CONCATENATE("CPU LOG 00",COUNT($H$17:H756)),CONCATENATE("CPU LOG 0",COUNT($H$17:H756)))</f>
        <v>CPU LOG 052</v>
      </c>
      <c r="C756" s="2180" t="str">
        <f>CONCATENATE("FORNECIMENTO E INSTALAÇÃO DE ",C759)</f>
        <v>FORNECIMENTO E INSTALAÇÃO DE CURVA HORIZONTAL #200 X 100MM PARA ELETROCALHA METALICA, COM ÂNGULO 90º</v>
      </c>
      <c r="D756" s="2181"/>
      <c r="E756" s="2181"/>
      <c r="F756" s="2181"/>
      <c r="G756" s="624" t="s">
        <v>22</v>
      </c>
      <c r="H756" s="615">
        <f>G763</f>
        <v>77.95</v>
      </c>
    </row>
    <row r="757" spans="1:8" ht="31.5">
      <c r="B757" s="750" t="s">
        <v>197</v>
      </c>
      <c r="C757" s="751" t="s">
        <v>161</v>
      </c>
      <c r="D757" s="826" t="s">
        <v>22</v>
      </c>
      <c r="E757" s="751" t="s">
        <v>162</v>
      </c>
      <c r="F757" s="752" t="s">
        <v>163</v>
      </c>
      <c r="G757" s="753" t="s">
        <v>164</v>
      </c>
    </row>
    <row r="758" spans="1:8" ht="15.75">
      <c r="B758" s="2408" t="s">
        <v>165</v>
      </c>
      <c r="C758" s="2409"/>
      <c r="D758" s="2409"/>
      <c r="E758" s="2409"/>
      <c r="F758" s="2409"/>
      <c r="G758" s="2410"/>
    </row>
    <row r="759" spans="1:8" ht="30">
      <c r="B759" s="856" t="s">
        <v>181</v>
      </c>
      <c r="C759" s="852" t="str">
        <f>C765</f>
        <v>CURVA HORIZONTAL #200 X 100MM PARA ELETROCALHA METALICA, COM ÂNGULO 90º</v>
      </c>
      <c r="D759" s="859" t="str">
        <f>G765</f>
        <v>UN</v>
      </c>
      <c r="E759" s="846">
        <v>1</v>
      </c>
      <c r="F759" s="846">
        <f>D770</f>
        <v>68.56</v>
      </c>
      <c r="G759" s="848">
        <f>TRUNC(F759*E759,2)</f>
        <v>68.56</v>
      </c>
    </row>
    <row r="760" spans="1:8" ht="15.75">
      <c r="B760" s="2408" t="s">
        <v>166</v>
      </c>
      <c r="C760" s="2409"/>
      <c r="D760" s="2409"/>
      <c r="E760" s="2409"/>
      <c r="F760" s="2409"/>
      <c r="G760" s="2410"/>
    </row>
    <row r="761" spans="1:8" ht="15.75">
      <c r="A761" s="333" t="s">
        <v>391</v>
      </c>
      <c r="B761" s="841">
        <v>88264</v>
      </c>
      <c r="C761" s="728" t="str">
        <f>IF($A761="INSUMO",VLOOKUP($B761,'BANCO DE DADOS JANEIRO-24 INS'!$A:$D,2,FALSE),VLOOKUP($B761,'BANCO DE DADOS JANEIRO-24 SERV'!$B:$E,2,FALSE))</f>
        <v>ELETRICISTA COM ENCARGOS COMPLEMENTARES</v>
      </c>
      <c r="D761" s="732" t="str">
        <f>IF($A761="INSUMO",VLOOKUP($B761,'BANCO DE DADOS JANEIRO-24 INS'!$A:$D,3,FALSE),VLOOKUP($B761,'BANCO DE DADOS JANEIRO-24 SERV'!$B:$E,3,FALSE))</f>
        <v>H</v>
      </c>
      <c r="E761" s="820">
        <v>0.2</v>
      </c>
      <c r="F761" s="755">
        <f>IF($A761="INSUMO",VLOOKUP($B761,'BANCO DE DADOS JANEIRO-24 INS'!$A:$D,4,FALSE),VLOOKUP($B761,'BANCO DE DADOS JANEIRO-24 SERV'!$B:$E,4,FALSE))</f>
        <v>26.68</v>
      </c>
      <c r="G761" s="848">
        <f>TRUNC(F761*E761,2)</f>
        <v>5.33</v>
      </c>
    </row>
    <row r="762" spans="1:8" ht="16.5" thickBot="1">
      <c r="A762" s="333" t="s">
        <v>391</v>
      </c>
      <c r="B762" s="625">
        <v>88316</v>
      </c>
      <c r="C762" s="731" t="str">
        <f>IF($A762="INSUMO",VLOOKUP($B762,'BANCO DE DADOS JANEIRO-24 INS'!$A:$D,2,FALSE),VLOOKUP($B762,'BANCO DE DADOS JANEIRO-24 SERV'!$B:$E,2,FALSE))</f>
        <v>SERVENTE COM ENCARGOS COMPLEMENTARES</v>
      </c>
      <c r="D762" s="729" t="str">
        <f>IF($A762="INSUMO",VLOOKUP($B762,'BANCO DE DADOS JANEIRO-24 INS'!$A:$D,3,FALSE),VLOOKUP($B762,'BANCO DE DADOS JANEIRO-24 SERV'!$B:$E,3,FALSE))</f>
        <v>H</v>
      </c>
      <c r="E762" s="850">
        <v>0.2</v>
      </c>
      <c r="F762" s="757">
        <f>IF($A762="INSUMO",VLOOKUP($B762,'BANCO DE DADOS JANEIRO-24 INS'!$A:$D,4,FALSE),VLOOKUP($B762,'BANCO DE DADOS JANEIRO-24 SERV'!$B:$E,4,FALSE))</f>
        <v>20.32</v>
      </c>
      <c r="G762" s="332">
        <f>TRUNC(F762*E762,2)</f>
        <v>4.0599999999999996</v>
      </c>
    </row>
    <row r="763" spans="1:8" ht="16.5" customHeight="1" thickBot="1">
      <c r="B763" s="2404" t="s">
        <v>7334</v>
      </c>
      <c r="C763" s="2404"/>
      <c r="D763" s="2404"/>
      <c r="E763" s="2404"/>
      <c r="F763" s="865" t="s">
        <v>167</v>
      </c>
      <c r="G763" s="326">
        <f>SUM(G759:G762)</f>
        <v>77.95</v>
      </c>
    </row>
    <row r="764" spans="1:8" ht="15.75" thickBot="1">
      <c r="B764" s="2404"/>
      <c r="C764" s="2404"/>
      <c r="D764" s="2404"/>
      <c r="E764" s="2404"/>
    </row>
    <row r="765" spans="1:8" ht="21" customHeight="1">
      <c r="A765" s="271"/>
      <c r="B765" s="1669" t="s">
        <v>181</v>
      </c>
      <c r="C765" s="2416" t="s">
        <v>7335</v>
      </c>
      <c r="D765" s="2417"/>
      <c r="E765" s="2417"/>
      <c r="F765" s="2418"/>
      <c r="G765" s="1676" t="s">
        <v>22</v>
      </c>
      <c r="H765" s="575"/>
    </row>
    <row r="766" spans="1:8" ht="31.5">
      <c r="A766" s="271"/>
      <c r="B766" s="1183" t="s">
        <v>174</v>
      </c>
      <c r="C766" s="1094" t="s">
        <v>175</v>
      </c>
      <c r="D766" s="1095" t="s">
        <v>176</v>
      </c>
      <c r="E766" s="1110" t="s">
        <v>177</v>
      </c>
      <c r="F766" s="1111" t="s">
        <v>178</v>
      </c>
      <c r="G766" s="1112" t="s">
        <v>179</v>
      </c>
      <c r="H766" s="610"/>
    </row>
    <row r="767" spans="1:8" ht="15.75">
      <c r="A767" s="271"/>
      <c r="B767" s="1299">
        <v>45264</v>
      </c>
      <c r="C767" s="1297" t="s">
        <v>2708</v>
      </c>
      <c r="D767" s="1333">
        <v>68.56</v>
      </c>
      <c r="E767" s="1192" t="s">
        <v>545</v>
      </c>
      <c r="F767" s="1298" t="s">
        <v>1808</v>
      </c>
      <c r="G767" s="1364" t="s">
        <v>555</v>
      </c>
      <c r="H767" s="610"/>
    </row>
    <row r="768" spans="1:8" ht="15.75">
      <c r="A768" s="271"/>
      <c r="B768" s="1174">
        <v>45197</v>
      </c>
      <c r="C768" s="1297" t="s">
        <v>3401</v>
      </c>
      <c r="D768" s="1333">
        <v>64.459999999999994</v>
      </c>
      <c r="E768" s="1339" t="s">
        <v>2062</v>
      </c>
      <c r="F768" s="1298" t="s">
        <v>2063</v>
      </c>
      <c r="G768" s="1332" t="s">
        <v>5870</v>
      </c>
      <c r="H768" s="610"/>
    </row>
    <row r="769" spans="1:8">
      <c r="A769" s="271"/>
      <c r="B769" s="1174">
        <v>45196</v>
      </c>
      <c r="C769" s="1297" t="s">
        <v>4588</v>
      </c>
      <c r="D769" s="1333">
        <v>78.34</v>
      </c>
      <c r="E769" s="1192" t="s">
        <v>5057</v>
      </c>
      <c r="F769" s="1298" t="s">
        <v>1979</v>
      </c>
      <c r="G769" s="1332" t="s">
        <v>5871</v>
      </c>
      <c r="H769" s="271"/>
    </row>
    <row r="770" spans="1:8" ht="16.5" thickBot="1">
      <c r="A770" s="271"/>
      <c r="B770" s="1672"/>
      <c r="C770" s="1668" t="s">
        <v>180</v>
      </c>
      <c r="D770" s="1673">
        <f>IF(COUNT(D766:D769)=3,MEDIAN(D766:D769),SMALL(D767:D769,1))</f>
        <v>68.56</v>
      </c>
      <c r="E770" s="1674"/>
      <c r="F770" s="1675"/>
      <c r="G770" s="1671"/>
      <c r="H770" s="271"/>
    </row>
    <row r="771" spans="1:8" ht="15.75" thickBot="1"/>
    <row r="772" spans="1:8" ht="34.5" customHeight="1">
      <c r="B772" s="623" t="str">
        <f>IF(COUNT($H$17:H772)&lt;10,CONCATENATE("CPU LOG 00",COUNT($H$17:H772)),CONCATENATE("CPU LOG 0",COUNT($H$17:H772)))</f>
        <v>CPU LOG 053</v>
      </c>
      <c r="C772" s="2180" t="str">
        <f>CONCATENATE("FORNECIMENTO E INSTALAÇÃO DE ",C775)</f>
        <v>FORNECIMENTO E INSTALAÇÃO DE SUPORTE VERTICAL 200 X 100 MM PARA FIXAÇÃO DE ELETROCALHA METÁLICA</v>
      </c>
      <c r="D772" s="2181"/>
      <c r="E772" s="2181"/>
      <c r="F772" s="2181"/>
      <c r="G772" s="624" t="s">
        <v>22</v>
      </c>
      <c r="H772" s="615">
        <f>G779</f>
        <v>21.999999999999996</v>
      </c>
    </row>
    <row r="773" spans="1:8" ht="31.5">
      <c r="B773" s="750" t="s">
        <v>197</v>
      </c>
      <c r="C773" s="751" t="s">
        <v>161</v>
      </c>
      <c r="D773" s="826" t="s">
        <v>22</v>
      </c>
      <c r="E773" s="751" t="s">
        <v>162</v>
      </c>
      <c r="F773" s="752" t="s">
        <v>163</v>
      </c>
      <c r="G773" s="753" t="s">
        <v>164</v>
      </c>
    </row>
    <row r="774" spans="1:8" ht="15.75">
      <c r="B774" s="2408" t="s">
        <v>165</v>
      </c>
      <c r="C774" s="2409"/>
      <c r="D774" s="2409"/>
      <c r="E774" s="2409"/>
      <c r="F774" s="2409"/>
      <c r="G774" s="2410"/>
    </row>
    <row r="775" spans="1:8" ht="30">
      <c r="B775" s="856" t="s">
        <v>181</v>
      </c>
      <c r="C775" s="852" t="str">
        <f>C781</f>
        <v>SUPORTE VERTICAL 200 X 100 MM PARA FIXAÇÃO DE ELETROCALHA METÁLICA</v>
      </c>
      <c r="D775" s="859" t="str">
        <f>G781</f>
        <v>UN</v>
      </c>
      <c r="E775" s="846">
        <v>1</v>
      </c>
      <c r="F775" s="846">
        <f>D786</f>
        <v>12.61</v>
      </c>
      <c r="G775" s="848">
        <f>TRUNC(F775*E775,2)</f>
        <v>12.61</v>
      </c>
    </row>
    <row r="776" spans="1:8" ht="15.75">
      <c r="B776" s="2408" t="s">
        <v>166</v>
      </c>
      <c r="C776" s="2409"/>
      <c r="D776" s="2409"/>
      <c r="E776" s="2409"/>
      <c r="F776" s="2409"/>
      <c r="G776" s="2410"/>
    </row>
    <row r="777" spans="1:8" ht="15.75">
      <c r="A777" s="333" t="s">
        <v>391</v>
      </c>
      <c r="B777" s="841">
        <v>88264</v>
      </c>
      <c r="C777" s="728" t="str">
        <f>IF($A777="INSUMO",VLOOKUP($B777,'BANCO DE DADOS JANEIRO-24 INS'!$A:$D,2,FALSE),VLOOKUP($B777,'BANCO DE DADOS JANEIRO-24 SERV'!$B:$E,2,FALSE))</f>
        <v>ELETRICISTA COM ENCARGOS COMPLEMENTARES</v>
      </c>
      <c r="D777" s="732" t="str">
        <f>IF($A777="INSUMO",VLOOKUP($B777,'BANCO DE DADOS JANEIRO-24 INS'!$A:$D,3,FALSE),VLOOKUP($B777,'BANCO DE DADOS JANEIRO-24 SERV'!$B:$E,3,FALSE))</f>
        <v>H</v>
      </c>
      <c r="E777" s="820">
        <v>0.2</v>
      </c>
      <c r="F777" s="755">
        <f>IF($A777="INSUMO",VLOOKUP($B777,'BANCO DE DADOS JANEIRO-24 INS'!$A:$D,4,FALSE),VLOOKUP($B777,'BANCO DE DADOS JANEIRO-24 SERV'!$B:$E,4,FALSE))</f>
        <v>26.68</v>
      </c>
      <c r="G777" s="848">
        <f>TRUNC(F777*E777,2)</f>
        <v>5.33</v>
      </c>
    </row>
    <row r="778" spans="1:8" ht="16.5" thickBot="1">
      <c r="A778" s="333" t="s">
        <v>391</v>
      </c>
      <c r="B778" s="625">
        <v>88316</v>
      </c>
      <c r="C778" s="731" t="str">
        <f>IF($A778="INSUMO",VLOOKUP($B778,'BANCO DE DADOS JANEIRO-24 INS'!$A:$D,2,FALSE),VLOOKUP($B778,'BANCO DE DADOS JANEIRO-24 SERV'!$B:$E,2,FALSE))</f>
        <v>SERVENTE COM ENCARGOS COMPLEMENTARES</v>
      </c>
      <c r="D778" s="729" t="str">
        <f>IF($A778="INSUMO",VLOOKUP($B778,'BANCO DE DADOS JANEIRO-24 INS'!$A:$D,3,FALSE),VLOOKUP($B778,'BANCO DE DADOS JANEIRO-24 SERV'!$B:$E,3,FALSE))</f>
        <v>H</v>
      </c>
      <c r="E778" s="850">
        <v>0.2</v>
      </c>
      <c r="F778" s="757">
        <f>IF($A778="INSUMO",VLOOKUP($B778,'BANCO DE DADOS JANEIRO-24 INS'!$A:$D,4,FALSE),VLOOKUP($B778,'BANCO DE DADOS JANEIRO-24 SERV'!$B:$E,4,FALSE))</f>
        <v>20.32</v>
      </c>
      <c r="G778" s="332">
        <f>TRUNC(F778*E778,2)</f>
        <v>4.0599999999999996</v>
      </c>
    </row>
    <row r="779" spans="1:8" ht="16.5" customHeight="1" thickBot="1">
      <c r="B779" s="2404" t="s">
        <v>7337</v>
      </c>
      <c r="C779" s="2404"/>
      <c r="D779" s="2404"/>
      <c r="E779" s="2404"/>
      <c r="F779" s="865" t="s">
        <v>167</v>
      </c>
      <c r="G779" s="326">
        <f>SUM(G775:G778)</f>
        <v>21.999999999999996</v>
      </c>
    </row>
    <row r="780" spans="1:8" ht="15.75" thickBot="1">
      <c r="B780" s="2404"/>
      <c r="C780" s="2404"/>
      <c r="D780" s="2404"/>
      <c r="E780" s="2404"/>
    </row>
    <row r="781" spans="1:8" ht="15.75">
      <c r="B781" s="1669" t="s">
        <v>181</v>
      </c>
      <c r="C781" s="2416" t="s">
        <v>7336</v>
      </c>
      <c r="D781" s="2417"/>
      <c r="E781" s="2417"/>
      <c r="F781" s="2418"/>
      <c r="G781" s="1676" t="s">
        <v>22</v>
      </c>
      <c r="H781" s="335" t="s">
        <v>1978</v>
      </c>
    </row>
    <row r="782" spans="1:8" ht="31.5">
      <c r="B782" s="1183" t="s">
        <v>174</v>
      </c>
      <c r="C782" s="1094" t="s">
        <v>175</v>
      </c>
      <c r="D782" s="1095" t="s">
        <v>176</v>
      </c>
      <c r="E782" s="1110"/>
      <c r="F782" s="1111"/>
      <c r="G782" s="1112"/>
    </row>
    <row r="783" spans="1:8" ht="15.75">
      <c r="B783" s="1474">
        <v>44655</v>
      </c>
      <c r="C783" s="1297" t="s">
        <v>2165</v>
      </c>
      <c r="D783" s="1333">
        <v>10.74</v>
      </c>
      <c r="E783" s="1192" t="s">
        <v>190</v>
      </c>
      <c r="F783" s="1298" t="s">
        <v>191</v>
      </c>
      <c r="G783" s="1332" t="s">
        <v>1869</v>
      </c>
      <c r="H783" s="610"/>
    </row>
    <row r="784" spans="1:8" ht="15.75">
      <c r="B784" s="1474">
        <v>44623</v>
      </c>
      <c r="C784" s="1297" t="s">
        <v>5060</v>
      </c>
      <c r="D784" s="1333">
        <v>13.13</v>
      </c>
      <c r="E784" s="1339" t="s">
        <v>545</v>
      </c>
      <c r="F784" s="1298" t="s">
        <v>1808</v>
      </c>
      <c r="G784" s="1332" t="s">
        <v>555</v>
      </c>
      <c r="H784" s="610"/>
    </row>
    <row r="785" spans="1:8">
      <c r="B785" s="1363">
        <v>44649</v>
      </c>
      <c r="C785" s="1297" t="s">
        <v>5879</v>
      </c>
      <c r="D785" s="1333">
        <v>12.61</v>
      </c>
      <c r="E785" s="1192" t="s">
        <v>2185</v>
      </c>
      <c r="F785" s="1298" t="s">
        <v>4611</v>
      </c>
      <c r="G785" s="1364" t="s">
        <v>5881</v>
      </c>
    </row>
    <row r="786" spans="1:8" ht="16.5" thickBot="1">
      <c r="B786" s="1672"/>
      <c r="C786" s="1668" t="s">
        <v>180</v>
      </c>
      <c r="D786" s="1673">
        <f>IF(COUNT(D782:D785)=3,MEDIAN(D782:D785),SMALL(D783:D785,1))</f>
        <v>12.61</v>
      </c>
      <c r="E786" s="1674"/>
      <c r="F786" s="1675"/>
      <c r="G786" s="1671"/>
    </row>
    <row r="787" spans="1:8" ht="15.75" thickBot="1"/>
    <row r="788" spans="1:8" ht="30" customHeight="1">
      <c r="B788" s="623" t="str">
        <f>IF(COUNT($H$17:H788)&lt;10,CONCATENATE("CPU LOG 00",COUNT($H$17:H788)),CONCATENATE("CPU LOG 0",COUNT($H$17:H788)))</f>
        <v>CPU LOG 054</v>
      </c>
      <c r="C788" s="2180" t="str">
        <f>CONCATENATE("FORNECIMENTO E INSTALAÇÃO DE ",C791)</f>
        <v>FORNECIMENTO E INSTALAÇÃO DE REDUÇÃO CONCÊNTRICA PARA ELETROCALHA DE #200MM PARA #100MM</v>
      </c>
      <c r="D788" s="2181"/>
      <c r="E788" s="2181"/>
      <c r="F788" s="2181"/>
      <c r="G788" s="624" t="s">
        <v>22</v>
      </c>
      <c r="H788" s="615">
        <f>G795</f>
        <v>38.72</v>
      </c>
    </row>
    <row r="789" spans="1:8" ht="31.5">
      <c r="B789" s="750" t="s">
        <v>197</v>
      </c>
      <c r="C789" s="751" t="s">
        <v>161</v>
      </c>
      <c r="D789" s="826" t="s">
        <v>22</v>
      </c>
      <c r="E789" s="751" t="s">
        <v>162</v>
      </c>
      <c r="F789" s="752" t="s">
        <v>163</v>
      </c>
      <c r="G789" s="753" t="s">
        <v>164</v>
      </c>
    </row>
    <row r="790" spans="1:8" ht="15.75">
      <c r="B790" s="2408" t="s">
        <v>165</v>
      </c>
      <c r="C790" s="2409"/>
      <c r="D790" s="2409"/>
      <c r="E790" s="2409"/>
      <c r="F790" s="2409"/>
      <c r="G790" s="2410"/>
    </row>
    <row r="791" spans="1:8" ht="30">
      <c r="B791" s="856" t="s">
        <v>181</v>
      </c>
      <c r="C791" s="852" t="str">
        <f>C797</f>
        <v>REDUÇÃO CONCÊNTRICA PARA ELETROCALHA DE #200MM PARA #100MM</v>
      </c>
      <c r="D791" s="859" t="str">
        <f>G797</f>
        <v>UN</v>
      </c>
      <c r="E791" s="846">
        <v>1</v>
      </c>
      <c r="F791" s="846">
        <f>D802</f>
        <v>31.68</v>
      </c>
      <c r="G791" s="848">
        <f>TRUNC(F791*E791,2)</f>
        <v>31.68</v>
      </c>
    </row>
    <row r="792" spans="1:8" ht="15.75">
      <c r="B792" s="2408" t="s">
        <v>166</v>
      </c>
      <c r="C792" s="2409"/>
      <c r="D792" s="2409"/>
      <c r="E792" s="2409"/>
      <c r="F792" s="2409"/>
      <c r="G792" s="2410"/>
    </row>
    <row r="793" spans="1:8" ht="15.75">
      <c r="A793" s="333" t="s">
        <v>391</v>
      </c>
      <c r="B793" s="841">
        <v>88264</v>
      </c>
      <c r="C793" s="728" t="str">
        <f>IF($A793="INSUMO",VLOOKUP($B793,'BANCO DE DADOS JANEIRO-24 INS'!$A:$D,2,FALSE),VLOOKUP($B793,'BANCO DE DADOS JANEIRO-24 SERV'!$B:$E,2,FALSE))</f>
        <v>ELETRICISTA COM ENCARGOS COMPLEMENTARES</v>
      </c>
      <c r="D793" s="732" t="str">
        <f>IF($A793="INSUMO",VLOOKUP($B793,'BANCO DE DADOS JANEIRO-24 INS'!$A:$D,3,FALSE),VLOOKUP($B793,'BANCO DE DADOS JANEIRO-24 SERV'!$B:$E,3,FALSE))</f>
        <v>H</v>
      </c>
      <c r="E793" s="820">
        <v>0.15</v>
      </c>
      <c r="F793" s="755">
        <f>IF($A793="INSUMO",VLOOKUP($B793,'BANCO DE DADOS JANEIRO-24 INS'!$A:$D,4,FALSE),VLOOKUP($B793,'BANCO DE DADOS JANEIRO-24 SERV'!$B:$E,4,FALSE))</f>
        <v>26.68</v>
      </c>
      <c r="G793" s="848">
        <f>TRUNC(F793*E793,2)</f>
        <v>4</v>
      </c>
    </row>
    <row r="794" spans="1:8" ht="16.5" thickBot="1">
      <c r="A794" s="333" t="s">
        <v>391</v>
      </c>
      <c r="B794" s="625">
        <v>88316</v>
      </c>
      <c r="C794" s="731" t="str">
        <f>IF($A794="INSUMO",VLOOKUP($B794,'BANCO DE DADOS JANEIRO-24 INS'!$A:$D,2,FALSE),VLOOKUP($B794,'BANCO DE DADOS JANEIRO-24 SERV'!$B:$E,2,FALSE))</f>
        <v>SERVENTE COM ENCARGOS COMPLEMENTARES</v>
      </c>
      <c r="D794" s="729" t="str">
        <f>IF($A794="INSUMO",VLOOKUP($B794,'BANCO DE DADOS JANEIRO-24 INS'!$A:$D,3,FALSE),VLOOKUP($B794,'BANCO DE DADOS JANEIRO-24 SERV'!$B:$E,3,FALSE))</f>
        <v>H</v>
      </c>
      <c r="E794" s="850">
        <v>0.15</v>
      </c>
      <c r="F794" s="757">
        <f>IF($A794="INSUMO",VLOOKUP($B794,'BANCO DE DADOS JANEIRO-24 INS'!$A:$D,4,FALSE),VLOOKUP($B794,'BANCO DE DADOS JANEIRO-24 SERV'!$B:$E,4,FALSE))</f>
        <v>20.32</v>
      </c>
      <c r="G794" s="332">
        <f>TRUNC(F794*E794,2)</f>
        <v>3.04</v>
      </c>
    </row>
    <row r="795" spans="1:8" ht="16.5" customHeight="1" thickBot="1">
      <c r="B795" s="2404" t="s">
        <v>7338</v>
      </c>
      <c r="C795" s="2404"/>
      <c r="D795" s="2404"/>
      <c r="E795" s="2404"/>
      <c r="F795" s="865" t="s">
        <v>167</v>
      </c>
      <c r="G795" s="326">
        <f>SUM(G791:G794)</f>
        <v>38.72</v>
      </c>
    </row>
    <row r="796" spans="1:8" ht="15.75" thickBot="1">
      <c r="B796" s="2404"/>
      <c r="C796" s="2404"/>
      <c r="D796" s="2404"/>
      <c r="E796" s="2404"/>
    </row>
    <row r="797" spans="1:8" ht="15.75">
      <c r="B797" s="1669" t="s">
        <v>181</v>
      </c>
      <c r="C797" s="2416" t="s">
        <v>7339</v>
      </c>
      <c r="D797" s="2417"/>
      <c r="E797" s="2417"/>
      <c r="F797" s="2418"/>
      <c r="G797" s="1676" t="s">
        <v>22</v>
      </c>
      <c r="H797" s="575" t="s">
        <v>1978</v>
      </c>
    </row>
    <row r="798" spans="1:8" ht="31.5">
      <c r="B798" s="1183" t="s">
        <v>174</v>
      </c>
      <c r="C798" s="1094" t="s">
        <v>175</v>
      </c>
      <c r="D798" s="1095" t="s">
        <v>176</v>
      </c>
      <c r="E798" s="1110"/>
      <c r="F798" s="1111"/>
      <c r="G798" s="1112"/>
    </row>
    <row r="799" spans="1:8" ht="15.75">
      <c r="B799" s="1174">
        <v>45264</v>
      </c>
      <c r="C799" s="1297" t="s">
        <v>2708</v>
      </c>
      <c r="D799" s="1333">
        <v>38.47</v>
      </c>
      <c r="E799" s="1339" t="s">
        <v>545</v>
      </c>
      <c r="F799" s="1298" t="s">
        <v>1808</v>
      </c>
      <c r="G799" s="1332" t="s">
        <v>555</v>
      </c>
      <c r="H799" s="610"/>
    </row>
    <row r="800" spans="1:8" ht="15.75">
      <c r="B800" s="1299">
        <v>45264</v>
      </c>
      <c r="C800" s="1297" t="s">
        <v>5879</v>
      </c>
      <c r="D800" s="1333">
        <v>26.68</v>
      </c>
      <c r="E800" s="1192" t="s">
        <v>2185</v>
      </c>
      <c r="F800" s="1298" t="s">
        <v>4611</v>
      </c>
      <c r="G800" s="1364" t="s">
        <v>2840</v>
      </c>
      <c r="H800" s="610"/>
    </row>
    <row r="801" spans="1:8" ht="15.75">
      <c r="B801" s="1174">
        <v>45253</v>
      </c>
      <c r="C801" s="1297" t="s">
        <v>2061</v>
      </c>
      <c r="D801" s="1333">
        <v>31.68</v>
      </c>
      <c r="E801" s="1192" t="s">
        <v>2062</v>
      </c>
      <c r="F801" s="1298" t="s">
        <v>2063</v>
      </c>
      <c r="G801" s="1332" t="s">
        <v>5870</v>
      </c>
      <c r="H801" s="610"/>
    </row>
    <row r="802" spans="1:8" ht="16.5" thickBot="1">
      <c r="B802" s="1672"/>
      <c r="C802" s="1668"/>
      <c r="D802" s="1673">
        <f>IF(COUNT(D798:D801)=3,MEDIAN(D798:D801),SMALL(D799:D801,1))</f>
        <v>31.68</v>
      </c>
      <c r="E802" s="1674"/>
      <c r="F802" s="1675"/>
      <c r="G802" s="1671"/>
    </row>
    <row r="803" spans="1:8" ht="15.75" thickBot="1"/>
    <row r="804" spans="1:8" ht="29.25" customHeight="1">
      <c r="B804" s="623" t="str">
        <f>IF(COUNT($H$17:H804)&lt;10,CONCATENATE("CPU LOG 00",COUNT($H$17:H804)),CONCATENATE("CPU LOG 0",COUNT($H$17:H804)))</f>
        <v>CPU LOG 055</v>
      </c>
      <c r="C804" s="2180" t="str">
        <f>CONCATENATE("FORNECIMENTO E INSTALAÇÃO DE ",C807)</f>
        <v>FORNECIMENTO E INSTALAÇÃO DE TÊ HORIZONTAL 200 X 100 MM PARA ELETROCALHA METÁLICA</v>
      </c>
      <c r="D804" s="2181"/>
      <c r="E804" s="2181"/>
      <c r="F804" s="2181"/>
      <c r="G804" s="624" t="s">
        <v>22</v>
      </c>
      <c r="H804" s="615">
        <f>G811</f>
        <v>101.29</v>
      </c>
    </row>
    <row r="805" spans="1:8" ht="31.5">
      <c r="B805" s="750" t="s">
        <v>197</v>
      </c>
      <c r="C805" s="751" t="s">
        <v>161</v>
      </c>
      <c r="D805" s="826" t="s">
        <v>22</v>
      </c>
      <c r="E805" s="751" t="s">
        <v>162</v>
      </c>
      <c r="F805" s="752" t="s">
        <v>163</v>
      </c>
      <c r="G805" s="753" t="s">
        <v>164</v>
      </c>
    </row>
    <row r="806" spans="1:8" ht="15.75">
      <c r="B806" s="2408" t="s">
        <v>165</v>
      </c>
      <c r="C806" s="2409"/>
      <c r="D806" s="2409"/>
      <c r="E806" s="2409"/>
      <c r="F806" s="2409"/>
      <c r="G806" s="2410"/>
    </row>
    <row r="807" spans="1:8">
      <c r="B807" s="856" t="s">
        <v>181</v>
      </c>
      <c r="C807" s="852" t="str">
        <f>C813</f>
        <v>TÊ HORIZONTAL 200 X 100 MM PARA ELETROCALHA METÁLICA</v>
      </c>
      <c r="D807" s="859" t="str">
        <f>G813</f>
        <v>UN</v>
      </c>
      <c r="E807" s="846">
        <v>1</v>
      </c>
      <c r="F807" s="846">
        <f>D818</f>
        <v>91.9</v>
      </c>
      <c r="G807" s="848">
        <f>TRUNC(F807*E807,2)</f>
        <v>91.9</v>
      </c>
    </row>
    <row r="808" spans="1:8" ht="15.75">
      <c r="B808" s="2408" t="s">
        <v>166</v>
      </c>
      <c r="C808" s="2409"/>
      <c r="D808" s="2409"/>
      <c r="E808" s="2409"/>
      <c r="F808" s="2409"/>
      <c r="G808" s="2410"/>
    </row>
    <row r="809" spans="1:8" ht="15.75">
      <c r="A809" s="333" t="s">
        <v>391</v>
      </c>
      <c r="B809" s="841">
        <v>88264</v>
      </c>
      <c r="C809" s="728" t="str">
        <f>IF($A809="INSUMO",VLOOKUP($B809,'BANCO DE DADOS JANEIRO-24 INS'!$A:$D,2,FALSE),VLOOKUP($B809,'BANCO DE DADOS JANEIRO-24 SERV'!$B:$E,2,FALSE))</f>
        <v>ELETRICISTA COM ENCARGOS COMPLEMENTARES</v>
      </c>
      <c r="D809" s="732" t="str">
        <f>IF($A809="INSUMO",VLOOKUP($B809,'BANCO DE DADOS JANEIRO-24 INS'!$A:$D,3,FALSE),VLOOKUP($B809,'BANCO DE DADOS JANEIRO-24 SERV'!$B:$E,3,FALSE))</f>
        <v>H</v>
      </c>
      <c r="E809" s="820">
        <v>0.2</v>
      </c>
      <c r="F809" s="755">
        <f>IF($A809="INSUMO",VLOOKUP($B809,'BANCO DE DADOS JANEIRO-24 INS'!$A:$D,4,FALSE),VLOOKUP($B809,'BANCO DE DADOS JANEIRO-24 SERV'!$B:$E,4,FALSE))</f>
        <v>26.68</v>
      </c>
      <c r="G809" s="848">
        <f>TRUNC(F809*E809,2)</f>
        <v>5.33</v>
      </c>
    </row>
    <row r="810" spans="1:8" ht="16.5" thickBot="1">
      <c r="A810" s="333" t="s">
        <v>391</v>
      </c>
      <c r="B810" s="625">
        <v>88316</v>
      </c>
      <c r="C810" s="731" t="str">
        <f>IF($A810="INSUMO",VLOOKUP($B810,'BANCO DE DADOS JANEIRO-24 INS'!$A:$D,2,FALSE),VLOOKUP($B810,'BANCO DE DADOS JANEIRO-24 SERV'!$B:$E,2,FALSE))</f>
        <v>SERVENTE COM ENCARGOS COMPLEMENTARES</v>
      </c>
      <c r="D810" s="729" t="str">
        <f>IF($A810="INSUMO",VLOOKUP($B810,'BANCO DE DADOS JANEIRO-24 INS'!$A:$D,3,FALSE),VLOOKUP($B810,'BANCO DE DADOS JANEIRO-24 SERV'!$B:$E,3,FALSE))</f>
        <v>H</v>
      </c>
      <c r="E810" s="850">
        <v>0.2</v>
      </c>
      <c r="F810" s="757">
        <f>IF($A810="INSUMO",VLOOKUP($B810,'BANCO DE DADOS JANEIRO-24 INS'!$A:$D,4,FALSE),VLOOKUP($B810,'BANCO DE DADOS JANEIRO-24 SERV'!$B:$E,4,FALSE))</f>
        <v>20.32</v>
      </c>
      <c r="G810" s="332">
        <f>TRUNC(F810*E810,2)</f>
        <v>4.0599999999999996</v>
      </c>
    </row>
    <row r="811" spans="1:8" ht="16.5" customHeight="1" thickBot="1">
      <c r="B811" s="2404" t="s">
        <v>7341</v>
      </c>
      <c r="C811" s="2404"/>
      <c r="D811" s="2404"/>
      <c r="E811" s="2404"/>
      <c r="F811" s="865" t="s">
        <v>167</v>
      </c>
      <c r="G811" s="326">
        <f>SUM(G807:G810)</f>
        <v>101.29</v>
      </c>
    </row>
    <row r="812" spans="1:8" ht="15.75" thickBot="1">
      <c r="B812" s="2404"/>
      <c r="C812" s="2404"/>
      <c r="D812" s="2404"/>
      <c r="E812" s="2404"/>
    </row>
    <row r="813" spans="1:8" ht="23.25" customHeight="1">
      <c r="A813" s="271"/>
      <c r="B813" s="1669" t="s">
        <v>181</v>
      </c>
      <c r="C813" s="2416" t="s">
        <v>7340</v>
      </c>
      <c r="D813" s="2417"/>
      <c r="E813" s="2417"/>
      <c r="F813" s="2418"/>
      <c r="G813" s="1676" t="s">
        <v>22</v>
      </c>
      <c r="H813" s="575"/>
    </row>
    <row r="814" spans="1:8" ht="31.5">
      <c r="A814" s="271"/>
      <c r="B814" s="1183" t="s">
        <v>174</v>
      </c>
      <c r="C814" s="1094" t="s">
        <v>175</v>
      </c>
      <c r="D814" s="1095" t="s">
        <v>176</v>
      </c>
      <c r="E814" s="1110" t="s">
        <v>177</v>
      </c>
      <c r="F814" s="1111" t="s">
        <v>178</v>
      </c>
      <c r="G814" s="1112" t="s">
        <v>179</v>
      </c>
      <c r="H814" s="271"/>
    </row>
    <row r="815" spans="1:8" ht="15.75">
      <c r="A815" s="271"/>
      <c r="B815" s="1174">
        <v>45253</v>
      </c>
      <c r="C815" s="1297" t="s">
        <v>2061</v>
      </c>
      <c r="D815" s="1333">
        <v>84.71</v>
      </c>
      <c r="E815" s="1192" t="s">
        <v>2062</v>
      </c>
      <c r="F815" s="1298" t="s">
        <v>2063</v>
      </c>
      <c r="G815" s="1332" t="s">
        <v>5870</v>
      </c>
      <c r="H815" s="610"/>
    </row>
    <row r="816" spans="1:8" ht="15.75">
      <c r="A816" s="271"/>
      <c r="B816" s="1174">
        <v>45264</v>
      </c>
      <c r="C816" s="1297" t="s">
        <v>2708</v>
      </c>
      <c r="D816" s="1333">
        <v>91.9</v>
      </c>
      <c r="E816" s="1339" t="s">
        <v>545</v>
      </c>
      <c r="F816" s="1298" t="s">
        <v>1808</v>
      </c>
      <c r="G816" s="1332" t="s">
        <v>555</v>
      </c>
      <c r="H816" s="610"/>
    </row>
    <row r="817" spans="1:8" ht="15.75">
      <c r="A817" s="271"/>
      <c r="B817" s="1299">
        <v>45254</v>
      </c>
      <c r="C817" s="1297" t="s">
        <v>4588</v>
      </c>
      <c r="D817" s="1333">
        <v>120.29</v>
      </c>
      <c r="E817" s="1192" t="s">
        <v>5057</v>
      </c>
      <c r="F817" s="1298" t="s">
        <v>1979</v>
      </c>
      <c r="G817" s="1364" t="s">
        <v>5871</v>
      </c>
      <c r="H817" s="610"/>
    </row>
    <row r="818" spans="1:8" ht="16.5" thickBot="1">
      <c r="A818" s="271"/>
      <c r="B818" s="1672"/>
      <c r="C818" s="1668" t="s">
        <v>180</v>
      </c>
      <c r="D818" s="1673">
        <f>IF(COUNT(D814:D817)=3,MEDIAN(D814:D817),SMALL(D815:D817,1))</f>
        <v>91.9</v>
      </c>
      <c r="E818" s="1674"/>
      <c r="F818" s="1675"/>
      <c r="G818" s="1671"/>
      <c r="H818" s="610"/>
    </row>
    <row r="819" spans="1:8" ht="15.75" thickBot="1">
      <c r="B819" s="2411"/>
      <c r="C819" s="2412"/>
      <c r="D819" s="2412"/>
      <c r="E819" s="2412"/>
      <c r="F819" s="2412"/>
      <c r="G819" s="2413"/>
    </row>
    <row r="820" spans="1:8" ht="15.75" customHeight="1">
      <c r="B820" s="623" t="str">
        <f>IF(COUNT($H$17:H820)&lt;10,CONCATENATE("CPU LOG 00",COUNT($H$17:H820)),CONCATENATE("CPU LOG 0",COUNT($H$17:H820)))</f>
        <v>CPU LOG 056</v>
      </c>
      <c r="C820" s="2180" t="str">
        <f>CONCATENATE("FORNECIMENTO E INSTALAÇÃO DE ",C823)</f>
        <v>FORNECIMENTO E INSTALAÇÃO DE CURVA DE INVERSÃO 200 X 100 MM PARA ELETROCALHA METÁLICA</v>
      </c>
      <c r="D820" s="2181"/>
      <c r="E820" s="2181"/>
      <c r="F820" s="2181"/>
      <c r="G820" s="624" t="s">
        <v>22</v>
      </c>
      <c r="H820" s="615">
        <f>G827</f>
        <v>62.47</v>
      </c>
    </row>
    <row r="821" spans="1:8" ht="31.5">
      <c r="B821" s="750" t="s">
        <v>197</v>
      </c>
      <c r="C821" s="751" t="s">
        <v>161</v>
      </c>
      <c r="D821" s="826" t="s">
        <v>22</v>
      </c>
      <c r="E821" s="751" t="s">
        <v>162</v>
      </c>
      <c r="F821" s="752" t="s">
        <v>163</v>
      </c>
      <c r="G821" s="753" t="s">
        <v>164</v>
      </c>
    </row>
    <row r="822" spans="1:8" ht="15.75">
      <c r="B822" s="2408" t="s">
        <v>165</v>
      </c>
      <c r="C822" s="2409"/>
      <c r="D822" s="2409"/>
      <c r="E822" s="2409"/>
      <c r="F822" s="2409"/>
      <c r="G822" s="2410"/>
    </row>
    <row r="823" spans="1:8" ht="37.5" customHeight="1">
      <c r="B823" s="856" t="s">
        <v>181</v>
      </c>
      <c r="C823" s="852" t="str">
        <f>C829</f>
        <v>CURVA DE INVERSÃO 200 X 100 MM PARA ELETROCALHA METÁLICA</v>
      </c>
      <c r="D823" s="859" t="s">
        <v>22</v>
      </c>
      <c r="E823" s="846">
        <v>1</v>
      </c>
      <c r="F823" s="846">
        <f>D834</f>
        <v>53.08</v>
      </c>
      <c r="G823" s="848">
        <f>TRUNC(F823*E823,2)</f>
        <v>53.08</v>
      </c>
    </row>
    <row r="824" spans="1:8" ht="15.75">
      <c r="B824" s="2408" t="s">
        <v>166</v>
      </c>
      <c r="C824" s="2409"/>
      <c r="D824" s="2409"/>
      <c r="E824" s="2409"/>
      <c r="F824" s="2409"/>
      <c r="G824" s="2410"/>
    </row>
    <row r="825" spans="1:8" ht="15.75">
      <c r="A825" s="333" t="s">
        <v>391</v>
      </c>
      <c r="B825" s="841">
        <v>88264</v>
      </c>
      <c r="C825" s="728" t="str">
        <f>IF($A825="INSUMO",VLOOKUP($B825,'BANCO DE DADOS JANEIRO-24 INS'!$A:$D,2,FALSE),VLOOKUP($B825,'BANCO DE DADOS JANEIRO-24 SERV'!$B:$E,2,FALSE))</f>
        <v>ELETRICISTA COM ENCARGOS COMPLEMENTARES</v>
      </c>
      <c r="D825" s="732" t="str">
        <f>IF($A825="INSUMO",VLOOKUP($B825,'BANCO DE DADOS JANEIRO-24 INS'!$A:$D,3,FALSE),VLOOKUP($B825,'BANCO DE DADOS JANEIRO-24 SERV'!$B:$E,3,FALSE))</f>
        <v>H</v>
      </c>
      <c r="E825" s="820">
        <v>0.2</v>
      </c>
      <c r="F825" s="755">
        <f>IF($A825="INSUMO",VLOOKUP($B825,'BANCO DE DADOS JANEIRO-24 INS'!$A:$D,4,FALSE),VLOOKUP($B825,'BANCO DE DADOS JANEIRO-24 SERV'!$B:$E,4,FALSE))</f>
        <v>26.68</v>
      </c>
      <c r="G825" s="848">
        <f>TRUNC(F825*E825,2)</f>
        <v>5.33</v>
      </c>
    </row>
    <row r="826" spans="1:8" ht="16.5" thickBot="1">
      <c r="A826" s="333" t="s">
        <v>391</v>
      </c>
      <c r="B826" s="625">
        <v>88316</v>
      </c>
      <c r="C826" s="731" t="str">
        <f>IF($A826="INSUMO",VLOOKUP($B826,'BANCO DE DADOS JANEIRO-24 INS'!$A:$D,2,FALSE),VLOOKUP($B826,'BANCO DE DADOS JANEIRO-24 SERV'!$B:$E,2,FALSE))</f>
        <v>SERVENTE COM ENCARGOS COMPLEMENTARES</v>
      </c>
      <c r="D826" s="729" t="str">
        <f>IF($A826="INSUMO",VLOOKUP($B826,'BANCO DE DADOS JANEIRO-24 INS'!$A:$D,3,FALSE),VLOOKUP($B826,'BANCO DE DADOS JANEIRO-24 SERV'!$B:$E,3,FALSE))</f>
        <v>H</v>
      </c>
      <c r="E826" s="850">
        <v>0.2</v>
      </c>
      <c r="F826" s="757">
        <f>IF($A826="INSUMO",VLOOKUP($B826,'BANCO DE DADOS JANEIRO-24 INS'!$A:$D,4,FALSE),VLOOKUP($B826,'BANCO DE DADOS JANEIRO-24 SERV'!$B:$E,4,FALSE))</f>
        <v>20.32</v>
      </c>
      <c r="G826" s="332">
        <f>TRUNC(F826*E826,2)</f>
        <v>4.0599999999999996</v>
      </c>
    </row>
    <row r="827" spans="1:8" ht="16.5" customHeight="1" thickBot="1">
      <c r="B827" s="2404" t="s">
        <v>7343</v>
      </c>
      <c r="C827" s="2404"/>
      <c r="D827" s="2404"/>
      <c r="E827" s="2404"/>
      <c r="F827" s="865" t="s">
        <v>167</v>
      </c>
      <c r="G827" s="326">
        <f>SUM(G823:G826)</f>
        <v>62.47</v>
      </c>
    </row>
    <row r="828" spans="1:8" ht="15.75" thickBot="1">
      <c r="B828" s="2404"/>
      <c r="C828" s="2404"/>
      <c r="D828" s="2404"/>
      <c r="E828" s="2404"/>
    </row>
    <row r="829" spans="1:8" ht="25.5" customHeight="1">
      <c r="A829" s="271"/>
      <c r="B829" s="1669" t="s">
        <v>181</v>
      </c>
      <c r="C829" s="2416" t="s">
        <v>7342</v>
      </c>
      <c r="D829" s="2417"/>
      <c r="E829" s="2417"/>
      <c r="F829" s="2418"/>
      <c r="G829" s="1676" t="s">
        <v>22</v>
      </c>
      <c r="H829" s="575" t="s">
        <v>1978</v>
      </c>
    </row>
    <row r="830" spans="1:8" ht="31.5">
      <c r="A830" s="271"/>
      <c r="B830" s="1183" t="s">
        <v>174</v>
      </c>
      <c r="C830" s="1094" t="s">
        <v>175</v>
      </c>
      <c r="D830" s="1095" t="s">
        <v>176</v>
      </c>
      <c r="E830" s="1110" t="s">
        <v>177</v>
      </c>
      <c r="F830" s="1111" t="s">
        <v>178</v>
      </c>
      <c r="G830" s="1112" t="s">
        <v>179</v>
      </c>
      <c r="H830" s="271"/>
    </row>
    <row r="831" spans="1:8" ht="15.75">
      <c r="A831" s="271"/>
      <c r="B831" s="1174">
        <v>45264</v>
      </c>
      <c r="C831" s="1297" t="s">
        <v>2708</v>
      </c>
      <c r="D831" s="1333">
        <v>42.77</v>
      </c>
      <c r="E831" s="1339" t="s">
        <v>545</v>
      </c>
      <c r="F831" s="1298" t="s">
        <v>1808</v>
      </c>
      <c r="G831" s="1332" t="s">
        <v>555</v>
      </c>
      <c r="H831" s="610"/>
    </row>
    <row r="832" spans="1:8" ht="15.75">
      <c r="A832" s="271"/>
      <c r="B832" s="1299">
        <v>45253</v>
      </c>
      <c r="C832" s="1297" t="s">
        <v>2061</v>
      </c>
      <c r="D832" s="1333">
        <v>53.08</v>
      </c>
      <c r="E832" s="1192" t="s">
        <v>2062</v>
      </c>
      <c r="F832" s="1298" t="s">
        <v>2063</v>
      </c>
      <c r="G832" s="1364" t="s">
        <v>5870</v>
      </c>
      <c r="H832" s="610"/>
    </row>
    <row r="833" spans="1:8" ht="15.75">
      <c r="A833" s="271"/>
      <c r="B833" s="1174">
        <v>45180</v>
      </c>
      <c r="C833" s="1297" t="s">
        <v>5879</v>
      </c>
      <c r="D833" s="1333">
        <v>65.98</v>
      </c>
      <c r="E833" s="1192" t="s">
        <v>2185</v>
      </c>
      <c r="F833" s="1298" t="s">
        <v>4611</v>
      </c>
      <c r="G833" s="1332" t="s">
        <v>2840</v>
      </c>
      <c r="H833" s="610"/>
    </row>
    <row r="834" spans="1:8" ht="16.5" thickBot="1">
      <c r="A834" s="271"/>
      <c r="B834" s="1672"/>
      <c r="C834" s="1668" t="s">
        <v>180</v>
      </c>
      <c r="D834" s="1673">
        <f>IF(COUNT(D830:D833)=3,MEDIAN(D830:D833),SMALL(D831:D833,1))</f>
        <v>53.08</v>
      </c>
      <c r="E834" s="1674"/>
      <c r="F834" s="1675"/>
      <c r="G834" s="1671"/>
      <c r="H834" s="271"/>
    </row>
    <row r="835" spans="1:8" ht="15.75" thickBot="1">
      <c r="B835" s="2411"/>
      <c r="C835" s="2412"/>
      <c r="D835" s="2412"/>
      <c r="E835" s="2412"/>
      <c r="F835" s="2412"/>
      <c r="G835" s="2413"/>
    </row>
    <row r="836" spans="1:8" ht="27" customHeight="1">
      <c r="B836" s="623" t="str">
        <f>IF(COUNT($H$17:H836)&lt;10,CONCATENATE("CPU LOG 00",COUNT($H$17:H836)),CONCATENATE("CPU LOG 0",COUNT($H$17:H836)))</f>
        <v>CPU LOG 057</v>
      </c>
      <c r="C836" s="2180" t="str">
        <f>CONCATENATE("FORNECIMENTO E INSTALAÇÃO DE ",C839)</f>
        <v>FORNECIMENTO E INSTALAÇÃO DE CRUZETA 200 X 100 MM PARA ELETROCALHA METÁLICA LISA ZINCADA</v>
      </c>
      <c r="D836" s="2181"/>
      <c r="E836" s="2181"/>
      <c r="F836" s="2181"/>
      <c r="G836" s="624" t="s">
        <v>22</v>
      </c>
      <c r="H836" s="615">
        <f>G843</f>
        <v>104.14</v>
      </c>
    </row>
    <row r="837" spans="1:8" ht="31.5">
      <c r="B837" s="750" t="s">
        <v>197</v>
      </c>
      <c r="C837" s="751" t="s">
        <v>161</v>
      </c>
      <c r="D837" s="826" t="s">
        <v>22</v>
      </c>
      <c r="E837" s="751" t="s">
        <v>162</v>
      </c>
      <c r="F837" s="752" t="s">
        <v>163</v>
      </c>
      <c r="G837" s="753" t="s">
        <v>164</v>
      </c>
    </row>
    <row r="838" spans="1:8" ht="15.75">
      <c r="B838" s="2408" t="s">
        <v>165</v>
      </c>
      <c r="C838" s="2409"/>
      <c r="D838" s="2409"/>
      <c r="E838" s="2409"/>
      <c r="F838" s="2409"/>
      <c r="G838" s="2410"/>
    </row>
    <row r="839" spans="1:8" ht="30">
      <c r="B839" s="856" t="s">
        <v>181</v>
      </c>
      <c r="C839" s="852" t="str">
        <f>C845</f>
        <v>CRUZETA 200 X 100 MM PARA ELETROCALHA METÁLICA LISA ZINCADA</v>
      </c>
      <c r="D839" s="859" t="s">
        <v>22</v>
      </c>
      <c r="E839" s="846">
        <v>1</v>
      </c>
      <c r="F839" s="846">
        <f>D850</f>
        <v>93.81</v>
      </c>
      <c r="G839" s="848">
        <f>TRUNC(F839*E839,2)</f>
        <v>93.81</v>
      </c>
    </row>
    <row r="840" spans="1:8" ht="15.75">
      <c r="B840" s="2408" t="s">
        <v>166</v>
      </c>
      <c r="C840" s="2409"/>
      <c r="D840" s="2409"/>
      <c r="E840" s="2409"/>
      <c r="F840" s="2409"/>
      <c r="G840" s="2410"/>
    </row>
    <row r="841" spans="1:8" ht="15.75">
      <c r="A841" s="333" t="s">
        <v>391</v>
      </c>
      <c r="B841" s="841">
        <v>88264</v>
      </c>
      <c r="C841" s="728" t="str">
        <f>IF($A841="INSUMO",VLOOKUP($B841,'BANCO DE DADOS JANEIRO-24 INS'!$A:$D,2,FALSE),VLOOKUP($B841,'BANCO DE DADOS JANEIRO-24 SERV'!$B:$E,2,FALSE))</f>
        <v>ELETRICISTA COM ENCARGOS COMPLEMENTARES</v>
      </c>
      <c r="D841" s="732" t="str">
        <f>IF($A841="INSUMO",VLOOKUP($B841,'BANCO DE DADOS JANEIRO-24 INS'!$A:$D,3,FALSE),VLOOKUP($B841,'BANCO DE DADOS JANEIRO-24 SERV'!$B:$E,3,FALSE))</f>
        <v>H</v>
      </c>
      <c r="E841" s="820">
        <v>0.22</v>
      </c>
      <c r="F841" s="755">
        <f>IF($A841="INSUMO",VLOOKUP($B841,'BANCO DE DADOS JANEIRO-24 INS'!$A:$D,4,FALSE),VLOOKUP($B841,'BANCO DE DADOS JANEIRO-24 SERV'!$B:$E,4,FALSE))</f>
        <v>26.68</v>
      </c>
      <c r="G841" s="848">
        <f>TRUNC(F841*E841,2)</f>
        <v>5.86</v>
      </c>
    </row>
    <row r="842" spans="1:8" ht="16.5" thickBot="1">
      <c r="A842" s="333" t="s">
        <v>391</v>
      </c>
      <c r="B842" s="625">
        <v>88316</v>
      </c>
      <c r="C842" s="731" t="str">
        <f>IF($A842="INSUMO",VLOOKUP($B842,'BANCO DE DADOS JANEIRO-24 INS'!$A:$D,2,FALSE),VLOOKUP($B842,'BANCO DE DADOS JANEIRO-24 SERV'!$B:$E,2,FALSE))</f>
        <v>SERVENTE COM ENCARGOS COMPLEMENTARES</v>
      </c>
      <c r="D842" s="729" t="str">
        <f>IF($A842="INSUMO",VLOOKUP($B842,'BANCO DE DADOS JANEIRO-24 INS'!$A:$D,3,FALSE),VLOOKUP($B842,'BANCO DE DADOS JANEIRO-24 SERV'!$B:$E,3,FALSE))</f>
        <v>H</v>
      </c>
      <c r="E842" s="850">
        <v>0.22</v>
      </c>
      <c r="F842" s="757">
        <f>IF($A842="INSUMO",VLOOKUP($B842,'BANCO DE DADOS JANEIRO-24 INS'!$A:$D,4,FALSE),VLOOKUP($B842,'BANCO DE DADOS JANEIRO-24 SERV'!$B:$E,4,FALSE))</f>
        <v>20.32</v>
      </c>
      <c r="G842" s="332">
        <f>TRUNC(F842*E842,2)</f>
        <v>4.47</v>
      </c>
    </row>
    <row r="843" spans="1:8" ht="16.5" customHeight="1" thickBot="1">
      <c r="B843" s="2404" t="s">
        <v>7345</v>
      </c>
      <c r="C843" s="2404"/>
      <c r="D843" s="2404"/>
      <c r="E843" s="2404"/>
      <c r="F843" s="865" t="s">
        <v>167</v>
      </c>
      <c r="G843" s="326">
        <f>SUM(G839:G842)</f>
        <v>104.14</v>
      </c>
    </row>
    <row r="844" spans="1:8" ht="15.75" thickBot="1">
      <c r="B844" s="2404"/>
      <c r="C844" s="2404"/>
      <c r="D844" s="2404"/>
      <c r="E844" s="2404"/>
    </row>
    <row r="845" spans="1:8" ht="24.75" customHeight="1">
      <c r="A845" s="271"/>
      <c r="B845" s="1669" t="s">
        <v>181</v>
      </c>
      <c r="C845" s="2416" t="s">
        <v>7344</v>
      </c>
      <c r="D845" s="2417"/>
      <c r="E845" s="2417"/>
      <c r="F845" s="2418"/>
      <c r="G845" s="1676" t="s">
        <v>22</v>
      </c>
      <c r="H845" s="575"/>
    </row>
    <row r="846" spans="1:8" ht="31.5">
      <c r="A846" s="271"/>
      <c r="B846" s="1107" t="s">
        <v>174</v>
      </c>
      <c r="C846" s="1108" t="s">
        <v>175</v>
      </c>
      <c r="D846" s="1109" t="s">
        <v>176</v>
      </c>
      <c r="E846" s="1110" t="s">
        <v>177</v>
      </c>
      <c r="F846" s="1111" t="s">
        <v>178</v>
      </c>
      <c r="G846" s="1112" t="s">
        <v>179</v>
      </c>
      <c r="H846" s="271"/>
    </row>
    <row r="847" spans="1:8">
      <c r="A847" s="271"/>
      <c r="B847" s="1299">
        <v>45266</v>
      </c>
      <c r="C847" s="1297" t="s">
        <v>2061</v>
      </c>
      <c r="D847" s="1333">
        <v>77.349999999999994</v>
      </c>
      <c r="E847" s="1192" t="s">
        <v>2062</v>
      </c>
      <c r="F847" s="1298" t="s">
        <v>2063</v>
      </c>
      <c r="G847" s="1364" t="s">
        <v>5870</v>
      </c>
      <c r="H847" s="271"/>
    </row>
    <row r="848" spans="1:8">
      <c r="A848" s="271"/>
      <c r="B848" s="1174">
        <v>45141</v>
      </c>
      <c r="C848" s="1297" t="s">
        <v>513</v>
      </c>
      <c r="D848" s="1333">
        <v>149.94999999999999</v>
      </c>
      <c r="E848" s="1192" t="s">
        <v>514</v>
      </c>
      <c r="F848" s="1298" t="s">
        <v>515</v>
      </c>
      <c r="G848" s="1332" t="s">
        <v>13358</v>
      </c>
      <c r="H848" s="271"/>
    </row>
    <row r="849" spans="1:8">
      <c r="A849" s="271"/>
      <c r="B849" s="1174">
        <v>45264</v>
      </c>
      <c r="C849" s="1297" t="s">
        <v>2708</v>
      </c>
      <c r="D849" s="1333">
        <v>93.81</v>
      </c>
      <c r="E849" s="1339" t="s">
        <v>545</v>
      </c>
      <c r="F849" s="1298" t="s">
        <v>1808</v>
      </c>
      <c r="G849" s="1332" t="s">
        <v>555</v>
      </c>
      <c r="H849" s="271"/>
    </row>
    <row r="850" spans="1:8" ht="16.5" thickBot="1">
      <c r="A850" s="271"/>
      <c r="B850" s="1672"/>
      <c r="C850" s="1668" t="s">
        <v>180</v>
      </c>
      <c r="D850" s="1673">
        <f>IF(COUNT(D846:D849)=3,MEDIAN(D846:D849),SMALL(D847:D849,1))</f>
        <v>93.81</v>
      </c>
      <c r="E850" s="1674"/>
      <c r="F850" s="1675"/>
      <c r="G850" s="1671"/>
      <c r="H850" s="271"/>
    </row>
    <row r="851" spans="1:8" ht="15.75" thickBot="1">
      <c r="B851" s="2411"/>
      <c r="C851" s="2412"/>
      <c r="D851" s="2412"/>
      <c r="E851" s="2412"/>
      <c r="F851" s="2412"/>
      <c r="G851" s="2413"/>
    </row>
    <row r="852" spans="1:8" ht="15.75">
      <c r="B852" s="623" t="str">
        <f>IF(COUNT($H$17:H852)&lt;10,CONCATENATE("CPU LOG 00",COUNT($H$17:H852)),CONCATENATE("CPU LOG 0",COUNT($H$17:H852)))</f>
        <v>CPU LOG 058</v>
      </c>
      <c r="C852" s="2180" t="str">
        <f>CONCATENATE("FORNECIMENTO E INSTALAÇÃO DE ",C855)</f>
        <v xml:space="preserve">FORNECIMENTO E INSTALAÇÃO DE VERGALHÃO ROSCA TOTAL 5/16'' (TIRANTE) </v>
      </c>
      <c r="D852" s="2181"/>
      <c r="E852" s="2181"/>
      <c r="F852" s="2181"/>
      <c r="G852" s="624" t="s">
        <v>21</v>
      </c>
      <c r="H852" s="615">
        <f>G859</f>
        <v>27.43</v>
      </c>
    </row>
    <row r="853" spans="1:8" ht="31.5">
      <c r="B853" s="750" t="s">
        <v>197</v>
      </c>
      <c r="C853" s="751" t="s">
        <v>161</v>
      </c>
      <c r="D853" s="826" t="s">
        <v>22</v>
      </c>
      <c r="E853" s="751" t="s">
        <v>162</v>
      </c>
      <c r="F853" s="752" t="s">
        <v>163</v>
      </c>
      <c r="G853" s="753" t="s">
        <v>164</v>
      </c>
    </row>
    <row r="854" spans="1:8" ht="15.75">
      <c r="B854" s="2408" t="s">
        <v>165</v>
      </c>
      <c r="C854" s="2409"/>
      <c r="D854" s="2409"/>
      <c r="E854" s="2409"/>
      <c r="F854" s="2409"/>
      <c r="G854" s="2410"/>
    </row>
    <row r="855" spans="1:8">
      <c r="B855" s="856" t="s">
        <v>181</v>
      </c>
      <c r="C855" s="852" t="str">
        <f>C861</f>
        <v xml:space="preserve">VERGALHÃO ROSCA TOTAL 5/16'' (TIRANTE) </v>
      </c>
      <c r="D855" s="859" t="s">
        <v>21</v>
      </c>
      <c r="E855" s="846">
        <v>1</v>
      </c>
      <c r="F855" s="846">
        <f>D873</f>
        <v>13.343333333333334</v>
      </c>
      <c r="G855" s="848">
        <f>TRUNC(F855*E855,2)</f>
        <v>13.34</v>
      </c>
    </row>
    <row r="856" spans="1:8" ht="15.75">
      <c r="B856" s="2408" t="s">
        <v>166</v>
      </c>
      <c r="C856" s="2409"/>
      <c r="D856" s="2409"/>
      <c r="E856" s="2409"/>
      <c r="F856" s="2409"/>
      <c r="G856" s="2410"/>
    </row>
    <row r="857" spans="1:8" ht="15.75">
      <c r="A857" s="333" t="s">
        <v>391</v>
      </c>
      <c r="B857" s="841">
        <v>88264</v>
      </c>
      <c r="C857" s="728" t="str">
        <f>IF($A857="INSUMO",VLOOKUP($B857,'BANCO DE DADOS JANEIRO-24 INS'!$A:$D,2,FALSE),VLOOKUP($B857,'BANCO DE DADOS JANEIRO-24 SERV'!$B:$E,2,FALSE))</f>
        <v>ELETRICISTA COM ENCARGOS COMPLEMENTARES</v>
      </c>
      <c r="D857" s="732" t="str">
        <f>IF($A857="INSUMO",VLOOKUP($B857,'BANCO DE DADOS JANEIRO-24 INS'!$A:$D,3,FALSE),VLOOKUP($B857,'BANCO DE DADOS JANEIRO-24 SERV'!$B:$E,3,FALSE))</f>
        <v>H</v>
      </c>
      <c r="E857" s="820">
        <v>0.3</v>
      </c>
      <c r="F857" s="755">
        <f>IF($A857="INSUMO",VLOOKUP($B857,'BANCO DE DADOS JANEIRO-24 INS'!$A:$D,4,FALSE),VLOOKUP($B857,'BANCO DE DADOS JANEIRO-24 SERV'!$B:$E,4,FALSE))</f>
        <v>26.68</v>
      </c>
      <c r="G857" s="840">
        <f>TRUNC(F857*E857,2)</f>
        <v>8</v>
      </c>
    </row>
    <row r="858" spans="1:8" ht="16.5" thickBot="1">
      <c r="A858" s="333" t="s">
        <v>391</v>
      </c>
      <c r="B858" s="625">
        <v>88316</v>
      </c>
      <c r="C858" s="731" t="str">
        <f>IF($A858="INSUMO",VLOOKUP($B858,'BANCO DE DADOS JANEIRO-24 INS'!$A:$D,2,FALSE),VLOOKUP($B858,'BANCO DE DADOS JANEIRO-24 SERV'!$B:$E,2,FALSE))</f>
        <v>SERVENTE COM ENCARGOS COMPLEMENTARES</v>
      </c>
      <c r="D858" s="729" t="str">
        <f>IF($A858="INSUMO",VLOOKUP($B858,'BANCO DE DADOS JANEIRO-24 INS'!$A:$D,3,FALSE),VLOOKUP($B858,'BANCO DE DADOS JANEIRO-24 SERV'!$B:$E,3,FALSE))</f>
        <v>H</v>
      </c>
      <c r="E858" s="850">
        <v>0.3</v>
      </c>
      <c r="F858" s="757">
        <f>IF($A858="INSUMO",VLOOKUP($B858,'BANCO DE DADOS JANEIRO-24 INS'!$A:$D,4,FALSE),VLOOKUP($B858,'BANCO DE DADOS JANEIRO-24 SERV'!$B:$E,4,FALSE))</f>
        <v>20.32</v>
      </c>
      <c r="G858" s="626">
        <f>TRUNC(F858*E858,2)</f>
        <v>6.09</v>
      </c>
    </row>
    <row r="859" spans="1:8" ht="31.5" customHeight="1" thickBot="1">
      <c r="B859" s="2404" t="s">
        <v>7347</v>
      </c>
      <c r="C859" s="2404"/>
      <c r="D859" s="2404"/>
      <c r="E859" s="2422"/>
      <c r="F859" s="325" t="s">
        <v>167</v>
      </c>
      <c r="G859" s="326">
        <f>SUM(G854:G858)</f>
        <v>27.43</v>
      </c>
    </row>
    <row r="860" spans="1:8" ht="15.75" thickBot="1"/>
    <row r="861" spans="1:8" ht="15.75">
      <c r="A861" s="271"/>
      <c r="B861" s="1669" t="s">
        <v>181</v>
      </c>
      <c r="C861" s="2164" t="s">
        <v>2841</v>
      </c>
      <c r="D861" s="2165"/>
      <c r="E861" s="2165"/>
      <c r="F861" s="2166"/>
      <c r="G861" s="1715" t="s">
        <v>22</v>
      </c>
      <c r="H861" s="575" t="s">
        <v>1978</v>
      </c>
    </row>
    <row r="862" spans="1:8" ht="31.5">
      <c r="A862" s="271"/>
      <c r="B862" s="1107" t="s">
        <v>174</v>
      </c>
      <c r="C862" s="1108" t="s">
        <v>175</v>
      </c>
      <c r="D862" s="1109" t="s">
        <v>176</v>
      </c>
      <c r="E862" s="1110" t="s">
        <v>177</v>
      </c>
      <c r="F862" s="1181" t="s">
        <v>178</v>
      </c>
      <c r="G862" s="1112" t="s">
        <v>179</v>
      </c>
      <c r="H862" s="575"/>
    </row>
    <row r="863" spans="1:8">
      <c r="A863" s="271"/>
      <c r="B863" s="1174">
        <v>45182</v>
      </c>
      <c r="C863" s="1297" t="s">
        <v>5877</v>
      </c>
      <c r="D863" s="1333">
        <v>34.69</v>
      </c>
      <c r="E863" s="1192" t="s">
        <v>1982</v>
      </c>
      <c r="F863" s="1461" t="s">
        <v>195</v>
      </c>
      <c r="G863" s="1332" t="s">
        <v>5211</v>
      </c>
      <c r="H863" s="271"/>
    </row>
    <row r="864" spans="1:8">
      <c r="A864" s="271"/>
      <c r="B864" s="1174">
        <v>45180</v>
      </c>
      <c r="C864" s="1114" t="s">
        <v>5879</v>
      </c>
      <c r="D864" s="1115">
        <v>40.03</v>
      </c>
      <c r="E864" s="1114" t="s">
        <v>2185</v>
      </c>
      <c r="F864" s="1139" t="s">
        <v>4611</v>
      </c>
      <c r="G864" s="1117" t="s">
        <v>2840</v>
      </c>
      <c r="H864" s="308" t="s">
        <v>410</v>
      </c>
    </row>
    <row r="865" spans="1:8">
      <c r="A865" s="271"/>
      <c r="B865" s="1174">
        <v>45181</v>
      </c>
      <c r="C865" s="1297" t="s">
        <v>4588</v>
      </c>
      <c r="D865" s="1333">
        <v>29</v>
      </c>
      <c r="E865" s="1192" t="s">
        <v>5057</v>
      </c>
      <c r="F865" s="1461" t="s">
        <v>1979</v>
      </c>
      <c r="G865" s="1332" t="s">
        <v>5871</v>
      </c>
      <c r="H865" s="308" t="s">
        <v>410</v>
      </c>
    </row>
    <row r="866" spans="1:8" ht="16.5" thickBot="1">
      <c r="A866" s="271"/>
      <c r="B866" s="1672"/>
      <c r="C866" s="1668" t="s">
        <v>180</v>
      </c>
      <c r="D866" s="1673">
        <f>IF(COUNT(D862:D865)=3,MEDIAN(D862:D865),SMALL(D863:D865,1))</f>
        <v>34.69</v>
      </c>
      <c r="E866" s="1674"/>
      <c r="F866" s="1675"/>
      <c r="G866" s="1671"/>
      <c r="H866" s="308" t="s">
        <v>410</v>
      </c>
    </row>
    <row r="867" spans="1:8" ht="16.5" thickBot="1">
      <c r="A867" s="271"/>
      <c r="B867" s="271"/>
      <c r="C867" s="271"/>
      <c r="D867" s="300"/>
      <c r="E867" s="257"/>
      <c r="F867" s="301"/>
      <c r="G867" s="302"/>
      <c r="H867" s="610"/>
    </row>
    <row r="868" spans="1:8" s="271" customFormat="1" ht="15.75">
      <c r="A868" s="333"/>
      <c r="B868" s="1669" t="s">
        <v>181</v>
      </c>
      <c r="C868" s="2164" t="s">
        <v>2842</v>
      </c>
      <c r="D868" s="2165"/>
      <c r="E868" s="2165"/>
      <c r="F868" s="2166"/>
      <c r="G868" s="1715" t="s">
        <v>21</v>
      </c>
    </row>
    <row r="869" spans="1:8" s="271" customFormat="1" ht="31.5">
      <c r="A869" s="333"/>
      <c r="B869" s="1107" t="s">
        <v>174</v>
      </c>
      <c r="C869" s="1108" t="s">
        <v>175</v>
      </c>
      <c r="D869" s="1109" t="s">
        <v>176</v>
      </c>
      <c r="E869" s="1110" t="s">
        <v>177</v>
      </c>
      <c r="F869" s="1181" t="s">
        <v>178</v>
      </c>
      <c r="G869" s="1112" t="s">
        <v>179</v>
      </c>
      <c r="H869" s="681" t="s">
        <v>410</v>
      </c>
    </row>
    <row r="870" spans="1:8" s="271" customFormat="1" ht="15.75">
      <c r="A870" s="333"/>
      <c r="B870" s="1174">
        <f t="shared" ref="B870:C872" si="2">B863</f>
        <v>45182</v>
      </c>
      <c r="C870" s="1297" t="str">
        <f>C863</f>
        <v>TUDO HIDRÁULICA E ELÉTRICA</v>
      </c>
      <c r="D870" s="1333">
        <f>(D863)</f>
        <v>34.69</v>
      </c>
      <c r="E870" s="1192" t="str">
        <f>E863</f>
        <v>15.987.913/0001-10</v>
      </c>
      <c r="F870" s="1461" t="str">
        <f>F863</f>
        <v>(65) 3321-0009</v>
      </c>
      <c r="G870" s="1332" t="str">
        <f>G863</f>
        <v>MATHEUS</v>
      </c>
    </row>
    <row r="871" spans="1:8" s="271" customFormat="1" ht="15.75">
      <c r="A871" s="333"/>
      <c r="B871" s="1174">
        <f t="shared" si="2"/>
        <v>45180</v>
      </c>
      <c r="C871" s="1297" t="str">
        <f t="shared" si="2"/>
        <v>ELÉTRICA UNIÃO</v>
      </c>
      <c r="D871" s="1333">
        <f>(D864/3)</f>
        <v>13.343333333333334</v>
      </c>
      <c r="E871" s="1192" t="str">
        <f t="shared" ref="E871:G872" si="3">E864</f>
        <v>25.211.602/0001-19</v>
      </c>
      <c r="F871" s="1461" t="str">
        <f t="shared" si="3"/>
        <v>(65) 3632-9300</v>
      </c>
      <c r="G871" s="1332" t="str">
        <f t="shared" si="3"/>
        <v>FERNANDO</v>
      </c>
      <c r="H871" s="308" t="s">
        <v>410</v>
      </c>
    </row>
    <row r="872" spans="1:8" s="271" customFormat="1" ht="15.75">
      <c r="A872" s="333"/>
      <c r="B872" s="1174">
        <f t="shared" si="2"/>
        <v>45181</v>
      </c>
      <c r="C872" s="1297" t="str">
        <f t="shared" si="2"/>
        <v>ELETRO ATIVA</v>
      </c>
      <c r="D872" s="1333">
        <f>(D865/3)</f>
        <v>9.6666666666666661</v>
      </c>
      <c r="E872" s="1192" t="str">
        <f t="shared" si="3"/>
        <v>06.110.817/0004-41</v>
      </c>
      <c r="F872" s="1461" t="str">
        <f t="shared" si="3"/>
        <v>(65) 3051-7844</v>
      </c>
      <c r="G872" s="1332" t="str">
        <f t="shared" si="3"/>
        <v>JEAN</v>
      </c>
      <c r="H872" s="308" t="s">
        <v>410</v>
      </c>
    </row>
    <row r="873" spans="1:8" s="271" customFormat="1" ht="16.5" thickBot="1">
      <c r="A873" s="333"/>
      <c r="B873" s="1672"/>
      <c r="C873" s="1668" t="s">
        <v>180</v>
      </c>
      <c r="D873" s="1673">
        <f>IF(COUNT(D869:D872)=3,MEDIAN(D870:D872),SMALL(D870:D872,1))</f>
        <v>13.343333333333334</v>
      </c>
      <c r="E873" s="1674"/>
      <c r="F873" s="1675"/>
      <c r="G873" s="1671"/>
      <c r="H873" s="308" t="s">
        <v>410</v>
      </c>
    </row>
    <row r="874" spans="1:8" ht="15.75" thickBot="1"/>
    <row r="875" spans="1:8" ht="15.75">
      <c r="B875" s="623" t="str">
        <f>IF(COUNT($H$17:H875)&lt;10,CONCATENATE("CPU LOG 00",COUNT($H$17:H875)),CONCATENATE("CPU LOG 0",COUNT($H$17:H875)))</f>
        <v>CPU LOG 059</v>
      </c>
      <c r="C875" s="2180" t="str">
        <f>CONCATENATE("FORNECIMENTO E INSTALAÇÃO DE ",C878)</f>
        <v>FORNECIMENTO E INSTALAÇÃO DE CANTONEIRA ZZ</v>
      </c>
      <c r="D875" s="2181"/>
      <c r="E875" s="2181"/>
      <c r="F875" s="2181"/>
      <c r="G875" s="624" t="s">
        <v>22</v>
      </c>
      <c r="H875" s="615">
        <f>G882</f>
        <v>9.06</v>
      </c>
    </row>
    <row r="876" spans="1:8" ht="31.5">
      <c r="B876" s="750" t="s">
        <v>197</v>
      </c>
      <c r="C876" s="751" t="s">
        <v>161</v>
      </c>
      <c r="D876" s="826" t="s">
        <v>22</v>
      </c>
      <c r="E876" s="751" t="s">
        <v>162</v>
      </c>
      <c r="F876" s="752" t="s">
        <v>163</v>
      </c>
      <c r="G876" s="753" t="s">
        <v>164</v>
      </c>
    </row>
    <row r="877" spans="1:8" ht="15.75">
      <c r="B877" s="2408" t="s">
        <v>165</v>
      </c>
      <c r="C877" s="2409"/>
      <c r="D877" s="2409"/>
      <c r="E877" s="2409"/>
      <c r="F877" s="2409"/>
      <c r="G877" s="2410"/>
    </row>
    <row r="878" spans="1:8">
      <c r="B878" s="856" t="s">
        <v>181</v>
      </c>
      <c r="C878" s="852" t="str">
        <f>C884</f>
        <v>CANTONEIRA ZZ</v>
      </c>
      <c r="D878" s="859" t="str">
        <f>G884</f>
        <v>UN</v>
      </c>
      <c r="E878" s="846">
        <v>1</v>
      </c>
      <c r="F878" s="846">
        <f>D889</f>
        <v>4.37</v>
      </c>
      <c r="G878" s="848">
        <f>TRUNC(F878*E878,2)</f>
        <v>4.37</v>
      </c>
    </row>
    <row r="879" spans="1:8" ht="15.75">
      <c r="B879" s="2408" t="s">
        <v>166</v>
      </c>
      <c r="C879" s="2409"/>
      <c r="D879" s="2409"/>
      <c r="E879" s="2409"/>
      <c r="F879" s="2409"/>
      <c r="G879" s="2410"/>
    </row>
    <row r="880" spans="1:8" ht="15.75">
      <c r="A880" s="333" t="s">
        <v>391</v>
      </c>
      <c r="B880" s="841">
        <v>88264</v>
      </c>
      <c r="C880" s="728" t="str">
        <f>IF($A880="INSUMO",VLOOKUP($B880,'BANCO DE DADOS JANEIRO-24 INS'!$A:$D,2,FALSE),VLOOKUP($B880,'BANCO DE DADOS JANEIRO-24 SERV'!$B:$E,2,FALSE))</f>
        <v>ELETRICISTA COM ENCARGOS COMPLEMENTARES</v>
      </c>
      <c r="D880" s="732" t="str">
        <f>IF($A880="INSUMO",VLOOKUP($B880,'BANCO DE DADOS JANEIRO-24 INS'!$A:$D,3,FALSE),VLOOKUP($B880,'BANCO DE DADOS JANEIRO-24 SERV'!$B:$E,3,FALSE))</f>
        <v>H</v>
      </c>
      <c r="E880" s="820">
        <v>0.1</v>
      </c>
      <c r="F880" s="755">
        <f>IF($A880="INSUMO",VLOOKUP($B880,'BANCO DE DADOS JANEIRO-24 INS'!$A:$D,4,FALSE),VLOOKUP($B880,'BANCO DE DADOS JANEIRO-24 SERV'!$B:$E,4,FALSE))</f>
        <v>26.68</v>
      </c>
      <c r="G880" s="840">
        <f>TRUNC(F880*E880,2)</f>
        <v>2.66</v>
      </c>
    </row>
    <row r="881" spans="1:12" ht="16.5" thickBot="1">
      <c r="A881" s="333" t="s">
        <v>391</v>
      </c>
      <c r="B881" s="625">
        <v>88316</v>
      </c>
      <c r="C881" s="731" t="str">
        <f>IF($A881="INSUMO",VLOOKUP($B881,'BANCO DE DADOS JANEIRO-24 INS'!$A:$D,2,FALSE),VLOOKUP($B881,'BANCO DE DADOS JANEIRO-24 SERV'!$B:$E,2,FALSE))</f>
        <v>SERVENTE COM ENCARGOS COMPLEMENTARES</v>
      </c>
      <c r="D881" s="729" t="str">
        <f>IF($A881="INSUMO",VLOOKUP($B881,'BANCO DE DADOS JANEIRO-24 INS'!$A:$D,3,FALSE),VLOOKUP($B881,'BANCO DE DADOS JANEIRO-24 SERV'!$B:$E,3,FALSE))</f>
        <v>H</v>
      </c>
      <c r="E881" s="850">
        <v>0.1</v>
      </c>
      <c r="F881" s="757">
        <f>IF($A881="INSUMO",VLOOKUP($B881,'BANCO DE DADOS JANEIRO-24 INS'!$A:$D,4,FALSE),VLOOKUP($B881,'BANCO DE DADOS JANEIRO-24 SERV'!$B:$E,4,FALSE))</f>
        <v>20.32</v>
      </c>
      <c r="G881" s="626">
        <f>TRUNC(F881*E881,2)</f>
        <v>2.0299999999999998</v>
      </c>
    </row>
    <row r="882" spans="1:12" ht="16.5" customHeight="1" thickBot="1">
      <c r="B882" s="2404" t="s">
        <v>7303</v>
      </c>
      <c r="C882" s="2404"/>
      <c r="D882" s="2404"/>
      <c r="E882" s="2404"/>
      <c r="F882" s="325" t="s">
        <v>167</v>
      </c>
      <c r="G882" s="326">
        <f>SUM(G877:G881)</f>
        <v>9.06</v>
      </c>
    </row>
    <row r="883" spans="1:12" ht="15.75" thickBot="1">
      <c r="B883" s="2404"/>
      <c r="C883" s="2404"/>
      <c r="D883" s="2404"/>
      <c r="E883" s="2404"/>
    </row>
    <row r="884" spans="1:12" ht="15.75">
      <c r="B884" s="1669" t="s">
        <v>181</v>
      </c>
      <c r="C884" s="2164" t="s">
        <v>552</v>
      </c>
      <c r="D884" s="2165"/>
      <c r="E884" s="2165"/>
      <c r="F884" s="2166"/>
      <c r="G884" s="1715" t="s">
        <v>22</v>
      </c>
      <c r="H884" s="575" t="s">
        <v>1978</v>
      </c>
    </row>
    <row r="885" spans="1:12" ht="31.5">
      <c r="B885" s="1107" t="s">
        <v>174</v>
      </c>
      <c r="C885" s="1108" t="s">
        <v>175</v>
      </c>
      <c r="D885" s="1109" t="s">
        <v>176</v>
      </c>
      <c r="E885" s="1110" t="s">
        <v>177</v>
      </c>
      <c r="F885" s="1181" t="s">
        <v>178</v>
      </c>
      <c r="G885" s="1112" t="s">
        <v>179</v>
      </c>
      <c r="K885" s="610"/>
    </row>
    <row r="886" spans="1:12" ht="15.75">
      <c r="B886" s="1174">
        <v>45182</v>
      </c>
      <c r="C886" s="1297" t="s">
        <v>5058</v>
      </c>
      <c r="D886" s="1333">
        <v>3.79</v>
      </c>
      <c r="E886" s="1192" t="s">
        <v>1982</v>
      </c>
      <c r="F886" s="1461" t="s">
        <v>195</v>
      </c>
      <c r="G886" s="1332" t="s">
        <v>5211</v>
      </c>
      <c r="H886" s="610"/>
    </row>
    <row r="887" spans="1:12" ht="15.75">
      <c r="B887" s="1174">
        <v>45181</v>
      </c>
      <c r="C887" s="1114" t="s">
        <v>3401</v>
      </c>
      <c r="D887" s="1115">
        <v>4.37</v>
      </c>
      <c r="E887" s="1114" t="s">
        <v>2062</v>
      </c>
      <c r="F887" s="1139" t="s">
        <v>2063</v>
      </c>
      <c r="G887" s="968" t="s">
        <v>5870</v>
      </c>
      <c r="H887" s="610"/>
    </row>
    <row r="888" spans="1:12" ht="15.75">
      <c r="B888" s="1174">
        <v>45181</v>
      </c>
      <c r="C888" s="1297" t="s">
        <v>513</v>
      </c>
      <c r="D888" s="1333">
        <v>5.99</v>
      </c>
      <c r="E888" s="1192" t="s">
        <v>514</v>
      </c>
      <c r="F888" s="1461" t="s">
        <v>515</v>
      </c>
      <c r="G888" s="1332" t="s">
        <v>2839</v>
      </c>
      <c r="H888" s="610"/>
    </row>
    <row r="889" spans="1:12" ht="16.5" thickBot="1">
      <c r="B889" s="1672"/>
      <c r="C889" s="1668" t="s">
        <v>180</v>
      </c>
      <c r="D889" s="1673">
        <f>IF(COUNT(D885:D888)=3,MEDIAN(D885:D888),SMALL(D886:D888,1))</f>
        <v>4.37</v>
      </c>
      <c r="E889" s="1674"/>
      <c r="F889" s="1675"/>
      <c r="G889" s="1671"/>
    </row>
    <row r="890" spans="1:12" ht="15.75" thickBot="1"/>
    <row r="891" spans="1:12" ht="39.75" customHeight="1">
      <c r="B891" s="623" t="str">
        <f>IF(COUNT($H$17:H891)&lt;10,CONCATENATE("CPU LOG 00",COUNT($H$17:H891)),CONCATENATE("CPU LOG 0",COUNT($H$17:H891)))</f>
        <v>CPU LOG 060</v>
      </c>
      <c r="C891" s="2180" t="s">
        <v>7349</v>
      </c>
      <c r="D891" s="2181"/>
      <c r="E891" s="2181"/>
      <c r="F891" s="2181"/>
      <c r="G891" s="624" t="s">
        <v>7348</v>
      </c>
      <c r="H891" s="619">
        <f>G901</f>
        <v>116.99000000000002</v>
      </c>
    </row>
    <row r="892" spans="1:12" ht="31.5">
      <c r="B892" s="1093" t="s">
        <v>197</v>
      </c>
      <c r="C892" s="1094" t="s">
        <v>161</v>
      </c>
      <c r="D892" s="1194" t="s">
        <v>22</v>
      </c>
      <c r="E892" s="1094" t="s">
        <v>162</v>
      </c>
      <c r="F892" s="1095" t="s">
        <v>163</v>
      </c>
      <c r="G892" s="1096" t="s">
        <v>164</v>
      </c>
      <c r="H892" s="259"/>
    </row>
    <row r="893" spans="1:12" ht="15.75">
      <c r="B893" s="2389" t="s">
        <v>165</v>
      </c>
      <c r="C893" s="2390"/>
      <c r="D893" s="2390"/>
      <c r="E893" s="2390"/>
      <c r="F893" s="2390"/>
      <c r="G893" s="2391"/>
      <c r="H893" s="259"/>
    </row>
    <row r="894" spans="1:12" ht="21.75" customHeight="1">
      <c r="A894" s="333" t="s">
        <v>390</v>
      </c>
      <c r="B894" s="1097">
        <v>39350</v>
      </c>
      <c r="C894" s="1222" t="str">
        <f>IF($A894="INSUMO",VLOOKUP($B894,'BANCO DE DADOS JANEIRO-24 INS'!$A:$D,2,FALSE),VLOOKUP($B894,'BANCO DE DADOS JANEIRO-24 SERV'!$B:$E,2,FALSE))</f>
        <v xml:space="preserve">TAMPA PARA CONDULETE, EM PVC, PARA 1 MODULO RJ                                                                                                                                                                                                                                                                                                                                                                                                                                                            </v>
      </c>
      <c r="D894" s="1215" t="str">
        <f>IF($A894="INSUMO",VLOOKUP($B894,'BANCO DE DADOS JANEIRO-24 INS'!$A:$D,3,FALSE),VLOOKUP($B894,'BANCO DE DADOS JANEIRO-24 SERV'!$B:$E,3,FALSE))</f>
        <v xml:space="preserve">UN    </v>
      </c>
      <c r="E894" s="1208">
        <v>1</v>
      </c>
      <c r="F894" s="1349">
        <f>IF($A894="INSUMO",VLOOKUP($B894,'BANCO DE DADOS JANEIRO-24 INS'!$A:$D,4,FALSE),VLOOKUP($B894,'BANCO DE DADOS JANEIRO-24 SERV'!$B:$E,4,FALSE))</f>
        <v>3.93</v>
      </c>
      <c r="G894" s="1117">
        <f>TRUNC(F894*E894,2)</f>
        <v>3.93</v>
      </c>
      <c r="H894" s="259"/>
      <c r="K894" s="1097">
        <v>39350</v>
      </c>
      <c r="L894" s="1208">
        <v>1</v>
      </c>
    </row>
    <row r="895" spans="1:12" ht="30">
      <c r="A895" s="333" t="s">
        <v>390</v>
      </c>
      <c r="B895" s="1097">
        <v>39601</v>
      </c>
      <c r="C895" s="1222" t="str">
        <f>IF($A895="INSUMO",VLOOKUP($B895,'BANCO DE DADOS JANEIRO-24 INS'!$A:$D,2,FALSE),VLOOKUP($B895,'BANCO DE DADOS JANEIRO-24 SERV'!$B:$E,2,FALSE))</f>
        <v xml:space="preserve">CONECTOR / TOMADA FEMEA RJ 45, CATEGORIA 6 (CAT 6) PARA CABOS                                                                                                                                                                                                                                                                                                                                                                                                                                             </v>
      </c>
      <c r="D895" s="1215" t="str">
        <f>IF($A895="INSUMO",VLOOKUP($B895,'BANCO DE DADOS JANEIRO-24 INS'!$A:$D,3,FALSE),VLOOKUP($B895,'BANCO DE DADOS JANEIRO-24 SERV'!$B:$E,3,FALSE))</f>
        <v xml:space="preserve">UN    </v>
      </c>
      <c r="E895" s="1208">
        <v>2</v>
      </c>
      <c r="F895" s="1349">
        <f>IF($A895="INSUMO",VLOOKUP($B895,'BANCO DE DADOS JANEIRO-24 INS'!$A:$D,4,FALSE),VLOOKUP($B895,'BANCO DE DADOS JANEIRO-24 SERV'!$B:$E,4,FALSE))</f>
        <v>30.92</v>
      </c>
      <c r="G895" s="1117">
        <f>TRUNC(F895*E895,2)</f>
        <v>61.84</v>
      </c>
      <c r="H895" s="259"/>
      <c r="K895" s="1097">
        <v>39601</v>
      </c>
      <c r="L895" s="1208">
        <v>2</v>
      </c>
    </row>
    <row r="896" spans="1:12" ht="45">
      <c r="A896" s="333" t="s">
        <v>390</v>
      </c>
      <c r="B896" s="1097">
        <v>11950</v>
      </c>
      <c r="C896" s="1222" t="str">
        <f>IF($A896="INSUMO",VLOOKUP($B896,'BANCO DE DADOS JANEIRO-24 INS'!$A:$D,2,FALSE),VLOOKUP($B896,'BANCO DE DADOS JANEIRO-24 SERV'!$B:$E,2,FALSE))</f>
        <v xml:space="preserve">BUCHA DE NYLON SEM ABA S6, COM PARAFUSO DE 4,20 X 40 MM EM ACO ZINCADO COM ROSCA SOBERBA, CABECA CHATA E FENDA PHILLIPS                                                                                                                                                                                                                                                                                                                                                                                   </v>
      </c>
      <c r="D896" s="1215" t="str">
        <f>IF($A896="INSUMO",VLOOKUP($B896,'BANCO DE DADOS JANEIRO-24 INS'!$A:$D,3,FALSE),VLOOKUP($B896,'BANCO DE DADOS JANEIRO-24 SERV'!$B:$E,3,FALSE))</f>
        <v xml:space="preserve">UN    </v>
      </c>
      <c r="E896" s="1208">
        <v>2</v>
      </c>
      <c r="F896" s="1349">
        <f>IF($A896="INSUMO",VLOOKUP($B896,'BANCO DE DADOS JANEIRO-24 INS'!$A:$D,4,FALSE),VLOOKUP($B896,'BANCO DE DADOS JANEIRO-24 SERV'!$B:$E,4,FALSE))</f>
        <v>0.2</v>
      </c>
      <c r="G896" s="1117">
        <f>TRUNC(F896*E896,2)</f>
        <v>0.4</v>
      </c>
      <c r="H896" s="259"/>
      <c r="K896" s="1097">
        <v>11950</v>
      </c>
      <c r="L896" s="1208">
        <v>2</v>
      </c>
    </row>
    <row r="897" spans="1:12" ht="36.75" customHeight="1">
      <c r="A897" s="333" t="s">
        <v>390</v>
      </c>
      <c r="B897" s="1097">
        <v>2581</v>
      </c>
      <c r="C897" s="1222" t="str">
        <f>IF($A897="INSUMO",VLOOKUP($B897,'BANCO DE DADOS JANEIRO-24 INS'!$A:$D,2,FALSE),VLOOKUP($B897,'BANCO DE DADOS JANEIRO-24 SERV'!$B:$E,2,FALSE))</f>
        <v xml:space="preserve">CONDULETE DE ALUMINIO TIPO X, PARA ELETRODUTO ROSCAVEL DE 1", COM TAMPA CEGA                                                                                                                                                                                                                                                                                                                                                                                                                              </v>
      </c>
      <c r="D897" s="1215" t="str">
        <f>IF($A897="INSUMO",VLOOKUP($B897,'BANCO DE DADOS JANEIRO-24 INS'!$A:$D,3,FALSE),VLOOKUP($B897,'BANCO DE DADOS JANEIRO-24 SERV'!$B:$E,3,FALSE))</f>
        <v xml:space="preserve">UN    </v>
      </c>
      <c r="E897" s="1208">
        <v>1</v>
      </c>
      <c r="F897" s="1349">
        <f>IF($A897="INSUMO",VLOOKUP($B897,'BANCO DE DADOS JANEIRO-24 INS'!$A:$D,4,FALSE),VLOOKUP($B897,'BANCO DE DADOS JANEIRO-24 SERV'!$B:$E,4,FALSE))</f>
        <v>17.93</v>
      </c>
      <c r="G897" s="1117">
        <f>TRUNC(F897*E897,2)</f>
        <v>17.93</v>
      </c>
      <c r="H897" s="259"/>
      <c r="K897" s="1097">
        <v>2581</v>
      </c>
      <c r="L897" s="1208">
        <v>1</v>
      </c>
    </row>
    <row r="898" spans="1:12" ht="15.75">
      <c r="B898" s="2389" t="s">
        <v>166</v>
      </c>
      <c r="C898" s="2390"/>
      <c r="D898" s="2390"/>
      <c r="E898" s="2390"/>
      <c r="F898" s="2390"/>
      <c r="G898" s="2391"/>
      <c r="H898" s="259"/>
    </row>
    <row r="899" spans="1:12" ht="15.75">
      <c r="A899" s="333" t="s">
        <v>391</v>
      </c>
      <c r="B899" s="1200">
        <v>88264</v>
      </c>
      <c r="C899" s="728" t="str">
        <f>IF($A899="INSUMO",VLOOKUP($B899,'BANCO DE DADOS JANEIRO-24 INS'!$A:$D,2,FALSE),VLOOKUP($B899,'BANCO DE DADOS JANEIRO-24 SERV'!$B:$E,2,FALSE))</f>
        <v>ELETRICISTA COM ENCARGOS COMPLEMENTARES</v>
      </c>
      <c r="D899" s="732" t="str">
        <f>IF($A899="INSUMO",VLOOKUP($B899,'BANCO DE DADOS JANEIRO-24 INS'!$A:$D,3,FALSE),VLOOKUP($B899,'BANCO DE DADOS JANEIRO-24 SERV'!$B:$E,3,FALSE))</f>
        <v>H</v>
      </c>
      <c r="E899" s="1210">
        <v>0.7</v>
      </c>
      <c r="F899" s="755">
        <f>IF($A899="INSUMO",VLOOKUP($B899,'BANCO DE DADOS JANEIRO-24 INS'!$A:$D,4,FALSE),VLOOKUP($B899,'BANCO DE DADOS JANEIRO-24 SERV'!$B:$E,4,FALSE))</f>
        <v>26.68</v>
      </c>
      <c r="G899" s="848">
        <f>TRUNC(F899*E899,2)</f>
        <v>18.670000000000002</v>
      </c>
      <c r="H899" s="259"/>
      <c r="K899" s="1200">
        <v>88264</v>
      </c>
      <c r="L899" s="1210">
        <v>0.39</v>
      </c>
    </row>
    <row r="900" spans="1:12" ht="16.5" thickBot="1">
      <c r="A900" s="333" t="s">
        <v>391</v>
      </c>
      <c r="B900" s="1523">
        <v>88316</v>
      </c>
      <c r="C900" s="731" t="str">
        <f>IF($A900="INSUMO",VLOOKUP($B900,'BANCO DE DADOS JANEIRO-24 INS'!$A:$D,2,FALSE),VLOOKUP($B900,'BANCO DE DADOS JANEIRO-24 SERV'!$B:$E,2,FALSE))</f>
        <v>SERVENTE COM ENCARGOS COMPLEMENTARES</v>
      </c>
      <c r="D900" s="729" t="str">
        <f>IF($A900="INSUMO",VLOOKUP($B900,'BANCO DE DADOS JANEIRO-24 INS'!$A:$D,3,FALSE),VLOOKUP($B900,'BANCO DE DADOS JANEIRO-24 SERV'!$B:$E,3,FALSE))</f>
        <v>H</v>
      </c>
      <c r="E900" s="1518">
        <v>0.7</v>
      </c>
      <c r="F900" s="757">
        <f>IF($A900="INSUMO",VLOOKUP($B900,'BANCO DE DADOS JANEIRO-24 INS'!$A:$D,4,FALSE),VLOOKUP($B900,'BANCO DE DADOS JANEIRO-24 SERV'!$B:$E,4,FALSE))</f>
        <v>20.32</v>
      </c>
      <c r="G900" s="332">
        <f>TRUNC(F900*E900,2)</f>
        <v>14.22</v>
      </c>
      <c r="H900" s="259"/>
      <c r="K900" s="1523">
        <v>88247</v>
      </c>
      <c r="L900" s="1518">
        <v>0.39</v>
      </c>
    </row>
    <row r="901" spans="1:12" ht="16.5" thickBot="1">
      <c r="B901" s="2289" t="s">
        <v>7350</v>
      </c>
      <c r="C901" s="2289"/>
      <c r="D901" s="2289"/>
      <c r="E901" s="2407"/>
      <c r="F901" s="330" t="s">
        <v>167</v>
      </c>
      <c r="G901" s="611">
        <f>SUM(G893:G900)</f>
        <v>116.99000000000002</v>
      </c>
      <c r="H901" s="259"/>
    </row>
  </sheetData>
  <autoFilter ref="G3:G901" xr:uid="{00000000-0009-0000-0000-000012000000}"/>
  <mergeCells count="323">
    <mergeCell ref="C359:F359"/>
    <mergeCell ref="C281:F281"/>
    <mergeCell ref="C296:F296"/>
    <mergeCell ref="C312:F312"/>
    <mergeCell ref="C327:F327"/>
    <mergeCell ref="B181:E182"/>
    <mergeCell ref="C183:F183"/>
    <mergeCell ref="C190:F190"/>
    <mergeCell ref="B321:G321"/>
    <mergeCell ref="B323:G323"/>
    <mergeCell ref="B341:E341"/>
    <mergeCell ref="B338:G338"/>
    <mergeCell ref="C215:F215"/>
    <mergeCell ref="C232:F232"/>
    <mergeCell ref="B226:G226"/>
    <mergeCell ref="B243:G243"/>
    <mergeCell ref="B246:E247"/>
    <mergeCell ref="B263:E264"/>
    <mergeCell ref="B307:G307"/>
    <mergeCell ref="C343:F343"/>
    <mergeCell ref="C334:F334"/>
    <mergeCell ref="B336:G336"/>
    <mergeCell ref="B292:G292"/>
    <mergeCell ref="C222:F222"/>
    <mergeCell ref="B135:G135"/>
    <mergeCell ref="B138:E138"/>
    <mergeCell ref="C149:F149"/>
    <mergeCell ref="B144:G144"/>
    <mergeCell ref="B147:E147"/>
    <mergeCell ref="B194:G194"/>
    <mergeCell ref="B197:E198"/>
    <mergeCell ref="C199:F199"/>
    <mergeCell ref="B205:G205"/>
    <mergeCell ref="B151:G151"/>
    <mergeCell ref="B153:G153"/>
    <mergeCell ref="B156:E156"/>
    <mergeCell ref="C174:F174"/>
    <mergeCell ref="B176:G176"/>
    <mergeCell ref="B178:G178"/>
    <mergeCell ref="B811:E812"/>
    <mergeCell ref="C804:F804"/>
    <mergeCell ref="B806:G806"/>
    <mergeCell ref="B808:G808"/>
    <mergeCell ref="C781:F781"/>
    <mergeCell ref="C797:F797"/>
    <mergeCell ref="C788:F788"/>
    <mergeCell ref="B667:G667"/>
    <mergeCell ref="C668:F668"/>
    <mergeCell ref="C684:F684"/>
    <mergeCell ref="B707:E708"/>
    <mergeCell ref="B747:E748"/>
    <mergeCell ref="C700:F700"/>
    <mergeCell ref="B702:G702"/>
    <mergeCell ref="B704:G704"/>
    <mergeCell ref="B744:G744"/>
    <mergeCell ref="B755:G755"/>
    <mergeCell ref="B790:G790"/>
    <mergeCell ref="B792:G792"/>
    <mergeCell ref="B795:E796"/>
    <mergeCell ref="B779:E780"/>
    <mergeCell ref="C772:F772"/>
    <mergeCell ref="B774:G774"/>
    <mergeCell ref="B776:G776"/>
    <mergeCell ref="B224:G224"/>
    <mergeCell ref="B37:G37"/>
    <mergeCell ref="C33:F33"/>
    <mergeCell ref="B35:G35"/>
    <mergeCell ref="C26:F26"/>
    <mergeCell ref="B115:G115"/>
    <mergeCell ref="B117:G117"/>
    <mergeCell ref="B120:E120"/>
    <mergeCell ref="C104:F104"/>
    <mergeCell ref="B106:G106"/>
    <mergeCell ref="B108:G108"/>
    <mergeCell ref="B111:E111"/>
    <mergeCell ref="B70:G70"/>
    <mergeCell ref="B73:E73"/>
    <mergeCell ref="B142:G142"/>
    <mergeCell ref="C75:F75"/>
    <mergeCell ref="B77:G77"/>
    <mergeCell ref="B79:G79"/>
    <mergeCell ref="B82:E82"/>
    <mergeCell ref="B93:G93"/>
    <mergeCell ref="C84:F84"/>
    <mergeCell ref="B88:G88"/>
    <mergeCell ref="B68:G68"/>
    <mergeCell ref="C122:F122"/>
    <mergeCell ref="B124:G124"/>
    <mergeCell ref="C113:F113"/>
    <mergeCell ref="B229:E230"/>
    <mergeCell ref="B6:B7"/>
    <mergeCell ref="C17:F17"/>
    <mergeCell ref="B19:G19"/>
    <mergeCell ref="B21:G21"/>
    <mergeCell ref="B24:E24"/>
    <mergeCell ref="B189:G189"/>
    <mergeCell ref="B91:E91"/>
    <mergeCell ref="C94:F94"/>
    <mergeCell ref="B86:G86"/>
    <mergeCell ref="B96:G96"/>
    <mergeCell ref="B98:G98"/>
    <mergeCell ref="B101:E101"/>
    <mergeCell ref="B103:G103"/>
    <mergeCell ref="C131:F131"/>
    <mergeCell ref="B133:G133"/>
    <mergeCell ref="C11:D11"/>
    <mergeCell ref="C10:E10"/>
    <mergeCell ref="E11:F11"/>
    <mergeCell ref="B8:G8"/>
    <mergeCell ref="B14:G14"/>
    <mergeCell ref="B39:E39"/>
    <mergeCell ref="C48:F48"/>
    <mergeCell ref="B55:E55"/>
    <mergeCell ref="C66:F66"/>
    <mergeCell ref="B50:G50"/>
    <mergeCell ref="B52:G52"/>
    <mergeCell ref="C41:F41"/>
    <mergeCell ref="C57:F57"/>
    <mergeCell ref="B59:G59"/>
    <mergeCell ref="B61:G61"/>
    <mergeCell ref="B64:E64"/>
    <mergeCell ref="C813:F813"/>
    <mergeCell ref="C868:F868"/>
    <mergeCell ref="B827:E828"/>
    <mergeCell ref="B824:G824"/>
    <mergeCell ref="B819:G819"/>
    <mergeCell ref="C820:F820"/>
    <mergeCell ref="C836:F836"/>
    <mergeCell ref="B835:G835"/>
    <mergeCell ref="C852:F852"/>
    <mergeCell ref="B854:G854"/>
    <mergeCell ref="B856:G856"/>
    <mergeCell ref="B859:E859"/>
    <mergeCell ref="C829:F829"/>
    <mergeCell ref="C861:F861"/>
    <mergeCell ref="B838:G838"/>
    <mergeCell ref="B840:G840"/>
    <mergeCell ref="B843:E844"/>
    <mergeCell ref="C845:F845"/>
    <mergeCell ref="B851:G851"/>
    <mergeCell ref="B822:G822"/>
    <mergeCell ref="B658:E659"/>
    <mergeCell ref="B637:G637"/>
    <mergeCell ref="B639:G639"/>
    <mergeCell ref="C651:F651"/>
    <mergeCell ref="B653:G653"/>
    <mergeCell ref="B655:G655"/>
    <mergeCell ref="B763:E764"/>
    <mergeCell ref="C726:F726"/>
    <mergeCell ref="C749:F749"/>
    <mergeCell ref="B739:G739"/>
    <mergeCell ref="B760:G760"/>
    <mergeCell ref="C756:F756"/>
    <mergeCell ref="B758:G758"/>
    <mergeCell ref="C740:F740"/>
    <mergeCell ref="B742:G742"/>
    <mergeCell ref="B670:G670"/>
    <mergeCell ref="B672:G672"/>
    <mergeCell ref="B683:G683"/>
    <mergeCell ref="B686:G686"/>
    <mergeCell ref="B715:G715"/>
    <mergeCell ref="B699:G699"/>
    <mergeCell ref="B691:E692"/>
    <mergeCell ref="C716:F716"/>
    <mergeCell ref="B718:G718"/>
    <mergeCell ref="C765:F765"/>
    <mergeCell ref="C661:F661"/>
    <mergeCell ref="C677:F677"/>
    <mergeCell ref="C693:F693"/>
    <mergeCell ref="C709:F709"/>
    <mergeCell ref="C585:F585"/>
    <mergeCell ref="B587:G587"/>
    <mergeCell ref="B589:G589"/>
    <mergeCell ref="B601:G601"/>
    <mergeCell ref="C602:F602"/>
    <mergeCell ref="B604:G604"/>
    <mergeCell ref="C618:F618"/>
    <mergeCell ref="B620:G620"/>
    <mergeCell ref="B622:G622"/>
    <mergeCell ref="B617:G617"/>
    <mergeCell ref="C595:F595"/>
    <mergeCell ref="C611:F611"/>
    <mergeCell ref="B609:E610"/>
    <mergeCell ref="C628:F628"/>
    <mergeCell ref="C644:F644"/>
    <mergeCell ref="B625:E626"/>
    <mergeCell ref="B592:E593"/>
    <mergeCell ref="B606:G606"/>
    <mergeCell ref="B675:E676"/>
    <mergeCell ref="B720:G720"/>
    <mergeCell ref="B723:E724"/>
    <mergeCell ref="C733:F733"/>
    <mergeCell ref="B688:G688"/>
    <mergeCell ref="B370:G370"/>
    <mergeCell ref="B373:E373"/>
    <mergeCell ref="C465:F465"/>
    <mergeCell ref="B467:G467"/>
    <mergeCell ref="B469:G469"/>
    <mergeCell ref="C449:F449"/>
    <mergeCell ref="B451:G451"/>
    <mergeCell ref="B453:G453"/>
    <mergeCell ref="B464:G464"/>
    <mergeCell ref="C433:F433"/>
    <mergeCell ref="B435:G435"/>
    <mergeCell ref="B437:G437"/>
    <mergeCell ref="B440:E441"/>
    <mergeCell ref="B391:E391"/>
    <mergeCell ref="C375:F375"/>
    <mergeCell ref="B377:G377"/>
    <mergeCell ref="B379:G379"/>
    <mergeCell ref="B382:E382"/>
    <mergeCell ref="C384:F384"/>
    <mergeCell ref="B386:G386"/>
    <mergeCell ref="B388:G388"/>
    <mergeCell ref="B456:E457"/>
    <mergeCell ref="B485:G485"/>
    <mergeCell ref="C513:F513"/>
    <mergeCell ref="B488:E489"/>
    <mergeCell ref="B520:E521"/>
    <mergeCell ref="C497:F497"/>
    <mergeCell ref="B499:G499"/>
    <mergeCell ref="B501:G501"/>
    <mergeCell ref="B512:G512"/>
    <mergeCell ref="B517:G517"/>
    <mergeCell ref="B515:G515"/>
    <mergeCell ref="C506:F506"/>
    <mergeCell ref="B504:E505"/>
    <mergeCell ref="B241:G241"/>
    <mergeCell ref="C530:F530"/>
    <mergeCell ref="B532:G532"/>
    <mergeCell ref="B534:G534"/>
    <mergeCell ref="B537:E538"/>
    <mergeCell ref="B584:G584"/>
    <mergeCell ref="C578:F578"/>
    <mergeCell ref="C350:F350"/>
    <mergeCell ref="B352:G352"/>
    <mergeCell ref="B354:G354"/>
    <mergeCell ref="B432:G432"/>
    <mergeCell ref="C416:F416"/>
    <mergeCell ref="B400:E400"/>
    <mergeCell ref="B357:E358"/>
    <mergeCell ref="B423:E424"/>
    <mergeCell ref="C393:F393"/>
    <mergeCell ref="B395:G395"/>
    <mergeCell ref="B397:G397"/>
    <mergeCell ref="B418:G418"/>
    <mergeCell ref="B420:G420"/>
    <mergeCell ref="C366:F366"/>
    <mergeCell ref="B368:G368"/>
    <mergeCell ref="C409:F409"/>
    <mergeCell ref="B548:G548"/>
    <mergeCell ref="B277:G277"/>
    <mergeCell ref="B279:E279"/>
    <mergeCell ref="B260:G260"/>
    <mergeCell ref="C256:F256"/>
    <mergeCell ref="C319:F319"/>
    <mergeCell ref="C288:F288"/>
    <mergeCell ref="B126:G126"/>
    <mergeCell ref="B129:E129"/>
    <mergeCell ref="C140:F140"/>
    <mergeCell ref="C206:F206"/>
    <mergeCell ref="B208:G208"/>
    <mergeCell ref="B210:G210"/>
    <mergeCell ref="B213:E213"/>
    <mergeCell ref="C273:F273"/>
    <mergeCell ref="B275:G275"/>
    <mergeCell ref="C158:F158"/>
    <mergeCell ref="B160:G160"/>
    <mergeCell ref="B162:G162"/>
    <mergeCell ref="B165:E166"/>
    <mergeCell ref="B192:G192"/>
    <mergeCell ref="C167:F167"/>
    <mergeCell ref="B258:G258"/>
    <mergeCell ref="B272:G272"/>
    <mergeCell ref="C239:F239"/>
    <mergeCell ref="C539:F539"/>
    <mergeCell ref="C555:F555"/>
    <mergeCell ref="B545:G545"/>
    <mergeCell ref="B568:G568"/>
    <mergeCell ref="B325:E325"/>
    <mergeCell ref="B290:G290"/>
    <mergeCell ref="C303:F303"/>
    <mergeCell ref="B305:G305"/>
    <mergeCell ref="B310:E310"/>
    <mergeCell ref="B294:E295"/>
    <mergeCell ref="B550:G550"/>
    <mergeCell ref="B529:G529"/>
    <mergeCell ref="B480:G480"/>
    <mergeCell ref="C402:F402"/>
    <mergeCell ref="C426:F426"/>
    <mergeCell ref="C442:F442"/>
    <mergeCell ref="C458:F458"/>
    <mergeCell ref="B496:G496"/>
    <mergeCell ref="C474:F474"/>
    <mergeCell ref="C490:F490"/>
    <mergeCell ref="C481:F481"/>
    <mergeCell ref="C523:F523"/>
    <mergeCell ref="B472:E473"/>
    <mergeCell ref="B483:G483"/>
    <mergeCell ref="C7:D7"/>
    <mergeCell ref="C6:D6"/>
    <mergeCell ref="C891:F891"/>
    <mergeCell ref="B893:G893"/>
    <mergeCell ref="B898:G898"/>
    <mergeCell ref="B901:E901"/>
    <mergeCell ref="B882:E883"/>
    <mergeCell ref="C875:F875"/>
    <mergeCell ref="B877:G877"/>
    <mergeCell ref="B879:G879"/>
    <mergeCell ref="C884:F884"/>
    <mergeCell ref="B12:D12"/>
    <mergeCell ref="E12:F12"/>
    <mergeCell ref="F6:G6"/>
    <mergeCell ref="B642:E643"/>
    <mergeCell ref="B634:G634"/>
    <mergeCell ref="C635:F635"/>
    <mergeCell ref="B576:E577"/>
    <mergeCell ref="C562:F562"/>
    <mergeCell ref="B553:E554"/>
    <mergeCell ref="C569:F569"/>
    <mergeCell ref="B571:G571"/>
    <mergeCell ref="B573:G573"/>
    <mergeCell ref="C546:F546"/>
  </mergeCells>
  <dataValidations count="1">
    <dataValidation type="list" allowBlank="1" showInputMessage="1" showErrorMessage="1" sqref="A22:A23 A109:A110 A53:A54 A118:A119 A71:A72 A69 A127:A128 A125 A145:A146 A143 A551:A552 A574:A575 A590:A591 A607:A608 A623:A624 A163:A164 A278 A324 A339:A340 A355:A356 A857:A858 A880:A881 A371:A372 A398:A399 A421:A422 A438:A439 A640:A641 A656:A657 A470:A471 A486:A487 A502:A503 A293 A51 A107 A116 A369 A211 A221 A314 A316 A327 A329 A331 A38 A80:A81 A78 A89:A90 A87 A99:A100 A97 A136:A137 A134 A154:A155 A152 A179:A180 A195:A196 A380:A381 A378 A389:A390 A387 A227 A244 A261 A308 A894:A897 A62:A63 A60" xr:uid="{00000000-0002-0000-1200-000000000000}">
      <formula1>$A$3:$A$4</formula1>
    </dataValidation>
  </dataValidations>
  <printOptions horizontalCentered="1"/>
  <pageMargins left="0.78740157480314965" right="0.19685039370078741" top="0.39370078740157483" bottom="0.78740157480314965" header="0.19685039370078741" footer="0.19685039370078741"/>
  <pageSetup paperSize="9" scale="49" orientation="portrait" r:id="rId1"/>
  <headerFooter scaleWithDoc="0" alignWithMargins="0">
    <oddHeader>&amp;RPágina &amp;P de &amp;N</oddHeader>
  </headerFooter>
  <rowBreaks count="18" manualBreakCount="18">
    <brk id="46" min="1" max="6" man="1"/>
    <brk id="102" min="1" max="6" man="1"/>
    <brk id="157" min="1" max="6" man="1"/>
    <brk id="205" min="1" max="6" man="1"/>
    <brk id="221" min="1" max="6" man="1"/>
    <brk id="287" min="1" max="6" man="1"/>
    <brk id="302" min="1" max="6" man="1"/>
    <brk id="342" min="1" max="6" man="1"/>
    <brk id="392" min="1" max="6" man="1"/>
    <brk id="496" min="1" max="6" man="1"/>
    <brk id="521" min="1" max="6" man="1"/>
    <brk id="568" min="1" max="6" man="1"/>
    <brk id="634" min="1" max="6" man="1"/>
    <brk id="667" min="1" max="6" man="1"/>
    <brk id="699" min="1" max="6" man="1"/>
    <brk id="724" min="1" max="6" man="1"/>
    <brk id="787" min="1" max="6" man="1"/>
    <brk id="850" min="1" max="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7">
    <tabColor theme="3" tint="0.79998168889431442"/>
    <pageSetUpPr fitToPage="1"/>
  </sheetPr>
  <dimension ref="A3:H32"/>
  <sheetViews>
    <sheetView view="pageBreakPreview" zoomScale="85" zoomScaleNormal="100" zoomScaleSheetLayoutView="85" workbookViewId="0">
      <selection activeCell="AG38" sqref="AG38"/>
    </sheetView>
  </sheetViews>
  <sheetFormatPr defaultRowHeight="12.75"/>
  <cols>
    <col min="1" max="1" width="18.140625" style="66" customWidth="1"/>
    <col min="2" max="2" width="24.7109375" style="66" customWidth="1"/>
    <col min="3" max="3" width="75.7109375" style="66" customWidth="1"/>
    <col min="4" max="4" width="15.7109375" style="66" customWidth="1"/>
    <col min="5" max="5" width="23.7109375" style="66" customWidth="1"/>
    <col min="6" max="6" width="18.7109375" style="66" customWidth="1"/>
    <col min="7" max="7" width="20.7109375" style="66" customWidth="1"/>
    <col min="8" max="8" width="15.85546875" style="66" customWidth="1"/>
    <col min="9" max="9" width="16.5703125" style="66" bestFit="1" customWidth="1"/>
    <col min="10" max="257" width="9.140625" style="66"/>
    <col min="258" max="258" width="24.5703125" style="66" customWidth="1"/>
    <col min="259" max="259" width="71.7109375" style="66" customWidth="1"/>
    <col min="260" max="260" width="17.140625" style="66" bestFit="1" customWidth="1"/>
    <col min="261" max="261" width="16.7109375" style="66" bestFit="1" customWidth="1"/>
    <col min="262" max="262" width="16.85546875" style="66" bestFit="1" customWidth="1"/>
    <col min="263" max="263" width="21.42578125" style="66" customWidth="1"/>
    <col min="264" max="264" width="9.140625" style="66"/>
    <col min="265" max="265" width="16.5703125" style="66" bestFit="1" customWidth="1"/>
    <col min="266" max="513" width="9.140625" style="66"/>
    <col min="514" max="514" width="24.5703125" style="66" customWidth="1"/>
    <col min="515" max="515" width="71.7109375" style="66" customWidth="1"/>
    <col min="516" max="516" width="17.140625" style="66" bestFit="1" customWidth="1"/>
    <col min="517" max="517" width="16.7109375" style="66" bestFit="1" customWidth="1"/>
    <col min="518" max="518" width="16.85546875" style="66" bestFit="1" customWidth="1"/>
    <col min="519" max="519" width="21.42578125" style="66" customWidth="1"/>
    <col min="520" max="520" width="9.140625" style="66"/>
    <col min="521" max="521" width="16.5703125" style="66" bestFit="1" customWidth="1"/>
    <col min="522" max="769" width="9.140625" style="66"/>
    <col min="770" max="770" width="24.5703125" style="66" customWidth="1"/>
    <col min="771" max="771" width="71.7109375" style="66" customWidth="1"/>
    <col min="772" max="772" width="17.140625" style="66" bestFit="1" customWidth="1"/>
    <col min="773" max="773" width="16.7109375" style="66" bestFit="1" customWidth="1"/>
    <col min="774" max="774" width="16.85546875" style="66" bestFit="1" customWidth="1"/>
    <col min="775" max="775" width="21.42578125" style="66" customWidth="1"/>
    <col min="776" max="776" width="9.140625" style="66"/>
    <col min="777" max="777" width="16.5703125" style="66" bestFit="1" customWidth="1"/>
    <col min="778" max="1025" width="9.140625" style="66"/>
    <col min="1026" max="1026" width="24.5703125" style="66" customWidth="1"/>
    <col min="1027" max="1027" width="71.7109375" style="66" customWidth="1"/>
    <col min="1028" max="1028" width="17.140625" style="66" bestFit="1" customWidth="1"/>
    <col min="1029" max="1029" width="16.7109375" style="66" bestFit="1" customWidth="1"/>
    <col min="1030" max="1030" width="16.85546875" style="66" bestFit="1" customWidth="1"/>
    <col min="1031" max="1031" width="21.42578125" style="66" customWidth="1"/>
    <col min="1032" max="1032" width="9.140625" style="66"/>
    <col min="1033" max="1033" width="16.5703125" style="66" bestFit="1" customWidth="1"/>
    <col min="1034" max="1281" width="9.140625" style="66"/>
    <col min="1282" max="1282" width="24.5703125" style="66" customWidth="1"/>
    <col min="1283" max="1283" width="71.7109375" style="66" customWidth="1"/>
    <col min="1284" max="1284" width="17.140625" style="66" bestFit="1" customWidth="1"/>
    <col min="1285" max="1285" width="16.7109375" style="66" bestFit="1" customWidth="1"/>
    <col min="1286" max="1286" width="16.85546875" style="66" bestFit="1" customWidth="1"/>
    <col min="1287" max="1287" width="21.42578125" style="66" customWidth="1"/>
    <col min="1288" max="1288" width="9.140625" style="66"/>
    <col min="1289" max="1289" width="16.5703125" style="66" bestFit="1" customWidth="1"/>
    <col min="1290" max="1537" width="9.140625" style="66"/>
    <col min="1538" max="1538" width="24.5703125" style="66" customWidth="1"/>
    <col min="1539" max="1539" width="71.7109375" style="66" customWidth="1"/>
    <col min="1540" max="1540" width="17.140625" style="66" bestFit="1" customWidth="1"/>
    <col min="1541" max="1541" width="16.7109375" style="66" bestFit="1" customWidth="1"/>
    <col min="1542" max="1542" width="16.85546875" style="66" bestFit="1" customWidth="1"/>
    <col min="1543" max="1543" width="21.42578125" style="66" customWidth="1"/>
    <col min="1544" max="1544" width="9.140625" style="66"/>
    <col min="1545" max="1545" width="16.5703125" style="66" bestFit="1" customWidth="1"/>
    <col min="1546" max="1793" width="9.140625" style="66"/>
    <col min="1794" max="1794" width="24.5703125" style="66" customWidth="1"/>
    <col min="1795" max="1795" width="71.7109375" style="66" customWidth="1"/>
    <col min="1796" max="1796" width="17.140625" style="66" bestFit="1" customWidth="1"/>
    <col min="1797" max="1797" width="16.7109375" style="66" bestFit="1" customWidth="1"/>
    <col min="1798" max="1798" width="16.85546875" style="66" bestFit="1" customWidth="1"/>
    <col min="1799" max="1799" width="21.42578125" style="66" customWidth="1"/>
    <col min="1800" max="1800" width="9.140625" style="66"/>
    <col min="1801" max="1801" width="16.5703125" style="66" bestFit="1" customWidth="1"/>
    <col min="1802" max="2049" width="9.140625" style="66"/>
    <col min="2050" max="2050" width="24.5703125" style="66" customWidth="1"/>
    <col min="2051" max="2051" width="71.7109375" style="66" customWidth="1"/>
    <col min="2052" max="2052" width="17.140625" style="66" bestFit="1" customWidth="1"/>
    <col min="2053" max="2053" width="16.7109375" style="66" bestFit="1" customWidth="1"/>
    <col min="2054" max="2054" width="16.85546875" style="66" bestFit="1" customWidth="1"/>
    <col min="2055" max="2055" width="21.42578125" style="66" customWidth="1"/>
    <col min="2056" max="2056" width="9.140625" style="66"/>
    <col min="2057" max="2057" width="16.5703125" style="66" bestFit="1" customWidth="1"/>
    <col min="2058" max="2305" width="9.140625" style="66"/>
    <col min="2306" max="2306" width="24.5703125" style="66" customWidth="1"/>
    <col min="2307" max="2307" width="71.7109375" style="66" customWidth="1"/>
    <col min="2308" max="2308" width="17.140625" style="66" bestFit="1" customWidth="1"/>
    <col min="2309" max="2309" width="16.7109375" style="66" bestFit="1" customWidth="1"/>
    <col min="2310" max="2310" width="16.85546875" style="66" bestFit="1" customWidth="1"/>
    <col min="2311" max="2311" width="21.42578125" style="66" customWidth="1"/>
    <col min="2312" max="2312" width="9.140625" style="66"/>
    <col min="2313" max="2313" width="16.5703125" style="66" bestFit="1" customWidth="1"/>
    <col min="2314" max="2561" width="9.140625" style="66"/>
    <col min="2562" max="2562" width="24.5703125" style="66" customWidth="1"/>
    <col min="2563" max="2563" width="71.7109375" style="66" customWidth="1"/>
    <col min="2564" max="2564" width="17.140625" style="66" bestFit="1" customWidth="1"/>
    <col min="2565" max="2565" width="16.7109375" style="66" bestFit="1" customWidth="1"/>
    <col min="2566" max="2566" width="16.85546875" style="66" bestFit="1" customWidth="1"/>
    <col min="2567" max="2567" width="21.42578125" style="66" customWidth="1"/>
    <col min="2568" max="2568" width="9.140625" style="66"/>
    <col min="2569" max="2569" width="16.5703125" style="66" bestFit="1" customWidth="1"/>
    <col min="2570" max="2817" width="9.140625" style="66"/>
    <col min="2818" max="2818" width="24.5703125" style="66" customWidth="1"/>
    <col min="2819" max="2819" width="71.7109375" style="66" customWidth="1"/>
    <col min="2820" max="2820" width="17.140625" style="66" bestFit="1" customWidth="1"/>
    <col min="2821" max="2821" width="16.7109375" style="66" bestFit="1" customWidth="1"/>
    <col min="2822" max="2822" width="16.85546875" style="66" bestFit="1" customWidth="1"/>
    <col min="2823" max="2823" width="21.42578125" style="66" customWidth="1"/>
    <col min="2824" max="2824" width="9.140625" style="66"/>
    <col min="2825" max="2825" width="16.5703125" style="66" bestFit="1" customWidth="1"/>
    <col min="2826" max="3073" width="9.140625" style="66"/>
    <col min="3074" max="3074" width="24.5703125" style="66" customWidth="1"/>
    <col min="3075" max="3075" width="71.7109375" style="66" customWidth="1"/>
    <col min="3076" max="3076" width="17.140625" style="66" bestFit="1" customWidth="1"/>
    <col min="3077" max="3077" width="16.7109375" style="66" bestFit="1" customWidth="1"/>
    <col min="3078" max="3078" width="16.85546875" style="66" bestFit="1" customWidth="1"/>
    <col min="3079" max="3079" width="21.42578125" style="66" customWidth="1"/>
    <col min="3080" max="3080" width="9.140625" style="66"/>
    <col min="3081" max="3081" width="16.5703125" style="66" bestFit="1" customWidth="1"/>
    <col min="3082" max="3329" width="9.140625" style="66"/>
    <col min="3330" max="3330" width="24.5703125" style="66" customWidth="1"/>
    <col min="3331" max="3331" width="71.7109375" style="66" customWidth="1"/>
    <col min="3332" max="3332" width="17.140625" style="66" bestFit="1" customWidth="1"/>
    <col min="3333" max="3333" width="16.7109375" style="66" bestFit="1" customWidth="1"/>
    <col min="3334" max="3334" width="16.85546875" style="66" bestFit="1" customWidth="1"/>
    <col min="3335" max="3335" width="21.42578125" style="66" customWidth="1"/>
    <col min="3336" max="3336" width="9.140625" style="66"/>
    <col min="3337" max="3337" width="16.5703125" style="66" bestFit="1" customWidth="1"/>
    <col min="3338" max="3585" width="9.140625" style="66"/>
    <col min="3586" max="3586" width="24.5703125" style="66" customWidth="1"/>
    <col min="3587" max="3587" width="71.7109375" style="66" customWidth="1"/>
    <col min="3588" max="3588" width="17.140625" style="66" bestFit="1" customWidth="1"/>
    <col min="3589" max="3589" width="16.7109375" style="66" bestFit="1" customWidth="1"/>
    <col min="3590" max="3590" width="16.85546875" style="66" bestFit="1" customWidth="1"/>
    <col min="3591" max="3591" width="21.42578125" style="66" customWidth="1"/>
    <col min="3592" max="3592" width="9.140625" style="66"/>
    <col min="3593" max="3593" width="16.5703125" style="66" bestFit="1" customWidth="1"/>
    <col min="3594" max="3841" width="9.140625" style="66"/>
    <col min="3842" max="3842" width="24.5703125" style="66" customWidth="1"/>
    <col min="3843" max="3843" width="71.7109375" style="66" customWidth="1"/>
    <col min="3844" max="3844" width="17.140625" style="66" bestFit="1" customWidth="1"/>
    <col min="3845" max="3845" width="16.7109375" style="66" bestFit="1" customWidth="1"/>
    <col min="3846" max="3846" width="16.85546875" style="66" bestFit="1" customWidth="1"/>
    <col min="3847" max="3847" width="21.42578125" style="66" customWidth="1"/>
    <col min="3848" max="3848" width="9.140625" style="66"/>
    <col min="3849" max="3849" width="16.5703125" style="66" bestFit="1" customWidth="1"/>
    <col min="3850" max="4097" width="9.140625" style="66"/>
    <col min="4098" max="4098" width="24.5703125" style="66" customWidth="1"/>
    <col min="4099" max="4099" width="71.7109375" style="66" customWidth="1"/>
    <col min="4100" max="4100" width="17.140625" style="66" bestFit="1" customWidth="1"/>
    <col min="4101" max="4101" width="16.7109375" style="66" bestFit="1" customWidth="1"/>
    <col min="4102" max="4102" width="16.85546875" style="66" bestFit="1" customWidth="1"/>
    <col min="4103" max="4103" width="21.42578125" style="66" customWidth="1"/>
    <col min="4104" max="4104" width="9.140625" style="66"/>
    <col min="4105" max="4105" width="16.5703125" style="66" bestFit="1" customWidth="1"/>
    <col min="4106" max="4353" width="9.140625" style="66"/>
    <col min="4354" max="4354" width="24.5703125" style="66" customWidth="1"/>
    <col min="4355" max="4355" width="71.7109375" style="66" customWidth="1"/>
    <col min="4356" max="4356" width="17.140625" style="66" bestFit="1" customWidth="1"/>
    <col min="4357" max="4357" width="16.7109375" style="66" bestFit="1" customWidth="1"/>
    <col min="4358" max="4358" width="16.85546875" style="66" bestFit="1" customWidth="1"/>
    <col min="4359" max="4359" width="21.42578125" style="66" customWidth="1"/>
    <col min="4360" max="4360" width="9.140625" style="66"/>
    <col min="4361" max="4361" width="16.5703125" style="66" bestFit="1" customWidth="1"/>
    <col min="4362" max="4609" width="9.140625" style="66"/>
    <col min="4610" max="4610" width="24.5703125" style="66" customWidth="1"/>
    <col min="4611" max="4611" width="71.7109375" style="66" customWidth="1"/>
    <col min="4612" max="4612" width="17.140625" style="66" bestFit="1" customWidth="1"/>
    <col min="4613" max="4613" width="16.7109375" style="66" bestFit="1" customWidth="1"/>
    <col min="4614" max="4614" width="16.85546875" style="66" bestFit="1" customWidth="1"/>
    <col min="4615" max="4615" width="21.42578125" style="66" customWidth="1"/>
    <col min="4616" max="4616" width="9.140625" style="66"/>
    <col min="4617" max="4617" width="16.5703125" style="66" bestFit="1" customWidth="1"/>
    <col min="4618" max="4865" width="9.140625" style="66"/>
    <col min="4866" max="4866" width="24.5703125" style="66" customWidth="1"/>
    <col min="4867" max="4867" width="71.7109375" style="66" customWidth="1"/>
    <col min="4868" max="4868" width="17.140625" style="66" bestFit="1" customWidth="1"/>
    <col min="4869" max="4869" width="16.7109375" style="66" bestFit="1" customWidth="1"/>
    <col min="4870" max="4870" width="16.85546875" style="66" bestFit="1" customWidth="1"/>
    <col min="4871" max="4871" width="21.42578125" style="66" customWidth="1"/>
    <col min="4872" max="4872" width="9.140625" style="66"/>
    <col min="4873" max="4873" width="16.5703125" style="66" bestFit="1" customWidth="1"/>
    <col min="4874" max="5121" width="9.140625" style="66"/>
    <col min="5122" max="5122" width="24.5703125" style="66" customWidth="1"/>
    <col min="5123" max="5123" width="71.7109375" style="66" customWidth="1"/>
    <col min="5124" max="5124" width="17.140625" style="66" bestFit="1" customWidth="1"/>
    <col min="5125" max="5125" width="16.7109375" style="66" bestFit="1" customWidth="1"/>
    <col min="5126" max="5126" width="16.85546875" style="66" bestFit="1" customWidth="1"/>
    <col min="5127" max="5127" width="21.42578125" style="66" customWidth="1"/>
    <col min="5128" max="5128" width="9.140625" style="66"/>
    <col min="5129" max="5129" width="16.5703125" style="66" bestFit="1" customWidth="1"/>
    <col min="5130" max="5377" width="9.140625" style="66"/>
    <col min="5378" max="5378" width="24.5703125" style="66" customWidth="1"/>
    <col min="5379" max="5379" width="71.7109375" style="66" customWidth="1"/>
    <col min="5380" max="5380" width="17.140625" style="66" bestFit="1" customWidth="1"/>
    <col min="5381" max="5381" width="16.7109375" style="66" bestFit="1" customWidth="1"/>
    <col min="5382" max="5382" width="16.85546875" style="66" bestFit="1" customWidth="1"/>
    <col min="5383" max="5383" width="21.42578125" style="66" customWidth="1"/>
    <col min="5384" max="5384" width="9.140625" style="66"/>
    <col min="5385" max="5385" width="16.5703125" style="66" bestFit="1" customWidth="1"/>
    <col min="5386" max="5633" width="9.140625" style="66"/>
    <col min="5634" max="5634" width="24.5703125" style="66" customWidth="1"/>
    <col min="5635" max="5635" width="71.7109375" style="66" customWidth="1"/>
    <col min="5636" max="5636" width="17.140625" style="66" bestFit="1" customWidth="1"/>
    <col min="5637" max="5637" width="16.7109375" style="66" bestFit="1" customWidth="1"/>
    <col min="5638" max="5638" width="16.85546875" style="66" bestFit="1" customWidth="1"/>
    <col min="5639" max="5639" width="21.42578125" style="66" customWidth="1"/>
    <col min="5640" max="5640" width="9.140625" style="66"/>
    <col min="5641" max="5641" width="16.5703125" style="66" bestFit="1" customWidth="1"/>
    <col min="5642" max="5889" width="9.140625" style="66"/>
    <col min="5890" max="5890" width="24.5703125" style="66" customWidth="1"/>
    <col min="5891" max="5891" width="71.7109375" style="66" customWidth="1"/>
    <col min="5892" max="5892" width="17.140625" style="66" bestFit="1" customWidth="1"/>
    <col min="5893" max="5893" width="16.7109375" style="66" bestFit="1" customWidth="1"/>
    <col min="5894" max="5894" width="16.85546875" style="66" bestFit="1" customWidth="1"/>
    <col min="5895" max="5895" width="21.42578125" style="66" customWidth="1"/>
    <col min="5896" max="5896" width="9.140625" style="66"/>
    <col min="5897" max="5897" width="16.5703125" style="66" bestFit="1" customWidth="1"/>
    <col min="5898" max="6145" width="9.140625" style="66"/>
    <col min="6146" max="6146" width="24.5703125" style="66" customWidth="1"/>
    <col min="6147" max="6147" width="71.7109375" style="66" customWidth="1"/>
    <col min="6148" max="6148" width="17.140625" style="66" bestFit="1" customWidth="1"/>
    <col min="6149" max="6149" width="16.7109375" style="66" bestFit="1" customWidth="1"/>
    <col min="6150" max="6150" width="16.85546875" style="66" bestFit="1" customWidth="1"/>
    <col min="6151" max="6151" width="21.42578125" style="66" customWidth="1"/>
    <col min="6152" max="6152" width="9.140625" style="66"/>
    <col min="6153" max="6153" width="16.5703125" style="66" bestFit="1" customWidth="1"/>
    <col min="6154" max="6401" width="9.140625" style="66"/>
    <col min="6402" max="6402" width="24.5703125" style="66" customWidth="1"/>
    <col min="6403" max="6403" width="71.7109375" style="66" customWidth="1"/>
    <col min="6404" max="6404" width="17.140625" style="66" bestFit="1" customWidth="1"/>
    <col min="6405" max="6405" width="16.7109375" style="66" bestFit="1" customWidth="1"/>
    <col min="6406" max="6406" width="16.85546875" style="66" bestFit="1" customWidth="1"/>
    <col min="6407" max="6407" width="21.42578125" style="66" customWidth="1"/>
    <col min="6408" max="6408" width="9.140625" style="66"/>
    <col min="6409" max="6409" width="16.5703125" style="66" bestFit="1" customWidth="1"/>
    <col min="6410" max="6657" width="9.140625" style="66"/>
    <col min="6658" max="6658" width="24.5703125" style="66" customWidth="1"/>
    <col min="6659" max="6659" width="71.7109375" style="66" customWidth="1"/>
    <col min="6660" max="6660" width="17.140625" style="66" bestFit="1" customWidth="1"/>
    <col min="6661" max="6661" width="16.7109375" style="66" bestFit="1" customWidth="1"/>
    <col min="6662" max="6662" width="16.85546875" style="66" bestFit="1" customWidth="1"/>
    <col min="6663" max="6663" width="21.42578125" style="66" customWidth="1"/>
    <col min="6664" max="6664" width="9.140625" style="66"/>
    <col min="6665" max="6665" width="16.5703125" style="66" bestFit="1" customWidth="1"/>
    <col min="6666" max="6913" width="9.140625" style="66"/>
    <col min="6914" max="6914" width="24.5703125" style="66" customWidth="1"/>
    <col min="6915" max="6915" width="71.7109375" style="66" customWidth="1"/>
    <col min="6916" max="6916" width="17.140625" style="66" bestFit="1" customWidth="1"/>
    <col min="6917" max="6917" width="16.7109375" style="66" bestFit="1" customWidth="1"/>
    <col min="6918" max="6918" width="16.85546875" style="66" bestFit="1" customWidth="1"/>
    <col min="6919" max="6919" width="21.42578125" style="66" customWidth="1"/>
    <col min="6920" max="6920" width="9.140625" style="66"/>
    <col min="6921" max="6921" width="16.5703125" style="66" bestFit="1" customWidth="1"/>
    <col min="6922" max="7169" width="9.140625" style="66"/>
    <col min="7170" max="7170" width="24.5703125" style="66" customWidth="1"/>
    <col min="7171" max="7171" width="71.7109375" style="66" customWidth="1"/>
    <col min="7172" max="7172" width="17.140625" style="66" bestFit="1" customWidth="1"/>
    <col min="7173" max="7173" width="16.7109375" style="66" bestFit="1" customWidth="1"/>
    <col min="7174" max="7174" width="16.85546875" style="66" bestFit="1" customWidth="1"/>
    <col min="7175" max="7175" width="21.42578125" style="66" customWidth="1"/>
    <col min="7176" max="7176" width="9.140625" style="66"/>
    <col min="7177" max="7177" width="16.5703125" style="66" bestFit="1" customWidth="1"/>
    <col min="7178" max="7425" width="9.140625" style="66"/>
    <col min="7426" max="7426" width="24.5703125" style="66" customWidth="1"/>
    <col min="7427" max="7427" width="71.7109375" style="66" customWidth="1"/>
    <col min="7428" max="7428" width="17.140625" style="66" bestFit="1" customWidth="1"/>
    <col min="7429" max="7429" width="16.7109375" style="66" bestFit="1" customWidth="1"/>
    <col min="7430" max="7430" width="16.85546875" style="66" bestFit="1" customWidth="1"/>
    <col min="7431" max="7431" width="21.42578125" style="66" customWidth="1"/>
    <col min="7432" max="7432" width="9.140625" style="66"/>
    <col min="7433" max="7433" width="16.5703125" style="66" bestFit="1" customWidth="1"/>
    <col min="7434" max="7681" width="9.140625" style="66"/>
    <col min="7682" max="7682" width="24.5703125" style="66" customWidth="1"/>
    <col min="7683" max="7683" width="71.7109375" style="66" customWidth="1"/>
    <col min="7684" max="7684" width="17.140625" style="66" bestFit="1" customWidth="1"/>
    <col min="7685" max="7685" width="16.7109375" style="66" bestFit="1" customWidth="1"/>
    <col min="7686" max="7686" width="16.85546875" style="66" bestFit="1" customWidth="1"/>
    <col min="7687" max="7687" width="21.42578125" style="66" customWidth="1"/>
    <col min="7688" max="7688" width="9.140625" style="66"/>
    <col min="7689" max="7689" width="16.5703125" style="66" bestFit="1" customWidth="1"/>
    <col min="7690" max="7937" width="9.140625" style="66"/>
    <col min="7938" max="7938" width="24.5703125" style="66" customWidth="1"/>
    <col min="7939" max="7939" width="71.7109375" style="66" customWidth="1"/>
    <col min="7940" max="7940" width="17.140625" style="66" bestFit="1" customWidth="1"/>
    <col min="7941" max="7941" width="16.7109375" style="66" bestFit="1" customWidth="1"/>
    <col min="7942" max="7942" width="16.85546875" style="66" bestFit="1" customWidth="1"/>
    <col min="7943" max="7943" width="21.42578125" style="66" customWidth="1"/>
    <col min="7944" max="7944" width="9.140625" style="66"/>
    <col min="7945" max="7945" width="16.5703125" style="66" bestFit="1" customWidth="1"/>
    <col min="7946" max="8193" width="9.140625" style="66"/>
    <col min="8194" max="8194" width="24.5703125" style="66" customWidth="1"/>
    <col min="8195" max="8195" width="71.7109375" style="66" customWidth="1"/>
    <col min="8196" max="8196" width="17.140625" style="66" bestFit="1" customWidth="1"/>
    <col min="8197" max="8197" width="16.7109375" style="66" bestFit="1" customWidth="1"/>
    <col min="8198" max="8198" width="16.85546875" style="66" bestFit="1" customWidth="1"/>
    <col min="8199" max="8199" width="21.42578125" style="66" customWidth="1"/>
    <col min="8200" max="8200" width="9.140625" style="66"/>
    <col min="8201" max="8201" width="16.5703125" style="66" bestFit="1" customWidth="1"/>
    <col min="8202" max="8449" width="9.140625" style="66"/>
    <col min="8450" max="8450" width="24.5703125" style="66" customWidth="1"/>
    <col min="8451" max="8451" width="71.7109375" style="66" customWidth="1"/>
    <col min="8452" max="8452" width="17.140625" style="66" bestFit="1" customWidth="1"/>
    <col min="8453" max="8453" width="16.7109375" style="66" bestFit="1" customWidth="1"/>
    <col min="8454" max="8454" width="16.85546875" style="66" bestFit="1" customWidth="1"/>
    <col min="8455" max="8455" width="21.42578125" style="66" customWidth="1"/>
    <col min="8456" max="8456" width="9.140625" style="66"/>
    <col min="8457" max="8457" width="16.5703125" style="66" bestFit="1" customWidth="1"/>
    <col min="8458" max="8705" width="9.140625" style="66"/>
    <col min="8706" max="8706" width="24.5703125" style="66" customWidth="1"/>
    <col min="8707" max="8707" width="71.7109375" style="66" customWidth="1"/>
    <col min="8708" max="8708" width="17.140625" style="66" bestFit="1" customWidth="1"/>
    <col min="8709" max="8709" width="16.7109375" style="66" bestFit="1" customWidth="1"/>
    <col min="8710" max="8710" width="16.85546875" style="66" bestFit="1" customWidth="1"/>
    <col min="8711" max="8711" width="21.42578125" style="66" customWidth="1"/>
    <col min="8712" max="8712" width="9.140625" style="66"/>
    <col min="8713" max="8713" width="16.5703125" style="66" bestFit="1" customWidth="1"/>
    <col min="8714" max="8961" width="9.140625" style="66"/>
    <col min="8962" max="8962" width="24.5703125" style="66" customWidth="1"/>
    <col min="8963" max="8963" width="71.7109375" style="66" customWidth="1"/>
    <col min="8964" max="8964" width="17.140625" style="66" bestFit="1" customWidth="1"/>
    <col min="8965" max="8965" width="16.7109375" style="66" bestFit="1" customWidth="1"/>
    <col min="8966" max="8966" width="16.85546875" style="66" bestFit="1" customWidth="1"/>
    <col min="8967" max="8967" width="21.42578125" style="66" customWidth="1"/>
    <col min="8968" max="8968" width="9.140625" style="66"/>
    <col min="8969" max="8969" width="16.5703125" style="66" bestFit="1" customWidth="1"/>
    <col min="8970" max="9217" width="9.140625" style="66"/>
    <col min="9218" max="9218" width="24.5703125" style="66" customWidth="1"/>
    <col min="9219" max="9219" width="71.7109375" style="66" customWidth="1"/>
    <col min="9220" max="9220" width="17.140625" style="66" bestFit="1" customWidth="1"/>
    <col min="9221" max="9221" width="16.7109375" style="66" bestFit="1" customWidth="1"/>
    <col min="9222" max="9222" width="16.85546875" style="66" bestFit="1" customWidth="1"/>
    <col min="9223" max="9223" width="21.42578125" style="66" customWidth="1"/>
    <col min="9224" max="9224" width="9.140625" style="66"/>
    <col min="9225" max="9225" width="16.5703125" style="66" bestFit="1" customWidth="1"/>
    <col min="9226" max="9473" width="9.140625" style="66"/>
    <col min="9474" max="9474" width="24.5703125" style="66" customWidth="1"/>
    <col min="9475" max="9475" width="71.7109375" style="66" customWidth="1"/>
    <col min="9476" max="9476" width="17.140625" style="66" bestFit="1" customWidth="1"/>
    <col min="9477" max="9477" width="16.7109375" style="66" bestFit="1" customWidth="1"/>
    <col min="9478" max="9478" width="16.85546875" style="66" bestFit="1" customWidth="1"/>
    <col min="9479" max="9479" width="21.42578125" style="66" customWidth="1"/>
    <col min="9480" max="9480" width="9.140625" style="66"/>
    <col min="9481" max="9481" width="16.5703125" style="66" bestFit="1" customWidth="1"/>
    <col min="9482" max="9729" width="9.140625" style="66"/>
    <col min="9730" max="9730" width="24.5703125" style="66" customWidth="1"/>
    <col min="9731" max="9731" width="71.7109375" style="66" customWidth="1"/>
    <col min="9732" max="9732" width="17.140625" style="66" bestFit="1" customWidth="1"/>
    <col min="9733" max="9733" width="16.7109375" style="66" bestFit="1" customWidth="1"/>
    <col min="9734" max="9734" width="16.85546875" style="66" bestFit="1" customWidth="1"/>
    <col min="9735" max="9735" width="21.42578125" style="66" customWidth="1"/>
    <col min="9736" max="9736" width="9.140625" style="66"/>
    <col min="9737" max="9737" width="16.5703125" style="66" bestFit="1" customWidth="1"/>
    <col min="9738" max="9985" width="9.140625" style="66"/>
    <col min="9986" max="9986" width="24.5703125" style="66" customWidth="1"/>
    <col min="9987" max="9987" width="71.7109375" style="66" customWidth="1"/>
    <col min="9988" max="9988" width="17.140625" style="66" bestFit="1" customWidth="1"/>
    <col min="9989" max="9989" width="16.7109375" style="66" bestFit="1" customWidth="1"/>
    <col min="9990" max="9990" width="16.85546875" style="66" bestFit="1" customWidth="1"/>
    <col min="9991" max="9991" width="21.42578125" style="66" customWidth="1"/>
    <col min="9992" max="9992" width="9.140625" style="66"/>
    <col min="9993" max="9993" width="16.5703125" style="66" bestFit="1" customWidth="1"/>
    <col min="9994" max="10241" width="9.140625" style="66"/>
    <col min="10242" max="10242" width="24.5703125" style="66" customWidth="1"/>
    <col min="10243" max="10243" width="71.7109375" style="66" customWidth="1"/>
    <col min="10244" max="10244" width="17.140625" style="66" bestFit="1" customWidth="1"/>
    <col min="10245" max="10245" width="16.7109375" style="66" bestFit="1" customWidth="1"/>
    <col min="10246" max="10246" width="16.85546875" style="66" bestFit="1" customWidth="1"/>
    <col min="10247" max="10247" width="21.42578125" style="66" customWidth="1"/>
    <col min="10248" max="10248" width="9.140625" style="66"/>
    <col min="10249" max="10249" width="16.5703125" style="66" bestFit="1" customWidth="1"/>
    <col min="10250" max="10497" width="9.140625" style="66"/>
    <col min="10498" max="10498" width="24.5703125" style="66" customWidth="1"/>
    <col min="10499" max="10499" width="71.7109375" style="66" customWidth="1"/>
    <col min="10500" max="10500" width="17.140625" style="66" bestFit="1" customWidth="1"/>
    <col min="10501" max="10501" width="16.7109375" style="66" bestFit="1" customWidth="1"/>
    <col min="10502" max="10502" width="16.85546875" style="66" bestFit="1" customWidth="1"/>
    <col min="10503" max="10503" width="21.42578125" style="66" customWidth="1"/>
    <col min="10504" max="10504" width="9.140625" style="66"/>
    <col min="10505" max="10505" width="16.5703125" style="66" bestFit="1" customWidth="1"/>
    <col min="10506" max="10753" width="9.140625" style="66"/>
    <col min="10754" max="10754" width="24.5703125" style="66" customWidth="1"/>
    <col min="10755" max="10755" width="71.7109375" style="66" customWidth="1"/>
    <col min="10756" max="10756" width="17.140625" style="66" bestFit="1" customWidth="1"/>
    <col min="10757" max="10757" width="16.7109375" style="66" bestFit="1" customWidth="1"/>
    <col min="10758" max="10758" width="16.85546875" style="66" bestFit="1" customWidth="1"/>
    <col min="10759" max="10759" width="21.42578125" style="66" customWidth="1"/>
    <col min="10760" max="10760" width="9.140625" style="66"/>
    <col min="10761" max="10761" width="16.5703125" style="66" bestFit="1" customWidth="1"/>
    <col min="10762" max="11009" width="9.140625" style="66"/>
    <col min="11010" max="11010" width="24.5703125" style="66" customWidth="1"/>
    <col min="11011" max="11011" width="71.7109375" style="66" customWidth="1"/>
    <col min="11012" max="11012" width="17.140625" style="66" bestFit="1" customWidth="1"/>
    <col min="11013" max="11013" width="16.7109375" style="66" bestFit="1" customWidth="1"/>
    <col min="11014" max="11014" width="16.85546875" style="66" bestFit="1" customWidth="1"/>
    <col min="11015" max="11015" width="21.42578125" style="66" customWidth="1"/>
    <col min="11016" max="11016" width="9.140625" style="66"/>
    <col min="11017" max="11017" width="16.5703125" style="66" bestFit="1" customWidth="1"/>
    <col min="11018" max="11265" width="9.140625" style="66"/>
    <col min="11266" max="11266" width="24.5703125" style="66" customWidth="1"/>
    <col min="11267" max="11267" width="71.7109375" style="66" customWidth="1"/>
    <col min="11268" max="11268" width="17.140625" style="66" bestFit="1" customWidth="1"/>
    <col min="11269" max="11269" width="16.7109375" style="66" bestFit="1" customWidth="1"/>
    <col min="11270" max="11270" width="16.85546875" style="66" bestFit="1" customWidth="1"/>
    <col min="11271" max="11271" width="21.42578125" style="66" customWidth="1"/>
    <col min="11272" max="11272" width="9.140625" style="66"/>
    <col min="11273" max="11273" width="16.5703125" style="66" bestFit="1" customWidth="1"/>
    <col min="11274" max="11521" width="9.140625" style="66"/>
    <col min="11522" max="11522" width="24.5703125" style="66" customWidth="1"/>
    <col min="11523" max="11523" width="71.7109375" style="66" customWidth="1"/>
    <col min="11524" max="11524" width="17.140625" style="66" bestFit="1" customWidth="1"/>
    <col min="11525" max="11525" width="16.7109375" style="66" bestFit="1" customWidth="1"/>
    <col min="11526" max="11526" width="16.85546875" style="66" bestFit="1" customWidth="1"/>
    <col min="11527" max="11527" width="21.42578125" style="66" customWidth="1"/>
    <col min="11528" max="11528" width="9.140625" style="66"/>
    <col min="11529" max="11529" width="16.5703125" style="66" bestFit="1" customWidth="1"/>
    <col min="11530" max="11777" width="9.140625" style="66"/>
    <col min="11778" max="11778" width="24.5703125" style="66" customWidth="1"/>
    <col min="11779" max="11779" width="71.7109375" style="66" customWidth="1"/>
    <col min="11780" max="11780" width="17.140625" style="66" bestFit="1" customWidth="1"/>
    <col min="11781" max="11781" width="16.7109375" style="66" bestFit="1" customWidth="1"/>
    <col min="11782" max="11782" width="16.85546875" style="66" bestFit="1" customWidth="1"/>
    <col min="11783" max="11783" width="21.42578125" style="66" customWidth="1"/>
    <col min="11784" max="11784" width="9.140625" style="66"/>
    <col min="11785" max="11785" width="16.5703125" style="66" bestFit="1" customWidth="1"/>
    <col min="11786" max="12033" width="9.140625" style="66"/>
    <col min="12034" max="12034" width="24.5703125" style="66" customWidth="1"/>
    <col min="12035" max="12035" width="71.7109375" style="66" customWidth="1"/>
    <col min="12036" max="12036" width="17.140625" style="66" bestFit="1" customWidth="1"/>
    <col min="12037" max="12037" width="16.7109375" style="66" bestFit="1" customWidth="1"/>
    <col min="12038" max="12038" width="16.85546875" style="66" bestFit="1" customWidth="1"/>
    <col min="12039" max="12039" width="21.42578125" style="66" customWidth="1"/>
    <col min="12040" max="12040" width="9.140625" style="66"/>
    <col min="12041" max="12041" width="16.5703125" style="66" bestFit="1" customWidth="1"/>
    <col min="12042" max="12289" width="9.140625" style="66"/>
    <col min="12290" max="12290" width="24.5703125" style="66" customWidth="1"/>
    <col min="12291" max="12291" width="71.7109375" style="66" customWidth="1"/>
    <col min="12292" max="12292" width="17.140625" style="66" bestFit="1" customWidth="1"/>
    <col min="12293" max="12293" width="16.7109375" style="66" bestFit="1" customWidth="1"/>
    <col min="12294" max="12294" width="16.85546875" style="66" bestFit="1" customWidth="1"/>
    <col min="12295" max="12295" width="21.42578125" style="66" customWidth="1"/>
    <col min="12296" max="12296" width="9.140625" style="66"/>
    <col min="12297" max="12297" width="16.5703125" style="66" bestFit="1" customWidth="1"/>
    <col min="12298" max="12545" width="9.140625" style="66"/>
    <col min="12546" max="12546" width="24.5703125" style="66" customWidth="1"/>
    <col min="12547" max="12547" width="71.7109375" style="66" customWidth="1"/>
    <col min="12548" max="12548" width="17.140625" style="66" bestFit="1" customWidth="1"/>
    <col min="12549" max="12549" width="16.7109375" style="66" bestFit="1" customWidth="1"/>
    <col min="12550" max="12550" width="16.85546875" style="66" bestFit="1" customWidth="1"/>
    <col min="12551" max="12551" width="21.42578125" style="66" customWidth="1"/>
    <col min="12552" max="12552" width="9.140625" style="66"/>
    <col min="12553" max="12553" width="16.5703125" style="66" bestFit="1" customWidth="1"/>
    <col min="12554" max="12801" width="9.140625" style="66"/>
    <col min="12802" max="12802" width="24.5703125" style="66" customWidth="1"/>
    <col min="12803" max="12803" width="71.7109375" style="66" customWidth="1"/>
    <col min="12804" max="12804" width="17.140625" style="66" bestFit="1" customWidth="1"/>
    <col min="12805" max="12805" width="16.7109375" style="66" bestFit="1" customWidth="1"/>
    <col min="12806" max="12806" width="16.85546875" style="66" bestFit="1" customWidth="1"/>
    <col min="12807" max="12807" width="21.42578125" style="66" customWidth="1"/>
    <col min="12808" max="12808" width="9.140625" style="66"/>
    <col min="12809" max="12809" width="16.5703125" style="66" bestFit="1" customWidth="1"/>
    <col min="12810" max="13057" width="9.140625" style="66"/>
    <col min="13058" max="13058" width="24.5703125" style="66" customWidth="1"/>
    <col min="13059" max="13059" width="71.7109375" style="66" customWidth="1"/>
    <col min="13060" max="13060" width="17.140625" style="66" bestFit="1" customWidth="1"/>
    <col min="13061" max="13061" width="16.7109375" style="66" bestFit="1" customWidth="1"/>
    <col min="13062" max="13062" width="16.85546875" style="66" bestFit="1" customWidth="1"/>
    <col min="13063" max="13063" width="21.42578125" style="66" customWidth="1"/>
    <col min="13064" max="13064" width="9.140625" style="66"/>
    <col min="13065" max="13065" width="16.5703125" style="66" bestFit="1" customWidth="1"/>
    <col min="13066" max="13313" width="9.140625" style="66"/>
    <col min="13314" max="13314" width="24.5703125" style="66" customWidth="1"/>
    <col min="13315" max="13315" width="71.7109375" style="66" customWidth="1"/>
    <col min="13316" max="13316" width="17.140625" style="66" bestFit="1" customWidth="1"/>
    <col min="13317" max="13317" width="16.7109375" style="66" bestFit="1" customWidth="1"/>
    <col min="13318" max="13318" width="16.85546875" style="66" bestFit="1" customWidth="1"/>
    <col min="13319" max="13319" width="21.42578125" style="66" customWidth="1"/>
    <col min="13320" max="13320" width="9.140625" style="66"/>
    <col min="13321" max="13321" width="16.5703125" style="66" bestFit="1" customWidth="1"/>
    <col min="13322" max="13569" width="9.140625" style="66"/>
    <col min="13570" max="13570" width="24.5703125" style="66" customWidth="1"/>
    <col min="13571" max="13571" width="71.7109375" style="66" customWidth="1"/>
    <col min="13572" max="13572" width="17.140625" style="66" bestFit="1" customWidth="1"/>
    <col min="13573" max="13573" width="16.7109375" style="66" bestFit="1" customWidth="1"/>
    <col min="13574" max="13574" width="16.85546875" style="66" bestFit="1" customWidth="1"/>
    <col min="13575" max="13575" width="21.42578125" style="66" customWidth="1"/>
    <col min="13576" max="13576" width="9.140625" style="66"/>
    <col min="13577" max="13577" width="16.5703125" style="66" bestFit="1" customWidth="1"/>
    <col min="13578" max="13825" width="9.140625" style="66"/>
    <col min="13826" max="13826" width="24.5703125" style="66" customWidth="1"/>
    <col min="13827" max="13827" width="71.7109375" style="66" customWidth="1"/>
    <col min="13828" max="13828" width="17.140625" style="66" bestFit="1" customWidth="1"/>
    <col min="13829" max="13829" width="16.7109375" style="66" bestFit="1" customWidth="1"/>
    <col min="13830" max="13830" width="16.85546875" style="66" bestFit="1" customWidth="1"/>
    <col min="13831" max="13831" width="21.42578125" style="66" customWidth="1"/>
    <col min="13832" max="13832" width="9.140625" style="66"/>
    <col min="13833" max="13833" width="16.5703125" style="66" bestFit="1" customWidth="1"/>
    <col min="13834" max="14081" width="9.140625" style="66"/>
    <col min="14082" max="14082" width="24.5703125" style="66" customWidth="1"/>
    <col min="14083" max="14083" width="71.7109375" style="66" customWidth="1"/>
    <col min="14084" max="14084" width="17.140625" style="66" bestFit="1" customWidth="1"/>
    <col min="14085" max="14085" width="16.7109375" style="66" bestFit="1" customWidth="1"/>
    <col min="14086" max="14086" width="16.85546875" style="66" bestFit="1" customWidth="1"/>
    <col min="14087" max="14087" width="21.42578125" style="66" customWidth="1"/>
    <col min="14088" max="14088" width="9.140625" style="66"/>
    <col min="14089" max="14089" width="16.5703125" style="66" bestFit="1" customWidth="1"/>
    <col min="14090" max="14337" width="9.140625" style="66"/>
    <col min="14338" max="14338" width="24.5703125" style="66" customWidth="1"/>
    <col min="14339" max="14339" width="71.7109375" style="66" customWidth="1"/>
    <col min="14340" max="14340" width="17.140625" style="66" bestFit="1" customWidth="1"/>
    <col min="14341" max="14341" width="16.7109375" style="66" bestFit="1" customWidth="1"/>
    <col min="14342" max="14342" width="16.85546875" style="66" bestFit="1" customWidth="1"/>
    <col min="14343" max="14343" width="21.42578125" style="66" customWidth="1"/>
    <col min="14344" max="14344" width="9.140625" style="66"/>
    <col min="14345" max="14345" width="16.5703125" style="66" bestFit="1" customWidth="1"/>
    <col min="14346" max="14593" width="9.140625" style="66"/>
    <col min="14594" max="14594" width="24.5703125" style="66" customWidth="1"/>
    <col min="14595" max="14595" width="71.7109375" style="66" customWidth="1"/>
    <col min="14596" max="14596" width="17.140625" style="66" bestFit="1" customWidth="1"/>
    <col min="14597" max="14597" width="16.7109375" style="66" bestFit="1" customWidth="1"/>
    <col min="14598" max="14598" width="16.85546875" style="66" bestFit="1" customWidth="1"/>
    <col min="14599" max="14599" width="21.42578125" style="66" customWidth="1"/>
    <col min="14600" max="14600" width="9.140625" style="66"/>
    <col min="14601" max="14601" width="16.5703125" style="66" bestFit="1" customWidth="1"/>
    <col min="14602" max="14849" width="9.140625" style="66"/>
    <col min="14850" max="14850" width="24.5703125" style="66" customWidth="1"/>
    <col min="14851" max="14851" width="71.7109375" style="66" customWidth="1"/>
    <col min="14852" max="14852" width="17.140625" style="66" bestFit="1" customWidth="1"/>
    <col min="14853" max="14853" width="16.7109375" style="66" bestFit="1" customWidth="1"/>
    <col min="14854" max="14854" width="16.85546875" style="66" bestFit="1" customWidth="1"/>
    <col min="14855" max="14855" width="21.42578125" style="66" customWidth="1"/>
    <col min="14856" max="14856" width="9.140625" style="66"/>
    <col min="14857" max="14857" width="16.5703125" style="66" bestFit="1" customWidth="1"/>
    <col min="14858" max="15105" width="9.140625" style="66"/>
    <col min="15106" max="15106" width="24.5703125" style="66" customWidth="1"/>
    <col min="15107" max="15107" width="71.7109375" style="66" customWidth="1"/>
    <col min="15108" max="15108" width="17.140625" style="66" bestFit="1" customWidth="1"/>
    <col min="15109" max="15109" width="16.7109375" style="66" bestFit="1" customWidth="1"/>
    <col min="15110" max="15110" width="16.85546875" style="66" bestFit="1" customWidth="1"/>
    <col min="15111" max="15111" width="21.42578125" style="66" customWidth="1"/>
    <col min="15112" max="15112" width="9.140625" style="66"/>
    <col min="15113" max="15113" width="16.5703125" style="66" bestFit="1" customWidth="1"/>
    <col min="15114" max="15361" width="9.140625" style="66"/>
    <col min="15362" max="15362" width="24.5703125" style="66" customWidth="1"/>
    <col min="15363" max="15363" width="71.7109375" style="66" customWidth="1"/>
    <col min="15364" max="15364" width="17.140625" style="66" bestFit="1" customWidth="1"/>
    <col min="15365" max="15365" width="16.7109375" style="66" bestFit="1" customWidth="1"/>
    <col min="15366" max="15366" width="16.85546875" style="66" bestFit="1" customWidth="1"/>
    <col min="15367" max="15367" width="21.42578125" style="66" customWidth="1"/>
    <col min="15368" max="15368" width="9.140625" style="66"/>
    <col min="15369" max="15369" width="16.5703125" style="66" bestFit="1" customWidth="1"/>
    <col min="15370" max="15617" width="9.140625" style="66"/>
    <col min="15618" max="15618" width="24.5703125" style="66" customWidth="1"/>
    <col min="15619" max="15619" width="71.7109375" style="66" customWidth="1"/>
    <col min="15620" max="15620" width="17.140625" style="66" bestFit="1" customWidth="1"/>
    <col min="15621" max="15621" width="16.7109375" style="66" bestFit="1" customWidth="1"/>
    <col min="15622" max="15622" width="16.85546875" style="66" bestFit="1" customWidth="1"/>
    <col min="15623" max="15623" width="21.42578125" style="66" customWidth="1"/>
    <col min="15624" max="15624" width="9.140625" style="66"/>
    <col min="15625" max="15625" width="16.5703125" style="66" bestFit="1" customWidth="1"/>
    <col min="15626" max="15873" width="9.140625" style="66"/>
    <col min="15874" max="15874" width="24.5703125" style="66" customWidth="1"/>
    <col min="15875" max="15875" width="71.7109375" style="66" customWidth="1"/>
    <col min="15876" max="15876" width="17.140625" style="66" bestFit="1" customWidth="1"/>
    <col min="15877" max="15877" width="16.7109375" style="66" bestFit="1" customWidth="1"/>
    <col min="15878" max="15878" width="16.85546875" style="66" bestFit="1" customWidth="1"/>
    <col min="15879" max="15879" width="21.42578125" style="66" customWidth="1"/>
    <col min="15880" max="15880" width="9.140625" style="66"/>
    <col min="15881" max="15881" width="16.5703125" style="66" bestFit="1" customWidth="1"/>
    <col min="15882" max="16129" width="9.140625" style="66"/>
    <col min="16130" max="16130" width="24.5703125" style="66" customWidth="1"/>
    <col min="16131" max="16131" width="71.7109375" style="66" customWidth="1"/>
    <col min="16132" max="16132" width="17.140625" style="66" bestFit="1" customWidth="1"/>
    <col min="16133" max="16133" width="16.7109375" style="66" bestFit="1" customWidth="1"/>
    <col min="16134" max="16134" width="16.85546875" style="66" bestFit="1" customWidth="1"/>
    <col min="16135" max="16135" width="21.42578125" style="66" customWidth="1"/>
    <col min="16136" max="16136" width="9.140625" style="66"/>
    <col min="16137" max="16137" width="16.5703125" style="66" bestFit="1" customWidth="1"/>
    <col min="16138" max="16384" width="9.140625" style="66"/>
  </cols>
  <sheetData>
    <row r="3" spans="1:7" ht="15">
      <c r="A3" s="226" t="s">
        <v>390</v>
      </c>
    </row>
    <row r="4" spans="1:7" s="46" customFormat="1" ht="15.75" thickBot="1">
      <c r="A4" s="226" t="s">
        <v>391</v>
      </c>
      <c r="B4" s="59"/>
      <c r="C4" s="60"/>
      <c r="D4" s="61"/>
      <c r="E4" s="62"/>
      <c r="F4" s="63"/>
      <c r="G4" s="61"/>
    </row>
    <row r="5" spans="1:7" s="51" customFormat="1" ht="6" thickBot="1">
      <c r="B5" s="52"/>
      <c r="C5" s="1387"/>
      <c r="D5" s="53"/>
      <c r="E5" s="54"/>
      <c r="F5" s="54"/>
      <c r="G5" s="55"/>
    </row>
    <row r="6" spans="1:7" s="46" customFormat="1" ht="60" customHeight="1" thickBot="1">
      <c r="A6" s="56"/>
      <c r="B6" s="2211"/>
      <c r="C6" s="2189" t="s">
        <v>13361</v>
      </c>
      <c r="D6" s="2190"/>
      <c r="E6" s="1608"/>
      <c r="F6" s="2118" t="str">
        <f>'ORÇAMENTO '!M5</f>
        <v>Ref.: Tabela de Serviços
SINAPI (JANEIRO/2024)</v>
      </c>
      <c r="G6" s="2119"/>
    </row>
    <row r="7" spans="1:7" s="46" customFormat="1" ht="57" customHeight="1" thickBot="1">
      <c r="A7" s="56"/>
      <c r="B7" s="2212"/>
      <c r="C7" s="2191" t="s">
        <v>13363</v>
      </c>
      <c r="D7" s="2192"/>
      <c r="E7" s="1609"/>
      <c r="F7" s="1324" t="s">
        <v>4</v>
      </c>
      <c r="G7" s="1317">
        <f>'BDI '!G32</f>
        <v>0.24199999999999999</v>
      </c>
    </row>
    <row r="8" spans="1:7" s="57" customFormat="1" ht="15" customHeight="1" thickBot="1">
      <c r="A8" s="57" t="s">
        <v>13898</v>
      </c>
      <c r="B8" s="2442" t="str">
        <f>RESUMO!B7</f>
        <v>C E N T R A L   D E   P R O J E T O S</v>
      </c>
      <c r="C8" s="2443"/>
      <c r="D8" s="2444"/>
      <c r="E8" s="2444"/>
      <c r="F8" s="2443"/>
      <c r="G8" s="2445"/>
    </row>
    <row r="9" spans="1:7" s="51" customFormat="1" ht="6" thickBot="1">
      <c r="B9" s="52"/>
      <c r="C9" s="123"/>
      <c r="D9" s="53"/>
      <c r="E9" s="54"/>
      <c r="F9" s="54"/>
      <c r="G9" s="55"/>
    </row>
    <row r="10" spans="1:7" s="46" customFormat="1" ht="15" customHeight="1">
      <c r="B10" s="207" t="s">
        <v>5</v>
      </c>
      <c r="C10" s="2215" t="str">
        <f>'ORÇAMENTO '!G11</f>
        <v xml:space="preserve">ESCOLA MUNICIPAL DOMINGOS AZZOLINI </v>
      </c>
      <c r="D10" s="2215"/>
      <c r="E10" s="2215"/>
      <c r="F10" s="208" t="s">
        <v>6</v>
      </c>
      <c r="G10" s="209">
        <f>'ORÇAMENTO '!N11</f>
        <v>45366</v>
      </c>
    </row>
    <row r="11" spans="1:7" s="46" customFormat="1" ht="15.75">
      <c r="B11" s="210" t="s">
        <v>7</v>
      </c>
      <c r="C11" s="2213" t="str">
        <f>'ORÇAMENTO '!G12</f>
        <v>SANTO ANTONIO DO LESTE</v>
      </c>
      <c r="D11" s="2213"/>
      <c r="E11" s="2214" t="str">
        <f>'ORÇAMENTO '!K12</f>
        <v>LEIS SOCIAIS: HORISTA</v>
      </c>
      <c r="F11" s="2214" t="s">
        <v>8</v>
      </c>
      <c r="G11" s="211">
        <f>'ORÇAMENTO '!N12</f>
        <v>1.0684</v>
      </c>
    </row>
    <row r="12" spans="1:7" s="46" customFormat="1" ht="18" customHeight="1" thickBot="1">
      <c r="B12" s="2187"/>
      <c r="C12" s="2188"/>
      <c r="D12" s="2188"/>
      <c r="E12" s="2186" t="str">
        <f>'ORÇAMENTO '!K13</f>
        <v>LEIS SOCIAIS: MENSALISTA</v>
      </c>
      <c r="F12" s="2186"/>
      <c r="G12" s="193">
        <f>'ORÇAMENTO '!N13</f>
        <v>0.65400000000000003</v>
      </c>
    </row>
    <row r="13" spans="1:7" s="51" customFormat="1" ht="6" thickBot="1">
      <c r="B13" s="1658"/>
      <c r="C13" s="1659"/>
      <c r="D13" s="1660"/>
      <c r="E13" s="1661"/>
      <c r="F13" s="1661"/>
      <c r="G13" s="1662"/>
    </row>
    <row r="14" spans="1:7" s="46" customFormat="1" ht="18.75" thickBot="1">
      <c r="B14" s="2220" t="s">
        <v>371</v>
      </c>
      <c r="C14" s="2221"/>
      <c r="D14" s="2221"/>
      <c r="E14" s="2221"/>
      <c r="F14" s="2221"/>
      <c r="G14" s="2222"/>
    </row>
    <row r="15" spans="1:7" s="51" customFormat="1" ht="6" thickBot="1">
      <c r="B15" s="1658"/>
      <c r="C15" s="1659"/>
      <c r="D15" s="1660"/>
      <c r="E15" s="1661"/>
      <c r="F15" s="1661"/>
      <c r="G15" s="1662"/>
    </row>
    <row r="16" spans="1:7" s="65" customFormat="1" ht="9.9499999999999993" customHeight="1" thickBot="1">
      <c r="B16" s="68"/>
      <c r="C16" s="64"/>
      <c r="D16" s="64"/>
      <c r="E16" s="64"/>
      <c r="F16" s="64"/>
      <c r="G16" s="69"/>
    </row>
    <row r="17" spans="1:8" s="120" customFormat="1" ht="45" customHeight="1">
      <c r="B17" s="623" t="str">
        <f>IF(COUNT($H$17:H17)&lt;10,CONCATENATE("CPU INC 00",COUNT($H$17:H17)),CONCATENATE("CPU INC 0",COUNT($H$17:H17)))</f>
        <v>CPU INC 001</v>
      </c>
      <c r="C17" s="2440" t="str">
        <f>CONCATENATE("FORNECIMENTO E INSTALAÇÃO DE ",C20)</f>
        <v xml:space="preserve">FORNECIMENTO E INSTALAÇÃO DE PLACA DE SINALIZACAO DE SEGURANCA CONTRA INCENDIO, FOTOLUMINESCENTE, RETANGULAR, *13 X 26* CM, EM PVC *2* MM ANTI-CHAMAS (SIMBOLOS, CORES E PICTOGRAMAS CONFORME NBR 16820)                                                                                                                                                                                                                                                                                                                               </v>
      </c>
      <c r="D17" s="2181"/>
      <c r="E17" s="2181"/>
      <c r="F17" s="2181"/>
      <c r="G17" s="213" t="s">
        <v>22</v>
      </c>
      <c r="H17" s="650">
        <f>G23</f>
        <v>21.959999999999997</v>
      </c>
    </row>
    <row r="18" spans="1:8" s="120" customFormat="1" ht="31.5">
      <c r="B18" s="821" t="s">
        <v>173</v>
      </c>
      <c r="C18" s="751" t="s">
        <v>161</v>
      </c>
      <c r="D18" s="826" t="s">
        <v>22</v>
      </c>
      <c r="E18" s="751" t="s">
        <v>162</v>
      </c>
      <c r="F18" s="752" t="s">
        <v>163</v>
      </c>
      <c r="G18" s="753" t="s">
        <v>164</v>
      </c>
    </row>
    <row r="19" spans="1:8" s="120" customFormat="1" ht="15.75">
      <c r="B19" s="2408" t="s">
        <v>165</v>
      </c>
      <c r="C19" s="2409"/>
      <c r="D19" s="2409"/>
      <c r="E19" s="2409"/>
      <c r="F19" s="2409"/>
      <c r="G19" s="2410"/>
    </row>
    <row r="20" spans="1:8" s="120" customFormat="1" ht="60">
      <c r="A20" s="249" t="s">
        <v>390</v>
      </c>
      <c r="B20" s="881">
        <v>37539</v>
      </c>
      <c r="C20" s="728" t="str">
        <f>IF($A20="INSUMO",VLOOKUP($B20,'BANCO DE DADOS JANEIRO-24 INS'!$A:$D,2,FALSE),VLOOKUP($B20,'BANCO DE DADOS JANEIRO-24 SERV'!$B:$E,2,FALSE))</f>
        <v xml:space="preserve">PLACA DE SINALIZACAO DE SEGURANCA CONTRA INCENDIO, FOTOLUMINESCENTE, RETANGULAR, *13 X 26* CM, EM PVC *2* MM ANTI-CHAMAS (SIMBOLOS, CORES E PICTOGRAMAS CONFORME NBR 16820)                                                                                                                                                                                                                                                                                                                               </v>
      </c>
      <c r="D20" s="853" t="str">
        <f>IF($A20="INSUMO",VLOOKUP($B20,'BANCO DE DADOS JANEIRO-24 INS'!$A:$D,3,FALSE),VLOOKUP($B20,'BANCO DE DADOS JANEIRO-24 SERV'!$B:$E,3,FALSE))</f>
        <v xml:space="preserve">UN    </v>
      </c>
      <c r="E20" s="846">
        <v>1</v>
      </c>
      <c r="F20" s="846">
        <f>IF($A20="INSUMO",VLOOKUP($B20,'BANCO DE DADOS JANEIRO-24 INS'!$A:$D,4,FALSE),VLOOKUP($B20,'BANCO DE DADOS JANEIRO-24 SERV'!$B:$E,4,FALSE))</f>
        <v>17.899999999999999</v>
      </c>
      <c r="G20" s="848">
        <f>TRUNC(F20*E20,2)</f>
        <v>17.899999999999999</v>
      </c>
    </row>
    <row r="21" spans="1:8" s="120" customFormat="1" ht="15.75">
      <c r="B21" s="2408" t="s">
        <v>166</v>
      </c>
      <c r="C21" s="2409"/>
      <c r="D21" s="2409"/>
      <c r="E21" s="2409"/>
      <c r="F21" s="2409"/>
      <c r="G21" s="2410"/>
    </row>
    <row r="22" spans="1:8" s="120" customFormat="1" ht="16.5" thickBot="1">
      <c r="A22" s="249" t="s">
        <v>391</v>
      </c>
      <c r="B22" s="118">
        <v>88316</v>
      </c>
      <c r="C22" s="834" t="str">
        <f>IF($A22="INSUMO",VLOOKUP($B22,'BANCO DE DADOS JANEIRO-24 INS'!$A:$D,2,FALSE),VLOOKUP($B22,'BANCO DE DADOS JANEIRO-24 SERV'!$B:$E,2,FALSE))</f>
        <v>SERVENTE COM ENCARGOS COMPLEMENTARES</v>
      </c>
      <c r="D22" s="729" t="str">
        <f>IF($A22="INSUMO",VLOOKUP($B22,'BANCO DE DADOS JANEIRO-24 INS'!$A:$D,3,FALSE),VLOOKUP($B22,'BANCO DE DADOS JANEIRO-24 SERV'!$B:$E,3,FALSE))</f>
        <v>H</v>
      </c>
      <c r="E22" s="824">
        <v>0.2</v>
      </c>
      <c r="F22" s="757">
        <f>IF($A22="INSUMO",VLOOKUP($B22,'BANCO DE DADOS JANEIRO-24 INS'!$A:$D,4,FALSE),VLOOKUP($B22,'BANCO DE DADOS JANEIRO-24 SERV'!$B:$E,4,FALSE))</f>
        <v>20.32</v>
      </c>
      <c r="G22" s="231">
        <f>TRUNC(F22*E22,2)</f>
        <v>4.0599999999999996</v>
      </c>
    </row>
    <row r="23" spans="1:8" s="120" customFormat="1" ht="16.5" thickBot="1">
      <c r="B23" s="2438" t="s">
        <v>6473</v>
      </c>
      <c r="C23" s="2438"/>
      <c r="D23" s="2438"/>
      <c r="E23" s="2439"/>
      <c r="F23" s="236" t="s">
        <v>167</v>
      </c>
      <c r="G23" s="237">
        <f>SUM(G19:G22)</f>
        <v>21.959999999999997</v>
      </c>
    </row>
    <row r="24" spans="1:8" s="120" customFormat="1" ht="15.75" thickBot="1">
      <c r="B24" s="2441"/>
      <c r="C24" s="2441"/>
      <c r="D24" s="2441"/>
      <c r="E24" s="2441"/>
    </row>
    <row r="25" spans="1:8" ht="36" customHeight="1">
      <c r="B25" s="623" t="str">
        <f>IF(COUNT($H$17:H25)&lt;10,CONCATENATE("CPU INC 00",COUNT($H$17:H25)),CONCATENATE("CPU INC 0",COUNT($H$17:H25)))</f>
        <v>CPU INC 002</v>
      </c>
      <c r="C25" s="2180" t="str">
        <f>CONCATENATE("FORNECIMENTO E INSTALAÇÃO DE ",C28)</f>
        <v xml:space="preserve">FORNECIMENTO E INSTALAÇÃO DE BUCHA DE NYLON, DIAMETRO DO FURO 8 MM, COMPRIMENTO 40 MM, COM PARAFUSO DE ROSCA SOBERBA, CABECA CHATA, FENDA SIMPLES, 4,8 X 50 MM                                                                                                                                                                                                                                                                                                                                                                         </v>
      </c>
      <c r="D25" s="2181"/>
      <c r="E25" s="2181"/>
      <c r="F25" s="2181"/>
      <c r="G25" s="624" t="s">
        <v>22</v>
      </c>
      <c r="H25" s="651">
        <f>G32</f>
        <v>5.32</v>
      </c>
    </row>
    <row r="26" spans="1:8" ht="31.5">
      <c r="B26" s="750" t="s">
        <v>173</v>
      </c>
      <c r="C26" s="751" t="s">
        <v>161</v>
      </c>
      <c r="D26" s="826" t="s">
        <v>22</v>
      </c>
      <c r="E26" s="751" t="s">
        <v>162</v>
      </c>
      <c r="F26" s="752" t="s">
        <v>163</v>
      </c>
      <c r="G26" s="753" t="s">
        <v>164</v>
      </c>
    </row>
    <row r="27" spans="1:8" ht="15.75">
      <c r="B27" s="2408" t="s">
        <v>165</v>
      </c>
      <c r="C27" s="2409"/>
      <c r="D27" s="2409"/>
      <c r="E27" s="2409"/>
      <c r="F27" s="2409"/>
      <c r="G27" s="2410"/>
    </row>
    <row r="28" spans="1:8" ht="45">
      <c r="A28" s="249" t="s">
        <v>390</v>
      </c>
      <c r="B28" s="883">
        <v>4350</v>
      </c>
      <c r="C28" s="882" t="str">
        <f>IF($A28="INSUMO",VLOOKUP($B28,'BANCO DE DADOS JANEIRO-24 INS'!$A:$D,2,FALSE),VLOOKUP($B28,'BANCO DE DADOS JANEIRO-24 SERV'!$B:$E,2,FALSE))</f>
        <v xml:space="preserve">BUCHA DE NYLON, DIAMETRO DO FURO 8 MM, COMPRIMENTO 40 MM, COM PARAFUSO DE ROSCA SOBERBA, CABECA CHATA, FENDA SIMPLES, 4,8 X 50 MM                                                                                                                                                                                                                                                                                                                                                                         </v>
      </c>
      <c r="D28" s="853" t="str">
        <f>IF($A28="INSUMO",VLOOKUP($B28,'BANCO DE DADOS JANEIRO-24 INS'!$A:$D,3,FALSE),VLOOKUP($B28,'BANCO DE DADOS JANEIRO-24 SERV'!$B:$E,3,FALSE))</f>
        <v xml:space="preserve">UN    </v>
      </c>
      <c r="E28" s="846">
        <v>1</v>
      </c>
      <c r="F28" s="846">
        <f>IF($A28="INSUMO",VLOOKUP($B28,'BANCO DE DADOS JANEIRO-24 INS'!$A:$D,4,FALSE),VLOOKUP($B28,'BANCO DE DADOS JANEIRO-24 SERV'!$B:$E,4,FALSE))</f>
        <v>0.63</v>
      </c>
      <c r="G28" s="848">
        <f>TRUNC(F28*E28,2)</f>
        <v>0.63</v>
      </c>
    </row>
    <row r="29" spans="1:8" ht="15.75">
      <c r="A29" s="249"/>
      <c r="B29" s="2408" t="s">
        <v>166</v>
      </c>
      <c r="C29" s="2409"/>
      <c r="D29" s="2409"/>
      <c r="E29" s="2409"/>
      <c r="F29" s="2409"/>
      <c r="G29" s="2410"/>
    </row>
    <row r="30" spans="1:8" ht="15.75">
      <c r="A30" s="249" t="s">
        <v>391</v>
      </c>
      <c r="B30" s="885">
        <v>88264</v>
      </c>
      <c r="C30" s="829" t="str">
        <f>IF($A30="INSUMO",VLOOKUP($B30,'BANCO DE DADOS JANEIRO-24 INS'!$A:$D,2,FALSE),VLOOKUP($B30,'BANCO DE DADOS JANEIRO-24 SERV'!$B:$E,2,FALSE))</f>
        <v>ELETRICISTA COM ENCARGOS COMPLEMENTARES</v>
      </c>
      <c r="D30" s="732" t="str">
        <f>IF($A30="INSUMO",VLOOKUP($B30,'BANCO DE DADOS JANEIRO-24 INS'!$A:$D,3,FALSE),VLOOKUP($B30,'BANCO DE DADOS JANEIRO-24 SERV'!$B:$E,3,FALSE))</f>
        <v>H</v>
      </c>
      <c r="E30" s="884">
        <v>0.1</v>
      </c>
      <c r="F30" s="755">
        <f>IF($A30="INSUMO",VLOOKUP($B30,'BANCO DE DADOS JANEIRO-24 INS'!$A:$D,4,FALSE),VLOOKUP($B30,'BANCO DE DADOS JANEIRO-24 SERV'!$B:$E,4,FALSE))</f>
        <v>26.68</v>
      </c>
      <c r="G30" s="840">
        <f>TRUNC(F30*E30,2)</f>
        <v>2.66</v>
      </c>
    </row>
    <row r="31" spans="1:8" ht="16.5" thickBot="1">
      <c r="A31" s="249" t="s">
        <v>391</v>
      </c>
      <c r="B31" s="336">
        <v>88316</v>
      </c>
      <c r="C31" s="834" t="str">
        <f>IF($A31="INSUMO",VLOOKUP($B31,'BANCO DE DADOS JANEIRO-24 INS'!$A:$D,2,FALSE),VLOOKUP($B31,'BANCO DE DADOS JANEIRO-24 SERV'!$B:$E,2,FALSE))</f>
        <v>SERVENTE COM ENCARGOS COMPLEMENTARES</v>
      </c>
      <c r="D31" s="729" t="str">
        <f>IF($A31="INSUMO",VLOOKUP($B31,'BANCO DE DADOS JANEIRO-24 INS'!$A:$D,3,FALSE),VLOOKUP($B31,'BANCO DE DADOS JANEIRO-24 SERV'!$B:$E,3,FALSE))</f>
        <v>H</v>
      </c>
      <c r="E31" s="886">
        <v>0.1</v>
      </c>
      <c r="F31" s="757">
        <f>IF($A31="INSUMO",VLOOKUP($B31,'BANCO DE DADOS JANEIRO-24 INS'!$A:$D,4,FALSE),VLOOKUP($B31,'BANCO DE DADOS JANEIRO-24 SERV'!$B:$E,4,FALSE))</f>
        <v>20.32</v>
      </c>
      <c r="G31" s="626">
        <f>TRUNC(F31*E31,2)</f>
        <v>2.0299999999999998</v>
      </c>
    </row>
    <row r="32" spans="1:8" ht="16.5" customHeight="1" thickBot="1">
      <c r="B32" s="2438" t="s">
        <v>6474</v>
      </c>
      <c r="C32" s="2438"/>
      <c r="D32" s="2438"/>
      <c r="E32" s="2439"/>
      <c r="F32" s="325" t="s">
        <v>167</v>
      </c>
      <c r="G32" s="326">
        <f>SUM(G28:G31)</f>
        <v>5.32</v>
      </c>
    </row>
  </sheetData>
  <autoFilter ref="G3:G33" xr:uid="{00000000-0009-0000-0000-000014000000}"/>
  <mergeCells count="20">
    <mergeCell ref="B14:G14"/>
    <mergeCell ref="C10:E10"/>
    <mergeCell ref="C7:D7"/>
    <mergeCell ref="C6:D6"/>
    <mergeCell ref="E11:F11"/>
    <mergeCell ref="F6:G6"/>
    <mergeCell ref="B8:G8"/>
    <mergeCell ref="B6:B7"/>
    <mergeCell ref="B12:D12"/>
    <mergeCell ref="E12:F12"/>
    <mergeCell ref="C11:D11"/>
    <mergeCell ref="B32:E32"/>
    <mergeCell ref="C17:F17"/>
    <mergeCell ref="B19:G19"/>
    <mergeCell ref="B24:E24"/>
    <mergeCell ref="B21:G21"/>
    <mergeCell ref="B23:E23"/>
    <mergeCell ref="B27:G27"/>
    <mergeCell ref="B29:G29"/>
    <mergeCell ref="C25:F25"/>
  </mergeCells>
  <dataValidations disablePrompts="1" count="1">
    <dataValidation type="list" allowBlank="1" showInputMessage="1" showErrorMessage="1" sqref="A22" xr:uid="{00000000-0002-0000-1400-000000000000}">
      <formula1>$A$3:$A$4</formula1>
    </dataValidation>
  </dataValidations>
  <pageMargins left="0.511811024" right="0.511811024" top="0.78740157499999996" bottom="0.78740157499999996" header="0.31496062000000002" footer="0.31496062000000002"/>
  <pageSetup paperSize="9" scale="51"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6">
    <tabColor theme="3" tint="0.79998168889431442"/>
  </sheetPr>
  <dimension ref="A3:L740"/>
  <sheetViews>
    <sheetView view="pageBreakPreview" topLeftCell="A89" zoomScale="85" zoomScaleNormal="100" zoomScaleSheetLayoutView="85" workbookViewId="0">
      <selection activeCell="J110" sqref="J110"/>
    </sheetView>
  </sheetViews>
  <sheetFormatPr defaultRowHeight="12.75"/>
  <cols>
    <col min="1" max="1" width="19.5703125" style="259" customWidth="1"/>
    <col min="2" max="2" width="24.7109375" style="259" customWidth="1"/>
    <col min="3" max="3" width="75.7109375" style="259" customWidth="1"/>
    <col min="4" max="4" width="15.7109375" style="259" customWidth="1"/>
    <col min="5" max="5" width="23.7109375" style="259" customWidth="1"/>
    <col min="6" max="6" width="28.7109375" style="259" customWidth="1"/>
    <col min="7" max="7" width="20.7109375" style="259" customWidth="1"/>
    <col min="8" max="8" width="22.7109375" style="259" customWidth="1"/>
    <col min="9" max="9" width="16.5703125" style="259" bestFit="1" customWidth="1"/>
    <col min="10" max="257" width="9.140625" style="259"/>
    <col min="258" max="258" width="24.5703125" style="259" customWidth="1"/>
    <col min="259" max="259" width="71.7109375" style="259" customWidth="1"/>
    <col min="260" max="260" width="17.140625" style="259" bestFit="1" customWidth="1"/>
    <col min="261" max="261" width="16.7109375" style="259" bestFit="1" customWidth="1"/>
    <col min="262" max="262" width="16.85546875" style="259" bestFit="1" customWidth="1"/>
    <col min="263" max="263" width="21.42578125" style="259" customWidth="1"/>
    <col min="264" max="264" width="9.140625" style="259"/>
    <col min="265" max="265" width="16.5703125" style="259" bestFit="1" customWidth="1"/>
    <col min="266" max="513" width="9.140625" style="259"/>
    <col min="514" max="514" width="24.5703125" style="259" customWidth="1"/>
    <col min="515" max="515" width="71.7109375" style="259" customWidth="1"/>
    <col min="516" max="516" width="17.140625" style="259" bestFit="1" customWidth="1"/>
    <col min="517" max="517" width="16.7109375" style="259" bestFit="1" customWidth="1"/>
    <col min="518" max="518" width="16.85546875" style="259" bestFit="1" customWidth="1"/>
    <col min="519" max="519" width="21.42578125" style="259" customWidth="1"/>
    <col min="520" max="520" width="9.140625" style="259"/>
    <col min="521" max="521" width="16.5703125" style="259" bestFit="1" customWidth="1"/>
    <col min="522" max="769" width="9.140625" style="259"/>
    <col min="770" max="770" width="24.5703125" style="259" customWidth="1"/>
    <col min="771" max="771" width="71.7109375" style="259" customWidth="1"/>
    <col min="772" max="772" width="17.140625" style="259" bestFit="1" customWidth="1"/>
    <col min="773" max="773" width="16.7109375" style="259" bestFit="1" customWidth="1"/>
    <col min="774" max="774" width="16.85546875" style="259" bestFit="1" customWidth="1"/>
    <col min="775" max="775" width="21.42578125" style="259" customWidth="1"/>
    <col min="776" max="776" width="9.140625" style="259"/>
    <col min="777" max="777" width="16.5703125" style="259" bestFit="1" customWidth="1"/>
    <col min="778" max="1025" width="9.140625" style="259"/>
    <col min="1026" max="1026" width="24.5703125" style="259" customWidth="1"/>
    <col min="1027" max="1027" width="71.7109375" style="259" customWidth="1"/>
    <col min="1028" max="1028" width="17.140625" style="259" bestFit="1" customWidth="1"/>
    <col min="1029" max="1029" width="16.7109375" style="259" bestFit="1" customWidth="1"/>
    <col min="1030" max="1030" width="16.85546875" style="259" bestFit="1" customWidth="1"/>
    <col min="1031" max="1031" width="21.42578125" style="259" customWidth="1"/>
    <col min="1032" max="1032" width="9.140625" style="259"/>
    <col min="1033" max="1033" width="16.5703125" style="259" bestFit="1" customWidth="1"/>
    <col min="1034" max="1281" width="9.140625" style="259"/>
    <col min="1282" max="1282" width="24.5703125" style="259" customWidth="1"/>
    <col min="1283" max="1283" width="71.7109375" style="259" customWidth="1"/>
    <col min="1284" max="1284" width="17.140625" style="259" bestFit="1" customWidth="1"/>
    <col min="1285" max="1285" width="16.7109375" style="259" bestFit="1" customWidth="1"/>
    <col min="1286" max="1286" width="16.85546875" style="259" bestFit="1" customWidth="1"/>
    <col min="1287" max="1287" width="21.42578125" style="259" customWidth="1"/>
    <col min="1288" max="1288" width="9.140625" style="259"/>
    <col min="1289" max="1289" width="16.5703125" style="259" bestFit="1" customWidth="1"/>
    <col min="1290" max="1537" width="9.140625" style="259"/>
    <col min="1538" max="1538" width="24.5703125" style="259" customWidth="1"/>
    <col min="1539" max="1539" width="71.7109375" style="259" customWidth="1"/>
    <col min="1540" max="1540" width="17.140625" style="259" bestFit="1" customWidth="1"/>
    <col min="1541" max="1541" width="16.7109375" style="259" bestFit="1" customWidth="1"/>
    <col min="1542" max="1542" width="16.85546875" style="259" bestFit="1" customWidth="1"/>
    <col min="1543" max="1543" width="21.42578125" style="259" customWidth="1"/>
    <col min="1544" max="1544" width="9.140625" style="259"/>
    <col min="1545" max="1545" width="16.5703125" style="259" bestFit="1" customWidth="1"/>
    <col min="1546" max="1793" width="9.140625" style="259"/>
    <col min="1794" max="1794" width="24.5703125" style="259" customWidth="1"/>
    <col min="1795" max="1795" width="71.7109375" style="259" customWidth="1"/>
    <col min="1796" max="1796" width="17.140625" style="259" bestFit="1" customWidth="1"/>
    <col min="1797" max="1797" width="16.7109375" style="259" bestFit="1" customWidth="1"/>
    <col min="1798" max="1798" width="16.85546875" style="259" bestFit="1" customWidth="1"/>
    <col min="1799" max="1799" width="21.42578125" style="259" customWidth="1"/>
    <col min="1800" max="1800" width="9.140625" style="259"/>
    <col min="1801" max="1801" width="16.5703125" style="259" bestFit="1" customWidth="1"/>
    <col min="1802" max="2049" width="9.140625" style="259"/>
    <col min="2050" max="2050" width="24.5703125" style="259" customWidth="1"/>
    <col min="2051" max="2051" width="71.7109375" style="259" customWidth="1"/>
    <col min="2052" max="2052" width="17.140625" style="259" bestFit="1" customWidth="1"/>
    <col min="2053" max="2053" width="16.7109375" style="259" bestFit="1" customWidth="1"/>
    <col min="2054" max="2054" width="16.85546875" style="259" bestFit="1" customWidth="1"/>
    <col min="2055" max="2055" width="21.42578125" style="259" customWidth="1"/>
    <col min="2056" max="2056" width="9.140625" style="259"/>
    <col min="2057" max="2057" width="16.5703125" style="259" bestFit="1" customWidth="1"/>
    <col min="2058" max="2305" width="9.140625" style="259"/>
    <col min="2306" max="2306" width="24.5703125" style="259" customWidth="1"/>
    <col min="2307" max="2307" width="71.7109375" style="259" customWidth="1"/>
    <col min="2308" max="2308" width="17.140625" style="259" bestFit="1" customWidth="1"/>
    <col min="2309" max="2309" width="16.7109375" style="259" bestFit="1" customWidth="1"/>
    <col min="2310" max="2310" width="16.85546875" style="259" bestFit="1" customWidth="1"/>
    <col min="2311" max="2311" width="21.42578125" style="259" customWidth="1"/>
    <col min="2312" max="2312" width="9.140625" style="259"/>
    <col min="2313" max="2313" width="16.5703125" style="259" bestFit="1" customWidth="1"/>
    <col min="2314" max="2561" width="9.140625" style="259"/>
    <col min="2562" max="2562" width="24.5703125" style="259" customWidth="1"/>
    <col min="2563" max="2563" width="71.7109375" style="259" customWidth="1"/>
    <col min="2564" max="2564" width="17.140625" style="259" bestFit="1" customWidth="1"/>
    <col min="2565" max="2565" width="16.7109375" style="259" bestFit="1" customWidth="1"/>
    <col min="2566" max="2566" width="16.85546875" style="259" bestFit="1" customWidth="1"/>
    <col min="2567" max="2567" width="21.42578125" style="259" customWidth="1"/>
    <col min="2568" max="2568" width="9.140625" style="259"/>
    <col min="2569" max="2569" width="16.5703125" style="259" bestFit="1" customWidth="1"/>
    <col min="2570" max="2817" width="9.140625" style="259"/>
    <col min="2818" max="2818" width="24.5703125" style="259" customWidth="1"/>
    <col min="2819" max="2819" width="71.7109375" style="259" customWidth="1"/>
    <col min="2820" max="2820" width="17.140625" style="259" bestFit="1" customWidth="1"/>
    <col min="2821" max="2821" width="16.7109375" style="259" bestFit="1" customWidth="1"/>
    <col min="2822" max="2822" width="16.85546875" style="259" bestFit="1" customWidth="1"/>
    <col min="2823" max="2823" width="21.42578125" style="259" customWidth="1"/>
    <col min="2824" max="2824" width="9.140625" style="259"/>
    <col min="2825" max="2825" width="16.5703125" style="259" bestFit="1" customWidth="1"/>
    <col min="2826" max="3073" width="9.140625" style="259"/>
    <col min="3074" max="3074" width="24.5703125" style="259" customWidth="1"/>
    <col min="3075" max="3075" width="71.7109375" style="259" customWidth="1"/>
    <col min="3076" max="3076" width="17.140625" style="259" bestFit="1" customWidth="1"/>
    <col min="3077" max="3077" width="16.7109375" style="259" bestFit="1" customWidth="1"/>
    <col min="3078" max="3078" width="16.85546875" style="259" bestFit="1" customWidth="1"/>
    <col min="3079" max="3079" width="21.42578125" style="259" customWidth="1"/>
    <col min="3080" max="3080" width="9.140625" style="259"/>
    <col min="3081" max="3081" width="16.5703125" style="259" bestFit="1" customWidth="1"/>
    <col min="3082" max="3329" width="9.140625" style="259"/>
    <col min="3330" max="3330" width="24.5703125" style="259" customWidth="1"/>
    <col min="3331" max="3331" width="71.7109375" style="259" customWidth="1"/>
    <col min="3332" max="3332" width="17.140625" style="259" bestFit="1" customWidth="1"/>
    <col min="3333" max="3333" width="16.7109375" style="259" bestFit="1" customWidth="1"/>
    <col min="3334" max="3334" width="16.85546875" style="259" bestFit="1" customWidth="1"/>
    <col min="3335" max="3335" width="21.42578125" style="259" customWidth="1"/>
    <col min="3336" max="3336" width="9.140625" style="259"/>
    <col min="3337" max="3337" width="16.5703125" style="259" bestFit="1" customWidth="1"/>
    <col min="3338" max="3585" width="9.140625" style="259"/>
    <col min="3586" max="3586" width="24.5703125" style="259" customWidth="1"/>
    <col min="3587" max="3587" width="71.7109375" style="259" customWidth="1"/>
    <col min="3588" max="3588" width="17.140625" style="259" bestFit="1" customWidth="1"/>
    <col min="3589" max="3589" width="16.7109375" style="259" bestFit="1" customWidth="1"/>
    <col min="3590" max="3590" width="16.85546875" style="259" bestFit="1" customWidth="1"/>
    <col min="3591" max="3591" width="21.42578125" style="259" customWidth="1"/>
    <col min="3592" max="3592" width="9.140625" style="259"/>
    <col min="3593" max="3593" width="16.5703125" style="259" bestFit="1" customWidth="1"/>
    <col min="3594" max="3841" width="9.140625" style="259"/>
    <col min="3842" max="3842" width="24.5703125" style="259" customWidth="1"/>
    <col min="3843" max="3843" width="71.7109375" style="259" customWidth="1"/>
    <col min="3844" max="3844" width="17.140625" style="259" bestFit="1" customWidth="1"/>
    <col min="3845" max="3845" width="16.7109375" style="259" bestFit="1" customWidth="1"/>
    <col min="3846" max="3846" width="16.85546875" style="259" bestFit="1" customWidth="1"/>
    <col min="3847" max="3847" width="21.42578125" style="259" customWidth="1"/>
    <col min="3848" max="3848" width="9.140625" style="259"/>
    <col min="3849" max="3849" width="16.5703125" style="259" bestFit="1" customWidth="1"/>
    <col min="3850" max="4097" width="9.140625" style="259"/>
    <col min="4098" max="4098" width="24.5703125" style="259" customWidth="1"/>
    <col min="4099" max="4099" width="71.7109375" style="259" customWidth="1"/>
    <col min="4100" max="4100" width="17.140625" style="259" bestFit="1" customWidth="1"/>
    <col min="4101" max="4101" width="16.7109375" style="259" bestFit="1" customWidth="1"/>
    <col min="4102" max="4102" width="16.85546875" style="259" bestFit="1" customWidth="1"/>
    <col min="4103" max="4103" width="21.42578125" style="259" customWidth="1"/>
    <col min="4104" max="4104" width="9.140625" style="259"/>
    <col min="4105" max="4105" width="16.5703125" style="259" bestFit="1" customWidth="1"/>
    <col min="4106" max="4353" width="9.140625" style="259"/>
    <col min="4354" max="4354" width="24.5703125" style="259" customWidth="1"/>
    <col min="4355" max="4355" width="71.7109375" style="259" customWidth="1"/>
    <col min="4356" max="4356" width="17.140625" style="259" bestFit="1" customWidth="1"/>
    <col min="4357" max="4357" width="16.7109375" style="259" bestFit="1" customWidth="1"/>
    <col min="4358" max="4358" width="16.85546875" style="259" bestFit="1" customWidth="1"/>
    <col min="4359" max="4359" width="21.42578125" style="259" customWidth="1"/>
    <col min="4360" max="4360" width="9.140625" style="259"/>
    <col min="4361" max="4361" width="16.5703125" style="259" bestFit="1" customWidth="1"/>
    <col min="4362" max="4609" width="9.140625" style="259"/>
    <col min="4610" max="4610" width="24.5703125" style="259" customWidth="1"/>
    <col min="4611" max="4611" width="71.7109375" style="259" customWidth="1"/>
    <col min="4612" max="4612" width="17.140625" style="259" bestFit="1" customWidth="1"/>
    <col min="4613" max="4613" width="16.7109375" style="259" bestFit="1" customWidth="1"/>
    <col min="4614" max="4614" width="16.85546875" style="259" bestFit="1" customWidth="1"/>
    <col min="4615" max="4615" width="21.42578125" style="259" customWidth="1"/>
    <col min="4616" max="4616" width="9.140625" style="259"/>
    <col min="4617" max="4617" width="16.5703125" style="259" bestFit="1" customWidth="1"/>
    <col min="4618" max="4865" width="9.140625" style="259"/>
    <col min="4866" max="4866" width="24.5703125" style="259" customWidth="1"/>
    <col min="4867" max="4867" width="71.7109375" style="259" customWidth="1"/>
    <col min="4868" max="4868" width="17.140625" style="259" bestFit="1" customWidth="1"/>
    <col min="4869" max="4869" width="16.7109375" style="259" bestFit="1" customWidth="1"/>
    <col min="4870" max="4870" width="16.85546875" style="259" bestFit="1" customWidth="1"/>
    <col min="4871" max="4871" width="21.42578125" style="259" customWidth="1"/>
    <col min="4872" max="4872" width="9.140625" style="259"/>
    <col min="4873" max="4873" width="16.5703125" style="259" bestFit="1" customWidth="1"/>
    <col min="4874" max="5121" width="9.140625" style="259"/>
    <col min="5122" max="5122" width="24.5703125" style="259" customWidth="1"/>
    <col min="5123" max="5123" width="71.7109375" style="259" customWidth="1"/>
    <col min="5124" max="5124" width="17.140625" style="259" bestFit="1" customWidth="1"/>
    <col min="5125" max="5125" width="16.7109375" style="259" bestFit="1" customWidth="1"/>
    <col min="5126" max="5126" width="16.85546875" style="259" bestFit="1" customWidth="1"/>
    <col min="5127" max="5127" width="21.42578125" style="259" customWidth="1"/>
    <col min="5128" max="5128" width="9.140625" style="259"/>
    <col min="5129" max="5129" width="16.5703125" style="259" bestFit="1" customWidth="1"/>
    <col min="5130" max="5377" width="9.140625" style="259"/>
    <col min="5378" max="5378" width="24.5703125" style="259" customWidth="1"/>
    <col min="5379" max="5379" width="71.7109375" style="259" customWidth="1"/>
    <col min="5380" max="5380" width="17.140625" style="259" bestFit="1" customWidth="1"/>
    <col min="5381" max="5381" width="16.7109375" style="259" bestFit="1" customWidth="1"/>
    <col min="5382" max="5382" width="16.85546875" style="259" bestFit="1" customWidth="1"/>
    <col min="5383" max="5383" width="21.42578125" style="259" customWidth="1"/>
    <col min="5384" max="5384" width="9.140625" style="259"/>
    <col min="5385" max="5385" width="16.5703125" style="259" bestFit="1" customWidth="1"/>
    <col min="5386" max="5633" width="9.140625" style="259"/>
    <col min="5634" max="5634" width="24.5703125" style="259" customWidth="1"/>
    <col min="5635" max="5635" width="71.7109375" style="259" customWidth="1"/>
    <col min="5636" max="5636" width="17.140625" style="259" bestFit="1" customWidth="1"/>
    <col min="5637" max="5637" width="16.7109375" style="259" bestFit="1" customWidth="1"/>
    <col min="5638" max="5638" width="16.85546875" style="259" bestFit="1" customWidth="1"/>
    <col min="5639" max="5639" width="21.42578125" style="259" customWidth="1"/>
    <col min="5640" max="5640" width="9.140625" style="259"/>
    <col min="5641" max="5641" width="16.5703125" style="259" bestFit="1" customWidth="1"/>
    <col min="5642" max="5889" width="9.140625" style="259"/>
    <col min="5890" max="5890" width="24.5703125" style="259" customWidth="1"/>
    <col min="5891" max="5891" width="71.7109375" style="259" customWidth="1"/>
    <col min="5892" max="5892" width="17.140625" style="259" bestFit="1" customWidth="1"/>
    <col min="5893" max="5893" width="16.7109375" style="259" bestFit="1" customWidth="1"/>
    <col min="5894" max="5894" width="16.85546875" style="259" bestFit="1" customWidth="1"/>
    <col min="5895" max="5895" width="21.42578125" style="259" customWidth="1"/>
    <col min="5896" max="5896" width="9.140625" style="259"/>
    <col min="5897" max="5897" width="16.5703125" style="259" bestFit="1" customWidth="1"/>
    <col min="5898" max="6145" width="9.140625" style="259"/>
    <col min="6146" max="6146" width="24.5703125" style="259" customWidth="1"/>
    <col min="6147" max="6147" width="71.7109375" style="259" customWidth="1"/>
    <col min="6148" max="6148" width="17.140625" style="259" bestFit="1" customWidth="1"/>
    <col min="6149" max="6149" width="16.7109375" style="259" bestFit="1" customWidth="1"/>
    <col min="6150" max="6150" width="16.85546875" style="259" bestFit="1" customWidth="1"/>
    <col min="6151" max="6151" width="21.42578125" style="259" customWidth="1"/>
    <col min="6152" max="6152" width="9.140625" style="259"/>
    <col min="6153" max="6153" width="16.5703125" style="259" bestFit="1" customWidth="1"/>
    <col min="6154" max="6401" width="9.140625" style="259"/>
    <col min="6402" max="6402" width="24.5703125" style="259" customWidth="1"/>
    <col min="6403" max="6403" width="71.7109375" style="259" customWidth="1"/>
    <col min="6404" max="6404" width="17.140625" style="259" bestFit="1" customWidth="1"/>
    <col min="6405" max="6405" width="16.7109375" style="259" bestFit="1" customWidth="1"/>
    <col min="6406" max="6406" width="16.85546875" style="259" bestFit="1" customWidth="1"/>
    <col min="6407" max="6407" width="21.42578125" style="259" customWidth="1"/>
    <col min="6408" max="6408" width="9.140625" style="259"/>
    <col min="6409" max="6409" width="16.5703125" style="259" bestFit="1" customWidth="1"/>
    <col min="6410" max="6657" width="9.140625" style="259"/>
    <col min="6658" max="6658" width="24.5703125" style="259" customWidth="1"/>
    <col min="6659" max="6659" width="71.7109375" style="259" customWidth="1"/>
    <col min="6660" max="6660" width="17.140625" style="259" bestFit="1" customWidth="1"/>
    <col min="6661" max="6661" width="16.7109375" style="259" bestFit="1" customWidth="1"/>
    <col min="6662" max="6662" width="16.85546875" style="259" bestFit="1" customWidth="1"/>
    <col min="6663" max="6663" width="21.42578125" style="259" customWidth="1"/>
    <col min="6664" max="6664" width="9.140625" style="259"/>
    <col min="6665" max="6665" width="16.5703125" style="259" bestFit="1" customWidth="1"/>
    <col min="6666" max="6913" width="9.140625" style="259"/>
    <col min="6914" max="6914" width="24.5703125" style="259" customWidth="1"/>
    <col min="6915" max="6915" width="71.7109375" style="259" customWidth="1"/>
    <col min="6916" max="6916" width="17.140625" style="259" bestFit="1" customWidth="1"/>
    <col min="6917" max="6917" width="16.7109375" style="259" bestFit="1" customWidth="1"/>
    <col min="6918" max="6918" width="16.85546875" style="259" bestFit="1" customWidth="1"/>
    <col min="6919" max="6919" width="21.42578125" style="259" customWidth="1"/>
    <col min="6920" max="6920" width="9.140625" style="259"/>
    <col min="6921" max="6921" width="16.5703125" style="259" bestFit="1" customWidth="1"/>
    <col min="6922" max="7169" width="9.140625" style="259"/>
    <col min="7170" max="7170" width="24.5703125" style="259" customWidth="1"/>
    <col min="7171" max="7171" width="71.7109375" style="259" customWidth="1"/>
    <col min="7172" max="7172" width="17.140625" style="259" bestFit="1" customWidth="1"/>
    <col min="7173" max="7173" width="16.7109375" style="259" bestFit="1" customWidth="1"/>
    <col min="7174" max="7174" width="16.85546875" style="259" bestFit="1" customWidth="1"/>
    <col min="7175" max="7175" width="21.42578125" style="259" customWidth="1"/>
    <col min="7176" max="7176" width="9.140625" style="259"/>
    <col min="7177" max="7177" width="16.5703125" style="259" bestFit="1" customWidth="1"/>
    <col min="7178" max="7425" width="9.140625" style="259"/>
    <col min="7426" max="7426" width="24.5703125" style="259" customWidth="1"/>
    <col min="7427" max="7427" width="71.7109375" style="259" customWidth="1"/>
    <col min="7428" max="7428" width="17.140625" style="259" bestFit="1" customWidth="1"/>
    <col min="7429" max="7429" width="16.7109375" style="259" bestFit="1" customWidth="1"/>
    <col min="7430" max="7430" width="16.85546875" style="259" bestFit="1" customWidth="1"/>
    <col min="7431" max="7431" width="21.42578125" style="259" customWidth="1"/>
    <col min="7432" max="7432" width="9.140625" style="259"/>
    <col min="7433" max="7433" width="16.5703125" style="259" bestFit="1" customWidth="1"/>
    <col min="7434" max="7681" width="9.140625" style="259"/>
    <col min="7682" max="7682" width="24.5703125" style="259" customWidth="1"/>
    <col min="7683" max="7683" width="71.7109375" style="259" customWidth="1"/>
    <col min="7684" max="7684" width="17.140625" style="259" bestFit="1" customWidth="1"/>
    <col min="7685" max="7685" width="16.7109375" style="259" bestFit="1" customWidth="1"/>
    <col min="7686" max="7686" width="16.85546875" style="259" bestFit="1" customWidth="1"/>
    <col min="7687" max="7687" width="21.42578125" style="259" customWidth="1"/>
    <col min="7688" max="7688" width="9.140625" style="259"/>
    <col min="7689" max="7689" width="16.5703125" style="259" bestFit="1" customWidth="1"/>
    <col min="7690" max="7937" width="9.140625" style="259"/>
    <col min="7938" max="7938" width="24.5703125" style="259" customWidth="1"/>
    <col min="7939" max="7939" width="71.7109375" style="259" customWidth="1"/>
    <col min="7940" max="7940" width="17.140625" style="259" bestFit="1" customWidth="1"/>
    <col min="7941" max="7941" width="16.7109375" style="259" bestFit="1" customWidth="1"/>
    <col min="7942" max="7942" width="16.85546875" style="259" bestFit="1" customWidth="1"/>
    <col min="7943" max="7943" width="21.42578125" style="259" customWidth="1"/>
    <col min="7944" max="7944" width="9.140625" style="259"/>
    <col min="7945" max="7945" width="16.5703125" style="259" bestFit="1" customWidth="1"/>
    <col min="7946" max="8193" width="9.140625" style="259"/>
    <col min="8194" max="8194" width="24.5703125" style="259" customWidth="1"/>
    <col min="8195" max="8195" width="71.7109375" style="259" customWidth="1"/>
    <col min="8196" max="8196" width="17.140625" style="259" bestFit="1" customWidth="1"/>
    <col min="8197" max="8197" width="16.7109375" style="259" bestFit="1" customWidth="1"/>
    <col min="8198" max="8198" width="16.85546875" style="259" bestFit="1" customWidth="1"/>
    <col min="8199" max="8199" width="21.42578125" style="259" customWidth="1"/>
    <col min="8200" max="8200" width="9.140625" style="259"/>
    <col min="8201" max="8201" width="16.5703125" style="259" bestFit="1" customWidth="1"/>
    <col min="8202" max="8449" width="9.140625" style="259"/>
    <col min="8450" max="8450" width="24.5703125" style="259" customWidth="1"/>
    <col min="8451" max="8451" width="71.7109375" style="259" customWidth="1"/>
    <col min="8452" max="8452" width="17.140625" style="259" bestFit="1" customWidth="1"/>
    <col min="8453" max="8453" width="16.7109375" style="259" bestFit="1" customWidth="1"/>
    <col min="8454" max="8454" width="16.85546875" style="259" bestFit="1" customWidth="1"/>
    <col min="8455" max="8455" width="21.42578125" style="259" customWidth="1"/>
    <col min="8456" max="8456" width="9.140625" style="259"/>
    <col min="8457" max="8457" width="16.5703125" style="259" bestFit="1" customWidth="1"/>
    <col min="8458" max="8705" width="9.140625" style="259"/>
    <col min="8706" max="8706" width="24.5703125" style="259" customWidth="1"/>
    <col min="8707" max="8707" width="71.7109375" style="259" customWidth="1"/>
    <col min="8708" max="8708" width="17.140625" style="259" bestFit="1" customWidth="1"/>
    <col min="8709" max="8709" width="16.7109375" style="259" bestFit="1" customWidth="1"/>
    <col min="8710" max="8710" width="16.85546875" style="259" bestFit="1" customWidth="1"/>
    <col min="8711" max="8711" width="21.42578125" style="259" customWidth="1"/>
    <col min="8712" max="8712" width="9.140625" style="259"/>
    <col min="8713" max="8713" width="16.5703125" style="259" bestFit="1" customWidth="1"/>
    <col min="8714" max="8961" width="9.140625" style="259"/>
    <col min="8962" max="8962" width="24.5703125" style="259" customWidth="1"/>
    <col min="8963" max="8963" width="71.7109375" style="259" customWidth="1"/>
    <col min="8964" max="8964" width="17.140625" style="259" bestFit="1" customWidth="1"/>
    <col min="8965" max="8965" width="16.7109375" style="259" bestFit="1" customWidth="1"/>
    <col min="8966" max="8966" width="16.85546875" style="259" bestFit="1" customWidth="1"/>
    <col min="8967" max="8967" width="21.42578125" style="259" customWidth="1"/>
    <col min="8968" max="8968" width="9.140625" style="259"/>
    <col min="8969" max="8969" width="16.5703125" style="259" bestFit="1" customWidth="1"/>
    <col min="8970" max="9217" width="9.140625" style="259"/>
    <col min="9218" max="9218" width="24.5703125" style="259" customWidth="1"/>
    <col min="9219" max="9219" width="71.7109375" style="259" customWidth="1"/>
    <col min="9220" max="9220" width="17.140625" style="259" bestFit="1" customWidth="1"/>
    <col min="9221" max="9221" width="16.7109375" style="259" bestFit="1" customWidth="1"/>
    <col min="9222" max="9222" width="16.85546875" style="259" bestFit="1" customWidth="1"/>
    <col min="9223" max="9223" width="21.42578125" style="259" customWidth="1"/>
    <col min="9224" max="9224" width="9.140625" style="259"/>
    <col min="9225" max="9225" width="16.5703125" style="259" bestFit="1" customWidth="1"/>
    <col min="9226" max="9473" width="9.140625" style="259"/>
    <col min="9474" max="9474" width="24.5703125" style="259" customWidth="1"/>
    <col min="9475" max="9475" width="71.7109375" style="259" customWidth="1"/>
    <col min="9476" max="9476" width="17.140625" style="259" bestFit="1" customWidth="1"/>
    <col min="9477" max="9477" width="16.7109375" style="259" bestFit="1" customWidth="1"/>
    <col min="9478" max="9478" width="16.85546875" style="259" bestFit="1" customWidth="1"/>
    <col min="9479" max="9479" width="21.42578125" style="259" customWidth="1"/>
    <col min="9480" max="9480" width="9.140625" style="259"/>
    <col min="9481" max="9481" width="16.5703125" style="259" bestFit="1" customWidth="1"/>
    <col min="9482" max="9729" width="9.140625" style="259"/>
    <col min="9730" max="9730" width="24.5703125" style="259" customWidth="1"/>
    <col min="9731" max="9731" width="71.7109375" style="259" customWidth="1"/>
    <col min="9732" max="9732" width="17.140625" style="259" bestFit="1" customWidth="1"/>
    <col min="9733" max="9733" width="16.7109375" style="259" bestFit="1" customWidth="1"/>
    <col min="9734" max="9734" width="16.85546875" style="259" bestFit="1" customWidth="1"/>
    <col min="9735" max="9735" width="21.42578125" style="259" customWidth="1"/>
    <col min="9736" max="9736" width="9.140625" style="259"/>
    <col min="9737" max="9737" width="16.5703125" style="259" bestFit="1" customWidth="1"/>
    <col min="9738" max="9985" width="9.140625" style="259"/>
    <col min="9986" max="9986" width="24.5703125" style="259" customWidth="1"/>
    <col min="9987" max="9987" width="71.7109375" style="259" customWidth="1"/>
    <col min="9988" max="9988" width="17.140625" style="259" bestFit="1" customWidth="1"/>
    <col min="9989" max="9989" width="16.7109375" style="259" bestFit="1" customWidth="1"/>
    <col min="9990" max="9990" width="16.85546875" style="259" bestFit="1" customWidth="1"/>
    <col min="9991" max="9991" width="21.42578125" style="259" customWidth="1"/>
    <col min="9992" max="9992" width="9.140625" style="259"/>
    <col min="9993" max="9993" width="16.5703125" style="259" bestFit="1" customWidth="1"/>
    <col min="9994" max="10241" width="9.140625" style="259"/>
    <col min="10242" max="10242" width="24.5703125" style="259" customWidth="1"/>
    <col min="10243" max="10243" width="71.7109375" style="259" customWidth="1"/>
    <col min="10244" max="10244" width="17.140625" style="259" bestFit="1" customWidth="1"/>
    <col min="10245" max="10245" width="16.7109375" style="259" bestFit="1" customWidth="1"/>
    <col min="10246" max="10246" width="16.85546875" style="259" bestFit="1" customWidth="1"/>
    <col min="10247" max="10247" width="21.42578125" style="259" customWidth="1"/>
    <col min="10248" max="10248" width="9.140625" style="259"/>
    <col min="10249" max="10249" width="16.5703125" style="259" bestFit="1" customWidth="1"/>
    <col min="10250" max="10497" width="9.140625" style="259"/>
    <col min="10498" max="10498" width="24.5703125" style="259" customWidth="1"/>
    <col min="10499" max="10499" width="71.7109375" style="259" customWidth="1"/>
    <col min="10500" max="10500" width="17.140625" style="259" bestFit="1" customWidth="1"/>
    <col min="10501" max="10501" width="16.7109375" style="259" bestFit="1" customWidth="1"/>
    <col min="10502" max="10502" width="16.85546875" style="259" bestFit="1" customWidth="1"/>
    <col min="10503" max="10503" width="21.42578125" style="259" customWidth="1"/>
    <col min="10504" max="10504" width="9.140625" style="259"/>
    <col min="10505" max="10505" width="16.5703125" style="259" bestFit="1" customWidth="1"/>
    <col min="10506" max="10753" width="9.140625" style="259"/>
    <col min="10754" max="10754" width="24.5703125" style="259" customWidth="1"/>
    <col min="10755" max="10755" width="71.7109375" style="259" customWidth="1"/>
    <col min="10756" max="10756" width="17.140625" style="259" bestFit="1" customWidth="1"/>
    <col min="10757" max="10757" width="16.7109375" style="259" bestFit="1" customWidth="1"/>
    <col min="10758" max="10758" width="16.85546875" style="259" bestFit="1" customWidth="1"/>
    <col min="10759" max="10759" width="21.42578125" style="259" customWidth="1"/>
    <col min="10760" max="10760" width="9.140625" style="259"/>
    <col min="10761" max="10761" width="16.5703125" style="259" bestFit="1" customWidth="1"/>
    <col min="10762" max="11009" width="9.140625" style="259"/>
    <col min="11010" max="11010" width="24.5703125" style="259" customWidth="1"/>
    <col min="11011" max="11011" width="71.7109375" style="259" customWidth="1"/>
    <col min="11012" max="11012" width="17.140625" style="259" bestFit="1" customWidth="1"/>
    <col min="11013" max="11013" width="16.7109375" style="259" bestFit="1" customWidth="1"/>
    <col min="11014" max="11014" width="16.85546875" style="259" bestFit="1" customWidth="1"/>
    <col min="11015" max="11015" width="21.42578125" style="259" customWidth="1"/>
    <col min="11016" max="11016" width="9.140625" style="259"/>
    <col min="11017" max="11017" width="16.5703125" style="259" bestFit="1" customWidth="1"/>
    <col min="11018" max="11265" width="9.140625" style="259"/>
    <col min="11266" max="11266" width="24.5703125" style="259" customWidth="1"/>
    <col min="11267" max="11267" width="71.7109375" style="259" customWidth="1"/>
    <col min="11268" max="11268" width="17.140625" style="259" bestFit="1" customWidth="1"/>
    <col min="11269" max="11269" width="16.7109375" style="259" bestFit="1" customWidth="1"/>
    <col min="11270" max="11270" width="16.85546875" style="259" bestFit="1" customWidth="1"/>
    <col min="11271" max="11271" width="21.42578125" style="259" customWidth="1"/>
    <col min="11272" max="11272" width="9.140625" style="259"/>
    <col min="11273" max="11273" width="16.5703125" style="259" bestFit="1" customWidth="1"/>
    <col min="11274" max="11521" width="9.140625" style="259"/>
    <col min="11522" max="11522" width="24.5703125" style="259" customWidth="1"/>
    <col min="11523" max="11523" width="71.7109375" style="259" customWidth="1"/>
    <col min="11524" max="11524" width="17.140625" style="259" bestFit="1" customWidth="1"/>
    <col min="11525" max="11525" width="16.7109375" style="259" bestFit="1" customWidth="1"/>
    <col min="11526" max="11526" width="16.85546875" style="259" bestFit="1" customWidth="1"/>
    <col min="11527" max="11527" width="21.42578125" style="259" customWidth="1"/>
    <col min="11528" max="11528" width="9.140625" style="259"/>
    <col min="11529" max="11529" width="16.5703125" style="259" bestFit="1" customWidth="1"/>
    <col min="11530" max="11777" width="9.140625" style="259"/>
    <col min="11778" max="11778" width="24.5703125" style="259" customWidth="1"/>
    <col min="11779" max="11779" width="71.7109375" style="259" customWidth="1"/>
    <col min="11780" max="11780" width="17.140625" style="259" bestFit="1" customWidth="1"/>
    <col min="11781" max="11781" width="16.7109375" style="259" bestFit="1" customWidth="1"/>
    <col min="11782" max="11782" width="16.85546875" style="259" bestFit="1" customWidth="1"/>
    <col min="11783" max="11783" width="21.42578125" style="259" customWidth="1"/>
    <col min="11784" max="11784" width="9.140625" style="259"/>
    <col min="11785" max="11785" width="16.5703125" style="259" bestFit="1" customWidth="1"/>
    <col min="11786" max="12033" width="9.140625" style="259"/>
    <col min="12034" max="12034" width="24.5703125" style="259" customWidth="1"/>
    <col min="12035" max="12035" width="71.7109375" style="259" customWidth="1"/>
    <col min="12036" max="12036" width="17.140625" style="259" bestFit="1" customWidth="1"/>
    <col min="12037" max="12037" width="16.7109375" style="259" bestFit="1" customWidth="1"/>
    <col min="12038" max="12038" width="16.85546875" style="259" bestFit="1" customWidth="1"/>
    <col min="12039" max="12039" width="21.42578125" style="259" customWidth="1"/>
    <col min="12040" max="12040" width="9.140625" style="259"/>
    <col min="12041" max="12041" width="16.5703125" style="259" bestFit="1" customWidth="1"/>
    <col min="12042" max="12289" width="9.140625" style="259"/>
    <col min="12290" max="12290" width="24.5703125" style="259" customWidth="1"/>
    <col min="12291" max="12291" width="71.7109375" style="259" customWidth="1"/>
    <col min="12292" max="12292" width="17.140625" style="259" bestFit="1" customWidth="1"/>
    <col min="12293" max="12293" width="16.7109375" style="259" bestFit="1" customWidth="1"/>
    <col min="12294" max="12294" width="16.85546875" style="259" bestFit="1" customWidth="1"/>
    <col min="12295" max="12295" width="21.42578125" style="259" customWidth="1"/>
    <col min="12296" max="12296" width="9.140625" style="259"/>
    <col min="12297" max="12297" width="16.5703125" style="259" bestFit="1" customWidth="1"/>
    <col min="12298" max="12545" width="9.140625" style="259"/>
    <col min="12546" max="12546" width="24.5703125" style="259" customWidth="1"/>
    <col min="12547" max="12547" width="71.7109375" style="259" customWidth="1"/>
    <col min="12548" max="12548" width="17.140625" style="259" bestFit="1" customWidth="1"/>
    <col min="12549" max="12549" width="16.7109375" style="259" bestFit="1" customWidth="1"/>
    <col min="12550" max="12550" width="16.85546875" style="259" bestFit="1" customWidth="1"/>
    <col min="12551" max="12551" width="21.42578125" style="259" customWidth="1"/>
    <col min="12552" max="12552" width="9.140625" style="259"/>
    <col min="12553" max="12553" width="16.5703125" style="259" bestFit="1" customWidth="1"/>
    <col min="12554" max="12801" width="9.140625" style="259"/>
    <col min="12802" max="12802" width="24.5703125" style="259" customWidth="1"/>
    <col min="12803" max="12803" width="71.7109375" style="259" customWidth="1"/>
    <col min="12804" max="12804" width="17.140625" style="259" bestFit="1" customWidth="1"/>
    <col min="12805" max="12805" width="16.7109375" style="259" bestFit="1" customWidth="1"/>
    <col min="12806" max="12806" width="16.85546875" style="259" bestFit="1" customWidth="1"/>
    <col min="12807" max="12807" width="21.42578125" style="259" customWidth="1"/>
    <col min="12808" max="12808" width="9.140625" style="259"/>
    <col min="12809" max="12809" width="16.5703125" style="259" bestFit="1" customWidth="1"/>
    <col min="12810" max="13057" width="9.140625" style="259"/>
    <col min="13058" max="13058" width="24.5703125" style="259" customWidth="1"/>
    <col min="13059" max="13059" width="71.7109375" style="259" customWidth="1"/>
    <col min="13060" max="13060" width="17.140625" style="259" bestFit="1" customWidth="1"/>
    <col min="13061" max="13061" width="16.7109375" style="259" bestFit="1" customWidth="1"/>
    <col min="13062" max="13062" width="16.85546875" style="259" bestFit="1" customWidth="1"/>
    <col min="13063" max="13063" width="21.42578125" style="259" customWidth="1"/>
    <col min="13064" max="13064" width="9.140625" style="259"/>
    <col min="13065" max="13065" width="16.5703125" style="259" bestFit="1" customWidth="1"/>
    <col min="13066" max="13313" width="9.140625" style="259"/>
    <col min="13314" max="13314" width="24.5703125" style="259" customWidth="1"/>
    <col min="13315" max="13315" width="71.7109375" style="259" customWidth="1"/>
    <col min="13316" max="13316" width="17.140625" style="259" bestFit="1" customWidth="1"/>
    <col min="13317" max="13317" width="16.7109375" style="259" bestFit="1" customWidth="1"/>
    <col min="13318" max="13318" width="16.85546875" style="259" bestFit="1" customWidth="1"/>
    <col min="13319" max="13319" width="21.42578125" style="259" customWidth="1"/>
    <col min="13320" max="13320" width="9.140625" style="259"/>
    <col min="13321" max="13321" width="16.5703125" style="259" bestFit="1" customWidth="1"/>
    <col min="13322" max="13569" width="9.140625" style="259"/>
    <col min="13570" max="13570" width="24.5703125" style="259" customWidth="1"/>
    <col min="13571" max="13571" width="71.7109375" style="259" customWidth="1"/>
    <col min="13572" max="13572" width="17.140625" style="259" bestFit="1" customWidth="1"/>
    <col min="13573" max="13573" width="16.7109375" style="259" bestFit="1" customWidth="1"/>
    <col min="13574" max="13574" width="16.85546875" style="259" bestFit="1" customWidth="1"/>
    <col min="13575" max="13575" width="21.42578125" style="259" customWidth="1"/>
    <col min="13576" max="13576" width="9.140625" style="259"/>
    <col min="13577" max="13577" width="16.5703125" style="259" bestFit="1" customWidth="1"/>
    <col min="13578" max="13825" width="9.140625" style="259"/>
    <col min="13826" max="13826" width="24.5703125" style="259" customWidth="1"/>
    <col min="13827" max="13827" width="71.7109375" style="259" customWidth="1"/>
    <col min="13828" max="13828" width="17.140625" style="259" bestFit="1" customWidth="1"/>
    <col min="13829" max="13829" width="16.7109375" style="259" bestFit="1" customWidth="1"/>
    <col min="13830" max="13830" width="16.85546875" style="259" bestFit="1" customWidth="1"/>
    <col min="13831" max="13831" width="21.42578125" style="259" customWidth="1"/>
    <col min="13832" max="13832" width="9.140625" style="259"/>
    <col min="13833" max="13833" width="16.5703125" style="259" bestFit="1" customWidth="1"/>
    <col min="13834" max="14081" width="9.140625" style="259"/>
    <col min="14082" max="14082" width="24.5703125" style="259" customWidth="1"/>
    <col min="14083" max="14083" width="71.7109375" style="259" customWidth="1"/>
    <col min="14084" max="14084" width="17.140625" style="259" bestFit="1" customWidth="1"/>
    <col min="14085" max="14085" width="16.7109375" style="259" bestFit="1" customWidth="1"/>
    <col min="14086" max="14086" width="16.85546875" style="259" bestFit="1" customWidth="1"/>
    <col min="14087" max="14087" width="21.42578125" style="259" customWidth="1"/>
    <col min="14088" max="14088" width="9.140625" style="259"/>
    <col min="14089" max="14089" width="16.5703125" style="259" bestFit="1" customWidth="1"/>
    <col min="14090" max="14337" width="9.140625" style="259"/>
    <col min="14338" max="14338" width="24.5703125" style="259" customWidth="1"/>
    <col min="14339" max="14339" width="71.7109375" style="259" customWidth="1"/>
    <col min="14340" max="14340" width="17.140625" style="259" bestFit="1" customWidth="1"/>
    <col min="14341" max="14341" width="16.7109375" style="259" bestFit="1" customWidth="1"/>
    <col min="14342" max="14342" width="16.85546875" style="259" bestFit="1" customWidth="1"/>
    <col min="14343" max="14343" width="21.42578125" style="259" customWidth="1"/>
    <col min="14344" max="14344" width="9.140625" style="259"/>
    <col min="14345" max="14345" width="16.5703125" style="259" bestFit="1" customWidth="1"/>
    <col min="14346" max="14593" width="9.140625" style="259"/>
    <col min="14594" max="14594" width="24.5703125" style="259" customWidth="1"/>
    <col min="14595" max="14595" width="71.7109375" style="259" customWidth="1"/>
    <col min="14596" max="14596" width="17.140625" style="259" bestFit="1" customWidth="1"/>
    <col min="14597" max="14597" width="16.7109375" style="259" bestFit="1" customWidth="1"/>
    <col min="14598" max="14598" width="16.85546875" style="259" bestFit="1" customWidth="1"/>
    <col min="14599" max="14599" width="21.42578125" style="259" customWidth="1"/>
    <col min="14600" max="14600" width="9.140625" style="259"/>
    <col min="14601" max="14601" width="16.5703125" style="259" bestFit="1" customWidth="1"/>
    <col min="14602" max="14849" width="9.140625" style="259"/>
    <col min="14850" max="14850" width="24.5703125" style="259" customWidth="1"/>
    <col min="14851" max="14851" width="71.7109375" style="259" customWidth="1"/>
    <col min="14852" max="14852" width="17.140625" style="259" bestFit="1" customWidth="1"/>
    <col min="14853" max="14853" width="16.7109375" style="259" bestFit="1" customWidth="1"/>
    <col min="14854" max="14854" width="16.85546875" style="259" bestFit="1" customWidth="1"/>
    <col min="14855" max="14855" width="21.42578125" style="259" customWidth="1"/>
    <col min="14856" max="14856" width="9.140625" style="259"/>
    <col min="14857" max="14857" width="16.5703125" style="259" bestFit="1" customWidth="1"/>
    <col min="14858" max="15105" width="9.140625" style="259"/>
    <col min="15106" max="15106" width="24.5703125" style="259" customWidth="1"/>
    <col min="15107" max="15107" width="71.7109375" style="259" customWidth="1"/>
    <col min="15108" max="15108" width="17.140625" style="259" bestFit="1" customWidth="1"/>
    <col min="15109" max="15109" width="16.7109375" style="259" bestFit="1" customWidth="1"/>
    <col min="15110" max="15110" width="16.85546875" style="259" bestFit="1" customWidth="1"/>
    <col min="15111" max="15111" width="21.42578125" style="259" customWidth="1"/>
    <col min="15112" max="15112" width="9.140625" style="259"/>
    <col min="15113" max="15113" width="16.5703125" style="259" bestFit="1" customWidth="1"/>
    <col min="15114" max="15361" width="9.140625" style="259"/>
    <col min="15362" max="15362" width="24.5703125" style="259" customWidth="1"/>
    <col min="15363" max="15363" width="71.7109375" style="259" customWidth="1"/>
    <col min="15364" max="15364" width="17.140625" style="259" bestFit="1" customWidth="1"/>
    <col min="15365" max="15365" width="16.7109375" style="259" bestFit="1" customWidth="1"/>
    <col min="15366" max="15366" width="16.85546875" style="259" bestFit="1" customWidth="1"/>
    <col min="15367" max="15367" width="21.42578125" style="259" customWidth="1"/>
    <col min="15368" max="15368" width="9.140625" style="259"/>
    <col min="15369" max="15369" width="16.5703125" style="259" bestFit="1" customWidth="1"/>
    <col min="15370" max="15617" width="9.140625" style="259"/>
    <col min="15618" max="15618" width="24.5703125" style="259" customWidth="1"/>
    <col min="15619" max="15619" width="71.7109375" style="259" customWidth="1"/>
    <col min="15620" max="15620" width="17.140625" style="259" bestFit="1" customWidth="1"/>
    <col min="15621" max="15621" width="16.7109375" style="259" bestFit="1" customWidth="1"/>
    <col min="15622" max="15622" width="16.85546875" style="259" bestFit="1" customWidth="1"/>
    <col min="15623" max="15623" width="21.42578125" style="259" customWidth="1"/>
    <col min="15624" max="15624" width="9.140625" style="259"/>
    <col min="15625" max="15625" width="16.5703125" style="259" bestFit="1" customWidth="1"/>
    <col min="15626" max="15873" width="9.140625" style="259"/>
    <col min="15874" max="15874" width="24.5703125" style="259" customWidth="1"/>
    <col min="15875" max="15875" width="71.7109375" style="259" customWidth="1"/>
    <col min="15876" max="15876" width="17.140625" style="259" bestFit="1" customWidth="1"/>
    <col min="15877" max="15877" width="16.7109375" style="259" bestFit="1" customWidth="1"/>
    <col min="15878" max="15878" width="16.85546875" style="259" bestFit="1" customWidth="1"/>
    <col min="15879" max="15879" width="21.42578125" style="259" customWidth="1"/>
    <col min="15880" max="15880" width="9.140625" style="259"/>
    <col min="15881" max="15881" width="16.5703125" style="259" bestFit="1" customWidth="1"/>
    <col min="15882" max="16129" width="9.140625" style="259"/>
    <col min="16130" max="16130" width="24.5703125" style="259" customWidth="1"/>
    <col min="16131" max="16131" width="71.7109375" style="259" customWidth="1"/>
    <col min="16132" max="16132" width="17.140625" style="259" bestFit="1" customWidth="1"/>
    <col min="16133" max="16133" width="16.7109375" style="259" bestFit="1" customWidth="1"/>
    <col min="16134" max="16134" width="16.85546875" style="259" bestFit="1" customWidth="1"/>
    <col min="16135" max="16135" width="21.42578125" style="259" customWidth="1"/>
    <col min="16136" max="16136" width="9.140625" style="259"/>
    <col min="16137" max="16137" width="16.5703125" style="259" bestFit="1" customWidth="1"/>
    <col min="16138" max="16384" width="9.140625" style="259"/>
  </cols>
  <sheetData>
    <row r="3" spans="1:7" ht="15">
      <c r="A3" s="271" t="s">
        <v>390</v>
      </c>
    </row>
    <row r="4" spans="1:7" ht="15.75" thickBot="1">
      <c r="A4" s="271" t="s">
        <v>391</v>
      </c>
    </row>
    <row r="5" spans="1:7" s="277" customFormat="1" ht="6" thickBot="1">
      <c r="B5" s="272"/>
      <c r="C5" s="1321"/>
      <c r="D5" s="274"/>
      <c r="E5" s="275"/>
      <c r="F5" s="275"/>
      <c r="G5" s="276"/>
    </row>
    <row r="6" spans="1:7" s="265" customFormat="1" ht="60" customHeight="1" thickBot="1">
      <c r="A6" s="278"/>
      <c r="B6" s="2285"/>
      <c r="C6" s="2250" t="s">
        <v>13361</v>
      </c>
      <c r="D6" s="2251"/>
      <c r="E6" s="1612"/>
      <c r="F6" s="2118" t="str">
        <f>'ORÇAMENTO '!M5</f>
        <v>Ref.: Tabela de Serviços
SINAPI (JANEIRO/2024)</v>
      </c>
      <c r="G6" s="2119"/>
    </row>
    <row r="7" spans="1:7" s="265" customFormat="1" ht="60" thickBot="1">
      <c r="A7" s="278"/>
      <c r="B7" s="2286"/>
      <c r="C7" s="2191" t="s">
        <v>13363</v>
      </c>
      <c r="D7" s="2192"/>
      <c r="E7" s="1613"/>
      <c r="F7" s="1324" t="s">
        <v>4</v>
      </c>
      <c r="G7" s="1325">
        <f>'BDI '!G32</f>
        <v>0.24199999999999999</v>
      </c>
    </row>
    <row r="8" spans="1:7" s="280" customFormat="1" ht="15" customHeight="1" thickBot="1">
      <c r="B8" s="2395" t="str">
        <f>RESUMO!B7</f>
        <v>C E N T R A L   D E   P R O J E T O S</v>
      </c>
      <c r="C8" s="2396"/>
      <c r="D8" s="2397"/>
      <c r="E8" s="2397"/>
      <c r="F8" s="2396"/>
      <c r="G8" s="2398"/>
    </row>
    <row r="9" spans="1:7" s="277" customFormat="1" ht="6" thickBot="1">
      <c r="B9" s="272"/>
      <c r="C9" s="273"/>
      <c r="D9" s="274"/>
      <c r="E9" s="275"/>
      <c r="F9" s="275"/>
      <c r="G9" s="276"/>
    </row>
    <row r="10" spans="1:7" s="265" customFormat="1" ht="15" customHeight="1">
      <c r="B10" s="207" t="s">
        <v>5</v>
      </c>
      <c r="C10" s="2215" t="str">
        <f>'ORÇAMENTO '!G11</f>
        <v xml:space="preserve">ESCOLA MUNICIPAL DOMINGOS AZZOLINI </v>
      </c>
      <c r="D10" s="2215"/>
      <c r="E10" s="2215"/>
      <c r="F10" s="208" t="s">
        <v>6</v>
      </c>
      <c r="G10" s="209">
        <f>'ORÇAMENTO '!N11</f>
        <v>45366</v>
      </c>
    </row>
    <row r="11" spans="1:7" s="265" customFormat="1" ht="15.75">
      <c r="B11" s="210" t="s">
        <v>7</v>
      </c>
      <c r="C11" s="2213" t="str">
        <f>'ORÇAMENTO '!G12</f>
        <v>SANTO ANTONIO DO LESTE</v>
      </c>
      <c r="D11" s="2213"/>
      <c r="E11" s="2214" t="str">
        <f>'ORÇAMENTO '!K12</f>
        <v>LEIS SOCIAIS: HORISTA</v>
      </c>
      <c r="F11" s="2214" t="str">
        <f>'ORÇAMENTO '!K12</f>
        <v>LEIS SOCIAIS: HORISTA</v>
      </c>
      <c r="G11" s="211">
        <f>'ORÇAMENTO '!N12</f>
        <v>1.0684</v>
      </c>
    </row>
    <row r="12" spans="1:7" s="46" customFormat="1" ht="18" customHeight="1" thickBot="1">
      <c r="B12" s="2187"/>
      <c r="C12" s="2188"/>
      <c r="D12" s="2188"/>
      <c r="E12" s="2186" t="str">
        <f>'ORÇAMENTO '!K13</f>
        <v>LEIS SOCIAIS: MENSALISTA</v>
      </c>
      <c r="F12" s="2186"/>
      <c r="G12" s="193">
        <f>'ORÇAMENTO '!N13</f>
        <v>0.65400000000000003</v>
      </c>
    </row>
    <row r="13" spans="1:7" s="277" customFormat="1" ht="6" thickBot="1">
      <c r="B13" s="1712"/>
      <c r="C13" s="1664"/>
      <c r="D13" s="1665"/>
      <c r="E13" s="1666"/>
      <c r="F13" s="1666"/>
      <c r="G13" s="1713"/>
    </row>
    <row r="14" spans="1:7" s="265" customFormat="1" ht="18.75" thickBot="1">
      <c r="B14" s="2402" t="s">
        <v>1835</v>
      </c>
      <c r="C14" s="2246"/>
      <c r="D14" s="2246"/>
      <c r="E14" s="2246"/>
      <c r="F14" s="2246"/>
      <c r="G14" s="2403"/>
    </row>
    <row r="15" spans="1:7" s="277" customFormat="1" ht="6" thickBot="1">
      <c r="B15" s="1712"/>
      <c r="C15" s="1664"/>
      <c r="D15" s="1665"/>
      <c r="E15" s="1666"/>
      <c r="F15" s="1666"/>
      <c r="G15" s="1713"/>
    </row>
    <row r="16" spans="1:7" s="271" customFormat="1" ht="16.5" thickBot="1">
      <c r="B16" s="329"/>
      <c r="C16" s="300"/>
      <c r="D16" s="300"/>
      <c r="E16" s="300"/>
      <c r="F16" s="300"/>
      <c r="G16" s="300"/>
    </row>
    <row r="17" spans="1:8" s="308" customFormat="1" ht="32.25" customHeight="1">
      <c r="B17" s="623" t="s">
        <v>13849</v>
      </c>
      <c r="C17" s="2180" t="str">
        <f>CONCATENATE("FORNECIMENTO E INSTALAÇÃO DE ",C20)</f>
        <v xml:space="preserve">FORNECIMENTO E INSTALAÇÃO DE DISPOSITIVO DPS CLASSE II, 1 POLO, TENSAO MAXIMA DE 175 V, CORRENTE MAXIMA DE *45* KA (TIPO AC)                                                                                                                                                                                                                                                                                                                                                                                                           </v>
      </c>
      <c r="D17" s="2180"/>
      <c r="E17" s="2180"/>
      <c r="F17" s="2180"/>
      <c r="G17" s="624" t="s">
        <v>22</v>
      </c>
      <c r="H17" s="615">
        <f>G24</f>
        <v>101.3</v>
      </c>
    </row>
    <row r="18" spans="1:8" s="308" customFormat="1" ht="31.5">
      <c r="B18" s="750" t="s">
        <v>197</v>
      </c>
      <c r="C18" s="826" t="s">
        <v>161</v>
      </c>
      <c r="D18" s="826" t="s">
        <v>22</v>
      </c>
      <c r="E18" s="826" t="s">
        <v>162</v>
      </c>
      <c r="F18" s="827" t="s">
        <v>163</v>
      </c>
      <c r="G18" s="832" t="s">
        <v>164</v>
      </c>
    </row>
    <row r="19" spans="1:8" s="308" customFormat="1" ht="15.75">
      <c r="B19" s="2446" t="s">
        <v>165</v>
      </c>
      <c r="C19" s="2447"/>
      <c r="D19" s="2447"/>
      <c r="E19" s="2447"/>
      <c r="F19" s="2447"/>
      <c r="G19" s="2448"/>
    </row>
    <row r="20" spans="1:8" s="308" customFormat="1" ht="30">
      <c r="A20" s="333" t="s">
        <v>390</v>
      </c>
      <c r="B20" s="836">
        <v>39467</v>
      </c>
      <c r="C20" s="728" t="str">
        <f>IF($A20="INSUMO",VLOOKUP($B20,'BANCO DE DADOS JANEIRO-24 INS'!$A:$D,2,FALSE),VLOOKUP($B20,'BANCO DE DADOS JANEIRO-24 SERV'!$B:$E,2,FALSE))</f>
        <v xml:space="preserve">DISPOSITIVO DPS CLASSE II, 1 POLO, TENSAO MAXIMA DE 175 V, CORRENTE MAXIMA DE *45* KA (TIPO AC)                                                                                                                                                                                                                                                                                                                                                                                                           </v>
      </c>
      <c r="D20" s="732" t="str">
        <f>IF($A20="INSUMO",VLOOKUP($B20,'BANCO DE DADOS JANEIRO-24 INS'!$A:$D,3,FALSE),VLOOKUP($B20,'BANCO DE DADOS JANEIRO-24 SERV'!$B:$E,3,FALSE))</f>
        <v xml:space="preserve">UN    </v>
      </c>
      <c r="E20" s="838">
        <v>1</v>
      </c>
      <c r="F20" s="755">
        <f>IF($A20="INSUMO",VLOOKUP($B20,'BANCO DE DADOS JANEIRO-24 INS'!$A:$D,4,FALSE),VLOOKUP($B20,'BANCO DE DADOS JANEIRO-24 SERV'!$B:$E,4,FALSE))</f>
        <v>87.21</v>
      </c>
      <c r="G20" s="840">
        <f>TRUNC(F20*E20,2)</f>
        <v>87.21</v>
      </c>
    </row>
    <row r="21" spans="1:8" s="308" customFormat="1" ht="15.75">
      <c r="B21" s="2446" t="s">
        <v>166</v>
      </c>
      <c r="C21" s="2447"/>
      <c r="D21" s="2447"/>
      <c r="E21" s="2447"/>
      <c r="F21" s="2447"/>
      <c r="G21" s="2448"/>
    </row>
    <row r="22" spans="1:8" s="308" customFormat="1" ht="15.75">
      <c r="A22" s="333" t="s">
        <v>391</v>
      </c>
      <c r="B22" s="841">
        <v>88264</v>
      </c>
      <c r="C22" s="728" t="str">
        <f>IF($A22="INSUMO",VLOOKUP($B22,'BANCO DE DADOS JANEIRO-24 INS'!$A:$D,2,FALSE),VLOOKUP($B22,'BANCO DE DADOS JANEIRO-24 SERV'!$B:$E,2,FALSE))</f>
        <v>ELETRICISTA COM ENCARGOS COMPLEMENTARES</v>
      </c>
      <c r="D22" s="732" t="str">
        <f>IF($A22="INSUMO",VLOOKUP($B22,'BANCO DE DADOS JANEIRO-24 INS'!$A:$D,3,FALSE),VLOOKUP($B22,'BANCO DE DADOS JANEIRO-24 SERV'!$B:$E,3,FALSE))</f>
        <v>H</v>
      </c>
      <c r="E22" s="839">
        <v>0.3</v>
      </c>
      <c r="F22" s="755">
        <f>IF($A22="INSUMO",VLOOKUP($B22,'BANCO DE DADOS JANEIRO-24 INS'!$A:$D,4,FALSE),VLOOKUP($B22,'BANCO DE DADOS JANEIRO-24 SERV'!$B:$E,4,FALSE))</f>
        <v>26.68</v>
      </c>
      <c r="G22" s="840">
        <f>TRUNC(F22*E22,2)</f>
        <v>8</v>
      </c>
    </row>
    <row r="23" spans="1:8" s="308" customFormat="1" ht="16.5" thickBot="1">
      <c r="A23" s="333" t="s">
        <v>391</v>
      </c>
      <c r="B23" s="625">
        <v>88316</v>
      </c>
      <c r="C23" s="731" t="str">
        <f>IF($A23="INSUMO",VLOOKUP($B23,'BANCO DE DADOS JANEIRO-24 INS'!$A:$D,2,FALSE),VLOOKUP($B23,'BANCO DE DADOS JANEIRO-24 SERV'!$B:$E,2,FALSE))</f>
        <v>SERVENTE COM ENCARGOS COMPLEMENTARES</v>
      </c>
      <c r="D23" s="729" t="str">
        <f>IF($A23="INSUMO",VLOOKUP($B23,'BANCO DE DADOS JANEIRO-24 INS'!$A:$D,3,FALSE),VLOOKUP($B23,'BANCO DE DADOS JANEIRO-24 SERV'!$B:$E,3,FALSE))</f>
        <v>H</v>
      </c>
      <c r="E23" s="842">
        <v>0.3</v>
      </c>
      <c r="F23" s="757">
        <f>IF($A23="INSUMO",VLOOKUP($B23,'BANCO DE DADOS JANEIRO-24 INS'!$A:$D,4,FALSE),VLOOKUP($B23,'BANCO DE DADOS JANEIRO-24 SERV'!$B:$E,4,FALSE))</f>
        <v>20.32</v>
      </c>
      <c r="G23" s="626">
        <f>TRUNC(F23*E23,2)</f>
        <v>6.09</v>
      </c>
    </row>
    <row r="24" spans="1:8" s="308" customFormat="1" ht="16.5" thickBot="1">
      <c r="B24" s="2450" t="s">
        <v>7359</v>
      </c>
      <c r="C24" s="2450"/>
      <c r="D24" s="2450"/>
      <c r="E24" s="2458"/>
      <c r="F24" s="325" t="s">
        <v>167</v>
      </c>
      <c r="G24" s="326">
        <f>SUM(G19:G23)</f>
        <v>101.3</v>
      </c>
    </row>
    <row r="25" spans="1:8" s="271" customFormat="1" ht="16.5" thickBot="1">
      <c r="B25" s="307"/>
      <c r="C25" s="258"/>
      <c r="D25" s="258"/>
      <c r="E25" s="258"/>
      <c r="F25" s="261"/>
      <c r="G25" s="262"/>
    </row>
    <row r="26" spans="1:8" s="308" customFormat="1" ht="36.75" customHeight="1">
      <c r="B26" s="623" t="str">
        <f>IF(COUNT($H$17:H26)&lt;10,CONCATENATE("CPU IP 00",COUNT($H$17:H26)),CONCATENATE("CPU IP 0",COUNT($H$17:H26)))</f>
        <v>CPU IP 002</v>
      </c>
      <c r="C26" s="2180" t="str">
        <f>CONCATENATE("FORNECIMENTO E INSTALAÇÃO DE ",C29)</f>
        <v xml:space="preserve">FORNECIMENTO E INSTALAÇÃO DE ELETRODUTO/DUTO PEAD FLEXIVEL PAREDE SIMPLES, CORRUGACAO HELICOIDAL, COR PRETA, SEM ROSCA, DE 1 1/2", CRC 680 N, PARA CABEAMENTO SUBTERRANEO (NBR 15715)                                                                                                                                                                                                                                                                                                                                                  </v>
      </c>
      <c r="D26" s="2180"/>
      <c r="E26" s="2180"/>
      <c r="F26" s="2180"/>
      <c r="G26" s="624" t="str">
        <f>D29</f>
        <v xml:space="preserve">M     </v>
      </c>
      <c r="H26" s="615">
        <f>G32</f>
        <v>13.05</v>
      </c>
    </row>
    <row r="27" spans="1:8" s="308" customFormat="1" ht="31.5">
      <c r="B27" s="750" t="s">
        <v>197</v>
      </c>
      <c r="C27" s="826" t="s">
        <v>161</v>
      </c>
      <c r="D27" s="826" t="s">
        <v>22</v>
      </c>
      <c r="E27" s="826" t="s">
        <v>162</v>
      </c>
      <c r="F27" s="827" t="s">
        <v>163</v>
      </c>
      <c r="G27" s="832" t="s">
        <v>164</v>
      </c>
    </row>
    <row r="28" spans="1:8" s="308" customFormat="1" ht="15.75">
      <c r="B28" s="2446" t="s">
        <v>165</v>
      </c>
      <c r="C28" s="2447"/>
      <c r="D28" s="2447"/>
      <c r="E28" s="2447"/>
      <c r="F28" s="2447"/>
      <c r="G28" s="2448"/>
    </row>
    <row r="29" spans="1:8" s="308" customFormat="1" ht="45">
      <c r="A29" s="333" t="s">
        <v>390</v>
      </c>
      <c r="B29" s="836">
        <v>39246</v>
      </c>
      <c r="C29" s="728" t="str">
        <f>IF($A29="INSUMO",VLOOKUP($B29,'BANCO DE DADOS JANEIRO-24 INS'!$A:$D,2,FALSE),VLOOKUP($B29,'BANCO DE DADOS JANEIRO-24 SERV'!$B:$E,2,FALSE))</f>
        <v xml:space="preserve">ELETRODUTO/DUTO PEAD FLEXIVEL PAREDE SIMPLES, CORRUGACAO HELICOIDAL, COR PRETA, SEM ROSCA, DE 1 1/2", CRC 680 N, PARA CABEAMENTO SUBTERRANEO (NBR 15715)                                                                                                                                                                                                                                                                                                                                                  </v>
      </c>
      <c r="D29" s="732" t="str">
        <f>IF($A29="INSUMO",VLOOKUP($B29,'BANCO DE DADOS JANEIRO-24 INS'!$A:$D,3,FALSE),VLOOKUP($B29,'BANCO DE DADOS JANEIRO-24 SERV'!$B:$E,3,FALSE))</f>
        <v xml:space="preserve">M     </v>
      </c>
      <c r="E29" s="862">
        <v>1.0149999999999999</v>
      </c>
      <c r="F29" s="755">
        <f>IF($A29="INSUMO",VLOOKUP($B29,'BANCO DE DADOS JANEIRO-24 INS'!$A:$D,4,FALSE),VLOOKUP($B29,'BANCO DE DADOS JANEIRO-24 SERV'!$B:$E,4,FALSE))</f>
        <v>3.86</v>
      </c>
      <c r="G29" s="840">
        <f>TRUNC(F29*E29,2)</f>
        <v>3.91</v>
      </c>
    </row>
    <row r="30" spans="1:8" s="308" customFormat="1" ht="15.75">
      <c r="B30" s="2446" t="s">
        <v>166</v>
      </c>
      <c r="C30" s="2447"/>
      <c r="D30" s="2447"/>
      <c r="E30" s="2447"/>
      <c r="F30" s="2447"/>
      <c r="G30" s="2448"/>
    </row>
    <row r="31" spans="1:8" s="308" customFormat="1" ht="16.5" thickBot="1">
      <c r="A31" s="333" t="s">
        <v>391</v>
      </c>
      <c r="B31" s="625">
        <v>88316</v>
      </c>
      <c r="C31" s="731" t="str">
        <f>IF($A31="INSUMO",VLOOKUP($B31,'BANCO DE DADOS JANEIRO-24 INS'!$A:$D,2,FALSE),VLOOKUP($B31,'BANCO DE DADOS JANEIRO-24 SERV'!$B:$E,2,FALSE))</f>
        <v>SERVENTE COM ENCARGOS COMPLEMENTARES</v>
      </c>
      <c r="D31" s="729" t="str">
        <f>IF($A31="INSUMO",VLOOKUP($B31,'BANCO DE DADOS JANEIRO-24 INS'!$A:$D,3,FALSE),VLOOKUP($B31,'BANCO DE DADOS JANEIRO-24 SERV'!$B:$E,3,FALSE))</f>
        <v>H</v>
      </c>
      <c r="E31" s="850">
        <v>0.45</v>
      </c>
      <c r="F31" s="757">
        <f>IF($A31="INSUMO",VLOOKUP($B31,'BANCO DE DADOS JANEIRO-24 INS'!$A:$D,4,FALSE),VLOOKUP($B31,'BANCO DE DADOS JANEIRO-24 SERV'!$B:$E,4,FALSE))</f>
        <v>20.32</v>
      </c>
      <c r="G31" s="626">
        <f>TRUNC(F31*E31,2)</f>
        <v>9.14</v>
      </c>
    </row>
    <row r="32" spans="1:8" s="308" customFormat="1" ht="16.5" thickBot="1">
      <c r="B32" s="2404" t="s">
        <v>7360</v>
      </c>
      <c r="C32" s="2404"/>
      <c r="D32" s="2404"/>
      <c r="E32" s="2404"/>
      <c r="F32" s="325" t="s">
        <v>167</v>
      </c>
      <c r="G32" s="326">
        <f>SUM(G29:G31)</f>
        <v>13.05</v>
      </c>
    </row>
    <row r="33" spans="1:8" s="308" customFormat="1" ht="18" customHeight="1">
      <c r="B33" s="2404"/>
      <c r="C33" s="2404"/>
      <c r="D33" s="2404"/>
      <c r="E33" s="2404"/>
      <c r="F33" s="669"/>
      <c r="G33" s="669"/>
    </row>
    <row r="34" spans="1:8" ht="18" customHeight="1" thickBot="1"/>
    <row r="35" spans="1:8" s="308" customFormat="1" ht="42.75" customHeight="1">
      <c r="B35" s="623" t="str">
        <f>IF(COUNT($H$17:H35)&lt;10,CONCATENATE("CPU IP 00",COUNT($H$17:H35)),CONCATENATE("CPU IP 0",COUNT($H$17:H35)))</f>
        <v>CPU IP 003</v>
      </c>
      <c r="C35" s="2180" t="str">
        <f>CONCATENATE("FORNECIMENTO E INSTALAÇÃO DE ",C38)</f>
        <v xml:space="preserve">FORNECIMENTO E INSTALAÇÃO DE ELETRODUTO/DUTO PEAD FLEXIVEL PAREDE SIMPLES, CORRUGACAO HELICOIDAL, COR PRETA, SEM ROSCA, DE 2", CRC 680 N, PARA CABEAMENTO SUBTERRANEO (NBR 15715)                                                                                                                                                                                                                                                                                                                                                      </v>
      </c>
      <c r="D35" s="2180"/>
      <c r="E35" s="2180"/>
      <c r="F35" s="2180"/>
      <c r="G35" s="624" t="str">
        <f>D38</f>
        <v xml:space="preserve">M     </v>
      </c>
      <c r="H35" s="615">
        <f>G41</f>
        <v>14.77</v>
      </c>
    </row>
    <row r="36" spans="1:8" s="308" customFormat="1" ht="31.5">
      <c r="B36" s="750" t="s">
        <v>197</v>
      </c>
      <c r="C36" s="826" t="s">
        <v>161</v>
      </c>
      <c r="D36" s="826" t="s">
        <v>22</v>
      </c>
      <c r="E36" s="826" t="s">
        <v>162</v>
      </c>
      <c r="F36" s="827" t="s">
        <v>163</v>
      </c>
      <c r="G36" s="832" t="s">
        <v>164</v>
      </c>
    </row>
    <row r="37" spans="1:8" s="308" customFormat="1" ht="15.75">
      <c r="B37" s="2446" t="s">
        <v>165</v>
      </c>
      <c r="C37" s="2447"/>
      <c r="D37" s="2447"/>
      <c r="E37" s="2447"/>
      <c r="F37" s="2447"/>
      <c r="G37" s="2448"/>
    </row>
    <row r="38" spans="1:8" s="308" customFormat="1" ht="45">
      <c r="A38" s="333" t="s">
        <v>390</v>
      </c>
      <c r="B38" s="836">
        <v>2446</v>
      </c>
      <c r="C38" s="728" t="str">
        <f>IF($A38="INSUMO",VLOOKUP($B38,'BANCO DE DADOS JANEIRO-24 INS'!$A:$D,2,FALSE),VLOOKUP($B38,'BANCO DE DADOS JANEIRO-24 SERV'!$B:$E,2,FALSE))</f>
        <v xml:space="preserve">ELETRODUTO/DUTO PEAD FLEXIVEL PAREDE SIMPLES, CORRUGACAO HELICOIDAL, COR PRETA, SEM ROSCA, DE 2", CRC 680 N, PARA CABEAMENTO SUBTERRANEO (NBR 15715)                                                                                                                                                                                                                                                                                                                                                      </v>
      </c>
      <c r="D38" s="732" t="str">
        <f>IF($A38="INSUMO",VLOOKUP($B38,'BANCO DE DADOS JANEIRO-24 INS'!$A:$D,3,FALSE),VLOOKUP($B38,'BANCO DE DADOS JANEIRO-24 SERV'!$B:$E,3,FALSE))</f>
        <v xml:space="preserve">M     </v>
      </c>
      <c r="E38" s="862">
        <v>1.0149999999999999</v>
      </c>
      <c r="F38" s="755">
        <f>IF($A38="INSUMO",VLOOKUP($B38,'BANCO DE DADOS JANEIRO-24 INS'!$A:$D,4,FALSE),VLOOKUP($B38,'BANCO DE DADOS JANEIRO-24 SERV'!$B:$E,4,FALSE))</f>
        <v>5.55</v>
      </c>
      <c r="G38" s="840">
        <f>TRUNC(F38*E38,2)</f>
        <v>5.63</v>
      </c>
    </row>
    <row r="39" spans="1:8" s="308" customFormat="1" ht="15.75">
      <c r="B39" s="2446" t="s">
        <v>166</v>
      </c>
      <c r="C39" s="2447"/>
      <c r="D39" s="2447"/>
      <c r="E39" s="2447"/>
      <c r="F39" s="2447"/>
      <c r="G39" s="2448"/>
    </row>
    <row r="40" spans="1:8" s="308" customFormat="1" ht="16.5" thickBot="1">
      <c r="A40" s="333" t="s">
        <v>391</v>
      </c>
      <c r="B40" s="625">
        <v>88316</v>
      </c>
      <c r="C40" s="731" t="str">
        <f>IF($A40="INSUMO",VLOOKUP($B40,'BANCO DE DADOS JANEIRO-24 INS'!$A:$D,2,FALSE),VLOOKUP($B40,'BANCO DE DADOS JANEIRO-24 SERV'!$B:$E,2,FALSE))</f>
        <v>SERVENTE COM ENCARGOS COMPLEMENTARES</v>
      </c>
      <c r="D40" s="729" t="str">
        <f>IF($A40="INSUMO",VLOOKUP($B40,'BANCO DE DADOS JANEIRO-24 INS'!$A:$D,3,FALSE),VLOOKUP($B40,'BANCO DE DADOS JANEIRO-24 SERV'!$B:$E,3,FALSE))</f>
        <v>H</v>
      </c>
      <c r="E40" s="850">
        <v>0.45</v>
      </c>
      <c r="F40" s="757">
        <f>IF($A40="INSUMO",VLOOKUP($B40,'BANCO DE DADOS JANEIRO-24 INS'!$A:$D,4,FALSE),VLOOKUP($B40,'BANCO DE DADOS JANEIRO-24 SERV'!$B:$E,4,FALSE))</f>
        <v>20.32</v>
      </c>
      <c r="G40" s="626">
        <f>TRUNC(F40*E40,2)</f>
        <v>9.14</v>
      </c>
    </row>
    <row r="41" spans="1:8" s="308" customFormat="1" ht="16.5" thickBot="1">
      <c r="B41" s="2404" t="s">
        <v>7361</v>
      </c>
      <c r="C41" s="2404"/>
      <c r="D41" s="2404"/>
      <c r="E41" s="2404"/>
      <c r="F41" s="325" t="s">
        <v>167</v>
      </c>
      <c r="G41" s="326">
        <f>SUM(G38:G40)</f>
        <v>14.77</v>
      </c>
    </row>
    <row r="42" spans="1:8" s="308" customFormat="1" ht="13.5" customHeight="1">
      <c r="B42" s="2404"/>
      <c r="C42" s="2404"/>
      <c r="D42" s="2404"/>
      <c r="E42" s="2404"/>
      <c r="F42" s="669"/>
      <c r="G42" s="669"/>
    </row>
    <row r="43" spans="1:8" ht="13.5" thickBot="1"/>
    <row r="44" spans="1:8" s="308" customFormat="1" ht="42" customHeight="1">
      <c r="B44" s="623" t="str">
        <f>IF(COUNT($H$17:H44)&lt;10,CONCATENATE("CPU IP 00",COUNT($H$17:H44)),CONCATENATE("CPU IP 0",COUNT($H$17:H44)))</f>
        <v>CPU IP 004</v>
      </c>
      <c r="C44" s="2180" t="str">
        <f>CONCATENATE("FORNECIMENTO E INSTALAÇÃO DE ",C47)</f>
        <v xml:space="preserve">FORNECIMENTO E INSTALAÇÃO DE ELETRODUTO/DUTO PEAD FLEXIVEL PAREDE SIMPLES, CORRUGACAO HELICOIDAL, COR PRETA, SEM ROSCA, DE 1 1/4", CRC 680 N, PARA CABEAMENTO SUBTERRANEO (NBR 15715)                                                                                                                                                                                                                                                                                                                                                  </v>
      </c>
      <c r="D44" s="2180"/>
      <c r="E44" s="2180"/>
      <c r="F44" s="2180"/>
      <c r="G44" s="624" t="str">
        <f>D47</f>
        <v xml:space="preserve">M     </v>
      </c>
      <c r="H44" s="615">
        <f>G50</f>
        <v>12.56</v>
      </c>
    </row>
    <row r="45" spans="1:8" s="308" customFormat="1" ht="31.5">
      <c r="B45" s="750" t="s">
        <v>197</v>
      </c>
      <c r="C45" s="826" t="s">
        <v>161</v>
      </c>
      <c r="D45" s="826" t="s">
        <v>22</v>
      </c>
      <c r="E45" s="826" t="s">
        <v>162</v>
      </c>
      <c r="F45" s="827" t="s">
        <v>163</v>
      </c>
      <c r="G45" s="832" t="s">
        <v>164</v>
      </c>
    </row>
    <row r="46" spans="1:8" s="308" customFormat="1" ht="15.75">
      <c r="B46" s="2446" t="s">
        <v>165</v>
      </c>
      <c r="C46" s="2447"/>
      <c r="D46" s="2447"/>
      <c r="E46" s="2447"/>
      <c r="F46" s="2447"/>
      <c r="G46" s="2448"/>
    </row>
    <row r="47" spans="1:8" s="308" customFormat="1" ht="45">
      <c r="A47" s="333" t="s">
        <v>390</v>
      </c>
      <c r="B47" s="836">
        <v>39247</v>
      </c>
      <c r="C47" s="728" t="str">
        <f>IF($A47="INSUMO",VLOOKUP($B47,'BANCO DE DADOS JANEIRO-24 INS'!$A:$D,2,FALSE),VLOOKUP($B47,'BANCO DE DADOS JANEIRO-24 SERV'!$B:$E,2,FALSE))</f>
        <v xml:space="preserve">ELETRODUTO/DUTO PEAD FLEXIVEL PAREDE SIMPLES, CORRUGACAO HELICOIDAL, COR PRETA, SEM ROSCA, DE 1 1/4", CRC 680 N, PARA CABEAMENTO SUBTERRANEO (NBR 15715)                                                                                                                                                                                                                                                                                                                                                  </v>
      </c>
      <c r="D47" s="732" t="str">
        <f>IF($A47="INSUMO",VLOOKUP($B47,'BANCO DE DADOS JANEIRO-24 INS'!$A:$D,3,FALSE),VLOOKUP($B47,'BANCO DE DADOS JANEIRO-24 SERV'!$B:$E,3,FALSE))</f>
        <v xml:space="preserve">M     </v>
      </c>
      <c r="E47" s="862">
        <v>1.0149999999999999</v>
      </c>
      <c r="F47" s="755">
        <f>IF($A47="INSUMO",VLOOKUP($B47,'BANCO DE DADOS JANEIRO-24 INS'!$A:$D,4,FALSE),VLOOKUP($B47,'BANCO DE DADOS JANEIRO-24 SERV'!$B:$E,4,FALSE))</f>
        <v>3.37</v>
      </c>
      <c r="G47" s="840">
        <f>TRUNC(F47*E47,2)</f>
        <v>3.42</v>
      </c>
    </row>
    <row r="48" spans="1:8" s="308" customFormat="1" ht="15.75">
      <c r="B48" s="2446" t="s">
        <v>166</v>
      </c>
      <c r="C48" s="2447"/>
      <c r="D48" s="2447"/>
      <c r="E48" s="2447"/>
      <c r="F48" s="2447"/>
      <c r="G48" s="2448"/>
    </row>
    <row r="49" spans="1:8" s="308" customFormat="1" ht="16.5" thickBot="1">
      <c r="A49" s="333" t="s">
        <v>391</v>
      </c>
      <c r="B49" s="625">
        <v>88316</v>
      </c>
      <c r="C49" s="731" t="str">
        <f>IF($A49="INSUMO",VLOOKUP($B49,'BANCO DE DADOS JANEIRO-24 INS'!$A:$D,2,FALSE),VLOOKUP($B49,'BANCO DE DADOS JANEIRO-24 SERV'!$B:$E,2,FALSE))</f>
        <v>SERVENTE COM ENCARGOS COMPLEMENTARES</v>
      </c>
      <c r="D49" s="729" t="str">
        <f>IF($A49="INSUMO",VLOOKUP($B49,'BANCO DE DADOS JANEIRO-24 INS'!$A:$D,3,FALSE),VLOOKUP($B49,'BANCO DE DADOS JANEIRO-24 SERV'!$B:$E,3,FALSE))</f>
        <v>H</v>
      </c>
      <c r="E49" s="850">
        <v>0.45</v>
      </c>
      <c r="F49" s="757">
        <f>IF($A49="INSUMO",VLOOKUP($B49,'BANCO DE DADOS JANEIRO-24 INS'!$A:$D,4,FALSE),VLOOKUP($B49,'BANCO DE DADOS JANEIRO-24 SERV'!$B:$E,4,FALSE))</f>
        <v>20.32</v>
      </c>
      <c r="G49" s="626">
        <f>TRUNC(F49*E49,2)</f>
        <v>9.14</v>
      </c>
    </row>
    <row r="50" spans="1:8" s="308" customFormat="1" ht="16.5" thickBot="1">
      <c r="B50" s="2404" t="s">
        <v>7362</v>
      </c>
      <c r="C50" s="2404"/>
      <c r="D50" s="2404"/>
      <c r="E50" s="2404"/>
      <c r="F50" s="325" t="s">
        <v>167</v>
      </c>
      <c r="G50" s="326">
        <f>SUM(G47:G49)</f>
        <v>12.56</v>
      </c>
    </row>
    <row r="51" spans="1:8" s="308" customFormat="1" ht="13.5" customHeight="1">
      <c r="B51" s="2404"/>
      <c r="C51" s="2404"/>
      <c r="D51" s="2404"/>
      <c r="E51" s="2404"/>
      <c r="F51" s="669"/>
      <c r="G51" s="669"/>
    </row>
    <row r="52" spans="1:8" ht="13.5" thickBot="1"/>
    <row r="53" spans="1:8" ht="15.75">
      <c r="A53" s="308"/>
      <c r="B53" s="623" t="str">
        <f>IF(COUNT($H$17:H53)&lt;10,CONCATENATE("CPU IP 00",COUNT($H$17:H53)),CONCATENATE("CPU IP 0",COUNT($H$17:H53)))</f>
        <v>CPU IP 005</v>
      </c>
      <c r="C53" s="2180" t="s">
        <v>1877</v>
      </c>
      <c r="D53" s="2180"/>
      <c r="E53" s="2180"/>
      <c r="F53" s="2180"/>
      <c r="G53" s="624" t="str">
        <f>D56</f>
        <v xml:space="preserve">M     </v>
      </c>
      <c r="H53" s="615">
        <f>G60</f>
        <v>12.74</v>
      </c>
    </row>
    <row r="54" spans="1:8" ht="47.25">
      <c r="A54" s="308"/>
      <c r="B54" s="750" t="s">
        <v>1836</v>
      </c>
      <c r="C54" s="826" t="s">
        <v>161</v>
      </c>
      <c r="D54" s="826" t="s">
        <v>22</v>
      </c>
      <c r="E54" s="826" t="s">
        <v>162</v>
      </c>
      <c r="F54" s="827" t="s">
        <v>163</v>
      </c>
      <c r="G54" s="832" t="s">
        <v>164</v>
      </c>
      <c r="H54" s="308"/>
    </row>
    <row r="55" spans="1:8" ht="15.75">
      <c r="A55" s="308"/>
      <c r="B55" s="2446" t="s">
        <v>165</v>
      </c>
      <c r="C55" s="2447"/>
      <c r="D55" s="2447"/>
      <c r="E55" s="2447"/>
      <c r="F55" s="2447"/>
      <c r="G55" s="2448"/>
      <c r="H55" s="308"/>
    </row>
    <row r="56" spans="1:8" ht="45">
      <c r="A56" s="333" t="s">
        <v>390</v>
      </c>
      <c r="B56" s="841">
        <v>39258</v>
      </c>
      <c r="C56" s="728" t="str">
        <f>IF($A56="INSUMO",VLOOKUP($B56,'BANCO DE DADOS JANEIRO-24 INS'!$A:$D,2,FALSE),VLOOKUP($B56,'BANCO DE DADOS JANEIRO-24 SERV'!$B:$E,2,FALSE))</f>
        <v xml:space="preserve">CABO MULTIPOLAR DE COBRE, FLEXIVEL, CLASSE 4 OU 5, ISOLACAO EM HEPR, COBERTURA EM PVC-ST2, ANTICHAMA BWF-B, 0,6/1 KV, 3 CONDUTORES DE 2,5 MM2                                                                                                                                                                                                                                                                                                                                                             </v>
      </c>
      <c r="D56" s="732" t="str">
        <f>IF($A56="INSUMO",VLOOKUP($B56,'BANCO DE DADOS JANEIRO-24 INS'!$A:$D,3,FALSE),VLOOKUP($B56,'BANCO DE DADOS JANEIRO-24 SERV'!$B:$E,3,FALSE))</f>
        <v xml:space="preserve">M     </v>
      </c>
      <c r="E56" s="820">
        <v>1.02</v>
      </c>
      <c r="F56" s="755">
        <f>IF($A56="INSUMO",VLOOKUP($B56,'BANCO DE DADOS JANEIRO-24 INS'!$A:$D,4,FALSE),VLOOKUP($B56,'BANCO DE DADOS JANEIRO-24 SERV'!$B:$E,4,FALSE))</f>
        <v>7.9</v>
      </c>
      <c r="G56" s="840">
        <f>TRUNC(F56*E56,2)</f>
        <v>8.0500000000000007</v>
      </c>
      <c r="H56" s="308"/>
    </row>
    <row r="57" spans="1:8" ht="15.75">
      <c r="A57" s="308"/>
      <c r="B57" s="2446" t="s">
        <v>166</v>
      </c>
      <c r="C57" s="2447"/>
      <c r="D57" s="2447"/>
      <c r="E57" s="2447"/>
      <c r="F57" s="2447"/>
      <c r="G57" s="2448"/>
      <c r="H57" s="308"/>
    </row>
    <row r="58" spans="1:8" ht="15.75">
      <c r="A58" s="333" t="s">
        <v>391</v>
      </c>
      <c r="B58" s="841">
        <v>88316</v>
      </c>
      <c r="C58" s="728" t="str">
        <f>IF($A58="INSUMO",VLOOKUP($B58,'BANCO DE DADOS JANEIRO-24 INS'!$A:$D,2,FALSE),VLOOKUP($B58,'BANCO DE DADOS JANEIRO-24 SERV'!$B:$E,2,FALSE))</f>
        <v>SERVENTE COM ENCARGOS COMPLEMENTARES</v>
      </c>
      <c r="D58" s="732" t="str">
        <f>IF($A58="INSUMO",VLOOKUP($B58,'BANCO DE DADOS JANEIRO-24 INS'!$A:$D,3,FALSE),VLOOKUP($B58,'BANCO DE DADOS JANEIRO-24 SERV'!$B:$E,3,FALSE))</f>
        <v>H</v>
      </c>
      <c r="E58" s="820">
        <v>0.1</v>
      </c>
      <c r="F58" s="755">
        <f>IF($A58="INSUMO",VLOOKUP($B58,'BANCO DE DADOS JANEIRO-24 INS'!$A:$D,4,FALSE),VLOOKUP($B58,'BANCO DE DADOS JANEIRO-24 SERV'!$B:$E,4,FALSE))</f>
        <v>20.32</v>
      </c>
      <c r="G58" s="840">
        <f>TRUNC(F58*E58,2)</f>
        <v>2.0299999999999998</v>
      </c>
      <c r="H58" s="308"/>
    </row>
    <row r="59" spans="1:8" ht="16.5" thickBot="1">
      <c r="A59" s="333" t="s">
        <v>391</v>
      </c>
      <c r="B59" s="625">
        <v>88264</v>
      </c>
      <c r="C59" s="731" t="str">
        <f>IF($A59="INSUMO",VLOOKUP($B59,'BANCO DE DADOS JANEIRO-24 INS'!$A:$D,2,FALSE),VLOOKUP($B59,'BANCO DE DADOS JANEIRO-24 SERV'!$B:$E,2,FALSE))</f>
        <v>ELETRICISTA COM ENCARGOS COMPLEMENTARES</v>
      </c>
      <c r="D59" s="729" t="str">
        <f>IF($A59="INSUMO",VLOOKUP($B59,'BANCO DE DADOS JANEIRO-24 INS'!$A:$D,3,FALSE),VLOOKUP($B59,'BANCO DE DADOS JANEIRO-24 SERV'!$B:$E,3,FALSE))</f>
        <v>H</v>
      </c>
      <c r="E59" s="850">
        <v>0.1</v>
      </c>
      <c r="F59" s="757">
        <f>IF($A59="INSUMO",VLOOKUP($B59,'BANCO DE DADOS JANEIRO-24 INS'!$A:$D,4,FALSE),VLOOKUP($B59,'BANCO DE DADOS JANEIRO-24 SERV'!$B:$E,4,FALSE))</f>
        <v>26.68</v>
      </c>
      <c r="G59" s="626">
        <f>TRUNC(F59*E59,2)</f>
        <v>2.66</v>
      </c>
      <c r="H59" s="308"/>
    </row>
    <row r="60" spans="1:8" ht="16.5" thickBot="1">
      <c r="A60" s="308"/>
      <c r="B60" s="2394" t="s">
        <v>7363</v>
      </c>
      <c r="C60" s="2394"/>
      <c r="D60" s="2394"/>
      <c r="E60" s="2449"/>
      <c r="F60" s="325" t="s">
        <v>167</v>
      </c>
      <c r="G60" s="326">
        <f>SUM(G56:G59)</f>
        <v>12.74</v>
      </c>
      <c r="H60" s="308"/>
    </row>
    <row r="61" spans="1:8" ht="15.75" thickBot="1">
      <c r="A61" s="308"/>
      <c r="B61" s="2394"/>
      <c r="C61" s="2394"/>
      <c r="D61" s="2394"/>
      <c r="E61" s="2394"/>
      <c r="F61" s="669"/>
      <c r="G61" s="669"/>
      <c r="H61" s="308"/>
    </row>
    <row r="62" spans="1:8" ht="15.75">
      <c r="A62" s="308"/>
      <c r="B62" s="623" t="str">
        <f>IF(COUNT($H$17:H62)&lt;10,CONCATENATE("CPU IP 00",COUNT($H$17:H62)),CONCATENATE("CPU IP 0",COUNT($H$17:H62)))</f>
        <v>CPU IP 006</v>
      </c>
      <c r="C62" s="2180" t="s">
        <v>7355</v>
      </c>
      <c r="D62" s="2180"/>
      <c r="E62" s="2180"/>
      <c r="F62" s="2180"/>
      <c r="G62" s="624" t="str">
        <f>D65</f>
        <v xml:space="preserve">M     </v>
      </c>
      <c r="H62" s="615">
        <f>G69</f>
        <v>10.029999999999999</v>
      </c>
    </row>
    <row r="63" spans="1:8" ht="47.25">
      <c r="A63" s="308"/>
      <c r="B63" s="750" t="s">
        <v>1836</v>
      </c>
      <c r="C63" s="826" t="s">
        <v>161</v>
      </c>
      <c r="D63" s="826" t="s">
        <v>22</v>
      </c>
      <c r="E63" s="826" t="s">
        <v>162</v>
      </c>
      <c r="F63" s="827" t="s">
        <v>163</v>
      </c>
      <c r="G63" s="832" t="s">
        <v>164</v>
      </c>
      <c r="H63" s="308"/>
    </row>
    <row r="64" spans="1:8" ht="15.75">
      <c r="A64" s="308"/>
      <c r="B64" s="2446" t="s">
        <v>165</v>
      </c>
      <c r="C64" s="2447"/>
      <c r="D64" s="2447"/>
      <c r="E64" s="2447"/>
      <c r="F64" s="2447"/>
      <c r="G64" s="2448"/>
      <c r="H64" s="308"/>
    </row>
    <row r="65" spans="1:8" ht="45">
      <c r="A65" s="333" t="s">
        <v>390</v>
      </c>
      <c r="B65" s="841">
        <v>39257</v>
      </c>
      <c r="C65" s="728" t="str">
        <f>IF($A65="INSUMO",VLOOKUP($B65,'BANCO DE DADOS JANEIRO-24 INS'!$A:$D,2,FALSE),VLOOKUP($B65,'BANCO DE DADOS JANEIRO-24 SERV'!$B:$E,2,FALSE))</f>
        <v xml:space="preserve">CABO MULTIPOLAR DE COBRE, FLEXIVEL, CLASSE 4 OU 5, ISOLACAO EM HEPR, COBERTURA EM PVC-ST2, ANTICHAMA BWF-B, 0,6/1 KV, 3 CONDUTORES DE 1,5 MM2                                                                                                                                                                                                                                                                                                                                                             </v>
      </c>
      <c r="D65" s="732" t="str">
        <f>IF($A65="INSUMO",VLOOKUP($B65,'BANCO DE DADOS JANEIRO-24 INS'!$A:$D,3,FALSE),VLOOKUP($B65,'BANCO DE DADOS JANEIRO-24 SERV'!$B:$E,3,FALSE))</f>
        <v xml:space="preserve">M     </v>
      </c>
      <c r="E65" s="820">
        <v>1.02</v>
      </c>
      <c r="F65" s="755">
        <f>IF($A65="INSUMO",VLOOKUP($B65,'BANCO DE DADOS JANEIRO-24 INS'!$A:$D,4,FALSE),VLOOKUP($B65,'BANCO DE DADOS JANEIRO-24 SERV'!$B:$E,4,FALSE))</f>
        <v>5.24</v>
      </c>
      <c r="G65" s="840">
        <f>TRUNC(F65*E65,2)</f>
        <v>5.34</v>
      </c>
      <c r="H65" s="308"/>
    </row>
    <row r="66" spans="1:8" ht="15.75">
      <c r="A66" s="308"/>
      <c r="B66" s="2446" t="s">
        <v>166</v>
      </c>
      <c r="C66" s="2447"/>
      <c r="D66" s="2447"/>
      <c r="E66" s="2447"/>
      <c r="F66" s="2447"/>
      <c r="G66" s="2448"/>
      <c r="H66" s="308"/>
    </row>
    <row r="67" spans="1:8" ht="15.75">
      <c r="A67" s="333" t="s">
        <v>391</v>
      </c>
      <c r="B67" s="841">
        <v>88316</v>
      </c>
      <c r="C67" s="728" t="str">
        <f>IF($A67="INSUMO",VLOOKUP($B67,'BANCO DE DADOS JANEIRO-24 INS'!$A:$D,2,FALSE),VLOOKUP($B67,'BANCO DE DADOS JANEIRO-24 SERV'!$B:$E,2,FALSE))</f>
        <v>SERVENTE COM ENCARGOS COMPLEMENTARES</v>
      </c>
      <c r="D67" s="732" t="str">
        <f>IF($A67="INSUMO",VLOOKUP($B67,'BANCO DE DADOS JANEIRO-24 INS'!$A:$D,3,FALSE),VLOOKUP($B67,'BANCO DE DADOS JANEIRO-24 SERV'!$B:$E,3,FALSE))</f>
        <v>H</v>
      </c>
      <c r="E67" s="820">
        <v>0.1</v>
      </c>
      <c r="F67" s="755">
        <f>IF($A67="INSUMO",VLOOKUP($B67,'BANCO DE DADOS JANEIRO-24 INS'!$A:$D,4,FALSE),VLOOKUP($B67,'BANCO DE DADOS JANEIRO-24 SERV'!$B:$E,4,FALSE))</f>
        <v>20.32</v>
      </c>
      <c r="G67" s="840">
        <f>TRUNC(F67*E67,2)</f>
        <v>2.0299999999999998</v>
      </c>
      <c r="H67" s="308"/>
    </row>
    <row r="68" spans="1:8" ht="16.5" thickBot="1">
      <c r="A68" s="333" t="s">
        <v>391</v>
      </c>
      <c r="B68" s="625">
        <v>88264</v>
      </c>
      <c r="C68" s="731" t="str">
        <f>IF($A68="INSUMO",VLOOKUP($B68,'BANCO DE DADOS JANEIRO-24 INS'!$A:$D,2,FALSE),VLOOKUP($B68,'BANCO DE DADOS JANEIRO-24 SERV'!$B:$E,2,FALSE))</f>
        <v>ELETRICISTA COM ENCARGOS COMPLEMENTARES</v>
      </c>
      <c r="D68" s="729" t="str">
        <f>IF($A68="INSUMO",VLOOKUP($B68,'BANCO DE DADOS JANEIRO-24 INS'!$A:$D,3,FALSE),VLOOKUP($B68,'BANCO DE DADOS JANEIRO-24 SERV'!$B:$E,3,FALSE))</f>
        <v>H</v>
      </c>
      <c r="E68" s="850">
        <v>0.1</v>
      </c>
      <c r="F68" s="757">
        <f>IF($A68="INSUMO",VLOOKUP($B68,'BANCO DE DADOS JANEIRO-24 INS'!$A:$D,4,FALSE),VLOOKUP($B68,'BANCO DE DADOS JANEIRO-24 SERV'!$B:$E,4,FALSE))</f>
        <v>26.68</v>
      </c>
      <c r="G68" s="626">
        <f>TRUNC(F68*E68,2)</f>
        <v>2.66</v>
      </c>
      <c r="H68" s="308"/>
    </row>
    <row r="69" spans="1:8" ht="16.5" thickBot="1">
      <c r="A69" s="308"/>
      <c r="B69" s="2394" t="s">
        <v>7363</v>
      </c>
      <c r="C69" s="2394"/>
      <c r="D69" s="2394"/>
      <c r="E69" s="2449"/>
      <c r="F69" s="325" t="s">
        <v>167</v>
      </c>
      <c r="G69" s="326">
        <f>SUM(G65:G68)</f>
        <v>10.029999999999999</v>
      </c>
      <c r="H69" s="308"/>
    </row>
    <row r="70" spans="1:8" ht="15.75" thickBot="1">
      <c r="A70" s="308"/>
      <c r="B70" s="2394"/>
      <c r="C70" s="2394"/>
      <c r="D70" s="2394"/>
      <c r="E70" s="2394"/>
      <c r="F70" s="669"/>
      <c r="G70" s="669"/>
      <c r="H70" s="308"/>
    </row>
    <row r="71" spans="1:8" ht="15.75">
      <c r="A71" s="308"/>
      <c r="B71" s="623" t="str">
        <f>IF(COUNT($H$17:H71)&lt;10,CONCATENATE("CPU IP 00",COUNT($H$17:H71)),CONCATENATE("CPU IP 0",COUNT($H$17:H71)))</f>
        <v>CPU IP 007</v>
      </c>
      <c r="C71" s="2180" t="s">
        <v>7356</v>
      </c>
      <c r="D71" s="2180"/>
      <c r="E71" s="2180"/>
      <c r="F71" s="2180"/>
      <c r="G71" s="624" t="str">
        <f>D74</f>
        <v xml:space="preserve">M     </v>
      </c>
      <c r="H71" s="615">
        <f>G78</f>
        <v>17.09</v>
      </c>
    </row>
    <row r="72" spans="1:8" ht="47.25">
      <c r="A72" s="308"/>
      <c r="B72" s="750" t="s">
        <v>1836</v>
      </c>
      <c r="C72" s="826" t="s">
        <v>161</v>
      </c>
      <c r="D72" s="826" t="s">
        <v>22</v>
      </c>
      <c r="E72" s="826" t="s">
        <v>162</v>
      </c>
      <c r="F72" s="827" t="s">
        <v>163</v>
      </c>
      <c r="G72" s="832" t="s">
        <v>164</v>
      </c>
      <c r="H72" s="308"/>
    </row>
    <row r="73" spans="1:8" ht="15.75">
      <c r="A73" s="308"/>
      <c r="B73" s="2446" t="s">
        <v>165</v>
      </c>
      <c r="C73" s="2447"/>
      <c r="D73" s="2447"/>
      <c r="E73" s="2447"/>
      <c r="F73" s="2447"/>
      <c r="G73" s="2448"/>
      <c r="H73" s="308"/>
    </row>
    <row r="74" spans="1:8" ht="45">
      <c r="A74" s="333" t="s">
        <v>390</v>
      </c>
      <c r="B74" s="841">
        <v>39259</v>
      </c>
      <c r="C74" s="728" t="str">
        <f>IF($A74="INSUMO",VLOOKUP($B74,'BANCO DE DADOS JANEIRO-24 INS'!$A:$D,2,FALSE),VLOOKUP($B74,'BANCO DE DADOS JANEIRO-24 SERV'!$B:$E,2,FALSE))</f>
        <v xml:space="preserve">CABO MULTIPOLAR DE COBRE, FLEXIVEL, CLASSE 4 OU 5, ISOLACAO EM HEPR, COBERTURA EM PVC-ST2, ANTICHAMA BWF-B, 0,6/1 KV, 3 CONDUTORES DE 4 MM2                                                                                                                                                                                                                                                                                                                                                               </v>
      </c>
      <c r="D74" s="732" t="str">
        <f>IF($A74="INSUMO",VLOOKUP($B74,'BANCO DE DADOS JANEIRO-24 INS'!$A:$D,3,FALSE),VLOOKUP($B74,'BANCO DE DADOS JANEIRO-24 SERV'!$B:$E,3,FALSE))</f>
        <v xml:space="preserve">M     </v>
      </c>
      <c r="E74" s="820">
        <v>1.02</v>
      </c>
      <c r="F74" s="755">
        <f>IF($A74="INSUMO",VLOOKUP($B74,'BANCO DE DADOS JANEIRO-24 INS'!$A:$D,4,FALSE),VLOOKUP($B74,'BANCO DE DADOS JANEIRO-24 SERV'!$B:$E,4,FALSE))</f>
        <v>12.16</v>
      </c>
      <c r="G74" s="840">
        <f>TRUNC(F74*E74,2)</f>
        <v>12.4</v>
      </c>
      <c r="H74" s="308"/>
    </row>
    <row r="75" spans="1:8" ht="15.75">
      <c r="A75" s="308"/>
      <c r="B75" s="2446" t="s">
        <v>166</v>
      </c>
      <c r="C75" s="2447"/>
      <c r="D75" s="2447"/>
      <c r="E75" s="2447"/>
      <c r="F75" s="2447"/>
      <c r="G75" s="2448"/>
      <c r="H75" s="308"/>
    </row>
    <row r="76" spans="1:8" ht="15.75">
      <c r="A76" s="333" t="s">
        <v>391</v>
      </c>
      <c r="B76" s="841">
        <v>88316</v>
      </c>
      <c r="C76" s="728" t="str">
        <f>IF($A76="INSUMO",VLOOKUP($B76,'BANCO DE DADOS JANEIRO-24 INS'!$A:$D,2,FALSE),VLOOKUP($B76,'BANCO DE DADOS JANEIRO-24 SERV'!$B:$E,2,FALSE))</f>
        <v>SERVENTE COM ENCARGOS COMPLEMENTARES</v>
      </c>
      <c r="D76" s="732" t="str">
        <f>IF($A76="INSUMO",VLOOKUP($B76,'BANCO DE DADOS JANEIRO-24 INS'!$A:$D,3,FALSE),VLOOKUP($B76,'BANCO DE DADOS JANEIRO-24 SERV'!$B:$E,3,FALSE))</f>
        <v>H</v>
      </c>
      <c r="E76" s="820">
        <v>0.1</v>
      </c>
      <c r="F76" s="755">
        <f>IF($A76="INSUMO",VLOOKUP($B76,'BANCO DE DADOS JANEIRO-24 INS'!$A:$D,4,FALSE),VLOOKUP($B76,'BANCO DE DADOS JANEIRO-24 SERV'!$B:$E,4,FALSE))</f>
        <v>20.32</v>
      </c>
      <c r="G76" s="840">
        <f>TRUNC(F76*E76,2)</f>
        <v>2.0299999999999998</v>
      </c>
      <c r="H76" s="308"/>
    </row>
    <row r="77" spans="1:8" ht="16.5" thickBot="1">
      <c r="A77" s="333" t="s">
        <v>391</v>
      </c>
      <c r="B77" s="625">
        <v>88264</v>
      </c>
      <c r="C77" s="731" t="str">
        <f>IF($A77="INSUMO",VLOOKUP($B77,'BANCO DE DADOS JANEIRO-24 INS'!$A:$D,2,FALSE),VLOOKUP($B77,'BANCO DE DADOS JANEIRO-24 SERV'!$B:$E,2,FALSE))</f>
        <v>ELETRICISTA COM ENCARGOS COMPLEMENTARES</v>
      </c>
      <c r="D77" s="729" t="str">
        <f>IF($A77="INSUMO",VLOOKUP($B77,'BANCO DE DADOS JANEIRO-24 INS'!$A:$D,3,FALSE),VLOOKUP($B77,'BANCO DE DADOS JANEIRO-24 SERV'!$B:$E,3,FALSE))</f>
        <v>H</v>
      </c>
      <c r="E77" s="850">
        <v>0.1</v>
      </c>
      <c r="F77" s="757">
        <f>IF($A77="INSUMO",VLOOKUP($B77,'BANCO DE DADOS JANEIRO-24 INS'!$A:$D,4,FALSE),VLOOKUP($B77,'BANCO DE DADOS JANEIRO-24 SERV'!$B:$E,4,FALSE))</f>
        <v>26.68</v>
      </c>
      <c r="G77" s="626">
        <f>TRUNC(F77*E77,2)</f>
        <v>2.66</v>
      </c>
      <c r="H77" s="308"/>
    </row>
    <row r="78" spans="1:8" ht="16.5" thickBot="1">
      <c r="A78" s="308"/>
      <c r="B78" s="2394" t="s">
        <v>7363</v>
      </c>
      <c r="C78" s="2394"/>
      <c r="D78" s="2394"/>
      <c r="E78" s="2449"/>
      <c r="F78" s="325" t="s">
        <v>167</v>
      </c>
      <c r="G78" s="326">
        <f>SUM(G74:G77)</f>
        <v>17.09</v>
      </c>
      <c r="H78" s="308"/>
    </row>
    <row r="79" spans="1:8" ht="15.75" thickBot="1">
      <c r="A79" s="308"/>
      <c r="B79" s="2394"/>
      <c r="C79" s="2394"/>
      <c r="D79" s="2394"/>
      <c r="E79" s="2394"/>
      <c r="F79" s="669"/>
      <c r="G79" s="669"/>
      <c r="H79" s="308"/>
    </row>
    <row r="80" spans="1:8" ht="34.5" customHeight="1">
      <c r="A80" s="308"/>
      <c r="B80" s="623" t="str">
        <f>IF(COUNT($H$17:H80)&lt;10,CONCATENATE("CPU IP 00",COUNT($H$17:H80)),CONCATENATE("CPU IP 0",COUNT($H$17:H80)))</f>
        <v>CPU IP 008</v>
      </c>
      <c r="C80" s="2180" t="str">
        <f>CONCATENATE("FORNECIMENTO E INSTALAÇÃO DE ",C83)</f>
        <v>FORNECIMENTO E INSTALAÇÃO DE  CAIXA DE PROTEÇÃO METÁLICA PARA COMANDO E PROTEÇÃO DA ILUMINAÇÃO PÚBLICA</v>
      </c>
      <c r="D80" s="2180"/>
      <c r="E80" s="2180"/>
      <c r="F80" s="2180"/>
      <c r="G80" s="247" t="str">
        <f>D83</f>
        <v>UN</v>
      </c>
      <c r="H80" s="615">
        <f>G86</f>
        <v>566.23</v>
      </c>
    </row>
    <row r="81" spans="1:8" ht="47.25">
      <c r="A81" s="308"/>
      <c r="B81" s="750" t="s">
        <v>1836</v>
      </c>
      <c r="C81" s="826" t="s">
        <v>161</v>
      </c>
      <c r="D81" s="826" t="s">
        <v>22</v>
      </c>
      <c r="E81" s="826" t="s">
        <v>162</v>
      </c>
      <c r="F81" s="827" t="s">
        <v>163</v>
      </c>
      <c r="G81" s="832" t="s">
        <v>164</v>
      </c>
      <c r="H81" s="308"/>
    </row>
    <row r="82" spans="1:8" ht="15.75">
      <c r="A82" s="308"/>
      <c r="B82" s="2446" t="s">
        <v>165</v>
      </c>
      <c r="C82" s="2447"/>
      <c r="D82" s="2447"/>
      <c r="E82" s="2447"/>
      <c r="F82" s="2447"/>
      <c r="G82" s="2448"/>
      <c r="H82" s="308"/>
    </row>
    <row r="83" spans="1:8" ht="30">
      <c r="A83" s="308"/>
      <c r="B83" s="845" t="s">
        <v>181</v>
      </c>
      <c r="C83" s="843" t="str">
        <f>C88</f>
        <v xml:space="preserve"> CAIXA DE PROTEÇÃO METÁLICA PARA COMANDO E PROTEÇÃO DA ILUMINAÇÃO PÚBLICA</v>
      </c>
      <c r="D83" s="860" t="str">
        <f>G88</f>
        <v>UN</v>
      </c>
      <c r="E83" s="820">
        <v>1</v>
      </c>
      <c r="F83" s="844">
        <f>D93</f>
        <v>512.87</v>
      </c>
      <c r="G83" s="840">
        <f>TRUNC(F83*E83,2)</f>
        <v>512.87</v>
      </c>
      <c r="H83" s="308"/>
    </row>
    <row r="84" spans="1:8" ht="15.75">
      <c r="A84" s="308"/>
      <c r="B84" s="2446" t="s">
        <v>166</v>
      </c>
      <c r="C84" s="2447"/>
      <c r="D84" s="2447"/>
      <c r="E84" s="2447"/>
      <c r="F84" s="2447"/>
      <c r="G84" s="2448"/>
      <c r="H84" s="308"/>
    </row>
    <row r="85" spans="1:8" ht="16.5" thickBot="1">
      <c r="A85" s="333" t="s">
        <v>391</v>
      </c>
      <c r="B85" s="841">
        <v>88264</v>
      </c>
      <c r="C85" s="728" t="str">
        <f>IF($A85="INSUMO",VLOOKUP($B85,'BANCO DE DADOS JANEIRO-24 INS'!$A:$D,2,FALSE),VLOOKUP($B85,'BANCO DE DADOS JANEIRO-24 SERV'!$B:$E,2,FALSE))</f>
        <v>ELETRICISTA COM ENCARGOS COMPLEMENTARES</v>
      </c>
      <c r="D85" s="732" t="str">
        <f>IF($A85="INSUMO",VLOOKUP($B85,'BANCO DE DADOS JANEIRO-24 INS'!$A:$D,3,FALSE),VLOOKUP($B85,'BANCO DE DADOS JANEIRO-24 SERV'!$B:$E,3,FALSE))</f>
        <v>H</v>
      </c>
      <c r="E85" s="839">
        <v>2</v>
      </c>
      <c r="F85" s="974">
        <f>IF($A85="INSUMO",VLOOKUP($B85,'BANCO DE DADOS JANEIRO-24 INS'!$A:$D,4,FALSE),VLOOKUP($B85,'BANCO DE DADOS JANEIRO-24 SERV'!$B:$E,4,FALSE))</f>
        <v>26.68</v>
      </c>
      <c r="G85" s="975">
        <f>TRUNC(F85*E85,2)</f>
        <v>53.36</v>
      </c>
      <c r="H85" s="308"/>
    </row>
    <row r="86" spans="1:8" ht="16.5" thickBot="1">
      <c r="A86" s="308"/>
      <c r="B86" s="2394" t="s">
        <v>7364</v>
      </c>
      <c r="C86" s="2394"/>
      <c r="D86" s="2394"/>
      <c r="E86" s="2449"/>
      <c r="F86" s="330" t="s">
        <v>167</v>
      </c>
      <c r="G86" s="611">
        <f>SUM(G83:G85)</f>
        <v>566.23</v>
      </c>
      <c r="H86" s="308"/>
    </row>
    <row r="87" spans="1:8" ht="15.75" thickBot="1">
      <c r="A87" s="308"/>
      <c r="B87" s="2394"/>
      <c r="C87" s="2394"/>
      <c r="D87" s="2394"/>
      <c r="E87" s="2394"/>
      <c r="F87" s="669"/>
      <c r="G87" s="669"/>
      <c r="H87" s="308"/>
    </row>
    <row r="88" spans="1:8" ht="31.5" customHeight="1">
      <c r="A88" s="308"/>
      <c r="B88" s="1744" t="str">
        <f>B83</f>
        <v>COTAÇÃO</v>
      </c>
      <c r="C88" s="2399" t="s">
        <v>1837</v>
      </c>
      <c r="D88" s="2400"/>
      <c r="E88" s="2400"/>
      <c r="F88" s="2401"/>
      <c r="G88" s="1676" t="s">
        <v>22</v>
      </c>
      <c r="H88" s="684" t="s">
        <v>1977</v>
      </c>
    </row>
    <row r="89" spans="1:8" ht="31.5">
      <c r="A89" s="308"/>
      <c r="B89" s="810" t="s">
        <v>174</v>
      </c>
      <c r="C89" s="811" t="s">
        <v>175</v>
      </c>
      <c r="D89" s="812" t="s">
        <v>176</v>
      </c>
      <c r="E89" s="813" t="s">
        <v>177</v>
      </c>
      <c r="F89" s="837" t="s">
        <v>178</v>
      </c>
      <c r="G89" s="815" t="s">
        <v>179</v>
      </c>
      <c r="H89" s="308"/>
    </row>
    <row r="90" spans="1:8" ht="15.75">
      <c r="A90" s="308"/>
      <c r="B90" s="1137">
        <v>45181</v>
      </c>
      <c r="C90" s="1114" t="s">
        <v>4588</v>
      </c>
      <c r="D90" s="1115">
        <v>512.87</v>
      </c>
      <c r="E90" s="1114" t="s">
        <v>5057</v>
      </c>
      <c r="F90" s="1139" t="s">
        <v>1979</v>
      </c>
      <c r="G90" s="968" t="s">
        <v>5871</v>
      </c>
      <c r="H90"/>
    </row>
    <row r="91" spans="1:8" ht="15.75">
      <c r="A91" s="308"/>
      <c r="B91" s="1299">
        <v>45181</v>
      </c>
      <c r="C91" s="1114" t="s">
        <v>513</v>
      </c>
      <c r="D91" s="1115">
        <v>496.99</v>
      </c>
      <c r="E91" s="1185" t="s">
        <v>514</v>
      </c>
      <c r="F91" s="1139" t="s">
        <v>515</v>
      </c>
      <c r="G91" s="1403" t="s">
        <v>5882</v>
      </c>
      <c r="H91"/>
    </row>
    <row r="92" spans="1:8" ht="15.75">
      <c r="A92" s="308"/>
      <c r="B92" s="1299">
        <v>45182</v>
      </c>
      <c r="C92" s="1114" t="s">
        <v>5877</v>
      </c>
      <c r="D92" s="1115">
        <v>809.75</v>
      </c>
      <c r="E92" s="1185" t="s">
        <v>1982</v>
      </c>
      <c r="F92" s="1139" t="s">
        <v>195</v>
      </c>
      <c r="G92" s="1404" t="s">
        <v>5211</v>
      </c>
      <c r="H92"/>
    </row>
    <row r="93" spans="1:8" ht="16.5" thickBot="1">
      <c r="A93" s="308"/>
      <c r="B93" s="1738"/>
      <c r="C93" s="1739" t="s">
        <v>180</v>
      </c>
      <c r="D93" s="1737">
        <f>IF(COUNT(D89:D92)=3,MEDIAN(D89:D92),SMALL(D90:D92,1))</f>
        <v>512.87</v>
      </c>
      <c r="E93" s="1740"/>
      <c r="F93" s="1741"/>
      <c r="G93" s="1742"/>
      <c r="H93" s="308"/>
    </row>
    <row r="94" spans="1:8" ht="13.5" thickBot="1"/>
    <row r="95" spans="1:8" ht="15.75">
      <c r="A95" s="308"/>
      <c r="B95" s="623" t="str">
        <f>IF(COUNT($H$17:H95)&lt;10,CONCATENATE("CPU IP 00",COUNT($H$17:H95)),CONCATENATE("CPU IP 0",COUNT($H$17:H95)))</f>
        <v>CPU IP 009</v>
      </c>
      <c r="C95" s="2180" t="str">
        <f>CONCATENATE("FORNECIMENTO E INSTALAÇÃO DE ",C98)</f>
        <v>FORNECIMENTO E INSTALAÇÃO DE CONECTOR TIPO CUNHA CN13 VERMELHO</v>
      </c>
      <c r="D95" s="2180"/>
      <c r="E95" s="2180"/>
      <c r="F95" s="2180"/>
      <c r="G95" s="247" t="str">
        <f>D98</f>
        <v>UN</v>
      </c>
      <c r="H95" s="615">
        <f>G101</f>
        <v>11.1</v>
      </c>
    </row>
    <row r="96" spans="1:8" ht="47.25">
      <c r="A96" s="308"/>
      <c r="B96" s="750" t="s">
        <v>1836</v>
      </c>
      <c r="C96" s="826" t="s">
        <v>161</v>
      </c>
      <c r="D96" s="826" t="s">
        <v>22</v>
      </c>
      <c r="E96" s="826" t="s">
        <v>162</v>
      </c>
      <c r="F96" s="827" t="s">
        <v>163</v>
      </c>
      <c r="G96" s="832" t="s">
        <v>164</v>
      </c>
      <c r="H96" s="308"/>
    </row>
    <row r="97" spans="1:8" ht="15.75">
      <c r="A97" s="308"/>
      <c r="B97" s="2446" t="s">
        <v>165</v>
      </c>
      <c r="C97" s="2447"/>
      <c r="D97" s="2447"/>
      <c r="E97" s="2447"/>
      <c r="F97" s="2447"/>
      <c r="G97" s="2448"/>
      <c r="H97" s="308"/>
    </row>
    <row r="98" spans="1:8" ht="15">
      <c r="A98" s="308"/>
      <c r="B98" s="845" t="s">
        <v>181</v>
      </c>
      <c r="C98" s="843" t="str">
        <f>C103</f>
        <v>CONECTOR TIPO CUNHA CN13 VERMELHO</v>
      </c>
      <c r="D98" s="860" t="str">
        <f>G103</f>
        <v>UN</v>
      </c>
      <c r="E98" s="820">
        <v>1</v>
      </c>
      <c r="F98" s="844">
        <f>D108</f>
        <v>9.24</v>
      </c>
      <c r="G98" s="840">
        <f>TRUNC(F98*E98,2)</f>
        <v>9.24</v>
      </c>
      <c r="H98" s="308"/>
    </row>
    <row r="99" spans="1:8" ht="15.75">
      <c r="A99" s="308"/>
      <c r="B99" s="2446" t="s">
        <v>166</v>
      </c>
      <c r="C99" s="2447"/>
      <c r="D99" s="2447"/>
      <c r="E99" s="2447"/>
      <c r="F99" s="2447"/>
      <c r="G99" s="2448"/>
      <c r="H99" s="308"/>
    </row>
    <row r="100" spans="1:8" ht="16.5" thickBot="1">
      <c r="A100" s="333" t="s">
        <v>391</v>
      </c>
      <c r="B100" s="625">
        <v>88264</v>
      </c>
      <c r="C100" s="731" t="str">
        <f>IF($A100="INSUMO",VLOOKUP($B100,'BANCO DE DADOS JANEIRO-24 INS'!$A:$D,2,FALSE),VLOOKUP($B100,'BANCO DE DADOS JANEIRO-24 SERV'!$B:$E,2,FALSE))</f>
        <v>ELETRICISTA COM ENCARGOS COMPLEMENTARES</v>
      </c>
      <c r="D100" s="729" t="str">
        <f>IF($A100="INSUMO",VLOOKUP($B100,'BANCO DE DADOS JANEIRO-24 INS'!$A:$D,3,FALSE),VLOOKUP($B100,'BANCO DE DADOS JANEIRO-24 SERV'!$B:$E,3,FALSE))</f>
        <v>H</v>
      </c>
      <c r="E100" s="842">
        <v>7.0000000000000007E-2</v>
      </c>
      <c r="F100" s="757">
        <f>IF($A100="INSUMO",VLOOKUP($B100,'BANCO DE DADOS JANEIRO-24 INS'!$A:$D,4,FALSE),VLOOKUP($B100,'BANCO DE DADOS JANEIRO-24 SERV'!$B:$E,4,FALSE))</f>
        <v>26.68</v>
      </c>
      <c r="G100" s="626">
        <f>TRUNC(F100*E100,2)</f>
        <v>1.86</v>
      </c>
      <c r="H100" s="308"/>
    </row>
    <row r="101" spans="1:8" ht="16.5" thickBot="1">
      <c r="A101" s="308"/>
      <c r="B101" s="2394" t="s">
        <v>3836</v>
      </c>
      <c r="C101" s="2394"/>
      <c r="D101" s="2394"/>
      <c r="E101" s="2449"/>
      <c r="F101" s="325" t="s">
        <v>167</v>
      </c>
      <c r="G101" s="326">
        <f>SUM(G97:G100)</f>
        <v>11.1</v>
      </c>
      <c r="H101" s="308"/>
    </row>
    <row r="102" spans="1:8" ht="15.75" thickBot="1">
      <c r="A102" s="308"/>
      <c r="B102" s="2394"/>
      <c r="C102" s="2394"/>
      <c r="D102" s="2394"/>
      <c r="E102" s="2394"/>
      <c r="F102" s="669"/>
      <c r="G102" s="669"/>
      <c r="H102" s="308"/>
    </row>
    <row r="103" spans="1:8" ht="20.25">
      <c r="A103" s="308"/>
      <c r="B103" s="1744" t="str">
        <f>B98</f>
        <v>COTAÇÃO</v>
      </c>
      <c r="C103" s="2399" t="s">
        <v>1838</v>
      </c>
      <c r="D103" s="2400"/>
      <c r="E103" s="2400"/>
      <c r="F103" s="2401"/>
      <c r="G103" s="1676" t="s">
        <v>22</v>
      </c>
      <c r="H103" s="684" t="s">
        <v>1977</v>
      </c>
    </row>
    <row r="104" spans="1:8" ht="31.5">
      <c r="A104" s="308"/>
      <c r="B104" s="810" t="s">
        <v>174</v>
      </c>
      <c r="C104" s="811" t="s">
        <v>175</v>
      </c>
      <c r="D104" s="812" t="s">
        <v>176</v>
      </c>
      <c r="E104" s="813" t="s">
        <v>177</v>
      </c>
      <c r="F104" s="837" t="s">
        <v>178</v>
      </c>
      <c r="G104" s="815" t="s">
        <v>179</v>
      </c>
      <c r="H104" s="308"/>
    </row>
    <row r="105" spans="1:8" ht="15.75">
      <c r="A105" s="308"/>
      <c r="B105" s="1137">
        <v>45264</v>
      </c>
      <c r="C105" s="1114" t="s">
        <v>2708</v>
      </c>
      <c r="D105" s="1115">
        <v>9.24</v>
      </c>
      <c r="E105" s="1192" t="s">
        <v>545</v>
      </c>
      <c r="F105" s="1139" t="s">
        <v>1808</v>
      </c>
      <c r="G105" s="968" t="s">
        <v>555</v>
      </c>
      <c r="H105"/>
    </row>
    <row r="106" spans="1:8" ht="15.75">
      <c r="A106" s="308"/>
      <c r="B106" s="1137">
        <v>45264</v>
      </c>
      <c r="C106" s="1114" t="s">
        <v>502</v>
      </c>
      <c r="D106" s="1115">
        <v>7.96</v>
      </c>
      <c r="E106" s="1192" t="s">
        <v>1846</v>
      </c>
      <c r="F106" s="1328" t="s">
        <v>192</v>
      </c>
      <c r="G106" s="1329" t="s">
        <v>5565</v>
      </c>
      <c r="H106"/>
    </row>
    <row r="107" spans="1:8" ht="15.75">
      <c r="A107" s="308"/>
      <c r="B107" s="1299">
        <v>45254</v>
      </c>
      <c r="C107" s="1114" t="s">
        <v>4588</v>
      </c>
      <c r="D107" s="1115">
        <v>11.62</v>
      </c>
      <c r="E107" s="1192" t="s">
        <v>5057</v>
      </c>
      <c r="F107" s="1139" t="s">
        <v>1979</v>
      </c>
      <c r="G107" s="968" t="s">
        <v>5871</v>
      </c>
      <c r="H107"/>
    </row>
    <row r="108" spans="1:8" ht="16.5" thickBot="1">
      <c r="A108" s="308"/>
      <c r="B108" s="1738"/>
      <c r="C108" s="1739" t="s">
        <v>180</v>
      </c>
      <c r="D108" s="1737">
        <f>IF(COUNT(D104:D107)=3,MEDIAN(D104:D107),SMALL(D105:D107,1))</f>
        <v>9.24</v>
      </c>
      <c r="E108" s="1740"/>
      <c r="F108" s="1741"/>
      <c r="G108" s="1742"/>
      <c r="H108" s="308"/>
    </row>
    <row r="109" spans="1:8" ht="13.5" thickBot="1"/>
    <row r="110" spans="1:8" ht="24.75" customHeight="1">
      <c r="A110" s="308"/>
      <c r="B110" s="623" t="str">
        <f>IF(COUNT($H$17:H110)&lt;10,CONCATENATE("CPU IP 00",COUNT($H$17:H110)),CONCATENATE("CPU IP 0",COUNT($H$17:H110)))</f>
        <v>CPU IP 010</v>
      </c>
      <c r="C110" s="2180" t="str">
        <f>CONCATENATE("FORNECIMENTO E INSTALAÇÃO DE ",C113)</f>
        <v>FORNECIMENTO E INSTALAÇÃO DE CONECTOR PERFURANTE CDP-120 - (D: 25mm²/150mm² x P: 25mm²/ 150mm²)</v>
      </c>
      <c r="D110" s="2180"/>
      <c r="E110" s="2180"/>
      <c r="F110" s="2180"/>
      <c r="G110" s="247" t="str">
        <f>D113</f>
        <v>UN</v>
      </c>
      <c r="H110" s="615">
        <f>G116</f>
        <v>31.849999999999998</v>
      </c>
    </row>
    <row r="111" spans="1:8" ht="47.25">
      <c r="A111" s="308"/>
      <c r="B111" s="1093" t="s">
        <v>1836</v>
      </c>
      <c r="C111" s="1194" t="s">
        <v>161</v>
      </c>
      <c r="D111" s="1194" t="s">
        <v>22</v>
      </c>
      <c r="E111" s="1194" t="s">
        <v>162</v>
      </c>
      <c r="F111" s="1195" t="s">
        <v>163</v>
      </c>
      <c r="G111" s="1196" t="s">
        <v>164</v>
      </c>
      <c r="H111" s="308"/>
    </row>
    <row r="112" spans="1:8" ht="15.75">
      <c r="A112" s="308"/>
      <c r="B112" s="2300" t="s">
        <v>165</v>
      </c>
      <c r="C112" s="2301"/>
      <c r="D112" s="2301"/>
      <c r="E112" s="2301"/>
      <c r="F112" s="2301"/>
      <c r="G112" s="2302"/>
      <c r="H112" s="308"/>
    </row>
    <row r="113" spans="1:10" ht="30.75" thickBot="1">
      <c r="A113" s="308"/>
      <c r="B113" s="1203" t="s">
        <v>181</v>
      </c>
      <c r="C113" s="1204" t="str">
        <f>C118</f>
        <v>CONECTOR PERFURANTE CDP-120 - (D: 25mm²/150mm² x P: 25mm²/ 150mm²)</v>
      </c>
      <c r="D113" s="1457" t="s">
        <v>22</v>
      </c>
      <c r="E113" s="1102">
        <v>1</v>
      </c>
      <c r="F113" s="1207">
        <f>D123</f>
        <v>29.99</v>
      </c>
      <c r="G113" s="1199">
        <f>TRUNC(F113*E113,2)</f>
        <v>29.99</v>
      </c>
      <c r="H113" s="308"/>
      <c r="J113" s="1523">
        <v>88264</v>
      </c>
    </row>
    <row r="114" spans="1:10" ht="15.75">
      <c r="A114" s="308"/>
      <c r="B114" s="2300" t="s">
        <v>166</v>
      </c>
      <c r="C114" s="2301"/>
      <c r="D114" s="2301"/>
      <c r="E114" s="2301"/>
      <c r="F114" s="2301"/>
      <c r="G114" s="2302"/>
      <c r="H114" s="308"/>
    </row>
    <row r="115" spans="1:10" ht="16.5" thickBot="1">
      <c r="A115" s="333" t="s">
        <v>391</v>
      </c>
      <c r="B115" s="1523">
        <v>88264</v>
      </c>
      <c r="C115" s="1103" t="str">
        <f>IF($A115="INSUMO",VLOOKUP($B115,'BANCO DE DADOS JANEIRO-24 INS'!$A:$D,2,FALSE),VLOOKUP($B115,'BANCO DE DADOS JANEIRO-24 SERV'!$B:$E,2,FALSE))</f>
        <v>ELETRICISTA COM ENCARGOS COMPLEMENTARES</v>
      </c>
      <c r="D115" s="1104" t="str">
        <f>IF($A115="INSUMO",VLOOKUP($B115,'BANCO DE DADOS JANEIRO-24 INS'!$A:$D,3,FALSE),VLOOKUP($B115,'BANCO DE DADOS JANEIRO-24 SERV'!$B:$E,3,FALSE))</f>
        <v>H</v>
      </c>
      <c r="E115" s="1184">
        <v>7.0000000000000007E-2</v>
      </c>
      <c r="F115" s="1105">
        <f>IF($A115="INSUMO",VLOOKUP($B115,'BANCO DE DADOS JANEIRO-24 INS'!$A:$D,4,FALSE),VLOOKUP($B115,'BANCO DE DADOS JANEIRO-24 SERV'!$B:$E,4,FALSE))</f>
        <v>26.68</v>
      </c>
      <c r="G115" s="1202">
        <f>TRUNC(F115*E115,2)</f>
        <v>1.86</v>
      </c>
      <c r="H115" s="308"/>
    </row>
    <row r="116" spans="1:10" ht="16.5" thickBot="1">
      <c r="A116" s="308"/>
      <c r="B116" s="2394" t="s">
        <v>1881</v>
      </c>
      <c r="C116" s="2394"/>
      <c r="D116" s="2394"/>
      <c r="E116" s="2449"/>
      <c r="F116" s="325" t="s">
        <v>167</v>
      </c>
      <c r="G116" s="326">
        <f>SUM(G113:G115)</f>
        <v>31.849999999999998</v>
      </c>
      <c r="H116" s="308"/>
    </row>
    <row r="117" spans="1:10" ht="15">
      <c r="A117" s="308"/>
      <c r="B117" s="2394"/>
      <c r="C117" s="2394"/>
      <c r="D117" s="2394"/>
      <c r="E117" s="2394"/>
      <c r="F117" s="669"/>
      <c r="G117" s="669"/>
      <c r="H117" s="308"/>
    </row>
    <row r="118" spans="1:10" s="1567" customFormat="1" ht="31.5" customHeight="1">
      <c r="A118" s="1564"/>
      <c r="B118" s="1745" t="str">
        <f>B113</f>
        <v>COTAÇÃO</v>
      </c>
      <c r="C118" s="2451" t="s">
        <v>7353</v>
      </c>
      <c r="D118" s="2452"/>
      <c r="E118" s="2452"/>
      <c r="F118" s="2453"/>
      <c r="G118" s="1725" t="s">
        <v>21</v>
      </c>
      <c r="H118" s="1566" t="s">
        <v>1977</v>
      </c>
    </row>
    <row r="119" spans="1:10" ht="31.5">
      <c r="A119" s="308"/>
      <c r="B119" s="1108" t="s">
        <v>174</v>
      </c>
      <c r="C119" s="1108" t="s">
        <v>175</v>
      </c>
      <c r="D119" s="1109" t="s">
        <v>176</v>
      </c>
      <c r="E119" s="1110" t="s">
        <v>177</v>
      </c>
      <c r="F119" s="1111" t="s">
        <v>178</v>
      </c>
      <c r="G119" s="1295" t="s">
        <v>179</v>
      </c>
      <c r="H119" s="308"/>
    </row>
    <row r="120" spans="1:10" ht="15">
      <c r="A120" s="308"/>
      <c r="B120" s="1279">
        <v>45180</v>
      </c>
      <c r="C120" s="1306" t="s">
        <v>5879</v>
      </c>
      <c r="D120" s="1310">
        <v>29.99</v>
      </c>
      <c r="E120" s="1220" t="s">
        <v>2185</v>
      </c>
      <c r="F120" s="1331" t="s">
        <v>4611</v>
      </c>
      <c r="G120" s="1335" t="s">
        <v>2840</v>
      </c>
      <c r="H120" s="675"/>
    </row>
    <row r="121" spans="1:10" ht="15">
      <c r="A121" s="308"/>
      <c r="B121" s="1279">
        <v>45181</v>
      </c>
      <c r="C121" s="1306" t="s">
        <v>4588</v>
      </c>
      <c r="D121" s="1310">
        <v>21.84</v>
      </c>
      <c r="E121" s="1220" t="s">
        <v>5057</v>
      </c>
      <c r="F121" s="1331" t="s">
        <v>1979</v>
      </c>
      <c r="G121" s="1335" t="s">
        <v>5871</v>
      </c>
      <c r="H121" s="675"/>
    </row>
    <row r="122" spans="1:10" ht="15">
      <c r="A122" s="308"/>
      <c r="B122" s="1299">
        <v>45181</v>
      </c>
      <c r="C122" s="1297" t="s">
        <v>513</v>
      </c>
      <c r="D122" s="1333">
        <v>42.95</v>
      </c>
      <c r="E122" s="1192" t="s">
        <v>514</v>
      </c>
      <c r="F122" s="1298" t="s">
        <v>515</v>
      </c>
      <c r="G122" s="1364" t="s">
        <v>5882</v>
      </c>
      <c r="H122" s="675"/>
    </row>
    <row r="123" spans="1:10" s="1567" customFormat="1" ht="15.75">
      <c r="A123" s="1564"/>
      <c r="B123" s="1726"/>
      <c r="C123" s="1721" t="s">
        <v>180</v>
      </c>
      <c r="D123" s="1727">
        <f>IF(COUNT(D119:D122)=3,MEDIAN(D119:D122),SMALL(D120:D122,1))</f>
        <v>29.99</v>
      </c>
      <c r="E123" s="1728"/>
      <c r="F123" s="1729"/>
      <c r="G123" s="1730"/>
      <c r="H123" s="1564"/>
    </row>
    <row r="124" spans="1:10" ht="13.5" thickBot="1"/>
    <row r="125" spans="1:10" ht="33.75" customHeight="1">
      <c r="A125" s="308"/>
      <c r="B125" s="623" t="str">
        <f>IF(COUNT($H$17:H125)&lt;10,CONCATENATE("CPU IP 00",COUNT($H$17:H125)),CONCATENATE("CPU IP 0",COUNT($H$17:H125)))</f>
        <v>CPU IP 011</v>
      </c>
      <c r="C125" s="2180" t="str">
        <f>CONCATENATE("FORNECIMENTO E INSTALAÇÃO DE ",C128)</f>
        <v xml:space="preserve">FORNECIMENTO E INSTALAÇÃO DE ARMACAO VERTICAL COM HASTE E CONTRA-PINO, EM CHAPA DE ACO GALVANIZADO 3/16", COM 1 ESTRIBO E 1 ISOLADOR                                                                                                                                                                                                                                                                                                                                                                                                   </v>
      </c>
      <c r="D125" s="2180"/>
      <c r="E125" s="2180"/>
      <c r="F125" s="2180"/>
      <c r="G125" s="624" t="s">
        <v>1879</v>
      </c>
      <c r="H125" s="615">
        <f>G133</f>
        <v>139.69</v>
      </c>
    </row>
    <row r="126" spans="1:10" ht="47.25">
      <c r="A126" s="308"/>
      <c r="B126" s="750" t="s">
        <v>1836</v>
      </c>
      <c r="C126" s="826" t="s">
        <v>161</v>
      </c>
      <c r="D126" s="826" t="s">
        <v>22</v>
      </c>
      <c r="E126" s="826" t="s">
        <v>162</v>
      </c>
      <c r="F126" s="827" t="s">
        <v>163</v>
      </c>
      <c r="G126" s="832" t="s">
        <v>164</v>
      </c>
      <c r="H126" s="308"/>
    </row>
    <row r="127" spans="1:10" ht="15.75">
      <c r="A127" s="308"/>
      <c r="B127" s="2446" t="s">
        <v>165</v>
      </c>
      <c r="C127" s="2447"/>
      <c r="D127" s="2447"/>
      <c r="E127" s="2447"/>
      <c r="F127" s="2447"/>
      <c r="G127" s="2448"/>
      <c r="H127" s="308"/>
    </row>
    <row r="128" spans="1:10" ht="30">
      <c r="A128" s="333" t="s">
        <v>390</v>
      </c>
      <c r="B128" s="754">
        <v>1091</v>
      </c>
      <c r="C128" s="728" t="str">
        <f>IF($A128="INSUMO",VLOOKUP($B128,'BANCO DE DADOS JANEIRO-24 INS'!$A:$D,2,FALSE),VLOOKUP($B128,'BANCO DE DADOS JANEIRO-24 SERV'!$B:$E,2,FALSE))</f>
        <v xml:space="preserve">ARMACAO VERTICAL COM HASTE E CONTRA-PINO, EM CHAPA DE ACO GALVANIZADO 3/16", COM 1 ESTRIBO E 1 ISOLADOR                                                                                                                                                                                                                                                                                                                                                                                                   </v>
      </c>
      <c r="D128" s="732" t="str">
        <f>IF($A128="INSUMO",VLOOKUP($B128,'BANCO DE DADOS JANEIRO-24 INS'!$A:$D,3,FALSE),VLOOKUP($B128,'BANCO DE DADOS JANEIRO-24 SERV'!$B:$E,3,FALSE))</f>
        <v xml:space="preserve">UN    </v>
      </c>
      <c r="E128" s="839">
        <v>1</v>
      </c>
      <c r="F128" s="755">
        <f>IF($A128="INSUMO",VLOOKUP($B128,'BANCO DE DADOS JANEIRO-24 INS'!$A:$D,4,FALSE),VLOOKUP($B128,'BANCO DE DADOS JANEIRO-24 SERV'!$B:$E,4,FALSE))</f>
        <v>44.29</v>
      </c>
      <c r="G128" s="840">
        <f>TRUNC(F128*E128,2)</f>
        <v>44.29</v>
      </c>
      <c r="H128" s="308"/>
    </row>
    <row r="129" spans="1:8" ht="30">
      <c r="A129" s="333" t="s">
        <v>390</v>
      </c>
      <c r="B129" s="841">
        <v>39158</v>
      </c>
      <c r="C129" s="728" t="str">
        <f>IF($A129="INSUMO",VLOOKUP($B129,'BANCO DE DADOS JANEIRO-24 INS'!$A:$D,2,FALSE),VLOOKUP($B129,'BANCO DE DADOS JANEIRO-24 SERV'!$B:$E,2,FALSE))</f>
        <v xml:space="preserve">ABRACADEIRA EM ACO PARA AMARRACAO DE ELETRODUTOS, TIPO ECONOMICA (GOTA), COM 8"                                                                                                                                                                                                                                                                                                                                                                                                                           </v>
      </c>
      <c r="D129" s="732" t="str">
        <f>IF($A129="INSUMO",VLOOKUP($B129,'BANCO DE DADOS JANEIRO-24 INS'!$A:$D,3,FALSE),VLOOKUP($B129,'BANCO DE DADOS JANEIRO-24 SERV'!$B:$E,3,FALSE))</f>
        <v xml:space="preserve">UN    </v>
      </c>
      <c r="E129" s="839">
        <v>1</v>
      </c>
      <c r="F129" s="755">
        <f>IF($A129="INSUMO",VLOOKUP($B129,'BANCO DE DADOS JANEIRO-24 INS'!$A:$D,4,FALSE),VLOOKUP($B129,'BANCO DE DADOS JANEIRO-24 SERV'!$B:$E,4,FALSE))</f>
        <v>22.44</v>
      </c>
      <c r="G129" s="840">
        <f>TRUNC(F129*E129,2)</f>
        <v>22.44</v>
      </c>
      <c r="H129" s="308"/>
    </row>
    <row r="130" spans="1:8" ht="15.75">
      <c r="A130" s="308"/>
      <c r="B130" s="2446" t="s">
        <v>166</v>
      </c>
      <c r="C130" s="2447"/>
      <c r="D130" s="2447"/>
      <c r="E130" s="2447"/>
      <c r="F130" s="2447"/>
      <c r="G130" s="2448"/>
      <c r="H130" s="308"/>
    </row>
    <row r="131" spans="1:8" ht="15.75">
      <c r="A131" s="333" t="s">
        <v>391</v>
      </c>
      <c r="B131" s="841">
        <v>88247</v>
      </c>
      <c r="C131" s="728" t="str">
        <f>IF($A131="INSUMO",VLOOKUP($B131,'BANCO DE DADOS JANEIRO-24 INS'!$A:$D,2,FALSE),VLOOKUP($B131,'BANCO DE DADOS JANEIRO-24 SERV'!$B:$E,2,FALSE))</f>
        <v>AUXILIAR DE ELETRICISTA COM ENCARGOS COMPLEMENTARES</v>
      </c>
      <c r="D131" s="732" t="str">
        <f>IF($A131="INSUMO",VLOOKUP($B131,'BANCO DE DADOS JANEIRO-24 INS'!$A:$D,3,FALSE),VLOOKUP($B131,'BANCO DE DADOS JANEIRO-24 SERV'!$B:$E,3,FALSE))</f>
        <v>H</v>
      </c>
      <c r="E131" s="839">
        <v>1.5</v>
      </c>
      <c r="F131" s="755">
        <f>IF($A131="INSUMO",VLOOKUP($B131,'BANCO DE DADOS JANEIRO-24 INS'!$A:$D,4,FALSE),VLOOKUP($B131,'BANCO DE DADOS JANEIRO-24 SERV'!$B:$E,4,FALSE))</f>
        <v>21.96</v>
      </c>
      <c r="G131" s="840">
        <f>TRUNC(F131*E131,2)</f>
        <v>32.94</v>
      </c>
      <c r="H131" s="308"/>
    </row>
    <row r="132" spans="1:8" ht="16.5" thickBot="1">
      <c r="A132" s="333" t="s">
        <v>391</v>
      </c>
      <c r="B132" s="625">
        <v>88264</v>
      </c>
      <c r="C132" s="731" t="str">
        <f>IF($A132="INSUMO",VLOOKUP($B132,'BANCO DE DADOS JANEIRO-24 INS'!$A:$D,2,FALSE),VLOOKUP($B132,'BANCO DE DADOS JANEIRO-24 SERV'!$B:$E,2,FALSE))</f>
        <v>ELETRICISTA COM ENCARGOS COMPLEMENTARES</v>
      </c>
      <c r="D132" s="729" t="str">
        <f>IF($A132="INSUMO",VLOOKUP($B132,'BANCO DE DADOS JANEIRO-24 INS'!$A:$D,3,FALSE),VLOOKUP($B132,'BANCO DE DADOS JANEIRO-24 SERV'!$B:$E,3,FALSE))</f>
        <v>H</v>
      </c>
      <c r="E132" s="842">
        <v>1.5</v>
      </c>
      <c r="F132" s="757">
        <f>IF($A132="INSUMO",VLOOKUP($B132,'BANCO DE DADOS JANEIRO-24 INS'!$A:$D,4,FALSE),VLOOKUP($B132,'BANCO DE DADOS JANEIRO-24 SERV'!$B:$E,4,FALSE))</f>
        <v>26.68</v>
      </c>
      <c r="G132" s="626">
        <f>TRUNC(F132*E132,2)</f>
        <v>40.020000000000003</v>
      </c>
      <c r="H132" s="308"/>
    </row>
    <row r="133" spans="1:8" ht="16.5" thickBot="1">
      <c r="A133" s="308"/>
      <c r="B133" s="2394" t="s">
        <v>1878</v>
      </c>
      <c r="C133" s="2394"/>
      <c r="D133" s="2394"/>
      <c r="E133" s="2449"/>
      <c r="F133" s="325" t="s">
        <v>167</v>
      </c>
      <c r="G133" s="326">
        <f>SUM(G128:G132)</f>
        <v>139.69</v>
      </c>
      <c r="H133" s="308"/>
    </row>
    <row r="134" spans="1:8" ht="15.75" thickBot="1">
      <c r="A134" s="308"/>
      <c r="B134" s="2394"/>
      <c r="C134" s="2394"/>
      <c r="D134" s="2394"/>
      <c r="E134" s="2394"/>
      <c r="F134" s="669"/>
      <c r="G134" s="669"/>
      <c r="H134" s="308"/>
    </row>
    <row r="135" spans="1:8" ht="36.75" customHeight="1">
      <c r="A135" s="308"/>
      <c r="B135" s="623" t="str">
        <f>IF(COUNT($H$17:H135)&lt;10,CONCATENATE("CPU IP 00",COUNT($H$17:H135)),CONCATENATE("CPU IP 0",COUNT($H$17:H135)))</f>
        <v>CPU IP 012</v>
      </c>
      <c r="C135" s="2180" t="str">
        <f>CONCATENATE("FORNECIMENTO E INSTALAÇÃO DE ",C138)</f>
        <v xml:space="preserve">FORNECIMENTO E INSTALAÇÃO DE FIO DE COBRE, SOLIDO, CLASSE 1, ISOLACAO EM PVC/A, ANTICHAMA BWF-B, 450/750V, SECAO NOMINAL 6 MM2                                                                                                                                                                                                                                                                                                                                                                                                         </v>
      </c>
      <c r="D135" s="2180"/>
      <c r="E135" s="2180"/>
      <c r="F135" s="2180"/>
      <c r="G135" s="624" t="str">
        <f>D138</f>
        <v xml:space="preserve">M     </v>
      </c>
      <c r="H135" s="615">
        <f>G142</f>
        <v>11.030000000000001</v>
      </c>
    </row>
    <row r="136" spans="1:8" ht="47.25">
      <c r="A136" s="308"/>
      <c r="B136" s="750" t="s">
        <v>1836</v>
      </c>
      <c r="C136" s="826" t="s">
        <v>161</v>
      </c>
      <c r="D136" s="826" t="s">
        <v>22</v>
      </c>
      <c r="E136" s="826" t="s">
        <v>162</v>
      </c>
      <c r="F136" s="827" t="s">
        <v>163</v>
      </c>
      <c r="G136" s="832" t="s">
        <v>164</v>
      </c>
      <c r="H136" s="308"/>
    </row>
    <row r="137" spans="1:8" ht="15.75">
      <c r="A137" s="308"/>
      <c r="B137" s="2446" t="s">
        <v>165</v>
      </c>
      <c r="C137" s="2447"/>
      <c r="D137" s="2447"/>
      <c r="E137" s="2447"/>
      <c r="F137" s="2447"/>
      <c r="G137" s="2448"/>
      <c r="H137" s="308"/>
    </row>
    <row r="138" spans="1:8" ht="30">
      <c r="A138" s="333" t="s">
        <v>390</v>
      </c>
      <c r="B138" s="754">
        <v>940</v>
      </c>
      <c r="C138" s="728" t="str">
        <f>IF($A138="INSUMO",VLOOKUP($B138,'BANCO DE DADOS JANEIRO-24 INS'!$A:$D,2,FALSE),VLOOKUP($B138,'BANCO DE DADOS JANEIRO-24 SERV'!$B:$E,2,FALSE))</f>
        <v xml:space="preserve">FIO DE COBRE, SOLIDO, CLASSE 1, ISOLACAO EM PVC/A, ANTICHAMA BWF-B, 450/750V, SECAO NOMINAL 6 MM2                                                                                                                                                                                                                                                                                                                                                                                                         </v>
      </c>
      <c r="D138" s="732" t="str">
        <f>IF($A138="INSUMO",VLOOKUP($B138,'BANCO DE DADOS JANEIRO-24 INS'!$A:$D,3,FALSE),VLOOKUP($B138,'BANCO DE DADOS JANEIRO-24 SERV'!$B:$E,3,FALSE))</f>
        <v xml:space="preserve">M     </v>
      </c>
      <c r="E138" s="820">
        <v>1.02</v>
      </c>
      <c r="F138" s="755">
        <f>IF($A138="INSUMO",VLOOKUP($B138,'BANCO DE DADOS JANEIRO-24 INS'!$A:$D,4,FALSE),VLOOKUP($B138,'BANCO DE DADOS JANEIRO-24 SERV'!$B:$E,4,FALSE))</f>
        <v>5.3</v>
      </c>
      <c r="G138" s="840">
        <f>TRUNC(F138*E138,2)</f>
        <v>5.4</v>
      </c>
      <c r="H138" s="308"/>
    </row>
    <row r="139" spans="1:8" ht="15.75">
      <c r="A139" s="308"/>
      <c r="B139" s="2446" t="s">
        <v>166</v>
      </c>
      <c r="C139" s="2447"/>
      <c r="D139" s="2447"/>
      <c r="E139" s="2447"/>
      <c r="F139" s="2447"/>
      <c r="G139" s="2448"/>
      <c r="H139" s="308"/>
    </row>
    <row r="140" spans="1:8" ht="15.75">
      <c r="A140" s="333" t="s">
        <v>391</v>
      </c>
      <c r="B140" s="1200">
        <v>88316</v>
      </c>
      <c r="C140" s="728" t="str">
        <f>IF($A140="INSUMO",VLOOKUP($B140,'BANCO DE DADOS JANEIRO-24 INS'!$A:$D,2,FALSE),VLOOKUP($B140,'BANCO DE DADOS JANEIRO-24 SERV'!$B:$E,2,FALSE))</f>
        <v>SERVENTE COM ENCARGOS COMPLEMENTARES</v>
      </c>
      <c r="D140" s="732" t="str">
        <f>IF($A140="INSUMO",VLOOKUP($B140,'BANCO DE DADOS JANEIRO-24 INS'!$A:$D,3,FALSE),VLOOKUP($B140,'BANCO DE DADOS JANEIRO-24 SERV'!$B:$E,3,FALSE))</f>
        <v>H</v>
      </c>
      <c r="E140" s="820">
        <v>0.12</v>
      </c>
      <c r="F140" s="755">
        <f>IF($A140="INSUMO",VLOOKUP($B140,'BANCO DE DADOS JANEIRO-24 INS'!$A:$D,4,FALSE),VLOOKUP($B140,'BANCO DE DADOS JANEIRO-24 SERV'!$B:$E,4,FALSE))</f>
        <v>20.32</v>
      </c>
      <c r="G140" s="840">
        <f>TRUNC(F140*E140,2)</f>
        <v>2.4300000000000002</v>
      </c>
      <c r="H140" s="308"/>
    </row>
    <row r="141" spans="1:8" ht="16.5" thickBot="1">
      <c r="A141" s="333" t="s">
        <v>391</v>
      </c>
      <c r="B141" s="1568">
        <v>88264</v>
      </c>
      <c r="C141" s="731" t="str">
        <f>IF($A141="INSUMO",VLOOKUP($B141,'BANCO DE DADOS JANEIRO-24 INS'!$A:$D,2,FALSE),VLOOKUP($B141,'BANCO DE DADOS JANEIRO-24 SERV'!$B:$E,2,FALSE))</f>
        <v>ELETRICISTA COM ENCARGOS COMPLEMENTARES</v>
      </c>
      <c r="D141" s="729" t="str">
        <f>IF($A141="INSUMO",VLOOKUP($B141,'BANCO DE DADOS JANEIRO-24 INS'!$A:$D,3,FALSE),VLOOKUP($B141,'BANCO DE DADOS JANEIRO-24 SERV'!$B:$E,3,FALSE))</f>
        <v>H</v>
      </c>
      <c r="E141" s="850">
        <v>0.12</v>
      </c>
      <c r="F141" s="757">
        <f>IF($A141="INSUMO",VLOOKUP($B141,'BANCO DE DADOS JANEIRO-24 INS'!$A:$D,4,FALSE),VLOOKUP($B141,'BANCO DE DADOS JANEIRO-24 SERV'!$B:$E,4,FALSE))</f>
        <v>26.68</v>
      </c>
      <c r="G141" s="626">
        <f>TRUNC(F141*E141,2)</f>
        <v>3.2</v>
      </c>
      <c r="H141" s="308"/>
    </row>
    <row r="142" spans="1:8" ht="16.5" thickBot="1">
      <c r="A142" s="308"/>
      <c r="B142" s="2450" t="s">
        <v>7365</v>
      </c>
      <c r="C142" s="2450"/>
      <c r="D142" s="2450"/>
      <c r="E142" s="2450"/>
      <c r="F142" s="325" t="s">
        <v>167</v>
      </c>
      <c r="G142" s="326">
        <f>SUM(G138:G141)</f>
        <v>11.030000000000001</v>
      </c>
      <c r="H142" s="308"/>
    </row>
    <row r="143" spans="1:8">
      <c r="B143" s="2450"/>
      <c r="C143" s="2450"/>
      <c r="D143" s="2450"/>
      <c r="E143" s="2450"/>
    </row>
    <row r="144" spans="1:8" ht="13.5" thickBot="1"/>
    <row r="145" spans="1:8" ht="33.75" customHeight="1">
      <c r="A145" s="308"/>
      <c r="B145" s="623" t="str">
        <f>IF(COUNT($H$17:H145)&lt;10,CONCATENATE("CPU IP 00",COUNT($H$17:H145)),CONCATENATE("CPU IP 0",COUNT($H$17:H145)))</f>
        <v>CPU IP 013</v>
      </c>
      <c r="C145" s="2180" t="str">
        <f>CONCATENATE("FORNECIMENTO E INSTALAÇÃO DE ",C148)</f>
        <v xml:space="preserve">FORNECIMENTO E INSTALAÇÃO DE CONTATOR TRIPOLAR, CORRENTE DE 32 A, TENSAO NOMINAL DE *500* V, CATEGORIA AC-2 E AC-3                                                                                                                                                                                                                                                                                                                                                                                                                     </v>
      </c>
      <c r="D145" s="2180"/>
      <c r="E145" s="2180"/>
      <c r="F145" s="2180"/>
      <c r="G145" s="247" t="str">
        <f>D148</f>
        <v xml:space="preserve">UN    </v>
      </c>
      <c r="H145" s="615">
        <f>G153</f>
        <v>455.57</v>
      </c>
    </row>
    <row r="146" spans="1:8" ht="47.25">
      <c r="A146" s="308"/>
      <c r="B146" s="750" t="s">
        <v>1836</v>
      </c>
      <c r="C146" s="826" t="s">
        <v>161</v>
      </c>
      <c r="D146" s="826" t="s">
        <v>22</v>
      </c>
      <c r="E146" s="826" t="s">
        <v>162</v>
      </c>
      <c r="F146" s="827" t="s">
        <v>163</v>
      </c>
      <c r="G146" s="832" t="s">
        <v>164</v>
      </c>
      <c r="H146" s="308"/>
    </row>
    <row r="147" spans="1:8" ht="15.75">
      <c r="A147" s="308"/>
      <c r="B147" s="2446" t="s">
        <v>165</v>
      </c>
      <c r="C147" s="2447"/>
      <c r="D147" s="2447"/>
      <c r="E147" s="2447"/>
      <c r="F147" s="2447"/>
      <c r="G147" s="2448"/>
      <c r="H147" s="308"/>
    </row>
    <row r="148" spans="1:8" ht="30">
      <c r="A148" s="333" t="s">
        <v>390</v>
      </c>
      <c r="B148" s="841">
        <v>1614</v>
      </c>
      <c r="C148" s="728" t="str">
        <f>IF($A148="INSUMO",VLOOKUP($B148,'BANCO DE DADOS JANEIRO-24 INS'!$A:$D,2,FALSE),VLOOKUP($B148,'BANCO DE DADOS JANEIRO-24 SERV'!$B:$E,2,FALSE))</f>
        <v xml:space="preserve">CONTATOR TRIPOLAR, CORRENTE DE 32 A, TENSAO NOMINAL DE *500* V, CATEGORIA AC-2 E AC-3                                                                                                                                                                                                                                                                                                                                                                                                                     </v>
      </c>
      <c r="D148" s="732" t="str">
        <f>IF($A148="INSUMO",VLOOKUP($B148,'BANCO DE DADOS JANEIRO-24 INS'!$A:$D,3,FALSE),VLOOKUP($B148,'BANCO DE DADOS JANEIRO-24 SERV'!$B:$E,3,FALSE))</f>
        <v xml:space="preserve">UN    </v>
      </c>
      <c r="E148" s="839">
        <v>1</v>
      </c>
      <c r="F148" s="755">
        <f>IF($A148="INSUMO",VLOOKUP($B148,'BANCO DE DADOS JANEIRO-24 INS'!$A:$D,4,FALSE),VLOOKUP($B148,'BANCO DE DADOS JANEIRO-24 SERV'!$B:$E,4,FALSE))</f>
        <v>254.33</v>
      </c>
      <c r="G148" s="840">
        <f>TRUNC(F148*E148,2)</f>
        <v>254.33</v>
      </c>
      <c r="H148" s="308"/>
    </row>
    <row r="149" spans="1:8" ht="15.75">
      <c r="A149" s="308"/>
      <c r="B149" s="2446" t="s">
        <v>166</v>
      </c>
      <c r="C149" s="2447"/>
      <c r="D149" s="2447"/>
      <c r="E149" s="2447"/>
      <c r="F149" s="2447"/>
      <c r="G149" s="2448"/>
      <c r="H149" s="308"/>
    </row>
    <row r="150" spans="1:8" ht="15.75">
      <c r="A150" s="333" t="s">
        <v>391</v>
      </c>
      <c r="B150" s="841">
        <v>88247</v>
      </c>
      <c r="C150" s="728" t="str">
        <f>IF($A150="INSUMO",VLOOKUP($B150,'BANCO DE DADOS JANEIRO-24 INS'!$A:$D,2,FALSE),VLOOKUP($B150,'BANCO DE DADOS JANEIRO-24 SERV'!$B:$E,2,FALSE))</f>
        <v>AUXILIAR DE ELETRICISTA COM ENCARGOS COMPLEMENTARES</v>
      </c>
      <c r="D150" s="732" t="str">
        <f>IF($A150="INSUMO",VLOOKUP($B150,'BANCO DE DADOS JANEIRO-24 INS'!$A:$D,3,FALSE),VLOOKUP($B150,'BANCO DE DADOS JANEIRO-24 SERV'!$B:$E,3,FALSE))</f>
        <v>H</v>
      </c>
      <c r="E150" s="839">
        <v>3.8</v>
      </c>
      <c r="F150" s="755">
        <f>IF($A150="INSUMO",VLOOKUP($B150,'BANCO DE DADOS JANEIRO-24 INS'!$A:$D,4,FALSE),VLOOKUP($B150,'BANCO DE DADOS JANEIRO-24 SERV'!$B:$E,4,FALSE))</f>
        <v>21.96</v>
      </c>
      <c r="G150" s="840">
        <f>TRUNC(F150*E150,2)</f>
        <v>83.44</v>
      </c>
      <c r="H150" s="308"/>
    </row>
    <row r="151" spans="1:8" ht="15.75">
      <c r="A151" s="333" t="s">
        <v>391</v>
      </c>
      <c r="B151" s="841">
        <v>88264</v>
      </c>
      <c r="C151" s="728" t="str">
        <f>IF($A151="INSUMO",VLOOKUP($B151,'BANCO DE DADOS JANEIRO-24 INS'!$A:$D,2,FALSE),VLOOKUP($B151,'BANCO DE DADOS JANEIRO-24 SERV'!$B:$E,2,FALSE))</f>
        <v>ELETRICISTA COM ENCARGOS COMPLEMENTARES</v>
      </c>
      <c r="D151" s="732" t="str">
        <f>IF($A151="INSUMO",VLOOKUP($B151,'BANCO DE DADOS JANEIRO-24 INS'!$A:$D,3,FALSE),VLOOKUP($B151,'BANCO DE DADOS JANEIRO-24 SERV'!$B:$E,3,FALSE))</f>
        <v>H</v>
      </c>
      <c r="E151" s="839">
        <v>3.8</v>
      </c>
      <c r="F151" s="755">
        <f>IF($A151="INSUMO",VLOOKUP($B151,'BANCO DE DADOS JANEIRO-24 INS'!$A:$D,4,FALSE),VLOOKUP($B151,'BANCO DE DADOS JANEIRO-24 SERV'!$B:$E,4,FALSE))</f>
        <v>26.68</v>
      </c>
      <c r="G151" s="840">
        <f>TRUNC(F151*E151,2)</f>
        <v>101.38</v>
      </c>
      <c r="H151" s="308"/>
    </row>
    <row r="152" spans="1:8" ht="16.5" thickBot="1">
      <c r="A152" s="333" t="s">
        <v>391</v>
      </c>
      <c r="B152" s="625">
        <v>88266</v>
      </c>
      <c r="C152" s="731" t="str">
        <f>IF($A152="INSUMO",VLOOKUP($B152,'BANCO DE DADOS JANEIRO-24 INS'!$A:$D,2,FALSE),VLOOKUP($B152,'BANCO DE DADOS JANEIRO-24 SERV'!$B:$E,2,FALSE))</f>
        <v>ELETROTÉCNICO COM ENCARGOS COMPLEMENTARES</v>
      </c>
      <c r="D152" s="729" t="str">
        <f>IF($A152="INSUMO",VLOOKUP($B152,'BANCO DE DADOS JANEIRO-24 INS'!$A:$D,3,FALSE),VLOOKUP($B152,'BANCO DE DADOS JANEIRO-24 SERV'!$B:$E,3,FALSE))</f>
        <v>H</v>
      </c>
      <c r="E152" s="842">
        <v>0.5</v>
      </c>
      <c r="F152" s="757">
        <f>IF($A152="INSUMO",VLOOKUP($B152,'BANCO DE DADOS JANEIRO-24 INS'!$A:$D,4,FALSE),VLOOKUP($B152,'BANCO DE DADOS JANEIRO-24 SERV'!$B:$E,4,FALSE))</f>
        <v>32.85</v>
      </c>
      <c r="G152" s="626">
        <f>TRUNC(F152*E152,2)</f>
        <v>16.420000000000002</v>
      </c>
      <c r="H152" s="308"/>
    </row>
    <row r="153" spans="1:8" ht="16.5" thickBot="1">
      <c r="A153" s="308"/>
      <c r="B153" s="2394" t="s">
        <v>3837</v>
      </c>
      <c r="C153" s="2394"/>
      <c r="D153" s="2394"/>
      <c r="E153" s="2449"/>
      <c r="F153" s="325" t="s">
        <v>167</v>
      </c>
      <c r="G153" s="326">
        <f>SUM(G148:G152)</f>
        <v>455.57</v>
      </c>
      <c r="H153" s="308"/>
    </row>
    <row r="154" spans="1:8" ht="15.75" thickBot="1">
      <c r="A154" s="308"/>
      <c r="B154" s="2394"/>
      <c r="C154" s="2394"/>
      <c r="D154" s="2394"/>
      <c r="E154" s="2394"/>
      <c r="F154" s="669"/>
      <c r="G154" s="669"/>
      <c r="H154" s="308"/>
    </row>
    <row r="155" spans="1:8" ht="35.25" customHeight="1">
      <c r="A155" s="308"/>
      <c r="B155" s="623" t="str">
        <f>IF(COUNT($H$17:H155)&lt;10,CONCATENATE("CPU IP 00",COUNT($H$17:H155)),CONCATENATE("CPU IP 0",COUNT($H$17:H155)))</f>
        <v>CPU IP 014</v>
      </c>
      <c r="C155" s="2180" t="str">
        <f>CONCATENATE("FORNECIMENTO E INSTALAÇÃO DE ",C158)</f>
        <v xml:space="preserve">FORNECIMENTO E INSTALAÇÃO DE CONTATOR TRIPOLAR, CORRENTE DE 45 A, TENSAO NOMINAL DE *500* V, CATEGORIA AC-2 E AC-3                                                                                                                                                                                                                                                                                                                                                                                                                     </v>
      </c>
      <c r="D155" s="2180"/>
      <c r="E155" s="2180"/>
      <c r="F155" s="2180"/>
      <c r="G155" s="247" t="str">
        <f>D158</f>
        <v xml:space="preserve">UN    </v>
      </c>
      <c r="H155" s="615">
        <f>G163</f>
        <v>656.09999999999991</v>
      </c>
    </row>
    <row r="156" spans="1:8" ht="47.25">
      <c r="A156" s="308"/>
      <c r="B156" s="750" t="s">
        <v>1836</v>
      </c>
      <c r="C156" s="826" t="s">
        <v>161</v>
      </c>
      <c r="D156" s="826" t="s">
        <v>22</v>
      </c>
      <c r="E156" s="826" t="s">
        <v>162</v>
      </c>
      <c r="F156" s="827" t="s">
        <v>163</v>
      </c>
      <c r="G156" s="832" t="s">
        <v>164</v>
      </c>
      <c r="H156" s="308"/>
    </row>
    <row r="157" spans="1:8" ht="15.75">
      <c r="A157" s="308"/>
      <c r="B157" s="2446" t="s">
        <v>165</v>
      </c>
      <c r="C157" s="2447"/>
      <c r="D157" s="2447"/>
      <c r="E157" s="2447"/>
      <c r="F157" s="2447"/>
      <c r="G157" s="2448"/>
      <c r="H157" s="308"/>
    </row>
    <row r="158" spans="1:8" ht="30">
      <c r="A158" s="333" t="s">
        <v>390</v>
      </c>
      <c r="B158" s="841">
        <v>1621</v>
      </c>
      <c r="C158" s="728" t="str">
        <f>IF($A158="INSUMO",VLOOKUP($B158,'BANCO DE DADOS JANEIRO-24 INS'!$A:$D,2,FALSE),VLOOKUP($B158,'BANCO DE DADOS JANEIRO-24 SERV'!$B:$E,2,FALSE))</f>
        <v xml:space="preserve">CONTATOR TRIPOLAR, CORRENTE DE 45 A, TENSAO NOMINAL DE *500* V, CATEGORIA AC-2 E AC-3                                                                                                                                                                                                                                                                                                                                                                                                                     </v>
      </c>
      <c r="D158" s="732" t="str">
        <f>IF($A158="INSUMO",VLOOKUP($B158,'BANCO DE DADOS JANEIRO-24 INS'!$A:$D,3,FALSE),VLOOKUP($B158,'BANCO DE DADOS JANEIRO-24 SERV'!$B:$E,3,FALSE))</f>
        <v xml:space="preserve">UN    </v>
      </c>
      <c r="E158" s="839">
        <v>1</v>
      </c>
      <c r="F158" s="755">
        <f>IF($A158="INSUMO",VLOOKUP($B158,'BANCO DE DADOS JANEIRO-24 INS'!$A:$D,4,FALSE),VLOOKUP($B158,'BANCO DE DADOS JANEIRO-24 SERV'!$B:$E,4,FALSE))</f>
        <v>454.86</v>
      </c>
      <c r="G158" s="840">
        <f>TRUNC(F158*E158,2)</f>
        <v>454.86</v>
      </c>
      <c r="H158" s="308"/>
    </row>
    <row r="159" spans="1:8" ht="15.75">
      <c r="A159" s="308"/>
      <c r="B159" s="2446" t="s">
        <v>166</v>
      </c>
      <c r="C159" s="2447"/>
      <c r="D159" s="2447"/>
      <c r="E159" s="2447"/>
      <c r="F159" s="2447"/>
      <c r="G159" s="2448"/>
      <c r="H159" s="308"/>
    </row>
    <row r="160" spans="1:8" ht="15.75">
      <c r="A160" s="333" t="s">
        <v>391</v>
      </c>
      <c r="B160" s="841">
        <v>88247</v>
      </c>
      <c r="C160" s="728" t="str">
        <f>IF($A160="INSUMO",VLOOKUP($B160,'BANCO DE DADOS JANEIRO-24 INS'!$A:$D,2,FALSE),VLOOKUP($B160,'BANCO DE DADOS JANEIRO-24 SERV'!$B:$E,2,FALSE))</f>
        <v>AUXILIAR DE ELETRICISTA COM ENCARGOS COMPLEMENTARES</v>
      </c>
      <c r="D160" s="732" t="str">
        <f>IF($A160="INSUMO",VLOOKUP($B160,'BANCO DE DADOS JANEIRO-24 INS'!$A:$D,3,FALSE),VLOOKUP($B160,'BANCO DE DADOS JANEIRO-24 SERV'!$B:$E,3,FALSE))</f>
        <v>H</v>
      </c>
      <c r="E160" s="839">
        <v>3.8</v>
      </c>
      <c r="F160" s="755">
        <f>IF($A160="INSUMO",VLOOKUP($B160,'BANCO DE DADOS JANEIRO-24 INS'!$A:$D,4,FALSE),VLOOKUP($B160,'BANCO DE DADOS JANEIRO-24 SERV'!$B:$E,4,FALSE))</f>
        <v>21.96</v>
      </c>
      <c r="G160" s="840">
        <f>TRUNC(F160*E160,2)</f>
        <v>83.44</v>
      </c>
      <c r="H160" s="308"/>
    </row>
    <row r="161" spans="1:8" ht="15.75">
      <c r="A161" s="333" t="s">
        <v>391</v>
      </c>
      <c r="B161" s="841">
        <v>88264</v>
      </c>
      <c r="C161" s="728" t="str">
        <f>IF($A161="INSUMO",VLOOKUP($B161,'BANCO DE DADOS JANEIRO-24 INS'!$A:$D,2,FALSE),VLOOKUP($B161,'BANCO DE DADOS JANEIRO-24 SERV'!$B:$E,2,FALSE))</f>
        <v>ELETRICISTA COM ENCARGOS COMPLEMENTARES</v>
      </c>
      <c r="D161" s="732" t="str">
        <f>IF($A161="INSUMO",VLOOKUP($B161,'BANCO DE DADOS JANEIRO-24 INS'!$A:$D,3,FALSE),VLOOKUP($B161,'BANCO DE DADOS JANEIRO-24 SERV'!$B:$E,3,FALSE))</f>
        <v>H</v>
      </c>
      <c r="E161" s="839">
        <v>3.8</v>
      </c>
      <c r="F161" s="755">
        <f>IF($A161="INSUMO",VLOOKUP($B161,'BANCO DE DADOS JANEIRO-24 INS'!$A:$D,4,FALSE),VLOOKUP($B161,'BANCO DE DADOS JANEIRO-24 SERV'!$B:$E,4,FALSE))</f>
        <v>26.68</v>
      </c>
      <c r="G161" s="840">
        <f>TRUNC(F161*E161,2)</f>
        <v>101.38</v>
      </c>
      <c r="H161" s="308"/>
    </row>
    <row r="162" spans="1:8" ht="16.5" thickBot="1">
      <c r="A162" s="333" t="s">
        <v>391</v>
      </c>
      <c r="B162" s="625">
        <v>88266</v>
      </c>
      <c r="C162" s="731" t="str">
        <f>IF($A162="INSUMO",VLOOKUP($B162,'BANCO DE DADOS JANEIRO-24 INS'!$A:$D,2,FALSE),VLOOKUP($B162,'BANCO DE DADOS JANEIRO-24 SERV'!$B:$E,2,FALSE))</f>
        <v>ELETROTÉCNICO COM ENCARGOS COMPLEMENTARES</v>
      </c>
      <c r="D162" s="729" t="str">
        <f>IF($A162="INSUMO",VLOOKUP($B162,'BANCO DE DADOS JANEIRO-24 INS'!$A:$D,3,FALSE),VLOOKUP($B162,'BANCO DE DADOS JANEIRO-24 SERV'!$B:$E,3,FALSE))</f>
        <v>H</v>
      </c>
      <c r="E162" s="842">
        <v>0.5</v>
      </c>
      <c r="F162" s="757">
        <f>IF($A162="INSUMO",VLOOKUP($B162,'BANCO DE DADOS JANEIRO-24 INS'!$A:$D,4,FALSE),VLOOKUP($B162,'BANCO DE DADOS JANEIRO-24 SERV'!$B:$E,4,FALSE))</f>
        <v>32.85</v>
      </c>
      <c r="G162" s="626">
        <f>TRUNC(F162*E162,2)</f>
        <v>16.420000000000002</v>
      </c>
      <c r="H162" s="308"/>
    </row>
    <row r="163" spans="1:8" ht="16.5" thickBot="1">
      <c r="A163" s="308"/>
      <c r="B163" s="2394" t="s">
        <v>3837</v>
      </c>
      <c r="C163" s="2394"/>
      <c r="D163" s="2394"/>
      <c r="E163" s="2449"/>
      <c r="F163" s="325" t="s">
        <v>167</v>
      </c>
      <c r="G163" s="326">
        <f>SUM(G157:G162)</f>
        <v>656.09999999999991</v>
      </c>
      <c r="H163" s="308"/>
    </row>
    <row r="164" spans="1:8" ht="15.75" thickBot="1">
      <c r="A164" s="308"/>
      <c r="B164" s="2394"/>
      <c r="C164" s="2394"/>
      <c r="D164" s="2394"/>
      <c r="E164" s="2394"/>
      <c r="F164" s="669"/>
      <c r="G164" s="669"/>
      <c r="H164" s="308"/>
    </row>
    <row r="165" spans="1:8" ht="42" customHeight="1">
      <c r="A165" s="308"/>
      <c r="B165" s="623" t="str">
        <f>IF(COUNT($H$17:H165)&lt;10,CONCATENATE("CPU IP 00",COUNT($H$17:H165)),CONCATENATE("CPU IP 0",COUNT($H$17:H165)))</f>
        <v>CPU IP 015</v>
      </c>
      <c r="C165" s="2180" t="str">
        <f>CONCATENATE("FORNECIMENTO E INSTALAÇÃO DE ",C168)</f>
        <v>FORNECIMENTO E INSTALAÇÃO DE CABO MULTIPLEXADO DE ALUMÍNIO QUADRIPLEX 3X1X16+16, COM ISOLAÇÃO XLPE (veias coloridas)</v>
      </c>
      <c r="D165" s="2180"/>
      <c r="E165" s="2180"/>
      <c r="F165" s="2180"/>
      <c r="G165" s="247" t="str">
        <f>D168</f>
        <v>M</v>
      </c>
      <c r="H165" s="615">
        <f>G172</f>
        <v>12.75</v>
      </c>
    </row>
    <row r="166" spans="1:8" ht="47.25">
      <c r="A166" s="308"/>
      <c r="B166" s="750" t="s">
        <v>1836</v>
      </c>
      <c r="C166" s="826" t="s">
        <v>161</v>
      </c>
      <c r="D166" s="826" t="s">
        <v>22</v>
      </c>
      <c r="E166" s="826" t="s">
        <v>162</v>
      </c>
      <c r="F166" s="827" t="s">
        <v>163</v>
      </c>
      <c r="G166" s="832" t="s">
        <v>164</v>
      </c>
      <c r="H166" s="308"/>
    </row>
    <row r="167" spans="1:8" ht="15.75">
      <c r="A167" s="308"/>
      <c r="B167" s="2446" t="s">
        <v>165</v>
      </c>
      <c r="C167" s="2447"/>
      <c r="D167" s="2447"/>
      <c r="E167" s="2447"/>
      <c r="F167" s="2447"/>
      <c r="G167" s="2448"/>
      <c r="H167" s="308"/>
    </row>
    <row r="168" spans="1:8" ht="30">
      <c r="A168" s="308"/>
      <c r="B168" s="845" t="s">
        <v>181</v>
      </c>
      <c r="C168" s="843" t="str">
        <f>C174</f>
        <v>CABO MULTIPLEXADO DE ALUMÍNIO QUADRIPLEX 3X1X16+16, COM ISOLAÇÃO XLPE (veias coloridas)</v>
      </c>
      <c r="D168" s="860" t="str">
        <f>G174</f>
        <v>M</v>
      </c>
      <c r="E168" s="839">
        <v>1</v>
      </c>
      <c r="F168" s="844">
        <f>D179</f>
        <v>9</v>
      </c>
      <c r="G168" s="840">
        <f>TRUNC(F168*E168,2)</f>
        <v>9</v>
      </c>
      <c r="H168" s="308"/>
    </row>
    <row r="169" spans="1:8" ht="15.75">
      <c r="A169" s="308"/>
      <c r="B169" s="2446" t="s">
        <v>166</v>
      </c>
      <c r="C169" s="2447"/>
      <c r="D169" s="2447"/>
      <c r="E169" s="2447"/>
      <c r="F169" s="2447"/>
      <c r="G169" s="2448"/>
      <c r="H169" s="308"/>
    </row>
    <row r="170" spans="1:8" ht="15.75">
      <c r="A170" s="333" t="s">
        <v>391</v>
      </c>
      <c r="B170" s="841">
        <v>88247</v>
      </c>
      <c r="C170" s="728" t="str">
        <f>IF($A170="INSUMO",VLOOKUP($B170,'BANCO DE DADOS JANEIRO-24 INS'!$A:$D,2,FALSE),VLOOKUP($B170,'BANCO DE DADOS JANEIRO-24 SERV'!$B:$E,2,FALSE))</f>
        <v>AUXILIAR DE ELETRICISTA COM ENCARGOS COMPLEMENTARES</v>
      </c>
      <c r="D170" s="732" t="str">
        <f>IF($A170="INSUMO",VLOOKUP($B170,'BANCO DE DADOS JANEIRO-24 INS'!$A:$D,3,FALSE),VLOOKUP($B170,'BANCO DE DADOS JANEIRO-24 SERV'!$B:$E,3,FALSE))</f>
        <v>H</v>
      </c>
      <c r="E170" s="839">
        <v>0.05</v>
      </c>
      <c r="F170" s="755">
        <f>IF($A170="INSUMO",VLOOKUP($B170,'BANCO DE DADOS JANEIRO-24 INS'!$A:$D,4,FALSE),VLOOKUP($B170,'BANCO DE DADOS JANEIRO-24 SERV'!$B:$E,4,FALSE))</f>
        <v>21.96</v>
      </c>
      <c r="G170" s="840">
        <f>TRUNC(F170*E170,2)</f>
        <v>1.0900000000000001</v>
      </c>
      <c r="H170" s="308"/>
    </row>
    <row r="171" spans="1:8" ht="16.5" thickBot="1">
      <c r="A171" s="333" t="s">
        <v>391</v>
      </c>
      <c r="B171" s="625">
        <v>88264</v>
      </c>
      <c r="C171" s="731" t="str">
        <f>IF($A171="INSUMO",VLOOKUP($B171,'BANCO DE DADOS JANEIRO-24 INS'!$A:$D,2,FALSE),VLOOKUP($B171,'BANCO DE DADOS JANEIRO-24 SERV'!$B:$E,2,FALSE))</f>
        <v>ELETRICISTA COM ENCARGOS COMPLEMENTARES</v>
      </c>
      <c r="D171" s="729" t="str">
        <f>IF($A171="INSUMO",VLOOKUP($B171,'BANCO DE DADOS JANEIRO-24 INS'!$A:$D,3,FALSE),VLOOKUP($B171,'BANCO DE DADOS JANEIRO-24 SERV'!$B:$E,3,FALSE))</f>
        <v>H</v>
      </c>
      <c r="E171" s="842">
        <v>0.1</v>
      </c>
      <c r="F171" s="757">
        <f>IF($A171="INSUMO",VLOOKUP($B171,'BANCO DE DADOS JANEIRO-24 INS'!$A:$D,4,FALSE),VLOOKUP($B171,'BANCO DE DADOS JANEIRO-24 SERV'!$B:$E,4,FALSE))</f>
        <v>26.68</v>
      </c>
      <c r="G171" s="626">
        <f>TRUNC(F171*E171,2)</f>
        <v>2.66</v>
      </c>
      <c r="H171" s="308"/>
    </row>
    <row r="172" spans="1:8" ht="16.5" thickBot="1">
      <c r="A172" s="308"/>
      <c r="B172" s="2394" t="s">
        <v>3838</v>
      </c>
      <c r="C172" s="2394"/>
      <c r="D172" s="2394"/>
      <c r="E172" s="2449"/>
      <c r="F172" s="325" t="s">
        <v>167</v>
      </c>
      <c r="G172" s="326">
        <f>SUM(G168:G171)</f>
        <v>12.75</v>
      </c>
      <c r="H172" s="308"/>
    </row>
    <row r="173" spans="1:8" ht="15.75" thickBot="1">
      <c r="A173" s="308"/>
      <c r="B173" s="2394"/>
      <c r="C173" s="2394"/>
      <c r="D173" s="2394"/>
      <c r="E173" s="2394"/>
      <c r="F173" s="669"/>
      <c r="G173" s="669"/>
      <c r="H173" s="308"/>
    </row>
    <row r="174" spans="1:8" ht="31.5" customHeight="1">
      <c r="A174" s="308"/>
      <c r="B174" s="1744" t="str">
        <f>B168</f>
        <v>COTAÇÃO</v>
      </c>
      <c r="C174" s="2416" t="s">
        <v>1839</v>
      </c>
      <c r="D174" s="2417"/>
      <c r="E174" s="2417"/>
      <c r="F174" s="2418"/>
      <c r="G174" s="1676" t="s">
        <v>21</v>
      </c>
      <c r="H174" s="684" t="s">
        <v>1977</v>
      </c>
    </row>
    <row r="175" spans="1:8" ht="31.5">
      <c r="A175" s="308"/>
      <c r="B175" s="857" t="s">
        <v>174</v>
      </c>
      <c r="C175" s="751" t="s">
        <v>175</v>
      </c>
      <c r="D175" s="752" t="s">
        <v>176</v>
      </c>
      <c r="E175" s="854" t="s">
        <v>177</v>
      </c>
      <c r="F175" s="855" t="s">
        <v>178</v>
      </c>
      <c r="G175" s="858" t="s">
        <v>179</v>
      </c>
      <c r="H175" s="308"/>
    </row>
    <row r="176" spans="1:8" ht="15.75">
      <c r="A176" s="308"/>
      <c r="B176" s="1137">
        <v>44646</v>
      </c>
      <c r="C176" s="1114" t="s">
        <v>2708</v>
      </c>
      <c r="D176" s="1115">
        <v>11.56</v>
      </c>
      <c r="E176" s="1192" t="s">
        <v>545</v>
      </c>
      <c r="F176" s="1139" t="s">
        <v>1808</v>
      </c>
      <c r="G176" s="968" t="s">
        <v>555</v>
      </c>
      <c r="H176"/>
    </row>
    <row r="177" spans="1:8" ht="15.75">
      <c r="A177" s="308"/>
      <c r="B177" s="1299">
        <v>44655</v>
      </c>
      <c r="C177" s="1114" t="s">
        <v>5213</v>
      </c>
      <c r="D177" s="1115">
        <v>5.5</v>
      </c>
      <c r="E177" s="1192" t="s">
        <v>5214</v>
      </c>
      <c r="F177" s="1139" t="s">
        <v>5215</v>
      </c>
      <c r="G177" s="968" t="s">
        <v>5564</v>
      </c>
      <c r="H177"/>
    </row>
    <row r="178" spans="1:8" ht="15.75">
      <c r="A178" s="308"/>
      <c r="B178" s="1137">
        <v>44651</v>
      </c>
      <c r="C178" s="1114" t="s">
        <v>4588</v>
      </c>
      <c r="D178" s="1115">
        <v>9</v>
      </c>
      <c r="E178" s="1192" t="s">
        <v>5057</v>
      </c>
      <c r="F178" s="1328" t="s">
        <v>1979</v>
      </c>
      <c r="G178" s="1329" t="s">
        <v>5216</v>
      </c>
      <c r="H178"/>
    </row>
    <row r="179" spans="1:8" ht="16.5" thickBot="1">
      <c r="A179" s="308"/>
      <c r="B179" s="1738"/>
      <c r="C179" s="1739" t="s">
        <v>180</v>
      </c>
      <c r="D179" s="1737">
        <f>IF(COUNT(D175:D178)=3,MEDIAN(D175:D178),SMALL(D176:D178,1))</f>
        <v>9</v>
      </c>
      <c r="E179" s="1740"/>
      <c r="F179" s="1741"/>
      <c r="G179" s="1742"/>
      <c r="H179" s="308"/>
    </row>
    <row r="180" spans="1:8" ht="13.5" thickBot="1"/>
    <row r="181" spans="1:8" ht="42" customHeight="1">
      <c r="A181" s="308"/>
      <c r="B181" s="623" t="str">
        <f>IF(COUNT($H$17:H181)&lt;10,CONCATENATE("CPU IP 00",COUNT($H$17:H181)),CONCATENATE("CPU IP 0",COUNT($H$17:H181)))</f>
        <v>CPU IP 016</v>
      </c>
      <c r="C181" s="2180" t="str">
        <f>CONCATENATE("FORNECIMENTO E INSTALAÇÃO DE ",C184)</f>
        <v>FORNECIMENTO E INSTALAÇÃO DE CABO MULTIPLEXADO DE ALUMÍNIO QUADRIPLEX 3X1X25+25, COM ISOLAÇÃO XLPE (VEIAS COLORIDAS)</v>
      </c>
      <c r="D181" s="2180"/>
      <c r="E181" s="2180"/>
      <c r="F181" s="2180"/>
      <c r="G181" s="247" t="str">
        <f>D184</f>
        <v>M</v>
      </c>
      <c r="H181" s="615">
        <f>G188</f>
        <v>16.369999999999997</v>
      </c>
    </row>
    <row r="182" spans="1:8" ht="47.25">
      <c r="A182" s="308"/>
      <c r="B182" s="750" t="s">
        <v>1836</v>
      </c>
      <c r="C182" s="826" t="s">
        <v>161</v>
      </c>
      <c r="D182" s="826" t="s">
        <v>22</v>
      </c>
      <c r="E182" s="826" t="s">
        <v>162</v>
      </c>
      <c r="F182" s="827" t="s">
        <v>163</v>
      </c>
      <c r="G182" s="832" t="s">
        <v>164</v>
      </c>
      <c r="H182" s="308"/>
    </row>
    <row r="183" spans="1:8" ht="15.75">
      <c r="A183" s="308"/>
      <c r="B183" s="2446" t="s">
        <v>165</v>
      </c>
      <c r="C183" s="2447"/>
      <c r="D183" s="2447"/>
      <c r="E183" s="2447"/>
      <c r="F183" s="2447"/>
      <c r="G183" s="2448"/>
      <c r="H183" s="308"/>
    </row>
    <row r="184" spans="1:8" ht="30">
      <c r="A184" s="308"/>
      <c r="B184" s="845" t="s">
        <v>181</v>
      </c>
      <c r="C184" s="843" t="str">
        <f>C190</f>
        <v>CABO MULTIPLEXADO DE ALUMÍNIO QUADRIPLEX 3X1X25+25, COM ISOLAÇÃO XLPE (VEIAS COLORIDAS)</v>
      </c>
      <c r="D184" s="860" t="str">
        <f>G190</f>
        <v>M</v>
      </c>
      <c r="E184" s="839">
        <v>1</v>
      </c>
      <c r="F184" s="844">
        <f>D195</f>
        <v>12.62</v>
      </c>
      <c r="G184" s="840">
        <f>TRUNC(F184*E184,2)</f>
        <v>12.62</v>
      </c>
      <c r="H184" s="308"/>
    </row>
    <row r="185" spans="1:8" ht="15.75">
      <c r="A185" s="308"/>
      <c r="B185" s="2446" t="s">
        <v>166</v>
      </c>
      <c r="C185" s="2447"/>
      <c r="D185" s="2447"/>
      <c r="E185" s="2447"/>
      <c r="F185" s="2447"/>
      <c r="G185" s="2448"/>
      <c r="H185" s="308"/>
    </row>
    <row r="186" spans="1:8" ht="15.75">
      <c r="A186" s="333" t="s">
        <v>391</v>
      </c>
      <c r="B186" s="841">
        <v>88247</v>
      </c>
      <c r="C186" s="728" t="str">
        <f>IF($A186="INSUMO",VLOOKUP($B186,'BANCO DE DADOS JANEIRO-24 INS'!$A:$D,2,FALSE),VLOOKUP($B186,'BANCO DE DADOS JANEIRO-24 SERV'!$B:$E,2,FALSE))</f>
        <v>AUXILIAR DE ELETRICISTA COM ENCARGOS COMPLEMENTARES</v>
      </c>
      <c r="D186" s="732" t="str">
        <f>IF($A186="INSUMO",VLOOKUP($B186,'BANCO DE DADOS JANEIRO-24 INS'!$A:$D,3,FALSE),VLOOKUP($B186,'BANCO DE DADOS JANEIRO-24 SERV'!$B:$E,3,FALSE))</f>
        <v>H</v>
      </c>
      <c r="E186" s="839">
        <v>0.05</v>
      </c>
      <c r="F186" s="755">
        <f>IF($A186="INSUMO",VLOOKUP($B186,'BANCO DE DADOS JANEIRO-24 INS'!$A:$D,4,FALSE),VLOOKUP($B186,'BANCO DE DADOS JANEIRO-24 SERV'!$B:$E,4,FALSE))</f>
        <v>21.96</v>
      </c>
      <c r="G186" s="840">
        <f>TRUNC(F186*E186,2)</f>
        <v>1.0900000000000001</v>
      </c>
      <c r="H186" s="308"/>
    </row>
    <row r="187" spans="1:8" ht="16.5" thickBot="1">
      <c r="A187" s="333" t="s">
        <v>391</v>
      </c>
      <c r="B187" s="625">
        <v>88264</v>
      </c>
      <c r="C187" s="731" t="str">
        <f>IF($A187="INSUMO",VLOOKUP($B187,'BANCO DE DADOS JANEIRO-24 INS'!$A:$D,2,FALSE),VLOOKUP($B187,'BANCO DE DADOS JANEIRO-24 SERV'!$B:$E,2,FALSE))</f>
        <v>ELETRICISTA COM ENCARGOS COMPLEMENTARES</v>
      </c>
      <c r="D187" s="729" t="str">
        <f>IF($A187="INSUMO",VLOOKUP($B187,'BANCO DE DADOS JANEIRO-24 INS'!$A:$D,3,FALSE),VLOOKUP($B187,'BANCO DE DADOS JANEIRO-24 SERV'!$B:$E,3,FALSE))</f>
        <v>H</v>
      </c>
      <c r="E187" s="842">
        <v>0.1</v>
      </c>
      <c r="F187" s="757">
        <f>IF($A187="INSUMO",VLOOKUP($B187,'BANCO DE DADOS JANEIRO-24 INS'!$A:$D,4,FALSE),VLOOKUP($B187,'BANCO DE DADOS JANEIRO-24 SERV'!$B:$E,4,FALSE))</f>
        <v>26.68</v>
      </c>
      <c r="G187" s="626">
        <f>TRUNC(F187*E187,2)</f>
        <v>2.66</v>
      </c>
      <c r="H187" s="308"/>
    </row>
    <row r="188" spans="1:8" ht="16.5" customHeight="1" thickBot="1">
      <c r="A188" s="308"/>
      <c r="B188" s="2394" t="s">
        <v>3839</v>
      </c>
      <c r="C188" s="2394"/>
      <c r="D188" s="2394"/>
      <c r="E188" s="2394"/>
      <c r="F188" s="325" t="s">
        <v>167</v>
      </c>
      <c r="G188" s="326">
        <f>SUM(G184:G187)</f>
        <v>16.369999999999997</v>
      </c>
      <c r="H188" s="308"/>
    </row>
    <row r="189" spans="1:8" ht="15.75" thickBot="1">
      <c r="A189" s="308"/>
      <c r="B189" s="2394"/>
      <c r="C189" s="2394"/>
      <c r="D189" s="2394"/>
      <c r="E189" s="2394"/>
      <c r="F189" s="669"/>
      <c r="G189" s="669"/>
      <c r="H189" s="308"/>
    </row>
    <row r="190" spans="1:8" ht="31.5" customHeight="1">
      <c r="A190" s="308"/>
      <c r="B190" s="1744" t="str">
        <f>B184</f>
        <v>COTAÇÃO</v>
      </c>
      <c r="C190" s="2416" t="s">
        <v>1880</v>
      </c>
      <c r="D190" s="2417"/>
      <c r="E190" s="2417"/>
      <c r="F190" s="2418"/>
      <c r="G190" s="1676" t="s">
        <v>21</v>
      </c>
      <c r="H190" s="684" t="s">
        <v>1977</v>
      </c>
    </row>
    <row r="191" spans="1:8" ht="31.5">
      <c r="A191" s="308"/>
      <c r="B191" s="857" t="s">
        <v>174</v>
      </c>
      <c r="C191" s="751" t="s">
        <v>175</v>
      </c>
      <c r="D191" s="752" t="s">
        <v>176</v>
      </c>
      <c r="E191" s="854" t="s">
        <v>177</v>
      </c>
      <c r="F191" s="855" t="s">
        <v>178</v>
      </c>
      <c r="G191" s="858" t="s">
        <v>179</v>
      </c>
      <c r="H191" s="308"/>
    </row>
    <row r="192" spans="1:8" ht="15.75">
      <c r="A192" s="308"/>
      <c r="B192" s="1137">
        <v>45264</v>
      </c>
      <c r="C192" s="1114" t="s">
        <v>502</v>
      </c>
      <c r="D192" s="1115">
        <v>12.62</v>
      </c>
      <c r="E192" s="1192" t="s">
        <v>1846</v>
      </c>
      <c r="F192" s="1139" t="s">
        <v>192</v>
      </c>
      <c r="G192" s="968" t="s">
        <v>5565</v>
      </c>
      <c r="H192"/>
    </row>
    <row r="193" spans="1:8" ht="15.75">
      <c r="A193" s="308"/>
      <c r="B193" s="1299">
        <v>45254</v>
      </c>
      <c r="C193" s="1114" t="s">
        <v>4588</v>
      </c>
      <c r="D193" s="1115">
        <v>14.66</v>
      </c>
      <c r="E193" s="1192" t="s">
        <v>5057</v>
      </c>
      <c r="F193" s="1139" t="s">
        <v>1979</v>
      </c>
      <c r="G193" s="968" t="s">
        <v>5871</v>
      </c>
      <c r="H193"/>
    </row>
    <row r="194" spans="1:8" ht="15.75">
      <c r="A194" s="308"/>
      <c r="B194" s="1137">
        <v>45253</v>
      </c>
      <c r="C194" s="1114" t="s">
        <v>5879</v>
      </c>
      <c r="D194" s="1330">
        <v>11.5</v>
      </c>
      <c r="E194" s="1192" t="s">
        <v>2185</v>
      </c>
      <c r="F194" s="1139" t="s">
        <v>4611</v>
      </c>
      <c r="G194" s="968" t="s">
        <v>2840</v>
      </c>
      <c r="H194"/>
    </row>
    <row r="195" spans="1:8" ht="16.5" thickBot="1">
      <c r="A195" s="308"/>
      <c r="B195" s="1738"/>
      <c r="C195" s="1739" t="s">
        <v>180</v>
      </c>
      <c r="D195" s="1737">
        <f>IF(COUNT(D191:D194)=3,MEDIAN(D191:D194),SMALL(D192:D194,1))</f>
        <v>12.62</v>
      </c>
      <c r="E195" s="1740"/>
      <c r="F195" s="1741"/>
      <c r="G195" s="1742"/>
      <c r="H195" s="308"/>
    </row>
    <row r="196" spans="1:8" ht="13.5" thickBot="1"/>
    <row r="197" spans="1:8" ht="24.75" customHeight="1">
      <c r="A197" s="308"/>
      <c r="B197" s="623" t="str">
        <f>IF(COUNT($H$17:H197)&lt;10,CONCATENATE("CPU IP 00",COUNT($H$17:H197)),CONCATENATE("CPU IP 0",COUNT($H$17:H197)))</f>
        <v>CPU IP 017</v>
      </c>
      <c r="C197" s="2180" t="str">
        <f>CONCATENATE("FORNECIMENTO E INSTALAÇÃO DE ",C200)</f>
        <v>FORNECIMENTO E INSTALAÇÃO DE CONECTOR PERFURANTE CDP-70 - (D: 1,5mm²/10mm² x P: 10mm²/ 95mm²)</v>
      </c>
      <c r="D197" s="2180"/>
      <c r="E197" s="2180"/>
      <c r="F197" s="2180"/>
      <c r="G197" s="247" t="str">
        <f>D200</f>
        <v>UN</v>
      </c>
      <c r="H197" s="615">
        <f>G203</f>
        <v>12.37</v>
      </c>
    </row>
    <row r="198" spans="1:8" ht="47.25">
      <c r="A198" s="308"/>
      <c r="B198" s="1093" t="s">
        <v>1836</v>
      </c>
      <c r="C198" s="1194" t="s">
        <v>161</v>
      </c>
      <c r="D198" s="1194" t="s">
        <v>22</v>
      </c>
      <c r="E198" s="1194" t="s">
        <v>162</v>
      </c>
      <c r="F198" s="1195" t="s">
        <v>163</v>
      </c>
      <c r="G198" s="1196" t="s">
        <v>164</v>
      </c>
      <c r="H198" s="308"/>
    </row>
    <row r="199" spans="1:8" ht="15.75">
      <c r="A199" s="308"/>
      <c r="B199" s="2300" t="s">
        <v>165</v>
      </c>
      <c r="C199" s="2301"/>
      <c r="D199" s="2301"/>
      <c r="E199" s="2301"/>
      <c r="F199" s="2301"/>
      <c r="G199" s="2302"/>
      <c r="H199" s="308"/>
    </row>
    <row r="200" spans="1:8" ht="30">
      <c r="A200" s="308"/>
      <c r="B200" s="1203" t="s">
        <v>181</v>
      </c>
      <c r="C200" s="1204" t="str">
        <f>C205</f>
        <v>CONECTOR PERFURANTE CDP-70 - (D: 1,5mm²/10mm² x P: 10mm²/ 95mm²)</v>
      </c>
      <c r="D200" s="1457" t="s">
        <v>22</v>
      </c>
      <c r="E200" s="1102">
        <v>1</v>
      </c>
      <c r="F200" s="1207">
        <f>D210</f>
        <v>10.51</v>
      </c>
      <c r="G200" s="1199">
        <f>TRUNC(F200*E200,2)</f>
        <v>10.51</v>
      </c>
      <c r="H200" s="308"/>
    </row>
    <row r="201" spans="1:8" ht="15.75">
      <c r="A201" s="308"/>
      <c r="B201" s="2300" t="s">
        <v>166</v>
      </c>
      <c r="C201" s="2301"/>
      <c r="D201" s="2301"/>
      <c r="E201" s="2301"/>
      <c r="F201" s="2301"/>
      <c r="G201" s="2302"/>
      <c r="H201" s="308"/>
    </row>
    <row r="202" spans="1:8" ht="16.5" thickBot="1">
      <c r="A202" s="333" t="s">
        <v>391</v>
      </c>
      <c r="B202" s="1523">
        <v>88264</v>
      </c>
      <c r="C202" s="1103" t="str">
        <f>IF($A202="INSUMO",VLOOKUP($B202,'BANCO DE DADOS JANEIRO-24 INS'!$A:$D,2,FALSE),VLOOKUP($B202,'BANCO DE DADOS JANEIRO-24 SERV'!$B:$E,2,FALSE))</f>
        <v>ELETRICISTA COM ENCARGOS COMPLEMENTARES</v>
      </c>
      <c r="D202" s="1104" t="str">
        <f>IF($A202="INSUMO",VLOOKUP($B202,'BANCO DE DADOS JANEIRO-24 INS'!$A:$D,3,FALSE),VLOOKUP($B202,'BANCO DE DADOS JANEIRO-24 SERV'!$B:$E,3,FALSE))</f>
        <v>H</v>
      </c>
      <c r="E202" s="1184">
        <v>7.0000000000000007E-2</v>
      </c>
      <c r="F202" s="1105">
        <f>IF($A202="INSUMO",VLOOKUP($B202,'BANCO DE DADOS JANEIRO-24 INS'!$A:$D,4,FALSE),VLOOKUP($B202,'BANCO DE DADOS JANEIRO-24 SERV'!$B:$E,4,FALSE))</f>
        <v>26.68</v>
      </c>
      <c r="G202" s="1202">
        <f>TRUNC(F202*E202,2)</f>
        <v>1.86</v>
      </c>
      <c r="H202" s="308"/>
    </row>
    <row r="203" spans="1:8" ht="16.5" thickBot="1">
      <c r="A203" s="308"/>
      <c r="B203" s="2394" t="s">
        <v>1881</v>
      </c>
      <c r="C203" s="2394"/>
      <c r="D203" s="2394"/>
      <c r="E203" s="2449"/>
      <c r="F203" s="325" t="s">
        <v>167</v>
      </c>
      <c r="G203" s="326">
        <f>SUM(G200:G202)</f>
        <v>12.37</v>
      </c>
      <c r="H203" s="308"/>
    </row>
    <row r="204" spans="1:8" ht="15">
      <c r="A204" s="308"/>
      <c r="B204" s="2394"/>
      <c r="C204" s="2394"/>
      <c r="D204" s="2394"/>
      <c r="E204" s="2394"/>
      <c r="F204" s="669"/>
      <c r="G204" s="669"/>
      <c r="H204" s="308"/>
    </row>
    <row r="205" spans="1:8" s="1567" customFormat="1" ht="31.5" customHeight="1">
      <c r="A205" s="1564"/>
      <c r="B205" s="1745" t="str">
        <f>B200</f>
        <v>COTAÇÃO</v>
      </c>
      <c r="C205" s="2451" t="s">
        <v>7354</v>
      </c>
      <c r="D205" s="2452"/>
      <c r="E205" s="2452"/>
      <c r="F205" s="2453"/>
      <c r="G205" s="1725" t="s">
        <v>21</v>
      </c>
      <c r="H205" s="1566" t="s">
        <v>1977</v>
      </c>
    </row>
    <row r="206" spans="1:8" ht="31.5">
      <c r="A206" s="308"/>
      <c r="B206" s="1108" t="s">
        <v>174</v>
      </c>
      <c r="C206" s="1108" t="s">
        <v>175</v>
      </c>
      <c r="D206" s="1109" t="s">
        <v>176</v>
      </c>
      <c r="E206" s="1110" t="s">
        <v>177</v>
      </c>
      <c r="F206" s="1111" t="s">
        <v>178</v>
      </c>
      <c r="G206" s="1295" t="s">
        <v>179</v>
      </c>
      <c r="H206" s="308"/>
    </row>
    <row r="207" spans="1:8" ht="15">
      <c r="A207" s="308"/>
      <c r="B207" s="1279">
        <v>45253</v>
      </c>
      <c r="C207" s="1306" t="s">
        <v>513</v>
      </c>
      <c r="D207" s="1310">
        <v>12.97</v>
      </c>
      <c r="E207" s="1220" t="s">
        <v>514</v>
      </c>
      <c r="F207" s="1331" t="s">
        <v>515</v>
      </c>
      <c r="G207" s="1335" t="s">
        <v>13357</v>
      </c>
      <c r="H207" s="675"/>
    </row>
    <row r="208" spans="1:8" ht="15">
      <c r="A208" s="308"/>
      <c r="B208" s="1299">
        <v>45181</v>
      </c>
      <c r="C208" s="1297" t="s">
        <v>4588</v>
      </c>
      <c r="D208" s="1333">
        <v>9.43</v>
      </c>
      <c r="E208" s="1192" t="s">
        <v>5057</v>
      </c>
      <c r="F208" s="1298" t="s">
        <v>1979</v>
      </c>
      <c r="G208" s="1364" t="s">
        <v>5871</v>
      </c>
      <c r="H208" s="675"/>
    </row>
    <row r="209" spans="1:8" ht="15">
      <c r="A209" s="308"/>
      <c r="B209" s="1299">
        <v>45180</v>
      </c>
      <c r="C209" s="1297" t="s">
        <v>5879</v>
      </c>
      <c r="D209" s="1333">
        <v>10.51</v>
      </c>
      <c r="E209" s="1290" t="s">
        <v>2185</v>
      </c>
      <c r="F209" s="1298" t="s">
        <v>4611</v>
      </c>
      <c r="G209" s="1364" t="s">
        <v>2840</v>
      </c>
      <c r="H209" s="675"/>
    </row>
    <row r="210" spans="1:8" s="1567" customFormat="1" ht="15.75">
      <c r="A210" s="1564"/>
      <c r="B210" s="1726"/>
      <c r="C210" s="1721" t="s">
        <v>180</v>
      </c>
      <c r="D210" s="1727">
        <f>IF(COUNT(D206:D209)=3,MEDIAN(D206:D209),SMALL(D207:D209,1))</f>
        <v>10.51</v>
      </c>
      <c r="E210" s="1728"/>
      <c r="F210" s="1729"/>
      <c r="G210" s="1730"/>
      <c r="H210" s="1564"/>
    </row>
    <row r="211" spans="1:8" ht="13.5" thickBot="1"/>
    <row r="212" spans="1:8" ht="41.25" customHeight="1">
      <c r="B212" s="623" t="str">
        <f>IF(COUNT($H$17:H212)&lt;10,CONCATENATE("CPU IP 00",COUNT($H$17:H212)),CONCATENATE("CPU IP 0",COUNT($H$17:H212)))</f>
        <v>CPU IP 018</v>
      </c>
      <c r="C212" s="2180" t="str">
        <f>CONCATENATE("FORNECIMENTO E INSTALAÇÃO DE ",C216)</f>
        <v xml:space="preserve">FORNECIMENTO E INSTALAÇÃO DE POSTE DE CONCRETO ARMADO DE SECAO DUPLO T, EXTENSAO DE 10,00 M, RESISTENCIA DE 600 DAN, TIPO B                                                                                                                                                                                                                                                                                                                                                                                                            </v>
      </c>
      <c r="D212" s="2180"/>
      <c r="E212" s="2180"/>
      <c r="F212" s="2180"/>
      <c r="G212" s="674" t="s">
        <v>22</v>
      </c>
      <c r="H212" s="615">
        <f>G217</f>
        <v>1443.91</v>
      </c>
    </row>
    <row r="213" spans="1:8" ht="47.25">
      <c r="B213" s="750" t="s">
        <v>1836</v>
      </c>
      <c r="C213" s="826" t="s">
        <v>161</v>
      </c>
      <c r="D213" s="826" t="s">
        <v>22</v>
      </c>
      <c r="E213" s="826" t="s">
        <v>162</v>
      </c>
      <c r="F213" s="827" t="s">
        <v>163</v>
      </c>
      <c r="G213" s="832" t="s">
        <v>164</v>
      </c>
    </row>
    <row r="214" spans="1:8" ht="15.75">
      <c r="B214" s="2446" t="s">
        <v>165</v>
      </c>
      <c r="C214" s="2447"/>
      <c r="D214" s="2447"/>
      <c r="E214" s="2447"/>
      <c r="F214" s="2447"/>
      <c r="G214" s="2448"/>
    </row>
    <row r="215" spans="1:8" ht="60">
      <c r="B215" s="836">
        <v>100579</v>
      </c>
      <c r="C215" s="829" t="str">
        <f>IF($A215="INSUMO",VLOOKUP($B215,'BANCO DE DADOS JANEIRO-24 INS'!$A:$D,2,FALSE),VLOOKUP($B215,'BANCO DE DADOS JANEIRO-24 SERV'!$B:$E,2,FALSE))</f>
        <v>ASSENTAMENTO DE POSTE DE CONCRETO COM COMPRIMENTO NOMINAL DE 10 M, CARGA NOMINAL MENOR OU IGUAL A 1000 DAN, ENGASTAMENTO SIMPLES COM 1,6 M DE SOLO (NÃO INCLUI FORNECIMENTO). AF_11/2019</v>
      </c>
      <c r="D215" s="828" t="str">
        <f>IF($A215="INSUMO",VLOOKUP($B215,'BANCO DE DADOS JANEIRO-24 INS'!$A:$D,3,FALSE),VLOOKUP($B215,'BANCO DE DADOS JANEIRO-24 SERV'!$B:$E,3,FALSE))</f>
        <v>UN</v>
      </c>
      <c r="E215" s="831">
        <v>0.2</v>
      </c>
      <c r="F215" s="830">
        <f>IF($A215="INSUMO",VLOOKUP($B215,'BANCO DE DADOS JANEIRO-24 INS'!$A:$D,4,FALSE),VLOOKUP($B215,'BANCO DE DADOS JANEIRO-24 SERV'!$B:$E,4,FALSE))</f>
        <v>510.01</v>
      </c>
      <c r="G215" s="833">
        <f>TRUNC(F215*E215,2)</f>
        <v>102</v>
      </c>
    </row>
    <row r="216" spans="1:8" ht="30" customHeight="1" thickBot="1">
      <c r="A216" s="333" t="s">
        <v>390</v>
      </c>
      <c r="B216" s="880">
        <v>41200</v>
      </c>
      <c r="C216" s="1548" t="str">
        <f>IF($A216="INSUMO",VLOOKUP($B216,'BANCO DE DADOS JANEIRO-24 INS'!$A:$D,2,FALSE),VLOOKUP($B216,'BANCO DE DADOS JANEIRO-24 SERV'!$B:$E,2,FALSE))</f>
        <v xml:space="preserve">POSTE DE CONCRETO ARMADO DE SECAO DUPLO T, EXTENSAO DE 10,00 M, RESISTENCIA DE 600 DAN, TIPO B                                                                                                                                                                                                                                                                                                                                                                                                            </v>
      </c>
      <c r="D216" s="1549" t="str">
        <f>IF($A216="INSUMO",VLOOKUP($B216,'BANCO DE DADOS JANEIRO-24 INS'!$A:$D,3,FALSE),VLOOKUP($B216,'BANCO DE DADOS JANEIRO-24 SERV'!$B:$E,3,FALSE))</f>
        <v xml:space="preserve">UN    </v>
      </c>
      <c r="E216" s="1550">
        <v>1</v>
      </c>
      <c r="F216" s="1551">
        <f>IF($A216="INSUMO",VLOOKUP($B216,'BANCO DE DADOS JANEIRO-24 INS'!$A:$D,4,FALSE),VLOOKUP($B216,'BANCO DE DADOS JANEIRO-24 SERV'!$B:$E,4,FALSE))</f>
        <v>1341.91</v>
      </c>
      <c r="G216" s="1552">
        <f>TRUNC(F216*E216,2)</f>
        <v>1341.91</v>
      </c>
    </row>
    <row r="217" spans="1:8" ht="16.5" thickBot="1">
      <c r="B217" s="2394"/>
      <c r="C217" s="2394"/>
      <c r="D217" s="2394"/>
      <c r="E217" s="2449"/>
      <c r="F217" s="330" t="s">
        <v>167</v>
      </c>
      <c r="G217" s="611">
        <f>SUM(G214:G216)</f>
        <v>1443.91</v>
      </c>
    </row>
    <row r="218" spans="1:8" ht="15.75" thickBot="1">
      <c r="B218" s="2394"/>
      <c r="C218" s="2394"/>
      <c r="D218" s="2394"/>
      <c r="E218" s="2394"/>
      <c r="F218" s="669"/>
      <c r="G218" s="669"/>
    </row>
    <row r="219" spans="1:8" ht="36.75" customHeight="1">
      <c r="A219" s="308"/>
      <c r="B219" s="623" t="str">
        <f>IF(COUNT($H$17:H219)&lt;10,CONCATENATE("CPU IP 00",COUNT($H$17:H219)),CONCATENATE("CPU IP 0",COUNT($H$17:H219)))</f>
        <v>CPU IP 019</v>
      </c>
      <c r="C219" s="2180" t="s">
        <v>1840</v>
      </c>
      <c r="D219" s="2181"/>
      <c r="E219" s="2181"/>
      <c r="F219" s="2181"/>
      <c r="G219" s="624" t="s">
        <v>22</v>
      </c>
      <c r="H219" s="619">
        <f>G251</f>
        <v>6156.2999999999993</v>
      </c>
    </row>
    <row r="220" spans="1:8" ht="31.5">
      <c r="A220" s="308"/>
      <c r="B220" s="750" t="s">
        <v>173</v>
      </c>
      <c r="C220" s="751" t="s">
        <v>161</v>
      </c>
      <c r="D220" s="826" t="s">
        <v>22</v>
      </c>
      <c r="E220" s="751" t="s">
        <v>162</v>
      </c>
      <c r="F220" s="752" t="s">
        <v>163</v>
      </c>
      <c r="G220" s="753" t="s">
        <v>164</v>
      </c>
    </row>
    <row r="221" spans="1:8" ht="15.75">
      <c r="A221" s="308"/>
      <c r="B221" s="2408" t="s">
        <v>165</v>
      </c>
      <c r="C221" s="2409"/>
      <c r="D221" s="2409"/>
      <c r="E221" s="2409"/>
      <c r="F221" s="2409"/>
      <c r="G221" s="2410"/>
    </row>
    <row r="222" spans="1:8" ht="30">
      <c r="A222" s="333" t="s">
        <v>390</v>
      </c>
      <c r="B222" s="873">
        <v>34519</v>
      </c>
      <c r="C222" s="851" t="str">
        <f>IF($A222="INSUMO",VLOOKUP($B222,'BANCO DE DADOS JANEIRO-24 INS'!$A:$D,2,FALSE),VLOOKUP($B222,'BANCO DE DADOS JANEIRO-24 SERV'!$B:$E,2,FALSE))</f>
        <v xml:space="preserve">CRUZETA DE CONCRETO LEVE, COMP. 2000 MM SECAO, 90 X 90 MM                                                                                                                                                                                                                                                                                                                                                                                                                                                 </v>
      </c>
      <c r="D222" s="870" t="str">
        <f>IF($A222="INSUMO",VLOOKUP($B222,'BANCO DE DADOS JANEIRO-24 INS'!$A:$D,3,FALSE),VLOOKUP($B222,'BANCO DE DADOS JANEIRO-24 SERV'!$B:$E,3,FALSE))</f>
        <v xml:space="preserve">UN    </v>
      </c>
      <c r="E222" s="819">
        <v>2</v>
      </c>
      <c r="F222" s="871">
        <f>IF($A222="INSUMO",VLOOKUP($B222,'BANCO DE DADOS JANEIRO-24 INS'!$A:$D,4,FALSE),VLOOKUP($B222,'BANCO DE DADOS JANEIRO-24 SERV'!$B:$E,4,FALSE))</f>
        <v>80.41</v>
      </c>
      <c r="G222" s="874">
        <f t="shared" ref="G222:G246" si="0">TRUNC(F222*E222,2)</f>
        <v>160.82</v>
      </c>
    </row>
    <row r="223" spans="1:8" ht="15.75">
      <c r="A223" s="333"/>
      <c r="B223" s="875" t="str">
        <f>B253</f>
        <v>COT-01</v>
      </c>
      <c r="C223" s="851" t="str">
        <f>C253</f>
        <v>MÃO FRANCESA PLANA 619MM</v>
      </c>
      <c r="D223" s="861" t="str">
        <f>G253</f>
        <v>UN</v>
      </c>
      <c r="E223" s="846">
        <v>4</v>
      </c>
      <c r="F223" s="755">
        <f>D258</f>
        <v>20.7</v>
      </c>
      <c r="G223" s="848">
        <f t="shared" si="0"/>
        <v>82.8</v>
      </c>
    </row>
    <row r="224" spans="1:8" ht="30">
      <c r="A224" s="333" t="s">
        <v>390</v>
      </c>
      <c r="B224" s="876">
        <v>430</v>
      </c>
      <c r="C224" s="728" t="str">
        <f>IF($A224="INSUMO",VLOOKUP($B224,'BANCO DE DADOS JANEIRO-24 INS'!$A:$D,2,FALSE),VLOOKUP($B224,'BANCO DE DADOS JANEIRO-24 SERV'!$B:$E,2,FALSE))</f>
        <v xml:space="preserve">PARAFUSO M16 EM ACO GALVANIZADO, COMPRIMENTO = 125 MM, DIAMETRO = 16 MM, ROSCA MAQUINA, CABECA QUADRADA                                                                                                                                                                                                                                                                                                                                                                                                   </v>
      </c>
      <c r="D224" s="732" t="str">
        <f>IF($A224="INSUMO",VLOOKUP($B224,'BANCO DE DADOS JANEIRO-24 INS'!$A:$D,3,FALSE),VLOOKUP($B224,'BANCO DE DADOS JANEIRO-24 SERV'!$B:$E,3,FALSE))</f>
        <v xml:space="preserve">UN    </v>
      </c>
      <c r="E224" s="846">
        <v>3</v>
      </c>
      <c r="F224" s="755">
        <f>IF($A224="INSUMO",VLOOKUP($B224,'BANCO DE DADOS JANEIRO-24 INS'!$A:$D,4,FALSE),VLOOKUP($B224,'BANCO DE DADOS JANEIRO-24 SERV'!$B:$E,4,FALSE))</f>
        <v>11.85</v>
      </c>
      <c r="G224" s="848">
        <f t="shared" si="0"/>
        <v>35.549999999999997</v>
      </c>
    </row>
    <row r="225" spans="1:7" ht="15.75">
      <c r="A225" s="333"/>
      <c r="B225" s="876" t="str">
        <f>B260</f>
        <v>COT-02</v>
      </c>
      <c r="C225" s="868" t="str">
        <f>C260</f>
        <v xml:space="preserve">ISOLADOR PILAR 110KV; </v>
      </c>
      <c r="D225" s="861" t="str">
        <f>G260</f>
        <v>UN</v>
      </c>
      <c r="E225" s="846">
        <v>4</v>
      </c>
      <c r="F225" s="755">
        <f>D265</f>
        <v>81.61</v>
      </c>
      <c r="G225" s="848">
        <f t="shared" si="0"/>
        <v>326.44</v>
      </c>
    </row>
    <row r="226" spans="1:7" ht="15.75">
      <c r="A226" s="333"/>
      <c r="B226" s="876" t="str">
        <f>B267</f>
        <v>COT-03</v>
      </c>
      <c r="C226" s="868" t="str">
        <f>C267</f>
        <v xml:space="preserve"> PINO AUTO-TRAVANTE –140 MM PARA ISOLADOR PILAR; </v>
      </c>
      <c r="D226" s="861" t="str">
        <f>G267</f>
        <v>UN</v>
      </c>
      <c r="E226" s="846">
        <v>4</v>
      </c>
      <c r="F226" s="755">
        <f>D272</f>
        <v>17</v>
      </c>
      <c r="G226" s="848">
        <f t="shared" si="0"/>
        <v>68</v>
      </c>
    </row>
    <row r="227" spans="1:7" ht="30">
      <c r="A227" s="333" t="s">
        <v>391</v>
      </c>
      <c r="B227" s="876">
        <v>102137</v>
      </c>
      <c r="C227" s="728" t="str">
        <f>IF($A227="INSUMO",VLOOKUP($B227,'BANCO DE DADOS JANEIRO-24 INS'!$A:$D,2,FALSE),VLOOKUP($B227,'BANCO DE DADOS JANEIRO-24 SERV'!$B:$E,2,FALSE))</f>
        <v>CHAVE DE BOIA AUTOMÁTICA SUPERIOR/INFERIOR 15A/250V - FORNECIMENTO E INSTALAÇÃO. AF_12/2020</v>
      </c>
      <c r="D227" s="732" t="str">
        <f>IF($A227="INSUMO",VLOOKUP($B227,'BANCO DE DADOS JANEIRO-24 INS'!$A:$D,3,FALSE),VLOOKUP($B227,'BANCO DE DADOS JANEIRO-24 SERV'!$B:$E,3,FALSE))</f>
        <v>UN</v>
      </c>
      <c r="E227" s="846">
        <v>3</v>
      </c>
      <c r="F227" s="755">
        <f>IF($A227="INSUMO",VLOOKUP($B227,'BANCO DE DADOS JANEIRO-24 INS'!$A:$D,4,FALSE),VLOOKUP($B227,'BANCO DE DADOS JANEIRO-24 SERV'!$B:$E,4,FALSE))</f>
        <v>86.58</v>
      </c>
      <c r="G227" s="848">
        <f t="shared" si="0"/>
        <v>259.74</v>
      </c>
    </row>
    <row r="228" spans="1:7" ht="15.75">
      <c r="A228" s="333"/>
      <c r="B228" s="875" t="str">
        <f>B274</f>
        <v>COT-04</v>
      </c>
      <c r="C228" s="851" t="str">
        <f>C274</f>
        <v>ELO FUSÍVEL DE ALTA TENSÃO 1H</v>
      </c>
      <c r="D228" s="861" t="s">
        <v>22</v>
      </c>
      <c r="E228" s="846">
        <v>3</v>
      </c>
      <c r="F228" s="755">
        <f>D279</f>
        <v>3.39</v>
      </c>
      <c r="G228" s="848">
        <f t="shared" si="0"/>
        <v>10.17</v>
      </c>
    </row>
    <row r="229" spans="1:7" ht="30">
      <c r="A229" s="333" t="s">
        <v>390</v>
      </c>
      <c r="B229" s="877">
        <v>4276</v>
      </c>
      <c r="C229" s="728" t="str">
        <f>IF($A229="INSUMO",VLOOKUP($B229,'BANCO DE DADOS JANEIRO-24 INS'!$A:$D,2,FALSE),VLOOKUP($B229,'BANCO DE DADOS JANEIRO-24 SERV'!$B:$E,2,FALSE))</f>
        <v xml:space="preserve">PARA-RAIOS DE DISTRIBUICAO, TENSAO NOMINAL 15 KV, CORRENTE NOMINAL DE DESCARGA 5 KA                                                                                                                                                                                                                                                                                                                                                                                                                       </v>
      </c>
      <c r="D229" s="732" t="str">
        <f>IF($A229="INSUMO",VLOOKUP($B229,'BANCO DE DADOS JANEIRO-24 INS'!$A:$D,3,FALSE),VLOOKUP($B229,'BANCO DE DADOS JANEIRO-24 SERV'!$B:$E,3,FALSE))</f>
        <v xml:space="preserve">UN    </v>
      </c>
      <c r="E229" s="819">
        <v>3</v>
      </c>
      <c r="F229" s="755">
        <f>IF($A229="INSUMO",VLOOKUP($B229,'BANCO DE DADOS JANEIRO-24 INS'!$A:$D,4,FALSE),VLOOKUP($B229,'BANCO DE DADOS JANEIRO-24 SERV'!$B:$E,4,FALSE))</f>
        <v>236.5</v>
      </c>
      <c r="G229" s="848">
        <f t="shared" si="0"/>
        <v>709.5</v>
      </c>
    </row>
    <row r="230" spans="1:7" ht="30">
      <c r="A230" s="333" t="s">
        <v>390</v>
      </c>
      <c r="B230" s="877">
        <v>431</v>
      </c>
      <c r="C230" s="728" t="str">
        <f>IF($A230="INSUMO",VLOOKUP($B230,'BANCO DE DADOS JANEIRO-24 INS'!$A:$D,2,FALSE),VLOOKUP($B230,'BANCO DE DADOS JANEIRO-24 SERV'!$B:$E,2,FALSE))</f>
        <v xml:space="preserve">PARAFUSO M16 EM ACO GALVANIZADO, COMPRIMENTO = 200 MM, DIAMETRO = 16 MM, ROSCA MAQUINA, CABECA QUADRADA                                                                                                                                                                                                                                                                                                                                                                                                   </v>
      </c>
      <c r="D230" s="732" t="str">
        <f>IF($A230="INSUMO",VLOOKUP($B230,'BANCO DE DADOS JANEIRO-24 INS'!$A:$D,3,FALSE),VLOOKUP($B230,'BANCO DE DADOS JANEIRO-24 SERV'!$B:$E,3,FALSE))</f>
        <v xml:space="preserve">UN    </v>
      </c>
      <c r="E230" s="819">
        <v>1</v>
      </c>
      <c r="F230" s="755">
        <f>IF($A230="INSUMO",VLOOKUP($B230,'BANCO DE DADOS JANEIRO-24 INS'!$A:$D,4,FALSE),VLOOKUP($B230,'BANCO DE DADOS JANEIRO-24 SERV'!$B:$E,4,FALSE))</f>
        <v>15.75</v>
      </c>
      <c r="G230" s="848">
        <f t="shared" si="0"/>
        <v>15.75</v>
      </c>
    </row>
    <row r="231" spans="1:7" ht="30">
      <c r="A231" s="333" t="s">
        <v>390</v>
      </c>
      <c r="B231" s="877">
        <v>432</v>
      </c>
      <c r="C231" s="728" t="str">
        <f>IF($A231="INSUMO",VLOOKUP($B231,'BANCO DE DADOS JANEIRO-24 INS'!$A:$D,2,FALSE),VLOOKUP($B231,'BANCO DE DADOS JANEIRO-24 SERV'!$B:$E,2,FALSE))</f>
        <v xml:space="preserve">PARAFUSO M16 EM ACO GALVANIZADO, COMPRIMENTO = 250 MM, DIAMETRO = 16 MM, ROSCA MAQUINA, CABECA QUADRADA                                                                                                                                                                                                                                                                                                                                                                                                   </v>
      </c>
      <c r="D231" s="732" t="str">
        <f>IF($A231="INSUMO",VLOOKUP($B231,'BANCO DE DADOS JANEIRO-24 INS'!$A:$D,3,FALSE),VLOOKUP($B231,'BANCO DE DADOS JANEIRO-24 SERV'!$B:$E,3,FALSE))</f>
        <v xml:space="preserve">UN    </v>
      </c>
      <c r="E231" s="819">
        <v>2</v>
      </c>
      <c r="F231" s="755">
        <f>IF($A231="INSUMO",VLOOKUP($B231,'BANCO DE DADOS JANEIRO-24 INS'!$A:$D,4,FALSE),VLOOKUP($B231,'BANCO DE DADOS JANEIRO-24 SERV'!$B:$E,4,FALSE))</f>
        <v>17.38</v>
      </c>
      <c r="G231" s="848">
        <f t="shared" si="0"/>
        <v>34.76</v>
      </c>
    </row>
    <row r="232" spans="1:7" ht="30">
      <c r="A232" s="333" t="s">
        <v>390</v>
      </c>
      <c r="B232" s="877">
        <v>429</v>
      </c>
      <c r="C232" s="728" t="str">
        <f>IF($A232="INSUMO",VLOOKUP($B232,'BANCO DE DADOS JANEIRO-24 INS'!$A:$D,2,FALSE),VLOOKUP($B232,'BANCO DE DADOS JANEIRO-24 SERV'!$B:$E,2,FALSE))</f>
        <v xml:space="preserve">PARAFUSO M16 EM ACO GALVANIZADO, COMPRIMENTO = 300 MM, DIAMETRO = 16 MM, ROSCA DUPLA                                                                                                                                                                                                                                                                                                                                                                                                                      </v>
      </c>
      <c r="D232" s="732" t="str">
        <f>IF($A232="INSUMO",VLOOKUP($B232,'BANCO DE DADOS JANEIRO-24 INS'!$A:$D,3,FALSE),VLOOKUP($B232,'BANCO DE DADOS JANEIRO-24 SERV'!$B:$E,3,FALSE))</f>
        <v xml:space="preserve">UN    </v>
      </c>
      <c r="E232" s="819">
        <v>5</v>
      </c>
      <c r="F232" s="755">
        <f>IF($A232="INSUMO",VLOOKUP($B232,'BANCO DE DADOS JANEIRO-24 INS'!$A:$D,4,FALSE),VLOOKUP($B232,'BANCO DE DADOS JANEIRO-24 SERV'!$B:$E,4,FALSE))</f>
        <v>23.43</v>
      </c>
      <c r="G232" s="848">
        <f t="shared" si="0"/>
        <v>117.15</v>
      </c>
    </row>
    <row r="233" spans="1:7" ht="15.75">
      <c r="A233" s="333"/>
      <c r="B233" s="876" t="str">
        <f>B288</f>
        <v>COT-06</v>
      </c>
      <c r="C233" s="851" t="str">
        <f>C288</f>
        <v>PROTETOR DE BUCHA DE TRANSFORMADOR AT 15/34KV</v>
      </c>
      <c r="D233" s="861" t="s">
        <v>22</v>
      </c>
      <c r="E233" s="846">
        <v>3</v>
      </c>
      <c r="F233" s="755">
        <f>D293</f>
        <v>15.16</v>
      </c>
      <c r="G233" s="848">
        <f t="shared" si="0"/>
        <v>45.48</v>
      </c>
    </row>
    <row r="234" spans="1:7" ht="30">
      <c r="A234" s="333" t="s">
        <v>390</v>
      </c>
      <c r="B234" s="877">
        <v>7576</v>
      </c>
      <c r="C234" s="728" t="str">
        <f>IF($A234="INSUMO",VLOOKUP($B234,'BANCO DE DADOS JANEIRO-24 INS'!$A:$D,2,FALSE),VLOOKUP($B234,'BANCO DE DADOS JANEIRO-24 SERV'!$B:$E,2,FALSE))</f>
        <v xml:space="preserve">SUPORTE EM ACO GALVANIZADO PARA TRANSFORMADOR PARA POSTE DUPLO T 185 X 95 MM, CHAPA DE 5/16"                                                                                                                                                                                                                                                                                                                                                                                                              </v>
      </c>
      <c r="D234" s="732" t="str">
        <f>IF($A234="INSUMO",VLOOKUP($B234,'BANCO DE DADOS JANEIRO-24 INS'!$A:$D,3,FALSE),VLOOKUP($B234,'BANCO DE DADOS JANEIRO-24 SERV'!$B:$E,3,FALSE))</f>
        <v xml:space="preserve">UN    </v>
      </c>
      <c r="E234" s="819">
        <v>2</v>
      </c>
      <c r="F234" s="755">
        <f>IF($A234="INSUMO",VLOOKUP($B234,'BANCO DE DADOS JANEIRO-24 INS'!$A:$D,4,FALSE),VLOOKUP($B234,'BANCO DE DADOS JANEIRO-24 SERV'!$B:$E,4,FALSE))</f>
        <v>239.93</v>
      </c>
      <c r="G234" s="848">
        <f t="shared" si="0"/>
        <v>479.86</v>
      </c>
    </row>
    <row r="235" spans="1:7" ht="30">
      <c r="A235" s="333"/>
      <c r="B235" s="875" t="str">
        <f>B337</f>
        <v>COT-13</v>
      </c>
      <c r="C235" s="872" t="str">
        <f>C337</f>
        <v>CABO DE ALUMÍNIO CA, COBERTO COM POLIETILENO RETICULADO (XLPE) 8,7/15kV, 16MM²</v>
      </c>
      <c r="D235" s="870" t="s">
        <v>21</v>
      </c>
      <c r="E235" s="819">
        <v>12</v>
      </c>
      <c r="F235" s="871">
        <f>D342</f>
        <v>23.53</v>
      </c>
      <c r="G235" s="848">
        <f t="shared" si="0"/>
        <v>282.36</v>
      </c>
    </row>
    <row r="236" spans="1:7" ht="15.75">
      <c r="A236" s="333"/>
      <c r="B236" s="875" t="str">
        <f>B295</f>
        <v>COT-07</v>
      </c>
      <c r="C236" s="872" t="str">
        <f>C295</f>
        <v>LAÇO PRE-FORMADO DE TOPO 15KV</v>
      </c>
      <c r="D236" s="861" t="str">
        <f>G295</f>
        <v>UN</v>
      </c>
      <c r="E236" s="846">
        <v>3</v>
      </c>
      <c r="F236" s="755">
        <f>D300</f>
        <v>10.68</v>
      </c>
      <c r="G236" s="848">
        <f t="shared" si="0"/>
        <v>32.04</v>
      </c>
    </row>
    <row r="237" spans="1:7" ht="30">
      <c r="A237" s="333" t="s">
        <v>390</v>
      </c>
      <c r="B237" s="876" t="str">
        <f>B309</f>
        <v>COT-09</v>
      </c>
      <c r="C237" s="728" t="str">
        <f>C309</f>
        <v xml:space="preserve"> CONECTOR DERIVAÇÃO CUNHA ESTRIBO NORMAL 2-4 (VERMELHO);</v>
      </c>
      <c r="D237" s="869" t="str">
        <f>G309</f>
        <v>UN</v>
      </c>
      <c r="E237" s="846">
        <v>3</v>
      </c>
      <c r="F237" s="755">
        <f>D314</f>
        <v>47.4</v>
      </c>
      <c r="G237" s="848">
        <f t="shared" si="0"/>
        <v>142.19999999999999</v>
      </c>
    </row>
    <row r="238" spans="1:7" ht="15.75">
      <c r="A238" s="333"/>
      <c r="B238" s="875" t="str">
        <f>B330</f>
        <v>COT-12</v>
      </c>
      <c r="C238" s="851" t="str">
        <f>C330</f>
        <v xml:space="preserve"> CARTUCHO PARA CONECTOR CUNHA VERMELHO; </v>
      </c>
      <c r="D238" s="861" t="str">
        <f>G330</f>
        <v>UN</v>
      </c>
      <c r="E238" s="846">
        <v>3</v>
      </c>
      <c r="F238" s="755">
        <f>D335</f>
        <v>3.19</v>
      </c>
      <c r="G238" s="848">
        <f t="shared" si="0"/>
        <v>9.57</v>
      </c>
    </row>
    <row r="239" spans="1:7" ht="15.75">
      <c r="A239" s="333"/>
      <c r="B239" s="875" t="str">
        <f>B302</f>
        <v>COT-08</v>
      </c>
      <c r="C239" s="851" t="str">
        <f>C302</f>
        <v>CONECTOR DERIVAÇÃO PARA LINHA VIVA 6-250</v>
      </c>
      <c r="D239" s="861" t="s">
        <v>22</v>
      </c>
      <c r="E239" s="846">
        <v>3</v>
      </c>
      <c r="F239" s="755">
        <f>D307</f>
        <v>42.46</v>
      </c>
      <c r="G239" s="848">
        <f t="shared" si="0"/>
        <v>127.38</v>
      </c>
    </row>
    <row r="240" spans="1:7" ht="45">
      <c r="A240" s="333" t="s">
        <v>390</v>
      </c>
      <c r="B240" s="875">
        <v>3380</v>
      </c>
      <c r="C240" s="728" t="str">
        <f>IF($A240="INSUMO",VLOOKUP($B240,'BANCO DE DADOS JANEIRO-24 INS'!$A:$D,2,FALSE),VLOOKUP($B240,'BANCO DE DADOS JANEIRO-24 SERV'!$B:$E,2,FALSE))</f>
        <v xml:space="preserve">HASTE DE ATERRAMENTO EM ACO COM 3,00 M DE COMPRIMENTO E DN = 5/8", REVESTIDA COM BAIXA CAMADA DE COBRE, COM CONECTOR TIPO GRAMPO                                                                                                                                                                                                                                                                                                                                                                          </v>
      </c>
      <c r="D240" s="732" t="str">
        <f>IF($A240="INSUMO",VLOOKUP($B240,'BANCO DE DADOS JANEIRO-24 INS'!$A:$D,3,FALSE),VLOOKUP($B240,'BANCO DE DADOS JANEIRO-24 SERV'!$B:$E,3,FALSE))</f>
        <v xml:space="preserve">UN    </v>
      </c>
      <c r="E240" s="846">
        <v>3</v>
      </c>
      <c r="F240" s="755">
        <f>IF($A240="INSUMO",VLOOKUP($B240,'BANCO DE DADOS JANEIRO-24 INS'!$A:$D,4,FALSE),VLOOKUP($B240,'BANCO DE DADOS JANEIRO-24 SERV'!$B:$E,4,FALSE))</f>
        <v>68.180000000000007</v>
      </c>
      <c r="G240" s="848">
        <f t="shared" si="0"/>
        <v>204.54</v>
      </c>
    </row>
    <row r="241" spans="1:8" ht="15.75">
      <c r="A241" s="333" t="s">
        <v>390</v>
      </c>
      <c r="B241" s="876">
        <v>867</v>
      </c>
      <c r="C241" s="728" t="str">
        <f>IF($A241="INSUMO",VLOOKUP($B241,'BANCO DE DADOS JANEIRO-24 INS'!$A:$D,2,FALSE),VLOOKUP($B241,'BANCO DE DADOS JANEIRO-24 SERV'!$B:$E,2,FALSE))</f>
        <v xml:space="preserve">CABO DE COBRE NU 50 MM2 MEIO-DURO                                                                                                                                                                                                                                                                                                                                                                                                                                                                         </v>
      </c>
      <c r="D241" s="732" t="str">
        <f>IF($A241="INSUMO",VLOOKUP($B241,'BANCO DE DADOS JANEIRO-24 INS'!$A:$D,3,FALSE),VLOOKUP($B241,'BANCO DE DADOS JANEIRO-24 SERV'!$B:$E,3,FALSE))</f>
        <v xml:space="preserve">M     </v>
      </c>
      <c r="E241" s="846">
        <v>10</v>
      </c>
      <c r="F241" s="755">
        <f>IF($A241="INSUMO",VLOOKUP($B241,'BANCO DE DADOS JANEIRO-24 INS'!$A:$D,4,FALSE),VLOOKUP($B241,'BANCO DE DADOS JANEIRO-24 SERV'!$B:$E,4,FALSE))</f>
        <v>49.03</v>
      </c>
      <c r="G241" s="848">
        <f t="shared" si="0"/>
        <v>490.3</v>
      </c>
    </row>
    <row r="242" spans="1:8" ht="15.75">
      <c r="A242" s="333"/>
      <c r="B242" s="876" t="str">
        <f>B323</f>
        <v>COMP-11</v>
      </c>
      <c r="C242" s="868" t="str">
        <f>C323</f>
        <v>CABO DE AÇO GALVANIZADO 6,4 MM</v>
      </c>
      <c r="D242" s="732" t="s">
        <v>21</v>
      </c>
      <c r="E242" s="846">
        <v>13</v>
      </c>
      <c r="F242" s="755">
        <f>D328</f>
        <v>6.65</v>
      </c>
      <c r="G242" s="848">
        <f t="shared" si="0"/>
        <v>86.45</v>
      </c>
    </row>
    <row r="243" spans="1:8" ht="45">
      <c r="A243" s="333" t="s">
        <v>390</v>
      </c>
      <c r="B243" s="876">
        <v>980</v>
      </c>
      <c r="C243" s="728" t="str">
        <f>IF($A243="INSUMO",VLOOKUP($B243,'BANCO DE DADOS JANEIRO-24 INS'!$A:$D,2,FALSE),VLOOKUP($B243,'BANCO DE DADOS JANEIRO-24 SERV'!$B:$E,2,FALSE))</f>
        <v xml:space="preserve">CABO DE COBRE, FLEXIVEL, CLASSE 4 OU 5, ISOLACAO EM PVC/A, ANTICHAMA BWF-B, 1 CONDUTOR, 450/750 V, SECAO NOMINAL 10 MM2                                                                                                                                                                                                                                                                                                                                                                                   </v>
      </c>
      <c r="D243" s="732" t="str">
        <f>IF($A243="INSUMO",VLOOKUP($B243,'BANCO DE DADOS JANEIRO-24 INS'!$A:$D,3,FALSE),VLOOKUP($B243,'BANCO DE DADOS JANEIRO-24 SERV'!$B:$E,3,FALSE))</f>
        <v xml:space="preserve">M     </v>
      </c>
      <c r="E243" s="846">
        <v>2</v>
      </c>
      <c r="F243" s="755">
        <f>IF($A243="INSUMO",VLOOKUP($B243,'BANCO DE DADOS JANEIRO-24 INS'!$A:$D,4,FALSE),VLOOKUP($B243,'BANCO DE DADOS JANEIRO-24 SERV'!$B:$E,4,FALSE))</f>
        <v>9.48</v>
      </c>
      <c r="G243" s="848">
        <f t="shared" si="0"/>
        <v>18.96</v>
      </c>
    </row>
    <row r="244" spans="1:8" ht="15.75">
      <c r="A244" s="333"/>
      <c r="B244" s="876" t="str">
        <f>B316</f>
        <v>COT-10</v>
      </c>
      <c r="C244" s="868" t="str">
        <f>C316</f>
        <v>CONECTOR DERIVAÇÃO TIPO CUNHA - AMP TIPO II</v>
      </c>
      <c r="D244" s="861" t="s">
        <v>22</v>
      </c>
      <c r="E244" s="846">
        <v>1</v>
      </c>
      <c r="F244" s="755">
        <f>D321</f>
        <v>9.9499999999999993</v>
      </c>
      <c r="G244" s="848">
        <f t="shared" si="0"/>
        <v>9.9499999999999993</v>
      </c>
    </row>
    <row r="245" spans="1:8" ht="15.75">
      <c r="A245" s="333" t="s">
        <v>390</v>
      </c>
      <c r="B245" s="878">
        <v>2674</v>
      </c>
      <c r="C245" s="728" t="str">
        <f>IF($A245="INSUMO",VLOOKUP($B245,'BANCO DE DADOS JANEIRO-24 INS'!$A:$D,2,FALSE),VLOOKUP($B245,'BANCO DE DADOS JANEIRO-24 SERV'!$B:$E,2,FALSE))</f>
        <v xml:space="preserve">ELETRODUTO DE PVC RIGIDO ROSCAVEL DE 3/4 ", SEM LUVA                                                                                                                                                                                                                                                                                                                                                                                                                                                      </v>
      </c>
      <c r="D245" s="732" t="str">
        <f>IF($A245="INSUMO",VLOOKUP($B245,'BANCO DE DADOS JANEIRO-24 INS'!$A:$D,3,FALSE),VLOOKUP($B245,'BANCO DE DADOS JANEIRO-24 SERV'!$B:$E,3,FALSE))</f>
        <v xml:space="preserve">M     </v>
      </c>
      <c r="E245" s="846">
        <v>12</v>
      </c>
      <c r="F245" s="755">
        <f>IF($A245="INSUMO",VLOOKUP($B245,'BANCO DE DADOS JANEIRO-24 INS'!$A:$D,4,FALSE),VLOOKUP($B245,'BANCO DE DADOS JANEIRO-24 SERV'!$B:$E,4,FALSE))</f>
        <v>5.38</v>
      </c>
      <c r="G245" s="848">
        <f t="shared" si="0"/>
        <v>64.56</v>
      </c>
    </row>
    <row r="246" spans="1:8" ht="45">
      <c r="A246" s="333" t="s">
        <v>391</v>
      </c>
      <c r="B246" s="878">
        <v>97881</v>
      </c>
      <c r="C246" s="728" t="str">
        <f>IF($A246="INSUMO",VLOOKUP($B246,'BANCO DE DADOS JANEIRO-24 INS'!$A:$D,2,FALSE),VLOOKUP($B246,'BANCO DE DADOS JANEIRO-24 SERV'!$B:$E,2,FALSE))</f>
        <v>CAIXA ENTERRADA ELÉTRICA RETANGULAR, EM CONCRETO PRÉ-MOLDADO, FUNDO COM BRITA, DIMENSÕES INTERNAS: 0,3X0,3X0,3 M. AF_12/2020</v>
      </c>
      <c r="D246" s="732" t="str">
        <f>IF($A246="INSUMO",VLOOKUP($B246,'BANCO DE DADOS JANEIRO-24 INS'!$A:$D,3,FALSE),VLOOKUP($B246,'BANCO DE DADOS JANEIRO-24 SERV'!$B:$E,3,FALSE))</f>
        <v>UN</v>
      </c>
      <c r="E246" s="846">
        <v>1</v>
      </c>
      <c r="F246" s="755">
        <f>IF($A246="INSUMO",VLOOKUP($B246,'BANCO DE DADOS JANEIRO-24 INS'!$A:$D,4,FALSE),VLOOKUP($B246,'BANCO DE DADOS JANEIRO-24 SERV'!$B:$E,4,FALSE))</f>
        <v>141.74</v>
      </c>
      <c r="G246" s="848">
        <f t="shared" si="0"/>
        <v>141.74</v>
      </c>
    </row>
    <row r="247" spans="1:8" ht="15.75">
      <c r="A247" s="308"/>
      <c r="B247" s="2408" t="s">
        <v>166</v>
      </c>
      <c r="C247" s="2409"/>
      <c r="D247" s="2409"/>
      <c r="E247" s="2409"/>
      <c r="F247" s="2409"/>
      <c r="G247" s="2410"/>
    </row>
    <row r="248" spans="1:8" ht="15.75">
      <c r="A248" s="333" t="s">
        <v>391</v>
      </c>
      <c r="B248" s="841">
        <v>88264</v>
      </c>
      <c r="C248" s="728" t="str">
        <f>IF($A248="INSUMO",VLOOKUP($B248,'BANCO DE DADOS JANEIRO-24 INS'!$A:$D,2,FALSE),VLOOKUP($B248,'BANCO DE DADOS JANEIRO-24 SERV'!$B:$E,2,FALSE))</f>
        <v>ELETRICISTA COM ENCARGOS COMPLEMENTARES</v>
      </c>
      <c r="D248" s="732" t="str">
        <f>IF($A248="INSUMO",VLOOKUP($B248,'BANCO DE DADOS JANEIRO-24 INS'!$A:$D,3,FALSE),VLOOKUP($B248,'BANCO DE DADOS JANEIRO-24 SERV'!$B:$E,3,FALSE))</f>
        <v>H</v>
      </c>
      <c r="E248" s="839">
        <v>27</v>
      </c>
      <c r="F248" s="755">
        <f>IF($A248="INSUMO",VLOOKUP($B248,'BANCO DE DADOS JANEIRO-24 INS'!$A:$D,4,FALSE),VLOOKUP($B248,'BANCO DE DADOS JANEIRO-24 SERV'!$B:$E,4,FALSE))</f>
        <v>26.68</v>
      </c>
      <c r="G248" s="840">
        <f>TRUNC(F248*E248,2)</f>
        <v>720.36</v>
      </c>
    </row>
    <row r="249" spans="1:8" ht="15.75">
      <c r="A249" s="333" t="s">
        <v>391</v>
      </c>
      <c r="B249" s="841">
        <v>88247</v>
      </c>
      <c r="C249" s="728" t="str">
        <f>IF($A249="INSUMO",VLOOKUP($B249,'BANCO DE DADOS JANEIRO-24 INS'!$A:$D,2,FALSE),VLOOKUP($B249,'BANCO DE DADOS JANEIRO-24 SERV'!$B:$E,2,FALSE))</f>
        <v>AUXILIAR DE ELETRICISTA COM ENCARGOS COMPLEMENTARES</v>
      </c>
      <c r="D249" s="732" t="str">
        <f>IF($A249="INSUMO",VLOOKUP($B249,'BANCO DE DADOS JANEIRO-24 INS'!$A:$D,3,FALSE),VLOOKUP($B249,'BANCO DE DADOS JANEIRO-24 SERV'!$B:$E,3,FALSE))</f>
        <v>H</v>
      </c>
      <c r="E249" s="839">
        <v>27</v>
      </c>
      <c r="F249" s="755">
        <f>IF($A249="INSUMO",VLOOKUP($B249,'BANCO DE DADOS JANEIRO-24 INS'!$A:$D,4,FALSE),VLOOKUP($B249,'BANCO DE DADOS JANEIRO-24 SERV'!$B:$E,4,FALSE))</f>
        <v>21.96</v>
      </c>
      <c r="G249" s="840">
        <f>TRUNC(F249*E249,2)</f>
        <v>592.91999999999996</v>
      </c>
    </row>
    <row r="250" spans="1:8" ht="16.5" thickBot="1">
      <c r="A250" s="333" t="s">
        <v>391</v>
      </c>
      <c r="B250" s="625">
        <v>88266</v>
      </c>
      <c r="C250" s="731" t="str">
        <f>IF($A250="INSUMO",VLOOKUP($B250,'BANCO DE DADOS JANEIRO-24 INS'!$A:$D,2,FALSE),VLOOKUP($B250,'BANCO DE DADOS JANEIRO-24 SERV'!$B:$E,2,FALSE))</f>
        <v>ELETROTÉCNICO COM ENCARGOS COMPLEMENTARES</v>
      </c>
      <c r="D250" s="729" t="str">
        <f>IF($A250="INSUMO",VLOOKUP($B250,'BANCO DE DADOS JANEIRO-24 INS'!$A:$D,3,FALSE),VLOOKUP($B250,'BANCO DE DADOS JANEIRO-24 SERV'!$B:$E,3,FALSE))</f>
        <v>H</v>
      </c>
      <c r="E250" s="842">
        <v>27</v>
      </c>
      <c r="F250" s="757">
        <f>IF($A250="INSUMO",VLOOKUP($B250,'BANCO DE DADOS JANEIRO-24 INS'!$A:$D,4,FALSE),VLOOKUP($B250,'BANCO DE DADOS JANEIRO-24 SERV'!$B:$E,4,FALSE))</f>
        <v>32.85</v>
      </c>
      <c r="G250" s="626">
        <f>TRUNC(F250*E250,2)</f>
        <v>886.95</v>
      </c>
    </row>
    <row r="251" spans="1:8" ht="16.5" thickBot="1">
      <c r="A251" s="308"/>
      <c r="B251" s="2450" t="s">
        <v>1841</v>
      </c>
      <c r="C251" s="2450"/>
      <c r="D251" s="2450"/>
      <c r="E251" s="2450"/>
      <c r="F251" s="325" t="s">
        <v>167</v>
      </c>
      <c r="G251" s="326">
        <f>SUM(G221:G250)</f>
        <v>6156.2999999999993</v>
      </c>
    </row>
    <row r="252" spans="1:8" ht="13.5" thickBot="1"/>
    <row r="253" spans="1:8" ht="15.75">
      <c r="B253" s="1669" t="s">
        <v>1842</v>
      </c>
      <c r="C253" s="1746" t="s">
        <v>1843</v>
      </c>
      <c r="D253" s="1747"/>
      <c r="E253" s="1748"/>
      <c r="F253" s="1749"/>
      <c r="G253" s="1670" t="s">
        <v>22</v>
      </c>
      <c r="H253" s="683" t="s">
        <v>1978</v>
      </c>
    </row>
    <row r="254" spans="1:8" ht="31.5">
      <c r="B254" s="810" t="s">
        <v>174</v>
      </c>
      <c r="C254" s="811" t="s">
        <v>175</v>
      </c>
      <c r="D254" s="812" t="s">
        <v>176</v>
      </c>
      <c r="E254" s="813" t="s">
        <v>177</v>
      </c>
      <c r="F254" s="837" t="s">
        <v>178</v>
      </c>
      <c r="G254" s="815" t="s">
        <v>179</v>
      </c>
    </row>
    <row r="255" spans="1:8" ht="15">
      <c r="B255" s="1137">
        <v>45264</v>
      </c>
      <c r="C255" s="1114" t="s">
        <v>502</v>
      </c>
      <c r="D255" s="1115">
        <v>20.7</v>
      </c>
      <c r="E255" s="1192" t="s">
        <v>1846</v>
      </c>
      <c r="F255" s="1139" t="s">
        <v>192</v>
      </c>
      <c r="G255" s="968" t="s">
        <v>5565</v>
      </c>
    </row>
    <row r="256" spans="1:8" ht="15">
      <c r="B256" s="1299">
        <v>45254</v>
      </c>
      <c r="C256" s="1114" t="s">
        <v>4588</v>
      </c>
      <c r="D256" s="1115">
        <v>24.16</v>
      </c>
      <c r="E256" s="1192" t="s">
        <v>5057</v>
      </c>
      <c r="F256" s="1139" t="s">
        <v>1979</v>
      </c>
      <c r="G256" s="968" t="s">
        <v>5871</v>
      </c>
    </row>
    <row r="257" spans="2:8" ht="15">
      <c r="B257" s="1137">
        <v>45253</v>
      </c>
      <c r="C257" s="1114" t="s">
        <v>5879</v>
      </c>
      <c r="D257" s="1115">
        <v>20.190000000000001</v>
      </c>
      <c r="E257" s="1192" t="s">
        <v>2185</v>
      </c>
      <c r="F257" s="1328" t="s">
        <v>4611</v>
      </c>
      <c r="G257" s="1329" t="s">
        <v>2840</v>
      </c>
      <c r="H257"/>
    </row>
    <row r="258" spans="2:8" ht="16.5" thickBot="1">
      <c r="B258" s="1738"/>
      <c r="C258" s="1739" t="s">
        <v>180</v>
      </c>
      <c r="D258" s="1737">
        <f>IF(COUNT(D254:D257)=3,MEDIAN(D254:D257),SMALL(D255:D257,1))</f>
        <v>20.7</v>
      </c>
      <c r="E258" s="1740"/>
      <c r="F258" s="1741"/>
      <c r="G258" s="1742"/>
    </row>
    <row r="259" spans="2:8" ht="16.5" thickBot="1">
      <c r="B259" s="601"/>
      <c r="C259" s="601"/>
      <c r="D259" s="300"/>
      <c r="E259" s="257"/>
      <c r="F259" s="301"/>
      <c r="G259" s="302"/>
    </row>
    <row r="260" spans="2:8" ht="15.75">
      <c r="B260" s="1669" t="s">
        <v>1844</v>
      </c>
      <c r="C260" s="1746" t="s">
        <v>1845</v>
      </c>
      <c r="D260" s="1747"/>
      <c r="E260" s="1748"/>
      <c r="F260" s="1749"/>
      <c r="G260" s="1676" t="s">
        <v>22</v>
      </c>
      <c r="H260" s="683"/>
    </row>
    <row r="261" spans="2:8" ht="31.5">
      <c r="B261" s="810" t="s">
        <v>174</v>
      </c>
      <c r="C261" s="811" t="s">
        <v>175</v>
      </c>
      <c r="D261" s="812" t="s">
        <v>176</v>
      </c>
      <c r="E261" s="813" t="s">
        <v>177</v>
      </c>
      <c r="F261" s="837" t="s">
        <v>178</v>
      </c>
      <c r="G261" s="815" t="s">
        <v>179</v>
      </c>
    </row>
    <row r="262" spans="2:8" ht="15">
      <c r="B262" s="1363">
        <v>44646</v>
      </c>
      <c r="C262" s="1300" t="s">
        <v>2708</v>
      </c>
      <c r="D262" s="1136">
        <v>81.61</v>
      </c>
      <c r="E262" s="1311" t="s">
        <v>545</v>
      </c>
      <c r="F262" s="1301" t="s">
        <v>1808</v>
      </c>
      <c r="G262" s="1312" t="s">
        <v>555</v>
      </c>
    </row>
    <row r="263" spans="2:8" ht="15">
      <c r="B263" s="1363">
        <v>44651</v>
      </c>
      <c r="C263" s="1300" t="s">
        <v>5212</v>
      </c>
      <c r="D263" s="1136">
        <v>75</v>
      </c>
      <c r="E263" s="1311" t="s">
        <v>5057</v>
      </c>
      <c r="F263" s="1301" t="s">
        <v>1979</v>
      </c>
      <c r="G263" s="1312" t="s">
        <v>5216</v>
      </c>
    </row>
    <row r="264" spans="2:8" ht="15">
      <c r="B264" s="1354">
        <v>44655</v>
      </c>
      <c r="C264" s="1300" t="s">
        <v>5213</v>
      </c>
      <c r="D264" s="1136">
        <v>94</v>
      </c>
      <c r="E264" s="1311" t="s">
        <v>5214</v>
      </c>
      <c r="F264" s="1301" t="s">
        <v>5215</v>
      </c>
      <c r="G264" s="1312" t="s">
        <v>5564</v>
      </c>
    </row>
    <row r="265" spans="2:8" ht="16.5" thickBot="1">
      <c r="B265" s="1738"/>
      <c r="C265" s="1739" t="s">
        <v>180</v>
      </c>
      <c r="D265" s="1737">
        <f>IF(COUNT(D261:D264)=3,MEDIAN(D261:D264),SMALL(D262:D264,1))</f>
        <v>81.61</v>
      </c>
      <c r="E265" s="1740"/>
      <c r="F265" s="1741"/>
      <c r="G265" s="1742"/>
    </row>
    <row r="266" spans="2:8" ht="16.5" thickBot="1">
      <c r="B266" s="601"/>
      <c r="C266" s="601"/>
      <c r="D266" s="300"/>
      <c r="E266" s="257"/>
      <c r="F266" s="301"/>
      <c r="G266" s="302"/>
    </row>
    <row r="267" spans="2:8" ht="15.75">
      <c r="B267" s="1669" t="s">
        <v>1847</v>
      </c>
      <c r="C267" s="1746" t="s">
        <v>1848</v>
      </c>
      <c r="D267" s="1747"/>
      <c r="E267" s="1748"/>
      <c r="F267" s="1749"/>
      <c r="G267" s="1676" t="s">
        <v>22</v>
      </c>
      <c r="H267" s="683" t="s">
        <v>1978</v>
      </c>
    </row>
    <row r="268" spans="2:8" ht="31.5">
      <c r="B268" s="810" t="s">
        <v>174</v>
      </c>
      <c r="C268" s="811" t="s">
        <v>175</v>
      </c>
      <c r="D268" s="812" t="s">
        <v>176</v>
      </c>
      <c r="E268" s="813" t="s">
        <v>177</v>
      </c>
      <c r="F268" s="837" t="s">
        <v>178</v>
      </c>
      <c r="G268" s="815" t="s">
        <v>179</v>
      </c>
    </row>
    <row r="269" spans="2:8" ht="15">
      <c r="B269" s="1177">
        <v>45180</v>
      </c>
      <c r="C269" s="1300" t="s">
        <v>2708</v>
      </c>
      <c r="D269" s="1136">
        <v>15.67</v>
      </c>
      <c r="E269" s="1311" t="s">
        <v>545</v>
      </c>
      <c r="F269" s="1301" t="s">
        <v>1808</v>
      </c>
      <c r="G269" s="1302" t="s">
        <v>555</v>
      </c>
      <c r="H269"/>
    </row>
    <row r="270" spans="2:8" ht="15">
      <c r="B270" s="1177">
        <v>45197</v>
      </c>
      <c r="C270" s="1300" t="s">
        <v>502</v>
      </c>
      <c r="D270" s="1309">
        <v>19</v>
      </c>
      <c r="E270" s="1311" t="s">
        <v>1846</v>
      </c>
      <c r="F270" s="1301" t="s">
        <v>556</v>
      </c>
      <c r="G270" s="1302" t="s">
        <v>13343</v>
      </c>
      <c r="H270"/>
    </row>
    <row r="271" spans="2:8" ht="15">
      <c r="B271" s="1299">
        <v>45196</v>
      </c>
      <c r="C271" s="1297" t="s">
        <v>4588</v>
      </c>
      <c r="D271" s="1333">
        <v>17</v>
      </c>
      <c r="E271" s="1192" t="s">
        <v>5057</v>
      </c>
      <c r="F271" s="1298" t="s">
        <v>1979</v>
      </c>
      <c r="G271" s="1364" t="s">
        <v>5871</v>
      </c>
      <c r="H271"/>
    </row>
    <row r="272" spans="2:8" ht="16.5" thickBot="1">
      <c r="B272" s="1738"/>
      <c r="C272" s="1739" t="s">
        <v>180</v>
      </c>
      <c r="D272" s="1737">
        <f>IF(COUNT(D268:D271)=3,MEDIAN(D268:D271),SMALL(D269:D271,1))</f>
        <v>17</v>
      </c>
      <c r="E272" s="1740"/>
      <c r="F272" s="1741"/>
      <c r="G272" s="1742"/>
    </row>
    <row r="273" spans="1:9" ht="16.5" thickBot="1">
      <c r="A273" s="308"/>
      <c r="B273" s="670"/>
      <c r="C273" s="670"/>
      <c r="D273" s="670"/>
      <c r="E273" s="670"/>
      <c r="F273" s="334"/>
      <c r="G273" s="672"/>
    </row>
    <row r="274" spans="1:9" ht="15.75">
      <c r="A274" s="308"/>
      <c r="B274" s="1669" t="s">
        <v>1849</v>
      </c>
      <c r="C274" s="1746" t="s">
        <v>1850</v>
      </c>
      <c r="D274" s="1747"/>
      <c r="E274" s="1748"/>
      <c r="F274" s="1749"/>
      <c r="G274" s="1670" t="s">
        <v>22</v>
      </c>
      <c r="H274" s="683" t="s">
        <v>1978</v>
      </c>
    </row>
    <row r="275" spans="1:9" ht="31.5">
      <c r="A275" s="308"/>
      <c r="B275" s="810" t="s">
        <v>174</v>
      </c>
      <c r="C275" s="811" t="s">
        <v>175</v>
      </c>
      <c r="D275" s="812" t="s">
        <v>176</v>
      </c>
      <c r="E275" s="813" t="s">
        <v>177</v>
      </c>
      <c r="F275" s="837" t="s">
        <v>178</v>
      </c>
      <c r="G275" s="815" t="s">
        <v>179</v>
      </c>
    </row>
    <row r="276" spans="1:9" ht="15.75">
      <c r="A276" s="308"/>
      <c r="B276" s="1299">
        <v>45253</v>
      </c>
      <c r="C276" s="1114" t="s">
        <v>5879</v>
      </c>
      <c r="D276" s="1115">
        <v>3.39</v>
      </c>
      <c r="E276" s="1185" t="s">
        <v>2185</v>
      </c>
      <c r="F276" s="1139" t="s">
        <v>4611</v>
      </c>
      <c r="G276" s="968" t="s">
        <v>2840</v>
      </c>
      <c r="H276"/>
    </row>
    <row r="277" spans="1:9" ht="15.75">
      <c r="A277" s="308"/>
      <c r="B277" s="1299">
        <v>45264</v>
      </c>
      <c r="C277" s="1114" t="s">
        <v>502</v>
      </c>
      <c r="D277" s="1115">
        <v>3.05</v>
      </c>
      <c r="E277" s="1185" t="s">
        <v>1846</v>
      </c>
      <c r="F277" s="1139" t="s">
        <v>192</v>
      </c>
      <c r="G277" s="968" t="s">
        <v>5565</v>
      </c>
      <c r="H277"/>
    </row>
    <row r="278" spans="1:9" ht="15.75">
      <c r="A278" s="308"/>
      <c r="B278" s="1137">
        <v>45254</v>
      </c>
      <c r="C278" s="1114" t="s">
        <v>4588</v>
      </c>
      <c r="D278" s="1115">
        <v>3.5</v>
      </c>
      <c r="E278" s="1185" t="s">
        <v>5057</v>
      </c>
      <c r="F278" s="1139" t="s">
        <v>1979</v>
      </c>
      <c r="G278" s="968" t="s">
        <v>5871</v>
      </c>
      <c r="H278"/>
    </row>
    <row r="279" spans="1:9" ht="16.5" thickBot="1">
      <c r="A279" s="308"/>
      <c r="B279" s="1738"/>
      <c r="C279" s="1739" t="s">
        <v>180</v>
      </c>
      <c r="D279" s="1737">
        <f>IF(COUNT(D275:D278)=3,MEDIAN(D275:D278),SMALL(D276:D278,1))</f>
        <v>3.39</v>
      </c>
      <c r="E279" s="1740"/>
      <c r="F279" s="1741"/>
      <c r="G279" s="1742"/>
    </row>
    <row r="280" spans="1:9" ht="16.5" thickBot="1">
      <c r="A280" s="308"/>
      <c r="B280" s="670"/>
      <c r="C280" s="670"/>
      <c r="D280" s="670"/>
      <c r="E280" s="670"/>
      <c r="F280" s="334"/>
      <c r="G280" s="672"/>
    </row>
    <row r="281" spans="1:9" ht="15.75">
      <c r="A281" s="308"/>
      <c r="B281" s="1669" t="s">
        <v>1851</v>
      </c>
      <c r="C281" s="1746" t="s">
        <v>1852</v>
      </c>
      <c r="D281" s="1747"/>
      <c r="E281" s="1748"/>
      <c r="F281" s="1749"/>
      <c r="G281" s="1670" t="s">
        <v>22</v>
      </c>
      <c r="H281" s="683" t="s">
        <v>1978</v>
      </c>
      <c r="I281" s="259">
        <v>1</v>
      </c>
    </row>
    <row r="282" spans="1:9" ht="31.5">
      <c r="A282" s="308"/>
      <c r="B282" s="810" t="s">
        <v>174</v>
      </c>
      <c r="C282" s="811" t="s">
        <v>175</v>
      </c>
      <c r="D282" s="812" t="s">
        <v>176</v>
      </c>
      <c r="E282" s="813" t="s">
        <v>177</v>
      </c>
      <c r="F282" s="837" t="s">
        <v>178</v>
      </c>
      <c r="G282" s="815" t="s">
        <v>179</v>
      </c>
    </row>
    <row r="283" spans="1:9" ht="15.75">
      <c r="A283" s="308"/>
      <c r="B283" s="1137">
        <v>45180</v>
      </c>
      <c r="C283" s="1114" t="s">
        <v>2708</v>
      </c>
      <c r="D283" s="1115">
        <v>235.27</v>
      </c>
      <c r="E283" s="1192" t="s">
        <v>545</v>
      </c>
      <c r="F283" s="1139" t="s">
        <v>1808</v>
      </c>
      <c r="G283" s="968" t="s">
        <v>555</v>
      </c>
      <c r="H283"/>
    </row>
    <row r="284" spans="1:9" ht="15.75">
      <c r="A284" s="308"/>
      <c r="B284" s="1137">
        <v>45181</v>
      </c>
      <c r="C284" s="1114" t="s">
        <v>13359</v>
      </c>
      <c r="D284" s="1115">
        <v>215.83</v>
      </c>
      <c r="E284" s="1192" t="s">
        <v>2062</v>
      </c>
      <c r="F284" s="1139" t="s">
        <v>2063</v>
      </c>
      <c r="G284" s="968" t="s">
        <v>5870</v>
      </c>
      <c r="H284"/>
    </row>
    <row r="285" spans="1:9" ht="15.75">
      <c r="A285" s="308"/>
      <c r="B285" s="1137">
        <v>45181</v>
      </c>
      <c r="C285" s="1114" t="s">
        <v>5212</v>
      </c>
      <c r="D285" s="1115">
        <v>173.34</v>
      </c>
      <c r="E285" s="1192" t="s">
        <v>5057</v>
      </c>
      <c r="F285" s="1139" t="s">
        <v>1979</v>
      </c>
      <c r="G285" s="968" t="s">
        <v>5871</v>
      </c>
      <c r="H285"/>
    </row>
    <row r="286" spans="1:9" ht="16.5" thickBot="1">
      <c r="A286" s="308"/>
      <c r="B286" s="1738"/>
      <c r="C286" s="1739" t="s">
        <v>180</v>
      </c>
      <c r="D286" s="1737">
        <f>IF(COUNT(D282:D285)=3,MEDIAN(D282:D285),SMALL(D283:D285,1))</f>
        <v>215.83</v>
      </c>
      <c r="E286" s="1740"/>
      <c r="F286" s="1741"/>
      <c r="G286" s="1742"/>
      <c r="H286"/>
    </row>
    <row r="287" spans="1:9" ht="16.5" thickBot="1">
      <c r="A287" s="308"/>
      <c r="B287" s="670"/>
      <c r="C287" s="670"/>
      <c r="D287" s="670"/>
      <c r="E287" s="670"/>
      <c r="F287" s="334"/>
      <c r="G287" s="672"/>
    </row>
    <row r="288" spans="1:9" ht="15.75">
      <c r="A288" s="308"/>
      <c r="B288" s="1669" t="s">
        <v>1853</v>
      </c>
      <c r="C288" s="1746" t="s">
        <v>3402</v>
      </c>
      <c r="D288" s="1747"/>
      <c r="E288" s="1748"/>
      <c r="F288" s="1749"/>
      <c r="G288" s="1670" t="s">
        <v>22</v>
      </c>
      <c r="H288" s="683" t="s">
        <v>1978</v>
      </c>
    </row>
    <row r="289" spans="1:8" ht="31.5">
      <c r="A289" s="308"/>
      <c r="B289" s="810" t="s">
        <v>174</v>
      </c>
      <c r="C289" s="811" t="s">
        <v>175</v>
      </c>
      <c r="D289" s="812" t="s">
        <v>176</v>
      </c>
      <c r="E289" s="813" t="s">
        <v>177</v>
      </c>
      <c r="F289" s="837" t="s">
        <v>178</v>
      </c>
      <c r="G289" s="815" t="s">
        <v>179</v>
      </c>
    </row>
    <row r="290" spans="1:8" ht="15">
      <c r="A290" s="308"/>
      <c r="B290" s="1177">
        <v>45264</v>
      </c>
      <c r="C290" s="1300" t="s">
        <v>502</v>
      </c>
      <c r="D290" s="1136">
        <v>9.1999999999999993</v>
      </c>
      <c r="E290" s="1311" t="s">
        <v>1846</v>
      </c>
      <c r="F290" s="1301" t="s">
        <v>192</v>
      </c>
      <c r="G290" s="1302" t="s">
        <v>5565</v>
      </c>
    </row>
    <row r="291" spans="1:8" ht="15.75">
      <c r="A291" s="308"/>
      <c r="B291" s="1177">
        <v>45254</v>
      </c>
      <c r="C291" s="1300" t="s">
        <v>4588</v>
      </c>
      <c r="D291" s="1309">
        <v>25</v>
      </c>
      <c r="E291" s="1311" t="s">
        <v>5057</v>
      </c>
      <c r="F291" s="1301" t="s">
        <v>1979</v>
      </c>
      <c r="G291" s="1302" t="s">
        <v>5871</v>
      </c>
      <c r="H291"/>
    </row>
    <row r="292" spans="1:8" ht="15.75">
      <c r="A292" s="308"/>
      <c r="B292" s="1299">
        <v>45253</v>
      </c>
      <c r="C292" s="1297" t="s">
        <v>5879</v>
      </c>
      <c r="D292" s="1333">
        <v>15.16</v>
      </c>
      <c r="E292" s="1192" t="s">
        <v>2185</v>
      </c>
      <c r="F292" s="1298" t="s">
        <v>4611</v>
      </c>
      <c r="G292" s="1364" t="s">
        <v>2840</v>
      </c>
      <c r="H292"/>
    </row>
    <row r="293" spans="1:8" ht="16.5" thickBot="1">
      <c r="A293" s="308"/>
      <c r="B293" s="1738"/>
      <c r="C293" s="1739" t="s">
        <v>180</v>
      </c>
      <c r="D293" s="1737">
        <f>IF(COUNT(D289:D292)=3,MEDIAN(D289:D292),SMALL(D290:D292,1))</f>
        <v>15.16</v>
      </c>
      <c r="E293" s="1740"/>
      <c r="F293" s="1741"/>
      <c r="G293" s="1742"/>
      <c r="H293"/>
    </row>
    <row r="294" spans="1:8" ht="16.5" thickBot="1">
      <c r="A294" s="308"/>
      <c r="B294" s="670"/>
      <c r="C294" s="670"/>
      <c r="D294" s="670"/>
      <c r="E294" s="670"/>
      <c r="F294" s="334"/>
      <c r="G294" s="672"/>
    </row>
    <row r="295" spans="1:8" ht="15.75">
      <c r="A295" s="308"/>
      <c r="B295" s="1669" t="s">
        <v>1855</v>
      </c>
      <c r="C295" s="1746" t="s">
        <v>3403</v>
      </c>
      <c r="D295" s="1747"/>
      <c r="E295" s="1748"/>
      <c r="F295" s="1749"/>
      <c r="G295" s="1670" t="s">
        <v>22</v>
      </c>
      <c r="H295" s="683" t="s">
        <v>1978</v>
      </c>
    </row>
    <row r="296" spans="1:8" ht="31.5">
      <c r="A296" s="308"/>
      <c r="B296" s="810" t="s">
        <v>174</v>
      </c>
      <c r="C296" s="811" t="s">
        <v>175</v>
      </c>
      <c r="D296" s="812" t="s">
        <v>176</v>
      </c>
      <c r="E296" s="813" t="s">
        <v>177</v>
      </c>
      <c r="F296" s="837" t="s">
        <v>178</v>
      </c>
      <c r="G296" s="815" t="s">
        <v>179</v>
      </c>
      <c r="H296"/>
    </row>
    <row r="297" spans="1:8" ht="15.75">
      <c r="A297" s="308"/>
      <c r="B297" s="1137">
        <v>45254</v>
      </c>
      <c r="C297" s="1114" t="s">
        <v>4588</v>
      </c>
      <c r="D297" s="1115">
        <v>10.68</v>
      </c>
      <c r="E297" s="1192" t="s">
        <v>5057</v>
      </c>
      <c r="F297" s="1139" t="s">
        <v>1979</v>
      </c>
      <c r="G297" s="968" t="s">
        <v>5871</v>
      </c>
      <c r="H297"/>
    </row>
    <row r="298" spans="1:8" ht="15.75">
      <c r="A298" s="308"/>
      <c r="B298" s="1137">
        <v>45264</v>
      </c>
      <c r="C298" s="1114" t="s">
        <v>502</v>
      </c>
      <c r="D298" s="1115">
        <v>10</v>
      </c>
      <c r="E298" s="1192" t="s">
        <v>1846</v>
      </c>
      <c r="F298" s="1328" t="s">
        <v>192</v>
      </c>
      <c r="G298" s="1329" t="s">
        <v>5565</v>
      </c>
      <c r="H298"/>
    </row>
    <row r="299" spans="1:8" ht="15.75">
      <c r="A299" s="308"/>
      <c r="B299" s="1299">
        <v>45253</v>
      </c>
      <c r="C299" s="1114" t="s">
        <v>5879</v>
      </c>
      <c r="D299" s="1115">
        <v>11.39</v>
      </c>
      <c r="E299" s="1192" t="s">
        <v>2185</v>
      </c>
      <c r="F299" s="1139" t="s">
        <v>4611</v>
      </c>
      <c r="G299" s="968" t="s">
        <v>2840</v>
      </c>
      <c r="H299"/>
    </row>
    <row r="300" spans="1:8" ht="16.5" thickBot="1">
      <c r="A300" s="308"/>
      <c r="B300" s="1738"/>
      <c r="C300" s="1739" t="s">
        <v>180</v>
      </c>
      <c r="D300" s="1737">
        <f>IF(COUNT(D296:D299)=3,MEDIAN(D296:D299),SMALL(D297:D299,1))</f>
        <v>10.68</v>
      </c>
      <c r="E300" s="1740"/>
      <c r="F300" s="1741"/>
      <c r="G300" s="1742"/>
    </row>
    <row r="301" spans="1:8" ht="16.5" thickBot="1">
      <c r="A301" s="308"/>
      <c r="B301" s="670"/>
      <c r="C301" s="1750"/>
      <c r="D301" s="670"/>
      <c r="E301" s="670"/>
      <c r="F301" s="334"/>
      <c r="G301" s="672"/>
    </row>
    <row r="302" spans="1:8" ht="15.75">
      <c r="A302" s="308"/>
      <c r="B302" s="1669" t="s">
        <v>1857</v>
      </c>
      <c r="C302" s="1746" t="s">
        <v>1858</v>
      </c>
      <c r="D302" s="1747"/>
      <c r="E302" s="1748"/>
      <c r="F302" s="1749"/>
      <c r="G302" s="1670" t="s">
        <v>22</v>
      </c>
      <c r="H302" s="683" t="s">
        <v>1978</v>
      </c>
    </row>
    <row r="303" spans="1:8" ht="31.5">
      <c r="A303" s="308"/>
      <c r="B303" s="810" t="s">
        <v>174</v>
      </c>
      <c r="C303" s="811" t="s">
        <v>175</v>
      </c>
      <c r="D303" s="812" t="s">
        <v>176</v>
      </c>
      <c r="E303" s="813" t="s">
        <v>177</v>
      </c>
      <c r="F303" s="837" t="s">
        <v>178</v>
      </c>
      <c r="G303" s="815" t="s">
        <v>179</v>
      </c>
    </row>
    <row r="304" spans="1:8" ht="15.75">
      <c r="A304" s="308"/>
      <c r="B304" s="1137">
        <v>45253</v>
      </c>
      <c r="C304" s="1114" t="s">
        <v>2061</v>
      </c>
      <c r="D304" s="1115">
        <v>71.09</v>
      </c>
      <c r="E304" s="1192" t="s">
        <v>2062</v>
      </c>
      <c r="F304" s="1139" t="s">
        <v>2063</v>
      </c>
      <c r="G304" s="968" t="s">
        <v>5870</v>
      </c>
      <c r="H304"/>
    </row>
    <row r="305" spans="1:8" ht="15.75">
      <c r="A305" s="308"/>
      <c r="B305" s="1299">
        <v>45254</v>
      </c>
      <c r="C305" s="1114" t="s">
        <v>4588</v>
      </c>
      <c r="D305" s="1115">
        <v>42.46</v>
      </c>
      <c r="E305" s="1192" t="s">
        <v>5057</v>
      </c>
      <c r="F305" s="1139" t="s">
        <v>1979</v>
      </c>
      <c r="G305" s="968" t="s">
        <v>5871</v>
      </c>
      <c r="H305"/>
    </row>
    <row r="306" spans="1:8" ht="15.75">
      <c r="A306" s="308"/>
      <c r="B306" s="1137">
        <v>45180</v>
      </c>
      <c r="C306" s="1114" t="s">
        <v>5879</v>
      </c>
      <c r="D306" s="1115">
        <v>38.43</v>
      </c>
      <c r="E306" s="1192" t="s">
        <v>2185</v>
      </c>
      <c r="F306" s="1139" t="s">
        <v>4611</v>
      </c>
      <c r="G306" s="968" t="s">
        <v>2840</v>
      </c>
      <c r="H306"/>
    </row>
    <row r="307" spans="1:8" ht="16.5" thickBot="1">
      <c r="A307" s="308"/>
      <c r="B307" s="1738"/>
      <c r="C307" s="1739" t="s">
        <v>180</v>
      </c>
      <c r="D307" s="1737">
        <f>IF(COUNT(D303:D306)=3,MEDIAN(D303:D306),SMALL(D304:D306,1))</f>
        <v>42.46</v>
      </c>
      <c r="E307" s="1740"/>
      <c r="F307" s="1741"/>
      <c r="G307" s="1742"/>
    </row>
    <row r="308" spans="1:8" ht="16.5" thickBot="1">
      <c r="A308" s="308"/>
      <c r="B308" s="670"/>
      <c r="C308" s="670"/>
      <c r="D308" s="670"/>
      <c r="E308" s="670"/>
      <c r="F308" s="334"/>
      <c r="G308" s="672"/>
    </row>
    <row r="309" spans="1:8" ht="31.5">
      <c r="A309" s="308"/>
      <c r="B309" s="1669" t="s">
        <v>1859</v>
      </c>
      <c r="C309" s="1746" t="s">
        <v>1860</v>
      </c>
      <c r="D309" s="1747"/>
      <c r="E309" s="1748"/>
      <c r="F309" s="1749"/>
      <c r="G309" s="1670" t="s">
        <v>22</v>
      </c>
      <c r="H309" s="683" t="s">
        <v>1978</v>
      </c>
    </row>
    <row r="310" spans="1:8" ht="31.5">
      <c r="A310" s="308"/>
      <c r="B310" s="810" t="s">
        <v>174</v>
      </c>
      <c r="C310" s="811" t="s">
        <v>175</v>
      </c>
      <c r="D310" s="812" t="s">
        <v>176</v>
      </c>
      <c r="E310" s="813" t="s">
        <v>177</v>
      </c>
      <c r="F310" s="837" t="s">
        <v>178</v>
      </c>
      <c r="G310" s="815" t="s">
        <v>179</v>
      </c>
    </row>
    <row r="311" spans="1:8" ht="15">
      <c r="A311" s="308"/>
      <c r="B311" s="1299">
        <v>45253</v>
      </c>
      <c r="C311" s="1297" t="s">
        <v>5879</v>
      </c>
      <c r="D311" s="1333">
        <v>47.4</v>
      </c>
      <c r="E311" s="1192" t="s">
        <v>2185</v>
      </c>
      <c r="F311" s="1298" t="s">
        <v>4611</v>
      </c>
      <c r="G311" s="1364" t="s">
        <v>2840</v>
      </c>
    </row>
    <row r="312" spans="1:8" ht="15">
      <c r="A312" s="308"/>
      <c r="B312" s="1182">
        <v>45254</v>
      </c>
      <c r="C312" s="1297" t="s">
        <v>4588</v>
      </c>
      <c r="D312" s="1333">
        <v>65.989999999999995</v>
      </c>
      <c r="E312" s="1192" t="s">
        <v>5057</v>
      </c>
      <c r="F312" s="1313" t="s">
        <v>1979</v>
      </c>
      <c r="G312" s="1332" t="s">
        <v>5871</v>
      </c>
    </row>
    <row r="313" spans="1:8" ht="15">
      <c r="A313" s="308"/>
      <c r="B313" s="1177">
        <v>45253</v>
      </c>
      <c r="C313" s="1300" t="s">
        <v>2061</v>
      </c>
      <c r="D313" s="1136">
        <v>46.45</v>
      </c>
      <c r="E313" s="1311" t="s">
        <v>2062</v>
      </c>
      <c r="F313" s="1301" t="s">
        <v>2063</v>
      </c>
      <c r="G313" s="1302" t="s">
        <v>5870</v>
      </c>
    </row>
    <row r="314" spans="1:8" ht="16.5" thickBot="1">
      <c r="A314" s="308"/>
      <c r="B314" s="1738"/>
      <c r="C314" s="1739" t="s">
        <v>180</v>
      </c>
      <c r="D314" s="1737">
        <f>IF(COUNT(D310:D313)=3,MEDIAN(D310:D313),SMALL(D311:D313,1))</f>
        <v>47.4</v>
      </c>
      <c r="E314" s="1740"/>
      <c r="F314" s="1741"/>
      <c r="G314" s="1742"/>
    </row>
    <row r="315" spans="1:8" ht="16.5" thickBot="1">
      <c r="A315" s="308"/>
      <c r="B315" s="670"/>
      <c r="C315" s="670"/>
      <c r="D315" s="670"/>
      <c r="E315" s="670"/>
      <c r="F315" s="334"/>
      <c r="G315" s="672"/>
    </row>
    <row r="316" spans="1:8" ht="15.75">
      <c r="A316" s="308"/>
      <c r="B316" s="1669" t="s">
        <v>1861</v>
      </c>
      <c r="C316" s="1746" t="s">
        <v>1862</v>
      </c>
      <c r="D316" s="1747"/>
      <c r="E316" s="1748"/>
      <c r="F316" s="1749"/>
      <c r="G316" s="1670" t="s">
        <v>22</v>
      </c>
      <c r="H316" s="683" t="s">
        <v>1978</v>
      </c>
    </row>
    <row r="317" spans="1:8" ht="31.5">
      <c r="A317" s="308"/>
      <c r="B317" s="810" t="s">
        <v>174</v>
      </c>
      <c r="C317" s="811" t="s">
        <v>175</v>
      </c>
      <c r="D317" s="812" t="s">
        <v>176</v>
      </c>
      <c r="E317" s="813" t="s">
        <v>177</v>
      </c>
      <c r="F317" s="837" t="s">
        <v>178</v>
      </c>
      <c r="G317" s="815" t="s">
        <v>179</v>
      </c>
    </row>
    <row r="318" spans="1:8" ht="15.75">
      <c r="A318" s="308"/>
      <c r="B318" s="1177">
        <v>45181</v>
      </c>
      <c r="C318" s="1300" t="s">
        <v>4588</v>
      </c>
      <c r="D318" s="1136">
        <v>7.51</v>
      </c>
      <c r="E318" s="1311" t="s">
        <v>5057</v>
      </c>
      <c r="F318" s="1301" t="s">
        <v>1979</v>
      </c>
      <c r="G318" s="1302" t="s">
        <v>5871</v>
      </c>
      <c r="H318"/>
    </row>
    <row r="319" spans="1:8" ht="15.75">
      <c r="A319" s="308"/>
      <c r="B319" s="1177">
        <v>45181</v>
      </c>
      <c r="C319" s="1300" t="s">
        <v>13359</v>
      </c>
      <c r="D319" s="1309">
        <v>13.06</v>
      </c>
      <c r="E319" s="1185" t="s">
        <v>2062</v>
      </c>
      <c r="F319" s="1139" t="s">
        <v>2063</v>
      </c>
      <c r="G319" s="1117" t="s">
        <v>5870</v>
      </c>
      <c r="H319"/>
    </row>
    <row r="320" spans="1:8" ht="15.75">
      <c r="A320" s="308"/>
      <c r="B320" s="1182">
        <v>45180</v>
      </c>
      <c r="C320" s="1297" t="s">
        <v>5060</v>
      </c>
      <c r="D320" s="1333">
        <v>9.9499999999999993</v>
      </c>
      <c r="E320" s="1192" t="s">
        <v>545</v>
      </c>
      <c r="F320" s="1313" t="s">
        <v>1808</v>
      </c>
      <c r="G320" s="1332" t="s">
        <v>555</v>
      </c>
      <c r="H320"/>
    </row>
    <row r="321" spans="1:8" ht="16.5" thickBot="1">
      <c r="A321" s="308"/>
      <c r="B321" s="1738"/>
      <c r="C321" s="1739" t="s">
        <v>180</v>
      </c>
      <c r="D321" s="1737">
        <f>IF(COUNT(D317:D320)=3,MEDIAN(D317:D320),SMALL(D318:D320,1))</f>
        <v>9.9499999999999993</v>
      </c>
      <c r="E321" s="1740"/>
      <c r="F321" s="1741"/>
      <c r="G321" s="1742"/>
      <c r="H321"/>
    </row>
    <row r="322" spans="1:8" ht="16.5" thickBot="1">
      <c r="A322" s="308"/>
      <c r="B322" s="670"/>
      <c r="C322" s="670"/>
      <c r="D322" s="670"/>
      <c r="E322" s="670"/>
      <c r="F322" s="334"/>
      <c r="G322" s="672"/>
    </row>
    <row r="323" spans="1:8" ht="15.75">
      <c r="A323" s="308"/>
      <c r="B323" s="1669" t="s">
        <v>1863</v>
      </c>
      <c r="C323" s="1746" t="s">
        <v>1864</v>
      </c>
      <c r="D323" s="1747"/>
      <c r="E323" s="1748"/>
      <c r="F323" s="1749"/>
      <c r="G323" s="1670" t="s">
        <v>21</v>
      </c>
      <c r="H323" s="683" t="s">
        <v>1978</v>
      </c>
    </row>
    <row r="324" spans="1:8" ht="31.5">
      <c r="A324" s="308"/>
      <c r="B324" s="810" t="s">
        <v>174</v>
      </c>
      <c r="C324" s="811" t="s">
        <v>175</v>
      </c>
      <c r="D324" s="812" t="s">
        <v>176</v>
      </c>
      <c r="E324" s="813" t="s">
        <v>177</v>
      </c>
      <c r="F324" s="837" t="s">
        <v>178</v>
      </c>
      <c r="G324" s="815" t="s">
        <v>179</v>
      </c>
    </row>
    <row r="325" spans="1:8" ht="15">
      <c r="A325" s="308"/>
      <c r="B325" s="1113">
        <v>45264</v>
      </c>
      <c r="C325" s="1114" t="s">
        <v>502</v>
      </c>
      <c r="D325" s="1330">
        <v>7.06</v>
      </c>
      <c r="E325" s="1185" t="s">
        <v>1846</v>
      </c>
      <c r="F325" s="1139" t="s">
        <v>192</v>
      </c>
      <c r="G325" s="1117" t="s">
        <v>5565</v>
      </c>
    </row>
    <row r="326" spans="1:8" ht="15">
      <c r="A326" s="308"/>
      <c r="B326" s="1113">
        <v>45254</v>
      </c>
      <c r="C326" s="1114" t="s">
        <v>4588</v>
      </c>
      <c r="D326" s="1115">
        <v>6.65</v>
      </c>
      <c r="E326" s="1185" t="s">
        <v>5057</v>
      </c>
      <c r="F326" s="1139" t="s">
        <v>1979</v>
      </c>
      <c r="G326" s="1117" t="s">
        <v>5871</v>
      </c>
    </row>
    <row r="327" spans="1:8" ht="15">
      <c r="A327" s="308"/>
      <c r="B327" s="1299">
        <v>45253</v>
      </c>
      <c r="C327" s="1297" t="s">
        <v>5879</v>
      </c>
      <c r="D327" s="1333">
        <v>5.84</v>
      </c>
      <c r="E327" s="1192" t="s">
        <v>2185</v>
      </c>
      <c r="F327" s="1298" t="s">
        <v>4611</v>
      </c>
      <c r="G327" s="1364" t="s">
        <v>2840</v>
      </c>
    </row>
    <row r="328" spans="1:8" ht="16.5" thickBot="1">
      <c r="A328" s="308"/>
      <c r="B328" s="1738"/>
      <c r="C328" s="1739" t="s">
        <v>180</v>
      </c>
      <c r="D328" s="1737">
        <f>IF(COUNT(D324:D327)=3,MEDIAN(D324:D327),SMALL(D325:D327,1))</f>
        <v>6.65</v>
      </c>
      <c r="E328" s="1740"/>
      <c r="F328" s="1741"/>
      <c r="G328" s="1742"/>
    </row>
    <row r="329" spans="1:8" ht="16.5" thickBot="1">
      <c r="A329" s="308"/>
      <c r="B329" s="670"/>
      <c r="C329" s="670"/>
      <c r="D329" s="670"/>
      <c r="E329" s="670"/>
      <c r="F329" s="334"/>
      <c r="G329" s="672"/>
    </row>
    <row r="330" spans="1:8" ht="15.75">
      <c r="A330" s="308"/>
      <c r="B330" s="1669" t="s">
        <v>1865</v>
      </c>
      <c r="C330" s="1746" t="s">
        <v>1866</v>
      </c>
      <c r="D330" s="1747"/>
      <c r="E330" s="1748"/>
      <c r="F330" s="1749"/>
      <c r="G330" s="1670" t="s">
        <v>22</v>
      </c>
      <c r="H330" s="683" t="s">
        <v>1978</v>
      </c>
    </row>
    <row r="331" spans="1:8" ht="31.5">
      <c r="A331" s="308"/>
      <c r="B331" s="810" t="s">
        <v>174</v>
      </c>
      <c r="C331" s="811" t="s">
        <v>175</v>
      </c>
      <c r="D331" s="812" t="s">
        <v>176</v>
      </c>
      <c r="E331" s="813" t="s">
        <v>177</v>
      </c>
      <c r="F331" s="837" t="s">
        <v>178</v>
      </c>
      <c r="G331" s="815" t="s">
        <v>179</v>
      </c>
    </row>
    <row r="332" spans="1:8" ht="15">
      <c r="A332" s="308"/>
      <c r="B332" s="1299">
        <v>45264</v>
      </c>
      <c r="C332" s="1297" t="s">
        <v>2708</v>
      </c>
      <c r="D332" s="1333">
        <v>3.48</v>
      </c>
      <c r="E332" s="1192" t="s">
        <v>545</v>
      </c>
      <c r="F332" s="1298" t="s">
        <v>1808</v>
      </c>
      <c r="G332" s="1364" t="s">
        <v>555</v>
      </c>
    </row>
    <row r="333" spans="1:8" ht="15.75">
      <c r="A333" s="308"/>
      <c r="B333" s="1177">
        <v>45264</v>
      </c>
      <c r="C333" s="1300" t="s">
        <v>502</v>
      </c>
      <c r="D333" s="1136">
        <v>2.21</v>
      </c>
      <c r="E333" s="1311" t="s">
        <v>1846</v>
      </c>
      <c r="F333" s="1301" t="s">
        <v>192</v>
      </c>
      <c r="G333" s="1302" t="s">
        <v>5565</v>
      </c>
      <c r="H333"/>
    </row>
    <row r="334" spans="1:8" ht="15">
      <c r="A334" s="308"/>
      <c r="B334" s="1182">
        <v>45254</v>
      </c>
      <c r="C334" s="1297" t="s">
        <v>4588</v>
      </c>
      <c r="D334" s="1333">
        <v>3.19</v>
      </c>
      <c r="E334" s="1192" t="s">
        <v>5057</v>
      </c>
      <c r="F334" s="1313" t="s">
        <v>1979</v>
      </c>
      <c r="G334" s="1332" t="s">
        <v>5871</v>
      </c>
    </row>
    <row r="335" spans="1:8" ht="16.5" thickBot="1">
      <c r="A335" s="308"/>
      <c r="B335" s="1738"/>
      <c r="C335" s="1739" t="s">
        <v>180</v>
      </c>
      <c r="D335" s="1737">
        <f>IF(COUNT(D331:D334)=3,MEDIAN(D331:D334),SMALL(D332:D334,1))</f>
        <v>3.19</v>
      </c>
      <c r="E335" s="1740"/>
      <c r="F335" s="1741"/>
      <c r="G335" s="1742"/>
    </row>
    <row r="336" spans="1:8" ht="16.5" thickBot="1">
      <c r="A336" s="308"/>
      <c r="B336" s="670"/>
      <c r="C336" s="670"/>
      <c r="D336" s="670"/>
      <c r="E336" s="670"/>
      <c r="F336" s="334"/>
      <c r="G336" s="672"/>
    </row>
    <row r="337" spans="1:8" ht="31.5">
      <c r="A337" s="308"/>
      <c r="B337" s="1669" t="s">
        <v>1867</v>
      </c>
      <c r="C337" s="1746" t="s">
        <v>1868</v>
      </c>
      <c r="D337" s="1747"/>
      <c r="E337" s="1748"/>
      <c r="F337" s="1749"/>
      <c r="G337" s="1670" t="s">
        <v>21</v>
      </c>
      <c r="H337" s="683" t="s">
        <v>1978</v>
      </c>
    </row>
    <row r="338" spans="1:8" ht="31.5">
      <c r="A338" s="308"/>
      <c r="B338" s="810" t="s">
        <v>174</v>
      </c>
      <c r="C338" s="811" t="s">
        <v>175</v>
      </c>
      <c r="D338" s="812" t="s">
        <v>176</v>
      </c>
      <c r="E338" s="813" t="s">
        <v>177</v>
      </c>
      <c r="F338" s="837" t="s">
        <v>178</v>
      </c>
      <c r="G338" s="815" t="s">
        <v>179</v>
      </c>
    </row>
    <row r="339" spans="1:8" ht="15">
      <c r="A339" s="308"/>
      <c r="B339" s="1137">
        <v>45180</v>
      </c>
      <c r="C339" s="1114" t="s">
        <v>5060</v>
      </c>
      <c r="D339" s="1115">
        <v>25.9</v>
      </c>
      <c r="E339" s="1192" t="s">
        <v>545</v>
      </c>
      <c r="F339" s="1139" t="s">
        <v>1808</v>
      </c>
      <c r="G339" s="968" t="s">
        <v>555</v>
      </c>
    </row>
    <row r="340" spans="1:8" ht="15">
      <c r="A340" s="308"/>
      <c r="B340" s="1137">
        <v>45181</v>
      </c>
      <c r="C340" s="1114" t="s">
        <v>4588</v>
      </c>
      <c r="D340" s="1115">
        <v>18.850000000000001</v>
      </c>
      <c r="E340" s="1192" t="s">
        <v>5057</v>
      </c>
      <c r="F340" s="1139" t="s">
        <v>1979</v>
      </c>
      <c r="G340" s="968" t="s">
        <v>5871</v>
      </c>
    </row>
    <row r="341" spans="1:8" ht="15">
      <c r="A341" s="308"/>
      <c r="B341" s="1137">
        <v>45181</v>
      </c>
      <c r="C341" s="1114" t="s">
        <v>13359</v>
      </c>
      <c r="D341" s="1115">
        <v>23.53</v>
      </c>
      <c r="E341" s="1192" t="s">
        <v>2062</v>
      </c>
      <c r="F341" s="1139" t="s">
        <v>2063</v>
      </c>
      <c r="G341" s="968" t="s">
        <v>5870</v>
      </c>
    </row>
    <row r="342" spans="1:8" ht="16.5" thickBot="1">
      <c r="A342" s="308"/>
      <c r="B342" s="1738"/>
      <c r="C342" s="1739" t="s">
        <v>180</v>
      </c>
      <c r="D342" s="1737">
        <f>IF(COUNT(D338:D341)=3,MEDIAN(D338:D341),SMALL(D339:D341,1))</f>
        <v>23.53</v>
      </c>
      <c r="E342" s="1740"/>
      <c r="F342" s="1741"/>
      <c r="G342" s="1742"/>
    </row>
    <row r="343" spans="1:8" ht="13.5" thickBot="1"/>
    <row r="344" spans="1:8" ht="34.5" customHeight="1">
      <c r="B344" s="623" t="str">
        <f>IF(COUNT($H$17:H344)&lt;10,CONCATENATE("CPU IP 00",COUNT($H$17:H344)),CONCATENATE("CPU IP 0",COUNT($H$17:H344)))</f>
        <v>CPU IP 020</v>
      </c>
      <c r="C344" s="2180" t="str">
        <f>CONCATENATE("FORNECIMENTO E INSTALAÇÃO DE ",C347)</f>
        <v xml:space="preserve">FORNECIMENTO E INSTALAÇÃO DE TRANSFORMADOR TRIFASICO DE DISTRIBUICAO, POTENCIA DE 15 KVA, TENSAO NOMINAL DE 15 KV, TENSAO SECUNDARIA DE 220/127V, EM OLEO ISOLANTE TIPO MINERAL                                                                                                                                                                                                                                                                                                                                                        </v>
      </c>
      <c r="D344" s="2180"/>
      <c r="E344" s="2180"/>
      <c r="F344" s="2180"/>
      <c r="G344" s="674" t="s">
        <v>22</v>
      </c>
      <c r="H344" s="615">
        <f>G351</f>
        <v>17313.88</v>
      </c>
    </row>
    <row r="345" spans="1:8" ht="47.25">
      <c r="B345" s="750" t="s">
        <v>1836</v>
      </c>
      <c r="C345" s="826" t="s">
        <v>161</v>
      </c>
      <c r="D345" s="826" t="s">
        <v>22</v>
      </c>
      <c r="E345" s="826" t="s">
        <v>162</v>
      </c>
      <c r="F345" s="827" t="s">
        <v>163</v>
      </c>
      <c r="G345" s="832" t="s">
        <v>164</v>
      </c>
    </row>
    <row r="346" spans="1:8" ht="15.75">
      <c r="B346" s="2446" t="s">
        <v>165</v>
      </c>
      <c r="C346" s="2447"/>
      <c r="D346" s="2447"/>
      <c r="E346" s="2447"/>
      <c r="F346" s="2447"/>
      <c r="G346" s="2448"/>
    </row>
    <row r="347" spans="1:8" ht="45">
      <c r="A347" s="259" t="s">
        <v>390</v>
      </c>
      <c r="B347" s="841">
        <v>12076</v>
      </c>
      <c r="C347" s="728" t="str">
        <f>IF($A347="INSUMO",VLOOKUP($B347,'BANCO DE DADOS JANEIRO-24 INS'!$A:$D,2,FALSE),VLOOKUP($B347,'BANCO DE DADOS JANEIRO-24 SERV'!$B:$E,2,FALSE))</f>
        <v xml:space="preserve">TRANSFORMADOR TRIFASICO DE DISTRIBUICAO, POTENCIA DE 15 KVA, TENSAO NOMINAL DE 15 KV, TENSAO SECUNDARIA DE 220/127V, EM OLEO ISOLANTE TIPO MINERAL                                                                                                                                                                                                                                                                                                                                                        </v>
      </c>
      <c r="D347" s="732" t="str">
        <f>IF($A347="INSUMO",VLOOKUP($B347,'BANCO DE DADOS JANEIRO-24 INS'!$A:$D,3,FALSE),VLOOKUP($B347,'BANCO DE DADOS JANEIRO-24 SERV'!$B:$E,3,FALSE))</f>
        <v xml:space="preserve">UN    </v>
      </c>
      <c r="E347" s="839">
        <v>1</v>
      </c>
      <c r="F347" s="755">
        <f>IF($A347="INSUMO",VLOOKUP($B347,'BANCO DE DADOS JANEIRO-24 INS'!$A:$D,4,FALSE),VLOOKUP($B347,'BANCO DE DADOS JANEIRO-24 SERV'!$B:$E,4,FALSE))</f>
        <v>17265.240000000002</v>
      </c>
      <c r="G347" s="840">
        <f>TRUNC(F347*E347,2)</f>
        <v>17265.240000000002</v>
      </c>
    </row>
    <row r="348" spans="1:8" ht="15.75">
      <c r="B348" s="2446" t="s">
        <v>166</v>
      </c>
      <c r="C348" s="2447"/>
      <c r="D348" s="2447"/>
      <c r="E348" s="2447"/>
      <c r="F348" s="2447"/>
      <c r="G348" s="2448"/>
    </row>
    <row r="349" spans="1:8" ht="15">
      <c r="B349" s="841">
        <v>88247</v>
      </c>
      <c r="C349" s="728" t="str">
        <f>IF($A349="INSUMO",VLOOKUP($B349,'BANCO DE DADOS JANEIRO-24 INS'!$A:$D,2,FALSE),VLOOKUP($B349,'BANCO DE DADOS JANEIRO-24 SERV'!$B:$E,2,FALSE))</f>
        <v>AUXILIAR DE ELETRICISTA COM ENCARGOS COMPLEMENTARES</v>
      </c>
      <c r="D349" s="732" t="str">
        <f>IF($A349="INSUMO",VLOOKUP($B349,'BANCO DE DADOS JANEIRO-24 INS'!$A:$D,3,FALSE),VLOOKUP($B349,'BANCO DE DADOS JANEIRO-24 SERV'!$B:$E,3,FALSE))</f>
        <v>H</v>
      </c>
      <c r="E349" s="839">
        <v>1</v>
      </c>
      <c r="F349" s="755">
        <f>IF($A349="INSUMO",VLOOKUP($B349,'BANCO DE DADOS JANEIRO-24 INS'!$A:$D,4,FALSE),VLOOKUP($B349,'BANCO DE DADOS JANEIRO-24 SERV'!$B:$E,4,FALSE))</f>
        <v>21.96</v>
      </c>
      <c r="G349" s="840">
        <f>TRUNC(F349*E349,2)</f>
        <v>21.96</v>
      </c>
    </row>
    <row r="350" spans="1:8" ht="15.75" thickBot="1">
      <c r="B350" s="625">
        <v>88264</v>
      </c>
      <c r="C350" s="731" t="str">
        <f>IF($A350="INSUMO",VLOOKUP($B350,'BANCO DE DADOS JANEIRO-24 INS'!$A:$D,2,FALSE),VLOOKUP($B350,'BANCO DE DADOS JANEIRO-24 SERV'!$B:$E,2,FALSE))</f>
        <v>ELETRICISTA COM ENCARGOS COMPLEMENTARES</v>
      </c>
      <c r="D350" s="729" t="str">
        <f>IF($A350="INSUMO",VLOOKUP($B350,'BANCO DE DADOS JANEIRO-24 INS'!$A:$D,3,FALSE),VLOOKUP($B350,'BANCO DE DADOS JANEIRO-24 SERV'!$B:$E,3,FALSE))</f>
        <v>H</v>
      </c>
      <c r="E350" s="842">
        <v>1</v>
      </c>
      <c r="F350" s="757">
        <f>IF($A350="INSUMO",VLOOKUP($B350,'BANCO DE DADOS JANEIRO-24 INS'!$A:$D,4,FALSE),VLOOKUP($B350,'BANCO DE DADOS JANEIRO-24 SERV'!$B:$E,4,FALSE))</f>
        <v>26.68</v>
      </c>
      <c r="G350" s="626">
        <f>TRUNC(F350*E350,2)</f>
        <v>26.68</v>
      </c>
    </row>
    <row r="351" spans="1:8" ht="16.5" thickBot="1">
      <c r="B351" s="2450" t="s">
        <v>3840</v>
      </c>
      <c r="C351" s="2450"/>
      <c r="D351" s="2450"/>
      <c r="E351" s="2450"/>
      <c r="F351" s="325" t="s">
        <v>167</v>
      </c>
      <c r="G351" s="326">
        <f>SUM(G346:G350)</f>
        <v>17313.88</v>
      </c>
    </row>
    <row r="352" spans="1:8" ht="13.5" thickBot="1"/>
    <row r="353" spans="1:8" ht="43.5" customHeight="1">
      <c r="A353" s="612"/>
      <c r="B353" s="623" t="str">
        <f>IF(COUNT($H$17:H353)&lt;10,CONCATENATE("CPU IP 00",COUNT($H$17:H353)),CONCATENATE("CPU IP 0",COUNT($H$17:H353)))</f>
        <v>CPU IP 021</v>
      </c>
      <c r="C353" s="2180" t="str">
        <f>CONCATENATE("FORNECIMENTO E INSTALAÇÃO DE ",C356)</f>
        <v xml:space="preserve">FORNECIMENTO E INSTALAÇÃO DE CINTA CIRCULAR EM ACO GALVANIZADO DE 150 MM DE DIAMETRO PARA FIXACAO DE CAIXA MEDICAO, INCLUI PARAFUSOS E PORCAS                                                                                                                                                                                                                                                                                                                                                                                          </v>
      </c>
      <c r="D353" s="2180"/>
      <c r="E353" s="2180"/>
      <c r="F353" s="2180"/>
      <c r="G353" s="624" t="str">
        <f>D356</f>
        <v xml:space="preserve">UN    </v>
      </c>
      <c r="H353" s="673">
        <f>G360</f>
        <v>65.02</v>
      </c>
    </row>
    <row r="354" spans="1:8" ht="31.5">
      <c r="A354" s="308"/>
      <c r="B354" s="750" t="s">
        <v>173</v>
      </c>
      <c r="C354" s="751" t="s">
        <v>161</v>
      </c>
      <c r="D354" s="826" t="s">
        <v>22</v>
      </c>
      <c r="E354" s="751" t="s">
        <v>162</v>
      </c>
      <c r="F354" s="752" t="s">
        <v>163</v>
      </c>
      <c r="G354" s="753" t="s">
        <v>164</v>
      </c>
    </row>
    <row r="355" spans="1:8" ht="15.75">
      <c r="A355" s="308"/>
      <c r="B355" s="2408" t="s">
        <v>165</v>
      </c>
      <c r="C355" s="2409"/>
      <c r="D355" s="2409"/>
      <c r="E355" s="2409"/>
      <c r="F355" s="2409"/>
      <c r="G355" s="2410"/>
    </row>
    <row r="356" spans="1:8" ht="45">
      <c r="A356" s="333" t="s">
        <v>390</v>
      </c>
      <c r="B356" s="841">
        <v>420</v>
      </c>
      <c r="C356" s="728" t="str">
        <f>IF($A356="INSUMO",VLOOKUP($B356,'BANCO DE DADOS JANEIRO-24 INS'!$A:$D,2,FALSE),VLOOKUP($B356,'BANCO DE DADOS JANEIRO-24 SERV'!$B:$E,2,FALSE))</f>
        <v xml:space="preserve">CINTA CIRCULAR EM ACO GALVANIZADO DE 150 MM DE DIAMETRO PARA FIXACAO DE CAIXA MEDICAO, INCLUI PARAFUSOS E PORCAS                                                                                                                                                                                                                                                                                                                                                                                          </v>
      </c>
      <c r="D356" s="732" t="str">
        <f>IF($A356="INSUMO",VLOOKUP($B356,'BANCO DE DADOS JANEIRO-24 INS'!$A:$D,3,FALSE),VLOOKUP($B356,'BANCO DE DADOS JANEIRO-24 SERV'!$B:$E,3,FALSE))</f>
        <v xml:space="preserve">UN    </v>
      </c>
      <c r="E356" s="839">
        <v>1</v>
      </c>
      <c r="F356" s="755">
        <f>IF($A356="INSUMO",VLOOKUP($B356,'BANCO DE DADOS JANEIRO-24 INS'!$A:$D,4,FALSE),VLOOKUP($B356,'BANCO DE DADOS JANEIRO-24 SERV'!$B:$E,4,FALSE))</f>
        <v>46.19</v>
      </c>
      <c r="G356" s="840">
        <f>TRUNC(F356*E356,2)</f>
        <v>46.19</v>
      </c>
      <c r="H356" s="308"/>
    </row>
    <row r="357" spans="1:8" ht="15.75">
      <c r="A357" s="308"/>
      <c r="B357" s="2408" t="s">
        <v>166</v>
      </c>
      <c r="C357" s="2409"/>
      <c r="D357" s="2409"/>
      <c r="E357" s="2409"/>
      <c r="F357" s="2409"/>
      <c r="G357" s="2410"/>
    </row>
    <row r="358" spans="1:8" ht="15.75">
      <c r="A358" s="333" t="s">
        <v>391</v>
      </c>
      <c r="B358" s="841">
        <v>88264</v>
      </c>
      <c r="C358" s="728" t="str">
        <f>IF($A358="INSUMO",VLOOKUP($B358,'BANCO DE DADOS JANEIRO-24 INS'!$A:$D,2,FALSE),VLOOKUP($B358,'BANCO DE DADOS JANEIRO-24 SERV'!$B:$E,2,FALSE))</f>
        <v>ELETRICISTA COM ENCARGOS COMPLEMENTARES</v>
      </c>
      <c r="D358" s="732" t="str">
        <f>IF($A358="INSUMO",VLOOKUP($B358,'BANCO DE DADOS JANEIRO-24 INS'!$A:$D,3,FALSE),VLOOKUP($B358,'BANCO DE DADOS JANEIRO-24 SERV'!$B:$E,3,FALSE))</f>
        <v>H</v>
      </c>
      <c r="E358" s="839">
        <v>0.5</v>
      </c>
      <c r="F358" s="755">
        <f>IF($A358="INSUMO",VLOOKUP($B358,'BANCO DE DADOS JANEIRO-24 INS'!$A:$D,4,FALSE),VLOOKUP($B358,'BANCO DE DADOS JANEIRO-24 SERV'!$B:$E,4,FALSE))</f>
        <v>26.68</v>
      </c>
      <c r="G358" s="840">
        <f>TRUNC(F358*E358,2)</f>
        <v>13.34</v>
      </c>
      <c r="H358" s="308"/>
    </row>
    <row r="359" spans="1:8" ht="16.5" thickBot="1">
      <c r="A359" s="333" t="s">
        <v>391</v>
      </c>
      <c r="B359" s="625">
        <v>88247</v>
      </c>
      <c r="C359" s="731" t="str">
        <f>IF($A359="INSUMO",VLOOKUP($B359,'BANCO DE DADOS JANEIRO-24 INS'!$A:$D,2,FALSE),VLOOKUP($B359,'BANCO DE DADOS JANEIRO-24 SERV'!$B:$E,2,FALSE))</f>
        <v>AUXILIAR DE ELETRICISTA COM ENCARGOS COMPLEMENTARES</v>
      </c>
      <c r="D359" s="729" t="str">
        <f>IF($A359="INSUMO",VLOOKUP($B359,'BANCO DE DADOS JANEIRO-24 INS'!$A:$D,3,FALSE),VLOOKUP($B359,'BANCO DE DADOS JANEIRO-24 SERV'!$B:$E,3,FALSE))</f>
        <v>H</v>
      </c>
      <c r="E359" s="842">
        <v>0.25</v>
      </c>
      <c r="F359" s="757">
        <f>IF($A359="INSUMO",VLOOKUP($B359,'BANCO DE DADOS JANEIRO-24 INS'!$A:$D,4,FALSE),VLOOKUP($B359,'BANCO DE DADOS JANEIRO-24 SERV'!$B:$E,4,FALSE))</f>
        <v>21.96</v>
      </c>
      <c r="G359" s="626">
        <f>TRUNC(F359*E359,2)</f>
        <v>5.49</v>
      </c>
      <c r="H359" s="308"/>
    </row>
    <row r="360" spans="1:8" ht="16.5" thickBot="1">
      <c r="A360" s="308"/>
      <c r="B360" s="2394" t="s">
        <v>3841</v>
      </c>
      <c r="C360" s="2394"/>
      <c r="D360" s="2394"/>
      <c r="E360" s="2394"/>
      <c r="F360" s="325" t="s">
        <v>167</v>
      </c>
      <c r="G360" s="326">
        <f>SUM(G355:G359)</f>
        <v>65.02</v>
      </c>
    </row>
    <row r="361" spans="1:8" ht="16.5" thickBot="1">
      <c r="A361" s="308"/>
      <c r="B361" s="2394"/>
      <c r="C361" s="2394"/>
      <c r="D361" s="2394"/>
      <c r="E361" s="2394"/>
      <c r="F361" s="327"/>
      <c r="G361" s="328"/>
    </row>
    <row r="362" spans="1:8" ht="42" customHeight="1">
      <c r="A362" s="612"/>
      <c r="B362" s="623" t="str">
        <f>IF(COUNT($H$17:H362)&lt;10,CONCATENATE("CPU IP 00",COUNT($H$17:H362)),CONCATENATE("CPU IP 0",COUNT($H$17:H362)))</f>
        <v>CPU IP 022</v>
      </c>
      <c r="C362" s="2180" t="str">
        <f>CONCATENATE("FORNECIMENTO E INSTALAÇÃO DE ",C365)</f>
        <v xml:space="preserve">FORNECIMENTO E INSTALAÇÃO DE CINTA CIRCULAR EM ACO GALVANIZADO DE 210 MM DE DIAMETRO PARA INSTALACAO DE TRANSFORMADOR EM POSTE DE CONCRETO                                                                                                                                                                                                                                                                                                                                                                                             </v>
      </c>
      <c r="D362" s="2180"/>
      <c r="E362" s="2180"/>
      <c r="F362" s="2180"/>
      <c r="G362" s="624" t="str">
        <f>D365</f>
        <v xml:space="preserve">UN    </v>
      </c>
      <c r="H362" s="673">
        <f>G369</f>
        <v>73.86</v>
      </c>
    </row>
    <row r="363" spans="1:8" ht="31.5">
      <c r="A363" s="308"/>
      <c r="B363" s="750" t="s">
        <v>173</v>
      </c>
      <c r="C363" s="751" t="s">
        <v>161</v>
      </c>
      <c r="D363" s="826" t="s">
        <v>22</v>
      </c>
      <c r="E363" s="751" t="s">
        <v>162</v>
      </c>
      <c r="F363" s="752" t="s">
        <v>163</v>
      </c>
      <c r="G363" s="753" t="s">
        <v>164</v>
      </c>
    </row>
    <row r="364" spans="1:8" ht="15.75">
      <c r="A364" s="308"/>
      <c r="B364" s="2408" t="s">
        <v>165</v>
      </c>
      <c r="C364" s="2409"/>
      <c r="D364" s="2409"/>
      <c r="E364" s="2409"/>
      <c r="F364" s="2409"/>
      <c r="G364" s="2410"/>
    </row>
    <row r="365" spans="1:8" ht="45">
      <c r="A365" s="333" t="s">
        <v>390</v>
      </c>
      <c r="B365" s="841">
        <v>12327</v>
      </c>
      <c r="C365" s="728" t="str">
        <f>IF($A365="INSUMO",VLOOKUP($B365,'BANCO DE DADOS JANEIRO-24 INS'!$A:$D,2,FALSE),VLOOKUP($B365,'BANCO DE DADOS JANEIRO-24 SERV'!$B:$E,2,FALSE))</f>
        <v xml:space="preserve">CINTA CIRCULAR EM ACO GALVANIZADO DE 210 MM DE DIAMETRO PARA INSTALACAO DE TRANSFORMADOR EM POSTE DE CONCRETO                                                                                                                                                                                                                                                                                                                                                                                             </v>
      </c>
      <c r="D365" s="732" t="str">
        <f>IF($A365="INSUMO",VLOOKUP($B365,'BANCO DE DADOS JANEIRO-24 INS'!$A:$D,3,FALSE),VLOOKUP($B365,'BANCO DE DADOS JANEIRO-24 SERV'!$B:$E,3,FALSE))</f>
        <v xml:space="preserve">UN    </v>
      </c>
      <c r="E365" s="839">
        <v>1</v>
      </c>
      <c r="F365" s="755">
        <f>IF($A365="INSUMO",VLOOKUP($B365,'BANCO DE DADOS JANEIRO-24 INS'!$A:$D,4,FALSE),VLOOKUP($B365,'BANCO DE DADOS JANEIRO-24 SERV'!$B:$E,4,FALSE))</f>
        <v>55.03</v>
      </c>
      <c r="G365" s="840">
        <f>TRUNC(F365*E365,2)</f>
        <v>55.03</v>
      </c>
      <c r="H365" s="308"/>
    </row>
    <row r="366" spans="1:8" ht="15.75">
      <c r="A366" s="308"/>
      <c r="B366" s="2408" t="s">
        <v>166</v>
      </c>
      <c r="C366" s="2409"/>
      <c r="D366" s="2409"/>
      <c r="E366" s="2409"/>
      <c r="F366" s="2409"/>
      <c r="G366" s="2410"/>
    </row>
    <row r="367" spans="1:8" ht="15.75">
      <c r="A367" s="333" t="s">
        <v>391</v>
      </c>
      <c r="B367" s="841">
        <v>88264</v>
      </c>
      <c r="C367" s="728" t="str">
        <f>IF($A367="INSUMO",VLOOKUP($B367,'BANCO DE DADOS JANEIRO-24 INS'!$A:$D,2,FALSE),VLOOKUP($B367,'BANCO DE DADOS JANEIRO-24 SERV'!$B:$E,2,FALSE))</f>
        <v>ELETRICISTA COM ENCARGOS COMPLEMENTARES</v>
      </c>
      <c r="D367" s="732" t="str">
        <f>IF($A367="INSUMO",VLOOKUP($B367,'BANCO DE DADOS JANEIRO-24 INS'!$A:$D,3,FALSE),VLOOKUP($B367,'BANCO DE DADOS JANEIRO-24 SERV'!$B:$E,3,FALSE))</f>
        <v>H</v>
      </c>
      <c r="E367" s="839">
        <v>0.5</v>
      </c>
      <c r="F367" s="755">
        <f>IF($A367="INSUMO",VLOOKUP($B367,'BANCO DE DADOS JANEIRO-24 INS'!$A:$D,4,FALSE),VLOOKUP($B367,'BANCO DE DADOS JANEIRO-24 SERV'!$B:$E,4,FALSE))</f>
        <v>26.68</v>
      </c>
      <c r="G367" s="840">
        <f>TRUNC(F367*E367,2)</f>
        <v>13.34</v>
      </c>
      <c r="H367" s="308"/>
    </row>
    <row r="368" spans="1:8" ht="16.5" thickBot="1">
      <c r="A368" s="333" t="s">
        <v>391</v>
      </c>
      <c r="B368" s="625">
        <v>88247</v>
      </c>
      <c r="C368" s="731" t="str">
        <f>IF($A368="INSUMO",VLOOKUP($B368,'BANCO DE DADOS JANEIRO-24 INS'!$A:$D,2,FALSE),VLOOKUP($B368,'BANCO DE DADOS JANEIRO-24 SERV'!$B:$E,2,FALSE))</f>
        <v>AUXILIAR DE ELETRICISTA COM ENCARGOS COMPLEMENTARES</v>
      </c>
      <c r="D368" s="729" t="str">
        <f>IF($A368="INSUMO",VLOOKUP($B368,'BANCO DE DADOS JANEIRO-24 INS'!$A:$D,3,FALSE),VLOOKUP($B368,'BANCO DE DADOS JANEIRO-24 SERV'!$B:$E,3,FALSE))</f>
        <v>H</v>
      </c>
      <c r="E368" s="842">
        <v>0.25</v>
      </c>
      <c r="F368" s="757">
        <f>IF($A368="INSUMO",VLOOKUP($B368,'BANCO DE DADOS JANEIRO-24 INS'!$A:$D,4,FALSE),VLOOKUP($B368,'BANCO DE DADOS JANEIRO-24 SERV'!$B:$E,4,FALSE))</f>
        <v>21.96</v>
      </c>
      <c r="G368" s="626">
        <f>TRUNC(F368*E368,2)</f>
        <v>5.49</v>
      </c>
      <c r="H368" s="308"/>
    </row>
    <row r="369" spans="1:8" ht="16.5" thickBot="1">
      <c r="A369" s="308"/>
      <c r="B369" s="2394" t="s">
        <v>3841</v>
      </c>
      <c r="C369" s="2394"/>
      <c r="D369" s="2394"/>
      <c r="E369" s="2394"/>
      <c r="F369" s="325" t="s">
        <v>167</v>
      </c>
      <c r="G369" s="326">
        <f>SUM(G364:G368)</f>
        <v>73.86</v>
      </c>
    </row>
    <row r="370" spans="1:8" ht="16.5" thickBot="1">
      <c r="A370" s="308"/>
      <c r="B370" s="2394"/>
      <c r="C370" s="2394"/>
      <c r="D370" s="2394"/>
      <c r="E370" s="2394"/>
      <c r="F370" s="327"/>
      <c r="G370" s="328"/>
    </row>
    <row r="371" spans="1:8" ht="27.75" customHeight="1">
      <c r="A371" s="308"/>
      <c r="B371" s="623" t="str">
        <f>IF(COUNT($H$17:H371)&lt;10,CONCATENATE("CPU IP 00",COUNT($H$17:H371)),CONCATENATE("CPU IP 0",COUNT($H$17:H371)))</f>
        <v>CPU IP 023</v>
      </c>
      <c r="C371" s="2180" t="str">
        <f>CONCATENATE("FORNECIMENTO E INSTALAÇÃO DE ",C375)</f>
        <v>FORNECIMENTO E INSTALAÇÃO DE BRAÇO DE AÇO GALVANIZADO C= 3 M PARA ILUMINÇÃO PUBLICA</v>
      </c>
      <c r="D371" s="2180"/>
      <c r="E371" s="2180"/>
      <c r="F371" s="2180"/>
      <c r="G371" s="247" t="str">
        <f>D375</f>
        <v>UN</v>
      </c>
      <c r="H371" s="615">
        <f>G379</f>
        <v>274.32</v>
      </c>
    </row>
    <row r="372" spans="1:8" ht="47.25">
      <c r="A372" s="308"/>
      <c r="B372" s="750" t="s">
        <v>1836</v>
      </c>
      <c r="C372" s="826" t="s">
        <v>161</v>
      </c>
      <c r="D372" s="826" t="s">
        <v>22</v>
      </c>
      <c r="E372" s="826" t="s">
        <v>162</v>
      </c>
      <c r="F372" s="827" t="s">
        <v>163</v>
      </c>
      <c r="G372" s="832" t="s">
        <v>164</v>
      </c>
      <c r="H372" s="308"/>
    </row>
    <row r="373" spans="1:8" ht="15.75">
      <c r="A373" s="308"/>
      <c r="B373" s="2177" t="s">
        <v>165</v>
      </c>
      <c r="C373" s="2178"/>
      <c r="D373" s="2178"/>
      <c r="E373" s="2178"/>
      <c r="F373" s="2178"/>
      <c r="G373" s="2179"/>
      <c r="H373" s="308"/>
    </row>
    <row r="374" spans="1:8" ht="60">
      <c r="A374" s="333" t="s">
        <v>391</v>
      </c>
      <c r="B374" s="836">
        <v>5928</v>
      </c>
      <c r="C374" s="829" t="str">
        <f>IF($A374="INSUMO",VLOOKUP($B374,'BANCO DE DADOS JANEIRO-24 INS'!$A:$D,2,FALSE),VLOOKUP($B374,'BANCO DE DADOS JANEIRO-24 SERV'!$B:$E,2,FALSE))</f>
        <v>GUINDAUTO HIDRÁULICO, CAPACIDADE MÁXIMA DE CARGA 6200 KG, MOMENTO MÁXIMO DE CARGA 11,7 TM, ALCANCE MÁXIMO HORIZONTAL 9,70 M, INCLUSIVE CAMINHÃO TOCO PBT 16.000 KG, POTÊNCIA DE 189 CV - CHP DIURNO. AF_06/2014</v>
      </c>
      <c r="D374" s="828" t="str">
        <f>IF($A374="INSUMO",VLOOKUP($B374,'BANCO DE DADOS JANEIRO-24 INS'!$A:$D,3,FALSE),VLOOKUP($B374,'BANCO DE DADOS JANEIRO-24 SERV'!$B:$E,3,FALSE))</f>
        <v>CHP</v>
      </c>
      <c r="E374" s="1554">
        <v>0.17369999999999999</v>
      </c>
      <c r="F374" s="830">
        <f>IF($A374="INSUMO",VLOOKUP($B374,'BANCO DE DADOS JANEIRO-24 INS'!$A:$D,4,FALSE),VLOOKUP($B374,'BANCO DE DADOS JANEIRO-24 SERV'!$B:$E,4,FALSE))</f>
        <v>277.38</v>
      </c>
      <c r="G374" s="833">
        <f>TRUNC(F374*E374,2)</f>
        <v>48.18</v>
      </c>
      <c r="H374" s="308"/>
    </row>
    <row r="375" spans="1:8" ht="21.75" customHeight="1">
      <c r="A375" s="308"/>
      <c r="B375" s="1555" t="s">
        <v>181</v>
      </c>
      <c r="C375" s="1556" t="str">
        <f>C381</f>
        <v>BRAÇO DE AÇO GALVANIZADO C= 3 M PARA ILUMINÇÃO PUBLICA</v>
      </c>
      <c r="D375" s="1397" t="str">
        <f>G381</f>
        <v>UN</v>
      </c>
      <c r="E375" s="835">
        <v>1</v>
      </c>
      <c r="F375" s="1557">
        <f>D386</f>
        <v>161.01</v>
      </c>
      <c r="G375" s="833">
        <f>TRUNC(F375*E375,2)</f>
        <v>161.01</v>
      </c>
      <c r="H375" s="308"/>
    </row>
    <row r="376" spans="1:8" ht="15.75">
      <c r="A376" s="308"/>
      <c r="B376" s="2177" t="s">
        <v>166</v>
      </c>
      <c r="C376" s="2178"/>
      <c r="D376" s="2178"/>
      <c r="E376" s="2178"/>
      <c r="F376" s="2178"/>
      <c r="G376" s="2179"/>
      <c r="H376" s="308"/>
    </row>
    <row r="377" spans="1:8" ht="15.75">
      <c r="A377" s="333" t="s">
        <v>391</v>
      </c>
      <c r="B377" s="841">
        <v>88264</v>
      </c>
      <c r="C377" s="728" t="str">
        <f>IF($A377="INSUMO",VLOOKUP($B377,'BANCO DE DADOS JANEIRO-24 INS'!$A:$D,2,FALSE),VLOOKUP($B377,'BANCO DE DADOS JANEIRO-24 SERV'!$B:$E,2,FALSE))</f>
        <v>ELETRICISTA COM ENCARGOS COMPLEMENTARES</v>
      </c>
      <c r="D377" s="732" t="str">
        <f>IF($A377="INSUMO",VLOOKUP($B377,'BANCO DE DADOS JANEIRO-24 INS'!$A:$D,3,FALSE),VLOOKUP($B377,'BANCO DE DADOS JANEIRO-24 SERV'!$B:$E,3,FALSE))</f>
        <v>H</v>
      </c>
      <c r="E377" s="820">
        <v>1.2</v>
      </c>
      <c r="F377" s="755">
        <f>IF($A377="INSUMO",VLOOKUP($B377,'BANCO DE DADOS JANEIRO-24 INS'!$A:$D,4,FALSE),VLOOKUP($B377,'BANCO DE DADOS JANEIRO-24 SERV'!$B:$E,4,FALSE))</f>
        <v>26.68</v>
      </c>
      <c r="G377" s="840">
        <f>TRUNC(F377*E377,2)</f>
        <v>32.01</v>
      </c>
      <c r="H377" s="308"/>
    </row>
    <row r="378" spans="1:8" ht="16.5" thickBot="1">
      <c r="A378" s="333" t="s">
        <v>391</v>
      </c>
      <c r="B378" s="625">
        <v>88316</v>
      </c>
      <c r="C378" s="731" t="str">
        <f>IF($A378="INSUMO",VLOOKUP($B378,'BANCO DE DADOS JANEIRO-24 INS'!$A:$D,2,FALSE),VLOOKUP($B378,'BANCO DE DADOS JANEIRO-24 SERV'!$B:$E,2,FALSE))</f>
        <v>SERVENTE COM ENCARGOS COMPLEMENTARES</v>
      </c>
      <c r="D378" s="729" t="str">
        <f>IF($A378="INSUMO",VLOOKUP($B378,'BANCO DE DADOS JANEIRO-24 INS'!$A:$D,3,FALSE),VLOOKUP($B378,'BANCO DE DADOS JANEIRO-24 SERV'!$B:$E,3,FALSE))</f>
        <v>H</v>
      </c>
      <c r="E378" s="850">
        <v>1.63</v>
      </c>
      <c r="F378" s="757">
        <f>IF($A378="INSUMO",VLOOKUP($B378,'BANCO DE DADOS JANEIRO-24 INS'!$A:$D,4,FALSE),VLOOKUP($B378,'BANCO DE DADOS JANEIRO-24 SERV'!$B:$E,4,FALSE))</f>
        <v>20.32</v>
      </c>
      <c r="G378" s="626">
        <f>TRUNC(F378*E378,2)</f>
        <v>33.119999999999997</v>
      </c>
      <c r="H378" s="308"/>
    </row>
    <row r="379" spans="1:8" ht="16.5" thickBot="1">
      <c r="A379" s="308"/>
      <c r="B379" s="2394" t="s">
        <v>1882</v>
      </c>
      <c r="C379" s="2394"/>
      <c r="D379" s="2394"/>
      <c r="E379" s="2449"/>
      <c r="F379" s="325" t="s">
        <v>167</v>
      </c>
      <c r="G379" s="326">
        <f>SUM(G374:G378)</f>
        <v>274.32</v>
      </c>
      <c r="H379" s="308"/>
    </row>
    <row r="380" spans="1:8" ht="15">
      <c r="A380" s="308"/>
      <c r="B380" s="2394"/>
      <c r="C380" s="2394"/>
      <c r="D380" s="2394"/>
      <c r="E380" s="2394"/>
      <c r="F380" s="669"/>
      <c r="G380" s="669"/>
      <c r="H380" s="308"/>
    </row>
    <row r="381" spans="1:8" s="1567" customFormat="1" ht="31.5" customHeight="1">
      <c r="A381" s="1564"/>
      <c r="B381" s="1721"/>
      <c r="C381" s="2451" t="s">
        <v>1870</v>
      </c>
      <c r="D381" s="2452"/>
      <c r="E381" s="2452"/>
      <c r="F381" s="2453"/>
      <c r="G381" s="1725" t="s">
        <v>22</v>
      </c>
      <c r="H381" s="1569" t="s">
        <v>1981</v>
      </c>
    </row>
    <row r="382" spans="1:8" ht="31.5">
      <c r="A382" s="308"/>
      <c r="B382" s="1108" t="s">
        <v>174</v>
      </c>
      <c r="C382" s="1108" t="s">
        <v>175</v>
      </c>
      <c r="D382" s="1109" t="s">
        <v>176</v>
      </c>
      <c r="E382" s="1110" t="s">
        <v>177</v>
      </c>
      <c r="F382" s="1111" t="s">
        <v>178</v>
      </c>
      <c r="G382" s="1295" t="s">
        <v>179</v>
      </c>
      <c r="H382" s="308"/>
    </row>
    <row r="383" spans="1:8" ht="15.75">
      <c r="A383" s="308"/>
      <c r="B383" s="1279">
        <v>45253</v>
      </c>
      <c r="C383" s="1306" t="s">
        <v>5879</v>
      </c>
      <c r="D383" s="1310">
        <v>141.38</v>
      </c>
      <c r="E383" s="1220" t="s">
        <v>2185</v>
      </c>
      <c r="F383" s="1331" t="s">
        <v>4611</v>
      </c>
      <c r="G383" s="1335" t="s">
        <v>2840</v>
      </c>
      <c r="H383"/>
    </row>
    <row r="384" spans="1:8" ht="15.75">
      <c r="A384" s="308"/>
      <c r="B384" s="1182">
        <v>45254</v>
      </c>
      <c r="C384" s="1306" t="s">
        <v>4588</v>
      </c>
      <c r="D384" s="1310">
        <v>245</v>
      </c>
      <c r="E384" s="1553" t="s">
        <v>5057</v>
      </c>
      <c r="F384" s="1331" t="s">
        <v>1979</v>
      </c>
      <c r="G384" s="1459" t="s">
        <v>5871</v>
      </c>
      <c r="H384"/>
    </row>
    <row r="385" spans="1:12" ht="15.75">
      <c r="A385" s="308"/>
      <c r="B385" s="1279">
        <v>45264</v>
      </c>
      <c r="C385" s="1306" t="s">
        <v>502</v>
      </c>
      <c r="D385" s="1310">
        <v>161.01</v>
      </c>
      <c r="E385" s="1220" t="s">
        <v>1846</v>
      </c>
      <c r="F385" s="1331" t="s">
        <v>192</v>
      </c>
      <c r="G385" s="1335" t="s">
        <v>5565</v>
      </c>
      <c r="H385"/>
    </row>
    <row r="386" spans="1:12" s="1567" customFormat="1" ht="15.75">
      <c r="A386" s="1564"/>
      <c r="B386" s="1726"/>
      <c r="C386" s="1721" t="s">
        <v>180</v>
      </c>
      <c r="D386" s="1727">
        <f>IF(COUNT(D382:D385)=3,MEDIAN(D382:D385),SMALL(D383:D385,1))</f>
        <v>161.01</v>
      </c>
      <c r="E386" s="1728"/>
      <c r="F386" s="1729"/>
      <c r="G386" s="1730"/>
      <c r="H386" s="1564"/>
    </row>
    <row r="387" spans="1:12" ht="13.5" thickBot="1"/>
    <row r="388" spans="1:12" ht="36.75" customHeight="1">
      <c r="A388" s="308"/>
      <c r="B388" s="623" t="str">
        <f>IF(COUNT($H$17:H388)&lt;10,CONCATENATE("CPU IP 00",COUNT($H$17:H388)),CONCATENATE("CPU IP 0",COUNT($H$17:H388)))</f>
        <v>CPU IP 024</v>
      </c>
      <c r="C388" s="2180" t="str">
        <f>CONCATENATE("FORNECIMENTO E INSTALAÇÃO DE ",C391)</f>
        <v xml:space="preserve">FORNECIMENTO E INSTALAÇÃO DE ARAME GALVANIZADO 12 BWG, D = 2,76 MM (0,048 KG/M) OU 14 BWG, D = 2,11 MM (0,026 KG/M)                                                                                                                                                                                                                                                                                                                                                                                                                    </v>
      </c>
      <c r="D388" s="2181"/>
      <c r="E388" s="2181"/>
      <c r="F388" s="2181"/>
      <c r="G388" s="624" t="str">
        <f>D391</f>
        <v xml:space="preserve">KG    </v>
      </c>
      <c r="H388" s="615">
        <f>G395</f>
        <v>1.0699999999999998</v>
      </c>
    </row>
    <row r="389" spans="1:12" ht="31.5">
      <c r="A389" s="308"/>
      <c r="B389" s="750" t="s">
        <v>197</v>
      </c>
      <c r="C389" s="751" t="s">
        <v>161</v>
      </c>
      <c r="D389" s="826" t="s">
        <v>22</v>
      </c>
      <c r="E389" s="751" t="s">
        <v>162</v>
      </c>
      <c r="F389" s="752" t="s">
        <v>163</v>
      </c>
      <c r="G389" s="753" t="s">
        <v>164</v>
      </c>
      <c r="H389" s="308"/>
    </row>
    <row r="390" spans="1:12" ht="15.75">
      <c r="A390" s="308"/>
      <c r="B390" s="2429" t="s">
        <v>165</v>
      </c>
      <c r="C390" s="2430"/>
      <c r="D390" s="2430"/>
      <c r="E390" s="2430"/>
      <c r="F390" s="2430"/>
      <c r="G390" s="2431"/>
      <c r="H390" s="308"/>
    </row>
    <row r="391" spans="1:12" ht="30">
      <c r="A391" s="333" t="s">
        <v>390</v>
      </c>
      <c r="B391" s="754">
        <v>43130</v>
      </c>
      <c r="C391" s="728" t="str">
        <f>IF($A391="INSUMO",VLOOKUP($B391,'BANCO DE DADOS JANEIRO-24 INS'!$A:$D,2,FALSE),VLOOKUP($B391,'BANCO DE DADOS JANEIRO-24 SERV'!$B:$E,2,FALSE))</f>
        <v xml:space="preserve">ARAME GALVANIZADO 12 BWG, D = 2,76 MM (0,048 KG/M) OU 14 BWG, D = 2,11 MM (0,026 KG/M)                                                                                                                                                                                                                                                                                                                                                                                                                    </v>
      </c>
      <c r="D391" s="732" t="str">
        <f>IF($A391="INSUMO",VLOOKUP($B391,'BANCO DE DADOS JANEIRO-24 INS'!$A:$D,3,FALSE),VLOOKUP($B391,'BANCO DE DADOS JANEIRO-24 SERV'!$B:$E,3,FALSE))</f>
        <v xml:space="preserve">KG    </v>
      </c>
      <c r="E391" s="846">
        <v>0.01</v>
      </c>
      <c r="F391" s="755">
        <f>IF($A391="INSUMO",VLOOKUP($B391,'BANCO DE DADOS JANEIRO-24 INS'!$A:$D,4,FALSE),VLOOKUP($B391,'BANCO DE DADOS JANEIRO-24 SERV'!$B:$E,4,FALSE))</f>
        <v>25.5</v>
      </c>
      <c r="G391" s="848">
        <f>TRUNC(F391*E391,2)</f>
        <v>0.25</v>
      </c>
      <c r="H391" s="308"/>
    </row>
    <row r="392" spans="1:12" ht="15.75">
      <c r="A392" s="308"/>
      <c r="B392" s="2429" t="s">
        <v>166</v>
      </c>
      <c r="C392" s="2430"/>
      <c r="D392" s="2430"/>
      <c r="E392" s="2430"/>
      <c r="F392" s="2430"/>
      <c r="G392" s="2431"/>
      <c r="H392" s="308"/>
    </row>
    <row r="393" spans="1:12" ht="15.75">
      <c r="A393" s="333" t="s">
        <v>391</v>
      </c>
      <c r="B393" s="841">
        <v>88264</v>
      </c>
      <c r="C393" s="728" t="str">
        <f>IF($A393="INSUMO",VLOOKUP($B393,'BANCO DE DADOS JANEIRO-24 INS'!$A:$D,2,FALSE),VLOOKUP($B393,'BANCO DE DADOS JANEIRO-24 SERV'!$B:$E,2,FALSE))</f>
        <v>ELETRICISTA COM ENCARGOS COMPLEMENTARES</v>
      </c>
      <c r="D393" s="732" t="str">
        <f>IF($A393="INSUMO",VLOOKUP($B393,'BANCO DE DADOS JANEIRO-24 INS'!$A:$D,3,FALSE),VLOOKUP($B393,'BANCO DE DADOS JANEIRO-24 SERV'!$B:$E,3,FALSE))</f>
        <v>H</v>
      </c>
      <c r="E393" s="820">
        <v>1.7000000000000001E-2</v>
      </c>
      <c r="F393" s="755">
        <f>IF($A393="INSUMO",VLOOKUP($B393,'BANCO DE DADOS JANEIRO-24 INS'!$A:$D,4,FALSE),VLOOKUP($B393,'BANCO DE DADOS JANEIRO-24 SERV'!$B:$E,4,FALSE))</f>
        <v>26.68</v>
      </c>
      <c r="G393" s="840">
        <f>TRUNC(F393*E393,2)</f>
        <v>0.45</v>
      </c>
      <c r="H393" s="308"/>
    </row>
    <row r="394" spans="1:12" ht="16.5" thickBot="1">
      <c r="A394" s="333" t="s">
        <v>391</v>
      </c>
      <c r="B394" s="625">
        <v>88247</v>
      </c>
      <c r="C394" s="731" t="str">
        <f>IF($A394="INSUMO",VLOOKUP($B394,'BANCO DE DADOS JANEIRO-24 INS'!$A:$D,2,FALSE),VLOOKUP($B394,'BANCO DE DADOS JANEIRO-24 SERV'!$B:$E,2,FALSE))</f>
        <v>AUXILIAR DE ELETRICISTA COM ENCARGOS COMPLEMENTARES</v>
      </c>
      <c r="D394" s="729" t="str">
        <f>IF($A394="INSUMO",VLOOKUP($B394,'BANCO DE DADOS JANEIRO-24 INS'!$A:$D,3,FALSE),VLOOKUP($B394,'BANCO DE DADOS JANEIRO-24 SERV'!$B:$E,3,FALSE))</f>
        <v>H</v>
      </c>
      <c r="E394" s="850">
        <v>1.7000000000000001E-2</v>
      </c>
      <c r="F394" s="757">
        <f>IF($A394="INSUMO",VLOOKUP($B394,'BANCO DE DADOS JANEIRO-24 INS'!$A:$D,4,FALSE),VLOOKUP($B394,'BANCO DE DADOS JANEIRO-24 SERV'!$B:$E,4,FALSE))</f>
        <v>21.96</v>
      </c>
      <c r="G394" s="626">
        <f>TRUNC(F394*E394,2)</f>
        <v>0.37</v>
      </c>
      <c r="H394" s="308"/>
    </row>
    <row r="395" spans="1:12" ht="16.5" thickBot="1">
      <c r="A395" s="308"/>
      <c r="B395" s="2394" t="s">
        <v>1883</v>
      </c>
      <c r="C395" s="2394"/>
      <c r="D395" s="2394"/>
      <c r="E395" s="2394"/>
      <c r="F395" s="325" t="s">
        <v>167</v>
      </c>
      <c r="G395" s="326">
        <f>SUM(G390:G394)</f>
        <v>1.0699999999999998</v>
      </c>
      <c r="H395" s="308"/>
    </row>
    <row r="396" spans="1:12" ht="15">
      <c r="A396" s="308"/>
      <c r="B396" s="2394"/>
      <c r="C396" s="2394"/>
      <c r="D396" s="2394"/>
      <c r="E396" s="2394"/>
      <c r="F396" s="248"/>
      <c r="G396" s="248"/>
      <c r="H396" s="308"/>
    </row>
    <row r="397" spans="1:12" ht="15.75" customHeight="1">
      <c r="A397" s="308"/>
      <c r="B397" s="2394"/>
      <c r="C397" s="2394"/>
      <c r="D397" s="2394"/>
      <c r="E397" s="2394"/>
      <c r="F397" s="248"/>
      <c r="G397" s="248"/>
      <c r="H397" s="308"/>
    </row>
    <row r="398" spans="1:12" ht="18.75" customHeight="1">
      <c r="B398" s="2460" t="s">
        <v>1834</v>
      </c>
      <c r="C398" s="2460"/>
      <c r="D398" s="2460"/>
      <c r="E398" s="2460"/>
      <c r="F398" s="2460"/>
      <c r="G398" s="2460"/>
    </row>
    <row r="399" spans="1:12" ht="15" customHeight="1">
      <c r="B399" s="2459" t="s">
        <v>3170</v>
      </c>
      <c r="C399" s="2459"/>
      <c r="D399" s="2459"/>
      <c r="E399" s="2459"/>
      <c r="F399" s="2459"/>
      <c r="G399" s="2459"/>
    </row>
    <row r="400" spans="1:12" ht="15" customHeight="1">
      <c r="B400" s="2459"/>
      <c r="C400" s="2459"/>
      <c r="D400" s="2459"/>
      <c r="E400" s="2459"/>
      <c r="F400" s="2459"/>
      <c r="G400" s="2459"/>
      <c r="I400" s="671"/>
      <c r="L400" s="671"/>
    </row>
    <row r="401" spans="1:8" ht="30" customHeight="1">
      <c r="B401" s="2459"/>
      <c r="C401" s="2459"/>
      <c r="D401" s="2459"/>
      <c r="E401" s="2459"/>
      <c r="F401" s="2459"/>
      <c r="G401" s="2459"/>
    </row>
    <row r="402" spans="1:8" s="271" customFormat="1" ht="16.5" thickBot="1">
      <c r="B402" s="329"/>
      <c r="C402" s="300"/>
      <c r="D402" s="300"/>
      <c r="E402" s="300"/>
      <c r="F402" s="300"/>
      <c r="G402" s="300"/>
    </row>
    <row r="403" spans="1:8" ht="38.25" customHeight="1">
      <c r="A403" s="308"/>
      <c r="B403" s="623" t="str">
        <f>IF(COUNT($H$17:H403)&lt;10,CONCATENATE("CPU IP 00",COUNT($H$17:H403)),CONCATENATE("CPU IP 0",COUNT($H$17:H403)))</f>
        <v>CPU IP 025</v>
      </c>
      <c r="C403" s="2180" t="str">
        <f>CONCATENATE("FORNECIMENTO E INSTALAÇÃO DE ",C406)</f>
        <v xml:space="preserve">FORNECIMENTO E INSTALAÇÃO DE CURVA 90 GRAUS, PARA ELETRODUTO, EM ACO GALVANIZADO ELETROLITICO, DIAMETRO DE 25 MM (1")                                                                                                                                                                                                                                                                                                                                                                                                                  </v>
      </c>
      <c r="D403" s="2181"/>
      <c r="E403" s="2181"/>
      <c r="F403" s="2181"/>
      <c r="G403" s="624" t="s">
        <v>22</v>
      </c>
      <c r="H403" s="615">
        <f>G410</f>
        <v>13.48</v>
      </c>
    </row>
    <row r="404" spans="1:8" ht="31.5">
      <c r="A404" s="308"/>
      <c r="B404" s="750" t="s">
        <v>197</v>
      </c>
      <c r="C404" s="751" t="s">
        <v>161</v>
      </c>
      <c r="D404" s="826" t="s">
        <v>22</v>
      </c>
      <c r="E404" s="751" t="s">
        <v>162</v>
      </c>
      <c r="F404" s="752" t="s">
        <v>163</v>
      </c>
      <c r="G404" s="753" t="s">
        <v>164</v>
      </c>
      <c r="H404" s="308"/>
    </row>
    <row r="405" spans="1:8" ht="15.75">
      <c r="A405" s="308"/>
      <c r="B405" s="2429" t="s">
        <v>165</v>
      </c>
      <c r="C405" s="2430"/>
      <c r="D405" s="2430"/>
      <c r="E405" s="2430"/>
      <c r="F405" s="2430"/>
      <c r="G405" s="2431"/>
      <c r="H405" s="308"/>
    </row>
    <row r="406" spans="1:8" ht="30">
      <c r="A406" s="333" t="s">
        <v>390</v>
      </c>
      <c r="B406" s="754">
        <v>2617</v>
      </c>
      <c r="C406" s="728" t="str">
        <f>IF($A406="INSUMO",VLOOKUP($B406,'BANCO DE DADOS JANEIRO-24 INS'!$A:$D,2,FALSE),VLOOKUP($B406,'BANCO DE DADOS JANEIRO-24 SERV'!$B:$E,2,FALSE))</f>
        <v xml:space="preserve">CURVA 90 GRAUS, PARA ELETRODUTO, EM ACO GALVANIZADO ELETROLITICO, DIAMETRO DE 25 MM (1")                                                                                                                                                                                                                                                                                                                                                                                                                  </v>
      </c>
      <c r="D406" s="732" t="str">
        <f>IF($A406="INSUMO",VLOOKUP($B406,'BANCO DE DADOS JANEIRO-24 INS'!$A:$D,3,FALSE),VLOOKUP($B406,'BANCO DE DADOS JANEIRO-24 SERV'!$B:$E,3,FALSE))</f>
        <v xml:space="preserve">UN    </v>
      </c>
      <c r="E406" s="846">
        <v>1</v>
      </c>
      <c r="F406" s="755">
        <f>IF($A406="INSUMO",VLOOKUP($B406,'BANCO DE DADOS JANEIRO-24 INS'!$A:$D,4,FALSE),VLOOKUP($B406,'BANCO DE DADOS JANEIRO-24 SERV'!$B:$E,4,FALSE))</f>
        <v>6.68</v>
      </c>
      <c r="G406" s="848">
        <f>TRUNC(F406*E406,2)</f>
        <v>6.68</v>
      </c>
      <c r="H406" s="308"/>
    </row>
    <row r="407" spans="1:8" ht="15.75">
      <c r="A407" s="308"/>
      <c r="B407" s="2429" t="s">
        <v>166</v>
      </c>
      <c r="C407" s="2430"/>
      <c r="D407" s="2430"/>
      <c r="E407" s="2430"/>
      <c r="F407" s="2430"/>
      <c r="G407" s="2431"/>
      <c r="H407" s="308"/>
    </row>
    <row r="408" spans="1:8" ht="15.75">
      <c r="A408" s="333" t="s">
        <v>391</v>
      </c>
      <c r="B408" s="841">
        <v>88264</v>
      </c>
      <c r="C408" s="728" t="str">
        <f>IF($A408="INSUMO",VLOOKUP($B408,'BANCO DE DADOS JANEIRO-24 INS'!$A:$D,2,FALSE),VLOOKUP($B408,'BANCO DE DADOS JANEIRO-24 SERV'!$B:$E,2,FALSE))</f>
        <v>ELETRICISTA COM ENCARGOS COMPLEMENTARES</v>
      </c>
      <c r="D408" s="732" t="str">
        <f>IF($A408="INSUMO",VLOOKUP($B408,'BANCO DE DADOS JANEIRO-24 INS'!$A:$D,3,FALSE),VLOOKUP($B408,'BANCO DE DADOS JANEIRO-24 SERV'!$B:$E,3,FALSE))</f>
        <v>H</v>
      </c>
      <c r="E408" s="838">
        <v>0.14000000000000001</v>
      </c>
      <c r="F408" s="755">
        <f>IF($A408="INSUMO",VLOOKUP($B408,'BANCO DE DADOS JANEIRO-24 INS'!$A:$D,4,FALSE),VLOOKUP($B408,'BANCO DE DADOS JANEIRO-24 SERV'!$B:$E,4,FALSE))</f>
        <v>26.68</v>
      </c>
      <c r="G408" s="840">
        <f>TRUNC(F408*E408,2)</f>
        <v>3.73</v>
      </c>
      <c r="H408" s="308"/>
    </row>
    <row r="409" spans="1:8" ht="16.5" thickBot="1">
      <c r="A409" s="333" t="s">
        <v>391</v>
      </c>
      <c r="B409" s="625">
        <v>88247</v>
      </c>
      <c r="C409" s="731" t="str">
        <f>IF($A409="INSUMO",VLOOKUP($B409,'BANCO DE DADOS JANEIRO-24 INS'!$A:$D,2,FALSE),VLOOKUP($B409,'BANCO DE DADOS JANEIRO-24 SERV'!$B:$E,2,FALSE))</f>
        <v>AUXILIAR DE ELETRICISTA COM ENCARGOS COMPLEMENTARES</v>
      </c>
      <c r="D409" s="729" t="str">
        <f>IF($A409="INSUMO",VLOOKUP($B409,'BANCO DE DADOS JANEIRO-24 INS'!$A:$D,3,FALSE),VLOOKUP($B409,'BANCO DE DADOS JANEIRO-24 SERV'!$B:$E,3,FALSE))</f>
        <v>H</v>
      </c>
      <c r="E409" s="849">
        <v>0.14000000000000001</v>
      </c>
      <c r="F409" s="757">
        <f>IF($A409="INSUMO",VLOOKUP($B409,'BANCO DE DADOS JANEIRO-24 INS'!$A:$D,4,FALSE),VLOOKUP($B409,'BANCO DE DADOS JANEIRO-24 SERV'!$B:$E,4,FALSE))</f>
        <v>21.96</v>
      </c>
      <c r="G409" s="626">
        <f>TRUNC(F409*E409,2)</f>
        <v>3.07</v>
      </c>
      <c r="H409" s="308"/>
    </row>
    <row r="410" spans="1:8" ht="16.5" thickBot="1">
      <c r="A410" s="308"/>
      <c r="B410" s="2450" t="s">
        <v>1833</v>
      </c>
      <c r="C410" s="2450"/>
      <c r="D410" s="2450"/>
      <c r="E410" s="2450"/>
      <c r="F410" s="325" t="s">
        <v>167</v>
      </c>
      <c r="G410" s="326">
        <f>SUM(G405:G409)</f>
        <v>13.48</v>
      </c>
      <c r="H410" s="308"/>
    </row>
    <row r="411" spans="1:8" ht="15.75" thickBot="1">
      <c r="A411" s="308"/>
      <c r="B411" s="248"/>
      <c r="C411" s="248"/>
      <c r="D411" s="248"/>
      <c r="E411" s="248"/>
      <c r="F411" s="308"/>
      <c r="G411" s="308"/>
      <c r="H411" s="308"/>
    </row>
    <row r="412" spans="1:8" ht="38.25" customHeight="1">
      <c r="A412" s="308"/>
      <c r="B412" s="623" t="str">
        <f>IF(COUNT($H$17:H412)&lt;10,CONCATENATE("CPU IP 00",COUNT($H$17:H412)),CONCATENATE("CPU IP 0",COUNT($H$17:H412)))</f>
        <v>CPU IP 026</v>
      </c>
      <c r="C412" s="2180" t="str">
        <f>CONCATENATE("FORNECIMENTO E INSTALAÇÃO DE ",C415)</f>
        <v xml:space="preserve">FORNECIMENTO E INSTALAÇÃO DE CURVA 90 GRAUS, PARA ELETRODUTO, EM ACO GALVANIZADO ELETROLITICO, DIAMETRO DE 32 MM (1 1/4")                                                                                                                                                                                                                                                                                                                                                                                                              </v>
      </c>
      <c r="D412" s="2181"/>
      <c r="E412" s="2181"/>
      <c r="F412" s="2181"/>
      <c r="G412" s="624" t="s">
        <v>22</v>
      </c>
      <c r="H412" s="615">
        <f>G419</f>
        <v>22.01</v>
      </c>
    </row>
    <row r="413" spans="1:8" ht="31.5">
      <c r="A413" s="308"/>
      <c r="B413" s="750" t="s">
        <v>197</v>
      </c>
      <c r="C413" s="751" t="s">
        <v>161</v>
      </c>
      <c r="D413" s="826" t="s">
        <v>22</v>
      </c>
      <c r="E413" s="751" t="s">
        <v>162</v>
      </c>
      <c r="F413" s="752" t="s">
        <v>163</v>
      </c>
      <c r="G413" s="753" t="s">
        <v>164</v>
      </c>
      <c r="H413" s="308"/>
    </row>
    <row r="414" spans="1:8" ht="15.75">
      <c r="A414" s="308"/>
      <c r="B414" s="2429" t="s">
        <v>165</v>
      </c>
      <c r="C414" s="2430"/>
      <c r="D414" s="2430"/>
      <c r="E414" s="2430"/>
      <c r="F414" s="2430"/>
      <c r="G414" s="2431"/>
      <c r="H414" s="308"/>
    </row>
    <row r="415" spans="1:8" ht="30">
      <c r="A415" s="333" t="s">
        <v>390</v>
      </c>
      <c r="B415" s="754">
        <v>2618</v>
      </c>
      <c r="C415" s="728" t="str">
        <f>IF($A415="INSUMO",VLOOKUP($B415,'BANCO DE DADOS JANEIRO-24 INS'!$A:$D,2,FALSE),VLOOKUP($B415,'BANCO DE DADOS JANEIRO-24 SERV'!$B:$E,2,FALSE))</f>
        <v xml:space="preserve">CURVA 90 GRAUS, PARA ELETRODUTO, EM ACO GALVANIZADO ELETROLITICO, DIAMETRO DE 32 MM (1 1/4")                                                                                                                                                                                                                                                                                                                                                                                                              </v>
      </c>
      <c r="D415" s="732" t="str">
        <f>IF($A415="INSUMO",VLOOKUP($B415,'BANCO DE DADOS JANEIRO-24 INS'!$A:$D,3,FALSE),VLOOKUP($B415,'BANCO DE DADOS JANEIRO-24 SERV'!$B:$E,3,FALSE))</f>
        <v xml:space="preserve">UN    </v>
      </c>
      <c r="E415" s="846">
        <v>1</v>
      </c>
      <c r="F415" s="755">
        <f>IF($A415="INSUMO",VLOOKUP($B415,'BANCO DE DADOS JANEIRO-24 INS'!$A:$D,4,FALSE),VLOOKUP($B415,'BANCO DE DADOS JANEIRO-24 SERV'!$B:$E,4,FALSE))</f>
        <v>15.21</v>
      </c>
      <c r="G415" s="848">
        <f>TRUNC(F415*E415,2)</f>
        <v>15.21</v>
      </c>
      <c r="H415" s="308"/>
    </row>
    <row r="416" spans="1:8" ht="15.75">
      <c r="A416" s="308"/>
      <c r="B416" s="2429" t="s">
        <v>166</v>
      </c>
      <c r="C416" s="2430"/>
      <c r="D416" s="2430"/>
      <c r="E416" s="2430"/>
      <c r="F416" s="2430"/>
      <c r="G416" s="2431"/>
      <c r="H416" s="308"/>
    </row>
    <row r="417" spans="1:8" ht="15.75">
      <c r="A417" s="333" t="s">
        <v>391</v>
      </c>
      <c r="B417" s="841">
        <v>88264</v>
      </c>
      <c r="C417" s="728" t="str">
        <f>IF($A417="INSUMO",VLOOKUP($B417,'BANCO DE DADOS JANEIRO-24 INS'!$A:$D,2,FALSE),VLOOKUP($B417,'BANCO DE DADOS JANEIRO-24 SERV'!$B:$E,2,FALSE))</f>
        <v>ELETRICISTA COM ENCARGOS COMPLEMENTARES</v>
      </c>
      <c r="D417" s="732" t="str">
        <f>IF($A417="INSUMO",VLOOKUP($B417,'BANCO DE DADOS JANEIRO-24 INS'!$A:$D,3,FALSE),VLOOKUP($B417,'BANCO DE DADOS JANEIRO-24 SERV'!$B:$E,3,FALSE))</f>
        <v>H</v>
      </c>
      <c r="E417" s="838">
        <v>0.14000000000000001</v>
      </c>
      <c r="F417" s="755">
        <f>IF($A417="INSUMO",VLOOKUP($B417,'BANCO DE DADOS JANEIRO-24 INS'!$A:$D,4,FALSE),VLOOKUP($B417,'BANCO DE DADOS JANEIRO-24 SERV'!$B:$E,4,FALSE))</f>
        <v>26.68</v>
      </c>
      <c r="G417" s="840">
        <f>TRUNC(F417*E417,2)</f>
        <v>3.73</v>
      </c>
      <c r="H417" s="308"/>
    </row>
    <row r="418" spans="1:8" ht="16.5" thickBot="1">
      <c r="A418" s="333" t="s">
        <v>391</v>
      </c>
      <c r="B418" s="625">
        <v>88247</v>
      </c>
      <c r="C418" s="731" t="str">
        <f>IF($A418="INSUMO",VLOOKUP($B418,'BANCO DE DADOS JANEIRO-24 INS'!$A:$D,2,FALSE),VLOOKUP($B418,'BANCO DE DADOS JANEIRO-24 SERV'!$B:$E,2,FALSE))</f>
        <v>AUXILIAR DE ELETRICISTA COM ENCARGOS COMPLEMENTARES</v>
      </c>
      <c r="D418" s="729" t="str">
        <f>IF($A418="INSUMO",VLOOKUP($B418,'BANCO DE DADOS JANEIRO-24 INS'!$A:$D,3,FALSE),VLOOKUP($B418,'BANCO DE DADOS JANEIRO-24 SERV'!$B:$E,3,FALSE))</f>
        <v>H</v>
      </c>
      <c r="E418" s="849">
        <v>0.14000000000000001</v>
      </c>
      <c r="F418" s="757">
        <f>IF($A418="INSUMO",VLOOKUP($B418,'BANCO DE DADOS JANEIRO-24 INS'!$A:$D,4,FALSE),VLOOKUP($B418,'BANCO DE DADOS JANEIRO-24 SERV'!$B:$E,4,FALSE))</f>
        <v>21.96</v>
      </c>
      <c r="G418" s="626">
        <f>TRUNC(F418*E418,2)</f>
        <v>3.07</v>
      </c>
      <c r="H418" s="308"/>
    </row>
    <row r="419" spans="1:8" ht="16.5" thickBot="1">
      <c r="A419" s="308"/>
      <c r="B419" s="2450" t="s">
        <v>1833</v>
      </c>
      <c r="C419" s="2450"/>
      <c r="D419" s="2450"/>
      <c r="E419" s="2450"/>
      <c r="F419" s="325" t="s">
        <v>167</v>
      </c>
      <c r="G419" s="326">
        <f>SUM(G414:G418)</f>
        <v>22.01</v>
      </c>
      <c r="H419" s="308"/>
    </row>
    <row r="420" spans="1:8" ht="15.75" thickBot="1">
      <c r="A420" s="308"/>
      <c r="B420" s="248"/>
      <c r="C420" s="248"/>
      <c r="D420" s="248"/>
      <c r="E420" s="248"/>
      <c r="F420" s="308"/>
      <c r="G420" s="308"/>
      <c r="H420" s="308"/>
    </row>
    <row r="421" spans="1:8" ht="38.25" customHeight="1">
      <c r="A421" s="308"/>
      <c r="B421" s="623" t="str">
        <f>IF(COUNT($H$17:H421)&lt;10,CONCATENATE("CPU IP 00",COUNT($H$17:H421)),CONCATENATE("CPU IP 0",COUNT($H$17:H421)))</f>
        <v>CPU IP 027</v>
      </c>
      <c r="C421" s="2180" t="str">
        <f>CONCATENATE("FORNECIMENTO E INSTALAÇÃO DE ",C424)</f>
        <v xml:space="preserve">FORNECIMENTO E INSTALAÇÃO DE CURVA 90 GRAUS, PARA ELETRODUTO, EM ACO GALVANIZADO ELETROLITICO, DIAMETRO DE 40 MM (1 1/2")                                                                                                                                                                                                                                                                                                                                                                                                              </v>
      </c>
      <c r="D421" s="2181"/>
      <c r="E421" s="2181"/>
      <c r="F421" s="2181"/>
      <c r="G421" s="624" t="s">
        <v>22</v>
      </c>
      <c r="H421" s="615">
        <f>G428</f>
        <v>25.35</v>
      </c>
    </row>
    <row r="422" spans="1:8" ht="31.5">
      <c r="A422" s="308"/>
      <c r="B422" s="750" t="s">
        <v>197</v>
      </c>
      <c r="C422" s="751" t="s">
        <v>161</v>
      </c>
      <c r="D422" s="826" t="s">
        <v>22</v>
      </c>
      <c r="E422" s="751" t="s">
        <v>162</v>
      </c>
      <c r="F422" s="752" t="s">
        <v>163</v>
      </c>
      <c r="G422" s="753" t="s">
        <v>164</v>
      </c>
      <c r="H422" s="308"/>
    </row>
    <row r="423" spans="1:8" ht="15.75">
      <c r="A423" s="308"/>
      <c r="B423" s="2429" t="s">
        <v>165</v>
      </c>
      <c r="C423" s="2430"/>
      <c r="D423" s="2430"/>
      <c r="E423" s="2430"/>
      <c r="F423" s="2430"/>
      <c r="G423" s="2431"/>
      <c r="H423" s="308"/>
    </row>
    <row r="424" spans="1:8" ht="30">
      <c r="A424" s="333" t="s">
        <v>390</v>
      </c>
      <c r="B424" s="754">
        <v>2632</v>
      </c>
      <c r="C424" s="728" t="str">
        <f>IF($A424="INSUMO",VLOOKUP($B424,'BANCO DE DADOS JANEIRO-24 INS'!$A:$D,2,FALSE),VLOOKUP($B424,'BANCO DE DADOS JANEIRO-24 SERV'!$B:$E,2,FALSE))</f>
        <v xml:space="preserve">CURVA 90 GRAUS, PARA ELETRODUTO, EM ACO GALVANIZADO ELETROLITICO, DIAMETRO DE 40 MM (1 1/2")                                                                                                                                                                                                                                                                                                                                                                                                              </v>
      </c>
      <c r="D424" s="732" t="str">
        <f>IF($A424="INSUMO",VLOOKUP($B424,'BANCO DE DADOS JANEIRO-24 INS'!$A:$D,3,FALSE),VLOOKUP($B424,'BANCO DE DADOS JANEIRO-24 SERV'!$B:$E,3,FALSE))</f>
        <v xml:space="preserve">UN    </v>
      </c>
      <c r="E424" s="846">
        <v>1</v>
      </c>
      <c r="F424" s="755">
        <f>IF($A424="INSUMO",VLOOKUP($B424,'BANCO DE DADOS JANEIRO-24 INS'!$A:$D,4,FALSE),VLOOKUP($B424,'BANCO DE DADOS JANEIRO-24 SERV'!$B:$E,4,FALSE))</f>
        <v>18.55</v>
      </c>
      <c r="G424" s="848">
        <f>TRUNC(F424*E424,2)</f>
        <v>18.55</v>
      </c>
      <c r="H424" s="308"/>
    </row>
    <row r="425" spans="1:8" ht="15.75">
      <c r="A425" s="308"/>
      <c r="B425" s="2429" t="s">
        <v>166</v>
      </c>
      <c r="C425" s="2430"/>
      <c r="D425" s="2430"/>
      <c r="E425" s="2430"/>
      <c r="F425" s="2430"/>
      <c r="G425" s="2431"/>
      <c r="H425" s="308"/>
    </row>
    <row r="426" spans="1:8" ht="15.75">
      <c r="A426" s="333" t="s">
        <v>391</v>
      </c>
      <c r="B426" s="841">
        <v>88264</v>
      </c>
      <c r="C426" s="728" t="str">
        <f>IF($A426="INSUMO",VLOOKUP($B426,'BANCO DE DADOS JANEIRO-24 INS'!$A:$D,2,FALSE),VLOOKUP($B426,'BANCO DE DADOS JANEIRO-24 SERV'!$B:$E,2,FALSE))</f>
        <v>ELETRICISTA COM ENCARGOS COMPLEMENTARES</v>
      </c>
      <c r="D426" s="732" t="str">
        <f>IF($A426="INSUMO",VLOOKUP($B426,'BANCO DE DADOS JANEIRO-24 INS'!$A:$D,3,FALSE),VLOOKUP($B426,'BANCO DE DADOS JANEIRO-24 SERV'!$B:$E,3,FALSE))</f>
        <v>H</v>
      </c>
      <c r="E426" s="838">
        <v>0.14000000000000001</v>
      </c>
      <c r="F426" s="755">
        <f>IF($A426="INSUMO",VLOOKUP($B426,'BANCO DE DADOS JANEIRO-24 INS'!$A:$D,4,FALSE),VLOOKUP($B426,'BANCO DE DADOS JANEIRO-24 SERV'!$B:$E,4,FALSE))</f>
        <v>26.68</v>
      </c>
      <c r="G426" s="840">
        <f>TRUNC(F426*E426,2)</f>
        <v>3.73</v>
      </c>
      <c r="H426" s="308"/>
    </row>
    <row r="427" spans="1:8" ht="16.5" thickBot="1">
      <c r="A427" s="333" t="s">
        <v>391</v>
      </c>
      <c r="B427" s="625">
        <v>88247</v>
      </c>
      <c r="C427" s="731" t="str">
        <f>IF($A427="INSUMO",VLOOKUP($B427,'BANCO DE DADOS JANEIRO-24 INS'!$A:$D,2,FALSE),VLOOKUP($B427,'BANCO DE DADOS JANEIRO-24 SERV'!$B:$E,2,FALSE))</f>
        <v>AUXILIAR DE ELETRICISTA COM ENCARGOS COMPLEMENTARES</v>
      </c>
      <c r="D427" s="729" t="str">
        <f>IF($A427="INSUMO",VLOOKUP($B427,'BANCO DE DADOS JANEIRO-24 INS'!$A:$D,3,FALSE),VLOOKUP($B427,'BANCO DE DADOS JANEIRO-24 SERV'!$B:$E,3,FALSE))</f>
        <v>H</v>
      </c>
      <c r="E427" s="849">
        <v>0.14000000000000001</v>
      </c>
      <c r="F427" s="757">
        <f>IF($A427="INSUMO",VLOOKUP($B427,'BANCO DE DADOS JANEIRO-24 INS'!$A:$D,4,FALSE),VLOOKUP($B427,'BANCO DE DADOS JANEIRO-24 SERV'!$B:$E,4,FALSE))</f>
        <v>21.96</v>
      </c>
      <c r="G427" s="626">
        <f>TRUNC(F427*E427,2)</f>
        <v>3.07</v>
      </c>
      <c r="H427" s="308"/>
    </row>
    <row r="428" spans="1:8" ht="16.5" thickBot="1">
      <c r="A428" s="308"/>
      <c r="B428" s="2450" t="s">
        <v>1833</v>
      </c>
      <c r="C428" s="2450"/>
      <c r="D428" s="2450"/>
      <c r="E428" s="2450"/>
      <c r="F428" s="325" t="s">
        <v>167</v>
      </c>
      <c r="G428" s="326">
        <f>SUM(G423:G427)</f>
        <v>25.35</v>
      </c>
      <c r="H428" s="308"/>
    </row>
    <row r="429" spans="1:8" ht="15.75" thickBot="1">
      <c r="A429" s="308"/>
      <c r="B429" s="248"/>
      <c r="C429" s="248"/>
      <c r="D429" s="248"/>
      <c r="E429" s="248"/>
      <c r="F429" s="308"/>
      <c r="G429" s="308"/>
      <c r="H429" s="308"/>
    </row>
    <row r="430" spans="1:8" ht="31.5" customHeight="1">
      <c r="A430" s="308"/>
      <c r="B430" s="623" t="str">
        <f>IF(COUNT($H$17:H430)&lt;10,CONCATENATE("CPU IP 00",COUNT($H$17:H430)),CONCATENATE("CPU IP 0",COUNT($H$17:H430)))</f>
        <v>CPU IP 028</v>
      </c>
      <c r="C430" s="2180" t="str">
        <f>CONCATENATE("FORNECIMENTO E INSTALAÇÃO DE ",C433)</f>
        <v xml:space="preserve">FORNECIMENTO E INSTALAÇÃO DE LUVA PARA ELETRODUTO, EM ACO GALVANIZADO ELETROLITICO, DIAMETRO DE 25 MM (1")                                                                                                                                                                                                                                                                                                                                                                                                                             </v>
      </c>
      <c r="D430" s="2181"/>
      <c r="E430" s="2181"/>
      <c r="F430" s="2181"/>
      <c r="G430" s="624" t="s">
        <v>22</v>
      </c>
      <c r="H430" s="615">
        <f>G437</f>
        <v>8.51</v>
      </c>
    </row>
    <row r="431" spans="1:8" ht="31.5">
      <c r="A431" s="308"/>
      <c r="B431" s="750" t="s">
        <v>197</v>
      </c>
      <c r="C431" s="751" t="s">
        <v>161</v>
      </c>
      <c r="D431" s="826" t="s">
        <v>22</v>
      </c>
      <c r="E431" s="751" t="s">
        <v>162</v>
      </c>
      <c r="F431" s="752" t="s">
        <v>163</v>
      </c>
      <c r="G431" s="753" t="s">
        <v>164</v>
      </c>
      <c r="H431" s="308"/>
    </row>
    <row r="432" spans="1:8" ht="16.5" thickBot="1">
      <c r="A432" s="308"/>
      <c r="B432" s="2454" t="s">
        <v>165</v>
      </c>
      <c r="C432" s="2455"/>
      <c r="D432" s="2455"/>
      <c r="E432" s="2455"/>
      <c r="F432" s="2455"/>
      <c r="G432" s="2456"/>
      <c r="H432" s="308"/>
    </row>
    <row r="433" spans="1:8" ht="30">
      <c r="A433" s="333" t="s">
        <v>390</v>
      </c>
      <c r="B433" s="1559">
        <v>2638</v>
      </c>
      <c r="C433" s="784" t="str">
        <f>IF($A433="INSUMO",VLOOKUP($B433,'BANCO DE DADOS JANEIRO-24 INS'!$A:$D,2,FALSE),VLOOKUP($B433,'BANCO DE DADOS JANEIRO-24 SERV'!$B:$E,2,FALSE))</f>
        <v xml:space="preserve">LUVA PARA ELETRODUTO, EM ACO GALVANIZADO ELETROLITICO, DIAMETRO DE 25 MM (1")                                                                                                                                                                                                                                                                                                                                                                                                                             </v>
      </c>
      <c r="D433" s="782" t="str">
        <f>IF($A433="INSUMO",VLOOKUP($B433,'BANCO DE DADOS JANEIRO-24 INS'!$A:$D,3,FALSE),VLOOKUP($B433,'BANCO DE DADOS JANEIRO-24 SERV'!$B:$E,3,FALSE))</f>
        <v xml:space="preserve">UN    </v>
      </c>
      <c r="E433" s="1560">
        <v>1</v>
      </c>
      <c r="F433" s="1535">
        <f>IF($A433="INSUMO",VLOOKUP($B433,'BANCO DE DADOS JANEIRO-24 INS'!$A:$D,4,FALSE),VLOOKUP($B433,'BANCO DE DADOS JANEIRO-24 SERV'!$B:$E,4,FALSE))</f>
        <v>2.15</v>
      </c>
      <c r="G433" s="1561">
        <f>TRUNC(F433*E433,2)</f>
        <v>2.15</v>
      </c>
      <c r="H433" s="308"/>
    </row>
    <row r="434" spans="1:8" ht="15.75">
      <c r="A434" s="308"/>
      <c r="B434" s="2429" t="s">
        <v>166</v>
      </c>
      <c r="C434" s="2430"/>
      <c r="D434" s="2430"/>
      <c r="E434" s="2430"/>
      <c r="F434" s="2430"/>
      <c r="G434" s="2431"/>
      <c r="H434" s="308"/>
    </row>
    <row r="435" spans="1:8" ht="15.75">
      <c r="A435" s="333" t="s">
        <v>391</v>
      </c>
      <c r="B435" s="1200">
        <v>88264</v>
      </c>
      <c r="C435" s="1098" t="str">
        <f>IF($A435="INSUMO",VLOOKUP($B435,'BANCO DE DADOS JANEIRO-24 INS'!$A:$D,2,FALSE),VLOOKUP($B435,'BANCO DE DADOS JANEIRO-24 SERV'!$B:$E,2,FALSE))</f>
        <v>ELETRICISTA COM ENCARGOS COMPLEMENTARES</v>
      </c>
      <c r="D435" s="1099" t="str">
        <f>IF($A435="INSUMO",VLOOKUP($B435,'BANCO DE DADOS JANEIRO-24 INS'!$A:$D,3,FALSE),VLOOKUP($B435,'BANCO DE DADOS JANEIRO-24 SERV'!$B:$E,3,FALSE))</f>
        <v>H</v>
      </c>
      <c r="E435" s="1218">
        <v>0.13539999999999999</v>
      </c>
      <c r="F435" s="1146">
        <f>IF($A435="INSUMO",VLOOKUP($B435,'BANCO DE DADOS JANEIRO-24 INS'!$A:$D,4,FALSE),VLOOKUP($B435,'BANCO DE DADOS JANEIRO-24 SERV'!$B:$E,4,FALSE))</f>
        <v>26.68</v>
      </c>
      <c r="G435" s="1199">
        <f>TRUNC(F435*E435,2)</f>
        <v>3.61</v>
      </c>
      <c r="H435" s="308"/>
    </row>
    <row r="436" spans="1:8" ht="16.5" thickBot="1">
      <c r="A436" s="333" t="s">
        <v>391</v>
      </c>
      <c r="B436" s="1523">
        <v>88316</v>
      </c>
      <c r="C436" s="1522" t="str">
        <f>IF($A436="INSUMO",VLOOKUP($B436,'BANCO DE DADOS JANEIRO-24 INS'!$A:$D,2,FALSE),VLOOKUP($B436,'BANCO DE DADOS JANEIRO-24 SERV'!$B:$E,2,FALSE))</f>
        <v>SERVENTE COM ENCARGOS COMPLEMENTARES</v>
      </c>
      <c r="D436" s="1521" t="str">
        <f>IF($A436="INSUMO",VLOOKUP($B436,'BANCO DE DADOS JANEIRO-24 INS'!$A:$D,3,FALSE),VLOOKUP($B436,'BANCO DE DADOS JANEIRO-24 SERV'!$B:$E,3,FALSE))</f>
        <v>H</v>
      </c>
      <c r="E436" s="1562">
        <v>0.13539999999999999</v>
      </c>
      <c r="F436" s="1525">
        <f>IF($A436="INSUMO",VLOOKUP($B436,'BANCO DE DADOS JANEIRO-24 INS'!$A:$D,4,FALSE),VLOOKUP($B436,'BANCO DE DADOS JANEIRO-24 SERV'!$B:$E,4,FALSE))</f>
        <v>20.32</v>
      </c>
      <c r="G436" s="1520">
        <f>TRUNC(F436*E436,2)</f>
        <v>2.75</v>
      </c>
      <c r="H436" s="308"/>
    </row>
    <row r="437" spans="1:8" ht="16.5" thickBot="1">
      <c r="A437" s="308"/>
      <c r="B437" s="2457" t="s">
        <v>7366</v>
      </c>
      <c r="C437" s="2457"/>
      <c r="D437" s="2457"/>
      <c r="E437" s="2457"/>
      <c r="F437" s="325" t="s">
        <v>167</v>
      </c>
      <c r="G437" s="326">
        <f>SUM(G432:G436)</f>
        <v>8.51</v>
      </c>
      <c r="H437" s="308"/>
    </row>
    <row r="438" spans="1:8" ht="13.5" thickBot="1"/>
    <row r="439" spans="1:8" ht="31.5" customHeight="1">
      <c r="A439" s="308"/>
      <c r="B439" s="623" t="str">
        <f>IF(COUNT($H$17:H439)&lt;10,CONCATENATE("CPU IP 00",COUNT($H$17:H439)),CONCATENATE("CPU IP 0",COUNT($H$17:H439)))</f>
        <v>CPU IP 029</v>
      </c>
      <c r="C439" s="2180" t="str">
        <f>CONCATENATE("FORNECIMENTO E INSTALAÇÃO DE ",C442)</f>
        <v xml:space="preserve">FORNECIMENTO E INSTALAÇÃO DE LUVA PARA ELETRODUTO, EM ACO GALVANIZADO ELETROLITICO, DIAMETRO DE 32 MM (1 1/4")                                                                                                                                                                                                                                                                                                                                                                                                                         </v>
      </c>
      <c r="D439" s="2181"/>
      <c r="E439" s="2181"/>
      <c r="F439" s="2181"/>
      <c r="G439" s="624" t="s">
        <v>22</v>
      </c>
      <c r="H439" s="615">
        <f>G446</f>
        <v>14.370000000000001</v>
      </c>
    </row>
    <row r="440" spans="1:8" ht="31.5">
      <c r="A440" s="308"/>
      <c r="B440" s="750" t="s">
        <v>197</v>
      </c>
      <c r="C440" s="751" t="s">
        <v>161</v>
      </c>
      <c r="D440" s="826" t="s">
        <v>22</v>
      </c>
      <c r="E440" s="751" t="s">
        <v>162</v>
      </c>
      <c r="F440" s="752" t="s">
        <v>163</v>
      </c>
      <c r="G440" s="753" t="s">
        <v>164</v>
      </c>
      <c r="H440" s="308"/>
    </row>
    <row r="441" spans="1:8" ht="16.5" thickBot="1">
      <c r="A441" s="308"/>
      <c r="B441" s="2454" t="s">
        <v>165</v>
      </c>
      <c r="C441" s="2455"/>
      <c r="D441" s="2455"/>
      <c r="E441" s="2455"/>
      <c r="F441" s="2455"/>
      <c r="G441" s="2456"/>
      <c r="H441" s="308"/>
    </row>
    <row r="442" spans="1:8" ht="30">
      <c r="A442" s="333" t="s">
        <v>390</v>
      </c>
      <c r="B442" s="1559">
        <v>2639</v>
      </c>
      <c r="C442" s="784" t="str">
        <f>IF($A442="INSUMO",VLOOKUP($B442,'BANCO DE DADOS JANEIRO-24 INS'!$A:$D,2,FALSE),VLOOKUP($B442,'BANCO DE DADOS JANEIRO-24 SERV'!$B:$E,2,FALSE))</f>
        <v xml:space="preserve">LUVA PARA ELETRODUTO, EM ACO GALVANIZADO ELETROLITICO, DIAMETRO DE 32 MM (1 1/4")                                                                                                                                                                                                                                                                                                                                                                                                                         </v>
      </c>
      <c r="D442" s="782" t="str">
        <f>IF($A442="INSUMO",VLOOKUP($B442,'BANCO DE DADOS JANEIRO-24 INS'!$A:$D,3,FALSE),VLOOKUP($B442,'BANCO DE DADOS JANEIRO-24 SERV'!$B:$E,3,FALSE))</f>
        <v xml:space="preserve">UN    </v>
      </c>
      <c r="E442" s="1560">
        <v>1</v>
      </c>
      <c r="F442" s="1535">
        <f>IF($A442="INSUMO",VLOOKUP($B442,'BANCO DE DADOS JANEIRO-24 INS'!$A:$D,4,FALSE),VLOOKUP($B442,'BANCO DE DADOS JANEIRO-24 SERV'!$B:$E,4,FALSE))</f>
        <v>3.82</v>
      </c>
      <c r="G442" s="1561">
        <f>TRUNC(F442*E442,2)</f>
        <v>3.82</v>
      </c>
      <c r="H442" s="308"/>
    </row>
    <row r="443" spans="1:8" ht="15.75">
      <c r="A443" s="308"/>
      <c r="B443" s="2429" t="s">
        <v>166</v>
      </c>
      <c r="C443" s="2430"/>
      <c r="D443" s="2430"/>
      <c r="E443" s="2430"/>
      <c r="F443" s="2430"/>
      <c r="G443" s="2431"/>
      <c r="H443" s="308"/>
    </row>
    <row r="444" spans="1:8" ht="15.75">
      <c r="A444" s="333" t="s">
        <v>391</v>
      </c>
      <c r="B444" s="1200">
        <v>88264</v>
      </c>
      <c r="C444" s="1098" t="str">
        <f>IF($A444="INSUMO",VLOOKUP($B444,'BANCO DE DADOS JANEIRO-24 INS'!$A:$D,2,FALSE),VLOOKUP($B444,'BANCO DE DADOS JANEIRO-24 SERV'!$B:$E,2,FALSE))</f>
        <v>ELETRICISTA COM ENCARGOS COMPLEMENTARES</v>
      </c>
      <c r="D444" s="1099" t="str">
        <f>IF($A444="INSUMO",VLOOKUP($B444,'BANCO DE DADOS JANEIRO-24 INS'!$A:$D,3,FALSE),VLOOKUP($B444,'BANCO DE DADOS JANEIRO-24 SERV'!$B:$E,3,FALSE))</f>
        <v>H</v>
      </c>
      <c r="E444" s="1218">
        <v>0.22459999999999999</v>
      </c>
      <c r="F444" s="1146">
        <f>IF($A444="INSUMO",VLOOKUP($B444,'BANCO DE DADOS JANEIRO-24 INS'!$A:$D,4,FALSE),VLOOKUP($B444,'BANCO DE DADOS JANEIRO-24 SERV'!$B:$E,4,FALSE))</f>
        <v>26.68</v>
      </c>
      <c r="G444" s="1199">
        <f>TRUNC(F444*E444,2)</f>
        <v>5.99</v>
      </c>
      <c r="H444" s="308"/>
    </row>
    <row r="445" spans="1:8" ht="16.5" thickBot="1">
      <c r="A445" s="333" t="s">
        <v>391</v>
      </c>
      <c r="B445" s="1523">
        <v>88316</v>
      </c>
      <c r="C445" s="1522" t="str">
        <f>IF($A445="INSUMO",VLOOKUP($B445,'BANCO DE DADOS JANEIRO-24 INS'!$A:$D,2,FALSE),VLOOKUP($B445,'BANCO DE DADOS JANEIRO-24 SERV'!$B:$E,2,FALSE))</f>
        <v>SERVENTE COM ENCARGOS COMPLEMENTARES</v>
      </c>
      <c r="D445" s="1521" t="str">
        <f>IF($A445="INSUMO",VLOOKUP($B445,'BANCO DE DADOS JANEIRO-24 INS'!$A:$D,3,FALSE),VLOOKUP($B445,'BANCO DE DADOS JANEIRO-24 SERV'!$B:$E,3,FALSE))</f>
        <v>H</v>
      </c>
      <c r="E445" s="1562">
        <v>0.22459999999999999</v>
      </c>
      <c r="F445" s="1525">
        <f>IF($A445="INSUMO",VLOOKUP($B445,'BANCO DE DADOS JANEIRO-24 INS'!$A:$D,4,FALSE),VLOOKUP($B445,'BANCO DE DADOS JANEIRO-24 SERV'!$B:$E,4,FALSE))</f>
        <v>20.32</v>
      </c>
      <c r="G445" s="1520">
        <f>TRUNC(F445*E445,2)</f>
        <v>4.5599999999999996</v>
      </c>
      <c r="H445" s="308"/>
    </row>
    <row r="446" spans="1:8" ht="16.5" thickBot="1">
      <c r="A446" s="308"/>
      <c r="B446" s="2457" t="s">
        <v>7367</v>
      </c>
      <c r="C446" s="2457"/>
      <c r="D446" s="2457"/>
      <c r="E446" s="2457"/>
      <c r="F446" s="325" t="s">
        <v>167</v>
      </c>
      <c r="G446" s="326">
        <f>SUM(G441:G445)</f>
        <v>14.370000000000001</v>
      </c>
      <c r="H446" s="308"/>
    </row>
    <row r="447" spans="1:8" ht="13.5" thickBot="1"/>
    <row r="448" spans="1:8" ht="31.5" customHeight="1">
      <c r="A448" s="308"/>
      <c r="B448" s="623" t="str">
        <f>IF(COUNT($H$17:H448)&lt;10,CONCATENATE("CPU IP 00",COUNT($H$17:H448)),CONCATENATE("CPU IP 0",COUNT($H$17:H448)))</f>
        <v>CPU IP 030</v>
      </c>
      <c r="C448" s="2180" t="str">
        <f>CONCATENATE("FORNECIMENTO E INSTALAÇÃO DE ",C451)</f>
        <v xml:space="preserve">FORNECIMENTO E INSTALAÇÃO DE LUVA PARA ELETRODUTO, EM ACO GALVANIZADO ELETROLITICO, DIAMETRO DE 40 MM (1 1/2")                                                                                                                                                                                                                                                                                                                                                                                                                         </v>
      </c>
      <c r="D448" s="2181"/>
      <c r="E448" s="2181"/>
      <c r="F448" s="2181"/>
      <c r="G448" s="624" t="s">
        <v>22</v>
      </c>
      <c r="H448" s="615">
        <f>G455</f>
        <v>16.079999999999998</v>
      </c>
    </row>
    <row r="449" spans="1:8" ht="31.5">
      <c r="A449" s="308"/>
      <c r="B449" s="750" t="s">
        <v>197</v>
      </c>
      <c r="C449" s="751" t="s">
        <v>161</v>
      </c>
      <c r="D449" s="826" t="s">
        <v>22</v>
      </c>
      <c r="E449" s="751" t="s">
        <v>162</v>
      </c>
      <c r="F449" s="752" t="s">
        <v>163</v>
      </c>
      <c r="G449" s="753" t="s">
        <v>164</v>
      </c>
      <c r="H449" s="308"/>
    </row>
    <row r="450" spans="1:8" ht="16.5" thickBot="1">
      <c r="A450" s="308"/>
      <c r="B450" s="2454" t="s">
        <v>165</v>
      </c>
      <c r="C450" s="2455"/>
      <c r="D450" s="2455"/>
      <c r="E450" s="2455"/>
      <c r="F450" s="2455"/>
      <c r="G450" s="2456"/>
      <c r="H450" s="308"/>
    </row>
    <row r="451" spans="1:8" ht="30">
      <c r="A451" s="333" t="s">
        <v>390</v>
      </c>
      <c r="B451" s="1559">
        <v>2644</v>
      </c>
      <c r="C451" s="784" t="str">
        <f>IF($A451="INSUMO",VLOOKUP($B451,'BANCO DE DADOS JANEIRO-24 INS'!$A:$D,2,FALSE),VLOOKUP($B451,'BANCO DE DADOS JANEIRO-24 SERV'!$B:$E,2,FALSE))</f>
        <v xml:space="preserve">LUVA PARA ELETRODUTO, EM ACO GALVANIZADO ELETROLITICO, DIAMETRO DE 40 MM (1 1/2")                                                                                                                                                                                                                                                                                                                                                                                                                         </v>
      </c>
      <c r="D451" s="782" t="str">
        <f>IF($A451="INSUMO",VLOOKUP($B451,'BANCO DE DADOS JANEIRO-24 INS'!$A:$D,3,FALSE),VLOOKUP($B451,'BANCO DE DADOS JANEIRO-24 SERV'!$B:$E,3,FALSE))</f>
        <v xml:space="preserve">UN    </v>
      </c>
      <c r="E451" s="1560">
        <v>1</v>
      </c>
      <c r="F451" s="1535">
        <f>IF($A451="INSUMO",VLOOKUP($B451,'BANCO DE DADOS JANEIRO-24 INS'!$A:$D,4,FALSE),VLOOKUP($B451,'BANCO DE DADOS JANEIRO-24 SERV'!$B:$E,4,FALSE))</f>
        <v>5.53</v>
      </c>
      <c r="G451" s="1561">
        <f>TRUNC(F451*E451,2)</f>
        <v>5.53</v>
      </c>
      <c r="H451" s="308"/>
    </row>
    <row r="452" spans="1:8" ht="15.75">
      <c r="A452" s="308"/>
      <c r="B452" s="2429" t="s">
        <v>166</v>
      </c>
      <c r="C452" s="2430"/>
      <c r="D452" s="2430"/>
      <c r="E452" s="2430"/>
      <c r="F452" s="2430"/>
      <c r="G452" s="2431"/>
      <c r="H452" s="308"/>
    </row>
    <row r="453" spans="1:8" ht="15.75">
      <c r="A453" s="333" t="s">
        <v>391</v>
      </c>
      <c r="B453" s="1200">
        <v>88264</v>
      </c>
      <c r="C453" s="1098" t="str">
        <f>IF($A453="INSUMO",VLOOKUP($B453,'BANCO DE DADOS JANEIRO-24 INS'!$A:$D,2,FALSE),VLOOKUP($B453,'BANCO DE DADOS JANEIRO-24 SERV'!$B:$E,2,FALSE))</f>
        <v>ELETRICISTA COM ENCARGOS COMPLEMENTARES</v>
      </c>
      <c r="D453" s="1099" t="str">
        <f>IF($A453="INSUMO",VLOOKUP($B453,'BANCO DE DADOS JANEIRO-24 INS'!$A:$D,3,FALSE),VLOOKUP($B453,'BANCO DE DADOS JANEIRO-24 SERV'!$B:$E,3,FALSE))</f>
        <v>H</v>
      </c>
      <c r="E453" s="1218">
        <v>0.22459999999999999</v>
      </c>
      <c r="F453" s="1146">
        <f>IF($A453="INSUMO",VLOOKUP($B453,'BANCO DE DADOS JANEIRO-24 INS'!$A:$D,4,FALSE),VLOOKUP($B453,'BANCO DE DADOS JANEIRO-24 SERV'!$B:$E,4,FALSE))</f>
        <v>26.68</v>
      </c>
      <c r="G453" s="1199">
        <f>TRUNC(F453*E453,2)</f>
        <v>5.99</v>
      </c>
      <c r="H453" s="308"/>
    </row>
    <row r="454" spans="1:8" ht="16.5" thickBot="1">
      <c r="A454" s="333" t="s">
        <v>391</v>
      </c>
      <c r="B454" s="1523">
        <v>88316</v>
      </c>
      <c r="C454" s="1522" t="str">
        <f>IF($A454="INSUMO",VLOOKUP($B454,'BANCO DE DADOS JANEIRO-24 INS'!$A:$D,2,FALSE),VLOOKUP($B454,'BANCO DE DADOS JANEIRO-24 SERV'!$B:$E,2,FALSE))</f>
        <v>SERVENTE COM ENCARGOS COMPLEMENTARES</v>
      </c>
      <c r="D454" s="1521" t="str">
        <f>IF($A454="INSUMO",VLOOKUP($B454,'BANCO DE DADOS JANEIRO-24 INS'!$A:$D,3,FALSE),VLOOKUP($B454,'BANCO DE DADOS JANEIRO-24 SERV'!$B:$E,3,FALSE))</f>
        <v>H</v>
      </c>
      <c r="E454" s="1562">
        <v>0.22459999999999999</v>
      </c>
      <c r="F454" s="1525">
        <f>IF($A454="INSUMO",VLOOKUP($B454,'BANCO DE DADOS JANEIRO-24 INS'!$A:$D,4,FALSE),VLOOKUP($B454,'BANCO DE DADOS JANEIRO-24 SERV'!$B:$E,4,FALSE))</f>
        <v>20.32</v>
      </c>
      <c r="G454" s="1520">
        <f>TRUNC(F454*E454,2)</f>
        <v>4.5599999999999996</v>
      </c>
      <c r="H454" s="308"/>
    </row>
    <row r="455" spans="1:8" ht="16.5" thickBot="1">
      <c r="A455" s="308"/>
      <c r="B455" s="2457" t="s">
        <v>7367</v>
      </c>
      <c r="C455" s="2457"/>
      <c r="D455" s="2457"/>
      <c r="E455" s="2457"/>
      <c r="F455" s="325" t="s">
        <v>167</v>
      </c>
      <c r="G455" s="326">
        <f>SUM(G450:G454)</f>
        <v>16.079999999999998</v>
      </c>
      <c r="H455" s="308"/>
    </row>
    <row r="456" spans="1:8" ht="13.5" thickBot="1"/>
    <row r="457" spans="1:8" s="308" customFormat="1" ht="41.25" customHeight="1">
      <c r="B457" s="623" t="str">
        <f>IF(COUNT($H$17:H457)&lt;10,CONCATENATE("CPU IP 00",COUNT($H$17:H457)),CONCATENATE("CPU IP 0",COUNT($H$17:H457)))</f>
        <v>CPU IP 031</v>
      </c>
      <c r="C457" s="2180" t="str">
        <f>CONCATENATE("FORNECIMENTO E INSTALAÇÃO DE ",C460)</f>
        <v xml:space="preserve">FORNECIMENTO E INSTALAÇÃO DE ELETRODUTO EM ACO GALVANIZADO ELETROLITICO, LEVE, DIAMETRO 1", PAREDE DE 0,90 MM                                                                                                                                                                                                                                                                                                                                                                                                                          </v>
      </c>
      <c r="D457" s="2181"/>
      <c r="E457" s="2181"/>
      <c r="F457" s="2181"/>
      <c r="G457" s="624" t="s">
        <v>21</v>
      </c>
      <c r="H457" s="615">
        <f>G464</f>
        <v>48.900000000000006</v>
      </c>
    </row>
    <row r="458" spans="1:8" s="308" customFormat="1" ht="31.5">
      <c r="B458" s="750" t="s">
        <v>197</v>
      </c>
      <c r="C458" s="751" t="s">
        <v>161</v>
      </c>
      <c r="D458" s="826" t="s">
        <v>22</v>
      </c>
      <c r="E458" s="751" t="s">
        <v>162</v>
      </c>
      <c r="F458" s="752" t="s">
        <v>163</v>
      </c>
      <c r="G458" s="753" t="s">
        <v>164</v>
      </c>
    </row>
    <row r="459" spans="1:8" s="308" customFormat="1" ht="15.75">
      <c r="B459" s="2408" t="s">
        <v>165</v>
      </c>
      <c r="C459" s="2409"/>
      <c r="D459" s="2409"/>
      <c r="E459" s="2409"/>
      <c r="F459" s="2409"/>
      <c r="G459" s="2410"/>
    </row>
    <row r="460" spans="1:8" s="308" customFormat="1" ht="30" customHeight="1">
      <c r="A460" s="333" t="s">
        <v>390</v>
      </c>
      <c r="B460" s="841">
        <v>21136</v>
      </c>
      <c r="C460" s="728" t="str">
        <f>IF($A460="INSUMO",VLOOKUP($B460,'BANCO DE DADOS JANEIRO-24 INS'!$A:$D,2,FALSE),VLOOKUP($B460,'BANCO DE DADOS JANEIRO-24 SERV'!$B:$E,2,FALSE))</f>
        <v xml:space="preserve">ELETRODUTO EM ACO GALVANIZADO ELETROLITICO, LEVE, DIAMETRO 1", PAREDE DE 0,90 MM                                                                                                                                                                                                                                                                                                                                                                                                                          </v>
      </c>
      <c r="D460" s="732" t="str">
        <f>IF($A460="INSUMO",VLOOKUP($B460,'BANCO DE DADOS JANEIRO-24 INS'!$A:$D,3,FALSE),VLOOKUP($B460,'BANCO DE DADOS JANEIRO-24 SERV'!$B:$E,3,FALSE))</f>
        <v xml:space="preserve">M     </v>
      </c>
      <c r="E460" s="820">
        <v>1.05</v>
      </c>
      <c r="F460" s="755">
        <f>IF($A460="INSUMO",VLOOKUP($B460,'BANCO DE DADOS JANEIRO-24 INS'!$A:$D,4,FALSE),VLOOKUP($B460,'BANCO DE DADOS JANEIRO-24 SERV'!$B:$E,4,FALSE))</f>
        <v>13</v>
      </c>
      <c r="G460" s="840">
        <f>TRUNC(F460*E460,2)</f>
        <v>13.65</v>
      </c>
    </row>
    <row r="461" spans="1:8" s="308" customFormat="1" ht="15.75">
      <c r="B461" s="2408" t="s">
        <v>166</v>
      </c>
      <c r="C461" s="2409"/>
      <c r="D461" s="2409"/>
      <c r="E461" s="2409"/>
      <c r="F461" s="2409"/>
      <c r="G461" s="2410"/>
    </row>
    <row r="462" spans="1:8" s="308" customFormat="1" ht="15.75">
      <c r="A462" s="333" t="s">
        <v>391</v>
      </c>
      <c r="B462" s="841">
        <v>88264</v>
      </c>
      <c r="C462" s="728" t="str">
        <f>IF($A462="INSUMO",VLOOKUP($B462,'BANCO DE DADOS JANEIRO-24 INS'!$A:$D,2,FALSE),VLOOKUP($B462,'BANCO DE DADOS JANEIRO-24 SERV'!$B:$E,2,FALSE))</f>
        <v>ELETRICISTA COM ENCARGOS COMPLEMENTARES</v>
      </c>
      <c r="D462" s="732" t="str">
        <f>IF($A462="INSUMO",VLOOKUP($B462,'BANCO DE DADOS JANEIRO-24 INS'!$A:$D,3,FALSE),VLOOKUP($B462,'BANCO DE DADOS JANEIRO-24 SERV'!$B:$E,3,FALSE))</f>
        <v>H</v>
      </c>
      <c r="E462" s="820">
        <v>0.75</v>
      </c>
      <c r="F462" s="755">
        <f>IF($A462="INSUMO",VLOOKUP($B462,'BANCO DE DADOS JANEIRO-24 INS'!$A:$D,4,FALSE),VLOOKUP($B462,'BANCO DE DADOS JANEIRO-24 SERV'!$B:$E,4,FALSE))</f>
        <v>26.68</v>
      </c>
      <c r="G462" s="840">
        <f>TRUNC(F462*E462,2)</f>
        <v>20.010000000000002</v>
      </c>
    </row>
    <row r="463" spans="1:8" s="308" customFormat="1" ht="16.5" thickBot="1">
      <c r="A463" s="333" t="s">
        <v>391</v>
      </c>
      <c r="B463" s="625">
        <v>88316</v>
      </c>
      <c r="C463" s="731" t="str">
        <f>IF($A463="INSUMO",VLOOKUP($B463,'BANCO DE DADOS JANEIRO-24 INS'!$A:$D,2,FALSE),VLOOKUP($B463,'BANCO DE DADOS JANEIRO-24 SERV'!$B:$E,2,FALSE))</f>
        <v>SERVENTE COM ENCARGOS COMPLEMENTARES</v>
      </c>
      <c r="D463" s="729" t="str">
        <f>IF($A463="INSUMO",VLOOKUP($B463,'BANCO DE DADOS JANEIRO-24 INS'!$A:$D,3,FALSE),VLOOKUP($B463,'BANCO DE DADOS JANEIRO-24 SERV'!$B:$E,3,FALSE))</f>
        <v>H</v>
      </c>
      <c r="E463" s="850">
        <v>0.75</v>
      </c>
      <c r="F463" s="757">
        <f>IF($A463="INSUMO",VLOOKUP($B463,'BANCO DE DADOS JANEIRO-24 INS'!$A:$D,4,FALSE),VLOOKUP($B463,'BANCO DE DADOS JANEIRO-24 SERV'!$B:$E,4,FALSE))</f>
        <v>20.32</v>
      </c>
      <c r="G463" s="626">
        <f>TRUNC(F463*E463,2)</f>
        <v>15.24</v>
      </c>
    </row>
    <row r="464" spans="1:8" s="308" customFormat="1" ht="16.5" thickBot="1">
      <c r="B464" s="2404" t="s">
        <v>7288</v>
      </c>
      <c r="C464" s="2404"/>
      <c r="D464" s="2404"/>
      <c r="E464" s="2422"/>
      <c r="F464" s="325" t="s">
        <v>167</v>
      </c>
      <c r="G464" s="326">
        <f>SUM(G459:G463)</f>
        <v>48.900000000000006</v>
      </c>
    </row>
    <row r="465" spans="1:8" s="308" customFormat="1" ht="15.75" thickBot="1"/>
    <row r="466" spans="1:8" s="308" customFormat="1" ht="16.5" customHeight="1" thickBot="1">
      <c r="B466" s="2432"/>
      <c r="C466" s="2433"/>
      <c r="D466" s="2433"/>
      <c r="E466" s="2433"/>
      <c r="F466" s="2433"/>
      <c r="G466" s="2434"/>
    </row>
    <row r="467" spans="1:8" s="308" customFormat="1" ht="41.25" customHeight="1">
      <c r="B467" s="623" t="str">
        <f>IF(COUNT($H$17:H467)&lt;10,CONCATENATE("CPU IP 00",COUNT($H$17:H467)),CONCATENATE("CPU IP 0",COUNT($H$17:H467)))</f>
        <v>CPU IP 032</v>
      </c>
      <c r="C467" s="2180" t="str">
        <f>CONCATENATE("FORNECIMENTO E INSTALAÇÃO DE ",C470)</f>
        <v xml:space="preserve">FORNECIMENTO E INSTALAÇÃO DE ELETRODUTO EM ACO GALVANIZADO ELETROLITICO, SEMI-PESADO, DIAMETRO 1 1/4", PAREDE DE 1,20 MM                                                                                                                                                                                                                                                                                                                                                                                                               </v>
      </c>
      <c r="D467" s="2181"/>
      <c r="E467" s="2181"/>
      <c r="F467" s="2181"/>
      <c r="G467" s="624" t="s">
        <v>21</v>
      </c>
      <c r="H467" s="615">
        <f>G474</f>
        <v>61.510000000000005</v>
      </c>
    </row>
    <row r="468" spans="1:8" s="308" customFormat="1" ht="31.5">
      <c r="B468" s="750" t="s">
        <v>197</v>
      </c>
      <c r="C468" s="751" t="s">
        <v>161</v>
      </c>
      <c r="D468" s="826" t="s">
        <v>22</v>
      </c>
      <c r="E468" s="751" t="s">
        <v>162</v>
      </c>
      <c r="F468" s="752" t="s">
        <v>163</v>
      </c>
      <c r="G468" s="753" t="s">
        <v>164</v>
      </c>
    </row>
    <row r="469" spans="1:8" s="308" customFormat="1" ht="15.75">
      <c r="B469" s="2408" t="s">
        <v>165</v>
      </c>
      <c r="C469" s="2409"/>
      <c r="D469" s="2409"/>
      <c r="E469" s="2409"/>
      <c r="F469" s="2409"/>
      <c r="G469" s="2410"/>
    </row>
    <row r="470" spans="1:8" s="308" customFormat="1" ht="30" customHeight="1">
      <c r="A470" s="333" t="s">
        <v>390</v>
      </c>
      <c r="B470" s="841">
        <v>21135</v>
      </c>
      <c r="C470" s="728" t="str">
        <f>IF($A470="INSUMO",VLOOKUP($B470,'BANCO DE DADOS JANEIRO-24 INS'!$A:$D,2,FALSE),VLOOKUP($B470,'BANCO DE DADOS JANEIRO-24 SERV'!$B:$E,2,FALSE))</f>
        <v xml:space="preserve">ELETRODUTO EM ACO GALVANIZADO ELETROLITICO, SEMI-PESADO, DIAMETRO 1 1/4", PAREDE DE 1,20 MM                                                                                                                                                                                                                                                                                                                                                                                                               </v>
      </c>
      <c r="D470" s="732" t="str">
        <f>IF($A470="INSUMO",VLOOKUP($B470,'BANCO DE DADOS JANEIRO-24 INS'!$A:$D,3,FALSE),VLOOKUP($B470,'BANCO DE DADOS JANEIRO-24 SERV'!$B:$E,3,FALSE))</f>
        <v xml:space="preserve">M     </v>
      </c>
      <c r="E470" s="820">
        <v>1.05</v>
      </c>
      <c r="F470" s="755">
        <f>IF($A470="INSUMO",VLOOKUP($B470,'BANCO DE DADOS JANEIRO-24 INS'!$A:$D,4,FALSE),VLOOKUP($B470,'BANCO DE DADOS JANEIRO-24 SERV'!$B:$E,4,FALSE))</f>
        <v>25.01</v>
      </c>
      <c r="G470" s="840">
        <f>TRUNC(F470*E470,2)</f>
        <v>26.26</v>
      </c>
    </row>
    <row r="471" spans="1:8" s="308" customFormat="1" ht="15.75">
      <c r="B471" s="2408" t="s">
        <v>166</v>
      </c>
      <c r="C471" s="2409"/>
      <c r="D471" s="2409"/>
      <c r="E471" s="2409"/>
      <c r="F471" s="2409"/>
      <c r="G471" s="2410"/>
    </row>
    <row r="472" spans="1:8" s="308" customFormat="1" ht="15.75">
      <c r="A472" s="333" t="s">
        <v>391</v>
      </c>
      <c r="B472" s="841">
        <v>88264</v>
      </c>
      <c r="C472" s="728" t="str">
        <f>IF($A472="INSUMO",VLOOKUP($B472,'BANCO DE DADOS JANEIRO-24 INS'!$A:$D,2,FALSE),VLOOKUP($B472,'BANCO DE DADOS JANEIRO-24 SERV'!$B:$E,2,FALSE))</f>
        <v>ELETRICISTA COM ENCARGOS COMPLEMENTARES</v>
      </c>
      <c r="D472" s="732" t="str">
        <f>IF($A472="INSUMO",VLOOKUP($B472,'BANCO DE DADOS JANEIRO-24 INS'!$A:$D,3,FALSE),VLOOKUP($B472,'BANCO DE DADOS JANEIRO-24 SERV'!$B:$E,3,FALSE))</f>
        <v>H</v>
      </c>
      <c r="E472" s="820">
        <v>0.75</v>
      </c>
      <c r="F472" s="755">
        <f>IF($A472="INSUMO",VLOOKUP($B472,'BANCO DE DADOS JANEIRO-24 INS'!$A:$D,4,FALSE),VLOOKUP($B472,'BANCO DE DADOS JANEIRO-24 SERV'!$B:$E,4,FALSE))</f>
        <v>26.68</v>
      </c>
      <c r="G472" s="840">
        <f>TRUNC(F472*E472,2)</f>
        <v>20.010000000000002</v>
      </c>
    </row>
    <row r="473" spans="1:8" s="308" customFormat="1" ht="16.5" thickBot="1">
      <c r="A473" s="333" t="s">
        <v>391</v>
      </c>
      <c r="B473" s="625">
        <v>88316</v>
      </c>
      <c r="C473" s="731" t="str">
        <f>IF($A473="INSUMO",VLOOKUP($B473,'BANCO DE DADOS JANEIRO-24 INS'!$A:$D,2,FALSE),VLOOKUP($B473,'BANCO DE DADOS JANEIRO-24 SERV'!$B:$E,2,FALSE))</f>
        <v>SERVENTE COM ENCARGOS COMPLEMENTARES</v>
      </c>
      <c r="D473" s="729" t="str">
        <f>IF($A473="INSUMO",VLOOKUP($B473,'BANCO DE DADOS JANEIRO-24 INS'!$A:$D,3,FALSE),VLOOKUP($B473,'BANCO DE DADOS JANEIRO-24 SERV'!$B:$E,3,FALSE))</f>
        <v>H</v>
      </c>
      <c r="E473" s="850">
        <v>0.75</v>
      </c>
      <c r="F473" s="757">
        <f>IF($A473="INSUMO",VLOOKUP($B473,'BANCO DE DADOS JANEIRO-24 INS'!$A:$D,4,FALSE),VLOOKUP($B473,'BANCO DE DADOS JANEIRO-24 SERV'!$B:$E,4,FALSE))</f>
        <v>20.32</v>
      </c>
      <c r="G473" s="626">
        <f>TRUNC(F473*E473,2)</f>
        <v>15.24</v>
      </c>
    </row>
    <row r="474" spans="1:8" s="308" customFormat="1" ht="16.5" thickBot="1">
      <c r="B474" s="2404" t="s">
        <v>7289</v>
      </c>
      <c r="C474" s="2404"/>
      <c r="D474" s="2404"/>
      <c r="E474" s="2422"/>
      <c r="F474" s="325" t="s">
        <v>167</v>
      </c>
      <c r="G474" s="326">
        <f>SUM(G469:G473)</f>
        <v>61.510000000000005</v>
      </c>
    </row>
    <row r="475" spans="1:8" s="308" customFormat="1" ht="15.75" thickBot="1"/>
    <row r="476" spans="1:8" s="308" customFormat="1" ht="41.25" customHeight="1">
      <c r="B476" s="623" t="str">
        <f>IF(COUNT($H$17:H476)&lt;10,CONCATENATE("CPU IP 00",COUNT($H$17:H476)),CONCATENATE("CPU IP 0",COUNT($H$17:H476)))</f>
        <v>CPU IP 033</v>
      </c>
      <c r="C476" s="2180" t="str">
        <f>CONCATENATE("FORNECIMENTO E INSTALAÇÃO DE ",C479)</f>
        <v xml:space="preserve">FORNECIMENTO E INSTALAÇÃO DE ELETRODUTO EM ACO GALVANIZADO ELETROLITICO, SEMI-PESADO, DIAMETRO 1 1/2", PAREDE DE 1,20 MM                                                                                                                                                                                                                                                                                                                                                                                                               </v>
      </c>
      <c r="D476" s="2181"/>
      <c r="E476" s="2181"/>
      <c r="F476" s="2181"/>
      <c r="G476" s="624" t="s">
        <v>21</v>
      </c>
      <c r="H476" s="615">
        <f>G483</f>
        <v>61.93</v>
      </c>
    </row>
    <row r="477" spans="1:8" s="308" customFormat="1" ht="31.5">
      <c r="B477" s="750" t="s">
        <v>197</v>
      </c>
      <c r="C477" s="751" t="s">
        <v>161</v>
      </c>
      <c r="D477" s="826" t="s">
        <v>22</v>
      </c>
      <c r="E477" s="751" t="s">
        <v>162</v>
      </c>
      <c r="F477" s="752" t="s">
        <v>163</v>
      </c>
      <c r="G477" s="753" t="s">
        <v>164</v>
      </c>
    </row>
    <row r="478" spans="1:8" s="308" customFormat="1" ht="15.75">
      <c r="B478" s="2408" t="s">
        <v>165</v>
      </c>
      <c r="C478" s="2409"/>
      <c r="D478" s="2409"/>
      <c r="E478" s="2409"/>
      <c r="F478" s="2409"/>
      <c r="G478" s="2410"/>
    </row>
    <row r="479" spans="1:8" s="308" customFormat="1" ht="30">
      <c r="A479" s="333" t="s">
        <v>390</v>
      </c>
      <c r="B479" s="841">
        <v>21130</v>
      </c>
      <c r="C479" s="728" t="str">
        <f>IF($A479="INSUMO",VLOOKUP($B479,'BANCO DE DADOS JANEIRO-24 INS'!$A:$D,2,FALSE),VLOOKUP($B479,'BANCO DE DADOS JANEIRO-24 SERV'!$B:$E,2,FALSE))</f>
        <v xml:space="preserve">ELETRODUTO EM ACO GALVANIZADO ELETROLITICO, SEMI-PESADO, DIAMETRO 1 1/2", PAREDE DE 1,20 MM                                                                                                                                                                                                                                                                                                                                                                                                               </v>
      </c>
      <c r="D479" s="732" t="str">
        <f>IF($A479="INSUMO",VLOOKUP($B479,'BANCO DE DADOS JANEIRO-24 INS'!$A:$D,3,FALSE),VLOOKUP($B479,'BANCO DE DADOS JANEIRO-24 SERV'!$B:$E,3,FALSE))</f>
        <v xml:space="preserve">M     </v>
      </c>
      <c r="E479" s="820">
        <v>1.05</v>
      </c>
      <c r="F479" s="755">
        <f>IF($A479="INSUMO",VLOOKUP($B479,'BANCO DE DADOS JANEIRO-24 INS'!$A:$D,4,FALSE),VLOOKUP($B479,'BANCO DE DADOS JANEIRO-24 SERV'!$B:$E,4,FALSE))</f>
        <v>25.41</v>
      </c>
      <c r="G479" s="840">
        <f>TRUNC(F479*E479,2)</f>
        <v>26.68</v>
      </c>
    </row>
    <row r="480" spans="1:8" s="308" customFormat="1" ht="15.75">
      <c r="B480" s="2408" t="s">
        <v>166</v>
      </c>
      <c r="C480" s="2409"/>
      <c r="D480" s="2409"/>
      <c r="E480" s="2409"/>
      <c r="F480" s="2409"/>
      <c r="G480" s="2410"/>
    </row>
    <row r="481" spans="1:8" s="308" customFormat="1" ht="15.75">
      <c r="A481" s="333" t="s">
        <v>391</v>
      </c>
      <c r="B481" s="841">
        <v>88264</v>
      </c>
      <c r="C481" s="728" t="str">
        <f>IF($A481="INSUMO",VLOOKUP($B481,'BANCO DE DADOS JANEIRO-24 INS'!$A:$D,2,FALSE),VLOOKUP($B481,'BANCO DE DADOS JANEIRO-24 SERV'!$B:$E,2,FALSE))</f>
        <v>ELETRICISTA COM ENCARGOS COMPLEMENTARES</v>
      </c>
      <c r="D481" s="732" t="str">
        <f>IF($A481="INSUMO",VLOOKUP($B481,'BANCO DE DADOS JANEIRO-24 INS'!$A:$D,3,FALSE),VLOOKUP($B481,'BANCO DE DADOS JANEIRO-24 SERV'!$B:$E,3,FALSE))</f>
        <v>H</v>
      </c>
      <c r="E481" s="820">
        <v>0.75</v>
      </c>
      <c r="F481" s="755">
        <f>IF($A481="INSUMO",VLOOKUP($B481,'BANCO DE DADOS JANEIRO-24 INS'!$A:$D,4,FALSE),VLOOKUP($B481,'BANCO DE DADOS JANEIRO-24 SERV'!$B:$E,4,FALSE))</f>
        <v>26.68</v>
      </c>
      <c r="G481" s="840">
        <f>TRUNC(F481*E481,2)</f>
        <v>20.010000000000002</v>
      </c>
    </row>
    <row r="482" spans="1:8" s="308" customFormat="1" ht="16.5" thickBot="1">
      <c r="A482" s="333" t="s">
        <v>391</v>
      </c>
      <c r="B482" s="625">
        <v>88316</v>
      </c>
      <c r="C482" s="731" t="str">
        <f>IF($A482="INSUMO",VLOOKUP($B482,'BANCO DE DADOS JANEIRO-24 INS'!$A:$D,2,FALSE),VLOOKUP($B482,'BANCO DE DADOS JANEIRO-24 SERV'!$B:$E,2,FALSE))</f>
        <v>SERVENTE COM ENCARGOS COMPLEMENTARES</v>
      </c>
      <c r="D482" s="729" t="str">
        <f>IF($A482="INSUMO",VLOOKUP($B482,'BANCO DE DADOS JANEIRO-24 INS'!$A:$D,3,FALSE),VLOOKUP($B482,'BANCO DE DADOS JANEIRO-24 SERV'!$B:$E,3,FALSE))</f>
        <v>H</v>
      </c>
      <c r="E482" s="850">
        <v>0.75</v>
      </c>
      <c r="F482" s="757">
        <f>IF($A482="INSUMO",VLOOKUP($B482,'BANCO DE DADOS JANEIRO-24 INS'!$A:$D,4,FALSE),VLOOKUP($B482,'BANCO DE DADOS JANEIRO-24 SERV'!$B:$E,4,FALSE))</f>
        <v>20.32</v>
      </c>
      <c r="G482" s="626">
        <f>TRUNC(F482*E482,2)</f>
        <v>15.24</v>
      </c>
    </row>
    <row r="483" spans="1:8" s="308" customFormat="1" ht="16.5" thickBot="1">
      <c r="B483" s="2404" t="s">
        <v>7289</v>
      </c>
      <c r="C483" s="2404"/>
      <c r="D483" s="2404"/>
      <c r="E483" s="2422"/>
      <c r="F483" s="325" t="s">
        <v>167</v>
      </c>
      <c r="G483" s="326">
        <f>SUM(G478:G482)</f>
        <v>61.93</v>
      </c>
    </row>
    <row r="484" spans="1:8" s="308" customFormat="1" ht="15.75" thickBot="1"/>
    <row r="485" spans="1:8" ht="36.75" customHeight="1">
      <c r="A485" s="308"/>
      <c r="B485" s="623" t="str">
        <f>IF(COUNT($H$17:H485)&lt;10,CONCATENATE("CPU IP 00",COUNT($H$17:H485)),CONCATENATE("CPU IP 0",COUNT($H$17:H485)))</f>
        <v>CPU IP 034</v>
      </c>
      <c r="C485" s="2180" t="s">
        <v>1871</v>
      </c>
      <c r="D485" s="2181"/>
      <c r="E485" s="2181"/>
      <c r="F485" s="2181"/>
      <c r="G485" s="624" t="s">
        <v>22</v>
      </c>
      <c r="H485" s="619">
        <f>G522</f>
        <v>7483.3600000000006</v>
      </c>
    </row>
    <row r="486" spans="1:8" ht="31.5">
      <c r="A486" s="308"/>
      <c r="B486" s="750" t="s">
        <v>173</v>
      </c>
      <c r="C486" s="751" t="s">
        <v>161</v>
      </c>
      <c r="D486" s="826" t="s">
        <v>22</v>
      </c>
      <c r="E486" s="751" t="s">
        <v>162</v>
      </c>
      <c r="F486" s="752" t="s">
        <v>163</v>
      </c>
      <c r="G486" s="753" t="s">
        <v>164</v>
      </c>
    </row>
    <row r="487" spans="1:8" ht="15.75">
      <c r="A487" s="308"/>
      <c r="B487" s="2429" t="s">
        <v>165</v>
      </c>
      <c r="C487" s="2430"/>
      <c r="D487" s="2430"/>
      <c r="E487" s="2430"/>
      <c r="F487" s="2430"/>
      <c r="G487" s="2431"/>
    </row>
    <row r="488" spans="1:8" ht="30">
      <c r="A488" s="333" t="s">
        <v>390</v>
      </c>
      <c r="B488" s="876">
        <v>34519</v>
      </c>
      <c r="C488" s="728" t="str">
        <f>IF($A488="INSUMO",VLOOKUP($B488,'BANCO DE DADOS JANEIRO-24 INS'!$A:$D,2,FALSE),VLOOKUP($B488,'BANCO DE DADOS JANEIRO-24 SERV'!$B:$E,2,FALSE))</f>
        <v xml:space="preserve">CRUZETA DE CONCRETO LEVE, COMP. 2000 MM SECAO, 90 X 90 MM                                                                                                                                                                                                                                                                                                                                                                                                                                                 </v>
      </c>
      <c r="D488" s="732" t="str">
        <f>IF($A488="INSUMO",VLOOKUP($B488,'BANCO DE DADOS JANEIRO-24 INS'!$A:$D,3,FALSE),VLOOKUP($B488,'BANCO DE DADOS JANEIRO-24 SERV'!$B:$E,3,FALSE))</f>
        <v xml:space="preserve">UN    </v>
      </c>
      <c r="E488" s="846">
        <v>3</v>
      </c>
      <c r="F488" s="755">
        <f>IF($A488="INSUMO",VLOOKUP($B488,'BANCO DE DADOS JANEIRO-24 INS'!$A:$D,4,FALSE),VLOOKUP($B488,'BANCO DE DADOS JANEIRO-24 SERV'!$B:$E,4,FALSE))</f>
        <v>80.41</v>
      </c>
      <c r="G488" s="848">
        <f t="shared" ref="G488:G517" si="1">TRUNC(F488*E488,2)</f>
        <v>241.23</v>
      </c>
    </row>
    <row r="489" spans="1:8" ht="15.75">
      <c r="A489" s="333"/>
      <c r="B489" s="875" t="str">
        <f>B524</f>
        <v>COT-01</v>
      </c>
      <c r="C489" s="851" t="str">
        <f>C524</f>
        <v>MÃO FRANCESA PLANA 619MM</v>
      </c>
      <c r="D489" s="861" t="str">
        <f>G524</f>
        <v>UN</v>
      </c>
      <c r="E489" s="846">
        <v>5</v>
      </c>
      <c r="F489" s="755">
        <f>D529</f>
        <v>20.7</v>
      </c>
      <c r="G489" s="848">
        <f t="shared" si="1"/>
        <v>103.5</v>
      </c>
    </row>
    <row r="490" spans="1:8" ht="30">
      <c r="A490" s="333" t="s">
        <v>390</v>
      </c>
      <c r="B490" s="876">
        <v>430</v>
      </c>
      <c r="C490" s="728" t="str">
        <f>IF($A490="INSUMO",VLOOKUP($B490,'BANCO DE DADOS JANEIRO-24 INS'!$A:$D,2,FALSE),VLOOKUP($B490,'BANCO DE DADOS JANEIRO-24 SERV'!$B:$E,2,FALSE))</f>
        <v xml:space="preserve">PARAFUSO M16 EM ACO GALVANIZADO, COMPRIMENTO = 125 MM, DIAMETRO = 16 MM, ROSCA MAQUINA, CABECA QUADRADA                                                                                                                                                                                                                                                                                                                                                                                                   </v>
      </c>
      <c r="D490" s="732" t="str">
        <f>IF($A490="INSUMO",VLOOKUP($B490,'BANCO DE DADOS JANEIRO-24 INS'!$A:$D,3,FALSE),VLOOKUP($B490,'BANCO DE DADOS JANEIRO-24 SERV'!$B:$E,3,FALSE))</f>
        <v xml:space="preserve">UN    </v>
      </c>
      <c r="E490" s="846">
        <v>6</v>
      </c>
      <c r="F490" s="755">
        <f>IF($A490="INSUMO",VLOOKUP($B490,'BANCO DE DADOS JANEIRO-24 INS'!$A:$D,4,FALSE),VLOOKUP($B490,'BANCO DE DADOS JANEIRO-24 SERV'!$B:$E,4,FALSE))</f>
        <v>11.85</v>
      </c>
      <c r="G490" s="848">
        <f t="shared" si="1"/>
        <v>71.099999999999994</v>
      </c>
    </row>
    <row r="491" spans="1:8" ht="30">
      <c r="A491" s="333" t="s">
        <v>390</v>
      </c>
      <c r="B491" s="876">
        <v>379</v>
      </c>
      <c r="C491" s="728" t="str">
        <f>IF($A491="INSUMO",VLOOKUP($B491,'BANCO DE DADOS JANEIRO-24 INS'!$A:$D,2,FALSE),VLOOKUP($B491,'BANCO DE DADOS JANEIRO-24 SERV'!$B:$E,2,FALSE))</f>
        <v xml:space="preserve">ARRUELA QUADRADA EM ACO GALVANIZADO, DIMENSAO = 38 MM, ESPESSURA = 3MM, DIAMETRO DO FURO= 18 MM                                                                                                                                                                                                                                                                                                                                                                                                           </v>
      </c>
      <c r="D491" s="732" t="str">
        <f>IF($A491="INSUMO",VLOOKUP($B491,'BANCO DE DADOS JANEIRO-24 INS'!$A:$D,3,FALSE),VLOOKUP($B491,'BANCO DE DADOS JANEIRO-24 SERV'!$B:$E,3,FALSE))</f>
        <v xml:space="preserve">UN    </v>
      </c>
      <c r="E491" s="846">
        <v>19</v>
      </c>
      <c r="F491" s="755">
        <f>IF($A491="INSUMO",VLOOKUP($B491,'BANCO DE DADOS JANEIRO-24 INS'!$A:$D,4,FALSE),VLOOKUP($B491,'BANCO DE DADOS JANEIRO-24 SERV'!$B:$E,4,FALSE))</f>
        <v>1.57</v>
      </c>
      <c r="G491" s="848">
        <f t="shared" si="1"/>
        <v>29.83</v>
      </c>
    </row>
    <row r="492" spans="1:8" ht="15.75">
      <c r="A492" s="333" t="s">
        <v>390</v>
      </c>
      <c r="B492" s="876">
        <v>421</v>
      </c>
      <c r="C492" s="728" t="str">
        <f>IF($A492="INSUMO",VLOOKUP($B492,'BANCO DE DADOS JANEIRO-24 INS'!$A:$D,2,FALSE),VLOOKUP($B492,'BANCO DE DADOS JANEIRO-24 SERV'!$B:$E,2,FALSE))</f>
        <v xml:space="preserve">PORCA OLHAL M 16,  EM ACO GALVANIZADO, DIAMETRO = 16 MM                                                                                                                                                                                                                                                                                                                                                                                                                                                   </v>
      </c>
      <c r="D492" s="732" t="str">
        <f>IF($A492="INSUMO",VLOOKUP($B492,'BANCO DE DADOS JANEIRO-24 INS'!$A:$D,3,FALSE),VLOOKUP($B492,'BANCO DE DADOS JANEIRO-24 SERV'!$B:$E,3,FALSE))</f>
        <v xml:space="preserve">UN    </v>
      </c>
      <c r="E492" s="846">
        <v>3</v>
      </c>
      <c r="F492" s="755">
        <f>IF($A492="INSUMO",VLOOKUP($B492,'BANCO DE DADOS JANEIRO-24 INS'!$A:$D,4,FALSE),VLOOKUP($B492,'BANCO DE DADOS JANEIRO-24 SERV'!$B:$E,4,FALSE))</f>
        <v>23.07</v>
      </c>
      <c r="G492" s="848">
        <f t="shared" si="1"/>
        <v>69.209999999999994</v>
      </c>
    </row>
    <row r="493" spans="1:8" ht="30">
      <c r="A493" s="333" t="s">
        <v>390</v>
      </c>
      <c r="B493" s="876">
        <v>3405</v>
      </c>
      <c r="C493" s="728" t="str">
        <f>IF($A493="INSUMO",VLOOKUP($B493,'BANCO DE DADOS JANEIRO-24 INS'!$A:$D,2,FALSE),VLOOKUP($B493,'BANCO DE DADOS JANEIRO-24 SERV'!$B:$E,2,FALSE))</f>
        <v xml:space="preserve">ISOLADOR DE PORCELANA SUSPENSO, DISCO TIPO GARFO OLHAL, DIAMETRO DE 152 MM, PARA TENSAO DE *15* KV                                                                                                                                                                                                                                                                                                                                                                                                        </v>
      </c>
      <c r="D493" s="732" t="str">
        <f>IF($A493="INSUMO",VLOOKUP($B493,'BANCO DE DADOS JANEIRO-24 INS'!$A:$D,3,FALSE),VLOOKUP($B493,'BANCO DE DADOS JANEIRO-24 SERV'!$B:$E,3,FALSE))</f>
        <v xml:space="preserve">UN    </v>
      </c>
      <c r="E493" s="846">
        <v>9</v>
      </c>
      <c r="F493" s="755">
        <f>IF($A493="INSUMO",VLOOKUP($B493,'BANCO DE DADOS JANEIRO-24 INS'!$A:$D,4,FALSE),VLOOKUP($B493,'BANCO DE DADOS JANEIRO-24 SERV'!$B:$E,4,FALSE))</f>
        <v>101.83</v>
      </c>
      <c r="G493" s="848">
        <f t="shared" si="1"/>
        <v>916.47</v>
      </c>
    </row>
    <row r="494" spans="1:8" ht="30">
      <c r="A494" s="333" t="s">
        <v>390</v>
      </c>
      <c r="B494" s="876">
        <v>402</v>
      </c>
      <c r="C494" s="728" t="str">
        <f>IF($A494="INSUMO",VLOOKUP($B494,'BANCO DE DADOS JANEIRO-24 INS'!$A:$D,2,FALSE),VLOOKUP($B494,'BANCO DE DADOS JANEIRO-24 SERV'!$B:$E,2,FALSE))</f>
        <v xml:space="preserve">GANCHO OLHAL EM ACO GALVANIZADO, ESPESSURA 16MM, ABERTURA 21MM                                                                                                                                                                                                                                                                                                                                                                                                                                            </v>
      </c>
      <c r="D494" s="732" t="str">
        <f>IF($A494="INSUMO",VLOOKUP($B494,'BANCO DE DADOS JANEIRO-24 INS'!$A:$D,3,FALSE),VLOOKUP($B494,'BANCO DE DADOS JANEIRO-24 SERV'!$B:$E,3,FALSE))</f>
        <v xml:space="preserve">UN    </v>
      </c>
      <c r="E494" s="846">
        <v>3</v>
      </c>
      <c r="F494" s="755">
        <f>IF($A494="INSUMO",VLOOKUP($B494,'BANCO DE DADOS JANEIRO-24 INS'!$A:$D,4,FALSE),VLOOKUP($B494,'BANCO DE DADOS JANEIRO-24 SERV'!$B:$E,4,FALSE))</f>
        <v>20.57</v>
      </c>
      <c r="G494" s="848">
        <f t="shared" si="1"/>
        <v>61.71</v>
      </c>
    </row>
    <row r="495" spans="1:8" ht="15.75">
      <c r="A495" s="333"/>
      <c r="B495" s="876" t="str">
        <f>B531</f>
        <v>COT-02</v>
      </c>
      <c r="C495" s="868" t="str">
        <f>C531</f>
        <v>ISOLADOR PILAR 34,5KV - EQUIVALE A 170KV</v>
      </c>
      <c r="D495" s="861" t="str">
        <f>G531</f>
        <v>UN</v>
      </c>
      <c r="E495" s="846">
        <v>1</v>
      </c>
      <c r="F495" s="755">
        <f>D536</f>
        <v>308.89999999999998</v>
      </c>
      <c r="G495" s="848">
        <f t="shared" si="1"/>
        <v>308.89999999999998</v>
      </c>
    </row>
    <row r="496" spans="1:8" ht="15.75">
      <c r="A496" s="333"/>
      <c r="B496" s="876" t="str">
        <f>B538</f>
        <v>COT-03</v>
      </c>
      <c r="C496" s="868" t="str">
        <f>C538</f>
        <v xml:space="preserve"> PINO AUTO-TRAVANTE –140 MM PARA ISOLADOR PILAR; </v>
      </c>
      <c r="D496" s="861" t="str">
        <f>G538</f>
        <v>UN</v>
      </c>
      <c r="E496" s="846">
        <v>1</v>
      </c>
      <c r="F496" s="755">
        <f>D543</f>
        <v>17</v>
      </c>
      <c r="G496" s="848">
        <f t="shared" si="1"/>
        <v>17</v>
      </c>
    </row>
    <row r="497" spans="1:7" ht="30">
      <c r="A497" s="333" t="s">
        <v>391</v>
      </c>
      <c r="B497" s="876">
        <v>102137</v>
      </c>
      <c r="C497" s="728" t="str">
        <f>IF($A497="INSUMO",VLOOKUP($B497,'BANCO DE DADOS JANEIRO-24 INS'!$A:$D,2,FALSE),VLOOKUP($B497,'BANCO DE DADOS JANEIRO-24 SERV'!$B:$E,2,FALSE))</f>
        <v>CHAVE DE BOIA AUTOMÁTICA SUPERIOR/INFERIOR 15A/250V - FORNECIMENTO E INSTALAÇÃO. AF_12/2020</v>
      </c>
      <c r="D497" s="732" t="str">
        <f>IF($A497="INSUMO",VLOOKUP($B497,'BANCO DE DADOS JANEIRO-24 INS'!$A:$D,3,FALSE),VLOOKUP($B497,'BANCO DE DADOS JANEIRO-24 SERV'!$B:$E,3,FALSE))</f>
        <v>UN</v>
      </c>
      <c r="E497" s="846">
        <v>3</v>
      </c>
      <c r="F497" s="755">
        <f>IF($A497="INSUMO",VLOOKUP($B497,'BANCO DE DADOS JANEIRO-24 INS'!$A:$D,4,FALSE),VLOOKUP($B497,'BANCO DE DADOS JANEIRO-24 SERV'!$B:$E,4,FALSE))</f>
        <v>86.58</v>
      </c>
      <c r="G497" s="848">
        <f t="shared" si="1"/>
        <v>259.74</v>
      </c>
    </row>
    <row r="498" spans="1:7" ht="15.75">
      <c r="A498" s="333"/>
      <c r="B498" s="875" t="str">
        <f>B545</f>
        <v>COT-04</v>
      </c>
      <c r="C498" s="851" t="str">
        <f>C545</f>
        <v>ELO FUSÍVEL DE ALTA TENSÃO 1H</v>
      </c>
      <c r="D498" s="861" t="s">
        <v>22</v>
      </c>
      <c r="E498" s="846">
        <v>3</v>
      </c>
      <c r="F498" s="755">
        <f>D550</f>
        <v>3.39</v>
      </c>
      <c r="G498" s="848">
        <f t="shared" si="1"/>
        <v>10.17</v>
      </c>
    </row>
    <row r="499" spans="1:7" ht="30">
      <c r="A499" s="333" t="s">
        <v>390</v>
      </c>
      <c r="B499" s="877">
        <v>4276</v>
      </c>
      <c r="C499" s="728" t="str">
        <f>IF($A499="INSUMO",VLOOKUP($B499,'BANCO DE DADOS JANEIRO-24 INS'!$A:$D,2,FALSE),VLOOKUP($B499,'BANCO DE DADOS JANEIRO-24 SERV'!$B:$E,2,FALSE))</f>
        <v xml:space="preserve">PARA-RAIOS DE DISTRIBUICAO, TENSAO NOMINAL 15 KV, CORRENTE NOMINAL DE DESCARGA 5 KA                                                                                                                                                                                                                                                                                                                                                                                                                       </v>
      </c>
      <c r="D499" s="732" t="str">
        <f>IF($A499="INSUMO",VLOOKUP($B499,'BANCO DE DADOS JANEIRO-24 INS'!$A:$D,3,FALSE),VLOOKUP($B499,'BANCO DE DADOS JANEIRO-24 SERV'!$B:$E,3,FALSE))</f>
        <v xml:space="preserve">UN    </v>
      </c>
      <c r="E499" s="819">
        <v>3</v>
      </c>
      <c r="F499" s="755">
        <f>IF($A499="INSUMO",VLOOKUP($B499,'BANCO DE DADOS JANEIRO-24 INS'!$A:$D,4,FALSE),VLOOKUP($B499,'BANCO DE DADOS JANEIRO-24 SERV'!$B:$E,4,FALSE))</f>
        <v>236.5</v>
      </c>
      <c r="G499" s="848">
        <f t="shared" si="1"/>
        <v>709.5</v>
      </c>
    </row>
    <row r="500" spans="1:7" ht="30">
      <c r="A500" s="333" t="s">
        <v>390</v>
      </c>
      <c r="B500" s="877">
        <v>431</v>
      </c>
      <c r="C500" s="728" t="str">
        <f>IF($A500="INSUMO",VLOOKUP($B500,'BANCO DE DADOS JANEIRO-24 INS'!$A:$D,2,FALSE),VLOOKUP($B500,'BANCO DE DADOS JANEIRO-24 SERV'!$B:$E,2,FALSE))</f>
        <v xml:space="preserve">PARAFUSO M16 EM ACO GALVANIZADO, COMPRIMENTO = 200 MM, DIAMETRO = 16 MM, ROSCA MAQUINA, CABECA QUADRADA                                                                                                                                                                                                                                                                                                                                                                                                   </v>
      </c>
      <c r="D500" s="732" t="str">
        <f>IF($A500="INSUMO",VLOOKUP($B500,'BANCO DE DADOS JANEIRO-24 INS'!$A:$D,3,FALSE),VLOOKUP($B500,'BANCO DE DADOS JANEIRO-24 SERV'!$B:$E,3,FALSE))</f>
        <v xml:space="preserve">UN    </v>
      </c>
      <c r="E500" s="819">
        <v>2</v>
      </c>
      <c r="F500" s="755">
        <f>IF($A500="INSUMO",VLOOKUP($B500,'BANCO DE DADOS JANEIRO-24 INS'!$A:$D,4,FALSE),VLOOKUP($B500,'BANCO DE DADOS JANEIRO-24 SERV'!$B:$E,4,FALSE))</f>
        <v>15.75</v>
      </c>
      <c r="G500" s="848">
        <f t="shared" si="1"/>
        <v>31.5</v>
      </c>
    </row>
    <row r="501" spans="1:7" ht="30">
      <c r="A501" s="333" t="s">
        <v>390</v>
      </c>
      <c r="B501" s="877">
        <v>429</v>
      </c>
      <c r="C501" s="728" t="str">
        <f>IF($A501="INSUMO",VLOOKUP($B501,'BANCO DE DADOS JANEIRO-24 INS'!$A:$D,2,FALSE),VLOOKUP($B501,'BANCO DE DADOS JANEIRO-24 SERV'!$B:$E,2,FALSE))</f>
        <v xml:space="preserve">PARAFUSO M16 EM ACO GALVANIZADO, COMPRIMENTO = 300 MM, DIAMETRO = 16 MM, ROSCA DUPLA                                                                                                                                                                                                                                                                                                                                                                                                                      </v>
      </c>
      <c r="D501" s="732" t="str">
        <f>IF($A501="INSUMO",VLOOKUP($B501,'BANCO DE DADOS JANEIRO-24 INS'!$A:$D,3,FALSE),VLOOKUP($B501,'BANCO DE DADOS JANEIRO-24 SERV'!$B:$E,3,FALSE))</f>
        <v xml:space="preserve">UN    </v>
      </c>
      <c r="E501" s="819">
        <v>5</v>
      </c>
      <c r="F501" s="755">
        <f>IF($A501="INSUMO",VLOOKUP($B501,'BANCO DE DADOS JANEIRO-24 INS'!$A:$D,4,FALSE),VLOOKUP($B501,'BANCO DE DADOS JANEIRO-24 SERV'!$B:$E,4,FALSE))</f>
        <v>23.43</v>
      </c>
      <c r="G501" s="848">
        <f t="shared" si="1"/>
        <v>117.15</v>
      </c>
    </row>
    <row r="502" spans="1:7" ht="30">
      <c r="A502" s="333" t="s">
        <v>390</v>
      </c>
      <c r="B502" s="877">
        <v>437</v>
      </c>
      <c r="C502" s="728" t="str">
        <f>IF($A502="INSUMO",VLOOKUP($B502,'BANCO DE DADOS JANEIRO-24 INS'!$A:$D,2,FALSE),VLOOKUP($B502,'BANCO DE DADOS JANEIRO-24 SERV'!$B:$E,2,FALSE))</f>
        <v xml:space="preserve">PARAFUSO M16 EM ACO GALVANIZADO, COMPRIMENTO = 400 MM, DIAMETRO = 16 MM, ROSCA DUPLA                                                                                                                                                                                                                                                                                                                                                                                                                      </v>
      </c>
      <c r="D502" s="732" t="str">
        <f>IF($A502="INSUMO",VLOOKUP($B502,'BANCO DE DADOS JANEIRO-24 INS'!$A:$D,3,FALSE),VLOOKUP($B502,'BANCO DE DADOS JANEIRO-24 SERV'!$B:$E,3,FALSE))</f>
        <v xml:space="preserve">UN    </v>
      </c>
      <c r="E502" s="819">
        <v>3</v>
      </c>
      <c r="F502" s="755">
        <f>IF($A502="INSUMO",VLOOKUP($B502,'BANCO DE DADOS JANEIRO-24 INS'!$A:$D,4,FALSE),VLOOKUP($B502,'BANCO DE DADOS JANEIRO-24 SERV'!$B:$E,4,FALSE))</f>
        <v>30.97</v>
      </c>
      <c r="G502" s="848">
        <f t="shared" si="1"/>
        <v>92.91</v>
      </c>
    </row>
    <row r="503" spans="1:7" ht="15.75">
      <c r="A503" s="333"/>
      <c r="B503" s="876" t="str">
        <f>B559</f>
        <v>COT-06</v>
      </c>
      <c r="C503" s="851" t="str">
        <f>C559</f>
        <v>PROTETOR DE BUCHA DE TRANSFORMADOR AT 15KV</v>
      </c>
      <c r="D503" s="861" t="s">
        <v>22</v>
      </c>
      <c r="E503" s="846">
        <v>6</v>
      </c>
      <c r="F503" s="755">
        <f>D564</f>
        <v>15.16</v>
      </c>
      <c r="G503" s="848">
        <f t="shared" si="1"/>
        <v>90.96</v>
      </c>
    </row>
    <row r="504" spans="1:7" ht="30">
      <c r="A504" s="333" t="s">
        <v>390</v>
      </c>
      <c r="B504" s="877">
        <v>7576</v>
      </c>
      <c r="C504" s="728" t="str">
        <f>IF($A504="INSUMO",VLOOKUP($B504,'BANCO DE DADOS JANEIRO-24 INS'!$A:$D,2,FALSE),VLOOKUP($B504,'BANCO DE DADOS JANEIRO-24 SERV'!$B:$E,2,FALSE))</f>
        <v xml:space="preserve">SUPORTE EM ACO GALVANIZADO PARA TRANSFORMADOR PARA POSTE DUPLO T 185 X 95 MM, CHAPA DE 5/16"                                                                                                                                                                                                                                                                                                                                                                                                              </v>
      </c>
      <c r="D504" s="732" t="str">
        <f>IF($A504="INSUMO",VLOOKUP($B504,'BANCO DE DADOS JANEIRO-24 INS'!$A:$D,3,FALSE),VLOOKUP($B504,'BANCO DE DADOS JANEIRO-24 SERV'!$B:$E,3,FALSE))</f>
        <v xml:space="preserve">UN    </v>
      </c>
      <c r="E504" s="819">
        <v>2</v>
      </c>
      <c r="F504" s="755">
        <f>IF($A504="INSUMO",VLOOKUP($B504,'BANCO DE DADOS JANEIRO-24 INS'!$A:$D,4,FALSE),VLOOKUP($B504,'BANCO DE DADOS JANEIRO-24 SERV'!$B:$E,4,FALSE))</f>
        <v>239.93</v>
      </c>
      <c r="G504" s="848">
        <f t="shared" si="1"/>
        <v>479.86</v>
      </c>
    </row>
    <row r="505" spans="1:7" ht="30">
      <c r="A505" s="333"/>
      <c r="B505" s="875" t="str">
        <f>B608</f>
        <v>COT-13</v>
      </c>
      <c r="C505" s="872" t="str">
        <f>C608</f>
        <v>CABO DE ALUMÍNIO CA, COBERTO COM POLIETILENO RETICULADO (XLPE) 8,7/15kV, 16MM²</v>
      </c>
      <c r="D505" s="870" t="s">
        <v>21</v>
      </c>
      <c r="E505" s="819">
        <v>12</v>
      </c>
      <c r="F505" s="871">
        <f>D613</f>
        <v>23.53</v>
      </c>
      <c r="G505" s="848">
        <f t="shared" si="1"/>
        <v>282.36</v>
      </c>
    </row>
    <row r="506" spans="1:7" ht="15.75">
      <c r="A506" s="333"/>
      <c r="B506" s="875" t="str">
        <f>B566</f>
        <v>COT-07</v>
      </c>
      <c r="C506" s="872" t="str">
        <f>C566</f>
        <v>MANILHA SAPATILHA</v>
      </c>
      <c r="D506" s="861" t="str">
        <f>G566</f>
        <v>UN</v>
      </c>
      <c r="E506" s="846">
        <v>3</v>
      </c>
      <c r="F506" s="755">
        <f>D571</f>
        <v>21.64</v>
      </c>
      <c r="G506" s="848">
        <f t="shared" si="1"/>
        <v>64.92</v>
      </c>
    </row>
    <row r="507" spans="1:7" ht="30">
      <c r="A507" s="333" t="s">
        <v>390</v>
      </c>
      <c r="B507" s="877">
        <v>11272</v>
      </c>
      <c r="C507" s="728" t="str">
        <f>IF($A507="INSUMO",VLOOKUP($B507,'BANCO DE DADOS JANEIRO-24 INS'!$A:$D,2,FALSE),VLOOKUP($B507,'BANCO DE DADOS JANEIRO-24 SERV'!$B:$E,2,FALSE))</f>
        <v xml:space="preserve">ALCA PREFORMADA DE DISTRIBUICAO, EM ACO GALVANIZADO, PARA CONDUTORES DE ALUMINIO AWG 2 (CAA 6/1 OU CA 7 FIOS)                                                                                                                                                                                                                                                                                                                                                                                             </v>
      </c>
      <c r="D507" s="732" t="str">
        <f>IF($A507="INSUMO",VLOOKUP($B507,'BANCO DE DADOS JANEIRO-24 INS'!$A:$D,3,FALSE),VLOOKUP($B507,'BANCO DE DADOS JANEIRO-24 SERV'!$B:$E,3,FALSE))</f>
        <v xml:space="preserve">UN    </v>
      </c>
      <c r="E507" s="819">
        <v>3</v>
      </c>
      <c r="F507" s="755">
        <f>IF($A507="INSUMO",VLOOKUP($B507,'BANCO DE DADOS JANEIRO-24 INS'!$A:$D,4,FALSE),VLOOKUP($B507,'BANCO DE DADOS JANEIRO-24 SERV'!$B:$E,4,FALSE))</f>
        <v>9.82</v>
      </c>
      <c r="G507" s="848">
        <f t="shared" si="1"/>
        <v>29.46</v>
      </c>
    </row>
    <row r="508" spans="1:7" ht="30">
      <c r="A508" s="333" t="s">
        <v>390</v>
      </c>
      <c r="B508" s="876" t="str">
        <f>B580</f>
        <v>COT-09</v>
      </c>
      <c r="C508" s="851" t="str">
        <f>C580</f>
        <v xml:space="preserve"> CONECTOR DERIVAÇÃO CUNHA ESTRIBO NORMAL 2-4 (VERMELHO);</v>
      </c>
      <c r="D508" s="869" t="str">
        <f>G580</f>
        <v>UN</v>
      </c>
      <c r="E508" s="846">
        <v>3</v>
      </c>
      <c r="F508" s="755">
        <f>D585</f>
        <v>47.4</v>
      </c>
      <c r="G508" s="848">
        <f t="shared" si="1"/>
        <v>142.19999999999999</v>
      </c>
    </row>
    <row r="509" spans="1:7" ht="15.75">
      <c r="A509" s="333"/>
      <c r="B509" s="875" t="str">
        <f>B601</f>
        <v>COT-12</v>
      </c>
      <c r="C509" s="851" t="str">
        <f>C601</f>
        <v xml:space="preserve"> CARTUCHO PARA CONECTOR CUNHA VERMELHO; </v>
      </c>
      <c r="D509" s="861" t="str">
        <f>G601</f>
        <v>UN</v>
      </c>
      <c r="E509" s="846">
        <v>3</v>
      </c>
      <c r="F509" s="755">
        <f>D606</f>
        <v>3.19</v>
      </c>
      <c r="G509" s="848">
        <f t="shared" si="1"/>
        <v>9.57</v>
      </c>
    </row>
    <row r="510" spans="1:7" ht="15.75">
      <c r="A510" s="333"/>
      <c r="B510" s="875" t="str">
        <f>B573</f>
        <v>COT-08</v>
      </c>
      <c r="C510" s="851" t="str">
        <f>C573</f>
        <v>CONECTOR DERIVAÇÃO PARA LINHA VIVA 6-250</v>
      </c>
      <c r="D510" s="861" t="s">
        <v>22</v>
      </c>
      <c r="E510" s="846">
        <v>3</v>
      </c>
      <c r="F510" s="755">
        <f>D578</f>
        <v>42.46</v>
      </c>
      <c r="G510" s="848">
        <f t="shared" si="1"/>
        <v>127.38</v>
      </c>
    </row>
    <row r="511" spans="1:7" ht="45">
      <c r="A511" s="333" t="s">
        <v>390</v>
      </c>
      <c r="B511" s="875">
        <v>3380</v>
      </c>
      <c r="C511" s="728" t="str">
        <f>IF($A511="INSUMO",VLOOKUP($B511,'BANCO DE DADOS JANEIRO-24 INS'!$A:$D,2,FALSE),VLOOKUP($B511,'BANCO DE DADOS JANEIRO-24 SERV'!$B:$E,2,FALSE))</f>
        <v xml:space="preserve">HASTE DE ATERRAMENTO EM ACO COM 3,00 M DE COMPRIMENTO E DN = 5/8", REVESTIDA COM BAIXA CAMADA DE COBRE, COM CONECTOR TIPO GRAMPO                                                                                                                                                                                                                                                                                                                                                                          </v>
      </c>
      <c r="D511" s="732" t="str">
        <f>IF($A511="INSUMO",VLOOKUP($B511,'BANCO DE DADOS JANEIRO-24 INS'!$A:$D,3,FALSE),VLOOKUP($B511,'BANCO DE DADOS JANEIRO-24 SERV'!$B:$E,3,FALSE))</f>
        <v xml:space="preserve">UN    </v>
      </c>
      <c r="E511" s="846">
        <v>3</v>
      </c>
      <c r="F511" s="755">
        <f>IF($A511="INSUMO",VLOOKUP($B511,'BANCO DE DADOS JANEIRO-24 INS'!$A:$D,4,FALSE),VLOOKUP($B511,'BANCO DE DADOS JANEIRO-24 SERV'!$B:$E,4,FALSE))</f>
        <v>68.180000000000007</v>
      </c>
      <c r="G511" s="848">
        <f t="shared" si="1"/>
        <v>204.54</v>
      </c>
    </row>
    <row r="512" spans="1:7" ht="15.75">
      <c r="A512" s="333" t="s">
        <v>390</v>
      </c>
      <c r="B512" s="876">
        <v>867</v>
      </c>
      <c r="C512" s="728" t="str">
        <f>IF($A512="INSUMO",VLOOKUP($B512,'BANCO DE DADOS JANEIRO-24 INS'!$A:$D,2,FALSE),VLOOKUP($B512,'BANCO DE DADOS JANEIRO-24 SERV'!$B:$E,2,FALSE))</f>
        <v xml:space="preserve">CABO DE COBRE NU 50 MM2 MEIO-DURO                                                                                                                                                                                                                                                                                                                                                                                                                                                                         </v>
      </c>
      <c r="D512" s="732" t="str">
        <f>IF($A512="INSUMO",VLOOKUP($B512,'BANCO DE DADOS JANEIRO-24 INS'!$A:$D,3,FALSE),VLOOKUP($B512,'BANCO DE DADOS JANEIRO-24 SERV'!$B:$E,3,FALSE))</f>
        <v xml:space="preserve">M     </v>
      </c>
      <c r="E512" s="846">
        <v>10</v>
      </c>
      <c r="F512" s="755">
        <f>IF($A512="INSUMO",VLOOKUP($B512,'BANCO DE DADOS JANEIRO-24 INS'!$A:$D,4,FALSE),VLOOKUP($B512,'BANCO DE DADOS JANEIRO-24 SERV'!$B:$E,4,FALSE))</f>
        <v>49.03</v>
      </c>
      <c r="G512" s="848">
        <f t="shared" si="1"/>
        <v>490.3</v>
      </c>
    </row>
    <row r="513" spans="1:8" ht="15.75">
      <c r="A513" s="333"/>
      <c r="B513" s="876" t="str">
        <f>B594</f>
        <v>COMP-11</v>
      </c>
      <c r="C513" s="868" t="str">
        <f>C594</f>
        <v>CABO DE AÇO GALVANIZADO 6,4 MM</v>
      </c>
      <c r="D513" s="732" t="s">
        <v>21</v>
      </c>
      <c r="E513" s="846">
        <v>13</v>
      </c>
      <c r="F513" s="755">
        <f>D599</f>
        <v>6.65</v>
      </c>
      <c r="G513" s="848">
        <f t="shared" si="1"/>
        <v>86.45</v>
      </c>
    </row>
    <row r="514" spans="1:8" ht="45">
      <c r="A514" s="333" t="s">
        <v>390</v>
      </c>
      <c r="B514" s="876">
        <v>980</v>
      </c>
      <c r="C514" s="728" t="str">
        <f>IF($A514="INSUMO",VLOOKUP($B514,'BANCO DE DADOS JANEIRO-24 INS'!$A:$D,2,FALSE),VLOOKUP($B514,'BANCO DE DADOS JANEIRO-24 SERV'!$B:$E,2,FALSE))</f>
        <v xml:space="preserve">CABO DE COBRE, FLEXIVEL, CLASSE 4 OU 5, ISOLACAO EM PVC/A, ANTICHAMA BWF-B, 1 CONDUTOR, 450/750 V, SECAO NOMINAL 10 MM2                                                                                                                                                                                                                                                                                                                                                                                   </v>
      </c>
      <c r="D514" s="732" t="str">
        <f>IF($A514="INSUMO",VLOOKUP($B514,'BANCO DE DADOS JANEIRO-24 INS'!$A:$D,3,FALSE),VLOOKUP($B514,'BANCO DE DADOS JANEIRO-24 SERV'!$B:$E,3,FALSE))</f>
        <v xml:space="preserve">M     </v>
      </c>
      <c r="E514" s="846">
        <v>2</v>
      </c>
      <c r="F514" s="755">
        <f>IF($A514="INSUMO",VLOOKUP($B514,'BANCO DE DADOS JANEIRO-24 INS'!$A:$D,4,FALSE),VLOOKUP($B514,'BANCO DE DADOS JANEIRO-24 SERV'!$B:$E,4,FALSE))</f>
        <v>9.48</v>
      </c>
      <c r="G514" s="848">
        <f t="shared" si="1"/>
        <v>18.96</v>
      </c>
    </row>
    <row r="515" spans="1:8" ht="15.75">
      <c r="A515" s="333"/>
      <c r="B515" s="876" t="str">
        <f>B587</f>
        <v>COT-10</v>
      </c>
      <c r="C515" s="868" t="str">
        <f>C587</f>
        <v>CONECTOR DERIVAÇÃO TIPO CUNHA - AMP TIPO II</v>
      </c>
      <c r="D515" s="861" t="s">
        <v>22</v>
      </c>
      <c r="E515" s="846">
        <v>1</v>
      </c>
      <c r="F515" s="755">
        <f>D592</f>
        <v>9.9499999999999993</v>
      </c>
      <c r="G515" s="848">
        <f t="shared" si="1"/>
        <v>9.9499999999999993</v>
      </c>
    </row>
    <row r="516" spans="1:8" ht="15.75">
      <c r="A516" s="333" t="s">
        <v>390</v>
      </c>
      <c r="B516" s="878">
        <v>2674</v>
      </c>
      <c r="C516" s="728" t="str">
        <f>IF($A516="INSUMO",VLOOKUP($B516,'BANCO DE DADOS JANEIRO-24 INS'!$A:$D,2,FALSE),VLOOKUP($B516,'BANCO DE DADOS JANEIRO-24 SERV'!$B:$E,2,FALSE))</f>
        <v xml:space="preserve">ELETRODUTO DE PVC RIGIDO ROSCAVEL DE 3/4 ", SEM LUVA                                                                                                                                                                                                                                                                                                                                                                                                                                                      </v>
      </c>
      <c r="D516" s="732" t="str">
        <f>IF($A516="INSUMO",VLOOKUP($B516,'BANCO DE DADOS JANEIRO-24 INS'!$A:$D,3,FALSE),VLOOKUP($B516,'BANCO DE DADOS JANEIRO-24 SERV'!$B:$E,3,FALSE))</f>
        <v xml:space="preserve">M     </v>
      </c>
      <c r="E516" s="846">
        <v>12</v>
      </c>
      <c r="F516" s="755">
        <f>IF($A516="INSUMO",VLOOKUP($B516,'BANCO DE DADOS JANEIRO-24 INS'!$A:$D,4,FALSE),VLOOKUP($B516,'BANCO DE DADOS JANEIRO-24 SERV'!$B:$E,4,FALSE))</f>
        <v>5.38</v>
      </c>
      <c r="G516" s="848">
        <f t="shared" si="1"/>
        <v>64.56</v>
      </c>
    </row>
    <row r="517" spans="1:8" ht="45">
      <c r="A517" s="333" t="s">
        <v>391</v>
      </c>
      <c r="B517" s="878">
        <v>97881</v>
      </c>
      <c r="C517" s="728" t="str">
        <f>IF($A517="INSUMO",VLOOKUP($B517,'BANCO DE DADOS JANEIRO-24 INS'!$A:$D,2,FALSE),VLOOKUP($B517,'BANCO DE DADOS JANEIRO-24 SERV'!$B:$E,2,FALSE))</f>
        <v>CAIXA ENTERRADA ELÉTRICA RETANGULAR, EM CONCRETO PRÉ-MOLDADO, FUNDO COM BRITA, DIMENSÕES INTERNAS: 0,3X0,3X0,3 M. AF_12/2020</v>
      </c>
      <c r="D517" s="732" t="str">
        <f>IF($A517="INSUMO",VLOOKUP($B517,'BANCO DE DADOS JANEIRO-24 INS'!$A:$D,3,FALSE),VLOOKUP($B517,'BANCO DE DADOS JANEIRO-24 SERV'!$B:$E,3,FALSE))</f>
        <v>UN</v>
      </c>
      <c r="E517" s="846">
        <v>1</v>
      </c>
      <c r="F517" s="755">
        <f>IF($A517="INSUMO",VLOOKUP($B517,'BANCO DE DADOS JANEIRO-24 INS'!$A:$D,4,FALSE),VLOOKUP($B517,'BANCO DE DADOS JANEIRO-24 SERV'!$B:$E,4,FALSE))</f>
        <v>141.74</v>
      </c>
      <c r="G517" s="848">
        <f t="shared" si="1"/>
        <v>141.74</v>
      </c>
    </row>
    <row r="518" spans="1:8" ht="15.75">
      <c r="A518" s="308"/>
      <c r="B518" s="2429" t="s">
        <v>166</v>
      </c>
      <c r="C518" s="2430"/>
      <c r="D518" s="2430"/>
      <c r="E518" s="2430"/>
      <c r="F518" s="2430"/>
      <c r="G518" s="2431"/>
    </row>
    <row r="519" spans="1:8" ht="15.75">
      <c r="A519" s="333" t="s">
        <v>391</v>
      </c>
      <c r="B519" s="841">
        <v>88264</v>
      </c>
      <c r="C519" s="728" t="str">
        <f>IF($A519="INSUMO",VLOOKUP($B519,'BANCO DE DADOS JANEIRO-24 INS'!$A:$D,2,FALSE),VLOOKUP($B519,'BANCO DE DADOS JANEIRO-24 SERV'!$B:$E,2,FALSE))</f>
        <v>ELETRICISTA COM ENCARGOS COMPLEMENTARES</v>
      </c>
      <c r="D519" s="732" t="str">
        <f>IF($A519="INSUMO",VLOOKUP($B519,'BANCO DE DADOS JANEIRO-24 INS'!$A:$D,3,FALSE),VLOOKUP($B519,'BANCO DE DADOS JANEIRO-24 SERV'!$B:$E,3,FALSE))</f>
        <v>H</v>
      </c>
      <c r="E519" s="839">
        <v>27</v>
      </c>
      <c r="F519" s="755">
        <f>IF($A519="INSUMO",VLOOKUP($B519,'BANCO DE DADOS JANEIRO-24 INS'!$A:$D,4,FALSE),VLOOKUP($B519,'BANCO DE DADOS JANEIRO-24 SERV'!$B:$E,4,FALSE))</f>
        <v>26.68</v>
      </c>
      <c r="G519" s="840">
        <f>TRUNC(F519*E519,2)</f>
        <v>720.36</v>
      </c>
    </row>
    <row r="520" spans="1:8" ht="15.75">
      <c r="A520" s="333" t="s">
        <v>391</v>
      </c>
      <c r="B520" s="841">
        <v>88247</v>
      </c>
      <c r="C520" s="728" t="str">
        <f>IF($A520="INSUMO",VLOOKUP($B520,'BANCO DE DADOS JANEIRO-24 INS'!$A:$D,2,FALSE),VLOOKUP($B520,'BANCO DE DADOS JANEIRO-24 SERV'!$B:$E,2,FALSE))</f>
        <v>AUXILIAR DE ELETRICISTA COM ENCARGOS COMPLEMENTARES</v>
      </c>
      <c r="D520" s="732" t="str">
        <f>IF($A520="INSUMO",VLOOKUP($B520,'BANCO DE DADOS JANEIRO-24 INS'!$A:$D,3,FALSE),VLOOKUP($B520,'BANCO DE DADOS JANEIRO-24 SERV'!$B:$E,3,FALSE))</f>
        <v>H</v>
      </c>
      <c r="E520" s="839">
        <v>27</v>
      </c>
      <c r="F520" s="755">
        <f>IF($A520="INSUMO",VLOOKUP($B520,'BANCO DE DADOS JANEIRO-24 INS'!$A:$D,4,FALSE),VLOOKUP($B520,'BANCO DE DADOS JANEIRO-24 SERV'!$B:$E,4,FALSE))</f>
        <v>21.96</v>
      </c>
      <c r="G520" s="840">
        <f>TRUNC(F520*E520,2)</f>
        <v>592.91999999999996</v>
      </c>
    </row>
    <row r="521" spans="1:8" ht="16.5" thickBot="1">
      <c r="A521" s="333" t="s">
        <v>391</v>
      </c>
      <c r="B521" s="625">
        <v>88266</v>
      </c>
      <c r="C521" s="731" t="str">
        <f>IF($A521="INSUMO",VLOOKUP($B521,'BANCO DE DADOS JANEIRO-24 INS'!$A:$D,2,FALSE),VLOOKUP($B521,'BANCO DE DADOS JANEIRO-24 SERV'!$B:$E,2,FALSE))</f>
        <v>ELETROTÉCNICO COM ENCARGOS COMPLEMENTARES</v>
      </c>
      <c r="D521" s="729" t="str">
        <f>IF($A521="INSUMO",VLOOKUP($B521,'BANCO DE DADOS JANEIRO-24 INS'!$A:$D,3,FALSE),VLOOKUP($B521,'BANCO DE DADOS JANEIRO-24 SERV'!$B:$E,3,FALSE))</f>
        <v>H</v>
      </c>
      <c r="E521" s="842">
        <v>27</v>
      </c>
      <c r="F521" s="757">
        <f>IF($A521="INSUMO",VLOOKUP($B521,'BANCO DE DADOS JANEIRO-24 INS'!$A:$D,4,FALSE),VLOOKUP($B521,'BANCO DE DADOS JANEIRO-24 SERV'!$B:$E,4,FALSE))</f>
        <v>32.85</v>
      </c>
      <c r="G521" s="626">
        <f>TRUNC(F521*E521,2)</f>
        <v>886.95</v>
      </c>
    </row>
    <row r="522" spans="1:8" ht="16.5" thickBot="1">
      <c r="A522" s="308"/>
      <c r="B522" s="2450" t="s">
        <v>1884</v>
      </c>
      <c r="C522" s="2450"/>
      <c r="D522" s="2450"/>
      <c r="E522" s="2450"/>
      <c r="F522" s="325" t="s">
        <v>167</v>
      </c>
      <c r="G522" s="326">
        <f>SUM(G487:G521)</f>
        <v>7483.3600000000006</v>
      </c>
    </row>
    <row r="523" spans="1:8" ht="13.5" thickBot="1"/>
    <row r="524" spans="1:8" ht="15.75">
      <c r="B524" s="1669" t="s">
        <v>1842</v>
      </c>
      <c r="C524" s="1751" t="s">
        <v>1843</v>
      </c>
      <c r="D524" s="1747"/>
      <c r="E524" s="1748"/>
      <c r="F524" s="1749"/>
      <c r="G524" s="1670" t="s">
        <v>22</v>
      </c>
      <c r="H524" s="683" t="s">
        <v>1981</v>
      </c>
    </row>
    <row r="525" spans="1:8" ht="31.5">
      <c r="B525" s="810" t="s">
        <v>174</v>
      </c>
      <c r="C525" s="811" t="s">
        <v>175</v>
      </c>
      <c r="D525" s="812" t="s">
        <v>176</v>
      </c>
      <c r="E525" s="813" t="s">
        <v>177</v>
      </c>
      <c r="F525" s="837" t="s">
        <v>178</v>
      </c>
      <c r="G525" s="815" t="s">
        <v>179</v>
      </c>
    </row>
    <row r="526" spans="1:8" ht="15">
      <c r="B526" s="1177">
        <v>45264</v>
      </c>
      <c r="C526" s="1300" t="s">
        <v>502</v>
      </c>
      <c r="D526" s="1309">
        <v>20.7</v>
      </c>
      <c r="E526" s="1311" t="s">
        <v>1846</v>
      </c>
      <c r="F526" s="1301" t="s">
        <v>192</v>
      </c>
      <c r="G526" s="1302" t="s">
        <v>5565</v>
      </c>
    </row>
    <row r="527" spans="1:8" ht="15">
      <c r="B527" s="1177">
        <v>45254</v>
      </c>
      <c r="C527" s="1300" t="s">
        <v>4588</v>
      </c>
      <c r="D527" s="1136">
        <v>24.16</v>
      </c>
      <c r="E527" s="1311" t="s">
        <v>5057</v>
      </c>
      <c r="F527" s="1301" t="s">
        <v>1979</v>
      </c>
      <c r="G527" s="1302" t="s">
        <v>5871</v>
      </c>
    </row>
    <row r="528" spans="1:8" ht="15">
      <c r="B528" s="1299">
        <v>45253</v>
      </c>
      <c r="C528" s="1297" t="s">
        <v>5879</v>
      </c>
      <c r="D528" s="1333">
        <v>20.190000000000001</v>
      </c>
      <c r="E528" s="1192" t="s">
        <v>2185</v>
      </c>
      <c r="F528" s="1298" t="s">
        <v>4611</v>
      </c>
      <c r="G528" s="1364" t="s">
        <v>2840</v>
      </c>
    </row>
    <row r="529" spans="1:8" ht="16.5" thickBot="1">
      <c r="B529" s="1738"/>
      <c r="C529" s="1739" t="s">
        <v>180</v>
      </c>
      <c r="D529" s="1737">
        <f>IF(COUNT(D525:D528)=3,MEDIAN(D525:D528),SMALL(D526:D528,1))</f>
        <v>20.7</v>
      </c>
      <c r="E529" s="1740"/>
      <c r="F529" s="1741"/>
      <c r="G529" s="1742"/>
    </row>
    <row r="530" spans="1:8" ht="13.5" thickBot="1"/>
    <row r="531" spans="1:8" ht="15.75">
      <c r="B531" s="1669" t="s">
        <v>1844</v>
      </c>
      <c r="C531" s="1746" t="s">
        <v>3404</v>
      </c>
      <c r="D531" s="1747"/>
      <c r="E531" s="1748"/>
      <c r="F531" s="1749"/>
      <c r="G531" s="1670" t="s">
        <v>22</v>
      </c>
      <c r="H531" s="683" t="s">
        <v>1981</v>
      </c>
    </row>
    <row r="532" spans="1:8" ht="31.5">
      <c r="B532" s="810" t="s">
        <v>174</v>
      </c>
      <c r="C532" s="811" t="s">
        <v>175</v>
      </c>
      <c r="D532" s="812" t="s">
        <v>176</v>
      </c>
      <c r="E532" s="813" t="s">
        <v>177</v>
      </c>
      <c r="F532" s="837" t="s">
        <v>178</v>
      </c>
      <c r="G532" s="815" t="s">
        <v>179</v>
      </c>
    </row>
    <row r="533" spans="1:8" ht="15">
      <c r="B533" s="1299">
        <v>45254</v>
      </c>
      <c r="C533" s="1297" t="s">
        <v>4588</v>
      </c>
      <c r="D533" s="1333">
        <v>351.46</v>
      </c>
      <c r="E533" s="1192" t="s">
        <v>5057</v>
      </c>
      <c r="F533" s="1298" t="s">
        <v>1979</v>
      </c>
      <c r="G533" s="1364" t="s">
        <v>5871</v>
      </c>
    </row>
    <row r="534" spans="1:8" ht="15">
      <c r="B534" s="1177">
        <v>45264</v>
      </c>
      <c r="C534" s="1300" t="s">
        <v>502</v>
      </c>
      <c r="D534" s="1309">
        <v>226.32</v>
      </c>
      <c r="E534" s="1311" t="s">
        <v>1846</v>
      </c>
      <c r="F534" s="1301" t="s">
        <v>192</v>
      </c>
      <c r="G534" s="1302" t="s">
        <v>5565</v>
      </c>
    </row>
    <row r="535" spans="1:8" ht="15">
      <c r="B535" s="1177">
        <v>45253</v>
      </c>
      <c r="C535" s="1300" t="s">
        <v>5879</v>
      </c>
      <c r="D535" s="1136">
        <v>308.89999999999998</v>
      </c>
      <c r="E535" s="1311" t="s">
        <v>2185</v>
      </c>
      <c r="F535" s="1301" t="s">
        <v>4611</v>
      </c>
      <c r="G535" s="1302" t="s">
        <v>2840</v>
      </c>
    </row>
    <row r="536" spans="1:8" ht="16.5" thickBot="1">
      <c r="B536" s="1738"/>
      <c r="C536" s="1739" t="s">
        <v>180</v>
      </c>
      <c r="D536" s="1737">
        <f>IF(COUNT(D532:D535)=3,MEDIAN(D532:D535),SMALL(D533:D535,1))</f>
        <v>308.89999999999998</v>
      </c>
      <c r="E536" s="1740"/>
      <c r="F536" s="1741"/>
      <c r="G536" s="1742"/>
    </row>
    <row r="537" spans="1:8" ht="13.5" thickBot="1"/>
    <row r="538" spans="1:8" ht="15.75">
      <c r="B538" s="1669" t="s">
        <v>1847</v>
      </c>
      <c r="C538" s="1751" t="s">
        <v>1848</v>
      </c>
      <c r="D538" s="1747"/>
      <c r="E538" s="1748"/>
      <c r="F538" s="1749"/>
      <c r="G538" s="1670" t="s">
        <v>22</v>
      </c>
      <c r="H538" s="683" t="s">
        <v>1981</v>
      </c>
    </row>
    <row r="539" spans="1:8" ht="31.5">
      <c r="B539" s="810" t="s">
        <v>174</v>
      </c>
      <c r="C539" s="811" t="s">
        <v>175</v>
      </c>
      <c r="D539" s="812" t="s">
        <v>176</v>
      </c>
      <c r="E539" s="813" t="s">
        <v>177</v>
      </c>
      <c r="F539" s="837" t="s">
        <v>178</v>
      </c>
      <c r="G539" s="815" t="s">
        <v>179</v>
      </c>
    </row>
    <row r="540" spans="1:8" ht="15">
      <c r="B540" s="1177">
        <v>45180</v>
      </c>
      <c r="C540" s="1300" t="s">
        <v>2708</v>
      </c>
      <c r="D540" s="1136">
        <v>15.67</v>
      </c>
      <c r="E540" s="1311" t="s">
        <v>545</v>
      </c>
      <c r="F540" s="1301" t="s">
        <v>1808</v>
      </c>
      <c r="G540" s="1302" t="s">
        <v>555</v>
      </c>
    </row>
    <row r="541" spans="1:8" ht="15">
      <c r="B541" s="1177">
        <v>45197</v>
      </c>
      <c r="C541" s="1300" t="s">
        <v>502</v>
      </c>
      <c r="D541" s="1309">
        <v>19</v>
      </c>
      <c r="E541" s="1311" t="s">
        <v>1846</v>
      </c>
      <c r="F541" s="1301" t="s">
        <v>556</v>
      </c>
      <c r="G541" s="1302" t="s">
        <v>13343</v>
      </c>
    </row>
    <row r="542" spans="1:8" ht="15">
      <c r="B542" s="1299">
        <v>45196</v>
      </c>
      <c r="C542" s="1297" t="s">
        <v>4588</v>
      </c>
      <c r="D542" s="1333">
        <v>17</v>
      </c>
      <c r="E542" s="1192" t="s">
        <v>5057</v>
      </c>
      <c r="F542" s="1298" t="s">
        <v>1979</v>
      </c>
      <c r="G542" s="1364" t="s">
        <v>5871</v>
      </c>
    </row>
    <row r="543" spans="1:8" ht="16.5" thickBot="1">
      <c r="B543" s="1738"/>
      <c r="C543" s="1739" t="s">
        <v>180</v>
      </c>
      <c r="D543" s="1737">
        <f>IF(COUNT(D539:D542)=3,MEDIAN(D539:D542),SMALL(D540:D542,1))</f>
        <v>17</v>
      </c>
      <c r="E543" s="1740"/>
      <c r="F543" s="1741"/>
      <c r="G543" s="1742"/>
    </row>
    <row r="544" spans="1:8" ht="15.75" thickBot="1">
      <c r="A544" s="308"/>
    </row>
    <row r="545" spans="1:9" ht="15.75">
      <c r="A545" s="308"/>
      <c r="B545" s="1669" t="s">
        <v>1849</v>
      </c>
      <c r="C545" s="1751" t="s">
        <v>1850</v>
      </c>
      <c r="D545" s="1747"/>
      <c r="E545" s="1748"/>
      <c r="F545" s="1749"/>
      <c r="G545" s="1670" t="s">
        <v>22</v>
      </c>
      <c r="H545" s="683" t="s">
        <v>1981</v>
      </c>
    </row>
    <row r="546" spans="1:9" ht="31.5">
      <c r="A546" s="308"/>
      <c r="B546" s="810" t="s">
        <v>174</v>
      </c>
      <c r="C546" s="811" t="s">
        <v>175</v>
      </c>
      <c r="D546" s="812" t="s">
        <v>176</v>
      </c>
      <c r="E546" s="813" t="s">
        <v>177</v>
      </c>
      <c r="F546" s="837" t="s">
        <v>178</v>
      </c>
      <c r="G546" s="815" t="s">
        <v>179</v>
      </c>
    </row>
    <row r="547" spans="1:9" ht="15.75">
      <c r="A547" s="308"/>
      <c r="B547" s="1299">
        <v>45253</v>
      </c>
      <c r="C547" s="1114" t="s">
        <v>5879</v>
      </c>
      <c r="D547" s="1115">
        <v>3.39</v>
      </c>
      <c r="E547" s="1185" t="s">
        <v>2185</v>
      </c>
      <c r="F547" s="1139" t="s">
        <v>4611</v>
      </c>
      <c r="G547" s="968" t="s">
        <v>2840</v>
      </c>
      <c r="H547"/>
    </row>
    <row r="548" spans="1:9" ht="15.75">
      <c r="A548" s="308"/>
      <c r="B548" s="1299">
        <v>45264</v>
      </c>
      <c r="C548" s="1114" t="s">
        <v>502</v>
      </c>
      <c r="D548" s="1115">
        <v>3.05</v>
      </c>
      <c r="E548" s="1185" t="s">
        <v>1846</v>
      </c>
      <c r="F548" s="1139" t="s">
        <v>192</v>
      </c>
      <c r="G548" s="968" t="s">
        <v>5565</v>
      </c>
      <c r="H548"/>
    </row>
    <row r="549" spans="1:9" ht="15.75">
      <c r="A549" s="308"/>
      <c r="B549" s="1137">
        <v>45254</v>
      </c>
      <c r="C549" s="1114" t="s">
        <v>4588</v>
      </c>
      <c r="D549" s="1115">
        <v>3.5</v>
      </c>
      <c r="E549" s="1185" t="s">
        <v>5057</v>
      </c>
      <c r="F549" s="1139" t="s">
        <v>1979</v>
      </c>
      <c r="G549" s="968" t="s">
        <v>5871</v>
      </c>
      <c r="H549"/>
    </row>
    <row r="550" spans="1:9" ht="16.5" thickBot="1">
      <c r="A550" s="308"/>
      <c r="B550" s="1738"/>
      <c r="C550" s="1739" t="s">
        <v>180</v>
      </c>
      <c r="D550" s="1737">
        <f>IF(COUNT(D546:D549)=3,MEDIAN(D546:D549),SMALL(D547:D549,1))</f>
        <v>3.39</v>
      </c>
      <c r="E550" s="1740"/>
      <c r="F550" s="1741"/>
      <c r="G550" s="1742"/>
    </row>
    <row r="551" spans="1:9" ht="15.75" thickBot="1">
      <c r="A551" s="308"/>
    </row>
    <row r="552" spans="1:9" ht="15.75">
      <c r="A552" s="308"/>
      <c r="B552" s="1669" t="s">
        <v>1851</v>
      </c>
      <c r="C552" s="1751" t="s">
        <v>1852</v>
      </c>
      <c r="D552" s="1747"/>
      <c r="E552" s="1748"/>
      <c r="F552" s="1749"/>
      <c r="G552" s="1670" t="s">
        <v>22</v>
      </c>
      <c r="H552" s="683" t="s">
        <v>1981</v>
      </c>
      <c r="I552" s="676"/>
    </row>
    <row r="553" spans="1:9" ht="31.5">
      <c r="A553" s="308"/>
      <c r="B553" s="810" t="s">
        <v>174</v>
      </c>
      <c r="C553" s="811" t="s">
        <v>175</v>
      </c>
      <c r="D553" s="812" t="s">
        <v>176</v>
      </c>
      <c r="E553" s="813" t="s">
        <v>177</v>
      </c>
      <c r="F553" s="837" t="s">
        <v>178</v>
      </c>
      <c r="G553" s="815" t="s">
        <v>179</v>
      </c>
    </row>
    <row r="554" spans="1:9" ht="15">
      <c r="A554" s="308"/>
      <c r="B554" s="1137">
        <v>45180</v>
      </c>
      <c r="C554" s="1114" t="s">
        <v>2708</v>
      </c>
      <c r="D554" s="1115">
        <v>235.27</v>
      </c>
      <c r="E554" s="1192" t="s">
        <v>545</v>
      </c>
      <c r="F554" s="1139" t="s">
        <v>1808</v>
      </c>
      <c r="G554" s="968" t="s">
        <v>555</v>
      </c>
    </row>
    <row r="555" spans="1:9" ht="15">
      <c r="A555" s="308"/>
      <c r="B555" s="1137">
        <v>45181</v>
      </c>
      <c r="C555" s="1114" t="s">
        <v>13359</v>
      </c>
      <c r="D555" s="1115">
        <v>215.83</v>
      </c>
      <c r="E555" s="1192" t="s">
        <v>2062</v>
      </c>
      <c r="F555" s="1139" t="s">
        <v>2063</v>
      </c>
      <c r="G555" s="968" t="s">
        <v>5870</v>
      </c>
    </row>
    <row r="556" spans="1:9" ht="15">
      <c r="A556" s="308"/>
      <c r="B556" s="1137">
        <v>45181</v>
      </c>
      <c r="C556" s="1114" t="s">
        <v>5212</v>
      </c>
      <c r="D556" s="1115">
        <v>173.34</v>
      </c>
      <c r="E556" s="1192" t="s">
        <v>5057</v>
      </c>
      <c r="F556" s="1139" t="s">
        <v>1979</v>
      </c>
      <c r="G556" s="968" t="s">
        <v>5871</v>
      </c>
    </row>
    <row r="557" spans="1:9" ht="16.5" thickBot="1">
      <c r="A557" s="308"/>
      <c r="B557" s="1738"/>
      <c r="C557" s="1739" t="s">
        <v>180</v>
      </c>
      <c r="D557" s="1737">
        <f>IF(COUNT(D553:D556)=3,MEDIAN(D553:D556),SMALL(D554:D556,1))</f>
        <v>215.83</v>
      </c>
      <c r="E557" s="1740"/>
      <c r="F557" s="1741"/>
      <c r="G557" s="1742"/>
    </row>
    <row r="558" spans="1:9" ht="15.75" thickBot="1">
      <c r="A558" s="308"/>
    </row>
    <row r="559" spans="1:9" ht="15.75">
      <c r="A559" s="308"/>
      <c r="B559" s="1669" t="s">
        <v>1853</v>
      </c>
      <c r="C559" s="1751" t="s">
        <v>1854</v>
      </c>
      <c r="D559" s="1747"/>
      <c r="E559" s="1748"/>
      <c r="F559" s="1749"/>
      <c r="G559" s="1670" t="s">
        <v>22</v>
      </c>
      <c r="H559" s="683" t="s">
        <v>1981</v>
      </c>
      <c r="I559" s="676"/>
    </row>
    <row r="560" spans="1:9" ht="31.5">
      <c r="A560" s="308"/>
      <c r="B560" s="810" t="s">
        <v>174</v>
      </c>
      <c r="C560" s="811" t="s">
        <v>175</v>
      </c>
      <c r="D560" s="812" t="s">
        <v>176</v>
      </c>
      <c r="E560" s="813" t="s">
        <v>177</v>
      </c>
      <c r="F560" s="837" t="s">
        <v>178</v>
      </c>
      <c r="G560" s="815" t="s">
        <v>179</v>
      </c>
    </row>
    <row r="561" spans="1:11" ht="15">
      <c r="A561" s="308"/>
      <c r="B561" s="1177">
        <v>45264</v>
      </c>
      <c r="C561" s="1300" t="s">
        <v>502</v>
      </c>
      <c r="D561" s="1136">
        <v>9.1999999999999993</v>
      </c>
      <c r="E561" s="1311" t="s">
        <v>1846</v>
      </c>
      <c r="F561" s="1301" t="s">
        <v>192</v>
      </c>
      <c r="G561" s="1302" t="s">
        <v>5565</v>
      </c>
    </row>
    <row r="562" spans="1:11" ht="15">
      <c r="A562" s="308"/>
      <c r="B562" s="1177">
        <v>45254</v>
      </c>
      <c r="C562" s="1300" t="s">
        <v>4588</v>
      </c>
      <c r="D562" s="1309">
        <v>25</v>
      </c>
      <c r="E562" s="1311" t="s">
        <v>5057</v>
      </c>
      <c r="F562" s="1301" t="s">
        <v>1979</v>
      </c>
      <c r="G562" s="1302" t="s">
        <v>5871</v>
      </c>
    </row>
    <row r="563" spans="1:11" ht="15">
      <c r="A563" s="308"/>
      <c r="B563" s="1299">
        <v>45253</v>
      </c>
      <c r="C563" s="1297" t="s">
        <v>5879</v>
      </c>
      <c r="D563" s="1333">
        <v>15.16</v>
      </c>
      <c r="E563" s="1192" t="s">
        <v>2185</v>
      </c>
      <c r="F563" s="1298" t="s">
        <v>4611</v>
      </c>
      <c r="G563" s="1364" t="s">
        <v>2840</v>
      </c>
    </row>
    <row r="564" spans="1:11" ht="16.5" thickBot="1">
      <c r="A564" s="308"/>
      <c r="B564" s="1738"/>
      <c r="C564" s="1739" t="s">
        <v>180</v>
      </c>
      <c r="D564" s="1737">
        <f>IF(COUNT(D560:D563)=3,MEDIAN(D560:D563),SMALL(D561:D563,1))</f>
        <v>15.16</v>
      </c>
      <c r="E564" s="1740"/>
      <c r="F564" s="1741"/>
      <c r="G564" s="1742"/>
    </row>
    <row r="565" spans="1:11" ht="15.75" thickBot="1">
      <c r="A565" s="308"/>
    </row>
    <row r="566" spans="1:11" ht="15.75">
      <c r="A566" s="308"/>
      <c r="B566" s="1669" t="s">
        <v>1855</v>
      </c>
      <c r="C566" s="1751" t="s">
        <v>1872</v>
      </c>
      <c r="D566" s="1747"/>
      <c r="E566" s="1748"/>
      <c r="F566" s="1749"/>
      <c r="G566" s="1670" t="s">
        <v>22</v>
      </c>
    </row>
    <row r="567" spans="1:11" ht="31.5">
      <c r="A567" s="308"/>
      <c r="B567" s="810" t="s">
        <v>174</v>
      </c>
      <c r="C567" s="811" t="s">
        <v>175</v>
      </c>
      <c r="D567" s="812" t="s">
        <v>176</v>
      </c>
      <c r="E567" s="813" t="s">
        <v>177</v>
      </c>
      <c r="F567" s="837" t="s">
        <v>178</v>
      </c>
      <c r="G567" s="815" t="s">
        <v>179</v>
      </c>
    </row>
    <row r="568" spans="1:11" ht="15.75">
      <c r="A568" s="308"/>
      <c r="B568" s="1299">
        <v>45264</v>
      </c>
      <c r="C568" s="1114" t="s">
        <v>502</v>
      </c>
      <c r="D568" s="1330">
        <v>24.48</v>
      </c>
      <c r="E568" s="1185" t="s">
        <v>1846</v>
      </c>
      <c r="F568" s="1139" t="s">
        <v>192</v>
      </c>
      <c r="G568" s="968" t="s">
        <v>5565</v>
      </c>
      <c r="H568"/>
    </row>
    <row r="569" spans="1:11" ht="15.75">
      <c r="A569" s="308"/>
      <c r="B569" s="1137">
        <v>45254</v>
      </c>
      <c r="C569" s="1114" t="s">
        <v>5212</v>
      </c>
      <c r="D569" s="1115">
        <v>21.63</v>
      </c>
      <c r="E569" s="1185" t="s">
        <v>5057</v>
      </c>
      <c r="F569" s="1139" t="s">
        <v>1979</v>
      </c>
      <c r="G569" s="968" t="s">
        <v>5871</v>
      </c>
      <c r="H569"/>
    </row>
    <row r="570" spans="1:11" ht="15.75">
      <c r="A570" s="308"/>
      <c r="B570" s="1279">
        <v>45253</v>
      </c>
      <c r="C570" s="1306" t="s">
        <v>5879</v>
      </c>
      <c r="D570" s="1310">
        <v>21.64</v>
      </c>
      <c r="E570" s="1220" t="s">
        <v>2185</v>
      </c>
      <c r="F570" s="1331" t="s">
        <v>4611</v>
      </c>
      <c r="G570" s="1335" t="s">
        <v>2840</v>
      </c>
      <c r="H570"/>
    </row>
    <row r="571" spans="1:11" ht="16.5" thickBot="1">
      <c r="A571" s="308"/>
      <c r="B571" s="1738"/>
      <c r="C571" s="1739" t="s">
        <v>180</v>
      </c>
      <c r="D571" s="1737">
        <f>IF(COUNT(D567:D570)=3,MEDIAN(D567:D570),SMALL(D568:D570,1))</f>
        <v>21.64</v>
      </c>
      <c r="E571" s="1740"/>
      <c r="F571" s="1741"/>
      <c r="G571" s="1742"/>
      <c r="H571"/>
    </row>
    <row r="572" spans="1:11" ht="15.75" thickBot="1">
      <c r="A572" s="308"/>
    </row>
    <row r="573" spans="1:11" ht="15.75">
      <c r="A573" s="308"/>
      <c r="B573" s="1669" t="s">
        <v>1857</v>
      </c>
      <c r="C573" s="1751" t="s">
        <v>1858</v>
      </c>
      <c r="D573" s="1747"/>
      <c r="E573" s="1748"/>
      <c r="F573" s="1749"/>
      <c r="G573" s="1670" t="s">
        <v>22</v>
      </c>
      <c r="H573" s="683" t="s">
        <v>1981</v>
      </c>
      <c r="K573" s="676"/>
    </row>
    <row r="574" spans="1:11" ht="31.5">
      <c r="A574" s="308"/>
      <c r="B574" s="810" t="s">
        <v>174</v>
      </c>
      <c r="C574" s="811" t="s">
        <v>175</v>
      </c>
      <c r="D574" s="812" t="s">
        <v>176</v>
      </c>
      <c r="E574" s="813" t="s">
        <v>177</v>
      </c>
      <c r="F574" s="837" t="s">
        <v>178</v>
      </c>
      <c r="G574" s="815" t="s">
        <v>179</v>
      </c>
    </row>
    <row r="575" spans="1:11" ht="15">
      <c r="A575" s="308"/>
      <c r="B575" s="1137">
        <v>45253</v>
      </c>
      <c r="C575" s="1114" t="s">
        <v>2061</v>
      </c>
      <c r="D575" s="1115">
        <v>71.09</v>
      </c>
      <c r="E575" s="1192" t="s">
        <v>2062</v>
      </c>
      <c r="F575" s="1139" t="s">
        <v>2063</v>
      </c>
      <c r="G575" s="968" t="s">
        <v>5870</v>
      </c>
    </row>
    <row r="576" spans="1:11" ht="15">
      <c r="A576" s="308"/>
      <c r="B576" s="1299">
        <v>45254</v>
      </c>
      <c r="C576" s="1114" t="s">
        <v>4588</v>
      </c>
      <c r="D576" s="1115">
        <v>42.46</v>
      </c>
      <c r="E576" s="1192" t="s">
        <v>5057</v>
      </c>
      <c r="F576" s="1139" t="s">
        <v>1979</v>
      </c>
      <c r="G576" s="968" t="s">
        <v>5871</v>
      </c>
    </row>
    <row r="577" spans="1:11" ht="15">
      <c r="A577" s="308"/>
      <c r="B577" s="1137">
        <v>45180</v>
      </c>
      <c r="C577" s="1114" t="s">
        <v>5879</v>
      </c>
      <c r="D577" s="1115">
        <v>38.43</v>
      </c>
      <c r="E577" s="1192" t="s">
        <v>2185</v>
      </c>
      <c r="F577" s="1139" t="s">
        <v>4611</v>
      </c>
      <c r="G577" s="968" t="s">
        <v>2840</v>
      </c>
    </row>
    <row r="578" spans="1:11" ht="16.5" thickBot="1">
      <c r="A578" s="308"/>
      <c r="B578" s="1738"/>
      <c r="C578" s="1739" t="s">
        <v>180</v>
      </c>
      <c r="D578" s="1737">
        <f>IF(COUNT(D574:D577)=3,MEDIAN(D574:D577),SMALL(D575:D577,1))</f>
        <v>42.46</v>
      </c>
      <c r="E578" s="1740"/>
      <c r="F578" s="1741"/>
      <c r="G578" s="1742"/>
    </row>
    <row r="579" spans="1:11" ht="15.75" thickBot="1">
      <c r="A579" s="308"/>
    </row>
    <row r="580" spans="1:11" ht="31.5">
      <c r="A580" s="308"/>
      <c r="B580" s="1669" t="s">
        <v>1859</v>
      </c>
      <c r="C580" s="1751" t="s">
        <v>1860</v>
      </c>
      <c r="D580" s="1747"/>
      <c r="E580" s="1748"/>
      <c r="F580" s="1749"/>
      <c r="G580" s="1670" t="s">
        <v>22</v>
      </c>
      <c r="H580" s="683" t="s">
        <v>1981</v>
      </c>
    </row>
    <row r="581" spans="1:11" ht="31.5">
      <c r="A581" s="308"/>
      <c r="B581" s="810" t="s">
        <v>174</v>
      </c>
      <c r="C581" s="811" t="s">
        <v>175</v>
      </c>
      <c r="D581" s="812" t="s">
        <v>176</v>
      </c>
      <c r="E581" s="813" t="s">
        <v>177</v>
      </c>
      <c r="F581" s="837" t="s">
        <v>178</v>
      </c>
      <c r="G581" s="815" t="s">
        <v>179</v>
      </c>
    </row>
    <row r="582" spans="1:11" ht="15">
      <c r="A582" s="308"/>
      <c r="B582" s="1299">
        <v>45253</v>
      </c>
      <c r="C582" s="1297" t="s">
        <v>5879</v>
      </c>
      <c r="D582" s="1333">
        <v>47.4</v>
      </c>
      <c r="E582" s="1192" t="s">
        <v>2185</v>
      </c>
      <c r="F582" s="1298" t="s">
        <v>4611</v>
      </c>
      <c r="G582" s="1364" t="s">
        <v>2840</v>
      </c>
    </row>
    <row r="583" spans="1:11" ht="15">
      <c r="A583" s="308"/>
      <c r="B583" s="1182">
        <v>45254</v>
      </c>
      <c r="C583" s="1297" t="s">
        <v>4588</v>
      </c>
      <c r="D583" s="1333">
        <v>65.989999999999995</v>
      </c>
      <c r="E583" s="1192" t="s">
        <v>5057</v>
      </c>
      <c r="F583" s="1313" t="s">
        <v>1979</v>
      </c>
      <c r="G583" s="1332" t="s">
        <v>5871</v>
      </c>
    </row>
    <row r="584" spans="1:11" ht="15">
      <c r="A584" s="308"/>
      <c r="B584" s="1177">
        <v>45253</v>
      </c>
      <c r="C584" s="1300" t="s">
        <v>2061</v>
      </c>
      <c r="D584" s="1136">
        <v>46.45</v>
      </c>
      <c r="E584" s="1311" t="s">
        <v>2062</v>
      </c>
      <c r="F584" s="1301" t="s">
        <v>2063</v>
      </c>
      <c r="G584" s="1302" t="s">
        <v>5870</v>
      </c>
    </row>
    <row r="585" spans="1:11" ht="16.5" thickBot="1">
      <c r="A585" s="308"/>
      <c r="B585" s="1738"/>
      <c r="C585" s="1739" t="s">
        <v>180</v>
      </c>
      <c r="D585" s="1737">
        <f>IF(COUNT(D581:D584)=3,MEDIAN(D581:D584),SMALL(D582:D584,1))</f>
        <v>47.4</v>
      </c>
      <c r="E585" s="1740"/>
      <c r="F585" s="1741"/>
      <c r="G585" s="1742"/>
    </row>
    <row r="586" spans="1:11" ht="15.75" thickBot="1">
      <c r="A586" s="308"/>
    </row>
    <row r="587" spans="1:11" ht="15.75">
      <c r="A587" s="308"/>
      <c r="B587" s="1669" t="s">
        <v>1861</v>
      </c>
      <c r="C587" s="1751" t="s">
        <v>1862</v>
      </c>
      <c r="D587" s="1747"/>
      <c r="E587" s="1748"/>
      <c r="F587" s="1749"/>
      <c r="G587" s="1670" t="s">
        <v>22</v>
      </c>
      <c r="H587" s="683" t="s">
        <v>1981</v>
      </c>
      <c r="K587" s="676"/>
    </row>
    <row r="588" spans="1:11" ht="31.5">
      <c r="A588" s="308"/>
      <c r="B588" s="810" t="s">
        <v>174</v>
      </c>
      <c r="C588" s="811" t="s">
        <v>175</v>
      </c>
      <c r="D588" s="812" t="s">
        <v>176</v>
      </c>
      <c r="E588" s="813" t="s">
        <v>177</v>
      </c>
      <c r="F588" s="837" t="s">
        <v>178</v>
      </c>
      <c r="G588" s="815" t="s">
        <v>179</v>
      </c>
    </row>
    <row r="589" spans="1:11" ht="15">
      <c r="A589" s="308"/>
      <c r="B589" s="1177">
        <v>45181</v>
      </c>
      <c r="C589" s="1300" t="s">
        <v>4588</v>
      </c>
      <c r="D589" s="1136">
        <v>7.51</v>
      </c>
      <c r="E589" s="1311" t="s">
        <v>5057</v>
      </c>
      <c r="F589" s="1301" t="s">
        <v>1979</v>
      </c>
      <c r="G589" s="1302" t="s">
        <v>5871</v>
      </c>
    </row>
    <row r="590" spans="1:11" ht="15">
      <c r="A590" s="308"/>
      <c r="B590" s="1177">
        <v>45181</v>
      </c>
      <c r="C590" s="1300" t="s">
        <v>13359</v>
      </c>
      <c r="D590" s="1309">
        <v>13.06</v>
      </c>
      <c r="E590" s="1185" t="s">
        <v>2062</v>
      </c>
      <c r="F590" s="1139" t="s">
        <v>2063</v>
      </c>
      <c r="G590" s="1117" t="s">
        <v>5870</v>
      </c>
    </row>
    <row r="591" spans="1:11" ht="15">
      <c r="A591" s="308"/>
      <c r="B591" s="1182">
        <v>45180</v>
      </c>
      <c r="C591" s="1297" t="s">
        <v>5060</v>
      </c>
      <c r="D591" s="1333">
        <v>9.9499999999999993</v>
      </c>
      <c r="E591" s="1192" t="s">
        <v>545</v>
      </c>
      <c r="F591" s="1313" t="s">
        <v>1808</v>
      </c>
      <c r="G591" s="1332" t="s">
        <v>555</v>
      </c>
    </row>
    <row r="592" spans="1:11" ht="16.5" thickBot="1">
      <c r="A592" s="308"/>
      <c r="B592" s="1738"/>
      <c r="C592" s="1739" t="s">
        <v>180</v>
      </c>
      <c r="D592" s="1737">
        <f>IF(COUNT(D588:D591)=3,MEDIAN(D588:D591),SMALL(D589:D591,1))</f>
        <v>9.9499999999999993</v>
      </c>
      <c r="E592" s="1740"/>
      <c r="F592" s="1741"/>
      <c r="G592" s="1742"/>
    </row>
    <row r="593" spans="1:12" ht="15.75" thickBot="1">
      <c r="A593" s="308"/>
    </row>
    <row r="594" spans="1:12" ht="15.75">
      <c r="A594" s="308"/>
      <c r="B594" s="1669" t="s">
        <v>1863</v>
      </c>
      <c r="C594" s="1751" t="s">
        <v>1864</v>
      </c>
      <c r="D594" s="1747"/>
      <c r="E594" s="1748"/>
      <c r="F594" s="1749"/>
      <c r="G594" s="1670" t="s">
        <v>21</v>
      </c>
      <c r="H594" s="683" t="s">
        <v>1981</v>
      </c>
      <c r="K594" s="676"/>
    </row>
    <row r="595" spans="1:12" ht="31.5">
      <c r="A595" s="308"/>
      <c r="B595" s="810" t="s">
        <v>174</v>
      </c>
      <c r="C595" s="811" t="s">
        <v>175</v>
      </c>
      <c r="D595" s="812" t="s">
        <v>176</v>
      </c>
      <c r="E595" s="813" t="s">
        <v>177</v>
      </c>
      <c r="F595" s="837" t="s">
        <v>178</v>
      </c>
      <c r="G595" s="815" t="s">
        <v>179</v>
      </c>
    </row>
    <row r="596" spans="1:12" ht="15">
      <c r="A596" s="308"/>
      <c r="B596" s="1177">
        <v>45264</v>
      </c>
      <c r="C596" s="1300" t="s">
        <v>502</v>
      </c>
      <c r="D596" s="1309">
        <v>7.06</v>
      </c>
      <c r="E596" s="1185" t="s">
        <v>1846</v>
      </c>
      <c r="F596" s="1139" t="s">
        <v>192</v>
      </c>
      <c r="G596" s="1117" t="s">
        <v>5565</v>
      </c>
    </row>
    <row r="597" spans="1:12" ht="15">
      <c r="A597" s="308"/>
      <c r="B597" s="1177">
        <v>45254</v>
      </c>
      <c r="C597" s="1300" t="s">
        <v>4588</v>
      </c>
      <c r="D597" s="1136">
        <v>6.65</v>
      </c>
      <c r="E597" s="1311" t="s">
        <v>5057</v>
      </c>
      <c r="F597" s="1301" t="s">
        <v>1979</v>
      </c>
      <c r="G597" s="1302" t="s">
        <v>5871</v>
      </c>
    </row>
    <row r="598" spans="1:12" ht="15">
      <c r="A598" s="308"/>
      <c r="B598" s="1299">
        <v>45253</v>
      </c>
      <c r="C598" s="1297" t="s">
        <v>5879</v>
      </c>
      <c r="D598" s="1333">
        <v>5.84</v>
      </c>
      <c r="E598" s="1192" t="s">
        <v>2185</v>
      </c>
      <c r="F598" s="1298" t="s">
        <v>4611</v>
      </c>
      <c r="G598" s="1364" t="s">
        <v>2840</v>
      </c>
    </row>
    <row r="599" spans="1:12" ht="16.5" thickBot="1">
      <c r="A599" s="308"/>
      <c r="B599" s="1738"/>
      <c r="C599" s="1739" t="s">
        <v>180</v>
      </c>
      <c r="D599" s="1737">
        <f>IF(COUNT(D595:D598)=3,MEDIAN(D595:D598),SMALL(D596:D598,1))</f>
        <v>6.65</v>
      </c>
      <c r="E599" s="1740"/>
      <c r="F599" s="1741"/>
      <c r="G599" s="1742"/>
    </row>
    <row r="600" spans="1:12" ht="15.75" thickBot="1">
      <c r="A600" s="308"/>
    </row>
    <row r="601" spans="1:12" ht="15.75">
      <c r="A601" s="308"/>
      <c r="B601" s="1669" t="s">
        <v>1865</v>
      </c>
      <c r="C601" s="1751" t="s">
        <v>1866</v>
      </c>
      <c r="D601" s="1747"/>
      <c r="E601" s="1748"/>
      <c r="F601" s="1749"/>
      <c r="G601" s="1670" t="s">
        <v>22</v>
      </c>
      <c r="H601" s="683" t="s">
        <v>1981</v>
      </c>
    </row>
    <row r="602" spans="1:12" ht="31.5">
      <c r="A602" s="308"/>
      <c r="B602" s="810" t="s">
        <v>174</v>
      </c>
      <c r="C602" s="811" t="s">
        <v>175</v>
      </c>
      <c r="D602" s="812" t="s">
        <v>176</v>
      </c>
      <c r="E602" s="813" t="s">
        <v>177</v>
      </c>
      <c r="F602" s="837" t="s">
        <v>178</v>
      </c>
      <c r="G602" s="815" t="s">
        <v>179</v>
      </c>
    </row>
    <row r="603" spans="1:12" ht="15">
      <c r="A603" s="308"/>
      <c r="B603" s="1299">
        <v>45264</v>
      </c>
      <c r="C603" s="1297" t="s">
        <v>2708</v>
      </c>
      <c r="D603" s="1333">
        <v>3.48</v>
      </c>
      <c r="E603" s="1192" t="s">
        <v>545</v>
      </c>
      <c r="F603" s="1298" t="s">
        <v>1808</v>
      </c>
      <c r="G603" s="1364" t="s">
        <v>555</v>
      </c>
    </row>
    <row r="604" spans="1:12" ht="15">
      <c r="A604" s="308"/>
      <c r="B604" s="1177">
        <v>45264</v>
      </c>
      <c r="C604" s="1300" t="s">
        <v>502</v>
      </c>
      <c r="D604" s="1136">
        <v>2.21</v>
      </c>
      <c r="E604" s="1311" t="s">
        <v>1846</v>
      </c>
      <c r="F604" s="1301" t="s">
        <v>192</v>
      </c>
      <c r="G604" s="1302" t="s">
        <v>5565</v>
      </c>
    </row>
    <row r="605" spans="1:12" ht="15">
      <c r="A605" s="308"/>
      <c r="B605" s="1182">
        <v>45254</v>
      </c>
      <c r="C605" s="1297" t="s">
        <v>4588</v>
      </c>
      <c r="D605" s="1333">
        <v>3.19</v>
      </c>
      <c r="E605" s="1192" t="s">
        <v>5057</v>
      </c>
      <c r="F605" s="1313" t="s">
        <v>1979</v>
      </c>
      <c r="G605" s="1332" t="s">
        <v>5871</v>
      </c>
    </row>
    <row r="606" spans="1:12" ht="16.5" thickBot="1">
      <c r="A606" s="308"/>
      <c r="B606" s="1738"/>
      <c r="C606" s="1739" t="s">
        <v>180</v>
      </c>
      <c r="D606" s="1737">
        <f>IF(COUNT(D602:D605)=3,MEDIAN(D602:D605),SMALL(D603:D605,1))</f>
        <v>3.19</v>
      </c>
      <c r="E606" s="1740"/>
      <c r="F606" s="1741"/>
      <c r="G606" s="1742"/>
    </row>
    <row r="607" spans="1:12" ht="15.75" thickBot="1">
      <c r="A607" s="308"/>
    </row>
    <row r="608" spans="1:12" ht="31.5">
      <c r="A608" s="308"/>
      <c r="B608" s="1669" t="s">
        <v>1867</v>
      </c>
      <c r="C608" s="1751" t="s">
        <v>1868</v>
      </c>
      <c r="D608" s="1747"/>
      <c r="E608" s="1748"/>
      <c r="F608" s="1749"/>
      <c r="G608" s="1670" t="s">
        <v>21</v>
      </c>
      <c r="H608" s="683" t="s">
        <v>1981</v>
      </c>
      <c r="L608" s="676"/>
    </row>
    <row r="609" spans="1:8" ht="31.5">
      <c r="A609" s="308"/>
      <c r="B609" s="810" t="s">
        <v>174</v>
      </c>
      <c r="C609" s="811" t="s">
        <v>175</v>
      </c>
      <c r="D609" s="812" t="s">
        <v>176</v>
      </c>
      <c r="E609" s="813" t="s">
        <v>177</v>
      </c>
      <c r="F609" s="837" t="s">
        <v>178</v>
      </c>
      <c r="G609" s="815" t="s">
        <v>179</v>
      </c>
    </row>
    <row r="610" spans="1:8" ht="15">
      <c r="A610" s="308"/>
      <c r="B610" s="1137">
        <v>45180</v>
      </c>
      <c r="C610" s="1114" t="s">
        <v>5060</v>
      </c>
      <c r="D610" s="1115">
        <v>25.9</v>
      </c>
      <c r="E610" s="1192" t="s">
        <v>545</v>
      </c>
      <c r="F610" s="1139" t="s">
        <v>1808</v>
      </c>
      <c r="G610" s="968" t="s">
        <v>555</v>
      </c>
    </row>
    <row r="611" spans="1:8" ht="15">
      <c r="A611" s="308"/>
      <c r="B611" s="1137">
        <v>45181</v>
      </c>
      <c r="C611" s="1114" t="s">
        <v>4588</v>
      </c>
      <c r="D611" s="1115">
        <v>18.850000000000001</v>
      </c>
      <c r="E611" s="1192" t="s">
        <v>5057</v>
      </c>
      <c r="F611" s="1139" t="s">
        <v>1979</v>
      </c>
      <c r="G611" s="968" t="s">
        <v>5871</v>
      </c>
    </row>
    <row r="612" spans="1:8" ht="15">
      <c r="A612" s="308"/>
      <c r="B612" s="1137">
        <v>45181</v>
      </c>
      <c r="C612" s="1114" t="s">
        <v>13359</v>
      </c>
      <c r="D612" s="1115">
        <v>23.53</v>
      </c>
      <c r="E612" s="1192" t="s">
        <v>2062</v>
      </c>
      <c r="F612" s="1139" t="s">
        <v>2063</v>
      </c>
      <c r="G612" s="968" t="s">
        <v>5870</v>
      </c>
    </row>
    <row r="613" spans="1:8" ht="16.5" thickBot="1">
      <c r="A613" s="308"/>
      <c r="B613" s="1738"/>
      <c r="C613" s="1739" t="s">
        <v>180</v>
      </c>
      <c r="D613" s="1737">
        <f>IF(COUNT(D609:D612)=3,MEDIAN(D609:D612),SMALL(D610:D612,1))</f>
        <v>23.53</v>
      </c>
      <c r="E613" s="1740"/>
      <c r="F613" s="1741"/>
      <c r="G613" s="1742"/>
    </row>
    <row r="614" spans="1:8" ht="13.5" thickBot="1"/>
    <row r="615" spans="1:8" ht="36.75" customHeight="1">
      <c r="A615" s="308"/>
      <c r="B615" s="623" t="str">
        <f>IF(COUNT($H$17:H615)&lt;10,CONCATENATE("CPU IP 00",COUNT($H$17:H615)),CONCATENATE("CPU IP 0",COUNT($H$17:H615)))</f>
        <v>CPU IP 035</v>
      </c>
      <c r="C615" s="2180" t="s">
        <v>1873</v>
      </c>
      <c r="D615" s="2181"/>
      <c r="E615" s="2181"/>
      <c r="F615" s="2181"/>
      <c r="G615" s="624" t="s">
        <v>22</v>
      </c>
      <c r="H615" s="619">
        <f>G630</f>
        <v>708.92000000000007</v>
      </c>
    </row>
    <row r="616" spans="1:8" ht="31.5">
      <c r="A616" s="308"/>
      <c r="B616" s="750" t="s">
        <v>173</v>
      </c>
      <c r="C616" s="751" t="s">
        <v>161</v>
      </c>
      <c r="D616" s="826" t="s">
        <v>22</v>
      </c>
      <c r="E616" s="751" t="s">
        <v>162</v>
      </c>
      <c r="F616" s="752" t="s">
        <v>163</v>
      </c>
      <c r="G616" s="753" t="s">
        <v>164</v>
      </c>
    </row>
    <row r="617" spans="1:8" ht="15.75">
      <c r="A617" s="308"/>
      <c r="B617" s="2429" t="s">
        <v>165</v>
      </c>
      <c r="C617" s="2430"/>
      <c r="D617" s="2430"/>
      <c r="E617" s="2430"/>
      <c r="F617" s="2430"/>
      <c r="G617" s="2431"/>
    </row>
    <row r="618" spans="1:8" ht="30">
      <c r="A618" s="333" t="s">
        <v>390</v>
      </c>
      <c r="B618" s="876">
        <v>34519</v>
      </c>
      <c r="C618" s="728" t="str">
        <f>IF($A618="INSUMO",VLOOKUP($B618,'BANCO DE DADOS JANEIRO-24 INS'!$A:$D,2,FALSE),VLOOKUP($B618,'BANCO DE DADOS JANEIRO-24 SERV'!$B:$E,2,FALSE))</f>
        <v xml:space="preserve">CRUZETA DE CONCRETO LEVE, COMP. 2000 MM SECAO, 90 X 90 MM                                                                                                                                                                                                                                                                                                                                                                                                                                                 </v>
      </c>
      <c r="D618" s="732" t="str">
        <f>IF($A618="INSUMO",VLOOKUP($B618,'BANCO DE DADOS JANEIRO-24 INS'!$A:$D,3,FALSE),VLOOKUP($B618,'BANCO DE DADOS JANEIRO-24 SERV'!$B:$E,3,FALSE))</f>
        <v xml:space="preserve">UN    </v>
      </c>
      <c r="E618" s="846">
        <v>1</v>
      </c>
      <c r="F618" s="755">
        <f>IF($A618="INSUMO",VLOOKUP($B618,'BANCO DE DADOS JANEIRO-24 INS'!$A:$D,4,FALSE),VLOOKUP($B618,'BANCO DE DADOS JANEIRO-24 SERV'!$B:$E,4,FALSE))</f>
        <v>80.41</v>
      </c>
      <c r="G618" s="848">
        <f t="shared" ref="G618:G626" si="2">TRUNC(F618*E618,2)</f>
        <v>80.41</v>
      </c>
    </row>
    <row r="619" spans="1:8" ht="15.75">
      <c r="A619" s="333"/>
      <c r="B619" s="875" t="str">
        <f>B632</f>
        <v>COT-01</v>
      </c>
      <c r="C619" s="851" t="str">
        <f>C632</f>
        <v>MÃO FRANCESA PLANA 619MM</v>
      </c>
      <c r="D619" s="861" t="str">
        <f>G632</f>
        <v>UN</v>
      </c>
      <c r="E619" s="846">
        <v>2</v>
      </c>
      <c r="F619" s="755">
        <f>D637</f>
        <v>20.7</v>
      </c>
      <c r="G619" s="848">
        <f t="shared" si="2"/>
        <v>41.4</v>
      </c>
    </row>
    <row r="620" spans="1:8" ht="30">
      <c r="A620" s="333" t="s">
        <v>390</v>
      </c>
      <c r="B620" s="876">
        <v>430</v>
      </c>
      <c r="C620" s="728" t="str">
        <f>IF($A620="INSUMO",VLOOKUP($B620,'BANCO DE DADOS JANEIRO-24 INS'!$A:$D,2,FALSE),VLOOKUP($B620,'BANCO DE DADOS JANEIRO-24 SERV'!$B:$E,2,FALSE))</f>
        <v xml:space="preserve">PARAFUSO M16 EM ACO GALVANIZADO, COMPRIMENTO = 125 MM, DIAMETRO = 16 MM, ROSCA MAQUINA, CABECA QUADRADA                                                                                                                                                                                                                                                                                                                                                                                                   </v>
      </c>
      <c r="D620" s="732" t="str">
        <f>IF($A620="INSUMO",VLOOKUP($B620,'BANCO DE DADOS JANEIRO-24 INS'!$A:$D,3,FALSE),VLOOKUP($B620,'BANCO DE DADOS JANEIRO-24 SERV'!$B:$E,3,FALSE))</f>
        <v xml:space="preserve">UN    </v>
      </c>
      <c r="E620" s="846">
        <v>2</v>
      </c>
      <c r="F620" s="755">
        <f>IF($A620="INSUMO",VLOOKUP($B620,'BANCO DE DADOS JANEIRO-24 INS'!$A:$D,4,FALSE),VLOOKUP($B620,'BANCO DE DADOS JANEIRO-24 SERV'!$B:$E,4,FALSE))</f>
        <v>11.85</v>
      </c>
      <c r="G620" s="848">
        <f t="shared" si="2"/>
        <v>23.7</v>
      </c>
    </row>
    <row r="621" spans="1:8" ht="15.75">
      <c r="A621" s="333"/>
      <c r="B621" s="876" t="str">
        <f>B639</f>
        <v>COT-02</v>
      </c>
      <c r="C621" s="868" t="str">
        <f>C639</f>
        <v xml:space="preserve">ISOLADOR PILAR 110KV; </v>
      </c>
      <c r="D621" s="861" t="str">
        <f>G639</f>
        <v>UN</v>
      </c>
      <c r="E621" s="846">
        <v>3</v>
      </c>
      <c r="F621" s="755">
        <f>D644</f>
        <v>81.61</v>
      </c>
      <c r="G621" s="848">
        <f t="shared" si="2"/>
        <v>244.83</v>
      </c>
    </row>
    <row r="622" spans="1:8" ht="15.75">
      <c r="A622" s="333"/>
      <c r="B622" s="876" t="str">
        <f>B646</f>
        <v>COT-03</v>
      </c>
      <c r="C622" s="868" t="str">
        <f>C646</f>
        <v xml:space="preserve"> PINO AUTO-TRAVANTE –140 MM PARA ISOLADOR PILAR; </v>
      </c>
      <c r="D622" s="861" t="str">
        <f>G646</f>
        <v>UN</v>
      </c>
      <c r="E622" s="846">
        <v>3</v>
      </c>
      <c r="F622" s="755">
        <f>D651</f>
        <v>17</v>
      </c>
      <c r="G622" s="848">
        <f t="shared" si="2"/>
        <v>51</v>
      </c>
    </row>
    <row r="623" spans="1:8" ht="30">
      <c r="A623" s="333" t="s">
        <v>390</v>
      </c>
      <c r="B623" s="876">
        <v>379</v>
      </c>
      <c r="C623" s="728" t="str">
        <f>IF($A623="INSUMO",VLOOKUP($B623,'BANCO DE DADOS JANEIRO-24 INS'!$A:$D,2,FALSE),VLOOKUP($B623,'BANCO DE DADOS JANEIRO-24 SERV'!$B:$E,2,FALSE))</f>
        <v xml:space="preserve">ARRUELA QUADRADA EM ACO GALVANIZADO, DIMENSAO = 38 MM, ESPESSURA = 3MM, DIAMETRO DO FURO= 18 MM                                                                                                                                                                                                                                                                                                                                                                                                           </v>
      </c>
      <c r="D623" s="732" t="str">
        <f>IF($A623="INSUMO",VLOOKUP($B623,'BANCO DE DADOS JANEIRO-24 INS'!$A:$D,3,FALSE),VLOOKUP($B623,'BANCO DE DADOS JANEIRO-24 SERV'!$B:$E,3,FALSE))</f>
        <v xml:space="preserve">UN    </v>
      </c>
      <c r="E623" s="846">
        <v>5</v>
      </c>
      <c r="F623" s="755">
        <f>IF($A623="INSUMO",VLOOKUP($B623,'BANCO DE DADOS JANEIRO-24 INS'!$A:$D,4,FALSE),VLOOKUP($B623,'BANCO DE DADOS JANEIRO-24 SERV'!$B:$E,4,FALSE))</f>
        <v>1.57</v>
      </c>
      <c r="G623" s="848">
        <f t="shared" si="2"/>
        <v>7.85</v>
      </c>
    </row>
    <row r="624" spans="1:8" ht="30">
      <c r="A624" s="333" t="s">
        <v>390</v>
      </c>
      <c r="B624" s="877">
        <v>431</v>
      </c>
      <c r="C624" s="728" t="str">
        <f>IF($A624="INSUMO",VLOOKUP($B624,'BANCO DE DADOS JANEIRO-24 INS'!$A:$D,2,FALSE),VLOOKUP($B624,'BANCO DE DADOS JANEIRO-24 SERV'!$B:$E,2,FALSE))</f>
        <v xml:space="preserve">PARAFUSO M16 EM ACO GALVANIZADO, COMPRIMENTO = 200 MM, DIAMETRO = 16 MM, ROSCA MAQUINA, CABECA QUADRADA                                                                                                                                                                                                                                                                                                                                                                                                   </v>
      </c>
      <c r="D624" s="732" t="str">
        <f>IF($A624="INSUMO",VLOOKUP($B624,'BANCO DE DADOS JANEIRO-24 INS'!$A:$D,3,FALSE),VLOOKUP($B624,'BANCO DE DADOS JANEIRO-24 SERV'!$B:$E,3,FALSE))</f>
        <v xml:space="preserve">UN    </v>
      </c>
      <c r="E624" s="819">
        <v>1</v>
      </c>
      <c r="F624" s="755">
        <f>IF($A624="INSUMO",VLOOKUP($B624,'BANCO DE DADOS JANEIRO-24 INS'!$A:$D,4,FALSE),VLOOKUP($B624,'BANCO DE DADOS JANEIRO-24 SERV'!$B:$E,4,FALSE))</f>
        <v>15.75</v>
      </c>
      <c r="G624" s="848">
        <f t="shared" si="2"/>
        <v>15.75</v>
      </c>
    </row>
    <row r="625" spans="1:8" ht="30">
      <c r="A625" s="333" t="s">
        <v>390</v>
      </c>
      <c r="B625" s="877">
        <v>432</v>
      </c>
      <c r="C625" s="728" t="str">
        <f>IF($A625="INSUMO",VLOOKUP($B625,'BANCO DE DADOS JANEIRO-24 INS'!$A:$D,2,FALSE),VLOOKUP($B625,'BANCO DE DADOS JANEIRO-24 SERV'!$B:$E,2,FALSE))</f>
        <v xml:space="preserve">PARAFUSO M16 EM ACO GALVANIZADO, COMPRIMENTO = 250 MM, DIAMETRO = 16 MM, ROSCA MAQUINA, CABECA QUADRADA                                                                                                                                                                                                                                                                                                                                                                                                   </v>
      </c>
      <c r="D625" s="732" t="str">
        <f>IF($A625="INSUMO",VLOOKUP($B625,'BANCO DE DADOS JANEIRO-24 INS'!$A:$D,3,FALSE),VLOOKUP($B625,'BANCO DE DADOS JANEIRO-24 SERV'!$B:$E,3,FALSE))</f>
        <v xml:space="preserve">UN    </v>
      </c>
      <c r="E625" s="819">
        <v>1</v>
      </c>
      <c r="F625" s="755">
        <f>IF($A625="INSUMO",VLOOKUP($B625,'BANCO DE DADOS JANEIRO-24 INS'!$A:$D,4,FALSE),VLOOKUP($B625,'BANCO DE DADOS JANEIRO-24 SERV'!$B:$E,4,FALSE))</f>
        <v>17.38</v>
      </c>
      <c r="G625" s="848">
        <f t="shared" si="2"/>
        <v>17.38</v>
      </c>
    </row>
    <row r="626" spans="1:8" ht="15.75">
      <c r="A626" s="333"/>
      <c r="B626" s="875" t="str">
        <f>B653</f>
        <v>COT-07</v>
      </c>
      <c r="C626" s="872" t="str">
        <f>C653</f>
        <v>LAÇO PRE-FORMADO DE TOPO</v>
      </c>
      <c r="D626" s="861" t="str">
        <f>G653</f>
        <v>UN</v>
      </c>
      <c r="E626" s="846">
        <v>3</v>
      </c>
      <c r="F626" s="755">
        <f>D658</f>
        <v>10.68</v>
      </c>
      <c r="G626" s="848">
        <f t="shared" si="2"/>
        <v>32.04</v>
      </c>
    </row>
    <row r="627" spans="1:8" ht="15.75">
      <c r="A627" s="308"/>
      <c r="B627" s="2429" t="s">
        <v>166</v>
      </c>
      <c r="C627" s="2430"/>
      <c r="D627" s="2430"/>
      <c r="E627" s="2430"/>
      <c r="F627" s="2430"/>
      <c r="G627" s="2431"/>
    </row>
    <row r="628" spans="1:8" ht="15.75">
      <c r="A628" s="333" t="s">
        <v>391</v>
      </c>
      <c r="B628" s="841">
        <v>88264</v>
      </c>
      <c r="C628" s="728" t="str">
        <f>IF($A628="INSUMO",VLOOKUP($B628,'BANCO DE DADOS JANEIRO-24 INS'!$A:$D,2,FALSE),VLOOKUP($B628,'BANCO DE DADOS JANEIRO-24 SERV'!$B:$E,2,FALSE))</f>
        <v>ELETRICISTA COM ENCARGOS COMPLEMENTARES</v>
      </c>
      <c r="D628" s="732" t="str">
        <f>IF($A628="INSUMO",VLOOKUP($B628,'BANCO DE DADOS JANEIRO-24 INS'!$A:$D,3,FALSE),VLOOKUP($B628,'BANCO DE DADOS JANEIRO-24 SERV'!$B:$E,3,FALSE))</f>
        <v>H</v>
      </c>
      <c r="E628" s="839">
        <v>4</v>
      </c>
      <c r="F628" s="755">
        <f>IF($A628="INSUMO",VLOOKUP($B628,'BANCO DE DADOS JANEIRO-24 INS'!$A:$D,4,FALSE),VLOOKUP($B628,'BANCO DE DADOS JANEIRO-24 SERV'!$B:$E,4,FALSE))</f>
        <v>26.68</v>
      </c>
      <c r="G628" s="840">
        <f>TRUNC(F628*E628,2)</f>
        <v>106.72</v>
      </c>
    </row>
    <row r="629" spans="1:8" ht="16.5" thickBot="1">
      <c r="A629" s="333" t="s">
        <v>391</v>
      </c>
      <c r="B629" s="625">
        <v>88247</v>
      </c>
      <c r="C629" s="731" t="str">
        <f>IF($A629="INSUMO",VLOOKUP($B629,'BANCO DE DADOS JANEIRO-24 INS'!$A:$D,2,FALSE),VLOOKUP($B629,'BANCO DE DADOS JANEIRO-24 SERV'!$B:$E,2,FALSE))</f>
        <v>AUXILIAR DE ELETRICISTA COM ENCARGOS COMPLEMENTARES</v>
      </c>
      <c r="D629" s="729" t="str">
        <f>IF($A629="INSUMO",VLOOKUP($B629,'BANCO DE DADOS JANEIRO-24 INS'!$A:$D,3,FALSE),VLOOKUP($B629,'BANCO DE DADOS JANEIRO-24 SERV'!$B:$E,3,FALSE))</f>
        <v>H</v>
      </c>
      <c r="E629" s="842">
        <v>4</v>
      </c>
      <c r="F629" s="757">
        <f>IF($A629="INSUMO",VLOOKUP($B629,'BANCO DE DADOS JANEIRO-24 INS'!$A:$D,4,FALSE),VLOOKUP($B629,'BANCO DE DADOS JANEIRO-24 SERV'!$B:$E,4,FALSE))</f>
        <v>21.96</v>
      </c>
      <c r="G629" s="626">
        <f>TRUNC(F629*E629,2)</f>
        <v>87.84</v>
      </c>
    </row>
    <row r="630" spans="1:8" ht="16.5" thickBot="1">
      <c r="A630" s="308"/>
      <c r="B630" s="2450" t="s">
        <v>1884</v>
      </c>
      <c r="C630" s="2450"/>
      <c r="D630" s="2450"/>
      <c r="E630" s="2450"/>
      <c r="F630" s="325" t="s">
        <v>167</v>
      </c>
      <c r="G630" s="326">
        <f>SUM(G617:G629)</f>
        <v>708.92000000000007</v>
      </c>
    </row>
    <row r="631" spans="1:8" ht="13.5" thickBot="1"/>
    <row r="632" spans="1:8" ht="15.75">
      <c r="B632" s="1669" t="s">
        <v>1842</v>
      </c>
      <c r="C632" s="1751" t="s">
        <v>1843</v>
      </c>
      <c r="D632" s="1747"/>
      <c r="E632" s="1748"/>
      <c r="F632" s="1749"/>
      <c r="G632" s="1670" t="s">
        <v>22</v>
      </c>
      <c r="H632" s="683" t="s">
        <v>1981</v>
      </c>
    </row>
    <row r="633" spans="1:8" ht="31.5">
      <c r="B633" s="810" t="s">
        <v>174</v>
      </c>
      <c r="C633" s="811" t="s">
        <v>175</v>
      </c>
      <c r="D633" s="812" t="s">
        <v>176</v>
      </c>
      <c r="E633" s="813" t="s">
        <v>177</v>
      </c>
      <c r="F633" s="837" t="s">
        <v>178</v>
      </c>
      <c r="G633" s="815" t="s">
        <v>179</v>
      </c>
    </row>
    <row r="634" spans="1:8" ht="15">
      <c r="B634" s="1177">
        <v>45264</v>
      </c>
      <c r="C634" s="1300" t="s">
        <v>502</v>
      </c>
      <c r="D634" s="1309">
        <v>20.7</v>
      </c>
      <c r="E634" s="1311" t="s">
        <v>1846</v>
      </c>
      <c r="F634" s="1301" t="s">
        <v>192</v>
      </c>
      <c r="G634" s="1302" t="s">
        <v>5565</v>
      </c>
    </row>
    <row r="635" spans="1:8" ht="15">
      <c r="B635" s="1177">
        <v>45254</v>
      </c>
      <c r="C635" s="1300" t="s">
        <v>4588</v>
      </c>
      <c r="D635" s="1136">
        <v>24.16</v>
      </c>
      <c r="E635" s="1311" t="s">
        <v>5057</v>
      </c>
      <c r="F635" s="1301" t="s">
        <v>1979</v>
      </c>
      <c r="G635" s="1302" t="s">
        <v>5871</v>
      </c>
    </row>
    <row r="636" spans="1:8" ht="15">
      <c r="B636" s="1299">
        <v>45253</v>
      </c>
      <c r="C636" s="1297" t="s">
        <v>5879</v>
      </c>
      <c r="D636" s="1333">
        <v>20.190000000000001</v>
      </c>
      <c r="E636" s="1192" t="s">
        <v>2185</v>
      </c>
      <c r="F636" s="1298" t="s">
        <v>4611</v>
      </c>
      <c r="G636" s="1364" t="s">
        <v>2840</v>
      </c>
    </row>
    <row r="637" spans="1:8" ht="16.5" thickBot="1">
      <c r="B637" s="1738"/>
      <c r="C637" s="1739" t="s">
        <v>180</v>
      </c>
      <c r="D637" s="1737">
        <f>IF(COUNT(D633:D636)=3,MEDIAN(D633:D636),SMALL(D634:D636,1))</f>
        <v>20.7</v>
      </c>
      <c r="E637" s="1740"/>
      <c r="F637" s="1741"/>
      <c r="G637" s="1742"/>
    </row>
    <row r="638" spans="1:8" ht="13.5" thickBot="1"/>
    <row r="639" spans="1:8" ht="15.75">
      <c r="B639" s="1669" t="s">
        <v>1844</v>
      </c>
      <c r="C639" s="1751" t="s">
        <v>1845</v>
      </c>
      <c r="D639" s="1747"/>
      <c r="E639" s="1748"/>
      <c r="F639" s="1749"/>
      <c r="G639" s="1670" t="s">
        <v>22</v>
      </c>
      <c r="H639" s="683" t="s">
        <v>1981</v>
      </c>
    </row>
    <row r="640" spans="1:8" ht="31.5">
      <c r="B640" s="810" t="s">
        <v>174</v>
      </c>
      <c r="C640" s="811" t="s">
        <v>175</v>
      </c>
      <c r="D640" s="812" t="s">
        <v>176</v>
      </c>
      <c r="E640" s="813" t="s">
        <v>177</v>
      </c>
      <c r="F640" s="837" t="s">
        <v>178</v>
      </c>
      <c r="G640" s="815" t="s">
        <v>179</v>
      </c>
    </row>
    <row r="641" spans="1:8" ht="15">
      <c r="B641" s="1363">
        <v>44646</v>
      </c>
      <c r="C641" s="1306" t="s">
        <v>2708</v>
      </c>
      <c r="D641" s="1310">
        <v>81.61</v>
      </c>
      <c r="E641" s="1220" t="s">
        <v>545</v>
      </c>
      <c r="F641" s="1331" t="s">
        <v>1808</v>
      </c>
      <c r="G641" s="1335" t="s">
        <v>555</v>
      </c>
    </row>
    <row r="642" spans="1:8" ht="15">
      <c r="B642" s="1281">
        <v>44651</v>
      </c>
      <c r="C642" s="1300" t="s">
        <v>5212</v>
      </c>
      <c r="D642" s="1309">
        <v>75</v>
      </c>
      <c r="E642" s="1311" t="s">
        <v>5057</v>
      </c>
      <c r="F642" s="1301" t="s">
        <v>1979</v>
      </c>
      <c r="G642" s="1302" t="s">
        <v>5216</v>
      </c>
    </row>
    <row r="643" spans="1:8" ht="15">
      <c r="B643" s="1281">
        <v>44655</v>
      </c>
      <c r="C643" s="1300" t="s">
        <v>5213</v>
      </c>
      <c r="D643" s="1136">
        <v>94</v>
      </c>
      <c r="E643" s="1311" t="s">
        <v>5214</v>
      </c>
      <c r="F643" s="1301" t="s">
        <v>5215</v>
      </c>
      <c r="G643" s="1302" t="s">
        <v>5564</v>
      </c>
    </row>
    <row r="644" spans="1:8" ht="16.5" thickBot="1">
      <c r="B644" s="1738"/>
      <c r="C644" s="1739" t="s">
        <v>180</v>
      </c>
      <c r="D644" s="1737">
        <f>IF(COUNT(D640:D643)=3,MEDIAN(D640:D643),SMALL(D641:D643,1))</f>
        <v>81.61</v>
      </c>
      <c r="E644" s="1740"/>
      <c r="F644" s="1741"/>
      <c r="G644" s="1742"/>
    </row>
    <row r="645" spans="1:8" ht="13.5" thickBot="1"/>
    <row r="646" spans="1:8" ht="15.75">
      <c r="B646" s="1669" t="s">
        <v>1847</v>
      </c>
      <c r="C646" s="1751" t="s">
        <v>1848</v>
      </c>
      <c r="D646" s="1747"/>
      <c r="E646" s="1748"/>
      <c r="F646" s="1749"/>
      <c r="G646" s="1670" t="s">
        <v>22</v>
      </c>
      <c r="H646" s="683" t="s">
        <v>1981</v>
      </c>
    </row>
    <row r="647" spans="1:8" ht="31.5">
      <c r="B647" s="810" t="s">
        <v>174</v>
      </c>
      <c r="C647" s="811" t="s">
        <v>175</v>
      </c>
      <c r="D647" s="812" t="s">
        <v>176</v>
      </c>
      <c r="E647" s="813" t="s">
        <v>177</v>
      </c>
      <c r="F647" s="837" t="s">
        <v>178</v>
      </c>
      <c r="G647" s="815" t="s">
        <v>179</v>
      </c>
    </row>
    <row r="648" spans="1:8" ht="15">
      <c r="B648" s="1177">
        <v>45180</v>
      </c>
      <c r="C648" s="1300" t="s">
        <v>2708</v>
      </c>
      <c r="D648" s="1136">
        <v>15.67</v>
      </c>
      <c r="E648" s="1311" t="s">
        <v>545</v>
      </c>
      <c r="F648" s="1301" t="s">
        <v>1808</v>
      </c>
      <c r="G648" s="1302" t="s">
        <v>555</v>
      </c>
    </row>
    <row r="649" spans="1:8" ht="15">
      <c r="B649" s="1177">
        <v>45197</v>
      </c>
      <c r="C649" s="1300" t="s">
        <v>502</v>
      </c>
      <c r="D649" s="1309">
        <v>19</v>
      </c>
      <c r="E649" s="1311" t="s">
        <v>1846</v>
      </c>
      <c r="F649" s="1301" t="s">
        <v>556</v>
      </c>
      <c r="G649" s="1302" t="s">
        <v>13343</v>
      </c>
    </row>
    <row r="650" spans="1:8" ht="15">
      <c r="B650" s="1299">
        <v>45196</v>
      </c>
      <c r="C650" s="1297" t="s">
        <v>4588</v>
      </c>
      <c r="D650" s="1333">
        <v>17</v>
      </c>
      <c r="E650" s="1192" t="s">
        <v>5057</v>
      </c>
      <c r="F650" s="1298" t="s">
        <v>1979</v>
      </c>
      <c r="G650" s="1364" t="s">
        <v>5871</v>
      </c>
    </row>
    <row r="651" spans="1:8" ht="16.5" thickBot="1">
      <c r="B651" s="1738"/>
      <c r="C651" s="1739" t="s">
        <v>180</v>
      </c>
      <c r="D651" s="1737">
        <f>IF(COUNT(D647:D650)=3,MEDIAN(D647:D650),SMALL(D648:D650,1))</f>
        <v>17</v>
      </c>
      <c r="E651" s="1740"/>
      <c r="F651" s="1741"/>
      <c r="G651" s="1742"/>
    </row>
    <row r="652" spans="1:8" ht="15.75" thickBot="1">
      <c r="A652" s="308"/>
    </row>
    <row r="653" spans="1:8" ht="15.75">
      <c r="A653" s="308"/>
      <c r="B653" s="1669" t="s">
        <v>1855</v>
      </c>
      <c r="C653" s="1751" t="s">
        <v>1856</v>
      </c>
      <c r="D653" s="1747"/>
      <c r="E653" s="1748"/>
      <c r="F653" s="1749"/>
      <c r="G653" s="1670" t="s">
        <v>22</v>
      </c>
      <c r="H653" s="683" t="s">
        <v>1981</v>
      </c>
    </row>
    <row r="654" spans="1:8" ht="31.5">
      <c r="A654" s="308"/>
      <c r="B654" s="810" t="s">
        <v>174</v>
      </c>
      <c r="C654" s="811" t="s">
        <v>175</v>
      </c>
      <c r="D654" s="812" t="s">
        <v>176</v>
      </c>
      <c r="E654" s="813" t="s">
        <v>177</v>
      </c>
      <c r="F654" s="837" t="s">
        <v>178</v>
      </c>
      <c r="G654" s="815" t="s">
        <v>179</v>
      </c>
    </row>
    <row r="655" spans="1:8" ht="15">
      <c r="A655" s="308"/>
      <c r="B655" s="1174">
        <v>45254</v>
      </c>
      <c r="C655" s="1297" t="s">
        <v>4588</v>
      </c>
      <c r="D655" s="1333">
        <v>10.68</v>
      </c>
      <c r="E655" s="1192" t="s">
        <v>5057</v>
      </c>
      <c r="F655" s="1298" t="s">
        <v>1979</v>
      </c>
      <c r="G655" s="1332" t="s">
        <v>5871</v>
      </c>
    </row>
    <row r="656" spans="1:8" ht="15">
      <c r="A656" s="308"/>
      <c r="B656" s="1174">
        <v>45264</v>
      </c>
      <c r="C656" s="1114" t="s">
        <v>502</v>
      </c>
      <c r="D656" s="1330">
        <v>10</v>
      </c>
      <c r="E656" s="1185" t="s">
        <v>1846</v>
      </c>
      <c r="F656" s="1139" t="s">
        <v>192</v>
      </c>
      <c r="G656" s="1117" t="s">
        <v>5565</v>
      </c>
    </row>
    <row r="657" spans="1:8" ht="15">
      <c r="A657" s="308"/>
      <c r="B657" s="1299">
        <v>45253</v>
      </c>
      <c r="C657" s="1297" t="s">
        <v>5879</v>
      </c>
      <c r="D657" s="1333">
        <v>11.39</v>
      </c>
      <c r="E657" s="1192" t="s">
        <v>2185</v>
      </c>
      <c r="F657" s="1298" t="s">
        <v>4611</v>
      </c>
      <c r="G657" s="1364" t="s">
        <v>2840</v>
      </c>
    </row>
    <row r="658" spans="1:8" ht="16.5" thickBot="1">
      <c r="A658" s="308"/>
      <c r="B658" s="1738"/>
      <c r="C658" s="1739" t="s">
        <v>180</v>
      </c>
      <c r="D658" s="1737">
        <f>IF(COUNT(D654:D657)=3,MEDIAN(D654:D657),SMALL(D655:D657,1))</f>
        <v>10.68</v>
      </c>
      <c r="E658" s="1740"/>
      <c r="F658" s="1741"/>
      <c r="G658" s="1742"/>
    </row>
    <row r="659" spans="1:8" ht="15.75" thickBot="1">
      <c r="A659" s="308"/>
    </row>
    <row r="660" spans="1:8" ht="15.75">
      <c r="A660" s="308"/>
      <c r="B660" s="623" t="str">
        <f>IF(COUNT($H$17:H660)&lt;10,CONCATENATE("CPU IP 00",COUNT($H$17:H660)),CONCATENATE("CPU IP 0",COUNT($H$17:H660)))</f>
        <v>CPU IP 036</v>
      </c>
      <c r="C660" s="2180" t="s">
        <v>1874</v>
      </c>
      <c r="D660" s="2181"/>
      <c r="E660" s="2181"/>
      <c r="F660" s="2181"/>
      <c r="G660" s="624" t="s">
        <v>22</v>
      </c>
      <c r="H660" s="619">
        <f>G677</f>
        <v>1706.7900000000002</v>
      </c>
    </row>
    <row r="661" spans="1:8" ht="31.5">
      <c r="A661" s="308"/>
      <c r="B661" s="750" t="s">
        <v>173</v>
      </c>
      <c r="C661" s="751" t="s">
        <v>161</v>
      </c>
      <c r="D661" s="826" t="s">
        <v>22</v>
      </c>
      <c r="E661" s="751" t="s">
        <v>162</v>
      </c>
      <c r="F661" s="752" t="s">
        <v>163</v>
      </c>
      <c r="G661" s="753" t="s">
        <v>164</v>
      </c>
    </row>
    <row r="662" spans="1:8" ht="15.75">
      <c r="A662" s="308"/>
      <c r="B662" s="2429" t="s">
        <v>165</v>
      </c>
      <c r="C662" s="2430"/>
      <c r="D662" s="2430"/>
      <c r="E662" s="2430"/>
      <c r="F662" s="2430"/>
      <c r="G662" s="2431"/>
    </row>
    <row r="663" spans="1:8" ht="30">
      <c r="A663" s="333" t="s">
        <v>390</v>
      </c>
      <c r="B663" s="873">
        <v>34519</v>
      </c>
      <c r="C663" s="728" t="str">
        <f>IF($A663="INSUMO",VLOOKUP($B663,'BANCO DE DADOS JANEIRO-24 INS'!$A:$D,2,FALSE),VLOOKUP($B663,'BANCO DE DADOS JANEIRO-24 SERV'!$B:$E,2,FALSE))</f>
        <v xml:space="preserve">CRUZETA DE CONCRETO LEVE, COMP. 2000 MM SECAO, 90 X 90 MM                                                                                                                                                                                                                                                                                                                                                                                                                                                 </v>
      </c>
      <c r="D663" s="732" t="str">
        <f>IF($A663="INSUMO",VLOOKUP($B663,'BANCO DE DADOS JANEIRO-24 INS'!$A:$D,3,FALSE),VLOOKUP($B663,'BANCO DE DADOS JANEIRO-24 SERV'!$B:$E,3,FALSE))</f>
        <v xml:space="preserve">UN    </v>
      </c>
      <c r="E663" s="819">
        <v>2</v>
      </c>
      <c r="F663" s="755">
        <f>IF($A663="INSUMO",VLOOKUP($B663,'BANCO DE DADOS JANEIRO-24 INS'!$A:$D,4,FALSE),VLOOKUP($B663,'BANCO DE DADOS JANEIRO-24 SERV'!$B:$E,4,FALSE))</f>
        <v>80.41</v>
      </c>
      <c r="G663" s="874">
        <f t="shared" ref="G663:G673" si="3">TRUNC(F663*E663,2)</f>
        <v>160.82</v>
      </c>
    </row>
    <row r="664" spans="1:8" ht="15.75">
      <c r="A664" s="333"/>
      <c r="B664" s="880" t="str">
        <f>B679</f>
        <v>COT-01</v>
      </c>
      <c r="C664" s="851" t="str">
        <f>C679</f>
        <v>MÃO FRANCESA PLANA 619MM</v>
      </c>
      <c r="D664" s="879" t="str">
        <f>G679</f>
        <v>UN</v>
      </c>
      <c r="E664" s="819">
        <v>4</v>
      </c>
      <c r="F664" s="871">
        <f>D684</f>
        <v>20.7</v>
      </c>
      <c r="G664" s="874">
        <f t="shared" si="3"/>
        <v>82.8</v>
      </c>
    </row>
    <row r="665" spans="1:8" ht="15.75">
      <c r="A665" s="333" t="s">
        <v>390</v>
      </c>
      <c r="B665" s="873">
        <v>421</v>
      </c>
      <c r="C665" s="728" t="str">
        <f>IF($A665="INSUMO",VLOOKUP($B665,'BANCO DE DADOS JANEIRO-24 INS'!$A:$D,2,FALSE),VLOOKUP($B665,'BANCO DE DADOS JANEIRO-24 SERV'!$B:$E,2,FALSE))</f>
        <v xml:space="preserve">PORCA OLHAL M 16,  EM ACO GALVANIZADO, DIAMETRO = 16 MM                                                                                                                                                                                                                                                                                                                                                                                                                                                   </v>
      </c>
      <c r="D665" s="732" t="str">
        <f>IF($A665="INSUMO",VLOOKUP($B665,'BANCO DE DADOS JANEIRO-24 INS'!$A:$D,3,FALSE),VLOOKUP($B665,'BANCO DE DADOS JANEIRO-24 SERV'!$B:$E,3,FALSE))</f>
        <v xml:space="preserve">UN    </v>
      </c>
      <c r="E665" s="819">
        <v>3</v>
      </c>
      <c r="F665" s="755">
        <f>IF($A665="INSUMO",VLOOKUP($B665,'BANCO DE DADOS JANEIRO-24 INS'!$A:$D,4,FALSE),VLOOKUP($B665,'BANCO DE DADOS JANEIRO-24 SERV'!$B:$E,4,FALSE))</f>
        <v>23.07</v>
      </c>
      <c r="G665" s="874">
        <f t="shared" si="3"/>
        <v>69.209999999999994</v>
      </c>
    </row>
    <row r="666" spans="1:8" ht="30">
      <c r="A666" s="333" t="s">
        <v>390</v>
      </c>
      <c r="B666" s="873">
        <v>3405</v>
      </c>
      <c r="C666" s="728" t="str">
        <f>IF($A666="INSUMO",VLOOKUP($B666,'BANCO DE DADOS JANEIRO-24 INS'!$A:$D,2,FALSE),VLOOKUP($B666,'BANCO DE DADOS JANEIRO-24 SERV'!$B:$E,2,FALSE))</f>
        <v xml:space="preserve">ISOLADOR DE PORCELANA SUSPENSO, DISCO TIPO GARFO OLHAL, DIAMETRO DE 152 MM, PARA TENSAO DE *15* KV                                                                                                                                                                                                                                                                                                                                                                                                        </v>
      </c>
      <c r="D666" s="732" t="str">
        <f>IF($A666="INSUMO",VLOOKUP($B666,'BANCO DE DADOS JANEIRO-24 INS'!$A:$D,3,FALSE),VLOOKUP($B666,'BANCO DE DADOS JANEIRO-24 SERV'!$B:$E,3,FALSE))</f>
        <v xml:space="preserve">UN    </v>
      </c>
      <c r="E666" s="819">
        <v>9</v>
      </c>
      <c r="F666" s="755">
        <f>IF($A666="INSUMO",VLOOKUP($B666,'BANCO DE DADOS JANEIRO-24 INS'!$A:$D,4,FALSE),VLOOKUP($B666,'BANCO DE DADOS JANEIRO-24 SERV'!$B:$E,4,FALSE))</f>
        <v>101.83</v>
      </c>
      <c r="G666" s="874">
        <f t="shared" si="3"/>
        <v>916.47</v>
      </c>
    </row>
    <row r="667" spans="1:8" ht="30">
      <c r="A667" s="333" t="s">
        <v>390</v>
      </c>
      <c r="B667" s="873">
        <v>430</v>
      </c>
      <c r="C667" s="728" t="str">
        <f>IF($A667="INSUMO",VLOOKUP($B667,'BANCO DE DADOS JANEIRO-24 INS'!$A:$D,2,FALSE),VLOOKUP($B667,'BANCO DE DADOS JANEIRO-24 SERV'!$B:$E,2,FALSE))</f>
        <v xml:space="preserve">PARAFUSO M16 EM ACO GALVANIZADO, COMPRIMENTO = 125 MM, DIAMETRO = 16 MM, ROSCA MAQUINA, CABECA QUADRADA                                                                                                                                                                                                                                                                                                                                                                                                   </v>
      </c>
      <c r="D667" s="732" t="str">
        <f>IF($A667="INSUMO",VLOOKUP($B667,'BANCO DE DADOS JANEIRO-24 INS'!$A:$D,3,FALSE),VLOOKUP($B667,'BANCO DE DADOS JANEIRO-24 SERV'!$B:$E,3,FALSE))</f>
        <v xml:space="preserve">UN    </v>
      </c>
      <c r="E667" s="819">
        <v>4</v>
      </c>
      <c r="F667" s="755">
        <f>IF($A667="INSUMO",VLOOKUP($B667,'BANCO DE DADOS JANEIRO-24 INS'!$A:$D,4,FALSE),VLOOKUP($B667,'BANCO DE DADOS JANEIRO-24 SERV'!$B:$E,4,FALSE))</f>
        <v>11.85</v>
      </c>
      <c r="G667" s="874">
        <f t="shared" si="3"/>
        <v>47.4</v>
      </c>
    </row>
    <row r="668" spans="1:8" ht="30">
      <c r="A668" s="333" t="s">
        <v>390</v>
      </c>
      <c r="B668" s="873">
        <v>402</v>
      </c>
      <c r="C668" s="728" t="str">
        <f>IF($A668="INSUMO",VLOOKUP($B668,'BANCO DE DADOS JANEIRO-24 INS'!$A:$D,2,FALSE),VLOOKUP($B668,'BANCO DE DADOS JANEIRO-24 SERV'!$B:$E,2,FALSE))</f>
        <v xml:space="preserve">GANCHO OLHAL EM ACO GALVANIZADO, ESPESSURA 16MM, ABERTURA 21MM                                                                                                                                                                                                                                                                                                                                                                                                                                            </v>
      </c>
      <c r="D668" s="732" t="str">
        <f>IF($A668="INSUMO",VLOOKUP($B668,'BANCO DE DADOS JANEIRO-24 INS'!$A:$D,3,FALSE),VLOOKUP($B668,'BANCO DE DADOS JANEIRO-24 SERV'!$B:$E,3,FALSE))</f>
        <v xml:space="preserve">UN    </v>
      </c>
      <c r="E668" s="819">
        <v>3</v>
      </c>
      <c r="F668" s="755">
        <f>IF($A668="INSUMO",VLOOKUP($B668,'BANCO DE DADOS JANEIRO-24 INS'!$A:$D,4,FALSE),VLOOKUP($B668,'BANCO DE DADOS JANEIRO-24 SERV'!$B:$E,4,FALSE))</f>
        <v>20.57</v>
      </c>
      <c r="G668" s="874">
        <f t="shared" si="3"/>
        <v>61.71</v>
      </c>
    </row>
    <row r="669" spans="1:8" ht="15.75">
      <c r="A669" s="333"/>
      <c r="B669" s="873" t="str">
        <f>B686</f>
        <v>COT-14</v>
      </c>
      <c r="C669" s="868" t="str">
        <f>C686</f>
        <v>SAPATILHA</v>
      </c>
      <c r="D669" s="879" t="str">
        <f>G686</f>
        <v>UN</v>
      </c>
      <c r="E669" s="819">
        <v>3</v>
      </c>
      <c r="F669" s="871">
        <f>D691</f>
        <v>5.6</v>
      </c>
      <c r="G669" s="874">
        <f t="shared" si="3"/>
        <v>16.8</v>
      </c>
    </row>
    <row r="670" spans="1:8" ht="30">
      <c r="A670" s="333" t="s">
        <v>390</v>
      </c>
      <c r="B670" s="873">
        <v>379</v>
      </c>
      <c r="C670" s="728" t="str">
        <f>IF($A670="INSUMO",VLOOKUP($B670,'BANCO DE DADOS JANEIRO-24 INS'!$A:$D,2,FALSE),VLOOKUP($B670,'BANCO DE DADOS JANEIRO-24 SERV'!$B:$E,2,FALSE))</f>
        <v xml:space="preserve">ARRUELA QUADRADA EM ACO GALVANIZADO, DIMENSAO = 38 MM, ESPESSURA = 3MM, DIAMETRO DO FURO= 18 MM                                                                                                                                                                                                                                                                                                                                                                                                           </v>
      </c>
      <c r="D670" s="732" t="str">
        <f>IF($A670="INSUMO",VLOOKUP($B670,'BANCO DE DADOS JANEIRO-24 INS'!$A:$D,3,FALSE),VLOOKUP($B670,'BANCO DE DADOS JANEIRO-24 SERV'!$B:$E,3,FALSE))</f>
        <v xml:space="preserve">UN    </v>
      </c>
      <c r="E670" s="819">
        <v>11</v>
      </c>
      <c r="F670" s="755">
        <f>IF($A670="INSUMO",VLOOKUP($B670,'BANCO DE DADOS JANEIRO-24 INS'!$A:$D,4,FALSE),VLOOKUP($B670,'BANCO DE DADOS JANEIRO-24 SERV'!$B:$E,4,FALSE))</f>
        <v>1.57</v>
      </c>
      <c r="G670" s="874">
        <f t="shared" si="3"/>
        <v>17.27</v>
      </c>
    </row>
    <row r="671" spans="1:8" ht="30">
      <c r="A671" s="333" t="s">
        <v>390</v>
      </c>
      <c r="B671" s="877">
        <v>437</v>
      </c>
      <c r="C671" s="728" t="str">
        <f>IF($A671="INSUMO",VLOOKUP($B671,'BANCO DE DADOS JANEIRO-24 INS'!$A:$D,2,FALSE),VLOOKUP($B671,'BANCO DE DADOS JANEIRO-24 SERV'!$B:$E,2,FALSE))</f>
        <v xml:space="preserve">PARAFUSO M16 EM ACO GALVANIZADO, COMPRIMENTO = 400 MM, DIAMETRO = 16 MM, ROSCA DUPLA                                                                                                                                                                                                                                                                                                                                                                                                                      </v>
      </c>
      <c r="D671" s="732" t="str">
        <f>IF($A671="INSUMO",VLOOKUP($B671,'BANCO DE DADOS JANEIRO-24 INS'!$A:$D,3,FALSE),VLOOKUP($B671,'BANCO DE DADOS JANEIRO-24 SERV'!$B:$E,3,FALSE))</f>
        <v xml:space="preserve">UN    </v>
      </c>
      <c r="E671" s="819">
        <v>3</v>
      </c>
      <c r="F671" s="755">
        <f>IF($A671="INSUMO",VLOOKUP($B671,'BANCO DE DADOS JANEIRO-24 INS'!$A:$D,4,FALSE),VLOOKUP($B671,'BANCO DE DADOS JANEIRO-24 SERV'!$B:$E,4,FALSE))</f>
        <v>30.97</v>
      </c>
      <c r="G671" s="874">
        <f t="shared" si="3"/>
        <v>92.91</v>
      </c>
    </row>
    <row r="672" spans="1:8" ht="30">
      <c r="A672" s="333" t="s">
        <v>390</v>
      </c>
      <c r="B672" s="877">
        <v>432</v>
      </c>
      <c r="C672" s="728" t="str">
        <f>IF($A672="INSUMO",VLOOKUP($B672,'BANCO DE DADOS JANEIRO-24 INS'!$A:$D,2,FALSE),VLOOKUP($B672,'BANCO DE DADOS JANEIRO-24 SERV'!$B:$E,2,FALSE))</f>
        <v xml:space="preserve">PARAFUSO M16 EM ACO GALVANIZADO, COMPRIMENTO = 250 MM, DIAMETRO = 16 MM, ROSCA MAQUINA, CABECA QUADRADA                                                                                                                                                                                                                                                                                                                                                                                                   </v>
      </c>
      <c r="D672" s="732" t="str">
        <f>IF($A672="INSUMO",VLOOKUP($B672,'BANCO DE DADOS JANEIRO-24 INS'!$A:$D,3,FALSE),VLOOKUP($B672,'BANCO DE DADOS JANEIRO-24 SERV'!$B:$E,3,FALSE))</f>
        <v xml:space="preserve">UN    </v>
      </c>
      <c r="E672" s="819">
        <v>1</v>
      </c>
      <c r="F672" s="755">
        <f>IF($A672="INSUMO",VLOOKUP($B672,'BANCO DE DADOS JANEIRO-24 INS'!$A:$D,4,FALSE),VLOOKUP($B672,'BANCO DE DADOS JANEIRO-24 SERV'!$B:$E,4,FALSE))</f>
        <v>17.38</v>
      </c>
      <c r="G672" s="874">
        <f t="shared" si="3"/>
        <v>17.38</v>
      </c>
    </row>
    <row r="673" spans="1:8" ht="30">
      <c r="A673" s="333" t="s">
        <v>390</v>
      </c>
      <c r="B673" s="877">
        <v>11272</v>
      </c>
      <c r="C673" s="728" t="str">
        <f>IF($A673="INSUMO",VLOOKUP($B673,'BANCO DE DADOS JANEIRO-24 INS'!$A:$D,2,FALSE),VLOOKUP($B673,'BANCO DE DADOS JANEIRO-24 SERV'!$B:$E,2,FALSE))</f>
        <v xml:space="preserve">ALCA PREFORMADA DE DISTRIBUICAO, EM ACO GALVANIZADO, PARA CONDUTORES DE ALUMINIO AWG 2 (CAA 6/1 OU CA 7 FIOS)                                                                                                                                                                                                                                                                                                                                                                                             </v>
      </c>
      <c r="D673" s="732" t="str">
        <f>IF($A673="INSUMO",VLOOKUP($B673,'BANCO DE DADOS JANEIRO-24 INS'!$A:$D,3,FALSE),VLOOKUP($B673,'BANCO DE DADOS JANEIRO-24 SERV'!$B:$E,3,FALSE))</f>
        <v xml:space="preserve">UN    </v>
      </c>
      <c r="E673" s="819">
        <v>3</v>
      </c>
      <c r="F673" s="755">
        <f>IF($A673="INSUMO",VLOOKUP($B673,'BANCO DE DADOS JANEIRO-24 INS'!$A:$D,4,FALSE),VLOOKUP($B673,'BANCO DE DADOS JANEIRO-24 SERV'!$B:$E,4,FALSE))</f>
        <v>9.82</v>
      </c>
      <c r="G673" s="874">
        <f t="shared" si="3"/>
        <v>29.46</v>
      </c>
    </row>
    <row r="674" spans="1:8" ht="15.75">
      <c r="A674" s="308"/>
      <c r="B674" s="2429" t="s">
        <v>166</v>
      </c>
      <c r="C674" s="2430"/>
      <c r="D674" s="2430"/>
      <c r="E674" s="2430"/>
      <c r="F674" s="2430"/>
      <c r="G674" s="2431"/>
    </row>
    <row r="675" spans="1:8" ht="15.75">
      <c r="A675" s="333" t="s">
        <v>391</v>
      </c>
      <c r="B675" s="841">
        <v>88264</v>
      </c>
      <c r="C675" s="728" t="str">
        <f>IF($A675="INSUMO",VLOOKUP($B675,'BANCO DE DADOS JANEIRO-24 INS'!$A:$D,2,FALSE),VLOOKUP($B675,'BANCO DE DADOS JANEIRO-24 SERV'!$B:$E,2,FALSE))</f>
        <v>ELETRICISTA COM ENCARGOS COMPLEMENTARES</v>
      </c>
      <c r="D675" s="732" t="str">
        <f>IF($A675="INSUMO",VLOOKUP($B675,'BANCO DE DADOS JANEIRO-24 INS'!$A:$D,3,FALSE),VLOOKUP($B675,'BANCO DE DADOS JANEIRO-24 SERV'!$B:$E,3,FALSE))</f>
        <v>H</v>
      </c>
      <c r="E675" s="839">
        <v>4</v>
      </c>
      <c r="F675" s="755">
        <f>IF($A675="INSUMO",VLOOKUP($B675,'BANCO DE DADOS JANEIRO-24 INS'!$A:$D,4,FALSE),VLOOKUP($B675,'BANCO DE DADOS JANEIRO-24 SERV'!$B:$E,4,FALSE))</f>
        <v>26.68</v>
      </c>
      <c r="G675" s="840">
        <f>TRUNC(F675*E675,2)</f>
        <v>106.72</v>
      </c>
    </row>
    <row r="676" spans="1:8" ht="16.5" thickBot="1">
      <c r="A676" s="333" t="s">
        <v>391</v>
      </c>
      <c r="B676" s="625">
        <v>88247</v>
      </c>
      <c r="C676" s="731" t="str">
        <f>IF($A676="INSUMO",VLOOKUP($B676,'BANCO DE DADOS JANEIRO-24 INS'!$A:$D,2,FALSE),VLOOKUP($B676,'BANCO DE DADOS JANEIRO-24 SERV'!$B:$E,2,FALSE))</f>
        <v>AUXILIAR DE ELETRICISTA COM ENCARGOS COMPLEMENTARES</v>
      </c>
      <c r="D676" s="729" t="str">
        <f>IF($A676="INSUMO",VLOOKUP($B676,'BANCO DE DADOS JANEIRO-24 INS'!$A:$D,3,FALSE),VLOOKUP($B676,'BANCO DE DADOS JANEIRO-24 SERV'!$B:$E,3,FALSE))</f>
        <v>H</v>
      </c>
      <c r="E676" s="842">
        <v>4</v>
      </c>
      <c r="F676" s="757">
        <f>IF($A676="INSUMO",VLOOKUP($B676,'BANCO DE DADOS JANEIRO-24 INS'!$A:$D,4,FALSE),VLOOKUP($B676,'BANCO DE DADOS JANEIRO-24 SERV'!$B:$E,4,FALSE))</f>
        <v>21.96</v>
      </c>
      <c r="G676" s="626">
        <f>TRUNC(F676*E676,2)</f>
        <v>87.84</v>
      </c>
    </row>
    <row r="677" spans="1:8" ht="16.5" thickBot="1">
      <c r="A677" s="308"/>
      <c r="B677" s="2450" t="s">
        <v>1841</v>
      </c>
      <c r="C677" s="2450"/>
      <c r="D677" s="2450"/>
      <c r="E677" s="2450"/>
      <c r="F677" s="325" t="s">
        <v>167</v>
      </c>
      <c r="G677" s="326">
        <f>SUM(G662:G676)</f>
        <v>1706.7900000000002</v>
      </c>
    </row>
    <row r="678" spans="1:8" ht="13.5" thickBot="1"/>
    <row r="679" spans="1:8" ht="15.75">
      <c r="B679" s="1669" t="s">
        <v>1842</v>
      </c>
      <c r="C679" s="1751" t="s">
        <v>1843</v>
      </c>
      <c r="D679" s="1747"/>
      <c r="E679" s="1748"/>
      <c r="F679" s="1749"/>
      <c r="G679" s="1670" t="s">
        <v>22</v>
      </c>
      <c r="H679" s="575" t="s">
        <v>1981</v>
      </c>
    </row>
    <row r="680" spans="1:8" ht="31.5">
      <c r="B680" s="810" t="s">
        <v>174</v>
      </c>
      <c r="C680" s="811" t="s">
        <v>175</v>
      </c>
      <c r="D680" s="812" t="s">
        <v>176</v>
      </c>
      <c r="E680" s="813" t="s">
        <v>177</v>
      </c>
      <c r="F680" s="837" t="s">
        <v>178</v>
      </c>
      <c r="G680" s="815" t="s">
        <v>179</v>
      </c>
    </row>
    <row r="681" spans="1:8" ht="15">
      <c r="B681" s="1177">
        <v>45264</v>
      </c>
      <c r="C681" s="1300" t="s">
        <v>502</v>
      </c>
      <c r="D681" s="1309">
        <v>20.7</v>
      </c>
      <c r="E681" s="1311" t="s">
        <v>1846</v>
      </c>
      <c r="F681" s="1301" t="s">
        <v>192</v>
      </c>
      <c r="G681" s="1302" t="s">
        <v>5565</v>
      </c>
    </row>
    <row r="682" spans="1:8" ht="15">
      <c r="B682" s="1177">
        <v>45254</v>
      </c>
      <c r="C682" s="1300" t="s">
        <v>4588</v>
      </c>
      <c r="D682" s="1136">
        <v>24.16</v>
      </c>
      <c r="E682" s="1311" t="s">
        <v>5057</v>
      </c>
      <c r="F682" s="1301" t="s">
        <v>1979</v>
      </c>
      <c r="G682" s="1302" t="s">
        <v>5871</v>
      </c>
    </row>
    <row r="683" spans="1:8" ht="15">
      <c r="B683" s="1299">
        <v>45253</v>
      </c>
      <c r="C683" s="1297" t="s">
        <v>5879</v>
      </c>
      <c r="D683" s="1333">
        <v>20.190000000000001</v>
      </c>
      <c r="E683" s="1192" t="s">
        <v>2185</v>
      </c>
      <c r="F683" s="1298" t="s">
        <v>4611</v>
      </c>
      <c r="G683" s="1364" t="s">
        <v>2840</v>
      </c>
    </row>
    <row r="684" spans="1:8" ht="16.5" thickBot="1">
      <c r="B684" s="1738"/>
      <c r="C684" s="1739" t="s">
        <v>180</v>
      </c>
      <c r="D684" s="1737">
        <f>IF(COUNT(D680:D683)=3,MEDIAN(D680:D683),SMALL(D681:D683,1))</f>
        <v>20.7</v>
      </c>
      <c r="E684" s="1740"/>
      <c r="F684" s="1741"/>
      <c r="G684" s="1742"/>
    </row>
    <row r="685" spans="1:8" ht="16.5" thickBot="1">
      <c r="B685" s="601"/>
      <c r="C685" s="601"/>
      <c r="D685" s="300"/>
      <c r="E685" s="257"/>
      <c r="F685" s="301"/>
      <c r="G685" s="302"/>
    </row>
    <row r="686" spans="1:8" ht="15.75">
      <c r="B686" s="1669" t="s">
        <v>1875</v>
      </c>
      <c r="C686" s="1751" t="s">
        <v>1876</v>
      </c>
      <c r="D686" s="1747"/>
      <c r="E686" s="1748"/>
      <c r="F686" s="1749"/>
      <c r="G686" s="1676" t="s">
        <v>22</v>
      </c>
      <c r="H686" s="575" t="s">
        <v>1981</v>
      </c>
    </row>
    <row r="687" spans="1:8" ht="31.5">
      <c r="B687" s="810" t="s">
        <v>174</v>
      </c>
      <c r="C687" s="811" t="s">
        <v>175</v>
      </c>
      <c r="D687" s="812" t="s">
        <v>176</v>
      </c>
      <c r="E687" s="813" t="s">
        <v>177</v>
      </c>
      <c r="F687" s="837" t="s">
        <v>178</v>
      </c>
      <c r="G687" s="815" t="s">
        <v>179</v>
      </c>
    </row>
    <row r="688" spans="1:8" ht="15">
      <c r="B688" s="1299">
        <v>45258</v>
      </c>
      <c r="C688" s="1114" t="s">
        <v>2165</v>
      </c>
      <c r="D688" s="1330">
        <v>5.6</v>
      </c>
      <c r="E688" s="1185" t="s">
        <v>190</v>
      </c>
      <c r="F688" s="1139" t="s">
        <v>191</v>
      </c>
      <c r="G688" s="968" t="s">
        <v>1869</v>
      </c>
      <c r="H688"/>
    </row>
    <row r="689" spans="1:8" ht="15">
      <c r="B689" s="1113">
        <v>45180</v>
      </c>
      <c r="C689" s="1114" t="s">
        <v>2708</v>
      </c>
      <c r="D689" s="1115">
        <v>5.69</v>
      </c>
      <c r="E689" s="1192" t="s">
        <v>545</v>
      </c>
      <c r="F689" s="1139" t="s">
        <v>1808</v>
      </c>
      <c r="G689" s="1117" t="s">
        <v>555</v>
      </c>
      <c r="H689"/>
    </row>
    <row r="690" spans="1:8" ht="15">
      <c r="B690" s="1299">
        <v>45253</v>
      </c>
      <c r="C690" s="1114" t="s">
        <v>5879</v>
      </c>
      <c r="D690" s="1115">
        <v>3.8</v>
      </c>
      <c r="E690" s="1185" t="s">
        <v>2185</v>
      </c>
      <c r="F690" s="1139" t="s">
        <v>4611</v>
      </c>
      <c r="G690" s="968" t="s">
        <v>2840</v>
      </c>
    </row>
    <row r="691" spans="1:8" ht="16.5" thickBot="1">
      <c r="B691" s="1738"/>
      <c r="C691" s="1739" t="s">
        <v>180</v>
      </c>
      <c r="D691" s="1737">
        <f>IF(COUNT(D687:D690)=3,MEDIAN(D687:D690),SMALL(D688:D690,1))</f>
        <v>5.6</v>
      </c>
      <c r="E691" s="1740"/>
      <c r="F691" s="1741"/>
      <c r="G691" s="1742"/>
    </row>
    <row r="692" spans="1:8" ht="16.5" thickBot="1">
      <c r="B692" s="601"/>
      <c r="C692" s="601"/>
      <c r="D692" s="300"/>
      <c r="E692" s="257"/>
      <c r="F692" s="301"/>
      <c r="G692" s="302"/>
    </row>
    <row r="693" spans="1:8" ht="27" customHeight="1">
      <c r="A693" s="308"/>
      <c r="B693" s="623" t="str">
        <f>IF(COUNT($H$17:H693)&lt;10,CONCATENATE("CPU IP 00",COUNT($H$17:H693)),CONCATENATE("CPU IP 0",COUNT($H$17:H693)))</f>
        <v>CPU IP 037</v>
      </c>
      <c r="C693" s="2180" t="str">
        <f>CONCATENATE("FORNECIMENTO E INSTALAÇÃO DE ",C696)</f>
        <v xml:space="preserve">FORNECIMENTO E INSTALAÇÃO DE CABO DE ALUMINIO NU COM ALMA DE ACO, BITOLA 2 AWG                                                                                                                                                                                                                                                                                                                                                                                                                                                         </v>
      </c>
      <c r="D693" s="2181"/>
      <c r="E693" s="2181"/>
      <c r="F693" s="2181"/>
      <c r="G693" s="624" t="str">
        <f>D696</f>
        <v xml:space="preserve">KG    </v>
      </c>
      <c r="H693" s="615">
        <f>G700</f>
        <v>52.819999999999993</v>
      </c>
    </row>
    <row r="694" spans="1:8" ht="31.5">
      <c r="A694" s="308"/>
      <c r="B694" s="750" t="s">
        <v>197</v>
      </c>
      <c r="C694" s="751" t="s">
        <v>161</v>
      </c>
      <c r="D694" s="826" t="s">
        <v>22</v>
      </c>
      <c r="E694" s="751" t="s">
        <v>162</v>
      </c>
      <c r="F694" s="752" t="s">
        <v>163</v>
      </c>
      <c r="G694" s="753" t="s">
        <v>164</v>
      </c>
      <c r="H694" s="308"/>
    </row>
    <row r="695" spans="1:8" ht="15.75">
      <c r="A695" s="308"/>
      <c r="B695" s="2429" t="s">
        <v>165</v>
      </c>
      <c r="C695" s="2430"/>
      <c r="D695" s="2430"/>
      <c r="E695" s="2430"/>
      <c r="F695" s="2430"/>
      <c r="G695" s="2431"/>
      <c r="H695" s="308"/>
    </row>
    <row r="696" spans="1:8" ht="15.75">
      <c r="A696" s="333" t="s">
        <v>390</v>
      </c>
      <c r="B696" s="754">
        <v>25002</v>
      </c>
      <c r="C696" s="728" t="str">
        <f>IF($A696="INSUMO",VLOOKUP($B696,'BANCO DE DADOS JANEIRO-24 INS'!$A:$D,2,FALSE),VLOOKUP($B696,'BANCO DE DADOS JANEIRO-24 SERV'!$B:$E,2,FALSE))</f>
        <v xml:space="preserve">CABO DE ALUMINIO NU COM ALMA DE ACO, BITOLA 2 AWG                                                                                                                                                                                                                                                                                                                                                                                                                                                         </v>
      </c>
      <c r="D696" s="732" t="str">
        <f>IF($A696="INSUMO",VLOOKUP($B696,'BANCO DE DADOS JANEIRO-24 INS'!$A:$D,3,FALSE),VLOOKUP($B696,'BANCO DE DADOS JANEIRO-24 SERV'!$B:$E,3,FALSE))</f>
        <v xml:space="preserve">KG    </v>
      </c>
      <c r="E696" s="846">
        <v>1</v>
      </c>
      <c r="F696" s="755">
        <f>IF($A696="INSUMO",VLOOKUP($B696,'BANCO DE DADOS JANEIRO-24 INS'!$A:$D,4,FALSE),VLOOKUP($B696,'BANCO DE DADOS JANEIRO-24 SERV'!$B:$E,4,FALSE))</f>
        <v>45.3</v>
      </c>
      <c r="G696" s="848">
        <f>TRUNC(F696*E696,2)</f>
        <v>45.3</v>
      </c>
      <c r="H696" s="308"/>
    </row>
    <row r="697" spans="1:8" ht="15.75">
      <c r="A697" s="308"/>
      <c r="B697" s="2429" t="s">
        <v>166</v>
      </c>
      <c r="C697" s="2430"/>
      <c r="D697" s="2430"/>
      <c r="E697" s="2430"/>
      <c r="F697" s="2430"/>
      <c r="G697" s="2431"/>
      <c r="H697" s="308"/>
    </row>
    <row r="698" spans="1:8" ht="15.75">
      <c r="A698" s="333" t="s">
        <v>391</v>
      </c>
      <c r="B698" s="841">
        <v>88247</v>
      </c>
      <c r="C698" s="728" t="str">
        <f>IF($A698="INSUMO",VLOOKUP($B698,'BANCO DE DADOS JANEIRO-24 INS'!$A:$D,2,FALSE),VLOOKUP($B698,'BANCO DE DADOS JANEIRO-24 SERV'!$B:$E,2,FALSE))</f>
        <v>AUXILIAR DE ELETRICISTA COM ENCARGOS COMPLEMENTARES</v>
      </c>
      <c r="D698" s="732" t="str">
        <f>IF($A698="INSUMO",VLOOKUP($B698,'BANCO DE DADOS JANEIRO-24 INS'!$A:$D,3,FALSE),VLOOKUP($B698,'BANCO DE DADOS JANEIRO-24 SERV'!$B:$E,3,FALSE))</f>
        <v>H</v>
      </c>
      <c r="E698" s="839">
        <v>0.1</v>
      </c>
      <c r="F698" s="755">
        <f>IF($A698="INSUMO",VLOOKUP($B698,'BANCO DE DADOS JANEIRO-24 INS'!$A:$D,4,FALSE),VLOOKUP($B698,'BANCO DE DADOS JANEIRO-24 SERV'!$B:$E,4,FALSE))</f>
        <v>21.96</v>
      </c>
      <c r="G698" s="840">
        <f>TRUNC(F698*E698,2)</f>
        <v>2.19</v>
      </c>
      <c r="H698" s="308"/>
    </row>
    <row r="699" spans="1:8" ht="16.5" thickBot="1">
      <c r="A699" s="333" t="s">
        <v>391</v>
      </c>
      <c r="B699" s="625">
        <v>88264</v>
      </c>
      <c r="C699" s="731" t="str">
        <f>IF($A699="INSUMO",VLOOKUP($B699,'BANCO DE DADOS JANEIRO-24 INS'!$A:$D,2,FALSE),VLOOKUP($B699,'BANCO DE DADOS JANEIRO-24 SERV'!$B:$E,2,FALSE))</f>
        <v>ELETRICISTA COM ENCARGOS COMPLEMENTARES</v>
      </c>
      <c r="D699" s="729" t="str">
        <f>IF($A699="INSUMO",VLOOKUP($B699,'BANCO DE DADOS JANEIRO-24 INS'!$A:$D,3,FALSE),VLOOKUP($B699,'BANCO DE DADOS JANEIRO-24 SERV'!$B:$E,3,FALSE))</f>
        <v>H</v>
      </c>
      <c r="E699" s="842">
        <v>0.2</v>
      </c>
      <c r="F699" s="757">
        <f>IF($A699="INSUMO",VLOOKUP($B699,'BANCO DE DADOS JANEIRO-24 INS'!$A:$D,4,FALSE),VLOOKUP($B699,'BANCO DE DADOS JANEIRO-24 SERV'!$B:$E,4,FALSE))</f>
        <v>26.68</v>
      </c>
      <c r="G699" s="626">
        <f>TRUNC(F699*E699,2)</f>
        <v>5.33</v>
      </c>
      <c r="H699" s="308"/>
    </row>
    <row r="700" spans="1:8" ht="16.5" thickBot="1">
      <c r="A700" s="308"/>
      <c r="B700" s="2457" t="s">
        <v>3842</v>
      </c>
      <c r="C700" s="2457"/>
      <c r="D700" s="2457"/>
      <c r="E700" s="2457"/>
      <c r="F700" s="325" t="s">
        <v>167</v>
      </c>
      <c r="G700" s="326">
        <f>SUM(G695:G699)</f>
        <v>52.819999999999993</v>
      </c>
      <c r="H700" s="308"/>
    </row>
    <row r="701" spans="1:8" ht="13.5" thickBot="1"/>
    <row r="702" spans="1:8" ht="33.75" customHeight="1">
      <c r="A702" s="308"/>
      <c r="B702" s="623" t="str">
        <f>IF(COUNT($H$17:H702)&lt;10,CONCATENATE("CPU IP 00",COUNT($H$17:H702)),CONCATENATE("CPU IP 0",COUNT($H$17:H702)))</f>
        <v>CPU IP 038</v>
      </c>
      <c r="C702" s="2180" t="str">
        <f>CONCATENATE("FORNECIMENTO E INSTALAÇÃO DE ",C705)</f>
        <v xml:space="preserve">FORNECIMENTO E INSTALAÇÃO DE POSTE DE CONCRETO ARMADO DE SECAO DUPLO T, EXTENSAO DE 10,00 M, RESISTENCIA DE 300 A 400 DAN, TIPO B OU D                                                                                                                                                                                                                                                                                                                                                                                                 </v>
      </c>
      <c r="D702" s="2181"/>
      <c r="E702" s="2181"/>
      <c r="F702" s="2181"/>
      <c r="G702" s="624" t="str">
        <f>D703</f>
        <v>UN</v>
      </c>
      <c r="H702" s="615">
        <f>G707</f>
        <v>1634.65</v>
      </c>
    </row>
    <row r="703" spans="1:8" ht="31.5">
      <c r="A703" s="308"/>
      <c r="B703" s="1093" t="s">
        <v>197</v>
      </c>
      <c r="C703" s="1094" t="s">
        <v>161</v>
      </c>
      <c r="D703" s="1194" t="s">
        <v>22</v>
      </c>
      <c r="E703" s="1094" t="s">
        <v>162</v>
      </c>
      <c r="F703" s="1095" t="s">
        <v>163</v>
      </c>
      <c r="G703" s="1096" t="s">
        <v>164</v>
      </c>
      <c r="H703" s="308"/>
    </row>
    <row r="704" spans="1:8" ht="15.75">
      <c r="A704" s="308"/>
      <c r="B704" s="2429" t="s">
        <v>165</v>
      </c>
      <c r="C704" s="2430"/>
      <c r="D704" s="2430"/>
      <c r="E704" s="2430"/>
      <c r="F704" s="2430"/>
      <c r="G704" s="2431"/>
      <c r="H704" s="308"/>
    </row>
    <row r="705" spans="1:8" ht="38.25" customHeight="1">
      <c r="A705" s="333" t="s">
        <v>390</v>
      </c>
      <c r="B705" s="1097">
        <v>5057</v>
      </c>
      <c r="C705" s="1098" t="str">
        <f>IF($A705="INSUMO",VLOOKUP($B705,'BANCO DE DADOS JANEIRO-24 INS'!$A:$D,2,FALSE),VLOOKUP($B705,'BANCO DE DADOS JANEIRO-24 SERV'!$B:$E,2,FALSE))</f>
        <v xml:space="preserve">POSTE DE CONCRETO ARMADO DE SECAO DUPLO T, EXTENSAO DE 10,00 M, RESISTENCIA DE 300 A 400 DAN, TIPO B OU D                                                                                                                                                                                                                                                                                                                                                                                                 </v>
      </c>
      <c r="D705" s="1099" t="str">
        <f>IF($A705="INSUMO",VLOOKUP($B705,'BANCO DE DADOS JANEIRO-24 INS'!$A:$D,3,FALSE),VLOOKUP($B705,'BANCO DE DADOS JANEIRO-24 SERV'!$B:$E,3,FALSE))</f>
        <v xml:space="preserve">UN    </v>
      </c>
      <c r="E705" s="1208">
        <v>1</v>
      </c>
      <c r="F705" s="1146">
        <f>IF($A705="INSUMO",VLOOKUP($B705,'BANCO DE DADOS JANEIRO-24 INS'!$A:$D,4,FALSE),VLOOKUP($B705,'BANCO DE DADOS JANEIRO-24 SERV'!$B:$E,4,FALSE))</f>
        <v>933.39</v>
      </c>
      <c r="G705" s="1164">
        <f>TRUNC(F705*E705,2)</f>
        <v>933.39</v>
      </c>
      <c r="H705" s="308"/>
    </row>
    <row r="706" spans="1:8" ht="60.75" thickBot="1">
      <c r="A706" s="333" t="s">
        <v>391</v>
      </c>
      <c r="B706" s="836">
        <v>100579</v>
      </c>
      <c r="C706" s="1098" t="str">
        <f>IF($A706="INSUMO",VLOOKUP($B706,'BANCO DE DADOS JANEIRO-24 INS'!$A:$D,2,FALSE),VLOOKUP($B706,'BANCO DE DADOS JANEIRO-24 SERV'!$B:$E,2,FALSE))</f>
        <v>ASSENTAMENTO DE POSTE DE CONCRETO COM COMPRIMENTO NOMINAL DE 10 M, CARGA NOMINAL MENOR OU IGUAL A 1000 DAN, ENGASTAMENTO SIMPLES COM 1,6 M DE SOLO (NÃO INCLUI FORNECIMENTO). AF_11/2019</v>
      </c>
      <c r="D706" s="1099" t="str">
        <f>IF($A706="INSUMO",VLOOKUP($B706,'BANCO DE DADOS JANEIRO-24 INS'!$A:$D,3,FALSE),VLOOKUP($B706,'BANCO DE DADOS JANEIRO-24 SERV'!$B:$E,3,FALSE))</f>
        <v>UN</v>
      </c>
      <c r="E706" s="1208">
        <v>1.375</v>
      </c>
      <c r="F706" s="974">
        <f>IF($A706="INSUMO",VLOOKUP($B706,'BANCO DE DADOS JANEIRO-24 INS'!$A:$D,4,FALSE),VLOOKUP($B706,'BANCO DE DADOS JANEIRO-24 SERV'!$B:$E,4,FALSE))</f>
        <v>510.01</v>
      </c>
      <c r="G706" s="1369">
        <f>TRUNC(F706*E706,2)</f>
        <v>701.26</v>
      </c>
      <c r="H706" s="308"/>
    </row>
    <row r="707" spans="1:8" ht="16.5" customHeight="1" thickBot="1">
      <c r="A707" s="308"/>
      <c r="B707" s="2404"/>
      <c r="C707" s="2404"/>
      <c r="D707" s="2404"/>
      <c r="E707" s="2404"/>
      <c r="F707" s="330" t="s">
        <v>167</v>
      </c>
      <c r="G707" s="611">
        <f>SUM(G704:G706)</f>
        <v>1634.65</v>
      </c>
      <c r="H707" s="308"/>
    </row>
    <row r="708" spans="1:8" ht="13.5" thickBot="1"/>
    <row r="709" spans="1:8" ht="33.75" customHeight="1">
      <c r="A709" s="308"/>
      <c r="B709" s="623" t="str">
        <f>IF(COUNT($H$17:H709)&lt;10,CONCATENATE("CPU IP 00",COUNT($H$17:H709)),CONCATENATE("CPU IP 0",COUNT($H$17:H709)))</f>
        <v>CPU IP 039</v>
      </c>
      <c r="C709" s="2180" t="s">
        <v>3211</v>
      </c>
      <c r="D709" s="2181"/>
      <c r="E709" s="2181"/>
      <c r="F709" s="2181"/>
      <c r="G709" s="624" t="s">
        <v>0</v>
      </c>
      <c r="H709" s="615">
        <f>G716</f>
        <v>16.71</v>
      </c>
    </row>
    <row r="710" spans="1:8" ht="31.5">
      <c r="A710" s="308"/>
      <c r="B710" s="1093" t="s">
        <v>197</v>
      </c>
      <c r="C710" s="1094" t="s">
        <v>161</v>
      </c>
      <c r="D710" s="1194" t="s">
        <v>22</v>
      </c>
      <c r="E710" s="1094" t="s">
        <v>162</v>
      </c>
      <c r="F710" s="1095" t="s">
        <v>163</v>
      </c>
      <c r="G710" s="1096" t="s">
        <v>164</v>
      </c>
      <c r="H710" s="308"/>
    </row>
    <row r="711" spans="1:8" ht="15.75">
      <c r="A711" s="308"/>
      <c r="B711" s="2429" t="s">
        <v>3210</v>
      </c>
      <c r="C711" s="2430"/>
      <c r="D711" s="2430"/>
      <c r="E711" s="2430"/>
      <c r="F711" s="2430"/>
      <c r="G711" s="2431"/>
      <c r="H711" s="308"/>
    </row>
    <row r="712" spans="1:8" ht="45">
      <c r="A712" s="333" t="s">
        <v>391</v>
      </c>
      <c r="B712" s="1097">
        <v>90972</v>
      </c>
      <c r="C712" s="1098" t="str">
        <f>IF($A712="INSUMO",VLOOKUP($B712,'BANCO DE DADOS JANEIRO-24 INS'!$A:$D,2,FALSE),VLOOKUP($B712,'BANCO DE DADOS JANEIRO-24 SERV'!$B:$E,2,FALSE))</f>
        <v>COMPRESSOR DE AR REBOCAVEL, VAZÃO 250 PCM, PRESSAO DE TRABALHO 102 PSI, MOTOR A DIESEL POTÊNCIA 81 CV - CHP DIURNO. AF_06/2015</v>
      </c>
      <c r="D712" s="1099" t="str">
        <f>IF($A712="INSUMO",VLOOKUP($B712,'BANCO DE DADOS JANEIRO-24 INS'!$A:$D,3,FALSE),VLOOKUP($B712,'BANCO DE DADOS JANEIRO-24 SERV'!$B:$E,3,FALSE))</f>
        <v>CHP</v>
      </c>
      <c r="E712" s="1186">
        <v>0.1</v>
      </c>
      <c r="F712" s="1146">
        <f>IF($A712="INSUMO",VLOOKUP($B712,'BANCO DE DADOS JANEIRO-24 INS'!$A:$D,4,FALSE),VLOOKUP($B712,'BANCO DE DADOS JANEIRO-24 SERV'!$B:$E,4,FALSE))</f>
        <v>77.11</v>
      </c>
      <c r="G712" s="1164">
        <f>TRUNC(F712*E712,2)</f>
        <v>7.71</v>
      </c>
      <c r="H712" s="308"/>
    </row>
    <row r="713" spans="1:8" ht="30">
      <c r="A713" s="333" t="s">
        <v>391</v>
      </c>
      <c r="B713" s="1097">
        <v>92966</v>
      </c>
      <c r="C713" s="1098" t="str">
        <f>IF($A713="INSUMO",VLOOKUP($B713,'BANCO DE DADOS JANEIRO-24 INS'!$A:$D,2,FALSE),VLOOKUP($B713,'BANCO DE DADOS JANEIRO-24 SERV'!$B:$E,2,FALSE))</f>
        <v>MARTELO PERFURADOR PNEUMÁTICO MANUAL, HASTE 25 X 75 MM, 21 KG - CHP DIURNO. AF_12/2015</v>
      </c>
      <c r="D713" s="1099" t="str">
        <f>IF($A713="INSUMO",VLOOKUP($B713,'BANCO DE DADOS JANEIRO-24 INS'!$A:$D,3,FALSE),VLOOKUP($B713,'BANCO DE DADOS JANEIRO-24 SERV'!$B:$E,3,FALSE))</f>
        <v>CHP</v>
      </c>
      <c r="E713" s="1186">
        <v>0.3</v>
      </c>
      <c r="F713" s="1146">
        <f>IF($A713="INSUMO",VLOOKUP($B713,'BANCO DE DADOS JANEIRO-24 INS'!$A:$D,4,FALSE),VLOOKUP($B713,'BANCO DE DADOS JANEIRO-24 SERV'!$B:$E,4,FALSE))</f>
        <v>23.24</v>
      </c>
      <c r="G713" s="1164">
        <f>TRUNC(F713*E713,2)</f>
        <v>6.97</v>
      </c>
      <c r="H713" s="308"/>
    </row>
    <row r="714" spans="1:8" ht="15.75">
      <c r="A714" s="308"/>
      <c r="B714" s="2429" t="s">
        <v>166</v>
      </c>
      <c r="C714" s="2430"/>
      <c r="D714" s="2430"/>
      <c r="E714" s="2430"/>
      <c r="F714" s="2430"/>
      <c r="G714" s="2431"/>
      <c r="H714" s="308"/>
    </row>
    <row r="715" spans="1:8" ht="16.5" thickBot="1">
      <c r="A715" s="333" t="s">
        <v>391</v>
      </c>
      <c r="B715" s="895">
        <v>88316</v>
      </c>
      <c r="C715" s="1103" t="str">
        <f>IF($A715="INSUMO",VLOOKUP($B715,'BANCO DE DADOS JANEIRO-24 INS'!$A:$D,2,FALSE),VLOOKUP($B715,'BANCO DE DADOS JANEIRO-24 SERV'!$B:$E,2,FALSE))</f>
        <v>SERVENTE COM ENCARGOS COMPLEMENTARES</v>
      </c>
      <c r="D715" s="1104" t="str">
        <f>IF($A715="INSUMO",VLOOKUP($B715,'BANCO DE DADOS JANEIRO-24 INS'!$A:$D,3,FALSE),VLOOKUP($B715,'BANCO DE DADOS JANEIRO-24 SERV'!$B:$E,3,FALSE))</f>
        <v>H</v>
      </c>
      <c r="E715" s="1184">
        <v>0.1</v>
      </c>
      <c r="F715" s="1105">
        <f>IF($A715="INSUMO",VLOOKUP($B715,'BANCO DE DADOS JANEIRO-24 INS'!$A:$D,4,FALSE),VLOOKUP($B715,'BANCO DE DADOS JANEIRO-24 SERV'!$B:$E,4,FALSE))</f>
        <v>20.32</v>
      </c>
      <c r="G715" s="1202">
        <f>TRUNC(F715*E715,2)</f>
        <v>2.0299999999999998</v>
      </c>
      <c r="H715" s="308"/>
    </row>
    <row r="716" spans="1:8" ht="16.5" customHeight="1" thickBot="1">
      <c r="A716" s="308"/>
      <c r="B716" s="2404" t="s">
        <v>3209</v>
      </c>
      <c r="C716" s="2404"/>
      <c r="D716" s="2404"/>
      <c r="E716" s="2404"/>
      <c r="F716" s="325" t="s">
        <v>167</v>
      </c>
      <c r="G716" s="326">
        <f>SUM(G711:G715)</f>
        <v>16.71</v>
      </c>
      <c r="H716" s="308"/>
    </row>
    <row r="717" spans="1:8" ht="13.5" thickBot="1"/>
    <row r="718" spans="1:8" ht="46.5" customHeight="1">
      <c r="A718" s="308"/>
      <c r="B718" s="623" t="str">
        <f>IF(COUNT($H$17:H718)&lt;10,CONCATENATE("CPU IP 00",COUNT($H$17:H718)),CONCATENATE("CPU IP 0",COUNT($H$17:H718)))</f>
        <v>CPU IP 040</v>
      </c>
      <c r="C718" s="2180" t="str">
        <f>CONCATENATE("FORNECIMENTO E INSTALAÇÃO DE ",C721)</f>
        <v xml:space="preserve">FORNECIMENTO E INSTALAÇÃO DE CABECOTE PARA ENTRADA DE LINHA DE ALIMENTACAO PARA ELETRODUTO, EM LIGA DE ALUMINIO COM ACABAMENTO ANTI CORROSIVO, COM FIXACAO POR ENCAIXE LISO DE 360 GRAUS, DE 1 1/2"                                                                                                                                                                                                                                                                                                                                    </v>
      </c>
      <c r="D718" s="2181"/>
      <c r="E718" s="2181"/>
      <c r="F718" s="2181"/>
      <c r="G718" s="624" t="s">
        <v>22</v>
      </c>
      <c r="H718" s="615">
        <f>G724</f>
        <v>15.3</v>
      </c>
    </row>
    <row r="719" spans="1:8" ht="31.5">
      <c r="A719" s="308"/>
      <c r="B719" s="1093" t="s">
        <v>197</v>
      </c>
      <c r="C719" s="1094" t="s">
        <v>161</v>
      </c>
      <c r="D719" s="1194" t="s">
        <v>22</v>
      </c>
      <c r="E719" s="1094" t="s">
        <v>162</v>
      </c>
      <c r="F719" s="1095" t="s">
        <v>163</v>
      </c>
      <c r="G719" s="1096" t="s">
        <v>164</v>
      </c>
      <c r="H719" s="308"/>
    </row>
    <row r="720" spans="1:8" ht="15.75">
      <c r="A720" s="308"/>
      <c r="B720" s="2389" t="s">
        <v>165</v>
      </c>
      <c r="C720" s="2390"/>
      <c r="D720" s="2390"/>
      <c r="E720" s="2390"/>
      <c r="F720" s="2390"/>
      <c r="G720" s="2391"/>
      <c r="H720" s="308"/>
    </row>
    <row r="721" spans="1:11" ht="60">
      <c r="A721" s="333" t="s">
        <v>390</v>
      </c>
      <c r="B721" s="1097">
        <v>1049</v>
      </c>
      <c r="C721" s="1098" t="str">
        <f>IF($A721="INSUMO",VLOOKUP($B721,'BANCO DE DADOS JANEIRO-24 INS'!$A:$D,2,FALSE),VLOOKUP($B721,'BANCO DE DADOS JANEIRO-24 SERV'!$B:$E,2,FALSE))</f>
        <v xml:space="preserve">CABECOTE PARA ENTRADA DE LINHA DE ALIMENTACAO PARA ELETRODUTO, EM LIGA DE ALUMINIO COM ACABAMENTO ANTI CORROSIVO, COM FIXACAO POR ENCAIXE LISO DE 360 GRAUS, DE 1 1/2"                                                                                                                                                                                                                                                                                                                                    </v>
      </c>
      <c r="D721" s="1099" t="str">
        <f>IF($A721="INSUMO",VLOOKUP($B721,'BANCO DE DADOS JANEIRO-24 INS'!$A:$D,3,FALSE),VLOOKUP($B721,'BANCO DE DADOS JANEIRO-24 SERV'!$B:$E,3,FALSE))</f>
        <v xml:space="preserve">UN    </v>
      </c>
      <c r="E721" s="1208">
        <v>1</v>
      </c>
      <c r="F721" s="1146">
        <f>IF($A721="INSUMO",VLOOKUP($B721,'BANCO DE DADOS JANEIRO-24 INS'!$A:$D,4,FALSE),VLOOKUP($B721,'BANCO DE DADOS JANEIRO-24 SERV'!$B:$E,4,FALSE))</f>
        <v>8.1</v>
      </c>
      <c r="G721" s="1164">
        <f>TRUNC(F721*E721,2)</f>
        <v>8.1</v>
      </c>
      <c r="H721" s="308"/>
    </row>
    <row r="722" spans="1:11" ht="15.75">
      <c r="A722" s="308"/>
      <c r="B722" s="2389" t="s">
        <v>166</v>
      </c>
      <c r="C722" s="2390"/>
      <c r="D722" s="2390"/>
      <c r="E722" s="2390"/>
      <c r="F722" s="2390"/>
      <c r="G722" s="2391"/>
      <c r="H722" s="308"/>
      <c r="J722" s="1097"/>
    </row>
    <row r="723" spans="1:11" ht="16.5" thickBot="1">
      <c r="A723" s="333" t="s">
        <v>391</v>
      </c>
      <c r="B723" s="1523">
        <v>88264</v>
      </c>
      <c r="C723" s="1522" t="str">
        <f>IF($A723="INSUMO",VLOOKUP($B723,'BANCO DE DADOS JANEIRO-24 INS'!$A:$D,2,FALSE),VLOOKUP($B723,'BANCO DE DADOS JANEIRO-24 SERV'!$B:$E,2,FALSE))</f>
        <v>ELETRICISTA COM ENCARGOS COMPLEMENTARES</v>
      </c>
      <c r="D723" s="1521" t="str">
        <f>IF($A723="INSUMO",VLOOKUP($B723,'BANCO DE DADOS JANEIRO-24 INS'!$A:$D,3,FALSE),VLOOKUP($B723,'BANCO DE DADOS JANEIRO-24 SERV'!$B:$E,3,FALSE))</f>
        <v>H</v>
      </c>
      <c r="E723" s="1594">
        <v>0.27</v>
      </c>
      <c r="F723" s="1525">
        <f>IF($A723="INSUMO",VLOOKUP($B723,'BANCO DE DADOS JANEIRO-24 INS'!$A:$D,4,FALSE),VLOOKUP($B723,'BANCO DE DADOS JANEIRO-24 SERV'!$B:$E,4,FALSE))</f>
        <v>26.68</v>
      </c>
      <c r="G723" s="1520">
        <f>TRUNC(F723*E723,2)</f>
        <v>7.2</v>
      </c>
      <c r="H723" s="308"/>
      <c r="J723" s="1200"/>
      <c r="K723" s="1198"/>
    </row>
    <row r="724" spans="1:11" ht="16.5" thickBot="1">
      <c r="A724" s="308"/>
      <c r="B724" s="2450" t="s">
        <v>7357</v>
      </c>
      <c r="C724" s="2450"/>
      <c r="D724" s="2450"/>
      <c r="E724" s="2450"/>
      <c r="F724" s="325" t="s">
        <v>167</v>
      </c>
      <c r="G724" s="326">
        <f>SUM(G720:G723)</f>
        <v>15.3</v>
      </c>
      <c r="H724" s="308"/>
    </row>
    <row r="725" spans="1:11" ht="13.5" thickBot="1"/>
    <row r="726" spans="1:11" ht="46.5" customHeight="1">
      <c r="A726" s="308"/>
      <c r="B726" s="623" t="str">
        <f>IF(COUNT($H$17:H726)&lt;10,CONCATENATE("CPU IP 00",COUNT($H$17:H726)),CONCATENATE("CPU IP 0",COUNT($H$17:H726)))</f>
        <v>CPU IP 041</v>
      </c>
      <c r="C726" s="2180" t="str">
        <f>CONCATENATE("FORNECIMENTO E INSTALAÇÃO DE ",C729)</f>
        <v xml:space="preserve">FORNECIMENTO E INSTALAÇÃO DE CABECOTE PARA ENTRADA DE LINHA DE ALIMENTACAO PARA ELETRODUTO, EM LIGA DE ALUMINIO COM ACABAMENTO ANTI CORROSIVO, COM FIXACAO POR ENCAIXE LISO DE 360 GRAUS, DE 1 1/4"                                                                                                                                                                                                                                                                                                                                    </v>
      </c>
      <c r="D726" s="2181"/>
      <c r="E726" s="2181"/>
      <c r="F726" s="2181"/>
      <c r="G726" s="624" t="s">
        <v>22</v>
      </c>
      <c r="H726" s="615">
        <f>G732</f>
        <v>13.4</v>
      </c>
    </row>
    <row r="727" spans="1:11" ht="31.5">
      <c r="A727" s="308"/>
      <c r="B727" s="1093" t="s">
        <v>197</v>
      </c>
      <c r="C727" s="1094" t="s">
        <v>161</v>
      </c>
      <c r="D727" s="1194" t="s">
        <v>22</v>
      </c>
      <c r="E727" s="1094" t="s">
        <v>162</v>
      </c>
      <c r="F727" s="1095" t="s">
        <v>163</v>
      </c>
      <c r="G727" s="1096" t="s">
        <v>164</v>
      </c>
      <c r="H727" s="308"/>
    </row>
    <row r="728" spans="1:11" ht="15.75">
      <c r="A728" s="308"/>
      <c r="B728" s="2389" t="s">
        <v>165</v>
      </c>
      <c r="C728" s="2390"/>
      <c r="D728" s="2390"/>
      <c r="E728" s="2390"/>
      <c r="F728" s="2390"/>
      <c r="G728" s="2391"/>
      <c r="H728" s="308"/>
    </row>
    <row r="729" spans="1:11" ht="60">
      <c r="A729" s="333" t="s">
        <v>390</v>
      </c>
      <c r="B729" s="1558">
        <v>1099</v>
      </c>
      <c r="C729" s="1222" t="str">
        <f>IF($A729="INSUMO",VLOOKUP($B729,'BANCO DE DADOS JANEIRO-24 INS'!$A:$D,2,FALSE),VLOOKUP($B729,'BANCO DE DADOS JANEIRO-24 SERV'!$B:$E,2,FALSE))</f>
        <v xml:space="preserve">CABECOTE PARA ENTRADA DE LINHA DE ALIMENTACAO PARA ELETRODUTO, EM LIGA DE ALUMINIO COM ACABAMENTO ANTI CORROSIVO, COM FIXACAO POR ENCAIXE LISO DE 360 GRAUS, DE 1 1/4"                                                                                                                                                                                                                                                                                                                                    </v>
      </c>
      <c r="D729" s="1215" t="str">
        <f>IF($A729="INSUMO",VLOOKUP($B729,'BANCO DE DADOS JANEIRO-24 INS'!$A:$D,3,FALSE),VLOOKUP($B729,'BANCO DE DADOS JANEIRO-24 SERV'!$B:$E,3,FALSE))</f>
        <v xml:space="preserve">UN    </v>
      </c>
      <c r="E729" s="1345">
        <v>1</v>
      </c>
      <c r="F729" s="1216">
        <f>IF($A729="INSUMO",VLOOKUP($B729,'BANCO DE DADOS JANEIRO-24 INS'!$A:$D,4,FALSE),VLOOKUP($B729,'BANCO DE DADOS JANEIRO-24 SERV'!$B:$E,4,FALSE))</f>
        <v>6.2</v>
      </c>
      <c r="G729" s="1346">
        <f>TRUNC(F729*E729,2)</f>
        <v>6.2</v>
      </c>
      <c r="H729" s="308"/>
    </row>
    <row r="730" spans="1:11" ht="15.75">
      <c r="A730" s="308"/>
      <c r="B730" s="2389" t="s">
        <v>166</v>
      </c>
      <c r="C730" s="2390"/>
      <c r="D730" s="2390"/>
      <c r="E730" s="2390"/>
      <c r="F730" s="2390"/>
      <c r="G730" s="2391"/>
      <c r="H730" s="308"/>
      <c r="J730" s="1097"/>
    </row>
    <row r="731" spans="1:11" ht="16.5" thickBot="1">
      <c r="A731" s="333" t="s">
        <v>391</v>
      </c>
      <c r="B731" s="1523">
        <v>88264</v>
      </c>
      <c r="C731" s="1522" t="str">
        <f>IF($A731="INSUMO",VLOOKUP($B731,'BANCO DE DADOS JANEIRO-24 INS'!$A:$D,2,FALSE),VLOOKUP($B731,'BANCO DE DADOS JANEIRO-24 SERV'!$B:$E,2,FALSE))</f>
        <v>ELETRICISTA COM ENCARGOS COMPLEMENTARES</v>
      </c>
      <c r="D731" s="1521" t="str">
        <f>IF($A731="INSUMO",VLOOKUP($B731,'BANCO DE DADOS JANEIRO-24 INS'!$A:$D,3,FALSE),VLOOKUP($B731,'BANCO DE DADOS JANEIRO-24 SERV'!$B:$E,3,FALSE))</f>
        <v>H</v>
      </c>
      <c r="E731" s="1594">
        <v>0.27</v>
      </c>
      <c r="F731" s="1525">
        <f>IF($A731="INSUMO",VLOOKUP($B731,'BANCO DE DADOS JANEIRO-24 INS'!$A:$D,4,FALSE),VLOOKUP($B731,'BANCO DE DADOS JANEIRO-24 SERV'!$B:$E,4,FALSE))</f>
        <v>26.68</v>
      </c>
      <c r="G731" s="1520">
        <f>TRUNC(F731*E731,2)</f>
        <v>7.2</v>
      </c>
      <c r="H731" s="308"/>
      <c r="J731" s="1200"/>
      <c r="K731" s="1198"/>
    </row>
    <row r="732" spans="1:11" ht="16.5" thickBot="1">
      <c r="A732" s="308"/>
      <c r="B732" s="2450" t="s">
        <v>7358</v>
      </c>
      <c r="C732" s="2450"/>
      <c r="D732" s="2450"/>
      <c r="E732" s="2450"/>
      <c r="F732" s="325" t="s">
        <v>167</v>
      </c>
      <c r="G732" s="326">
        <f>SUM(G728:G731)</f>
        <v>13.4</v>
      </c>
      <c r="H732" s="308"/>
    </row>
    <row r="733" spans="1:11" ht="13.5" thickBot="1"/>
    <row r="734" spans="1:11" ht="46.5" customHeight="1">
      <c r="A734" s="308"/>
      <c r="B734" s="623" t="str">
        <f>IF(COUNT($H$17:H734)&lt;10,CONCATENATE("CPU IP 00",COUNT($H$17:H734)),CONCATENATE("CPU IP 0",COUNT($H$17:H734)))</f>
        <v>CPU IP 042</v>
      </c>
      <c r="C734" s="2180" t="str">
        <f>CONCATENATE("FORNECIMENTO E INSTALAÇÃO DE ",C737)</f>
        <v xml:space="preserve">FORNECIMENTO E INSTALAÇÃO DE CABECOTE PARA ENTRADA DE LINHA DE ALIMENTACAO PARA ELETRODUTO, EM LIGA DE ALUMINIO COM ACABAMENTO ANTI CORROSIVO, COM FIXACAO POR ENCAIXE LISO DE 360 GRAUS, DE 1"                                                                                                                                                                                                                                                                                                                                        </v>
      </c>
      <c r="D734" s="2181"/>
      <c r="E734" s="2181"/>
      <c r="F734" s="2181"/>
      <c r="G734" s="624" t="s">
        <v>22</v>
      </c>
      <c r="H734" s="615">
        <f>G740</f>
        <v>11.440000000000001</v>
      </c>
    </row>
    <row r="735" spans="1:11" ht="31.5">
      <c r="A735" s="308"/>
      <c r="B735" s="1093" t="s">
        <v>197</v>
      </c>
      <c r="C735" s="1094" t="s">
        <v>161</v>
      </c>
      <c r="D735" s="1194" t="s">
        <v>22</v>
      </c>
      <c r="E735" s="1094" t="s">
        <v>162</v>
      </c>
      <c r="F735" s="1095" t="s">
        <v>163</v>
      </c>
      <c r="G735" s="1096" t="s">
        <v>164</v>
      </c>
      <c r="H735" s="308"/>
    </row>
    <row r="736" spans="1:11" ht="15.75">
      <c r="A736" s="308"/>
      <c r="B736" s="2389" t="s">
        <v>165</v>
      </c>
      <c r="C736" s="2390"/>
      <c r="D736" s="2390"/>
      <c r="E736" s="2390"/>
      <c r="F736" s="2390"/>
      <c r="G736" s="2391"/>
      <c r="H736" s="308"/>
    </row>
    <row r="737" spans="1:11" ht="60">
      <c r="A737" s="333" t="s">
        <v>390</v>
      </c>
      <c r="B737" s="1558">
        <v>1050</v>
      </c>
      <c r="C737" s="1222" t="str">
        <f>IF($A737="INSUMO",VLOOKUP($B737,'BANCO DE DADOS JANEIRO-24 INS'!$A:$D,2,FALSE),VLOOKUP($B737,'BANCO DE DADOS JANEIRO-24 SERV'!$B:$E,2,FALSE))</f>
        <v xml:space="preserve">CABECOTE PARA ENTRADA DE LINHA DE ALIMENTACAO PARA ELETRODUTO, EM LIGA DE ALUMINIO COM ACABAMENTO ANTI CORROSIVO, COM FIXACAO POR ENCAIXE LISO DE 360 GRAUS, DE 1"                                                                                                                                                                                                                                                                                                                                        </v>
      </c>
      <c r="D737" s="1215" t="str">
        <f>IF($A737="INSUMO",VLOOKUP($B737,'BANCO DE DADOS JANEIRO-24 INS'!$A:$D,3,FALSE),VLOOKUP($B737,'BANCO DE DADOS JANEIRO-24 SERV'!$B:$E,3,FALSE))</f>
        <v xml:space="preserve">UN    </v>
      </c>
      <c r="E737" s="1345">
        <v>1</v>
      </c>
      <c r="F737" s="1216">
        <f>IF($A737="INSUMO",VLOOKUP($B737,'BANCO DE DADOS JANEIRO-24 INS'!$A:$D,4,FALSE),VLOOKUP($B737,'BANCO DE DADOS JANEIRO-24 SERV'!$B:$E,4,FALSE))</f>
        <v>4.24</v>
      </c>
      <c r="G737" s="1346">
        <f>TRUNC(F737*E737,2)</f>
        <v>4.24</v>
      </c>
      <c r="H737" s="308"/>
    </row>
    <row r="738" spans="1:11" ht="15.75">
      <c r="A738" s="308"/>
      <c r="B738" s="2389" t="s">
        <v>166</v>
      </c>
      <c r="C738" s="2390"/>
      <c r="D738" s="2390"/>
      <c r="E738" s="2390"/>
      <c r="F738" s="2390"/>
      <c r="G738" s="2391"/>
      <c r="H738" s="308"/>
      <c r="J738" s="1097"/>
    </row>
    <row r="739" spans="1:11" ht="16.5" thickBot="1">
      <c r="A739" s="333" t="s">
        <v>391</v>
      </c>
      <c r="B739" s="1523">
        <v>88264</v>
      </c>
      <c r="C739" s="1522" t="str">
        <f>IF($A739="INSUMO",VLOOKUP($B739,'BANCO DE DADOS JANEIRO-24 INS'!$A:$D,2,FALSE),VLOOKUP($B739,'BANCO DE DADOS JANEIRO-24 SERV'!$B:$E,2,FALSE))</f>
        <v>ELETRICISTA COM ENCARGOS COMPLEMENTARES</v>
      </c>
      <c r="D739" s="1521" t="str">
        <f>IF($A739="INSUMO",VLOOKUP($B739,'BANCO DE DADOS JANEIRO-24 INS'!$A:$D,3,FALSE),VLOOKUP($B739,'BANCO DE DADOS JANEIRO-24 SERV'!$B:$E,3,FALSE))</f>
        <v>H</v>
      </c>
      <c r="E739" s="1594">
        <v>0.27</v>
      </c>
      <c r="F739" s="1525">
        <f>IF($A739="INSUMO",VLOOKUP($B739,'BANCO DE DADOS JANEIRO-24 INS'!$A:$D,4,FALSE),VLOOKUP($B739,'BANCO DE DADOS JANEIRO-24 SERV'!$B:$E,4,FALSE))</f>
        <v>26.68</v>
      </c>
      <c r="G739" s="1520">
        <f>TRUNC(F739*E739,2)</f>
        <v>7.2</v>
      </c>
      <c r="H739" s="308"/>
      <c r="J739" s="1200"/>
      <c r="K739" s="1198"/>
    </row>
    <row r="740" spans="1:11" ht="16.5" thickBot="1">
      <c r="A740" s="308"/>
      <c r="B740" s="2450" t="s">
        <v>7358</v>
      </c>
      <c r="C740" s="2450"/>
      <c r="D740" s="2450"/>
      <c r="E740" s="2450"/>
      <c r="F740" s="325" t="s">
        <v>167</v>
      </c>
      <c r="G740" s="326">
        <f>SUM(G736:G739)</f>
        <v>11.440000000000001</v>
      </c>
      <c r="H740" s="308"/>
    </row>
  </sheetData>
  <autoFilter ref="G3:G740" xr:uid="{00000000-0009-0000-0000-000013000000}"/>
  <mergeCells count="187">
    <mergeCell ref="C718:F718"/>
    <mergeCell ref="B480:G480"/>
    <mergeCell ref="B483:E483"/>
    <mergeCell ref="B738:G738"/>
    <mergeCell ref="B740:E740"/>
    <mergeCell ref="C44:F44"/>
    <mergeCell ref="B46:G46"/>
    <mergeCell ref="B48:G48"/>
    <mergeCell ref="B50:E51"/>
    <mergeCell ref="B720:G720"/>
    <mergeCell ref="B722:G722"/>
    <mergeCell ref="B724:E724"/>
    <mergeCell ref="C726:F726"/>
    <mergeCell ref="B728:G728"/>
    <mergeCell ref="B730:G730"/>
    <mergeCell ref="B732:E732"/>
    <mergeCell ref="C734:F734"/>
    <mergeCell ref="B736:G736"/>
    <mergeCell ref="C439:F439"/>
    <mergeCell ref="B441:G441"/>
    <mergeCell ref="B443:G443"/>
    <mergeCell ref="B446:E446"/>
    <mergeCell ref="B199:G199"/>
    <mergeCell ref="B201:G201"/>
    <mergeCell ref="B78:E79"/>
    <mergeCell ref="B116:E117"/>
    <mergeCell ref="C88:F88"/>
    <mergeCell ref="C103:F103"/>
    <mergeCell ref="B159:G159"/>
    <mergeCell ref="B163:E164"/>
    <mergeCell ref="B221:G221"/>
    <mergeCell ref="B247:G247"/>
    <mergeCell ref="B114:G114"/>
    <mergeCell ref="B169:G169"/>
    <mergeCell ref="B172:E173"/>
    <mergeCell ref="C165:F165"/>
    <mergeCell ref="C219:F219"/>
    <mergeCell ref="B217:E218"/>
    <mergeCell ref="B142:E143"/>
    <mergeCell ref="C118:F118"/>
    <mergeCell ref="B461:G461"/>
    <mergeCell ref="B464:E464"/>
    <mergeCell ref="B478:G478"/>
    <mergeCell ref="B455:E455"/>
    <mergeCell ref="B452:G452"/>
    <mergeCell ref="B466:G466"/>
    <mergeCell ref="C467:F467"/>
    <mergeCell ref="B469:G469"/>
    <mergeCell ref="B471:G471"/>
    <mergeCell ref="B474:E474"/>
    <mergeCell ref="C476:F476"/>
    <mergeCell ref="B459:G459"/>
    <mergeCell ref="C457:F457"/>
    <mergeCell ref="C430:F430"/>
    <mergeCell ref="B373:G373"/>
    <mergeCell ref="B376:G376"/>
    <mergeCell ref="B379:E380"/>
    <mergeCell ref="C388:F388"/>
    <mergeCell ref="B390:G390"/>
    <mergeCell ref="B392:G392"/>
    <mergeCell ref="C412:F412"/>
    <mergeCell ref="B414:G414"/>
    <mergeCell ref="B416:G416"/>
    <mergeCell ref="B419:E419"/>
    <mergeCell ref="C421:F421"/>
    <mergeCell ref="B423:G423"/>
    <mergeCell ref="B425:G425"/>
    <mergeCell ref="B399:G401"/>
    <mergeCell ref="B398:G398"/>
    <mergeCell ref="B410:E410"/>
    <mergeCell ref="B711:G711"/>
    <mergeCell ref="B101:E102"/>
    <mergeCell ref="C110:F110"/>
    <mergeCell ref="B112:G112"/>
    <mergeCell ref="B12:D12"/>
    <mergeCell ref="E12:F12"/>
    <mergeCell ref="C11:D11"/>
    <mergeCell ref="B55:G55"/>
    <mergeCell ref="B57:G57"/>
    <mergeCell ref="B60:E61"/>
    <mergeCell ref="C80:F80"/>
    <mergeCell ref="C17:F17"/>
    <mergeCell ref="B19:G19"/>
    <mergeCell ref="B21:G21"/>
    <mergeCell ref="C26:F26"/>
    <mergeCell ref="B28:G28"/>
    <mergeCell ref="B30:G30"/>
    <mergeCell ref="B24:E24"/>
    <mergeCell ref="C693:F693"/>
    <mergeCell ref="B695:G695"/>
    <mergeCell ref="B697:G697"/>
    <mergeCell ref="B700:E700"/>
    <mergeCell ref="C448:F448"/>
    <mergeCell ref="B450:G450"/>
    <mergeCell ref="B627:G627"/>
    <mergeCell ref="C35:F35"/>
    <mergeCell ref="B37:G37"/>
    <mergeCell ref="B39:G39"/>
    <mergeCell ref="B41:E42"/>
    <mergeCell ref="C10:E10"/>
    <mergeCell ref="E11:F11"/>
    <mergeCell ref="C709:F709"/>
    <mergeCell ref="B630:E630"/>
    <mergeCell ref="C660:F660"/>
    <mergeCell ref="B662:G662"/>
    <mergeCell ref="B674:G674"/>
    <mergeCell ref="B677:E677"/>
    <mergeCell ref="C485:F485"/>
    <mergeCell ref="B487:G487"/>
    <mergeCell ref="B518:G518"/>
    <mergeCell ref="B522:E522"/>
    <mergeCell ref="C615:F615"/>
    <mergeCell ref="B617:G617"/>
    <mergeCell ref="B432:G432"/>
    <mergeCell ref="B434:G434"/>
    <mergeCell ref="B437:E437"/>
    <mergeCell ref="B395:E397"/>
    <mergeCell ref="B428:E428"/>
    <mergeCell ref="C371:F371"/>
    <mergeCell ref="B355:G355"/>
    <mergeCell ref="B357:G357"/>
    <mergeCell ref="B360:E361"/>
    <mergeCell ref="C212:F212"/>
    <mergeCell ref="B251:E251"/>
    <mergeCell ref="B167:G167"/>
    <mergeCell ref="B407:G407"/>
    <mergeCell ref="B364:G364"/>
    <mergeCell ref="B366:G366"/>
    <mergeCell ref="B369:E370"/>
    <mergeCell ref="C403:F403"/>
    <mergeCell ref="C197:F197"/>
    <mergeCell ref="B203:E204"/>
    <mergeCell ref="C362:F362"/>
    <mergeCell ref="B185:G185"/>
    <mergeCell ref="B188:E189"/>
    <mergeCell ref="C381:F381"/>
    <mergeCell ref="C174:F174"/>
    <mergeCell ref="C190:F190"/>
    <mergeCell ref="C205:F205"/>
    <mergeCell ref="B716:E716"/>
    <mergeCell ref="C702:F702"/>
    <mergeCell ref="B704:G704"/>
    <mergeCell ref="B707:E707"/>
    <mergeCell ref="B82:G82"/>
    <mergeCell ref="B84:G84"/>
    <mergeCell ref="B86:E87"/>
    <mergeCell ref="C95:F95"/>
    <mergeCell ref="B97:G97"/>
    <mergeCell ref="B99:G99"/>
    <mergeCell ref="C145:F145"/>
    <mergeCell ref="B147:G147"/>
    <mergeCell ref="B149:G149"/>
    <mergeCell ref="B153:E154"/>
    <mergeCell ref="C155:F155"/>
    <mergeCell ref="C125:F125"/>
    <mergeCell ref="C344:F344"/>
    <mergeCell ref="B346:G346"/>
    <mergeCell ref="B348:G348"/>
    <mergeCell ref="B351:E351"/>
    <mergeCell ref="C353:F353"/>
    <mergeCell ref="B214:G214"/>
    <mergeCell ref="B405:G405"/>
    <mergeCell ref="B714:G714"/>
    <mergeCell ref="C6:D6"/>
    <mergeCell ref="C7:D7"/>
    <mergeCell ref="C181:F181"/>
    <mergeCell ref="B183:G183"/>
    <mergeCell ref="B157:G157"/>
    <mergeCell ref="B127:G127"/>
    <mergeCell ref="B130:G130"/>
    <mergeCell ref="B133:E134"/>
    <mergeCell ref="C135:F135"/>
    <mergeCell ref="B137:G137"/>
    <mergeCell ref="B139:G139"/>
    <mergeCell ref="C53:F53"/>
    <mergeCell ref="B6:B7"/>
    <mergeCell ref="F6:G6"/>
    <mergeCell ref="B8:G8"/>
    <mergeCell ref="B14:G14"/>
    <mergeCell ref="B32:E33"/>
    <mergeCell ref="C62:F62"/>
    <mergeCell ref="B64:G64"/>
    <mergeCell ref="B66:G66"/>
    <mergeCell ref="B69:E70"/>
    <mergeCell ref="C71:F71"/>
    <mergeCell ref="B73:G73"/>
    <mergeCell ref="B75:G75"/>
  </mergeCells>
  <dataValidations disablePrompts="1" count="1">
    <dataValidation type="list" allowBlank="1" showInputMessage="1" showErrorMessage="1" sqref="A22:A23 A20 A31 A58:A59 A85 A100 A131:A132 A128:A129 A140:A141 A56 A150:A152 A170:A171 A29 A248:A250 A222:A246 A358:A359 A186:A187 A160:A162 A377:A378 A391 A393:A394 A406 A408:A409 A433 A435:A436 A374 A519:A521 A488:A517 A628:A629 A618:A626 A675:A676 A663:A673 A696 A698:A699 A138 A148 A158 A356 A705:A706 A715 A712:A713 A67:A68 A65 A76:A77 A74 A115 A40 A38 A202 A216 A367:A368 A365 A462:A463 A460 A472:A473 A470 A481:A482 A479 A415 A417:A418 A424 A426:A427 A442 A444:A445 A451 A453:A454 A723 A721 A731 A729 A739 A737 A49 A47" xr:uid="{00000000-0002-0000-1300-000000000000}">
      <formula1>$A$3:$A$4</formula1>
    </dataValidation>
  </dataValidations>
  <hyperlinks>
    <hyperlink ref="C316" r:id="rId1" xr:uid="{00000000-0004-0000-1300-000000000000}"/>
    <hyperlink ref="C323" r:id="rId2" xr:uid="{00000000-0004-0000-1300-000001000000}"/>
    <hyperlink ref="C381" r:id="rId3" xr:uid="{00000000-0004-0000-1300-000002000000}"/>
    <hyperlink ref="C288" r:id="rId4" display="PROTETOR DE BUCHA DE TRANSFORMADOR AT 15KV" xr:uid="{00000000-0004-0000-1300-000003000000}"/>
  </hyperlinks>
  <printOptions horizontalCentered="1"/>
  <pageMargins left="0.78740157480314965" right="0.19685039370078741" top="0.39370078740157483" bottom="0.78740157480314965" header="0.19685039370078741" footer="0.19685039370078741"/>
  <pageSetup paperSize="9" scale="44" fitToHeight="100" orientation="portrait" r:id="rId5"/>
  <headerFooter scaleWithDoc="0" alignWithMargins="0">
    <oddHeader>&amp;RPágina &amp;P de &amp;N</oddHeader>
  </headerFooter>
  <rowBreaks count="12" manualBreakCount="12">
    <brk id="79" min="1" max="6" man="1"/>
    <brk id="108" min="1" max="6" man="1"/>
    <brk id="164" min="1" max="6" man="1"/>
    <brk id="218" min="1" max="6" man="1"/>
    <brk id="251" min="1" max="6" man="1"/>
    <brk id="315" min="1" max="6" man="1"/>
    <brk id="370" min="1" max="6" man="1"/>
    <brk id="402" min="1" max="6" man="1"/>
    <brk id="523" min="1" max="6" man="1"/>
    <brk id="572" min="1" max="6" man="1"/>
    <brk id="652" min="1" max="6" man="1"/>
    <brk id="692" min="1" max="6" man="1"/>
  </rowBreaks>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7">
    <tabColor theme="3" tint="0.79998168889431442"/>
  </sheetPr>
  <dimension ref="A1:H266"/>
  <sheetViews>
    <sheetView view="pageBreakPreview" zoomScale="85" zoomScaleNormal="100" zoomScaleSheetLayoutView="85" workbookViewId="0">
      <selection activeCell="K24" sqref="K24"/>
    </sheetView>
  </sheetViews>
  <sheetFormatPr defaultRowHeight="12.75"/>
  <cols>
    <col min="1" max="1" width="15.5703125" style="265" customWidth="1"/>
    <col min="2" max="2" width="24.7109375" style="359" customWidth="1"/>
    <col min="3" max="3" width="75.7109375" style="359" customWidth="1"/>
    <col min="4" max="4" width="15.7109375" style="360" customWidth="1"/>
    <col min="5" max="5" width="23.7109375" style="361" customWidth="1"/>
    <col min="6" max="6" width="18.7109375" style="362" customWidth="1"/>
    <col min="7" max="7" width="20.7109375" style="363" customWidth="1"/>
    <col min="8" max="8" width="16.140625" style="265" bestFit="1" customWidth="1"/>
    <col min="9" max="257" width="9.140625" style="265"/>
    <col min="258" max="258" width="21" style="265" customWidth="1"/>
    <col min="259" max="259" width="81.42578125" style="265" customWidth="1"/>
    <col min="260" max="261" width="15.5703125" style="265" customWidth="1"/>
    <col min="262" max="262" width="14.140625" style="265" bestFit="1" customWidth="1"/>
    <col min="263" max="263" width="18" style="265" bestFit="1" customWidth="1"/>
    <col min="264" max="264" width="11" style="265" bestFit="1" customWidth="1"/>
    <col min="265" max="513" width="9.140625" style="265"/>
    <col min="514" max="514" width="21" style="265" customWidth="1"/>
    <col min="515" max="515" width="81.42578125" style="265" customWidth="1"/>
    <col min="516" max="517" width="15.5703125" style="265" customWidth="1"/>
    <col min="518" max="518" width="14.140625" style="265" bestFit="1" customWidth="1"/>
    <col min="519" max="519" width="18" style="265" bestFit="1" customWidth="1"/>
    <col min="520" max="520" width="11" style="265" bestFit="1" customWidth="1"/>
    <col min="521" max="769" width="9.140625" style="265"/>
    <col min="770" max="770" width="21" style="265" customWidth="1"/>
    <col min="771" max="771" width="81.42578125" style="265" customWidth="1"/>
    <col min="772" max="773" width="15.5703125" style="265" customWidth="1"/>
    <col min="774" max="774" width="14.140625" style="265" bestFit="1" customWidth="1"/>
    <col min="775" max="775" width="18" style="265" bestFit="1" customWidth="1"/>
    <col min="776" max="776" width="11" style="265" bestFit="1" customWidth="1"/>
    <col min="777" max="1025" width="9.140625" style="265"/>
    <col min="1026" max="1026" width="21" style="265" customWidth="1"/>
    <col min="1027" max="1027" width="81.42578125" style="265" customWidth="1"/>
    <col min="1028" max="1029" width="15.5703125" style="265" customWidth="1"/>
    <col min="1030" max="1030" width="14.140625" style="265" bestFit="1" customWidth="1"/>
    <col min="1031" max="1031" width="18" style="265" bestFit="1" customWidth="1"/>
    <col min="1032" max="1032" width="11" style="265" bestFit="1" customWidth="1"/>
    <col min="1033" max="1281" width="9.140625" style="265"/>
    <col min="1282" max="1282" width="21" style="265" customWidth="1"/>
    <col min="1283" max="1283" width="81.42578125" style="265" customWidth="1"/>
    <col min="1284" max="1285" width="15.5703125" style="265" customWidth="1"/>
    <col min="1286" max="1286" width="14.140625" style="265" bestFit="1" customWidth="1"/>
    <col min="1287" max="1287" width="18" style="265" bestFit="1" customWidth="1"/>
    <col min="1288" max="1288" width="11" style="265" bestFit="1" customWidth="1"/>
    <col min="1289" max="1537" width="9.140625" style="265"/>
    <col min="1538" max="1538" width="21" style="265" customWidth="1"/>
    <col min="1539" max="1539" width="81.42578125" style="265" customWidth="1"/>
    <col min="1540" max="1541" width="15.5703125" style="265" customWidth="1"/>
    <col min="1542" max="1542" width="14.140625" style="265" bestFit="1" customWidth="1"/>
    <col min="1543" max="1543" width="18" style="265" bestFit="1" customWidth="1"/>
    <col min="1544" max="1544" width="11" style="265" bestFit="1" customWidth="1"/>
    <col min="1545" max="1793" width="9.140625" style="265"/>
    <col min="1794" max="1794" width="21" style="265" customWidth="1"/>
    <col min="1795" max="1795" width="81.42578125" style="265" customWidth="1"/>
    <col min="1796" max="1797" width="15.5703125" style="265" customWidth="1"/>
    <col min="1798" max="1798" width="14.140625" style="265" bestFit="1" customWidth="1"/>
    <col min="1799" max="1799" width="18" style="265" bestFit="1" customWidth="1"/>
    <col min="1800" max="1800" width="11" style="265" bestFit="1" customWidth="1"/>
    <col min="1801" max="2049" width="9.140625" style="265"/>
    <col min="2050" max="2050" width="21" style="265" customWidth="1"/>
    <col min="2051" max="2051" width="81.42578125" style="265" customWidth="1"/>
    <col min="2052" max="2053" width="15.5703125" style="265" customWidth="1"/>
    <col min="2054" max="2054" width="14.140625" style="265" bestFit="1" customWidth="1"/>
    <col min="2055" max="2055" width="18" style="265" bestFit="1" customWidth="1"/>
    <col min="2056" max="2056" width="11" style="265" bestFit="1" customWidth="1"/>
    <col min="2057" max="2305" width="9.140625" style="265"/>
    <col min="2306" max="2306" width="21" style="265" customWidth="1"/>
    <col min="2307" max="2307" width="81.42578125" style="265" customWidth="1"/>
    <col min="2308" max="2309" width="15.5703125" style="265" customWidth="1"/>
    <col min="2310" max="2310" width="14.140625" style="265" bestFit="1" customWidth="1"/>
    <col min="2311" max="2311" width="18" style="265" bestFit="1" customWidth="1"/>
    <col min="2312" max="2312" width="11" style="265" bestFit="1" customWidth="1"/>
    <col min="2313" max="2561" width="9.140625" style="265"/>
    <col min="2562" max="2562" width="21" style="265" customWidth="1"/>
    <col min="2563" max="2563" width="81.42578125" style="265" customWidth="1"/>
    <col min="2564" max="2565" width="15.5703125" style="265" customWidth="1"/>
    <col min="2566" max="2566" width="14.140625" style="265" bestFit="1" customWidth="1"/>
    <col min="2567" max="2567" width="18" style="265" bestFit="1" customWidth="1"/>
    <col min="2568" max="2568" width="11" style="265" bestFit="1" customWidth="1"/>
    <col min="2569" max="2817" width="9.140625" style="265"/>
    <col min="2818" max="2818" width="21" style="265" customWidth="1"/>
    <col min="2819" max="2819" width="81.42578125" style="265" customWidth="1"/>
    <col min="2820" max="2821" width="15.5703125" style="265" customWidth="1"/>
    <col min="2822" max="2822" width="14.140625" style="265" bestFit="1" customWidth="1"/>
    <col min="2823" max="2823" width="18" style="265" bestFit="1" customWidth="1"/>
    <col min="2824" max="2824" width="11" style="265" bestFit="1" customWidth="1"/>
    <col min="2825" max="3073" width="9.140625" style="265"/>
    <col min="3074" max="3074" width="21" style="265" customWidth="1"/>
    <col min="3075" max="3075" width="81.42578125" style="265" customWidth="1"/>
    <col min="3076" max="3077" width="15.5703125" style="265" customWidth="1"/>
    <col min="3078" max="3078" width="14.140625" style="265" bestFit="1" customWidth="1"/>
    <col min="3079" max="3079" width="18" style="265" bestFit="1" customWidth="1"/>
    <col min="3080" max="3080" width="11" style="265" bestFit="1" customWidth="1"/>
    <col min="3081" max="3329" width="9.140625" style="265"/>
    <col min="3330" max="3330" width="21" style="265" customWidth="1"/>
    <col min="3331" max="3331" width="81.42578125" style="265" customWidth="1"/>
    <col min="3332" max="3333" width="15.5703125" style="265" customWidth="1"/>
    <col min="3334" max="3334" width="14.140625" style="265" bestFit="1" customWidth="1"/>
    <col min="3335" max="3335" width="18" style="265" bestFit="1" customWidth="1"/>
    <col min="3336" max="3336" width="11" style="265" bestFit="1" customWidth="1"/>
    <col min="3337" max="3585" width="9.140625" style="265"/>
    <col min="3586" max="3586" width="21" style="265" customWidth="1"/>
    <col min="3587" max="3587" width="81.42578125" style="265" customWidth="1"/>
    <col min="3588" max="3589" width="15.5703125" style="265" customWidth="1"/>
    <col min="3590" max="3590" width="14.140625" style="265" bestFit="1" customWidth="1"/>
    <col min="3591" max="3591" width="18" style="265" bestFit="1" customWidth="1"/>
    <col min="3592" max="3592" width="11" style="265" bestFit="1" customWidth="1"/>
    <col min="3593" max="3841" width="9.140625" style="265"/>
    <col min="3842" max="3842" width="21" style="265" customWidth="1"/>
    <col min="3843" max="3843" width="81.42578125" style="265" customWidth="1"/>
    <col min="3844" max="3845" width="15.5703125" style="265" customWidth="1"/>
    <col min="3846" max="3846" width="14.140625" style="265" bestFit="1" customWidth="1"/>
    <col min="3847" max="3847" width="18" style="265" bestFit="1" customWidth="1"/>
    <col min="3848" max="3848" width="11" style="265" bestFit="1" customWidth="1"/>
    <col min="3849" max="4097" width="9.140625" style="265"/>
    <col min="4098" max="4098" width="21" style="265" customWidth="1"/>
    <col min="4099" max="4099" width="81.42578125" style="265" customWidth="1"/>
    <col min="4100" max="4101" width="15.5703125" style="265" customWidth="1"/>
    <col min="4102" max="4102" width="14.140625" style="265" bestFit="1" customWidth="1"/>
    <col min="4103" max="4103" width="18" style="265" bestFit="1" customWidth="1"/>
    <col min="4104" max="4104" width="11" style="265" bestFit="1" customWidth="1"/>
    <col min="4105" max="4353" width="9.140625" style="265"/>
    <col min="4354" max="4354" width="21" style="265" customWidth="1"/>
    <col min="4355" max="4355" width="81.42578125" style="265" customWidth="1"/>
    <col min="4356" max="4357" width="15.5703125" style="265" customWidth="1"/>
    <col min="4358" max="4358" width="14.140625" style="265" bestFit="1" customWidth="1"/>
    <col min="4359" max="4359" width="18" style="265" bestFit="1" customWidth="1"/>
    <col min="4360" max="4360" width="11" style="265" bestFit="1" customWidth="1"/>
    <col min="4361" max="4609" width="9.140625" style="265"/>
    <col min="4610" max="4610" width="21" style="265" customWidth="1"/>
    <col min="4611" max="4611" width="81.42578125" style="265" customWidth="1"/>
    <col min="4612" max="4613" width="15.5703125" style="265" customWidth="1"/>
    <col min="4614" max="4614" width="14.140625" style="265" bestFit="1" customWidth="1"/>
    <col min="4615" max="4615" width="18" style="265" bestFit="1" customWidth="1"/>
    <col min="4616" max="4616" width="11" style="265" bestFit="1" customWidth="1"/>
    <col min="4617" max="4865" width="9.140625" style="265"/>
    <col min="4866" max="4866" width="21" style="265" customWidth="1"/>
    <col min="4867" max="4867" width="81.42578125" style="265" customWidth="1"/>
    <col min="4868" max="4869" width="15.5703125" style="265" customWidth="1"/>
    <col min="4870" max="4870" width="14.140625" style="265" bestFit="1" customWidth="1"/>
    <col min="4871" max="4871" width="18" style="265" bestFit="1" customWidth="1"/>
    <col min="4872" max="4872" width="11" style="265" bestFit="1" customWidth="1"/>
    <col min="4873" max="5121" width="9.140625" style="265"/>
    <col min="5122" max="5122" width="21" style="265" customWidth="1"/>
    <col min="5123" max="5123" width="81.42578125" style="265" customWidth="1"/>
    <col min="5124" max="5125" width="15.5703125" style="265" customWidth="1"/>
    <col min="5126" max="5126" width="14.140625" style="265" bestFit="1" customWidth="1"/>
    <col min="5127" max="5127" width="18" style="265" bestFit="1" customWidth="1"/>
    <col min="5128" max="5128" width="11" style="265" bestFit="1" customWidth="1"/>
    <col min="5129" max="5377" width="9.140625" style="265"/>
    <col min="5378" max="5378" width="21" style="265" customWidth="1"/>
    <col min="5379" max="5379" width="81.42578125" style="265" customWidth="1"/>
    <col min="5380" max="5381" width="15.5703125" style="265" customWidth="1"/>
    <col min="5382" max="5382" width="14.140625" style="265" bestFit="1" customWidth="1"/>
    <col min="5383" max="5383" width="18" style="265" bestFit="1" customWidth="1"/>
    <col min="5384" max="5384" width="11" style="265" bestFit="1" customWidth="1"/>
    <col min="5385" max="5633" width="9.140625" style="265"/>
    <col min="5634" max="5634" width="21" style="265" customWidth="1"/>
    <col min="5635" max="5635" width="81.42578125" style="265" customWidth="1"/>
    <col min="5636" max="5637" width="15.5703125" style="265" customWidth="1"/>
    <col min="5638" max="5638" width="14.140625" style="265" bestFit="1" customWidth="1"/>
    <col min="5639" max="5639" width="18" style="265" bestFit="1" customWidth="1"/>
    <col min="5640" max="5640" width="11" style="265" bestFit="1" customWidth="1"/>
    <col min="5641" max="5889" width="9.140625" style="265"/>
    <col min="5890" max="5890" width="21" style="265" customWidth="1"/>
    <col min="5891" max="5891" width="81.42578125" style="265" customWidth="1"/>
    <col min="5892" max="5893" width="15.5703125" style="265" customWidth="1"/>
    <col min="5894" max="5894" width="14.140625" style="265" bestFit="1" customWidth="1"/>
    <col min="5895" max="5895" width="18" style="265" bestFit="1" customWidth="1"/>
    <col min="5896" max="5896" width="11" style="265" bestFit="1" customWidth="1"/>
    <col min="5897" max="6145" width="9.140625" style="265"/>
    <col min="6146" max="6146" width="21" style="265" customWidth="1"/>
    <col min="6147" max="6147" width="81.42578125" style="265" customWidth="1"/>
    <col min="6148" max="6149" width="15.5703125" style="265" customWidth="1"/>
    <col min="6150" max="6150" width="14.140625" style="265" bestFit="1" customWidth="1"/>
    <col min="6151" max="6151" width="18" style="265" bestFit="1" customWidth="1"/>
    <col min="6152" max="6152" width="11" style="265" bestFit="1" customWidth="1"/>
    <col min="6153" max="6401" width="9.140625" style="265"/>
    <col min="6402" max="6402" width="21" style="265" customWidth="1"/>
    <col min="6403" max="6403" width="81.42578125" style="265" customWidth="1"/>
    <col min="6404" max="6405" width="15.5703125" style="265" customWidth="1"/>
    <col min="6406" max="6406" width="14.140625" style="265" bestFit="1" customWidth="1"/>
    <col min="6407" max="6407" width="18" style="265" bestFit="1" customWidth="1"/>
    <col min="6408" max="6408" width="11" style="265" bestFit="1" customWidth="1"/>
    <col min="6409" max="6657" width="9.140625" style="265"/>
    <col min="6658" max="6658" width="21" style="265" customWidth="1"/>
    <col min="6659" max="6659" width="81.42578125" style="265" customWidth="1"/>
    <col min="6660" max="6661" width="15.5703125" style="265" customWidth="1"/>
    <col min="6662" max="6662" width="14.140625" style="265" bestFit="1" customWidth="1"/>
    <col min="6663" max="6663" width="18" style="265" bestFit="1" customWidth="1"/>
    <col min="6664" max="6664" width="11" style="265" bestFit="1" customWidth="1"/>
    <col min="6665" max="6913" width="9.140625" style="265"/>
    <col min="6914" max="6914" width="21" style="265" customWidth="1"/>
    <col min="6915" max="6915" width="81.42578125" style="265" customWidth="1"/>
    <col min="6916" max="6917" width="15.5703125" style="265" customWidth="1"/>
    <col min="6918" max="6918" width="14.140625" style="265" bestFit="1" customWidth="1"/>
    <col min="6919" max="6919" width="18" style="265" bestFit="1" customWidth="1"/>
    <col min="6920" max="6920" width="11" style="265" bestFit="1" customWidth="1"/>
    <col min="6921" max="7169" width="9.140625" style="265"/>
    <col min="7170" max="7170" width="21" style="265" customWidth="1"/>
    <col min="7171" max="7171" width="81.42578125" style="265" customWidth="1"/>
    <col min="7172" max="7173" width="15.5703125" style="265" customWidth="1"/>
    <col min="7174" max="7174" width="14.140625" style="265" bestFit="1" customWidth="1"/>
    <col min="7175" max="7175" width="18" style="265" bestFit="1" customWidth="1"/>
    <col min="7176" max="7176" width="11" style="265" bestFit="1" customWidth="1"/>
    <col min="7177" max="7425" width="9.140625" style="265"/>
    <col min="7426" max="7426" width="21" style="265" customWidth="1"/>
    <col min="7427" max="7427" width="81.42578125" style="265" customWidth="1"/>
    <col min="7428" max="7429" width="15.5703125" style="265" customWidth="1"/>
    <col min="7430" max="7430" width="14.140625" style="265" bestFit="1" customWidth="1"/>
    <col min="7431" max="7431" width="18" style="265" bestFit="1" customWidth="1"/>
    <col min="7432" max="7432" width="11" style="265" bestFit="1" customWidth="1"/>
    <col min="7433" max="7681" width="9.140625" style="265"/>
    <col min="7682" max="7682" width="21" style="265" customWidth="1"/>
    <col min="7683" max="7683" width="81.42578125" style="265" customWidth="1"/>
    <col min="7684" max="7685" width="15.5703125" style="265" customWidth="1"/>
    <col min="7686" max="7686" width="14.140625" style="265" bestFit="1" customWidth="1"/>
    <col min="7687" max="7687" width="18" style="265" bestFit="1" customWidth="1"/>
    <col min="7688" max="7688" width="11" style="265" bestFit="1" customWidth="1"/>
    <col min="7689" max="7937" width="9.140625" style="265"/>
    <col min="7938" max="7938" width="21" style="265" customWidth="1"/>
    <col min="7939" max="7939" width="81.42578125" style="265" customWidth="1"/>
    <col min="7940" max="7941" width="15.5703125" style="265" customWidth="1"/>
    <col min="7942" max="7942" width="14.140625" style="265" bestFit="1" customWidth="1"/>
    <col min="7943" max="7943" width="18" style="265" bestFit="1" customWidth="1"/>
    <col min="7944" max="7944" width="11" style="265" bestFit="1" customWidth="1"/>
    <col min="7945" max="8193" width="9.140625" style="265"/>
    <col min="8194" max="8194" width="21" style="265" customWidth="1"/>
    <col min="8195" max="8195" width="81.42578125" style="265" customWidth="1"/>
    <col min="8196" max="8197" width="15.5703125" style="265" customWidth="1"/>
    <col min="8198" max="8198" width="14.140625" style="265" bestFit="1" customWidth="1"/>
    <col min="8199" max="8199" width="18" style="265" bestFit="1" customWidth="1"/>
    <col min="8200" max="8200" width="11" style="265" bestFit="1" customWidth="1"/>
    <col min="8201" max="8449" width="9.140625" style="265"/>
    <col min="8450" max="8450" width="21" style="265" customWidth="1"/>
    <col min="8451" max="8451" width="81.42578125" style="265" customWidth="1"/>
    <col min="8452" max="8453" width="15.5703125" style="265" customWidth="1"/>
    <col min="8454" max="8454" width="14.140625" style="265" bestFit="1" customWidth="1"/>
    <col min="8455" max="8455" width="18" style="265" bestFit="1" customWidth="1"/>
    <col min="8456" max="8456" width="11" style="265" bestFit="1" customWidth="1"/>
    <col min="8457" max="8705" width="9.140625" style="265"/>
    <col min="8706" max="8706" width="21" style="265" customWidth="1"/>
    <col min="8707" max="8707" width="81.42578125" style="265" customWidth="1"/>
    <col min="8708" max="8709" width="15.5703125" style="265" customWidth="1"/>
    <col min="8710" max="8710" width="14.140625" style="265" bestFit="1" customWidth="1"/>
    <col min="8711" max="8711" width="18" style="265" bestFit="1" customWidth="1"/>
    <col min="8712" max="8712" width="11" style="265" bestFit="1" customWidth="1"/>
    <col min="8713" max="8961" width="9.140625" style="265"/>
    <col min="8962" max="8962" width="21" style="265" customWidth="1"/>
    <col min="8963" max="8963" width="81.42578125" style="265" customWidth="1"/>
    <col min="8964" max="8965" width="15.5703125" style="265" customWidth="1"/>
    <col min="8966" max="8966" width="14.140625" style="265" bestFit="1" customWidth="1"/>
    <col min="8967" max="8967" width="18" style="265" bestFit="1" customWidth="1"/>
    <col min="8968" max="8968" width="11" style="265" bestFit="1" customWidth="1"/>
    <col min="8969" max="9217" width="9.140625" style="265"/>
    <col min="9218" max="9218" width="21" style="265" customWidth="1"/>
    <col min="9219" max="9219" width="81.42578125" style="265" customWidth="1"/>
    <col min="9220" max="9221" width="15.5703125" style="265" customWidth="1"/>
    <col min="9222" max="9222" width="14.140625" style="265" bestFit="1" customWidth="1"/>
    <col min="9223" max="9223" width="18" style="265" bestFit="1" customWidth="1"/>
    <col min="9224" max="9224" width="11" style="265" bestFit="1" customWidth="1"/>
    <col min="9225" max="9473" width="9.140625" style="265"/>
    <col min="9474" max="9474" width="21" style="265" customWidth="1"/>
    <col min="9475" max="9475" width="81.42578125" style="265" customWidth="1"/>
    <col min="9476" max="9477" width="15.5703125" style="265" customWidth="1"/>
    <col min="9478" max="9478" width="14.140625" style="265" bestFit="1" customWidth="1"/>
    <col min="9479" max="9479" width="18" style="265" bestFit="1" customWidth="1"/>
    <col min="9480" max="9480" width="11" style="265" bestFit="1" customWidth="1"/>
    <col min="9481" max="9729" width="9.140625" style="265"/>
    <col min="9730" max="9730" width="21" style="265" customWidth="1"/>
    <col min="9731" max="9731" width="81.42578125" style="265" customWidth="1"/>
    <col min="9732" max="9733" width="15.5703125" style="265" customWidth="1"/>
    <col min="9734" max="9734" width="14.140625" style="265" bestFit="1" customWidth="1"/>
    <col min="9735" max="9735" width="18" style="265" bestFit="1" customWidth="1"/>
    <col min="9736" max="9736" width="11" style="265" bestFit="1" customWidth="1"/>
    <col min="9737" max="9985" width="9.140625" style="265"/>
    <col min="9986" max="9986" width="21" style="265" customWidth="1"/>
    <col min="9987" max="9987" width="81.42578125" style="265" customWidth="1"/>
    <col min="9988" max="9989" width="15.5703125" style="265" customWidth="1"/>
    <col min="9990" max="9990" width="14.140625" style="265" bestFit="1" customWidth="1"/>
    <col min="9991" max="9991" width="18" style="265" bestFit="1" customWidth="1"/>
    <col min="9992" max="9992" width="11" style="265" bestFit="1" customWidth="1"/>
    <col min="9993" max="10241" width="9.140625" style="265"/>
    <col min="10242" max="10242" width="21" style="265" customWidth="1"/>
    <col min="10243" max="10243" width="81.42578125" style="265" customWidth="1"/>
    <col min="10244" max="10245" width="15.5703125" style="265" customWidth="1"/>
    <col min="10246" max="10246" width="14.140625" style="265" bestFit="1" customWidth="1"/>
    <col min="10247" max="10247" width="18" style="265" bestFit="1" customWidth="1"/>
    <col min="10248" max="10248" width="11" style="265" bestFit="1" customWidth="1"/>
    <col min="10249" max="10497" width="9.140625" style="265"/>
    <col min="10498" max="10498" width="21" style="265" customWidth="1"/>
    <col min="10499" max="10499" width="81.42578125" style="265" customWidth="1"/>
    <col min="10500" max="10501" width="15.5703125" style="265" customWidth="1"/>
    <col min="10502" max="10502" width="14.140625" style="265" bestFit="1" customWidth="1"/>
    <col min="10503" max="10503" width="18" style="265" bestFit="1" customWidth="1"/>
    <col min="10504" max="10504" width="11" style="265" bestFit="1" customWidth="1"/>
    <col min="10505" max="10753" width="9.140625" style="265"/>
    <col min="10754" max="10754" width="21" style="265" customWidth="1"/>
    <col min="10755" max="10755" width="81.42578125" style="265" customWidth="1"/>
    <col min="10756" max="10757" width="15.5703125" style="265" customWidth="1"/>
    <col min="10758" max="10758" width="14.140625" style="265" bestFit="1" customWidth="1"/>
    <col min="10759" max="10759" width="18" style="265" bestFit="1" customWidth="1"/>
    <col min="10760" max="10760" width="11" style="265" bestFit="1" customWidth="1"/>
    <col min="10761" max="11009" width="9.140625" style="265"/>
    <col min="11010" max="11010" width="21" style="265" customWidth="1"/>
    <col min="11011" max="11011" width="81.42578125" style="265" customWidth="1"/>
    <col min="11012" max="11013" width="15.5703125" style="265" customWidth="1"/>
    <col min="11014" max="11014" width="14.140625" style="265" bestFit="1" customWidth="1"/>
    <col min="11015" max="11015" width="18" style="265" bestFit="1" customWidth="1"/>
    <col min="11016" max="11016" width="11" style="265" bestFit="1" customWidth="1"/>
    <col min="11017" max="11265" width="9.140625" style="265"/>
    <col min="11266" max="11266" width="21" style="265" customWidth="1"/>
    <col min="11267" max="11267" width="81.42578125" style="265" customWidth="1"/>
    <col min="11268" max="11269" width="15.5703125" style="265" customWidth="1"/>
    <col min="11270" max="11270" width="14.140625" style="265" bestFit="1" customWidth="1"/>
    <col min="11271" max="11271" width="18" style="265" bestFit="1" customWidth="1"/>
    <col min="11272" max="11272" width="11" style="265" bestFit="1" customWidth="1"/>
    <col min="11273" max="11521" width="9.140625" style="265"/>
    <col min="11522" max="11522" width="21" style="265" customWidth="1"/>
    <col min="11523" max="11523" width="81.42578125" style="265" customWidth="1"/>
    <col min="11524" max="11525" width="15.5703125" style="265" customWidth="1"/>
    <col min="11526" max="11526" width="14.140625" style="265" bestFit="1" customWidth="1"/>
    <col min="11527" max="11527" width="18" style="265" bestFit="1" customWidth="1"/>
    <col min="11528" max="11528" width="11" style="265" bestFit="1" customWidth="1"/>
    <col min="11529" max="11777" width="9.140625" style="265"/>
    <col min="11778" max="11778" width="21" style="265" customWidth="1"/>
    <col min="11779" max="11779" width="81.42578125" style="265" customWidth="1"/>
    <col min="11780" max="11781" width="15.5703125" style="265" customWidth="1"/>
    <col min="11782" max="11782" width="14.140625" style="265" bestFit="1" customWidth="1"/>
    <col min="11783" max="11783" width="18" style="265" bestFit="1" customWidth="1"/>
    <col min="11784" max="11784" width="11" style="265" bestFit="1" customWidth="1"/>
    <col min="11785" max="12033" width="9.140625" style="265"/>
    <col min="12034" max="12034" width="21" style="265" customWidth="1"/>
    <col min="12035" max="12035" width="81.42578125" style="265" customWidth="1"/>
    <col min="12036" max="12037" width="15.5703125" style="265" customWidth="1"/>
    <col min="12038" max="12038" width="14.140625" style="265" bestFit="1" customWidth="1"/>
    <col min="12039" max="12039" width="18" style="265" bestFit="1" customWidth="1"/>
    <col min="12040" max="12040" width="11" style="265" bestFit="1" customWidth="1"/>
    <col min="12041" max="12289" width="9.140625" style="265"/>
    <col min="12290" max="12290" width="21" style="265" customWidth="1"/>
    <col min="12291" max="12291" width="81.42578125" style="265" customWidth="1"/>
    <col min="12292" max="12293" width="15.5703125" style="265" customWidth="1"/>
    <col min="12294" max="12294" width="14.140625" style="265" bestFit="1" customWidth="1"/>
    <col min="12295" max="12295" width="18" style="265" bestFit="1" customWidth="1"/>
    <col min="12296" max="12296" width="11" style="265" bestFit="1" customWidth="1"/>
    <col min="12297" max="12545" width="9.140625" style="265"/>
    <col min="12546" max="12546" width="21" style="265" customWidth="1"/>
    <col min="12547" max="12547" width="81.42578125" style="265" customWidth="1"/>
    <col min="12548" max="12549" width="15.5703125" style="265" customWidth="1"/>
    <col min="12550" max="12550" width="14.140625" style="265" bestFit="1" customWidth="1"/>
    <col min="12551" max="12551" width="18" style="265" bestFit="1" customWidth="1"/>
    <col min="12552" max="12552" width="11" style="265" bestFit="1" customWidth="1"/>
    <col min="12553" max="12801" width="9.140625" style="265"/>
    <col min="12802" max="12802" width="21" style="265" customWidth="1"/>
    <col min="12803" max="12803" width="81.42578125" style="265" customWidth="1"/>
    <col min="12804" max="12805" width="15.5703125" style="265" customWidth="1"/>
    <col min="12806" max="12806" width="14.140625" style="265" bestFit="1" customWidth="1"/>
    <col min="12807" max="12807" width="18" style="265" bestFit="1" customWidth="1"/>
    <col min="12808" max="12808" width="11" style="265" bestFit="1" customWidth="1"/>
    <col min="12809" max="13057" width="9.140625" style="265"/>
    <col min="13058" max="13058" width="21" style="265" customWidth="1"/>
    <col min="13059" max="13059" width="81.42578125" style="265" customWidth="1"/>
    <col min="13060" max="13061" width="15.5703125" style="265" customWidth="1"/>
    <col min="13062" max="13062" width="14.140625" style="265" bestFit="1" customWidth="1"/>
    <col min="13063" max="13063" width="18" style="265" bestFit="1" customWidth="1"/>
    <col min="13064" max="13064" width="11" style="265" bestFit="1" customWidth="1"/>
    <col min="13065" max="13313" width="9.140625" style="265"/>
    <col min="13314" max="13314" width="21" style="265" customWidth="1"/>
    <col min="13315" max="13315" width="81.42578125" style="265" customWidth="1"/>
    <col min="13316" max="13317" width="15.5703125" style="265" customWidth="1"/>
    <col min="13318" max="13318" width="14.140625" style="265" bestFit="1" customWidth="1"/>
    <col min="13319" max="13319" width="18" style="265" bestFit="1" customWidth="1"/>
    <col min="13320" max="13320" width="11" style="265" bestFit="1" customWidth="1"/>
    <col min="13321" max="13569" width="9.140625" style="265"/>
    <col min="13570" max="13570" width="21" style="265" customWidth="1"/>
    <col min="13571" max="13571" width="81.42578125" style="265" customWidth="1"/>
    <col min="13572" max="13573" width="15.5703125" style="265" customWidth="1"/>
    <col min="13574" max="13574" width="14.140625" style="265" bestFit="1" customWidth="1"/>
    <col min="13575" max="13575" width="18" style="265" bestFit="1" customWidth="1"/>
    <col min="13576" max="13576" width="11" style="265" bestFit="1" customWidth="1"/>
    <col min="13577" max="13825" width="9.140625" style="265"/>
    <col min="13826" max="13826" width="21" style="265" customWidth="1"/>
    <col min="13827" max="13827" width="81.42578125" style="265" customWidth="1"/>
    <col min="13828" max="13829" width="15.5703125" style="265" customWidth="1"/>
    <col min="13830" max="13830" width="14.140625" style="265" bestFit="1" customWidth="1"/>
    <col min="13831" max="13831" width="18" style="265" bestFit="1" customWidth="1"/>
    <col min="13832" max="13832" width="11" style="265" bestFit="1" customWidth="1"/>
    <col min="13833" max="14081" width="9.140625" style="265"/>
    <col min="14082" max="14082" width="21" style="265" customWidth="1"/>
    <col min="14083" max="14083" width="81.42578125" style="265" customWidth="1"/>
    <col min="14084" max="14085" width="15.5703125" style="265" customWidth="1"/>
    <col min="14086" max="14086" width="14.140625" style="265" bestFit="1" customWidth="1"/>
    <col min="14087" max="14087" width="18" style="265" bestFit="1" customWidth="1"/>
    <col min="14088" max="14088" width="11" style="265" bestFit="1" customWidth="1"/>
    <col min="14089" max="14337" width="9.140625" style="265"/>
    <col min="14338" max="14338" width="21" style="265" customWidth="1"/>
    <col min="14339" max="14339" width="81.42578125" style="265" customWidth="1"/>
    <col min="14340" max="14341" width="15.5703125" style="265" customWidth="1"/>
    <col min="14342" max="14342" width="14.140625" style="265" bestFit="1" customWidth="1"/>
    <col min="14343" max="14343" width="18" style="265" bestFit="1" customWidth="1"/>
    <col min="14344" max="14344" width="11" style="265" bestFit="1" customWidth="1"/>
    <col min="14345" max="14593" width="9.140625" style="265"/>
    <col min="14594" max="14594" width="21" style="265" customWidth="1"/>
    <col min="14595" max="14595" width="81.42578125" style="265" customWidth="1"/>
    <col min="14596" max="14597" width="15.5703125" style="265" customWidth="1"/>
    <col min="14598" max="14598" width="14.140625" style="265" bestFit="1" customWidth="1"/>
    <col min="14599" max="14599" width="18" style="265" bestFit="1" customWidth="1"/>
    <col min="14600" max="14600" width="11" style="265" bestFit="1" customWidth="1"/>
    <col min="14601" max="14849" width="9.140625" style="265"/>
    <col min="14850" max="14850" width="21" style="265" customWidth="1"/>
    <col min="14851" max="14851" width="81.42578125" style="265" customWidth="1"/>
    <col min="14852" max="14853" width="15.5703125" style="265" customWidth="1"/>
    <col min="14854" max="14854" width="14.140625" style="265" bestFit="1" customWidth="1"/>
    <col min="14855" max="14855" width="18" style="265" bestFit="1" customWidth="1"/>
    <col min="14856" max="14856" width="11" style="265" bestFit="1" customWidth="1"/>
    <col min="14857" max="15105" width="9.140625" style="265"/>
    <col min="15106" max="15106" width="21" style="265" customWidth="1"/>
    <col min="15107" max="15107" width="81.42578125" style="265" customWidth="1"/>
    <col min="15108" max="15109" width="15.5703125" style="265" customWidth="1"/>
    <col min="15110" max="15110" width="14.140625" style="265" bestFit="1" customWidth="1"/>
    <col min="15111" max="15111" width="18" style="265" bestFit="1" customWidth="1"/>
    <col min="15112" max="15112" width="11" style="265" bestFit="1" customWidth="1"/>
    <col min="15113" max="15361" width="9.140625" style="265"/>
    <col min="15362" max="15362" width="21" style="265" customWidth="1"/>
    <col min="15363" max="15363" width="81.42578125" style="265" customWidth="1"/>
    <col min="15364" max="15365" width="15.5703125" style="265" customWidth="1"/>
    <col min="15366" max="15366" width="14.140625" style="265" bestFit="1" customWidth="1"/>
    <col min="15367" max="15367" width="18" style="265" bestFit="1" customWidth="1"/>
    <col min="15368" max="15368" width="11" style="265" bestFit="1" customWidth="1"/>
    <col min="15369" max="15617" width="9.140625" style="265"/>
    <col min="15618" max="15618" width="21" style="265" customWidth="1"/>
    <col min="15619" max="15619" width="81.42578125" style="265" customWidth="1"/>
    <col min="15620" max="15621" width="15.5703125" style="265" customWidth="1"/>
    <col min="15622" max="15622" width="14.140625" style="265" bestFit="1" customWidth="1"/>
    <col min="15623" max="15623" width="18" style="265" bestFit="1" customWidth="1"/>
    <col min="15624" max="15624" width="11" style="265" bestFit="1" customWidth="1"/>
    <col min="15625" max="15873" width="9.140625" style="265"/>
    <col min="15874" max="15874" width="21" style="265" customWidth="1"/>
    <col min="15875" max="15875" width="81.42578125" style="265" customWidth="1"/>
    <col min="15876" max="15877" width="15.5703125" style="265" customWidth="1"/>
    <col min="15878" max="15878" width="14.140625" style="265" bestFit="1" customWidth="1"/>
    <col min="15879" max="15879" width="18" style="265" bestFit="1" customWidth="1"/>
    <col min="15880" max="15880" width="11" style="265" bestFit="1" customWidth="1"/>
    <col min="15881" max="16129" width="9.140625" style="265"/>
    <col min="16130" max="16130" width="21" style="265" customWidth="1"/>
    <col min="16131" max="16131" width="81.42578125" style="265" customWidth="1"/>
    <col min="16132" max="16133" width="15.5703125" style="265" customWidth="1"/>
    <col min="16134" max="16134" width="14.140625" style="265" bestFit="1" customWidth="1"/>
    <col min="16135" max="16135" width="18" style="265" bestFit="1" customWidth="1"/>
    <col min="16136" max="16136" width="11" style="265" bestFit="1" customWidth="1"/>
    <col min="16137" max="16384" width="9.140625" style="265"/>
  </cols>
  <sheetData>
    <row r="1" spans="1:8" ht="13.5" thickBot="1"/>
    <row r="2" spans="1:8" s="277" customFormat="1" ht="6" thickBot="1">
      <c r="B2" s="272"/>
      <c r="C2" s="1321"/>
      <c r="D2" s="274"/>
      <c r="E2" s="275"/>
      <c r="F2" s="275"/>
      <c r="G2" s="276"/>
    </row>
    <row r="3" spans="1:8" ht="60" customHeight="1" thickBot="1">
      <c r="A3" s="271" t="s">
        <v>390</v>
      </c>
      <c r="B3" s="2466"/>
      <c r="C3" s="2461" t="s">
        <v>13361</v>
      </c>
      <c r="D3" s="2462"/>
      <c r="E3" s="1616"/>
      <c r="F3" s="2118" t="str">
        <f>'ORÇAMENTO '!M5</f>
        <v>Ref.: Tabela de Serviços
SINAPI (JANEIRO/2024)</v>
      </c>
      <c r="G3" s="2119"/>
    </row>
    <row r="4" spans="1:8" ht="58.5" customHeight="1" thickBot="1">
      <c r="A4" s="271" t="s">
        <v>391</v>
      </c>
      <c r="B4" s="2467"/>
      <c r="C4" s="2191" t="s">
        <v>13363</v>
      </c>
      <c r="D4" s="2192"/>
      <c r="E4" s="1617"/>
      <c r="F4" s="379" t="s">
        <v>4</v>
      </c>
      <c r="G4" s="279">
        <f>'BDI '!G32</f>
        <v>0.24199999999999999</v>
      </c>
    </row>
    <row r="5" spans="1:8" s="280" customFormat="1" ht="15" customHeight="1" thickBot="1">
      <c r="B5" s="2395" t="str">
        <f>RESUMO!B7</f>
        <v>C E N T R A L   D E   P R O J E T O S</v>
      </c>
      <c r="C5" s="2396"/>
      <c r="D5" s="2397"/>
      <c r="E5" s="2397"/>
      <c r="F5" s="2397"/>
      <c r="G5" s="2468"/>
    </row>
    <row r="6" spans="1:8" s="277" customFormat="1" ht="6" thickBot="1">
      <c r="B6" s="272"/>
      <c r="C6" s="273"/>
      <c r="D6" s="274"/>
      <c r="E6" s="275"/>
      <c r="F6" s="275"/>
      <c r="G6" s="276"/>
    </row>
    <row r="7" spans="1:8" ht="18" customHeight="1">
      <c r="B7" s="207" t="s">
        <v>5</v>
      </c>
      <c r="C7" s="2215" t="str">
        <f>'ORÇAMENTO '!G11</f>
        <v xml:space="preserve">ESCOLA MUNICIPAL DOMINGOS AZZOLINI </v>
      </c>
      <c r="D7" s="2215"/>
      <c r="E7" s="2215"/>
      <c r="F7" s="208" t="s">
        <v>6</v>
      </c>
      <c r="G7" s="209">
        <f>'COMPOSIÇÃO ESTRUTURAL'!G7</f>
        <v>45366</v>
      </c>
    </row>
    <row r="8" spans="1:8" ht="15.75">
      <c r="B8" s="210" t="s">
        <v>7</v>
      </c>
      <c r="C8" s="2213" t="str">
        <f>'ORÇAMENTO '!G12</f>
        <v>SANTO ANTONIO DO LESTE</v>
      </c>
      <c r="D8" s="2213"/>
      <c r="E8" s="2214" t="str">
        <f>'ORÇAMENTO '!K12</f>
        <v>LEIS SOCIAIS: HORISTA</v>
      </c>
      <c r="F8" s="2214"/>
      <c r="G8" s="211">
        <f>'ORÇAMENTO '!N12</f>
        <v>1.0684</v>
      </c>
    </row>
    <row r="9" spans="1:8" s="46" customFormat="1" ht="18" customHeight="1" thickBot="1">
      <c r="B9" s="2187"/>
      <c r="C9" s="2188"/>
      <c r="D9" s="2188"/>
      <c r="E9" s="2186" t="str">
        <f>'ORÇAMENTO '!K13</f>
        <v>LEIS SOCIAIS: MENSALISTA</v>
      </c>
      <c r="F9" s="2186"/>
      <c r="G9" s="193">
        <f>'ORÇAMENTO '!N13</f>
        <v>0.65400000000000003</v>
      </c>
    </row>
    <row r="10" spans="1:8" s="277" customFormat="1" ht="6" thickBot="1">
      <c r="B10" s="1663"/>
      <c r="C10" s="1664"/>
      <c r="D10" s="1665"/>
      <c r="E10" s="1666"/>
      <c r="F10" s="1666"/>
      <c r="G10" s="1667"/>
    </row>
    <row r="11" spans="1:8" ht="18.75" thickBot="1">
      <c r="B11" s="2245" t="s">
        <v>373</v>
      </c>
      <c r="C11" s="2246"/>
      <c r="D11" s="2246"/>
      <c r="E11" s="2246"/>
      <c r="F11" s="2246"/>
      <c r="G11" s="2247"/>
    </row>
    <row r="12" spans="1:8" s="277" customFormat="1" ht="6" thickBot="1">
      <c r="B12" s="1663"/>
      <c r="C12" s="1664"/>
      <c r="D12" s="1665"/>
      <c r="E12" s="1666"/>
      <c r="F12" s="1666"/>
      <c r="G12" s="1667"/>
    </row>
    <row r="13" spans="1:8" ht="7.5" customHeight="1" thickBot="1">
      <c r="B13" s="259"/>
      <c r="C13" s="259"/>
      <c r="D13" s="259"/>
      <c r="E13" s="259"/>
      <c r="F13" s="380"/>
      <c r="G13" s="380"/>
    </row>
    <row r="14" spans="1:8" s="252" customFormat="1" ht="36.75" customHeight="1">
      <c r="B14" s="298" t="s">
        <v>13376</v>
      </c>
      <c r="C14" s="2180" t="s">
        <v>2244</v>
      </c>
      <c r="D14" s="2180"/>
      <c r="E14" s="2180"/>
      <c r="F14" s="2180"/>
      <c r="G14" s="624" t="s">
        <v>22</v>
      </c>
      <c r="H14" s="603">
        <f>G21</f>
        <v>6.6899999999999995</v>
      </c>
    </row>
    <row r="15" spans="1:8" s="252" customFormat="1" ht="31.5">
      <c r="B15" s="750" t="s">
        <v>197</v>
      </c>
      <c r="C15" s="751" t="s">
        <v>161</v>
      </c>
      <c r="D15" s="751" t="s">
        <v>22</v>
      </c>
      <c r="E15" s="751" t="s">
        <v>162</v>
      </c>
      <c r="F15" s="752" t="s">
        <v>163</v>
      </c>
      <c r="G15" s="753" t="s">
        <v>164</v>
      </c>
    </row>
    <row r="16" spans="1:8" s="252" customFormat="1" ht="15.75">
      <c r="B16" s="2446" t="s">
        <v>168</v>
      </c>
      <c r="C16" s="2447"/>
      <c r="D16" s="2447"/>
      <c r="E16" s="2447"/>
      <c r="F16" s="2447"/>
      <c r="G16" s="2448"/>
    </row>
    <row r="17" spans="1:8" s="252" customFormat="1" ht="34.5" customHeight="1">
      <c r="B17" s="754" t="s">
        <v>181</v>
      </c>
      <c r="C17" s="728" t="str">
        <f>C23</f>
        <v>PLANTA COMIGO-NINGUÉM-PODE  OU  EQUIVALENTE  DA REGIAO COM H=0,50M</v>
      </c>
      <c r="D17" s="732" t="s">
        <v>22</v>
      </c>
      <c r="E17" s="817">
        <v>1</v>
      </c>
      <c r="F17" s="755">
        <f>D28</f>
        <v>5</v>
      </c>
      <c r="G17" s="809">
        <f>TRUNC(E17*F17,2)</f>
        <v>5</v>
      </c>
    </row>
    <row r="18" spans="1:8" s="252" customFormat="1" ht="15.75">
      <c r="B18" s="2446" t="s">
        <v>169</v>
      </c>
      <c r="C18" s="2447"/>
      <c r="D18" s="2447"/>
      <c r="E18" s="2447"/>
      <c r="F18" s="2447"/>
      <c r="G18" s="2448"/>
    </row>
    <row r="19" spans="1:8" s="252" customFormat="1" ht="15.75">
      <c r="A19" s="333" t="s">
        <v>391</v>
      </c>
      <c r="B19" s="754">
        <v>88441</v>
      </c>
      <c r="C19" s="728" t="str">
        <f>IF($A19="INSUMO",VLOOKUP($B19,'BANCO DE DADOS JANEIRO-24 INS'!$A:$D,2,FALSE),VLOOKUP($B19,'BANCO DE DADOS JANEIRO-24 SERV'!$B:$E,2,FALSE))</f>
        <v>JARDINEIRO COM ENCARGOS COMPLEMENTARES</v>
      </c>
      <c r="D19" s="732" t="str">
        <f>IF($A19="INSUMO",VLOOKUP($B19,'BANCO DE DADOS JANEIRO-24 INS'!$A:$D,3,FALSE),VLOOKUP($B19,'BANCO DE DADOS JANEIRO-24 SERV'!$B:$E,3,FALSE))</f>
        <v>H</v>
      </c>
      <c r="E19" s="984">
        <v>1.66E-2</v>
      </c>
      <c r="F19" s="755">
        <f>IF($A19="INSUMO",VLOOKUP($B19,'BANCO DE DADOS JANEIRO-24 INS'!$A:$D,4,FALSE),VLOOKUP($B19,'BANCO DE DADOS JANEIRO-24 SERV'!$B:$E,4,FALSE))</f>
        <v>21.11</v>
      </c>
      <c r="G19" s="809">
        <f>TRUNC(E19*F19,2)</f>
        <v>0.35</v>
      </c>
    </row>
    <row r="20" spans="1:8" s="252" customFormat="1" ht="16.5" thickBot="1">
      <c r="A20" s="333" t="s">
        <v>391</v>
      </c>
      <c r="B20" s="756">
        <v>88316</v>
      </c>
      <c r="C20" s="731" t="str">
        <f>IF($A20="INSUMO",VLOOKUP($B20,'BANCO DE DADOS JANEIRO-24 INS'!$A:$D,2,FALSE),VLOOKUP($B20,'BANCO DE DADOS JANEIRO-24 SERV'!$B:$E,2,FALSE))</f>
        <v>SERVENTE COM ENCARGOS COMPLEMENTARES</v>
      </c>
      <c r="D20" s="729" t="str">
        <f>IF($A20="INSUMO",VLOOKUP($B20,'BANCO DE DADOS JANEIRO-24 INS'!$A:$D,3,FALSE),VLOOKUP($B20,'BANCO DE DADOS JANEIRO-24 SERV'!$B:$E,3,FALSE))</f>
        <v>H</v>
      </c>
      <c r="E20" s="985">
        <v>6.6199999999999995E-2</v>
      </c>
      <c r="F20" s="757">
        <f>IF($A20="INSUMO",VLOOKUP($B20,'BANCO DE DADOS JANEIRO-24 INS'!$A:$D,4,FALSE),VLOOKUP($B20,'BANCO DE DADOS JANEIRO-24 SERV'!$B:$E,4,FALSE))</f>
        <v>20.32</v>
      </c>
      <c r="G20" s="967">
        <f>TRUNC(E20*F20,2)</f>
        <v>1.34</v>
      </c>
    </row>
    <row r="21" spans="1:8" s="252" customFormat="1" ht="38.25" customHeight="1" thickBot="1">
      <c r="B21" s="2230" t="s">
        <v>2247</v>
      </c>
      <c r="C21" s="2230"/>
      <c r="D21" s="2230"/>
      <c r="E21" s="2231"/>
      <c r="F21" s="263" t="s">
        <v>170</v>
      </c>
      <c r="G21" s="264">
        <f>SUM(G17:G20)</f>
        <v>6.6899999999999995</v>
      </c>
    </row>
    <row r="22" spans="1:8" s="252" customFormat="1" ht="15.75" thickBot="1"/>
    <row r="23" spans="1:8" s="252" customFormat="1" ht="18">
      <c r="B23" s="1669" t="s">
        <v>181</v>
      </c>
      <c r="C23" s="2164" t="s">
        <v>2245</v>
      </c>
      <c r="D23" s="2165"/>
      <c r="E23" s="2165"/>
      <c r="F23" s="2166"/>
      <c r="G23" s="1670" t="s">
        <v>22</v>
      </c>
      <c r="H23" s="679" t="s">
        <v>2249</v>
      </c>
    </row>
    <row r="24" spans="1:8" s="252" customFormat="1" ht="31.5">
      <c r="B24" s="810" t="s">
        <v>174</v>
      </c>
      <c r="C24" s="811" t="s">
        <v>175</v>
      </c>
      <c r="D24" s="812" t="s">
        <v>176</v>
      </c>
      <c r="E24" s="813" t="s">
        <v>177</v>
      </c>
      <c r="F24" s="814" t="s">
        <v>178</v>
      </c>
      <c r="G24" s="815" t="s">
        <v>179</v>
      </c>
    </row>
    <row r="25" spans="1:8" s="252" customFormat="1" ht="15">
      <c r="B25" s="1283">
        <v>44249</v>
      </c>
      <c r="C25" s="1284" t="s">
        <v>4600</v>
      </c>
      <c r="D25" s="1285">
        <v>60</v>
      </c>
      <c r="E25" s="1285" t="s">
        <v>4601</v>
      </c>
      <c r="F25" s="1288" t="s">
        <v>3269</v>
      </c>
      <c r="G25" s="1286"/>
    </row>
    <row r="26" spans="1:8" s="252" customFormat="1" ht="15">
      <c r="B26" s="1283">
        <v>42863</v>
      </c>
      <c r="C26" s="1284" t="s">
        <v>184</v>
      </c>
      <c r="D26" s="1285">
        <v>5</v>
      </c>
      <c r="E26" s="1336" t="s">
        <v>185</v>
      </c>
      <c r="F26" s="1287" t="s">
        <v>497</v>
      </c>
      <c r="G26" s="1286" t="s">
        <v>408</v>
      </c>
    </row>
    <row r="27" spans="1:8" s="252" customFormat="1" ht="19.5" customHeight="1">
      <c r="B27" s="1283">
        <v>42864</v>
      </c>
      <c r="C27" s="1284" t="s">
        <v>498</v>
      </c>
      <c r="D27" s="1285">
        <v>3.5</v>
      </c>
      <c r="E27" s="1285" t="s">
        <v>499</v>
      </c>
      <c r="F27" s="1287" t="s">
        <v>500</v>
      </c>
      <c r="G27" s="1337" t="s">
        <v>594</v>
      </c>
    </row>
    <row r="28" spans="1:8" s="252" customFormat="1" ht="16.5" thickBot="1">
      <c r="B28" s="1738"/>
      <c r="C28" s="1739" t="s">
        <v>180</v>
      </c>
      <c r="D28" s="1737">
        <f>IF(COUNT(D25:D27)=3,MEDIAN(D25:D27),SMALL(D25:D27,1))</f>
        <v>5</v>
      </c>
      <c r="E28" s="1740"/>
      <c r="F28" s="1752"/>
      <c r="G28" s="1742"/>
    </row>
    <row r="29" spans="1:8" ht="13.5" thickBot="1"/>
    <row r="30" spans="1:8" s="252" customFormat="1" ht="36.75" customHeight="1">
      <c r="B30" s="298" t="str">
        <f>IF(COUNT($H$14:H30)&lt;10,CONCATENATE("CPU PAI 00",COUNT($H$14:H30)),CONCATENATE("CPU PAI 0",COUNT($H$14:H30)))</f>
        <v>CPU PAI 002</v>
      </c>
      <c r="C30" s="2180" t="s">
        <v>2244</v>
      </c>
      <c r="D30" s="2180"/>
      <c r="E30" s="2180"/>
      <c r="F30" s="2180"/>
      <c r="G30" s="624" t="s">
        <v>22</v>
      </c>
      <c r="H30" s="603">
        <f>G37</f>
        <v>7.47</v>
      </c>
    </row>
    <row r="31" spans="1:8" s="252" customFormat="1" ht="31.5">
      <c r="B31" s="750" t="s">
        <v>197</v>
      </c>
      <c r="C31" s="751" t="s">
        <v>161</v>
      </c>
      <c r="D31" s="751" t="s">
        <v>22</v>
      </c>
      <c r="E31" s="751" t="s">
        <v>162</v>
      </c>
      <c r="F31" s="752" t="s">
        <v>163</v>
      </c>
      <c r="G31" s="753" t="s">
        <v>164</v>
      </c>
    </row>
    <row r="32" spans="1:8" s="252" customFormat="1" ht="15.75">
      <c r="B32" s="2446" t="s">
        <v>168</v>
      </c>
      <c r="C32" s="2447"/>
      <c r="D32" s="2447"/>
      <c r="E32" s="2447"/>
      <c r="F32" s="2447"/>
      <c r="G32" s="2448"/>
    </row>
    <row r="33" spans="1:8" s="252" customFormat="1" ht="34.5" customHeight="1">
      <c r="B33" s="754" t="s">
        <v>181</v>
      </c>
      <c r="C33" s="728" t="str">
        <f>C39</f>
        <v>PLANTA COMIGO-NINGUÉM-PODE OU EQUIVALENTE   DA REGIAO COM H=0,50 A 1,00 M</v>
      </c>
      <c r="D33" s="732" t="s">
        <v>22</v>
      </c>
      <c r="E33" s="817">
        <v>1</v>
      </c>
      <c r="F33" s="755">
        <f>D44</f>
        <v>5</v>
      </c>
      <c r="G33" s="809">
        <f>TRUNC(E33*F33,2)</f>
        <v>5</v>
      </c>
    </row>
    <row r="34" spans="1:8" s="252" customFormat="1" ht="15.75">
      <c r="B34" s="2446" t="s">
        <v>169</v>
      </c>
      <c r="C34" s="2447"/>
      <c r="D34" s="2447"/>
      <c r="E34" s="2447"/>
      <c r="F34" s="2447"/>
      <c r="G34" s="2448"/>
    </row>
    <row r="35" spans="1:8" s="252" customFormat="1" ht="15.75">
      <c r="A35" s="333" t="s">
        <v>391</v>
      </c>
      <c r="B35" s="754">
        <v>88441</v>
      </c>
      <c r="C35" s="728" t="str">
        <f>IF($A35="INSUMO",VLOOKUP($B35,'BANCO DE DADOS JANEIRO-24 INS'!$A:$D,2,FALSE),VLOOKUP($B35,'BANCO DE DADOS JANEIRO-24 SERV'!$B:$E,2,FALSE))</f>
        <v>JARDINEIRO COM ENCARGOS COMPLEMENTARES</v>
      </c>
      <c r="D35" s="732" t="str">
        <f>IF($A35="INSUMO",VLOOKUP($B35,'BANCO DE DADOS JANEIRO-24 INS'!$A:$D,3,FALSE),VLOOKUP($B35,'BANCO DE DADOS JANEIRO-24 SERV'!$B:$E,3,FALSE))</f>
        <v>H</v>
      </c>
      <c r="E35" s="984">
        <v>2.4199999999999999E-2</v>
      </c>
      <c r="F35" s="755">
        <f>IF($A35="INSUMO",VLOOKUP($B35,'BANCO DE DADOS JANEIRO-24 INS'!$A:$D,4,FALSE),VLOOKUP($B35,'BANCO DE DADOS JANEIRO-24 SERV'!$B:$E,4,FALSE))</f>
        <v>21.11</v>
      </c>
      <c r="G35" s="809">
        <f>TRUNC(E35*F35,2)</f>
        <v>0.51</v>
      </c>
    </row>
    <row r="36" spans="1:8" s="252" customFormat="1" ht="16.5" thickBot="1">
      <c r="A36" s="333" t="s">
        <v>391</v>
      </c>
      <c r="B36" s="756">
        <v>88316</v>
      </c>
      <c r="C36" s="731" t="str">
        <f>IF($A36="INSUMO",VLOOKUP($B36,'BANCO DE DADOS JANEIRO-24 INS'!$A:$D,2,FALSE),VLOOKUP($B36,'BANCO DE DADOS JANEIRO-24 SERV'!$B:$E,2,FALSE))</f>
        <v>SERVENTE COM ENCARGOS COMPLEMENTARES</v>
      </c>
      <c r="D36" s="729" t="str">
        <f>IF($A36="INSUMO",VLOOKUP($B36,'BANCO DE DADOS JANEIRO-24 INS'!$A:$D,3,FALSE),VLOOKUP($B36,'BANCO DE DADOS JANEIRO-24 SERV'!$B:$E,3,FALSE))</f>
        <v>H</v>
      </c>
      <c r="E36" s="985">
        <v>9.69E-2</v>
      </c>
      <c r="F36" s="757">
        <f>IF($A36="INSUMO",VLOOKUP($B36,'BANCO DE DADOS JANEIRO-24 INS'!$A:$D,4,FALSE),VLOOKUP($B36,'BANCO DE DADOS JANEIRO-24 SERV'!$B:$E,4,FALSE))</f>
        <v>20.32</v>
      </c>
      <c r="G36" s="967">
        <f>TRUNC(E36*F36,2)</f>
        <v>1.96</v>
      </c>
    </row>
    <row r="37" spans="1:8" s="252" customFormat="1" ht="38.25" customHeight="1" thickBot="1">
      <c r="B37" s="2230" t="s">
        <v>2246</v>
      </c>
      <c r="C37" s="2230"/>
      <c r="D37" s="2230"/>
      <c r="E37" s="2231"/>
      <c r="F37" s="263" t="s">
        <v>170</v>
      </c>
      <c r="G37" s="264">
        <f>SUM(G33:G36)</f>
        <v>7.47</v>
      </c>
    </row>
    <row r="38" spans="1:8" s="252" customFormat="1" ht="15.75" thickBot="1"/>
    <row r="39" spans="1:8" s="252" customFormat="1" ht="18">
      <c r="B39" s="1669" t="s">
        <v>181</v>
      </c>
      <c r="C39" s="2164" t="s">
        <v>2250</v>
      </c>
      <c r="D39" s="2165"/>
      <c r="E39" s="2165"/>
      <c r="F39" s="2166"/>
      <c r="G39" s="1670" t="s">
        <v>22</v>
      </c>
      <c r="H39" s="679" t="s">
        <v>2249</v>
      </c>
    </row>
    <row r="40" spans="1:8" s="252" customFormat="1" ht="31.5">
      <c r="B40" s="810" t="s">
        <v>174</v>
      </c>
      <c r="C40" s="811" t="s">
        <v>175</v>
      </c>
      <c r="D40" s="812" t="s">
        <v>176</v>
      </c>
      <c r="E40" s="813" t="s">
        <v>177</v>
      </c>
      <c r="F40" s="814" t="s">
        <v>178</v>
      </c>
      <c r="G40" s="815" t="s">
        <v>179</v>
      </c>
    </row>
    <row r="41" spans="1:8" s="252" customFormat="1" ht="15">
      <c r="B41" s="1283">
        <v>44249</v>
      </c>
      <c r="C41" s="1284" t="s">
        <v>4600</v>
      </c>
      <c r="D41" s="1285">
        <v>60</v>
      </c>
      <c r="E41" s="1285" t="s">
        <v>4601</v>
      </c>
      <c r="F41" s="1288" t="s">
        <v>3269</v>
      </c>
      <c r="G41" s="1286"/>
    </row>
    <row r="42" spans="1:8" s="252" customFormat="1" ht="15">
      <c r="B42" s="1283">
        <v>42863</v>
      </c>
      <c r="C42" s="1284" t="s">
        <v>184</v>
      </c>
      <c r="D42" s="1285">
        <v>5</v>
      </c>
      <c r="E42" s="1336" t="s">
        <v>185</v>
      </c>
      <c r="F42" s="1287" t="s">
        <v>497</v>
      </c>
      <c r="G42" s="1286" t="s">
        <v>408</v>
      </c>
    </row>
    <row r="43" spans="1:8" s="252" customFormat="1" ht="18.75" customHeight="1">
      <c r="B43" s="1283">
        <v>42864</v>
      </c>
      <c r="C43" s="1284" t="s">
        <v>498</v>
      </c>
      <c r="D43" s="1285">
        <v>3.5</v>
      </c>
      <c r="E43" s="1285" t="s">
        <v>499</v>
      </c>
      <c r="F43" s="1287" t="s">
        <v>500</v>
      </c>
      <c r="G43" s="1337" t="s">
        <v>594</v>
      </c>
    </row>
    <row r="44" spans="1:8" s="252" customFormat="1" ht="16.5" thickBot="1">
      <c r="B44" s="1738"/>
      <c r="C44" s="1739" t="s">
        <v>180</v>
      </c>
      <c r="D44" s="1737">
        <f>IF(COUNT(D41:D43)=3,MEDIAN(D41:D43),SMALL(D41:D43,1))</f>
        <v>5</v>
      </c>
      <c r="E44" s="1740"/>
      <c r="F44" s="1752"/>
      <c r="G44" s="1742"/>
    </row>
    <row r="45" spans="1:8" ht="13.5" thickBot="1"/>
    <row r="46" spans="1:8" s="252" customFormat="1" ht="36.75" customHeight="1">
      <c r="B46" s="298" t="str">
        <f>IF(COUNT($H$14:H46)&lt;10,CONCATENATE("CPU PAI 00",COUNT($H$14:H46)),CONCATENATE("CPU PAI 0",COUNT($H$14:H46)))</f>
        <v>CPU PAI 003</v>
      </c>
      <c r="C46" s="2180" t="s">
        <v>2244</v>
      </c>
      <c r="D46" s="2180"/>
      <c r="E46" s="2180"/>
      <c r="F46" s="2180"/>
      <c r="G46" s="624" t="s">
        <v>22</v>
      </c>
      <c r="H46" s="603">
        <f>G53</f>
        <v>10.210000000000001</v>
      </c>
    </row>
    <row r="47" spans="1:8" s="252" customFormat="1" ht="31.5">
      <c r="B47" s="750" t="s">
        <v>197</v>
      </c>
      <c r="C47" s="751" t="s">
        <v>161</v>
      </c>
      <c r="D47" s="751" t="s">
        <v>22</v>
      </c>
      <c r="E47" s="751" t="s">
        <v>162</v>
      </c>
      <c r="F47" s="752" t="s">
        <v>163</v>
      </c>
      <c r="G47" s="753" t="s">
        <v>164</v>
      </c>
    </row>
    <row r="48" spans="1:8" s="252" customFormat="1" ht="15.75">
      <c r="B48" s="2446" t="s">
        <v>168</v>
      </c>
      <c r="C48" s="2447"/>
      <c r="D48" s="2447"/>
      <c r="E48" s="2447"/>
      <c r="F48" s="2447"/>
      <c r="G48" s="2448"/>
    </row>
    <row r="49" spans="1:8" s="252" customFormat="1" ht="34.5" customHeight="1">
      <c r="B49" s="754" t="s">
        <v>181</v>
      </c>
      <c r="C49" s="728" t="str">
        <f>C55</f>
        <v>PLANTA COMIGO-NINGUÉM-PODE  OU  EQUIVALENTE  DA REGIAO COM H=1,00M</v>
      </c>
      <c r="D49" s="732" t="s">
        <v>22</v>
      </c>
      <c r="E49" s="817">
        <v>1</v>
      </c>
      <c r="F49" s="755">
        <f>D60</f>
        <v>5</v>
      </c>
      <c r="G49" s="809">
        <f>TRUNC(E49*F49,2)</f>
        <v>5</v>
      </c>
    </row>
    <row r="50" spans="1:8" s="252" customFormat="1" ht="15.75">
      <c r="B50" s="2446" t="s">
        <v>169</v>
      </c>
      <c r="C50" s="2447"/>
      <c r="D50" s="2447"/>
      <c r="E50" s="2447"/>
      <c r="F50" s="2447"/>
      <c r="G50" s="2448"/>
    </row>
    <row r="51" spans="1:8" s="252" customFormat="1" ht="15.75">
      <c r="A51" s="333" t="s">
        <v>391</v>
      </c>
      <c r="B51" s="754">
        <v>88441</v>
      </c>
      <c r="C51" s="728" t="str">
        <f>IF($A51="INSUMO",VLOOKUP($B51,'BANCO DE DADOS JANEIRO-24 INS'!$A:$D,2,FALSE),VLOOKUP($B51,'BANCO DE DADOS JANEIRO-24 SERV'!$B:$E,2,FALSE))</f>
        <v>JARDINEIRO COM ENCARGOS COMPLEMENTARES</v>
      </c>
      <c r="D51" s="732" t="str">
        <f>IF($A51="INSUMO",VLOOKUP($B51,'BANCO DE DADOS JANEIRO-24 INS'!$A:$D,3,FALSE),VLOOKUP($B51,'BANCO DE DADOS JANEIRO-24 SERV'!$B:$E,3,FALSE))</f>
        <v>H</v>
      </c>
      <c r="E51" s="984">
        <v>5.0999999999999997E-2</v>
      </c>
      <c r="F51" s="755">
        <f>IF($A51="INSUMO",VLOOKUP($B51,'BANCO DE DADOS JANEIRO-24 INS'!$A:$D,4,FALSE),VLOOKUP($B51,'BANCO DE DADOS JANEIRO-24 SERV'!$B:$E,4,FALSE))</f>
        <v>21.11</v>
      </c>
      <c r="G51" s="809">
        <f>TRUNC(E51*F51,2)</f>
        <v>1.07</v>
      </c>
    </row>
    <row r="52" spans="1:8" s="252" customFormat="1" ht="16.5" thickBot="1">
      <c r="A52" s="333" t="s">
        <v>391</v>
      </c>
      <c r="B52" s="756">
        <v>88316</v>
      </c>
      <c r="C52" s="731" t="str">
        <f>IF($A52="INSUMO",VLOOKUP($B52,'BANCO DE DADOS JANEIRO-24 INS'!$A:$D,2,FALSE),VLOOKUP($B52,'BANCO DE DADOS JANEIRO-24 SERV'!$B:$E,2,FALSE))</f>
        <v>SERVENTE COM ENCARGOS COMPLEMENTARES</v>
      </c>
      <c r="D52" s="729" t="str">
        <f>IF($A52="INSUMO",VLOOKUP($B52,'BANCO DE DADOS JANEIRO-24 INS'!$A:$D,3,FALSE),VLOOKUP($B52,'BANCO DE DADOS JANEIRO-24 SERV'!$B:$E,3,FALSE))</f>
        <v>H</v>
      </c>
      <c r="E52" s="985">
        <v>0.20380000000000001</v>
      </c>
      <c r="F52" s="757">
        <f>IF($A52="INSUMO",VLOOKUP($B52,'BANCO DE DADOS JANEIRO-24 INS'!$A:$D,4,FALSE),VLOOKUP($B52,'BANCO DE DADOS JANEIRO-24 SERV'!$B:$E,4,FALSE))</f>
        <v>20.32</v>
      </c>
      <c r="G52" s="967">
        <f>TRUNC(E52*F52,2)</f>
        <v>4.1399999999999997</v>
      </c>
    </row>
    <row r="53" spans="1:8" s="252" customFormat="1" ht="38.25" customHeight="1" thickBot="1">
      <c r="B53" s="2230" t="s">
        <v>2251</v>
      </c>
      <c r="C53" s="2230"/>
      <c r="D53" s="2230"/>
      <c r="E53" s="2231"/>
      <c r="F53" s="263" t="s">
        <v>170</v>
      </c>
      <c r="G53" s="264">
        <f>SUM(G49:G52)</f>
        <v>10.210000000000001</v>
      </c>
    </row>
    <row r="54" spans="1:8" s="252" customFormat="1" ht="15.75" thickBot="1"/>
    <row r="55" spans="1:8" s="252" customFormat="1" ht="18">
      <c r="B55" s="1669" t="s">
        <v>181</v>
      </c>
      <c r="C55" s="2164" t="s">
        <v>2248</v>
      </c>
      <c r="D55" s="2165"/>
      <c r="E55" s="2165"/>
      <c r="F55" s="2166"/>
      <c r="G55" s="1670" t="s">
        <v>22</v>
      </c>
      <c r="H55" s="679" t="s">
        <v>2249</v>
      </c>
    </row>
    <row r="56" spans="1:8" s="252" customFormat="1" ht="31.5">
      <c r="B56" s="810" t="s">
        <v>174</v>
      </c>
      <c r="C56" s="811" t="s">
        <v>175</v>
      </c>
      <c r="D56" s="812" t="s">
        <v>176</v>
      </c>
      <c r="E56" s="813" t="s">
        <v>177</v>
      </c>
      <c r="F56" s="814" t="s">
        <v>178</v>
      </c>
      <c r="G56" s="815" t="s">
        <v>179</v>
      </c>
    </row>
    <row r="57" spans="1:8" s="252" customFormat="1" ht="15">
      <c r="B57" s="1283">
        <v>44249</v>
      </c>
      <c r="C57" s="1284" t="s">
        <v>4600</v>
      </c>
      <c r="D57" s="1285">
        <v>60</v>
      </c>
      <c r="E57" s="1285" t="s">
        <v>4601</v>
      </c>
      <c r="F57" s="1288" t="s">
        <v>3269</v>
      </c>
      <c r="G57" s="1286"/>
    </row>
    <row r="58" spans="1:8" s="252" customFormat="1" ht="15">
      <c r="B58" s="1283">
        <v>42863</v>
      </c>
      <c r="C58" s="1284" t="s">
        <v>184</v>
      </c>
      <c r="D58" s="1285">
        <v>5</v>
      </c>
      <c r="E58" s="1336" t="s">
        <v>185</v>
      </c>
      <c r="F58" s="1287" t="s">
        <v>497</v>
      </c>
      <c r="G58" s="1286" t="s">
        <v>408</v>
      </c>
    </row>
    <row r="59" spans="1:8" s="252" customFormat="1" ht="14.25" customHeight="1">
      <c r="B59" s="1283">
        <v>42864</v>
      </c>
      <c r="C59" s="1284" t="s">
        <v>498</v>
      </c>
      <c r="D59" s="1285">
        <v>3.5</v>
      </c>
      <c r="E59" s="1285" t="s">
        <v>499</v>
      </c>
      <c r="F59" s="1287" t="s">
        <v>500</v>
      </c>
      <c r="G59" s="1337" t="s">
        <v>594</v>
      </c>
    </row>
    <row r="60" spans="1:8" s="252" customFormat="1" ht="16.5" thickBot="1">
      <c r="B60" s="622"/>
      <c r="C60" s="758" t="s">
        <v>180</v>
      </c>
      <c r="D60" s="759">
        <f>IF(COUNT(D57:D59)=3,MEDIAN(D57:D59),SMALL(D57:D59,1))</f>
        <v>5</v>
      </c>
      <c r="E60" s="760"/>
      <c r="F60" s="816"/>
      <c r="G60" s="350"/>
    </row>
    <row r="61" spans="1:8" ht="13.5" thickBot="1"/>
    <row r="62" spans="1:8" s="252" customFormat="1" ht="15.75">
      <c r="B62" s="298" t="str">
        <f>IF(COUNT($H$14:H62)&lt;10,CONCATENATE("CPU PAI 00",COUNT($H$14:H62)),CONCATENATE("CPU PAI 0",COUNT($H$14:H62)))</f>
        <v>CPU PAI 004</v>
      </c>
      <c r="C62" s="2180" t="s">
        <v>2252</v>
      </c>
      <c r="D62" s="2180"/>
      <c r="E62" s="2180"/>
      <c r="F62" s="2180"/>
      <c r="G62" s="624" t="s">
        <v>22</v>
      </c>
      <c r="H62" s="603">
        <f>G69</f>
        <v>724.63</v>
      </c>
    </row>
    <row r="63" spans="1:8" s="252" customFormat="1" ht="31.5">
      <c r="B63" s="750" t="s">
        <v>197</v>
      </c>
      <c r="C63" s="751" t="s">
        <v>161</v>
      </c>
      <c r="D63" s="751" t="s">
        <v>22</v>
      </c>
      <c r="E63" s="751" t="s">
        <v>162</v>
      </c>
      <c r="F63" s="752" t="s">
        <v>163</v>
      </c>
      <c r="G63" s="753" t="s">
        <v>164</v>
      </c>
    </row>
    <row r="64" spans="1:8" s="252" customFormat="1" ht="15.75">
      <c r="B64" s="2446" t="s">
        <v>168</v>
      </c>
      <c r="C64" s="2447"/>
      <c r="D64" s="2447"/>
      <c r="E64" s="2447"/>
      <c r="F64" s="2447"/>
      <c r="G64" s="2448"/>
    </row>
    <row r="65" spans="1:8" s="252" customFormat="1" ht="45">
      <c r="B65" s="754" t="s">
        <v>181</v>
      </c>
      <c r="C65" s="728" t="str">
        <f>C71</f>
        <v xml:space="preserve">MUDA DE ARVORE ORNAMENTAL, OITI/AROEIRA SALSA/ANGICO/IPE/JACARANDA OU EQUIVALENTE DA   REGIAO, H= *5* </v>
      </c>
      <c r="D65" s="732" t="s">
        <v>22</v>
      </c>
      <c r="E65" s="817">
        <v>1</v>
      </c>
      <c r="F65" s="755">
        <f>D76</f>
        <v>690</v>
      </c>
      <c r="G65" s="809">
        <f>TRUNC(E65*F65,2)</f>
        <v>690</v>
      </c>
    </row>
    <row r="66" spans="1:8" s="252" customFormat="1" ht="15.75">
      <c r="B66" s="2446" t="s">
        <v>169</v>
      </c>
      <c r="C66" s="2447"/>
      <c r="D66" s="2447"/>
      <c r="E66" s="2447"/>
      <c r="F66" s="2447"/>
      <c r="G66" s="2448"/>
    </row>
    <row r="67" spans="1:8" s="252" customFormat="1" ht="15.75">
      <c r="A67" s="333" t="s">
        <v>391</v>
      </c>
      <c r="B67" s="754">
        <v>88441</v>
      </c>
      <c r="C67" s="728" t="str">
        <f>IF($A67="INSUMO",VLOOKUP($B67,'BANCO DE DADOS JANEIRO-24 INS'!$A:$D,2,FALSE),VLOOKUP($B67,'BANCO DE DADOS JANEIRO-24 SERV'!$B:$E,2,FALSE))</f>
        <v>JARDINEIRO COM ENCARGOS COMPLEMENTARES</v>
      </c>
      <c r="D67" s="732" t="str">
        <f>IF($A67="INSUMO",VLOOKUP($B67,'BANCO DE DADOS JANEIRO-24 INS'!$A:$D,3,FALSE),VLOOKUP($B67,'BANCO DE DADOS JANEIRO-24 SERV'!$B:$E,3,FALSE))</f>
        <v>H</v>
      </c>
      <c r="E67" s="984">
        <v>0.33829999999999999</v>
      </c>
      <c r="F67" s="755">
        <f>IF($A67="INSUMO",VLOOKUP($B67,'BANCO DE DADOS JANEIRO-24 INS'!$A:$D,4,FALSE),VLOOKUP($B67,'BANCO DE DADOS JANEIRO-24 SERV'!$B:$E,4,FALSE))</f>
        <v>21.11</v>
      </c>
      <c r="G67" s="809">
        <f>TRUNC(E67*F67,2)</f>
        <v>7.14</v>
      </c>
    </row>
    <row r="68" spans="1:8" s="252" customFormat="1" ht="16.5" thickBot="1">
      <c r="A68" s="333" t="s">
        <v>391</v>
      </c>
      <c r="B68" s="756">
        <v>88316</v>
      </c>
      <c r="C68" s="731" t="str">
        <f>IF($A68="INSUMO",VLOOKUP($B68,'BANCO DE DADOS JANEIRO-24 INS'!$A:$D,2,FALSE),VLOOKUP($B68,'BANCO DE DADOS JANEIRO-24 SERV'!$B:$E,2,FALSE))</f>
        <v>SERVENTE COM ENCARGOS COMPLEMENTARES</v>
      </c>
      <c r="D68" s="729" t="str">
        <f>IF($A68="INSUMO",VLOOKUP($B68,'BANCO DE DADOS JANEIRO-24 INS'!$A:$D,3,FALSE),VLOOKUP($B68,'BANCO DE DADOS JANEIRO-24 SERV'!$B:$E,3,FALSE))</f>
        <v>H</v>
      </c>
      <c r="E68" s="985">
        <v>1.3531</v>
      </c>
      <c r="F68" s="757">
        <f>IF($A68="INSUMO",VLOOKUP($B68,'BANCO DE DADOS JANEIRO-24 INS'!$A:$D,4,FALSE),VLOOKUP($B68,'BANCO DE DADOS JANEIRO-24 SERV'!$B:$E,4,FALSE))</f>
        <v>20.32</v>
      </c>
      <c r="G68" s="967">
        <f>TRUNC(E68*F68,2)</f>
        <v>27.49</v>
      </c>
    </row>
    <row r="69" spans="1:8" s="252" customFormat="1" ht="38.25" customHeight="1" thickBot="1">
      <c r="B69" s="2230" t="s">
        <v>2254</v>
      </c>
      <c r="C69" s="2230"/>
      <c r="D69" s="2230"/>
      <c r="E69" s="2231"/>
      <c r="F69" s="263" t="s">
        <v>170</v>
      </c>
      <c r="G69" s="264">
        <f>SUM(G65:G68)</f>
        <v>724.63</v>
      </c>
    </row>
    <row r="70" spans="1:8" s="252" customFormat="1" ht="15.75" thickBot="1"/>
    <row r="71" spans="1:8" s="252" customFormat="1" ht="32.25" customHeight="1">
      <c r="B71" s="1669" t="s">
        <v>181</v>
      </c>
      <c r="C71" s="2164" t="s">
        <v>2253</v>
      </c>
      <c r="D71" s="2165"/>
      <c r="E71" s="2165"/>
      <c r="F71" s="2166"/>
      <c r="G71" s="1670" t="s">
        <v>22</v>
      </c>
      <c r="H71" s="679" t="s">
        <v>2249</v>
      </c>
    </row>
    <row r="72" spans="1:8" s="252" customFormat="1" ht="31.5">
      <c r="B72" s="810" t="s">
        <v>174</v>
      </c>
      <c r="C72" s="811" t="s">
        <v>175</v>
      </c>
      <c r="D72" s="812" t="s">
        <v>176</v>
      </c>
      <c r="E72" s="813" t="s">
        <v>177</v>
      </c>
      <c r="F72" s="814" t="s">
        <v>178</v>
      </c>
      <c r="G72" s="815" t="s">
        <v>179</v>
      </c>
    </row>
    <row r="73" spans="1:8" s="252" customFormat="1" ht="15">
      <c r="B73" s="1283">
        <v>44249</v>
      </c>
      <c r="C73" s="1284" t="s">
        <v>4600</v>
      </c>
      <c r="D73" s="1285">
        <v>600</v>
      </c>
      <c r="E73" s="1285" t="s">
        <v>4601</v>
      </c>
      <c r="F73" s="1288" t="s">
        <v>3269</v>
      </c>
      <c r="G73" s="1286"/>
    </row>
    <row r="74" spans="1:8" s="252" customFormat="1" ht="15">
      <c r="B74" s="1283">
        <v>42863</v>
      </c>
      <c r="C74" s="1284" t="s">
        <v>184</v>
      </c>
      <c r="D74" s="1285">
        <v>750</v>
      </c>
      <c r="E74" s="1336" t="s">
        <v>185</v>
      </c>
      <c r="F74" s="1287" t="s">
        <v>497</v>
      </c>
      <c r="G74" s="1286" t="s">
        <v>408</v>
      </c>
    </row>
    <row r="75" spans="1:8" s="252" customFormat="1" ht="15" customHeight="1">
      <c r="B75" s="1283">
        <v>42864</v>
      </c>
      <c r="C75" s="1284" t="s">
        <v>498</v>
      </c>
      <c r="D75" s="1285">
        <v>690</v>
      </c>
      <c r="E75" s="1285" t="s">
        <v>499</v>
      </c>
      <c r="F75" s="1287" t="s">
        <v>500</v>
      </c>
      <c r="G75" s="1337" t="s">
        <v>594</v>
      </c>
    </row>
    <row r="76" spans="1:8" s="252" customFormat="1" ht="16.5" thickBot="1">
      <c r="B76" s="1738"/>
      <c r="C76" s="1739" t="s">
        <v>180</v>
      </c>
      <c r="D76" s="1737">
        <f>IF(COUNT(D73:D75)=3,MEDIAN(D73:D75),SMALL(D73:D75,1))</f>
        <v>690</v>
      </c>
      <c r="E76" s="1740"/>
      <c r="F76" s="1752"/>
      <c r="G76" s="1742"/>
    </row>
    <row r="77" spans="1:8" ht="13.5" thickBot="1"/>
    <row r="78" spans="1:8" s="252" customFormat="1" ht="15.75">
      <c r="B78" s="298" t="str">
        <f>IF(COUNT($H$14:H78)&lt;10,CONCATENATE("CPU PAI 00",COUNT($H$14:H78)),CONCATENATE("CPU PAI 0",COUNT($H$14:H78)))</f>
        <v>CPU PAI 005</v>
      </c>
      <c r="C78" s="2180" t="s">
        <v>2255</v>
      </c>
      <c r="D78" s="2180"/>
      <c r="E78" s="2180"/>
      <c r="F78" s="2180"/>
      <c r="G78" s="624" t="s">
        <v>22</v>
      </c>
      <c r="H78" s="603">
        <f>G85</f>
        <v>305.77999999999997</v>
      </c>
    </row>
    <row r="79" spans="1:8" s="252" customFormat="1" ht="31.5">
      <c r="B79" s="750" t="s">
        <v>197</v>
      </c>
      <c r="C79" s="751" t="s">
        <v>161</v>
      </c>
      <c r="D79" s="751" t="s">
        <v>22</v>
      </c>
      <c r="E79" s="751" t="s">
        <v>162</v>
      </c>
      <c r="F79" s="752" t="s">
        <v>163</v>
      </c>
      <c r="G79" s="753" t="s">
        <v>164</v>
      </c>
    </row>
    <row r="80" spans="1:8" s="252" customFormat="1" ht="15.75">
      <c r="B80" s="2446" t="s">
        <v>168</v>
      </c>
      <c r="C80" s="2447"/>
      <c r="D80" s="2447"/>
      <c r="E80" s="2447"/>
      <c r="F80" s="2447"/>
      <c r="G80" s="2448"/>
    </row>
    <row r="81" spans="1:8" s="252" customFormat="1" ht="34.5" customHeight="1">
      <c r="B81" s="754" t="s">
        <v>181</v>
      </c>
      <c r="C81" s="728" t="str">
        <f>C87</f>
        <v>MUDA DE ARVORE FRUTÍFERA  JABOTICABEIRA OU EQUIVALENTE DA REGIAO, H= *1* M</v>
      </c>
      <c r="D81" s="732" t="s">
        <v>22</v>
      </c>
      <c r="E81" s="817">
        <v>1</v>
      </c>
      <c r="F81" s="755">
        <f>D92</f>
        <v>250</v>
      </c>
      <c r="G81" s="809">
        <f>TRUNC(E81*F81,2)</f>
        <v>250</v>
      </c>
    </row>
    <row r="82" spans="1:8" s="252" customFormat="1" ht="15.75">
      <c r="B82" s="2446" t="s">
        <v>169</v>
      </c>
      <c r="C82" s="2447"/>
      <c r="D82" s="2447"/>
      <c r="E82" s="2447"/>
      <c r="F82" s="2447"/>
      <c r="G82" s="2448"/>
    </row>
    <row r="83" spans="1:8" s="252" customFormat="1" ht="15.75">
      <c r="A83" s="333" t="s">
        <v>391</v>
      </c>
      <c r="B83" s="754">
        <v>88441</v>
      </c>
      <c r="C83" s="728" t="str">
        <f>IF($A83="INSUMO",VLOOKUP($B83,'BANCO DE DADOS JANEIRO-24 INS'!$A:$D,2,FALSE),VLOOKUP($B83,'BANCO DE DADOS JANEIRO-24 SERV'!$B:$E,2,FALSE))</f>
        <v>JARDINEIRO COM ENCARGOS COMPLEMENTARES</v>
      </c>
      <c r="D83" s="732" t="str">
        <f>IF($A83="INSUMO",VLOOKUP($B83,'BANCO DE DADOS JANEIRO-24 INS'!$A:$D,3,FALSE),VLOOKUP($B83,'BANCO DE DADOS JANEIRO-24 SERV'!$B:$E,3,FALSE))</f>
        <v>H</v>
      </c>
      <c r="E83" s="984">
        <v>0.54490000000000005</v>
      </c>
      <c r="F83" s="755">
        <f>IF($A83="INSUMO",VLOOKUP($B83,'BANCO DE DADOS JANEIRO-24 INS'!$A:$D,4,FALSE),VLOOKUP($B83,'BANCO DE DADOS JANEIRO-24 SERV'!$B:$E,4,FALSE))</f>
        <v>21.11</v>
      </c>
      <c r="G83" s="809">
        <f>TRUNC(E83*F83,2)</f>
        <v>11.5</v>
      </c>
    </row>
    <row r="84" spans="1:8" s="252" customFormat="1" ht="16.5" thickBot="1">
      <c r="A84" s="333" t="s">
        <v>391</v>
      </c>
      <c r="B84" s="756">
        <v>88316</v>
      </c>
      <c r="C84" s="731" t="str">
        <f>IF($A84="INSUMO",VLOOKUP($B84,'BANCO DE DADOS JANEIRO-24 INS'!$A:$D,2,FALSE),VLOOKUP($B84,'BANCO DE DADOS JANEIRO-24 SERV'!$B:$E,2,FALSE))</f>
        <v>SERVENTE COM ENCARGOS COMPLEMENTARES</v>
      </c>
      <c r="D84" s="729" t="str">
        <f>IF($A84="INSUMO",VLOOKUP($B84,'BANCO DE DADOS JANEIRO-24 INS'!$A:$D,3,FALSE),VLOOKUP($B84,'BANCO DE DADOS JANEIRO-24 SERV'!$B:$E,3,FALSE))</f>
        <v>H</v>
      </c>
      <c r="E84" s="985">
        <v>2.1796000000000002</v>
      </c>
      <c r="F84" s="757">
        <f>IF($A84="INSUMO",VLOOKUP($B84,'BANCO DE DADOS JANEIRO-24 INS'!$A:$D,4,FALSE),VLOOKUP($B84,'BANCO DE DADOS JANEIRO-24 SERV'!$B:$E,4,FALSE))</f>
        <v>20.32</v>
      </c>
      <c r="G84" s="967">
        <f>TRUNC(E84*F84,2)</f>
        <v>44.28</v>
      </c>
    </row>
    <row r="85" spans="1:8" s="252" customFormat="1" ht="38.25" customHeight="1" thickBot="1">
      <c r="B85" s="2230" t="s">
        <v>2257</v>
      </c>
      <c r="C85" s="2230"/>
      <c r="D85" s="2230"/>
      <c r="E85" s="2231"/>
      <c r="F85" s="263" t="s">
        <v>170</v>
      </c>
      <c r="G85" s="264">
        <f>SUM(G81:G84)</f>
        <v>305.77999999999997</v>
      </c>
    </row>
    <row r="86" spans="1:8" s="252" customFormat="1" ht="15.75" thickBot="1"/>
    <row r="87" spans="1:8" s="252" customFormat="1" ht="18">
      <c r="B87" s="1669" t="s">
        <v>181</v>
      </c>
      <c r="C87" s="2164" t="s">
        <v>2256</v>
      </c>
      <c r="D87" s="2165"/>
      <c r="E87" s="2165"/>
      <c r="F87" s="2166"/>
      <c r="G87" s="1670" t="s">
        <v>22</v>
      </c>
      <c r="H87" s="679" t="s">
        <v>2249</v>
      </c>
    </row>
    <row r="88" spans="1:8" s="252" customFormat="1" ht="31.5">
      <c r="B88" s="810" t="s">
        <v>174</v>
      </c>
      <c r="C88" s="811" t="s">
        <v>175</v>
      </c>
      <c r="D88" s="812" t="s">
        <v>176</v>
      </c>
      <c r="E88" s="813" t="s">
        <v>177</v>
      </c>
      <c r="F88" s="814" t="s">
        <v>178</v>
      </c>
      <c r="G88" s="815" t="s">
        <v>179</v>
      </c>
    </row>
    <row r="89" spans="1:8" s="252" customFormat="1" ht="15">
      <c r="B89" s="1283">
        <v>44249</v>
      </c>
      <c r="C89" s="1284" t="s">
        <v>4600</v>
      </c>
      <c r="D89" s="1285">
        <v>80</v>
      </c>
      <c r="E89" s="1285" t="s">
        <v>4601</v>
      </c>
      <c r="F89" s="1288" t="s">
        <v>3269</v>
      </c>
      <c r="G89" s="1286"/>
    </row>
    <row r="90" spans="1:8" s="252" customFormat="1" ht="15">
      <c r="B90" s="1283">
        <v>42863</v>
      </c>
      <c r="C90" s="1284" t="s">
        <v>184</v>
      </c>
      <c r="D90" s="1285">
        <v>250</v>
      </c>
      <c r="E90" s="1336" t="s">
        <v>185</v>
      </c>
      <c r="F90" s="1287" t="s">
        <v>497</v>
      </c>
      <c r="G90" s="1286" t="s">
        <v>408</v>
      </c>
    </row>
    <row r="91" spans="1:8" s="252" customFormat="1" ht="16.5" customHeight="1">
      <c r="B91" s="1283">
        <v>42864</v>
      </c>
      <c r="C91" s="1284" t="s">
        <v>498</v>
      </c>
      <c r="D91" s="1285">
        <v>300</v>
      </c>
      <c r="E91" s="1285" t="s">
        <v>499</v>
      </c>
      <c r="F91" s="1287" t="s">
        <v>500</v>
      </c>
      <c r="G91" s="1337" t="s">
        <v>594</v>
      </c>
    </row>
    <row r="92" spans="1:8" s="252" customFormat="1" ht="16.5" thickBot="1">
      <c r="B92" s="1738"/>
      <c r="C92" s="1739" t="s">
        <v>180</v>
      </c>
      <c r="D92" s="1737">
        <f>IF(COUNT(D89:D91)=3,MEDIAN(D89:D91),SMALL(D89:D91,1))</f>
        <v>250</v>
      </c>
      <c r="E92" s="1740"/>
      <c r="F92" s="1752"/>
      <c r="G92" s="1742"/>
    </row>
    <row r="93" spans="1:8" ht="13.5" thickBot="1"/>
    <row r="94" spans="1:8" s="252" customFormat="1" ht="15.75">
      <c r="B94" s="298" t="str">
        <f>IF(COUNT($H$14:H94)&lt;10,CONCATENATE("CPU PAI 00",COUNT($H$14:H94)),CONCATENATE("CPU PAI 0",COUNT($H$14:H94)))</f>
        <v>CPU PAI 006</v>
      </c>
      <c r="C94" s="2180" t="s">
        <v>2258</v>
      </c>
      <c r="D94" s="2180"/>
      <c r="E94" s="2180"/>
      <c r="F94" s="2180"/>
      <c r="G94" s="624" t="s">
        <v>22</v>
      </c>
      <c r="H94" s="603">
        <f>G101</f>
        <v>681.63</v>
      </c>
    </row>
    <row r="95" spans="1:8" s="252" customFormat="1" ht="31.5">
      <c r="B95" s="750" t="s">
        <v>197</v>
      </c>
      <c r="C95" s="751" t="s">
        <v>161</v>
      </c>
      <c r="D95" s="751" t="s">
        <v>22</v>
      </c>
      <c r="E95" s="751" t="s">
        <v>162</v>
      </c>
      <c r="F95" s="752" t="s">
        <v>163</v>
      </c>
      <c r="G95" s="753" t="s">
        <v>164</v>
      </c>
    </row>
    <row r="96" spans="1:8" s="252" customFormat="1" ht="15.75">
      <c r="B96" s="2446" t="s">
        <v>168</v>
      </c>
      <c r="C96" s="2447"/>
      <c r="D96" s="2447"/>
      <c r="E96" s="2447"/>
      <c r="F96" s="2447"/>
      <c r="G96" s="2448"/>
    </row>
    <row r="97" spans="1:8" s="252" customFormat="1" ht="34.5" customHeight="1">
      <c r="B97" s="754" t="s">
        <v>181</v>
      </c>
      <c r="C97" s="728" t="str">
        <f>C103</f>
        <v>MUDA DE ARVORE FRUTÍFERA  JABOTICABEIRA OU EQUIVALENTE DA REGIAO, H= *3* M</v>
      </c>
      <c r="D97" s="732" t="s">
        <v>22</v>
      </c>
      <c r="E97" s="817">
        <v>1</v>
      </c>
      <c r="F97" s="755">
        <f>D108</f>
        <v>600</v>
      </c>
      <c r="G97" s="809">
        <f>TRUNC(E97*F97,2)</f>
        <v>600</v>
      </c>
    </row>
    <row r="98" spans="1:8" s="252" customFormat="1" ht="15.75">
      <c r="B98" s="2446" t="s">
        <v>169</v>
      </c>
      <c r="C98" s="2447"/>
      <c r="D98" s="2447"/>
      <c r="E98" s="2447"/>
      <c r="F98" s="2447"/>
      <c r="G98" s="2448"/>
    </row>
    <row r="99" spans="1:8" s="252" customFormat="1" ht="15.75">
      <c r="A99" s="333" t="s">
        <v>391</v>
      </c>
      <c r="B99" s="754">
        <v>88441</v>
      </c>
      <c r="C99" s="728" t="str">
        <f>IF($A99="INSUMO",VLOOKUP($B99,'BANCO DE DADOS JANEIRO-24 INS'!$A:$D,2,FALSE),VLOOKUP($B99,'BANCO DE DADOS JANEIRO-24 SERV'!$B:$E,2,FALSE))</f>
        <v>JARDINEIRO COM ENCARGOS COMPLEMENTARES</v>
      </c>
      <c r="D99" s="732" t="str">
        <f>IF($A99="INSUMO",VLOOKUP($B99,'BANCO DE DADOS JANEIRO-24 INS'!$A:$D,3,FALSE),VLOOKUP($B99,'BANCO DE DADOS JANEIRO-24 SERV'!$B:$E,3,FALSE))</f>
        <v>H</v>
      </c>
      <c r="E99" s="984">
        <v>0.79730000000000001</v>
      </c>
      <c r="F99" s="755">
        <f>IF($A99="INSUMO",VLOOKUP($B99,'BANCO DE DADOS JANEIRO-24 INS'!$A:$D,4,FALSE),VLOOKUP($B99,'BANCO DE DADOS JANEIRO-24 SERV'!$B:$E,4,FALSE))</f>
        <v>21.11</v>
      </c>
      <c r="G99" s="809">
        <f>TRUNC(E99*F99,2)</f>
        <v>16.829999999999998</v>
      </c>
    </row>
    <row r="100" spans="1:8" s="252" customFormat="1" ht="16.5" thickBot="1">
      <c r="A100" s="333" t="s">
        <v>391</v>
      </c>
      <c r="B100" s="756">
        <v>88316</v>
      </c>
      <c r="C100" s="731" t="str">
        <f>IF($A100="INSUMO",VLOOKUP($B100,'BANCO DE DADOS JANEIRO-24 INS'!$A:$D,2,FALSE),VLOOKUP($B100,'BANCO DE DADOS JANEIRO-24 SERV'!$B:$E,2,FALSE))</f>
        <v>SERVENTE COM ENCARGOS COMPLEMENTARES</v>
      </c>
      <c r="D100" s="729" t="str">
        <f>IF($A100="INSUMO",VLOOKUP($B100,'BANCO DE DADOS JANEIRO-24 INS'!$A:$D,3,FALSE),VLOOKUP($B100,'BANCO DE DADOS JANEIRO-24 SERV'!$B:$E,3,FALSE))</f>
        <v>H</v>
      </c>
      <c r="E100" s="985">
        <v>3.1892</v>
      </c>
      <c r="F100" s="757">
        <f>IF($A100="INSUMO",VLOOKUP($B100,'BANCO DE DADOS JANEIRO-24 INS'!$A:$D,4,FALSE),VLOOKUP($B100,'BANCO DE DADOS JANEIRO-24 SERV'!$B:$E,4,FALSE))</f>
        <v>20.32</v>
      </c>
      <c r="G100" s="967">
        <f>TRUNC(E100*F100,2)</f>
        <v>64.8</v>
      </c>
    </row>
    <row r="101" spans="1:8" s="252" customFormat="1" ht="38.25" customHeight="1" thickBot="1">
      <c r="B101" s="2230" t="s">
        <v>2260</v>
      </c>
      <c r="C101" s="2230"/>
      <c r="D101" s="2230"/>
      <c r="E101" s="2231"/>
      <c r="F101" s="263" t="s">
        <v>170</v>
      </c>
      <c r="G101" s="264">
        <f>SUM(G97:G100)</f>
        <v>681.63</v>
      </c>
    </row>
    <row r="102" spans="1:8" s="252" customFormat="1" ht="15.75" thickBot="1"/>
    <row r="103" spans="1:8" s="252" customFormat="1" ht="18">
      <c r="B103" s="1669" t="s">
        <v>181</v>
      </c>
      <c r="C103" s="2164" t="s">
        <v>2259</v>
      </c>
      <c r="D103" s="2165"/>
      <c r="E103" s="2165"/>
      <c r="F103" s="2166"/>
      <c r="G103" s="1670" t="s">
        <v>22</v>
      </c>
      <c r="H103" s="679" t="s">
        <v>2249</v>
      </c>
    </row>
    <row r="104" spans="1:8" s="252" customFormat="1" ht="31.5">
      <c r="B104" s="810" t="s">
        <v>174</v>
      </c>
      <c r="C104" s="811" t="s">
        <v>175</v>
      </c>
      <c r="D104" s="812" t="s">
        <v>176</v>
      </c>
      <c r="E104" s="813" t="s">
        <v>177</v>
      </c>
      <c r="F104" s="814" t="s">
        <v>178</v>
      </c>
      <c r="G104" s="815" t="s">
        <v>179</v>
      </c>
    </row>
    <row r="105" spans="1:8" s="252" customFormat="1" ht="15">
      <c r="B105" s="1283">
        <v>44249</v>
      </c>
      <c r="C105" s="1284" t="s">
        <v>4600</v>
      </c>
      <c r="D105" s="1285">
        <v>3000</v>
      </c>
      <c r="E105" s="1285" t="s">
        <v>4601</v>
      </c>
      <c r="F105" s="1288" t="s">
        <v>3269</v>
      </c>
      <c r="G105" s="1286"/>
    </row>
    <row r="106" spans="1:8" s="252" customFormat="1" ht="15">
      <c r="B106" s="1283">
        <v>42863</v>
      </c>
      <c r="C106" s="1284" t="s">
        <v>184</v>
      </c>
      <c r="D106" s="1285">
        <v>550</v>
      </c>
      <c r="E106" s="1336" t="s">
        <v>185</v>
      </c>
      <c r="F106" s="1287" t="s">
        <v>497</v>
      </c>
      <c r="G106" s="1286" t="s">
        <v>408</v>
      </c>
    </row>
    <row r="107" spans="1:8" s="252" customFormat="1" ht="18" customHeight="1">
      <c r="B107" s="1283">
        <v>42864</v>
      </c>
      <c r="C107" s="1284" t="s">
        <v>498</v>
      </c>
      <c r="D107" s="1285">
        <v>600</v>
      </c>
      <c r="E107" s="1285" t="s">
        <v>499</v>
      </c>
      <c r="F107" s="1287" t="s">
        <v>500</v>
      </c>
      <c r="G107" s="1337" t="s">
        <v>594</v>
      </c>
    </row>
    <row r="108" spans="1:8" s="252" customFormat="1" ht="16.5" thickBot="1">
      <c r="B108" s="1738"/>
      <c r="C108" s="1739" t="s">
        <v>180</v>
      </c>
      <c r="D108" s="1737">
        <f>IF(COUNT(D105:D107)=3,MEDIAN(D105:D107),SMALL(D105:D107,1))</f>
        <v>600</v>
      </c>
      <c r="E108" s="1740"/>
      <c r="F108" s="1752"/>
      <c r="G108" s="1742"/>
    </row>
    <row r="109" spans="1:8" ht="13.5" thickBot="1"/>
    <row r="110" spans="1:8" s="252" customFormat="1" ht="15.75">
      <c r="B110" s="298" t="str">
        <f>IF(COUNT($H$14:H110)&lt;10,CONCATENATE("CPU PAI 00",COUNT($H$14:H110)),CONCATENATE("CPU PAI 0",COUNT($H$14:H110)))</f>
        <v>CPU PAI 007</v>
      </c>
      <c r="C110" s="2180" t="s">
        <v>2262</v>
      </c>
      <c r="D110" s="2180"/>
      <c r="E110" s="2180"/>
      <c r="F110" s="2180"/>
      <c r="G110" s="624" t="s">
        <v>22</v>
      </c>
      <c r="H110" s="603">
        <f>G117</f>
        <v>707.47</v>
      </c>
    </row>
    <row r="111" spans="1:8" s="252" customFormat="1" ht="31.5">
      <c r="B111" s="750" t="s">
        <v>197</v>
      </c>
      <c r="C111" s="751" t="s">
        <v>161</v>
      </c>
      <c r="D111" s="751" t="s">
        <v>22</v>
      </c>
      <c r="E111" s="751" t="s">
        <v>162</v>
      </c>
      <c r="F111" s="752" t="s">
        <v>163</v>
      </c>
      <c r="G111" s="753" t="s">
        <v>164</v>
      </c>
    </row>
    <row r="112" spans="1:8" s="252" customFormat="1" ht="15.75">
      <c r="B112" s="2446" t="s">
        <v>168</v>
      </c>
      <c r="C112" s="2447"/>
      <c r="D112" s="2447"/>
      <c r="E112" s="2447"/>
      <c r="F112" s="2447"/>
      <c r="G112" s="2448"/>
    </row>
    <row r="113" spans="1:8" s="252" customFormat="1" ht="34.5" customHeight="1">
      <c r="B113" s="754" t="s">
        <v>181</v>
      </c>
      <c r="C113" s="728" t="str">
        <f>C119</f>
        <v>MUDA DE ARVORE FRUTÍFERA  JABOTICABEIRA OU EQUIVALENTE DA REGIAO, H= *3* M</v>
      </c>
      <c r="D113" s="732" t="s">
        <v>22</v>
      </c>
      <c r="E113" s="817">
        <v>1</v>
      </c>
      <c r="F113" s="755">
        <f>D124</f>
        <v>600</v>
      </c>
      <c r="G113" s="809">
        <f>TRUNC(E113*F113,2)</f>
        <v>600</v>
      </c>
    </row>
    <row r="114" spans="1:8" s="252" customFormat="1" ht="15.75">
      <c r="B114" s="2446" t="s">
        <v>169</v>
      </c>
      <c r="C114" s="2447"/>
      <c r="D114" s="2447"/>
      <c r="E114" s="2447"/>
      <c r="F114" s="2447"/>
      <c r="G114" s="2448"/>
    </row>
    <row r="115" spans="1:8" s="252" customFormat="1" ht="15.75">
      <c r="A115" s="333" t="s">
        <v>391</v>
      </c>
      <c r="B115" s="754">
        <v>88441</v>
      </c>
      <c r="C115" s="728" t="str">
        <f>IF($A115="INSUMO",VLOOKUP($B115,'BANCO DE DADOS JANEIRO-24 INS'!$A:$D,2,FALSE),VLOOKUP($B115,'BANCO DE DADOS JANEIRO-24 SERV'!$B:$E,2,FALSE))</f>
        <v>JARDINEIRO COM ENCARGOS COMPLEMENTARES</v>
      </c>
      <c r="D115" s="732" t="str">
        <f>IF($A115="INSUMO",VLOOKUP($B115,'BANCO DE DADOS JANEIRO-24 INS'!$A:$D,3,FALSE),VLOOKUP($B115,'BANCO DE DADOS JANEIRO-24 SERV'!$B:$E,3,FALSE))</f>
        <v>H</v>
      </c>
      <c r="E115" s="984">
        <v>1.0497000000000001</v>
      </c>
      <c r="F115" s="755">
        <f>IF($A115="INSUMO",VLOOKUP($B115,'BANCO DE DADOS JANEIRO-24 INS'!$A:$D,4,FALSE),VLOOKUP($B115,'BANCO DE DADOS JANEIRO-24 SERV'!$B:$E,4,FALSE))</f>
        <v>21.11</v>
      </c>
      <c r="G115" s="809">
        <f>TRUNC(E115*F115,2)</f>
        <v>22.15</v>
      </c>
    </row>
    <row r="116" spans="1:8" s="252" customFormat="1" ht="16.5" thickBot="1">
      <c r="A116" s="333" t="s">
        <v>391</v>
      </c>
      <c r="B116" s="756">
        <v>88316</v>
      </c>
      <c r="C116" s="731" t="str">
        <f>IF($A116="INSUMO",VLOOKUP($B116,'BANCO DE DADOS JANEIRO-24 INS'!$A:$D,2,FALSE),VLOOKUP($B116,'BANCO DE DADOS JANEIRO-24 SERV'!$B:$E,2,FALSE))</f>
        <v>SERVENTE COM ENCARGOS COMPLEMENTARES</v>
      </c>
      <c r="D116" s="729" t="str">
        <f>IF($A116="INSUMO",VLOOKUP($B116,'BANCO DE DADOS JANEIRO-24 INS'!$A:$D,3,FALSE),VLOOKUP($B116,'BANCO DE DADOS JANEIRO-24 SERV'!$B:$E,3,FALSE))</f>
        <v>H</v>
      </c>
      <c r="E116" s="985">
        <v>4.1989000000000001</v>
      </c>
      <c r="F116" s="757">
        <f>IF($A116="INSUMO",VLOOKUP($B116,'BANCO DE DADOS JANEIRO-24 INS'!$A:$D,4,FALSE),VLOOKUP($B116,'BANCO DE DADOS JANEIRO-24 SERV'!$B:$E,4,FALSE))</f>
        <v>20.32</v>
      </c>
      <c r="G116" s="967">
        <f>TRUNC(E116*F116,2)</f>
        <v>85.32</v>
      </c>
    </row>
    <row r="117" spans="1:8" s="252" customFormat="1" ht="38.25" customHeight="1" thickBot="1">
      <c r="B117" s="2230" t="s">
        <v>2261</v>
      </c>
      <c r="C117" s="2230"/>
      <c r="D117" s="2230"/>
      <c r="E117" s="2231"/>
      <c r="F117" s="263" t="s">
        <v>170</v>
      </c>
      <c r="G117" s="264">
        <f>SUM(G113:G116)</f>
        <v>707.47</v>
      </c>
    </row>
    <row r="118" spans="1:8" s="252" customFormat="1" ht="15.75" thickBot="1"/>
    <row r="119" spans="1:8" s="252" customFormat="1" ht="18">
      <c r="B119" s="1669" t="s">
        <v>181</v>
      </c>
      <c r="C119" s="2164" t="s">
        <v>2259</v>
      </c>
      <c r="D119" s="2165"/>
      <c r="E119" s="2165"/>
      <c r="F119" s="2166"/>
      <c r="G119" s="1670" t="s">
        <v>22</v>
      </c>
      <c r="H119" s="679" t="s">
        <v>2249</v>
      </c>
    </row>
    <row r="120" spans="1:8" s="252" customFormat="1" ht="31.5">
      <c r="B120" s="810" t="s">
        <v>174</v>
      </c>
      <c r="C120" s="811" t="s">
        <v>175</v>
      </c>
      <c r="D120" s="812" t="s">
        <v>176</v>
      </c>
      <c r="E120" s="813" t="s">
        <v>177</v>
      </c>
      <c r="F120" s="814" t="s">
        <v>178</v>
      </c>
      <c r="G120" s="815" t="s">
        <v>179</v>
      </c>
    </row>
    <row r="121" spans="1:8" s="252" customFormat="1" ht="15">
      <c r="B121" s="1283">
        <v>44249</v>
      </c>
      <c r="C121" s="1284" t="s">
        <v>4600</v>
      </c>
      <c r="D121" s="1285">
        <v>3000</v>
      </c>
      <c r="E121" s="1285" t="s">
        <v>4601</v>
      </c>
      <c r="F121" s="1288" t="s">
        <v>3269</v>
      </c>
      <c r="G121" s="1286"/>
    </row>
    <row r="122" spans="1:8" s="252" customFormat="1" ht="15">
      <c r="B122" s="1283">
        <v>42863</v>
      </c>
      <c r="C122" s="1284" t="s">
        <v>184</v>
      </c>
      <c r="D122" s="1285">
        <v>550</v>
      </c>
      <c r="E122" s="1336" t="s">
        <v>185</v>
      </c>
      <c r="F122" s="1287" t="s">
        <v>497</v>
      </c>
      <c r="G122" s="1286" t="s">
        <v>408</v>
      </c>
    </row>
    <row r="123" spans="1:8" s="252" customFormat="1" ht="14.25" customHeight="1">
      <c r="B123" s="1283">
        <v>42864</v>
      </c>
      <c r="C123" s="1284" t="s">
        <v>498</v>
      </c>
      <c r="D123" s="1285">
        <v>600</v>
      </c>
      <c r="E123" s="1285" t="s">
        <v>499</v>
      </c>
      <c r="F123" s="1287" t="s">
        <v>500</v>
      </c>
      <c r="G123" s="1337" t="s">
        <v>594</v>
      </c>
    </row>
    <row r="124" spans="1:8" s="252" customFormat="1" ht="16.5" thickBot="1">
      <c r="B124" s="1738"/>
      <c r="C124" s="1739" t="s">
        <v>180</v>
      </c>
      <c r="D124" s="1737">
        <f>IF(COUNT(D121:D123)=3,MEDIAN(D121:D123),SMALL(D121:D123,1))</f>
        <v>600</v>
      </c>
      <c r="E124" s="1740"/>
      <c r="F124" s="1752"/>
      <c r="G124" s="1742"/>
    </row>
    <row r="125" spans="1:8" ht="13.5" thickBot="1"/>
    <row r="126" spans="1:8" s="252" customFormat="1" ht="15.75">
      <c r="B126" s="298" t="str">
        <f>IF(COUNT($H$14:H126)&lt;10,CONCATENATE("CPU PAI 00",COUNT($H$14:H126)),CONCATENATE("CPU PAI 0",COUNT($H$14:H126)))</f>
        <v>CPU PAI 008</v>
      </c>
      <c r="C126" s="2180" t="s">
        <v>2263</v>
      </c>
      <c r="D126" s="2180"/>
      <c r="E126" s="2180"/>
      <c r="F126" s="2180"/>
      <c r="G126" s="624" t="s">
        <v>22</v>
      </c>
      <c r="H126" s="603">
        <f>G136</f>
        <v>850.48000000000013</v>
      </c>
    </row>
    <row r="127" spans="1:8" s="252" customFormat="1" ht="31.5">
      <c r="B127" s="750" t="s">
        <v>197</v>
      </c>
      <c r="C127" s="751" t="s">
        <v>161</v>
      </c>
      <c r="D127" s="751" t="s">
        <v>22</v>
      </c>
      <c r="E127" s="751" t="s">
        <v>162</v>
      </c>
      <c r="F127" s="752" t="s">
        <v>163</v>
      </c>
      <c r="G127" s="753" t="s">
        <v>164</v>
      </c>
    </row>
    <row r="128" spans="1:8" s="252" customFormat="1" ht="15.75">
      <c r="B128" s="2446" t="s">
        <v>168</v>
      </c>
      <c r="C128" s="2447"/>
      <c r="D128" s="2447"/>
      <c r="E128" s="2447"/>
      <c r="F128" s="2447"/>
      <c r="G128" s="2448"/>
    </row>
    <row r="129" spans="1:8" s="252" customFormat="1" ht="15">
      <c r="B129" s="754" t="s">
        <v>181</v>
      </c>
      <c r="C129" s="728" t="str">
        <f>C138</f>
        <v>MUDA DE PALMEIRA, ARECA, H= *3,00* M</v>
      </c>
      <c r="D129" s="732" t="s">
        <v>22</v>
      </c>
      <c r="E129" s="817">
        <v>1</v>
      </c>
      <c r="F129" s="755">
        <f>D143</f>
        <v>500</v>
      </c>
      <c r="G129" s="809">
        <f>TRUNC(E129*F129,2)</f>
        <v>500</v>
      </c>
    </row>
    <row r="130" spans="1:8" s="252" customFormat="1" ht="15.75">
      <c r="B130" s="2446" t="s">
        <v>2155</v>
      </c>
      <c r="C130" s="2447"/>
      <c r="D130" s="2447"/>
      <c r="E130" s="2447"/>
      <c r="F130" s="2447"/>
      <c r="G130" s="2448"/>
    </row>
    <row r="131" spans="1:8" s="252" customFormat="1" ht="60">
      <c r="A131" s="333" t="s">
        <v>391</v>
      </c>
      <c r="B131" s="754">
        <v>91634</v>
      </c>
      <c r="C131" s="728" t="str">
        <f>IF($A131="INSUMO",VLOOKUP($B131,'BANCO DE DADOS JANEIRO-24 INS'!$A:$D,2,FALSE),VLOOKUP($B131,'BANCO DE DADOS JANEIRO-24 SERV'!$B:$E,2,FALSE))</f>
        <v>GUINDAUTO HIDRÁULICO, CAPACIDADE MÁXIMA DE CARGA 6500 KG, MOMENTO MÁXIMO DE CARGA 5,8 TM, ALCANCE MÁXIMO HORIZONTAL 7,60 M, INCLUSIVE CAMINHÃO TOCO PBT 9.700 KG, POTÊNCIA DE 160 CV - CHP DIURNO. AF_08/2015</v>
      </c>
      <c r="D131" s="732" t="str">
        <f>IF($A131="INSUMO",VLOOKUP($B131,'BANCO DE DADOS JANEIRO-24 INS'!$A:$D,3,FALSE),VLOOKUP($B131,'BANCO DE DADOS JANEIRO-24 SERV'!$B:$E,3,FALSE))</f>
        <v>CHP</v>
      </c>
      <c r="E131" s="984">
        <v>0.39829999999999999</v>
      </c>
      <c r="F131" s="755">
        <f>IF($A131="INSUMO",VLOOKUP($B131,'BANCO DE DADOS JANEIRO-24 INS'!$A:$D,4,FALSE),VLOOKUP($B131,'BANCO DE DADOS JANEIRO-24 SERV'!$B:$E,4,FALSE))</f>
        <v>235.7</v>
      </c>
      <c r="G131" s="809">
        <f>TRUNC(E131*F131,2)</f>
        <v>93.87</v>
      </c>
    </row>
    <row r="132" spans="1:8" s="252" customFormat="1" ht="60">
      <c r="A132" s="333" t="s">
        <v>391</v>
      </c>
      <c r="B132" s="754">
        <v>91635</v>
      </c>
      <c r="C132" s="728" t="str">
        <f>IF($A132="INSUMO",VLOOKUP($B132,'BANCO DE DADOS JANEIRO-24 INS'!$A:$D,2,FALSE),VLOOKUP($B132,'BANCO DE DADOS JANEIRO-24 SERV'!$B:$E,2,FALSE))</f>
        <v>GUINDAUTO HIDRÁULICO, CAPACIDADE MÁXIMA DE CARGA 6500 KG, MOMENTO MÁXIMO DE CARGA 5,8 TM, ALCANCE MÁXIMO HORIZONTAL 7,60 M, INCLUSIVE CAMINHÃO TOCO PBT 9.700 KG, POTÊNCIA DE 160 CV - CHI DIURNO. AF_08/2015</v>
      </c>
      <c r="D132" s="732" t="str">
        <f>IF($A132="INSUMO",VLOOKUP($B132,'BANCO DE DADOS JANEIRO-24 INS'!$A:$D,3,FALSE),VLOOKUP($B132,'BANCO DE DADOS JANEIRO-24 SERV'!$B:$E,3,FALSE))</f>
        <v>CHI</v>
      </c>
      <c r="E132" s="984">
        <v>1.6272</v>
      </c>
      <c r="F132" s="755">
        <f>IF($A132="INSUMO",VLOOKUP($B132,'BANCO DE DADOS JANEIRO-24 INS'!$A:$D,4,FALSE),VLOOKUP($B132,'BANCO DE DADOS JANEIRO-24 SERV'!$B:$E,4,FALSE))</f>
        <v>66.58</v>
      </c>
      <c r="G132" s="809">
        <f>TRUNC(E132*F132,2)</f>
        <v>108.33</v>
      </c>
    </row>
    <row r="133" spans="1:8" s="252" customFormat="1" ht="15.75">
      <c r="B133" s="2446" t="s">
        <v>169</v>
      </c>
      <c r="C133" s="2447"/>
      <c r="D133" s="2447"/>
      <c r="E133" s="2447"/>
      <c r="F133" s="2447"/>
      <c r="G133" s="2448"/>
    </row>
    <row r="134" spans="1:8" s="252" customFormat="1" ht="15.75">
      <c r="A134" s="333" t="s">
        <v>391</v>
      </c>
      <c r="B134" s="754">
        <v>88441</v>
      </c>
      <c r="C134" s="728" t="str">
        <f>IF($A134="INSUMO",VLOOKUP($B134,'BANCO DE DADOS JANEIRO-24 INS'!$A:$D,2,FALSE),VLOOKUP($B134,'BANCO DE DADOS JANEIRO-24 SERV'!$B:$E,2,FALSE))</f>
        <v>JARDINEIRO COM ENCARGOS COMPLEMENTARES</v>
      </c>
      <c r="D134" s="732" t="str">
        <f>IF($A134="INSUMO",VLOOKUP($B134,'BANCO DE DADOS JANEIRO-24 INS'!$A:$D,3,FALSE),VLOOKUP($B134,'BANCO DE DADOS JANEIRO-24 SERV'!$B:$E,3,FALSE))</f>
        <v>H</v>
      </c>
      <c r="E134" s="984">
        <v>1.4482999999999999</v>
      </c>
      <c r="F134" s="755">
        <f>IF($A134="INSUMO",VLOOKUP($B134,'BANCO DE DADOS JANEIRO-24 INS'!$A:$D,4,FALSE),VLOOKUP($B134,'BANCO DE DADOS JANEIRO-24 SERV'!$B:$E,4,FALSE))</f>
        <v>21.11</v>
      </c>
      <c r="G134" s="809">
        <f>TRUNC(E134*F134,2)</f>
        <v>30.57</v>
      </c>
    </row>
    <row r="135" spans="1:8" s="252" customFormat="1" ht="16.5" thickBot="1">
      <c r="A135" s="333" t="s">
        <v>391</v>
      </c>
      <c r="B135" s="756">
        <v>88316</v>
      </c>
      <c r="C135" s="731" t="str">
        <f>IF($A135="INSUMO",VLOOKUP($B135,'BANCO DE DADOS JANEIRO-24 INS'!$A:$D,2,FALSE),VLOOKUP($B135,'BANCO DE DADOS JANEIRO-24 SERV'!$B:$E,2,FALSE))</f>
        <v>SERVENTE COM ENCARGOS COMPLEMENTARES</v>
      </c>
      <c r="D135" s="729" t="str">
        <f>IF($A135="INSUMO",VLOOKUP($B135,'BANCO DE DADOS JANEIRO-24 INS'!$A:$D,3,FALSE),VLOOKUP($B135,'BANCO DE DADOS JANEIRO-24 SERV'!$B:$E,3,FALSE))</f>
        <v>H</v>
      </c>
      <c r="E135" s="985">
        <v>5.7930000000000001</v>
      </c>
      <c r="F135" s="757">
        <f>IF($A135="INSUMO",VLOOKUP($B135,'BANCO DE DADOS JANEIRO-24 INS'!$A:$D,4,FALSE),VLOOKUP($B135,'BANCO DE DADOS JANEIRO-24 SERV'!$B:$E,4,FALSE))</f>
        <v>20.32</v>
      </c>
      <c r="G135" s="967">
        <f>TRUNC(E135*F135,2)</f>
        <v>117.71</v>
      </c>
    </row>
    <row r="136" spans="1:8" s="252" customFormat="1" ht="38.25" customHeight="1" thickBot="1">
      <c r="B136" s="2230" t="s">
        <v>2265</v>
      </c>
      <c r="C136" s="2230"/>
      <c r="D136" s="2230"/>
      <c r="E136" s="2231"/>
      <c r="F136" s="263" t="s">
        <v>170</v>
      </c>
      <c r="G136" s="264">
        <f>SUM(G129:G135)</f>
        <v>850.48000000000013</v>
      </c>
    </row>
    <row r="137" spans="1:8" s="252" customFormat="1" ht="15.75" thickBot="1"/>
    <row r="138" spans="1:8" s="252" customFormat="1" ht="18">
      <c r="B138" s="1669" t="s">
        <v>181</v>
      </c>
      <c r="C138" s="2164" t="s">
        <v>2264</v>
      </c>
      <c r="D138" s="2165"/>
      <c r="E138" s="2165"/>
      <c r="F138" s="2166"/>
      <c r="G138" s="1670" t="s">
        <v>22</v>
      </c>
      <c r="H138" s="679" t="s">
        <v>2249</v>
      </c>
    </row>
    <row r="139" spans="1:8" s="252" customFormat="1" ht="31.5">
      <c r="B139" s="810" t="s">
        <v>174</v>
      </c>
      <c r="C139" s="811" t="s">
        <v>175</v>
      </c>
      <c r="D139" s="812" t="s">
        <v>176</v>
      </c>
      <c r="E139" s="813" t="s">
        <v>177</v>
      </c>
      <c r="F139" s="814" t="s">
        <v>178</v>
      </c>
      <c r="G139" s="815" t="s">
        <v>179</v>
      </c>
    </row>
    <row r="140" spans="1:8" s="252" customFormat="1" ht="15">
      <c r="B140" s="1283">
        <v>44249</v>
      </c>
      <c r="C140" s="1284" t="s">
        <v>4600</v>
      </c>
      <c r="D140" s="1285">
        <v>450</v>
      </c>
      <c r="E140" s="1285" t="s">
        <v>4601</v>
      </c>
      <c r="F140" s="1288" t="s">
        <v>3269</v>
      </c>
      <c r="G140" s="1286"/>
    </row>
    <row r="141" spans="1:8" s="252" customFormat="1" ht="15">
      <c r="B141" s="1283">
        <v>44246</v>
      </c>
      <c r="C141" s="1284" t="s">
        <v>3270</v>
      </c>
      <c r="D141" s="1285">
        <v>500</v>
      </c>
      <c r="E141" s="1336" t="s">
        <v>3271</v>
      </c>
      <c r="F141" s="1287" t="s">
        <v>4605</v>
      </c>
      <c r="G141" s="1286" t="s">
        <v>4606</v>
      </c>
    </row>
    <row r="142" spans="1:8" s="252" customFormat="1" ht="16.5" customHeight="1">
      <c r="B142" s="1283">
        <v>42864</v>
      </c>
      <c r="C142" s="1284" t="s">
        <v>498</v>
      </c>
      <c r="D142" s="1285">
        <v>600</v>
      </c>
      <c r="E142" s="1285" t="s">
        <v>499</v>
      </c>
      <c r="F142" s="1287" t="s">
        <v>500</v>
      </c>
      <c r="G142" s="1337" t="s">
        <v>594</v>
      </c>
    </row>
    <row r="143" spans="1:8" s="252" customFormat="1" ht="16.5" thickBot="1">
      <c r="B143" s="1738"/>
      <c r="C143" s="1739" t="s">
        <v>180</v>
      </c>
      <c r="D143" s="1737">
        <f>IF(COUNT(D140:D142)=3,MEDIAN(D140:D142),SMALL(D140:D142,1))</f>
        <v>500</v>
      </c>
      <c r="E143" s="1740"/>
      <c r="F143" s="1752"/>
      <c r="G143" s="1742"/>
    </row>
    <row r="144" spans="1:8" ht="13.5" thickBot="1"/>
    <row r="145" spans="1:8" s="252" customFormat="1" ht="15.75">
      <c r="B145" s="298" t="str">
        <f>IF(COUNT($H$14:H145)&lt;10,CONCATENATE("CPU PAI 00",COUNT($H$14:H145)),CONCATENATE("CPU PAI 0",COUNT($H$14:H145)))</f>
        <v>CPU PAI 009</v>
      </c>
      <c r="C145" s="2180" t="s">
        <v>2273</v>
      </c>
      <c r="D145" s="2180"/>
      <c r="E145" s="2180"/>
      <c r="F145" s="2180"/>
      <c r="G145" s="624" t="s">
        <v>22</v>
      </c>
      <c r="H145" s="603">
        <f>G155</f>
        <v>600.48</v>
      </c>
    </row>
    <row r="146" spans="1:8" s="252" customFormat="1" ht="31.5">
      <c r="B146" s="750" t="s">
        <v>197</v>
      </c>
      <c r="C146" s="751" t="s">
        <v>161</v>
      </c>
      <c r="D146" s="751" t="s">
        <v>22</v>
      </c>
      <c r="E146" s="751" t="s">
        <v>162</v>
      </c>
      <c r="F146" s="752" t="s">
        <v>163</v>
      </c>
      <c r="G146" s="753" t="s">
        <v>164</v>
      </c>
    </row>
    <row r="147" spans="1:8" s="252" customFormat="1" ht="15.75">
      <c r="B147" s="2446" t="s">
        <v>168</v>
      </c>
      <c r="C147" s="2447"/>
      <c r="D147" s="2447"/>
      <c r="E147" s="2447"/>
      <c r="F147" s="2447"/>
      <c r="G147" s="2448"/>
    </row>
    <row r="148" spans="1:8" s="252" customFormat="1" ht="15">
      <c r="B148" s="754" t="s">
        <v>181</v>
      </c>
      <c r="C148" s="728" t="str">
        <f>C157</f>
        <v>MUDA DE PALMEIRA, IMPERIAL, H= *3,00* M</v>
      </c>
      <c r="D148" s="732" t="s">
        <v>22</v>
      </c>
      <c r="E148" s="817">
        <v>1</v>
      </c>
      <c r="F148" s="755">
        <f>D162</f>
        <v>250</v>
      </c>
      <c r="G148" s="809">
        <f>TRUNC(E148*F148,2)</f>
        <v>250</v>
      </c>
    </row>
    <row r="149" spans="1:8" s="252" customFormat="1" ht="15.75">
      <c r="B149" s="2446" t="s">
        <v>2155</v>
      </c>
      <c r="C149" s="2447"/>
      <c r="D149" s="2447"/>
      <c r="E149" s="2447"/>
      <c r="F149" s="2447"/>
      <c r="G149" s="2448"/>
    </row>
    <row r="150" spans="1:8" s="252" customFormat="1" ht="60">
      <c r="A150" s="333" t="s">
        <v>391</v>
      </c>
      <c r="B150" s="754">
        <v>91634</v>
      </c>
      <c r="C150" s="728" t="str">
        <f>IF($A150="INSUMO",VLOOKUP($B150,'BANCO DE DADOS JANEIRO-24 INS'!$A:$D,2,FALSE),VLOOKUP($B150,'BANCO DE DADOS JANEIRO-24 SERV'!$B:$E,2,FALSE))</f>
        <v>GUINDAUTO HIDRÁULICO, CAPACIDADE MÁXIMA DE CARGA 6500 KG, MOMENTO MÁXIMO DE CARGA 5,8 TM, ALCANCE MÁXIMO HORIZONTAL 7,60 M, INCLUSIVE CAMINHÃO TOCO PBT 9.700 KG, POTÊNCIA DE 160 CV - CHP DIURNO. AF_08/2015</v>
      </c>
      <c r="D150" s="732" t="str">
        <f>IF($A150="INSUMO",VLOOKUP($B150,'BANCO DE DADOS JANEIRO-24 INS'!$A:$D,3,FALSE),VLOOKUP($B150,'BANCO DE DADOS JANEIRO-24 SERV'!$B:$E,3,FALSE))</f>
        <v>CHP</v>
      </c>
      <c r="E150" s="984">
        <v>0.39829999999999999</v>
      </c>
      <c r="F150" s="755">
        <f>IF($A150="INSUMO",VLOOKUP($B150,'BANCO DE DADOS JANEIRO-24 INS'!$A:$D,4,FALSE),VLOOKUP($B150,'BANCO DE DADOS JANEIRO-24 SERV'!$B:$E,4,FALSE))</f>
        <v>235.7</v>
      </c>
      <c r="G150" s="809">
        <f>TRUNC(E150*F150,2)</f>
        <v>93.87</v>
      </c>
    </row>
    <row r="151" spans="1:8" s="252" customFormat="1" ht="60">
      <c r="A151" s="333" t="s">
        <v>391</v>
      </c>
      <c r="B151" s="754">
        <v>91635</v>
      </c>
      <c r="C151" s="728" t="str">
        <f>IF($A151="INSUMO",VLOOKUP($B151,'BANCO DE DADOS JANEIRO-24 INS'!$A:$D,2,FALSE),VLOOKUP($B151,'BANCO DE DADOS JANEIRO-24 SERV'!$B:$E,2,FALSE))</f>
        <v>GUINDAUTO HIDRÁULICO, CAPACIDADE MÁXIMA DE CARGA 6500 KG, MOMENTO MÁXIMO DE CARGA 5,8 TM, ALCANCE MÁXIMO HORIZONTAL 7,60 M, INCLUSIVE CAMINHÃO TOCO PBT 9.700 KG, POTÊNCIA DE 160 CV - CHI DIURNO. AF_08/2015</v>
      </c>
      <c r="D151" s="732" t="str">
        <f>IF($A151="INSUMO",VLOOKUP($B151,'BANCO DE DADOS JANEIRO-24 INS'!$A:$D,3,FALSE),VLOOKUP($B151,'BANCO DE DADOS JANEIRO-24 SERV'!$B:$E,3,FALSE))</f>
        <v>CHI</v>
      </c>
      <c r="E151" s="984">
        <v>1.6272</v>
      </c>
      <c r="F151" s="755">
        <f>IF($A151="INSUMO",VLOOKUP($B151,'BANCO DE DADOS JANEIRO-24 INS'!$A:$D,4,FALSE),VLOOKUP($B151,'BANCO DE DADOS JANEIRO-24 SERV'!$B:$E,4,FALSE))</f>
        <v>66.58</v>
      </c>
      <c r="G151" s="809">
        <f>TRUNC(E151*F151,2)</f>
        <v>108.33</v>
      </c>
    </row>
    <row r="152" spans="1:8" s="252" customFormat="1" ht="15.75">
      <c r="B152" s="2446" t="s">
        <v>169</v>
      </c>
      <c r="C152" s="2447"/>
      <c r="D152" s="2447"/>
      <c r="E152" s="2447"/>
      <c r="F152" s="2447"/>
      <c r="G152" s="2448"/>
    </row>
    <row r="153" spans="1:8" s="252" customFormat="1" ht="15.75">
      <c r="A153" s="333" t="s">
        <v>391</v>
      </c>
      <c r="B153" s="754">
        <v>88441</v>
      </c>
      <c r="C153" s="728" t="str">
        <f>IF($A153="INSUMO",VLOOKUP($B153,'BANCO DE DADOS JANEIRO-24 INS'!$A:$D,2,FALSE),VLOOKUP($B153,'BANCO DE DADOS JANEIRO-24 SERV'!$B:$E,2,FALSE))</f>
        <v>JARDINEIRO COM ENCARGOS COMPLEMENTARES</v>
      </c>
      <c r="D153" s="732" t="str">
        <f>IF($A153="INSUMO",VLOOKUP($B153,'BANCO DE DADOS JANEIRO-24 INS'!$A:$D,3,FALSE),VLOOKUP($B153,'BANCO DE DADOS JANEIRO-24 SERV'!$B:$E,3,FALSE))</f>
        <v>H</v>
      </c>
      <c r="E153" s="984">
        <v>1.4482999999999999</v>
      </c>
      <c r="F153" s="755">
        <f>IF($A153="INSUMO",VLOOKUP($B153,'BANCO DE DADOS JANEIRO-24 INS'!$A:$D,4,FALSE),VLOOKUP($B153,'BANCO DE DADOS JANEIRO-24 SERV'!$B:$E,4,FALSE))</f>
        <v>21.11</v>
      </c>
      <c r="G153" s="809">
        <f>TRUNC(E153*F153,2)</f>
        <v>30.57</v>
      </c>
    </row>
    <row r="154" spans="1:8" s="252" customFormat="1" ht="16.5" thickBot="1">
      <c r="A154" s="333" t="s">
        <v>391</v>
      </c>
      <c r="B154" s="756">
        <v>88316</v>
      </c>
      <c r="C154" s="731" t="str">
        <f>IF($A154="INSUMO",VLOOKUP($B154,'BANCO DE DADOS JANEIRO-24 INS'!$A:$D,2,FALSE),VLOOKUP($B154,'BANCO DE DADOS JANEIRO-24 SERV'!$B:$E,2,FALSE))</f>
        <v>SERVENTE COM ENCARGOS COMPLEMENTARES</v>
      </c>
      <c r="D154" s="729" t="str">
        <f>IF($A154="INSUMO",VLOOKUP($B154,'BANCO DE DADOS JANEIRO-24 INS'!$A:$D,3,FALSE),VLOOKUP($B154,'BANCO DE DADOS JANEIRO-24 SERV'!$B:$E,3,FALSE))</f>
        <v>H</v>
      </c>
      <c r="E154" s="985">
        <v>5.7930000000000001</v>
      </c>
      <c r="F154" s="757">
        <f>IF($A154="INSUMO",VLOOKUP($B154,'BANCO DE DADOS JANEIRO-24 INS'!$A:$D,4,FALSE),VLOOKUP($B154,'BANCO DE DADOS JANEIRO-24 SERV'!$B:$E,4,FALSE))</f>
        <v>20.32</v>
      </c>
      <c r="G154" s="967">
        <f>TRUNC(E154*F154,2)</f>
        <v>117.71</v>
      </c>
    </row>
    <row r="155" spans="1:8" s="252" customFormat="1" ht="38.25" customHeight="1" thickBot="1">
      <c r="B155" s="2230" t="s">
        <v>2265</v>
      </c>
      <c r="C155" s="2230"/>
      <c r="D155" s="2230"/>
      <c r="E155" s="2231"/>
      <c r="F155" s="263" t="s">
        <v>170</v>
      </c>
      <c r="G155" s="264">
        <f>SUM(G148:G154)</f>
        <v>600.48</v>
      </c>
    </row>
    <row r="156" spans="1:8" s="252" customFormat="1" ht="15.75" thickBot="1"/>
    <row r="157" spans="1:8" s="252" customFormat="1" ht="18">
      <c r="B157" s="1669" t="s">
        <v>181</v>
      </c>
      <c r="C157" s="2164" t="s">
        <v>2274</v>
      </c>
      <c r="D157" s="2165"/>
      <c r="E157" s="2165"/>
      <c r="F157" s="2166"/>
      <c r="G157" s="1670" t="s">
        <v>22</v>
      </c>
      <c r="H157" s="679" t="s">
        <v>2249</v>
      </c>
    </row>
    <row r="158" spans="1:8" s="252" customFormat="1" ht="31.5">
      <c r="B158" s="810" t="s">
        <v>174</v>
      </c>
      <c r="C158" s="811" t="s">
        <v>175</v>
      </c>
      <c r="D158" s="812" t="s">
        <v>176</v>
      </c>
      <c r="E158" s="813" t="s">
        <v>177</v>
      </c>
      <c r="F158" s="814" t="s">
        <v>178</v>
      </c>
      <c r="G158" s="815" t="s">
        <v>179</v>
      </c>
    </row>
    <row r="159" spans="1:8" s="252" customFormat="1" ht="15">
      <c r="B159" s="1283">
        <v>44249</v>
      </c>
      <c r="C159" s="1284" t="s">
        <v>4600</v>
      </c>
      <c r="D159" s="1285">
        <v>300</v>
      </c>
      <c r="E159" s="1285" t="s">
        <v>4601</v>
      </c>
      <c r="F159" s="1288" t="s">
        <v>3269</v>
      </c>
      <c r="G159" s="1286"/>
    </row>
    <row r="160" spans="1:8" s="252" customFormat="1" ht="15">
      <c r="B160" s="1283">
        <v>44292</v>
      </c>
      <c r="C160" s="1284" t="s">
        <v>4602</v>
      </c>
      <c r="D160" s="1285">
        <v>200</v>
      </c>
      <c r="E160" s="1336" t="s">
        <v>4603</v>
      </c>
      <c r="F160" s="1287" t="s">
        <v>4604</v>
      </c>
      <c r="G160" s="1286" t="s">
        <v>408</v>
      </c>
    </row>
    <row r="161" spans="1:8" s="252" customFormat="1" ht="15">
      <c r="B161" s="1283">
        <v>44246</v>
      </c>
      <c r="C161" s="1284" t="s">
        <v>3270</v>
      </c>
      <c r="D161" s="1285">
        <v>250</v>
      </c>
      <c r="E161" s="1285" t="s">
        <v>3271</v>
      </c>
      <c r="F161" s="1287" t="s">
        <v>4605</v>
      </c>
      <c r="G161" s="1337" t="s">
        <v>4606</v>
      </c>
    </row>
    <row r="162" spans="1:8" s="252" customFormat="1" ht="16.5" thickBot="1">
      <c r="B162" s="1738"/>
      <c r="C162" s="1739" t="s">
        <v>180</v>
      </c>
      <c r="D162" s="1737">
        <f>IF(COUNT(D159:D161)=3,MEDIAN(D159:D161),SMALL(D159:D161,1))</f>
        <v>250</v>
      </c>
      <c r="E162" s="1740"/>
      <c r="F162" s="1752"/>
      <c r="G162" s="1742"/>
    </row>
    <row r="163" spans="1:8" ht="13.5" thickBot="1"/>
    <row r="164" spans="1:8" s="252" customFormat="1" ht="15.75">
      <c r="B164" s="298" t="str">
        <f>IF(COUNT($H$14:H164)&lt;10,CONCATENATE("CPU PAI 00",COUNT($H$14:H164)),CONCATENATE("CPU PAI 0",COUNT($H$14:H164)))</f>
        <v>CPU PAI 010</v>
      </c>
      <c r="C164" s="2180" t="s">
        <v>2266</v>
      </c>
      <c r="D164" s="2180"/>
      <c r="E164" s="2180"/>
      <c r="F164" s="2180"/>
      <c r="G164" s="624" t="s">
        <v>22</v>
      </c>
      <c r="H164" s="603">
        <f>G174</f>
        <v>2637.07</v>
      </c>
    </row>
    <row r="165" spans="1:8" s="252" customFormat="1" ht="31.5">
      <c r="B165" s="750" t="s">
        <v>197</v>
      </c>
      <c r="C165" s="751" t="s">
        <v>161</v>
      </c>
      <c r="D165" s="751" t="s">
        <v>22</v>
      </c>
      <c r="E165" s="751" t="s">
        <v>162</v>
      </c>
      <c r="F165" s="752" t="s">
        <v>163</v>
      </c>
      <c r="G165" s="753" t="s">
        <v>164</v>
      </c>
    </row>
    <row r="166" spans="1:8" s="252" customFormat="1" ht="15.75">
      <c r="B166" s="2446" t="s">
        <v>168</v>
      </c>
      <c r="C166" s="2447"/>
      <c r="D166" s="2447"/>
      <c r="E166" s="2447"/>
      <c r="F166" s="2447"/>
      <c r="G166" s="2448"/>
    </row>
    <row r="167" spans="1:8" s="252" customFormat="1" ht="15">
      <c r="B167" s="754" t="s">
        <v>181</v>
      </c>
      <c r="C167" s="728" t="str">
        <f>C176</f>
        <v>MUDA DE PALMEIRA, ARECA, H= *6,00* M</v>
      </c>
      <c r="D167" s="732" t="s">
        <v>22</v>
      </c>
      <c r="E167" s="817">
        <v>1</v>
      </c>
      <c r="F167" s="755">
        <f>D181</f>
        <v>2200</v>
      </c>
      <c r="G167" s="809">
        <f>TRUNC(E167*F167,2)</f>
        <v>2200</v>
      </c>
    </row>
    <row r="168" spans="1:8" s="252" customFormat="1" ht="15.75">
      <c r="B168" s="2446" t="s">
        <v>2155</v>
      </c>
      <c r="C168" s="2447"/>
      <c r="D168" s="2447"/>
      <c r="E168" s="2447"/>
      <c r="F168" s="2447"/>
      <c r="G168" s="2448"/>
    </row>
    <row r="169" spans="1:8" s="252" customFormat="1" ht="60">
      <c r="A169" s="333" t="s">
        <v>391</v>
      </c>
      <c r="B169" s="754">
        <v>91634</v>
      </c>
      <c r="C169" s="728" t="str">
        <f>IF($A169="INSUMO",VLOOKUP($B169,'BANCO DE DADOS JANEIRO-24 INS'!$A:$D,2,FALSE),VLOOKUP($B169,'BANCO DE DADOS JANEIRO-24 SERV'!$B:$E,2,FALSE))</f>
        <v>GUINDAUTO HIDRÁULICO, CAPACIDADE MÁXIMA DE CARGA 6500 KG, MOMENTO MÁXIMO DE CARGA 5,8 TM, ALCANCE MÁXIMO HORIZONTAL 7,60 M, INCLUSIVE CAMINHÃO TOCO PBT 9.700 KG, POTÊNCIA DE 160 CV - CHP DIURNO. AF_08/2015</v>
      </c>
      <c r="D169" s="732" t="str">
        <f>IF($A169="INSUMO",VLOOKUP($B169,'BANCO DE DADOS JANEIRO-24 INS'!$A:$D,3,FALSE),VLOOKUP($B169,'BANCO DE DADOS JANEIRO-24 SERV'!$B:$E,3,FALSE))</f>
        <v>CHP</v>
      </c>
      <c r="E169" s="984">
        <v>0.49669999999999997</v>
      </c>
      <c r="F169" s="755">
        <f>IF($A169="INSUMO",VLOOKUP($B169,'BANCO DE DADOS JANEIRO-24 INS'!$A:$D,4,FALSE),VLOOKUP($B169,'BANCO DE DADOS JANEIRO-24 SERV'!$B:$E,4,FALSE))</f>
        <v>235.7</v>
      </c>
      <c r="G169" s="809">
        <f>TRUNC(E169*F169,2)</f>
        <v>117.07</v>
      </c>
    </row>
    <row r="170" spans="1:8" s="252" customFormat="1" ht="60">
      <c r="A170" s="333" t="s">
        <v>391</v>
      </c>
      <c r="B170" s="754">
        <v>91635</v>
      </c>
      <c r="C170" s="728" t="str">
        <f>IF($A170="INSUMO",VLOOKUP($B170,'BANCO DE DADOS JANEIRO-24 INS'!$A:$D,2,FALSE),VLOOKUP($B170,'BANCO DE DADOS JANEIRO-24 SERV'!$B:$E,2,FALSE))</f>
        <v>GUINDAUTO HIDRÁULICO, CAPACIDADE MÁXIMA DE CARGA 6500 KG, MOMENTO MÁXIMO DE CARGA 5,8 TM, ALCANCE MÁXIMO HORIZONTAL 7,60 M, INCLUSIVE CAMINHÃO TOCO PBT 9.700 KG, POTÊNCIA DE 160 CV - CHI DIURNO. AF_08/2015</v>
      </c>
      <c r="D170" s="732" t="str">
        <f>IF($A170="INSUMO",VLOOKUP($B170,'BANCO DE DADOS JANEIRO-24 INS'!$A:$D,3,FALSE),VLOOKUP($B170,'BANCO DE DADOS JANEIRO-24 SERV'!$B:$E,3,FALSE))</f>
        <v>CHI</v>
      </c>
      <c r="E170" s="984">
        <v>2.0291000000000001</v>
      </c>
      <c r="F170" s="755">
        <f>IF($A170="INSUMO",VLOOKUP($B170,'BANCO DE DADOS JANEIRO-24 INS'!$A:$D,4,FALSE),VLOOKUP($B170,'BANCO DE DADOS JANEIRO-24 SERV'!$B:$E,4,FALSE))</f>
        <v>66.58</v>
      </c>
      <c r="G170" s="809">
        <f>TRUNC(E170*F170,2)</f>
        <v>135.09</v>
      </c>
    </row>
    <row r="171" spans="1:8" s="252" customFormat="1" ht="15.75">
      <c r="B171" s="2446" t="s">
        <v>169</v>
      </c>
      <c r="C171" s="2447"/>
      <c r="D171" s="2447"/>
      <c r="E171" s="2447"/>
      <c r="F171" s="2447"/>
      <c r="G171" s="2448"/>
    </row>
    <row r="172" spans="1:8" s="252" customFormat="1" ht="15.75">
      <c r="A172" s="333" t="s">
        <v>391</v>
      </c>
      <c r="B172" s="754">
        <v>88441</v>
      </c>
      <c r="C172" s="728" t="str">
        <f>IF($A172="INSUMO",VLOOKUP($B172,'BANCO DE DADOS JANEIRO-24 INS'!$A:$D,2,FALSE),VLOOKUP($B172,'BANCO DE DADOS JANEIRO-24 SERV'!$B:$E,2,FALSE))</f>
        <v>JARDINEIRO COM ENCARGOS COMPLEMENTARES</v>
      </c>
      <c r="D172" s="732" t="str">
        <f>IF($A172="INSUMO",VLOOKUP($B172,'BANCO DE DADOS JANEIRO-24 INS'!$A:$D,3,FALSE),VLOOKUP($B172,'BANCO DE DADOS JANEIRO-24 SERV'!$B:$E,3,FALSE))</f>
        <v>H</v>
      </c>
      <c r="E172" s="984">
        <v>1.806</v>
      </c>
      <c r="F172" s="755">
        <f>IF($A172="INSUMO",VLOOKUP($B172,'BANCO DE DADOS JANEIRO-24 INS'!$A:$D,4,FALSE),VLOOKUP($B172,'BANCO DE DADOS JANEIRO-24 SERV'!$B:$E,4,FALSE))</f>
        <v>21.11</v>
      </c>
      <c r="G172" s="809">
        <f>TRUNC(E172*F172,2)</f>
        <v>38.119999999999997</v>
      </c>
    </row>
    <row r="173" spans="1:8" s="252" customFormat="1" ht="16.5" thickBot="1">
      <c r="A173" s="333" t="s">
        <v>391</v>
      </c>
      <c r="B173" s="756">
        <v>88316</v>
      </c>
      <c r="C173" s="731" t="str">
        <f>IF($A173="INSUMO",VLOOKUP($B173,'BANCO DE DADOS JANEIRO-24 INS'!$A:$D,2,FALSE),VLOOKUP($B173,'BANCO DE DADOS JANEIRO-24 SERV'!$B:$E,2,FALSE))</f>
        <v>SERVENTE COM ENCARGOS COMPLEMENTARES</v>
      </c>
      <c r="D173" s="729" t="str">
        <f>IF($A173="INSUMO",VLOOKUP($B173,'BANCO DE DADOS JANEIRO-24 INS'!$A:$D,3,FALSE),VLOOKUP($B173,'BANCO DE DADOS JANEIRO-24 SERV'!$B:$E,3,FALSE))</f>
        <v>H</v>
      </c>
      <c r="E173" s="985">
        <v>7.2240000000000002</v>
      </c>
      <c r="F173" s="757">
        <f>IF($A173="INSUMO",VLOOKUP($B173,'BANCO DE DADOS JANEIRO-24 INS'!$A:$D,4,FALSE),VLOOKUP($B173,'BANCO DE DADOS JANEIRO-24 SERV'!$B:$E,4,FALSE))</f>
        <v>20.32</v>
      </c>
      <c r="G173" s="967">
        <f>TRUNC(E173*F173,2)</f>
        <v>146.79</v>
      </c>
    </row>
    <row r="174" spans="1:8" s="252" customFormat="1" ht="38.25" customHeight="1" thickBot="1">
      <c r="B174" s="2230" t="s">
        <v>2268</v>
      </c>
      <c r="C174" s="2230"/>
      <c r="D174" s="2230"/>
      <c r="E174" s="2231"/>
      <c r="F174" s="263" t="s">
        <v>170</v>
      </c>
      <c r="G174" s="264">
        <f>SUM(G167:G173)</f>
        <v>2637.07</v>
      </c>
    </row>
    <row r="175" spans="1:8" s="252" customFormat="1" ht="15.75" thickBot="1"/>
    <row r="176" spans="1:8" s="252" customFormat="1" ht="18">
      <c r="B176" s="1669" t="s">
        <v>181</v>
      </c>
      <c r="C176" s="2164" t="s">
        <v>2267</v>
      </c>
      <c r="D176" s="2165"/>
      <c r="E176" s="2165"/>
      <c r="F176" s="2166"/>
      <c r="G176" s="1670" t="s">
        <v>22</v>
      </c>
      <c r="H176" s="679" t="s">
        <v>2249</v>
      </c>
    </row>
    <row r="177" spans="1:8" s="252" customFormat="1" ht="31.5">
      <c r="B177" s="810" t="s">
        <v>174</v>
      </c>
      <c r="C177" s="811" t="s">
        <v>175</v>
      </c>
      <c r="D177" s="812" t="s">
        <v>176</v>
      </c>
      <c r="E177" s="813" t="s">
        <v>177</v>
      </c>
      <c r="F177" s="814" t="s">
        <v>178</v>
      </c>
      <c r="G177" s="815" t="s">
        <v>179</v>
      </c>
    </row>
    <row r="178" spans="1:8" s="252" customFormat="1" ht="15">
      <c r="B178" s="1283">
        <v>42863</v>
      </c>
      <c r="C178" s="1284" t="s">
        <v>493</v>
      </c>
      <c r="D178" s="1285">
        <v>1950</v>
      </c>
      <c r="E178" s="1285" t="s">
        <v>494</v>
      </c>
      <c r="F178" s="1288" t="s">
        <v>495</v>
      </c>
      <c r="G178" s="1286" t="s">
        <v>496</v>
      </c>
    </row>
    <row r="179" spans="1:8" s="252" customFormat="1" ht="15">
      <c r="B179" s="1283">
        <v>42863</v>
      </c>
      <c r="C179" s="1284" t="s">
        <v>184</v>
      </c>
      <c r="D179" s="1285">
        <v>2200</v>
      </c>
      <c r="E179" s="1336" t="s">
        <v>185</v>
      </c>
      <c r="F179" s="1287" t="s">
        <v>497</v>
      </c>
      <c r="G179" s="1286" t="s">
        <v>408</v>
      </c>
    </row>
    <row r="180" spans="1:8" s="252" customFormat="1" ht="15">
      <c r="B180" s="1283">
        <v>44246</v>
      </c>
      <c r="C180" s="1284" t="s">
        <v>3270</v>
      </c>
      <c r="D180" s="1285">
        <v>2500</v>
      </c>
      <c r="E180" s="1285" t="s">
        <v>3271</v>
      </c>
      <c r="F180" s="1287" t="s">
        <v>4605</v>
      </c>
      <c r="G180" s="1337" t="s">
        <v>4606</v>
      </c>
    </row>
    <row r="181" spans="1:8" s="252" customFormat="1" ht="16.5" thickBot="1">
      <c r="B181" s="1738"/>
      <c r="C181" s="1739" t="s">
        <v>180</v>
      </c>
      <c r="D181" s="1737">
        <f>IF(COUNT(D178:D180)=3,MEDIAN(D178:D180),SMALL(D178:D180,1))</f>
        <v>2200</v>
      </c>
      <c r="E181" s="1740"/>
      <c r="F181" s="1752"/>
      <c r="G181" s="1742"/>
    </row>
    <row r="182" spans="1:8" s="252" customFormat="1" ht="15.75" thickBot="1"/>
    <row r="183" spans="1:8" s="252" customFormat="1" ht="15.75">
      <c r="B183" s="298" t="str">
        <f>IF(COUNT($H$14:H183)&lt;10,CONCATENATE("CPU PAI 00",COUNT($H$14:H183)),CONCATENATE("CPU PAI 0",COUNT($H$14:H183)))</f>
        <v>CPU PAI 011</v>
      </c>
      <c r="C183" s="2180" t="s">
        <v>2269</v>
      </c>
      <c r="D183" s="2180"/>
      <c r="E183" s="2180"/>
      <c r="F183" s="2180"/>
      <c r="G183" s="624" t="s">
        <v>19</v>
      </c>
      <c r="H183" s="603">
        <f>G189</f>
        <v>240.47</v>
      </c>
    </row>
    <row r="184" spans="1:8" s="252" customFormat="1" ht="31.5">
      <c r="B184" s="821" t="s">
        <v>197</v>
      </c>
      <c r="C184" s="751" t="s">
        <v>161</v>
      </c>
      <c r="D184" s="751" t="s">
        <v>22</v>
      </c>
      <c r="E184" s="751" t="s">
        <v>162</v>
      </c>
      <c r="F184" s="752" t="s">
        <v>163</v>
      </c>
      <c r="G184" s="753" t="s">
        <v>164</v>
      </c>
    </row>
    <row r="185" spans="1:8" s="252" customFormat="1" ht="15.75">
      <c r="B185" s="2446" t="s">
        <v>168</v>
      </c>
      <c r="C185" s="2447"/>
      <c r="D185" s="2447"/>
      <c r="E185" s="2447"/>
      <c r="F185" s="2447"/>
      <c r="G185" s="2448"/>
    </row>
    <row r="186" spans="1:8" s="252" customFormat="1" ht="30">
      <c r="A186" s="249" t="s">
        <v>390</v>
      </c>
      <c r="B186" s="754">
        <v>4720</v>
      </c>
      <c r="C186" s="728" t="str">
        <f>IF($A186="INSUMO",VLOOKUP($B186,'BANCO DE DADOS JANEIRO-24 INS'!$A:$D,2,FALSE),VLOOKUP($B186,'BANCO DE DADOS JANEIRO-24 SERV'!$B:$E,2,FALSE))</f>
        <v xml:space="preserve">PEDRA BRITADA N. 0, OU PEDRISCO (4,8 A 9,5 MM) POSTO PEDREIRA/FORNECEDOR, SEM FRETE                                                                                                                                                                                                                                                                                                                                                                                                                       </v>
      </c>
      <c r="D186" s="732" t="str">
        <f>IF($A186="INSUMO",VLOOKUP($B186,'BANCO DE DADOS JANEIRO-24 INS'!$A:$D,3,FALSE),VLOOKUP($B186,'BANCO DE DADOS JANEIRO-24 SERV'!$B:$E,3,FALSE))</f>
        <v xml:space="preserve">M3    </v>
      </c>
      <c r="E186" s="819">
        <v>1.2</v>
      </c>
      <c r="F186" s="755">
        <f>IF($A186="INSUMO",VLOOKUP($B186,'BANCO DE DADOS JANEIRO-24 INS'!$A:$D,4,FALSE),VLOOKUP($B186,'BANCO DE DADOS JANEIRO-24 SERV'!$B:$E,4,FALSE))</f>
        <v>166.53</v>
      </c>
      <c r="G186" s="809">
        <f>TRUNC(E186*F186,2)</f>
        <v>199.83</v>
      </c>
    </row>
    <row r="187" spans="1:8" s="252" customFormat="1" ht="15.75">
      <c r="B187" s="2446" t="s">
        <v>169</v>
      </c>
      <c r="C187" s="2447"/>
      <c r="D187" s="2447"/>
      <c r="E187" s="2447"/>
      <c r="F187" s="2447"/>
      <c r="G187" s="2448"/>
    </row>
    <row r="188" spans="1:8" s="252" customFormat="1" ht="16.5" thickBot="1">
      <c r="A188" s="249" t="s">
        <v>391</v>
      </c>
      <c r="B188" s="781">
        <v>88316</v>
      </c>
      <c r="C188" s="731" t="str">
        <f>IF($A188="INSUMO",VLOOKUP($B188,'BANCO DE DADOS JANEIRO-24 INS'!$A:$D,2,FALSE),VLOOKUP($B188,'BANCO DE DADOS JANEIRO-24 SERV'!$B:$E,2,FALSE))</f>
        <v>SERVENTE COM ENCARGOS COMPLEMENTARES</v>
      </c>
      <c r="D188" s="729" t="str">
        <f>IF($A188="INSUMO",VLOOKUP($B188,'BANCO DE DADOS JANEIRO-24 INS'!$A:$D,3,FALSE),VLOOKUP($B188,'BANCO DE DADOS JANEIRO-24 SERV'!$B:$E,3,FALSE))</f>
        <v>H</v>
      </c>
      <c r="E188" s="825">
        <v>2</v>
      </c>
      <c r="F188" s="757">
        <f>IF($A188="INSUMO",VLOOKUP($B188,'BANCO DE DADOS JANEIRO-24 INS'!$A:$D,4,FALSE),VLOOKUP($B188,'BANCO DE DADOS JANEIRO-24 SERV'!$B:$E,4,FALSE))</f>
        <v>20.32</v>
      </c>
      <c r="G188" s="299">
        <f>TRUNC(E188*F188,2)</f>
        <v>40.64</v>
      </c>
    </row>
    <row r="189" spans="1:8" s="252" customFormat="1" ht="16.5" thickBot="1">
      <c r="B189" s="2465" t="s">
        <v>5371</v>
      </c>
      <c r="C189" s="2465"/>
      <c r="D189" s="303"/>
      <c r="E189" s="304"/>
      <c r="F189" s="263" t="s">
        <v>170</v>
      </c>
      <c r="G189" s="264">
        <f>TRUNC(SUM(G186:G188),2)</f>
        <v>240.47</v>
      </c>
    </row>
    <row r="190" spans="1:8" s="252" customFormat="1" ht="15.75" thickBot="1"/>
    <row r="191" spans="1:8" s="252" customFormat="1" ht="15.75">
      <c r="B191" s="298" t="str">
        <f>IF(COUNT($H$14:H191)&lt;10,CONCATENATE("CPU PAI 00",COUNT($H$14:H191)),CONCATENATE("CPU PAI 0",COUNT($H$14:H191)))</f>
        <v>CPU PAI 012</v>
      </c>
      <c r="C191" s="2180" t="s">
        <v>2270</v>
      </c>
      <c r="D191" s="2180"/>
      <c r="E191" s="2180"/>
      <c r="F191" s="2180"/>
      <c r="G191" s="624" t="s">
        <v>19</v>
      </c>
      <c r="H191" s="603">
        <f>G197</f>
        <v>213.72</v>
      </c>
    </row>
    <row r="192" spans="1:8" s="252" customFormat="1" ht="31.5">
      <c r="B192" s="821" t="s">
        <v>197</v>
      </c>
      <c r="C192" s="751" t="s">
        <v>161</v>
      </c>
      <c r="D192" s="751" t="s">
        <v>22</v>
      </c>
      <c r="E192" s="751" t="s">
        <v>162</v>
      </c>
      <c r="F192" s="752" t="s">
        <v>163</v>
      </c>
      <c r="G192" s="753" t="s">
        <v>164</v>
      </c>
    </row>
    <row r="193" spans="1:8" s="252" customFormat="1" ht="15.75">
      <c r="B193" s="2446" t="s">
        <v>168</v>
      </c>
      <c r="C193" s="2447"/>
      <c r="D193" s="2447"/>
      <c r="E193" s="2447"/>
      <c r="F193" s="2447"/>
      <c r="G193" s="2448"/>
    </row>
    <row r="194" spans="1:8" s="252" customFormat="1" ht="30">
      <c r="A194" s="249" t="s">
        <v>390</v>
      </c>
      <c r="B194" s="754">
        <v>4721</v>
      </c>
      <c r="C194" s="728" t="str">
        <f>IF($A194="INSUMO",VLOOKUP($B194,'BANCO DE DADOS JANEIRO-24 INS'!$A:$D,2,FALSE),VLOOKUP($B194,'BANCO DE DADOS JANEIRO-24 SERV'!$B:$E,2,FALSE))</f>
        <v xml:space="preserve">PEDRA BRITADA N. 1 (9,5 a 19 MM) POSTO PEDREIRA/FORNECEDOR, SEM FRETE                                                                                                                                                                                                                                                                                                                                                                                                                                     </v>
      </c>
      <c r="D194" s="732" t="str">
        <f>IF($A194="INSUMO",VLOOKUP($B194,'BANCO DE DADOS JANEIRO-24 INS'!$A:$D,3,FALSE),VLOOKUP($B194,'BANCO DE DADOS JANEIRO-24 SERV'!$B:$E,3,FALSE))</f>
        <v xml:space="preserve">M3    </v>
      </c>
      <c r="E194" s="819">
        <v>1.2</v>
      </c>
      <c r="F194" s="755">
        <f>IF($A194="INSUMO",VLOOKUP($B194,'BANCO DE DADOS JANEIRO-24 INS'!$A:$D,4,FALSE),VLOOKUP($B194,'BANCO DE DADOS JANEIRO-24 SERV'!$B:$E,4,FALSE))</f>
        <v>144.24</v>
      </c>
      <c r="G194" s="809">
        <f>TRUNC(E194*F194,2)</f>
        <v>173.08</v>
      </c>
    </row>
    <row r="195" spans="1:8" s="252" customFormat="1" ht="15.75">
      <c r="B195" s="2446" t="s">
        <v>169</v>
      </c>
      <c r="C195" s="2447"/>
      <c r="D195" s="2447"/>
      <c r="E195" s="2447"/>
      <c r="F195" s="2447"/>
      <c r="G195" s="2448"/>
    </row>
    <row r="196" spans="1:8" s="252" customFormat="1" ht="16.5" thickBot="1">
      <c r="A196" s="249" t="s">
        <v>391</v>
      </c>
      <c r="B196" s="781">
        <v>88316</v>
      </c>
      <c r="C196" s="731" t="str">
        <f>IF($A196="INSUMO",VLOOKUP($B196,'BANCO DE DADOS JANEIRO-24 INS'!$A:$D,2,FALSE),VLOOKUP($B196,'BANCO DE DADOS JANEIRO-24 SERV'!$B:$E,2,FALSE))</f>
        <v>SERVENTE COM ENCARGOS COMPLEMENTARES</v>
      </c>
      <c r="D196" s="729" t="str">
        <f>IF($A196="INSUMO",VLOOKUP($B196,'BANCO DE DADOS JANEIRO-24 INS'!$A:$D,3,FALSE),VLOOKUP($B196,'BANCO DE DADOS JANEIRO-24 SERV'!$B:$E,3,FALSE))</f>
        <v>H</v>
      </c>
      <c r="E196" s="825">
        <v>2</v>
      </c>
      <c r="F196" s="757">
        <f>IF($A196="INSUMO",VLOOKUP($B196,'BANCO DE DADOS JANEIRO-24 INS'!$A:$D,4,FALSE),VLOOKUP($B196,'BANCO DE DADOS JANEIRO-24 SERV'!$B:$E,4,FALSE))</f>
        <v>20.32</v>
      </c>
      <c r="G196" s="299">
        <f>TRUNC(E196*F196,2)</f>
        <v>40.64</v>
      </c>
    </row>
    <row r="197" spans="1:8" s="252" customFormat="1" ht="16.5" thickBot="1">
      <c r="B197" s="2465" t="s">
        <v>5372</v>
      </c>
      <c r="C197" s="2465"/>
      <c r="D197" s="303"/>
      <c r="E197" s="304"/>
      <c r="F197" s="263" t="s">
        <v>170</v>
      </c>
      <c r="G197" s="264">
        <f>TRUNC(SUM(G194:G196),2)</f>
        <v>213.72</v>
      </c>
    </row>
    <row r="198" spans="1:8" s="252" customFormat="1" ht="15.75" thickBot="1"/>
    <row r="199" spans="1:8" s="252" customFormat="1" ht="15.75">
      <c r="B199" s="298" t="str">
        <f>IF(COUNT($H$14:H199)&lt;10,CONCATENATE("CPU PAI 00",COUNT($H$14:H199)),CONCATENATE("CPU PAI 0",COUNT($H$14:H199)))</f>
        <v>CPU PAI 013</v>
      </c>
      <c r="C199" s="2180" t="s">
        <v>2272</v>
      </c>
      <c r="D199" s="2180"/>
      <c r="E199" s="2180"/>
      <c r="F199" s="2180"/>
      <c r="G199" s="624" t="s">
        <v>19</v>
      </c>
      <c r="H199" s="603">
        <f>G205</f>
        <v>214.64</v>
      </c>
    </row>
    <row r="200" spans="1:8" s="252" customFormat="1" ht="31.5">
      <c r="B200" s="821" t="s">
        <v>197</v>
      </c>
      <c r="C200" s="751" t="s">
        <v>161</v>
      </c>
      <c r="D200" s="751" t="s">
        <v>22</v>
      </c>
      <c r="E200" s="751" t="s">
        <v>162</v>
      </c>
      <c r="F200" s="752" t="s">
        <v>163</v>
      </c>
      <c r="G200" s="753" t="s">
        <v>164</v>
      </c>
    </row>
    <row r="201" spans="1:8" s="252" customFormat="1" ht="15.75">
      <c r="B201" s="2446" t="s">
        <v>168</v>
      </c>
      <c r="C201" s="2447"/>
      <c r="D201" s="2447"/>
      <c r="E201" s="2447"/>
      <c r="F201" s="2447"/>
      <c r="G201" s="2448"/>
    </row>
    <row r="202" spans="1:8" s="252" customFormat="1" ht="30">
      <c r="A202" s="249" t="s">
        <v>390</v>
      </c>
      <c r="B202" s="754">
        <v>4718</v>
      </c>
      <c r="C202" s="728" t="str">
        <f>IF($A202="INSUMO",VLOOKUP($B202,'BANCO DE DADOS JANEIRO-24 INS'!$A:$D,2,FALSE),VLOOKUP($B202,'BANCO DE DADOS JANEIRO-24 SERV'!$B:$E,2,FALSE))</f>
        <v xml:space="preserve">PEDRA BRITADA N. 2 (19 A 38 MM) POSTO PEDREIRA/FORNECEDOR, SEM FRETE                                                                                                                                                                                                                                                                                                                                                                                                                                      </v>
      </c>
      <c r="D202" s="732" t="str">
        <f>IF($A202="INSUMO",VLOOKUP($B202,'BANCO DE DADOS JANEIRO-24 INS'!$A:$D,3,FALSE),VLOOKUP($B202,'BANCO DE DADOS JANEIRO-24 SERV'!$B:$E,3,FALSE))</f>
        <v xml:space="preserve">M3    </v>
      </c>
      <c r="E202" s="819">
        <v>1.2</v>
      </c>
      <c r="F202" s="755">
        <f>IF($A202="INSUMO",VLOOKUP($B202,'BANCO DE DADOS JANEIRO-24 INS'!$A:$D,4,FALSE),VLOOKUP($B202,'BANCO DE DADOS JANEIRO-24 SERV'!$B:$E,4,FALSE))</f>
        <v>145</v>
      </c>
      <c r="G202" s="809">
        <f>TRUNC(E202*F202,2)</f>
        <v>174</v>
      </c>
    </row>
    <row r="203" spans="1:8" s="252" customFormat="1" ht="15.75">
      <c r="B203" s="2446" t="s">
        <v>169</v>
      </c>
      <c r="C203" s="2447"/>
      <c r="D203" s="2447"/>
      <c r="E203" s="2447"/>
      <c r="F203" s="2447"/>
      <c r="G203" s="2448"/>
    </row>
    <row r="204" spans="1:8" s="252" customFormat="1" ht="16.5" thickBot="1">
      <c r="A204" s="249" t="s">
        <v>391</v>
      </c>
      <c r="B204" s="781">
        <v>88316</v>
      </c>
      <c r="C204" s="731" t="str">
        <f>IF($A204="INSUMO",VLOOKUP($B204,'BANCO DE DADOS JANEIRO-24 INS'!$A:$D,2,FALSE),VLOOKUP($B204,'BANCO DE DADOS JANEIRO-24 SERV'!$B:$E,2,FALSE))</f>
        <v>SERVENTE COM ENCARGOS COMPLEMENTARES</v>
      </c>
      <c r="D204" s="729" t="str">
        <f>IF($A204="INSUMO",VLOOKUP($B204,'BANCO DE DADOS JANEIRO-24 INS'!$A:$D,3,FALSE),VLOOKUP($B204,'BANCO DE DADOS JANEIRO-24 SERV'!$B:$E,3,FALSE))</f>
        <v>H</v>
      </c>
      <c r="E204" s="825">
        <v>2</v>
      </c>
      <c r="F204" s="757">
        <f>IF($A204="INSUMO",VLOOKUP($B204,'BANCO DE DADOS JANEIRO-24 INS'!$A:$D,4,FALSE),VLOOKUP($B204,'BANCO DE DADOS JANEIRO-24 SERV'!$B:$E,4,FALSE))</f>
        <v>20.32</v>
      </c>
      <c r="G204" s="299">
        <f>TRUNC(E204*F204,2)</f>
        <v>40.64</v>
      </c>
    </row>
    <row r="205" spans="1:8" s="252" customFormat="1" ht="16.5" thickBot="1">
      <c r="B205" s="2465" t="s">
        <v>5373</v>
      </c>
      <c r="C205" s="2465"/>
      <c r="D205" s="303"/>
      <c r="E205" s="304"/>
      <c r="F205" s="263" t="s">
        <v>170</v>
      </c>
      <c r="G205" s="264">
        <f>TRUNC(SUM(G202:G204),2)</f>
        <v>214.64</v>
      </c>
    </row>
    <row r="206" spans="1:8" s="252" customFormat="1" ht="15.75" thickBot="1"/>
    <row r="207" spans="1:8" s="252" customFormat="1" ht="15.75">
      <c r="B207" s="298" t="str">
        <f>IF(COUNT($H$14:H207)&lt;10,CONCATENATE("CPU PAI 00",COUNT($H$14:H207)),CONCATENATE("CPU PAI 0",COUNT($H$14:H207)))</f>
        <v>CPU PAI 014</v>
      </c>
      <c r="C207" s="2180" t="s">
        <v>2271</v>
      </c>
      <c r="D207" s="2180"/>
      <c r="E207" s="2180"/>
      <c r="F207" s="2180"/>
      <c r="G207" s="624" t="s">
        <v>19</v>
      </c>
      <c r="H207" s="603">
        <f>G213</f>
        <v>204.14</v>
      </c>
    </row>
    <row r="208" spans="1:8" s="252" customFormat="1" ht="31.5">
      <c r="B208" s="821" t="s">
        <v>197</v>
      </c>
      <c r="C208" s="751" t="s">
        <v>161</v>
      </c>
      <c r="D208" s="751" t="s">
        <v>22</v>
      </c>
      <c r="E208" s="751" t="s">
        <v>162</v>
      </c>
      <c r="F208" s="752" t="s">
        <v>163</v>
      </c>
      <c r="G208" s="753" t="s">
        <v>164</v>
      </c>
    </row>
    <row r="209" spans="1:8" s="252" customFormat="1" ht="15.75">
      <c r="B209" s="2446" t="s">
        <v>168</v>
      </c>
      <c r="C209" s="2447"/>
      <c r="D209" s="2447"/>
      <c r="E209" s="2447"/>
      <c r="F209" s="2447"/>
      <c r="G209" s="2448"/>
    </row>
    <row r="210" spans="1:8" s="252" customFormat="1" ht="30">
      <c r="A210" s="249" t="s">
        <v>390</v>
      </c>
      <c r="B210" s="754">
        <v>4722</v>
      </c>
      <c r="C210" s="728" t="str">
        <f>IF($A210="INSUMO",VLOOKUP($B210,'BANCO DE DADOS JANEIRO-24 INS'!$A:$D,2,FALSE),VLOOKUP($B210,'BANCO DE DADOS JANEIRO-24 SERV'!$B:$E,2,FALSE))</f>
        <v xml:space="preserve">PEDRA BRITADA N. 3 (38 A 50 MM) POSTO PEDREIRA/FORNECEDOR, SEM FRETE                                                                                                                                                                                                                                                                                                                                                                                                                                      </v>
      </c>
      <c r="D210" s="732" t="str">
        <f>IF($A210="INSUMO",VLOOKUP($B210,'BANCO DE DADOS JANEIRO-24 INS'!$A:$D,3,FALSE),VLOOKUP($B210,'BANCO DE DADOS JANEIRO-24 SERV'!$B:$E,3,FALSE))</f>
        <v xml:space="preserve">M3    </v>
      </c>
      <c r="E210" s="819">
        <v>1.2</v>
      </c>
      <c r="F210" s="755">
        <f>IF($A210="INSUMO",VLOOKUP($B210,'BANCO DE DADOS JANEIRO-24 INS'!$A:$D,4,FALSE),VLOOKUP($B210,'BANCO DE DADOS JANEIRO-24 SERV'!$B:$E,4,FALSE))</f>
        <v>136.25</v>
      </c>
      <c r="G210" s="809">
        <f>TRUNC(E210*F210,2)</f>
        <v>163.5</v>
      </c>
    </row>
    <row r="211" spans="1:8" s="252" customFormat="1" ht="15.75">
      <c r="B211" s="2446" t="s">
        <v>169</v>
      </c>
      <c r="C211" s="2447"/>
      <c r="D211" s="2447"/>
      <c r="E211" s="2447"/>
      <c r="F211" s="2447"/>
      <c r="G211" s="2448"/>
    </row>
    <row r="212" spans="1:8" s="252" customFormat="1" ht="16.5" thickBot="1">
      <c r="A212" s="249" t="s">
        <v>391</v>
      </c>
      <c r="B212" s="781">
        <v>88316</v>
      </c>
      <c r="C212" s="731" t="str">
        <f>IF($A212="INSUMO",VLOOKUP($B212,'BANCO DE DADOS JANEIRO-24 INS'!$A:$D,2,FALSE),VLOOKUP($B212,'BANCO DE DADOS JANEIRO-24 SERV'!$B:$E,2,FALSE))</f>
        <v>SERVENTE COM ENCARGOS COMPLEMENTARES</v>
      </c>
      <c r="D212" s="729" t="str">
        <f>IF($A212="INSUMO",VLOOKUP($B212,'BANCO DE DADOS JANEIRO-24 INS'!$A:$D,3,FALSE),VLOOKUP($B212,'BANCO DE DADOS JANEIRO-24 SERV'!$B:$E,3,FALSE))</f>
        <v>H</v>
      </c>
      <c r="E212" s="825">
        <v>2</v>
      </c>
      <c r="F212" s="757">
        <f>IF($A212="INSUMO",VLOOKUP($B212,'BANCO DE DADOS JANEIRO-24 INS'!$A:$D,4,FALSE),VLOOKUP($B212,'BANCO DE DADOS JANEIRO-24 SERV'!$B:$E,4,FALSE))</f>
        <v>20.32</v>
      </c>
      <c r="G212" s="299">
        <f>TRUNC(E212*F212,2)</f>
        <v>40.64</v>
      </c>
    </row>
    <row r="213" spans="1:8" s="252" customFormat="1" ht="16.5" thickBot="1">
      <c r="B213" s="2465" t="s">
        <v>5374</v>
      </c>
      <c r="C213" s="2465"/>
      <c r="D213" s="303"/>
      <c r="E213" s="304"/>
      <c r="F213" s="263" t="s">
        <v>170</v>
      </c>
      <c r="G213" s="264">
        <f>TRUNC(SUM(G210:G212),2)</f>
        <v>204.14</v>
      </c>
    </row>
    <row r="214" spans="1:8" ht="13.5" thickBot="1"/>
    <row r="215" spans="1:8" s="252" customFormat="1" ht="15.75">
      <c r="B215" s="298" t="str">
        <f>IF(COUNT($H$14:H215)&lt;10,CONCATENATE("CPU PAI 00",COUNT($H$14:H215)),CONCATENATE("CPU PAI 0",COUNT($H$14:H215)))</f>
        <v>CPU PAI 015</v>
      </c>
      <c r="C215" s="2180" t="s">
        <v>171</v>
      </c>
      <c r="D215" s="2180"/>
      <c r="E215" s="2180"/>
      <c r="F215" s="2180"/>
      <c r="G215" s="624" t="s">
        <v>19</v>
      </c>
      <c r="H215" s="603">
        <f>G222</f>
        <v>1132.25</v>
      </c>
    </row>
    <row r="216" spans="1:8" s="226" customFormat="1" ht="31.5">
      <c r="A216" s="249"/>
      <c r="B216" s="821" t="s">
        <v>197</v>
      </c>
      <c r="C216" s="751" t="s">
        <v>161</v>
      </c>
      <c r="D216" s="751" t="s">
        <v>22</v>
      </c>
      <c r="E216" s="751" t="s">
        <v>162</v>
      </c>
      <c r="F216" s="752" t="s">
        <v>163</v>
      </c>
      <c r="G216" s="753" t="s">
        <v>164</v>
      </c>
    </row>
    <row r="217" spans="1:8" s="226" customFormat="1" ht="15.75">
      <c r="A217" s="249"/>
      <c r="B217" s="2446" t="s">
        <v>168</v>
      </c>
      <c r="C217" s="2447"/>
      <c r="D217" s="2447"/>
      <c r="E217" s="2447"/>
      <c r="F217" s="2447"/>
      <c r="G217" s="2448"/>
    </row>
    <row r="218" spans="1:8" s="226" customFormat="1" ht="30">
      <c r="A218" s="249" t="s">
        <v>390</v>
      </c>
      <c r="B218" s="822">
        <v>4734</v>
      </c>
      <c r="C218" s="728" t="str">
        <f>IF($A218="INSUMO",VLOOKUP($B218,'BANCO DE DADOS JANEIRO-24 INS'!$A:$D,2,FALSE),VLOOKUP($B218,'BANCO DE DADOS JANEIRO-24 SERV'!$B:$E,2,FALSE))</f>
        <v xml:space="preserve">SEIXO ROLADO PARA APLICACAO EM CONCRETO (POSTO PEDREIRA/FORNECEDOR, SEM FRETE)                                                                                                                                                                                                                                                                                                                                                                                                                            </v>
      </c>
      <c r="D218" s="732" t="str">
        <f>IF($A218="INSUMO",VLOOKUP($B218,'BANCO DE DADOS JANEIRO-24 INS'!$A:$D,3,FALSE),VLOOKUP($B218,'BANCO DE DADOS JANEIRO-24 SERV'!$B:$E,3,FALSE))</f>
        <v xml:space="preserve">M3    </v>
      </c>
      <c r="E218" s="818">
        <v>2.36</v>
      </c>
      <c r="F218" s="755">
        <f>IF($A218="INSUMO",VLOOKUP($B218,'BANCO DE DADOS JANEIRO-24 INS'!$A:$D,4,FALSE),VLOOKUP($B218,'BANCO DE DADOS JANEIRO-24 SERV'!$B:$E,4,FALSE))</f>
        <v>474.16</v>
      </c>
      <c r="G218" s="823">
        <f>TRUNC(E218*F218,2)</f>
        <v>1119.01</v>
      </c>
    </row>
    <row r="219" spans="1:8" s="226" customFormat="1" ht="15.75">
      <c r="A219" s="249"/>
      <c r="B219" s="2446" t="s">
        <v>169</v>
      </c>
      <c r="C219" s="2447"/>
      <c r="D219" s="2447"/>
      <c r="E219" s="2447"/>
      <c r="F219" s="2447"/>
      <c r="G219" s="2448"/>
    </row>
    <row r="220" spans="1:8" s="226" customFormat="1" ht="15.75">
      <c r="A220" s="249" t="s">
        <v>391</v>
      </c>
      <c r="B220" s="995">
        <v>88309</v>
      </c>
      <c r="C220" s="728" t="str">
        <f>IF($A220="INSUMO",VLOOKUP($B220,'BANCO DE DADOS JANEIRO-24 INS'!$A:$D,2,FALSE),VLOOKUP($B220,'BANCO DE DADOS JANEIRO-24 SERV'!$B:$E,2,FALSE))</f>
        <v>PEDREIRO COM ENCARGOS COMPLEMENTARES</v>
      </c>
      <c r="D220" s="732" t="str">
        <f>IF($A220="INSUMO",VLOOKUP($B220,'BANCO DE DADOS JANEIRO-24 INS'!$A:$D,3,FALSE),VLOOKUP($B220,'BANCO DE DADOS JANEIRO-24 SERV'!$B:$E,3,FALSE))</f>
        <v>H</v>
      </c>
      <c r="E220" s="818">
        <v>0.2</v>
      </c>
      <c r="F220" s="755">
        <f>IF($A220="INSUMO",VLOOKUP($B220,'BANCO DE DADOS JANEIRO-24 INS'!$A:$D,4,FALSE),VLOOKUP($B220,'BANCO DE DADOS JANEIRO-24 SERV'!$B:$E,4,FALSE))</f>
        <v>25.62</v>
      </c>
      <c r="G220" s="823">
        <f>TRUNC(E220*F220,2)</f>
        <v>5.12</v>
      </c>
    </row>
    <row r="221" spans="1:8" s="226" customFormat="1" ht="16.5" thickBot="1">
      <c r="A221" s="249" t="s">
        <v>391</v>
      </c>
      <c r="B221" s="996">
        <v>88316</v>
      </c>
      <c r="C221" s="731" t="str">
        <f>IF($A221="INSUMO",VLOOKUP($B221,'BANCO DE DADOS JANEIRO-24 INS'!$A:$D,2,FALSE),VLOOKUP($B221,'BANCO DE DADOS JANEIRO-24 SERV'!$B:$E,2,FALSE))</f>
        <v>SERVENTE COM ENCARGOS COMPLEMENTARES</v>
      </c>
      <c r="D221" s="729" t="str">
        <f>IF($A221="INSUMO",VLOOKUP($B221,'BANCO DE DADOS JANEIRO-24 INS'!$A:$D,3,FALSE),VLOOKUP($B221,'BANCO DE DADOS JANEIRO-24 SERV'!$B:$E,3,FALSE))</f>
        <v>H</v>
      </c>
      <c r="E221" s="824">
        <v>0.4</v>
      </c>
      <c r="F221" s="757">
        <f>IF($A221="INSUMO",VLOOKUP($B221,'BANCO DE DADOS JANEIRO-24 INS'!$A:$D,4,FALSE),VLOOKUP($B221,'BANCO DE DADOS JANEIRO-24 SERV'!$B:$E,4,FALSE))</f>
        <v>20.32</v>
      </c>
      <c r="G221" s="983">
        <f>TRUNC(E221*F221,2)</f>
        <v>8.1199999999999992</v>
      </c>
    </row>
    <row r="222" spans="1:8" s="226" customFormat="1" ht="16.5" thickBot="1">
      <c r="A222" s="249"/>
      <c r="B222" s="2465" t="s">
        <v>5375</v>
      </c>
      <c r="C222" s="2465"/>
      <c r="D222" s="228"/>
      <c r="E222" s="229"/>
      <c r="F222" s="126" t="s">
        <v>170</v>
      </c>
      <c r="G222" s="127">
        <f>TRUNC(SUM(G218:G221),2)</f>
        <v>1132.25</v>
      </c>
    </row>
    <row r="223" spans="1:8" s="226" customFormat="1" ht="16.5" thickBot="1">
      <c r="A223" s="249"/>
      <c r="B223" s="220"/>
      <c r="C223" s="220"/>
      <c r="D223" s="221"/>
      <c r="E223" s="222"/>
      <c r="F223" s="223"/>
      <c r="G223" s="224"/>
    </row>
    <row r="224" spans="1:8" s="252" customFormat="1" ht="15.75">
      <c r="B224" s="298" t="str">
        <f>IF(COUNT($H$14:H224)&lt;10,CONCATENATE("CPU PAI 00",COUNT($H$14:H224)),CONCATENATE("CPU PAI 0",COUNT($H$14:H224)))</f>
        <v>CPU PAI 016</v>
      </c>
      <c r="C224" s="2180" t="s">
        <v>6472</v>
      </c>
      <c r="D224" s="2180"/>
      <c r="E224" s="2180"/>
      <c r="F224" s="2180"/>
      <c r="G224" s="624" t="s">
        <v>19</v>
      </c>
      <c r="H224" s="603">
        <f>G231</f>
        <v>233.08</v>
      </c>
    </row>
    <row r="225" spans="1:8" s="252" customFormat="1" ht="31.5">
      <c r="B225" s="821" t="s">
        <v>197</v>
      </c>
      <c r="C225" s="751" t="s">
        <v>161</v>
      </c>
      <c r="D225" s="751" t="s">
        <v>22</v>
      </c>
      <c r="E225" s="751" t="s">
        <v>162</v>
      </c>
      <c r="F225" s="752" t="s">
        <v>163</v>
      </c>
      <c r="G225" s="753" t="s">
        <v>164</v>
      </c>
    </row>
    <row r="226" spans="1:8" s="252" customFormat="1" ht="15.75">
      <c r="B226" s="2446" t="s">
        <v>168</v>
      </c>
      <c r="C226" s="2447"/>
      <c r="D226" s="2447"/>
      <c r="E226" s="2447"/>
      <c r="F226" s="2447"/>
      <c r="G226" s="2448"/>
    </row>
    <row r="227" spans="1:8" s="252" customFormat="1" ht="15.75">
      <c r="A227" s="249" t="s">
        <v>390</v>
      </c>
      <c r="B227" s="754">
        <v>7253</v>
      </c>
      <c r="C227" s="728" t="str">
        <f>IF($A227="INSUMO",VLOOKUP($B227,'BANCO DE DADOS JANEIRO-24 INS'!$A:$D,2,FALSE),VLOOKUP($B227,'BANCO DE DADOS JANEIRO-24 SERV'!$B:$E,2,FALSE))</f>
        <v xml:space="preserve">TERRA VEGETAL (GRANEL)                                                                                                                                                                                                                                                                                                                                                                                                                                                                                    </v>
      </c>
      <c r="D227" s="732" t="str">
        <f>IF($A227="INSUMO",VLOOKUP($B227,'BANCO DE DADOS JANEIRO-24 INS'!$A:$D,3,FALSE),VLOOKUP($B227,'BANCO DE DADOS JANEIRO-24 SERV'!$B:$E,3,FALSE))</f>
        <v xml:space="preserve">M3    </v>
      </c>
      <c r="E227" s="819">
        <v>1</v>
      </c>
      <c r="F227" s="755">
        <f>IF($A227="INSUMO",VLOOKUP($B227,'BANCO DE DADOS JANEIRO-24 INS'!$A:$D,4,FALSE),VLOOKUP($B227,'BANCO DE DADOS JANEIRO-24 SERV'!$B:$E,4,FALSE))</f>
        <v>143.57</v>
      </c>
      <c r="G227" s="809">
        <f>TRUNC(E227*F227,2)</f>
        <v>143.57</v>
      </c>
    </row>
    <row r="228" spans="1:8" s="252" customFormat="1" ht="15.75">
      <c r="A228" s="249" t="s">
        <v>390</v>
      </c>
      <c r="B228" s="754">
        <v>38125</v>
      </c>
      <c r="C228" s="728" t="str">
        <f>IF($A228="INSUMO",VLOOKUP($B228,'BANCO DE DADOS JANEIRO-24 INS'!$A:$D,2,FALSE),VLOOKUP($B228,'BANCO DE DADOS JANEIRO-24 SERV'!$B:$E,2,FALSE))</f>
        <v xml:space="preserve">FERTILIZANTE ORGANICO COMPOSTO, CLASSE A                                                                                                                                                                                                                                                                                                                                                                                                                                                                  </v>
      </c>
      <c r="D228" s="732" t="str">
        <f>IF($A228="INSUMO",VLOOKUP($B228,'BANCO DE DADOS JANEIRO-24 INS'!$A:$D,3,FALSE),VLOOKUP($B228,'BANCO DE DADOS JANEIRO-24 SERV'!$B:$E,3,FALSE))</f>
        <v xml:space="preserve">KG    </v>
      </c>
      <c r="E228" s="819">
        <v>50</v>
      </c>
      <c r="F228" s="755">
        <f>IF($A228="INSUMO",VLOOKUP($B228,'BANCO DE DADOS JANEIRO-24 INS'!$A:$D,4,FALSE),VLOOKUP($B228,'BANCO DE DADOS JANEIRO-24 SERV'!$B:$E,4,FALSE))</f>
        <v>1.1399999999999999</v>
      </c>
      <c r="G228" s="809">
        <f>TRUNC(E228*F228,2)</f>
        <v>57</v>
      </c>
    </row>
    <row r="229" spans="1:8" s="252" customFormat="1" ht="15.75">
      <c r="B229" s="2446" t="s">
        <v>169</v>
      </c>
      <c r="C229" s="2447"/>
      <c r="D229" s="2447"/>
      <c r="E229" s="2447"/>
      <c r="F229" s="2447"/>
      <c r="G229" s="2448"/>
    </row>
    <row r="230" spans="1:8" s="252" customFormat="1" ht="16.5" thickBot="1">
      <c r="A230" s="249" t="s">
        <v>391</v>
      </c>
      <c r="B230" s="781">
        <v>88316</v>
      </c>
      <c r="C230" s="731" t="str">
        <f>IF($A230="INSUMO",VLOOKUP($B230,'BANCO DE DADOS JANEIRO-24 INS'!$A:$D,2,FALSE),VLOOKUP($B230,'BANCO DE DADOS JANEIRO-24 SERV'!$B:$E,2,FALSE))</f>
        <v>SERVENTE COM ENCARGOS COMPLEMENTARES</v>
      </c>
      <c r="D230" s="729" t="str">
        <f>IF($A230="INSUMO",VLOOKUP($B230,'BANCO DE DADOS JANEIRO-24 INS'!$A:$D,3,FALSE),VLOOKUP($B230,'BANCO DE DADOS JANEIRO-24 SERV'!$B:$E,3,FALSE))</f>
        <v>H</v>
      </c>
      <c r="E230" s="825">
        <v>1.6</v>
      </c>
      <c r="F230" s="757">
        <f>IF($A230="INSUMO",VLOOKUP($B230,'BANCO DE DADOS JANEIRO-24 INS'!$A:$D,4,FALSE),VLOOKUP($B230,'BANCO DE DADOS JANEIRO-24 SERV'!$B:$E,4,FALSE))</f>
        <v>20.32</v>
      </c>
      <c r="G230" s="299">
        <f>TRUNC(E230*F230,2)</f>
        <v>32.51</v>
      </c>
    </row>
    <row r="231" spans="1:8" s="252" customFormat="1" ht="49.5" customHeight="1" thickBot="1">
      <c r="B231" s="2240" t="s">
        <v>13334</v>
      </c>
      <c r="C231" s="2240"/>
      <c r="D231" s="2240"/>
      <c r="E231" s="2241"/>
      <c r="F231" s="312" t="s">
        <v>170</v>
      </c>
      <c r="G231" s="313">
        <f>TRUNC(SUM(G227:G230),2)</f>
        <v>233.08</v>
      </c>
    </row>
    <row r="232" spans="1:8" s="252" customFormat="1" ht="54.75" customHeight="1">
      <c r="B232" s="2463" t="s">
        <v>5573</v>
      </c>
      <c r="C232" s="2464"/>
      <c r="D232" s="2464"/>
      <c r="E232" s="2464"/>
      <c r="F232" s="2464"/>
      <c r="G232" s="2464"/>
    </row>
    <row r="233" spans="1:8" s="252" customFormat="1" ht="68.25" customHeight="1">
      <c r="B233" s="2463" t="s">
        <v>5574</v>
      </c>
      <c r="C233" s="2464"/>
      <c r="D233" s="2464"/>
      <c r="E233" s="2464"/>
      <c r="F233" s="2464"/>
      <c r="G233" s="2464"/>
    </row>
    <row r="234" spans="1:8" s="271" customFormat="1" ht="16.5" thickBot="1">
      <c r="A234" s="333"/>
      <c r="B234" s="601"/>
      <c r="C234" s="601"/>
      <c r="D234" s="300"/>
      <c r="E234" s="257"/>
      <c r="F234" s="301"/>
      <c r="G234" s="302"/>
    </row>
    <row r="235" spans="1:8" s="252" customFormat="1" ht="15.75">
      <c r="B235" s="298" t="str">
        <f>IF(COUNT($H$14:H235)&lt;10,CONCATENATE("CPU PAI 00",COUNT($H$14:H235)),CONCATENATE("CPU PAI 0",COUNT($H$14:H235)))</f>
        <v>CPU PAI 017</v>
      </c>
      <c r="C235" s="2180" t="s">
        <v>6433</v>
      </c>
      <c r="D235" s="2180"/>
      <c r="E235" s="2180"/>
      <c r="F235" s="2180"/>
      <c r="G235" s="624" t="s">
        <v>0</v>
      </c>
      <c r="H235" s="603">
        <f>G245</f>
        <v>33.950000000000003</v>
      </c>
    </row>
    <row r="236" spans="1:8" s="252" customFormat="1" ht="31.5">
      <c r="B236" s="750" t="s">
        <v>197</v>
      </c>
      <c r="C236" s="751" t="s">
        <v>161</v>
      </c>
      <c r="D236" s="751" t="s">
        <v>22</v>
      </c>
      <c r="E236" s="751" t="s">
        <v>162</v>
      </c>
      <c r="F236" s="752" t="s">
        <v>163</v>
      </c>
      <c r="G236" s="753" t="s">
        <v>164</v>
      </c>
    </row>
    <row r="237" spans="1:8" s="252" customFormat="1" ht="15.75">
      <c r="B237" s="2446" t="s">
        <v>168</v>
      </c>
      <c r="C237" s="2447"/>
      <c r="D237" s="2447"/>
      <c r="E237" s="2447"/>
      <c r="F237" s="2447"/>
      <c r="G237" s="2448"/>
    </row>
    <row r="238" spans="1:8" s="252" customFormat="1" ht="15.75">
      <c r="A238" s="333" t="s">
        <v>390</v>
      </c>
      <c r="B238" s="754">
        <v>38125</v>
      </c>
      <c r="C238" s="728" t="str">
        <f>IF($A238="INSUMO",VLOOKUP($B238,'BANCO DE DADOS JANEIRO-24 INS'!$A:$D,2,FALSE),VLOOKUP($B238,'BANCO DE DADOS JANEIRO-24 SERV'!$B:$E,2,FALSE))</f>
        <v xml:space="preserve">FERTILIZANTE ORGANICO COMPOSTO, CLASSE A                                                                                                                                                                                                                                                                                                                                                                                                                                                                  </v>
      </c>
      <c r="D238" s="732" t="str">
        <f>IF($A238="INSUMO",VLOOKUP($B238,'BANCO DE DADOS JANEIRO-24 INS'!$A:$D,3,FALSE),VLOOKUP($B238,'BANCO DE DADOS JANEIRO-24 SERV'!$B:$E,3,FALSE))</f>
        <v xml:space="preserve">KG    </v>
      </c>
      <c r="E238" s="819">
        <v>2.5</v>
      </c>
      <c r="F238" s="755">
        <f>IF($A238="INSUMO",VLOOKUP($B238,'BANCO DE DADOS JANEIRO-24 INS'!$A:$D,4,FALSE),VLOOKUP($B238,'BANCO DE DADOS JANEIRO-24 SERV'!$B:$E,4,FALSE))</f>
        <v>1.1399999999999999</v>
      </c>
      <c r="G238" s="809">
        <f>TRUNC(E238*F238,2)</f>
        <v>2.85</v>
      </c>
    </row>
    <row r="239" spans="1:8" s="252" customFormat="1" ht="15.75">
      <c r="A239" s="333" t="s">
        <v>390</v>
      </c>
      <c r="B239" s="754">
        <v>7253</v>
      </c>
      <c r="C239" s="728" t="str">
        <f>IF($A239="INSUMO",VLOOKUP($B239,'BANCO DE DADOS JANEIRO-24 INS'!$A:$D,2,FALSE),VLOOKUP($B239,'BANCO DE DADOS JANEIRO-24 SERV'!$B:$E,2,FALSE))</f>
        <v xml:space="preserve">TERRA VEGETAL (GRANEL)                                                                                                                                                                                                                                                                                                                                                                                                                                                                                    </v>
      </c>
      <c r="D239" s="732" t="str">
        <f>IF($A239="INSUMO",VLOOKUP($B239,'BANCO DE DADOS JANEIRO-24 INS'!$A:$D,3,FALSE),VLOOKUP($B239,'BANCO DE DADOS JANEIRO-24 SERV'!$B:$E,3,FALSE))</f>
        <v xml:space="preserve">M3    </v>
      </c>
      <c r="E239" s="819">
        <v>0.08</v>
      </c>
      <c r="F239" s="755">
        <f>IF($A239="INSUMO",VLOOKUP($B239,'BANCO DE DADOS JANEIRO-24 INS'!$A:$D,4,FALSE),VLOOKUP($B239,'BANCO DE DADOS JANEIRO-24 SERV'!$B:$E,4,FALSE))</f>
        <v>143.57</v>
      </c>
      <c r="G239" s="809">
        <f>TRUNC(E239*F239,2)</f>
        <v>11.48</v>
      </c>
    </row>
    <row r="240" spans="1:8" s="252" customFormat="1" ht="15.75">
      <c r="A240" s="333" t="s">
        <v>390</v>
      </c>
      <c r="B240" s="754">
        <v>44539</v>
      </c>
      <c r="C240" s="728" t="str">
        <f>IF($A240="INSUMO",VLOOKUP($B240,'BANCO DE DADOS JANEIRO-24 INS'!$A:$D,2,FALSE),VLOOKUP($B240,'BANCO DE DADOS JANEIRO-24 SERV'!$B:$E,2,FALSE))</f>
        <v xml:space="preserve">FERTILIZANTE NPK -  10:10:10                                                                                                                                                                                                                                                                                                                                                                                                                                                                              </v>
      </c>
      <c r="D240" s="732" t="str">
        <f>IF($A240="INSUMO",VLOOKUP($B240,'BANCO DE DADOS JANEIRO-24 INS'!$A:$D,3,FALSE),VLOOKUP($B240,'BANCO DE DADOS JANEIRO-24 SERV'!$B:$E,3,FALSE))</f>
        <v xml:space="preserve">KG    </v>
      </c>
      <c r="E240" s="819">
        <v>0.1</v>
      </c>
      <c r="F240" s="755">
        <f>IF($A240="INSUMO",VLOOKUP($B240,'BANCO DE DADOS JANEIRO-24 INS'!$A:$D,4,FALSE),VLOOKUP($B240,'BANCO DE DADOS JANEIRO-24 SERV'!$B:$E,4,FALSE))</f>
        <v>3.22</v>
      </c>
      <c r="G240" s="809">
        <f>TRUNC(E240*F240,2)</f>
        <v>0.32</v>
      </c>
    </row>
    <row r="241" spans="1:8" s="252" customFormat="1" ht="30">
      <c r="A241" s="333" t="s">
        <v>390</v>
      </c>
      <c r="B241" s="754">
        <v>3322</v>
      </c>
      <c r="C241" s="728" t="str">
        <f>IF($A241="INSUMO",VLOOKUP($B241,'BANCO DE DADOS JANEIRO-24 INS'!$A:$D,2,FALSE),VLOOKUP($B241,'BANCO DE DADOS JANEIRO-24 SERV'!$B:$E,2,FALSE))</f>
        <v xml:space="preserve">GRAMA ESMERALDA OU SAO CARLOS OU CURITIBANA, EM PLACAS, SEM PLANTIO                                                                                                                                                                                                                                                                                                                                                                                                                                       </v>
      </c>
      <c r="D241" s="732" t="str">
        <f>IF($A241="INSUMO",VLOOKUP($B241,'BANCO DE DADOS JANEIRO-24 INS'!$A:$D,3,FALSE),VLOOKUP($B241,'BANCO DE DADOS JANEIRO-24 SERV'!$B:$E,3,FALSE))</f>
        <v xml:space="preserve">M2    </v>
      </c>
      <c r="E241" s="819">
        <v>1</v>
      </c>
      <c r="F241" s="755">
        <f>IF($A241="INSUMO",VLOOKUP($B241,'BANCO DE DADOS JANEIRO-24 INS'!$A:$D,4,FALSE),VLOOKUP($B241,'BANCO DE DADOS JANEIRO-24 SERV'!$B:$E,4,FALSE))</f>
        <v>16</v>
      </c>
      <c r="G241" s="809">
        <f>TRUNC(E241*F241,2)</f>
        <v>16</v>
      </c>
    </row>
    <row r="242" spans="1:8" s="252" customFormat="1" ht="15.75">
      <c r="B242" s="2446" t="s">
        <v>169</v>
      </c>
      <c r="C242" s="2447"/>
      <c r="D242" s="2447"/>
      <c r="E242" s="2447"/>
      <c r="F242" s="2447"/>
      <c r="G242" s="2448"/>
    </row>
    <row r="243" spans="1:8" s="252" customFormat="1" ht="15.75">
      <c r="A243" s="333" t="s">
        <v>391</v>
      </c>
      <c r="B243" s="754">
        <v>88316</v>
      </c>
      <c r="C243" s="728" t="str">
        <f>IF($A243="INSUMO",VLOOKUP($B243,'BANCO DE DADOS JANEIRO-24 INS'!$A:$D,2,FALSE),VLOOKUP($B243,'BANCO DE DADOS JANEIRO-24 SERV'!$B:$E,2,FALSE))</f>
        <v>SERVENTE COM ENCARGOS COMPLEMENTARES</v>
      </c>
      <c r="D243" s="732" t="str">
        <f>IF($A243="INSUMO",VLOOKUP($B243,'BANCO DE DADOS JANEIRO-24 INS'!$A:$D,3,FALSE),VLOOKUP($B243,'BANCO DE DADOS JANEIRO-24 SERV'!$B:$E,3,FALSE))</f>
        <v>H</v>
      </c>
      <c r="E243" s="819">
        <v>0.08</v>
      </c>
      <c r="F243" s="755">
        <f>IF($A243="INSUMO",VLOOKUP($B243,'BANCO DE DADOS JANEIRO-24 INS'!$A:$D,4,FALSE),VLOOKUP($B243,'BANCO DE DADOS JANEIRO-24 SERV'!$B:$E,4,FALSE))</f>
        <v>20.32</v>
      </c>
      <c r="G243" s="809">
        <f>TRUNC(E243*F243,2)</f>
        <v>1.62</v>
      </c>
    </row>
    <row r="244" spans="1:8" s="252" customFormat="1" ht="16.5" thickBot="1">
      <c r="A244" s="333" t="s">
        <v>391</v>
      </c>
      <c r="B244" s="756">
        <v>88441</v>
      </c>
      <c r="C244" s="731" t="str">
        <f>IF($A244="INSUMO",VLOOKUP($B244,'BANCO DE DADOS JANEIRO-24 INS'!$A:$D,2,FALSE),VLOOKUP($B244,'BANCO DE DADOS JANEIRO-24 SERV'!$B:$E,2,FALSE))</f>
        <v>JARDINEIRO COM ENCARGOS COMPLEMENTARES</v>
      </c>
      <c r="D244" s="729" t="str">
        <f>IF($A244="INSUMO",VLOOKUP($B244,'BANCO DE DADOS JANEIRO-24 INS'!$A:$D,3,FALSE),VLOOKUP($B244,'BANCO DE DADOS JANEIRO-24 SERV'!$B:$E,3,FALSE))</f>
        <v>H</v>
      </c>
      <c r="E244" s="825">
        <v>0.08</v>
      </c>
      <c r="F244" s="757">
        <f>IF($A244="INSUMO",VLOOKUP($B244,'BANCO DE DADOS JANEIRO-24 INS'!$A:$D,4,FALSE),VLOOKUP($B244,'BANCO DE DADOS JANEIRO-24 SERV'!$B:$E,4,FALSE))</f>
        <v>21.11</v>
      </c>
      <c r="G244" s="967">
        <f>TRUNC(E244*F244,2)</f>
        <v>1.68</v>
      </c>
    </row>
    <row r="245" spans="1:8" s="252" customFormat="1" ht="53.25" customHeight="1" thickBot="1">
      <c r="B245" s="2240" t="s">
        <v>5572</v>
      </c>
      <c r="C245" s="2240"/>
      <c r="D245" s="2240"/>
      <c r="E245" s="2241"/>
      <c r="F245" s="325" t="s">
        <v>170</v>
      </c>
      <c r="G245" s="326">
        <f>TRUNC(SUM(G238:G244),2)</f>
        <v>33.950000000000003</v>
      </c>
    </row>
    <row r="246" spans="1:8" s="252" customFormat="1" ht="54.75" customHeight="1">
      <c r="B246" s="2463" t="s">
        <v>5571</v>
      </c>
      <c r="C246" s="2464"/>
      <c r="D246" s="2464"/>
      <c r="E246" s="2464"/>
      <c r="F246" s="2464"/>
      <c r="G246" s="2464"/>
    </row>
    <row r="247" spans="1:8" s="252" customFormat="1" ht="58.5" customHeight="1">
      <c r="B247" s="2463" t="s">
        <v>5575</v>
      </c>
      <c r="C247" s="2464"/>
      <c r="D247" s="2464"/>
      <c r="E247" s="2464"/>
      <c r="F247" s="2464"/>
      <c r="G247" s="2464"/>
    </row>
    <row r="248" spans="1:8" ht="13.5" thickBot="1"/>
    <row r="249" spans="1:8" ht="15.75">
      <c r="A249" s="252"/>
      <c r="B249" s="298" t="str">
        <f>IF(COUNT($H$14:H249)&lt;10,CONCATENATE("CPU PAI 00",COUNT($H$14:H249)),CONCATENATE("CPU PAI 0",COUNT($H$14:H249)))</f>
        <v>CPU PAI 018</v>
      </c>
      <c r="C249" s="2180" t="s">
        <v>3267</v>
      </c>
      <c r="D249" s="2180"/>
      <c r="E249" s="2180"/>
      <c r="F249" s="2180"/>
      <c r="G249" s="624" t="s">
        <v>22</v>
      </c>
      <c r="H249" s="603">
        <f>G259</f>
        <v>800.48000000000013</v>
      </c>
    </row>
    <row r="250" spans="1:8" ht="31.5">
      <c r="A250" s="252"/>
      <c r="B250" s="1093" t="s">
        <v>197</v>
      </c>
      <c r="C250" s="1094" t="s">
        <v>161</v>
      </c>
      <c r="D250" s="1094" t="s">
        <v>22</v>
      </c>
      <c r="E250" s="1094" t="s">
        <v>162</v>
      </c>
      <c r="F250" s="1095" t="s">
        <v>163</v>
      </c>
      <c r="G250" s="1096" t="s">
        <v>164</v>
      </c>
      <c r="H250" s="252"/>
    </row>
    <row r="251" spans="1:8" ht="15.75">
      <c r="A251" s="252"/>
      <c r="B251" s="2446" t="s">
        <v>168</v>
      </c>
      <c r="C251" s="2447"/>
      <c r="D251" s="2447"/>
      <c r="E251" s="2447"/>
      <c r="F251" s="2447"/>
      <c r="G251" s="2448"/>
      <c r="H251" s="252"/>
    </row>
    <row r="252" spans="1:8" ht="15">
      <c r="A252" s="252"/>
      <c r="B252" s="1097" t="s">
        <v>181</v>
      </c>
      <c r="C252" s="1098" t="str">
        <f>C261</f>
        <v xml:space="preserve"> PALMEIRA RABO DE RAPOSA 3 METROS</v>
      </c>
      <c r="D252" s="1099" t="s">
        <v>22</v>
      </c>
      <c r="E252" s="1100">
        <v>1</v>
      </c>
      <c r="F252" s="1146">
        <f>D266</f>
        <v>450</v>
      </c>
      <c r="G252" s="1101">
        <f>TRUNC(E252*F252,2)</f>
        <v>450</v>
      </c>
      <c r="H252" s="252"/>
    </row>
    <row r="253" spans="1:8" ht="15.75">
      <c r="A253" s="252"/>
      <c r="B253" s="2446" t="s">
        <v>2155</v>
      </c>
      <c r="C253" s="2447"/>
      <c r="D253" s="2447"/>
      <c r="E253" s="2447"/>
      <c r="F253" s="2447"/>
      <c r="G253" s="2448"/>
      <c r="H253" s="252"/>
    </row>
    <row r="254" spans="1:8" ht="60">
      <c r="A254" s="333" t="s">
        <v>391</v>
      </c>
      <c r="B254" s="1097">
        <v>91634</v>
      </c>
      <c r="C254" s="1098" t="str">
        <f>IF($A254="INSUMO",VLOOKUP($B254,'BANCO DE DADOS JANEIRO-24 INS'!$A:$D,2,FALSE),VLOOKUP($B254,'BANCO DE DADOS JANEIRO-24 SERV'!$B:$E,2,FALSE))</f>
        <v>GUINDAUTO HIDRÁULICO, CAPACIDADE MÁXIMA DE CARGA 6500 KG, MOMENTO MÁXIMO DE CARGA 5,8 TM, ALCANCE MÁXIMO HORIZONTAL 7,60 M, INCLUSIVE CAMINHÃO TOCO PBT 9.700 KG, POTÊNCIA DE 160 CV - CHP DIURNO. AF_08/2015</v>
      </c>
      <c r="D254" s="1099" t="str">
        <f>IF($A254="INSUMO",VLOOKUP($B254,'BANCO DE DADOS JANEIRO-24 INS'!$A:$D,3,FALSE),VLOOKUP($B254,'BANCO DE DADOS JANEIRO-24 SERV'!$B:$E,3,FALSE))</f>
        <v>CHP</v>
      </c>
      <c r="E254" s="1120">
        <v>0.39829999999999999</v>
      </c>
      <c r="F254" s="1146">
        <f>IF($A254="INSUMO",VLOOKUP($B254,'BANCO DE DADOS JANEIRO-24 INS'!$A:$D,4,FALSE),VLOOKUP($B254,'BANCO DE DADOS JANEIRO-24 SERV'!$B:$E,4,FALSE))</f>
        <v>235.7</v>
      </c>
      <c r="G254" s="1101">
        <f>TRUNC(E254*F254,2)</f>
        <v>93.87</v>
      </c>
      <c r="H254" s="252"/>
    </row>
    <row r="255" spans="1:8" ht="60">
      <c r="A255" s="333" t="s">
        <v>391</v>
      </c>
      <c r="B255" s="1097">
        <v>91635</v>
      </c>
      <c r="C255" s="1098" t="str">
        <f>IF($A255="INSUMO",VLOOKUP($B255,'BANCO DE DADOS JANEIRO-24 INS'!$A:$D,2,FALSE),VLOOKUP($B255,'BANCO DE DADOS JANEIRO-24 SERV'!$B:$E,2,FALSE))</f>
        <v>GUINDAUTO HIDRÁULICO, CAPACIDADE MÁXIMA DE CARGA 6500 KG, MOMENTO MÁXIMO DE CARGA 5,8 TM, ALCANCE MÁXIMO HORIZONTAL 7,60 M, INCLUSIVE CAMINHÃO TOCO PBT 9.700 KG, POTÊNCIA DE 160 CV - CHI DIURNO. AF_08/2015</v>
      </c>
      <c r="D255" s="1099" t="str">
        <f>IF($A255="INSUMO",VLOOKUP($B255,'BANCO DE DADOS JANEIRO-24 INS'!$A:$D,3,FALSE),VLOOKUP($B255,'BANCO DE DADOS JANEIRO-24 SERV'!$B:$E,3,FALSE))</f>
        <v>CHI</v>
      </c>
      <c r="E255" s="1120">
        <v>1.6272</v>
      </c>
      <c r="F255" s="1146">
        <f>IF($A255="INSUMO",VLOOKUP($B255,'BANCO DE DADOS JANEIRO-24 INS'!$A:$D,4,FALSE),VLOOKUP($B255,'BANCO DE DADOS JANEIRO-24 SERV'!$B:$E,4,FALSE))</f>
        <v>66.58</v>
      </c>
      <c r="G255" s="1101">
        <f>TRUNC(E255*F255,2)</f>
        <v>108.33</v>
      </c>
      <c r="H255" s="252"/>
    </row>
    <row r="256" spans="1:8" ht="15.75">
      <c r="A256" s="252"/>
      <c r="B256" s="2446" t="s">
        <v>169</v>
      </c>
      <c r="C256" s="2447"/>
      <c r="D256" s="2447"/>
      <c r="E256" s="2447"/>
      <c r="F256" s="2447"/>
      <c r="G256" s="2448"/>
      <c r="H256" s="252"/>
    </row>
    <row r="257" spans="1:8" ht="15.75">
      <c r="A257" s="333" t="s">
        <v>391</v>
      </c>
      <c r="B257" s="1097">
        <v>88441</v>
      </c>
      <c r="C257" s="1098" t="str">
        <f>IF($A257="INSUMO",VLOOKUP($B257,'BANCO DE DADOS JANEIRO-24 INS'!$A:$D,2,FALSE),VLOOKUP($B257,'BANCO DE DADOS JANEIRO-24 SERV'!$B:$E,2,FALSE))</f>
        <v>JARDINEIRO COM ENCARGOS COMPLEMENTARES</v>
      </c>
      <c r="D257" s="1099" t="str">
        <f>IF($A257="INSUMO",VLOOKUP($B257,'BANCO DE DADOS JANEIRO-24 INS'!$A:$D,3,FALSE),VLOOKUP($B257,'BANCO DE DADOS JANEIRO-24 SERV'!$B:$E,3,FALSE))</f>
        <v>H</v>
      </c>
      <c r="E257" s="1120">
        <v>1.4482999999999999</v>
      </c>
      <c r="F257" s="1146">
        <f>IF($A257="INSUMO",VLOOKUP($B257,'BANCO DE DADOS JANEIRO-24 INS'!$A:$D,4,FALSE),VLOOKUP($B257,'BANCO DE DADOS JANEIRO-24 SERV'!$B:$E,4,FALSE))</f>
        <v>21.11</v>
      </c>
      <c r="G257" s="1101">
        <f>TRUNC(E257*F257,2)</f>
        <v>30.57</v>
      </c>
      <c r="H257" s="252"/>
    </row>
    <row r="258" spans="1:8" ht="16.5" thickBot="1">
      <c r="A258" s="333" t="s">
        <v>391</v>
      </c>
      <c r="B258" s="756">
        <v>88316</v>
      </c>
      <c r="C258" s="1103" t="str">
        <f>IF($A258="INSUMO",VLOOKUP($B258,'BANCO DE DADOS JANEIRO-24 INS'!$A:$D,2,FALSE),VLOOKUP($B258,'BANCO DE DADOS JANEIRO-24 SERV'!$B:$E,2,FALSE))</f>
        <v>SERVENTE COM ENCARGOS COMPLEMENTARES</v>
      </c>
      <c r="D258" s="1104" t="str">
        <f>IF($A258="INSUMO",VLOOKUP($B258,'BANCO DE DADOS JANEIRO-24 INS'!$A:$D,3,FALSE),VLOOKUP($B258,'BANCO DE DADOS JANEIRO-24 SERV'!$B:$E,3,FALSE))</f>
        <v>H</v>
      </c>
      <c r="E258" s="1307">
        <v>5.7930000000000001</v>
      </c>
      <c r="F258" s="1105">
        <f>IF($A258="INSUMO",VLOOKUP($B258,'BANCO DE DADOS JANEIRO-24 INS'!$A:$D,4,FALSE),VLOOKUP($B258,'BANCO DE DADOS JANEIRO-24 SERV'!$B:$E,4,FALSE))</f>
        <v>20.32</v>
      </c>
      <c r="G258" s="1106">
        <f>TRUNC(E258*F258,2)</f>
        <v>117.71</v>
      </c>
      <c r="H258" s="252"/>
    </row>
    <row r="259" spans="1:8" ht="35.1" customHeight="1" thickBot="1">
      <c r="A259" s="252"/>
      <c r="B259" s="2230" t="s">
        <v>2265</v>
      </c>
      <c r="C259" s="2230"/>
      <c r="D259" s="2230"/>
      <c r="E259" s="2231"/>
      <c r="F259" s="263" t="s">
        <v>170</v>
      </c>
      <c r="G259" s="264">
        <f>SUM(G252:G258)</f>
        <v>800.48000000000013</v>
      </c>
      <c r="H259" s="252"/>
    </row>
    <row r="260" spans="1:8" ht="15.75" thickBot="1">
      <c r="A260" s="252"/>
      <c r="B260" s="252"/>
      <c r="C260" s="252"/>
      <c r="D260" s="252"/>
      <c r="E260" s="252"/>
      <c r="F260" s="252"/>
      <c r="G260" s="252"/>
      <c r="H260" s="252"/>
    </row>
    <row r="261" spans="1:8" ht="18">
      <c r="A261" s="252"/>
      <c r="B261" s="1669" t="s">
        <v>181</v>
      </c>
      <c r="C261" s="2164" t="s">
        <v>3268</v>
      </c>
      <c r="D261" s="2165"/>
      <c r="E261" s="2165"/>
      <c r="F261" s="2166"/>
      <c r="G261" s="1670" t="s">
        <v>22</v>
      </c>
      <c r="H261" s="679" t="s">
        <v>2249</v>
      </c>
    </row>
    <row r="262" spans="1:8" ht="31.5">
      <c r="A262" s="252"/>
      <c r="B262" s="810" t="s">
        <v>174</v>
      </c>
      <c r="C262" s="811" t="s">
        <v>175</v>
      </c>
      <c r="D262" s="812" t="s">
        <v>176</v>
      </c>
      <c r="E262" s="813" t="s">
        <v>177</v>
      </c>
      <c r="F262" s="814" t="s">
        <v>178</v>
      </c>
      <c r="G262" s="815" t="s">
        <v>179</v>
      </c>
      <c r="H262" s="252"/>
    </row>
    <row r="263" spans="1:8" ht="15">
      <c r="A263" s="252"/>
      <c r="B263" s="1283">
        <v>44414</v>
      </c>
      <c r="C263" s="1284" t="s">
        <v>4600</v>
      </c>
      <c r="D263" s="1285">
        <v>600</v>
      </c>
      <c r="E263" s="1285" t="s">
        <v>2240</v>
      </c>
      <c r="F263" s="1288" t="s">
        <v>3269</v>
      </c>
      <c r="G263" s="1286"/>
      <c r="H263" s="252"/>
    </row>
    <row r="264" spans="1:8" ht="15">
      <c r="A264" s="252"/>
      <c r="B264" s="1283">
        <v>44418</v>
      </c>
      <c r="C264" s="1284" t="s">
        <v>5048</v>
      </c>
      <c r="D264" s="1285">
        <v>450</v>
      </c>
      <c r="E264" s="1336" t="s">
        <v>5053</v>
      </c>
      <c r="F264" s="1287" t="s">
        <v>5049</v>
      </c>
      <c r="G264" s="1286" t="s">
        <v>5050</v>
      </c>
      <c r="H264" s="252"/>
    </row>
    <row r="265" spans="1:8" ht="15">
      <c r="A265" s="252"/>
      <c r="B265" s="1283">
        <v>44418</v>
      </c>
      <c r="C265" s="1284" t="s">
        <v>498</v>
      </c>
      <c r="D265" s="1285">
        <v>350</v>
      </c>
      <c r="E265" s="1285" t="s">
        <v>3271</v>
      </c>
      <c r="F265" s="1287" t="s">
        <v>5051</v>
      </c>
      <c r="G265" s="1337" t="s">
        <v>5052</v>
      </c>
      <c r="H265" s="252"/>
    </row>
    <row r="266" spans="1:8" ht="16.5" thickBot="1">
      <c r="A266" s="252"/>
      <c r="B266" s="1738"/>
      <c r="C266" s="1739" t="s">
        <v>180</v>
      </c>
      <c r="D266" s="1737">
        <f>MEDIAN(D263:D265)</f>
        <v>450</v>
      </c>
      <c r="E266" s="1740"/>
      <c r="F266" s="1752"/>
      <c r="G266" s="1742"/>
      <c r="H266" s="252"/>
    </row>
  </sheetData>
  <autoFilter ref="G1:G266" xr:uid="{00000000-0009-0000-0000-000015000000}"/>
  <mergeCells count="102">
    <mergeCell ref="B259:E259"/>
    <mergeCell ref="B3:B4"/>
    <mergeCell ref="B205:C205"/>
    <mergeCell ref="C207:F207"/>
    <mergeCell ref="B166:G166"/>
    <mergeCell ref="C164:F164"/>
    <mergeCell ref="C145:F145"/>
    <mergeCell ref="B147:G147"/>
    <mergeCell ref="B149:G149"/>
    <mergeCell ref="B152:G152"/>
    <mergeCell ref="F3:G3"/>
    <mergeCell ref="B155:E155"/>
    <mergeCell ref="E8:F8"/>
    <mergeCell ref="B34:G34"/>
    <mergeCell ref="B5:G5"/>
    <mergeCell ref="B11:G11"/>
    <mergeCell ref="B219:G219"/>
    <mergeCell ref="C8:D8"/>
    <mergeCell ref="C224:F224"/>
    <mergeCell ref="B98:G98"/>
    <mergeCell ref="B53:E53"/>
    <mergeCell ref="C62:F62"/>
    <mergeCell ref="B64:G64"/>
    <mergeCell ref="C30:F30"/>
    <mergeCell ref="C261:F261"/>
    <mergeCell ref="C55:F55"/>
    <mergeCell ref="C71:F71"/>
    <mergeCell ref="C87:F87"/>
    <mergeCell ref="C103:F103"/>
    <mergeCell ref="C119:F119"/>
    <mergeCell ref="B245:E245"/>
    <mergeCell ref="B251:G251"/>
    <mergeCell ref="B253:G253"/>
    <mergeCell ref="B82:G82"/>
    <mergeCell ref="C215:F215"/>
    <mergeCell ref="B171:G171"/>
    <mergeCell ref="B174:E174"/>
    <mergeCell ref="C191:F191"/>
    <mergeCell ref="B193:G193"/>
    <mergeCell ref="B195:G195"/>
    <mergeCell ref="B256:G256"/>
    <mergeCell ref="C249:F249"/>
    <mergeCell ref="B185:G185"/>
    <mergeCell ref="B187:G187"/>
    <mergeCell ref="B66:G66"/>
    <mergeCell ref="B69:E69"/>
    <mergeCell ref="B189:C189"/>
    <mergeCell ref="B226:G226"/>
    <mergeCell ref="B32:G32"/>
    <mergeCell ref="C23:F23"/>
    <mergeCell ref="C39:F39"/>
    <mergeCell ref="B37:E37"/>
    <mergeCell ref="C46:F46"/>
    <mergeCell ref="B48:G48"/>
    <mergeCell ref="B50:G50"/>
    <mergeCell ref="B18:G18"/>
    <mergeCell ref="B21:E21"/>
    <mergeCell ref="B96:G96"/>
    <mergeCell ref="B229:G229"/>
    <mergeCell ref="C183:F183"/>
    <mergeCell ref="B213:C213"/>
    <mergeCell ref="C110:F110"/>
    <mergeCell ref="B237:G237"/>
    <mergeCell ref="B231:E231"/>
    <mergeCell ref="C138:F138"/>
    <mergeCell ref="C157:F157"/>
    <mergeCell ref="C176:F176"/>
    <mergeCell ref="B209:G209"/>
    <mergeCell ref="B211:G211"/>
    <mergeCell ref="B203:G203"/>
    <mergeCell ref="B197:C197"/>
    <mergeCell ref="C199:F199"/>
    <mergeCell ref="B201:G201"/>
    <mergeCell ref="B168:G168"/>
    <mergeCell ref="B128:G128"/>
    <mergeCell ref="B133:G133"/>
    <mergeCell ref="B136:E136"/>
    <mergeCell ref="B130:G130"/>
    <mergeCell ref="C4:D4"/>
    <mergeCell ref="C3:D3"/>
    <mergeCell ref="B9:D9"/>
    <mergeCell ref="E9:F9"/>
    <mergeCell ref="C7:E7"/>
    <mergeCell ref="B246:G246"/>
    <mergeCell ref="B247:G247"/>
    <mergeCell ref="B232:G232"/>
    <mergeCell ref="B233:G233"/>
    <mergeCell ref="B242:G242"/>
    <mergeCell ref="C14:F14"/>
    <mergeCell ref="B16:G16"/>
    <mergeCell ref="B217:G217"/>
    <mergeCell ref="B222:C222"/>
    <mergeCell ref="C235:F235"/>
    <mergeCell ref="C78:F78"/>
    <mergeCell ref="B80:G80"/>
    <mergeCell ref="B114:G114"/>
    <mergeCell ref="B117:E117"/>
    <mergeCell ref="C126:F126"/>
    <mergeCell ref="B85:E85"/>
    <mergeCell ref="C94:F94"/>
    <mergeCell ref="B112:G112"/>
    <mergeCell ref="B101:E101"/>
  </mergeCells>
  <dataValidations disablePrompts="1" count="1">
    <dataValidation type="list" allowBlank="1" showInputMessage="1" showErrorMessage="1" sqref="A218 A220:A221 A254:A255 A186 A188 A230 A238:A241 A243:A244 A19:A20 A35:A36 A51:A52 A67:A68 A83:A84 A99:A100 A115:A116 A134:A135 A131:A132 A172:A173 A169:A170 A194 A196 A202 A204 A210 A212 A153:A154 A150:A151 A257:A258 A227:A228" xr:uid="{00000000-0002-0000-1500-000000000000}">
      <formula1>$A$3:$A$4</formula1>
    </dataValidation>
  </dataValidations>
  <hyperlinks>
    <hyperlink ref="G27" r:id="rId1" display="graçaspaisagismo@hotmail.com" xr:uid="{00000000-0004-0000-1500-000000000000}"/>
    <hyperlink ref="G43" r:id="rId2" display="graçaspaisagismo@hotmail.com" xr:uid="{00000000-0004-0000-1500-000001000000}"/>
    <hyperlink ref="G59" r:id="rId3" display="graçaspaisagismo@hotmail.com" xr:uid="{00000000-0004-0000-1500-000002000000}"/>
    <hyperlink ref="G91" r:id="rId4" display="graçaspaisagismo@hotmail.com" xr:uid="{00000000-0004-0000-1500-000003000000}"/>
    <hyperlink ref="G107" r:id="rId5" display="graçaspaisagismo@hotmail.com" xr:uid="{00000000-0004-0000-1500-000004000000}"/>
    <hyperlink ref="G123" r:id="rId6" display="graçaspaisagismo@hotmail.com" xr:uid="{00000000-0004-0000-1500-000005000000}"/>
    <hyperlink ref="G142" r:id="rId7" display="graçaspaisagismo@hotmail.com" xr:uid="{00000000-0004-0000-1500-000006000000}"/>
    <hyperlink ref="G161" r:id="rId8" display="graçaspaisagismo@hotmail.com" xr:uid="{00000000-0004-0000-1500-000007000000}"/>
    <hyperlink ref="G141" r:id="rId9" display="graçaspaisagismo@hotmail.com" xr:uid="{00000000-0004-0000-1500-000008000000}"/>
    <hyperlink ref="G180" r:id="rId10" display="graçaspaisagismo@hotmail.com" xr:uid="{00000000-0004-0000-1500-000009000000}"/>
    <hyperlink ref="G264" r:id="rId11" display="graçaspaisagismo@hotmail.com" xr:uid="{00000000-0004-0000-1500-00000A000000}"/>
  </hyperlinks>
  <printOptions horizontalCentered="1"/>
  <pageMargins left="0.78740157480314965" right="0.19685039370078741" top="0.39370078740157483" bottom="0.78740157480314965" header="0.19685039370078741" footer="0.19685039370078741"/>
  <pageSetup paperSize="9" scale="51" fitToHeight="100" orientation="portrait" r:id="rId12"/>
  <headerFooter scaleWithDoc="0" alignWithMargins="0">
    <oddHeader>&amp;RPágina &amp;P de &amp;N</oddHeader>
  </headerFooter>
  <rowBreaks count="4" manualBreakCount="4">
    <brk id="70" min="1" max="6" man="1"/>
    <brk id="125" min="1" max="6" man="1"/>
    <brk id="163" min="1" max="6" man="1"/>
    <brk id="222" min="1" max="6" man="1"/>
  </rowBreaks>
  <drawing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0">
    <tabColor theme="3" tint="0.79998168889431442"/>
  </sheetPr>
  <dimension ref="A1:IV230"/>
  <sheetViews>
    <sheetView view="pageBreakPreview" topLeftCell="A218" zoomScale="85" zoomScaleNormal="100" zoomScaleSheetLayoutView="85" workbookViewId="0">
      <selection activeCell="K253" sqref="K253:L253"/>
    </sheetView>
  </sheetViews>
  <sheetFormatPr defaultRowHeight="12.75"/>
  <cols>
    <col min="1" max="1" width="28.140625" style="46" customWidth="1"/>
    <col min="2" max="2" width="24.7109375" style="47" customWidth="1"/>
    <col min="3" max="3" width="75.7109375" style="47" customWidth="1"/>
    <col min="4" max="4" width="15.7109375" style="48" customWidth="1"/>
    <col min="5" max="5" width="23.7109375" style="49" customWidth="1"/>
    <col min="6" max="6" width="18.7109375" style="67" customWidth="1"/>
    <col min="7" max="7" width="20.7109375" style="50" customWidth="1"/>
    <col min="8" max="8" width="20" style="46" bestFit="1" customWidth="1"/>
    <col min="9" max="9" width="19.28515625" style="46" customWidth="1"/>
    <col min="10" max="10" width="17.140625" style="46" customWidth="1"/>
    <col min="11" max="257" width="9.140625" style="46"/>
    <col min="258" max="258" width="21" style="46" customWidth="1"/>
    <col min="259" max="259" width="81.42578125" style="46" customWidth="1"/>
    <col min="260" max="261" width="15.5703125" style="46" customWidth="1"/>
    <col min="262" max="262" width="14.140625" style="46" bestFit="1" customWidth="1"/>
    <col min="263" max="263" width="18" style="46" bestFit="1" customWidth="1"/>
    <col min="264" max="264" width="11" style="46" bestFit="1" customWidth="1"/>
    <col min="265" max="513" width="9.140625" style="46"/>
    <col min="514" max="514" width="21" style="46" customWidth="1"/>
    <col min="515" max="515" width="81.42578125" style="46" customWidth="1"/>
    <col min="516" max="517" width="15.5703125" style="46" customWidth="1"/>
    <col min="518" max="518" width="14.140625" style="46" bestFit="1" customWidth="1"/>
    <col min="519" max="519" width="18" style="46" bestFit="1" customWidth="1"/>
    <col min="520" max="520" width="11" style="46" bestFit="1" customWidth="1"/>
    <col min="521" max="769" width="9.140625" style="46"/>
    <col min="770" max="770" width="21" style="46" customWidth="1"/>
    <col min="771" max="771" width="81.42578125" style="46" customWidth="1"/>
    <col min="772" max="773" width="15.5703125" style="46" customWidth="1"/>
    <col min="774" max="774" width="14.140625" style="46" bestFit="1" customWidth="1"/>
    <col min="775" max="775" width="18" style="46" bestFit="1" customWidth="1"/>
    <col min="776" max="776" width="11" style="46" bestFit="1" customWidth="1"/>
    <col min="777" max="1025" width="9.140625" style="46"/>
    <col min="1026" max="1026" width="21" style="46" customWidth="1"/>
    <col min="1027" max="1027" width="81.42578125" style="46" customWidth="1"/>
    <col min="1028" max="1029" width="15.5703125" style="46" customWidth="1"/>
    <col min="1030" max="1030" width="14.140625" style="46" bestFit="1" customWidth="1"/>
    <col min="1031" max="1031" width="18" style="46" bestFit="1" customWidth="1"/>
    <col min="1032" max="1032" width="11" style="46" bestFit="1" customWidth="1"/>
    <col min="1033" max="1281" width="9.140625" style="46"/>
    <col min="1282" max="1282" width="21" style="46" customWidth="1"/>
    <col min="1283" max="1283" width="81.42578125" style="46" customWidth="1"/>
    <col min="1284" max="1285" width="15.5703125" style="46" customWidth="1"/>
    <col min="1286" max="1286" width="14.140625" style="46" bestFit="1" customWidth="1"/>
    <col min="1287" max="1287" width="18" style="46" bestFit="1" customWidth="1"/>
    <col min="1288" max="1288" width="11" style="46" bestFit="1" customWidth="1"/>
    <col min="1289" max="1537" width="9.140625" style="46"/>
    <col min="1538" max="1538" width="21" style="46" customWidth="1"/>
    <col min="1539" max="1539" width="81.42578125" style="46" customWidth="1"/>
    <col min="1540" max="1541" width="15.5703125" style="46" customWidth="1"/>
    <col min="1542" max="1542" width="14.140625" style="46" bestFit="1" customWidth="1"/>
    <col min="1543" max="1543" width="18" style="46" bestFit="1" customWidth="1"/>
    <col min="1544" max="1544" width="11" style="46" bestFit="1" customWidth="1"/>
    <col min="1545" max="1793" width="9.140625" style="46"/>
    <col min="1794" max="1794" width="21" style="46" customWidth="1"/>
    <col min="1795" max="1795" width="81.42578125" style="46" customWidth="1"/>
    <col min="1796" max="1797" width="15.5703125" style="46" customWidth="1"/>
    <col min="1798" max="1798" width="14.140625" style="46" bestFit="1" customWidth="1"/>
    <col min="1799" max="1799" width="18" style="46" bestFit="1" customWidth="1"/>
    <col min="1800" max="1800" width="11" style="46" bestFit="1" customWidth="1"/>
    <col min="1801" max="2049" width="9.140625" style="46"/>
    <col min="2050" max="2050" width="21" style="46" customWidth="1"/>
    <col min="2051" max="2051" width="81.42578125" style="46" customWidth="1"/>
    <col min="2052" max="2053" width="15.5703125" style="46" customWidth="1"/>
    <col min="2054" max="2054" width="14.140625" style="46" bestFit="1" customWidth="1"/>
    <col min="2055" max="2055" width="18" style="46" bestFit="1" customWidth="1"/>
    <col min="2056" max="2056" width="11" style="46" bestFit="1" customWidth="1"/>
    <col min="2057" max="2305" width="9.140625" style="46"/>
    <col min="2306" max="2306" width="21" style="46" customWidth="1"/>
    <col min="2307" max="2307" width="81.42578125" style="46" customWidth="1"/>
    <col min="2308" max="2309" width="15.5703125" style="46" customWidth="1"/>
    <col min="2310" max="2310" width="14.140625" style="46" bestFit="1" customWidth="1"/>
    <col min="2311" max="2311" width="18" style="46" bestFit="1" customWidth="1"/>
    <col min="2312" max="2312" width="11" style="46" bestFit="1" customWidth="1"/>
    <col min="2313" max="2561" width="9.140625" style="46"/>
    <col min="2562" max="2562" width="21" style="46" customWidth="1"/>
    <col min="2563" max="2563" width="81.42578125" style="46" customWidth="1"/>
    <col min="2564" max="2565" width="15.5703125" style="46" customWidth="1"/>
    <col min="2566" max="2566" width="14.140625" style="46" bestFit="1" customWidth="1"/>
    <col min="2567" max="2567" width="18" style="46" bestFit="1" customWidth="1"/>
    <col min="2568" max="2568" width="11" style="46" bestFit="1" customWidth="1"/>
    <col min="2569" max="2817" width="9.140625" style="46"/>
    <col min="2818" max="2818" width="21" style="46" customWidth="1"/>
    <col min="2819" max="2819" width="81.42578125" style="46" customWidth="1"/>
    <col min="2820" max="2821" width="15.5703125" style="46" customWidth="1"/>
    <col min="2822" max="2822" width="14.140625" style="46" bestFit="1" customWidth="1"/>
    <col min="2823" max="2823" width="18" style="46" bestFit="1" customWidth="1"/>
    <col min="2824" max="2824" width="11" style="46" bestFit="1" customWidth="1"/>
    <col min="2825" max="3073" width="9.140625" style="46"/>
    <col min="3074" max="3074" width="21" style="46" customWidth="1"/>
    <col min="3075" max="3075" width="81.42578125" style="46" customWidth="1"/>
    <col min="3076" max="3077" width="15.5703125" style="46" customWidth="1"/>
    <col min="3078" max="3078" width="14.140625" style="46" bestFit="1" customWidth="1"/>
    <col min="3079" max="3079" width="18" style="46" bestFit="1" customWidth="1"/>
    <col min="3080" max="3080" width="11" style="46" bestFit="1" customWidth="1"/>
    <col min="3081" max="3329" width="9.140625" style="46"/>
    <col min="3330" max="3330" width="21" style="46" customWidth="1"/>
    <col min="3331" max="3331" width="81.42578125" style="46" customWidth="1"/>
    <col min="3332" max="3333" width="15.5703125" style="46" customWidth="1"/>
    <col min="3334" max="3334" width="14.140625" style="46" bestFit="1" customWidth="1"/>
    <col min="3335" max="3335" width="18" style="46" bestFit="1" customWidth="1"/>
    <col min="3336" max="3336" width="11" style="46" bestFit="1" customWidth="1"/>
    <col min="3337" max="3585" width="9.140625" style="46"/>
    <col min="3586" max="3586" width="21" style="46" customWidth="1"/>
    <col min="3587" max="3587" width="81.42578125" style="46" customWidth="1"/>
    <col min="3588" max="3589" width="15.5703125" style="46" customWidth="1"/>
    <col min="3590" max="3590" width="14.140625" style="46" bestFit="1" customWidth="1"/>
    <col min="3591" max="3591" width="18" style="46" bestFit="1" customWidth="1"/>
    <col min="3592" max="3592" width="11" style="46" bestFit="1" customWidth="1"/>
    <col min="3593" max="3841" width="9.140625" style="46"/>
    <col min="3842" max="3842" width="21" style="46" customWidth="1"/>
    <col min="3843" max="3843" width="81.42578125" style="46" customWidth="1"/>
    <col min="3844" max="3845" width="15.5703125" style="46" customWidth="1"/>
    <col min="3846" max="3846" width="14.140625" style="46" bestFit="1" customWidth="1"/>
    <col min="3847" max="3847" width="18" style="46" bestFit="1" customWidth="1"/>
    <col min="3848" max="3848" width="11" style="46" bestFit="1" customWidth="1"/>
    <col min="3849" max="4097" width="9.140625" style="46"/>
    <col min="4098" max="4098" width="21" style="46" customWidth="1"/>
    <col min="4099" max="4099" width="81.42578125" style="46" customWidth="1"/>
    <col min="4100" max="4101" width="15.5703125" style="46" customWidth="1"/>
    <col min="4102" max="4102" width="14.140625" style="46" bestFit="1" customWidth="1"/>
    <col min="4103" max="4103" width="18" style="46" bestFit="1" customWidth="1"/>
    <col min="4104" max="4104" width="11" style="46" bestFit="1" customWidth="1"/>
    <col min="4105" max="4353" width="9.140625" style="46"/>
    <col min="4354" max="4354" width="21" style="46" customWidth="1"/>
    <col min="4355" max="4355" width="81.42578125" style="46" customWidth="1"/>
    <col min="4356" max="4357" width="15.5703125" style="46" customWidth="1"/>
    <col min="4358" max="4358" width="14.140625" style="46" bestFit="1" customWidth="1"/>
    <col min="4359" max="4359" width="18" style="46" bestFit="1" customWidth="1"/>
    <col min="4360" max="4360" width="11" style="46" bestFit="1" customWidth="1"/>
    <col min="4361" max="4609" width="9.140625" style="46"/>
    <col min="4610" max="4610" width="21" style="46" customWidth="1"/>
    <col min="4611" max="4611" width="81.42578125" style="46" customWidth="1"/>
    <col min="4612" max="4613" width="15.5703125" style="46" customWidth="1"/>
    <col min="4614" max="4614" width="14.140625" style="46" bestFit="1" customWidth="1"/>
    <col min="4615" max="4615" width="18" style="46" bestFit="1" customWidth="1"/>
    <col min="4616" max="4616" width="11" style="46" bestFit="1" customWidth="1"/>
    <col min="4617" max="4865" width="9.140625" style="46"/>
    <col min="4866" max="4866" width="21" style="46" customWidth="1"/>
    <col min="4867" max="4867" width="81.42578125" style="46" customWidth="1"/>
    <col min="4868" max="4869" width="15.5703125" style="46" customWidth="1"/>
    <col min="4870" max="4870" width="14.140625" style="46" bestFit="1" customWidth="1"/>
    <col min="4871" max="4871" width="18" style="46" bestFit="1" customWidth="1"/>
    <col min="4872" max="4872" width="11" style="46" bestFit="1" customWidth="1"/>
    <col min="4873" max="5121" width="9.140625" style="46"/>
    <col min="5122" max="5122" width="21" style="46" customWidth="1"/>
    <col min="5123" max="5123" width="81.42578125" style="46" customWidth="1"/>
    <col min="5124" max="5125" width="15.5703125" style="46" customWidth="1"/>
    <col min="5126" max="5126" width="14.140625" style="46" bestFit="1" customWidth="1"/>
    <col min="5127" max="5127" width="18" style="46" bestFit="1" customWidth="1"/>
    <col min="5128" max="5128" width="11" style="46" bestFit="1" customWidth="1"/>
    <col min="5129" max="5377" width="9.140625" style="46"/>
    <col min="5378" max="5378" width="21" style="46" customWidth="1"/>
    <col min="5379" max="5379" width="81.42578125" style="46" customWidth="1"/>
    <col min="5380" max="5381" width="15.5703125" style="46" customWidth="1"/>
    <col min="5382" max="5382" width="14.140625" style="46" bestFit="1" customWidth="1"/>
    <col min="5383" max="5383" width="18" style="46" bestFit="1" customWidth="1"/>
    <col min="5384" max="5384" width="11" style="46" bestFit="1" customWidth="1"/>
    <col min="5385" max="5633" width="9.140625" style="46"/>
    <col min="5634" max="5634" width="21" style="46" customWidth="1"/>
    <col min="5635" max="5635" width="81.42578125" style="46" customWidth="1"/>
    <col min="5636" max="5637" width="15.5703125" style="46" customWidth="1"/>
    <col min="5638" max="5638" width="14.140625" style="46" bestFit="1" customWidth="1"/>
    <col min="5639" max="5639" width="18" style="46" bestFit="1" customWidth="1"/>
    <col min="5640" max="5640" width="11" style="46" bestFit="1" customWidth="1"/>
    <col min="5641" max="5889" width="9.140625" style="46"/>
    <col min="5890" max="5890" width="21" style="46" customWidth="1"/>
    <col min="5891" max="5891" width="81.42578125" style="46" customWidth="1"/>
    <col min="5892" max="5893" width="15.5703125" style="46" customWidth="1"/>
    <col min="5894" max="5894" width="14.140625" style="46" bestFit="1" customWidth="1"/>
    <col min="5895" max="5895" width="18" style="46" bestFit="1" customWidth="1"/>
    <col min="5896" max="5896" width="11" style="46" bestFit="1" customWidth="1"/>
    <col min="5897" max="6145" width="9.140625" style="46"/>
    <col min="6146" max="6146" width="21" style="46" customWidth="1"/>
    <col min="6147" max="6147" width="81.42578125" style="46" customWidth="1"/>
    <col min="6148" max="6149" width="15.5703125" style="46" customWidth="1"/>
    <col min="6150" max="6150" width="14.140625" style="46" bestFit="1" customWidth="1"/>
    <col min="6151" max="6151" width="18" style="46" bestFit="1" customWidth="1"/>
    <col min="6152" max="6152" width="11" style="46" bestFit="1" customWidth="1"/>
    <col min="6153" max="6401" width="9.140625" style="46"/>
    <col min="6402" max="6402" width="21" style="46" customWidth="1"/>
    <col min="6403" max="6403" width="81.42578125" style="46" customWidth="1"/>
    <col min="6404" max="6405" width="15.5703125" style="46" customWidth="1"/>
    <col min="6406" max="6406" width="14.140625" style="46" bestFit="1" customWidth="1"/>
    <col min="6407" max="6407" width="18" style="46" bestFit="1" customWidth="1"/>
    <col min="6408" max="6408" width="11" style="46" bestFit="1" customWidth="1"/>
    <col min="6409" max="6657" width="9.140625" style="46"/>
    <col min="6658" max="6658" width="21" style="46" customWidth="1"/>
    <col min="6659" max="6659" width="81.42578125" style="46" customWidth="1"/>
    <col min="6660" max="6661" width="15.5703125" style="46" customWidth="1"/>
    <col min="6662" max="6662" width="14.140625" style="46" bestFit="1" customWidth="1"/>
    <col min="6663" max="6663" width="18" style="46" bestFit="1" customWidth="1"/>
    <col min="6664" max="6664" width="11" style="46" bestFit="1" customWidth="1"/>
    <col min="6665" max="6913" width="9.140625" style="46"/>
    <col min="6914" max="6914" width="21" style="46" customWidth="1"/>
    <col min="6915" max="6915" width="81.42578125" style="46" customWidth="1"/>
    <col min="6916" max="6917" width="15.5703125" style="46" customWidth="1"/>
    <col min="6918" max="6918" width="14.140625" style="46" bestFit="1" customWidth="1"/>
    <col min="6919" max="6919" width="18" style="46" bestFit="1" customWidth="1"/>
    <col min="6920" max="6920" width="11" style="46" bestFit="1" customWidth="1"/>
    <col min="6921" max="7169" width="9.140625" style="46"/>
    <col min="7170" max="7170" width="21" style="46" customWidth="1"/>
    <col min="7171" max="7171" width="81.42578125" style="46" customWidth="1"/>
    <col min="7172" max="7173" width="15.5703125" style="46" customWidth="1"/>
    <col min="7174" max="7174" width="14.140625" style="46" bestFit="1" customWidth="1"/>
    <col min="7175" max="7175" width="18" style="46" bestFit="1" customWidth="1"/>
    <col min="7176" max="7176" width="11" style="46" bestFit="1" customWidth="1"/>
    <col min="7177" max="7425" width="9.140625" style="46"/>
    <col min="7426" max="7426" width="21" style="46" customWidth="1"/>
    <col min="7427" max="7427" width="81.42578125" style="46" customWidth="1"/>
    <col min="7428" max="7429" width="15.5703125" style="46" customWidth="1"/>
    <col min="7430" max="7430" width="14.140625" style="46" bestFit="1" customWidth="1"/>
    <col min="7431" max="7431" width="18" style="46" bestFit="1" customWidth="1"/>
    <col min="7432" max="7432" width="11" style="46" bestFit="1" customWidth="1"/>
    <col min="7433" max="7681" width="9.140625" style="46"/>
    <col min="7682" max="7682" width="21" style="46" customWidth="1"/>
    <col min="7683" max="7683" width="81.42578125" style="46" customWidth="1"/>
    <col min="7684" max="7685" width="15.5703125" style="46" customWidth="1"/>
    <col min="7686" max="7686" width="14.140625" style="46" bestFit="1" customWidth="1"/>
    <col min="7687" max="7687" width="18" style="46" bestFit="1" customWidth="1"/>
    <col min="7688" max="7688" width="11" style="46" bestFit="1" customWidth="1"/>
    <col min="7689" max="7937" width="9.140625" style="46"/>
    <col min="7938" max="7938" width="21" style="46" customWidth="1"/>
    <col min="7939" max="7939" width="81.42578125" style="46" customWidth="1"/>
    <col min="7940" max="7941" width="15.5703125" style="46" customWidth="1"/>
    <col min="7942" max="7942" width="14.140625" style="46" bestFit="1" customWidth="1"/>
    <col min="7943" max="7943" width="18" style="46" bestFit="1" customWidth="1"/>
    <col min="7944" max="7944" width="11" style="46" bestFit="1" customWidth="1"/>
    <col min="7945" max="8193" width="9.140625" style="46"/>
    <col min="8194" max="8194" width="21" style="46" customWidth="1"/>
    <col min="8195" max="8195" width="81.42578125" style="46" customWidth="1"/>
    <col min="8196" max="8197" width="15.5703125" style="46" customWidth="1"/>
    <col min="8198" max="8198" width="14.140625" style="46" bestFit="1" customWidth="1"/>
    <col min="8199" max="8199" width="18" style="46" bestFit="1" customWidth="1"/>
    <col min="8200" max="8200" width="11" style="46" bestFit="1" customWidth="1"/>
    <col min="8201" max="8449" width="9.140625" style="46"/>
    <col min="8450" max="8450" width="21" style="46" customWidth="1"/>
    <col min="8451" max="8451" width="81.42578125" style="46" customWidth="1"/>
    <col min="8452" max="8453" width="15.5703125" style="46" customWidth="1"/>
    <col min="8454" max="8454" width="14.140625" style="46" bestFit="1" customWidth="1"/>
    <col min="8455" max="8455" width="18" style="46" bestFit="1" customWidth="1"/>
    <col min="8456" max="8456" width="11" style="46" bestFit="1" customWidth="1"/>
    <col min="8457" max="8705" width="9.140625" style="46"/>
    <col min="8706" max="8706" width="21" style="46" customWidth="1"/>
    <col min="8707" max="8707" width="81.42578125" style="46" customWidth="1"/>
    <col min="8708" max="8709" width="15.5703125" style="46" customWidth="1"/>
    <col min="8710" max="8710" width="14.140625" style="46" bestFit="1" customWidth="1"/>
    <col min="8711" max="8711" width="18" style="46" bestFit="1" customWidth="1"/>
    <col min="8712" max="8712" width="11" style="46" bestFit="1" customWidth="1"/>
    <col min="8713" max="8961" width="9.140625" style="46"/>
    <col min="8962" max="8962" width="21" style="46" customWidth="1"/>
    <col min="8963" max="8963" width="81.42578125" style="46" customWidth="1"/>
    <col min="8964" max="8965" width="15.5703125" style="46" customWidth="1"/>
    <col min="8966" max="8966" width="14.140625" style="46" bestFit="1" customWidth="1"/>
    <col min="8967" max="8967" width="18" style="46" bestFit="1" customWidth="1"/>
    <col min="8968" max="8968" width="11" style="46" bestFit="1" customWidth="1"/>
    <col min="8969" max="9217" width="9.140625" style="46"/>
    <col min="9218" max="9218" width="21" style="46" customWidth="1"/>
    <col min="9219" max="9219" width="81.42578125" style="46" customWidth="1"/>
    <col min="9220" max="9221" width="15.5703125" style="46" customWidth="1"/>
    <col min="9222" max="9222" width="14.140625" style="46" bestFit="1" customWidth="1"/>
    <col min="9223" max="9223" width="18" style="46" bestFit="1" customWidth="1"/>
    <col min="9224" max="9224" width="11" style="46" bestFit="1" customWidth="1"/>
    <col min="9225" max="9473" width="9.140625" style="46"/>
    <col min="9474" max="9474" width="21" style="46" customWidth="1"/>
    <col min="9475" max="9475" width="81.42578125" style="46" customWidth="1"/>
    <col min="9476" max="9477" width="15.5703125" style="46" customWidth="1"/>
    <col min="9478" max="9478" width="14.140625" style="46" bestFit="1" customWidth="1"/>
    <col min="9479" max="9479" width="18" style="46" bestFit="1" customWidth="1"/>
    <col min="9480" max="9480" width="11" style="46" bestFit="1" customWidth="1"/>
    <col min="9481" max="9729" width="9.140625" style="46"/>
    <col min="9730" max="9730" width="21" style="46" customWidth="1"/>
    <col min="9731" max="9731" width="81.42578125" style="46" customWidth="1"/>
    <col min="9732" max="9733" width="15.5703125" style="46" customWidth="1"/>
    <col min="9734" max="9734" width="14.140625" style="46" bestFit="1" customWidth="1"/>
    <col min="9735" max="9735" width="18" style="46" bestFit="1" customWidth="1"/>
    <col min="9736" max="9736" width="11" style="46" bestFit="1" customWidth="1"/>
    <col min="9737" max="9985" width="9.140625" style="46"/>
    <col min="9986" max="9986" width="21" style="46" customWidth="1"/>
    <col min="9987" max="9987" width="81.42578125" style="46" customWidth="1"/>
    <col min="9988" max="9989" width="15.5703125" style="46" customWidth="1"/>
    <col min="9990" max="9990" width="14.140625" style="46" bestFit="1" customWidth="1"/>
    <col min="9991" max="9991" width="18" style="46" bestFit="1" customWidth="1"/>
    <col min="9992" max="9992" width="11" style="46" bestFit="1" customWidth="1"/>
    <col min="9993" max="10241" width="9.140625" style="46"/>
    <col min="10242" max="10242" width="21" style="46" customWidth="1"/>
    <col min="10243" max="10243" width="81.42578125" style="46" customWidth="1"/>
    <col min="10244" max="10245" width="15.5703125" style="46" customWidth="1"/>
    <col min="10246" max="10246" width="14.140625" style="46" bestFit="1" customWidth="1"/>
    <col min="10247" max="10247" width="18" style="46" bestFit="1" customWidth="1"/>
    <col min="10248" max="10248" width="11" style="46" bestFit="1" customWidth="1"/>
    <col min="10249" max="10497" width="9.140625" style="46"/>
    <col min="10498" max="10498" width="21" style="46" customWidth="1"/>
    <col min="10499" max="10499" width="81.42578125" style="46" customWidth="1"/>
    <col min="10500" max="10501" width="15.5703125" style="46" customWidth="1"/>
    <col min="10502" max="10502" width="14.140625" style="46" bestFit="1" customWidth="1"/>
    <col min="10503" max="10503" width="18" style="46" bestFit="1" customWidth="1"/>
    <col min="10504" max="10504" width="11" style="46" bestFit="1" customWidth="1"/>
    <col min="10505" max="10753" width="9.140625" style="46"/>
    <col min="10754" max="10754" width="21" style="46" customWidth="1"/>
    <col min="10755" max="10755" width="81.42578125" style="46" customWidth="1"/>
    <col min="10756" max="10757" width="15.5703125" style="46" customWidth="1"/>
    <col min="10758" max="10758" width="14.140625" style="46" bestFit="1" customWidth="1"/>
    <col min="10759" max="10759" width="18" style="46" bestFit="1" customWidth="1"/>
    <col min="10760" max="10760" width="11" style="46" bestFit="1" customWidth="1"/>
    <col min="10761" max="11009" width="9.140625" style="46"/>
    <col min="11010" max="11010" width="21" style="46" customWidth="1"/>
    <col min="11011" max="11011" width="81.42578125" style="46" customWidth="1"/>
    <col min="11012" max="11013" width="15.5703125" style="46" customWidth="1"/>
    <col min="11014" max="11014" width="14.140625" style="46" bestFit="1" customWidth="1"/>
    <col min="11015" max="11015" width="18" style="46" bestFit="1" customWidth="1"/>
    <col min="11016" max="11016" width="11" style="46" bestFit="1" customWidth="1"/>
    <col min="11017" max="11265" width="9.140625" style="46"/>
    <col min="11266" max="11266" width="21" style="46" customWidth="1"/>
    <col min="11267" max="11267" width="81.42578125" style="46" customWidth="1"/>
    <col min="11268" max="11269" width="15.5703125" style="46" customWidth="1"/>
    <col min="11270" max="11270" width="14.140625" style="46" bestFit="1" customWidth="1"/>
    <col min="11271" max="11271" width="18" style="46" bestFit="1" customWidth="1"/>
    <col min="11272" max="11272" width="11" style="46" bestFit="1" customWidth="1"/>
    <col min="11273" max="11521" width="9.140625" style="46"/>
    <col min="11522" max="11522" width="21" style="46" customWidth="1"/>
    <col min="11523" max="11523" width="81.42578125" style="46" customWidth="1"/>
    <col min="11524" max="11525" width="15.5703125" style="46" customWidth="1"/>
    <col min="11526" max="11526" width="14.140625" style="46" bestFit="1" customWidth="1"/>
    <col min="11527" max="11527" width="18" style="46" bestFit="1" customWidth="1"/>
    <col min="11528" max="11528" width="11" style="46" bestFit="1" customWidth="1"/>
    <col min="11529" max="11777" width="9.140625" style="46"/>
    <col min="11778" max="11778" width="21" style="46" customWidth="1"/>
    <col min="11779" max="11779" width="81.42578125" style="46" customWidth="1"/>
    <col min="11780" max="11781" width="15.5703125" style="46" customWidth="1"/>
    <col min="11782" max="11782" width="14.140625" style="46" bestFit="1" customWidth="1"/>
    <col min="11783" max="11783" width="18" style="46" bestFit="1" customWidth="1"/>
    <col min="11784" max="11784" width="11" style="46" bestFit="1" customWidth="1"/>
    <col min="11785" max="12033" width="9.140625" style="46"/>
    <col min="12034" max="12034" width="21" style="46" customWidth="1"/>
    <col min="12035" max="12035" width="81.42578125" style="46" customWidth="1"/>
    <col min="12036" max="12037" width="15.5703125" style="46" customWidth="1"/>
    <col min="12038" max="12038" width="14.140625" style="46" bestFit="1" customWidth="1"/>
    <col min="12039" max="12039" width="18" style="46" bestFit="1" customWidth="1"/>
    <col min="12040" max="12040" width="11" style="46" bestFit="1" customWidth="1"/>
    <col min="12041" max="12289" width="9.140625" style="46"/>
    <col min="12290" max="12290" width="21" style="46" customWidth="1"/>
    <col min="12291" max="12291" width="81.42578125" style="46" customWidth="1"/>
    <col min="12292" max="12293" width="15.5703125" style="46" customWidth="1"/>
    <col min="12294" max="12294" width="14.140625" style="46" bestFit="1" customWidth="1"/>
    <col min="12295" max="12295" width="18" style="46" bestFit="1" customWidth="1"/>
    <col min="12296" max="12296" width="11" style="46" bestFit="1" customWidth="1"/>
    <col min="12297" max="12545" width="9.140625" style="46"/>
    <col min="12546" max="12546" width="21" style="46" customWidth="1"/>
    <col min="12547" max="12547" width="81.42578125" style="46" customWidth="1"/>
    <col min="12548" max="12549" width="15.5703125" style="46" customWidth="1"/>
    <col min="12550" max="12550" width="14.140625" style="46" bestFit="1" customWidth="1"/>
    <col min="12551" max="12551" width="18" style="46" bestFit="1" customWidth="1"/>
    <col min="12552" max="12552" width="11" style="46" bestFit="1" customWidth="1"/>
    <col min="12553" max="12801" width="9.140625" style="46"/>
    <col min="12802" max="12802" width="21" style="46" customWidth="1"/>
    <col min="12803" max="12803" width="81.42578125" style="46" customWidth="1"/>
    <col min="12804" max="12805" width="15.5703125" style="46" customWidth="1"/>
    <col min="12806" max="12806" width="14.140625" style="46" bestFit="1" customWidth="1"/>
    <col min="12807" max="12807" width="18" style="46" bestFit="1" customWidth="1"/>
    <col min="12808" max="12808" width="11" style="46" bestFit="1" customWidth="1"/>
    <col min="12809" max="13057" width="9.140625" style="46"/>
    <col min="13058" max="13058" width="21" style="46" customWidth="1"/>
    <col min="13059" max="13059" width="81.42578125" style="46" customWidth="1"/>
    <col min="13060" max="13061" width="15.5703125" style="46" customWidth="1"/>
    <col min="13062" max="13062" width="14.140625" style="46" bestFit="1" customWidth="1"/>
    <col min="13063" max="13063" width="18" style="46" bestFit="1" customWidth="1"/>
    <col min="13064" max="13064" width="11" style="46" bestFit="1" customWidth="1"/>
    <col min="13065" max="13313" width="9.140625" style="46"/>
    <col min="13314" max="13314" width="21" style="46" customWidth="1"/>
    <col min="13315" max="13315" width="81.42578125" style="46" customWidth="1"/>
    <col min="13316" max="13317" width="15.5703125" style="46" customWidth="1"/>
    <col min="13318" max="13318" width="14.140625" style="46" bestFit="1" customWidth="1"/>
    <col min="13319" max="13319" width="18" style="46" bestFit="1" customWidth="1"/>
    <col min="13320" max="13320" width="11" style="46" bestFit="1" customWidth="1"/>
    <col min="13321" max="13569" width="9.140625" style="46"/>
    <col min="13570" max="13570" width="21" style="46" customWidth="1"/>
    <col min="13571" max="13571" width="81.42578125" style="46" customWidth="1"/>
    <col min="13572" max="13573" width="15.5703125" style="46" customWidth="1"/>
    <col min="13574" max="13574" width="14.140625" style="46" bestFit="1" customWidth="1"/>
    <col min="13575" max="13575" width="18" style="46" bestFit="1" customWidth="1"/>
    <col min="13576" max="13576" width="11" style="46" bestFit="1" customWidth="1"/>
    <col min="13577" max="13825" width="9.140625" style="46"/>
    <col min="13826" max="13826" width="21" style="46" customWidth="1"/>
    <col min="13827" max="13827" width="81.42578125" style="46" customWidth="1"/>
    <col min="13828" max="13829" width="15.5703125" style="46" customWidth="1"/>
    <col min="13830" max="13830" width="14.140625" style="46" bestFit="1" customWidth="1"/>
    <col min="13831" max="13831" width="18" style="46" bestFit="1" customWidth="1"/>
    <col min="13832" max="13832" width="11" style="46" bestFit="1" customWidth="1"/>
    <col min="13833" max="14081" width="9.140625" style="46"/>
    <col min="14082" max="14082" width="21" style="46" customWidth="1"/>
    <col min="14083" max="14083" width="81.42578125" style="46" customWidth="1"/>
    <col min="14084" max="14085" width="15.5703125" style="46" customWidth="1"/>
    <col min="14086" max="14086" width="14.140625" style="46" bestFit="1" customWidth="1"/>
    <col min="14087" max="14087" width="18" style="46" bestFit="1" customWidth="1"/>
    <col min="14088" max="14088" width="11" style="46" bestFit="1" customWidth="1"/>
    <col min="14089" max="14337" width="9.140625" style="46"/>
    <col min="14338" max="14338" width="21" style="46" customWidth="1"/>
    <col min="14339" max="14339" width="81.42578125" style="46" customWidth="1"/>
    <col min="14340" max="14341" width="15.5703125" style="46" customWidth="1"/>
    <col min="14342" max="14342" width="14.140625" style="46" bestFit="1" customWidth="1"/>
    <col min="14343" max="14343" width="18" style="46" bestFit="1" customWidth="1"/>
    <col min="14344" max="14344" width="11" style="46" bestFit="1" customWidth="1"/>
    <col min="14345" max="14593" width="9.140625" style="46"/>
    <col min="14594" max="14594" width="21" style="46" customWidth="1"/>
    <col min="14595" max="14595" width="81.42578125" style="46" customWidth="1"/>
    <col min="14596" max="14597" width="15.5703125" style="46" customWidth="1"/>
    <col min="14598" max="14598" width="14.140625" style="46" bestFit="1" customWidth="1"/>
    <col min="14599" max="14599" width="18" style="46" bestFit="1" customWidth="1"/>
    <col min="14600" max="14600" width="11" style="46" bestFit="1" customWidth="1"/>
    <col min="14601" max="14849" width="9.140625" style="46"/>
    <col min="14850" max="14850" width="21" style="46" customWidth="1"/>
    <col min="14851" max="14851" width="81.42578125" style="46" customWidth="1"/>
    <col min="14852" max="14853" width="15.5703125" style="46" customWidth="1"/>
    <col min="14854" max="14854" width="14.140625" style="46" bestFit="1" customWidth="1"/>
    <col min="14855" max="14855" width="18" style="46" bestFit="1" customWidth="1"/>
    <col min="14856" max="14856" width="11" style="46" bestFit="1" customWidth="1"/>
    <col min="14857" max="15105" width="9.140625" style="46"/>
    <col min="15106" max="15106" width="21" style="46" customWidth="1"/>
    <col min="15107" max="15107" width="81.42578125" style="46" customWidth="1"/>
    <col min="15108" max="15109" width="15.5703125" style="46" customWidth="1"/>
    <col min="15110" max="15110" width="14.140625" style="46" bestFit="1" customWidth="1"/>
    <col min="15111" max="15111" width="18" style="46" bestFit="1" customWidth="1"/>
    <col min="15112" max="15112" width="11" style="46" bestFit="1" customWidth="1"/>
    <col min="15113" max="15361" width="9.140625" style="46"/>
    <col min="15362" max="15362" width="21" style="46" customWidth="1"/>
    <col min="15363" max="15363" width="81.42578125" style="46" customWidth="1"/>
    <col min="15364" max="15365" width="15.5703125" style="46" customWidth="1"/>
    <col min="15366" max="15366" width="14.140625" style="46" bestFit="1" customWidth="1"/>
    <col min="15367" max="15367" width="18" style="46" bestFit="1" customWidth="1"/>
    <col min="15368" max="15368" width="11" style="46" bestFit="1" customWidth="1"/>
    <col min="15369" max="15617" width="9.140625" style="46"/>
    <col min="15618" max="15618" width="21" style="46" customWidth="1"/>
    <col min="15619" max="15619" width="81.42578125" style="46" customWidth="1"/>
    <col min="15620" max="15621" width="15.5703125" style="46" customWidth="1"/>
    <col min="15622" max="15622" width="14.140625" style="46" bestFit="1" customWidth="1"/>
    <col min="15623" max="15623" width="18" style="46" bestFit="1" customWidth="1"/>
    <col min="15624" max="15624" width="11" style="46" bestFit="1" customWidth="1"/>
    <col min="15625" max="15873" width="9.140625" style="46"/>
    <col min="15874" max="15874" width="21" style="46" customWidth="1"/>
    <col min="15875" max="15875" width="81.42578125" style="46" customWidth="1"/>
    <col min="15876" max="15877" width="15.5703125" style="46" customWidth="1"/>
    <col min="15878" max="15878" width="14.140625" style="46" bestFit="1" customWidth="1"/>
    <col min="15879" max="15879" width="18" style="46" bestFit="1" customWidth="1"/>
    <col min="15880" max="15880" width="11" style="46" bestFit="1" customWidth="1"/>
    <col min="15881" max="16129" width="9.140625" style="46"/>
    <col min="16130" max="16130" width="21" style="46" customWidth="1"/>
    <col min="16131" max="16131" width="81.42578125" style="46" customWidth="1"/>
    <col min="16132" max="16133" width="15.5703125" style="46" customWidth="1"/>
    <col min="16134" max="16134" width="14.140625" style="46" bestFit="1" customWidth="1"/>
    <col min="16135" max="16135" width="18" style="46" bestFit="1" customWidth="1"/>
    <col min="16136" max="16136" width="11" style="46" bestFit="1" customWidth="1"/>
    <col min="16137" max="16384" width="9.140625" style="46"/>
  </cols>
  <sheetData>
    <row r="1" spans="1:8" ht="13.5" thickBot="1"/>
    <row r="2" spans="1:8" s="51" customFormat="1" ht="6" thickBot="1">
      <c r="B2" s="52"/>
      <c r="C2" s="1387"/>
      <c r="D2" s="53"/>
      <c r="E2" s="54"/>
      <c r="F2" s="54"/>
      <c r="G2" s="55"/>
    </row>
    <row r="3" spans="1:8" ht="60" customHeight="1" thickBot="1">
      <c r="A3" s="226" t="s">
        <v>390</v>
      </c>
      <c r="B3" s="2211"/>
      <c r="C3" s="2189" t="s">
        <v>13361</v>
      </c>
      <c r="D3" s="2190"/>
      <c r="E3" s="1608"/>
      <c r="F3" s="2118" t="str">
        <f>'ORÇAMENTO '!M5</f>
        <v>Ref.: Tabela de Serviços
SINAPI (JANEIRO/2024)</v>
      </c>
      <c r="G3" s="2119"/>
    </row>
    <row r="4" spans="1:8" ht="57" customHeight="1" thickBot="1">
      <c r="A4" s="226" t="s">
        <v>391</v>
      </c>
      <c r="B4" s="2212"/>
      <c r="C4" s="2191" t="s">
        <v>13363</v>
      </c>
      <c r="D4" s="2192"/>
      <c r="E4" s="1609"/>
      <c r="F4" s="379" t="s">
        <v>4</v>
      </c>
      <c r="G4" s="378">
        <f>'BDI '!G32</f>
        <v>0.24199999999999999</v>
      </c>
    </row>
    <row r="5" spans="1:8" s="57" customFormat="1" ht="15" customHeight="1" thickBot="1">
      <c r="B5" s="2442" t="str">
        <f>RESUMO!B7</f>
        <v>C E N T R A L   D E   P R O J E T O S</v>
      </c>
      <c r="C5" s="2443"/>
      <c r="D5" s="2444"/>
      <c r="E5" s="2444"/>
      <c r="F5" s="2444"/>
      <c r="G5" s="2469"/>
    </row>
    <row r="6" spans="1:8" s="51" customFormat="1" ht="6" thickBot="1">
      <c r="B6" s="52"/>
      <c r="C6" s="123"/>
      <c r="D6" s="53"/>
      <c r="E6" s="54"/>
      <c r="F6" s="54"/>
      <c r="G6" s="55"/>
    </row>
    <row r="7" spans="1:8" ht="18" customHeight="1">
      <c r="B7" s="207" t="s">
        <v>5</v>
      </c>
      <c r="C7" s="2215" t="str">
        <f>'ORÇAMENTO '!G11</f>
        <v xml:space="preserve">ESCOLA MUNICIPAL DOMINGOS AZZOLINI </v>
      </c>
      <c r="D7" s="2215"/>
      <c r="E7" s="2215"/>
      <c r="F7" s="208" t="s">
        <v>6</v>
      </c>
      <c r="G7" s="209">
        <f>'ORÇAMENTO '!N11</f>
        <v>45366</v>
      </c>
    </row>
    <row r="8" spans="1:8" ht="18" customHeight="1">
      <c r="B8" s="210" t="s">
        <v>7</v>
      </c>
      <c r="C8" s="2213" t="str">
        <f>'ORÇAMENTO '!G12</f>
        <v>SANTO ANTONIO DO LESTE</v>
      </c>
      <c r="D8" s="2213"/>
      <c r="E8" s="2214" t="str">
        <f>'ORÇAMENTO '!K12</f>
        <v>LEIS SOCIAIS: HORISTA</v>
      </c>
      <c r="F8" s="2214"/>
      <c r="G8" s="211">
        <f>'ORÇAMENTO '!N12</f>
        <v>1.0684</v>
      </c>
    </row>
    <row r="9" spans="1:8" ht="18" customHeight="1" thickBot="1">
      <c r="B9" s="2187"/>
      <c r="C9" s="2188"/>
      <c r="D9" s="2188"/>
      <c r="E9" s="2186" t="str">
        <f>'ORÇAMENTO '!K13</f>
        <v>LEIS SOCIAIS: MENSALISTA</v>
      </c>
      <c r="F9" s="2186"/>
      <c r="G9" s="193">
        <f>'ORÇAMENTO '!N13</f>
        <v>0.65400000000000003</v>
      </c>
    </row>
    <row r="10" spans="1:8" s="51" customFormat="1" ht="6" thickBot="1">
      <c r="B10" s="1658"/>
      <c r="C10" s="1659"/>
      <c r="D10" s="1660"/>
      <c r="E10" s="1661"/>
      <c r="F10" s="1661"/>
      <c r="G10" s="1662"/>
    </row>
    <row r="11" spans="1:8" ht="18.75" thickBot="1">
      <c r="B11" s="2220" t="s">
        <v>160</v>
      </c>
      <c r="C11" s="2221"/>
      <c r="D11" s="2221"/>
      <c r="E11" s="2221"/>
      <c r="F11" s="2221"/>
      <c r="G11" s="2222"/>
    </row>
    <row r="12" spans="1:8" s="51" customFormat="1" ht="6" thickBot="1">
      <c r="B12" s="1658"/>
      <c r="C12" s="1659"/>
      <c r="D12" s="1660"/>
      <c r="E12" s="1661"/>
      <c r="F12" s="1661"/>
      <c r="G12" s="1662"/>
    </row>
    <row r="13" spans="1:8" ht="6" customHeight="1" thickBot="1">
      <c r="B13" s="66"/>
      <c r="C13" s="66"/>
      <c r="D13" s="66"/>
      <c r="E13" s="66"/>
      <c r="F13" s="58"/>
      <c r="G13" s="58"/>
    </row>
    <row r="14" spans="1:8" s="1156" customFormat="1" ht="46.5" customHeight="1">
      <c r="A14" s="1154"/>
      <c r="B14" s="377" t="s">
        <v>13969</v>
      </c>
      <c r="C14" s="2180" t="str">
        <f>CONCATENATE("FORNECIMENTO E INSTALAÇÃO DE ",C17)</f>
        <v xml:space="preserve">FORNECIMENTO E INSTALAÇÃO DE ALONGADOR COM TRES ALTURAS, EM TUBO DE ACO CARBONO, PINTURA NO PROCESSO ELETROSTATICO - EQUIPAMENTO DE GINASTICA PARA ACADEMIA AO AR LIVRE / ACADEMIA DA TERCEIRA IDADE - ATI                                                                                                                                                                                                                                                                                                                             </v>
      </c>
      <c r="D14" s="2180"/>
      <c r="E14" s="2180"/>
      <c r="F14" s="2180"/>
      <c r="G14" s="1155" t="s">
        <v>22</v>
      </c>
      <c r="H14" s="806">
        <f>G22</f>
        <v>2349.16</v>
      </c>
    </row>
    <row r="15" spans="1:8" s="271" customFormat="1" ht="31.5">
      <c r="A15" s="333"/>
      <c r="B15" s="1093" t="s">
        <v>197</v>
      </c>
      <c r="C15" s="1157" t="s">
        <v>161</v>
      </c>
      <c r="D15" s="1157" t="s">
        <v>22</v>
      </c>
      <c r="E15" s="1157" t="s">
        <v>162</v>
      </c>
      <c r="F15" s="1158" t="s">
        <v>163</v>
      </c>
      <c r="G15" s="1159" t="s">
        <v>164</v>
      </c>
    </row>
    <row r="16" spans="1:8" s="271" customFormat="1" ht="15.75">
      <c r="A16" s="333"/>
      <c r="B16" s="2389" t="s">
        <v>165</v>
      </c>
      <c r="C16" s="2390"/>
      <c r="D16" s="2390"/>
      <c r="E16" s="2390"/>
      <c r="F16" s="2390"/>
      <c r="G16" s="2391"/>
    </row>
    <row r="17" spans="1:8" s="271" customFormat="1" ht="60">
      <c r="A17" s="333" t="s">
        <v>390</v>
      </c>
      <c r="B17" s="1097">
        <v>42428</v>
      </c>
      <c r="C17" s="1098" t="str">
        <f>IF($A17="INSUMO",VLOOKUP($B17,'BANCO DE DADOS JANEIRO-24 INS'!$A:$D,2,FALSE),VLOOKUP($B17,'BANCO DE DADOS JANEIRO-24 SERV'!$B:$E,2,FALSE))</f>
        <v xml:space="preserve">ALONGADOR COM TRES ALTURAS, EM TUBO DE ACO CARBONO, PINTURA NO PROCESSO ELETROSTATICO - EQUIPAMENTO DE GINASTICA PARA ACADEMIA AO AR LIVRE / ACADEMIA DA TERCEIRA IDADE - ATI                                                                                                                                                                                                                                                                                                                             </v>
      </c>
      <c r="D17" s="1099" t="str">
        <f>IF($A17="INSUMO",VLOOKUP($B17,'BANCO DE DADOS JANEIRO-24 INS'!$A:$D,3,FALSE),VLOOKUP($B17,'BANCO DE DADOS JANEIRO-24 SERV'!$B:$E,3,FALSE))</f>
        <v xml:space="preserve">UN    </v>
      </c>
      <c r="E17" s="1165">
        <v>1</v>
      </c>
      <c r="F17" s="1118">
        <f>IF($A17="INSUMO",VLOOKUP($B17,'BANCO DE DADOS JANEIRO-24 INS'!$A:$D,4,FALSE),VLOOKUP($B17,'BANCO DE DADOS JANEIRO-24 SERV'!$B:$E,4,FALSE))</f>
        <v>2271</v>
      </c>
      <c r="G17" s="1164">
        <f>TRUNC(E17*F17,2)</f>
        <v>2271</v>
      </c>
    </row>
    <row r="18" spans="1:8" s="271" customFormat="1" ht="45">
      <c r="A18" s="333" t="s">
        <v>391</v>
      </c>
      <c r="B18" s="1097">
        <v>94963</v>
      </c>
      <c r="C18" s="1098" t="str">
        <f>IF($A18="INSUMO",VLOOKUP($B18,'BANCO DE DADOS JANEIRO-24 INS'!$A:$D,2,FALSE),VLOOKUP($B18,'BANCO DE DADOS JANEIRO-24 SERV'!$B:$E,2,FALSE))</f>
        <v>CONCRETO FCK = 15MPA, TRAÇO 1:3,4:3,5 (EM MASSA SECA DE CIMENTO/ AREIA MÉDIA/ BRITA 1) - PREPARO MECÂNICO COM BETONEIRA 400 L. AF_05/2021</v>
      </c>
      <c r="D18" s="1099" t="str">
        <f>IF($A18="INSUMO",VLOOKUP($B18,'BANCO DE DADOS JANEIRO-24 INS'!$A:$D,3,FALSE),VLOOKUP($B18,'BANCO DE DADOS JANEIRO-24 SERV'!$B:$E,3,FALSE))</f>
        <v>M3</v>
      </c>
      <c r="E18" s="1165">
        <v>6.4000000000000001E-2</v>
      </c>
      <c r="F18" s="1118">
        <f>IF($A18="INSUMO",VLOOKUP($B18,'BANCO DE DADOS JANEIRO-24 INS'!$A:$D,4,FALSE),VLOOKUP($B18,'BANCO DE DADOS JANEIRO-24 SERV'!$B:$E,4,FALSE))</f>
        <v>503.53</v>
      </c>
      <c r="G18" s="1164">
        <f>TRUNC(E18*F18,2)</f>
        <v>32.22</v>
      </c>
    </row>
    <row r="19" spans="1:8" s="271" customFormat="1" ht="15.75">
      <c r="A19" s="333"/>
      <c r="B19" s="2389" t="s">
        <v>166</v>
      </c>
      <c r="C19" s="2390"/>
      <c r="D19" s="2390"/>
      <c r="E19" s="2390"/>
      <c r="F19" s="2390"/>
      <c r="G19" s="2391"/>
    </row>
    <row r="20" spans="1:8" s="271" customFormat="1" ht="15.75">
      <c r="A20" s="333" t="s">
        <v>391</v>
      </c>
      <c r="B20" s="1166">
        <v>88309</v>
      </c>
      <c r="C20" s="1098" t="str">
        <f>IF($A20="INSUMO",VLOOKUP($B20,'BANCO DE DADOS JANEIRO-24 INS'!$A:$D,2,FALSE),VLOOKUP($B20,'BANCO DE DADOS JANEIRO-24 SERV'!$B:$E,2,FALSE))</f>
        <v>PEDREIRO COM ENCARGOS COMPLEMENTARES</v>
      </c>
      <c r="D20" s="1099" t="str">
        <f>IF($A20="INSUMO",VLOOKUP($B20,'BANCO DE DADOS JANEIRO-24 INS'!$A:$D,3,FALSE),VLOOKUP($B20,'BANCO DE DADOS JANEIRO-24 SERV'!$B:$E,3,FALSE))</f>
        <v>H</v>
      </c>
      <c r="E20" s="1167">
        <v>1</v>
      </c>
      <c r="F20" s="1118">
        <f>IF($A20="INSUMO",VLOOKUP($B20,'BANCO DE DADOS JANEIRO-24 INS'!$A:$D,4,FALSE),VLOOKUP($B20,'BANCO DE DADOS JANEIRO-24 SERV'!$B:$E,4,FALSE))</f>
        <v>25.62</v>
      </c>
      <c r="G20" s="1164">
        <f>TRUNC(E20*F20,2)</f>
        <v>25.62</v>
      </c>
    </row>
    <row r="21" spans="1:8" s="271" customFormat="1" ht="16.5" thickBot="1">
      <c r="A21" s="333" t="s">
        <v>391</v>
      </c>
      <c r="B21" s="1168">
        <v>88316</v>
      </c>
      <c r="C21" s="1103" t="str">
        <f>IF($A21="INSUMO",VLOOKUP($B21,'BANCO DE DADOS JANEIRO-24 INS'!$A:$D,2,FALSE),VLOOKUP($B21,'BANCO DE DADOS JANEIRO-24 SERV'!$B:$E,2,FALSE))</f>
        <v>SERVENTE COM ENCARGOS COMPLEMENTARES</v>
      </c>
      <c r="D21" s="1104" t="str">
        <f>IF($A21="INSUMO",VLOOKUP($B21,'BANCO DE DADOS JANEIRO-24 INS'!$A:$D,3,FALSE),VLOOKUP($B21,'BANCO DE DADOS JANEIRO-24 SERV'!$B:$E,3,FALSE))</f>
        <v>H</v>
      </c>
      <c r="E21" s="1169">
        <v>1</v>
      </c>
      <c r="F21" s="1119">
        <f>IF($A21="INSUMO",VLOOKUP($B21,'BANCO DE DADOS JANEIRO-24 INS'!$A:$D,4,FALSE),VLOOKUP($B21,'BANCO DE DADOS JANEIRO-24 SERV'!$B:$E,4,FALSE))</f>
        <v>20.32</v>
      </c>
      <c r="G21" s="1170">
        <f>TRUNC(E21*F21,2)</f>
        <v>20.32</v>
      </c>
    </row>
    <row r="22" spans="1:8" s="271" customFormat="1" ht="16.5" thickBot="1">
      <c r="A22" s="333"/>
      <c r="B22" s="2472" t="s">
        <v>5384</v>
      </c>
      <c r="C22" s="2472"/>
      <c r="D22" s="2472"/>
      <c r="E22" s="2473"/>
      <c r="F22" s="1171" t="s">
        <v>167</v>
      </c>
      <c r="G22" s="1172">
        <f>ROUND(SUM(G17:G21),2)</f>
        <v>2349.16</v>
      </c>
    </row>
    <row r="23" spans="1:8" s="271" customFormat="1" ht="16.5" thickBot="1">
      <c r="A23" s="333"/>
      <c r="B23" s="601"/>
      <c r="C23" s="601"/>
      <c r="D23" s="300"/>
      <c r="E23" s="257"/>
      <c r="F23" s="301"/>
      <c r="G23" s="302"/>
    </row>
    <row r="24" spans="1:8" s="1156" customFormat="1" ht="52.5" customHeight="1">
      <c r="A24" s="1154"/>
      <c r="B24" s="377" t="str">
        <f>IF(COUNT($H$14:H24)&lt;10,CONCATENATE("CPU ACAD 00",COUNT($H$14:H24)),CONCATENATE("CPU ACAD 0",COUNT($H$14:H24)))</f>
        <v>CPU ACAD 002</v>
      </c>
      <c r="C24" s="2180" t="str">
        <f>CONCATENATE("FORNECIMENTO E INSTALAÇÃO DE ",C27)</f>
        <v xml:space="preserve">FORNECIMENTO E INSTALAÇÃO DE ROTACAO DIAGONAL DUPLA, APARELHO TRIPLO, EM TUBO DE ACO CARBONO, PINTURA NO PROCESSO ELETROSTATICO - EQUIPAMENTO DE GINASTICA PARA ACADEMIA AO AR LIVRE / ACADEMIA DA TERCEIRA IDADE - ATI                                                                                                                                                                                                                                                                                                                </v>
      </c>
      <c r="D24" s="2180"/>
      <c r="E24" s="2180"/>
      <c r="F24" s="2180"/>
      <c r="G24" s="1155" t="s">
        <v>22</v>
      </c>
      <c r="H24" s="806">
        <f>G32</f>
        <v>2502.8000000000002</v>
      </c>
    </row>
    <row r="25" spans="1:8" s="271" customFormat="1" ht="31.5">
      <c r="A25" s="333"/>
      <c r="B25" s="1093" t="s">
        <v>197</v>
      </c>
      <c r="C25" s="1157" t="s">
        <v>161</v>
      </c>
      <c r="D25" s="1157" t="s">
        <v>22</v>
      </c>
      <c r="E25" s="1157" t="s">
        <v>162</v>
      </c>
      <c r="F25" s="1158" t="s">
        <v>163</v>
      </c>
      <c r="G25" s="1159" t="s">
        <v>164</v>
      </c>
    </row>
    <row r="26" spans="1:8" s="271" customFormat="1" ht="15.75">
      <c r="A26" s="333"/>
      <c r="B26" s="2389" t="s">
        <v>165</v>
      </c>
      <c r="C26" s="2390"/>
      <c r="D26" s="2390"/>
      <c r="E26" s="2390"/>
      <c r="F26" s="2390"/>
      <c r="G26" s="2391"/>
    </row>
    <row r="27" spans="1:8" s="271" customFormat="1" ht="60">
      <c r="A27" s="333" t="s">
        <v>390</v>
      </c>
      <c r="B27" s="1097">
        <v>42432</v>
      </c>
      <c r="C27" s="1098" t="str">
        <f>IF($A27="INSUMO",VLOOKUP($B27,'BANCO DE DADOS JANEIRO-24 INS'!$A:$D,2,FALSE),VLOOKUP($B27,'BANCO DE DADOS JANEIRO-24 SERV'!$B:$E,2,FALSE))</f>
        <v xml:space="preserve">ROTACAO DIAGONAL DUPLA, APARELHO TRIPLO, EM TUBO DE ACO CARBONO, PINTURA NO PROCESSO ELETROSTATICO - EQUIPAMENTO DE GINASTICA PARA ACADEMIA AO AR LIVRE / ACADEMIA DA TERCEIRA IDADE - ATI                                                                                                                                                                                                                                                                                                                </v>
      </c>
      <c r="D27" s="1099" t="str">
        <f>IF($A27="INSUMO",VLOOKUP($B27,'BANCO DE DADOS JANEIRO-24 INS'!$A:$D,3,FALSE),VLOOKUP($B27,'BANCO DE DADOS JANEIRO-24 SERV'!$B:$E,3,FALSE))</f>
        <v xml:space="preserve">UN    </v>
      </c>
      <c r="E27" s="1165">
        <v>1</v>
      </c>
      <c r="F27" s="1118">
        <f>IF($A27="INSUMO",VLOOKUP($B27,'BANCO DE DADOS JANEIRO-24 INS'!$A:$D,4,FALSE),VLOOKUP($B27,'BANCO DE DADOS JANEIRO-24 SERV'!$B:$E,4,FALSE))</f>
        <v>2424.64</v>
      </c>
      <c r="G27" s="1164">
        <f>TRUNC(E27*F27,2)</f>
        <v>2424.64</v>
      </c>
    </row>
    <row r="28" spans="1:8" s="271" customFormat="1" ht="45">
      <c r="A28" s="333" t="s">
        <v>391</v>
      </c>
      <c r="B28" s="1097">
        <v>94963</v>
      </c>
      <c r="C28" s="1098" t="str">
        <f>IF($A28="INSUMO",VLOOKUP($B28,'BANCO DE DADOS JANEIRO-24 INS'!$A:$D,2,FALSE),VLOOKUP($B28,'BANCO DE DADOS JANEIRO-24 SERV'!$B:$E,2,FALSE))</f>
        <v>CONCRETO FCK = 15MPA, TRAÇO 1:3,4:3,5 (EM MASSA SECA DE CIMENTO/ AREIA MÉDIA/ BRITA 1) - PREPARO MECÂNICO COM BETONEIRA 400 L. AF_05/2021</v>
      </c>
      <c r="D28" s="1099" t="str">
        <f>IF($A28="INSUMO",VLOOKUP($B28,'BANCO DE DADOS JANEIRO-24 INS'!$A:$D,3,FALSE),VLOOKUP($B28,'BANCO DE DADOS JANEIRO-24 SERV'!$B:$E,3,FALSE))</f>
        <v>M3</v>
      </c>
      <c r="E28" s="1165">
        <v>6.4000000000000001E-2</v>
      </c>
      <c r="F28" s="1118">
        <f>IF($A28="INSUMO",VLOOKUP($B28,'BANCO DE DADOS JANEIRO-24 INS'!$A:$D,4,FALSE),VLOOKUP($B28,'BANCO DE DADOS JANEIRO-24 SERV'!$B:$E,4,FALSE))</f>
        <v>503.53</v>
      </c>
      <c r="G28" s="1164">
        <f>TRUNC(E28*F28,2)</f>
        <v>32.22</v>
      </c>
    </row>
    <row r="29" spans="1:8" s="271" customFormat="1" ht="15.75">
      <c r="A29" s="333"/>
      <c r="B29" s="2389" t="s">
        <v>166</v>
      </c>
      <c r="C29" s="2390"/>
      <c r="D29" s="2390"/>
      <c r="E29" s="2390"/>
      <c r="F29" s="2390"/>
      <c r="G29" s="2391"/>
    </row>
    <row r="30" spans="1:8" s="271" customFormat="1" ht="15.75">
      <c r="A30" s="333" t="s">
        <v>391</v>
      </c>
      <c r="B30" s="1166">
        <v>88309</v>
      </c>
      <c r="C30" s="1098" t="str">
        <f>IF($A30="INSUMO",VLOOKUP($B30,'BANCO DE DADOS JANEIRO-24 INS'!$A:$D,2,FALSE),VLOOKUP($B30,'BANCO DE DADOS JANEIRO-24 SERV'!$B:$E,2,FALSE))</f>
        <v>PEDREIRO COM ENCARGOS COMPLEMENTARES</v>
      </c>
      <c r="D30" s="1099" t="str">
        <f>IF($A30="INSUMO",VLOOKUP($B30,'BANCO DE DADOS JANEIRO-24 INS'!$A:$D,3,FALSE),VLOOKUP($B30,'BANCO DE DADOS JANEIRO-24 SERV'!$B:$E,3,FALSE))</f>
        <v>H</v>
      </c>
      <c r="E30" s="1167">
        <v>1</v>
      </c>
      <c r="F30" s="1118">
        <f>IF($A30="INSUMO",VLOOKUP($B30,'BANCO DE DADOS JANEIRO-24 INS'!$A:$D,4,FALSE),VLOOKUP($B30,'BANCO DE DADOS JANEIRO-24 SERV'!$B:$E,4,FALSE))</f>
        <v>25.62</v>
      </c>
      <c r="G30" s="1164">
        <f>TRUNC(E30*F30,2)</f>
        <v>25.62</v>
      </c>
    </row>
    <row r="31" spans="1:8" s="271" customFormat="1" ht="16.5" thickBot="1">
      <c r="A31" s="333" t="s">
        <v>391</v>
      </c>
      <c r="B31" s="1168">
        <v>88316</v>
      </c>
      <c r="C31" s="1103" t="str">
        <f>IF($A31="INSUMO",VLOOKUP($B31,'BANCO DE DADOS JANEIRO-24 INS'!$A:$D,2,FALSE),VLOOKUP($B31,'BANCO DE DADOS JANEIRO-24 SERV'!$B:$E,2,FALSE))</f>
        <v>SERVENTE COM ENCARGOS COMPLEMENTARES</v>
      </c>
      <c r="D31" s="1104" t="str">
        <f>IF($A31="INSUMO",VLOOKUP($B31,'BANCO DE DADOS JANEIRO-24 INS'!$A:$D,3,FALSE),VLOOKUP($B31,'BANCO DE DADOS JANEIRO-24 SERV'!$B:$E,3,FALSE))</f>
        <v>H</v>
      </c>
      <c r="E31" s="1169">
        <v>1</v>
      </c>
      <c r="F31" s="1119">
        <f>IF($A31="INSUMO",VLOOKUP($B31,'BANCO DE DADOS JANEIRO-24 INS'!$A:$D,4,FALSE),VLOOKUP($B31,'BANCO DE DADOS JANEIRO-24 SERV'!$B:$E,4,FALSE))</f>
        <v>20.32</v>
      </c>
      <c r="G31" s="1170">
        <f>TRUNC(E31*F31,2)</f>
        <v>20.32</v>
      </c>
    </row>
    <row r="32" spans="1:8" s="271" customFormat="1" ht="16.5" thickBot="1">
      <c r="A32" s="333"/>
      <c r="B32" s="2472" t="s">
        <v>5383</v>
      </c>
      <c r="C32" s="2472"/>
      <c r="D32" s="2472"/>
      <c r="E32" s="2473"/>
      <c r="F32" s="1171" t="s">
        <v>167</v>
      </c>
      <c r="G32" s="1172">
        <f>ROUND(SUM(G27:G31),2)</f>
        <v>2502.8000000000002</v>
      </c>
    </row>
    <row r="33" spans="1:8" s="271" customFormat="1" ht="16.5" thickBot="1">
      <c r="A33" s="333"/>
      <c r="B33" s="601"/>
      <c r="C33" s="601"/>
      <c r="D33" s="300"/>
      <c r="E33" s="257"/>
      <c r="F33" s="301"/>
      <c r="G33" s="302"/>
    </row>
    <row r="34" spans="1:8" s="1156" customFormat="1" ht="51" customHeight="1">
      <c r="A34" s="1154"/>
      <c r="B34" s="377" t="str">
        <f>IF(COUNT($H$14:H34)&lt;10,CONCATENATE("CPU ACAD 00",COUNT($H$14:H34)),CONCATENATE("CPU ACAD 0",COUNT($H$14:H34)))</f>
        <v>CPU ACAD 003</v>
      </c>
      <c r="C34" s="2180" t="str">
        <f>CONCATENATE("FORNECIMENTO E INSTALAÇÃO DE ",C37)</f>
        <v xml:space="preserve">FORNECIMENTO E INSTALAÇÃO DE ROTACAO VERTICAL DUPLO, EM TUBO DE ACO CARBONO, PINTURA NO PROCESSO ELETROSTATICO - EQUIPAMENTO DE GINASTICA PARA ACADEMIA AO AR LIVRE / ACADEMIA DA TERCEIRA IDADE - ATI                                                                                                                                                                                                                                                                                                                                 </v>
      </c>
      <c r="D34" s="2180"/>
      <c r="E34" s="2180"/>
      <c r="F34" s="2180"/>
      <c r="G34" s="1155" t="s">
        <v>22</v>
      </c>
      <c r="H34" s="806">
        <f>G42</f>
        <v>1921.53</v>
      </c>
    </row>
    <row r="35" spans="1:8" s="271" customFormat="1" ht="31.5">
      <c r="A35" s="333"/>
      <c r="B35" s="1093" t="s">
        <v>197</v>
      </c>
      <c r="C35" s="1157" t="s">
        <v>161</v>
      </c>
      <c r="D35" s="1157" t="s">
        <v>22</v>
      </c>
      <c r="E35" s="1157" t="s">
        <v>162</v>
      </c>
      <c r="F35" s="1158" t="s">
        <v>163</v>
      </c>
      <c r="G35" s="1159" t="s">
        <v>164</v>
      </c>
    </row>
    <row r="36" spans="1:8" s="271" customFormat="1" ht="15.75">
      <c r="A36" s="333"/>
      <c r="B36" s="2389" t="s">
        <v>165</v>
      </c>
      <c r="C36" s="2390"/>
      <c r="D36" s="2390"/>
      <c r="E36" s="2390"/>
      <c r="F36" s="2390"/>
      <c r="G36" s="2391"/>
    </row>
    <row r="37" spans="1:8" s="271" customFormat="1" ht="60">
      <c r="A37" s="333" t="s">
        <v>390</v>
      </c>
      <c r="B37" s="1097">
        <v>42437</v>
      </c>
      <c r="C37" s="1098" t="str">
        <f>IF($A37="INSUMO",VLOOKUP($B37,'BANCO DE DADOS JANEIRO-24 INS'!$A:$D,2,FALSE),VLOOKUP($B37,'BANCO DE DADOS JANEIRO-24 SERV'!$B:$E,2,FALSE))</f>
        <v xml:space="preserve">ROTACAO VERTICAL DUPLO, EM TUBO DE ACO CARBONO, PINTURA NO PROCESSO ELETROSTATICO - EQUIPAMENTO DE GINASTICA PARA ACADEMIA AO AR LIVRE / ACADEMIA DA TERCEIRA IDADE - ATI                                                                                                                                                                                                                                                                                                                                 </v>
      </c>
      <c r="D37" s="1099" t="str">
        <f>IF($A37="INSUMO",VLOOKUP($B37,'BANCO DE DADOS JANEIRO-24 INS'!$A:$D,3,FALSE),VLOOKUP($B37,'BANCO DE DADOS JANEIRO-24 SERV'!$B:$E,3,FALSE))</f>
        <v xml:space="preserve">UN    </v>
      </c>
      <c r="E37" s="1165">
        <v>1</v>
      </c>
      <c r="F37" s="1118">
        <f>IF($A37="INSUMO",VLOOKUP($B37,'BANCO DE DADOS JANEIRO-24 INS'!$A:$D,4,FALSE),VLOOKUP($B37,'BANCO DE DADOS JANEIRO-24 SERV'!$B:$E,4,FALSE))</f>
        <v>1843.37</v>
      </c>
      <c r="G37" s="1164">
        <f>TRUNC(E37*F37,2)</f>
        <v>1843.37</v>
      </c>
    </row>
    <row r="38" spans="1:8" s="271" customFormat="1" ht="45">
      <c r="A38" s="333" t="s">
        <v>391</v>
      </c>
      <c r="B38" s="1097">
        <v>94963</v>
      </c>
      <c r="C38" s="1098" t="str">
        <f>IF($A38="INSUMO",VLOOKUP($B38,'BANCO DE DADOS JANEIRO-24 INS'!$A:$D,2,FALSE),VLOOKUP($B38,'BANCO DE DADOS JANEIRO-24 SERV'!$B:$E,2,FALSE))</f>
        <v>CONCRETO FCK = 15MPA, TRAÇO 1:3,4:3,5 (EM MASSA SECA DE CIMENTO/ AREIA MÉDIA/ BRITA 1) - PREPARO MECÂNICO COM BETONEIRA 400 L. AF_05/2021</v>
      </c>
      <c r="D38" s="1099" t="str">
        <f>IF($A38="INSUMO",VLOOKUP($B38,'BANCO DE DADOS JANEIRO-24 INS'!$A:$D,3,FALSE),VLOOKUP($B38,'BANCO DE DADOS JANEIRO-24 SERV'!$B:$E,3,FALSE))</f>
        <v>M3</v>
      </c>
      <c r="E38" s="1165">
        <v>6.4000000000000001E-2</v>
      </c>
      <c r="F38" s="1118">
        <f>IF($A38="INSUMO",VLOOKUP($B38,'BANCO DE DADOS JANEIRO-24 INS'!$A:$D,4,FALSE),VLOOKUP($B38,'BANCO DE DADOS JANEIRO-24 SERV'!$B:$E,4,FALSE))</f>
        <v>503.53</v>
      </c>
      <c r="G38" s="1164">
        <f>TRUNC(E38*F38,2)</f>
        <v>32.22</v>
      </c>
    </row>
    <row r="39" spans="1:8" s="271" customFormat="1" ht="15.75">
      <c r="A39" s="333"/>
      <c r="B39" s="2389" t="s">
        <v>166</v>
      </c>
      <c r="C39" s="2390"/>
      <c r="D39" s="2390"/>
      <c r="E39" s="2390"/>
      <c r="F39" s="2390"/>
      <c r="G39" s="2391"/>
    </row>
    <row r="40" spans="1:8" s="271" customFormat="1" ht="15.75">
      <c r="A40" s="333" t="s">
        <v>391</v>
      </c>
      <c r="B40" s="1166">
        <v>88309</v>
      </c>
      <c r="C40" s="1098" t="str">
        <f>IF($A40="INSUMO",VLOOKUP($B40,'BANCO DE DADOS JANEIRO-24 INS'!$A:$D,2,FALSE),VLOOKUP($B40,'BANCO DE DADOS JANEIRO-24 SERV'!$B:$E,2,FALSE))</f>
        <v>PEDREIRO COM ENCARGOS COMPLEMENTARES</v>
      </c>
      <c r="D40" s="1099" t="str">
        <f>IF($A40="INSUMO",VLOOKUP($B40,'BANCO DE DADOS JANEIRO-24 INS'!$A:$D,3,FALSE),VLOOKUP($B40,'BANCO DE DADOS JANEIRO-24 SERV'!$B:$E,3,FALSE))</f>
        <v>H</v>
      </c>
      <c r="E40" s="1167">
        <v>1</v>
      </c>
      <c r="F40" s="1118">
        <f>IF($A40="INSUMO",VLOOKUP($B40,'BANCO DE DADOS JANEIRO-24 INS'!$A:$D,4,FALSE),VLOOKUP($B40,'BANCO DE DADOS JANEIRO-24 SERV'!$B:$E,4,FALSE))</f>
        <v>25.62</v>
      </c>
      <c r="G40" s="1164">
        <f>TRUNC(E40*F40,2)</f>
        <v>25.62</v>
      </c>
    </row>
    <row r="41" spans="1:8" s="271" customFormat="1" ht="16.5" thickBot="1">
      <c r="A41" s="333" t="s">
        <v>391</v>
      </c>
      <c r="B41" s="1168">
        <v>88316</v>
      </c>
      <c r="C41" s="1103" t="str">
        <f>IF($A41="INSUMO",VLOOKUP($B41,'BANCO DE DADOS JANEIRO-24 INS'!$A:$D,2,FALSE),VLOOKUP($B41,'BANCO DE DADOS JANEIRO-24 SERV'!$B:$E,2,FALSE))</f>
        <v>SERVENTE COM ENCARGOS COMPLEMENTARES</v>
      </c>
      <c r="D41" s="1104" t="str">
        <f>IF($A41="INSUMO",VLOOKUP($B41,'BANCO DE DADOS JANEIRO-24 INS'!$A:$D,3,FALSE),VLOOKUP($B41,'BANCO DE DADOS JANEIRO-24 SERV'!$B:$E,3,FALSE))</f>
        <v>H</v>
      </c>
      <c r="E41" s="1169">
        <v>1</v>
      </c>
      <c r="F41" s="1119">
        <f>IF($A41="INSUMO",VLOOKUP($B41,'BANCO DE DADOS JANEIRO-24 INS'!$A:$D,4,FALSE),VLOOKUP($B41,'BANCO DE DADOS JANEIRO-24 SERV'!$B:$E,4,FALSE))</f>
        <v>20.32</v>
      </c>
      <c r="G41" s="1170">
        <f>TRUNC(E41*F41,2)</f>
        <v>20.32</v>
      </c>
    </row>
    <row r="42" spans="1:8" s="271" customFormat="1" ht="16.5" thickBot="1">
      <c r="A42" s="333"/>
      <c r="B42" s="2472" t="s">
        <v>5383</v>
      </c>
      <c r="C42" s="2472"/>
      <c r="D42" s="2472"/>
      <c r="E42" s="2473"/>
      <c r="F42" s="1171" t="s">
        <v>167</v>
      </c>
      <c r="G42" s="1172">
        <f>ROUND(SUM(G37:G41),2)</f>
        <v>1921.53</v>
      </c>
    </row>
    <row r="43" spans="1:8" s="271" customFormat="1" ht="16.5" thickBot="1">
      <c r="A43" s="333"/>
      <c r="B43" s="601"/>
      <c r="C43" s="601"/>
      <c r="D43" s="300"/>
      <c r="E43" s="257"/>
      <c r="F43" s="301"/>
      <c r="G43" s="302"/>
    </row>
    <row r="44" spans="1:8" s="1156" customFormat="1" ht="51" customHeight="1">
      <c r="A44" s="1154"/>
      <c r="B44" s="377" t="str">
        <f>IF(COUNT($H$14:H44)&lt;10,CONCATENATE("CPU ACAD 00",COUNT($H$14:H44)),CONCATENATE("CPU ACAD 0",COUNT($H$14:H44)))</f>
        <v>CPU ACAD 004</v>
      </c>
      <c r="C44" s="2180" t="str">
        <f>CONCATENATE("FORNECIMENTO E INSTALAÇÃO DE ",C47)</f>
        <v xml:space="preserve">FORNECIMENTO E INSTALAÇÃO DE SURF DUPLO, EM TUBO DE ACO CARBONO, PINTURA NO PROCESSO ELETROSTATICO - EQUIPAMENTO DE GINASTICA PARA ACADEMIA AO AR LIVRE / ACADEMIA DA TERCEIRA IDADE - ATI                                                                                                                                                                                                                                                                                                                                             </v>
      </c>
      <c r="D44" s="2180"/>
      <c r="E44" s="2180"/>
      <c r="F44" s="2180"/>
      <c r="G44" s="1155" t="s">
        <v>22</v>
      </c>
      <c r="H44" s="806">
        <f>G52</f>
        <v>2779.5</v>
      </c>
    </row>
    <row r="45" spans="1:8" s="271" customFormat="1" ht="31.5">
      <c r="A45" s="333"/>
      <c r="B45" s="1093" t="s">
        <v>197</v>
      </c>
      <c r="C45" s="1157" t="s">
        <v>161</v>
      </c>
      <c r="D45" s="1157" t="s">
        <v>22</v>
      </c>
      <c r="E45" s="1157" t="s">
        <v>162</v>
      </c>
      <c r="F45" s="1158" t="s">
        <v>163</v>
      </c>
      <c r="G45" s="1159" t="s">
        <v>164</v>
      </c>
    </row>
    <row r="46" spans="1:8" s="271" customFormat="1" ht="15.75">
      <c r="A46" s="333"/>
      <c r="B46" s="2389" t="s">
        <v>165</v>
      </c>
      <c r="C46" s="2390"/>
      <c r="D46" s="2390"/>
      <c r="E46" s="2390"/>
      <c r="F46" s="2390"/>
      <c r="G46" s="2391"/>
    </row>
    <row r="47" spans="1:8" s="271" customFormat="1" ht="60">
      <c r="A47" s="333" t="s">
        <v>390</v>
      </c>
      <c r="B47" s="1097">
        <v>42436</v>
      </c>
      <c r="C47" s="1098" t="str">
        <f>IF($A47="INSUMO",VLOOKUP($B47,'BANCO DE DADOS JANEIRO-24 INS'!$A:$D,2,FALSE),VLOOKUP($B47,'BANCO DE DADOS JANEIRO-24 SERV'!$B:$E,2,FALSE))</f>
        <v xml:space="preserve">SURF DUPLO, EM TUBO DE ACO CARBONO, PINTURA NO PROCESSO ELETROSTATICO - EQUIPAMENTO DE GINASTICA PARA ACADEMIA AO AR LIVRE / ACADEMIA DA TERCEIRA IDADE - ATI                                                                                                                                                                                                                                                                                                                                             </v>
      </c>
      <c r="D47" s="1099" t="str">
        <f>IF($A47="INSUMO",VLOOKUP($B47,'BANCO DE DADOS JANEIRO-24 INS'!$A:$D,3,FALSE),VLOOKUP($B47,'BANCO DE DADOS JANEIRO-24 SERV'!$B:$E,3,FALSE))</f>
        <v xml:space="preserve">UN    </v>
      </c>
      <c r="E47" s="1165">
        <v>1</v>
      </c>
      <c r="F47" s="1118">
        <f>IF($A47="INSUMO",VLOOKUP($B47,'BANCO DE DADOS JANEIRO-24 INS'!$A:$D,4,FALSE),VLOOKUP($B47,'BANCO DE DADOS JANEIRO-24 SERV'!$B:$E,4,FALSE))</f>
        <v>2701.34</v>
      </c>
      <c r="G47" s="1164">
        <f>TRUNC(E47*F47,2)</f>
        <v>2701.34</v>
      </c>
    </row>
    <row r="48" spans="1:8" s="271" customFormat="1" ht="45">
      <c r="A48" s="333" t="s">
        <v>391</v>
      </c>
      <c r="B48" s="1097">
        <v>94963</v>
      </c>
      <c r="C48" s="1098" t="str">
        <f>IF($A48="INSUMO",VLOOKUP($B48,'BANCO DE DADOS JANEIRO-24 INS'!$A:$D,2,FALSE),VLOOKUP($B48,'BANCO DE DADOS JANEIRO-24 SERV'!$B:$E,2,FALSE))</f>
        <v>CONCRETO FCK = 15MPA, TRAÇO 1:3,4:3,5 (EM MASSA SECA DE CIMENTO/ AREIA MÉDIA/ BRITA 1) - PREPARO MECÂNICO COM BETONEIRA 400 L. AF_05/2021</v>
      </c>
      <c r="D48" s="1099" t="str">
        <f>IF($A48="INSUMO",VLOOKUP($B48,'BANCO DE DADOS JANEIRO-24 INS'!$A:$D,3,FALSE),VLOOKUP($B48,'BANCO DE DADOS JANEIRO-24 SERV'!$B:$E,3,FALSE))</f>
        <v>M3</v>
      </c>
      <c r="E48" s="1165">
        <v>6.4000000000000001E-2</v>
      </c>
      <c r="F48" s="1118">
        <f>IF($A48="INSUMO",VLOOKUP($B48,'BANCO DE DADOS JANEIRO-24 INS'!$A:$D,4,FALSE),VLOOKUP($B48,'BANCO DE DADOS JANEIRO-24 SERV'!$B:$E,4,FALSE))</f>
        <v>503.53</v>
      </c>
      <c r="G48" s="1164">
        <f>TRUNC(E48*F48,2)</f>
        <v>32.22</v>
      </c>
    </row>
    <row r="49" spans="1:9" s="271" customFormat="1" ht="15.75">
      <c r="A49" s="333"/>
      <c r="B49" s="2389" t="s">
        <v>166</v>
      </c>
      <c r="C49" s="2390"/>
      <c r="D49" s="2390"/>
      <c r="E49" s="2390"/>
      <c r="F49" s="2390"/>
      <c r="G49" s="2391"/>
    </row>
    <row r="50" spans="1:9" s="271" customFormat="1" ht="15.75">
      <c r="A50" s="333" t="s">
        <v>391</v>
      </c>
      <c r="B50" s="1166">
        <v>88309</v>
      </c>
      <c r="C50" s="1098" t="str">
        <f>IF($A50="INSUMO",VLOOKUP($B50,'BANCO DE DADOS JANEIRO-24 INS'!$A:$D,2,FALSE),VLOOKUP($B50,'BANCO DE DADOS JANEIRO-24 SERV'!$B:$E,2,FALSE))</f>
        <v>PEDREIRO COM ENCARGOS COMPLEMENTARES</v>
      </c>
      <c r="D50" s="1099" t="str">
        <f>IF($A50="INSUMO",VLOOKUP($B50,'BANCO DE DADOS JANEIRO-24 INS'!$A:$D,3,FALSE),VLOOKUP($B50,'BANCO DE DADOS JANEIRO-24 SERV'!$B:$E,3,FALSE))</f>
        <v>H</v>
      </c>
      <c r="E50" s="1167">
        <v>1</v>
      </c>
      <c r="F50" s="1118">
        <f>IF($A50="INSUMO",VLOOKUP($B50,'BANCO DE DADOS JANEIRO-24 INS'!$A:$D,4,FALSE),VLOOKUP($B50,'BANCO DE DADOS JANEIRO-24 SERV'!$B:$E,4,FALSE))</f>
        <v>25.62</v>
      </c>
      <c r="G50" s="1164">
        <f>TRUNC(E50*F50,2)</f>
        <v>25.62</v>
      </c>
    </row>
    <row r="51" spans="1:9" s="271" customFormat="1" ht="16.5" thickBot="1">
      <c r="A51" s="333" t="s">
        <v>391</v>
      </c>
      <c r="B51" s="1168">
        <v>88316</v>
      </c>
      <c r="C51" s="1103" t="str">
        <f>IF($A51="INSUMO",VLOOKUP($B51,'BANCO DE DADOS JANEIRO-24 INS'!$A:$D,2,FALSE),VLOOKUP($B51,'BANCO DE DADOS JANEIRO-24 SERV'!$B:$E,2,FALSE))</f>
        <v>SERVENTE COM ENCARGOS COMPLEMENTARES</v>
      </c>
      <c r="D51" s="1104" t="str">
        <f>IF($A51="INSUMO",VLOOKUP($B51,'BANCO DE DADOS JANEIRO-24 INS'!$A:$D,3,FALSE),VLOOKUP($B51,'BANCO DE DADOS JANEIRO-24 SERV'!$B:$E,3,FALSE))</f>
        <v>H</v>
      </c>
      <c r="E51" s="1169">
        <v>1</v>
      </c>
      <c r="F51" s="1119">
        <f>IF($A51="INSUMO",VLOOKUP($B51,'BANCO DE DADOS JANEIRO-24 INS'!$A:$D,4,FALSE),VLOOKUP($B51,'BANCO DE DADOS JANEIRO-24 SERV'!$B:$E,4,FALSE))</f>
        <v>20.32</v>
      </c>
      <c r="G51" s="1170">
        <f>TRUNC(E51*F51,2)</f>
        <v>20.32</v>
      </c>
    </row>
    <row r="52" spans="1:9" s="271" customFormat="1" ht="16.5" thickBot="1">
      <c r="A52" s="333"/>
      <c r="B52" s="2472" t="s">
        <v>5382</v>
      </c>
      <c r="C52" s="2472"/>
      <c r="D52" s="2472"/>
      <c r="E52" s="2473"/>
      <c r="F52" s="1171" t="s">
        <v>167</v>
      </c>
      <c r="G52" s="1172">
        <f>ROUND(SUM(G47:G51),2)</f>
        <v>2779.5</v>
      </c>
    </row>
    <row r="53" spans="1:9" s="265" customFormat="1" ht="13.5" thickBot="1">
      <c r="B53" s="359"/>
      <c r="C53" s="359"/>
      <c r="D53" s="360"/>
      <c r="E53" s="361"/>
      <c r="F53" s="362"/>
      <c r="G53" s="363"/>
    </row>
    <row r="54" spans="1:9" s="1156" customFormat="1" ht="48" customHeight="1">
      <c r="A54" s="1154"/>
      <c r="B54" s="377" t="str">
        <f>IF(COUNT($H$14:H54)&lt;10,CONCATENATE("CPU ACAD 00",COUNT($H$14:H54)),CONCATENATE("CPU ACAD 0",COUNT($H$14:H54)))</f>
        <v>CPU ACAD 005</v>
      </c>
      <c r="C54" s="2180" t="str">
        <f>CONCATENATE("FORNECIMENTO E INSTALAÇÃO DE ",C57)</f>
        <v>FORNECIMENTO E INSTALAÇÃO DE PRESSÃO DE PERNAS DUPLO EM TUBO DE ACO CARBONO, PINTURA NO PROCESSO ELETROSTATICO - EQUIPAMENTO DE GINASTICA PARA ACADEMIA AO AR LIVRE / ACADEMIA DA TERCEIRA IDADE - ATI</v>
      </c>
      <c r="D54" s="2180"/>
      <c r="E54" s="2180"/>
      <c r="F54" s="2180"/>
      <c r="G54" s="1155" t="s">
        <v>22</v>
      </c>
      <c r="H54" s="806">
        <f>G62</f>
        <v>2899.27</v>
      </c>
    </row>
    <row r="55" spans="1:9" s="271" customFormat="1" ht="31.5">
      <c r="A55" s="333"/>
      <c r="B55" s="1093" t="s">
        <v>197</v>
      </c>
      <c r="C55" s="1157" t="s">
        <v>161</v>
      </c>
      <c r="D55" s="1157" t="s">
        <v>22</v>
      </c>
      <c r="E55" s="1157" t="s">
        <v>162</v>
      </c>
      <c r="F55" s="1158" t="s">
        <v>163</v>
      </c>
      <c r="G55" s="1159" t="s">
        <v>164</v>
      </c>
    </row>
    <row r="56" spans="1:9" s="271" customFormat="1" ht="15.75">
      <c r="A56" s="333"/>
      <c r="B56" s="2389" t="s">
        <v>165</v>
      </c>
      <c r="C56" s="2390"/>
      <c r="D56" s="2390"/>
      <c r="E56" s="2390"/>
      <c r="F56" s="2390"/>
      <c r="G56" s="2391"/>
    </row>
    <row r="57" spans="1:9" s="271" customFormat="1" ht="60">
      <c r="A57" s="333"/>
      <c r="B57" s="1160" t="s">
        <v>181</v>
      </c>
      <c r="C57" s="1098" t="str">
        <f>C64</f>
        <v>PRESSÃO DE PERNAS DUPLO EM TUBO DE ACO CARBONO, PINTURA NO PROCESSO ELETROSTATICO - EQUIPAMENTO DE GINASTICA PARA ACADEMIA AO AR LIVRE / ACADEMIA DA TERCEIRA IDADE - ATI</v>
      </c>
      <c r="D57" s="1161" t="str">
        <f>G64</f>
        <v>UN</v>
      </c>
      <c r="E57" s="1162">
        <v>1</v>
      </c>
      <c r="F57" s="1163">
        <f>D69</f>
        <v>2788.88</v>
      </c>
      <c r="G57" s="1164">
        <f>TRUNC(E57*F57,2)</f>
        <v>2788.88</v>
      </c>
    </row>
    <row r="58" spans="1:9" s="271" customFormat="1" ht="45">
      <c r="A58" s="333" t="s">
        <v>391</v>
      </c>
      <c r="B58" s="1097">
        <v>94963</v>
      </c>
      <c r="C58" s="1098" t="str">
        <f>IF($A58="INSUMO",VLOOKUP($B58,'BANCO DE DADOS JANEIRO-24 INS'!$A:$D,2,FALSE),VLOOKUP($B58,'BANCO DE DADOS JANEIRO-24 SERV'!$B:$E,2,FALSE))</f>
        <v>CONCRETO FCK = 15MPA, TRAÇO 1:3,4:3,5 (EM MASSA SECA DE CIMENTO/ AREIA MÉDIA/ BRITA 1) - PREPARO MECÂNICO COM BETONEIRA 400 L. AF_05/2021</v>
      </c>
      <c r="D58" s="1099" t="str">
        <f>IF($A58="INSUMO",VLOOKUP($B58,'BANCO DE DADOS JANEIRO-24 INS'!$A:$D,3,FALSE),VLOOKUP($B58,'BANCO DE DADOS JANEIRO-24 SERV'!$B:$E,3,FALSE))</f>
        <v>M3</v>
      </c>
      <c r="E58" s="1165">
        <v>0.128</v>
      </c>
      <c r="F58" s="1118">
        <f>IF($A58="INSUMO",VLOOKUP($B58,'BANCO DE DADOS JANEIRO-24 INS'!$A:$D,4,FALSE),VLOOKUP($B58,'BANCO DE DADOS JANEIRO-24 SERV'!$B:$E,4,FALSE))</f>
        <v>503.53</v>
      </c>
      <c r="G58" s="1164">
        <f>TRUNC(E58*F58,2)</f>
        <v>64.45</v>
      </c>
    </row>
    <row r="59" spans="1:9" s="271" customFormat="1" ht="15.75">
      <c r="A59" s="333"/>
      <c r="B59" s="2389" t="s">
        <v>166</v>
      </c>
      <c r="C59" s="2390"/>
      <c r="D59" s="2390"/>
      <c r="E59" s="2390"/>
      <c r="F59" s="2390"/>
      <c r="G59" s="2391"/>
    </row>
    <row r="60" spans="1:9" s="271" customFormat="1" ht="15.75">
      <c r="A60" s="333" t="s">
        <v>391</v>
      </c>
      <c r="B60" s="1166">
        <v>88309</v>
      </c>
      <c r="C60" s="1098" t="str">
        <f>IF($A60="INSUMO",VLOOKUP($B60,'BANCO DE DADOS JANEIRO-24 INS'!$A:$D,2,FALSE),VLOOKUP($B60,'BANCO DE DADOS JANEIRO-24 SERV'!$B:$E,2,FALSE))</f>
        <v>PEDREIRO COM ENCARGOS COMPLEMENTARES</v>
      </c>
      <c r="D60" s="1099" t="str">
        <f>IF($A60="INSUMO",VLOOKUP($B60,'BANCO DE DADOS JANEIRO-24 INS'!$A:$D,3,FALSE),VLOOKUP($B60,'BANCO DE DADOS JANEIRO-24 SERV'!$B:$E,3,FALSE))</f>
        <v>H</v>
      </c>
      <c r="E60" s="1167">
        <v>1</v>
      </c>
      <c r="F60" s="1118">
        <f>IF($A60="INSUMO",VLOOKUP($B60,'BANCO DE DADOS JANEIRO-24 INS'!$A:$D,4,FALSE),VLOOKUP($B60,'BANCO DE DADOS JANEIRO-24 SERV'!$B:$E,4,FALSE))</f>
        <v>25.62</v>
      </c>
      <c r="G60" s="1164">
        <f>TRUNC(E60*F60,2)</f>
        <v>25.62</v>
      </c>
    </row>
    <row r="61" spans="1:9" s="271" customFormat="1" ht="16.5" thickBot="1">
      <c r="A61" s="333" t="s">
        <v>391</v>
      </c>
      <c r="B61" s="1168">
        <v>88316</v>
      </c>
      <c r="C61" s="1103" t="str">
        <f>IF($A61="INSUMO",VLOOKUP($B61,'BANCO DE DADOS JANEIRO-24 INS'!$A:$D,2,FALSE),VLOOKUP($B61,'BANCO DE DADOS JANEIRO-24 SERV'!$B:$E,2,FALSE))</f>
        <v>SERVENTE COM ENCARGOS COMPLEMENTARES</v>
      </c>
      <c r="D61" s="1104" t="str">
        <f>IF($A61="INSUMO",VLOOKUP($B61,'BANCO DE DADOS JANEIRO-24 INS'!$A:$D,3,FALSE),VLOOKUP($B61,'BANCO DE DADOS JANEIRO-24 SERV'!$B:$E,3,FALSE))</f>
        <v>H</v>
      </c>
      <c r="E61" s="1169">
        <v>1</v>
      </c>
      <c r="F61" s="1119">
        <f>IF($A61="INSUMO",VLOOKUP($B61,'BANCO DE DADOS JANEIRO-24 INS'!$A:$D,4,FALSE),VLOOKUP($B61,'BANCO DE DADOS JANEIRO-24 SERV'!$B:$E,4,FALSE))</f>
        <v>20.32</v>
      </c>
      <c r="G61" s="1170">
        <f>TRUNC(E61*F61,2)</f>
        <v>20.32</v>
      </c>
    </row>
    <row r="62" spans="1:9" s="271" customFormat="1" ht="16.5" thickBot="1">
      <c r="A62" s="333"/>
      <c r="B62" s="2472" t="s">
        <v>5377</v>
      </c>
      <c r="C62" s="2472"/>
      <c r="D62" s="2472"/>
      <c r="E62" s="2473"/>
      <c r="F62" s="1171" t="s">
        <v>167</v>
      </c>
      <c r="G62" s="1172">
        <f>ROUND(SUM(G57:G61),2)</f>
        <v>2899.27</v>
      </c>
    </row>
    <row r="63" spans="1:9" s="271" customFormat="1" ht="16.5" thickBot="1">
      <c r="A63" s="333"/>
      <c r="B63" s="230"/>
      <c r="C63" s="235"/>
      <c r="D63" s="235"/>
      <c r="E63" s="235"/>
      <c r="F63" s="235"/>
      <c r="G63" s="235"/>
    </row>
    <row r="64" spans="1:9" s="271" customFormat="1" ht="64.5" customHeight="1">
      <c r="A64" s="333"/>
      <c r="B64" s="1744"/>
      <c r="C64" s="1746" t="s">
        <v>2701</v>
      </c>
      <c r="D64" s="1747"/>
      <c r="E64" s="1748"/>
      <c r="F64" s="1749"/>
      <c r="G64" s="1670" t="s">
        <v>22</v>
      </c>
      <c r="H64" s="1173" t="s">
        <v>1977</v>
      </c>
      <c r="I64" s="271" t="s">
        <v>2702</v>
      </c>
    </row>
    <row r="65" spans="1:9" s="271" customFormat="1" ht="31.5">
      <c r="A65" s="333"/>
      <c r="B65" s="1107" t="s">
        <v>174</v>
      </c>
      <c r="C65" s="1108" t="s">
        <v>175</v>
      </c>
      <c r="D65" s="1109" t="s">
        <v>176</v>
      </c>
      <c r="E65" s="1110" t="s">
        <v>177</v>
      </c>
      <c r="F65" s="1111" t="s">
        <v>178</v>
      </c>
      <c r="G65" s="1112" t="s">
        <v>179</v>
      </c>
    </row>
    <row r="66" spans="1:9" s="271" customFormat="1" ht="15.75">
      <c r="A66" s="333"/>
      <c r="B66" s="1360">
        <v>44417</v>
      </c>
      <c r="C66" s="1114" t="s">
        <v>5186</v>
      </c>
      <c r="D66" s="1115">
        <f>2731.25+600</f>
        <v>3331.25</v>
      </c>
      <c r="E66" s="1395" t="s">
        <v>5187</v>
      </c>
      <c r="F66" s="1139" t="s">
        <v>5188</v>
      </c>
      <c r="G66" s="1396" t="s">
        <v>5189</v>
      </c>
      <c r="H66" s="1176"/>
    </row>
    <row r="67" spans="1:9" s="271" customFormat="1" ht="15.75">
      <c r="A67" s="333"/>
      <c r="B67" s="1113">
        <v>44473</v>
      </c>
      <c r="C67" s="1114" t="s">
        <v>5190</v>
      </c>
      <c r="D67" s="1115">
        <v>2503</v>
      </c>
      <c r="E67" s="1175" t="s">
        <v>5191</v>
      </c>
      <c r="F67" s="1361" t="s">
        <v>5192</v>
      </c>
      <c r="G67" s="1362" t="s">
        <v>5193</v>
      </c>
      <c r="H67" s="1176"/>
      <c r="I67" s="271">
        <f>5400/9</f>
        <v>600</v>
      </c>
    </row>
    <row r="68" spans="1:9" s="271" customFormat="1" ht="15.75">
      <c r="A68" s="333"/>
      <c r="B68" s="1113">
        <v>44473</v>
      </c>
      <c r="C68" s="1114" t="s">
        <v>4610</v>
      </c>
      <c r="D68" s="1115">
        <v>2788.88</v>
      </c>
      <c r="E68" s="1138" t="s">
        <v>4609</v>
      </c>
      <c r="F68" s="1361" t="s">
        <v>4608</v>
      </c>
      <c r="G68" s="1362" t="s">
        <v>4607</v>
      </c>
      <c r="H68" s="1176"/>
    </row>
    <row r="69" spans="1:9" s="271" customFormat="1" ht="16.5" thickBot="1">
      <c r="A69" s="333"/>
      <c r="B69" s="1711"/>
      <c r="C69" s="1668" t="s">
        <v>180</v>
      </c>
      <c r="D69" s="1673">
        <f>IF(COUNT(D65:D68)=3,MEDIAN(D66:D68),SMALL(D66:D68,1))</f>
        <v>2788.88</v>
      </c>
      <c r="E69" s="1674"/>
      <c r="F69" s="1675"/>
      <c r="G69" s="1671"/>
    </row>
    <row r="70" spans="1:9" s="271" customFormat="1" ht="46.5" customHeight="1" thickBot="1">
      <c r="A70" s="333"/>
      <c r="B70" s="2481" t="s">
        <v>5202</v>
      </c>
      <c r="C70" s="2481"/>
      <c r="D70" s="2481"/>
      <c r="E70" s="2481"/>
      <c r="F70" s="2481"/>
      <c r="G70" s="2481"/>
    </row>
    <row r="71" spans="1:9" s="1156" customFormat="1" ht="49.5" customHeight="1">
      <c r="A71" s="1154"/>
      <c r="B71" s="377" t="str">
        <f>IF(COUNT($H$14:H71)&lt;10,CONCATENATE("CPU ACAD 00",COUNT($H$14:H71)),CONCATENATE("CPU ACAD 0",COUNT($H$14:H71)))</f>
        <v>CPU ACAD 006</v>
      </c>
      <c r="C71" s="2180" t="str">
        <f>CONCATENATE("FORNECIMENTO E INSTALAÇÃO DE ",C74)</f>
        <v>FORNECIMENTO E INSTALAÇÃO DE ESQUI INDIVIDUAL EM TUBO DE ACO CARBONO, PINTURA NO PROCESSO ELETROSTATICO - EQUIPAMENTO DE GINASTICA PARA ACADEMIA AO AR LIVRE / ACADEMIA DA TERCEIRA IDADE - ATI</v>
      </c>
      <c r="D71" s="2180"/>
      <c r="E71" s="2180"/>
      <c r="F71" s="2180"/>
      <c r="G71" s="1155" t="s">
        <v>22</v>
      </c>
      <c r="H71" s="806">
        <f>G79</f>
        <v>3024.39</v>
      </c>
    </row>
    <row r="72" spans="1:9" s="271" customFormat="1" ht="31.5">
      <c r="A72" s="333"/>
      <c r="B72" s="1093" t="s">
        <v>197</v>
      </c>
      <c r="C72" s="1157" t="s">
        <v>161</v>
      </c>
      <c r="D72" s="1157" t="s">
        <v>22</v>
      </c>
      <c r="E72" s="1157" t="s">
        <v>162</v>
      </c>
      <c r="F72" s="1158" t="s">
        <v>163</v>
      </c>
      <c r="G72" s="1159" t="s">
        <v>164</v>
      </c>
    </row>
    <row r="73" spans="1:9" s="271" customFormat="1" ht="15.75">
      <c r="A73" s="333"/>
      <c r="B73" s="2389" t="s">
        <v>165</v>
      </c>
      <c r="C73" s="2390"/>
      <c r="D73" s="2390"/>
      <c r="E73" s="2390"/>
      <c r="F73" s="2390"/>
      <c r="G73" s="2391"/>
    </row>
    <row r="74" spans="1:9" s="271" customFormat="1" ht="60">
      <c r="A74" s="333" t="s">
        <v>390</v>
      </c>
      <c r="B74" s="1097" t="s">
        <v>181</v>
      </c>
      <c r="C74" s="1098" t="str">
        <f>C81</f>
        <v>ESQUI INDIVIDUAL EM TUBO DE ACO CARBONO, PINTURA NO PROCESSO ELETROSTATICO - EQUIPAMENTO DE GINASTICA PARA ACADEMIA AO AR LIVRE / ACADEMIA DA TERCEIRA IDADE - ATI</v>
      </c>
      <c r="D74" s="1178" t="str">
        <f>G81</f>
        <v>UN</v>
      </c>
      <c r="E74" s="1165">
        <v>1</v>
      </c>
      <c r="F74" s="1146">
        <f>D86</f>
        <v>2914</v>
      </c>
      <c r="G74" s="1164">
        <f>TRUNC(E74*F74,2)</f>
        <v>2914</v>
      </c>
    </row>
    <row r="75" spans="1:9" s="271" customFormat="1" ht="45">
      <c r="A75" s="333" t="s">
        <v>391</v>
      </c>
      <c r="B75" s="1097">
        <v>94963</v>
      </c>
      <c r="C75" s="1098" t="str">
        <f>IF($A75="INSUMO",VLOOKUP($B75,'BANCO DE DADOS JANEIRO-24 INS'!$A:$D,2,FALSE),VLOOKUP($B75,'BANCO DE DADOS JANEIRO-24 SERV'!$B:$E,2,FALSE))</f>
        <v>CONCRETO FCK = 15MPA, TRAÇO 1:3,4:3,5 (EM MASSA SECA DE CIMENTO/ AREIA MÉDIA/ BRITA 1) - PREPARO MECÂNICO COM BETONEIRA 400 L. AF_05/2021</v>
      </c>
      <c r="D75" s="1099" t="str">
        <f>IF($A75="INSUMO",VLOOKUP($B75,'BANCO DE DADOS JANEIRO-24 INS'!$A:$D,3,FALSE),VLOOKUP($B75,'BANCO DE DADOS JANEIRO-24 SERV'!$B:$E,3,FALSE))</f>
        <v>M3</v>
      </c>
      <c r="E75" s="1165">
        <v>0.128</v>
      </c>
      <c r="F75" s="1118">
        <f>IF($A75="INSUMO",VLOOKUP($B75,'BANCO DE DADOS JANEIRO-24 INS'!$A:$D,4,FALSE),VLOOKUP($B75,'BANCO DE DADOS JANEIRO-24 SERV'!$B:$E,4,FALSE))</f>
        <v>503.53</v>
      </c>
      <c r="G75" s="1164">
        <f>TRUNC(E75*F75,2)</f>
        <v>64.45</v>
      </c>
    </row>
    <row r="76" spans="1:9" s="271" customFormat="1" ht="15.75">
      <c r="A76" s="333"/>
      <c r="B76" s="2389" t="s">
        <v>166</v>
      </c>
      <c r="C76" s="2390"/>
      <c r="D76" s="2390"/>
      <c r="E76" s="2390"/>
      <c r="F76" s="2390"/>
      <c r="G76" s="2391"/>
    </row>
    <row r="77" spans="1:9" s="271" customFormat="1" ht="15.75">
      <c r="A77" s="333" t="s">
        <v>391</v>
      </c>
      <c r="B77" s="1166">
        <v>88309</v>
      </c>
      <c r="C77" s="1098" t="str">
        <f>IF($A77="INSUMO",VLOOKUP($B77,'BANCO DE DADOS JANEIRO-24 INS'!$A:$D,2,FALSE),VLOOKUP($B77,'BANCO DE DADOS JANEIRO-24 SERV'!$B:$E,2,FALSE))</f>
        <v>PEDREIRO COM ENCARGOS COMPLEMENTARES</v>
      </c>
      <c r="D77" s="1099" t="str">
        <f>IF($A77="INSUMO",VLOOKUP($B77,'BANCO DE DADOS JANEIRO-24 INS'!$A:$D,3,FALSE),VLOOKUP($B77,'BANCO DE DADOS JANEIRO-24 SERV'!$B:$E,3,FALSE))</f>
        <v>H</v>
      </c>
      <c r="E77" s="1167">
        <v>1</v>
      </c>
      <c r="F77" s="1118">
        <f>IF($A77="INSUMO",VLOOKUP($B77,'BANCO DE DADOS JANEIRO-24 INS'!$A:$D,4,FALSE),VLOOKUP($B77,'BANCO DE DADOS JANEIRO-24 SERV'!$B:$E,4,FALSE))</f>
        <v>25.62</v>
      </c>
      <c r="G77" s="1164">
        <f>TRUNC(E77*F77,2)</f>
        <v>25.62</v>
      </c>
    </row>
    <row r="78" spans="1:9" s="271" customFormat="1" ht="16.5" thickBot="1">
      <c r="A78" s="333" t="s">
        <v>391</v>
      </c>
      <c r="B78" s="1168">
        <v>88316</v>
      </c>
      <c r="C78" s="1103" t="str">
        <f>IF($A78="INSUMO",VLOOKUP($B78,'BANCO DE DADOS JANEIRO-24 INS'!$A:$D,2,FALSE),VLOOKUP($B78,'BANCO DE DADOS JANEIRO-24 SERV'!$B:$E,2,FALSE))</f>
        <v>SERVENTE COM ENCARGOS COMPLEMENTARES</v>
      </c>
      <c r="D78" s="1104" t="str">
        <f>IF($A78="INSUMO",VLOOKUP($B78,'BANCO DE DADOS JANEIRO-24 INS'!$A:$D,3,FALSE),VLOOKUP($B78,'BANCO DE DADOS JANEIRO-24 SERV'!$B:$E,3,FALSE))</f>
        <v>H</v>
      </c>
      <c r="E78" s="1169">
        <v>1</v>
      </c>
      <c r="F78" s="1119">
        <f>IF($A78="INSUMO",VLOOKUP($B78,'BANCO DE DADOS JANEIRO-24 INS'!$A:$D,4,FALSE),VLOOKUP($B78,'BANCO DE DADOS JANEIRO-24 SERV'!$B:$E,4,FALSE))</f>
        <v>20.32</v>
      </c>
      <c r="G78" s="1170">
        <f>TRUNC(E78*F78,2)</f>
        <v>20.32</v>
      </c>
    </row>
    <row r="79" spans="1:9" s="271" customFormat="1" ht="16.5" thickBot="1">
      <c r="A79" s="333"/>
      <c r="B79" s="2472" t="s">
        <v>5378</v>
      </c>
      <c r="C79" s="2472"/>
      <c r="D79" s="2472"/>
      <c r="E79" s="2473"/>
      <c r="F79" s="1171" t="s">
        <v>167</v>
      </c>
      <c r="G79" s="1172">
        <f>ROUND(SUM(G74:G78),2)</f>
        <v>3024.39</v>
      </c>
    </row>
    <row r="80" spans="1:9" s="271" customFormat="1" ht="16.5" thickBot="1">
      <c r="A80" s="333"/>
      <c r="B80" s="230"/>
      <c r="C80" s="235"/>
      <c r="D80" s="235"/>
      <c r="E80" s="235"/>
      <c r="F80" s="235"/>
      <c r="G80" s="235"/>
    </row>
    <row r="81" spans="1:256" s="271" customFormat="1" ht="67.5" customHeight="1">
      <c r="A81" s="333"/>
      <c r="B81" s="1744"/>
      <c r="C81" s="1746" t="s">
        <v>2704</v>
      </c>
      <c r="D81" s="1747"/>
      <c r="E81" s="1748"/>
      <c r="F81" s="1749"/>
      <c r="G81" s="1670" t="s">
        <v>22</v>
      </c>
      <c r="H81" s="1173" t="s">
        <v>1977</v>
      </c>
    </row>
    <row r="82" spans="1:256" s="271" customFormat="1" ht="31.5">
      <c r="A82" s="333"/>
      <c r="B82" s="1107" t="s">
        <v>174</v>
      </c>
      <c r="C82" s="1108" t="s">
        <v>175</v>
      </c>
      <c r="D82" s="1109" t="s">
        <v>176</v>
      </c>
      <c r="E82" s="1110" t="s">
        <v>177</v>
      </c>
      <c r="F82" s="1111" t="s">
        <v>178</v>
      </c>
      <c r="G82" s="1112" t="s">
        <v>179</v>
      </c>
    </row>
    <row r="83" spans="1:256" s="271" customFormat="1" ht="15.75">
      <c r="A83" s="333"/>
      <c r="B83" s="1360">
        <v>44417</v>
      </c>
      <c r="C83" s="1114" t="s">
        <v>5186</v>
      </c>
      <c r="D83" s="1115">
        <f>2070+600</f>
        <v>2670</v>
      </c>
      <c r="E83" s="1395" t="s">
        <v>5187</v>
      </c>
      <c r="F83" s="1139" t="s">
        <v>5188</v>
      </c>
      <c r="G83" s="1396" t="s">
        <v>5189</v>
      </c>
      <c r="H83" s="1176"/>
    </row>
    <row r="84" spans="1:256" s="271" customFormat="1" ht="15.75">
      <c r="A84" s="333"/>
      <c r="B84" s="1113">
        <v>44424</v>
      </c>
      <c r="C84" s="1114" t="s">
        <v>5194</v>
      </c>
      <c r="D84" s="1115">
        <v>3595</v>
      </c>
      <c r="E84" s="1138" t="s">
        <v>5195</v>
      </c>
      <c r="F84" s="1361" t="s">
        <v>5196</v>
      </c>
      <c r="G84" s="1362" t="s">
        <v>5197</v>
      </c>
      <c r="H84" s="1176"/>
    </row>
    <row r="85" spans="1:256" s="271" customFormat="1" ht="15.75">
      <c r="A85" s="333"/>
      <c r="B85" s="1113">
        <v>44425</v>
      </c>
      <c r="C85" s="1114" t="s">
        <v>5201</v>
      </c>
      <c r="D85" s="1115">
        <f>1750+1164</f>
        <v>2914</v>
      </c>
      <c r="E85" s="1138" t="s">
        <v>5198</v>
      </c>
      <c r="F85" s="1361" t="s">
        <v>5200</v>
      </c>
      <c r="G85" s="1362" t="s">
        <v>5199</v>
      </c>
      <c r="H85" s="1176"/>
    </row>
    <row r="86" spans="1:256" s="271" customFormat="1" ht="16.5" thickBot="1">
      <c r="A86" s="333"/>
      <c r="B86" s="1711"/>
      <c r="C86" s="1668" t="s">
        <v>180</v>
      </c>
      <c r="D86" s="1673">
        <f>IF(COUNT(D82:D85)=3,MEDIAN(D83:D85),SMALL(D83:D85,1))</f>
        <v>2914</v>
      </c>
      <c r="E86" s="1674"/>
      <c r="F86" s="1675"/>
      <c r="G86" s="1671"/>
    </row>
    <row r="87" spans="1:256" s="381" customFormat="1" ht="41.25" customHeight="1" thickBot="1">
      <c r="A87" s="392"/>
      <c r="B87" s="2481" t="s">
        <v>5203</v>
      </c>
      <c r="C87" s="2481"/>
      <c r="D87" s="2481"/>
      <c r="E87" s="2481"/>
      <c r="F87" s="2481"/>
      <c r="G87" s="2481"/>
      <c r="H87" s="392"/>
      <c r="I87" s="392"/>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c r="CA87" s="392"/>
      <c r="CB87" s="392"/>
      <c r="CC87" s="392"/>
      <c r="CD87" s="392"/>
      <c r="CE87" s="392"/>
      <c r="CF87" s="392"/>
      <c r="CG87" s="392"/>
      <c r="CH87" s="392"/>
      <c r="CI87" s="392"/>
      <c r="CJ87" s="392"/>
      <c r="CK87" s="392"/>
      <c r="CL87" s="392"/>
      <c r="CM87" s="392"/>
      <c r="CN87" s="392"/>
      <c r="CO87" s="392"/>
      <c r="CP87" s="392"/>
      <c r="CQ87" s="392"/>
      <c r="CR87" s="392"/>
      <c r="CS87" s="392"/>
      <c r="CT87" s="392"/>
      <c r="CU87" s="392"/>
      <c r="CV87" s="392"/>
      <c r="CW87" s="392"/>
      <c r="CX87" s="392"/>
      <c r="CY87" s="392"/>
      <c r="CZ87" s="392"/>
      <c r="DA87" s="392"/>
      <c r="DB87" s="392"/>
      <c r="DC87" s="392"/>
      <c r="DD87" s="392"/>
      <c r="DE87" s="392"/>
      <c r="DF87" s="392"/>
      <c r="DG87" s="392"/>
      <c r="DH87" s="392"/>
      <c r="DI87" s="392"/>
      <c r="DJ87" s="392"/>
      <c r="DK87" s="392"/>
      <c r="DL87" s="392"/>
      <c r="DM87" s="392"/>
      <c r="DN87" s="392"/>
      <c r="DO87" s="392"/>
      <c r="DP87" s="392"/>
      <c r="DQ87" s="392"/>
      <c r="DR87" s="392"/>
      <c r="DS87" s="392"/>
      <c r="DT87" s="392"/>
      <c r="DU87" s="392"/>
      <c r="DV87" s="392"/>
      <c r="DW87" s="392"/>
      <c r="DX87" s="392"/>
      <c r="DY87" s="392"/>
      <c r="DZ87" s="392"/>
      <c r="EA87" s="392"/>
      <c r="EB87" s="392"/>
      <c r="EC87" s="392"/>
      <c r="ED87" s="392"/>
      <c r="EE87" s="392"/>
      <c r="EF87" s="392"/>
      <c r="EG87" s="392"/>
      <c r="EH87" s="392"/>
      <c r="EI87" s="392"/>
      <c r="EJ87" s="392"/>
      <c r="EK87" s="392"/>
      <c r="EL87" s="392"/>
      <c r="EM87" s="392"/>
      <c r="EN87" s="392"/>
      <c r="EO87" s="392"/>
      <c r="EP87" s="392"/>
      <c r="EQ87" s="392"/>
      <c r="ER87" s="392"/>
      <c r="ES87" s="392"/>
      <c r="ET87" s="392"/>
      <c r="EU87" s="392"/>
      <c r="EV87" s="392"/>
      <c r="EW87" s="392"/>
      <c r="EX87" s="392"/>
      <c r="EY87" s="392"/>
      <c r="EZ87" s="392"/>
      <c r="FA87" s="392"/>
      <c r="FB87" s="392"/>
      <c r="FC87" s="392"/>
      <c r="FD87" s="392"/>
      <c r="FE87" s="392"/>
      <c r="FF87" s="392"/>
      <c r="FG87" s="392"/>
      <c r="FH87" s="392"/>
      <c r="FI87" s="392"/>
      <c r="FJ87" s="392"/>
      <c r="FK87" s="392"/>
      <c r="FL87" s="392"/>
      <c r="FM87" s="392"/>
      <c r="FN87" s="392"/>
      <c r="FO87" s="392"/>
      <c r="FP87" s="392"/>
      <c r="FQ87" s="392"/>
      <c r="FR87" s="392"/>
      <c r="FS87" s="392"/>
      <c r="FT87" s="392"/>
      <c r="FU87" s="392"/>
      <c r="FV87" s="392"/>
      <c r="FW87" s="392"/>
      <c r="FX87" s="392"/>
      <c r="FY87" s="392"/>
      <c r="FZ87" s="392"/>
      <c r="GA87" s="392"/>
      <c r="GB87" s="392"/>
      <c r="GC87" s="392"/>
      <c r="GD87" s="392"/>
      <c r="GE87" s="392"/>
      <c r="GF87" s="392"/>
      <c r="GG87" s="392"/>
      <c r="GH87" s="392"/>
      <c r="GI87" s="392"/>
      <c r="GJ87" s="392"/>
      <c r="GK87" s="392"/>
      <c r="GL87" s="392"/>
      <c r="GM87" s="392"/>
      <c r="GN87" s="392"/>
      <c r="GO87" s="392"/>
      <c r="GP87" s="392"/>
      <c r="GQ87" s="392"/>
      <c r="GR87" s="392"/>
      <c r="GS87" s="392"/>
      <c r="GT87" s="392"/>
      <c r="GU87" s="392"/>
      <c r="GV87" s="392"/>
      <c r="GW87" s="392"/>
      <c r="GX87" s="392"/>
      <c r="GY87" s="392"/>
      <c r="GZ87" s="392"/>
      <c r="HA87" s="392"/>
      <c r="HB87" s="392"/>
      <c r="HC87" s="392"/>
      <c r="HD87" s="392"/>
      <c r="HE87" s="392"/>
      <c r="HF87" s="392"/>
      <c r="HG87" s="392"/>
      <c r="HH87" s="392"/>
      <c r="HI87" s="392"/>
      <c r="HJ87" s="392"/>
      <c r="HK87" s="392"/>
      <c r="HL87" s="392"/>
      <c r="HM87" s="392"/>
      <c r="HN87" s="392"/>
      <c r="HO87" s="392"/>
      <c r="HP87" s="392"/>
      <c r="HQ87" s="392"/>
      <c r="HR87" s="392"/>
      <c r="HS87" s="392"/>
      <c r="HT87" s="392"/>
      <c r="HU87" s="392"/>
      <c r="HV87" s="392"/>
      <c r="HW87" s="392"/>
      <c r="HX87" s="392"/>
      <c r="HY87" s="392"/>
      <c r="HZ87" s="392"/>
      <c r="IA87" s="392"/>
      <c r="IB87" s="392"/>
      <c r="IC87" s="392"/>
      <c r="ID87" s="392"/>
      <c r="IE87" s="392"/>
      <c r="IF87" s="392"/>
      <c r="IG87" s="392"/>
      <c r="IH87" s="392"/>
      <c r="II87" s="392"/>
      <c r="IJ87" s="392"/>
      <c r="IK87" s="392"/>
      <c r="IL87" s="392"/>
      <c r="IM87" s="392"/>
      <c r="IN87" s="392"/>
      <c r="IO87" s="392"/>
      <c r="IP87" s="392"/>
      <c r="IQ87" s="392"/>
      <c r="IR87" s="392"/>
      <c r="IS87" s="392"/>
      <c r="IT87" s="392"/>
      <c r="IU87" s="392"/>
      <c r="IV87" s="392"/>
    </row>
    <row r="88" spans="1:256" s="1156" customFormat="1" ht="52.5" customHeight="1">
      <c r="A88" s="1154"/>
      <c r="B88" s="377" t="str">
        <f>IF(COUNT($H$14:H88)&lt;10,CONCATENATE("CPU ACAD 00",COUNT($H$14:H88)),CONCATENATE("CPU ACAD 0",COUNT($H$14:H88)))</f>
        <v>CPU ACAD 007</v>
      </c>
      <c r="C88" s="2180" t="str">
        <f>CONCATENATE("FORNECIMENTO E INSTALAÇÃO DE ",C91)</f>
        <v>FORNECIMENTO E INSTALAÇÃO DE SIMULADOR DE CAVALGADA INDIVIDUAL EM TUBO DE ACO CARBONO, PINTURA NO PROCESSO ELETROSTATICO - EQUIPAMENTO DE GINASTICA PARA ACADEMIA AO AR LIVRE / ACADEMIA DA TERCEIRA IDADE - ATI</v>
      </c>
      <c r="D88" s="2180"/>
      <c r="E88" s="2180"/>
      <c r="F88" s="2180"/>
      <c r="G88" s="1155" t="s">
        <v>22</v>
      </c>
      <c r="H88" s="806">
        <f>G96</f>
        <v>2848.39</v>
      </c>
    </row>
    <row r="89" spans="1:256" s="271" customFormat="1" ht="31.5">
      <c r="A89" s="333"/>
      <c r="B89" s="1093" t="s">
        <v>197</v>
      </c>
      <c r="C89" s="1157" t="s">
        <v>161</v>
      </c>
      <c r="D89" s="1157" t="s">
        <v>22</v>
      </c>
      <c r="E89" s="1157" t="s">
        <v>162</v>
      </c>
      <c r="F89" s="1158" t="s">
        <v>163</v>
      </c>
      <c r="G89" s="1159" t="s">
        <v>164</v>
      </c>
    </row>
    <row r="90" spans="1:256" s="271" customFormat="1" ht="15.75">
      <c r="A90" s="333"/>
      <c r="B90" s="2389" t="s">
        <v>165</v>
      </c>
      <c r="C90" s="2390"/>
      <c r="D90" s="2390"/>
      <c r="E90" s="2390"/>
      <c r="F90" s="2390"/>
      <c r="G90" s="2391"/>
    </row>
    <row r="91" spans="1:256" s="271" customFormat="1" ht="60">
      <c r="A91" s="333"/>
      <c r="B91" s="1160" t="s">
        <v>181</v>
      </c>
      <c r="C91" s="1098" t="str">
        <f>C98</f>
        <v>SIMULADOR DE CAVALGADA INDIVIDUAL EM TUBO DE ACO CARBONO, PINTURA NO PROCESSO ELETROSTATICO - EQUIPAMENTO DE GINASTICA PARA ACADEMIA AO AR LIVRE / ACADEMIA DA TERCEIRA IDADE - ATI</v>
      </c>
      <c r="D91" s="1161" t="str">
        <f>G98</f>
        <v>UN</v>
      </c>
      <c r="E91" s="1162">
        <v>1</v>
      </c>
      <c r="F91" s="1163">
        <f>D103</f>
        <v>2738</v>
      </c>
      <c r="G91" s="1164">
        <f>TRUNC(E91*F91,2)</f>
        <v>2738</v>
      </c>
    </row>
    <row r="92" spans="1:256" s="271" customFormat="1" ht="45">
      <c r="A92" s="333" t="s">
        <v>391</v>
      </c>
      <c r="B92" s="1097">
        <v>94963</v>
      </c>
      <c r="C92" s="1098" t="str">
        <f>IF($A92="INSUMO",VLOOKUP($B92,'BANCO DE DADOS JANEIRO-24 INS'!$A:$D,2,FALSE),VLOOKUP($B92,'BANCO DE DADOS JANEIRO-24 SERV'!$B:$E,2,FALSE))</f>
        <v>CONCRETO FCK = 15MPA, TRAÇO 1:3,4:3,5 (EM MASSA SECA DE CIMENTO/ AREIA MÉDIA/ BRITA 1) - PREPARO MECÂNICO COM BETONEIRA 400 L. AF_05/2021</v>
      </c>
      <c r="D92" s="1099" t="str">
        <f>IF($A92="INSUMO",VLOOKUP($B92,'BANCO DE DADOS JANEIRO-24 INS'!$A:$D,3,FALSE),VLOOKUP($B92,'BANCO DE DADOS JANEIRO-24 SERV'!$B:$E,3,FALSE))</f>
        <v>M3</v>
      </c>
      <c r="E92" s="1165">
        <v>0.128</v>
      </c>
      <c r="F92" s="1118">
        <f>IF($A92="INSUMO",VLOOKUP($B92,'BANCO DE DADOS JANEIRO-24 INS'!$A:$D,4,FALSE),VLOOKUP($B92,'BANCO DE DADOS JANEIRO-24 SERV'!$B:$E,4,FALSE))</f>
        <v>503.53</v>
      </c>
      <c r="G92" s="1164">
        <f>TRUNC(E92*F92,2)</f>
        <v>64.45</v>
      </c>
    </row>
    <row r="93" spans="1:256" s="271" customFormat="1" ht="15.75">
      <c r="A93" s="333"/>
      <c r="B93" s="2389" t="s">
        <v>166</v>
      </c>
      <c r="C93" s="2390"/>
      <c r="D93" s="2390"/>
      <c r="E93" s="2390"/>
      <c r="F93" s="2390"/>
      <c r="G93" s="2391"/>
    </row>
    <row r="94" spans="1:256" s="271" customFormat="1" ht="15.75">
      <c r="A94" s="333" t="s">
        <v>391</v>
      </c>
      <c r="B94" s="1166">
        <v>88309</v>
      </c>
      <c r="C94" s="1098" t="str">
        <f>IF($A94="INSUMO",VLOOKUP($B94,'BANCO DE DADOS JANEIRO-24 INS'!$A:$D,2,FALSE),VLOOKUP($B94,'BANCO DE DADOS JANEIRO-24 SERV'!$B:$E,2,FALSE))</f>
        <v>PEDREIRO COM ENCARGOS COMPLEMENTARES</v>
      </c>
      <c r="D94" s="1099" t="str">
        <f>IF($A94="INSUMO",VLOOKUP($B94,'BANCO DE DADOS JANEIRO-24 INS'!$A:$D,3,FALSE),VLOOKUP($B94,'BANCO DE DADOS JANEIRO-24 SERV'!$B:$E,3,FALSE))</f>
        <v>H</v>
      </c>
      <c r="E94" s="1167">
        <v>1</v>
      </c>
      <c r="F94" s="1118">
        <f>IF($A94="INSUMO",VLOOKUP($B94,'BANCO DE DADOS JANEIRO-24 INS'!$A:$D,4,FALSE),VLOOKUP($B94,'BANCO DE DADOS JANEIRO-24 SERV'!$B:$E,4,FALSE))</f>
        <v>25.62</v>
      </c>
      <c r="G94" s="1164">
        <f>TRUNC(E94*F94,2)</f>
        <v>25.62</v>
      </c>
    </row>
    <row r="95" spans="1:256" s="271" customFormat="1" ht="16.5" thickBot="1">
      <c r="A95" s="333" t="s">
        <v>391</v>
      </c>
      <c r="B95" s="1168">
        <v>88316</v>
      </c>
      <c r="C95" s="1103" t="str">
        <f>IF($A95="INSUMO",VLOOKUP($B95,'BANCO DE DADOS JANEIRO-24 INS'!$A:$D,2,FALSE),VLOOKUP($B95,'BANCO DE DADOS JANEIRO-24 SERV'!$B:$E,2,FALSE))</f>
        <v>SERVENTE COM ENCARGOS COMPLEMENTARES</v>
      </c>
      <c r="D95" s="1104" t="str">
        <f>IF($A95="INSUMO",VLOOKUP($B95,'BANCO DE DADOS JANEIRO-24 INS'!$A:$D,3,FALSE),VLOOKUP($B95,'BANCO DE DADOS JANEIRO-24 SERV'!$B:$E,3,FALSE))</f>
        <v>H</v>
      </c>
      <c r="E95" s="1169">
        <v>1</v>
      </c>
      <c r="F95" s="1119">
        <f>IF($A95="INSUMO",VLOOKUP($B95,'BANCO DE DADOS JANEIRO-24 INS'!$A:$D,4,FALSE),VLOOKUP($B95,'BANCO DE DADOS JANEIRO-24 SERV'!$B:$E,4,FALSE))</f>
        <v>20.32</v>
      </c>
      <c r="G95" s="1170">
        <f>TRUNC(E95*F95,2)</f>
        <v>20.32</v>
      </c>
    </row>
    <row r="96" spans="1:256" s="271" customFormat="1" ht="16.5" thickBot="1">
      <c r="A96" s="333"/>
      <c r="B96" s="2472" t="s">
        <v>5377</v>
      </c>
      <c r="C96" s="2472"/>
      <c r="D96" s="2472"/>
      <c r="E96" s="2473"/>
      <c r="F96" s="1171" t="s">
        <v>167</v>
      </c>
      <c r="G96" s="1172">
        <f>ROUND(SUM(G91:G95),2)</f>
        <v>2848.39</v>
      </c>
    </row>
    <row r="97" spans="1:8" s="271" customFormat="1" ht="16.5" thickBot="1">
      <c r="A97" s="333"/>
      <c r="B97" s="230"/>
      <c r="C97" s="235"/>
      <c r="D97" s="235"/>
      <c r="E97" s="235"/>
      <c r="F97" s="235"/>
      <c r="G97" s="235"/>
    </row>
    <row r="98" spans="1:8" s="271" customFormat="1" ht="63" customHeight="1">
      <c r="A98" s="333"/>
      <c r="B98" s="1744"/>
      <c r="C98" s="1746" t="s">
        <v>2707</v>
      </c>
      <c r="D98" s="1747"/>
      <c r="E98" s="1748"/>
      <c r="F98" s="1749"/>
      <c r="G98" s="1670" t="s">
        <v>22</v>
      </c>
      <c r="H98" s="1173" t="s">
        <v>1977</v>
      </c>
    </row>
    <row r="99" spans="1:8" s="271" customFormat="1" ht="31.5">
      <c r="A99" s="333"/>
      <c r="B99" s="1107" t="s">
        <v>174</v>
      </c>
      <c r="C99" s="1108" t="s">
        <v>175</v>
      </c>
      <c r="D99" s="1109" t="s">
        <v>176</v>
      </c>
      <c r="E99" s="1110" t="s">
        <v>177</v>
      </c>
      <c r="F99" s="1111" t="s">
        <v>178</v>
      </c>
      <c r="G99" s="1112" t="s">
        <v>179</v>
      </c>
    </row>
    <row r="100" spans="1:8" s="271" customFormat="1" ht="15.75">
      <c r="A100" s="333"/>
      <c r="B100" s="1360">
        <v>44417</v>
      </c>
      <c r="C100" s="1114" t="s">
        <v>5186</v>
      </c>
      <c r="D100" s="1115">
        <f>2070+600</f>
        <v>2670</v>
      </c>
      <c r="E100" s="1395" t="s">
        <v>5187</v>
      </c>
      <c r="F100" s="1139" t="s">
        <v>5188</v>
      </c>
      <c r="G100" s="1396" t="s">
        <v>5189</v>
      </c>
      <c r="H100" s="1176"/>
    </row>
    <row r="101" spans="1:8" s="271" customFormat="1" ht="15.75">
      <c r="A101" s="333"/>
      <c r="B101" s="1113">
        <v>44424</v>
      </c>
      <c r="C101" s="1114" t="s">
        <v>5194</v>
      </c>
      <c r="D101" s="1115">
        <v>2738</v>
      </c>
      <c r="E101" s="1138" t="s">
        <v>5195</v>
      </c>
      <c r="F101" s="1361" t="s">
        <v>5196</v>
      </c>
      <c r="G101" s="1362" t="s">
        <v>5197</v>
      </c>
      <c r="H101" s="1176"/>
    </row>
    <row r="102" spans="1:8" s="271" customFormat="1" ht="15.75">
      <c r="A102" s="333"/>
      <c r="B102" s="1113">
        <v>44425</v>
      </c>
      <c r="C102" s="1114" t="s">
        <v>5201</v>
      </c>
      <c r="D102" s="1115">
        <f>1650+1164</f>
        <v>2814</v>
      </c>
      <c r="E102" s="1138" t="s">
        <v>5198</v>
      </c>
      <c r="F102" s="1361" t="s">
        <v>5200</v>
      </c>
      <c r="G102" s="1362" t="s">
        <v>5199</v>
      </c>
      <c r="H102" s="1176"/>
    </row>
    <row r="103" spans="1:8" s="271" customFormat="1" ht="16.5" thickBot="1">
      <c r="A103" s="333"/>
      <c r="B103" s="1711"/>
      <c r="C103" s="1668" t="s">
        <v>180</v>
      </c>
      <c r="D103" s="1673">
        <f>IF(COUNT(D99:D102)=3,MEDIAN(D100:D102),SMALL(D100:D102,1))</f>
        <v>2738</v>
      </c>
      <c r="E103" s="1674"/>
      <c r="F103" s="1675"/>
      <c r="G103" s="1671"/>
    </row>
    <row r="104" spans="1:8" s="271" customFormat="1" ht="42" customHeight="1" thickBot="1">
      <c r="A104" s="333"/>
      <c r="B104" s="2481" t="s">
        <v>5203</v>
      </c>
      <c r="C104" s="2481"/>
      <c r="D104" s="2481"/>
      <c r="E104" s="2481"/>
      <c r="F104" s="2481"/>
      <c r="G104" s="2481"/>
    </row>
    <row r="105" spans="1:8" s="271" customFormat="1" ht="16.5" thickBot="1">
      <c r="A105" s="333"/>
      <c r="B105" s="1570"/>
      <c r="C105" s="1570"/>
      <c r="D105" s="1570"/>
      <c r="E105" s="1570"/>
      <c r="F105" s="1570"/>
      <c r="G105" s="1570"/>
    </row>
    <row r="106" spans="1:8" s="1156" customFormat="1" ht="52.5" customHeight="1">
      <c r="A106" s="1154"/>
      <c r="B106" s="377" t="str">
        <f>IF(COUNT($H$14:H106)&lt;10,CONCATENATE("CPU ACAD 00",COUNT($H$14:H106)),CONCATENATE("CPU ACAD 0",COUNT($H$14:H106)))</f>
        <v>CPU ACAD 008</v>
      </c>
      <c r="C106" s="2180" t="str">
        <f>CONCATENATE("FORNECIMENTO E INSTALAÇÃO DE ",C109)</f>
        <v xml:space="preserve">FORNECIMENTO E INSTALAÇÃO DE SIMULADOR DE REMO INDIVIDUAL, EM TUBO DE ACO CARBONO, PINTURA NO PROCESSO ELETROSTATICO - EQUIPAMENTO DE GINASTICA PARA ACADEMIA AO AR LIVRE / ACADEMIA DA TERCEIRA IDADE - ATI                                                                                                                                                                                                                                                                                                                           </v>
      </c>
      <c r="D106" s="2180"/>
      <c r="E106" s="2180"/>
      <c r="F106" s="2180"/>
      <c r="G106" s="1155" t="s">
        <v>22</v>
      </c>
      <c r="H106" s="806">
        <f>G114</f>
        <v>5239.72</v>
      </c>
    </row>
    <row r="107" spans="1:8" s="271" customFormat="1" ht="31.5">
      <c r="A107" s="333"/>
      <c r="B107" s="1093" t="s">
        <v>197</v>
      </c>
      <c r="C107" s="1157" t="s">
        <v>161</v>
      </c>
      <c r="D107" s="1157" t="s">
        <v>22</v>
      </c>
      <c r="E107" s="1157" t="s">
        <v>162</v>
      </c>
      <c r="F107" s="1158" t="s">
        <v>163</v>
      </c>
      <c r="G107" s="1159" t="s">
        <v>164</v>
      </c>
    </row>
    <row r="108" spans="1:8" s="271" customFormat="1" ht="15.75">
      <c r="A108" s="333"/>
      <c r="B108" s="2389" t="s">
        <v>165</v>
      </c>
      <c r="C108" s="2390"/>
      <c r="D108" s="2390"/>
      <c r="E108" s="2390"/>
      <c r="F108" s="2390"/>
      <c r="G108" s="2391"/>
    </row>
    <row r="109" spans="1:8" s="271" customFormat="1" ht="60">
      <c r="A109" s="333" t="s">
        <v>390</v>
      </c>
      <c r="B109" s="1097">
        <v>42435</v>
      </c>
      <c r="C109" s="1098" t="str">
        <f>IF($A109="INSUMO",VLOOKUP($B109,'BANCO DE DADOS JANEIRO-24 INS'!$A:$D,2,FALSE),VLOOKUP($B109,'BANCO DE DADOS JANEIRO-24 SERV'!$B:$E,2,FALSE))</f>
        <v xml:space="preserve">SIMULADOR DE REMO INDIVIDUAL, EM TUBO DE ACO CARBONO, PINTURA NO PROCESSO ELETROSTATICO - EQUIPAMENTO DE GINASTICA PARA ACADEMIA AO AR LIVRE / ACADEMIA DA TERCEIRA IDADE - ATI                                                                                                                                                                                                                                                                                                                           </v>
      </c>
      <c r="D109" s="1099" t="str">
        <f>IF($A109="INSUMO",VLOOKUP($B109,'BANCO DE DADOS JANEIRO-24 INS'!$A:$D,3,FALSE),VLOOKUP($B109,'BANCO DE DADOS JANEIRO-24 SERV'!$B:$E,3,FALSE))</f>
        <v xml:space="preserve">UN    </v>
      </c>
      <c r="E109" s="1165">
        <v>2</v>
      </c>
      <c r="F109" s="1118">
        <f>IF($A109="INSUMO",VLOOKUP($B109,'BANCO DE DADOS JANEIRO-24 INS'!$A:$D,4,FALSE),VLOOKUP($B109,'BANCO DE DADOS JANEIRO-24 SERV'!$B:$E,4,FALSE))</f>
        <v>2580.7800000000002</v>
      </c>
      <c r="G109" s="1164">
        <f>TRUNC(E109*F109,2)</f>
        <v>5161.5600000000004</v>
      </c>
    </row>
    <row r="110" spans="1:8" s="271" customFormat="1" ht="45">
      <c r="A110" s="333" t="s">
        <v>391</v>
      </c>
      <c r="B110" s="1097">
        <v>94963</v>
      </c>
      <c r="C110" s="1098" t="str">
        <f>IF($A110="INSUMO",VLOOKUP($B110,'BANCO DE DADOS JANEIRO-24 INS'!$A:$D,2,FALSE),VLOOKUP($B110,'BANCO DE DADOS JANEIRO-24 SERV'!$B:$E,2,FALSE))</f>
        <v>CONCRETO FCK = 15MPA, TRAÇO 1:3,4:3,5 (EM MASSA SECA DE CIMENTO/ AREIA MÉDIA/ BRITA 1) - PREPARO MECÂNICO COM BETONEIRA 400 L. AF_05/2021</v>
      </c>
      <c r="D110" s="1099" t="str">
        <f>IF($A110="INSUMO",VLOOKUP($B110,'BANCO DE DADOS JANEIRO-24 INS'!$A:$D,3,FALSE),VLOOKUP($B110,'BANCO DE DADOS JANEIRO-24 SERV'!$B:$E,3,FALSE))</f>
        <v>M3</v>
      </c>
      <c r="E110" s="1165">
        <v>6.4000000000000001E-2</v>
      </c>
      <c r="F110" s="1118">
        <f>IF($A110="INSUMO",VLOOKUP($B110,'BANCO DE DADOS JANEIRO-24 INS'!$A:$D,4,FALSE),VLOOKUP($B110,'BANCO DE DADOS JANEIRO-24 SERV'!$B:$E,4,FALSE))</f>
        <v>503.53</v>
      </c>
      <c r="G110" s="1164">
        <f>TRUNC(E110*F110,2)</f>
        <v>32.22</v>
      </c>
    </row>
    <row r="111" spans="1:8" s="271" customFormat="1" ht="15.75">
      <c r="A111" s="333"/>
      <c r="B111" s="2389" t="s">
        <v>166</v>
      </c>
      <c r="C111" s="2390"/>
      <c r="D111" s="2390"/>
      <c r="E111" s="2390"/>
      <c r="F111" s="2390"/>
      <c r="G111" s="2391"/>
    </row>
    <row r="112" spans="1:8" s="271" customFormat="1" ht="15.75">
      <c r="A112" s="333" t="s">
        <v>391</v>
      </c>
      <c r="B112" s="1166">
        <v>88309</v>
      </c>
      <c r="C112" s="1098" t="str">
        <f>IF($A112="INSUMO",VLOOKUP($B112,'BANCO DE DADOS JANEIRO-24 INS'!$A:$D,2,FALSE),VLOOKUP($B112,'BANCO DE DADOS JANEIRO-24 SERV'!$B:$E,2,FALSE))</f>
        <v>PEDREIRO COM ENCARGOS COMPLEMENTARES</v>
      </c>
      <c r="D112" s="1099" t="str">
        <f>IF($A112="INSUMO",VLOOKUP($B112,'BANCO DE DADOS JANEIRO-24 INS'!$A:$D,3,FALSE),VLOOKUP($B112,'BANCO DE DADOS JANEIRO-24 SERV'!$B:$E,3,FALSE))</f>
        <v>H</v>
      </c>
      <c r="E112" s="1167">
        <v>1</v>
      </c>
      <c r="F112" s="1118">
        <f>IF($A112="INSUMO",VLOOKUP($B112,'BANCO DE DADOS JANEIRO-24 INS'!$A:$D,4,FALSE),VLOOKUP($B112,'BANCO DE DADOS JANEIRO-24 SERV'!$B:$E,4,FALSE))</f>
        <v>25.62</v>
      </c>
      <c r="G112" s="1164">
        <f>TRUNC(E112*F112,2)</f>
        <v>25.62</v>
      </c>
    </row>
    <row r="113" spans="1:8" s="271" customFormat="1" ht="16.5" thickBot="1">
      <c r="A113" s="333" t="s">
        <v>391</v>
      </c>
      <c r="B113" s="1168">
        <v>88316</v>
      </c>
      <c r="C113" s="1103" t="str">
        <f>IF($A113="INSUMO",VLOOKUP($B113,'BANCO DE DADOS JANEIRO-24 INS'!$A:$D,2,FALSE),VLOOKUP($B113,'BANCO DE DADOS JANEIRO-24 SERV'!$B:$E,2,FALSE))</f>
        <v>SERVENTE COM ENCARGOS COMPLEMENTARES</v>
      </c>
      <c r="D113" s="1104" t="str">
        <f>IF($A113="INSUMO",VLOOKUP($B113,'BANCO DE DADOS JANEIRO-24 INS'!$A:$D,3,FALSE),VLOOKUP($B113,'BANCO DE DADOS JANEIRO-24 SERV'!$B:$E,3,FALSE))</f>
        <v>H</v>
      </c>
      <c r="E113" s="1169">
        <v>1</v>
      </c>
      <c r="F113" s="1119">
        <f>IF($A113="INSUMO",VLOOKUP($B113,'BANCO DE DADOS JANEIRO-24 INS'!$A:$D,4,FALSE),VLOOKUP($B113,'BANCO DE DADOS JANEIRO-24 SERV'!$B:$E,4,FALSE))</f>
        <v>20.32</v>
      </c>
      <c r="G113" s="1170">
        <f>TRUNC(E113*F113,2)</f>
        <v>20.32</v>
      </c>
    </row>
    <row r="114" spans="1:8" s="271" customFormat="1" ht="16.5" thickBot="1">
      <c r="A114" s="333"/>
      <c r="B114" s="2472" t="s">
        <v>5381</v>
      </c>
      <c r="C114" s="2472"/>
      <c r="D114" s="2472"/>
      <c r="E114" s="2473"/>
      <c r="F114" s="1171" t="s">
        <v>167</v>
      </c>
      <c r="G114" s="1172">
        <f>ROUND(SUM(G109:G113),2)</f>
        <v>5239.72</v>
      </c>
    </row>
    <row r="115" spans="1:8" s="271" customFormat="1" ht="16.5" thickBot="1">
      <c r="A115" s="333"/>
      <c r="B115" s="601"/>
      <c r="C115" s="601"/>
      <c r="D115" s="300"/>
      <c r="E115" s="257"/>
      <c r="F115" s="301"/>
      <c r="G115" s="302"/>
    </row>
    <row r="116" spans="1:8" s="1156" customFormat="1" ht="48.75" customHeight="1">
      <c r="A116" s="1154"/>
      <c r="B116" s="377" t="str">
        <f>IF(COUNT($H$14:H116)&lt;10,CONCATENATE("CPU ACAD 00",COUNT($H$14:H116)),CONCATENATE("CPU ACAD 0",COUNT($H$14:H116)))</f>
        <v>CPU ACAD 009</v>
      </c>
      <c r="C116" s="2180" t="str">
        <f>CONCATENATE("FORNECIMENTO E INSTALAÇÃO DE ",C119)</f>
        <v>FORNECIMENTO E INSTALAÇÃO DE SIMULADOR DE CAMINHADA INDIVIDUAL, EM TUBO DE ACO CARBONO, PINTURA NO PROCESSO ELETROSTATICO - EQUIPAMENTO DE GINASTICA PARA ACADEMIA AO AR LIVRE / ACADEMIA DA TERCEIRA IDADE - ATI</v>
      </c>
      <c r="D116" s="2180"/>
      <c r="E116" s="2180"/>
      <c r="F116" s="2180"/>
      <c r="G116" s="1155" t="s">
        <v>22</v>
      </c>
      <c r="H116" s="806">
        <f>G124</f>
        <v>2894.88</v>
      </c>
    </row>
    <row r="117" spans="1:8" s="271" customFormat="1" ht="31.5">
      <c r="A117" s="333"/>
      <c r="B117" s="1093" t="s">
        <v>197</v>
      </c>
      <c r="C117" s="1157" t="s">
        <v>161</v>
      </c>
      <c r="D117" s="1157" t="s">
        <v>22</v>
      </c>
      <c r="E117" s="1157" t="s">
        <v>162</v>
      </c>
      <c r="F117" s="1158" t="s">
        <v>163</v>
      </c>
      <c r="G117" s="1159" t="s">
        <v>164</v>
      </c>
    </row>
    <row r="118" spans="1:8" s="271" customFormat="1" ht="15.75">
      <c r="A118" s="333"/>
      <c r="B118" s="2389" t="s">
        <v>165</v>
      </c>
      <c r="C118" s="2390"/>
      <c r="D118" s="2390"/>
      <c r="E118" s="2390"/>
      <c r="F118" s="2390"/>
      <c r="G118" s="2391"/>
    </row>
    <row r="119" spans="1:8" s="271" customFormat="1" ht="60">
      <c r="A119" s="333" t="s">
        <v>390</v>
      </c>
      <c r="B119" s="1097" t="s">
        <v>181</v>
      </c>
      <c r="C119" s="1098" t="str">
        <f>C126</f>
        <v>SIMULADOR DE CAMINHADA INDIVIDUAL, EM TUBO DE ACO CARBONO, PINTURA NO PROCESSO ELETROSTATICO - EQUIPAMENTO DE GINASTICA PARA ACADEMIA AO AR LIVRE / ACADEMIA DA TERCEIRA IDADE - ATI</v>
      </c>
      <c r="D119" s="1178" t="str">
        <f>G126</f>
        <v>UN</v>
      </c>
      <c r="E119" s="1165">
        <v>1</v>
      </c>
      <c r="F119" s="1146">
        <f>D131</f>
        <v>2842.5</v>
      </c>
      <c r="G119" s="1164">
        <f>TRUNC(E119*F119,2)</f>
        <v>2842.5</v>
      </c>
    </row>
    <row r="120" spans="1:8" s="271" customFormat="1" ht="45">
      <c r="A120" s="333" t="s">
        <v>391</v>
      </c>
      <c r="B120" s="1097">
        <v>94963</v>
      </c>
      <c r="C120" s="1098" t="str">
        <f>IF($A120="INSUMO",VLOOKUP($B120,'BANCO DE DADOS JANEIRO-24 INS'!$A:$D,2,FALSE),VLOOKUP($B120,'BANCO DE DADOS JANEIRO-24 SERV'!$B:$E,2,FALSE))</f>
        <v>CONCRETO FCK = 15MPA, TRAÇO 1:3,4:3,5 (EM MASSA SECA DE CIMENTO/ AREIA MÉDIA/ BRITA 1) - PREPARO MECÂNICO COM BETONEIRA 400 L. AF_05/2021</v>
      </c>
      <c r="D120" s="1099" t="str">
        <f>IF($A120="INSUMO",VLOOKUP($B120,'BANCO DE DADOS JANEIRO-24 INS'!$A:$D,3,FALSE),VLOOKUP($B120,'BANCO DE DADOS JANEIRO-24 SERV'!$B:$E,3,FALSE))</f>
        <v>M3</v>
      </c>
      <c r="E120" s="1179">
        <v>1.2800000000000001E-2</v>
      </c>
      <c r="F120" s="1118">
        <f>IF($A120="INSUMO",VLOOKUP($B120,'BANCO DE DADOS JANEIRO-24 INS'!$A:$D,4,FALSE),VLOOKUP($B120,'BANCO DE DADOS JANEIRO-24 SERV'!$B:$E,4,FALSE))</f>
        <v>503.53</v>
      </c>
      <c r="G120" s="1164">
        <f>TRUNC(E120*F120,2)</f>
        <v>6.44</v>
      </c>
    </row>
    <row r="121" spans="1:8" s="271" customFormat="1" ht="15.75">
      <c r="A121" s="333"/>
      <c r="B121" s="2389" t="s">
        <v>166</v>
      </c>
      <c r="C121" s="2390"/>
      <c r="D121" s="2390"/>
      <c r="E121" s="2390"/>
      <c r="F121" s="2390"/>
      <c r="G121" s="2391"/>
    </row>
    <row r="122" spans="1:8" s="271" customFormat="1" ht="15.75">
      <c r="A122" s="333" t="s">
        <v>391</v>
      </c>
      <c r="B122" s="1166">
        <v>88309</v>
      </c>
      <c r="C122" s="1098" t="str">
        <f>IF($A122="INSUMO",VLOOKUP($B122,'BANCO DE DADOS JANEIRO-24 INS'!$A:$D,2,FALSE),VLOOKUP($B122,'BANCO DE DADOS JANEIRO-24 SERV'!$B:$E,2,FALSE))</f>
        <v>PEDREIRO COM ENCARGOS COMPLEMENTARES</v>
      </c>
      <c r="D122" s="1099" t="str">
        <f>IF($A122="INSUMO",VLOOKUP($B122,'BANCO DE DADOS JANEIRO-24 INS'!$A:$D,3,FALSE),VLOOKUP($B122,'BANCO DE DADOS JANEIRO-24 SERV'!$B:$E,3,FALSE))</f>
        <v>H</v>
      </c>
      <c r="E122" s="1167">
        <v>1</v>
      </c>
      <c r="F122" s="1118">
        <f>IF($A122="INSUMO",VLOOKUP($B122,'BANCO DE DADOS JANEIRO-24 INS'!$A:$D,4,FALSE),VLOOKUP($B122,'BANCO DE DADOS JANEIRO-24 SERV'!$B:$E,4,FALSE))</f>
        <v>25.62</v>
      </c>
      <c r="G122" s="1164">
        <f>TRUNC(E122*F122,2)</f>
        <v>25.62</v>
      </c>
    </row>
    <row r="123" spans="1:8" s="271" customFormat="1" ht="16.5" thickBot="1">
      <c r="A123" s="333" t="s">
        <v>391</v>
      </c>
      <c r="B123" s="1168">
        <v>88316</v>
      </c>
      <c r="C123" s="1103" t="str">
        <f>IF($A123="INSUMO",VLOOKUP($B123,'BANCO DE DADOS JANEIRO-24 INS'!$A:$D,2,FALSE),VLOOKUP($B123,'BANCO DE DADOS JANEIRO-24 SERV'!$B:$E,2,FALSE))</f>
        <v>SERVENTE COM ENCARGOS COMPLEMENTARES</v>
      </c>
      <c r="D123" s="1104" t="str">
        <f>IF($A123="INSUMO",VLOOKUP($B123,'BANCO DE DADOS JANEIRO-24 INS'!$A:$D,3,FALSE),VLOOKUP($B123,'BANCO DE DADOS JANEIRO-24 SERV'!$B:$E,3,FALSE))</f>
        <v>H</v>
      </c>
      <c r="E123" s="1169">
        <v>1</v>
      </c>
      <c r="F123" s="1119">
        <f>IF($A123="INSUMO",VLOOKUP($B123,'BANCO DE DADOS JANEIRO-24 INS'!$A:$D,4,FALSE),VLOOKUP($B123,'BANCO DE DADOS JANEIRO-24 SERV'!$B:$E,4,FALSE))</f>
        <v>20.32</v>
      </c>
      <c r="G123" s="1170">
        <f>TRUNC(E123*F123,2)</f>
        <v>20.32</v>
      </c>
    </row>
    <row r="124" spans="1:8" s="271" customFormat="1" ht="16.5" thickBot="1">
      <c r="A124" s="333"/>
      <c r="B124" s="2472" t="s">
        <v>5380</v>
      </c>
      <c r="C124" s="2472"/>
      <c r="D124" s="2472"/>
      <c r="E124" s="2473"/>
      <c r="F124" s="1171" t="s">
        <v>167</v>
      </c>
      <c r="G124" s="1172">
        <f>ROUND(SUM(G119:G123),2)</f>
        <v>2894.88</v>
      </c>
    </row>
    <row r="125" spans="1:8" s="271" customFormat="1" ht="16.5" thickBot="1">
      <c r="A125" s="333"/>
      <c r="B125" s="230"/>
      <c r="C125" s="235"/>
      <c r="D125" s="235"/>
      <c r="E125" s="235"/>
      <c r="F125" s="235"/>
      <c r="G125" s="235"/>
    </row>
    <row r="126" spans="1:8" s="271" customFormat="1" ht="63">
      <c r="A126" s="333"/>
      <c r="B126" s="1744"/>
      <c r="C126" s="1746" t="s">
        <v>2705</v>
      </c>
      <c r="D126" s="1747"/>
      <c r="E126" s="1748"/>
      <c r="F126" s="1749"/>
      <c r="G126" s="1670" t="s">
        <v>22</v>
      </c>
      <c r="H126" s="1173" t="s">
        <v>1977</v>
      </c>
    </row>
    <row r="127" spans="1:8" s="271" customFormat="1" ht="31.5">
      <c r="A127" s="333"/>
      <c r="B127" s="1107" t="s">
        <v>174</v>
      </c>
      <c r="C127" s="1108" t="s">
        <v>175</v>
      </c>
      <c r="D127" s="1109" t="s">
        <v>176</v>
      </c>
      <c r="E127" s="1110" t="s">
        <v>177</v>
      </c>
      <c r="F127" s="1111" t="s">
        <v>178</v>
      </c>
      <c r="G127" s="1112" t="s">
        <v>179</v>
      </c>
    </row>
    <row r="128" spans="1:8" s="271" customFormat="1" ht="15.75">
      <c r="A128" s="333"/>
      <c r="B128" s="1360">
        <v>44417</v>
      </c>
      <c r="C128" s="1114" t="s">
        <v>5186</v>
      </c>
      <c r="D128" s="1115">
        <f>2242.5+600</f>
        <v>2842.5</v>
      </c>
      <c r="E128" s="1395" t="s">
        <v>5187</v>
      </c>
      <c r="F128" s="1139" t="s">
        <v>5188</v>
      </c>
      <c r="G128" s="1396" t="s">
        <v>5189</v>
      </c>
      <c r="H128" s="1176"/>
    </row>
    <row r="129" spans="1:256" s="271" customFormat="1" ht="15.75">
      <c r="A129" s="333"/>
      <c r="B129" s="1113">
        <v>44424</v>
      </c>
      <c r="C129" s="1114" t="s">
        <v>5194</v>
      </c>
      <c r="D129" s="1115">
        <v>3309</v>
      </c>
      <c r="E129" s="1138" t="s">
        <v>5195</v>
      </c>
      <c r="F129" s="1361" t="s">
        <v>5196</v>
      </c>
      <c r="G129" s="1362" t="s">
        <v>5197</v>
      </c>
      <c r="H129" s="1176"/>
    </row>
    <row r="130" spans="1:256" s="271" customFormat="1" ht="15.75">
      <c r="A130" s="333"/>
      <c r="B130" s="1113">
        <v>44425</v>
      </c>
      <c r="C130" s="1114" t="s">
        <v>5201</v>
      </c>
      <c r="D130" s="1115">
        <f>1650+1164</f>
        <v>2814</v>
      </c>
      <c r="E130" s="1138" t="s">
        <v>5198</v>
      </c>
      <c r="F130" s="1361" t="s">
        <v>5200</v>
      </c>
      <c r="G130" s="1362" t="s">
        <v>5199</v>
      </c>
      <c r="H130" s="1176"/>
    </row>
    <row r="131" spans="1:256" s="271" customFormat="1" ht="16.5" thickBot="1">
      <c r="A131" s="333"/>
      <c r="B131" s="1711"/>
      <c r="C131" s="1668" t="s">
        <v>180</v>
      </c>
      <c r="D131" s="1673">
        <f>IF(COUNT(D127:D130)=3,MEDIAN(D128:D130),SMALL(D128:D130,1))</f>
        <v>2842.5</v>
      </c>
      <c r="E131" s="1674"/>
      <c r="F131" s="1675"/>
      <c r="G131" s="1671"/>
    </row>
    <row r="132" spans="1:256" s="381" customFormat="1" ht="45.75" customHeight="1" thickBot="1">
      <c r="A132" s="392"/>
      <c r="B132" s="2481" t="s">
        <v>5203</v>
      </c>
      <c r="C132" s="2481"/>
      <c r="D132" s="2481"/>
      <c r="E132" s="2481"/>
      <c r="F132" s="2481"/>
      <c r="G132" s="2481"/>
      <c r="H132" s="392"/>
      <c r="I132" s="392"/>
      <c r="J132" s="392"/>
      <c r="K132" s="392"/>
      <c r="L132" s="392"/>
      <c r="M132" s="392"/>
      <c r="N132" s="392"/>
      <c r="O132" s="392"/>
      <c r="P132" s="392"/>
      <c r="Q132" s="392"/>
      <c r="R132" s="392"/>
      <c r="S132" s="392"/>
      <c r="T132" s="392"/>
      <c r="U132" s="392"/>
      <c r="V132" s="392"/>
      <c r="W132" s="392"/>
      <c r="X132" s="392"/>
      <c r="Y132" s="392"/>
      <c r="Z132" s="392"/>
      <c r="AA132" s="392"/>
      <c r="AB132" s="392"/>
      <c r="AC132" s="392"/>
      <c r="AD132" s="392"/>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392"/>
      <c r="BF132" s="392"/>
      <c r="BG132" s="392"/>
      <c r="BH132" s="392"/>
      <c r="BI132" s="392"/>
      <c r="BJ132" s="392"/>
      <c r="BK132" s="392"/>
      <c r="BL132" s="392"/>
      <c r="BM132" s="392"/>
      <c r="BN132" s="392"/>
      <c r="BO132" s="392"/>
      <c r="BP132" s="392"/>
      <c r="BQ132" s="392"/>
      <c r="BR132" s="392"/>
      <c r="BS132" s="392"/>
      <c r="BT132" s="392"/>
      <c r="BU132" s="392"/>
      <c r="BV132" s="392"/>
      <c r="BW132" s="392"/>
      <c r="BX132" s="392"/>
      <c r="BY132" s="392"/>
      <c r="BZ132" s="392"/>
      <c r="CA132" s="392"/>
      <c r="CB132" s="392"/>
      <c r="CC132" s="392"/>
      <c r="CD132" s="392"/>
      <c r="CE132" s="392"/>
      <c r="CF132" s="392"/>
      <c r="CG132" s="392"/>
      <c r="CH132" s="392"/>
      <c r="CI132" s="39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c r="DD132" s="392"/>
      <c r="DE132" s="392"/>
      <c r="DF132" s="392"/>
      <c r="DG132" s="392"/>
      <c r="DH132" s="392"/>
      <c r="DI132" s="392"/>
      <c r="DJ132" s="392"/>
      <c r="DK132" s="392"/>
      <c r="DL132" s="392"/>
      <c r="DM132" s="392"/>
      <c r="DN132" s="392"/>
      <c r="DO132" s="392"/>
      <c r="DP132" s="392"/>
      <c r="DQ132" s="392"/>
      <c r="DR132" s="392"/>
      <c r="DS132" s="392"/>
      <c r="DT132" s="392"/>
      <c r="DU132" s="392"/>
      <c r="DV132" s="392"/>
      <c r="DW132" s="392"/>
      <c r="DX132" s="392"/>
      <c r="DY132" s="392"/>
      <c r="DZ132" s="392"/>
      <c r="EA132" s="392"/>
      <c r="EB132" s="392"/>
      <c r="EC132" s="392"/>
      <c r="ED132" s="392"/>
      <c r="EE132" s="392"/>
      <c r="EF132" s="392"/>
      <c r="EG132" s="392"/>
      <c r="EH132" s="392"/>
      <c r="EI132" s="392"/>
      <c r="EJ132" s="392"/>
      <c r="EK132" s="392"/>
      <c r="EL132" s="392"/>
      <c r="EM132" s="392"/>
      <c r="EN132" s="392"/>
      <c r="EO132" s="392"/>
      <c r="EP132" s="392"/>
      <c r="EQ132" s="392"/>
      <c r="ER132" s="392"/>
      <c r="ES132" s="392"/>
      <c r="ET132" s="392"/>
      <c r="EU132" s="392"/>
      <c r="EV132" s="392"/>
      <c r="EW132" s="392"/>
      <c r="EX132" s="392"/>
      <c r="EY132" s="392"/>
      <c r="EZ132" s="392"/>
      <c r="FA132" s="392"/>
      <c r="FB132" s="392"/>
      <c r="FC132" s="392"/>
      <c r="FD132" s="392"/>
      <c r="FE132" s="392"/>
      <c r="FF132" s="392"/>
      <c r="FG132" s="392"/>
      <c r="FH132" s="392"/>
      <c r="FI132" s="392"/>
      <c r="FJ132" s="392"/>
      <c r="FK132" s="392"/>
      <c r="FL132" s="392"/>
      <c r="FM132" s="392"/>
      <c r="FN132" s="392"/>
      <c r="FO132" s="392"/>
      <c r="FP132" s="392"/>
      <c r="FQ132" s="392"/>
      <c r="FR132" s="392"/>
      <c r="FS132" s="392"/>
      <c r="FT132" s="392"/>
      <c r="FU132" s="392"/>
      <c r="FV132" s="392"/>
      <c r="FW132" s="392"/>
      <c r="FX132" s="392"/>
      <c r="FY132" s="392"/>
      <c r="FZ132" s="392"/>
      <c r="GA132" s="392"/>
      <c r="GB132" s="392"/>
      <c r="GC132" s="392"/>
      <c r="GD132" s="392"/>
      <c r="GE132" s="392"/>
      <c r="GF132" s="392"/>
      <c r="GG132" s="392"/>
      <c r="GH132" s="392"/>
      <c r="GI132" s="392"/>
      <c r="GJ132" s="392"/>
      <c r="GK132" s="392"/>
      <c r="GL132" s="392"/>
      <c r="GM132" s="392"/>
      <c r="GN132" s="392"/>
      <c r="GO132" s="392"/>
      <c r="GP132" s="392"/>
      <c r="GQ132" s="392"/>
      <c r="GR132" s="392"/>
      <c r="GS132" s="392"/>
      <c r="GT132" s="392"/>
      <c r="GU132" s="392"/>
      <c r="GV132" s="392"/>
      <c r="GW132" s="392"/>
      <c r="GX132" s="392"/>
      <c r="GY132" s="392"/>
      <c r="GZ132" s="392"/>
      <c r="HA132" s="392"/>
      <c r="HB132" s="392"/>
      <c r="HC132" s="392"/>
      <c r="HD132" s="392"/>
      <c r="HE132" s="392"/>
      <c r="HF132" s="392"/>
      <c r="HG132" s="392"/>
      <c r="HH132" s="392"/>
      <c r="HI132" s="392"/>
      <c r="HJ132" s="392"/>
      <c r="HK132" s="392"/>
      <c r="HL132" s="392"/>
      <c r="HM132" s="392"/>
      <c r="HN132" s="392"/>
      <c r="HO132" s="392"/>
      <c r="HP132" s="392"/>
      <c r="HQ132" s="392"/>
      <c r="HR132" s="392"/>
      <c r="HS132" s="392"/>
      <c r="HT132" s="392"/>
      <c r="HU132" s="392"/>
      <c r="HV132" s="392"/>
      <c r="HW132" s="392"/>
      <c r="HX132" s="392"/>
      <c r="HY132" s="392"/>
      <c r="HZ132" s="392"/>
      <c r="IA132" s="392"/>
      <c r="IB132" s="392"/>
      <c r="IC132" s="392"/>
      <c r="ID132" s="392"/>
      <c r="IE132" s="392"/>
      <c r="IF132" s="392"/>
      <c r="IG132" s="392"/>
      <c r="IH132" s="392"/>
      <c r="II132" s="392"/>
      <c r="IJ132" s="392"/>
      <c r="IK132" s="392"/>
      <c r="IL132" s="392"/>
      <c r="IM132" s="392"/>
      <c r="IN132" s="392"/>
      <c r="IO132" s="392"/>
      <c r="IP132" s="392"/>
      <c r="IQ132" s="392"/>
      <c r="IR132" s="392"/>
      <c r="IS132" s="392"/>
      <c r="IT132" s="392"/>
      <c r="IU132" s="392"/>
      <c r="IV132" s="392"/>
    </row>
    <row r="133" spans="1:256" s="381" customFormat="1" ht="51" customHeight="1">
      <c r="A133" s="392"/>
      <c r="B133" s="377" t="str">
        <f>IF(COUNT($H$14:H133)&lt;10,CONCATENATE("CPU ACAD 00",COUNT($H$14:H133)),CONCATENATE("CPU ACAD 0",COUNT($H$14:H133)))</f>
        <v>CPU ACAD 010</v>
      </c>
      <c r="C133" s="2440" t="str">
        <f>CONCATENATE("FORNECIMENTO E INSTALAÇÃO DE ",C136)</f>
        <v xml:space="preserve">FORNECIMENTO E INSTALAÇÃO DE MULTIEXERCITADOR COM SEIS FUNCOES, EM TUBO DE ACO CARBONO, PINTURA NO PROCESSO ELETROSTATICO - EQUIPAMENTO DE GINASTICA PARA ACADEMIA AO AR LIVRE / ACADEMIA DA TERCEIRA IDADE - ATI                                                                                                                                                                                                                                                                                                                      </v>
      </c>
      <c r="D133" s="2440"/>
      <c r="E133" s="2440"/>
      <c r="F133" s="2440"/>
      <c r="G133" s="213" t="s">
        <v>22</v>
      </c>
      <c r="H133" s="465">
        <f>G140</f>
        <v>6518.82</v>
      </c>
      <c r="I133" s="392"/>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2"/>
      <c r="BF133" s="392"/>
      <c r="BG133" s="392"/>
      <c r="BH133" s="392"/>
      <c r="BI133" s="392"/>
      <c r="BJ133" s="392"/>
      <c r="BK133" s="392"/>
      <c r="BL133" s="392"/>
      <c r="BM133" s="392"/>
      <c r="BN133" s="392"/>
      <c r="BO133" s="392"/>
      <c r="BP133" s="392"/>
      <c r="BQ133" s="392"/>
      <c r="BR133" s="392"/>
      <c r="BS133" s="392"/>
      <c r="BT133" s="392"/>
      <c r="BU133" s="392"/>
      <c r="BV133" s="392"/>
      <c r="BW133" s="392"/>
      <c r="BX133" s="392"/>
      <c r="BY133" s="392"/>
      <c r="BZ133" s="392"/>
      <c r="CA133" s="392"/>
      <c r="CB133" s="392"/>
      <c r="CC133" s="392"/>
      <c r="CD133" s="392"/>
      <c r="CE133" s="392"/>
      <c r="CF133" s="392"/>
      <c r="CG133" s="392"/>
      <c r="CH133" s="392"/>
      <c r="CI133" s="39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c r="DD133" s="392"/>
      <c r="DE133" s="392"/>
      <c r="DF133" s="392"/>
      <c r="DG133" s="392"/>
      <c r="DH133" s="392"/>
      <c r="DI133" s="392"/>
      <c r="DJ133" s="392"/>
      <c r="DK133" s="392"/>
      <c r="DL133" s="392"/>
      <c r="DM133" s="392"/>
      <c r="DN133" s="392"/>
      <c r="DO133" s="392"/>
      <c r="DP133" s="392"/>
      <c r="DQ133" s="392"/>
      <c r="DR133" s="392"/>
      <c r="DS133" s="392"/>
      <c r="DT133" s="392"/>
      <c r="DU133" s="392"/>
      <c r="DV133" s="392"/>
      <c r="DW133" s="392"/>
      <c r="DX133" s="392"/>
      <c r="DY133" s="392"/>
      <c r="DZ133" s="392"/>
      <c r="EA133" s="392"/>
      <c r="EB133" s="392"/>
      <c r="EC133" s="392"/>
      <c r="ED133" s="392"/>
      <c r="EE133" s="392"/>
      <c r="EF133" s="392"/>
      <c r="EG133" s="392"/>
      <c r="EH133" s="392"/>
      <c r="EI133" s="392"/>
      <c r="EJ133" s="392"/>
      <c r="EK133" s="392"/>
      <c r="EL133" s="392"/>
      <c r="EM133" s="392"/>
      <c r="EN133" s="392"/>
      <c r="EO133" s="392"/>
      <c r="EP133" s="392"/>
      <c r="EQ133" s="392"/>
      <c r="ER133" s="392"/>
      <c r="ES133" s="392"/>
      <c r="ET133" s="392"/>
      <c r="EU133" s="392"/>
      <c r="EV133" s="392"/>
      <c r="EW133" s="392"/>
      <c r="EX133" s="392"/>
      <c r="EY133" s="392"/>
      <c r="EZ133" s="392"/>
      <c r="FA133" s="392"/>
      <c r="FB133" s="392"/>
      <c r="FC133" s="392"/>
      <c r="FD133" s="392"/>
      <c r="FE133" s="392"/>
      <c r="FF133" s="392"/>
      <c r="FG133" s="392"/>
      <c r="FH133" s="392"/>
      <c r="FI133" s="392"/>
      <c r="FJ133" s="392"/>
      <c r="FK133" s="392"/>
      <c r="FL133" s="392"/>
      <c r="FM133" s="392"/>
      <c r="FN133" s="392"/>
      <c r="FO133" s="392"/>
      <c r="FP133" s="392"/>
      <c r="FQ133" s="392"/>
      <c r="FR133" s="392"/>
      <c r="FS133" s="392"/>
      <c r="FT133" s="392"/>
      <c r="FU133" s="392"/>
      <c r="FV133" s="392"/>
      <c r="FW133" s="392"/>
      <c r="FX133" s="392"/>
      <c r="FY133" s="392"/>
      <c r="FZ133" s="392"/>
      <c r="GA133" s="392"/>
      <c r="GB133" s="392"/>
      <c r="GC133" s="392"/>
      <c r="GD133" s="392"/>
      <c r="GE133" s="392"/>
      <c r="GF133" s="392"/>
      <c r="GG133" s="392"/>
      <c r="GH133" s="392"/>
      <c r="GI133" s="392"/>
      <c r="GJ133" s="392"/>
      <c r="GK133" s="392"/>
      <c r="GL133" s="392"/>
      <c r="GM133" s="392"/>
      <c r="GN133" s="392"/>
      <c r="GO133" s="392"/>
      <c r="GP133" s="392"/>
      <c r="GQ133" s="392"/>
      <c r="GR133" s="392"/>
      <c r="GS133" s="392"/>
      <c r="GT133" s="392"/>
      <c r="GU133" s="392"/>
      <c r="GV133" s="392"/>
      <c r="GW133" s="392"/>
      <c r="GX133" s="392"/>
      <c r="GY133" s="392"/>
      <c r="GZ133" s="392"/>
      <c r="HA133" s="392"/>
      <c r="HB133" s="392"/>
      <c r="HC133" s="392"/>
      <c r="HD133" s="392"/>
      <c r="HE133" s="392"/>
      <c r="HF133" s="392"/>
      <c r="HG133" s="392"/>
      <c r="HH133" s="392"/>
      <c r="HI133" s="392"/>
      <c r="HJ133" s="392"/>
      <c r="HK133" s="392"/>
      <c r="HL133" s="392"/>
      <c r="HM133" s="392"/>
      <c r="HN133" s="392"/>
      <c r="HO133" s="392"/>
      <c r="HP133" s="392"/>
      <c r="HQ133" s="392"/>
      <c r="HR133" s="392"/>
      <c r="HS133" s="392"/>
      <c r="HT133" s="392"/>
      <c r="HU133" s="392"/>
      <c r="HV133" s="392"/>
      <c r="HW133" s="392"/>
      <c r="HX133" s="392"/>
      <c r="HY133" s="392"/>
      <c r="HZ133" s="392"/>
      <c r="IA133" s="392"/>
      <c r="IB133" s="392"/>
      <c r="IC133" s="392"/>
      <c r="ID133" s="392"/>
      <c r="IE133" s="392"/>
      <c r="IF133" s="392"/>
      <c r="IG133" s="392"/>
      <c r="IH133" s="392"/>
      <c r="II133" s="392"/>
      <c r="IJ133" s="392"/>
      <c r="IK133" s="392"/>
      <c r="IL133" s="392"/>
      <c r="IM133" s="392"/>
      <c r="IN133" s="392"/>
      <c r="IO133" s="392"/>
      <c r="IP133" s="392"/>
      <c r="IQ133" s="392"/>
      <c r="IR133" s="392"/>
      <c r="IS133" s="392"/>
      <c r="IT133" s="392"/>
      <c r="IU133" s="392"/>
      <c r="IV133" s="392"/>
    </row>
    <row r="134" spans="1:256" s="381" customFormat="1" ht="31.5">
      <c r="A134" s="392"/>
      <c r="B134" s="1140" t="s">
        <v>197</v>
      </c>
      <c r="C134" s="1141" t="s">
        <v>161</v>
      </c>
      <c r="D134" s="1141" t="s">
        <v>22</v>
      </c>
      <c r="E134" s="1141" t="s">
        <v>162</v>
      </c>
      <c r="F134" s="1142" t="s">
        <v>186</v>
      </c>
      <c r="G134" s="1143" t="s">
        <v>187</v>
      </c>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2"/>
      <c r="BF134" s="392"/>
      <c r="BG134" s="392"/>
      <c r="BH134" s="392"/>
      <c r="BI134" s="392"/>
      <c r="BJ134" s="392"/>
      <c r="BK134" s="392"/>
      <c r="BL134" s="392"/>
      <c r="BM134" s="392"/>
      <c r="BN134" s="392"/>
      <c r="BO134" s="392"/>
      <c r="BP134" s="392"/>
      <c r="BQ134" s="392"/>
      <c r="BR134" s="392"/>
      <c r="BS134" s="392"/>
      <c r="BT134" s="392"/>
      <c r="BU134" s="392"/>
      <c r="BV134" s="392"/>
      <c r="BW134" s="392"/>
      <c r="BX134" s="392"/>
      <c r="BY134" s="392"/>
      <c r="BZ134" s="392"/>
      <c r="CA134" s="392"/>
      <c r="CB134" s="392"/>
      <c r="CC134" s="392"/>
      <c r="CD134" s="392"/>
      <c r="CE134" s="392"/>
      <c r="CF134" s="392"/>
      <c r="CG134" s="392"/>
      <c r="CH134" s="392"/>
      <c r="CI134" s="39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c r="DD134" s="392"/>
      <c r="DE134" s="392"/>
      <c r="DF134" s="392"/>
      <c r="DG134" s="392"/>
      <c r="DH134" s="392"/>
      <c r="DI134" s="392"/>
      <c r="DJ134" s="392"/>
      <c r="DK134" s="392"/>
      <c r="DL134" s="392"/>
      <c r="DM134" s="392"/>
      <c r="DN134" s="392"/>
      <c r="DO134" s="392"/>
      <c r="DP134" s="392"/>
      <c r="DQ134" s="392"/>
      <c r="DR134" s="392"/>
      <c r="DS134" s="392"/>
      <c r="DT134" s="392"/>
      <c r="DU134" s="392"/>
      <c r="DV134" s="392"/>
      <c r="DW134" s="392"/>
      <c r="DX134" s="392"/>
      <c r="DY134" s="392"/>
      <c r="DZ134" s="392"/>
      <c r="EA134" s="392"/>
      <c r="EB134" s="392"/>
      <c r="EC134" s="392"/>
      <c r="ED134" s="392"/>
      <c r="EE134" s="392"/>
      <c r="EF134" s="392"/>
      <c r="EG134" s="392"/>
      <c r="EH134" s="392"/>
      <c r="EI134" s="392"/>
      <c r="EJ134" s="392"/>
      <c r="EK134" s="392"/>
      <c r="EL134" s="392"/>
      <c r="EM134" s="392"/>
      <c r="EN134" s="392"/>
      <c r="EO134" s="392"/>
      <c r="EP134" s="392"/>
      <c r="EQ134" s="392"/>
      <c r="ER134" s="392"/>
      <c r="ES134" s="392"/>
      <c r="ET134" s="392"/>
      <c r="EU134" s="392"/>
      <c r="EV134" s="392"/>
      <c r="EW134" s="392"/>
      <c r="EX134" s="392"/>
      <c r="EY134" s="392"/>
      <c r="EZ134" s="392"/>
      <c r="FA134" s="392"/>
      <c r="FB134" s="392"/>
      <c r="FC134" s="392"/>
      <c r="FD134" s="392"/>
      <c r="FE134" s="392"/>
      <c r="FF134" s="392"/>
      <c r="FG134" s="392"/>
      <c r="FH134" s="392"/>
      <c r="FI134" s="392"/>
      <c r="FJ134" s="392"/>
      <c r="FK134" s="392"/>
      <c r="FL134" s="392"/>
      <c r="FM134" s="392"/>
      <c r="FN134" s="392"/>
      <c r="FO134" s="392"/>
      <c r="FP134" s="392"/>
      <c r="FQ134" s="392"/>
      <c r="FR134" s="392"/>
      <c r="FS134" s="392"/>
      <c r="FT134" s="392"/>
      <c r="FU134" s="392"/>
      <c r="FV134" s="392"/>
      <c r="FW134" s="392"/>
      <c r="FX134" s="392"/>
      <c r="FY134" s="392"/>
      <c r="FZ134" s="392"/>
      <c r="GA134" s="392"/>
      <c r="GB134" s="392"/>
      <c r="GC134" s="392"/>
      <c r="GD134" s="392"/>
      <c r="GE134" s="392"/>
      <c r="GF134" s="392"/>
      <c r="GG134" s="392"/>
      <c r="GH134" s="392"/>
      <c r="GI134" s="392"/>
      <c r="GJ134" s="392"/>
      <c r="GK134" s="392"/>
      <c r="GL134" s="392"/>
      <c r="GM134" s="392"/>
      <c r="GN134" s="392"/>
      <c r="GO134" s="392"/>
      <c r="GP134" s="392"/>
      <c r="GQ134" s="392"/>
      <c r="GR134" s="392"/>
      <c r="GS134" s="392"/>
      <c r="GT134" s="392"/>
      <c r="GU134" s="392"/>
      <c r="GV134" s="392"/>
      <c r="GW134" s="392"/>
      <c r="GX134" s="392"/>
      <c r="GY134" s="392"/>
      <c r="GZ134" s="392"/>
      <c r="HA134" s="392"/>
      <c r="HB134" s="392"/>
      <c r="HC134" s="392"/>
      <c r="HD134" s="392"/>
      <c r="HE134" s="392"/>
      <c r="HF134" s="392"/>
      <c r="HG134" s="392"/>
      <c r="HH134" s="392"/>
      <c r="HI134" s="392"/>
      <c r="HJ134" s="392"/>
      <c r="HK134" s="392"/>
      <c r="HL134" s="392"/>
      <c r="HM134" s="392"/>
      <c r="HN134" s="392"/>
      <c r="HO134" s="392"/>
      <c r="HP134" s="392"/>
      <c r="HQ134" s="392"/>
      <c r="HR134" s="392"/>
      <c r="HS134" s="392"/>
      <c r="HT134" s="392"/>
      <c r="HU134" s="392"/>
      <c r="HV134" s="392"/>
      <c r="HW134" s="392"/>
      <c r="HX134" s="392"/>
      <c r="HY134" s="392"/>
      <c r="HZ134" s="392"/>
      <c r="IA134" s="392"/>
      <c r="IB134" s="392"/>
      <c r="IC134" s="392"/>
      <c r="ID134" s="392"/>
      <c r="IE134" s="392"/>
      <c r="IF134" s="392"/>
      <c r="IG134" s="392"/>
      <c r="IH134" s="392"/>
      <c r="II134" s="392"/>
      <c r="IJ134" s="392"/>
      <c r="IK134" s="392"/>
      <c r="IL134" s="392"/>
      <c r="IM134" s="392"/>
      <c r="IN134" s="392"/>
      <c r="IO134" s="392"/>
      <c r="IP134" s="392"/>
      <c r="IQ134" s="392"/>
      <c r="IR134" s="392"/>
      <c r="IS134" s="392"/>
      <c r="IT134" s="392"/>
      <c r="IU134" s="392"/>
      <c r="IV134" s="392"/>
    </row>
    <row r="135" spans="1:256" s="381" customFormat="1" ht="15.75">
      <c r="A135" s="392"/>
      <c r="B135" s="2389" t="s">
        <v>165</v>
      </c>
      <c r="C135" s="2390"/>
      <c r="D135" s="2390"/>
      <c r="E135" s="2390"/>
      <c r="F135" s="2390"/>
      <c r="G135" s="2391"/>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392"/>
      <c r="BF135" s="392"/>
      <c r="BG135" s="392"/>
      <c r="BH135" s="392"/>
      <c r="BI135" s="392"/>
      <c r="BJ135" s="392"/>
      <c r="BK135" s="392"/>
      <c r="BL135" s="392"/>
      <c r="BM135" s="392"/>
      <c r="BN135" s="392"/>
      <c r="BO135" s="392"/>
      <c r="BP135" s="392"/>
      <c r="BQ135" s="392"/>
      <c r="BR135" s="392"/>
      <c r="BS135" s="392"/>
      <c r="BT135" s="392"/>
      <c r="BU135" s="392"/>
      <c r="BV135" s="392"/>
      <c r="BW135" s="392"/>
      <c r="BX135" s="392"/>
      <c r="BY135" s="392"/>
      <c r="BZ135" s="392"/>
      <c r="CA135" s="392"/>
      <c r="CB135" s="392"/>
      <c r="CC135" s="392"/>
      <c r="CD135" s="392"/>
      <c r="CE135" s="392"/>
      <c r="CF135" s="392"/>
      <c r="CG135" s="392"/>
      <c r="CH135" s="392"/>
      <c r="CI135" s="39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c r="DD135" s="392"/>
      <c r="DE135" s="392"/>
      <c r="DF135" s="392"/>
      <c r="DG135" s="392"/>
      <c r="DH135" s="392"/>
      <c r="DI135" s="392"/>
      <c r="DJ135" s="392"/>
      <c r="DK135" s="392"/>
      <c r="DL135" s="392"/>
      <c r="DM135" s="392"/>
      <c r="DN135" s="392"/>
      <c r="DO135" s="392"/>
      <c r="DP135" s="392"/>
      <c r="DQ135" s="392"/>
      <c r="DR135" s="392"/>
      <c r="DS135" s="392"/>
      <c r="DT135" s="392"/>
      <c r="DU135" s="392"/>
      <c r="DV135" s="392"/>
      <c r="DW135" s="392"/>
      <c r="DX135" s="392"/>
      <c r="DY135" s="392"/>
      <c r="DZ135" s="392"/>
      <c r="EA135" s="392"/>
      <c r="EB135" s="392"/>
      <c r="EC135" s="392"/>
      <c r="ED135" s="392"/>
      <c r="EE135" s="392"/>
      <c r="EF135" s="392"/>
      <c r="EG135" s="392"/>
      <c r="EH135" s="392"/>
      <c r="EI135" s="392"/>
      <c r="EJ135" s="392"/>
      <c r="EK135" s="392"/>
      <c r="EL135" s="392"/>
      <c r="EM135" s="392"/>
      <c r="EN135" s="392"/>
      <c r="EO135" s="392"/>
      <c r="EP135" s="392"/>
      <c r="EQ135" s="392"/>
      <c r="ER135" s="392"/>
      <c r="ES135" s="392"/>
      <c r="ET135" s="392"/>
      <c r="EU135" s="392"/>
      <c r="EV135" s="392"/>
      <c r="EW135" s="392"/>
      <c r="EX135" s="392"/>
      <c r="EY135" s="392"/>
      <c r="EZ135" s="392"/>
      <c r="FA135" s="392"/>
      <c r="FB135" s="392"/>
      <c r="FC135" s="392"/>
      <c r="FD135" s="392"/>
      <c r="FE135" s="392"/>
      <c r="FF135" s="392"/>
      <c r="FG135" s="392"/>
      <c r="FH135" s="392"/>
      <c r="FI135" s="392"/>
      <c r="FJ135" s="392"/>
      <c r="FK135" s="392"/>
      <c r="FL135" s="392"/>
      <c r="FM135" s="392"/>
      <c r="FN135" s="392"/>
      <c r="FO135" s="392"/>
      <c r="FP135" s="392"/>
      <c r="FQ135" s="392"/>
      <c r="FR135" s="392"/>
      <c r="FS135" s="392"/>
      <c r="FT135" s="392"/>
      <c r="FU135" s="392"/>
      <c r="FV135" s="392"/>
      <c r="FW135" s="392"/>
      <c r="FX135" s="392"/>
      <c r="FY135" s="392"/>
      <c r="FZ135" s="392"/>
      <c r="GA135" s="392"/>
      <c r="GB135" s="392"/>
      <c r="GC135" s="392"/>
      <c r="GD135" s="392"/>
      <c r="GE135" s="392"/>
      <c r="GF135" s="392"/>
      <c r="GG135" s="392"/>
      <c r="GH135" s="392"/>
      <c r="GI135" s="392"/>
      <c r="GJ135" s="392"/>
      <c r="GK135" s="392"/>
      <c r="GL135" s="392"/>
      <c r="GM135" s="392"/>
      <c r="GN135" s="392"/>
      <c r="GO135" s="392"/>
      <c r="GP135" s="392"/>
      <c r="GQ135" s="392"/>
      <c r="GR135" s="392"/>
      <c r="GS135" s="392"/>
      <c r="GT135" s="392"/>
      <c r="GU135" s="392"/>
      <c r="GV135" s="392"/>
      <c r="GW135" s="392"/>
      <c r="GX135" s="392"/>
      <c r="GY135" s="392"/>
      <c r="GZ135" s="392"/>
      <c r="HA135" s="392"/>
      <c r="HB135" s="392"/>
      <c r="HC135" s="392"/>
      <c r="HD135" s="392"/>
      <c r="HE135" s="392"/>
      <c r="HF135" s="392"/>
      <c r="HG135" s="392"/>
      <c r="HH135" s="392"/>
      <c r="HI135" s="392"/>
      <c r="HJ135" s="392"/>
      <c r="HK135" s="392"/>
      <c r="HL135" s="392"/>
      <c r="HM135" s="392"/>
      <c r="HN135" s="392"/>
      <c r="HO135" s="392"/>
      <c r="HP135" s="392"/>
      <c r="HQ135" s="392"/>
      <c r="HR135" s="392"/>
      <c r="HS135" s="392"/>
      <c r="HT135" s="392"/>
      <c r="HU135" s="392"/>
      <c r="HV135" s="392"/>
      <c r="HW135" s="392"/>
      <c r="HX135" s="392"/>
      <c r="HY135" s="392"/>
      <c r="HZ135" s="392"/>
      <c r="IA135" s="392"/>
      <c r="IB135" s="392"/>
      <c r="IC135" s="392"/>
      <c r="ID135" s="392"/>
      <c r="IE135" s="392"/>
      <c r="IF135" s="392"/>
      <c r="IG135" s="392"/>
      <c r="IH135" s="392"/>
      <c r="II135" s="392"/>
      <c r="IJ135" s="392"/>
      <c r="IK135" s="392"/>
      <c r="IL135" s="392"/>
      <c r="IM135" s="392"/>
      <c r="IN135" s="392"/>
      <c r="IO135" s="392"/>
      <c r="IP135" s="392"/>
      <c r="IQ135" s="392"/>
      <c r="IR135" s="392"/>
      <c r="IS135" s="392"/>
      <c r="IT135" s="392"/>
      <c r="IU135" s="392"/>
      <c r="IV135" s="392"/>
    </row>
    <row r="136" spans="1:256" s="381" customFormat="1" ht="45" customHeight="1">
      <c r="A136" s="333" t="s">
        <v>390</v>
      </c>
      <c r="B136" s="1144">
        <v>42430</v>
      </c>
      <c r="C136" s="1098" t="str">
        <f>IF($A136="INSUMO",VLOOKUP($B136,'BANCO DE DADOS JANEIRO-24 INS'!$A:$D,2,FALSE),VLOOKUP($B136,'BANCO DE DADOS JANEIRO-24 SERV'!$B:$E,2,FALSE))</f>
        <v xml:space="preserve">MULTIEXERCITADOR COM SEIS FUNCOES, EM TUBO DE ACO CARBONO, PINTURA NO PROCESSO ELETROSTATICO - EQUIPAMENTO DE GINASTICA PARA ACADEMIA AO AR LIVRE / ACADEMIA DA TERCEIRA IDADE - ATI                                                                                                                                                                                                                                                                                                                      </v>
      </c>
      <c r="D136" s="1099" t="str">
        <f>IF($A136="INSUMO",VLOOKUP($B136,'BANCO DE DADOS JANEIRO-24 INS'!$A:$D,3,FALSE),VLOOKUP($B136,'BANCO DE DADOS JANEIRO-24 SERV'!$B:$E,3,FALSE))</f>
        <v xml:space="preserve">UN    </v>
      </c>
      <c r="E136" s="1145">
        <v>1</v>
      </c>
      <c r="F136" s="1118">
        <f>IF($A136="INSUMO",VLOOKUP($B136,'BANCO DE DADOS JANEIRO-24 INS'!$A:$D,4,FALSE),VLOOKUP($B136,'BANCO DE DADOS JANEIRO-24 SERV'!$B:$E,4,FALSE))</f>
        <v>6434.22</v>
      </c>
      <c r="G136" s="1147">
        <f>TRUNC(F136*E136,2)</f>
        <v>6434.22</v>
      </c>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c r="AD136" s="392"/>
      <c r="AE136" s="392"/>
      <c r="AF136" s="392"/>
      <c r="AG136" s="392"/>
      <c r="AH136" s="392"/>
      <c r="AI136" s="392"/>
      <c r="AJ136" s="392"/>
      <c r="AK136" s="392"/>
      <c r="AL136" s="392"/>
      <c r="AM136" s="392"/>
      <c r="AN136" s="392"/>
      <c r="AO136" s="392"/>
      <c r="AP136" s="392"/>
      <c r="AQ136" s="392"/>
      <c r="AR136" s="392"/>
      <c r="AS136" s="392"/>
      <c r="AT136" s="392"/>
      <c r="AU136" s="392"/>
      <c r="AV136" s="392"/>
      <c r="AW136" s="392"/>
      <c r="AX136" s="392"/>
      <c r="AY136" s="392"/>
      <c r="AZ136" s="392"/>
      <c r="BA136" s="392"/>
      <c r="BB136" s="392"/>
      <c r="BC136" s="392"/>
      <c r="BD136" s="392"/>
      <c r="BE136" s="392"/>
      <c r="BF136" s="392"/>
      <c r="BG136" s="392"/>
      <c r="BH136" s="392"/>
      <c r="BI136" s="392"/>
      <c r="BJ136" s="392"/>
      <c r="BK136" s="392"/>
      <c r="BL136" s="392"/>
      <c r="BM136" s="392"/>
      <c r="BN136" s="392"/>
      <c r="BO136" s="392"/>
      <c r="BP136" s="392"/>
      <c r="BQ136" s="392"/>
      <c r="BR136" s="392"/>
      <c r="BS136" s="392"/>
      <c r="BT136" s="392"/>
      <c r="BU136" s="392"/>
      <c r="BV136" s="392"/>
      <c r="BW136" s="392"/>
      <c r="BX136" s="392"/>
      <c r="BY136" s="392"/>
      <c r="BZ136" s="392"/>
      <c r="CA136" s="392"/>
      <c r="CB136" s="392"/>
      <c r="CC136" s="392"/>
      <c r="CD136" s="392"/>
      <c r="CE136" s="392"/>
      <c r="CF136" s="392"/>
      <c r="CG136" s="392"/>
      <c r="CH136" s="392"/>
      <c r="CI136" s="39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c r="DD136" s="392"/>
      <c r="DE136" s="392"/>
      <c r="DF136" s="392"/>
      <c r="DG136" s="392"/>
      <c r="DH136" s="392"/>
      <c r="DI136" s="392"/>
      <c r="DJ136" s="392"/>
      <c r="DK136" s="392"/>
      <c r="DL136" s="392"/>
      <c r="DM136" s="392"/>
      <c r="DN136" s="392"/>
      <c r="DO136" s="392"/>
      <c r="DP136" s="392"/>
      <c r="DQ136" s="392"/>
      <c r="DR136" s="392"/>
      <c r="DS136" s="392"/>
      <c r="DT136" s="392"/>
      <c r="DU136" s="392"/>
      <c r="DV136" s="392"/>
      <c r="DW136" s="392"/>
      <c r="DX136" s="392"/>
      <c r="DY136" s="392"/>
      <c r="DZ136" s="392"/>
      <c r="EA136" s="392"/>
      <c r="EB136" s="392"/>
      <c r="EC136" s="392"/>
      <c r="ED136" s="392"/>
      <c r="EE136" s="392"/>
      <c r="EF136" s="392"/>
      <c r="EG136" s="392"/>
      <c r="EH136" s="392"/>
      <c r="EI136" s="392"/>
      <c r="EJ136" s="392"/>
      <c r="EK136" s="392"/>
      <c r="EL136" s="392"/>
      <c r="EM136" s="392"/>
      <c r="EN136" s="392"/>
      <c r="EO136" s="392"/>
      <c r="EP136" s="392"/>
      <c r="EQ136" s="392"/>
      <c r="ER136" s="392"/>
      <c r="ES136" s="392"/>
      <c r="ET136" s="392"/>
      <c r="EU136" s="392"/>
      <c r="EV136" s="392"/>
      <c r="EW136" s="392"/>
      <c r="EX136" s="392"/>
      <c r="EY136" s="392"/>
      <c r="EZ136" s="392"/>
      <c r="FA136" s="392"/>
      <c r="FB136" s="392"/>
      <c r="FC136" s="392"/>
      <c r="FD136" s="392"/>
      <c r="FE136" s="392"/>
      <c r="FF136" s="392"/>
      <c r="FG136" s="392"/>
      <c r="FH136" s="392"/>
      <c r="FI136" s="392"/>
      <c r="FJ136" s="392"/>
      <c r="FK136" s="392"/>
      <c r="FL136" s="392"/>
      <c r="FM136" s="392"/>
      <c r="FN136" s="392"/>
      <c r="FO136" s="392"/>
      <c r="FP136" s="392"/>
      <c r="FQ136" s="392"/>
      <c r="FR136" s="392"/>
      <c r="FS136" s="392"/>
      <c r="FT136" s="392"/>
      <c r="FU136" s="392"/>
      <c r="FV136" s="392"/>
      <c r="FW136" s="392"/>
      <c r="FX136" s="392"/>
      <c r="FY136" s="392"/>
      <c r="FZ136" s="392"/>
      <c r="GA136" s="392"/>
      <c r="GB136" s="392"/>
      <c r="GC136" s="392"/>
      <c r="GD136" s="392"/>
      <c r="GE136" s="392"/>
      <c r="GF136" s="392"/>
      <c r="GG136" s="392"/>
      <c r="GH136" s="392"/>
      <c r="GI136" s="392"/>
      <c r="GJ136" s="392"/>
      <c r="GK136" s="392"/>
      <c r="GL136" s="392"/>
      <c r="GM136" s="392"/>
      <c r="GN136" s="392"/>
      <c r="GO136" s="392"/>
      <c r="GP136" s="392"/>
      <c r="GQ136" s="392"/>
      <c r="GR136" s="392"/>
      <c r="GS136" s="392"/>
      <c r="GT136" s="392"/>
      <c r="GU136" s="392"/>
      <c r="GV136" s="392"/>
      <c r="GW136" s="392"/>
      <c r="GX136" s="392"/>
      <c r="GY136" s="392"/>
      <c r="GZ136" s="392"/>
      <c r="HA136" s="392"/>
      <c r="HB136" s="392"/>
      <c r="HC136" s="392"/>
      <c r="HD136" s="392"/>
      <c r="HE136" s="392"/>
      <c r="HF136" s="392"/>
      <c r="HG136" s="392"/>
      <c r="HH136" s="392"/>
      <c r="HI136" s="392"/>
      <c r="HJ136" s="392"/>
      <c r="HK136" s="392"/>
      <c r="HL136" s="392"/>
      <c r="HM136" s="392"/>
      <c r="HN136" s="392"/>
      <c r="HO136" s="392"/>
      <c r="HP136" s="392"/>
      <c r="HQ136" s="392"/>
      <c r="HR136" s="392"/>
      <c r="HS136" s="392"/>
      <c r="HT136" s="392"/>
      <c r="HU136" s="392"/>
      <c r="HV136" s="392"/>
      <c r="HW136" s="392"/>
      <c r="HX136" s="392"/>
      <c r="HY136" s="392"/>
      <c r="HZ136" s="392"/>
      <c r="IA136" s="392"/>
      <c r="IB136" s="392"/>
      <c r="IC136" s="392"/>
      <c r="ID136" s="392"/>
      <c r="IE136" s="392"/>
      <c r="IF136" s="392"/>
      <c r="IG136" s="392"/>
      <c r="IH136" s="392"/>
      <c r="II136" s="392"/>
      <c r="IJ136" s="392"/>
      <c r="IK136" s="392"/>
      <c r="IL136" s="392"/>
      <c r="IM136" s="392"/>
      <c r="IN136" s="392"/>
      <c r="IO136" s="392"/>
      <c r="IP136" s="392"/>
      <c r="IQ136" s="392"/>
      <c r="IR136" s="392"/>
      <c r="IS136" s="392"/>
      <c r="IT136" s="392"/>
      <c r="IU136" s="392"/>
      <c r="IV136" s="392"/>
    </row>
    <row r="137" spans="1:256" s="381" customFormat="1" ht="30">
      <c r="A137" s="392" t="s">
        <v>391</v>
      </c>
      <c r="B137" s="1144">
        <v>93358</v>
      </c>
      <c r="C137" s="1098" t="str">
        <f>IF($A137="INSUMO",VLOOKUP($B137,'BANCO DE DADOS JANEIRO-24 INS'!$A:$D,2,FALSE),VLOOKUP($B137,'BANCO DE DADOS JANEIRO-24 SERV'!$B:$E,2,FALSE))</f>
        <v>ESCAVAÇÃO MANUAL DE VALA COM PROFUNDIDADE MENOR OU IGUAL A 1,30 M. AF_02/2021</v>
      </c>
      <c r="D137" s="1099" t="str">
        <f>IF($A137="INSUMO",VLOOKUP($B137,'BANCO DE DADOS JANEIRO-24 INS'!$A:$D,3,FALSE),VLOOKUP($B137,'BANCO DE DADOS JANEIRO-24 SERV'!$B:$E,3,FALSE))</f>
        <v>M3</v>
      </c>
      <c r="E137" s="1148">
        <f>((0.3*0.3*0.3)*4)</f>
        <v>0.108</v>
      </c>
      <c r="F137" s="1118">
        <f>IF($A137="INSUMO",VLOOKUP($B137,'BANCO DE DADOS JANEIRO-24 INS'!$A:$D,4,FALSE),VLOOKUP($B137,'BANCO DE DADOS JANEIRO-24 SERV'!$B:$E,4,FALSE))</f>
        <v>80.38</v>
      </c>
      <c r="G137" s="1147">
        <f>TRUNC(F137*E137,2)</f>
        <v>8.68</v>
      </c>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c r="AD137" s="392"/>
      <c r="AE137" s="392"/>
      <c r="AF137" s="392"/>
      <c r="AG137" s="392"/>
      <c r="AH137" s="392"/>
      <c r="AI137" s="392"/>
      <c r="AJ137" s="392"/>
      <c r="AK137" s="392"/>
      <c r="AL137" s="392"/>
      <c r="AM137" s="392"/>
      <c r="AN137" s="392"/>
      <c r="AO137" s="392"/>
      <c r="AP137" s="392"/>
      <c r="AQ137" s="392"/>
      <c r="AR137" s="392"/>
      <c r="AS137" s="392"/>
      <c r="AT137" s="392"/>
      <c r="AU137" s="392"/>
      <c r="AV137" s="392"/>
      <c r="AW137" s="392"/>
      <c r="AX137" s="392"/>
      <c r="AY137" s="392"/>
      <c r="AZ137" s="392"/>
      <c r="BA137" s="392"/>
      <c r="BB137" s="392"/>
      <c r="BC137" s="392"/>
      <c r="BD137" s="392"/>
      <c r="BE137" s="392"/>
      <c r="BF137" s="392"/>
      <c r="BG137" s="392"/>
      <c r="BH137" s="392"/>
      <c r="BI137" s="392"/>
      <c r="BJ137" s="392"/>
      <c r="BK137" s="392"/>
      <c r="BL137" s="392"/>
      <c r="BM137" s="392"/>
      <c r="BN137" s="392"/>
      <c r="BO137" s="392"/>
      <c r="BP137" s="392"/>
      <c r="BQ137" s="392"/>
      <c r="BR137" s="392"/>
      <c r="BS137" s="392"/>
      <c r="BT137" s="392"/>
      <c r="BU137" s="392"/>
      <c r="BV137" s="392"/>
      <c r="BW137" s="392"/>
      <c r="BX137" s="392"/>
      <c r="BY137" s="392"/>
      <c r="BZ137" s="392"/>
      <c r="CA137" s="392"/>
      <c r="CB137" s="392"/>
      <c r="CC137" s="392"/>
      <c r="CD137" s="392"/>
      <c r="CE137" s="392"/>
      <c r="CF137" s="392"/>
      <c r="CG137" s="392"/>
      <c r="CH137" s="392"/>
      <c r="CI137" s="39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c r="DD137" s="392"/>
      <c r="DE137" s="392"/>
      <c r="DF137" s="392"/>
      <c r="DG137" s="392"/>
      <c r="DH137" s="392"/>
      <c r="DI137" s="392"/>
      <c r="DJ137" s="392"/>
      <c r="DK137" s="392"/>
      <c r="DL137" s="392"/>
      <c r="DM137" s="392"/>
      <c r="DN137" s="392"/>
      <c r="DO137" s="392"/>
      <c r="DP137" s="392"/>
      <c r="DQ137" s="392"/>
      <c r="DR137" s="392"/>
      <c r="DS137" s="392"/>
      <c r="DT137" s="392"/>
      <c r="DU137" s="392"/>
      <c r="DV137" s="392"/>
      <c r="DW137" s="392"/>
      <c r="DX137" s="392"/>
      <c r="DY137" s="392"/>
      <c r="DZ137" s="392"/>
      <c r="EA137" s="392"/>
      <c r="EB137" s="392"/>
      <c r="EC137" s="392"/>
      <c r="ED137" s="392"/>
      <c r="EE137" s="392"/>
      <c r="EF137" s="392"/>
      <c r="EG137" s="392"/>
      <c r="EH137" s="392"/>
      <c r="EI137" s="392"/>
      <c r="EJ137" s="392"/>
      <c r="EK137" s="392"/>
      <c r="EL137" s="392"/>
      <c r="EM137" s="392"/>
      <c r="EN137" s="392"/>
      <c r="EO137" s="392"/>
      <c r="EP137" s="392"/>
      <c r="EQ137" s="392"/>
      <c r="ER137" s="392"/>
      <c r="ES137" s="392"/>
      <c r="ET137" s="392"/>
      <c r="EU137" s="392"/>
      <c r="EV137" s="392"/>
      <c r="EW137" s="392"/>
      <c r="EX137" s="392"/>
      <c r="EY137" s="392"/>
      <c r="EZ137" s="392"/>
      <c r="FA137" s="392"/>
      <c r="FB137" s="392"/>
      <c r="FC137" s="392"/>
      <c r="FD137" s="392"/>
      <c r="FE137" s="392"/>
      <c r="FF137" s="392"/>
      <c r="FG137" s="392"/>
      <c r="FH137" s="392"/>
      <c r="FI137" s="392"/>
      <c r="FJ137" s="392"/>
      <c r="FK137" s="392"/>
      <c r="FL137" s="392"/>
      <c r="FM137" s="392"/>
      <c r="FN137" s="392"/>
      <c r="FO137" s="392"/>
      <c r="FP137" s="392"/>
      <c r="FQ137" s="392"/>
      <c r="FR137" s="392"/>
      <c r="FS137" s="392"/>
      <c r="FT137" s="392"/>
      <c r="FU137" s="392"/>
      <c r="FV137" s="392"/>
      <c r="FW137" s="392"/>
      <c r="FX137" s="392"/>
      <c r="FY137" s="392"/>
      <c r="FZ137" s="392"/>
      <c r="GA137" s="392"/>
      <c r="GB137" s="392"/>
      <c r="GC137" s="392"/>
      <c r="GD137" s="392"/>
      <c r="GE137" s="392"/>
      <c r="GF137" s="392"/>
      <c r="GG137" s="392"/>
      <c r="GH137" s="392"/>
      <c r="GI137" s="392"/>
      <c r="GJ137" s="392"/>
      <c r="GK137" s="392"/>
      <c r="GL137" s="392"/>
      <c r="GM137" s="392"/>
      <c r="GN137" s="392"/>
      <c r="GO137" s="392"/>
      <c r="GP137" s="392"/>
      <c r="GQ137" s="392"/>
      <c r="GR137" s="392"/>
      <c r="GS137" s="392"/>
      <c r="GT137" s="392"/>
      <c r="GU137" s="392"/>
      <c r="GV137" s="392"/>
      <c r="GW137" s="392"/>
      <c r="GX137" s="392"/>
      <c r="GY137" s="392"/>
      <c r="GZ137" s="392"/>
      <c r="HA137" s="392"/>
      <c r="HB137" s="392"/>
      <c r="HC137" s="392"/>
      <c r="HD137" s="392"/>
      <c r="HE137" s="392"/>
      <c r="HF137" s="392"/>
      <c r="HG137" s="392"/>
      <c r="HH137" s="392"/>
      <c r="HI137" s="392"/>
      <c r="HJ137" s="392"/>
      <c r="HK137" s="392"/>
      <c r="HL137" s="392"/>
      <c r="HM137" s="392"/>
      <c r="HN137" s="392"/>
      <c r="HO137" s="392"/>
      <c r="HP137" s="392"/>
      <c r="HQ137" s="392"/>
      <c r="HR137" s="392"/>
      <c r="HS137" s="392"/>
      <c r="HT137" s="392"/>
      <c r="HU137" s="392"/>
      <c r="HV137" s="392"/>
      <c r="HW137" s="392"/>
      <c r="HX137" s="392"/>
      <c r="HY137" s="392"/>
      <c r="HZ137" s="392"/>
      <c r="IA137" s="392"/>
      <c r="IB137" s="392"/>
      <c r="IC137" s="392"/>
      <c r="ID137" s="392"/>
      <c r="IE137" s="392"/>
      <c r="IF137" s="392"/>
      <c r="IG137" s="392"/>
      <c r="IH137" s="392"/>
      <c r="II137" s="392"/>
      <c r="IJ137" s="392"/>
      <c r="IK137" s="392"/>
      <c r="IL137" s="392"/>
      <c r="IM137" s="392"/>
      <c r="IN137" s="392"/>
      <c r="IO137" s="392"/>
      <c r="IP137" s="392"/>
      <c r="IQ137" s="392"/>
      <c r="IR137" s="392"/>
      <c r="IS137" s="392"/>
      <c r="IT137" s="392"/>
      <c r="IU137" s="392"/>
      <c r="IV137" s="392"/>
    </row>
    <row r="138" spans="1:256" s="381" customFormat="1" ht="45">
      <c r="A138" s="392" t="s">
        <v>391</v>
      </c>
      <c r="B138" s="1144">
        <v>94965</v>
      </c>
      <c r="C138" s="1098" t="str">
        <f>IF($A138="INSUMO",VLOOKUP($B138,'BANCO DE DADOS JANEIRO-24 INS'!$A:$D,2,FALSE),VLOOKUP($B138,'BANCO DE DADOS JANEIRO-24 SERV'!$B:$E,2,FALSE))</f>
        <v>CONCRETO FCK = 25MPA, TRAÇO 1:2,3:2,7 (EM MASSA SECA DE CIMENTO/ AREIA MÉDIA/ BRITA 1) - PREPARO MECÂNICO COM BETONEIRA 400 L. AF_05/2021</v>
      </c>
      <c r="D138" s="1099" t="str">
        <f>IF($A138="INSUMO",VLOOKUP($B138,'BANCO DE DADOS JANEIRO-24 INS'!$A:$D,3,FALSE),VLOOKUP($B138,'BANCO DE DADOS JANEIRO-24 SERV'!$B:$E,3,FALSE))</f>
        <v>M3</v>
      </c>
      <c r="E138" s="1148">
        <f>E137</f>
        <v>0.108</v>
      </c>
      <c r="F138" s="1118">
        <f>IF($A138="INSUMO",VLOOKUP($B138,'BANCO DE DADOS JANEIRO-24 INS'!$A:$D,4,FALSE),VLOOKUP($B138,'BANCO DE DADOS JANEIRO-24 SERV'!$B:$E,4,FALSE))</f>
        <v>568.95000000000005</v>
      </c>
      <c r="G138" s="1147">
        <f>TRUNC(F138*E138,2)</f>
        <v>61.44</v>
      </c>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92"/>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392"/>
      <c r="BF138" s="392"/>
      <c r="BG138" s="392"/>
      <c r="BH138" s="392"/>
      <c r="BI138" s="392"/>
      <c r="BJ138" s="392"/>
      <c r="BK138" s="392"/>
      <c r="BL138" s="392"/>
      <c r="BM138" s="392"/>
      <c r="BN138" s="392"/>
      <c r="BO138" s="392"/>
      <c r="BP138" s="392"/>
      <c r="BQ138" s="392"/>
      <c r="BR138" s="392"/>
      <c r="BS138" s="392"/>
      <c r="BT138" s="392"/>
      <c r="BU138" s="392"/>
      <c r="BV138" s="392"/>
      <c r="BW138" s="392"/>
      <c r="BX138" s="392"/>
      <c r="BY138" s="392"/>
      <c r="BZ138" s="392"/>
      <c r="CA138" s="392"/>
      <c r="CB138" s="392"/>
      <c r="CC138" s="392"/>
      <c r="CD138" s="392"/>
      <c r="CE138" s="392"/>
      <c r="CF138" s="392"/>
      <c r="CG138" s="392"/>
      <c r="CH138" s="392"/>
      <c r="CI138" s="39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c r="DD138" s="392"/>
      <c r="DE138" s="392"/>
      <c r="DF138" s="392"/>
      <c r="DG138" s="392"/>
      <c r="DH138" s="392"/>
      <c r="DI138" s="392"/>
      <c r="DJ138" s="392"/>
      <c r="DK138" s="392"/>
      <c r="DL138" s="392"/>
      <c r="DM138" s="392"/>
      <c r="DN138" s="392"/>
      <c r="DO138" s="392"/>
      <c r="DP138" s="392"/>
      <c r="DQ138" s="392"/>
      <c r="DR138" s="392"/>
      <c r="DS138" s="392"/>
      <c r="DT138" s="392"/>
      <c r="DU138" s="392"/>
      <c r="DV138" s="392"/>
      <c r="DW138" s="392"/>
      <c r="DX138" s="392"/>
      <c r="DY138" s="392"/>
      <c r="DZ138" s="392"/>
      <c r="EA138" s="392"/>
      <c r="EB138" s="392"/>
      <c r="EC138" s="392"/>
      <c r="ED138" s="392"/>
      <c r="EE138" s="392"/>
      <c r="EF138" s="392"/>
      <c r="EG138" s="392"/>
      <c r="EH138" s="392"/>
      <c r="EI138" s="392"/>
      <c r="EJ138" s="392"/>
      <c r="EK138" s="392"/>
      <c r="EL138" s="392"/>
      <c r="EM138" s="392"/>
      <c r="EN138" s="392"/>
      <c r="EO138" s="392"/>
      <c r="EP138" s="392"/>
      <c r="EQ138" s="392"/>
      <c r="ER138" s="392"/>
      <c r="ES138" s="392"/>
      <c r="ET138" s="392"/>
      <c r="EU138" s="392"/>
      <c r="EV138" s="392"/>
      <c r="EW138" s="392"/>
      <c r="EX138" s="392"/>
      <c r="EY138" s="392"/>
      <c r="EZ138" s="392"/>
      <c r="FA138" s="392"/>
      <c r="FB138" s="392"/>
      <c r="FC138" s="392"/>
      <c r="FD138" s="392"/>
      <c r="FE138" s="392"/>
      <c r="FF138" s="392"/>
      <c r="FG138" s="392"/>
      <c r="FH138" s="392"/>
      <c r="FI138" s="392"/>
      <c r="FJ138" s="392"/>
      <c r="FK138" s="392"/>
      <c r="FL138" s="392"/>
      <c r="FM138" s="392"/>
      <c r="FN138" s="392"/>
      <c r="FO138" s="392"/>
      <c r="FP138" s="392"/>
      <c r="FQ138" s="392"/>
      <c r="FR138" s="392"/>
      <c r="FS138" s="392"/>
      <c r="FT138" s="392"/>
      <c r="FU138" s="392"/>
      <c r="FV138" s="392"/>
      <c r="FW138" s="392"/>
      <c r="FX138" s="392"/>
      <c r="FY138" s="392"/>
      <c r="FZ138" s="392"/>
      <c r="GA138" s="392"/>
      <c r="GB138" s="392"/>
      <c r="GC138" s="392"/>
      <c r="GD138" s="392"/>
      <c r="GE138" s="392"/>
      <c r="GF138" s="392"/>
      <c r="GG138" s="392"/>
      <c r="GH138" s="392"/>
      <c r="GI138" s="392"/>
      <c r="GJ138" s="392"/>
      <c r="GK138" s="392"/>
      <c r="GL138" s="392"/>
      <c r="GM138" s="392"/>
      <c r="GN138" s="392"/>
      <c r="GO138" s="392"/>
      <c r="GP138" s="392"/>
      <c r="GQ138" s="392"/>
      <c r="GR138" s="392"/>
      <c r="GS138" s="392"/>
      <c r="GT138" s="392"/>
      <c r="GU138" s="392"/>
      <c r="GV138" s="392"/>
      <c r="GW138" s="392"/>
      <c r="GX138" s="392"/>
      <c r="GY138" s="392"/>
      <c r="GZ138" s="392"/>
      <c r="HA138" s="392"/>
      <c r="HB138" s="392"/>
      <c r="HC138" s="392"/>
      <c r="HD138" s="392"/>
      <c r="HE138" s="392"/>
      <c r="HF138" s="392"/>
      <c r="HG138" s="392"/>
      <c r="HH138" s="392"/>
      <c r="HI138" s="392"/>
      <c r="HJ138" s="392"/>
      <c r="HK138" s="392"/>
      <c r="HL138" s="392"/>
      <c r="HM138" s="392"/>
      <c r="HN138" s="392"/>
      <c r="HO138" s="392"/>
      <c r="HP138" s="392"/>
      <c r="HQ138" s="392"/>
      <c r="HR138" s="392"/>
      <c r="HS138" s="392"/>
      <c r="HT138" s="392"/>
      <c r="HU138" s="392"/>
      <c r="HV138" s="392"/>
      <c r="HW138" s="392"/>
      <c r="HX138" s="392"/>
      <c r="HY138" s="392"/>
      <c r="HZ138" s="392"/>
      <c r="IA138" s="392"/>
      <c r="IB138" s="392"/>
      <c r="IC138" s="392"/>
      <c r="ID138" s="392"/>
      <c r="IE138" s="392"/>
      <c r="IF138" s="392"/>
      <c r="IG138" s="392"/>
      <c r="IH138" s="392"/>
      <c r="II138" s="392"/>
      <c r="IJ138" s="392"/>
      <c r="IK138" s="392"/>
      <c r="IL138" s="392"/>
      <c r="IM138" s="392"/>
      <c r="IN138" s="392"/>
      <c r="IO138" s="392"/>
      <c r="IP138" s="392"/>
      <c r="IQ138" s="392"/>
      <c r="IR138" s="392"/>
      <c r="IS138" s="392"/>
      <c r="IT138" s="392"/>
      <c r="IU138" s="392"/>
      <c r="IV138" s="392"/>
    </row>
    <row r="139" spans="1:256" s="381" customFormat="1" ht="30.75" thickBot="1">
      <c r="A139" s="392" t="s">
        <v>391</v>
      </c>
      <c r="B139" s="1149" t="str">
        <f>B142</f>
        <v>COMP. AUX 01</v>
      </c>
      <c r="C139" s="1103" t="str">
        <f>C142</f>
        <v>LANCAMENTO/APLICACAO MANUAL DE CONCRETO EM FUNDACOES</v>
      </c>
      <c r="D139" s="1104" t="str">
        <f>G142</f>
        <v>M3</v>
      </c>
      <c r="E139" s="1150">
        <f>E137</f>
        <v>0.108</v>
      </c>
      <c r="F139" s="1119">
        <f>G149</f>
        <v>134.11000000000001</v>
      </c>
      <c r="G139" s="1151">
        <f>TRUNC(F139*E139,2)</f>
        <v>14.48</v>
      </c>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2"/>
      <c r="BF139" s="392"/>
      <c r="BG139" s="392"/>
      <c r="BH139" s="392"/>
      <c r="BI139" s="392"/>
      <c r="BJ139" s="392"/>
      <c r="BK139" s="392"/>
      <c r="BL139" s="392"/>
      <c r="BM139" s="392"/>
      <c r="BN139" s="392"/>
      <c r="BO139" s="392"/>
      <c r="BP139" s="392"/>
      <c r="BQ139" s="392"/>
      <c r="BR139" s="392"/>
      <c r="BS139" s="392"/>
      <c r="BT139" s="392"/>
      <c r="BU139" s="392"/>
      <c r="BV139" s="392"/>
      <c r="BW139" s="392"/>
      <c r="BX139" s="392"/>
      <c r="BY139" s="392"/>
      <c r="BZ139" s="392"/>
      <c r="CA139" s="392"/>
      <c r="CB139" s="392"/>
      <c r="CC139" s="392"/>
      <c r="CD139" s="392"/>
      <c r="CE139" s="392"/>
      <c r="CF139" s="392"/>
      <c r="CG139" s="392"/>
      <c r="CH139" s="392"/>
      <c r="CI139" s="39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c r="DD139" s="392"/>
      <c r="DE139" s="392"/>
      <c r="DF139" s="392"/>
      <c r="DG139" s="392"/>
      <c r="DH139" s="392"/>
      <c r="DI139" s="392"/>
      <c r="DJ139" s="392"/>
      <c r="DK139" s="392"/>
      <c r="DL139" s="392"/>
      <c r="DM139" s="392"/>
      <c r="DN139" s="392"/>
      <c r="DO139" s="392"/>
      <c r="DP139" s="392"/>
      <c r="DQ139" s="392"/>
      <c r="DR139" s="392"/>
      <c r="DS139" s="392"/>
      <c r="DT139" s="392"/>
      <c r="DU139" s="392"/>
      <c r="DV139" s="392"/>
      <c r="DW139" s="392"/>
      <c r="DX139" s="392"/>
      <c r="DY139" s="392"/>
      <c r="DZ139" s="392"/>
      <c r="EA139" s="392"/>
      <c r="EB139" s="392"/>
      <c r="EC139" s="392"/>
      <c r="ED139" s="392"/>
      <c r="EE139" s="392"/>
      <c r="EF139" s="392"/>
      <c r="EG139" s="392"/>
      <c r="EH139" s="392"/>
      <c r="EI139" s="392"/>
      <c r="EJ139" s="392"/>
      <c r="EK139" s="392"/>
      <c r="EL139" s="392"/>
      <c r="EM139" s="392"/>
      <c r="EN139" s="392"/>
      <c r="EO139" s="392"/>
      <c r="EP139" s="392"/>
      <c r="EQ139" s="392"/>
      <c r="ER139" s="392"/>
      <c r="ES139" s="392"/>
      <c r="ET139" s="392"/>
      <c r="EU139" s="392"/>
      <c r="EV139" s="392"/>
      <c r="EW139" s="392"/>
      <c r="EX139" s="392"/>
      <c r="EY139" s="392"/>
      <c r="EZ139" s="392"/>
      <c r="FA139" s="392"/>
      <c r="FB139" s="392"/>
      <c r="FC139" s="392"/>
      <c r="FD139" s="392"/>
      <c r="FE139" s="392"/>
      <c r="FF139" s="392"/>
      <c r="FG139" s="392"/>
      <c r="FH139" s="392"/>
      <c r="FI139" s="392"/>
      <c r="FJ139" s="392"/>
      <c r="FK139" s="392"/>
      <c r="FL139" s="392"/>
      <c r="FM139" s="392"/>
      <c r="FN139" s="392"/>
      <c r="FO139" s="392"/>
      <c r="FP139" s="392"/>
      <c r="FQ139" s="392"/>
      <c r="FR139" s="392"/>
      <c r="FS139" s="392"/>
      <c r="FT139" s="392"/>
      <c r="FU139" s="392"/>
      <c r="FV139" s="392"/>
      <c r="FW139" s="392"/>
      <c r="FX139" s="392"/>
      <c r="FY139" s="392"/>
      <c r="FZ139" s="392"/>
      <c r="GA139" s="392"/>
      <c r="GB139" s="392"/>
      <c r="GC139" s="392"/>
      <c r="GD139" s="392"/>
      <c r="GE139" s="392"/>
      <c r="GF139" s="392"/>
      <c r="GG139" s="392"/>
      <c r="GH139" s="392"/>
      <c r="GI139" s="392"/>
      <c r="GJ139" s="392"/>
      <c r="GK139" s="392"/>
      <c r="GL139" s="392"/>
      <c r="GM139" s="392"/>
      <c r="GN139" s="392"/>
      <c r="GO139" s="392"/>
      <c r="GP139" s="392"/>
      <c r="GQ139" s="392"/>
      <c r="GR139" s="392"/>
      <c r="GS139" s="392"/>
      <c r="GT139" s="392"/>
      <c r="GU139" s="392"/>
      <c r="GV139" s="392"/>
      <c r="GW139" s="392"/>
      <c r="GX139" s="392"/>
      <c r="GY139" s="392"/>
      <c r="GZ139" s="392"/>
      <c r="HA139" s="392"/>
      <c r="HB139" s="392"/>
      <c r="HC139" s="392"/>
      <c r="HD139" s="392"/>
      <c r="HE139" s="392"/>
      <c r="HF139" s="392"/>
      <c r="HG139" s="392"/>
      <c r="HH139" s="392"/>
      <c r="HI139" s="392"/>
      <c r="HJ139" s="392"/>
      <c r="HK139" s="392"/>
      <c r="HL139" s="392"/>
      <c r="HM139" s="392"/>
      <c r="HN139" s="392"/>
      <c r="HO139" s="392"/>
      <c r="HP139" s="392"/>
      <c r="HQ139" s="392"/>
      <c r="HR139" s="392"/>
      <c r="HS139" s="392"/>
      <c r="HT139" s="392"/>
      <c r="HU139" s="392"/>
      <c r="HV139" s="392"/>
      <c r="HW139" s="392"/>
      <c r="HX139" s="392"/>
      <c r="HY139" s="392"/>
      <c r="HZ139" s="392"/>
      <c r="IA139" s="392"/>
      <c r="IB139" s="392"/>
      <c r="IC139" s="392"/>
      <c r="ID139" s="392"/>
      <c r="IE139" s="392"/>
      <c r="IF139" s="392"/>
      <c r="IG139" s="392"/>
      <c r="IH139" s="392"/>
      <c r="II139" s="392"/>
      <c r="IJ139" s="392"/>
      <c r="IK139" s="392"/>
      <c r="IL139" s="392"/>
      <c r="IM139" s="392"/>
      <c r="IN139" s="392"/>
      <c r="IO139" s="392"/>
      <c r="IP139" s="392"/>
      <c r="IQ139" s="392"/>
      <c r="IR139" s="392"/>
      <c r="IS139" s="392"/>
      <c r="IT139" s="392"/>
      <c r="IU139" s="392"/>
      <c r="IV139" s="392"/>
    </row>
    <row r="140" spans="1:256" s="381" customFormat="1" ht="16.5" thickBot="1">
      <c r="A140" s="392"/>
      <c r="B140" s="2472" t="s">
        <v>1705</v>
      </c>
      <c r="C140" s="2472"/>
      <c r="D140" s="2472"/>
      <c r="E140" s="2473"/>
      <c r="F140" s="443" t="s">
        <v>167</v>
      </c>
      <c r="G140" s="444">
        <f>TRUNC(SUM(G136:G139),2)</f>
        <v>6518.82</v>
      </c>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392"/>
      <c r="BF140" s="392"/>
      <c r="BG140" s="392"/>
      <c r="BH140" s="392"/>
      <c r="BI140" s="392"/>
      <c r="BJ140" s="392"/>
      <c r="BK140" s="392"/>
      <c r="BL140" s="392"/>
      <c r="BM140" s="392"/>
      <c r="BN140" s="392"/>
      <c r="BO140" s="392"/>
      <c r="BP140" s="392"/>
      <c r="BQ140" s="392"/>
      <c r="BR140" s="392"/>
      <c r="BS140" s="392"/>
      <c r="BT140" s="392"/>
      <c r="BU140" s="392"/>
      <c r="BV140" s="392"/>
      <c r="BW140" s="392"/>
      <c r="BX140" s="392"/>
      <c r="BY140" s="392"/>
      <c r="BZ140" s="392"/>
      <c r="CA140" s="392"/>
      <c r="CB140" s="392"/>
      <c r="CC140" s="392"/>
      <c r="CD140" s="392"/>
      <c r="CE140" s="392"/>
      <c r="CF140" s="392"/>
      <c r="CG140" s="392"/>
      <c r="CH140" s="392"/>
      <c r="CI140" s="39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c r="DD140" s="392"/>
      <c r="DE140" s="392"/>
      <c r="DF140" s="392"/>
      <c r="DG140" s="392"/>
      <c r="DH140" s="392"/>
      <c r="DI140" s="392"/>
      <c r="DJ140" s="392"/>
      <c r="DK140" s="392"/>
      <c r="DL140" s="392"/>
      <c r="DM140" s="392"/>
      <c r="DN140" s="392"/>
      <c r="DO140" s="392"/>
      <c r="DP140" s="392"/>
      <c r="DQ140" s="392"/>
      <c r="DR140" s="392"/>
      <c r="DS140" s="392"/>
      <c r="DT140" s="392"/>
      <c r="DU140" s="392"/>
      <c r="DV140" s="392"/>
      <c r="DW140" s="392"/>
      <c r="DX140" s="392"/>
      <c r="DY140" s="392"/>
      <c r="DZ140" s="392"/>
      <c r="EA140" s="392"/>
      <c r="EB140" s="392"/>
      <c r="EC140" s="392"/>
      <c r="ED140" s="392"/>
      <c r="EE140" s="392"/>
      <c r="EF140" s="392"/>
      <c r="EG140" s="392"/>
      <c r="EH140" s="392"/>
      <c r="EI140" s="392"/>
      <c r="EJ140" s="392"/>
      <c r="EK140" s="392"/>
      <c r="EL140" s="392"/>
      <c r="EM140" s="392"/>
      <c r="EN140" s="392"/>
      <c r="EO140" s="392"/>
      <c r="EP140" s="392"/>
      <c r="EQ140" s="392"/>
      <c r="ER140" s="392"/>
      <c r="ES140" s="392"/>
      <c r="ET140" s="392"/>
      <c r="EU140" s="392"/>
      <c r="EV140" s="392"/>
      <c r="EW140" s="392"/>
      <c r="EX140" s="392"/>
      <c r="EY140" s="392"/>
      <c r="EZ140" s="392"/>
      <c r="FA140" s="392"/>
      <c r="FB140" s="392"/>
      <c r="FC140" s="392"/>
      <c r="FD140" s="392"/>
      <c r="FE140" s="392"/>
      <c r="FF140" s="392"/>
      <c r="FG140" s="392"/>
      <c r="FH140" s="392"/>
      <c r="FI140" s="392"/>
      <c r="FJ140" s="392"/>
      <c r="FK140" s="392"/>
      <c r="FL140" s="392"/>
      <c r="FM140" s="392"/>
      <c r="FN140" s="392"/>
      <c r="FO140" s="392"/>
      <c r="FP140" s="392"/>
      <c r="FQ140" s="392"/>
      <c r="FR140" s="392"/>
      <c r="FS140" s="392"/>
      <c r="FT140" s="392"/>
      <c r="FU140" s="392"/>
      <c r="FV140" s="392"/>
      <c r="FW140" s="392"/>
      <c r="FX140" s="392"/>
      <c r="FY140" s="392"/>
      <c r="FZ140" s="392"/>
      <c r="GA140" s="392"/>
      <c r="GB140" s="392"/>
      <c r="GC140" s="392"/>
      <c r="GD140" s="392"/>
      <c r="GE140" s="392"/>
      <c r="GF140" s="392"/>
      <c r="GG140" s="392"/>
      <c r="GH140" s="392"/>
      <c r="GI140" s="392"/>
      <c r="GJ140" s="392"/>
      <c r="GK140" s="392"/>
      <c r="GL140" s="392"/>
      <c r="GM140" s="392"/>
      <c r="GN140" s="392"/>
      <c r="GO140" s="392"/>
      <c r="GP140" s="392"/>
      <c r="GQ140" s="392"/>
      <c r="GR140" s="392"/>
      <c r="GS140" s="392"/>
      <c r="GT140" s="392"/>
      <c r="GU140" s="392"/>
      <c r="GV140" s="392"/>
      <c r="GW140" s="392"/>
      <c r="GX140" s="392"/>
      <c r="GY140" s="392"/>
      <c r="GZ140" s="392"/>
      <c r="HA140" s="392"/>
      <c r="HB140" s="392"/>
      <c r="HC140" s="392"/>
      <c r="HD140" s="392"/>
      <c r="HE140" s="392"/>
      <c r="HF140" s="392"/>
      <c r="HG140" s="392"/>
      <c r="HH140" s="392"/>
      <c r="HI140" s="392"/>
      <c r="HJ140" s="392"/>
      <c r="HK140" s="392"/>
      <c r="HL140" s="392"/>
      <c r="HM140" s="392"/>
      <c r="HN140" s="392"/>
      <c r="HO140" s="392"/>
      <c r="HP140" s="392"/>
      <c r="HQ140" s="392"/>
      <c r="HR140" s="392"/>
      <c r="HS140" s="392"/>
      <c r="HT140" s="392"/>
      <c r="HU140" s="392"/>
      <c r="HV140" s="392"/>
      <c r="HW140" s="392"/>
      <c r="HX140" s="392"/>
      <c r="HY140" s="392"/>
      <c r="HZ140" s="392"/>
      <c r="IA140" s="392"/>
      <c r="IB140" s="392"/>
      <c r="IC140" s="392"/>
      <c r="ID140" s="392"/>
      <c r="IE140" s="392"/>
      <c r="IF140" s="392"/>
      <c r="IG140" s="392"/>
      <c r="IH140" s="392"/>
      <c r="II140" s="392"/>
      <c r="IJ140" s="392"/>
      <c r="IK140" s="392"/>
      <c r="IL140" s="392"/>
      <c r="IM140" s="392"/>
      <c r="IN140" s="392"/>
      <c r="IO140" s="392"/>
      <c r="IP140" s="392"/>
      <c r="IQ140" s="392"/>
      <c r="IR140" s="392"/>
      <c r="IS140" s="392"/>
      <c r="IT140" s="392"/>
      <c r="IU140" s="392"/>
      <c r="IV140" s="392"/>
    </row>
    <row r="141" spans="1:256" s="265" customFormat="1" ht="13.5" thickBot="1">
      <c r="B141" s="359"/>
      <c r="C141" s="359"/>
      <c r="D141" s="360"/>
      <c r="E141" s="361"/>
      <c r="F141" s="362"/>
      <c r="G141" s="363"/>
    </row>
    <row r="142" spans="1:256" s="265" customFormat="1" ht="15.75">
      <c r="B142" s="623" t="s">
        <v>3212</v>
      </c>
      <c r="C142" s="2180" t="s">
        <v>3208</v>
      </c>
      <c r="D142" s="2180"/>
      <c r="E142" s="2180"/>
      <c r="F142" s="2180"/>
      <c r="G142" s="624" t="s">
        <v>19</v>
      </c>
      <c r="H142" s="607"/>
    </row>
    <row r="143" spans="1:256" s="271" customFormat="1" ht="31.5">
      <c r="A143" s="333"/>
      <c r="B143" s="1093" t="s">
        <v>197</v>
      </c>
      <c r="C143" s="1094" t="s">
        <v>161</v>
      </c>
      <c r="D143" s="1094" t="s">
        <v>22</v>
      </c>
      <c r="E143" s="1094" t="s">
        <v>162</v>
      </c>
      <c r="F143" s="1095" t="s">
        <v>163</v>
      </c>
      <c r="G143" s="1096" t="s">
        <v>164</v>
      </c>
    </row>
    <row r="144" spans="1:256" s="271" customFormat="1" ht="15.75">
      <c r="A144" s="333"/>
      <c r="B144" s="2389" t="s">
        <v>2155</v>
      </c>
      <c r="C144" s="2390"/>
      <c r="D144" s="2390"/>
      <c r="E144" s="2390"/>
      <c r="F144" s="2390"/>
      <c r="G144" s="2391"/>
    </row>
    <row r="145" spans="1:256" s="271" customFormat="1" ht="45">
      <c r="A145" s="333" t="s">
        <v>391</v>
      </c>
      <c r="B145" s="1274">
        <v>90586</v>
      </c>
      <c r="C145" s="1098" t="str">
        <f>IF($A145="INSUMO",VLOOKUP($B145,'BANCO DE DADOS JANEIRO-24 INS'!$A:$D,2,FALSE),VLOOKUP($B145,'BANCO DE DADOS JANEIRO-24 SERV'!$B:$E,2,FALSE))</f>
        <v>VIBRADOR DE IMERSÃO, DIÂMETRO DE PONTEIRA 45MM, MOTOR ELÉTRICO TRIFÁSICO POTÊNCIA DE 2 CV - CHP DIURNO. AF_06/2015</v>
      </c>
      <c r="D145" s="1099" t="str">
        <f>IF($A145="INSUMO",VLOOKUP($B145,'BANCO DE DADOS JANEIRO-24 INS'!$A:$D,3,FALSE),VLOOKUP($B145,'BANCO DE DADOS JANEIRO-24 SERV'!$B:$E,3,FALSE))</f>
        <v>CHP</v>
      </c>
      <c r="E145" s="1292">
        <v>0.3</v>
      </c>
      <c r="F145" s="1146">
        <f>IF($A145="INSUMO",VLOOKUP($B145,'BANCO DE DADOS JANEIRO-24 INS'!$A:$D,4,FALSE),VLOOKUP($B145,'BANCO DE DADOS JANEIRO-24 SERV'!$B:$E,4,FALSE))</f>
        <v>1.36</v>
      </c>
      <c r="G145" s="1101">
        <f>TRUNC(E145*F145,2)</f>
        <v>0.4</v>
      </c>
    </row>
    <row r="146" spans="1:256" s="271" customFormat="1" ht="15.75">
      <c r="A146" s="333"/>
      <c r="B146" s="2389" t="s">
        <v>169</v>
      </c>
      <c r="C146" s="2390"/>
      <c r="D146" s="2390"/>
      <c r="E146" s="2390"/>
      <c r="F146" s="2390"/>
      <c r="G146" s="2391"/>
    </row>
    <row r="147" spans="1:256" s="271" customFormat="1" ht="15.75">
      <c r="A147" s="333" t="s">
        <v>391</v>
      </c>
      <c r="B147" s="1274">
        <v>88309</v>
      </c>
      <c r="C147" s="1098" t="str">
        <f>IF($A147="INSUMO",VLOOKUP($B147,'BANCO DE DADOS JANEIRO-24 INS'!$A:$D,2,FALSE),VLOOKUP($B147,'BANCO DE DADOS JANEIRO-24 SERV'!$B:$E,2,FALSE))</f>
        <v>PEDREIRO COM ENCARGOS COMPLEMENTARES</v>
      </c>
      <c r="D147" s="1099" t="str">
        <f>IF($A147="INSUMO",VLOOKUP($B147,'BANCO DE DADOS JANEIRO-24 INS'!$A:$D,3,FALSE),VLOOKUP($B147,'BANCO DE DADOS JANEIRO-24 SERV'!$B:$E,3,FALSE))</f>
        <v>H</v>
      </c>
      <c r="E147" s="1293">
        <v>1.65</v>
      </c>
      <c r="F147" s="1146">
        <f>IF($A147="INSUMO",VLOOKUP($B147,'BANCO DE DADOS JANEIRO-24 INS'!$A:$D,4,FALSE),VLOOKUP($B147,'BANCO DE DADOS JANEIRO-24 SERV'!$B:$E,4,FALSE))</f>
        <v>25.62</v>
      </c>
      <c r="G147" s="1101">
        <f>TRUNC(E147*F147,2)</f>
        <v>42.27</v>
      </c>
    </row>
    <row r="148" spans="1:256" s="271" customFormat="1" ht="16.5" thickBot="1">
      <c r="A148" s="333" t="s">
        <v>391</v>
      </c>
      <c r="B148" s="965">
        <v>88316</v>
      </c>
      <c r="C148" s="1103" t="str">
        <f>IF($A148="INSUMO",VLOOKUP($B148,'BANCO DE DADOS JANEIRO-24 INS'!$A:$D,2,FALSE),VLOOKUP($B148,'BANCO DE DADOS JANEIRO-24 SERV'!$B:$E,2,FALSE))</f>
        <v>SERVENTE COM ENCARGOS COMPLEMENTARES</v>
      </c>
      <c r="D148" s="1104" t="str">
        <f>IF($A148="INSUMO",VLOOKUP($B148,'BANCO DE DADOS JANEIRO-24 INS'!$A:$D,3,FALSE),VLOOKUP($B148,'BANCO DE DADOS JANEIRO-24 SERV'!$B:$E,3,FALSE))</f>
        <v>H</v>
      </c>
      <c r="E148" s="1294">
        <v>4.5</v>
      </c>
      <c r="F148" s="1105">
        <f>IF($A148="INSUMO",VLOOKUP($B148,'BANCO DE DADOS JANEIRO-24 INS'!$A:$D,4,FALSE),VLOOKUP($B148,'BANCO DE DADOS JANEIRO-24 SERV'!$B:$E,4,FALSE))</f>
        <v>20.32</v>
      </c>
      <c r="G148" s="1106">
        <f>TRUNC(E148*F148,2)</f>
        <v>91.44</v>
      </c>
    </row>
    <row r="149" spans="1:256" s="271" customFormat="1" ht="16.5" customHeight="1" thickBot="1">
      <c r="A149" s="333"/>
      <c r="B149" s="2472" t="s">
        <v>3207</v>
      </c>
      <c r="C149" s="2472"/>
      <c r="D149" s="2472"/>
      <c r="E149" s="2473"/>
      <c r="F149" s="263" t="s">
        <v>170</v>
      </c>
      <c r="G149" s="264">
        <f>TRUNC(SUM(G145:G148),2)</f>
        <v>134.11000000000001</v>
      </c>
      <c r="H149" s="605"/>
    </row>
    <row r="150" spans="1:256" s="381" customFormat="1" ht="364.5" customHeight="1">
      <c r="A150" s="392"/>
      <c r="B150" s="2325"/>
      <c r="C150" s="2325"/>
      <c r="D150" s="2325"/>
      <c r="E150" s="2325"/>
      <c r="F150" s="2325"/>
      <c r="G150" s="2325"/>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c r="AG150" s="392"/>
      <c r="AH150" s="392"/>
      <c r="AI150" s="392"/>
      <c r="AJ150" s="392"/>
      <c r="AK150" s="392"/>
      <c r="AL150" s="392"/>
      <c r="AM150" s="392"/>
      <c r="AN150" s="392"/>
      <c r="AO150" s="392"/>
      <c r="AP150" s="392"/>
      <c r="AQ150" s="392"/>
      <c r="AR150" s="392"/>
      <c r="AS150" s="392"/>
      <c r="AT150" s="392"/>
      <c r="AU150" s="392"/>
      <c r="AV150" s="392"/>
      <c r="AW150" s="392"/>
      <c r="AX150" s="392"/>
      <c r="AY150" s="392"/>
      <c r="AZ150" s="392"/>
      <c r="BA150" s="392"/>
      <c r="BB150" s="392"/>
      <c r="BC150" s="392"/>
      <c r="BD150" s="392"/>
      <c r="BE150" s="392"/>
      <c r="BF150" s="392"/>
      <c r="BG150" s="392"/>
      <c r="BH150" s="392"/>
      <c r="BI150" s="392"/>
      <c r="BJ150" s="392"/>
      <c r="BK150" s="392"/>
      <c r="BL150" s="392"/>
      <c r="BM150" s="392"/>
      <c r="BN150" s="392"/>
      <c r="BO150" s="392"/>
      <c r="BP150" s="392"/>
      <c r="BQ150" s="392"/>
      <c r="BR150" s="392"/>
      <c r="BS150" s="392"/>
      <c r="BT150" s="392"/>
      <c r="BU150" s="392"/>
      <c r="BV150" s="392"/>
      <c r="BW150" s="392"/>
      <c r="BX150" s="392"/>
      <c r="BY150" s="392"/>
      <c r="BZ150" s="392"/>
      <c r="CA150" s="392"/>
      <c r="CB150" s="392"/>
      <c r="CC150" s="392"/>
      <c r="CD150" s="392"/>
      <c r="CE150" s="392"/>
      <c r="CF150" s="392"/>
      <c r="CG150" s="392"/>
      <c r="CH150" s="392"/>
      <c r="CI150" s="392"/>
      <c r="CJ150" s="392"/>
      <c r="CK150" s="392"/>
      <c r="CL150" s="392"/>
      <c r="CM150" s="392"/>
      <c r="CN150" s="392"/>
      <c r="CO150" s="392"/>
      <c r="CP150" s="392"/>
      <c r="CQ150" s="392"/>
      <c r="CR150" s="392"/>
      <c r="CS150" s="392"/>
      <c r="CT150" s="392"/>
      <c r="CU150" s="392"/>
      <c r="CV150" s="392"/>
      <c r="CW150" s="392"/>
      <c r="CX150" s="392"/>
      <c r="CY150" s="392"/>
      <c r="CZ150" s="392"/>
      <c r="DA150" s="392"/>
      <c r="DB150" s="392"/>
      <c r="DC150" s="392"/>
      <c r="DD150" s="392"/>
      <c r="DE150" s="392"/>
      <c r="DF150" s="392"/>
      <c r="DG150" s="392"/>
      <c r="DH150" s="392"/>
      <c r="DI150" s="392"/>
      <c r="DJ150" s="392"/>
      <c r="DK150" s="392"/>
      <c r="DL150" s="392"/>
      <c r="DM150" s="392"/>
      <c r="DN150" s="392"/>
      <c r="DO150" s="392"/>
      <c r="DP150" s="392"/>
      <c r="DQ150" s="392"/>
      <c r="DR150" s="392"/>
      <c r="DS150" s="392"/>
      <c r="DT150" s="392"/>
      <c r="DU150" s="392"/>
      <c r="DV150" s="392"/>
      <c r="DW150" s="392"/>
      <c r="DX150" s="392"/>
      <c r="DY150" s="392"/>
      <c r="DZ150" s="392"/>
      <c r="EA150" s="392"/>
      <c r="EB150" s="392"/>
      <c r="EC150" s="392"/>
      <c r="ED150" s="392"/>
      <c r="EE150" s="392"/>
      <c r="EF150" s="392"/>
      <c r="EG150" s="392"/>
      <c r="EH150" s="392"/>
      <c r="EI150" s="392"/>
      <c r="EJ150" s="392"/>
      <c r="EK150" s="392"/>
      <c r="EL150" s="392"/>
      <c r="EM150" s="392"/>
      <c r="EN150" s="392"/>
      <c r="EO150" s="392"/>
      <c r="EP150" s="392"/>
      <c r="EQ150" s="392"/>
      <c r="ER150" s="392"/>
      <c r="ES150" s="392"/>
      <c r="ET150" s="392"/>
      <c r="EU150" s="392"/>
      <c r="EV150" s="392"/>
      <c r="EW150" s="392"/>
      <c r="EX150" s="392"/>
      <c r="EY150" s="392"/>
      <c r="EZ150" s="392"/>
      <c r="FA150" s="392"/>
      <c r="FB150" s="392"/>
      <c r="FC150" s="392"/>
      <c r="FD150" s="392"/>
      <c r="FE150" s="392"/>
      <c r="FF150" s="392"/>
      <c r="FG150" s="392"/>
      <c r="FH150" s="392"/>
      <c r="FI150" s="392"/>
      <c r="FJ150" s="392"/>
      <c r="FK150" s="392"/>
      <c r="FL150" s="392"/>
      <c r="FM150" s="392"/>
      <c r="FN150" s="392"/>
      <c r="FO150" s="392"/>
      <c r="FP150" s="392"/>
      <c r="FQ150" s="392"/>
      <c r="FR150" s="392"/>
      <c r="FS150" s="392"/>
      <c r="FT150" s="392"/>
      <c r="FU150" s="392"/>
      <c r="FV150" s="392"/>
      <c r="FW150" s="392"/>
      <c r="FX150" s="392"/>
      <c r="FY150" s="392"/>
      <c r="FZ150" s="392"/>
      <c r="GA150" s="392"/>
      <c r="GB150" s="392"/>
      <c r="GC150" s="392"/>
      <c r="GD150" s="392"/>
      <c r="GE150" s="392"/>
      <c r="GF150" s="392"/>
      <c r="GG150" s="392"/>
      <c r="GH150" s="392"/>
      <c r="GI150" s="392"/>
      <c r="GJ150" s="392"/>
      <c r="GK150" s="392"/>
      <c r="GL150" s="392"/>
      <c r="GM150" s="392"/>
      <c r="GN150" s="392"/>
      <c r="GO150" s="392"/>
      <c r="GP150" s="392"/>
      <c r="GQ150" s="392"/>
      <c r="GR150" s="392"/>
      <c r="GS150" s="392"/>
      <c r="GT150" s="392"/>
      <c r="GU150" s="392"/>
      <c r="GV150" s="392"/>
      <c r="GW150" s="392"/>
      <c r="GX150" s="392"/>
      <c r="GY150" s="392"/>
      <c r="GZ150" s="392"/>
      <c r="HA150" s="392"/>
      <c r="HB150" s="392"/>
      <c r="HC150" s="392"/>
      <c r="HD150" s="392"/>
      <c r="HE150" s="392"/>
      <c r="HF150" s="392"/>
      <c r="HG150" s="392"/>
      <c r="HH150" s="392"/>
      <c r="HI150" s="392"/>
      <c r="HJ150" s="392"/>
      <c r="HK150" s="392"/>
      <c r="HL150" s="392"/>
      <c r="HM150" s="392"/>
      <c r="HN150" s="392"/>
      <c r="HO150" s="392"/>
      <c r="HP150" s="392"/>
      <c r="HQ150" s="392"/>
      <c r="HR150" s="392"/>
      <c r="HS150" s="392"/>
      <c r="HT150" s="392"/>
      <c r="HU150" s="392"/>
      <c r="HV150" s="392"/>
      <c r="HW150" s="392"/>
      <c r="HX150" s="392"/>
      <c r="HY150" s="392"/>
      <c r="HZ150" s="392"/>
      <c r="IA150" s="392"/>
      <c r="IB150" s="392"/>
      <c r="IC150" s="392"/>
      <c r="ID150" s="392"/>
      <c r="IE150" s="392"/>
      <c r="IF150" s="392"/>
      <c r="IG150" s="392"/>
      <c r="IH150" s="392"/>
      <c r="II150" s="392"/>
      <c r="IJ150" s="392"/>
      <c r="IK150" s="392"/>
      <c r="IL150" s="392"/>
      <c r="IM150" s="392"/>
      <c r="IN150" s="392"/>
      <c r="IO150" s="392"/>
      <c r="IP150" s="392"/>
      <c r="IQ150" s="392"/>
      <c r="IR150" s="392"/>
      <c r="IS150" s="392"/>
      <c r="IT150" s="392"/>
      <c r="IU150" s="392"/>
      <c r="IV150" s="392"/>
    </row>
    <row r="151" spans="1:256" s="381" customFormat="1" ht="366.75" customHeight="1" thickBot="1">
      <c r="A151" s="392"/>
      <c r="B151" s="2326"/>
      <c r="C151" s="2326"/>
      <c r="D151" s="2326"/>
      <c r="E151" s="2326"/>
      <c r="F151" s="2326"/>
      <c r="G151" s="2326"/>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c r="AE151" s="392"/>
      <c r="AF151" s="392"/>
      <c r="AG151" s="392"/>
      <c r="AH151" s="392"/>
      <c r="AI151" s="392"/>
      <c r="AJ151" s="392"/>
      <c r="AK151" s="392"/>
      <c r="AL151" s="392"/>
      <c r="AM151" s="392"/>
      <c r="AN151" s="392"/>
      <c r="AO151" s="392"/>
      <c r="AP151" s="392"/>
      <c r="AQ151" s="392"/>
      <c r="AR151" s="392"/>
      <c r="AS151" s="392"/>
      <c r="AT151" s="392"/>
      <c r="AU151" s="392"/>
      <c r="AV151" s="392"/>
      <c r="AW151" s="392"/>
      <c r="AX151" s="392"/>
      <c r="AY151" s="392"/>
      <c r="AZ151" s="392"/>
      <c r="BA151" s="392"/>
      <c r="BB151" s="392"/>
      <c r="BC151" s="392"/>
      <c r="BD151" s="392"/>
      <c r="BE151" s="392"/>
      <c r="BF151" s="392"/>
      <c r="BG151" s="392"/>
      <c r="BH151" s="392"/>
      <c r="BI151" s="392"/>
      <c r="BJ151" s="392"/>
      <c r="BK151" s="392"/>
      <c r="BL151" s="392"/>
      <c r="BM151" s="392"/>
      <c r="BN151" s="392"/>
      <c r="BO151" s="392"/>
      <c r="BP151" s="392"/>
      <c r="BQ151" s="392"/>
      <c r="BR151" s="392"/>
      <c r="BS151" s="392"/>
      <c r="BT151" s="392"/>
      <c r="BU151" s="392"/>
      <c r="BV151" s="392"/>
      <c r="BW151" s="392"/>
      <c r="BX151" s="392"/>
      <c r="BY151" s="392"/>
      <c r="BZ151" s="392"/>
      <c r="CA151" s="392"/>
      <c r="CB151" s="392"/>
      <c r="CC151" s="392"/>
      <c r="CD151" s="392"/>
      <c r="CE151" s="392"/>
      <c r="CF151" s="392"/>
      <c r="CG151" s="392"/>
      <c r="CH151" s="392"/>
      <c r="CI151" s="39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c r="DD151" s="392"/>
      <c r="DE151" s="392"/>
      <c r="DF151" s="392"/>
      <c r="DG151" s="392"/>
      <c r="DH151" s="392"/>
      <c r="DI151" s="392"/>
      <c r="DJ151" s="392"/>
      <c r="DK151" s="392"/>
      <c r="DL151" s="392"/>
      <c r="DM151" s="392"/>
      <c r="DN151" s="392"/>
      <c r="DO151" s="392"/>
      <c r="DP151" s="392"/>
      <c r="DQ151" s="392"/>
      <c r="DR151" s="392"/>
      <c r="DS151" s="392"/>
      <c r="DT151" s="392"/>
      <c r="DU151" s="392"/>
      <c r="DV151" s="392"/>
      <c r="DW151" s="392"/>
      <c r="DX151" s="392"/>
      <c r="DY151" s="392"/>
      <c r="DZ151" s="392"/>
      <c r="EA151" s="392"/>
      <c r="EB151" s="392"/>
      <c r="EC151" s="392"/>
      <c r="ED151" s="392"/>
      <c r="EE151" s="392"/>
      <c r="EF151" s="392"/>
      <c r="EG151" s="392"/>
      <c r="EH151" s="392"/>
      <c r="EI151" s="392"/>
      <c r="EJ151" s="392"/>
      <c r="EK151" s="392"/>
      <c r="EL151" s="392"/>
      <c r="EM151" s="392"/>
      <c r="EN151" s="392"/>
      <c r="EO151" s="392"/>
      <c r="EP151" s="392"/>
      <c r="EQ151" s="392"/>
      <c r="ER151" s="392"/>
      <c r="ES151" s="392"/>
      <c r="ET151" s="392"/>
      <c r="EU151" s="392"/>
      <c r="EV151" s="392"/>
      <c r="EW151" s="392"/>
      <c r="EX151" s="392"/>
      <c r="EY151" s="392"/>
      <c r="EZ151" s="392"/>
      <c r="FA151" s="392"/>
      <c r="FB151" s="392"/>
      <c r="FC151" s="392"/>
      <c r="FD151" s="392"/>
      <c r="FE151" s="392"/>
      <c r="FF151" s="392"/>
      <c r="FG151" s="392"/>
      <c r="FH151" s="392"/>
      <c r="FI151" s="392"/>
      <c r="FJ151" s="392"/>
      <c r="FK151" s="392"/>
      <c r="FL151" s="392"/>
      <c r="FM151" s="392"/>
      <c r="FN151" s="392"/>
      <c r="FO151" s="392"/>
      <c r="FP151" s="392"/>
      <c r="FQ151" s="392"/>
      <c r="FR151" s="392"/>
      <c r="FS151" s="392"/>
      <c r="FT151" s="392"/>
      <c r="FU151" s="392"/>
      <c r="FV151" s="392"/>
      <c r="FW151" s="392"/>
      <c r="FX151" s="392"/>
      <c r="FY151" s="392"/>
      <c r="FZ151" s="392"/>
      <c r="GA151" s="392"/>
      <c r="GB151" s="392"/>
      <c r="GC151" s="392"/>
      <c r="GD151" s="392"/>
      <c r="GE151" s="392"/>
      <c r="GF151" s="392"/>
      <c r="GG151" s="392"/>
      <c r="GH151" s="392"/>
      <c r="GI151" s="392"/>
      <c r="GJ151" s="392"/>
      <c r="GK151" s="392"/>
      <c r="GL151" s="392"/>
      <c r="GM151" s="392"/>
      <c r="GN151" s="392"/>
      <c r="GO151" s="392"/>
      <c r="GP151" s="392"/>
      <c r="GQ151" s="392"/>
      <c r="GR151" s="392"/>
      <c r="GS151" s="392"/>
      <c r="GT151" s="392"/>
      <c r="GU151" s="392"/>
      <c r="GV151" s="392"/>
      <c r="GW151" s="392"/>
      <c r="GX151" s="392"/>
      <c r="GY151" s="392"/>
      <c r="GZ151" s="392"/>
      <c r="HA151" s="392"/>
      <c r="HB151" s="392"/>
      <c r="HC151" s="392"/>
      <c r="HD151" s="392"/>
      <c r="HE151" s="392"/>
      <c r="HF151" s="392"/>
      <c r="HG151" s="392"/>
      <c r="HH151" s="392"/>
      <c r="HI151" s="392"/>
      <c r="HJ151" s="392"/>
      <c r="HK151" s="392"/>
      <c r="HL151" s="392"/>
      <c r="HM151" s="392"/>
      <c r="HN151" s="392"/>
      <c r="HO151" s="392"/>
      <c r="HP151" s="392"/>
      <c r="HQ151" s="392"/>
      <c r="HR151" s="392"/>
      <c r="HS151" s="392"/>
      <c r="HT151" s="392"/>
      <c r="HU151" s="392"/>
      <c r="HV151" s="392"/>
      <c r="HW151" s="392"/>
      <c r="HX151" s="392"/>
      <c r="HY151" s="392"/>
      <c r="HZ151" s="392"/>
      <c r="IA151" s="392"/>
      <c r="IB151" s="392"/>
      <c r="IC151" s="392"/>
      <c r="ID151" s="392"/>
      <c r="IE151" s="392"/>
      <c r="IF151" s="392"/>
      <c r="IG151" s="392"/>
      <c r="IH151" s="392"/>
      <c r="II151" s="392"/>
      <c r="IJ151" s="392"/>
      <c r="IK151" s="392"/>
      <c r="IL151" s="392"/>
      <c r="IM151" s="392"/>
      <c r="IN151" s="392"/>
      <c r="IO151" s="392"/>
      <c r="IP151" s="392"/>
      <c r="IQ151" s="392"/>
      <c r="IR151" s="392"/>
      <c r="IS151" s="392"/>
      <c r="IT151" s="392"/>
      <c r="IU151" s="392"/>
      <c r="IV151" s="392"/>
    </row>
    <row r="152" spans="1:256" s="381" customFormat="1" ht="31.5">
      <c r="A152" s="392"/>
      <c r="B152" s="581" t="s">
        <v>1706</v>
      </c>
      <c r="C152" s="2327" t="s">
        <v>2091</v>
      </c>
      <c r="D152" s="2328"/>
      <c r="E152" s="2328"/>
      <c r="F152" s="2329"/>
      <c r="G152" s="554" t="s">
        <v>22</v>
      </c>
      <c r="H152" s="392"/>
      <c r="I152" s="392"/>
      <c r="J152" s="392"/>
      <c r="K152" s="392"/>
      <c r="L152" s="392"/>
      <c r="M152" s="392"/>
      <c r="N152" s="392"/>
      <c r="O152" s="392"/>
      <c r="P152" s="392"/>
      <c r="Q152" s="392"/>
      <c r="R152" s="392"/>
      <c r="S152" s="392"/>
      <c r="T152" s="392"/>
      <c r="U152" s="392"/>
      <c r="V152" s="392"/>
      <c r="W152" s="392"/>
      <c r="X152" s="392"/>
      <c r="Y152" s="392"/>
      <c r="Z152" s="392"/>
      <c r="AA152" s="392"/>
      <c r="AB152" s="392"/>
      <c r="AC152" s="392"/>
      <c r="AD152" s="392"/>
      <c r="AE152" s="392"/>
      <c r="AF152" s="392"/>
      <c r="AG152" s="392"/>
      <c r="AH152" s="392"/>
      <c r="AI152" s="392"/>
      <c r="AJ152" s="392"/>
      <c r="AK152" s="392"/>
      <c r="AL152" s="392"/>
      <c r="AM152" s="392"/>
      <c r="AN152" s="392"/>
      <c r="AO152" s="392"/>
      <c r="AP152" s="392"/>
      <c r="AQ152" s="392"/>
      <c r="AR152" s="392"/>
      <c r="AS152" s="392"/>
      <c r="AT152" s="392"/>
      <c r="AU152" s="392"/>
      <c r="AV152" s="392"/>
      <c r="AW152" s="392"/>
      <c r="AX152" s="392"/>
      <c r="AY152" s="392"/>
      <c r="AZ152" s="392"/>
      <c r="BA152" s="392"/>
      <c r="BB152" s="392"/>
      <c r="BC152" s="392"/>
      <c r="BD152" s="392"/>
      <c r="BE152" s="392"/>
      <c r="BF152" s="392"/>
      <c r="BG152" s="392"/>
      <c r="BH152" s="392"/>
      <c r="BI152" s="392"/>
      <c r="BJ152" s="392"/>
      <c r="BK152" s="392"/>
      <c r="BL152" s="392"/>
      <c r="BM152" s="392"/>
      <c r="BN152" s="392"/>
      <c r="BO152" s="392"/>
      <c r="BP152" s="392"/>
      <c r="BQ152" s="392"/>
      <c r="BR152" s="392"/>
      <c r="BS152" s="392"/>
      <c r="BT152" s="392"/>
      <c r="BU152" s="392"/>
      <c r="BV152" s="392"/>
      <c r="BW152" s="392"/>
      <c r="BX152" s="392"/>
      <c r="BY152" s="392"/>
      <c r="BZ152" s="392"/>
      <c r="CA152" s="392"/>
      <c r="CB152" s="392"/>
      <c r="CC152" s="392"/>
      <c r="CD152" s="392"/>
      <c r="CE152" s="392"/>
      <c r="CF152" s="392"/>
      <c r="CG152" s="392"/>
      <c r="CH152" s="392"/>
      <c r="CI152" s="39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c r="DD152" s="392"/>
      <c r="DE152" s="392"/>
      <c r="DF152" s="392"/>
      <c r="DG152" s="392"/>
      <c r="DH152" s="392"/>
      <c r="DI152" s="392"/>
      <c r="DJ152" s="392"/>
      <c r="DK152" s="392"/>
      <c r="DL152" s="392"/>
      <c r="DM152" s="392"/>
      <c r="DN152" s="392"/>
      <c r="DO152" s="392"/>
      <c r="DP152" s="392"/>
      <c r="DQ152" s="392"/>
      <c r="DR152" s="392"/>
      <c r="DS152" s="392"/>
      <c r="DT152" s="392"/>
      <c r="DU152" s="392"/>
      <c r="DV152" s="392"/>
      <c r="DW152" s="392"/>
      <c r="DX152" s="392"/>
      <c r="DY152" s="392"/>
      <c r="DZ152" s="392"/>
      <c r="EA152" s="392"/>
      <c r="EB152" s="392"/>
      <c r="EC152" s="392"/>
      <c r="ED152" s="392"/>
      <c r="EE152" s="392"/>
      <c r="EF152" s="392"/>
      <c r="EG152" s="392"/>
      <c r="EH152" s="392"/>
      <c r="EI152" s="392"/>
      <c r="EJ152" s="392"/>
      <c r="EK152" s="392"/>
      <c r="EL152" s="392"/>
      <c r="EM152" s="392"/>
      <c r="EN152" s="392"/>
      <c r="EO152" s="392"/>
      <c r="EP152" s="392"/>
      <c r="EQ152" s="392"/>
      <c r="ER152" s="392"/>
      <c r="ES152" s="392"/>
      <c r="ET152" s="392"/>
      <c r="EU152" s="392"/>
      <c r="EV152" s="392"/>
      <c r="EW152" s="392"/>
      <c r="EX152" s="392"/>
      <c r="EY152" s="392"/>
      <c r="EZ152" s="392"/>
      <c r="FA152" s="392"/>
      <c r="FB152" s="392"/>
      <c r="FC152" s="392"/>
      <c r="FD152" s="392"/>
      <c r="FE152" s="392"/>
      <c r="FF152" s="392"/>
      <c r="FG152" s="392"/>
      <c r="FH152" s="392"/>
      <c r="FI152" s="392"/>
      <c r="FJ152" s="392"/>
      <c r="FK152" s="392"/>
      <c r="FL152" s="392"/>
      <c r="FM152" s="392"/>
      <c r="FN152" s="392"/>
      <c r="FO152" s="392"/>
      <c r="FP152" s="392"/>
      <c r="FQ152" s="392"/>
      <c r="FR152" s="392"/>
      <c r="FS152" s="392"/>
      <c r="FT152" s="392"/>
      <c r="FU152" s="392"/>
      <c r="FV152" s="392"/>
      <c r="FW152" s="392"/>
      <c r="FX152" s="392"/>
      <c r="FY152" s="392"/>
      <c r="FZ152" s="392"/>
      <c r="GA152" s="392"/>
      <c r="GB152" s="392"/>
      <c r="GC152" s="392"/>
      <c r="GD152" s="392"/>
      <c r="GE152" s="392"/>
      <c r="GF152" s="392"/>
      <c r="GG152" s="392"/>
      <c r="GH152" s="392"/>
      <c r="GI152" s="392"/>
      <c r="GJ152" s="392"/>
      <c r="GK152" s="392"/>
      <c r="GL152" s="392"/>
      <c r="GM152" s="392"/>
      <c r="GN152" s="392"/>
      <c r="GO152" s="392"/>
      <c r="GP152" s="392"/>
      <c r="GQ152" s="392"/>
      <c r="GR152" s="392"/>
      <c r="GS152" s="392"/>
      <c r="GT152" s="392"/>
      <c r="GU152" s="392"/>
      <c r="GV152" s="392"/>
      <c r="GW152" s="392"/>
      <c r="GX152" s="392"/>
      <c r="GY152" s="392"/>
      <c r="GZ152" s="392"/>
      <c r="HA152" s="392"/>
      <c r="HB152" s="392"/>
      <c r="HC152" s="392"/>
      <c r="HD152" s="392"/>
      <c r="HE152" s="392"/>
      <c r="HF152" s="392"/>
      <c r="HG152" s="392"/>
      <c r="HH152" s="392"/>
      <c r="HI152" s="392"/>
      <c r="HJ152" s="392"/>
      <c r="HK152" s="392"/>
      <c r="HL152" s="392"/>
      <c r="HM152" s="392"/>
      <c r="HN152" s="392"/>
      <c r="HO152" s="392"/>
      <c r="HP152" s="392"/>
      <c r="HQ152" s="392"/>
      <c r="HR152" s="392"/>
      <c r="HS152" s="392"/>
      <c r="HT152" s="392"/>
      <c r="HU152" s="392"/>
      <c r="HV152" s="392"/>
      <c r="HW152" s="392"/>
      <c r="HX152" s="392"/>
      <c r="HY152" s="392"/>
      <c r="HZ152" s="392"/>
      <c r="IA152" s="392"/>
      <c r="IB152" s="392"/>
      <c r="IC152" s="392"/>
      <c r="ID152" s="392"/>
      <c r="IE152" s="392"/>
      <c r="IF152" s="392"/>
      <c r="IG152" s="392"/>
      <c r="IH152" s="392"/>
      <c r="II152" s="392"/>
      <c r="IJ152" s="392"/>
      <c r="IK152" s="392"/>
      <c r="IL152" s="392"/>
      <c r="IM152" s="392"/>
      <c r="IN152" s="392"/>
      <c r="IO152" s="392"/>
      <c r="IP152" s="392"/>
      <c r="IQ152" s="392"/>
      <c r="IR152" s="392"/>
      <c r="IS152" s="392"/>
      <c r="IT152" s="392"/>
      <c r="IU152" s="392"/>
      <c r="IV152" s="392"/>
    </row>
    <row r="153" spans="1:256" s="381" customFormat="1" ht="31.5">
      <c r="A153" s="392"/>
      <c r="B153" s="1093" t="s">
        <v>1708</v>
      </c>
      <c r="C153" s="1152" t="s">
        <v>161</v>
      </c>
      <c r="D153" s="1152" t="s">
        <v>22</v>
      </c>
      <c r="E153" s="2474" t="s">
        <v>162</v>
      </c>
      <c r="F153" s="2475"/>
      <c r="G153" s="2476"/>
      <c r="H153" s="392"/>
      <c r="I153" s="392"/>
      <c r="J153" s="392"/>
      <c r="K153" s="392"/>
      <c r="L153" s="392"/>
      <c r="M153" s="392"/>
      <c r="N153" s="392"/>
      <c r="O153" s="392"/>
      <c r="P153" s="392"/>
      <c r="Q153" s="392"/>
      <c r="R153" s="392"/>
      <c r="S153" s="392"/>
      <c r="T153" s="392"/>
      <c r="U153" s="392"/>
      <c r="V153" s="392"/>
      <c r="W153" s="392"/>
      <c r="X153" s="392"/>
      <c r="Y153" s="392"/>
      <c r="Z153" s="392"/>
      <c r="AA153" s="392"/>
      <c r="AB153" s="392"/>
      <c r="AC153" s="392"/>
      <c r="AD153" s="392"/>
      <c r="AE153" s="392"/>
      <c r="AF153" s="392"/>
      <c r="AG153" s="392"/>
      <c r="AH153" s="392"/>
      <c r="AI153" s="392"/>
      <c r="AJ153" s="392"/>
      <c r="AK153" s="392"/>
      <c r="AL153" s="392"/>
      <c r="AM153" s="392"/>
      <c r="AN153" s="392"/>
      <c r="AO153" s="392"/>
      <c r="AP153" s="392"/>
      <c r="AQ153" s="392"/>
      <c r="AR153" s="392"/>
      <c r="AS153" s="392"/>
      <c r="AT153" s="392"/>
      <c r="AU153" s="392"/>
      <c r="AV153" s="392"/>
      <c r="AW153" s="392"/>
      <c r="AX153" s="392"/>
      <c r="AY153" s="392"/>
      <c r="AZ153" s="392"/>
      <c r="BA153" s="392"/>
      <c r="BB153" s="392"/>
      <c r="BC153" s="392"/>
      <c r="BD153" s="392"/>
      <c r="BE153" s="392"/>
      <c r="BF153" s="392"/>
      <c r="BG153" s="392"/>
      <c r="BH153" s="392"/>
      <c r="BI153" s="392"/>
      <c r="BJ153" s="392"/>
      <c r="BK153" s="392"/>
      <c r="BL153" s="392"/>
      <c r="BM153" s="392"/>
      <c r="BN153" s="392"/>
      <c r="BO153" s="392"/>
      <c r="BP153" s="392"/>
      <c r="BQ153" s="392"/>
      <c r="BR153" s="392"/>
      <c r="BS153" s="392"/>
      <c r="BT153" s="392"/>
      <c r="BU153" s="392"/>
      <c r="BV153" s="392"/>
      <c r="BW153" s="392"/>
      <c r="BX153" s="392"/>
      <c r="BY153" s="392"/>
      <c r="BZ153" s="392"/>
      <c r="CA153" s="392"/>
      <c r="CB153" s="392"/>
      <c r="CC153" s="392"/>
      <c r="CD153" s="392"/>
      <c r="CE153" s="392"/>
      <c r="CF153" s="392"/>
      <c r="CG153" s="392"/>
      <c r="CH153" s="392"/>
      <c r="CI153" s="39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c r="DD153" s="392"/>
      <c r="DE153" s="392"/>
      <c r="DF153" s="392"/>
      <c r="DG153" s="392"/>
      <c r="DH153" s="392"/>
      <c r="DI153" s="392"/>
      <c r="DJ153" s="392"/>
      <c r="DK153" s="392"/>
      <c r="DL153" s="392"/>
      <c r="DM153" s="392"/>
      <c r="DN153" s="392"/>
      <c r="DO153" s="392"/>
      <c r="DP153" s="392"/>
      <c r="DQ153" s="392"/>
      <c r="DR153" s="392"/>
      <c r="DS153" s="392"/>
      <c r="DT153" s="392"/>
      <c r="DU153" s="392"/>
      <c r="DV153" s="392"/>
      <c r="DW153" s="392"/>
      <c r="DX153" s="392"/>
      <c r="DY153" s="392"/>
      <c r="DZ153" s="392"/>
      <c r="EA153" s="392"/>
      <c r="EB153" s="392"/>
      <c r="EC153" s="392"/>
      <c r="ED153" s="392"/>
      <c r="EE153" s="392"/>
      <c r="EF153" s="392"/>
      <c r="EG153" s="392"/>
      <c r="EH153" s="392"/>
      <c r="EI153" s="392"/>
      <c r="EJ153" s="392"/>
      <c r="EK153" s="392"/>
      <c r="EL153" s="392"/>
      <c r="EM153" s="392"/>
      <c r="EN153" s="392"/>
      <c r="EO153" s="392"/>
      <c r="EP153" s="392"/>
      <c r="EQ153" s="392"/>
      <c r="ER153" s="392"/>
      <c r="ES153" s="392"/>
      <c r="ET153" s="392"/>
      <c r="EU153" s="392"/>
      <c r="EV153" s="392"/>
      <c r="EW153" s="392"/>
      <c r="EX153" s="392"/>
      <c r="EY153" s="392"/>
      <c r="EZ153" s="392"/>
      <c r="FA153" s="392"/>
      <c r="FB153" s="392"/>
      <c r="FC153" s="392"/>
      <c r="FD153" s="392"/>
      <c r="FE153" s="392"/>
      <c r="FF153" s="392"/>
      <c r="FG153" s="392"/>
      <c r="FH153" s="392"/>
      <c r="FI153" s="392"/>
      <c r="FJ153" s="392"/>
      <c r="FK153" s="392"/>
      <c r="FL153" s="392"/>
      <c r="FM153" s="392"/>
      <c r="FN153" s="392"/>
      <c r="FO153" s="392"/>
      <c r="FP153" s="392"/>
      <c r="FQ153" s="392"/>
      <c r="FR153" s="392"/>
      <c r="FS153" s="392"/>
      <c r="FT153" s="392"/>
      <c r="FU153" s="392"/>
      <c r="FV153" s="392"/>
      <c r="FW153" s="392"/>
      <c r="FX153" s="392"/>
      <c r="FY153" s="392"/>
      <c r="FZ153" s="392"/>
      <c r="GA153" s="392"/>
      <c r="GB153" s="392"/>
      <c r="GC153" s="392"/>
      <c r="GD153" s="392"/>
      <c r="GE153" s="392"/>
      <c r="GF153" s="392"/>
      <c r="GG153" s="392"/>
      <c r="GH153" s="392"/>
      <c r="GI153" s="392"/>
      <c r="GJ153" s="392"/>
      <c r="GK153" s="392"/>
      <c r="GL153" s="392"/>
      <c r="GM153" s="392"/>
      <c r="GN153" s="392"/>
      <c r="GO153" s="392"/>
      <c r="GP153" s="392"/>
      <c r="GQ153" s="392"/>
      <c r="GR153" s="392"/>
      <c r="GS153" s="392"/>
      <c r="GT153" s="392"/>
      <c r="GU153" s="392"/>
      <c r="GV153" s="392"/>
      <c r="GW153" s="392"/>
      <c r="GX153" s="392"/>
      <c r="GY153" s="392"/>
      <c r="GZ153" s="392"/>
      <c r="HA153" s="392"/>
      <c r="HB153" s="392"/>
      <c r="HC153" s="392"/>
      <c r="HD153" s="392"/>
      <c r="HE153" s="392"/>
      <c r="HF153" s="392"/>
      <c r="HG153" s="392"/>
      <c r="HH153" s="392"/>
      <c r="HI153" s="392"/>
      <c r="HJ153" s="392"/>
      <c r="HK153" s="392"/>
      <c r="HL153" s="392"/>
      <c r="HM153" s="392"/>
      <c r="HN153" s="392"/>
      <c r="HO153" s="392"/>
      <c r="HP153" s="392"/>
      <c r="HQ153" s="392"/>
      <c r="HR153" s="392"/>
      <c r="HS153" s="392"/>
      <c r="HT153" s="392"/>
      <c r="HU153" s="392"/>
      <c r="HV153" s="392"/>
      <c r="HW153" s="392"/>
      <c r="HX153" s="392"/>
      <c r="HY153" s="392"/>
      <c r="HZ153" s="392"/>
      <c r="IA153" s="392"/>
      <c r="IB153" s="392"/>
      <c r="IC153" s="392"/>
      <c r="ID153" s="392"/>
      <c r="IE153" s="392"/>
      <c r="IF153" s="392"/>
      <c r="IG153" s="392"/>
      <c r="IH153" s="392"/>
      <c r="II153" s="392"/>
      <c r="IJ153" s="392"/>
      <c r="IK153" s="392"/>
      <c r="IL153" s="392"/>
      <c r="IM153" s="392"/>
      <c r="IN153" s="392"/>
      <c r="IO153" s="392"/>
      <c r="IP153" s="392"/>
      <c r="IQ153" s="392"/>
      <c r="IR153" s="392"/>
      <c r="IS153" s="392"/>
      <c r="IT153" s="392"/>
      <c r="IU153" s="392"/>
      <c r="IV153" s="392"/>
    </row>
    <row r="154" spans="1:256" s="381" customFormat="1" ht="15.75">
      <c r="A154" s="392"/>
      <c r="B154" s="2389" t="s">
        <v>165</v>
      </c>
      <c r="C154" s="2390"/>
      <c r="D154" s="2390"/>
      <c r="E154" s="2390"/>
      <c r="F154" s="2390"/>
      <c r="G154" s="2391"/>
      <c r="H154" s="392"/>
      <c r="I154" s="392"/>
      <c r="J154" s="392"/>
      <c r="K154" s="392"/>
      <c r="L154" s="392"/>
      <c r="M154" s="392"/>
      <c r="N154" s="392"/>
      <c r="O154" s="392"/>
      <c r="P154" s="392"/>
      <c r="Q154" s="392"/>
      <c r="R154" s="392"/>
      <c r="S154" s="392"/>
      <c r="T154" s="392"/>
      <c r="U154" s="392"/>
      <c r="V154" s="392"/>
      <c r="W154" s="392"/>
      <c r="X154" s="392"/>
      <c r="Y154" s="392"/>
      <c r="Z154" s="392"/>
      <c r="AA154" s="392"/>
      <c r="AB154" s="392"/>
      <c r="AC154" s="392"/>
      <c r="AD154" s="392"/>
      <c r="AE154" s="392"/>
      <c r="AF154" s="392"/>
      <c r="AG154" s="392"/>
      <c r="AH154" s="392"/>
      <c r="AI154" s="392"/>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c r="BK154" s="392"/>
      <c r="BL154" s="392"/>
      <c r="BM154" s="392"/>
      <c r="BN154" s="392"/>
      <c r="BO154" s="392"/>
      <c r="BP154" s="392"/>
      <c r="BQ154" s="392"/>
      <c r="BR154" s="392"/>
      <c r="BS154" s="392"/>
      <c r="BT154" s="392"/>
      <c r="BU154" s="392"/>
      <c r="BV154" s="392"/>
      <c r="BW154" s="392"/>
      <c r="BX154" s="392"/>
      <c r="BY154" s="392"/>
      <c r="BZ154" s="392"/>
      <c r="CA154" s="392"/>
      <c r="CB154" s="392"/>
      <c r="CC154" s="392"/>
      <c r="CD154" s="392"/>
      <c r="CE154" s="392"/>
      <c r="CF154" s="392"/>
      <c r="CG154" s="392"/>
      <c r="CH154" s="392"/>
      <c r="CI154" s="39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c r="DD154" s="392"/>
      <c r="DE154" s="392"/>
      <c r="DF154" s="392"/>
      <c r="DG154" s="392"/>
      <c r="DH154" s="392"/>
      <c r="DI154" s="392"/>
      <c r="DJ154" s="392"/>
      <c r="DK154" s="392"/>
      <c r="DL154" s="392"/>
      <c r="DM154" s="392"/>
      <c r="DN154" s="392"/>
      <c r="DO154" s="392"/>
      <c r="DP154" s="392"/>
      <c r="DQ154" s="392"/>
      <c r="DR154" s="392"/>
      <c r="DS154" s="392"/>
      <c r="DT154" s="392"/>
      <c r="DU154" s="392"/>
      <c r="DV154" s="392"/>
      <c r="DW154" s="392"/>
      <c r="DX154" s="392"/>
      <c r="DY154" s="392"/>
      <c r="DZ154" s="392"/>
      <c r="EA154" s="392"/>
      <c r="EB154" s="392"/>
      <c r="EC154" s="392"/>
      <c r="ED154" s="392"/>
      <c r="EE154" s="392"/>
      <c r="EF154" s="392"/>
      <c r="EG154" s="392"/>
      <c r="EH154" s="392"/>
      <c r="EI154" s="392"/>
      <c r="EJ154" s="392"/>
      <c r="EK154" s="392"/>
      <c r="EL154" s="392"/>
      <c r="EM154" s="392"/>
      <c r="EN154" s="392"/>
      <c r="EO154" s="392"/>
      <c r="EP154" s="392"/>
      <c r="EQ154" s="392"/>
      <c r="ER154" s="392"/>
      <c r="ES154" s="392"/>
      <c r="ET154" s="392"/>
      <c r="EU154" s="392"/>
      <c r="EV154" s="392"/>
      <c r="EW154" s="392"/>
      <c r="EX154" s="392"/>
      <c r="EY154" s="392"/>
      <c r="EZ154" s="392"/>
      <c r="FA154" s="392"/>
      <c r="FB154" s="392"/>
      <c r="FC154" s="392"/>
      <c r="FD154" s="392"/>
      <c r="FE154" s="392"/>
      <c r="FF154" s="392"/>
      <c r="FG154" s="392"/>
      <c r="FH154" s="392"/>
      <c r="FI154" s="392"/>
      <c r="FJ154" s="392"/>
      <c r="FK154" s="392"/>
      <c r="FL154" s="392"/>
      <c r="FM154" s="392"/>
      <c r="FN154" s="392"/>
      <c r="FO154" s="392"/>
      <c r="FP154" s="392"/>
      <c r="FQ154" s="392"/>
      <c r="FR154" s="392"/>
      <c r="FS154" s="392"/>
      <c r="FT154" s="392"/>
      <c r="FU154" s="392"/>
      <c r="FV154" s="392"/>
      <c r="FW154" s="392"/>
      <c r="FX154" s="392"/>
      <c r="FY154" s="392"/>
      <c r="FZ154" s="392"/>
      <c r="GA154" s="392"/>
      <c r="GB154" s="392"/>
      <c r="GC154" s="392"/>
      <c r="GD154" s="392"/>
      <c r="GE154" s="392"/>
      <c r="GF154" s="392"/>
      <c r="GG154" s="392"/>
      <c r="GH154" s="392"/>
      <c r="GI154" s="392"/>
      <c r="GJ154" s="392"/>
      <c r="GK154" s="392"/>
      <c r="GL154" s="392"/>
      <c r="GM154" s="392"/>
      <c r="GN154" s="392"/>
      <c r="GO154" s="392"/>
      <c r="GP154" s="392"/>
      <c r="GQ154" s="392"/>
      <c r="GR154" s="392"/>
      <c r="GS154" s="392"/>
      <c r="GT154" s="392"/>
      <c r="GU154" s="392"/>
      <c r="GV154" s="392"/>
      <c r="GW154" s="392"/>
      <c r="GX154" s="392"/>
      <c r="GY154" s="392"/>
      <c r="GZ154" s="392"/>
      <c r="HA154" s="392"/>
      <c r="HB154" s="392"/>
      <c r="HC154" s="392"/>
      <c r="HD154" s="392"/>
      <c r="HE154" s="392"/>
      <c r="HF154" s="392"/>
      <c r="HG154" s="392"/>
      <c r="HH154" s="392"/>
      <c r="HI154" s="392"/>
      <c r="HJ154" s="392"/>
      <c r="HK154" s="392"/>
      <c r="HL154" s="392"/>
      <c r="HM154" s="392"/>
      <c r="HN154" s="392"/>
      <c r="HO154" s="392"/>
      <c r="HP154" s="392"/>
      <c r="HQ154" s="392"/>
      <c r="HR154" s="392"/>
      <c r="HS154" s="392"/>
      <c r="HT154" s="392"/>
      <c r="HU154" s="392"/>
      <c r="HV154" s="392"/>
      <c r="HW154" s="392"/>
      <c r="HX154" s="392"/>
      <c r="HY154" s="392"/>
      <c r="HZ154" s="392"/>
      <c r="IA154" s="392"/>
      <c r="IB154" s="392"/>
      <c r="IC154" s="392"/>
      <c r="ID154" s="392"/>
      <c r="IE154" s="392"/>
      <c r="IF154" s="392"/>
      <c r="IG154" s="392"/>
      <c r="IH154" s="392"/>
      <c r="II154" s="392"/>
      <c r="IJ154" s="392"/>
      <c r="IK154" s="392"/>
      <c r="IL154" s="392"/>
      <c r="IM154" s="392"/>
      <c r="IN154" s="392"/>
      <c r="IO154" s="392"/>
      <c r="IP154" s="392"/>
      <c r="IQ154" s="392"/>
      <c r="IR154" s="392"/>
      <c r="IS154" s="392"/>
      <c r="IT154" s="392"/>
      <c r="IU154" s="392"/>
      <c r="IV154" s="392"/>
    </row>
    <row r="155" spans="1:256" s="381" customFormat="1" ht="15.75">
      <c r="A155" s="392"/>
      <c r="B155" s="2318" t="str">
        <f>C137</f>
        <v>ESCAVAÇÃO MANUAL DE VALA COM PROFUNDIDADE MENOR OU IGUAL A 1,30 M. AF_02/2021</v>
      </c>
      <c r="C155" s="2319"/>
      <c r="D155" s="583" t="s">
        <v>19</v>
      </c>
      <c r="E155" s="2338" t="s">
        <v>1722</v>
      </c>
      <c r="F155" s="2338"/>
      <c r="G155" s="2339"/>
      <c r="H155" s="392"/>
      <c r="I155" s="392"/>
      <c r="J155" s="392"/>
      <c r="K155" s="392"/>
      <c r="L155" s="392"/>
      <c r="M155" s="392"/>
      <c r="N155" s="392"/>
      <c r="O155" s="392"/>
      <c r="P155" s="392"/>
      <c r="Q155" s="392"/>
      <c r="R155" s="392"/>
      <c r="S155" s="392"/>
      <c r="T155" s="392"/>
      <c r="U155" s="392"/>
      <c r="V155" s="392"/>
      <c r="W155" s="392"/>
      <c r="X155" s="392"/>
      <c r="Y155" s="392"/>
      <c r="Z155" s="392"/>
      <c r="AA155" s="392"/>
      <c r="AB155" s="392"/>
      <c r="AC155" s="392"/>
      <c r="AD155" s="392"/>
      <c r="AE155" s="392"/>
      <c r="AF155" s="392"/>
      <c r="AG155" s="392"/>
      <c r="AH155" s="392"/>
      <c r="AI155" s="392"/>
      <c r="AJ155" s="392"/>
      <c r="AK155" s="392"/>
      <c r="AL155" s="392"/>
      <c r="AM155" s="392"/>
      <c r="AN155" s="392"/>
      <c r="AO155" s="392"/>
      <c r="AP155" s="392"/>
      <c r="AQ155" s="392"/>
      <c r="AR155" s="392"/>
      <c r="AS155" s="392"/>
      <c r="AT155" s="392"/>
      <c r="AU155" s="392"/>
      <c r="AV155" s="392"/>
      <c r="AW155" s="392"/>
      <c r="AX155" s="392"/>
      <c r="AY155" s="392"/>
      <c r="AZ155" s="392"/>
      <c r="BA155" s="392"/>
      <c r="BB155" s="392"/>
      <c r="BC155" s="392"/>
      <c r="BD155" s="392"/>
      <c r="BE155" s="392"/>
      <c r="BF155" s="392"/>
      <c r="BG155" s="392"/>
      <c r="BH155" s="392"/>
      <c r="BI155" s="392"/>
      <c r="BJ155" s="392"/>
      <c r="BK155" s="392"/>
      <c r="BL155" s="392"/>
      <c r="BM155" s="392"/>
      <c r="BN155" s="392"/>
      <c r="BO155" s="392"/>
      <c r="BP155" s="392"/>
      <c r="BQ155" s="392"/>
      <c r="BR155" s="392"/>
      <c r="BS155" s="392"/>
      <c r="BT155" s="392"/>
      <c r="BU155" s="392"/>
      <c r="BV155" s="392"/>
      <c r="BW155" s="392"/>
      <c r="BX155" s="392"/>
      <c r="BY155" s="392"/>
      <c r="BZ155" s="392"/>
      <c r="CA155" s="392"/>
      <c r="CB155" s="392"/>
      <c r="CC155" s="392"/>
      <c r="CD155" s="392"/>
      <c r="CE155" s="392"/>
      <c r="CF155" s="392"/>
      <c r="CG155" s="392"/>
      <c r="CH155" s="392"/>
      <c r="CI155" s="39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c r="DD155" s="392"/>
      <c r="DE155" s="392"/>
      <c r="DF155" s="392"/>
      <c r="DG155" s="392"/>
      <c r="DH155" s="392"/>
      <c r="DI155" s="392"/>
      <c r="DJ155" s="392"/>
      <c r="DK155" s="392"/>
      <c r="DL155" s="392"/>
      <c r="DM155" s="392"/>
      <c r="DN155" s="392"/>
      <c r="DO155" s="392"/>
      <c r="DP155" s="392"/>
      <c r="DQ155" s="392"/>
      <c r="DR155" s="392"/>
      <c r="DS155" s="392"/>
      <c r="DT155" s="392"/>
      <c r="DU155" s="392"/>
      <c r="DV155" s="392"/>
      <c r="DW155" s="392"/>
      <c r="DX155" s="392"/>
      <c r="DY155" s="392"/>
      <c r="DZ155" s="392"/>
      <c r="EA155" s="392"/>
      <c r="EB155" s="392"/>
      <c r="EC155" s="392"/>
      <c r="ED155" s="392"/>
      <c r="EE155" s="392"/>
      <c r="EF155" s="392"/>
      <c r="EG155" s="392"/>
      <c r="EH155" s="392"/>
      <c r="EI155" s="392"/>
      <c r="EJ155" s="392"/>
      <c r="EK155" s="392"/>
      <c r="EL155" s="392"/>
      <c r="EM155" s="392"/>
      <c r="EN155" s="392"/>
      <c r="EO155" s="392"/>
      <c r="EP155" s="392"/>
      <c r="EQ155" s="392"/>
      <c r="ER155" s="392"/>
      <c r="ES155" s="392"/>
      <c r="ET155" s="392"/>
      <c r="EU155" s="392"/>
      <c r="EV155" s="392"/>
      <c r="EW155" s="392"/>
      <c r="EX155" s="392"/>
      <c r="EY155" s="392"/>
      <c r="EZ155" s="392"/>
      <c r="FA155" s="392"/>
      <c r="FB155" s="392"/>
      <c r="FC155" s="392"/>
      <c r="FD155" s="392"/>
      <c r="FE155" s="392"/>
      <c r="FF155" s="392"/>
      <c r="FG155" s="392"/>
      <c r="FH155" s="392"/>
      <c r="FI155" s="392"/>
      <c r="FJ155" s="392"/>
      <c r="FK155" s="392"/>
      <c r="FL155" s="392"/>
      <c r="FM155" s="392"/>
      <c r="FN155" s="392"/>
      <c r="FO155" s="392"/>
      <c r="FP155" s="392"/>
      <c r="FQ155" s="392"/>
      <c r="FR155" s="392"/>
      <c r="FS155" s="392"/>
      <c r="FT155" s="392"/>
      <c r="FU155" s="392"/>
      <c r="FV155" s="392"/>
      <c r="FW155" s="392"/>
      <c r="FX155" s="392"/>
      <c r="FY155" s="392"/>
      <c r="FZ155" s="392"/>
      <c r="GA155" s="392"/>
      <c r="GB155" s="392"/>
      <c r="GC155" s="392"/>
      <c r="GD155" s="392"/>
      <c r="GE155" s="392"/>
      <c r="GF155" s="392"/>
      <c r="GG155" s="392"/>
      <c r="GH155" s="392"/>
      <c r="GI155" s="392"/>
      <c r="GJ155" s="392"/>
      <c r="GK155" s="392"/>
      <c r="GL155" s="392"/>
      <c r="GM155" s="392"/>
      <c r="GN155" s="392"/>
      <c r="GO155" s="392"/>
      <c r="GP155" s="392"/>
      <c r="GQ155" s="392"/>
      <c r="GR155" s="392"/>
      <c r="GS155" s="392"/>
      <c r="GT155" s="392"/>
      <c r="GU155" s="392"/>
      <c r="GV155" s="392"/>
      <c r="GW155" s="392"/>
      <c r="GX155" s="392"/>
      <c r="GY155" s="392"/>
      <c r="GZ155" s="392"/>
      <c r="HA155" s="392"/>
      <c r="HB155" s="392"/>
      <c r="HC155" s="392"/>
      <c r="HD155" s="392"/>
      <c r="HE155" s="392"/>
      <c r="HF155" s="392"/>
      <c r="HG155" s="392"/>
      <c r="HH155" s="392"/>
      <c r="HI155" s="392"/>
      <c r="HJ155" s="392"/>
      <c r="HK155" s="392"/>
      <c r="HL155" s="392"/>
      <c r="HM155" s="392"/>
      <c r="HN155" s="392"/>
      <c r="HO155" s="392"/>
      <c r="HP155" s="392"/>
      <c r="HQ155" s="392"/>
      <c r="HR155" s="392"/>
      <c r="HS155" s="392"/>
      <c r="HT155" s="392"/>
      <c r="HU155" s="392"/>
      <c r="HV155" s="392"/>
      <c r="HW155" s="392"/>
      <c r="HX155" s="392"/>
      <c r="HY155" s="392"/>
      <c r="HZ155" s="392"/>
      <c r="IA155" s="392"/>
      <c r="IB155" s="392"/>
      <c r="IC155" s="392"/>
      <c r="ID155" s="392"/>
      <c r="IE155" s="392"/>
      <c r="IF155" s="392"/>
      <c r="IG155" s="392"/>
      <c r="IH155" s="392"/>
      <c r="II155" s="392"/>
      <c r="IJ155" s="392"/>
      <c r="IK155" s="392"/>
      <c r="IL155" s="392"/>
      <c r="IM155" s="392"/>
      <c r="IN155" s="392"/>
      <c r="IO155" s="392"/>
      <c r="IP155" s="392"/>
      <c r="IQ155" s="392"/>
      <c r="IR155" s="392"/>
      <c r="IS155" s="392"/>
      <c r="IT155" s="392"/>
      <c r="IU155" s="392"/>
      <c r="IV155" s="392"/>
    </row>
    <row r="156" spans="1:256" s="381" customFormat="1" ht="36" customHeight="1">
      <c r="A156" s="392"/>
      <c r="B156" s="2318" t="str">
        <f>C138</f>
        <v>CONCRETO FCK = 25MPA, TRAÇO 1:2,3:2,7 (EM MASSA SECA DE CIMENTO/ AREIA MÉDIA/ BRITA 1) - PREPARO MECÂNICO COM BETONEIRA 400 L. AF_05/2021</v>
      </c>
      <c r="C156" s="2319"/>
      <c r="D156" s="1153" t="s">
        <v>19</v>
      </c>
      <c r="E156" s="2477" t="str">
        <f>E155</f>
        <v>(0,30*0,30*0,30)*4</v>
      </c>
      <c r="F156" s="2477"/>
      <c r="G156" s="2478"/>
      <c r="H156" s="392"/>
      <c r="I156" s="392"/>
      <c r="J156" s="392"/>
      <c r="K156" s="392"/>
      <c r="L156" s="392"/>
      <c r="M156" s="392"/>
      <c r="N156" s="392"/>
      <c r="O156" s="392"/>
      <c r="P156" s="392"/>
      <c r="Q156" s="392"/>
      <c r="R156" s="392"/>
      <c r="S156" s="392"/>
      <c r="T156" s="392"/>
      <c r="U156" s="392"/>
      <c r="V156" s="392"/>
      <c r="W156" s="392"/>
      <c r="X156" s="392"/>
      <c r="Y156" s="392"/>
      <c r="Z156" s="392"/>
      <c r="AA156" s="392"/>
      <c r="AB156" s="392"/>
      <c r="AC156" s="392"/>
      <c r="AD156" s="392"/>
      <c r="AE156" s="392"/>
      <c r="AF156" s="392"/>
      <c r="AG156" s="392"/>
      <c r="AH156" s="392"/>
      <c r="AI156" s="392"/>
      <c r="AJ156" s="392"/>
      <c r="AK156" s="392"/>
      <c r="AL156" s="392"/>
      <c r="AM156" s="392"/>
      <c r="AN156" s="392"/>
      <c r="AO156" s="392"/>
      <c r="AP156" s="392"/>
      <c r="AQ156" s="392"/>
      <c r="AR156" s="392"/>
      <c r="AS156" s="392"/>
      <c r="AT156" s="392"/>
      <c r="AU156" s="392"/>
      <c r="AV156" s="392"/>
      <c r="AW156" s="392"/>
      <c r="AX156" s="392"/>
      <c r="AY156" s="392"/>
      <c r="AZ156" s="392"/>
      <c r="BA156" s="392"/>
      <c r="BB156" s="392"/>
      <c r="BC156" s="392"/>
      <c r="BD156" s="392"/>
      <c r="BE156" s="392"/>
      <c r="BF156" s="392"/>
      <c r="BG156" s="392"/>
      <c r="BH156" s="392"/>
      <c r="BI156" s="392"/>
      <c r="BJ156" s="392"/>
      <c r="BK156" s="392"/>
      <c r="BL156" s="392"/>
      <c r="BM156" s="392"/>
      <c r="BN156" s="392"/>
      <c r="BO156" s="392"/>
      <c r="BP156" s="392"/>
      <c r="BQ156" s="392"/>
      <c r="BR156" s="392"/>
      <c r="BS156" s="392"/>
      <c r="BT156" s="392"/>
      <c r="BU156" s="392"/>
      <c r="BV156" s="392"/>
      <c r="BW156" s="392"/>
      <c r="BX156" s="392"/>
      <c r="BY156" s="392"/>
      <c r="BZ156" s="392"/>
      <c r="CA156" s="392"/>
      <c r="CB156" s="392"/>
      <c r="CC156" s="392"/>
      <c r="CD156" s="392"/>
      <c r="CE156" s="392"/>
      <c r="CF156" s="392"/>
      <c r="CG156" s="392"/>
      <c r="CH156" s="392"/>
      <c r="CI156" s="39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c r="DD156" s="392"/>
      <c r="DE156" s="392"/>
      <c r="DF156" s="392"/>
      <c r="DG156" s="392"/>
      <c r="DH156" s="392"/>
      <c r="DI156" s="392"/>
      <c r="DJ156" s="392"/>
      <c r="DK156" s="392"/>
      <c r="DL156" s="392"/>
      <c r="DM156" s="392"/>
      <c r="DN156" s="392"/>
      <c r="DO156" s="392"/>
      <c r="DP156" s="392"/>
      <c r="DQ156" s="392"/>
      <c r="DR156" s="392"/>
      <c r="DS156" s="392"/>
      <c r="DT156" s="392"/>
      <c r="DU156" s="392"/>
      <c r="DV156" s="392"/>
      <c r="DW156" s="392"/>
      <c r="DX156" s="392"/>
      <c r="DY156" s="392"/>
      <c r="DZ156" s="392"/>
      <c r="EA156" s="392"/>
      <c r="EB156" s="392"/>
      <c r="EC156" s="392"/>
      <c r="ED156" s="392"/>
      <c r="EE156" s="392"/>
      <c r="EF156" s="392"/>
      <c r="EG156" s="392"/>
      <c r="EH156" s="392"/>
      <c r="EI156" s="392"/>
      <c r="EJ156" s="392"/>
      <c r="EK156" s="392"/>
      <c r="EL156" s="392"/>
      <c r="EM156" s="392"/>
      <c r="EN156" s="392"/>
      <c r="EO156" s="392"/>
      <c r="EP156" s="392"/>
      <c r="EQ156" s="392"/>
      <c r="ER156" s="392"/>
      <c r="ES156" s="392"/>
      <c r="ET156" s="392"/>
      <c r="EU156" s="392"/>
      <c r="EV156" s="392"/>
      <c r="EW156" s="392"/>
      <c r="EX156" s="392"/>
      <c r="EY156" s="392"/>
      <c r="EZ156" s="392"/>
      <c r="FA156" s="392"/>
      <c r="FB156" s="392"/>
      <c r="FC156" s="392"/>
      <c r="FD156" s="392"/>
      <c r="FE156" s="392"/>
      <c r="FF156" s="392"/>
      <c r="FG156" s="392"/>
      <c r="FH156" s="392"/>
      <c r="FI156" s="392"/>
      <c r="FJ156" s="392"/>
      <c r="FK156" s="392"/>
      <c r="FL156" s="392"/>
      <c r="FM156" s="392"/>
      <c r="FN156" s="392"/>
      <c r="FO156" s="392"/>
      <c r="FP156" s="392"/>
      <c r="FQ156" s="392"/>
      <c r="FR156" s="392"/>
      <c r="FS156" s="392"/>
      <c r="FT156" s="392"/>
      <c r="FU156" s="392"/>
      <c r="FV156" s="392"/>
      <c r="FW156" s="392"/>
      <c r="FX156" s="392"/>
      <c r="FY156" s="392"/>
      <c r="FZ156" s="392"/>
      <c r="GA156" s="392"/>
      <c r="GB156" s="392"/>
      <c r="GC156" s="392"/>
      <c r="GD156" s="392"/>
      <c r="GE156" s="392"/>
      <c r="GF156" s="392"/>
      <c r="GG156" s="392"/>
      <c r="GH156" s="392"/>
      <c r="GI156" s="392"/>
      <c r="GJ156" s="392"/>
      <c r="GK156" s="392"/>
      <c r="GL156" s="392"/>
      <c r="GM156" s="392"/>
      <c r="GN156" s="392"/>
      <c r="GO156" s="392"/>
      <c r="GP156" s="392"/>
      <c r="GQ156" s="392"/>
      <c r="GR156" s="392"/>
      <c r="GS156" s="392"/>
      <c r="GT156" s="392"/>
      <c r="GU156" s="392"/>
      <c r="GV156" s="392"/>
      <c r="GW156" s="392"/>
      <c r="GX156" s="392"/>
      <c r="GY156" s="392"/>
      <c r="GZ156" s="392"/>
      <c r="HA156" s="392"/>
      <c r="HB156" s="392"/>
      <c r="HC156" s="392"/>
      <c r="HD156" s="392"/>
      <c r="HE156" s="392"/>
      <c r="HF156" s="392"/>
      <c r="HG156" s="392"/>
      <c r="HH156" s="392"/>
      <c r="HI156" s="392"/>
      <c r="HJ156" s="392"/>
      <c r="HK156" s="392"/>
      <c r="HL156" s="392"/>
      <c r="HM156" s="392"/>
      <c r="HN156" s="392"/>
      <c r="HO156" s="392"/>
      <c r="HP156" s="392"/>
      <c r="HQ156" s="392"/>
      <c r="HR156" s="392"/>
      <c r="HS156" s="392"/>
      <c r="HT156" s="392"/>
      <c r="HU156" s="392"/>
      <c r="HV156" s="392"/>
      <c r="HW156" s="392"/>
      <c r="HX156" s="392"/>
      <c r="HY156" s="392"/>
      <c r="HZ156" s="392"/>
      <c r="IA156" s="392"/>
      <c r="IB156" s="392"/>
      <c r="IC156" s="392"/>
      <c r="ID156" s="392"/>
      <c r="IE156" s="392"/>
      <c r="IF156" s="392"/>
      <c r="IG156" s="392"/>
      <c r="IH156" s="392"/>
      <c r="II156" s="392"/>
      <c r="IJ156" s="392"/>
      <c r="IK156" s="392"/>
      <c r="IL156" s="392"/>
      <c r="IM156" s="392"/>
      <c r="IN156" s="392"/>
      <c r="IO156" s="392"/>
      <c r="IP156" s="392"/>
      <c r="IQ156" s="392"/>
      <c r="IR156" s="392"/>
      <c r="IS156" s="392"/>
      <c r="IT156" s="392"/>
      <c r="IU156" s="392"/>
      <c r="IV156" s="392"/>
    </row>
    <row r="157" spans="1:256" s="381" customFormat="1" ht="15.75">
      <c r="A157" s="392"/>
      <c r="B157" s="2318" t="str">
        <f>C139</f>
        <v>LANCAMENTO/APLICACAO MANUAL DE CONCRETO EM FUNDACOES</v>
      </c>
      <c r="C157" s="2319"/>
      <c r="D157" s="1153" t="s">
        <v>19</v>
      </c>
      <c r="E157" s="2477" t="str">
        <f>E155</f>
        <v>(0,30*0,30*0,30)*4</v>
      </c>
      <c r="F157" s="2477"/>
      <c r="G157" s="2478"/>
      <c r="H157" s="392"/>
      <c r="I157" s="392"/>
      <c r="J157" s="392"/>
      <c r="K157" s="392"/>
      <c r="L157" s="392"/>
      <c r="M157" s="392"/>
      <c r="N157" s="392"/>
      <c r="O157" s="392"/>
      <c r="P157" s="392"/>
      <c r="Q157" s="392"/>
      <c r="R157" s="392"/>
      <c r="S157" s="392"/>
      <c r="T157" s="392"/>
      <c r="U157" s="392"/>
      <c r="V157" s="392"/>
      <c r="W157" s="392"/>
      <c r="X157" s="392"/>
      <c r="Y157" s="392"/>
      <c r="Z157" s="392"/>
      <c r="AA157" s="392"/>
      <c r="AB157" s="392"/>
      <c r="AC157" s="392"/>
      <c r="AD157" s="392"/>
      <c r="AE157" s="392"/>
      <c r="AF157" s="392"/>
      <c r="AG157" s="392"/>
      <c r="AH157" s="392"/>
      <c r="AI157" s="392"/>
      <c r="AJ157" s="392"/>
      <c r="AK157" s="392"/>
      <c r="AL157" s="392"/>
      <c r="AM157" s="392"/>
      <c r="AN157" s="392"/>
      <c r="AO157" s="392"/>
      <c r="AP157" s="392"/>
      <c r="AQ157" s="392"/>
      <c r="AR157" s="392"/>
      <c r="AS157" s="392"/>
      <c r="AT157" s="392"/>
      <c r="AU157" s="392"/>
      <c r="AV157" s="392"/>
      <c r="AW157" s="392"/>
      <c r="AX157" s="392"/>
      <c r="AY157" s="392"/>
      <c r="AZ157" s="392"/>
      <c r="BA157" s="392"/>
      <c r="BB157" s="392"/>
      <c r="BC157" s="392"/>
      <c r="BD157" s="392"/>
      <c r="BE157" s="392"/>
      <c r="BF157" s="392"/>
      <c r="BG157" s="392"/>
      <c r="BH157" s="392"/>
      <c r="BI157" s="392"/>
      <c r="BJ157" s="392"/>
      <c r="BK157" s="392"/>
      <c r="BL157" s="392"/>
      <c r="BM157" s="392"/>
      <c r="BN157" s="392"/>
      <c r="BO157" s="392"/>
      <c r="BP157" s="392"/>
      <c r="BQ157" s="392"/>
      <c r="BR157" s="392"/>
      <c r="BS157" s="392"/>
      <c r="BT157" s="392"/>
      <c r="BU157" s="392"/>
      <c r="BV157" s="392"/>
      <c r="BW157" s="392"/>
      <c r="BX157" s="392"/>
      <c r="BY157" s="392"/>
      <c r="BZ157" s="392"/>
      <c r="CA157" s="392"/>
      <c r="CB157" s="392"/>
      <c r="CC157" s="392"/>
      <c r="CD157" s="392"/>
      <c r="CE157" s="392"/>
      <c r="CF157" s="392"/>
      <c r="CG157" s="392"/>
      <c r="CH157" s="392"/>
      <c r="CI157" s="39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c r="DD157" s="392"/>
      <c r="DE157" s="392"/>
      <c r="DF157" s="392"/>
      <c r="DG157" s="392"/>
      <c r="DH157" s="392"/>
      <c r="DI157" s="392"/>
      <c r="DJ157" s="392"/>
      <c r="DK157" s="392"/>
      <c r="DL157" s="392"/>
      <c r="DM157" s="392"/>
      <c r="DN157" s="392"/>
      <c r="DO157" s="392"/>
      <c r="DP157" s="392"/>
      <c r="DQ157" s="392"/>
      <c r="DR157" s="392"/>
      <c r="DS157" s="392"/>
      <c r="DT157" s="392"/>
      <c r="DU157" s="392"/>
      <c r="DV157" s="392"/>
      <c r="DW157" s="392"/>
      <c r="DX157" s="392"/>
      <c r="DY157" s="392"/>
      <c r="DZ157" s="392"/>
      <c r="EA157" s="392"/>
      <c r="EB157" s="392"/>
      <c r="EC157" s="392"/>
      <c r="ED157" s="392"/>
      <c r="EE157" s="392"/>
      <c r="EF157" s="392"/>
      <c r="EG157" s="392"/>
      <c r="EH157" s="392"/>
      <c r="EI157" s="392"/>
      <c r="EJ157" s="392"/>
      <c r="EK157" s="392"/>
      <c r="EL157" s="392"/>
      <c r="EM157" s="392"/>
      <c r="EN157" s="392"/>
      <c r="EO157" s="392"/>
      <c r="EP157" s="392"/>
      <c r="EQ157" s="392"/>
      <c r="ER157" s="392"/>
      <c r="ES157" s="392"/>
      <c r="ET157" s="392"/>
      <c r="EU157" s="392"/>
      <c r="EV157" s="392"/>
      <c r="EW157" s="392"/>
      <c r="EX157" s="392"/>
      <c r="EY157" s="392"/>
      <c r="EZ157" s="392"/>
      <c r="FA157" s="392"/>
      <c r="FB157" s="392"/>
      <c r="FC157" s="392"/>
      <c r="FD157" s="392"/>
      <c r="FE157" s="392"/>
      <c r="FF157" s="392"/>
      <c r="FG157" s="392"/>
      <c r="FH157" s="392"/>
      <c r="FI157" s="392"/>
      <c r="FJ157" s="392"/>
      <c r="FK157" s="392"/>
      <c r="FL157" s="392"/>
      <c r="FM157" s="392"/>
      <c r="FN157" s="392"/>
      <c r="FO157" s="392"/>
      <c r="FP157" s="392"/>
      <c r="FQ157" s="392"/>
      <c r="FR157" s="392"/>
      <c r="FS157" s="392"/>
      <c r="FT157" s="392"/>
      <c r="FU157" s="392"/>
      <c r="FV157" s="392"/>
      <c r="FW157" s="392"/>
      <c r="FX157" s="392"/>
      <c r="FY157" s="392"/>
      <c r="FZ157" s="392"/>
      <c r="GA157" s="392"/>
      <c r="GB157" s="392"/>
      <c r="GC157" s="392"/>
      <c r="GD157" s="392"/>
      <c r="GE157" s="392"/>
      <c r="GF157" s="392"/>
      <c r="GG157" s="392"/>
      <c r="GH157" s="392"/>
      <c r="GI157" s="392"/>
      <c r="GJ157" s="392"/>
      <c r="GK157" s="392"/>
      <c r="GL157" s="392"/>
      <c r="GM157" s="392"/>
      <c r="GN157" s="392"/>
      <c r="GO157" s="392"/>
      <c r="GP157" s="392"/>
      <c r="GQ157" s="392"/>
      <c r="GR157" s="392"/>
      <c r="GS157" s="392"/>
      <c r="GT157" s="392"/>
      <c r="GU157" s="392"/>
      <c r="GV157" s="392"/>
      <c r="GW157" s="392"/>
      <c r="GX157" s="392"/>
      <c r="GY157" s="392"/>
      <c r="GZ157" s="392"/>
      <c r="HA157" s="392"/>
      <c r="HB157" s="392"/>
      <c r="HC157" s="392"/>
      <c r="HD157" s="392"/>
      <c r="HE157" s="392"/>
      <c r="HF157" s="392"/>
      <c r="HG157" s="392"/>
      <c r="HH157" s="392"/>
      <c r="HI157" s="392"/>
      <c r="HJ157" s="392"/>
      <c r="HK157" s="392"/>
      <c r="HL157" s="392"/>
      <c r="HM157" s="392"/>
      <c r="HN157" s="392"/>
      <c r="HO157" s="392"/>
      <c r="HP157" s="392"/>
      <c r="HQ157" s="392"/>
      <c r="HR157" s="392"/>
      <c r="HS157" s="392"/>
      <c r="HT157" s="392"/>
      <c r="HU157" s="392"/>
      <c r="HV157" s="392"/>
      <c r="HW157" s="392"/>
      <c r="HX157" s="392"/>
      <c r="HY157" s="392"/>
      <c r="HZ157" s="392"/>
      <c r="IA157" s="392"/>
      <c r="IB157" s="392"/>
      <c r="IC157" s="392"/>
      <c r="ID157" s="392"/>
      <c r="IE157" s="392"/>
      <c r="IF157" s="392"/>
      <c r="IG157" s="392"/>
      <c r="IH157" s="392"/>
      <c r="II157" s="392"/>
      <c r="IJ157" s="392"/>
      <c r="IK157" s="392"/>
      <c r="IL157" s="392"/>
      <c r="IM157" s="392"/>
      <c r="IN157" s="392"/>
      <c r="IO157" s="392"/>
      <c r="IP157" s="392"/>
      <c r="IQ157" s="392"/>
      <c r="IR157" s="392"/>
      <c r="IS157" s="392"/>
      <c r="IT157" s="392"/>
      <c r="IU157" s="392"/>
      <c r="IV157" s="392"/>
    </row>
    <row r="158" spans="1:256" s="265" customFormat="1" ht="13.5" thickBot="1">
      <c r="B158" s="359"/>
      <c r="C158" s="359"/>
      <c r="D158" s="360"/>
      <c r="E158" s="361"/>
      <c r="F158" s="362"/>
      <c r="G158" s="363"/>
    </row>
    <row r="159" spans="1:256" s="381" customFormat="1" ht="52.5" customHeight="1">
      <c r="A159" s="392"/>
      <c r="B159" s="377" t="str">
        <f>IF(COUNT($H$14:H159)&lt;10,CONCATENATE("CPU ACAD 00",COUNT($H$14:H159)),CONCATENATE("CPU ACAD 0",COUNT($H$14:H159)))</f>
        <v>CPU ACAD 011</v>
      </c>
      <c r="C159" s="2440" t="str">
        <f>CONCATENATE("FORNECIMENTO E INSTALAÇÃO DE ",C162)</f>
        <v xml:space="preserve">FORNECIMENTO E INSTALAÇÃO DE PLACA ORIENTATIVA SOBRE EXERCICIOS, 2,00 M X 1,00 M ( CHAPA GALVANIZADA #20), ESTRUTURA EM TUBOS REDONDOS DE ACO CARBONO, PINTURA NO PROCESSO ELETROSTATICO, ADESIVO FRENTE E VERSO - PARA ACADEMIA AO AR LIVRE / ACADEMIA DA TERCEIRA IDADE - ATI                                                                                                                                                                                                                                                        </v>
      </c>
      <c r="D159" s="2440"/>
      <c r="E159" s="2440"/>
      <c r="F159" s="2440"/>
      <c r="G159" s="213" t="s">
        <v>22</v>
      </c>
      <c r="H159" s="465">
        <f>G166</f>
        <v>2175.35</v>
      </c>
      <c r="I159" s="392"/>
      <c r="J159" s="392"/>
      <c r="K159" s="392"/>
      <c r="L159" s="392"/>
      <c r="M159" s="392"/>
      <c r="N159" s="392"/>
      <c r="O159" s="392"/>
      <c r="P159" s="392"/>
      <c r="Q159" s="392"/>
      <c r="R159" s="392"/>
      <c r="S159" s="392"/>
      <c r="T159" s="392"/>
      <c r="U159" s="392"/>
      <c r="V159" s="392"/>
      <c r="W159" s="392"/>
      <c r="X159" s="392"/>
      <c r="Y159" s="392"/>
      <c r="Z159" s="392"/>
      <c r="AA159" s="392"/>
      <c r="AB159" s="392"/>
      <c r="AC159" s="392"/>
      <c r="AD159" s="392"/>
      <c r="AE159" s="392"/>
      <c r="AF159" s="392"/>
      <c r="AG159" s="392"/>
      <c r="AH159" s="392"/>
      <c r="AI159" s="392"/>
      <c r="AJ159" s="392"/>
      <c r="AK159" s="392"/>
      <c r="AL159" s="392"/>
      <c r="AM159" s="392"/>
      <c r="AN159" s="392"/>
      <c r="AO159" s="392"/>
      <c r="AP159" s="392"/>
      <c r="AQ159" s="392"/>
      <c r="AR159" s="392"/>
      <c r="AS159" s="392"/>
      <c r="AT159" s="392"/>
      <c r="AU159" s="392"/>
      <c r="AV159" s="392"/>
      <c r="AW159" s="392"/>
      <c r="AX159" s="392"/>
      <c r="AY159" s="392"/>
      <c r="AZ159" s="392"/>
      <c r="BA159" s="392"/>
      <c r="BB159" s="392"/>
      <c r="BC159" s="392"/>
      <c r="BD159" s="392"/>
      <c r="BE159" s="392"/>
      <c r="BF159" s="392"/>
      <c r="BG159" s="392"/>
      <c r="BH159" s="392"/>
      <c r="BI159" s="392"/>
      <c r="BJ159" s="392"/>
      <c r="BK159" s="392"/>
      <c r="BL159" s="392"/>
      <c r="BM159" s="392"/>
      <c r="BN159" s="392"/>
      <c r="BO159" s="392"/>
      <c r="BP159" s="392"/>
      <c r="BQ159" s="392"/>
      <c r="BR159" s="392"/>
      <c r="BS159" s="392"/>
      <c r="BT159" s="392"/>
      <c r="BU159" s="392"/>
      <c r="BV159" s="392"/>
      <c r="BW159" s="392"/>
      <c r="BX159" s="392"/>
      <c r="BY159" s="392"/>
      <c r="BZ159" s="392"/>
      <c r="CA159" s="392"/>
      <c r="CB159" s="392"/>
      <c r="CC159" s="392"/>
      <c r="CD159" s="392"/>
      <c r="CE159" s="392"/>
      <c r="CF159" s="392"/>
      <c r="CG159" s="392"/>
      <c r="CH159" s="392"/>
      <c r="CI159" s="39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c r="DD159" s="392"/>
      <c r="DE159" s="392"/>
      <c r="DF159" s="392"/>
      <c r="DG159" s="392"/>
      <c r="DH159" s="392"/>
      <c r="DI159" s="392"/>
      <c r="DJ159" s="392"/>
      <c r="DK159" s="392"/>
      <c r="DL159" s="392"/>
      <c r="DM159" s="392"/>
      <c r="DN159" s="392"/>
      <c r="DO159" s="392"/>
      <c r="DP159" s="392"/>
      <c r="DQ159" s="392"/>
      <c r="DR159" s="392"/>
      <c r="DS159" s="392"/>
      <c r="DT159" s="392"/>
      <c r="DU159" s="392"/>
      <c r="DV159" s="392"/>
      <c r="DW159" s="392"/>
      <c r="DX159" s="392"/>
      <c r="DY159" s="392"/>
      <c r="DZ159" s="392"/>
      <c r="EA159" s="392"/>
      <c r="EB159" s="392"/>
      <c r="EC159" s="392"/>
      <c r="ED159" s="392"/>
      <c r="EE159" s="392"/>
      <c r="EF159" s="392"/>
      <c r="EG159" s="392"/>
      <c r="EH159" s="392"/>
      <c r="EI159" s="392"/>
      <c r="EJ159" s="392"/>
      <c r="EK159" s="392"/>
      <c r="EL159" s="392"/>
      <c r="EM159" s="392"/>
      <c r="EN159" s="392"/>
      <c r="EO159" s="392"/>
      <c r="EP159" s="392"/>
      <c r="EQ159" s="392"/>
      <c r="ER159" s="392"/>
      <c r="ES159" s="392"/>
      <c r="ET159" s="392"/>
      <c r="EU159" s="392"/>
      <c r="EV159" s="392"/>
      <c r="EW159" s="392"/>
      <c r="EX159" s="392"/>
      <c r="EY159" s="392"/>
      <c r="EZ159" s="392"/>
      <c r="FA159" s="392"/>
      <c r="FB159" s="392"/>
      <c r="FC159" s="392"/>
      <c r="FD159" s="392"/>
      <c r="FE159" s="392"/>
      <c r="FF159" s="392"/>
      <c r="FG159" s="392"/>
      <c r="FH159" s="392"/>
      <c r="FI159" s="392"/>
      <c r="FJ159" s="392"/>
      <c r="FK159" s="392"/>
      <c r="FL159" s="392"/>
      <c r="FM159" s="392"/>
      <c r="FN159" s="392"/>
      <c r="FO159" s="392"/>
      <c r="FP159" s="392"/>
      <c r="FQ159" s="392"/>
      <c r="FR159" s="392"/>
      <c r="FS159" s="392"/>
      <c r="FT159" s="392"/>
      <c r="FU159" s="392"/>
      <c r="FV159" s="392"/>
      <c r="FW159" s="392"/>
      <c r="FX159" s="392"/>
      <c r="FY159" s="392"/>
      <c r="FZ159" s="392"/>
      <c r="GA159" s="392"/>
      <c r="GB159" s="392"/>
      <c r="GC159" s="392"/>
      <c r="GD159" s="392"/>
      <c r="GE159" s="392"/>
      <c r="GF159" s="392"/>
      <c r="GG159" s="392"/>
      <c r="GH159" s="392"/>
      <c r="GI159" s="392"/>
      <c r="GJ159" s="392"/>
      <c r="GK159" s="392"/>
      <c r="GL159" s="392"/>
      <c r="GM159" s="392"/>
      <c r="GN159" s="392"/>
      <c r="GO159" s="392"/>
      <c r="GP159" s="392"/>
      <c r="GQ159" s="392"/>
      <c r="GR159" s="392"/>
      <c r="GS159" s="392"/>
      <c r="GT159" s="392"/>
      <c r="GU159" s="392"/>
      <c r="GV159" s="392"/>
      <c r="GW159" s="392"/>
      <c r="GX159" s="392"/>
      <c r="GY159" s="392"/>
      <c r="GZ159" s="392"/>
      <c r="HA159" s="392"/>
      <c r="HB159" s="392"/>
      <c r="HC159" s="392"/>
      <c r="HD159" s="392"/>
      <c r="HE159" s="392"/>
      <c r="HF159" s="392"/>
      <c r="HG159" s="392"/>
      <c r="HH159" s="392"/>
      <c r="HI159" s="392"/>
      <c r="HJ159" s="392"/>
      <c r="HK159" s="392"/>
      <c r="HL159" s="392"/>
      <c r="HM159" s="392"/>
      <c r="HN159" s="392"/>
      <c r="HO159" s="392"/>
      <c r="HP159" s="392"/>
      <c r="HQ159" s="392"/>
      <c r="HR159" s="392"/>
      <c r="HS159" s="392"/>
      <c r="HT159" s="392"/>
      <c r="HU159" s="392"/>
      <c r="HV159" s="392"/>
      <c r="HW159" s="392"/>
      <c r="HX159" s="392"/>
      <c r="HY159" s="392"/>
      <c r="HZ159" s="392"/>
      <c r="IA159" s="392"/>
      <c r="IB159" s="392"/>
      <c r="IC159" s="392"/>
      <c r="ID159" s="392"/>
      <c r="IE159" s="392"/>
      <c r="IF159" s="392"/>
      <c r="IG159" s="392"/>
      <c r="IH159" s="392"/>
      <c r="II159" s="392"/>
      <c r="IJ159" s="392"/>
      <c r="IK159" s="392"/>
      <c r="IL159" s="392"/>
      <c r="IM159" s="392"/>
      <c r="IN159" s="392"/>
      <c r="IO159" s="392"/>
      <c r="IP159" s="392"/>
      <c r="IQ159" s="392"/>
      <c r="IR159" s="392"/>
      <c r="IS159" s="392"/>
      <c r="IT159" s="392"/>
      <c r="IU159" s="392"/>
      <c r="IV159" s="392"/>
    </row>
    <row r="160" spans="1:256" s="381" customFormat="1" ht="31.5">
      <c r="A160" s="392"/>
      <c r="B160" s="1140" t="s">
        <v>197</v>
      </c>
      <c r="C160" s="1141" t="s">
        <v>161</v>
      </c>
      <c r="D160" s="1141" t="s">
        <v>22</v>
      </c>
      <c r="E160" s="1141" t="s">
        <v>162</v>
      </c>
      <c r="F160" s="1142" t="s">
        <v>186</v>
      </c>
      <c r="G160" s="1143" t="s">
        <v>187</v>
      </c>
      <c r="H160" s="392"/>
      <c r="I160" s="392"/>
      <c r="J160" s="392"/>
      <c r="K160" s="392"/>
      <c r="L160" s="392"/>
      <c r="M160" s="392"/>
      <c r="N160" s="392"/>
      <c r="O160" s="392"/>
      <c r="P160" s="392"/>
      <c r="Q160" s="392"/>
      <c r="R160" s="392"/>
      <c r="S160" s="392"/>
      <c r="T160" s="392"/>
      <c r="U160" s="392"/>
      <c r="V160" s="392"/>
      <c r="W160" s="392"/>
      <c r="X160" s="392"/>
      <c r="Y160" s="392"/>
      <c r="Z160" s="392"/>
      <c r="AA160" s="392"/>
      <c r="AB160" s="392"/>
      <c r="AC160" s="392"/>
      <c r="AD160" s="392"/>
      <c r="AE160" s="392"/>
      <c r="AF160" s="392"/>
      <c r="AG160" s="392"/>
      <c r="AH160" s="392"/>
      <c r="AI160" s="392"/>
      <c r="AJ160" s="392"/>
      <c r="AK160" s="392"/>
      <c r="AL160" s="392"/>
      <c r="AM160" s="392"/>
      <c r="AN160" s="392"/>
      <c r="AO160" s="392"/>
      <c r="AP160" s="392"/>
      <c r="AQ160" s="392"/>
      <c r="AR160" s="392"/>
      <c r="AS160" s="392"/>
      <c r="AT160" s="392"/>
      <c r="AU160" s="392"/>
      <c r="AV160" s="392"/>
      <c r="AW160" s="392"/>
      <c r="AX160" s="392"/>
      <c r="AY160" s="392"/>
      <c r="AZ160" s="392"/>
      <c r="BA160" s="392"/>
      <c r="BB160" s="392"/>
      <c r="BC160" s="392"/>
      <c r="BD160" s="392"/>
      <c r="BE160" s="392"/>
      <c r="BF160" s="392"/>
      <c r="BG160" s="392"/>
      <c r="BH160" s="392"/>
      <c r="BI160" s="392"/>
      <c r="BJ160" s="392"/>
      <c r="BK160" s="392"/>
      <c r="BL160" s="392"/>
      <c r="BM160" s="392"/>
      <c r="BN160" s="392"/>
      <c r="BO160" s="392"/>
      <c r="BP160" s="392"/>
      <c r="BQ160" s="392"/>
      <c r="BR160" s="392"/>
      <c r="BS160" s="392"/>
      <c r="BT160" s="392"/>
      <c r="BU160" s="392"/>
      <c r="BV160" s="392"/>
      <c r="BW160" s="392"/>
      <c r="BX160" s="392"/>
      <c r="BY160" s="392"/>
      <c r="BZ160" s="392"/>
      <c r="CA160" s="392"/>
      <c r="CB160" s="392"/>
      <c r="CC160" s="392"/>
      <c r="CD160" s="392"/>
      <c r="CE160" s="392"/>
      <c r="CF160" s="392"/>
      <c r="CG160" s="392"/>
      <c r="CH160" s="392"/>
      <c r="CI160" s="39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c r="DD160" s="392"/>
      <c r="DE160" s="392"/>
      <c r="DF160" s="392"/>
      <c r="DG160" s="392"/>
      <c r="DH160" s="392"/>
      <c r="DI160" s="392"/>
      <c r="DJ160" s="392"/>
      <c r="DK160" s="392"/>
      <c r="DL160" s="392"/>
      <c r="DM160" s="392"/>
      <c r="DN160" s="392"/>
      <c r="DO160" s="392"/>
      <c r="DP160" s="392"/>
      <c r="DQ160" s="392"/>
      <c r="DR160" s="392"/>
      <c r="DS160" s="392"/>
      <c r="DT160" s="392"/>
      <c r="DU160" s="392"/>
      <c r="DV160" s="392"/>
      <c r="DW160" s="392"/>
      <c r="DX160" s="392"/>
      <c r="DY160" s="392"/>
      <c r="DZ160" s="392"/>
      <c r="EA160" s="392"/>
      <c r="EB160" s="392"/>
      <c r="EC160" s="392"/>
      <c r="ED160" s="392"/>
      <c r="EE160" s="392"/>
      <c r="EF160" s="392"/>
      <c r="EG160" s="392"/>
      <c r="EH160" s="392"/>
      <c r="EI160" s="392"/>
      <c r="EJ160" s="392"/>
      <c r="EK160" s="392"/>
      <c r="EL160" s="392"/>
      <c r="EM160" s="392"/>
      <c r="EN160" s="392"/>
      <c r="EO160" s="392"/>
      <c r="EP160" s="392"/>
      <c r="EQ160" s="392"/>
      <c r="ER160" s="392"/>
      <c r="ES160" s="392"/>
      <c r="ET160" s="392"/>
      <c r="EU160" s="392"/>
      <c r="EV160" s="392"/>
      <c r="EW160" s="392"/>
      <c r="EX160" s="392"/>
      <c r="EY160" s="392"/>
      <c r="EZ160" s="392"/>
      <c r="FA160" s="392"/>
      <c r="FB160" s="392"/>
      <c r="FC160" s="392"/>
      <c r="FD160" s="392"/>
      <c r="FE160" s="392"/>
      <c r="FF160" s="392"/>
      <c r="FG160" s="392"/>
      <c r="FH160" s="392"/>
      <c r="FI160" s="392"/>
      <c r="FJ160" s="392"/>
      <c r="FK160" s="392"/>
      <c r="FL160" s="392"/>
      <c r="FM160" s="392"/>
      <c r="FN160" s="392"/>
      <c r="FO160" s="392"/>
      <c r="FP160" s="392"/>
      <c r="FQ160" s="392"/>
      <c r="FR160" s="392"/>
      <c r="FS160" s="392"/>
      <c r="FT160" s="392"/>
      <c r="FU160" s="392"/>
      <c r="FV160" s="392"/>
      <c r="FW160" s="392"/>
      <c r="FX160" s="392"/>
      <c r="FY160" s="392"/>
      <c r="FZ160" s="392"/>
      <c r="GA160" s="392"/>
      <c r="GB160" s="392"/>
      <c r="GC160" s="392"/>
      <c r="GD160" s="392"/>
      <c r="GE160" s="392"/>
      <c r="GF160" s="392"/>
      <c r="GG160" s="392"/>
      <c r="GH160" s="392"/>
      <c r="GI160" s="392"/>
      <c r="GJ160" s="392"/>
      <c r="GK160" s="392"/>
      <c r="GL160" s="392"/>
      <c r="GM160" s="392"/>
      <c r="GN160" s="392"/>
      <c r="GO160" s="392"/>
      <c r="GP160" s="392"/>
      <c r="GQ160" s="392"/>
      <c r="GR160" s="392"/>
      <c r="GS160" s="392"/>
      <c r="GT160" s="392"/>
      <c r="GU160" s="392"/>
      <c r="GV160" s="392"/>
      <c r="GW160" s="392"/>
      <c r="GX160" s="392"/>
      <c r="GY160" s="392"/>
      <c r="GZ160" s="392"/>
      <c r="HA160" s="392"/>
      <c r="HB160" s="392"/>
      <c r="HC160" s="392"/>
      <c r="HD160" s="392"/>
      <c r="HE160" s="392"/>
      <c r="HF160" s="392"/>
      <c r="HG160" s="392"/>
      <c r="HH160" s="392"/>
      <c r="HI160" s="392"/>
      <c r="HJ160" s="392"/>
      <c r="HK160" s="392"/>
      <c r="HL160" s="392"/>
      <c r="HM160" s="392"/>
      <c r="HN160" s="392"/>
      <c r="HO160" s="392"/>
      <c r="HP160" s="392"/>
      <c r="HQ160" s="392"/>
      <c r="HR160" s="392"/>
      <c r="HS160" s="392"/>
      <c r="HT160" s="392"/>
      <c r="HU160" s="392"/>
      <c r="HV160" s="392"/>
      <c r="HW160" s="392"/>
      <c r="HX160" s="392"/>
      <c r="HY160" s="392"/>
      <c r="HZ160" s="392"/>
      <c r="IA160" s="392"/>
      <c r="IB160" s="392"/>
      <c r="IC160" s="392"/>
      <c r="ID160" s="392"/>
      <c r="IE160" s="392"/>
      <c r="IF160" s="392"/>
      <c r="IG160" s="392"/>
      <c r="IH160" s="392"/>
      <c r="II160" s="392"/>
      <c r="IJ160" s="392"/>
      <c r="IK160" s="392"/>
      <c r="IL160" s="392"/>
      <c r="IM160" s="392"/>
      <c r="IN160" s="392"/>
      <c r="IO160" s="392"/>
      <c r="IP160" s="392"/>
      <c r="IQ160" s="392"/>
      <c r="IR160" s="392"/>
      <c r="IS160" s="392"/>
      <c r="IT160" s="392"/>
      <c r="IU160" s="392"/>
      <c r="IV160" s="392"/>
    </row>
    <row r="161" spans="1:256" s="381" customFormat="1" ht="15.75">
      <c r="A161" s="392"/>
      <c r="B161" s="2389" t="s">
        <v>165</v>
      </c>
      <c r="C161" s="2390"/>
      <c r="D161" s="2390"/>
      <c r="E161" s="2390"/>
      <c r="F161" s="2390"/>
      <c r="G161" s="2391"/>
      <c r="H161" s="392"/>
      <c r="I161" s="392"/>
      <c r="J161" s="392"/>
      <c r="K161" s="392"/>
      <c r="L161" s="392"/>
      <c r="M161" s="392"/>
      <c r="N161" s="392"/>
      <c r="O161" s="392"/>
      <c r="P161" s="392"/>
      <c r="Q161" s="392"/>
      <c r="R161" s="392"/>
      <c r="S161" s="392"/>
      <c r="T161" s="392"/>
      <c r="U161" s="392"/>
      <c r="V161" s="392"/>
      <c r="W161" s="392"/>
      <c r="X161" s="392"/>
      <c r="Y161" s="392"/>
      <c r="Z161" s="392"/>
      <c r="AA161" s="392"/>
      <c r="AB161" s="392"/>
      <c r="AC161" s="392"/>
      <c r="AD161" s="392"/>
      <c r="AE161" s="392"/>
      <c r="AF161" s="392"/>
      <c r="AG161" s="392"/>
      <c r="AH161" s="392"/>
      <c r="AI161" s="392"/>
      <c r="AJ161" s="392"/>
      <c r="AK161" s="392"/>
      <c r="AL161" s="392"/>
      <c r="AM161" s="392"/>
      <c r="AN161" s="392"/>
      <c r="AO161" s="392"/>
      <c r="AP161" s="392"/>
      <c r="AQ161" s="392"/>
      <c r="AR161" s="392"/>
      <c r="AS161" s="392"/>
      <c r="AT161" s="392"/>
      <c r="AU161" s="392"/>
      <c r="AV161" s="392"/>
      <c r="AW161" s="392"/>
      <c r="AX161" s="392"/>
      <c r="AY161" s="392"/>
      <c r="AZ161" s="392"/>
      <c r="BA161" s="392"/>
      <c r="BB161" s="392"/>
      <c r="BC161" s="392"/>
      <c r="BD161" s="392"/>
      <c r="BE161" s="392"/>
      <c r="BF161" s="392"/>
      <c r="BG161" s="392"/>
      <c r="BH161" s="392"/>
      <c r="BI161" s="392"/>
      <c r="BJ161" s="392"/>
      <c r="BK161" s="392"/>
      <c r="BL161" s="392"/>
      <c r="BM161" s="392"/>
      <c r="BN161" s="392"/>
      <c r="BO161" s="392"/>
      <c r="BP161" s="392"/>
      <c r="BQ161" s="392"/>
      <c r="BR161" s="392"/>
      <c r="BS161" s="392"/>
      <c r="BT161" s="392"/>
      <c r="BU161" s="392"/>
      <c r="BV161" s="392"/>
      <c r="BW161" s="392"/>
      <c r="BX161" s="392"/>
      <c r="BY161" s="392"/>
      <c r="BZ161" s="392"/>
      <c r="CA161" s="392"/>
      <c r="CB161" s="392"/>
      <c r="CC161" s="392"/>
      <c r="CD161" s="392"/>
      <c r="CE161" s="392"/>
      <c r="CF161" s="392"/>
      <c r="CG161" s="392"/>
      <c r="CH161" s="392"/>
      <c r="CI161" s="39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c r="DD161" s="392"/>
      <c r="DE161" s="392"/>
      <c r="DF161" s="392"/>
      <c r="DG161" s="392"/>
      <c r="DH161" s="392"/>
      <c r="DI161" s="392"/>
      <c r="DJ161" s="392"/>
      <c r="DK161" s="392"/>
      <c r="DL161" s="392"/>
      <c r="DM161" s="392"/>
      <c r="DN161" s="392"/>
      <c r="DO161" s="392"/>
      <c r="DP161" s="392"/>
      <c r="DQ161" s="392"/>
      <c r="DR161" s="392"/>
      <c r="DS161" s="392"/>
      <c r="DT161" s="392"/>
      <c r="DU161" s="392"/>
      <c r="DV161" s="392"/>
      <c r="DW161" s="392"/>
      <c r="DX161" s="392"/>
      <c r="DY161" s="392"/>
      <c r="DZ161" s="392"/>
      <c r="EA161" s="392"/>
      <c r="EB161" s="392"/>
      <c r="EC161" s="392"/>
      <c r="ED161" s="392"/>
      <c r="EE161" s="392"/>
      <c r="EF161" s="392"/>
      <c r="EG161" s="392"/>
      <c r="EH161" s="392"/>
      <c r="EI161" s="392"/>
      <c r="EJ161" s="392"/>
      <c r="EK161" s="392"/>
      <c r="EL161" s="392"/>
      <c r="EM161" s="392"/>
      <c r="EN161" s="392"/>
      <c r="EO161" s="392"/>
      <c r="EP161" s="392"/>
      <c r="EQ161" s="392"/>
      <c r="ER161" s="392"/>
      <c r="ES161" s="392"/>
      <c r="ET161" s="392"/>
      <c r="EU161" s="392"/>
      <c r="EV161" s="392"/>
      <c r="EW161" s="392"/>
      <c r="EX161" s="392"/>
      <c r="EY161" s="392"/>
      <c r="EZ161" s="392"/>
      <c r="FA161" s="392"/>
      <c r="FB161" s="392"/>
      <c r="FC161" s="392"/>
      <c r="FD161" s="392"/>
      <c r="FE161" s="392"/>
      <c r="FF161" s="392"/>
      <c r="FG161" s="392"/>
      <c r="FH161" s="392"/>
      <c r="FI161" s="392"/>
      <c r="FJ161" s="392"/>
      <c r="FK161" s="392"/>
      <c r="FL161" s="392"/>
      <c r="FM161" s="392"/>
      <c r="FN161" s="392"/>
      <c r="FO161" s="392"/>
      <c r="FP161" s="392"/>
      <c r="FQ161" s="392"/>
      <c r="FR161" s="392"/>
      <c r="FS161" s="392"/>
      <c r="FT161" s="392"/>
      <c r="FU161" s="392"/>
      <c r="FV161" s="392"/>
      <c r="FW161" s="392"/>
      <c r="FX161" s="392"/>
      <c r="FY161" s="392"/>
      <c r="FZ161" s="392"/>
      <c r="GA161" s="392"/>
      <c r="GB161" s="392"/>
      <c r="GC161" s="392"/>
      <c r="GD161" s="392"/>
      <c r="GE161" s="392"/>
      <c r="GF161" s="392"/>
      <c r="GG161" s="392"/>
      <c r="GH161" s="392"/>
      <c r="GI161" s="392"/>
      <c r="GJ161" s="392"/>
      <c r="GK161" s="392"/>
      <c r="GL161" s="392"/>
      <c r="GM161" s="392"/>
      <c r="GN161" s="392"/>
      <c r="GO161" s="392"/>
      <c r="GP161" s="392"/>
      <c r="GQ161" s="392"/>
      <c r="GR161" s="392"/>
      <c r="GS161" s="392"/>
      <c r="GT161" s="392"/>
      <c r="GU161" s="392"/>
      <c r="GV161" s="392"/>
      <c r="GW161" s="392"/>
      <c r="GX161" s="392"/>
      <c r="GY161" s="392"/>
      <c r="GZ161" s="392"/>
      <c r="HA161" s="392"/>
      <c r="HB161" s="392"/>
      <c r="HC161" s="392"/>
      <c r="HD161" s="392"/>
      <c r="HE161" s="392"/>
      <c r="HF161" s="392"/>
      <c r="HG161" s="392"/>
      <c r="HH161" s="392"/>
      <c r="HI161" s="392"/>
      <c r="HJ161" s="392"/>
      <c r="HK161" s="392"/>
      <c r="HL161" s="392"/>
      <c r="HM161" s="392"/>
      <c r="HN161" s="392"/>
      <c r="HO161" s="392"/>
      <c r="HP161" s="392"/>
      <c r="HQ161" s="392"/>
      <c r="HR161" s="392"/>
      <c r="HS161" s="392"/>
      <c r="HT161" s="392"/>
      <c r="HU161" s="392"/>
      <c r="HV161" s="392"/>
      <c r="HW161" s="392"/>
      <c r="HX161" s="392"/>
      <c r="HY161" s="392"/>
      <c r="HZ161" s="392"/>
      <c r="IA161" s="392"/>
      <c r="IB161" s="392"/>
      <c r="IC161" s="392"/>
      <c r="ID161" s="392"/>
      <c r="IE161" s="392"/>
      <c r="IF161" s="392"/>
      <c r="IG161" s="392"/>
      <c r="IH161" s="392"/>
      <c r="II161" s="392"/>
      <c r="IJ161" s="392"/>
      <c r="IK161" s="392"/>
      <c r="IL161" s="392"/>
      <c r="IM161" s="392"/>
      <c r="IN161" s="392"/>
      <c r="IO161" s="392"/>
      <c r="IP161" s="392"/>
      <c r="IQ161" s="392"/>
      <c r="IR161" s="392"/>
      <c r="IS161" s="392"/>
      <c r="IT161" s="392"/>
      <c r="IU161" s="392"/>
      <c r="IV161" s="392"/>
    </row>
    <row r="162" spans="1:256" s="381" customFormat="1" ht="75">
      <c r="A162" s="333" t="s">
        <v>390</v>
      </c>
      <c r="B162" s="1144">
        <v>42438</v>
      </c>
      <c r="C162" s="1098" t="str">
        <f>IF($A162="INSUMO",VLOOKUP($B162,'BANCO DE DADOS JANEIRO-24 INS'!$A:$D,2,FALSE),VLOOKUP($B162,'BANCO DE DADOS JANEIRO-24 SERV'!$B:$E,2,FALSE))</f>
        <v xml:space="preserve">PLACA ORIENTATIVA SOBRE EXERCICIOS, 2,00 M X 1,00 M ( CHAPA GALVANIZADA #20), ESTRUTURA EM TUBOS REDONDOS DE ACO CARBONO, PINTURA NO PROCESSO ELETROSTATICO, ADESIVO FRENTE E VERSO - PARA ACADEMIA AO AR LIVRE / ACADEMIA DA TERCEIRA IDADE - ATI                                                                                                                                                                                                                                                        </v>
      </c>
      <c r="D162" s="1099" t="str">
        <f>IF($A162="INSUMO",VLOOKUP($B162,'BANCO DE DADOS JANEIRO-24 INS'!$A:$D,3,FALSE),VLOOKUP($B162,'BANCO DE DADOS JANEIRO-24 SERV'!$B:$E,3,FALSE))</f>
        <v xml:space="preserve">UN    </v>
      </c>
      <c r="E162" s="1145">
        <v>1</v>
      </c>
      <c r="F162" s="1118">
        <f>IF($A162="INSUMO",VLOOKUP($B162,'BANCO DE DADOS JANEIRO-24 INS'!$A:$D,4,FALSE),VLOOKUP($B162,'BANCO DE DADOS JANEIRO-24 SERV'!$B:$E,4,FALSE))</f>
        <v>2090.75</v>
      </c>
      <c r="G162" s="1147">
        <f>TRUNC(F162*E162,2)</f>
        <v>2090.75</v>
      </c>
      <c r="H162" s="392"/>
      <c r="I162" s="392"/>
      <c r="J162" s="392"/>
      <c r="K162" s="392"/>
      <c r="L162" s="392"/>
      <c r="M162" s="392"/>
      <c r="N162" s="392"/>
      <c r="O162" s="392"/>
      <c r="P162" s="392"/>
      <c r="Q162" s="392"/>
      <c r="R162" s="392"/>
      <c r="S162" s="392"/>
      <c r="T162" s="392"/>
      <c r="U162" s="392"/>
      <c r="V162" s="392"/>
      <c r="W162" s="392"/>
      <c r="X162" s="392"/>
      <c r="Y162" s="392"/>
      <c r="Z162" s="392"/>
      <c r="AA162" s="392"/>
      <c r="AB162" s="392"/>
      <c r="AC162" s="392"/>
      <c r="AD162" s="392"/>
      <c r="AE162" s="392"/>
      <c r="AF162" s="392"/>
      <c r="AG162" s="392"/>
      <c r="AH162" s="392"/>
      <c r="AI162" s="392"/>
      <c r="AJ162" s="392"/>
      <c r="AK162" s="392"/>
      <c r="AL162" s="392"/>
      <c r="AM162" s="392"/>
      <c r="AN162" s="392"/>
      <c r="AO162" s="392"/>
      <c r="AP162" s="392"/>
      <c r="AQ162" s="392"/>
      <c r="AR162" s="392"/>
      <c r="AS162" s="392"/>
      <c r="AT162" s="392"/>
      <c r="AU162" s="392"/>
      <c r="AV162" s="392"/>
      <c r="AW162" s="392"/>
      <c r="AX162" s="392"/>
      <c r="AY162" s="392"/>
      <c r="AZ162" s="392"/>
      <c r="BA162" s="392"/>
      <c r="BB162" s="392"/>
      <c r="BC162" s="392"/>
      <c r="BD162" s="392"/>
      <c r="BE162" s="392"/>
      <c r="BF162" s="392"/>
      <c r="BG162" s="392"/>
      <c r="BH162" s="392"/>
      <c r="BI162" s="392"/>
      <c r="BJ162" s="392"/>
      <c r="BK162" s="392"/>
      <c r="BL162" s="392"/>
      <c r="BM162" s="392"/>
      <c r="BN162" s="392"/>
      <c r="BO162" s="392"/>
      <c r="BP162" s="392"/>
      <c r="BQ162" s="392"/>
      <c r="BR162" s="392"/>
      <c r="BS162" s="392"/>
      <c r="BT162" s="392"/>
      <c r="BU162" s="392"/>
      <c r="BV162" s="392"/>
      <c r="BW162" s="392"/>
      <c r="BX162" s="392"/>
      <c r="BY162" s="392"/>
      <c r="BZ162" s="392"/>
      <c r="CA162" s="392"/>
      <c r="CB162" s="392"/>
      <c r="CC162" s="392"/>
      <c r="CD162" s="392"/>
      <c r="CE162" s="392"/>
      <c r="CF162" s="392"/>
      <c r="CG162" s="392"/>
      <c r="CH162" s="392"/>
      <c r="CI162" s="39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c r="DD162" s="392"/>
      <c r="DE162" s="392"/>
      <c r="DF162" s="392"/>
      <c r="DG162" s="392"/>
      <c r="DH162" s="392"/>
      <c r="DI162" s="392"/>
      <c r="DJ162" s="392"/>
      <c r="DK162" s="392"/>
      <c r="DL162" s="392"/>
      <c r="DM162" s="392"/>
      <c r="DN162" s="392"/>
      <c r="DO162" s="392"/>
      <c r="DP162" s="392"/>
      <c r="DQ162" s="392"/>
      <c r="DR162" s="392"/>
      <c r="DS162" s="392"/>
      <c r="DT162" s="392"/>
      <c r="DU162" s="392"/>
      <c r="DV162" s="392"/>
      <c r="DW162" s="392"/>
      <c r="DX162" s="392"/>
      <c r="DY162" s="392"/>
      <c r="DZ162" s="392"/>
      <c r="EA162" s="392"/>
      <c r="EB162" s="392"/>
      <c r="EC162" s="392"/>
      <c r="ED162" s="392"/>
      <c r="EE162" s="392"/>
      <c r="EF162" s="392"/>
      <c r="EG162" s="392"/>
      <c r="EH162" s="392"/>
      <c r="EI162" s="392"/>
      <c r="EJ162" s="392"/>
      <c r="EK162" s="392"/>
      <c r="EL162" s="392"/>
      <c r="EM162" s="392"/>
      <c r="EN162" s="392"/>
      <c r="EO162" s="392"/>
      <c r="EP162" s="392"/>
      <c r="EQ162" s="392"/>
      <c r="ER162" s="392"/>
      <c r="ES162" s="392"/>
      <c r="ET162" s="392"/>
      <c r="EU162" s="392"/>
      <c r="EV162" s="392"/>
      <c r="EW162" s="392"/>
      <c r="EX162" s="392"/>
      <c r="EY162" s="392"/>
      <c r="EZ162" s="392"/>
      <c r="FA162" s="392"/>
      <c r="FB162" s="392"/>
      <c r="FC162" s="392"/>
      <c r="FD162" s="392"/>
      <c r="FE162" s="392"/>
      <c r="FF162" s="392"/>
      <c r="FG162" s="392"/>
      <c r="FH162" s="392"/>
      <c r="FI162" s="392"/>
      <c r="FJ162" s="392"/>
      <c r="FK162" s="392"/>
      <c r="FL162" s="392"/>
      <c r="FM162" s="392"/>
      <c r="FN162" s="392"/>
      <c r="FO162" s="392"/>
      <c r="FP162" s="392"/>
      <c r="FQ162" s="392"/>
      <c r="FR162" s="392"/>
      <c r="FS162" s="392"/>
      <c r="FT162" s="392"/>
      <c r="FU162" s="392"/>
      <c r="FV162" s="392"/>
      <c r="FW162" s="392"/>
      <c r="FX162" s="392"/>
      <c r="FY162" s="392"/>
      <c r="FZ162" s="392"/>
      <c r="GA162" s="392"/>
      <c r="GB162" s="392"/>
      <c r="GC162" s="392"/>
      <c r="GD162" s="392"/>
      <c r="GE162" s="392"/>
      <c r="GF162" s="392"/>
      <c r="GG162" s="392"/>
      <c r="GH162" s="392"/>
      <c r="GI162" s="392"/>
      <c r="GJ162" s="392"/>
      <c r="GK162" s="392"/>
      <c r="GL162" s="392"/>
      <c r="GM162" s="392"/>
      <c r="GN162" s="392"/>
      <c r="GO162" s="392"/>
      <c r="GP162" s="392"/>
      <c r="GQ162" s="392"/>
      <c r="GR162" s="392"/>
      <c r="GS162" s="392"/>
      <c r="GT162" s="392"/>
      <c r="GU162" s="392"/>
      <c r="GV162" s="392"/>
      <c r="GW162" s="392"/>
      <c r="GX162" s="392"/>
      <c r="GY162" s="392"/>
      <c r="GZ162" s="392"/>
      <c r="HA162" s="392"/>
      <c r="HB162" s="392"/>
      <c r="HC162" s="392"/>
      <c r="HD162" s="392"/>
      <c r="HE162" s="392"/>
      <c r="HF162" s="392"/>
      <c r="HG162" s="392"/>
      <c r="HH162" s="392"/>
      <c r="HI162" s="392"/>
      <c r="HJ162" s="392"/>
      <c r="HK162" s="392"/>
      <c r="HL162" s="392"/>
      <c r="HM162" s="392"/>
      <c r="HN162" s="392"/>
      <c r="HO162" s="392"/>
      <c r="HP162" s="392"/>
      <c r="HQ162" s="392"/>
      <c r="HR162" s="392"/>
      <c r="HS162" s="392"/>
      <c r="HT162" s="392"/>
      <c r="HU162" s="392"/>
      <c r="HV162" s="392"/>
      <c r="HW162" s="392"/>
      <c r="HX162" s="392"/>
      <c r="HY162" s="392"/>
      <c r="HZ162" s="392"/>
      <c r="IA162" s="392"/>
      <c r="IB162" s="392"/>
      <c r="IC162" s="392"/>
      <c r="ID162" s="392"/>
      <c r="IE162" s="392"/>
      <c r="IF162" s="392"/>
      <c r="IG162" s="392"/>
      <c r="IH162" s="392"/>
      <c r="II162" s="392"/>
      <c r="IJ162" s="392"/>
      <c r="IK162" s="392"/>
      <c r="IL162" s="392"/>
      <c r="IM162" s="392"/>
      <c r="IN162" s="392"/>
      <c r="IO162" s="392"/>
      <c r="IP162" s="392"/>
      <c r="IQ162" s="392"/>
      <c r="IR162" s="392"/>
      <c r="IS162" s="392"/>
      <c r="IT162" s="392"/>
      <c r="IU162" s="392"/>
      <c r="IV162" s="392"/>
    </row>
    <row r="163" spans="1:256" s="381" customFormat="1" ht="30">
      <c r="A163" s="392" t="s">
        <v>391</v>
      </c>
      <c r="B163" s="1144">
        <v>93358</v>
      </c>
      <c r="C163" s="1098" t="str">
        <f>IF($A163="INSUMO",VLOOKUP($B163,'BANCO DE DADOS JANEIRO-24 INS'!$A:$D,2,FALSE),VLOOKUP($B163,'BANCO DE DADOS JANEIRO-24 SERV'!$B:$E,2,FALSE))</f>
        <v>ESCAVAÇÃO MANUAL DE VALA COM PROFUNDIDADE MENOR OU IGUAL A 1,30 M. AF_02/2021</v>
      </c>
      <c r="D163" s="1099" t="str">
        <f>IF($A163="INSUMO",VLOOKUP($B163,'BANCO DE DADOS JANEIRO-24 INS'!$A:$D,3,FALSE),VLOOKUP($B163,'BANCO DE DADOS JANEIRO-24 SERV'!$B:$E,3,FALSE))</f>
        <v>M3</v>
      </c>
      <c r="E163" s="1148">
        <f>((0.3*0.3*0.6)*2)</f>
        <v>0.108</v>
      </c>
      <c r="F163" s="1118">
        <f>IF($A163="INSUMO",VLOOKUP($B163,'BANCO DE DADOS JANEIRO-24 INS'!$A:$D,4,FALSE),VLOOKUP($B163,'BANCO DE DADOS JANEIRO-24 SERV'!$B:$E,4,FALSE))</f>
        <v>80.38</v>
      </c>
      <c r="G163" s="1147">
        <f>TRUNC(F163*E163,2)</f>
        <v>8.68</v>
      </c>
      <c r="H163" s="392"/>
      <c r="I163" s="392"/>
      <c r="J163" s="392"/>
      <c r="K163" s="392"/>
      <c r="L163" s="392"/>
      <c r="M163" s="392"/>
      <c r="N163" s="392"/>
      <c r="O163" s="392"/>
      <c r="P163" s="392"/>
      <c r="Q163" s="392"/>
      <c r="R163" s="392"/>
      <c r="S163" s="392"/>
      <c r="T163" s="392"/>
      <c r="U163" s="392"/>
      <c r="V163" s="392"/>
      <c r="W163" s="392"/>
      <c r="X163" s="392"/>
      <c r="Y163" s="392"/>
      <c r="Z163" s="392"/>
      <c r="AA163" s="392"/>
      <c r="AB163" s="392"/>
      <c r="AC163" s="392"/>
      <c r="AD163" s="392"/>
      <c r="AE163" s="392"/>
      <c r="AF163" s="392"/>
      <c r="AG163" s="392"/>
      <c r="AH163" s="392"/>
      <c r="AI163" s="392"/>
      <c r="AJ163" s="392"/>
      <c r="AK163" s="392"/>
      <c r="AL163" s="392"/>
      <c r="AM163" s="392"/>
      <c r="AN163" s="392"/>
      <c r="AO163" s="392"/>
      <c r="AP163" s="392"/>
      <c r="AQ163" s="392"/>
      <c r="AR163" s="392"/>
      <c r="AS163" s="392"/>
      <c r="AT163" s="392"/>
      <c r="AU163" s="392"/>
      <c r="AV163" s="392"/>
      <c r="AW163" s="392"/>
      <c r="AX163" s="392"/>
      <c r="AY163" s="392"/>
      <c r="AZ163" s="392"/>
      <c r="BA163" s="392"/>
      <c r="BB163" s="392"/>
      <c r="BC163" s="392"/>
      <c r="BD163" s="392"/>
      <c r="BE163" s="392"/>
      <c r="BF163" s="392"/>
      <c r="BG163" s="392"/>
      <c r="BH163" s="392"/>
      <c r="BI163" s="392"/>
      <c r="BJ163" s="392"/>
      <c r="BK163" s="392"/>
      <c r="BL163" s="392"/>
      <c r="BM163" s="392"/>
      <c r="BN163" s="392"/>
      <c r="BO163" s="392"/>
      <c r="BP163" s="392"/>
      <c r="BQ163" s="392"/>
      <c r="BR163" s="392"/>
      <c r="BS163" s="392"/>
      <c r="BT163" s="392"/>
      <c r="BU163" s="392"/>
      <c r="BV163" s="392"/>
      <c r="BW163" s="392"/>
      <c r="BX163" s="392"/>
      <c r="BY163" s="392"/>
      <c r="BZ163" s="392"/>
      <c r="CA163" s="392"/>
      <c r="CB163" s="392"/>
      <c r="CC163" s="392"/>
      <c r="CD163" s="392"/>
      <c r="CE163" s="392"/>
      <c r="CF163" s="392"/>
      <c r="CG163" s="392"/>
      <c r="CH163" s="392"/>
      <c r="CI163" s="39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c r="DD163" s="392"/>
      <c r="DE163" s="392"/>
      <c r="DF163" s="392"/>
      <c r="DG163" s="392"/>
      <c r="DH163" s="392"/>
      <c r="DI163" s="392"/>
      <c r="DJ163" s="392"/>
      <c r="DK163" s="392"/>
      <c r="DL163" s="392"/>
      <c r="DM163" s="392"/>
      <c r="DN163" s="392"/>
      <c r="DO163" s="392"/>
      <c r="DP163" s="392"/>
      <c r="DQ163" s="392"/>
      <c r="DR163" s="392"/>
      <c r="DS163" s="392"/>
      <c r="DT163" s="392"/>
      <c r="DU163" s="392"/>
      <c r="DV163" s="392"/>
      <c r="DW163" s="392"/>
      <c r="DX163" s="392"/>
      <c r="DY163" s="392"/>
      <c r="DZ163" s="392"/>
      <c r="EA163" s="392"/>
      <c r="EB163" s="392"/>
      <c r="EC163" s="392"/>
      <c r="ED163" s="392"/>
      <c r="EE163" s="392"/>
      <c r="EF163" s="392"/>
      <c r="EG163" s="392"/>
      <c r="EH163" s="392"/>
      <c r="EI163" s="392"/>
      <c r="EJ163" s="392"/>
      <c r="EK163" s="392"/>
      <c r="EL163" s="392"/>
      <c r="EM163" s="392"/>
      <c r="EN163" s="392"/>
      <c r="EO163" s="392"/>
      <c r="EP163" s="392"/>
      <c r="EQ163" s="392"/>
      <c r="ER163" s="392"/>
      <c r="ES163" s="392"/>
      <c r="ET163" s="392"/>
      <c r="EU163" s="392"/>
      <c r="EV163" s="392"/>
      <c r="EW163" s="392"/>
      <c r="EX163" s="392"/>
      <c r="EY163" s="392"/>
      <c r="EZ163" s="392"/>
      <c r="FA163" s="392"/>
      <c r="FB163" s="392"/>
      <c r="FC163" s="392"/>
      <c r="FD163" s="392"/>
      <c r="FE163" s="392"/>
      <c r="FF163" s="392"/>
      <c r="FG163" s="392"/>
      <c r="FH163" s="392"/>
      <c r="FI163" s="392"/>
      <c r="FJ163" s="392"/>
      <c r="FK163" s="392"/>
      <c r="FL163" s="392"/>
      <c r="FM163" s="392"/>
      <c r="FN163" s="392"/>
      <c r="FO163" s="392"/>
      <c r="FP163" s="392"/>
      <c r="FQ163" s="392"/>
      <c r="FR163" s="392"/>
      <c r="FS163" s="392"/>
      <c r="FT163" s="392"/>
      <c r="FU163" s="392"/>
      <c r="FV163" s="392"/>
      <c r="FW163" s="392"/>
      <c r="FX163" s="392"/>
      <c r="FY163" s="392"/>
      <c r="FZ163" s="392"/>
      <c r="GA163" s="392"/>
      <c r="GB163" s="392"/>
      <c r="GC163" s="392"/>
      <c r="GD163" s="392"/>
      <c r="GE163" s="392"/>
      <c r="GF163" s="392"/>
      <c r="GG163" s="392"/>
      <c r="GH163" s="392"/>
      <c r="GI163" s="392"/>
      <c r="GJ163" s="392"/>
      <c r="GK163" s="392"/>
      <c r="GL163" s="392"/>
      <c r="GM163" s="392"/>
      <c r="GN163" s="392"/>
      <c r="GO163" s="392"/>
      <c r="GP163" s="392"/>
      <c r="GQ163" s="392"/>
      <c r="GR163" s="392"/>
      <c r="GS163" s="392"/>
      <c r="GT163" s="392"/>
      <c r="GU163" s="392"/>
      <c r="GV163" s="392"/>
      <c r="GW163" s="392"/>
      <c r="GX163" s="392"/>
      <c r="GY163" s="392"/>
      <c r="GZ163" s="392"/>
      <c r="HA163" s="392"/>
      <c r="HB163" s="392"/>
      <c r="HC163" s="392"/>
      <c r="HD163" s="392"/>
      <c r="HE163" s="392"/>
      <c r="HF163" s="392"/>
      <c r="HG163" s="392"/>
      <c r="HH163" s="392"/>
      <c r="HI163" s="392"/>
      <c r="HJ163" s="392"/>
      <c r="HK163" s="392"/>
      <c r="HL163" s="392"/>
      <c r="HM163" s="392"/>
      <c r="HN163" s="392"/>
      <c r="HO163" s="392"/>
      <c r="HP163" s="392"/>
      <c r="HQ163" s="392"/>
      <c r="HR163" s="392"/>
      <c r="HS163" s="392"/>
      <c r="HT163" s="392"/>
      <c r="HU163" s="392"/>
      <c r="HV163" s="392"/>
      <c r="HW163" s="392"/>
      <c r="HX163" s="392"/>
      <c r="HY163" s="392"/>
      <c r="HZ163" s="392"/>
      <c r="IA163" s="392"/>
      <c r="IB163" s="392"/>
      <c r="IC163" s="392"/>
      <c r="ID163" s="392"/>
      <c r="IE163" s="392"/>
      <c r="IF163" s="392"/>
      <c r="IG163" s="392"/>
      <c r="IH163" s="392"/>
      <c r="II163" s="392"/>
      <c r="IJ163" s="392"/>
      <c r="IK163" s="392"/>
      <c r="IL163" s="392"/>
      <c r="IM163" s="392"/>
      <c r="IN163" s="392"/>
      <c r="IO163" s="392"/>
      <c r="IP163" s="392"/>
      <c r="IQ163" s="392"/>
      <c r="IR163" s="392"/>
      <c r="IS163" s="392"/>
      <c r="IT163" s="392"/>
      <c r="IU163" s="392"/>
      <c r="IV163" s="392"/>
    </row>
    <row r="164" spans="1:256" s="381" customFormat="1" ht="45">
      <c r="A164" s="392" t="s">
        <v>391</v>
      </c>
      <c r="B164" s="1144">
        <v>94965</v>
      </c>
      <c r="C164" s="1098" t="str">
        <f>IF($A164="INSUMO",VLOOKUP($B164,'BANCO DE DADOS JANEIRO-24 INS'!$A:$D,2,FALSE),VLOOKUP($B164,'BANCO DE DADOS JANEIRO-24 SERV'!$B:$E,2,FALSE))</f>
        <v>CONCRETO FCK = 25MPA, TRAÇO 1:2,3:2,7 (EM MASSA SECA DE CIMENTO/ AREIA MÉDIA/ BRITA 1) - PREPARO MECÂNICO COM BETONEIRA 400 L. AF_05/2021</v>
      </c>
      <c r="D164" s="1099" t="str">
        <f>IF($A164="INSUMO",VLOOKUP($B164,'BANCO DE DADOS JANEIRO-24 INS'!$A:$D,3,FALSE),VLOOKUP($B164,'BANCO DE DADOS JANEIRO-24 SERV'!$B:$E,3,FALSE))</f>
        <v>M3</v>
      </c>
      <c r="E164" s="1148">
        <f>E163</f>
        <v>0.108</v>
      </c>
      <c r="F164" s="1118">
        <f>IF($A164="INSUMO",VLOOKUP($B164,'BANCO DE DADOS JANEIRO-24 INS'!$A:$D,4,FALSE),VLOOKUP($B164,'BANCO DE DADOS JANEIRO-24 SERV'!$B:$E,4,FALSE))</f>
        <v>568.95000000000005</v>
      </c>
      <c r="G164" s="1147">
        <f>TRUNC(F164*E164,2)</f>
        <v>61.44</v>
      </c>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c r="AE164" s="392"/>
      <c r="AF164" s="392"/>
      <c r="AG164" s="392"/>
      <c r="AH164" s="392"/>
      <c r="AI164" s="392"/>
      <c r="AJ164" s="392"/>
      <c r="AK164" s="392"/>
      <c r="AL164" s="392"/>
      <c r="AM164" s="392"/>
      <c r="AN164" s="392"/>
      <c r="AO164" s="392"/>
      <c r="AP164" s="392"/>
      <c r="AQ164" s="392"/>
      <c r="AR164" s="392"/>
      <c r="AS164" s="392"/>
      <c r="AT164" s="392"/>
      <c r="AU164" s="392"/>
      <c r="AV164" s="392"/>
      <c r="AW164" s="392"/>
      <c r="AX164" s="392"/>
      <c r="AY164" s="392"/>
      <c r="AZ164" s="392"/>
      <c r="BA164" s="392"/>
      <c r="BB164" s="392"/>
      <c r="BC164" s="392"/>
      <c r="BD164" s="392"/>
      <c r="BE164" s="392"/>
      <c r="BF164" s="392"/>
      <c r="BG164" s="392"/>
      <c r="BH164" s="392"/>
      <c r="BI164" s="392"/>
      <c r="BJ164" s="392"/>
      <c r="BK164" s="392"/>
      <c r="BL164" s="392"/>
      <c r="BM164" s="392"/>
      <c r="BN164" s="392"/>
      <c r="BO164" s="392"/>
      <c r="BP164" s="392"/>
      <c r="BQ164" s="392"/>
      <c r="BR164" s="392"/>
      <c r="BS164" s="392"/>
      <c r="BT164" s="392"/>
      <c r="BU164" s="392"/>
      <c r="BV164" s="392"/>
      <c r="BW164" s="392"/>
      <c r="BX164" s="392"/>
      <c r="BY164" s="392"/>
      <c r="BZ164" s="392"/>
      <c r="CA164" s="392"/>
      <c r="CB164" s="392"/>
      <c r="CC164" s="392"/>
      <c r="CD164" s="392"/>
      <c r="CE164" s="392"/>
      <c r="CF164" s="392"/>
      <c r="CG164" s="392"/>
      <c r="CH164" s="392"/>
      <c r="CI164" s="39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c r="DD164" s="392"/>
      <c r="DE164" s="392"/>
      <c r="DF164" s="392"/>
      <c r="DG164" s="392"/>
      <c r="DH164" s="392"/>
      <c r="DI164" s="392"/>
      <c r="DJ164" s="392"/>
      <c r="DK164" s="392"/>
      <c r="DL164" s="392"/>
      <c r="DM164" s="392"/>
      <c r="DN164" s="392"/>
      <c r="DO164" s="392"/>
      <c r="DP164" s="392"/>
      <c r="DQ164" s="392"/>
      <c r="DR164" s="392"/>
      <c r="DS164" s="392"/>
      <c r="DT164" s="392"/>
      <c r="DU164" s="392"/>
      <c r="DV164" s="392"/>
      <c r="DW164" s="392"/>
      <c r="DX164" s="392"/>
      <c r="DY164" s="392"/>
      <c r="DZ164" s="392"/>
      <c r="EA164" s="392"/>
      <c r="EB164" s="392"/>
      <c r="EC164" s="392"/>
      <c r="ED164" s="392"/>
      <c r="EE164" s="392"/>
      <c r="EF164" s="392"/>
      <c r="EG164" s="392"/>
      <c r="EH164" s="392"/>
      <c r="EI164" s="392"/>
      <c r="EJ164" s="392"/>
      <c r="EK164" s="392"/>
      <c r="EL164" s="392"/>
      <c r="EM164" s="392"/>
      <c r="EN164" s="392"/>
      <c r="EO164" s="392"/>
      <c r="EP164" s="392"/>
      <c r="EQ164" s="392"/>
      <c r="ER164" s="392"/>
      <c r="ES164" s="392"/>
      <c r="ET164" s="392"/>
      <c r="EU164" s="392"/>
      <c r="EV164" s="392"/>
      <c r="EW164" s="392"/>
      <c r="EX164" s="392"/>
      <c r="EY164" s="392"/>
      <c r="EZ164" s="392"/>
      <c r="FA164" s="392"/>
      <c r="FB164" s="392"/>
      <c r="FC164" s="392"/>
      <c r="FD164" s="392"/>
      <c r="FE164" s="392"/>
      <c r="FF164" s="392"/>
      <c r="FG164" s="392"/>
      <c r="FH164" s="392"/>
      <c r="FI164" s="392"/>
      <c r="FJ164" s="392"/>
      <c r="FK164" s="392"/>
      <c r="FL164" s="392"/>
      <c r="FM164" s="392"/>
      <c r="FN164" s="392"/>
      <c r="FO164" s="392"/>
      <c r="FP164" s="392"/>
      <c r="FQ164" s="392"/>
      <c r="FR164" s="392"/>
      <c r="FS164" s="392"/>
      <c r="FT164" s="392"/>
      <c r="FU164" s="392"/>
      <c r="FV164" s="392"/>
      <c r="FW164" s="392"/>
      <c r="FX164" s="392"/>
      <c r="FY164" s="392"/>
      <c r="FZ164" s="392"/>
      <c r="GA164" s="392"/>
      <c r="GB164" s="392"/>
      <c r="GC164" s="392"/>
      <c r="GD164" s="392"/>
      <c r="GE164" s="392"/>
      <c r="GF164" s="392"/>
      <c r="GG164" s="392"/>
      <c r="GH164" s="392"/>
      <c r="GI164" s="392"/>
      <c r="GJ164" s="392"/>
      <c r="GK164" s="392"/>
      <c r="GL164" s="392"/>
      <c r="GM164" s="392"/>
      <c r="GN164" s="392"/>
      <c r="GO164" s="392"/>
      <c r="GP164" s="392"/>
      <c r="GQ164" s="392"/>
      <c r="GR164" s="392"/>
      <c r="GS164" s="392"/>
      <c r="GT164" s="392"/>
      <c r="GU164" s="392"/>
      <c r="GV164" s="392"/>
      <c r="GW164" s="392"/>
      <c r="GX164" s="392"/>
      <c r="GY164" s="392"/>
      <c r="GZ164" s="392"/>
      <c r="HA164" s="392"/>
      <c r="HB164" s="392"/>
      <c r="HC164" s="392"/>
      <c r="HD164" s="392"/>
      <c r="HE164" s="392"/>
      <c r="HF164" s="392"/>
      <c r="HG164" s="392"/>
      <c r="HH164" s="392"/>
      <c r="HI164" s="392"/>
      <c r="HJ164" s="392"/>
      <c r="HK164" s="392"/>
      <c r="HL164" s="392"/>
      <c r="HM164" s="392"/>
      <c r="HN164" s="392"/>
      <c r="HO164" s="392"/>
      <c r="HP164" s="392"/>
      <c r="HQ164" s="392"/>
      <c r="HR164" s="392"/>
      <c r="HS164" s="392"/>
      <c r="HT164" s="392"/>
      <c r="HU164" s="392"/>
      <c r="HV164" s="392"/>
      <c r="HW164" s="392"/>
      <c r="HX164" s="392"/>
      <c r="HY164" s="392"/>
      <c r="HZ164" s="392"/>
      <c r="IA164" s="392"/>
      <c r="IB164" s="392"/>
      <c r="IC164" s="392"/>
      <c r="ID164" s="392"/>
      <c r="IE164" s="392"/>
      <c r="IF164" s="392"/>
      <c r="IG164" s="392"/>
      <c r="IH164" s="392"/>
      <c r="II164" s="392"/>
      <c r="IJ164" s="392"/>
      <c r="IK164" s="392"/>
      <c r="IL164" s="392"/>
      <c r="IM164" s="392"/>
      <c r="IN164" s="392"/>
      <c r="IO164" s="392"/>
      <c r="IP164" s="392"/>
      <c r="IQ164" s="392"/>
      <c r="IR164" s="392"/>
      <c r="IS164" s="392"/>
      <c r="IT164" s="392"/>
      <c r="IU164" s="392"/>
      <c r="IV164" s="392"/>
    </row>
    <row r="165" spans="1:256" s="381" customFormat="1" ht="30.75" thickBot="1">
      <c r="A165" s="392" t="s">
        <v>391</v>
      </c>
      <c r="B165" s="1149" t="str">
        <f>B168</f>
        <v>COMP. AUX 01</v>
      </c>
      <c r="C165" s="1103" t="str">
        <f>C168</f>
        <v>LANCAMENTO/APLICACAO MANUAL DE CONCRETO EM FUNDACOES</v>
      </c>
      <c r="D165" s="1104" t="str">
        <f>G168</f>
        <v>M3</v>
      </c>
      <c r="E165" s="1150">
        <f>E163</f>
        <v>0.108</v>
      </c>
      <c r="F165" s="1119">
        <f>G175</f>
        <v>134.11000000000001</v>
      </c>
      <c r="G165" s="1151">
        <f>TRUNC(F165*E165,2)</f>
        <v>14.48</v>
      </c>
      <c r="H165" s="392"/>
      <c r="I165" s="392"/>
      <c r="J165" s="392"/>
      <c r="K165" s="392"/>
      <c r="L165" s="392"/>
      <c r="M165" s="392"/>
      <c r="N165" s="392"/>
      <c r="O165" s="392"/>
      <c r="P165" s="392"/>
      <c r="Q165" s="392"/>
      <c r="R165" s="392"/>
      <c r="S165" s="392"/>
      <c r="T165" s="392"/>
      <c r="U165" s="392"/>
      <c r="V165" s="392"/>
      <c r="W165" s="392"/>
      <c r="X165" s="392"/>
      <c r="Y165" s="392"/>
      <c r="Z165" s="392"/>
      <c r="AA165" s="392"/>
      <c r="AB165" s="392"/>
      <c r="AC165" s="392"/>
      <c r="AD165" s="392"/>
      <c r="AE165" s="392"/>
      <c r="AF165" s="392"/>
      <c r="AG165" s="392"/>
      <c r="AH165" s="392"/>
      <c r="AI165" s="392"/>
      <c r="AJ165" s="392"/>
      <c r="AK165" s="392"/>
      <c r="AL165" s="392"/>
      <c r="AM165" s="392"/>
      <c r="AN165" s="392"/>
      <c r="AO165" s="392"/>
      <c r="AP165" s="392"/>
      <c r="AQ165" s="392"/>
      <c r="AR165" s="392"/>
      <c r="AS165" s="392"/>
      <c r="AT165" s="392"/>
      <c r="AU165" s="392"/>
      <c r="AV165" s="392"/>
      <c r="AW165" s="392"/>
      <c r="AX165" s="392"/>
      <c r="AY165" s="392"/>
      <c r="AZ165" s="392"/>
      <c r="BA165" s="392"/>
      <c r="BB165" s="392"/>
      <c r="BC165" s="392"/>
      <c r="BD165" s="392"/>
      <c r="BE165" s="392"/>
      <c r="BF165" s="392"/>
      <c r="BG165" s="392"/>
      <c r="BH165" s="392"/>
      <c r="BI165" s="392"/>
      <c r="BJ165" s="392"/>
      <c r="BK165" s="392"/>
      <c r="BL165" s="392"/>
      <c r="BM165" s="392"/>
      <c r="BN165" s="392"/>
      <c r="BO165" s="392"/>
      <c r="BP165" s="392"/>
      <c r="BQ165" s="392"/>
      <c r="BR165" s="392"/>
      <c r="BS165" s="392"/>
      <c r="BT165" s="392"/>
      <c r="BU165" s="392"/>
      <c r="BV165" s="392"/>
      <c r="BW165" s="392"/>
      <c r="BX165" s="392"/>
      <c r="BY165" s="392"/>
      <c r="BZ165" s="392"/>
      <c r="CA165" s="392"/>
      <c r="CB165" s="392"/>
      <c r="CC165" s="392"/>
      <c r="CD165" s="392"/>
      <c r="CE165" s="392"/>
      <c r="CF165" s="392"/>
      <c r="CG165" s="392"/>
      <c r="CH165" s="392"/>
      <c r="CI165" s="39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c r="DD165" s="392"/>
      <c r="DE165" s="392"/>
      <c r="DF165" s="392"/>
      <c r="DG165" s="392"/>
      <c r="DH165" s="392"/>
      <c r="DI165" s="392"/>
      <c r="DJ165" s="392"/>
      <c r="DK165" s="392"/>
      <c r="DL165" s="392"/>
      <c r="DM165" s="392"/>
      <c r="DN165" s="392"/>
      <c r="DO165" s="392"/>
      <c r="DP165" s="392"/>
      <c r="DQ165" s="392"/>
      <c r="DR165" s="392"/>
      <c r="DS165" s="392"/>
      <c r="DT165" s="392"/>
      <c r="DU165" s="392"/>
      <c r="DV165" s="392"/>
      <c r="DW165" s="392"/>
      <c r="DX165" s="392"/>
      <c r="DY165" s="392"/>
      <c r="DZ165" s="392"/>
      <c r="EA165" s="392"/>
      <c r="EB165" s="392"/>
      <c r="EC165" s="392"/>
      <c r="ED165" s="392"/>
      <c r="EE165" s="392"/>
      <c r="EF165" s="392"/>
      <c r="EG165" s="392"/>
      <c r="EH165" s="392"/>
      <c r="EI165" s="392"/>
      <c r="EJ165" s="392"/>
      <c r="EK165" s="392"/>
      <c r="EL165" s="392"/>
      <c r="EM165" s="392"/>
      <c r="EN165" s="392"/>
      <c r="EO165" s="392"/>
      <c r="EP165" s="392"/>
      <c r="EQ165" s="392"/>
      <c r="ER165" s="392"/>
      <c r="ES165" s="392"/>
      <c r="ET165" s="392"/>
      <c r="EU165" s="392"/>
      <c r="EV165" s="392"/>
      <c r="EW165" s="392"/>
      <c r="EX165" s="392"/>
      <c r="EY165" s="392"/>
      <c r="EZ165" s="392"/>
      <c r="FA165" s="392"/>
      <c r="FB165" s="392"/>
      <c r="FC165" s="392"/>
      <c r="FD165" s="392"/>
      <c r="FE165" s="392"/>
      <c r="FF165" s="392"/>
      <c r="FG165" s="392"/>
      <c r="FH165" s="392"/>
      <c r="FI165" s="392"/>
      <c r="FJ165" s="392"/>
      <c r="FK165" s="392"/>
      <c r="FL165" s="392"/>
      <c r="FM165" s="392"/>
      <c r="FN165" s="392"/>
      <c r="FO165" s="392"/>
      <c r="FP165" s="392"/>
      <c r="FQ165" s="392"/>
      <c r="FR165" s="392"/>
      <c r="FS165" s="392"/>
      <c r="FT165" s="392"/>
      <c r="FU165" s="392"/>
      <c r="FV165" s="392"/>
      <c r="FW165" s="392"/>
      <c r="FX165" s="392"/>
      <c r="FY165" s="392"/>
      <c r="FZ165" s="392"/>
      <c r="GA165" s="392"/>
      <c r="GB165" s="392"/>
      <c r="GC165" s="392"/>
      <c r="GD165" s="392"/>
      <c r="GE165" s="392"/>
      <c r="GF165" s="392"/>
      <c r="GG165" s="392"/>
      <c r="GH165" s="392"/>
      <c r="GI165" s="392"/>
      <c r="GJ165" s="392"/>
      <c r="GK165" s="392"/>
      <c r="GL165" s="392"/>
      <c r="GM165" s="392"/>
      <c r="GN165" s="392"/>
      <c r="GO165" s="392"/>
      <c r="GP165" s="392"/>
      <c r="GQ165" s="392"/>
      <c r="GR165" s="392"/>
      <c r="GS165" s="392"/>
      <c r="GT165" s="392"/>
      <c r="GU165" s="392"/>
      <c r="GV165" s="392"/>
      <c r="GW165" s="392"/>
      <c r="GX165" s="392"/>
      <c r="GY165" s="392"/>
      <c r="GZ165" s="392"/>
      <c r="HA165" s="392"/>
      <c r="HB165" s="392"/>
      <c r="HC165" s="392"/>
      <c r="HD165" s="392"/>
      <c r="HE165" s="392"/>
      <c r="HF165" s="392"/>
      <c r="HG165" s="392"/>
      <c r="HH165" s="392"/>
      <c r="HI165" s="392"/>
      <c r="HJ165" s="392"/>
      <c r="HK165" s="392"/>
      <c r="HL165" s="392"/>
      <c r="HM165" s="392"/>
      <c r="HN165" s="392"/>
      <c r="HO165" s="392"/>
      <c r="HP165" s="392"/>
      <c r="HQ165" s="392"/>
      <c r="HR165" s="392"/>
      <c r="HS165" s="392"/>
      <c r="HT165" s="392"/>
      <c r="HU165" s="392"/>
      <c r="HV165" s="392"/>
      <c r="HW165" s="392"/>
      <c r="HX165" s="392"/>
      <c r="HY165" s="392"/>
      <c r="HZ165" s="392"/>
      <c r="IA165" s="392"/>
      <c r="IB165" s="392"/>
      <c r="IC165" s="392"/>
      <c r="ID165" s="392"/>
      <c r="IE165" s="392"/>
      <c r="IF165" s="392"/>
      <c r="IG165" s="392"/>
      <c r="IH165" s="392"/>
      <c r="II165" s="392"/>
      <c r="IJ165" s="392"/>
      <c r="IK165" s="392"/>
      <c r="IL165" s="392"/>
      <c r="IM165" s="392"/>
      <c r="IN165" s="392"/>
      <c r="IO165" s="392"/>
      <c r="IP165" s="392"/>
      <c r="IQ165" s="392"/>
      <c r="IR165" s="392"/>
      <c r="IS165" s="392"/>
      <c r="IT165" s="392"/>
      <c r="IU165" s="392"/>
      <c r="IV165" s="392"/>
    </row>
    <row r="166" spans="1:256" s="381" customFormat="1" ht="16.5" thickBot="1">
      <c r="A166" s="392"/>
      <c r="B166" s="2472" t="s">
        <v>1705</v>
      </c>
      <c r="C166" s="2472"/>
      <c r="D166" s="2472"/>
      <c r="E166" s="2473"/>
      <c r="F166" s="443" t="s">
        <v>167</v>
      </c>
      <c r="G166" s="444">
        <f>TRUNC(SUM(G162:G165),2)</f>
        <v>2175.35</v>
      </c>
      <c r="H166" s="392"/>
      <c r="I166" s="392"/>
      <c r="J166" s="392"/>
      <c r="K166" s="392"/>
      <c r="L166" s="392"/>
      <c r="M166" s="392"/>
      <c r="N166" s="392"/>
      <c r="O166" s="392"/>
      <c r="P166" s="392"/>
      <c r="Q166" s="392"/>
      <c r="R166" s="392"/>
      <c r="S166" s="392"/>
      <c r="T166" s="392"/>
      <c r="U166" s="392"/>
      <c r="V166" s="392"/>
      <c r="W166" s="392"/>
      <c r="X166" s="392"/>
      <c r="Y166" s="392"/>
      <c r="Z166" s="392"/>
      <c r="AA166" s="392"/>
      <c r="AB166" s="392"/>
      <c r="AC166" s="392"/>
      <c r="AD166" s="392"/>
      <c r="AE166" s="392"/>
      <c r="AF166" s="392"/>
      <c r="AG166" s="392"/>
      <c r="AH166" s="392"/>
      <c r="AI166" s="392"/>
      <c r="AJ166" s="392"/>
      <c r="AK166" s="392"/>
      <c r="AL166" s="392"/>
      <c r="AM166" s="392"/>
      <c r="AN166" s="392"/>
      <c r="AO166" s="392"/>
      <c r="AP166" s="392"/>
      <c r="AQ166" s="392"/>
      <c r="AR166" s="392"/>
      <c r="AS166" s="392"/>
      <c r="AT166" s="392"/>
      <c r="AU166" s="392"/>
      <c r="AV166" s="392"/>
      <c r="AW166" s="392"/>
      <c r="AX166" s="392"/>
      <c r="AY166" s="392"/>
      <c r="AZ166" s="392"/>
      <c r="BA166" s="392"/>
      <c r="BB166" s="392"/>
      <c r="BC166" s="392"/>
      <c r="BD166" s="392"/>
      <c r="BE166" s="392"/>
      <c r="BF166" s="392"/>
      <c r="BG166" s="392"/>
      <c r="BH166" s="392"/>
      <c r="BI166" s="392"/>
      <c r="BJ166" s="392"/>
      <c r="BK166" s="392"/>
      <c r="BL166" s="392"/>
      <c r="BM166" s="392"/>
      <c r="BN166" s="392"/>
      <c r="BO166" s="392"/>
      <c r="BP166" s="392"/>
      <c r="BQ166" s="392"/>
      <c r="BR166" s="392"/>
      <c r="BS166" s="392"/>
      <c r="BT166" s="392"/>
      <c r="BU166" s="392"/>
      <c r="BV166" s="392"/>
      <c r="BW166" s="392"/>
      <c r="BX166" s="392"/>
      <c r="BY166" s="392"/>
      <c r="BZ166" s="392"/>
      <c r="CA166" s="392"/>
      <c r="CB166" s="392"/>
      <c r="CC166" s="392"/>
      <c r="CD166" s="392"/>
      <c r="CE166" s="392"/>
      <c r="CF166" s="392"/>
      <c r="CG166" s="392"/>
      <c r="CH166" s="392"/>
      <c r="CI166" s="39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c r="DD166" s="392"/>
      <c r="DE166" s="392"/>
      <c r="DF166" s="392"/>
      <c r="DG166" s="392"/>
      <c r="DH166" s="392"/>
      <c r="DI166" s="392"/>
      <c r="DJ166" s="392"/>
      <c r="DK166" s="392"/>
      <c r="DL166" s="392"/>
      <c r="DM166" s="392"/>
      <c r="DN166" s="392"/>
      <c r="DO166" s="392"/>
      <c r="DP166" s="392"/>
      <c r="DQ166" s="392"/>
      <c r="DR166" s="392"/>
      <c r="DS166" s="392"/>
      <c r="DT166" s="392"/>
      <c r="DU166" s="392"/>
      <c r="DV166" s="392"/>
      <c r="DW166" s="392"/>
      <c r="DX166" s="392"/>
      <c r="DY166" s="392"/>
      <c r="DZ166" s="392"/>
      <c r="EA166" s="392"/>
      <c r="EB166" s="392"/>
      <c r="EC166" s="392"/>
      <c r="ED166" s="392"/>
      <c r="EE166" s="392"/>
      <c r="EF166" s="392"/>
      <c r="EG166" s="392"/>
      <c r="EH166" s="392"/>
      <c r="EI166" s="392"/>
      <c r="EJ166" s="392"/>
      <c r="EK166" s="392"/>
      <c r="EL166" s="392"/>
      <c r="EM166" s="392"/>
      <c r="EN166" s="392"/>
      <c r="EO166" s="392"/>
      <c r="EP166" s="392"/>
      <c r="EQ166" s="392"/>
      <c r="ER166" s="392"/>
      <c r="ES166" s="392"/>
      <c r="ET166" s="392"/>
      <c r="EU166" s="392"/>
      <c r="EV166" s="392"/>
      <c r="EW166" s="392"/>
      <c r="EX166" s="392"/>
      <c r="EY166" s="392"/>
      <c r="EZ166" s="392"/>
      <c r="FA166" s="392"/>
      <c r="FB166" s="392"/>
      <c r="FC166" s="392"/>
      <c r="FD166" s="392"/>
      <c r="FE166" s="392"/>
      <c r="FF166" s="392"/>
      <c r="FG166" s="392"/>
      <c r="FH166" s="392"/>
      <c r="FI166" s="392"/>
      <c r="FJ166" s="392"/>
      <c r="FK166" s="392"/>
      <c r="FL166" s="392"/>
      <c r="FM166" s="392"/>
      <c r="FN166" s="392"/>
      <c r="FO166" s="392"/>
      <c r="FP166" s="392"/>
      <c r="FQ166" s="392"/>
      <c r="FR166" s="392"/>
      <c r="FS166" s="392"/>
      <c r="FT166" s="392"/>
      <c r="FU166" s="392"/>
      <c r="FV166" s="392"/>
      <c r="FW166" s="392"/>
      <c r="FX166" s="392"/>
      <c r="FY166" s="392"/>
      <c r="FZ166" s="392"/>
      <c r="GA166" s="392"/>
      <c r="GB166" s="392"/>
      <c r="GC166" s="392"/>
      <c r="GD166" s="392"/>
      <c r="GE166" s="392"/>
      <c r="GF166" s="392"/>
      <c r="GG166" s="392"/>
      <c r="GH166" s="392"/>
      <c r="GI166" s="392"/>
      <c r="GJ166" s="392"/>
      <c r="GK166" s="392"/>
      <c r="GL166" s="392"/>
      <c r="GM166" s="392"/>
      <c r="GN166" s="392"/>
      <c r="GO166" s="392"/>
      <c r="GP166" s="392"/>
      <c r="GQ166" s="392"/>
      <c r="GR166" s="392"/>
      <c r="GS166" s="392"/>
      <c r="GT166" s="392"/>
      <c r="GU166" s="392"/>
      <c r="GV166" s="392"/>
      <c r="GW166" s="392"/>
      <c r="GX166" s="392"/>
      <c r="GY166" s="392"/>
      <c r="GZ166" s="392"/>
      <c r="HA166" s="392"/>
      <c r="HB166" s="392"/>
      <c r="HC166" s="392"/>
      <c r="HD166" s="392"/>
      <c r="HE166" s="392"/>
      <c r="HF166" s="392"/>
      <c r="HG166" s="392"/>
      <c r="HH166" s="392"/>
      <c r="HI166" s="392"/>
      <c r="HJ166" s="392"/>
      <c r="HK166" s="392"/>
      <c r="HL166" s="392"/>
      <c r="HM166" s="392"/>
      <c r="HN166" s="392"/>
      <c r="HO166" s="392"/>
      <c r="HP166" s="392"/>
      <c r="HQ166" s="392"/>
      <c r="HR166" s="392"/>
      <c r="HS166" s="392"/>
      <c r="HT166" s="392"/>
      <c r="HU166" s="392"/>
      <c r="HV166" s="392"/>
      <c r="HW166" s="392"/>
      <c r="HX166" s="392"/>
      <c r="HY166" s="392"/>
      <c r="HZ166" s="392"/>
      <c r="IA166" s="392"/>
      <c r="IB166" s="392"/>
      <c r="IC166" s="392"/>
      <c r="ID166" s="392"/>
      <c r="IE166" s="392"/>
      <c r="IF166" s="392"/>
      <c r="IG166" s="392"/>
      <c r="IH166" s="392"/>
      <c r="II166" s="392"/>
      <c r="IJ166" s="392"/>
      <c r="IK166" s="392"/>
      <c r="IL166" s="392"/>
      <c r="IM166" s="392"/>
      <c r="IN166" s="392"/>
      <c r="IO166" s="392"/>
      <c r="IP166" s="392"/>
      <c r="IQ166" s="392"/>
      <c r="IR166" s="392"/>
      <c r="IS166" s="392"/>
      <c r="IT166" s="392"/>
      <c r="IU166" s="392"/>
      <c r="IV166" s="392"/>
    </row>
    <row r="167" spans="1:256" s="265" customFormat="1" ht="13.5" thickBot="1">
      <c r="B167" s="359"/>
      <c r="C167" s="359"/>
      <c r="D167" s="360"/>
      <c r="E167" s="361"/>
      <c r="F167" s="362"/>
      <c r="G167" s="363"/>
    </row>
    <row r="168" spans="1:256" s="265" customFormat="1" ht="15.75">
      <c r="B168" s="623" t="s">
        <v>3212</v>
      </c>
      <c r="C168" s="2180" t="s">
        <v>3208</v>
      </c>
      <c r="D168" s="2180"/>
      <c r="E168" s="2180"/>
      <c r="F168" s="2180"/>
      <c r="G168" s="624" t="s">
        <v>19</v>
      </c>
      <c r="H168" s="607"/>
    </row>
    <row r="169" spans="1:256" s="271" customFormat="1" ht="31.5">
      <c r="A169" s="333"/>
      <c r="B169" s="1093" t="s">
        <v>197</v>
      </c>
      <c r="C169" s="1094" t="s">
        <v>161</v>
      </c>
      <c r="D169" s="1094" t="s">
        <v>22</v>
      </c>
      <c r="E169" s="1094" t="s">
        <v>162</v>
      </c>
      <c r="F169" s="1095" t="s">
        <v>163</v>
      </c>
      <c r="G169" s="1096" t="s">
        <v>164</v>
      </c>
    </row>
    <row r="170" spans="1:256" s="271" customFormat="1" ht="15.75">
      <c r="A170" s="333"/>
      <c r="B170" s="2389" t="s">
        <v>2155</v>
      </c>
      <c r="C170" s="2390"/>
      <c r="D170" s="2390"/>
      <c r="E170" s="2390"/>
      <c r="F170" s="2390"/>
      <c r="G170" s="2391"/>
    </row>
    <row r="171" spans="1:256" s="271" customFormat="1" ht="45">
      <c r="A171" s="333" t="s">
        <v>391</v>
      </c>
      <c r="B171" s="1274">
        <v>90586</v>
      </c>
      <c r="C171" s="1098" t="str">
        <f>IF($A171="INSUMO",VLOOKUP($B171,'BANCO DE DADOS JANEIRO-24 INS'!$A:$D,2,FALSE),VLOOKUP($B171,'BANCO DE DADOS JANEIRO-24 SERV'!$B:$E,2,FALSE))</f>
        <v>VIBRADOR DE IMERSÃO, DIÂMETRO DE PONTEIRA 45MM, MOTOR ELÉTRICO TRIFÁSICO POTÊNCIA DE 2 CV - CHP DIURNO. AF_06/2015</v>
      </c>
      <c r="D171" s="1099" t="str">
        <f>IF($A171="INSUMO",VLOOKUP($B171,'BANCO DE DADOS JANEIRO-24 INS'!$A:$D,3,FALSE),VLOOKUP($B171,'BANCO DE DADOS JANEIRO-24 SERV'!$B:$E,3,FALSE))</f>
        <v>CHP</v>
      </c>
      <c r="E171" s="1292">
        <v>0.3</v>
      </c>
      <c r="F171" s="1146">
        <f>IF($A171="INSUMO",VLOOKUP($B171,'BANCO DE DADOS JANEIRO-24 INS'!$A:$D,4,FALSE),VLOOKUP($B171,'BANCO DE DADOS JANEIRO-24 SERV'!$B:$E,4,FALSE))</f>
        <v>1.36</v>
      </c>
      <c r="G171" s="1101">
        <f>TRUNC(E171*F171,2)</f>
        <v>0.4</v>
      </c>
    </row>
    <row r="172" spans="1:256" s="271" customFormat="1" ht="15.75">
      <c r="A172" s="333"/>
      <c r="B172" s="2389" t="s">
        <v>169</v>
      </c>
      <c r="C172" s="2390"/>
      <c r="D172" s="2390"/>
      <c r="E172" s="2390"/>
      <c r="F172" s="2390"/>
      <c r="G172" s="2391"/>
    </row>
    <row r="173" spans="1:256" s="271" customFormat="1" ht="15.75">
      <c r="A173" s="333" t="s">
        <v>391</v>
      </c>
      <c r="B173" s="1274">
        <v>88309</v>
      </c>
      <c r="C173" s="1098" t="str">
        <f>IF($A173="INSUMO",VLOOKUP($B173,'BANCO DE DADOS JANEIRO-24 INS'!$A:$D,2,FALSE),VLOOKUP($B173,'BANCO DE DADOS JANEIRO-24 SERV'!$B:$E,2,FALSE))</f>
        <v>PEDREIRO COM ENCARGOS COMPLEMENTARES</v>
      </c>
      <c r="D173" s="1099" t="str">
        <f>IF($A173="INSUMO",VLOOKUP($B173,'BANCO DE DADOS JANEIRO-24 INS'!$A:$D,3,FALSE),VLOOKUP($B173,'BANCO DE DADOS JANEIRO-24 SERV'!$B:$E,3,FALSE))</f>
        <v>H</v>
      </c>
      <c r="E173" s="1293">
        <v>1.65</v>
      </c>
      <c r="F173" s="1146">
        <f>IF($A173="INSUMO",VLOOKUP($B173,'BANCO DE DADOS JANEIRO-24 INS'!$A:$D,4,FALSE),VLOOKUP($B173,'BANCO DE DADOS JANEIRO-24 SERV'!$B:$E,4,FALSE))</f>
        <v>25.62</v>
      </c>
      <c r="G173" s="1101">
        <f>TRUNC(E173*F173,2)</f>
        <v>42.27</v>
      </c>
    </row>
    <row r="174" spans="1:256" s="271" customFormat="1" ht="16.5" thickBot="1">
      <c r="A174" s="333" t="s">
        <v>391</v>
      </c>
      <c r="B174" s="965">
        <v>88316</v>
      </c>
      <c r="C174" s="1103" t="str">
        <f>IF($A174="INSUMO",VLOOKUP($B174,'BANCO DE DADOS JANEIRO-24 INS'!$A:$D,2,FALSE),VLOOKUP($B174,'BANCO DE DADOS JANEIRO-24 SERV'!$B:$E,2,FALSE))</f>
        <v>SERVENTE COM ENCARGOS COMPLEMENTARES</v>
      </c>
      <c r="D174" s="1104" t="str">
        <f>IF($A174="INSUMO",VLOOKUP($B174,'BANCO DE DADOS JANEIRO-24 INS'!$A:$D,3,FALSE),VLOOKUP($B174,'BANCO DE DADOS JANEIRO-24 SERV'!$B:$E,3,FALSE))</f>
        <v>H</v>
      </c>
      <c r="E174" s="1294">
        <v>4.5</v>
      </c>
      <c r="F174" s="1105">
        <f>IF($A174="INSUMO",VLOOKUP($B174,'BANCO DE DADOS JANEIRO-24 INS'!$A:$D,4,FALSE),VLOOKUP($B174,'BANCO DE DADOS JANEIRO-24 SERV'!$B:$E,4,FALSE))</f>
        <v>20.32</v>
      </c>
      <c r="G174" s="1106">
        <f>TRUNC(E174*F174,2)</f>
        <v>91.44</v>
      </c>
    </row>
    <row r="175" spans="1:256" s="271" customFormat="1" ht="16.5" customHeight="1" thickBot="1">
      <c r="A175" s="333"/>
      <c r="B175" s="2472" t="s">
        <v>3207</v>
      </c>
      <c r="C175" s="2472"/>
      <c r="D175" s="2472"/>
      <c r="E175" s="2473"/>
      <c r="F175" s="263" t="s">
        <v>170</v>
      </c>
      <c r="G175" s="264">
        <f>TRUNC(SUM(G171:G174),2)</f>
        <v>134.11000000000001</v>
      </c>
      <c r="H175" s="605"/>
    </row>
    <row r="176" spans="1:256" s="381" customFormat="1" ht="364.5" customHeight="1">
      <c r="A176" s="392"/>
      <c r="B176" s="2325"/>
      <c r="C176" s="2325"/>
      <c r="D176" s="2325"/>
      <c r="E176" s="2325"/>
      <c r="F176" s="2325"/>
      <c r="G176" s="2325"/>
      <c r="H176" s="392"/>
      <c r="I176" s="392"/>
      <c r="J176" s="392"/>
      <c r="K176" s="392"/>
      <c r="L176" s="392"/>
      <c r="M176" s="392"/>
      <c r="N176" s="392"/>
      <c r="O176" s="392"/>
      <c r="P176" s="392"/>
      <c r="Q176" s="392"/>
      <c r="R176" s="392"/>
      <c r="S176" s="392"/>
      <c r="T176" s="392"/>
      <c r="U176" s="392"/>
      <c r="V176" s="392"/>
      <c r="W176" s="392"/>
      <c r="X176" s="392"/>
      <c r="Y176" s="392"/>
      <c r="Z176" s="392"/>
      <c r="AA176" s="392"/>
      <c r="AB176" s="392"/>
      <c r="AC176" s="392"/>
      <c r="AD176" s="392"/>
      <c r="AE176" s="392"/>
      <c r="AF176" s="392"/>
      <c r="AG176" s="392"/>
      <c r="AH176" s="392"/>
      <c r="AI176" s="392"/>
      <c r="AJ176" s="392"/>
      <c r="AK176" s="392"/>
      <c r="AL176" s="392"/>
      <c r="AM176" s="392"/>
      <c r="AN176" s="392"/>
      <c r="AO176" s="392"/>
      <c r="AP176" s="392"/>
      <c r="AQ176" s="392"/>
      <c r="AR176" s="392"/>
      <c r="AS176" s="392"/>
      <c r="AT176" s="392"/>
      <c r="AU176" s="392"/>
      <c r="AV176" s="392"/>
      <c r="AW176" s="392"/>
      <c r="AX176" s="392"/>
      <c r="AY176" s="392"/>
      <c r="AZ176" s="392"/>
      <c r="BA176" s="392"/>
      <c r="BB176" s="392"/>
      <c r="BC176" s="392"/>
      <c r="BD176" s="392"/>
      <c r="BE176" s="392"/>
      <c r="BF176" s="392"/>
      <c r="BG176" s="392"/>
      <c r="BH176" s="392"/>
      <c r="BI176" s="392"/>
      <c r="BJ176" s="392"/>
      <c r="BK176" s="392"/>
      <c r="BL176" s="392"/>
      <c r="BM176" s="392"/>
      <c r="BN176" s="392"/>
      <c r="BO176" s="392"/>
      <c r="BP176" s="392"/>
      <c r="BQ176" s="392"/>
      <c r="BR176" s="392"/>
      <c r="BS176" s="392"/>
      <c r="BT176" s="392"/>
      <c r="BU176" s="392"/>
      <c r="BV176" s="392"/>
      <c r="BW176" s="392"/>
      <c r="BX176" s="392"/>
      <c r="BY176" s="392"/>
      <c r="BZ176" s="392"/>
      <c r="CA176" s="392"/>
      <c r="CB176" s="392"/>
      <c r="CC176" s="392"/>
      <c r="CD176" s="392"/>
      <c r="CE176" s="392"/>
      <c r="CF176" s="392"/>
      <c r="CG176" s="392"/>
      <c r="CH176" s="392"/>
      <c r="CI176" s="392"/>
      <c r="CJ176" s="392"/>
      <c r="CK176" s="392"/>
      <c r="CL176" s="392"/>
      <c r="CM176" s="392"/>
      <c r="CN176" s="392"/>
      <c r="CO176" s="392"/>
      <c r="CP176" s="392"/>
      <c r="CQ176" s="392"/>
      <c r="CR176" s="392"/>
      <c r="CS176" s="392"/>
      <c r="CT176" s="392"/>
      <c r="CU176" s="392"/>
      <c r="CV176" s="392"/>
      <c r="CW176" s="392"/>
      <c r="CX176" s="392"/>
      <c r="CY176" s="392"/>
      <c r="CZ176" s="392"/>
      <c r="DA176" s="392"/>
      <c r="DB176" s="392"/>
      <c r="DC176" s="392"/>
      <c r="DD176" s="392"/>
      <c r="DE176" s="392"/>
      <c r="DF176" s="392"/>
      <c r="DG176" s="392"/>
      <c r="DH176" s="392"/>
      <c r="DI176" s="392"/>
      <c r="DJ176" s="392"/>
      <c r="DK176" s="392"/>
      <c r="DL176" s="392"/>
      <c r="DM176" s="392"/>
      <c r="DN176" s="392"/>
      <c r="DO176" s="392"/>
      <c r="DP176" s="392"/>
      <c r="DQ176" s="392"/>
      <c r="DR176" s="392"/>
      <c r="DS176" s="392"/>
      <c r="DT176" s="392"/>
      <c r="DU176" s="392"/>
      <c r="DV176" s="392"/>
      <c r="DW176" s="392"/>
      <c r="DX176" s="392"/>
      <c r="DY176" s="392"/>
      <c r="DZ176" s="392"/>
      <c r="EA176" s="392"/>
      <c r="EB176" s="392"/>
      <c r="EC176" s="392"/>
      <c r="ED176" s="392"/>
      <c r="EE176" s="392"/>
      <c r="EF176" s="392"/>
      <c r="EG176" s="392"/>
      <c r="EH176" s="392"/>
      <c r="EI176" s="392"/>
      <c r="EJ176" s="392"/>
      <c r="EK176" s="392"/>
      <c r="EL176" s="392"/>
      <c r="EM176" s="392"/>
      <c r="EN176" s="392"/>
      <c r="EO176" s="392"/>
      <c r="EP176" s="392"/>
      <c r="EQ176" s="392"/>
      <c r="ER176" s="392"/>
      <c r="ES176" s="392"/>
      <c r="ET176" s="392"/>
      <c r="EU176" s="392"/>
      <c r="EV176" s="392"/>
      <c r="EW176" s="392"/>
      <c r="EX176" s="392"/>
      <c r="EY176" s="392"/>
      <c r="EZ176" s="392"/>
      <c r="FA176" s="392"/>
      <c r="FB176" s="392"/>
      <c r="FC176" s="392"/>
      <c r="FD176" s="392"/>
      <c r="FE176" s="392"/>
      <c r="FF176" s="392"/>
      <c r="FG176" s="392"/>
      <c r="FH176" s="392"/>
      <c r="FI176" s="392"/>
      <c r="FJ176" s="392"/>
      <c r="FK176" s="392"/>
      <c r="FL176" s="392"/>
      <c r="FM176" s="392"/>
      <c r="FN176" s="392"/>
      <c r="FO176" s="392"/>
      <c r="FP176" s="392"/>
      <c r="FQ176" s="392"/>
      <c r="FR176" s="392"/>
      <c r="FS176" s="392"/>
      <c r="FT176" s="392"/>
      <c r="FU176" s="392"/>
      <c r="FV176" s="392"/>
      <c r="FW176" s="392"/>
      <c r="FX176" s="392"/>
      <c r="FY176" s="392"/>
      <c r="FZ176" s="392"/>
      <c r="GA176" s="392"/>
      <c r="GB176" s="392"/>
      <c r="GC176" s="392"/>
      <c r="GD176" s="392"/>
      <c r="GE176" s="392"/>
      <c r="GF176" s="392"/>
      <c r="GG176" s="392"/>
      <c r="GH176" s="392"/>
      <c r="GI176" s="392"/>
      <c r="GJ176" s="392"/>
      <c r="GK176" s="392"/>
      <c r="GL176" s="392"/>
      <c r="GM176" s="392"/>
      <c r="GN176" s="392"/>
      <c r="GO176" s="392"/>
      <c r="GP176" s="392"/>
      <c r="GQ176" s="392"/>
      <c r="GR176" s="392"/>
      <c r="GS176" s="392"/>
      <c r="GT176" s="392"/>
      <c r="GU176" s="392"/>
      <c r="GV176" s="392"/>
      <c r="GW176" s="392"/>
      <c r="GX176" s="392"/>
      <c r="GY176" s="392"/>
      <c r="GZ176" s="392"/>
      <c r="HA176" s="392"/>
      <c r="HB176" s="392"/>
      <c r="HC176" s="392"/>
      <c r="HD176" s="392"/>
      <c r="HE176" s="392"/>
      <c r="HF176" s="392"/>
      <c r="HG176" s="392"/>
      <c r="HH176" s="392"/>
      <c r="HI176" s="392"/>
      <c r="HJ176" s="392"/>
      <c r="HK176" s="392"/>
      <c r="HL176" s="392"/>
      <c r="HM176" s="392"/>
      <c r="HN176" s="392"/>
      <c r="HO176" s="392"/>
      <c r="HP176" s="392"/>
      <c r="HQ176" s="392"/>
      <c r="HR176" s="392"/>
      <c r="HS176" s="392"/>
      <c r="HT176" s="392"/>
      <c r="HU176" s="392"/>
      <c r="HV176" s="392"/>
      <c r="HW176" s="392"/>
      <c r="HX176" s="392"/>
      <c r="HY176" s="392"/>
      <c r="HZ176" s="392"/>
      <c r="IA176" s="392"/>
      <c r="IB176" s="392"/>
      <c r="IC176" s="392"/>
      <c r="ID176" s="392"/>
      <c r="IE176" s="392"/>
      <c r="IF176" s="392"/>
      <c r="IG176" s="392"/>
      <c r="IH176" s="392"/>
      <c r="II176" s="392"/>
      <c r="IJ176" s="392"/>
      <c r="IK176" s="392"/>
      <c r="IL176" s="392"/>
      <c r="IM176" s="392"/>
      <c r="IN176" s="392"/>
      <c r="IO176" s="392"/>
      <c r="IP176" s="392"/>
      <c r="IQ176" s="392"/>
      <c r="IR176" s="392"/>
      <c r="IS176" s="392"/>
      <c r="IT176" s="392"/>
      <c r="IU176" s="392"/>
      <c r="IV176" s="392"/>
    </row>
    <row r="177" spans="1:256" s="381" customFormat="1" ht="324.75" customHeight="1" thickBot="1">
      <c r="A177" s="392"/>
      <c r="B177" s="2326"/>
      <c r="C177" s="2326"/>
      <c r="D177" s="2326"/>
      <c r="E177" s="2326"/>
      <c r="F177" s="2326"/>
      <c r="G177" s="2326"/>
      <c r="H177" s="392"/>
      <c r="I177" s="392"/>
      <c r="J177" s="392"/>
      <c r="K177" s="392"/>
      <c r="L177" s="392"/>
      <c r="M177" s="392"/>
      <c r="N177" s="392"/>
      <c r="O177" s="392"/>
      <c r="P177" s="392"/>
      <c r="Q177" s="392"/>
      <c r="R177" s="392"/>
      <c r="S177" s="392"/>
      <c r="T177" s="392"/>
      <c r="U177" s="392"/>
      <c r="V177" s="392"/>
      <c r="W177" s="392"/>
      <c r="X177" s="392"/>
      <c r="Y177" s="392"/>
      <c r="Z177" s="392"/>
      <c r="AA177" s="392"/>
      <c r="AB177" s="392"/>
      <c r="AC177" s="392"/>
      <c r="AD177" s="392"/>
      <c r="AE177" s="392"/>
      <c r="AF177" s="392"/>
      <c r="AG177" s="392"/>
      <c r="AH177" s="392"/>
      <c r="AI177" s="392"/>
      <c r="AJ177" s="392"/>
      <c r="AK177" s="392"/>
      <c r="AL177" s="392"/>
      <c r="AM177" s="392"/>
      <c r="AN177" s="392"/>
      <c r="AO177" s="392"/>
      <c r="AP177" s="392"/>
      <c r="AQ177" s="392"/>
      <c r="AR177" s="392"/>
      <c r="AS177" s="392"/>
      <c r="AT177" s="392"/>
      <c r="AU177" s="392"/>
      <c r="AV177" s="392"/>
      <c r="AW177" s="392"/>
      <c r="AX177" s="392"/>
      <c r="AY177" s="392"/>
      <c r="AZ177" s="392"/>
      <c r="BA177" s="392"/>
      <c r="BB177" s="392"/>
      <c r="BC177" s="392"/>
      <c r="BD177" s="392"/>
      <c r="BE177" s="392"/>
      <c r="BF177" s="392"/>
      <c r="BG177" s="392"/>
      <c r="BH177" s="392"/>
      <c r="BI177" s="392"/>
      <c r="BJ177" s="392"/>
      <c r="BK177" s="392"/>
      <c r="BL177" s="392"/>
      <c r="BM177" s="392"/>
      <c r="BN177" s="392"/>
      <c r="BO177" s="392"/>
      <c r="BP177" s="392"/>
      <c r="BQ177" s="392"/>
      <c r="BR177" s="392"/>
      <c r="BS177" s="392"/>
      <c r="BT177" s="392"/>
      <c r="BU177" s="392"/>
      <c r="BV177" s="392"/>
      <c r="BW177" s="392"/>
      <c r="BX177" s="392"/>
      <c r="BY177" s="392"/>
      <c r="BZ177" s="392"/>
      <c r="CA177" s="392"/>
      <c r="CB177" s="392"/>
      <c r="CC177" s="392"/>
      <c r="CD177" s="392"/>
      <c r="CE177" s="392"/>
      <c r="CF177" s="392"/>
      <c r="CG177" s="392"/>
      <c r="CH177" s="392"/>
      <c r="CI177" s="392"/>
      <c r="CJ177" s="392"/>
      <c r="CK177" s="392"/>
      <c r="CL177" s="392"/>
      <c r="CM177" s="392"/>
      <c r="CN177" s="392"/>
      <c r="CO177" s="392"/>
      <c r="CP177" s="392"/>
      <c r="CQ177" s="392"/>
      <c r="CR177" s="392"/>
      <c r="CS177" s="392"/>
      <c r="CT177" s="392"/>
      <c r="CU177" s="392"/>
      <c r="CV177" s="392"/>
      <c r="CW177" s="392"/>
      <c r="CX177" s="392"/>
      <c r="CY177" s="392"/>
      <c r="CZ177" s="392"/>
      <c r="DA177" s="392"/>
      <c r="DB177" s="392"/>
      <c r="DC177" s="392"/>
      <c r="DD177" s="392"/>
      <c r="DE177" s="392"/>
      <c r="DF177" s="392"/>
      <c r="DG177" s="392"/>
      <c r="DH177" s="392"/>
      <c r="DI177" s="392"/>
      <c r="DJ177" s="392"/>
      <c r="DK177" s="392"/>
      <c r="DL177" s="392"/>
      <c r="DM177" s="392"/>
      <c r="DN177" s="392"/>
      <c r="DO177" s="392"/>
      <c r="DP177" s="392"/>
      <c r="DQ177" s="392"/>
      <c r="DR177" s="392"/>
      <c r="DS177" s="392"/>
      <c r="DT177" s="392"/>
      <c r="DU177" s="392"/>
      <c r="DV177" s="392"/>
      <c r="DW177" s="392"/>
      <c r="DX177" s="392"/>
      <c r="DY177" s="392"/>
      <c r="DZ177" s="392"/>
      <c r="EA177" s="392"/>
      <c r="EB177" s="392"/>
      <c r="EC177" s="392"/>
      <c r="ED177" s="392"/>
      <c r="EE177" s="392"/>
      <c r="EF177" s="392"/>
      <c r="EG177" s="392"/>
      <c r="EH177" s="392"/>
      <c r="EI177" s="392"/>
      <c r="EJ177" s="392"/>
      <c r="EK177" s="392"/>
      <c r="EL177" s="392"/>
      <c r="EM177" s="392"/>
      <c r="EN177" s="392"/>
      <c r="EO177" s="392"/>
      <c r="EP177" s="392"/>
      <c r="EQ177" s="392"/>
      <c r="ER177" s="392"/>
      <c r="ES177" s="392"/>
      <c r="ET177" s="392"/>
      <c r="EU177" s="392"/>
      <c r="EV177" s="392"/>
      <c r="EW177" s="392"/>
      <c r="EX177" s="392"/>
      <c r="EY177" s="392"/>
      <c r="EZ177" s="392"/>
      <c r="FA177" s="392"/>
      <c r="FB177" s="392"/>
      <c r="FC177" s="392"/>
      <c r="FD177" s="392"/>
      <c r="FE177" s="392"/>
      <c r="FF177" s="392"/>
      <c r="FG177" s="392"/>
      <c r="FH177" s="392"/>
      <c r="FI177" s="392"/>
      <c r="FJ177" s="392"/>
      <c r="FK177" s="392"/>
      <c r="FL177" s="392"/>
      <c r="FM177" s="392"/>
      <c r="FN177" s="392"/>
      <c r="FO177" s="392"/>
      <c r="FP177" s="392"/>
      <c r="FQ177" s="392"/>
      <c r="FR177" s="392"/>
      <c r="FS177" s="392"/>
      <c r="FT177" s="392"/>
      <c r="FU177" s="392"/>
      <c r="FV177" s="392"/>
      <c r="FW177" s="392"/>
      <c r="FX177" s="392"/>
      <c r="FY177" s="392"/>
      <c r="FZ177" s="392"/>
      <c r="GA177" s="392"/>
      <c r="GB177" s="392"/>
      <c r="GC177" s="392"/>
      <c r="GD177" s="392"/>
      <c r="GE177" s="392"/>
      <c r="GF177" s="392"/>
      <c r="GG177" s="392"/>
      <c r="GH177" s="392"/>
      <c r="GI177" s="392"/>
      <c r="GJ177" s="392"/>
      <c r="GK177" s="392"/>
      <c r="GL177" s="392"/>
      <c r="GM177" s="392"/>
      <c r="GN177" s="392"/>
      <c r="GO177" s="392"/>
      <c r="GP177" s="392"/>
      <c r="GQ177" s="392"/>
      <c r="GR177" s="392"/>
      <c r="GS177" s="392"/>
      <c r="GT177" s="392"/>
      <c r="GU177" s="392"/>
      <c r="GV177" s="392"/>
      <c r="GW177" s="392"/>
      <c r="GX177" s="392"/>
      <c r="GY177" s="392"/>
      <c r="GZ177" s="392"/>
      <c r="HA177" s="392"/>
      <c r="HB177" s="392"/>
      <c r="HC177" s="392"/>
      <c r="HD177" s="392"/>
      <c r="HE177" s="392"/>
      <c r="HF177" s="392"/>
      <c r="HG177" s="392"/>
      <c r="HH177" s="392"/>
      <c r="HI177" s="392"/>
      <c r="HJ177" s="392"/>
      <c r="HK177" s="392"/>
      <c r="HL177" s="392"/>
      <c r="HM177" s="392"/>
      <c r="HN177" s="392"/>
      <c r="HO177" s="392"/>
      <c r="HP177" s="392"/>
      <c r="HQ177" s="392"/>
      <c r="HR177" s="392"/>
      <c r="HS177" s="392"/>
      <c r="HT177" s="392"/>
      <c r="HU177" s="392"/>
      <c r="HV177" s="392"/>
      <c r="HW177" s="392"/>
      <c r="HX177" s="392"/>
      <c r="HY177" s="392"/>
      <c r="HZ177" s="392"/>
      <c r="IA177" s="392"/>
      <c r="IB177" s="392"/>
      <c r="IC177" s="392"/>
      <c r="ID177" s="392"/>
      <c r="IE177" s="392"/>
      <c r="IF177" s="392"/>
      <c r="IG177" s="392"/>
      <c r="IH177" s="392"/>
      <c r="II177" s="392"/>
      <c r="IJ177" s="392"/>
      <c r="IK177" s="392"/>
      <c r="IL177" s="392"/>
      <c r="IM177" s="392"/>
      <c r="IN177" s="392"/>
      <c r="IO177" s="392"/>
      <c r="IP177" s="392"/>
      <c r="IQ177" s="392"/>
      <c r="IR177" s="392"/>
      <c r="IS177" s="392"/>
      <c r="IT177" s="392"/>
      <c r="IU177" s="392"/>
      <c r="IV177" s="392"/>
    </row>
    <row r="178" spans="1:256" s="381" customFormat="1" ht="31.5">
      <c r="A178" s="392"/>
      <c r="B178" s="581" t="s">
        <v>1706</v>
      </c>
      <c r="C178" s="2327" t="s">
        <v>2090</v>
      </c>
      <c r="D178" s="2328"/>
      <c r="E178" s="2328"/>
      <c r="F178" s="2329"/>
      <c r="G178" s="554" t="s">
        <v>22</v>
      </c>
      <c r="H178" s="392"/>
      <c r="I178" s="392"/>
      <c r="J178" s="392"/>
      <c r="K178" s="392"/>
      <c r="L178" s="392"/>
      <c r="M178" s="392"/>
      <c r="N178" s="392"/>
      <c r="O178" s="392"/>
      <c r="P178" s="392"/>
      <c r="Q178" s="392"/>
      <c r="R178" s="392"/>
      <c r="S178" s="392"/>
      <c r="T178" s="392"/>
      <c r="U178" s="392"/>
      <c r="V178" s="392"/>
      <c r="W178" s="392"/>
      <c r="X178" s="392"/>
      <c r="Y178" s="392"/>
      <c r="Z178" s="392"/>
      <c r="AA178" s="392"/>
      <c r="AB178" s="392"/>
      <c r="AC178" s="392"/>
      <c r="AD178" s="392"/>
      <c r="AE178" s="392"/>
      <c r="AF178" s="392"/>
      <c r="AG178" s="392"/>
      <c r="AH178" s="392"/>
      <c r="AI178" s="392"/>
      <c r="AJ178" s="392"/>
      <c r="AK178" s="392"/>
      <c r="AL178" s="392"/>
      <c r="AM178" s="392"/>
      <c r="AN178" s="392"/>
      <c r="AO178" s="392"/>
      <c r="AP178" s="392"/>
      <c r="AQ178" s="392"/>
      <c r="AR178" s="392"/>
      <c r="AS178" s="392"/>
      <c r="AT178" s="392"/>
      <c r="AU178" s="392"/>
      <c r="AV178" s="392"/>
      <c r="AW178" s="392"/>
      <c r="AX178" s="392"/>
      <c r="AY178" s="392"/>
      <c r="AZ178" s="392"/>
      <c r="BA178" s="392"/>
      <c r="BB178" s="392"/>
      <c r="BC178" s="392"/>
      <c r="BD178" s="392"/>
      <c r="BE178" s="392"/>
      <c r="BF178" s="392"/>
      <c r="BG178" s="392"/>
      <c r="BH178" s="392"/>
      <c r="BI178" s="392"/>
      <c r="BJ178" s="392"/>
      <c r="BK178" s="392"/>
      <c r="BL178" s="392"/>
      <c r="BM178" s="392"/>
      <c r="BN178" s="392"/>
      <c r="BO178" s="392"/>
      <c r="BP178" s="392"/>
      <c r="BQ178" s="392"/>
      <c r="BR178" s="392"/>
      <c r="BS178" s="392"/>
      <c r="BT178" s="392"/>
      <c r="BU178" s="392"/>
      <c r="BV178" s="392"/>
      <c r="BW178" s="392"/>
      <c r="BX178" s="392"/>
      <c r="BY178" s="392"/>
      <c r="BZ178" s="392"/>
      <c r="CA178" s="392"/>
      <c r="CB178" s="392"/>
      <c r="CC178" s="392"/>
      <c r="CD178" s="392"/>
      <c r="CE178" s="392"/>
      <c r="CF178" s="392"/>
      <c r="CG178" s="392"/>
      <c r="CH178" s="392"/>
      <c r="CI178" s="392"/>
      <c r="CJ178" s="392"/>
      <c r="CK178" s="392"/>
      <c r="CL178" s="392"/>
      <c r="CM178" s="392"/>
      <c r="CN178" s="392"/>
      <c r="CO178" s="392"/>
      <c r="CP178" s="392"/>
      <c r="CQ178" s="392"/>
      <c r="CR178" s="392"/>
      <c r="CS178" s="392"/>
      <c r="CT178" s="392"/>
      <c r="CU178" s="392"/>
      <c r="CV178" s="392"/>
      <c r="CW178" s="392"/>
      <c r="CX178" s="392"/>
      <c r="CY178" s="392"/>
      <c r="CZ178" s="392"/>
      <c r="DA178" s="392"/>
      <c r="DB178" s="392"/>
      <c r="DC178" s="392"/>
      <c r="DD178" s="392"/>
      <c r="DE178" s="392"/>
      <c r="DF178" s="392"/>
      <c r="DG178" s="392"/>
      <c r="DH178" s="392"/>
      <c r="DI178" s="392"/>
      <c r="DJ178" s="392"/>
      <c r="DK178" s="392"/>
      <c r="DL178" s="392"/>
      <c r="DM178" s="392"/>
      <c r="DN178" s="392"/>
      <c r="DO178" s="392"/>
      <c r="DP178" s="392"/>
      <c r="DQ178" s="392"/>
      <c r="DR178" s="392"/>
      <c r="DS178" s="392"/>
      <c r="DT178" s="392"/>
      <c r="DU178" s="392"/>
      <c r="DV178" s="392"/>
      <c r="DW178" s="392"/>
      <c r="DX178" s="392"/>
      <c r="DY178" s="392"/>
      <c r="DZ178" s="392"/>
      <c r="EA178" s="392"/>
      <c r="EB178" s="392"/>
      <c r="EC178" s="392"/>
      <c r="ED178" s="392"/>
      <c r="EE178" s="392"/>
      <c r="EF178" s="392"/>
      <c r="EG178" s="392"/>
      <c r="EH178" s="392"/>
      <c r="EI178" s="392"/>
      <c r="EJ178" s="392"/>
      <c r="EK178" s="392"/>
      <c r="EL178" s="392"/>
      <c r="EM178" s="392"/>
      <c r="EN178" s="392"/>
      <c r="EO178" s="392"/>
      <c r="EP178" s="392"/>
      <c r="EQ178" s="392"/>
      <c r="ER178" s="392"/>
      <c r="ES178" s="392"/>
      <c r="ET178" s="392"/>
      <c r="EU178" s="392"/>
      <c r="EV178" s="392"/>
      <c r="EW178" s="392"/>
      <c r="EX178" s="392"/>
      <c r="EY178" s="392"/>
      <c r="EZ178" s="392"/>
      <c r="FA178" s="392"/>
      <c r="FB178" s="392"/>
      <c r="FC178" s="392"/>
      <c r="FD178" s="392"/>
      <c r="FE178" s="392"/>
      <c r="FF178" s="392"/>
      <c r="FG178" s="392"/>
      <c r="FH178" s="392"/>
      <c r="FI178" s="392"/>
      <c r="FJ178" s="392"/>
      <c r="FK178" s="392"/>
      <c r="FL178" s="392"/>
      <c r="FM178" s="392"/>
      <c r="FN178" s="392"/>
      <c r="FO178" s="392"/>
      <c r="FP178" s="392"/>
      <c r="FQ178" s="392"/>
      <c r="FR178" s="392"/>
      <c r="FS178" s="392"/>
      <c r="FT178" s="392"/>
      <c r="FU178" s="392"/>
      <c r="FV178" s="392"/>
      <c r="FW178" s="392"/>
      <c r="FX178" s="392"/>
      <c r="FY178" s="392"/>
      <c r="FZ178" s="392"/>
      <c r="GA178" s="392"/>
      <c r="GB178" s="392"/>
      <c r="GC178" s="392"/>
      <c r="GD178" s="392"/>
      <c r="GE178" s="392"/>
      <c r="GF178" s="392"/>
      <c r="GG178" s="392"/>
      <c r="GH178" s="392"/>
      <c r="GI178" s="392"/>
      <c r="GJ178" s="392"/>
      <c r="GK178" s="392"/>
      <c r="GL178" s="392"/>
      <c r="GM178" s="392"/>
      <c r="GN178" s="392"/>
      <c r="GO178" s="392"/>
      <c r="GP178" s="392"/>
      <c r="GQ178" s="392"/>
      <c r="GR178" s="392"/>
      <c r="GS178" s="392"/>
      <c r="GT178" s="392"/>
      <c r="GU178" s="392"/>
      <c r="GV178" s="392"/>
      <c r="GW178" s="392"/>
      <c r="GX178" s="392"/>
      <c r="GY178" s="392"/>
      <c r="GZ178" s="392"/>
      <c r="HA178" s="392"/>
      <c r="HB178" s="392"/>
      <c r="HC178" s="392"/>
      <c r="HD178" s="392"/>
      <c r="HE178" s="392"/>
      <c r="HF178" s="392"/>
      <c r="HG178" s="392"/>
      <c r="HH178" s="392"/>
      <c r="HI178" s="392"/>
      <c r="HJ178" s="392"/>
      <c r="HK178" s="392"/>
      <c r="HL178" s="392"/>
      <c r="HM178" s="392"/>
      <c r="HN178" s="392"/>
      <c r="HO178" s="392"/>
      <c r="HP178" s="392"/>
      <c r="HQ178" s="392"/>
      <c r="HR178" s="392"/>
      <c r="HS178" s="392"/>
      <c r="HT178" s="392"/>
      <c r="HU178" s="392"/>
      <c r="HV178" s="392"/>
      <c r="HW178" s="392"/>
      <c r="HX178" s="392"/>
      <c r="HY178" s="392"/>
      <c r="HZ178" s="392"/>
      <c r="IA178" s="392"/>
      <c r="IB178" s="392"/>
      <c r="IC178" s="392"/>
      <c r="ID178" s="392"/>
      <c r="IE178" s="392"/>
      <c r="IF178" s="392"/>
      <c r="IG178" s="392"/>
      <c r="IH178" s="392"/>
      <c r="II178" s="392"/>
      <c r="IJ178" s="392"/>
      <c r="IK178" s="392"/>
      <c r="IL178" s="392"/>
      <c r="IM178" s="392"/>
      <c r="IN178" s="392"/>
      <c r="IO178" s="392"/>
      <c r="IP178" s="392"/>
      <c r="IQ178" s="392"/>
      <c r="IR178" s="392"/>
      <c r="IS178" s="392"/>
      <c r="IT178" s="392"/>
      <c r="IU178" s="392"/>
      <c r="IV178" s="392"/>
    </row>
    <row r="179" spans="1:256" s="381" customFormat="1" ht="31.5">
      <c r="A179" s="392"/>
      <c r="B179" s="1093" t="s">
        <v>1708</v>
      </c>
      <c r="C179" s="1152" t="s">
        <v>161</v>
      </c>
      <c r="D179" s="1152" t="s">
        <v>22</v>
      </c>
      <c r="E179" s="2474" t="s">
        <v>162</v>
      </c>
      <c r="F179" s="2475"/>
      <c r="G179" s="2476"/>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c r="AE179" s="392"/>
      <c r="AF179" s="392"/>
      <c r="AG179" s="392"/>
      <c r="AH179" s="392"/>
      <c r="AI179" s="392"/>
      <c r="AJ179" s="392"/>
      <c r="AK179" s="392"/>
      <c r="AL179" s="392"/>
      <c r="AM179" s="392"/>
      <c r="AN179" s="392"/>
      <c r="AO179" s="392"/>
      <c r="AP179" s="392"/>
      <c r="AQ179" s="392"/>
      <c r="AR179" s="392"/>
      <c r="AS179" s="392"/>
      <c r="AT179" s="392"/>
      <c r="AU179" s="392"/>
      <c r="AV179" s="392"/>
      <c r="AW179" s="392"/>
      <c r="AX179" s="392"/>
      <c r="AY179" s="392"/>
      <c r="AZ179" s="392"/>
      <c r="BA179" s="392"/>
      <c r="BB179" s="392"/>
      <c r="BC179" s="392"/>
      <c r="BD179" s="392"/>
      <c r="BE179" s="392"/>
      <c r="BF179" s="392"/>
      <c r="BG179" s="392"/>
      <c r="BH179" s="392"/>
      <c r="BI179" s="392"/>
      <c r="BJ179" s="392"/>
      <c r="BK179" s="392"/>
      <c r="BL179" s="392"/>
      <c r="BM179" s="392"/>
      <c r="BN179" s="392"/>
      <c r="BO179" s="392"/>
      <c r="BP179" s="392"/>
      <c r="BQ179" s="392"/>
      <c r="BR179" s="392"/>
      <c r="BS179" s="392"/>
      <c r="BT179" s="392"/>
      <c r="BU179" s="392"/>
      <c r="BV179" s="392"/>
      <c r="BW179" s="392"/>
      <c r="BX179" s="392"/>
      <c r="BY179" s="392"/>
      <c r="BZ179" s="392"/>
      <c r="CA179" s="392"/>
      <c r="CB179" s="392"/>
      <c r="CC179" s="392"/>
      <c r="CD179" s="392"/>
      <c r="CE179" s="392"/>
      <c r="CF179" s="392"/>
      <c r="CG179" s="392"/>
      <c r="CH179" s="392"/>
      <c r="CI179" s="392"/>
      <c r="CJ179" s="392"/>
      <c r="CK179" s="392"/>
      <c r="CL179" s="392"/>
      <c r="CM179" s="392"/>
      <c r="CN179" s="392"/>
      <c r="CO179" s="392"/>
      <c r="CP179" s="392"/>
      <c r="CQ179" s="392"/>
      <c r="CR179" s="392"/>
      <c r="CS179" s="392"/>
      <c r="CT179" s="392"/>
      <c r="CU179" s="392"/>
      <c r="CV179" s="392"/>
      <c r="CW179" s="392"/>
      <c r="CX179" s="392"/>
      <c r="CY179" s="392"/>
      <c r="CZ179" s="392"/>
      <c r="DA179" s="392"/>
      <c r="DB179" s="392"/>
      <c r="DC179" s="392"/>
      <c r="DD179" s="392"/>
      <c r="DE179" s="392"/>
      <c r="DF179" s="392"/>
      <c r="DG179" s="392"/>
      <c r="DH179" s="392"/>
      <c r="DI179" s="392"/>
      <c r="DJ179" s="392"/>
      <c r="DK179" s="392"/>
      <c r="DL179" s="392"/>
      <c r="DM179" s="392"/>
      <c r="DN179" s="392"/>
      <c r="DO179" s="392"/>
      <c r="DP179" s="392"/>
      <c r="DQ179" s="392"/>
      <c r="DR179" s="392"/>
      <c r="DS179" s="392"/>
      <c r="DT179" s="392"/>
      <c r="DU179" s="392"/>
      <c r="DV179" s="392"/>
      <c r="DW179" s="392"/>
      <c r="DX179" s="392"/>
      <c r="DY179" s="392"/>
      <c r="DZ179" s="392"/>
      <c r="EA179" s="392"/>
      <c r="EB179" s="392"/>
      <c r="EC179" s="392"/>
      <c r="ED179" s="392"/>
      <c r="EE179" s="392"/>
      <c r="EF179" s="392"/>
      <c r="EG179" s="392"/>
      <c r="EH179" s="392"/>
      <c r="EI179" s="392"/>
      <c r="EJ179" s="392"/>
      <c r="EK179" s="392"/>
      <c r="EL179" s="392"/>
      <c r="EM179" s="392"/>
      <c r="EN179" s="392"/>
      <c r="EO179" s="392"/>
      <c r="EP179" s="392"/>
      <c r="EQ179" s="392"/>
      <c r="ER179" s="392"/>
      <c r="ES179" s="392"/>
      <c r="ET179" s="392"/>
      <c r="EU179" s="392"/>
      <c r="EV179" s="392"/>
      <c r="EW179" s="392"/>
      <c r="EX179" s="392"/>
      <c r="EY179" s="392"/>
      <c r="EZ179" s="392"/>
      <c r="FA179" s="392"/>
      <c r="FB179" s="392"/>
      <c r="FC179" s="392"/>
      <c r="FD179" s="392"/>
      <c r="FE179" s="392"/>
      <c r="FF179" s="392"/>
      <c r="FG179" s="392"/>
      <c r="FH179" s="392"/>
      <c r="FI179" s="392"/>
      <c r="FJ179" s="392"/>
      <c r="FK179" s="392"/>
      <c r="FL179" s="392"/>
      <c r="FM179" s="392"/>
      <c r="FN179" s="392"/>
      <c r="FO179" s="392"/>
      <c r="FP179" s="392"/>
      <c r="FQ179" s="392"/>
      <c r="FR179" s="392"/>
      <c r="FS179" s="392"/>
      <c r="FT179" s="392"/>
      <c r="FU179" s="392"/>
      <c r="FV179" s="392"/>
      <c r="FW179" s="392"/>
      <c r="FX179" s="392"/>
      <c r="FY179" s="392"/>
      <c r="FZ179" s="392"/>
      <c r="GA179" s="392"/>
      <c r="GB179" s="392"/>
      <c r="GC179" s="392"/>
      <c r="GD179" s="392"/>
      <c r="GE179" s="392"/>
      <c r="GF179" s="392"/>
      <c r="GG179" s="392"/>
      <c r="GH179" s="392"/>
      <c r="GI179" s="392"/>
      <c r="GJ179" s="392"/>
      <c r="GK179" s="392"/>
      <c r="GL179" s="392"/>
      <c r="GM179" s="392"/>
      <c r="GN179" s="392"/>
      <c r="GO179" s="392"/>
      <c r="GP179" s="392"/>
      <c r="GQ179" s="392"/>
      <c r="GR179" s="392"/>
      <c r="GS179" s="392"/>
      <c r="GT179" s="392"/>
      <c r="GU179" s="392"/>
      <c r="GV179" s="392"/>
      <c r="GW179" s="392"/>
      <c r="GX179" s="392"/>
      <c r="GY179" s="392"/>
      <c r="GZ179" s="392"/>
      <c r="HA179" s="392"/>
      <c r="HB179" s="392"/>
      <c r="HC179" s="392"/>
      <c r="HD179" s="392"/>
      <c r="HE179" s="392"/>
      <c r="HF179" s="392"/>
      <c r="HG179" s="392"/>
      <c r="HH179" s="392"/>
      <c r="HI179" s="392"/>
      <c r="HJ179" s="392"/>
      <c r="HK179" s="392"/>
      <c r="HL179" s="392"/>
      <c r="HM179" s="392"/>
      <c r="HN179" s="392"/>
      <c r="HO179" s="392"/>
      <c r="HP179" s="392"/>
      <c r="HQ179" s="392"/>
      <c r="HR179" s="392"/>
      <c r="HS179" s="392"/>
      <c r="HT179" s="392"/>
      <c r="HU179" s="392"/>
      <c r="HV179" s="392"/>
      <c r="HW179" s="392"/>
      <c r="HX179" s="392"/>
      <c r="HY179" s="392"/>
      <c r="HZ179" s="392"/>
      <c r="IA179" s="392"/>
      <c r="IB179" s="392"/>
      <c r="IC179" s="392"/>
      <c r="ID179" s="392"/>
      <c r="IE179" s="392"/>
      <c r="IF179" s="392"/>
      <c r="IG179" s="392"/>
      <c r="IH179" s="392"/>
      <c r="II179" s="392"/>
      <c r="IJ179" s="392"/>
      <c r="IK179" s="392"/>
      <c r="IL179" s="392"/>
      <c r="IM179" s="392"/>
      <c r="IN179" s="392"/>
      <c r="IO179" s="392"/>
      <c r="IP179" s="392"/>
      <c r="IQ179" s="392"/>
      <c r="IR179" s="392"/>
      <c r="IS179" s="392"/>
      <c r="IT179" s="392"/>
      <c r="IU179" s="392"/>
      <c r="IV179" s="392"/>
    </row>
    <row r="180" spans="1:256" s="381" customFormat="1" ht="15.75">
      <c r="A180" s="392"/>
      <c r="B180" s="2389" t="s">
        <v>165</v>
      </c>
      <c r="C180" s="2390"/>
      <c r="D180" s="2390"/>
      <c r="E180" s="2390"/>
      <c r="F180" s="2390"/>
      <c r="G180" s="2391"/>
      <c r="H180" s="392"/>
      <c r="I180" s="392"/>
      <c r="J180" s="392"/>
      <c r="K180" s="392"/>
      <c r="L180" s="392"/>
      <c r="M180" s="392"/>
      <c r="N180" s="392"/>
      <c r="O180" s="392"/>
      <c r="P180" s="392"/>
      <c r="Q180" s="392"/>
      <c r="R180" s="392"/>
      <c r="S180" s="392"/>
      <c r="T180" s="392"/>
      <c r="U180" s="392"/>
      <c r="V180" s="392"/>
      <c r="W180" s="392"/>
      <c r="X180" s="392"/>
      <c r="Y180" s="392"/>
      <c r="Z180" s="392"/>
      <c r="AA180" s="392"/>
      <c r="AB180" s="392"/>
      <c r="AC180" s="392"/>
      <c r="AD180" s="392"/>
      <c r="AE180" s="392"/>
      <c r="AF180" s="392"/>
      <c r="AG180" s="392"/>
      <c r="AH180" s="392"/>
      <c r="AI180" s="392"/>
      <c r="AJ180" s="392"/>
      <c r="AK180" s="392"/>
      <c r="AL180" s="392"/>
      <c r="AM180" s="392"/>
      <c r="AN180" s="392"/>
      <c r="AO180" s="392"/>
      <c r="AP180" s="392"/>
      <c r="AQ180" s="392"/>
      <c r="AR180" s="392"/>
      <c r="AS180" s="392"/>
      <c r="AT180" s="392"/>
      <c r="AU180" s="392"/>
      <c r="AV180" s="392"/>
      <c r="AW180" s="392"/>
      <c r="AX180" s="392"/>
      <c r="AY180" s="392"/>
      <c r="AZ180" s="392"/>
      <c r="BA180" s="392"/>
      <c r="BB180" s="392"/>
      <c r="BC180" s="392"/>
      <c r="BD180" s="392"/>
      <c r="BE180" s="392"/>
      <c r="BF180" s="392"/>
      <c r="BG180" s="392"/>
      <c r="BH180" s="392"/>
      <c r="BI180" s="392"/>
      <c r="BJ180" s="392"/>
      <c r="BK180" s="392"/>
      <c r="BL180" s="392"/>
      <c r="BM180" s="392"/>
      <c r="BN180" s="392"/>
      <c r="BO180" s="392"/>
      <c r="BP180" s="392"/>
      <c r="BQ180" s="392"/>
      <c r="BR180" s="392"/>
      <c r="BS180" s="392"/>
      <c r="BT180" s="392"/>
      <c r="BU180" s="392"/>
      <c r="BV180" s="392"/>
      <c r="BW180" s="392"/>
      <c r="BX180" s="392"/>
      <c r="BY180" s="392"/>
      <c r="BZ180" s="392"/>
      <c r="CA180" s="392"/>
      <c r="CB180" s="392"/>
      <c r="CC180" s="392"/>
      <c r="CD180" s="392"/>
      <c r="CE180" s="392"/>
      <c r="CF180" s="392"/>
      <c r="CG180" s="392"/>
      <c r="CH180" s="392"/>
      <c r="CI180" s="392"/>
      <c r="CJ180" s="392"/>
      <c r="CK180" s="392"/>
      <c r="CL180" s="392"/>
      <c r="CM180" s="392"/>
      <c r="CN180" s="392"/>
      <c r="CO180" s="392"/>
      <c r="CP180" s="392"/>
      <c r="CQ180" s="392"/>
      <c r="CR180" s="392"/>
      <c r="CS180" s="392"/>
      <c r="CT180" s="392"/>
      <c r="CU180" s="392"/>
      <c r="CV180" s="392"/>
      <c r="CW180" s="392"/>
      <c r="CX180" s="392"/>
      <c r="CY180" s="392"/>
      <c r="CZ180" s="392"/>
      <c r="DA180" s="392"/>
      <c r="DB180" s="392"/>
      <c r="DC180" s="392"/>
      <c r="DD180" s="392"/>
      <c r="DE180" s="392"/>
      <c r="DF180" s="392"/>
      <c r="DG180" s="392"/>
      <c r="DH180" s="392"/>
      <c r="DI180" s="392"/>
      <c r="DJ180" s="392"/>
      <c r="DK180" s="392"/>
      <c r="DL180" s="392"/>
      <c r="DM180" s="392"/>
      <c r="DN180" s="392"/>
      <c r="DO180" s="392"/>
      <c r="DP180" s="392"/>
      <c r="DQ180" s="392"/>
      <c r="DR180" s="392"/>
      <c r="DS180" s="392"/>
      <c r="DT180" s="392"/>
      <c r="DU180" s="392"/>
      <c r="DV180" s="392"/>
      <c r="DW180" s="392"/>
      <c r="DX180" s="392"/>
      <c r="DY180" s="392"/>
      <c r="DZ180" s="392"/>
      <c r="EA180" s="392"/>
      <c r="EB180" s="392"/>
      <c r="EC180" s="392"/>
      <c r="ED180" s="392"/>
      <c r="EE180" s="392"/>
      <c r="EF180" s="392"/>
      <c r="EG180" s="392"/>
      <c r="EH180" s="392"/>
      <c r="EI180" s="392"/>
      <c r="EJ180" s="392"/>
      <c r="EK180" s="392"/>
      <c r="EL180" s="392"/>
      <c r="EM180" s="392"/>
      <c r="EN180" s="392"/>
      <c r="EO180" s="392"/>
      <c r="EP180" s="392"/>
      <c r="EQ180" s="392"/>
      <c r="ER180" s="392"/>
      <c r="ES180" s="392"/>
      <c r="ET180" s="392"/>
      <c r="EU180" s="392"/>
      <c r="EV180" s="392"/>
      <c r="EW180" s="392"/>
      <c r="EX180" s="392"/>
      <c r="EY180" s="392"/>
      <c r="EZ180" s="392"/>
      <c r="FA180" s="392"/>
      <c r="FB180" s="392"/>
      <c r="FC180" s="392"/>
      <c r="FD180" s="392"/>
      <c r="FE180" s="392"/>
      <c r="FF180" s="392"/>
      <c r="FG180" s="392"/>
      <c r="FH180" s="392"/>
      <c r="FI180" s="392"/>
      <c r="FJ180" s="392"/>
      <c r="FK180" s="392"/>
      <c r="FL180" s="392"/>
      <c r="FM180" s="392"/>
      <c r="FN180" s="392"/>
      <c r="FO180" s="392"/>
      <c r="FP180" s="392"/>
      <c r="FQ180" s="392"/>
      <c r="FR180" s="392"/>
      <c r="FS180" s="392"/>
      <c r="FT180" s="392"/>
      <c r="FU180" s="392"/>
      <c r="FV180" s="392"/>
      <c r="FW180" s="392"/>
      <c r="FX180" s="392"/>
      <c r="FY180" s="392"/>
      <c r="FZ180" s="392"/>
      <c r="GA180" s="392"/>
      <c r="GB180" s="392"/>
      <c r="GC180" s="392"/>
      <c r="GD180" s="392"/>
      <c r="GE180" s="392"/>
      <c r="GF180" s="392"/>
      <c r="GG180" s="392"/>
      <c r="GH180" s="392"/>
      <c r="GI180" s="392"/>
      <c r="GJ180" s="392"/>
      <c r="GK180" s="392"/>
      <c r="GL180" s="392"/>
      <c r="GM180" s="392"/>
      <c r="GN180" s="392"/>
      <c r="GO180" s="392"/>
      <c r="GP180" s="392"/>
      <c r="GQ180" s="392"/>
      <c r="GR180" s="392"/>
      <c r="GS180" s="392"/>
      <c r="GT180" s="392"/>
      <c r="GU180" s="392"/>
      <c r="GV180" s="392"/>
      <c r="GW180" s="392"/>
      <c r="GX180" s="392"/>
      <c r="GY180" s="392"/>
      <c r="GZ180" s="392"/>
      <c r="HA180" s="392"/>
      <c r="HB180" s="392"/>
      <c r="HC180" s="392"/>
      <c r="HD180" s="392"/>
      <c r="HE180" s="392"/>
      <c r="HF180" s="392"/>
      <c r="HG180" s="392"/>
      <c r="HH180" s="392"/>
      <c r="HI180" s="392"/>
      <c r="HJ180" s="392"/>
      <c r="HK180" s="392"/>
      <c r="HL180" s="392"/>
      <c r="HM180" s="392"/>
      <c r="HN180" s="392"/>
      <c r="HO180" s="392"/>
      <c r="HP180" s="392"/>
      <c r="HQ180" s="392"/>
      <c r="HR180" s="392"/>
      <c r="HS180" s="392"/>
      <c r="HT180" s="392"/>
      <c r="HU180" s="392"/>
      <c r="HV180" s="392"/>
      <c r="HW180" s="392"/>
      <c r="HX180" s="392"/>
      <c r="HY180" s="392"/>
      <c r="HZ180" s="392"/>
      <c r="IA180" s="392"/>
      <c r="IB180" s="392"/>
      <c r="IC180" s="392"/>
      <c r="ID180" s="392"/>
      <c r="IE180" s="392"/>
      <c r="IF180" s="392"/>
      <c r="IG180" s="392"/>
      <c r="IH180" s="392"/>
      <c r="II180" s="392"/>
      <c r="IJ180" s="392"/>
      <c r="IK180" s="392"/>
      <c r="IL180" s="392"/>
      <c r="IM180" s="392"/>
      <c r="IN180" s="392"/>
      <c r="IO180" s="392"/>
      <c r="IP180" s="392"/>
      <c r="IQ180" s="392"/>
      <c r="IR180" s="392"/>
      <c r="IS180" s="392"/>
      <c r="IT180" s="392"/>
      <c r="IU180" s="392"/>
      <c r="IV180" s="392"/>
    </row>
    <row r="181" spans="1:256" s="381" customFormat="1" ht="15">
      <c r="A181" s="392"/>
      <c r="B181" s="2318" t="str">
        <f>C163</f>
        <v>ESCAVAÇÃO MANUAL DE VALA COM PROFUNDIDADE MENOR OU IGUAL A 1,30 M. AF_02/2021</v>
      </c>
      <c r="C181" s="2319"/>
      <c r="D181" s="583" t="s">
        <v>19</v>
      </c>
      <c r="E181" s="2340" t="s">
        <v>1718</v>
      </c>
      <c r="F181" s="2340"/>
      <c r="G181" s="2341"/>
      <c r="H181" s="392"/>
      <c r="I181" s="392"/>
      <c r="J181" s="392"/>
      <c r="K181" s="392"/>
      <c r="L181" s="392"/>
      <c r="M181" s="392"/>
      <c r="N181" s="392"/>
      <c r="O181" s="392"/>
      <c r="P181" s="392"/>
      <c r="Q181" s="392"/>
      <c r="R181" s="392"/>
      <c r="S181" s="392"/>
      <c r="T181" s="392"/>
      <c r="U181" s="392"/>
      <c r="V181" s="392"/>
      <c r="W181" s="392"/>
      <c r="X181" s="392"/>
      <c r="Y181" s="392"/>
      <c r="Z181" s="392"/>
      <c r="AA181" s="392"/>
      <c r="AB181" s="392"/>
      <c r="AC181" s="392"/>
      <c r="AD181" s="392"/>
      <c r="AE181" s="392"/>
      <c r="AF181" s="392"/>
      <c r="AG181" s="392"/>
      <c r="AH181" s="392"/>
      <c r="AI181" s="392"/>
      <c r="AJ181" s="392"/>
      <c r="AK181" s="392"/>
      <c r="AL181" s="392"/>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392"/>
      <c r="BR181" s="392"/>
      <c r="BS181" s="392"/>
      <c r="BT181" s="392"/>
      <c r="BU181" s="392"/>
      <c r="BV181" s="392"/>
      <c r="BW181" s="392"/>
      <c r="BX181" s="392"/>
      <c r="BY181" s="392"/>
      <c r="BZ181" s="392"/>
      <c r="CA181" s="392"/>
      <c r="CB181" s="392"/>
      <c r="CC181" s="392"/>
      <c r="CD181" s="392"/>
      <c r="CE181" s="392"/>
      <c r="CF181" s="392"/>
      <c r="CG181" s="392"/>
      <c r="CH181" s="392"/>
      <c r="CI181" s="392"/>
      <c r="CJ181" s="392"/>
      <c r="CK181" s="392"/>
      <c r="CL181" s="392"/>
      <c r="CM181" s="392"/>
      <c r="CN181" s="392"/>
      <c r="CO181" s="392"/>
      <c r="CP181" s="392"/>
      <c r="CQ181" s="392"/>
      <c r="CR181" s="392"/>
      <c r="CS181" s="392"/>
      <c r="CT181" s="392"/>
      <c r="CU181" s="392"/>
      <c r="CV181" s="392"/>
      <c r="CW181" s="392"/>
      <c r="CX181" s="392"/>
      <c r="CY181" s="392"/>
      <c r="CZ181" s="392"/>
      <c r="DA181" s="392"/>
      <c r="DB181" s="392"/>
      <c r="DC181" s="392"/>
      <c r="DD181" s="392"/>
      <c r="DE181" s="392"/>
      <c r="DF181" s="392"/>
      <c r="DG181" s="392"/>
      <c r="DH181" s="392"/>
      <c r="DI181" s="392"/>
      <c r="DJ181" s="392"/>
      <c r="DK181" s="392"/>
      <c r="DL181" s="392"/>
      <c r="DM181" s="392"/>
      <c r="DN181" s="392"/>
      <c r="DO181" s="392"/>
      <c r="DP181" s="392"/>
      <c r="DQ181" s="392"/>
      <c r="DR181" s="392"/>
      <c r="DS181" s="392"/>
      <c r="DT181" s="392"/>
      <c r="DU181" s="392"/>
      <c r="DV181" s="392"/>
      <c r="DW181" s="392"/>
      <c r="DX181" s="392"/>
      <c r="DY181" s="392"/>
      <c r="DZ181" s="392"/>
      <c r="EA181" s="392"/>
      <c r="EB181" s="392"/>
      <c r="EC181" s="392"/>
      <c r="ED181" s="392"/>
      <c r="EE181" s="392"/>
      <c r="EF181" s="392"/>
      <c r="EG181" s="392"/>
      <c r="EH181" s="392"/>
      <c r="EI181" s="392"/>
      <c r="EJ181" s="392"/>
      <c r="EK181" s="392"/>
      <c r="EL181" s="392"/>
      <c r="EM181" s="392"/>
      <c r="EN181" s="392"/>
      <c r="EO181" s="392"/>
      <c r="EP181" s="392"/>
      <c r="EQ181" s="392"/>
      <c r="ER181" s="392"/>
      <c r="ES181" s="392"/>
      <c r="ET181" s="392"/>
      <c r="EU181" s="392"/>
      <c r="EV181" s="392"/>
      <c r="EW181" s="392"/>
      <c r="EX181" s="392"/>
      <c r="EY181" s="392"/>
      <c r="EZ181" s="392"/>
      <c r="FA181" s="392"/>
      <c r="FB181" s="392"/>
      <c r="FC181" s="392"/>
      <c r="FD181" s="392"/>
      <c r="FE181" s="392"/>
      <c r="FF181" s="392"/>
      <c r="FG181" s="392"/>
      <c r="FH181" s="392"/>
      <c r="FI181" s="392"/>
      <c r="FJ181" s="392"/>
      <c r="FK181" s="392"/>
      <c r="FL181" s="392"/>
      <c r="FM181" s="392"/>
      <c r="FN181" s="392"/>
      <c r="FO181" s="392"/>
      <c r="FP181" s="392"/>
      <c r="FQ181" s="392"/>
      <c r="FR181" s="392"/>
      <c r="FS181" s="392"/>
      <c r="FT181" s="392"/>
      <c r="FU181" s="392"/>
      <c r="FV181" s="392"/>
      <c r="FW181" s="392"/>
      <c r="FX181" s="392"/>
      <c r="FY181" s="392"/>
      <c r="FZ181" s="392"/>
      <c r="GA181" s="392"/>
      <c r="GB181" s="392"/>
      <c r="GC181" s="392"/>
      <c r="GD181" s="392"/>
      <c r="GE181" s="392"/>
      <c r="GF181" s="392"/>
      <c r="GG181" s="392"/>
      <c r="GH181" s="392"/>
      <c r="GI181" s="392"/>
      <c r="GJ181" s="392"/>
      <c r="GK181" s="392"/>
      <c r="GL181" s="392"/>
      <c r="GM181" s="392"/>
      <c r="GN181" s="392"/>
      <c r="GO181" s="392"/>
      <c r="GP181" s="392"/>
      <c r="GQ181" s="392"/>
      <c r="GR181" s="392"/>
      <c r="GS181" s="392"/>
      <c r="GT181" s="392"/>
      <c r="GU181" s="392"/>
      <c r="GV181" s="392"/>
      <c r="GW181" s="392"/>
      <c r="GX181" s="392"/>
      <c r="GY181" s="392"/>
      <c r="GZ181" s="392"/>
      <c r="HA181" s="392"/>
      <c r="HB181" s="392"/>
      <c r="HC181" s="392"/>
      <c r="HD181" s="392"/>
      <c r="HE181" s="392"/>
      <c r="HF181" s="392"/>
      <c r="HG181" s="392"/>
      <c r="HH181" s="392"/>
      <c r="HI181" s="392"/>
      <c r="HJ181" s="392"/>
      <c r="HK181" s="392"/>
      <c r="HL181" s="392"/>
      <c r="HM181" s="392"/>
      <c r="HN181" s="392"/>
      <c r="HO181" s="392"/>
      <c r="HP181" s="392"/>
      <c r="HQ181" s="392"/>
      <c r="HR181" s="392"/>
      <c r="HS181" s="392"/>
      <c r="HT181" s="392"/>
      <c r="HU181" s="392"/>
      <c r="HV181" s="392"/>
      <c r="HW181" s="392"/>
      <c r="HX181" s="392"/>
      <c r="HY181" s="392"/>
      <c r="HZ181" s="392"/>
      <c r="IA181" s="392"/>
      <c r="IB181" s="392"/>
      <c r="IC181" s="392"/>
      <c r="ID181" s="392"/>
      <c r="IE181" s="392"/>
      <c r="IF181" s="392"/>
      <c r="IG181" s="392"/>
      <c r="IH181" s="392"/>
      <c r="II181" s="392"/>
      <c r="IJ181" s="392"/>
      <c r="IK181" s="392"/>
      <c r="IL181" s="392"/>
      <c r="IM181" s="392"/>
      <c r="IN181" s="392"/>
      <c r="IO181" s="392"/>
      <c r="IP181" s="392"/>
      <c r="IQ181" s="392"/>
      <c r="IR181" s="392"/>
      <c r="IS181" s="392"/>
      <c r="IT181" s="392"/>
      <c r="IU181" s="392"/>
      <c r="IV181" s="392"/>
    </row>
    <row r="182" spans="1:256" s="381" customFormat="1" ht="36" customHeight="1">
      <c r="A182" s="392"/>
      <c r="B182" s="2318" t="str">
        <f>C164</f>
        <v>CONCRETO FCK = 25MPA, TRAÇO 1:2,3:2,7 (EM MASSA SECA DE CIMENTO/ AREIA MÉDIA/ BRITA 1) - PREPARO MECÂNICO COM BETONEIRA 400 L. AF_05/2021</v>
      </c>
      <c r="C182" s="2319"/>
      <c r="D182" s="1153" t="s">
        <v>19</v>
      </c>
      <c r="E182" s="2470" t="str">
        <f>E181</f>
        <v>(0,30*0,30*0,60)*2</v>
      </c>
      <c r="F182" s="2470"/>
      <c r="G182" s="2471"/>
      <c r="H182" s="392"/>
      <c r="I182" s="392"/>
      <c r="J182" s="392">
        <f>5820/5</f>
        <v>1164</v>
      </c>
      <c r="K182" s="392"/>
      <c r="L182" s="392"/>
      <c r="M182" s="392"/>
      <c r="N182" s="392"/>
      <c r="O182" s="392"/>
      <c r="P182" s="392"/>
      <c r="Q182" s="392"/>
      <c r="R182" s="392"/>
      <c r="S182" s="392"/>
      <c r="T182" s="392"/>
      <c r="U182" s="392"/>
      <c r="V182" s="392"/>
      <c r="W182" s="392"/>
      <c r="X182" s="392"/>
      <c r="Y182" s="392"/>
      <c r="Z182" s="392"/>
      <c r="AA182" s="392"/>
      <c r="AB182" s="392"/>
      <c r="AC182" s="392"/>
      <c r="AD182" s="392"/>
      <c r="AE182" s="392"/>
      <c r="AF182" s="392"/>
      <c r="AG182" s="392"/>
      <c r="AH182" s="392"/>
      <c r="AI182" s="392"/>
      <c r="AJ182" s="392"/>
      <c r="AK182" s="392"/>
      <c r="AL182" s="392"/>
      <c r="AM182" s="392"/>
      <c r="AN182" s="392"/>
      <c r="AO182" s="392"/>
      <c r="AP182" s="392"/>
      <c r="AQ182" s="392"/>
      <c r="AR182" s="392"/>
      <c r="AS182" s="392"/>
      <c r="AT182" s="392"/>
      <c r="AU182" s="392"/>
      <c r="AV182" s="392"/>
      <c r="AW182" s="392"/>
      <c r="AX182" s="392"/>
      <c r="AY182" s="392"/>
      <c r="AZ182" s="392"/>
      <c r="BA182" s="392"/>
      <c r="BB182" s="392"/>
      <c r="BC182" s="392"/>
      <c r="BD182" s="392"/>
      <c r="BE182" s="392"/>
      <c r="BF182" s="392"/>
      <c r="BG182" s="392"/>
      <c r="BH182" s="392"/>
      <c r="BI182" s="392"/>
      <c r="BJ182" s="392"/>
      <c r="BK182" s="392"/>
      <c r="BL182" s="392"/>
      <c r="BM182" s="392"/>
      <c r="BN182" s="392"/>
      <c r="BO182" s="392"/>
      <c r="BP182" s="392"/>
      <c r="BQ182" s="392"/>
      <c r="BR182" s="392"/>
      <c r="BS182" s="392"/>
      <c r="BT182" s="392"/>
      <c r="BU182" s="392"/>
      <c r="BV182" s="392"/>
      <c r="BW182" s="392"/>
      <c r="BX182" s="392"/>
      <c r="BY182" s="392"/>
      <c r="BZ182" s="392"/>
      <c r="CA182" s="392"/>
      <c r="CB182" s="392"/>
      <c r="CC182" s="392"/>
      <c r="CD182" s="392"/>
      <c r="CE182" s="392"/>
      <c r="CF182" s="392"/>
      <c r="CG182" s="392"/>
      <c r="CH182" s="392"/>
      <c r="CI182" s="392"/>
      <c r="CJ182" s="392"/>
      <c r="CK182" s="392"/>
      <c r="CL182" s="392"/>
      <c r="CM182" s="392"/>
      <c r="CN182" s="392"/>
      <c r="CO182" s="392"/>
      <c r="CP182" s="392"/>
      <c r="CQ182" s="392"/>
      <c r="CR182" s="392"/>
      <c r="CS182" s="392"/>
      <c r="CT182" s="392"/>
      <c r="CU182" s="392"/>
      <c r="CV182" s="392"/>
      <c r="CW182" s="392"/>
      <c r="CX182" s="392"/>
      <c r="CY182" s="392"/>
      <c r="CZ182" s="392"/>
      <c r="DA182" s="392"/>
      <c r="DB182" s="392"/>
      <c r="DC182" s="392"/>
      <c r="DD182" s="392"/>
      <c r="DE182" s="392"/>
      <c r="DF182" s="392"/>
      <c r="DG182" s="392"/>
      <c r="DH182" s="392"/>
      <c r="DI182" s="392"/>
      <c r="DJ182" s="392"/>
      <c r="DK182" s="392"/>
      <c r="DL182" s="392"/>
      <c r="DM182" s="392"/>
      <c r="DN182" s="392"/>
      <c r="DO182" s="392"/>
      <c r="DP182" s="392"/>
      <c r="DQ182" s="392"/>
      <c r="DR182" s="392"/>
      <c r="DS182" s="392"/>
      <c r="DT182" s="392"/>
      <c r="DU182" s="392"/>
      <c r="DV182" s="392"/>
      <c r="DW182" s="392"/>
      <c r="DX182" s="392"/>
      <c r="DY182" s="392"/>
      <c r="DZ182" s="392"/>
      <c r="EA182" s="392"/>
      <c r="EB182" s="392"/>
      <c r="EC182" s="392"/>
      <c r="ED182" s="392"/>
      <c r="EE182" s="392"/>
      <c r="EF182" s="392"/>
      <c r="EG182" s="392"/>
      <c r="EH182" s="392"/>
      <c r="EI182" s="392"/>
      <c r="EJ182" s="392"/>
      <c r="EK182" s="392"/>
      <c r="EL182" s="392"/>
      <c r="EM182" s="392"/>
      <c r="EN182" s="392"/>
      <c r="EO182" s="392"/>
      <c r="EP182" s="392"/>
      <c r="EQ182" s="392"/>
      <c r="ER182" s="392"/>
      <c r="ES182" s="392"/>
      <c r="ET182" s="392"/>
      <c r="EU182" s="392"/>
      <c r="EV182" s="392"/>
      <c r="EW182" s="392"/>
      <c r="EX182" s="392"/>
      <c r="EY182" s="392"/>
      <c r="EZ182" s="392"/>
      <c r="FA182" s="392"/>
      <c r="FB182" s="392"/>
      <c r="FC182" s="392"/>
      <c r="FD182" s="392"/>
      <c r="FE182" s="392"/>
      <c r="FF182" s="392"/>
      <c r="FG182" s="392"/>
      <c r="FH182" s="392"/>
      <c r="FI182" s="392"/>
      <c r="FJ182" s="392"/>
      <c r="FK182" s="392"/>
      <c r="FL182" s="392"/>
      <c r="FM182" s="392"/>
      <c r="FN182" s="392"/>
      <c r="FO182" s="392"/>
      <c r="FP182" s="392"/>
      <c r="FQ182" s="392"/>
      <c r="FR182" s="392"/>
      <c r="FS182" s="392"/>
      <c r="FT182" s="392"/>
      <c r="FU182" s="392"/>
      <c r="FV182" s="392"/>
      <c r="FW182" s="392"/>
      <c r="FX182" s="392"/>
      <c r="FY182" s="392"/>
      <c r="FZ182" s="392"/>
      <c r="GA182" s="392"/>
      <c r="GB182" s="392"/>
      <c r="GC182" s="392"/>
      <c r="GD182" s="392"/>
      <c r="GE182" s="392"/>
      <c r="GF182" s="392"/>
      <c r="GG182" s="392"/>
      <c r="GH182" s="392"/>
      <c r="GI182" s="392"/>
      <c r="GJ182" s="392"/>
      <c r="GK182" s="392"/>
      <c r="GL182" s="392"/>
      <c r="GM182" s="392"/>
      <c r="GN182" s="392"/>
      <c r="GO182" s="392"/>
      <c r="GP182" s="392"/>
      <c r="GQ182" s="392"/>
      <c r="GR182" s="392"/>
      <c r="GS182" s="392"/>
      <c r="GT182" s="392"/>
      <c r="GU182" s="392"/>
      <c r="GV182" s="392"/>
      <c r="GW182" s="392"/>
      <c r="GX182" s="392"/>
      <c r="GY182" s="392"/>
      <c r="GZ182" s="392"/>
      <c r="HA182" s="392"/>
      <c r="HB182" s="392"/>
      <c r="HC182" s="392"/>
      <c r="HD182" s="392"/>
      <c r="HE182" s="392"/>
      <c r="HF182" s="392"/>
      <c r="HG182" s="392"/>
      <c r="HH182" s="392"/>
      <c r="HI182" s="392"/>
      <c r="HJ182" s="392"/>
      <c r="HK182" s="392"/>
      <c r="HL182" s="392"/>
      <c r="HM182" s="392"/>
      <c r="HN182" s="392"/>
      <c r="HO182" s="392"/>
      <c r="HP182" s="392"/>
      <c r="HQ182" s="392"/>
      <c r="HR182" s="392"/>
      <c r="HS182" s="392"/>
      <c r="HT182" s="392"/>
      <c r="HU182" s="392"/>
      <c r="HV182" s="392"/>
      <c r="HW182" s="392"/>
      <c r="HX182" s="392"/>
      <c r="HY182" s="392"/>
      <c r="HZ182" s="392"/>
      <c r="IA182" s="392"/>
      <c r="IB182" s="392"/>
      <c r="IC182" s="392"/>
      <c r="ID182" s="392"/>
      <c r="IE182" s="392"/>
      <c r="IF182" s="392"/>
      <c r="IG182" s="392"/>
      <c r="IH182" s="392"/>
      <c r="II182" s="392"/>
      <c r="IJ182" s="392"/>
      <c r="IK182" s="392"/>
      <c r="IL182" s="392"/>
      <c r="IM182" s="392"/>
      <c r="IN182" s="392"/>
      <c r="IO182" s="392"/>
      <c r="IP182" s="392"/>
      <c r="IQ182" s="392"/>
      <c r="IR182" s="392"/>
      <c r="IS182" s="392"/>
      <c r="IT182" s="392"/>
      <c r="IU182" s="392"/>
      <c r="IV182" s="392"/>
    </row>
    <row r="183" spans="1:256" s="381" customFormat="1" ht="15">
      <c r="A183" s="392"/>
      <c r="B183" s="2318" t="str">
        <f>C165</f>
        <v>LANCAMENTO/APLICACAO MANUAL DE CONCRETO EM FUNDACOES</v>
      </c>
      <c r="C183" s="2319"/>
      <c r="D183" s="1153" t="s">
        <v>19</v>
      </c>
      <c r="E183" s="2470" t="str">
        <f>E181</f>
        <v>(0,30*0,30*0,60)*2</v>
      </c>
      <c r="F183" s="2470"/>
      <c r="G183" s="2471"/>
      <c r="H183" s="392"/>
      <c r="I183" s="392"/>
      <c r="J183" s="392"/>
      <c r="K183" s="392"/>
      <c r="L183" s="392"/>
      <c r="M183" s="392"/>
      <c r="N183" s="392"/>
      <c r="O183" s="392"/>
      <c r="P183" s="392"/>
      <c r="Q183" s="392"/>
      <c r="R183" s="392"/>
      <c r="S183" s="392"/>
      <c r="T183" s="392"/>
      <c r="U183" s="392"/>
      <c r="V183" s="392"/>
      <c r="W183" s="392"/>
      <c r="X183" s="392"/>
      <c r="Y183" s="392"/>
      <c r="Z183" s="392"/>
      <c r="AA183" s="392"/>
      <c r="AB183" s="392"/>
      <c r="AC183" s="392"/>
      <c r="AD183" s="392"/>
      <c r="AE183" s="392"/>
      <c r="AF183" s="392"/>
      <c r="AG183" s="392"/>
      <c r="AH183" s="392"/>
      <c r="AI183" s="392"/>
      <c r="AJ183" s="392"/>
      <c r="AK183" s="392"/>
      <c r="AL183" s="392"/>
      <c r="AM183" s="392"/>
      <c r="AN183" s="392"/>
      <c r="AO183" s="392"/>
      <c r="AP183" s="392"/>
      <c r="AQ183" s="392"/>
      <c r="AR183" s="392"/>
      <c r="AS183" s="392"/>
      <c r="AT183" s="392"/>
      <c r="AU183" s="392"/>
      <c r="AV183" s="392"/>
      <c r="AW183" s="392"/>
      <c r="AX183" s="392"/>
      <c r="AY183" s="392"/>
      <c r="AZ183" s="392"/>
      <c r="BA183" s="392"/>
      <c r="BB183" s="392"/>
      <c r="BC183" s="392"/>
      <c r="BD183" s="392"/>
      <c r="BE183" s="392"/>
      <c r="BF183" s="392"/>
      <c r="BG183" s="392"/>
      <c r="BH183" s="392"/>
      <c r="BI183" s="392"/>
      <c r="BJ183" s="392"/>
      <c r="BK183" s="392"/>
      <c r="BL183" s="392"/>
      <c r="BM183" s="392"/>
      <c r="BN183" s="392"/>
      <c r="BO183" s="392"/>
      <c r="BP183" s="392"/>
      <c r="BQ183" s="392"/>
      <c r="BR183" s="392"/>
      <c r="BS183" s="392"/>
      <c r="BT183" s="392"/>
      <c r="BU183" s="392"/>
      <c r="BV183" s="392"/>
      <c r="BW183" s="392"/>
      <c r="BX183" s="392"/>
      <c r="BY183" s="392"/>
      <c r="BZ183" s="392"/>
      <c r="CA183" s="392"/>
      <c r="CB183" s="392"/>
      <c r="CC183" s="392"/>
      <c r="CD183" s="392"/>
      <c r="CE183" s="392"/>
      <c r="CF183" s="392"/>
      <c r="CG183" s="392"/>
      <c r="CH183" s="392"/>
      <c r="CI183" s="392"/>
      <c r="CJ183" s="392"/>
      <c r="CK183" s="392"/>
      <c r="CL183" s="392"/>
      <c r="CM183" s="392"/>
      <c r="CN183" s="392"/>
      <c r="CO183" s="392"/>
      <c r="CP183" s="392"/>
      <c r="CQ183" s="392"/>
      <c r="CR183" s="392"/>
      <c r="CS183" s="392"/>
      <c r="CT183" s="392"/>
      <c r="CU183" s="392"/>
      <c r="CV183" s="392"/>
      <c r="CW183" s="392"/>
      <c r="CX183" s="392"/>
      <c r="CY183" s="392"/>
      <c r="CZ183" s="392"/>
      <c r="DA183" s="392"/>
      <c r="DB183" s="392"/>
      <c r="DC183" s="392"/>
      <c r="DD183" s="392"/>
      <c r="DE183" s="392"/>
      <c r="DF183" s="392"/>
      <c r="DG183" s="392"/>
      <c r="DH183" s="392"/>
      <c r="DI183" s="392"/>
      <c r="DJ183" s="392"/>
      <c r="DK183" s="392"/>
      <c r="DL183" s="392"/>
      <c r="DM183" s="392"/>
      <c r="DN183" s="392"/>
      <c r="DO183" s="392"/>
      <c r="DP183" s="392"/>
      <c r="DQ183" s="392"/>
      <c r="DR183" s="392"/>
      <c r="DS183" s="392"/>
      <c r="DT183" s="392"/>
      <c r="DU183" s="392"/>
      <c r="DV183" s="392"/>
      <c r="DW183" s="392"/>
      <c r="DX183" s="392"/>
      <c r="DY183" s="392"/>
      <c r="DZ183" s="392"/>
      <c r="EA183" s="392"/>
      <c r="EB183" s="392"/>
      <c r="EC183" s="392"/>
      <c r="ED183" s="392"/>
      <c r="EE183" s="392"/>
      <c r="EF183" s="392"/>
      <c r="EG183" s="392"/>
      <c r="EH183" s="392"/>
      <c r="EI183" s="392"/>
      <c r="EJ183" s="392"/>
      <c r="EK183" s="392"/>
      <c r="EL183" s="392"/>
      <c r="EM183" s="392"/>
      <c r="EN183" s="392"/>
      <c r="EO183" s="392"/>
      <c r="EP183" s="392"/>
      <c r="EQ183" s="392"/>
      <c r="ER183" s="392"/>
      <c r="ES183" s="392"/>
      <c r="ET183" s="392"/>
      <c r="EU183" s="392"/>
      <c r="EV183" s="392"/>
      <c r="EW183" s="392"/>
      <c r="EX183" s="392"/>
      <c r="EY183" s="392"/>
      <c r="EZ183" s="392"/>
      <c r="FA183" s="392"/>
      <c r="FB183" s="392"/>
      <c r="FC183" s="392"/>
      <c r="FD183" s="392"/>
      <c r="FE183" s="392"/>
      <c r="FF183" s="392"/>
      <c r="FG183" s="392"/>
      <c r="FH183" s="392"/>
      <c r="FI183" s="392"/>
      <c r="FJ183" s="392"/>
      <c r="FK183" s="392"/>
      <c r="FL183" s="392"/>
      <c r="FM183" s="392"/>
      <c r="FN183" s="392"/>
      <c r="FO183" s="392"/>
      <c r="FP183" s="392"/>
      <c r="FQ183" s="392"/>
      <c r="FR183" s="392"/>
      <c r="FS183" s="392"/>
      <c r="FT183" s="392"/>
      <c r="FU183" s="392"/>
      <c r="FV183" s="392"/>
      <c r="FW183" s="392"/>
      <c r="FX183" s="392"/>
      <c r="FY183" s="392"/>
      <c r="FZ183" s="392"/>
      <c r="GA183" s="392"/>
      <c r="GB183" s="392"/>
      <c r="GC183" s="392"/>
      <c r="GD183" s="392"/>
      <c r="GE183" s="392"/>
      <c r="GF183" s="392"/>
      <c r="GG183" s="392"/>
      <c r="GH183" s="392"/>
      <c r="GI183" s="392"/>
      <c r="GJ183" s="392"/>
      <c r="GK183" s="392"/>
      <c r="GL183" s="392"/>
      <c r="GM183" s="392"/>
      <c r="GN183" s="392"/>
      <c r="GO183" s="392"/>
      <c r="GP183" s="392"/>
      <c r="GQ183" s="392"/>
      <c r="GR183" s="392"/>
      <c r="GS183" s="392"/>
      <c r="GT183" s="392"/>
      <c r="GU183" s="392"/>
      <c r="GV183" s="392"/>
      <c r="GW183" s="392"/>
      <c r="GX183" s="392"/>
      <c r="GY183" s="392"/>
      <c r="GZ183" s="392"/>
      <c r="HA183" s="392"/>
      <c r="HB183" s="392"/>
      <c r="HC183" s="392"/>
      <c r="HD183" s="392"/>
      <c r="HE183" s="392"/>
      <c r="HF183" s="392"/>
      <c r="HG183" s="392"/>
      <c r="HH183" s="392"/>
      <c r="HI183" s="392"/>
      <c r="HJ183" s="392"/>
      <c r="HK183" s="392"/>
      <c r="HL183" s="392"/>
      <c r="HM183" s="392"/>
      <c r="HN183" s="392"/>
      <c r="HO183" s="392"/>
      <c r="HP183" s="392"/>
      <c r="HQ183" s="392"/>
      <c r="HR183" s="392"/>
      <c r="HS183" s="392"/>
      <c r="HT183" s="392"/>
      <c r="HU183" s="392"/>
      <c r="HV183" s="392"/>
      <c r="HW183" s="392"/>
      <c r="HX183" s="392"/>
      <c r="HY183" s="392"/>
      <c r="HZ183" s="392"/>
      <c r="IA183" s="392"/>
      <c r="IB183" s="392"/>
      <c r="IC183" s="392"/>
      <c r="ID183" s="392"/>
      <c r="IE183" s="392"/>
      <c r="IF183" s="392"/>
      <c r="IG183" s="392"/>
      <c r="IH183" s="392"/>
      <c r="II183" s="392"/>
      <c r="IJ183" s="392"/>
      <c r="IK183" s="392"/>
      <c r="IL183" s="392"/>
      <c r="IM183" s="392"/>
      <c r="IN183" s="392"/>
      <c r="IO183" s="392"/>
      <c r="IP183" s="392"/>
      <c r="IQ183" s="392"/>
      <c r="IR183" s="392"/>
      <c r="IS183" s="392"/>
      <c r="IT183" s="392"/>
      <c r="IU183" s="392"/>
      <c r="IV183" s="392"/>
    </row>
    <row r="184" spans="1:256" s="271" customFormat="1" ht="16.5" thickBot="1">
      <c r="A184" s="333"/>
      <c r="B184" s="601"/>
      <c r="C184" s="601"/>
      <c r="D184" s="300"/>
      <c r="E184" s="257"/>
      <c r="F184" s="301"/>
      <c r="G184" s="302"/>
    </row>
    <row r="185" spans="1:256" s="1156" customFormat="1" ht="46.5" customHeight="1">
      <c r="A185" s="1154"/>
      <c r="B185" s="377" t="str">
        <f>IF(COUNT($H$14:H185)&lt;10,CONCATENATE("CPU ACAD 00",COUNT($H$14:H185)),CONCATENATE("CPU ACAD 0",COUNT($H$14:H185)))</f>
        <v>CPU ACAD 012</v>
      </c>
      <c r="C185" s="2180" t="str">
        <f>CONCATENATE("FORNECIMENTO E INSTALAÇÃO DE ",C188)</f>
        <v xml:space="preserve">FORNECIMENTO E INSTALAÇÃO DE ESQUI TRIPLO, EM TUBO DE ACO CARBONO, PINTURA NO PROCESSO ELETROSTATICO - EQUIPAMENTO DE GINASTICA PARA ACADEMIA AO AR LIVRE / ACADEMIA DA TERCEIRA IDADE - ATI                                                                                                                                                                                                                                                                                                                                           </v>
      </c>
      <c r="D185" s="2180"/>
      <c r="E185" s="2180"/>
      <c r="F185" s="2180"/>
      <c r="G185" s="1155" t="s">
        <v>22</v>
      </c>
      <c r="H185" s="806">
        <f>G193</f>
        <v>6167.71</v>
      </c>
    </row>
    <row r="186" spans="1:256" s="271" customFormat="1" ht="31.5">
      <c r="A186" s="333"/>
      <c r="B186" s="1093" t="s">
        <v>197</v>
      </c>
      <c r="C186" s="1157" t="s">
        <v>161</v>
      </c>
      <c r="D186" s="1157" t="s">
        <v>22</v>
      </c>
      <c r="E186" s="1157" t="s">
        <v>162</v>
      </c>
      <c r="F186" s="1158" t="s">
        <v>163</v>
      </c>
      <c r="G186" s="1159" t="s">
        <v>164</v>
      </c>
    </row>
    <row r="187" spans="1:256" s="271" customFormat="1" ht="15.75">
      <c r="A187" s="333"/>
      <c r="B187" s="2389" t="s">
        <v>165</v>
      </c>
      <c r="C187" s="2390"/>
      <c r="D187" s="2390"/>
      <c r="E187" s="2390"/>
      <c r="F187" s="2390"/>
      <c r="G187" s="2391"/>
    </row>
    <row r="188" spans="1:256" s="271" customFormat="1" ht="60">
      <c r="A188" s="333" t="s">
        <v>390</v>
      </c>
      <c r="B188" s="1097">
        <v>42429</v>
      </c>
      <c r="C188" s="1098" t="str">
        <f>IF($A188="INSUMO",VLOOKUP($B188,'BANCO DE DADOS JANEIRO-24 INS'!$A:$D,2,FALSE),VLOOKUP($B188,'BANCO DE DADOS JANEIRO-24 SERV'!$B:$E,2,FALSE))</f>
        <v xml:space="preserve">ESQUI TRIPLO, EM TUBO DE ACO CARBONO, PINTURA NO PROCESSO ELETROSTATICO - EQUIPAMENTO DE GINASTICA PARA ACADEMIA AO AR LIVRE / ACADEMIA DA TERCEIRA IDADE - ATI                                                                                                                                                                                                                                                                                                                                           </v>
      </c>
      <c r="D188" s="1099" t="str">
        <f>IF($A188="INSUMO",VLOOKUP($B188,'BANCO DE DADOS JANEIRO-24 INS'!$A:$D,3,FALSE),VLOOKUP($B188,'BANCO DE DADOS JANEIRO-24 SERV'!$B:$E,3,FALSE))</f>
        <v xml:space="preserve">UN    </v>
      </c>
      <c r="E188" s="1165">
        <v>1</v>
      </c>
      <c r="F188" s="1118">
        <f>IF($A188="INSUMO",VLOOKUP($B188,'BANCO DE DADOS JANEIRO-24 INS'!$A:$D,4,FALSE),VLOOKUP($B188,'BANCO DE DADOS JANEIRO-24 SERV'!$B:$E,4,FALSE))</f>
        <v>6025.1</v>
      </c>
      <c r="G188" s="1164">
        <f>TRUNC(E188*F188,2)</f>
        <v>6025.1</v>
      </c>
    </row>
    <row r="189" spans="1:256" s="271" customFormat="1" ht="45">
      <c r="A189" s="333" t="s">
        <v>391</v>
      </c>
      <c r="B189" s="1097">
        <v>94963</v>
      </c>
      <c r="C189" s="1098" t="str">
        <f>IF($A189="INSUMO",VLOOKUP($B189,'BANCO DE DADOS JANEIRO-24 INS'!$A:$D,2,FALSE),VLOOKUP($B189,'BANCO DE DADOS JANEIRO-24 SERV'!$B:$E,2,FALSE))</f>
        <v>CONCRETO FCK = 15MPA, TRAÇO 1:3,4:3,5 (EM MASSA SECA DE CIMENTO/ AREIA MÉDIA/ BRITA 1) - PREPARO MECÂNICO COM BETONEIRA 400 L. AF_05/2021</v>
      </c>
      <c r="D189" s="1099" t="str">
        <f>IF($A189="INSUMO",VLOOKUP($B189,'BANCO DE DADOS JANEIRO-24 INS'!$A:$D,3,FALSE),VLOOKUP($B189,'BANCO DE DADOS JANEIRO-24 SERV'!$B:$E,3,FALSE))</f>
        <v>M3</v>
      </c>
      <c r="E189" s="1165">
        <f>0.064*3</f>
        <v>0.192</v>
      </c>
      <c r="F189" s="1118">
        <f>IF($A189="INSUMO",VLOOKUP($B189,'BANCO DE DADOS JANEIRO-24 INS'!$A:$D,4,FALSE),VLOOKUP($B189,'BANCO DE DADOS JANEIRO-24 SERV'!$B:$E,4,FALSE))</f>
        <v>503.53</v>
      </c>
      <c r="G189" s="1164">
        <f>TRUNC(E189*F189,2)</f>
        <v>96.67</v>
      </c>
    </row>
    <row r="190" spans="1:256" s="271" customFormat="1" ht="15.75">
      <c r="A190" s="333"/>
      <c r="B190" s="2389" t="s">
        <v>166</v>
      </c>
      <c r="C190" s="2390"/>
      <c r="D190" s="2390"/>
      <c r="E190" s="2390"/>
      <c r="F190" s="2390"/>
      <c r="G190" s="2391"/>
    </row>
    <row r="191" spans="1:256" s="271" customFormat="1" ht="15.75">
      <c r="A191" s="333" t="s">
        <v>391</v>
      </c>
      <c r="B191" s="1166">
        <v>88309</v>
      </c>
      <c r="C191" s="1098" t="str">
        <f>IF($A191="INSUMO",VLOOKUP($B191,'BANCO DE DADOS JANEIRO-24 INS'!$A:$D,2,FALSE),VLOOKUP($B191,'BANCO DE DADOS JANEIRO-24 SERV'!$B:$E,2,FALSE))</f>
        <v>PEDREIRO COM ENCARGOS COMPLEMENTARES</v>
      </c>
      <c r="D191" s="1099" t="str">
        <f>IF($A191="INSUMO",VLOOKUP($B191,'BANCO DE DADOS JANEIRO-24 INS'!$A:$D,3,FALSE),VLOOKUP($B191,'BANCO DE DADOS JANEIRO-24 SERV'!$B:$E,3,FALSE))</f>
        <v>H</v>
      </c>
      <c r="E191" s="1167">
        <v>1</v>
      </c>
      <c r="F191" s="1118">
        <f>IF($A191="INSUMO",VLOOKUP($B191,'BANCO DE DADOS JANEIRO-24 INS'!$A:$D,4,FALSE),VLOOKUP($B191,'BANCO DE DADOS JANEIRO-24 SERV'!$B:$E,4,FALSE))</f>
        <v>25.62</v>
      </c>
      <c r="G191" s="1164">
        <f>TRUNC(E191*F191,2)</f>
        <v>25.62</v>
      </c>
    </row>
    <row r="192" spans="1:256" s="271" customFormat="1" ht="16.5" thickBot="1">
      <c r="A192" s="333" t="s">
        <v>391</v>
      </c>
      <c r="B192" s="1168">
        <v>88316</v>
      </c>
      <c r="C192" s="1103" t="str">
        <f>IF($A192="INSUMO",VLOOKUP($B192,'BANCO DE DADOS JANEIRO-24 INS'!$A:$D,2,FALSE),VLOOKUP($B192,'BANCO DE DADOS JANEIRO-24 SERV'!$B:$E,2,FALSE))</f>
        <v>SERVENTE COM ENCARGOS COMPLEMENTARES</v>
      </c>
      <c r="D192" s="1104" t="str">
        <f>IF($A192="INSUMO",VLOOKUP($B192,'BANCO DE DADOS JANEIRO-24 INS'!$A:$D,3,FALSE),VLOOKUP($B192,'BANCO DE DADOS JANEIRO-24 SERV'!$B:$E,3,FALSE))</f>
        <v>H</v>
      </c>
      <c r="E192" s="1169">
        <v>1</v>
      </c>
      <c r="F192" s="1119">
        <f>IF($A192="INSUMO",VLOOKUP($B192,'BANCO DE DADOS JANEIRO-24 INS'!$A:$D,4,FALSE),VLOOKUP($B192,'BANCO DE DADOS JANEIRO-24 SERV'!$B:$E,4,FALSE))</f>
        <v>20.32</v>
      </c>
      <c r="G192" s="1170">
        <f>TRUNC(E192*F192,2)</f>
        <v>20.32</v>
      </c>
    </row>
    <row r="193" spans="1:256" s="271" customFormat="1" ht="16.5" thickBot="1">
      <c r="A193" s="333"/>
      <c r="B193" s="2472" t="s">
        <v>5378</v>
      </c>
      <c r="C193" s="2472"/>
      <c r="D193" s="2472"/>
      <c r="E193" s="2473"/>
      <c r="F193" s="1171" t="s">
        <v>167</v>
      </c>
      <c r="G193" s="1172">
        <f>ROUND(SUM(G188:G192),2)</f>
        <v>6167.71</v>
      </c>
    </row>
    <row r="194" spans="1:256" s="271" customFormat="1" ht="16.5" thickBot="1">
      <c r="A194" s="333"/>
      <c r="B194" s="601"/>
      <c r="C194" s="601"/>
      <c r="D194" s="300"/>
      <c r="E194" s="257"/>
      <c r="F194" s="301"/>
      <c r="G194" s="302"/>
    </row>
    <row r="195" spans="1:256" s="1156" customFormat="1" ht="51" customHeight="1">
      <c r="A195" s="1154"/>
      <c r="B195" s="377" t="str">
        <f>IF(COUNT($H$14:H195)&lt;10,CONCATENATE("CPU ACAD 00",COUNT($H$14:H195)),CONCATENATE("CPU ACAD 0",COUNT($H$14:H195)))</f>
        <v>CPU ACAD 013</v>
      </c>
      <c r="C195" s="2180" t="str">
        <f>CONCATENATE("FORNECIMENTO E INSTALAÇÃO DE ",C198)</f>
        <v xml:space="preserve">FORNECIMENTO E INSTALAÇÃO DE SIMULADOR DE CAMINHADA TRIPLO, EM TUBO DE ACO CARBONO, PINTURA NO PROCESSO ELETROSTATICO - EQUIPAMENTO DE GINASTICA PARA ACADEMIA AO AR LIVRE / ACADEMIA DA TERCEIRA IDADE - ATI                                                                                                                                                                                                                                                                                                                          </v>
      </c>
      <c r="D195" s="2180"/>
      <c r="E195" s="2180"/>
      <c r="F195" s="2180"/>
      <c r="G195" s="1155" t="s">
        <v>22</v>
      </c>
      <c r="H195" s="806">
        <f>G203</f>
        <v>4931.79</v>
      </c>
    </row>
    <row r="196" spans="1:256" s="271" customFormat="1" ht="31.5">
      <c r="A196" s="333"/>
      <c r="B196" s="1093" t="s">
        <v>197</v>
      </c>
      <c r="C196" s="1157" t="s">
        <v>161</v>
      </c>
      <c r="D196" s="1157" t="s">
        <v>22</v>
      </c>
      <c r="E196" s="1157" t="s">
        <v>162</v>
      </c>
      <c r="F196" s="1158" t="s">
        <v>163</v>
      </c>
      <c r="G196" s="1159" t="s">
        <v>164</v>
      </c>
    </row>
    <row r="197" spans="1:256" s="271" customFormat="1" ht="15.75">
      <c r="A197" s="333"/>
      <c r="B197" s="2389" t="s">
        <v>165</v>
      </c>
      <c r="C197" s="2390"/>
      <c r="D197" s="2390"/>
      <c r="E197" s="2390"/>
      <c r="F197" s="2390"/>
      <c r="G197" s="2391"/>
    </row>
    <row r="198" spans="1:256" s="271" customFormat="1" ht="60">
      <c r="A198" s="333" t="s">
        <v>390</v>
      </c>
      <c r="B198" s="1097">
        <v>42433</v>
      </c>
      <c r="C198" s="1098" t="str">
        <f>IF($A198="INSUMO",VLOOKUP($B198,'BANCO DE DADOS JANEIRO-24 INS'!$A:$D,2,FALSE),VLOOKUP($B198,'BANCO DE DADOS JANEIRO-24 SERV'!$B:$E,2,FALSE))</f>
        <v xml:space="preserve">SIMULADOR DE CAMINHADA TRIPLO, EM TUBO DE ACO CARBONO, PINTURA NO PROCESSO ELETROSTATICO - EQUIPAMENTO DE GINASTICA PARA ACADEMIA AO AR LIVRE / ACADEMIA DA TERCEIRA IDADE - ATI                                                                                                                                                                                                                                                                                                                          </v>
      </c>
      <c r="D198" s="1099" t="str">
        <f>IF($A198="INSUMO",VLOOKUP($B198,'BANCO DE DADOS JANEIRO-24 INS'!$A:$D,3,FALSE),VLOOKUP($B198,'BANCO DE DADOS JANEIRO-24 SERV'!$B:$E,3,FALSE))</f>
        <v xml:space="preserve">UN    </v>
      </c>
      <c r="E198" s="1165">
        <v>1</v>
      </c>
      <c r="F198" s="1118">
        <f>IF($A198="INSUMO",VLOOKUP($B198,'BANCO DE DADOS JANEIRO-24 INS'!$A:$D,4,FALSE),VLOOKUP($B198,'BANCO DE DADOS JANEIRO-24 SERV'!$B:$E,4,FALSE))</f>
        <v>4789.18</v>
      </c>
      <c r="G198" s="1164">
        <f>TRUNC(E198*F198,2)</f>
        <v>4789.18</v>
      </c>
    </row>
    <row r="199" spans="1:256" s="271" customFormat="1" ht="45">
      <c r="A199" s="333" t="s">
        <v>391</v>
      </c>
      <c r="B199" s="1097">
        <v>94963</v>
      </c>
      <c r="C199" s="1098" t="str">
        <f>IF($A199="INSUMO",VLOOKUP($B199,'BANCO DE DADOS JANEIRO-24 INS'!$A:$D,2,FALSE),VLOOKUP($B199,'BANCO DE DADOS JANEIRO-24 SERV'!$B:$E,2,FALSE))</f>
        <v>CONCRETO FCK = 15MPA, TRAÇO 1:3,4:3,5 (EM MASSA SECA DE CIMENTO/ AREIA MÉDIA/ BRITA 1) - PREPARO MECÂNICO COM BETONEIRA 400 L. AF_05/2021</v>
      </c>
      <c r="D199" s="1099" t="str">
        <f>IF($A199="INSUMO",VLOOKUP($B199,'BANCO DE DADOS JANEIRO-24 INS'!$A:$D,3,FALSE),VLOOKUP($B199,'BANCO DE DADOS JANEIRO-24 SERV'!$B:$E,3,FALSE))</f>
        <v>M3</v>
      </c>
      <c r="E199" s="1165">
        <f>0.064*3</f>
        <v>0.192</v>
      </c>
      <c r="F199" s="1118">
        <f>IF($A199="INSUMO",VLOOKUP($B199,'BANCO DE DADOS JANEIRO-24 INS'!$A:$D,4,FALSE),VLOOKUP($B199,'BANCO DE DADOS JANEIRO-24 SERV'!$B:$E,4,FALSE))</f>
        <v>503.53</v>
      </c>
      <c r="G199" s="1164">
        <f>TRUNC(E199*F199,2)</f>
        <v>96.67</v>
      </c>
    </row>
    <row r="200" spans="1:256" s="271" customFormat="1" ht="15.75">
      <c r="A200" s="333"/>
      <c r="B200" s="2389" t="s">
        <v>166</v>
      </c>
      <c r="C200" s="2390"/>
      <c r="D200" s="2390"/>
      <c r="E200" s="2390"/>
      <c r="F200" s="2390"/>
      <c r="G200" s="2391"/>
    </row>
    <row r="201" spans="1:256" s="271" customFormat="1" ht="15.75">
      <c r="A201" s="333" t="s">
        <v>391</v>
      </c>
      <c r="B201" s="1166">
        <v>88309</v>
      </c>
      <c r="C201" s="1098" t="str">
        <f>IF($A201="INSUMO",VLOOKUP($B201,'BANCO DE DADOS JANEIRO-24 INS'!$A:$D,2,FALSE),VLOOKUP($B201,'BANCO DE DADOS JANEIRO-24 SERV'!$B:$E,2,FALSE))</f>
        <v>PEDREIRO COM ENCARGOS COMPLEMENTARES</v>
      </c>
      <c r="D201" s="1099" t="str">
        <f>IF($A201="INSUMO",VLOOKUP($B201,'BANCO DE DADOS JANEIRO-24 INS'!$A:$D,3,FALSE),VLOOKUP($B201,'BANCO DE DADOS JANEIRO-24 SERV'!$B:$E,3,FALSE))</f>
        <v>H</v>
      </c>
      <c r="E201" s="1167">
        <v>1</v>
      </c>
      <c r="F201" s="1118">
        <f>IF($A201="INSUMO",VLOOKUP($B201,'BANCO DE DADOS JANEIRO-24 INS'!$A:$D,4,FALSE),VLOOKUP($B201,'BANCO DE DADOS JANEIRO-24 SERV'!$B:$E,4,FALSE))</f>
        <v>25.62</v>
      </c>
      <c r="G201" s="1164">
        <f>TRUNC(E201*F201,2)</f>
        <v>25.62</v>
      </c>
    </row>
    <row r="202" spans="1:256" s="271" customFormat="1" ht="16.5" thickBot="1">
      <c r="A202" s="333" t="s">
        <v>391</v>
      </c>
      <c r="B202" s="1168">
        <v>88316</v>
      </c>
      <c r="C202" s="1103" t="str">
        <f>IF($A202="INSUMO",VLOOKUP($B202,'BANCO DE DADOS JANEIRO-24 INS'!$A:$D,2,FALSE),VLOOKUP($B202,'BANCO DE DADOS JANEIRO-24 SERV'!$B:$E,2,FALSE))</f>
        <v>SERVENTE COM ENCARGOS COMPLEMENTARES</v>
      </c>
      <c r="D202" s="1104" t="str">
        <f>IF($A202="INSUMO",VLOOKUP($B202,'BANCO DE DADOS JANEIRO-24 INS'!$A:$D,3,FALSE),VLOOKUP($B202,'BANCO DE DADOS JANEIRO-24 SERV'!$B:$E,3,FALSE))</f>
        <v>H</v>
      </c>
      <c r="E202" s="1169">
        <v>1</v>
      </c>
      <c r="F202" s="1119">
        <f>IF($A202="INSUMO",VLOOKUP($B202,'BANCO DE DADOS JANEIRO-24 INS'!$A:$D,4,FALSE),VLOOKUP($B202,'BANCO DE DADOS JANEIRO-24 SERV'!$B:$E,4,FALSE))</f>
        <v>20.32</v>
      </c>
      <c r="G202" s="1170">
        <f>TRUNC(E202*F202,2)</f>
        <v>20.32</v>
      </c>
    </row>
    <row r="203" spans="1:256" s="271" customFormat="1" ht="35.1" customHeight="1" thickBot="1">
      <c r="A203" s="333"/>
      <c r="B203" s="2479" t="s">
        <v>5379</v>
      </c>
      <c r="C203" s="2479"/>
      <c r="D203" s="2479"/>
      <c r="E203" s="2480"/>
      <c r="F203" s="1171" t="s">
        <v>167</v>
      </c>
      <c r="G203" s="1172">
        <f>ROUND(SUM(G198:G202),2)</f>
        <v>4931.79</v>
      </c>
    </row>
    <row r="204" spans="1:256" s="381" customFormat="1" ht="13.5" thickBot="1">
      <c r="A204" s="392"/>
      <c r="B204" s="448"/>
      <c r="C204" s="448"/>
      <c r="D204" s="448"/>
      <c r="E204" s="448"/>
      <c r="F204" s="448"/>
      <c r="G204" s="448"/>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c r="AE204" s="392"/>
      <c r="AF204" s="392"/>
      <c r="AG204" s="392"/>
      <c r="AH204" s="392"/>
      <c r="AI204" s="392"/>
      <c r="AJ204" s="392"/>
      <c r="AK204" s="392"/>
      <c r="AL204" s="392"/>
      <c r="AM204" s="392"/>
      <c r="AN204" s="392"/>
      <c r="AO204" s="392"/>
      <c r="AP204" s="392"/>
      <c r="AQ204" s="392"/>
      <c r="AR204" s="392"/>
      <c r="AS204" s="392"/>
      <c r="AT204" s="392"/>
      <c r="AU204" s="392"/>
      <c r="AV204" s="392"/>
      <c r="AW204" s="392"/>
      <c r="AX204" s="392"/>
      <c r="AY204" s="392"/>
      <c r="AZ204" s="392"/>
      <c r="BA204" s="392"/>
      <c r="BB204" s="392"/>
      <c r="BC204" s="392"/>
      <c r="BD204" s="392"/>
      <c r="BE204" s="392"/>
      <c r="BF204" s="392"/>
      <c r="BG204" s="392"/>
      <c r="BH204" s="392"/>
      <c r="BI204" s="392"/>
      <c r="BJ204" s="392"/>
      <c r="BK204" s="392"/>
      <c r="BL204" s="392"/>
      <c r="BM204" s="392"/>
      <c r="BN204" s="392"/>
      <c r="BO204" s="392"/>
      <c r="BP204" s="392"/>
      <c r="BQ204" s="392"/>
      <c r="BR204" s="392"/>
      <c r="BS204" s="392"/>
      <c r="BT204" s="392"/>
      <c r="BU204" s="392"/>
      <c r="BV204" s="392"/>
      <c r="BW204" s="392"/>
      <c r="BX204" s="392"/>
      <c r="BY204" s="392"/>
      <c r="BZ204" s="392"/>
      <c r="CA204" s="392"/>
      <c r="CB204" s="392"/>
      <c r="CC204" s="392"/>
      <c r="CD204" s="392"/>
      <c r="CE204" s="392"/>
      <c r="CF204" s="392"/>
      <c r="CG204" s="392"/>
      <c r="CH204" s="392"/>
      <c r="CI204" s="392"/>
      <c r="CJ204" s="392"/>
      <c r="CK204" s="392"/>
      <c r="CL204" s="392"/>
      <c r="CM204" s="392"/>
      <c r="CN204" s="392"/>
      <c r="CO204" s="392"/>
      <c r="CP204" s="392"/>
      <c r="CQ204" s="392"/>
      <c r="CR204" s="392"/>
      <c r="CS204" s="392"/>
      <c r="CT204" s="392"/>
      <c r="CU204" s="392"/>
      <c r="CV204" s="392"/>
      <c r="CW204" s="392"/>
      <c r="CX204" s="392"/>
      <c r="CY204" s="392"/>
      <c r="CZ204" s="392"/>
      <c r="DA204" s="392"/>
      <c r="DB204" s="392"/>
      <c r="DC204" s="392"/>
      <c r="DD204" s="392"/>
      <c r="DE204" s="392"/>
      <c r="DF204" s="392"/>
      <c r="DG204" s="392"/>
      <c r="DH204" s="392"/>
      <c r="DI204" s="392"/>
      <c r="DJ204" s="392"/>
      <c r="DK204" s="392"/>
      <c r="DL204" s="392"/>
      <c r="DM204" s="392"/>
      <c r="DN204" s="392"/>
      <c r="DO204" s="392"/>
      <c r="DP204" s="392"/>
      <c r="DQ204" s="392"/>
      <c r="DR204" s="392"/>
      <c r="DS204" s="392"/>
      <c r="DT204" s="392"/>
      <c r="DU204" s="392"/>
      <c r="DV204" s="392"/>
      <c r="DW204" s="392"/>
      <c r="DX204" s="392"/>
      <c r="DY204" s="392"/>
      <c r="DZ204" s="392"/>
      <c r="EA204" s="392"/>
      <c r="EB204" s="392"/>
      <c r="EC204" s="392"/>
      <c r="ED204" s="392"/>
      <c r="EE204" s="392"/>
      <c r="EF204" s="392"/>
      <c r="EG204" s="392"/>
      <c r="EH204" s="392"/>
      <c r="EI204" s="392"/>
      <c r="EJ204" s="392"/>
      <c r="EK204" s="392"/>
      <c r="EL204" s="392"/>
      <c r="EM204" s="392"/>
      <c r="EN204" s="392"/>
      <c r="EO204" s="392"/>
      <c r="EP204" s="392"/>
      <c r="EQ204" s="392"/>
      <c r="ER204" s="392"/>
      <c r="ES204" s="392"/>
      <c r="ET204" s="392"/>
      <c r="EU204" s="392"/>
      <c r="EV204" s="392"/>
      <c r="EW204" s="392"/>
      <c r="EX204" s="392"/>
      <c r="EY204" s="392"/>
      <c r="EZ204" s="392"/>
      <c r="FA204" s="392"/>
      <c r="FB204" s="392"/>
      <c r="FC204" s="392"/>
      <c r="FD204" s="392"/>
      <c r="FE204" s="392"/>
      <c r="FF204" s="392"/>
      <c r="FG204" s="392"/>
      <c r="FH204" s="392"/>
      <c r="FI204" s="392"/>
      <c r="FJ204" s="392"/>
      <c r="FK204" s="392"/>
      <c r="FL204" s="392"/>
      <c r="FM204" s="392"/>
      <c r="FN204" s="392"/>
      <c r="FO204" s="392"/>
      <c r="FP204" s="392"/>
      <c r="FQ204" s="392"/>
      <c r="FR204" s="392"/>
      <c r="FS204" s="392"/>
      <c r="FT204" s="392"/>
      <c r="FU204" s="392"/>
      <c r="FV204" s="392"/>
      <c r="FW204" s="392"/>
      <c r="FX204" s="392"/>
      <c r="FY204" s="392"/>
      <c r="FZ204" s="392"/>
      <c r="GA204" s="392"/>
      <c r="GB204" s="392"/>
      <c r="GC204" s="392"/>
      <c r="GD204" s="392"/>
      <c r="GE204" s="392"/>
      <c r="GF204" s="392"/>
      <c r="GG204" s="392"/>
      <c r="GH204" s="392"/>
      <c r="GI204" s="392"/>
      <c r="GJ204" s="392"/>
      <c r="GK204" s="392"/>
      <c r="GL204" s="392"/>
      <c r="GM204" s="392"/>
      <c r="GN204" s="392"/>
      <c r="GO204" s="392"/>
      <c r="GP204" s="392"/>
      <c r="GQ204" s="392"/>
      <c r="GR204" s="392"/>
      <c r="GS204" s="392"/>
      <c r="GT204" s="392"/>
      <c r="GU204" s="392"/>
      <c r="GV204" s="392"/>
      <c r="GW204" s="392"/>
      <c r="GX204" s="392"/>
      <c r="GY204" s="392"/>
      <c r="GZ204" s="392"/>
      <c r="HA204" s="392"/>
      <c r="HB204" s="392"/>
      <c r="HC204" s="392"/>
      <c r="HD204" s="392"/>
      <c r="HE204" s="392"/>
      <c r="HF204" s="392"/>
      <c r="HG204" s="392"/>
      <c r="HH204" s="392"/>
      <c r="HI204" s="392"/>
      <c r="HJ204" s="392"/>
      <c r="HK204" s="392"/>
      <c r="HL204" s="392"/>
      <c r="HM204" s="392"/>
      <c r="HN204" s="392"/>
      <c r="HO204" s="392"/>
      <c r="HP204" s="392"/>
      <c r="HQ204" s="392"/>
      <c r="HR204" s="392"/>
      <c r="HS204" s="392"/>
      <c r="HT204" s="392"/>
      <c r="HU204" s="392"/>
      <c r="HV204" s="392"/>
      <c r="HW204" s="392"/>
      <c r="HX204" s="392"/>
      <c r="HY204" s="392"/>
      <c r="HZ204" s="392"/>
      <c r="IA204" s="392"/>
      <c r="IB204" s="392"/>
      <c r="IC204" s="392"/>
      <c r="ID204" s="392"/>
      <c r="IE204" s="392"/>
      <c r="IF204" s="392"/>
      <c r="IG204" s="392"/>
      <c r="IH204" s="392"/>
      <c r="II204" s="392"/>
      <c r="IJ204" s="392"/>
      <c r="IK204" s="392"/>
      <c r="IL204" s="392"/>
      <c r="IM204" s="392"/>
      <c r="IN204" s="392"/>
      <c r="IO204" s="392"/>
      <c r="IP204" s="392"/>
      <c r="IQ204" s="392"/>
      <c r="IR204" s="392"/>
      <c r="IS204" s="392"/>
      <c r="IT204" s="392"/>
      <c r="IU204" s="392"/>
      <c r="IV204" s="392"/>
    </row>
    <row r="205" spans="1:256" s="1156" customFormat="1" ht="48" customHeight="1">
      <c r="A205" s="1154"/>
      <c r="B205" s="377" t="str">
        <f>IF(COUNT($H$14:H205)&lt;10,CONCATENATE("CPU ACAD 00",COUNT($H$14:H205)),CONCATENATE("CPU ACAD 0",COUNT($H$14:H205)))</f>
        <v>CPU ACAD 014</v>
      </c>
      <c r="C205" s="2180" t="str">
        <f>CONCATENATE("FORNECIMENTO E INSTALAÇÃO DE ",C208)</f>
        <v>FORNECIMENTO E INSTALAÇÃO DE SIMULADOR DE CAVALGADA DUPLO EM TUBO DE ACO CARBONO, PINTURA NO PROCESSO ELETROSTATICO - EQUIPAMENTO DE GINASTICA PARA ACADEMIA AO AR LIVRE / ACADEMIA DA TERCEIRA IDADE - ATI</v>
      </c>
      <c r="D205" s="2180"/>
      <c r="E205" s="2180"/>
      <c r="F205" s="2180"/>
      <c r="G205" s="1155" t="s">
        <v>22</v>
      </c>
      <c r="H205" s="806">
        <f>G213</f>
        <v>3634.39</v>
      </c>
    </row>
    <row r="206" spans="1:256" s="271" customFormat="1" ht="31.5">
      <c r="A206" s="333"/>
      <c r="B206" s="1093" t="s">
        <v>197</v>
      </c>
      <c r="C206" s="1157" t="s">
        <v>161</v>
      </c>
      <c r="D206" s="1157" t="s">
        <v>22</v>
      </c>
      <c r="E206" s="1157" t="s">
        <v>162</v>
      </c>
      <c r="F206" s="1158" t="s">
        <v>163</v>
      </c>
      <c r="G206" s="1159" t="s">
        <v>164</v>
      </c>
    </row>
    <row r="207" spans="1:256" s="271" customFormat="1" ht="15.75">
      <c r="A207" s="333"/>
      <c r="B207" s="2389" t="s">
        <v>165</v>
      </c>
      <c r="C207" s="2390"/>
      <c r="D207" s="2390"/>
      <c r="E207" s="2390"/>
      <c r="F207" s="2390"/>
      <c r="G207" s="2391"/>
    </row>
    <row r="208" spans="1:256" s="271" customFormat="1" ht="60">
      <c r="A208" s="333"/>
      <c r="B208" s="1160" t="s">
        <v>181</v>
      </c>
      <c r="C208" s="1098" t="str">
        <f>C215</f>
        <v>SIMULADOR DE CAVALGADA DUPLO EM TUBO DE ACO CARBONO, PINTURA NO PROCESSO ELETROSTATICO - EQUIPAMENTO DE GINASTICA PARA ACADEMIA AO AR LIVRE / ACADEMIA DA TERCEIRA IDADE - ATI</v>
      </c>
      <c r="D208" s="1161" t="str">
        <f>G215</f>
        <v>UN</v>
      </c>
      <c r="E208" s="1162">
        <v>1</v>
      </c>
      <c r="F208" s="1163">
        <f>D220</f>
        <v>3524</v>
      </c>
      <c r="G208" s="1164">
        <f>TRUNC(E208*F208,2)</f>
        <v>3524</v>
      </c>
    </row>
    <row r="209" spans="1:256" s="271" customFormat="1" ht="45">
      <c r="A209" s="333" t="s">
        <v>391</v>
      </c>
      <c r="B209" s="1097">
        <v>94963</v>
      </c>
      <c r="C209" s="1098" t="str">
        <f>IF($A209="INSUMO",VLOOKUP($B209,'BANCO DE DADOS JANEIRO-24 INS'!$A:$D,2,FALSE),VLOOKUP($B209,'BANCO DE DADOS JANEIRO-24 SERV'!$B:$E,2,FALSE))</f>
        <v>CONCRETO FCK = 15MPA, TRAÇO 1:3,4:3,5 (EM MASSA SECA DE CIMENTO/ AREIA MÉDIA/ BRITA 1) - PREPARO MECÂNICO COM BETONEIRA 400 L. AF_05/2021</v>
      </c>
      <c r="D209" s="1099" t="str">
        <f>IF($A209="INSUMO",VLOOKUP($B209,'BANCO DE DADOS JANEIRO-24 INS'!$A:$D,3,FALSE),VLOOKUP($B209,'BANCO DE DADOS JANEIRO-24 SERV'!$B:$E,3,FALSE))</f>
        <v>M3</v>
      </c>
      <c r="E209" s="1165">
        <v>0.128</v>
      </c>
      <c r="F209" s="1118">
        <f>IF($A209="INSUMO",VLOOKUP($B209,'BANCO DE DADOS JANEIRO-24 INS'!$A:$D,4,FALSE),VLOOKUP($B209,'BANCO DE DADOS JANEIRO-24 SERV'!$B:$E,4,FALSE))</f>
        <v>503.53</v>
      </c>
      <c r="G209" s="1164">
        <f>TRUNC(E209*F209,2)</f>
        <v>64.45</v>
      </c>
    </row>
    <row r="210" spans="1:256" s="271" customFormat="1" ht="15.75">
      <c r="A210" s="333"/>
      <c r="B210" s="2389" t="s">
        <v>166</v>
      </c>
      <c r="C210" s="2390"/>
      <c r="D210" s="2390"/>
      <c r="E210" s="2390"/>
      <c r="F210" s="2390"/>
      <c r="G210" s="2391"/>
    </row>
    <row r="211" spans="1:256" s="271" customFormat="1" ht="15.75">
      <c r="A211" s="333" t="s">
        <v>391</v>
      </c>
      <c r="B211" s="1166">
        <v>88309</v>
      </c>
      <c r="C211" s="1098" t="str">
        <f>IF($A211="INSUMO",VLOOKUP($B211,'BANCO DE DADOS JANEIRO-24 INS'!$A:$D,2,FALSE),VLOOKUP($B211,'BANCO DE DADOS JANEIRO-24 SERV'!$B:$E,2,FALSE))</f>
        <v>PEDREIRO COM ENCARGOS COMPLEMENTARES</v>
      </c>
      <c r="D211" s="1099" t="str">
        <f>IF($A211="INSUMO",VLOOKUP($B211,'BANCO DE DADOS JANEIRO-24 INS'!$A:$D,3,FALSE),VLOOKUP($B211,'BANCO DE DADOS JANEIRO-24 SERV'!$B:$E,3,FALSE))</f>
        <v>H</v>
      </c>
      <c r="E211" s="1167">
        <v>1</v>
      </c>
      <c r="F211" s="1118">
        <f>IF($A211="INSUMO",VLOOKUP($B211,'BANCO DE DADOS JANEIRO-24 INS'!$A:$D,4,FALSE),VLOOKUP($B211,'BANCO DE DADOS JANEIRO-24 SERV'!$B:$E,4,FALSE))</f>
        <v>25.62</v>
      </c>
      <c r="G211" s="1164">
        <f>TRUNC(E211*F211,2)</f>
        <v>25.62</v>
      </c>
    </row>
    <row r="212" spans="1:256" s="271" customFormat="1" ht="16.5" thickBot="1">
      <c r="A212" s="333" t="s">
        <v>391</v>
      </c>
      <c r="B212" s="1168">
        <v>88316</v>
      </c>
      <c r="C212" s="1103" t="str">
        <f>IF($A212="INSUMO",VLOOKUP($B212,'BANCO DE DADOS JANEIRO-24 INS'!$A:$D,2,FALSE),VLOOKUP($B212,'BANCO DE DADOS JANEIRO-24 SERV'!$B:$E,2,FALSE))</f>
        <v>SERVENTE COM ENCARGOS COMPLEMENTARES</v>
      </c>
      <c r="D212" s="1104" t="str">
        <f>IF($A212="INSUMO",VLOOKUP($B212,'BANCO DE DADOS JANEIRO-24 INS'!$A:$D,3,FALSE),VLOOKUP($B212,'BANCO DE DADOS JANEIRO-24 SERV'!$B:$E,3,FALSE))</f>
        <v>H</v>
      </c>
      <c r="E212" s="1169">
        <v>1</v>
      </c>
      <c r="F212" s="1119">
        <f>IF($A212="INSUMO",VLOOKUP($B212,'BANCO DE DADOS JANEIRO-24 INS'!$A:$D,4,FALSE),VLOOKUP($B212,'BANCO DE DADOS JANEIRO-24 SERV'!$B:$E,4,FALSE))</f>
        <v>20.32</v>
      </c>
      <c r="G212" s="1170">
        <f>TRUNC(E212*F212,2)</f>
        <v>20.32</v>
      </c>
    </row>
    <row r="213" spans="1:256" s="271" customFormat="1" ht="16.5" thickBot="1">
      <c r="A213" s="333"/>
      <c r="B213" s="2472" t="s">
        <v>5377</v>
      </c>
      <c r="C213" s="2472"/>
      <c r="D213" s="2472"/>
      <c r="E213" s="2473"/>
      <c r="F213" s="1171" t="s">
        <v>167</v>
      </c>
      <c r="G213" s="1172">
        <f>ROUND(SUM(G208:G212),2)</f>
        <v>3634.39</v>
      </c>
    </row>
    <row r="214" spans="1:256" s="271" customFormat="1" ht="16.5" thickBot="1">
      <c r="A214" s="333"/>
      <c r="B214" s="230"/>
      <c r="C214" s="235"/>
      <c r="D214" s="235"/>
      <c r="E214" s="235"/>
      <c r="F214" s="235"/>
      <c r="G214" s="235"/>
    </row>
    <row r="215" spans="1:256" s="271" customFormat="1" ht="48.75" customHeight="1">
      <c r="A215" s="333"/>
      <c r="B215" s="1744"/>
      <c r="C215" s="2164" t="s">
        <v>2703</v>
      </c>
      <c r="D215" s="2165"/>
      <c r="E215" s="2165"/>
      <c r="F215" s="2166"/>
      <c r="G215" s="1670" t="s">
        <v>22</v>
      </c>
      <c r="H215" s="1173" t="s">
        <v>1977</v>
      </c>
    </row>
    <row r="216" spans="1:256" s="271" customFormat="1" ht="31.5">
      <c r="A216" s="333"/>
      <c r="B216" s="1107" t="s">
        <v>174</v>
      </c>
      <c r="C216" s="1108" t="s">
        <v>175</v>
      </c>
      <c r="D216" s="1109" t="s">
        <v>176</v>
      </c>
      <c r="E216" s="1110" t="s">
        <v>177</v>
      </c>
      <c r="F216" s="1111" t="s">
        <v>178</v>
      </c>
      <c r="G216" s="1112" t="s">
        <v>179</v>
      </c>
    </row>
    <row r="217" spans="1:256" s="271" customFormat="1" ht="15.75">
      <c r="A217" s="333"/>
      <c r="B217" s="1392">
        <v>44204</v>
      </c>
      <c r="C217" s="1277" t="s">
        <v>3405</v>
      </c>
      <c r="D217" s="1278">
        <v>3524</v>
      </c>
      <c r="E217" s="1393" t="s">
        <v>1805</v>
      </c>
      <c r="F217" s="1280" t="s">
        <v>1806</v>
      </c>
      <c r="G217" s="1394" t="s">
        <v>4599</v>
      </c>
      <c r="H217" s="1176"/>
    </row>
    <row r="218" spans="1:256" s="271" customFormat="1" ht="15.75">
      <c r="A218" s="333"/>
      <c r="B218" s="1113">
        <v>44473</v>
      </c>
      <c r="C218" s="1114" t="s">
        <v>5190</v>
      </c>
      <c r="D218" s="1115">
        <v>2781</v>
      </c>
      <c r="E218" s="1175" t="s">
        <v>5191</v>
      </c>
      <c r="F218" s="1361" t="s">
        <v>5192</v>
      </c>
      <c r="G218" s="1362" t="s">
        <v>5193</v>
      </c>
      <c r="H218" s="1176"/>
    </row>
    <row r="219" spans="1:256" s="271" customFormat="1" ht="15.75">
      <c r="A219" s="333"/>
      <c r="B219" s="1113">
        <v>44473</v>
      </c>
      <c r="C219" s="1114" t="s">
        <v>4610</v>
      </c>
      <c r="D219" s="1115">
        <v>3741.88</v>
      </c>
      <c r="E219" s="1138" t="s">
        <v>4609</v>
      </c>
      <c r="F219" s="1361" t="s">
        <v>4608</v>
      </c>
      <c r="G219" s="1362" t="s">
        <v>4607</v>
      </c>
      <c r="H219" s="1176"/>
    </row>
    <row r="220" spans="1:256" s="271" customFormat="1" ht="16.5" thickBot="1">
      <c r="A220" s="333"/>
      <c r="B220" s="1711"/>
      <c r="C220" s="1668" t="s">
        <v>180</v>
      </c>
      <c r="D220" s="1673">
        <f>IF(COUNT(D216:D219)=3,MEDIAN(D217:D219),SMALL(D217:D219,1))</f>
        <v>3524</v>
      </c>
      <c r="E220" s="1674"/>
      <c r="F220" s="1675"/>
      <c r="G220" s="1671"/>
    </row>
    <row r="221" spans="1:256" s="381" customFormat="1" ht="13.5" thickBot="1">
      <c r="A221" s="392"/>
      <c r="B221" s="448"/>
      <c r="C221" s="448"/>
      <c r="D221" s="448"/>
      <c r="E221" s="448"/>
      <c r="F221" s="448"/>
      <c r="G221" s="448"/>
      <c r="H221" s="392"/>
      <c r="I221" s="392"/>
      <c r="J221" s="392"/>
      <c r="K221" s="392"/>
      <c r="L221" s="392"/>
      <c r="M221" s="392"/>
      <c r="N221" s="392"/>
      <c r="O221" s="392"/>
      <c r="P221" s="392"/>
      <c r="Q221" s="392"/>
      <c r="R221" s="392"/>
      <c r="S221" s="392"/>
      <c r="T221" s="392"/>
      <c r="U221" s="392"/>
      <c r="V221" s="392"/>
      <c r="W221" s="392"/>
      <c r="X221" s="392"/>
      <c r="Y221" s="392"/>
      <c r="Z221" s="392"/>
      <c r="AA221" s="392"/>
      <c r="AB221" s="392"/>
      <c r="AC221" s="392"/>
      <c r="AD221" s="392"/>
      <c r="AE221" s="392"/>
      <c r="AF221" s="392"/>
      <c r="AG221" s="392"/>
      <c r="AH221" s="392"/>
      <c r="AI221" s="392"/>
      <c r="AJ221" s="392"/>
      <c r="AK221" s="392"/>
      <c r="AL221" s="392"/>
      <c r="AM221" s="392"/>
      <c r="AN221" s="392"/>
      <c r="AO221" s="392"/>
      <c r="AP221" s="392"/>
      <c r="AQ221" s="392"/>
      <c r="AR221" s="392"/>
      <c r="AS221" s="392"/>
      <c r="AT221" s="392"/>
      <c r="AU221" s="392"/>
      <c r="AV221" s="392"/>
      <c r="AW221" s="392"/>
      <c r="AX221" s="392"/>
      <c r="AY221" s="392"/>
      <c r="AZ221" s="392"/>
      <c r="BA221" s="392"/>
      <c r="BB221" s="392"/>
      <c r="BC221" s="392"/>
      <c r="BD221" s="392"/>
      <c r="BE221" s="392"/>
      <c r="BF221" s="392"/>
      <c r="BG221" s="392"/>
      <c r="BH221" s="392"/>
      <c r="BI221" s="392"/>
      <c r="BJ221" s="392"/>
      <c r="BK221" s="392"/>
      <c r="BL221" s="392"/>
      <c r="BM221" s="392"/>
      <c r="BN221" s="392"/>
      <c r="BO221" s="392"/>
      <c r="BP221" s="392"/>
      <c r="BQ221" s="392"/>
      <c r="BR221" s="392"/>
      <c r="BS221" s="392"/>
      <c r="BT221" s="392"/>
      <c r="BU221" s="392"/>
      <c r="BV221" s="392"/>
      <c r="BW221" s="392"/>
      <c r="BX221" s="392"/>
      <c r="BY221" s="392"/>
      <c r="BZ221" s="392"/>
      <c r="CA221" s="392"/>
      <c r="CB221" s="392"/>
      <c r="CC221" s="392"/>
      <c r="CD221" s="392"/>
      <c r="CE221" s="392"/>
      <c r="CF221" s="392"/>
      <c r="CG221" s="392"/>
      <c r="CH221" s="392"/>
      <c r="CI221" s="392"/>
      <c r="CJ221" s="392"/>
      <c r="CK221" s="392"/>
      <c r="CL221" s="392"/>
      <c r="CM221" s="392"/>
      <c r="CN221" s="392"/>
      <c r="CO221" s="392"/>
      <c r="CP221" s="392"/>
      <c r="CQ221" s="392"/>
      <c r="CR221" s="392"/>
      <c r="CS221" s="392"/>
      <c r="CT221" s="392"/>
      <c r="CU221" s="392"/>
      <c r="CV221" s="392"/>
      <c r="CW221" s="392"/>
      <c r="CX221" s="392"/>
      <c r="CY221" s="392"/>
      <c r="CZ221" s="392"/>
      <c r="DA221" s="392"/>
      <c r="DB221" s="392"/>
      <c r="DC221" s="392"/>
      <c r="DD221" s="392"/>
      <c r="DE221" s="392"/>
      <c r="DF221" s="392"/>
      <c r="DG221" s="392"/>
      <c r="DH221" s="392"/>
      <c r="DI221" s="392"/>
      <c r="DJ221" s="392"/>
      <c r="DK221" s="392"/>
      <c r="DL221" s="392"/>
      <c r="DM221" s="392"/>
      <c r="DN221" s="392"/>
      <c r="DO221" s="392"/>
      <c r="DP221" s="392"/>
      <c r="DQ221" s="392"/>
      <c r="DR221" s="392"/>
      <c r="DS221" s="392"/>
      <c r="DT221" s="392"/>
      <c r="DU221" s="392"/>
      <c r="DV221" s="392"/>
      <c r="DW221" s="392"/>
      <c r="DX221" s="392"/>
      <c r="DY221" s="392"/>
      <c r="DZ221" s="392"/>
      <c r="EA221" s="392"/>
      <c r="EB221" s="392"/>
      <c r="EC221" s="392"/>
      <c r="ED221" s="392"/>
      <c r="EE221" s="392"/>
      <c r="EF221" s="392"/>
      <c r="EG221" s="392"/>
      <c r="EH221" s="392"/>
      <c r="EI221" s="392"/>
      <c r="EJ221" s="392"/>
      <c r="EK221" s="392"/>
      <c r="EL221" s="392"/>
      <c r="EM221" s="392"/>
      <c r="EN221" s="392"/>
      <c r="EO221" s="392"/>
      <c r="EP221" s="392"/>
      <c r="EQ221" s="392"/>
      <c r="ER221" s="392"/>
      <c r="ES221" s="392"/>
      <c r="ET221" s="392"/>
      <c r="EU221" s="392"/>
      <c r="EV221" s="392"/>
      <c r="EW221" s="392"/>
      <c r="EX221" s="392"/>
      <c r="EY221" s="392"/>
      <c r="EZ221" s="392"/>
      <c r="FA221" s="392"/>
      <c r="FB221" s="392"/>
      <c r="FC221" s="392"/>
      <c r="FD221" s="392"/>
      <c r="FE221" s="392"/>
      <c r="FF221" s="392"/>
      <c r="FG221" s="392"/>
      <c r="FH221" s="392"/>
      <c r="FI221" s="392"/>
      <c r="FJ221" s="392"/>
      <c r="FK221" s="392"/>
      <c r="FL221" s="392"/>
      <c r="FM221" s="392"/>
      <c r="FN221" s="392"/>
      <c r="FO221" s="392"/>
      <c r="FP221" s="392"/>
      <c r="FQ221" s="392"/>
      <c r="FR221" s="392"/>
      <c r="FS221" s="392"/>
      <c r="FT221" s="392"/>
      <c r="FU221" s="392"/>
      <c r="FV221" s="392"/>
      <c r="FW221" s="392"/>
      <c r="FX221" s="392"/>
      <c r="FY221" s="392"/>
      <c r="FZ221" s="392"/>
      <c r="GA221" s="392"/>
      <c r="GB221" s="392"/>
      <c r="GC221" s="392"/>
      <c r="GD221" s="392"/>
      <c r="GE221" s="392"/>
      <c r="GF221" s="392"/>
      <c r="GG221" s="392"/>
      <c r="GH221" s="392"/>
      <c r="GI221" s="392"/>
      <c r="GJ221" s="392"/>
      <c r="GK221" s="392"/>
      <c r="GL221" s="392"/>
      <c r="GM221" s="392"/>
      <c r="GN221" s="392"/>
      <c r="GO221" s="392"/>
      <c r="GP221" s="392"/>
      <c r="GQ221" s="392"/>
      <c r="GR221" s="392"/>
      <c r="GS221" s="392"/>
      <c r="GT221" s="392"/>
      <c r="GU221" s="392"/>
      <c r="GV221" s="392"/>
      <c r="GW221" s="392"/>
      <c r="GX221" s="392"/>
      <c r="GY221" s="392"/>
      <c r="GZ221" s="392"/>
      <c r="HA221" s="392"/>
      <c r="HB221" s="392"/>
      <c r="HC221" s="392"/>
      <c r="HD221" s="392"/>
      <c r="HE221" s="392"/>
      <c r="HF221" s="392"/>
      <c r="HG221" s="392"/>
      <c r="HH221" s="392"/>
      <c r="HI221" s="392"/>
      <c r="HJ221" s="392"/>
      <c r="HK221" s="392"/>
      <c r="HL221" s="392"/>
      <c r="HM221" s="392"/>
      <c r="HN221" s="392"/>
      <c r="HO221" s="392"/>
      <c r="HP221" s="392"/>
      <c r="HQ221" s="392"/>
      <c r="HR221" s="392"/>
      <c r="HS221" s="392"/>
      <c r="HT221" s="392"/>
      <c r="HU221" s="392"/>
      <c r="HV221" s="392"/>
      <c r="HW221" s="392"/>
      <c r="HX221" s="392"/>
      <c r="HY221" s="392"/>
      <c r="HZ221" s="392"/>
      <c r="IA221" s="392"/>
      <c r="IB221" s="392"/>
      <c r="IC221" s="392"/>
      <c r="ID221" s="392"/>
      <c r="IE221" s="392"/>
      <c r="IF221" s="392"/>
      <c r="IG221" s="392"/>
      <c r="IH221" s="392"/>
      <c r="II221" s="392"/>
      <c r="IJ221" s="392"/>
      <c r="IK221" s="392"/>
      <c r="IL221" s="392"/>
      <c r="IM221" s="392"/>
      <c r="IN221" s="392"/>
      <c r="IO221" s="392"/>
      <c r="IP221" s="392"/>
      <c r="IQ221" s="392"/>
      <c r="IR221" s="392"/>
      <c r="IS221" s="392"/>
      <c r="IT221" s="392"/>
      <c r="IU221" s="392"/>
      <c r="IV221" s="392"/>
    </row>
    <row r="222" spans="1:256" s="1156" customFormat="1" ht="45.75" customHeight="1">
      <c r="A222" s="1154"/>
      <c r="B222" s="377" t="str">
        <f>IF(COUNT($H$14:H222)&lt;10,CONCATENATE("CPU ACAD 00",COUNT($H$14:H222)),CONCATENATE("CPU ACAD 0",COUNT($H$14:H222)))</f>
        <v>CPU ACAD 015</v>
      </c>
      <c r="C222" s="2180" t="str">
        <f>CONCATENATE("FORNECIMENTO E INSTALAÇÃO DE ",C225)</f>
        <v xml:space="preserve">FORNECIMENTO E INSTALAÇÃO DE SIMULADOR DE CAVALGADA TRIPLO, EM TUBO DE ACO CARBONO, PINTURA NO PROCESSO ELETROSTATICO - EQUIPAMENTO DE GINASTICA PARA ACADEMIA AO AR LIVRE / ACADEMIA DA TERCEIRA IDADE - ATI                                                                                                                                                                                                                                                                                                                          </v>
      </c>
      <c r="D222" s="2180"/>
      <c r="E222" s="2180"/>
      <c r="F222" s="2180"/>
      <c r="G222" s="1155" t="s">
        <v>22</v>
      </c>
      <c r="H222" s="806">
        <f>G230</f>
        <v>5318.01</v>
      </c>
    </row>
    <row r="223" spans="1:256" s="271" customFormat="1" ht="31.5">
      <c r="A223" s="333"/>
      <c r="B223" s="1093" t="s">
        <v>197</v>
      </c>
      <c r="C223" s="1157" t="s">
        <v>161</v>
      </c>
      <c r="D223" s="1157" t="s">
        <v>22</v>
      </c>
      <c r="E223" s="1157" t="s">
        <v>162</v>
      </c>
      <c r="F223" s="1158" t="s">
        <v>163</v>
      </c>
      <c r="G223" s="1159" t="s">
        <v>164</v>
      </c>
    </row>
    <row r="224" spans="1:256" s="271" customFormat="1" ht="15.75">
      <c r="A224" s="333"/>
      <c r="B224" s="2389" t="s">
        <v>165</v>
      </c>
      <c r="C224" s="2390"/>
      <c r="D224" s="2390"/>
      <c r="E224" s="2390"/>
      <c r="F224" s="2390"/>
      <c r="G224" s="2391"/>
    </row>
    <row r="225" spans="1:8" s="271" customFormat="1" ht="60">
      <c r="A225" s="333" t="s">
        <v>390</v>
      </c>
      <c r="B225" s="1097">
        <v>42434</v>
      </c>
      <c r="C225" s="1098" t="str">
        <f>IF($A225="INSUMO",VLOOKUP($B225,'BANCO DE DADOS JANEIRO-24 INS'!$A:$D,2,FALSE),VLOOKUP($B225,'BANCO DE DADOS JANEIRO-24 SERV'!$B:$E,2,FALSE))</f>
        <v xml:space="preserve">SIMULADOR DE CAVALGADA TRIPLO, EM TUBO DE ACO CARBONO, PINTURA NO PROCESSO ELETROSTATICO - EQUIPAMENTO DE GINASTICA PARA ACADEMIA AO AR LIVRE / ACADEMIA DA TERCEIRA IDADE - ATI                                                                                                                                                                                                                                                                                                                          </v>
      </c>
      <c r="D225" s="1099" t="str">
        <f>IF($A225="INSUMO",VLOOKUP($B225,'BANCO DE DADOS JANEIRO-24 INS'!$A:$D,3,FALSE),VLOOKUP($B225,'BANCO DE DADOS JANEIRO-24 SERV'!$B:$E,3,FALSE))</f>
        <v xml:space="preserve">UN    </v>
      </c>
      <c r="E225" s="1165">
        <v>1</v>
      </c>
      <c r="F225" s="1118">
        <f>IF($A225="INSUMO",VLOOKUP($B225,'BANCO DE DADOS JANEIRO-24 INS'!$A:$D,4,FALSE),VLOOKUP($B225,'BANCO DE DADOS JANEIRO-24 SERV'!$B:$E,4,FALSE))</f>
        <v>5175.3999999999996</v>
      </c>
      <c r="G225" s="1164">
        <f>TRUNC(E225*F225,2)</f>
        <v>5175.3999999999996</v>
      </c>
    </row>
    <row r="226" spans="1:8" s="271" customFormat="1" ht="45">
      <c r="A226" s="333" t="s">
        <v>391</v>
      </c>
      <c r="B226" s="1097">
        <v>94963</v>
      </c>
      <c r="C226" s="1098" t="str">
        <f>IF($A226="INSUMO",VLOOKUP($B226,'BANCO DE DADOS JANEIRO-24 INS'!$A:$D,2,FALSE),VLOOKUP($B226,'BANCO DE DADOS JANEIRO-24 SERV'!$B:$E,2,FALSE))</f>
        <v>CONCRETO FCK = 15MPA, TRAÇO 1:3,4:3,5 (EM MASSA SECA DE CIMENTO/ AREIA MÉDIA/ BRITA 1) - PREPARO MECÂNICO COM BETONEIRA 400 L. AF_05/2021</v>
      </c>
      <c r="D226" s="1099" t="str">
        <f>IF($A226="INSUMO",VLOOKUP($B226,'BANCO DE DADOS JANEIRO-24 INS'!$A:$D,3,FALSE),VLOOKUP($B226,'BANCO DE DADOS JANEIRO-24 SERV'!$B:$E,3,FALSE))</f>
        <v>M3</v>
      </c>
      <c r="E226" s="1098">
        <f>0.064*3</f>
        <v>0.192</v>
      </c>
      <c r="F226" s="1098">
        <f>IF($A226="INSUMO",VLOOKUP($B226,'BANCO DE DADOS JANEIRO-24 INS'!$A:$D,4,FALSE),VLOOKUP($B226,'BANCO DE DADOS JANEIRO-24 SERV'!$B:$E,4,FALSE))</f>
        <v>503.53</v>
      </c>
      <c r="G226" s="1098">
        <f>TRUNC(E226*F226,2)</f>
        <v>96.67</v>
      </c>
      <c r="H226" s="1098"/>
    </row>
    <row r="227" spans="1:8" s="271" customFormat="1" ht="15.75">
      <c r="A227" s="333"/>
      <c r="B227" s="2389" t="s">
        <v>166</v>
      </c>
      <c r="C227" s="2390"/>
      <c r="D227" s="2390"/>
      <c r="E227" s="2390"/>
      <c r="F227" s="2390"/>
      <c r="G227" s="2391"/>
    </row>
    <row r="228" spans="1:8" s="271" customFormat="1" ht="15.75">
      <c r="A228" s="333" t="s">
        <v>391</v>
      </c>
      <c r="B228" s="1166">
        <v>88309</v>
      </c>
      <c r="C228" s="1098" t="str">
        <f>IF($A228="INSUMO",VLOOKUP($B228,'BANCO DE DADOS JANEIRO-24 INS'!$A:$D,2,FALSE),VLOOKUP($B228,'BANCO DE DADOS JANEIRO-24 SERV'!$B:$E,2,FALSE))</f>
        <v>PEDREIRO COM ENCARGOS COMPLEMENTARES</v>
      </c>
      <c r="D228" s="1099" t="str">
        <f>IF($A228="INSUMO",VLOOKUP($B228,'BANCO DE DADOS JANEIRO-24 INS'!$A:$D,3,FALSE),VLOOKUP($B228,'BANCO DE DADOS JANEIRO-24 SERV'!$B:$E,3,FALSE))</f>
        <v>H</v>
      </c>
      <c r="E228" s="1167">
        <v>1</v>
      </c>
      <c r="F228" s="1118">
        <f>IF($A228="INSUMO",VLOOKUP($B228,'BANCO DE DADOS JANEIRO-24 INS'!$A:$D,4,FALSE),VLOOKUP($B228,'BANCO DE DADOS JANEIRO-24 SERV'!$B:$E,4,FALSE))</f>
        <v>25.62</v>
      </c>
      <c r="G228" s="1164">
        <f>TRUNC(E228*F228,2)</f>
        <v>25.62</v>
      </c>
    </row>
    <row r="229" spans="1:8" s="271" customFormat="1" ht="16.5" thickBot="1">
      <c r="A229" s="333" t="s">
        <v>391</v>
      </c>
      <c r="B229" s="1168">
        <v>88316</v>
      </c>
      <c r="C229" s="1103" t="str">
        <f>IF($A229="INSUMO",VLOOKUP($B229,'BANCO DE DADOS JANEIRO-24 INS'!$A:$D,2,FALSE),VLOOKUP($B229,'BANCO DE DADOS JANEIRO-24 SERV'!$B:$E,2,FALSE))</f>
        <v>SERVENTE COM ENCARGOS COMPLEMENTARES</v>
      </c>
      <c r="D229" s="1104" t="str">
        <f>IF($A229="INSUMO",VLOOKUP($B229,'BANCO DE DADOS JANEIRO-24 INS'!$A:$D,3,FALSE),VLOOKUP($B229,'BANCO DE DADOS JANEIRO-24 SERV'!$B:$E,3,FALSE))</f>
        <v>H</v>
      </c>
      <c r="E229" s="1169">
        <v>1</v>
      </c>
      <c r="F229" s="1119">
        <f>IF($A229="INSUMO",VLOOKUP($B229,'BANCO DE DADOS JANEIRO-24 INS'!$A:$D,4,FALSE),VLOOKUP($B229,'BANCO DE DADOS JANEIRO-24 SERV'!$B:$E,4,FALSE))</f>
        <v>20.32</v>
      </c>
      <c r="G229" s="1170">
        <f>TRUNC(E229*F229,2)</f>
        <v>20.32</v>
      </c>
    </row>
    <row r="230" spans="1:8" s="271" customFormat="1" ht="36" customHeight="1" thickBot="1">
      <c r="A230" s="333"/>
      <c r="B230" s="2479" t="s">
        <v>5376</v>
      </c>
      <c r="C230" s="2479"/>
      <c r="D230" s="2479"/>
      <c r="E230" s="2480"/>
      <c r="F230" s="1171" t="s">
        <v>167</v>
      </c>
      <c r="G230" s="1172">
        <f>ROUND(SUM(G225:G229),2)</f>
        <v>5318.01</v>
      </c>
    </row>
  </sheetData>
  <autoFilter ref="G1:G230" xr:uid="{00000000-0009-0000-0000-000016000000}"/>
  <mergeCells count="102">
    <mergeCell ref="C215:F215"/>
    <mergeCell ref="B79:E79"/>
    <mergeCell ref="B96:E96"/>
    <mergeCell ref="B114:E114"/>
    <mergeCell ref="B124:E124"/>
    <mergeCell ref="B32:E32"/>
    <mergeCell ref="B42:E42"/>
    <mergeCell ref="B52:E52"/>
    <mergeCell ref="B62:E62"/>
    <mergeCell ref="B87:G87"/>
    <mergeCell ref="B104:G104"/>
    <mergeCell ref="C71:F71"/>
    <mergeCell ref="B46:G46"/>
    <mergeCell ref="C54:F54"/>
    <mergeCell ref="B56:G56"/>
    <mergeCell ref="B59:G59"/>
    <mergeCell ref="B49:G49"/>
    <mergeCell ref="B140:E140"/>
    <mergeCell ref="B166:E166"/>
    <mergeCell ref="B193:E193"/>
    <mergeCell ref="B203:E203"/>
    <mergeCell ref="B213:E213"/>
    <mergeCell ref="B70:G70"/>
    <mergeCell ref="B73:G73"/>
    <mergeCell ref="C14:F14"/>
    <mergeCell ref="B16:G16"/>
    <mergeCell ref="B19:G19"/>
    <mergeCell ref="C24:F24"/>
    <mergeCell ref="B26:G26"/>
    <mergeCell ref="B22:E22"/>
    <mergeCell ref="B224:G224"/>
    <mergeCell ref="B227:G227"/>
    <mergeCell ref="B230:E230"/>
    <mergeCell ref="C88:F88"/>
    <mergeCell ref="E157:G157"/>
    <mergeCell ref="C159:F159"/>
    <mergeCell ref="B161:G161"/>
    <mergeCell ref="B176:G177"/>
    <mergeCell ref="C178:F178"/>
    <mergeCell ref="E179:G179"/>
    <mergeCell ref="B183:C183"/>
    <mergeCell ref="E183:G183"/>
    <mergeCell ref="C133:F133"/>
    <mergeCell ref="B135:G135"/>
    <mergeCell ref="C205:F205"/>
    <mergeCell ref="C106:F106"/>
    <mergeCell ref="B132:G132"/>
    <mergeCell ref="C222:F222"/>
    <mergeCell ref="B29:G29"/>
    <mergeCell ref="C34:F34"/>
    <mergeCell ref="B36:G36"/>
    <mergeCell ref="B39:G39"/>
    <mergeCell ref="C185:F185"/>
    <mergeCell ref="B76:G76"/>
    <mergeCell ref="B90:G90"/>
    <mergeCell ref="B93:G93"/>
    <mergeCell ref="C152:F152"/>
    <mergeCell ref="E153:G153"/>
    <mergeCell ref="B154:G154"/>
    <mergeCell ref="B150:G151"/>
    <mergeCell ref="C116:F116"/>
    <mergeCell ref="B118:G118"/>
    <mergeCell ref="B121:G121"/>
    <mergeCell ref="C44:F44"/>
    <mergeCell ref="B155:C155"/>
    <mergeCell ref="E155:G155"/>
    <mergeCell ref="B156:C156"/>
    <mergeCell ref="E156:G156"/>
    <mergeCell ref="B172:G172"/>
    <mergeCell ref="B175:E175"/>
    <mergeCell ref="B170:G170"/>
    <mergeCell ref="C168:F168"/>
    <mergeCell ref="B210:G210"/>
    <mergeCell ref="B108:G108"/>
    <mergeCell ref="B111:G111"/>
    <mergeCell ref="B157:C157"/>
    <mergeCell ref="B180:G180"/>
    <mergeCell ref="B181:C181"/>
    <mergeCell ref="E181:G181"/>
    <mergeCell ref="B200:G200"/>
    <mergeCell ref="B182:C182"/>
    <mergeCell ref="E182:G182"/>
    <mergeCell ref="C142:F142"/>
    <mergeCell ref="B144:G144"/>
    <mergeCell ref="B146:G146"/>
    <mergeCell ref="B149:E149"/>
    <mergeCell ref="B207:G207"/>
    <mergeCell ref="B187:G187"/>
    <mergeCell ref="B190:G190"/>
    <mergeCell ref="C195:F195"/>
    <mergeCell ref="B197:G197"/>
    <mergeCell ref="B11:G11"/>
    <mergeCell ref="F3:G3"/>
    <mergeCell ref="B5:G5"/>
    <mergeCell ref="C7:E7"/>
    <mergeCell ref="B3:B4"/>
    <mergeCell ref="E8:F8"/>
    <mergeCell ref="C8:D8"/>
    <mergeCell ref="B9:D9"/>
    <mergeCell ref="E9:F9"/>
    <mergeCell ref="C4:D4"/>
    <mergeCell ref="C3:D3"/>
  </mergeCells>
  <dataValidations disablePrompts="1" count="1">
    <dataValidation type="list" allowBlank="1" showInputMessage="1" showErrorMessage="1" sqref="A162 A136 A188:A189 A191:A192 A198:A199 A201:A202 A209 A211:A212 A58 A60:A61 A109:A110 A112:A113 A27:A28 A30:A31 A74:A75 A77:A78 A119:A120 A122:A123 A47:A48 A50:A51 A37:A38 A40:A41 A20:A21 A228:A229 A17:A18 A225:A226 A92 A94:A95 A145 A147:A148 A171 A173:A174" xr:uid="{00000000-0002-0000-1600-000000000000}">
      <formula1>$A$3:$A$4</formula1>
    </dataValidation>
  </dataValidations>
  <hyperlinks>
    <hyperlink ref="G84" r:id="rId1" display="falecom@flex. Ind.br" xr:uid="{00000000-0004-0000-1600-000000000000}"/>
    <hyperlink ref="G218" r:id="rId2" display="falecom@flex. Ind.br" xr:uid="{00000000-0004-0000-1600-000001000000}"/>
    <hyperlink ref="G67" r:id="rId3" display="falecom@flex. Ind.br" xr:uid="{00000000-0004-0000-1600-000002000000}"/>
    <hyperlink ref="G101" r:id="rId4" display="falecom@flex. Ind.br" xr:uid="{00000000-0004-0000-1600-000003000000}"/>
    <hyperlink ref="G129" r:id="rId5" display="falecom@flex. Ind.br" xr:uid="{00000000-0004-0000-1600-000004000000}"/>
  </hyperlinks>
  <printOptions horizontalCentered="1"/>
  <pageMargins left="0.78740157480314965" right="0.19685039370078741" top="0.39370078740157483" bottom="0.78740157480314965" header="0.19685039370078741" footer="0.19685039370078741"/>
  <pageSetup paperSize="9" scale="50" fitToHeight="100" orientation="portrait" r:id="rId6"/>
  <headerFooter scaleWithDoc="0" alignWithMargins="0">
    <oddHeader>&amp;RPágina &amp;P de &amp;N</oddHeader>
  </headerFooter>
  <rowBreaks count="6" manualBreakCount="6">
    <brk id="33" min="1" max="6" man="1"/>
    <brk id="70" min="1" max="6" man="1"/>
    <brk id="105" min="1" max="6" man="1"/>
    <brk id="141" min="1" max="6" man="1"/>
    <brk id="158" min="1" max="6" man="1"/>
    <brk id="184" min="1" max="6" man="1"/>
  </rowBreaks>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8">
    <tabColor theme="3" tint="0.79998168889431442"/>
    <pageSetUpPr fitToPage="1"/>
  </sheetPr>
  <dimension ref="A1:IV114"/>
  <sheetViews>
    <sheetView view="pageBreakPreview" zoomScale="70" zoomScaleNormal="100" zoomScaleSheetLayoutView="70" workbookViewId="0">
      <selection activeCell="AG38" sqref="AG38"/>
    </sheetView>
  </sheetViews>
  <sheetFormatPr defaultColWidth="9.140625" defaultRowHeight="12.75"/>
  <cols>
    <col min="1" max="1" width="31.28515625" style="259" customWidth="1"/>
    <col min="2" max="2" width="24.7109375" style="259" customWidth="1"/>
    <col min="3" max="3" width="75.7109375" style="259" customWidth="1"/>
    <col min="4" max="4" width="15.7109375" style="259" customWidth="1"/>
    <col min="5" max="5" width="22.140625" style="259" bestFit="1" customWidth="1"/>
    <col min="6" max="7" width="18.28515625" style="259" customWidth="1"/>
    <col min="8" max="8" width="11.7109375" style="259" bestFit="1" customWidth="1"/>
    <col min="9" max="9" width="11.5703125" style="259" bestFit="1" customWidth="1"/>
    <col min="10" max="10" width="11.7109375" style="259" bestFit="1" customWidth="1"/>
    <col min="11" max="16384" width="9.140625" style="259"/>
  </cols>
  <sheetData>
    <row r="1" spans="1:256" ht="13.5" thickBot="1"/>
    <row r="2" spans="1:256" s="277" customFormat="1" ht="6" thickBot="1">
      <c r="B2" s="272"/>
      <c r="C2" s="1321"/>
      <c r="D2" s="274"/>
      <c r="E2" s="275"/>
      <c r="F2" s="275"/>
      <c r="G2" s="276"/>
    </row>
    <row r="3" spans="1:256" s="265" customFormat="1" ht="60" customHeight="1" thickBot="1">
      <c r="A3" s="271" t="s">
        <v>390</v>
      </c>
      <c r="B3" s="2285"/>
      <c r="C3" s="2189" t="s">
        <v>13361</v>
      </c>
      <c r="D3" s="2190"/>
      <c r="E3" s="1612"/>
      <c r="F3" s="2118" t="str">
        <f>'ORÇAMENTO '!M5</f>
        <v>Ref.: Tabela de Serviços
SINAPI (JANEIRO/2024)</v>
      </c>
      <c r="G3" s="2119"/>
    </row>
    <row r="4" spans="1:256" s="265" customFormat="1" ht="60" customHeight="1" thickBot="1">
      <c r="A4" s="271" t="s">
        <v>391</v>
      </c>
      <c r="B4" s="2286"/>
      <c r="C4" s="2191" t="s">
        <v>13363</v>
      </c>
      <c r="D4" s="2192"/>
      <c r="E4" s="1613"/>
      <c r="F4" s="379" t="s">
        <v>4</v>
      </c>
      <c r="G4" s="1385">
        <f>'ORÇAMENTO '!N7</f>
        <v>0.24199999999999999</v>
      </c>
    </row>
    <row r="5" spans="1:256" s="280" customFormat="1" ht="15" customHeight="1" thickBot="1">
      <c r="B5" s="2395" t="s">
        <v>413</v>
      </c>
      <c r="C5" s="2396"/>
      <c r="D5" s="2397"/>
      <c r="E5" s="2397"/>
      <c r="F5" s="2397"/>
      <c r="G5" s="2468"/>
    </row>
    <row r="6" spans="1:256" s="277" customFormat="1" ht="6" thickBot="1">
      <c r="B6" s="272"/>
      <c r="C6" s="273"/>
      <c r="D6" s="274"/>
      <c r="E6" s="275"/>
      <c r="F6" s="275"/>
      <c r="G6" s="276"/>
    </row>
    <row r="7" spans="1:256" s="265" customFormat="1" ht="18" customHeight="1">
      <c r="B7" s="207" t="s">
        <v>5</v>
      </c>
      <c r="C7" s="2215" t="str">
        <f>'ORÇAMENTO '!G11</f>
        <v xml:space="preserve">ESCOLA MUNICIPAL DOMINGOS AZZOLINI </v>
      </c>
      <c r="D7" s="2215"/>
      <c r="E7" s="2215"/>
      <c r="F7" s="208" t="s">
        <v>6</v>
      </c>
      <c r="G7" s="209">
        <v>42906</v>
      </c>
    </row>
    <row r="8" spans="1:256" s="265" customFormat="1" ht="18" customHeight="1">
      <c r="B8" s="210" t="s">
        <v>7</v>
      </c>
      <c r="C8" s="2213" t="str">
        <f>'ORÇAMENTO '!G12</f>
        <v>SANTO ANTONIO DO LESTE</v>
      </c>
      <c r="D8" s="2213"/>
      <c r="E8" s="2214" t="str">
        <f>'ORÇAMENTO '!K12</f>
        <v>LEIS SOCIAIS: HORISTA</v>
      </c>
      <c r="F8" s="2214" t="s">
        <v>8</v>
      </c>
      <c r="G8" s="211">
        <f>'ORÇAMENTO '!N12</f>
        <v>1.0684</v>
      </c>
    </row>
    <row r="9" spans="1:256" s="46" customFormat="1" ht="18" customHeight="1" thickBot="1">
      <c r="B9" s="2187"/>
      <c r="C9" s="2188"/>
      <c r="D9" s="2188"/>
      <c r="E9" s="2186" t="str">
        <f>'ORÇAMENTO '!K13</f>
        <v>LEIS SOCIAIS: MENSALISTA</v>
      </c>
      <c r="F9" s="2186"/>
      <c r="G9" s="193">
        <f>'ORÇAMENTO '!N13</f>
        <v>0.65400000000000003</v>
      </c>
    </row>
    <row r="10" spans="1:256" ht="5.25" customHeight="1" thickBot="1">
      <c r="A10" s="382"/>
      <c r="B10" s="1694"/>
      <c r="C10" s="1695"/>
      <c r="D10" s="1696"/>
      <c r="E10" s="1697"/>
      <c r="F10" s="1697"/>
      <c r="G10" s="1698"/>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row>
    <row r="11" spans="1:256" ht="18.75" thickBot="1">
      <c r="A11" s="392"/>
      <c r="B11" s="2482" t="s">
        <v>680</v>
      </c>
      <c r="C11" s="2483"/>
      <c r="D11" s="2483"/>
      <c r="E11" s="2483"/>
      <c r="F11" s="2483"/>
      <c r="G11" s="2484"/>
      <c r="H11" s="392"/>
      <c r="I11" s="392"/>
      <c r="J11" s="392"/>
      <c r="K11" s="392"/>
      <c r="L11" s="392"/>
      <c r="M11" s="392"/>
      <c r="N11" s="392"/>
      <c r="O11" s="392"/>
      <c r="P11" s="392"/>
      <c r="Q11" s="392"/>
      <c r="R11" s="392"/>
      <c r="S11" s="392"/>
      <c r="T11" s="392"/>
      <c r="U11" s="392"/>
      <c r="V11" s="392"/>
      <c r="W11" s="392"/>
      <c r="X11" s="392"/>
      <c r="Y11" s="392"/>
      <c r="Z11" s="392"/>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c r="CL11" s="392"/>
      <c r="CM11" s="392"/>
      <c r="CN11" s="392"/>
      <c r="CO11" s="392"/>
      <c r="CP11" s="392"/>
      <c r="CQ11" s="392"/>
      <c r="CR11" s="392"/>
      <c r="CS11" s="392"/>
      <c r="CT11" s="392"/>
      <c r="CU11" s="392"/>
      <c r="CV11" s="392"/>
      <c r="CW11" s="392"/>
      <c r="CX11" s="392"/>
      <c r="CY11" s="392"/>
      <c r="CZ11" s="392"/>
      <c r="DA11" s="392"/>
      <c r="DB11" s="392"/>
      <c r="DC11" s="392"/>
      <c r="DD11" s="392"/>
      <c r="DE11" s="392"/>
      <c r="DF11" s="392"/>
      <c r="DG11" s="392"/>
      <c r="DH11" s="392"/>
      <c r="DI11" s="392"/>
      <c r="DJ11" s="392"/>
      <c r="DK11" s="392"/>
      <c r="DL11" s="392"/>
      <c r="DM11" s="392"/>
      <c r="DN11" s="392"/>
      <c r="DO11" s="392"/>
      <c r="DP11" s="392"/>
      <c r="DQ11" s="392"/>
      <c r="DR11" s="392"/>
      <c r="DS11" s="392"/>
      <c r="DT11" s="392"/>
      <c r="DU11" s="392"/>
      <c r="DV11" s="392"/>
      <c r="DW11" s="392"/>
      <c r="DX11" s="392"/>
      <c r="DY11" s="392"/>
      <c r="DZ11" s="392"/>
      <c r="EA11" s="392"/>
      <c r="EB11" s="392"/>
      <c r="EC11" s="392"/>
      <c r="ED11" s="392"/>
      <c r="EE11" s="392"/>
      <c r="EF11" s="392"/>
      <c r="EG11" s="392"/>
      <c r="EH11" s="392"/>
      <c r="EI11" s="392"/>
      <c r="EJ11" s="392"/>
      <c r="EK11" s="392"/>
      <c r="EL11" s="392"/>
      <c r="EM11" s="392"/>
      <c r="EN11" s="392"/>
      <c r="EO11" s="392"/>
      <c r="EP11" s="392"/>
      <c r="EQ11" s="392"/>
      <c r="ER11" s="392"/>
      <c r="ES11" s="392"/>
      <c r="ET11" s="392"/>
      <c r="EU11" s="392"/>
      <c r="EV11" s="392"/>
      <c r="EW11" s="392"/>
      <c r="EX11" s="392"/>
      <c r="EY11" s="392"/>
      <c r="EZ11" s="392"/>
      <c r="FA11" s="392"/>
      <c r="FB11" s="392"/>
      <c r="FC11" s="392"/>
      <c r="FD11" s="392"/>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2"/>
      <c r="GH11" s="392"/>
      <c r="GI11" s="392"/>
      <c r="GJ11" s="392"/>
      <c r="GK11" s="392"/>
      <c r="GL11" s="392"/>
      <c r="GM11" s="392"/>
      <c r="GN11" s="392"/>
      <c r="GO11" s="392"/>
      <c r="GP11" s="392"/>
      <c r="GQ11" s="392"/>
      <c r="GR11" s="392"/>
      <c r="GS11" s="392"/>
      <c r="GT11" s="392"/>
      <c r="GU11" s="392"/>
      <c r="GV11" s="392"/>
      <c r="GW11" s="392"/>
      <c r="GX11" s="392"/>
      <c r="GY11" s="392"/>
      <c r="GZ11" s="392"/>
      <c r="HA11" s="392"/>
      <c r="HB11" s="392"/>
      <c r="HC11" s="392"/>
      <c r="HD11" s="392"/>
      <c r="HE11" s="392"/>
      <c r="HF11" s="392"/>
      <c r="HG11" s="392"/>
      <c r="HH11" s="392"/>
      <c r="HI11" s="392"/>
      <c r="HJ11" s="392"/>
      <c r="HK11" s="392"/>
      <c r="HL11" s="392"/>
      <c r="HM11" s="392"/>
      <c r="HN11" s="392"/>
      <c r="HO11" s="392"/>
      <c r="HP11" s="392"/>
      <c r="HQ11" s="392"/>
      <c r="HR11" s="392"/>
      <c r="HS11" s="392"/>
      <c r="HT11" s="392"/>
      <c r="HU11" s="392"/>
      <c r="HV11" s="392"/>
      <c r="HW11" s="392"/>
      <c r="HX11" s="392"/>
      <c r="HY11" s="392"/>
      <c r="HZ11" s="392"/>
      <c r="IA11" s="392"/>
      <c r="IB11" s="392"/>
      <c r="IC11" s="392"/>
      <c r="ID11" s="392"/>
      <c r="IE11" s="392"/>
      <c r="IF11" s="392"/>
      <c r="IG11" s="392"/>
      <c r="IH11" s="392"/>
      <c r="II11" s="392"/>
      <c r="IJ11" s="392"/>
      <c r="IK11" s="392"/>
      <c r="IL11" s="392"/>
      <c r="IM11" s="392"/>
      <c r="IN11" s="392"/>
      <c r="IO11" s="392"/>
      <c r="IP11" s="392"/>
      <c r="IQ11" s="392"/>
      <c r="IR11" s="392"/>
      <c r="IS11" s="392"/>
      <c r="IT11" s="392"/>
      <c r="IU11" s="392"/>
      <c r="IV11" s="392"/>
    </row>
    <row r="12" spans="1:256" ht="5.25" customHeight="1" thickBot="1">
      <c r="A12" s="382"/>
      <c r="B12" s="1694"/>
      <c r="C12" s="1695"/>
      <c r="D12" s="1696"/>
      <c r="E12" s="1697"/>
      <c r="F12" s="1697"/>
      <c r="G12" s="1698"/>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382"/>
      <c r="CD12" s="382"/>
      <c r="CE12" s="382"/>
      <c r="CF12" s="382"/>
      <c r="CG12" s="382"/>
      <c r="CH12" s="382"/>
      <c r="CI12" s="382"/>
      <c r="CJ12" s="382"/>
      <c r="CK12" s="382"/>
      <c r="CL12" s="382"/>
      <c r="CM12" s="382"/>
      <c r="CN12" s="382"/>
      <c r="CO12" s="382"/>
      <c r="CP12" s="382"/>
      <c r="CQ12" s="382"/>
      <c r="CR12" s="382"/>
      <c r="CS12" s="382"/>
      <c r="CT12" s="382"/>
      <c r="CU12" s="382"/>
      <c r="CV12" s="382"/>
      <c r="CW12" s="382"/>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c r="EB12" s="382"/>
      <c r="EC12" s="382"/>
      <c r="ED12" s="382"/>
      <c r="EE12" s="382"/>
      <c r="EF12" s="382"/>
      <c r="EG12" s="382"/>
      <c r="EH12" s="382"/>
      <c r="EI12" s="382"/>
      <c r="EJ12" s="382"/>
      <c r="EK12" s="382"/>
      <c r="EL12" s="382"/>
      <c r="EM12" s="382"/>
      <c r="EN12" s="382"/>
      <c r="EO12" s="382"/>
      <c r="EP12" s="382"/>
      <c r="EQ12" s="382"/>
      <c r="ER12" s="382"/>
      <c r="ES12" s="382"/>
      <c r="ET12" s="382"/>
      <c r="EU12" s="382"/>
      <c r="EV12" s="382"/>
      <c r="EW12" s="382"/>
      <c r="EX12" s="382"/>
      <c r="EY12" s="382"/>
      <c r="EZ12" s="382"/>
      <c r="FA12" s="382"/>
      <c r="FB12" s="382"/>
      <c r="FC12" s="382"/>
      <c r="FD12" s="382"/>
      <c r="FE12" s="382"/>
      <c r="FF12" s="382"/>
      <c r="FG12" s="382"/>
      <c r="FH12" s="382"/>
      <c r="FI12" s="382"/>
      <c r="FJ12" s="382"/>
      <c r="FK12" s="382"/>
      <c r="FL12" s="382"/>
      <c r="FM12" s="382"/>
      <c r="FN12" s="382"/>
      <c r="FO12" s="382"/>
      <c r="FP12" s="382"/>
      <c r="FQ12" s="382"/>
      <c r="FR12" s="382"/>
      <c r="FS12" s="382"/>
      <c r="FT12" s="382"/>
      <c r="FU12" s="382"/>
      <c r="FV12" s="382"/>
      <c r="FW12" s="382"/>
      <c r="FX12" s="382"/>
      <c r="FY12" s="382"/>
      <c r="FZ12" s="382"/>
      <c r="GA12" s="382"/>
      <c r="GB12" s="382"/>
      <c r="GC12" s="382"/>
      <c r="GD12" s="382"/>
      <c r="GE12" s="382"/>
      <c r="GF12" s="382"/>
      <c r="GG12" s="382"/>
      <c r="GH12" s="382"/>
      <c r="GI12" s="382"/>
      <c r="GJ12" s="382"/>
      <c r="GK12" s="382"/>
      <c r="GL12" s="382"/>
      <c r="GM12" s="382"/>
      <c r="GN12" s="382"/>
      <c r="GO12" s="382"/>
      <c r="GP12" s="382"/>
      <c r="GQ12" s="382"/>
      <c r="GR12" s="382"/>
      <c r="GS12" s="382"/>
      <c r="GT12" s="382"/>
      <c r="GU12" s="382"/>
      <c r="GV12" s="382"/>
      <c r="GW12" s="382"/>
      <c r="GX12" s="382"/>
      <c r="GY12" s="382"/>
      <c r="GZ12" s="382"/>
      <c r="HA12" s="382"/>
      <c r="HB12" s="382"/>
      <c r="HC12" s="382"/>
      <c r="HD12" s="382"/>
      <c r="HE12" s="382"/>
      <c r="HF12" s="382"/>
      <c r="HG12" s="382"/>
      <c r="HH12" s="382"/>
      <c r="HI12" s="382"/>
      <c r="HJ12" s="382"/>
      <c r="HK12" s="382"/>
      <c r="HL12" s="382"/>
      <c r="HM12" s="382"/>
      <c r="HN12" s="382"/>
      <c r="HO12" s="382"/>
      <c r="HP12" s="382"/>
      <c r="HQ12" s="382"/>
      <c r="HR12" s="382"/>
      <c r="HS12" s="382"/>
      <c r="HT12" s="382"/>
      <c r="HU12" s="382"/>
      <c r="HV12" s="382"/>
      <c r="HW12" s="382"/>
      <c r="HX12" s="382"/>
      <c r="HY12" s="382"/>
      <c r="HZ12" s="382"/>
      <c r="IA12" s="382"/>
      <c r="IB12" s="382"/>
      <c r="IC12" s="382"/>
      <c r="ID12" s="382"/>
      <c r="IE12" s="382"/>
      <c r="IF12" s="382"/>
      <c r="IG12" s="382"/>
      <c r="IH12" s="382"/>
      <c r="II12" s="382"/>
      <c r="IJ12" s="382"/>
      <c r="IK12" s="382"/>
      <c r="IL12" s="382"/>
      <c r="IM12" s="382"/>
      <c r="IN12" s="382"/>
      <c r="IO12" s="382"/>
      <c r="IP12" s="382"/>
      <c r="IQ12" s="382"/>
      <c r="IR12" s="382"/>
      <c r="IS12" s="382"/>
      <c r="IT12" s="382"/>
      <c r="IU12" s="382"/>
      <c r="IV12" s="382"/>
    </row>
    <row r="13" spans="1:256" s="277" customFormat="1" ht="15.75" customHeight="1" thickBot="1">
      <c r="B13" s="563"/>
      <c r="C13" s="563"/>
      <c r="D13" s="563"/>
      <c r="E13" s="563"/>
      <c r="F13" s="564"/>
      <c r="G13" s="564"/>
    </row>
    <row r="14" spans="1:256" ht="15.75">
      <c r="A14" s="392"/>
      <c r="B14" s="377" t="str">
        <f>IF(COUNT($H$13:H14)&lt;10,CONCATENATE("CPU PLAY 00",COUNT($H$13:H14)),CONCATENATE("CPU PLAY 0",COUNT($H$13:H14)))</f>
        <v>CPU PLAY 001</v>
      </c>
      <c r="C14" s="2180" t="s">
        <v>14060</v>
      </c>
      <c r="D14" s="2180"/>
      <c r="E14" s="2180"/>
      <c r="F14" s="2180"/>
      <c r="G14" s="624" t="s">
        <v>22</v>
      </c>
      <c r="H14" s="465">
        <f>G22</f>
        <v>2705.73</v>
      </c>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row>
    <row r="15" spans="1:256" ht="31.5">
      <c r="A15" s="392"/>
      <c r="B15" s="433" t="s">
        <v>197</v>
      </c>
      <c r="C15" s="565" t="s">
        <v>161</v>
      </c>
      <c r="D15" s="565" t="s">
        <v>22</v>
      </c>
      <c r="E15" s="565" t="s">
        <v>162</v>
      </c>
      <c r="F15" s="566" t="s">
        <v>186</v>
      </c>
      <c r="G15" s="567" t="s">
        <v>187</v>
      </c>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2"/>
      <c r="BF15" s="392"/>
      <c r="BG15" s="392"/>
      <c r="BH15" s="392"/>
      <c r="BI15" s="392"/>
      <c r="BJ15" s="392"/>
      <c r="BK15" s="392"/>
      <c r="BL15" s="392"/>
      <c r="BM15" s="392"/>
      <c r="BN15" s="392"/>
      <c r="BO15" s="392"/>
      <c r="BP15" s="392"/>
      <c r="BQ15" s="392"/>
      <c r="BR15" s="392"/>
      <c r="BS15" s="392"/>
      <c r="BT15" s="392"/>
      <c r="BU15" s="392"/>
      <c r="BV15" s="392"/>
      <c r="BW15" s="392"/>
      <c r="BX15" s="392"/>
      <c r="BY15" s="392"/>
      <c r="BZ15" s="392"/>
      <c r="CA15" s="392"/>
      <c r="CB15" s="392"/>
      <c r="CC15" s="392"/>
      <c r="CD15" s="392"/>
      <c r="CE15" s="392"/>
      <c r="CF15" s="392"/>
      <c r="CG15" s="392"/>
      <c r="CH15" s="392"/>
      <c r="CI15" s="392"/>
      <c r="CJ15" s="392"/>
      <c r="CK15" s="392"/>
      <c r="CL15" s="392"/>
      <c r="CM15" s="392"/>
      <c r="CN15" s="392"/>
      <c r="CO15" s="392"/>
      <c r="CP15" s="392"/>
      <c r="CQ15" s="392"/>
      <c r="CR15" s="392"/>
      <c r="CS15" s="392"/>
      <c r="CT15" s="392"/>
      <c r="CU15" s="392"/>
      <c r="CV15" s="392"/>
      <c r="CW15" s="392"/>
      <c r="CX15" s="392"/>
      <c r="CY15" s="392"/>
      <c r="CZ15" s="392"/>
      <c r="DA15" s="392"/>
      <c r="DB15" s="392"/>
      <c r="DC15" s="392"/>
      <c r="DD15" s="392"/>
      <c r="DE15" s="392"/>
      <c r="DF15" s="392"/>
      <c r="DG15" s="392"/>
      <c r="DH15" s="392"/>
      <c r="DI15" s="392"/>
      <c r="DJ15" s="392"/>
      <c r="DK15" s="392"/>
      <c r="DL15" s="392"/>
      <c r="DM15" s="392"/>
      <c r="DN15" s="392"/>
      <c r="DO15" s="392"/>
      <c r="DP15" s="392"/>
      <c r="DQ15" s="392"/>
      <c r="DR15" s="392"/>
      <c r="DS15" s="392"/>
      <c r="DT15" s="392"/>
      <c r="DU15" s="392"/>
      <c r="DV15" s="392"/>
      <c r="DW15" s="392"/>
      <c r="DX15" s="392"/>
      <c r="DY15" s="392"/>
      <c r="DZ15" s="392"/>
      <c r="EA15" s="392"/>
      <c r="EB15" s="392"/>
      <c r="EC15" s="392"/>
      <c r="ED15" s="392"/>
      <c r="EE15" s="392"/>
      <c r="EF15" s="392"/>
      <c r="EG15" s="392"/>
      <c r="EH15" s="392"/>
      <c r="EI15" s="392"/>
      <c r="EJ15" s="392"/>
      <c r="EK15" s="392"/>
      <c r="EL15" s="392"/>
      <c r="EM15" s="392"/>
      <c r="EN15" s="392"/>
      <c r="EO15" s="392"/>
      <c r="EP15" s="392"/>
      <c r="EQ15" s="392"/>
      <c r="ER15" s="392"/>
      <c r="ES15" s="392"/>
      <c r="ET15" s="392"/>
      <c r="EU15" s="392"/>
      <c r="EV15" s="392"/>
      <c r="EW15" s="392"/>
      <c r="EX15" s="392"/>
      <c r="EY15" s="392"/>
      <c r="EZ15" s="392"/>
      <c r="FA15" s="392"/>
      <c r="FB15" s="392"/>
      <c r="FC15" s="392"/>
      <c r="FD15" s="392"/>
      <c r="FE15" s="392"/>
      <c r="FF15" s="392"/>
      <c r="FG15" s="392"/>
      <c r="FH15" s="392"/>
      <c r="FI15" s="392"/>
      <c r="FJ15" s="392"/>
      <c r="FK15" s="392"/>
      <c r="FL15" s="392"/>
      <c r="FM15" s="392"/>
      <c r="FN15" s="392"/>
      <c r="FO15" s="392"/>
      <c r="FP15" s="392"/>
      <c r="FQ15" s="392"/>
      <c r="FR15" s="392"/>
      <c r="FS15" s="392"/>
      <c r="FT15" s="392"/>
      <c r="FU15" s="392"/>
      <c r="FV15" s="392"/>
      <c r="FW15" s="392"/>
      <c r="FX15" s="392"/>
      <c r="FY15" s="392"/>
      <c r="FZ15" s="392"/>
      <c r="GA15" s="392"/>
      <c r="GB15" s="392"/>
      <c r="GC15" s="392"/>
      <c r="GD15" s="392"/>
      <c r="GE15" s="392"/>
      <c r="GF15" s="392"/>
      <c r="GG15" s="392"/>
      <c r="GH15" s="392"/>
      <c r="GI15" s="392"/>
      <c r="GJ15" s="392"/>
      <c r="GK15" s="392"/>
      <c r="GL15" s="392"/>
      <c r="GM15" s="392"/>
      <c r="GN15" s="392"/>
      <c r="GO15" s="392"/>
      <c r="GP15" s="392"/>
      <c r="GQ15" s="392"/>
      <c r="GR15" s="392"/>
      <c r="GS15" s="392"/>
      <c r="GT15" s="392"/>
      <c r="GU15" s="392"/>
      <c r="GV15" s="392"/>
      <c r="GW15" s="392"/>
      <c r="GX15" s="392"/>
      <c r="GY15" s="392"/>
      <c r="GZ15" s="392"/>
      <c r="HA15" s="392"/>
      <c r="HB15" s="392"/>
      <c r="HC15" s="392"/>
      <c r="HD15" s="392"/>
      <c r="HE15" s="392"/>
      <c r="HF15" s="392"/>
      <c r="HG15" s="392"/>
      <c r="HH15" s="392"/>
      <c r="HI15" s="392"/>
      <c r="HJ15" s="392"/>
      <c r="HK15" s="392"/>
      <c r="HL15" s="392"/>
      <c r="HM15" s="392"/>
      <c r="HN15" s="392"/>
      <c r="HO15" s="392"/>
      <c r="HP15" s="392"/>
      <c r="HQ15" s="392"/>
      <c r="HR15" s="392"/>
      <c r="HS15" s="392"/>
      <c r="HT15" s="392"/>
      <c r="HU15" s="392"/>
      <c r="HV15" s="392"/>
      <c r="HW15" s="392"/>
      <c r="HX15" s="392"/>
      <c r="HY15" s="392"/>
      <c r="HZ15" s="392"/>
      <c r="IA15" s="392"/>
      <c r="IB15" s="392"/>
      <c r="IC15" s="392"/>
      <c r="ID15" s="392"/>
      <c r="IE15" s="392"/>
      <c r="IF15" s="392"/>
      <c r="IG15" s="392"/>
      <c r="IH15" s="392"/>
      <c r="II15" s="392"/>
      <c r="IJ15" s="392"/>
      <c r="IK15" s="392"/>
      <c r="IL15" s="392"/>
      <c r="IM15" s="392"/>
      <c r="IN15" s="392"/>
      <c r="IO15" s="392"/>
      <c r="IP15" s="392"/>
      <c r="IQ15" s="392"/>
      <c r="IR15" s="392"/>
      <c r="IS15" s="392"/>
      <c r="IT15" s="392"/>
      <c r="IU15" s="392"/>
      <c r="IV15" s="392"/>
    </row>
    <row r="16" spans="1:256" ht="15.75">
      <c r="A16" s="392"/>
      <c r="B16" s="2312" t="s">
        <v>165</v>
      </c>
      <c r="C16" s="2313"/>
      <c r="D16" s="2313"/>
      <c r="E16" s="2313"/>
      <c r="F16" s="2313"/>
      <c r="G16" s="2314"/>
      <c r="H16" s="392"/>
      <c r="I16" s="392"/>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2"/>
      <c r="BF16" s="392"/>
      <c r="BG16" s="392"/>
      <c r="BH16" s="392"/>
      <c r="BI16" s="392"/>
      <c r="BJ16" s="392"/>
      <c r="BK16" s="392"/>
      <c r="BL16" s="392"/>
      <c r="BM16" s="392"/>
      <c r="BN16" s="392"/>
      <c r="BO16" s="392"/>
      <c r="BP16" s="392"/>
      <c r="BQ16" s="392"/>
      <c r="BR16" s="392"/>
      <c r="BS16" s="392"/>
      <c r="BT16" s="392"/>
      <c r="BU16" s="392"/>
      <c r="BV16" s="392"/>
      <c r="BW16" s="392"/>
      <c r="BX16" s="392"/>
      <c r="BY16" s="392"/>
      <c r="BZ16" s="392"/>
      <c r="CA16" s="392"/>
      <c r="CB16" s="392"/>
      <c r="CC16" s="392"/>
      <c r="CD16" s="392"/>
      <c r="CE16" s="392"/>
      <c r="CF16" s="392"/>
      <c r="CG16" s="392"/>
      <c r="CH16" s="392"/>
      <c r="CI16" s="392"/>
      <c r="CJ16" s="392"/>
      <c r="CK16" s="392"/>
      <c r="CL16" s="392"/>
      <c r="CM16" s="392"/>
      <c r="CN16" s="392"/>
      <c r="CO16" s="392"/>
      <c r="CP16" s="392"/>
      <c r="CQ16" s="392"/>
      <c r="CR16" s="392"/>
      <c r="CS16" s="392"/>
      <c r="CT16" s="392"/>
      <c r="CU16" s="392"/>
      <c r="CV16" s="392"/>
      <c r="CW16" s="392"/>
      <c r="CX16" s="392"/>
      <c r="CY16" s="392"/>
      <c r="CZ16" s="392"/>
      <c r="DA16" s="392"/>
      <c r="DB16" s="392"/>
      <c r="DC16" s="392"/>
      <c r="DD16" s="392"/>
      <c r="DE16" s="392"/>
      <c r="DF16" s="392"/>
      <c r="DG16" s="392"/>
      <c r="DH16" s="392"/>
      <c r="DI16" s="392"/>
      <c r="DJ16" s="392"/>
      <c r="DK16" s="392"/>
      <c r="DL16" s="392"/>
      <c r="DM16" s="392"/>
      <c r="DN16" s="392"/>
      <c r="DO16" s="392"/>
      <c r="DP16" s="392"/>
      <c r="DQ16" s="392"/>
      <c r="DR16" s="392"/>
      <c r="DS16" s="392"/>
      <c r="DT16" s="392"/>
      <c r="DU16" s="392"/>
      <c r="DV16" s="392"/>
      <c r="DW16" s="392"/>
      <c r="DX16" s="392"/>
      <c r="DY16" s="392"/>
      <c r="DZ16" s="392"/>
      <c r="EA16" s="392"/>
      <c r="EB16" s="392"/>
      <c r="EC16" s="392"/>
      <c r="ED16" s="392"/>
      <c r="EE16" s="392"/>
      <c r="EF16" s="392"/>
      <c r="EG16" s="392"/>
      <c r="EH16" s="392"/>
      <c r="EI16" s="392"/>
      <c r="EJ16" s="392"/>
      <c r="EK16" s="392"/>
      <c r="EL16" s="392"/>
      <c r="EM16" s="392"/>
      <c r="EN16" s="392"/>
      <c r="EO16" s="392"/>
      <c r="EP16" s="392"/>
      <c r="EQ16" s="392"/>
      <c r="ER16" s="392"/>
      <c r="ES16" s="392"/>
      <c r="ET16" s="392"/>
      <c r="EU16" s="392"/>
      <c r="EV16" s="392"/>
      <c r="EW16" s="392"/>
      <c r="EX16" s="392"/>
      <c r="EY16" s="392"/>
      <c r="EZ16" s="392"/>
      <c r="FA16" s="392"/>
      <c r="FB16" s="392"/>
      <c r="FC16" s="392"/>
      <c r="FD16" s="392"/>
      <c r="FE16" s="392"/>
      <c r="FF16" s="392"/>
      <c r="FG16" s="392"/>
      <c r="FH16" s="392"/>
      <c r="FI16" s="392"/>
      <c r="FJ16" s="392"/>
      <c r="FK16" s="392"/>
      <c r="FL16" s="392"/>
      <c r="FM16" s="392"/>
      <c r="FN16" s="392"/>
      <c r="FO16" s="392"/>
      <c r="FP16" s="392"/>
      <c r="FQ16" s="392"/>
      <c r="FR16" s="392"/>
      <c r="FS16" s="392"/>
      <c r="FT16" s="392"/>
      <c r="FU16" s="392"/>
      <c r="FV16" s="392"/>
      <c r="FW16" s="392"/>
      <c r="FX16" s="392"/>
      <c r="FY16" s="392"/>
      <c r="FZ16" s="392"/>
      <c r="GA16" s="392"/>
      <c r="GB16" s="392"/>
      <c r="GC16" s="392"/>
      <c r="GD16" s="392"/>
      <c r="GE16" s="392"/>
      <c r="GF16" s="392"/>
      <c r="GG16" s="392"/>
      <c r="GH16" s="392"/>
      <c r="GI16" s="392"/>
      <c r="GJ16" s="392"/>
      <c r="GK16" s="392"/>
      <c r="GL16" s="392"/>
      <c r="GM16" s="392"/>
      <c r="GN16" s="392"/>
      <c r="GO16" s="392"/>
      <c r="GP16" s="392"/>
      <c r="GQ16" s="392"/>
      <c r="GR16" s="392"/>
      <c r="GS16" s="392"/>
      <c r="GT16" s="392"/>
      <c r="GU16" s="392"/>
      <c r="GV16" s="392"/>
      <c r="GW16" s="392"/>
      <c r="GX16" s="392"/>
      <c r="GY16" s="392"/>
      <c r="GZ16" s="392"/>
      <c r="HA16" s="392"/>
      <c r="HB16" s="392"/>
      <c r="HC16" s="392"/>
      <c r="HD16" s="392"/>
      <c r="HE16" s="392"/>
      <c r="HF16" s="392"/>
      <c r="HG16" s="392"/>
      <c r="HH16" s="392"/>
      <c r="HI16" s="392"/>
      <c r="HJ16" s="392"/>
      <c r="HK16" s="392"/>
      <c r="HL16" s="392"/>
      <c r="HM16" s="392"/>
      <c r="HN16" s="392"/>
      <c r="HO16" s="392"/>
      <c r="HP16" s="392"/>
      <c r="HQ16" s="392"/>
      <c r="HR16" s="392"/>
      <c r="HS16" s="392"/>
      <c r="HT16" s="392"/>
      <c r="HU16" s="392"/>
      <c r="HV16" s="392"/>
      <c r="HW16" s="392"/>
      <c r="HX16" s="392"/>
      <c r="HY16" s="392"/>
      <c r="HZ16" s="392"/>
      <c r="IA16" s="392"/>
      <c r="IB16" s="392"/>
      <c r="IC16" s="392"/>
      <c r="ID16" s="392"/>
      <c r="IE16" s="392"/>
      <c r="IF16" s="392"/>
      <c r="IG16" s="392"/>
      <c r="IH16" s="392"/>
      <c r="II16" s="392"/>
      <c r="IJ16" s="392"/>
      <c r="IK16" s="392"/>
      <c r="IL16" s="392"/>
      <c r="IM16" s="392"/>
      <c r="IN16" s="392"/>
      <c r="IO16" s="392"/>
      <c r="IP16" s="392"/>
      <c r="IQ16" s="392"/>
      <c r="IR16" s="392"/>
      <c r="IS16" s="392"/>
      <c r="IT16" s="392"/>
      <c r="IU16" s="392"/>
      <c r="IV16" s="392"/>
    </row>
    <row r="17" spans="1:256" ht="15.75">
      <c r="A17" s="392"/>
      <c r="B17" s="436" t="s">
        <v>181</v>
      </c>
      <c r="C17" s="317" t="str">
        <f>C24</f>
        <v>BALANÇO 3 LUGARES</v>
      </c>
      <c r="D17" s="434" t="s">
        <v>22</v>
      </c>
      <c r="E17" s="570">
        <v>1</v>
      </c>
      <c r="F17" s="568">
        <f>D29</f>
        <v>2604.96</v>
      </c>
      <c r="G17" s="553">
        <f>TRUNC(F17*E17,2)</f>
        <v>2604.96</v>
      </c>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92"/>
      <c r="AS17" s="392"/>
      <c r="AT17" s="392"/>
      <c r="AU17" s="392"/>
      <c r="AV17" s="392"/>
      <c r="AW17" s="392"/>
      <c r="AX17" s="392"/>
      <c r="AY17" s="392"/>
      <c r="AZ17" s="392"/>
      <c r="BA17" s="392"/>
      <c r="BB17" s="392"/>
      <c r="BC17" s="392"/>
      <c r="BD17" s="392"/>
      <c r="BE17" s="392"/>
      <c r="BF17" s="392"/>
      <c r="BG17" s="392"/>
      <c r="BH17" s="392"/>
      <c r="BI17" s="392"/>
      <c r="BJ17" s="392"/>
      <c r="BK17" s="392"/>
      <c r="BL17" s="392"/>
      <c r="BM17" s="392"/>
      <c r="BN17" s="392"/>
      <c r="BO17" s="392"/>
      <c r="BP17" s="392"/>
      <c r="BQ17" s="392"/>
      <c r="BR17" s="392"/>
      <c r="BS17" s="392"/>
      <c r="BT17" s="392"/>
      <c r="BU17" s="392"/>
      <c r="BV17" s="392"/>
      <c r="BW17" s="392"/>
      <c r="BX17" s="392"/>
      <c r="BY17" s="392"/>
      <c r="BZ17" s="392"/>
      <c r="CA17" s="392"/>
      <c r="CB17" s="392"/>
      <c r="CC17" s="392"/>
      <c r="CD17" s="392"/>
      <c r="CE17" s="392"/>
      <c r="CF17" s="392"/>
      <c r="CG17" s="392"/>
      <c r="CH17" s="392"/>
      <c r="CI17" s="392"/>
      <c r="CJ17" s="392"/>
      <c r="CK17" s="392"/>
      <c r="CL17" s="392"/>
      <c r="CM17" s="392"/>
      <c r="CN17" s="392"/>
      <c r="CO17" s="392"/>
      <c r="CP17" s="392"/>
      <c r="CQ17" s="392"/>
      <c r="CR17" s="392"/>
      <c r="CS17" s="392"/>
      <c r="CT17" s="392"/>
      <c r="CU17" s="392"/>
      <c r="CV17" s="392"/>
      <c r="CW17" s="392"/>
      <c r="CX17" s="392"/>
      <c r="CY17" s="392"/>
      <c r="CZ17" s="392"/>
      <c r="DA17" s="392"/>
      <c r="DB17" s="392"/>
      <c r="DC17" s="392"/>
      <c r="DD17" s="392"/>
      <c r="DE17" s="392"/>
      <c r="DF17" s="392"/>
      <c r="DG17" s="392"/>
      <c r="DH17" s="392"/>
      <c r="DI17" s="392"/>
      <c r="DJ17" s="392"/>
      <c r="DK17" s="392"/>
      <c r="DL17" s="392"/>
      <c r="DM17" s="392"/>
      <c r="DN17" s="392"/>
      <c r="DO17" s="392"/>
      <c r="DP17" s="392"/>
      <c r="DQ17" s="392"/>
      <c r="DR17" s="392"/>
      <c r="DS17" s="392"/>
      <c r="DT17" s="392"/>
      <c r="DU17" s="392"/>
      <c r="DV17" s="392"/>
      <c r="DW17" s="392"/>
      <c r="DX17" s="392"/>
      <c r="DY17" s="392"/>
      <c r="DZ17" s="392"/>
      <c r="EA17" s="392"/>
      <c r="EB17" s="392"/>
      <c r="EC17" s="392"/>
      <c r="ED17" s="392"/>
      <c r="EE17" s="392"/>
      <c r="EF17" s="392"/>
      <c r="EG17" s="392"/>
      <c r="EH17" s="392"/>
      <c r="EI17" s="392"/>
      <c r="EJ17" s="392"/>
      <c r="EK17" s="392"/>
      <c r="EL17" s="392"/>
      <c r="EM17" s="392"/>
      <c r="EN17" s="392"/>
      <c r="EO17" s="392"/>
      <c r="EP17" s="392"/>
      <c r="EQ17" s="392"/>
      <c r="ER17" s="392"/>
      <c r="ES17" s="392"/>
      <c r="ET17" s="392"/>
      <c r="EU17" s="392"/>
      <c r="EV17" s="392"/>
      <c r="EW17" s="392"/>
      <c r="EX17" s="392"/>
      <c r="EY17" s="392"/>
      <c r="EZ17" s="392"/>
      <c r="FA17" s="392"/>
      <c r="FB17" s="392"/>
      <c r="FC17" s="392"/>
      <c r="FD17" s="392"/>
      <c r="FE17" s="392"/>
      <c r="FF17" s="392"/>
      <c r="FG17" s="392"/>
      <c r="FH17" s="392"/>
      <c r="FI17" s="392"/>
      <c r="FJ17" s="392"/>
      <c r="FK17" s="392"/>
      <c r="FL17" s="392"/>
      <c r="FM17" s="392"/>
      <c r="FN17" s="392"/>
      <c r="FO17" s="392"/>
      <c r="FP17" s="392"/>
      <c r="FQ17" s="392"/>
      <c r="FR17" s="392"/>
      <c r="FS17" s="392"/>
      <c r="FT17" s="392"/>
      <c r="FU17" s="392"/>
      <c r="FV17" s="392"/>
      <c r="FW17" s="392"/>
      <c r="FX17" s="392"/>
      <c r="FY17" s="392"/>
      <c r="FZ17" s="392"/>
      <c r="GA17" s="392"/>
      <c r="GB17" s="392"/>
      <c r="GC17" s="392"/>
      <c r="GD17" s="392"/>
      <c r="GE17" s="392"/>
      <c r="GF17" s="392"/>
      <c r="GG17" s="392"/>
      <c r="GH17" s="392"/>
      <c r="GI17" s="392"/>
      <c r="GJ17" s="392"/>
      <c r="GK17" s="392"/>
      <c r="GL17" s="392"/>
      <c r="GM17" s="392"/>
      <c r="GN17" s="392"/>
      <c r="GO17" s="392"/>
      <c r="GP17" s="392"/>
      <c r="GQ17" s="392"/>
      <c r="GR17" s="392"/>
      <c r="GS17" s="392"/>
      <c r="GT17" s="392"/>
      <c r="GU17" s="392"/>
      <c r="GV17" s="392"/>
      <c r="GW17" s="392"/>
      <c r="GX17" s="392"/>
      <c r="GY17" s="392"/>
      <c r="GZ17" s="392"/>
      <c r="HA17" s="392"/>
      <c r="HB17" s="392"/>
      <c r="HC17" s="392"/>
      <c r="HD17" s="392"/>
      <c r="HE17" s="392"/>
      <c r="HF17" s="392"/>
      <c r="HG17" s="392"/>
      <c r="HH17" s="392"/>
      <c r="HI17" s="392"/>
      <c r="HJ17" s="392"/>
      <c r="HK17" s="392"/>
      <c r="HL17" s="392"/>
      <c r="HM17" s="392"/>
      <c r="HN17" s="392"/>
      <c r="HO17" s="392"/>
      <c r="HP17" s="392"/>
      <c r="HQ17" s="392"/>
      <c r="HR17" s="392"/>
      <c r="HS17" s="392"/>
      <c r="HT17" s="392"/>
      <c r="HU17" s="392"/>
      <c r="HV17" s="392"/>
      <c r="HW17" s="392"/>
      <c r="HX17" s="392"/>
      <c r="HY17" s="392"/>
      <c r="HZ17" s="392"/>
      <c r="IA17" s="392"/>
      <c r="IB17" s="392"/>
      <c r="IC17" s="392"/>
      <c r="ID17" s="392"/>
      <c r="IE17" s="392"/>
      <c r="IF17" s="392"/>
      <c r="IG17" s="392"/>
      <c r="IH17" s="392"/>
      <c r="II17" s="392"/>
      <c r="IJ17" s="392"/>
      <c r="IK17" s="392"/>
      <c r="IL17" s="392"/>
      <c r="IM17" s="392"/>
      <c r="IN17" s="392"/>
      <c r="IO17" s="392"/>
      <c r="IP17" s="392"/>
      <c r="IQ17" s="392"/>
      <c r="IR17" s="392"/>
      <c r="IS17" s="392"/>
      <c r="IT17" s="392"/>
      <c r="IU17" s="392"/>
      <c r="IV17" s="392"/>
    </row>
    <row r="18" spans="1:256" ht="45.75">
      <c r="A18" s="333" t="s">
        <v>391</v>
      </c>
      <c r="B18" s="436">
        <v>102486</v>
      </c>
      <c r="C18" s="317" t="str">
        <f>IF($A18="INSUMO",VLOOKUP($B18,'BANCO DE DADOS JANEIRO-24 INS'!$A:$D,2,FALSE),VLOOKUP($B18,'BANCO DE DADOS JANEIRO-24 SERV'!$B:$E,2,FALSE))</f>
        <v>CONCRETO FCK = 15MPA, TRAÇO 1:3,4:3,4 (EM MASSA SECA DE CIMENTO/ AREIA MÉDIA/ SEIXO ROLADO) - PREPARO MANUAL. AF_05/2021</v>
      </c>
      <c r="D18" s="316" t="str">
        <f>IF($A18="INSUMO",VLOOKUP($B18,'BANCO DE DADOS JANEIRO-24 INS'!$A:$D,3,FALSE),VLOOKUP($B18,'BANCO DE DADOS JANEIRO-24 SERV'!$B:$E,3,FALSE))</f>
        <v>M3</v>
      </c>
      <c r="E18" s="571">
        <v>7.4999999999999997E-2</v>
      </c>
      <c r="F18" s="320">
        <f>IF($A18="INSUMO",VLOOKUP($B18,'BANCO DE DADOS JANEIRO-24 INS'!$A:$D,4,FALSE),VLOOKUP($B18,'BANCO DE DADOS JANEIRO-24 SERV'!$B:$E,4,FALSE))</f>
        <v>763.53</v>
      </c>
      <c r="G18" s="553">
        <f>TRUNC(F18*E18,2)</f>
        <v>57.26</v>
      </c>
      <c r="H18" s="392"/>
      <c r="I18" s="392"/>
      <c r="J18" s="392"/>
      <c r="K18" s="392"/>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2"/>
      <c r="BA18" s="392"/>
      <c r="BB18" s="392"/>
      <c r="BC18" s="392"/>
      <c r="BD18" s="392"/>
      <c r="BE18" s="392"/>
      <c r="BF18" s="392"/>
      <c r="BG18" s="392"/>
      <c r="BH18" s="392"/>
      <c r="BI18" s="392"/>
      <c r="BJ18" s="392"/>
      <c r="BK18" s="392"/>
      <c r="BL18" s="392"/>
      <c r="BM18" s="392"/>
      <c r="BN18" s="392"/>
      <c r="BO18" s="392"/>
      <c r="BP18" s="392"/>
      <c r="BQ18" s="392"/>
      <c r="BR18" s="392"/>
      <c r="BS18" s="392"/>
      <c r="BT18" s="392"/>
      <c r="BU18" s="392"/>
      <c r="BV18" s="392"/>
      <c r="BW18" s="392"/>
      <c r="BX18" s="392"/>
      <c r="BY18" s="392"/>
      <c r="BZ18" s="392"/>
      <c r="CA18" s="392"/>
      <c r="CB18" s="392"/>
      <c r="CC18" s="392"/>
      <c r="CD18" s="392"/>
      <c r="CE18" s="392"/>
      <c r="CF18" s="392"/>
      <c r="CG18" s="392"/>
      <c r="CH18" s="392"/>
      <c r="CI18" s="392"/>
      <c r="CJ18" s="392"/>
      <c r="CK18" s="392"/>
      <c r="CL18" s="392"/>
      <c r="CM18" s="392"/>
      <c r="CN18" s="392"/>
      <c r="CO18" s="392"/>
      <c r="CP18" s="392"/>
      <c r="CQ18" s="392"/>
      <c r="CR18" s="392"/>
      <c r="CS18" s="392"/>
      <c r="CT18" s="392"/>
      <c r="CU18" s="392"/>
      <c r="CV18" s="392"/>
      <c r="CW18" s="392"/>
      <c r="CX18" s="392"/>
      <c r="CY18" s="392"/>
      <c r="CZ18" s="392"/>
      <c r="DA18" s="392"/>
      <c r="DB18" s="392"/>
      <c r="DC18" s="392"/>
      <c r="DD18" s="392"/>
      <c r="DE18" s="392"/>
      <c r="DF18" s="392"/>
      <c r="DG18" s="392"/>
      <c r="DH18" s="392"/>
      <c r="DI18" s="392"/>
      <c r="DJ18" s="392"/>
      <c r="DK18" s="392"/>
      <c r="DL18" s="392"/>
      <c r="DM18" s="392"/>
      <c r="DN18" s="392"/>
      <c r="DO18" s="392"/>
      <c r="DP18" s="392"/>
      <c r="DQ18" s="392"/>
      <c r="DR18" s="392"/>
      <c r="DS18" s="392"/>
      <c r="DT18" s="392"/>
      <c r="DU18" s="392"/>
      <c r="DV18" s="392"/>
      <c r="DW18" s="392"/>
      <c r="DX18" s="392"/>
      <c r="DY18" s="392"/>
      <c r="DZ18" s="392"/>
      <c r="EA18" s="392"/>
      <c r="EB18" s="392"/>
      <c r="EC18" s="392"/>
      <c r="ED18" s="392"/>
      <c r="EE18" s="392"/>
      <c r="EF18" s="392"/>
      <c r="EG18" s="392"/>
      <c r="EH18" s="392"/>
      <c r="EI18" s="392"/>
      <c r="EJ18" s="392"/>
      <c r="EK18" s="392"/>
      <c r="EL18" s="392"/>
      <c r="EM18" s="392"/>
      <c r="EN18" s="392"/>
      <c r="EO18" s="392"/>
      <c r="EP18" s="392"/>
      <c r="EQ18" s="392"/>
      <c r="ER18" s="392"/>
      <c r="ES18" s="392"/>
      <c r="ET18" s="392"/>
      <c r="EU18" s="392"/>
      <c r="EV18" s="392"/>
      <c r="EW18" s="392"/>
      <c r="EX18" s="392"/>
      <c r="EY18" s="392"/>
      <c r="EZ18" s="392"/>
      <c r="FA18" s="392"/>
      <c r="FB18" s="392"/>
      <c r="FC18" s="392"/>
      <c r="FD18" s="392"/>
      <c r="FE18" s="392"/>
      <c r="FF18" s="392"/>
      <c r="FG18" s="392"/>
      <c r="FH18" s="392"/>
      <c r="FI18" s="392"/>
      <c r="FJ18" s="392"/>
      <c r="FK18" s="392"/>
      <c r="FL18" s="392"/>
      <c r="FM18" s="392"/>
      <c r="FN18" s="392"/>
      <c r="FO18" s="392"/>
      <c r="FP18" s="392"/>
      <c r="FQ18" s="392"/>
      <c r="FR18" s="392"/>
      <c r="FS18" s="392"/>
      <c r="FT18" s="392"/>
      <c r="FU18" s="392"/>
      <c r="FV18" s="392"/>
      <c r="FW18" s="392"/>
      <c r="FX18" s="392"/>
      <c r="FY18" s="392"/>
      <c r="FZ18" s="392"/>
      <c r="GA18" s="392"/>
      <c r="GB18" s="392"/>
      <c r="GC18" s="392"/>
      <c r="GD18" s="392"/>
      <c r="GE18" s="392"/>
      <c r="GF18" s="392"/>
      <c r="GG18" s="392"/>
      <c r="GH18" s="392"/>
      <c r="GI18" s="392"/>
      <c r="GJ18" s="392"/>
      <c r="GK18" s="392"/>
      <c r="GL18" s="392"/>
      <c r="GM18" s="392"/>
      <c r="GN18" s="392"/>
      <c r="GO18" s="392"/>
      <c r="GP18" s="392"/>
      <c r="GQ18" s="392"/>
      <c r="GR18" s="392"/>
      <c r="GS18" s="392"/>
      <c r="GT18" s="392"/>
      <c r="GU18" s="392"/>
      <c r="GV18" s="392"/>
      <c r="GW18" s="392"/>
      <c r="GX18" s="392"/>
      <c r="GY18" s="392"/>
      <c r="GZ18" s="392"/>
      <c r="HA18" s="392"/>
      <c r="HB18" s="392"/>
      <c r="HC18" s="392"/>
      <c r="HD18" s="392"/>
      <c r="HE18" s="392"/>
      <c r="HF18" s="392"/>
      <c r="HG18" s="392"/>
      <c r="HH18" s="392"/>
      <c r="HI18" s="392"/>
      <c r="HJ18" s="392"/>
      <c r="HK18" s="392"/>
      <c r="HL18" s="392"/>
      <c r="HM18" s="392"/>
      <c r="HN18" s="392"/>
      <c r="HO18" s="392"/>
      <c r="HP18" s="392"/>
      <c r="HQ18" s="392"/>
      <c r="HR18" s="392"/>
      <c r="HS18" s="392"/>
      <c r="HT18" s="392"/>
      <c r="HU18" s="392"/>
      <c r="HV18" s="392"/>
      <c r="HW18" s="392"/>
      <c r="HX18" s="392"/>
      <c r="HY18" s="392"/>
      <c r="HZ18" s="392"/>
      <c r="IA18" s="392"/>
      <c r="IB18" s="392"/>
      <c r="IC18" s="392"/>
      <c r="ID18" s="392"/>
      <c r="IE18" s="392"/>
      <c r="IF18" s="392"/>
      <c r="IG18" s="392"/>
      <c r="IH18" s="392"/>
      <c r="II18" s="392"/>
      <c r="IJ18" s="392"/>
      <c r="IK18" s="392"/>
      <c r="IL18" s="392"/>
      <c r="IM18" s="392"/>
      <c r="IN18" s="392"/>
      <c r="IO18" s="392"/>
      <c r="IP18" s="392"/>
      <c r="IQ18" s="392"/>
      <c r="IR18" s="392"/>
      <c r="IS18" s="392"/>
      <c r="IT18" s="392"/>
      <c r="IU18" s="392"/>
      <c r="IV18" s="392"/>
    </row>
    <row r="19" spans="1:256" s="271" customFormat="1" ht="15.75">
      <c r="A19" s="333"/>
      <c r="B19" s="2312" t="s">
        <v>169</v>
      </c>
      <c r="C19" s="2313"/>
      <c r="D19" s="2313"/>
      <c r="E19" s="2313"/>
      <c r="F19" s="2313"/>
      <c r="G19" s="2314"/>
    </row>
    <row r="20" spans="1:256" s="271" customFormat="1" ht="15.75">
      <c r="A20" s="333" t="s">
        <v>391</v>
      </c>
      <c r="B20" s="1274">
        <v>88309</v>
      </c>
      <c r="C20" s="1098" t="str">
        <f>IF($A20="INSUMO",VLOOKUP($B20,'BANCO DE DADOS JANEIRO-24 INS'!$A:$D,2,FALSE),VLOOKUP($B20,'BANCO DE DADOS JANEIRO-24 SERV'!$B:$E,2,FALSE))</f>
        <v>PEDREIRO COM ENCARGOS COMPLEMENTARES</v>
      </c>
      <c r="D20" s="1099" t="str">
        <f>IF($A20="INSUMO",VLOOKUP($B20,'BANCO DE DADOS JANEIRO-24 INS'!$A:$D,3,FALSE),VLOOKUP($B20,'BANCO DE DADOS JANEIRO-24 SERV'!$B:$E,3,FALSE))</f>
        <v>H</v>
      </c>
      <c r="E20" s="1293">
        <v>0.62</v>
      </c>
      <c r="F20" s="1146">
        <f>IF($A20="INSUMO",VLOOKUP($B20,'BANCO DE DADOS JANEIRO-24 INS'!$A:$D,4,FALSE),VLOOKUP($B20,'BANCO DE DADOS JANEIRO-24 SERV'!$B:$E,4,FALSE))</f>
        <v>25.62</v>
      </c>
      <c r="G20" s="1101">
        <f>TRUNC(E20*F20,2)</f>
        <v>15.88</v>
      </c>
    </row>
    <row r="21" spans="1:256" s="271" customFormat="1" ht="16.5" thickBot="1">
      <c r="A21" s="333" t="s">
        <v>391</v>
      </c>
      <c r="B21" s="965">
        <v>88316</v>
      </c>
      <c r="C21" s="1103" t="str">
        <f>IF($A21="INSUMO",VLOOKUP($B21,'BANCO DE DADOS JANEIRO-24 INS'!$A:$D,2,FALSE),VLOOKUP($B21,'BANCO DE DADOS JANEIRO-24 SERV'!$B:$E,2,FALSE))</f>
        <v>SERVENTE COM ENCARGOS COMPLEMENTARES</v>
      </c>
      <c r="D21" s="1104" t="str">
        <f>IF($A21="INSUMO",VLOOKUP($B21,'BANCO DE DADOS JANEIRO-24 INS'!$A:$D,3,FALSE),VLOOKUP($B21,'BANCO DE DADOS JANEIRO-24 SERV'!$B:$E,3,FALSE))</f>
        <v>H</v>
      </c>
      <c r="E21" s="1294">
        <v>1.36</v>
      </c>
      <c r="F21" s="1105">
        <f>IF($A21="INSUMO",VLOOKUP($B21,'BANCO DE DADOS JANEIRO-24 INS'!$A:$D,4,FALSE),VLOOKUP($B21,'BANCO DE DADOS JANEIRO-24 SERV'!$B:$E,4,FALSE))</f>
        <v>20.32</v>
      </c>
      <c r="G21" s="1106">
        <f>TRUNC(E21*F21,2)</f>
        <v>27.63</v>
      </c>
    </row>
    <row r="22" spans="1:256" ht="22.5" customHeight="1" thickBot="1">
      <c r="A22" s="392"/>
      <c r="B22" s="2485" t="s">
        <v>14063</v>
      </c>
      <c r="C22" s="2485"/>
      <c r="D22" s="2485"/>
      <c r="E22" s="2486"/>
      <c r="F22" s="263" t="s">
        <v>167</v>
      </c>
      <c r="G22" s="264">
        <f>TRUNC(SUM(G17:G21),2)</f>
        <v>2705.73</v>
      </c>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c r="AN22" s="392"/>
      <c r="AO22" s="392"/>
      <c r="AP22" s="392"/>
      <c r="AQ22" s="392"/>
      <c r="AR22" s="392"/>
      <c r="AS22" s="392"/>
      <c r="AT22" s="392"/>
      <c r="AU22" s="392"/>
      <c r="AV22" s="392"/>
      <c r="AW22" s="392"/>
      <c r="AX22" s="392"/>
      <c r="AY22" s="392"/>
      <c r="AZ22" s="392"/>
      <c r="BA22" s="392"/>
      <c r="BB22" s="392"/>
      <c r="BC22" s="392"/>
      <c r="BD22" s="392"/>
      <c r="BE22" s="392"/>
      <c r="BF22" s="392"/>
      <c r="BG22" s="392"/>
      <c r="BH22" s="392"/>
      <c r="BI22" s="392"/>
      <c r="BJ22" s="392"/>
      <c r="BK22" s="392"/>
      <c r="BL22" s="392"/>
      <c r="BM22" s="392"/>
      <c r="BN22" s="392"/>
      <c r="BO22" s="392"/>
      <c r="BP22" s="392"/>
      <c r="BQ22" s="392"/>
      <c r="BR22" s="392"/>
      <c r="BS22" s="392"/>
      <c r="BT22" s="392"/>
      <c r="BU22" s="392"/>
      <c r="BV22" s="392"/>
      <c r="BW22" s="392"/>
      <c r="BX22" s="392"/>
      <c r="BY22" s="392"/>
      <c r="BZ22" s="392"/>
      <c r="CA22" s="392"/>
      <c r="CB22" s="392"/>
      <c r="CC22" s="392"/>
      <c r="CD22" s="392"/>
      <c r="CE22" s="392"/>
      <c r="CF22" s="392"/>
      <c r="CG22" s="392"/>
      <c r="CH22" s="392"/>
      <c r="CI22" s="392"/>
      <c r="CJ22" s="392"/>
      <c r="CK22" s="392"/>
      <c r="CL22" s="392"/>
      <c r="CM22" s="392"/>
      <c r="CN22" s="392"/>
      <c r="CO22" s="392"/>
      <c r="CP22" s="392"/>
      <c r="CQ22" s="392"/>
      <c r="CR22" s="392"/>
      <c r="CS22" s="392"/>
      <c r="CT22" s="392"/>
      <c r="CU22" s="392"/>
      <c r="CV22" s="392"/>
      <c r="CW22" s="392"/>
      <c r="CX22" s="392"/>
      <c r="CY22" s="392"/>
      <c r="CZ22" s="392"/>
      <c r="DA22" s="392"/>
      <c r="DB22" s="392"/>
      <c r="DC22" s="392"/>
      <c r="DD22" s="392"/>
      <c r="DE22" s="392"/>
      <c r="DF22" s="392"/>
      <c r="DG22" s="392"/>
      <c r="DH22" s="392"/>
      <c r="DI22" s="392"/>
      <c r="DJ22" s="392"/>
      <c r="DK22" s="392"/>
      <c r="DL22" s="392"/>
      <c r="DM22" s="392"/>
      <c r="DN22" s="392"/>
      <c r="DO22" s="392"/>
      <c r="DP22" s="392"/>
      <c r="DQ22" s="392"/>
      <c r="DR22" s="392"/>
      <c r="DS22" s="392"/>
      <c r="DT22" s="392"/>
      <c r="DU22" s="392"/>
      <c r="DV22" s="392"/>
      <c r="DW22" s="392"/>
      <c r="DX22" s="392"/>
      <c r="DY22" s="392"/>
      <c r="DZ22" s="392"/>
      <c r="EA22" s="392"/>
      <c r="EB22" s="392"/>
      <c r="EC22" s="392"/>
      <c r="ED22" s="392"/>
      <c r="EE22" s="392"/>
      <c r="EF22" s="392"/>
      <c r="EG22" s="392"/>
      <c r="EH22" s="392"/>
      <c r="EI22" s="392"/>
      <c r="EJ22" s="392"/>
      <c r="EK22" s="392"/>
      <c r="EL22" s="392"/>
      <c r="EM22" s="392"/>
      <c r="EN22" s="392"/>
      <c r="EO22" s="392"/>
      <c r="EP22" s="392"/>
      <c r="EQ22" s="392"/>
      <c r="ER22" s="392"/>
      <c r="ES22" s="392"/>
      <c r="ET22" s="392"/>
      <c r="EU22" s="392"/>
      <c r="EV22" s="392"/>
      <c r="EW22" s="392"/>
      <c r="EX22" s="392"/>
      <c r="EY22" s="392"/>
      <c r="EZ22" s="392"/>
      <c r="FA22" s="392"/>
      <c r="FB22" s="392"/>
      <c r="FC22" s="392"/>
      <c r="FD22" s="392"/>
      <c r="FE22" s="392"/>
      <c r="FF22" s="392"/>
      <c r="FG22" s="392"/>
      <c r="FH22" s="392"/>
      <c r="FI22" s="392"/>
      <c r="FJ22" s="392"/>
      <c r="FK22" s="392"/>
      <c r="FL22" s="392"/>
      <c r="FM22" s="392"/>
      <c r="FN22" s="392"/>
      <c r="FO22" s="392"/>
      <c r="FP22" s="392"/>
      <c r="FQ22" s="392"/>
      <c r="FR22" s="392"/>
      <c r="FS22" s="392"/>
      <c r="FT22" s="392"/>
      <c r="FU22" s="392"/>
      <c r="FV22" s="392"/>
      <c r="FW22" s="392"/>
      <c r="FX22" s="392"/>
      <c r="FY22" s="392"/>
      <c r="FZ22" s="392"/>
      <c r="GA22" s="392"/>
      <c r="GB22" s="392"/>
      <c r="GC22" s="392"/>
      <c r="GD22" s="392"/>
      <c r="GE22" s="392"/>
      <c r="GF22" s="392"/>
      <c r="GG22" s="392"/>
      <c r="GH22" s="392"/>
      <c r="GI22" s="392"/>
      <c r="GJ22" s="392"/>
      <c r="GK22" s="392"/>
      <c r="GL22" s="392"/>
      <c r="GM22" s="392"/>
      <c r="GN22" s="392"/>
      <c r="GO22" s="392"/>
      <c r="GP22" s="392"/>
      <c r="GQ22" s="392"/>
      <c r="GR22" s="392"/>
      <c r="GS22" s="392"/>
      <c r="GT22" s="392"/>
      <c r="GU22" s="392"/>
      <c r="GV22" s="392"/>
      <c r="GW22" s="392"/>
      <c r="GX22" s="392"/>
      <c r="GY22" s="392"/>
      <c r="GZ22" s="392"/>
      <c r="HA22" s="392"/>
      <c r="HB22" s="392"/>
      <c r="HC22" s="392"/>
      <c r="HD22" s="392"/>
      <c r="HE22" s="392"/>
      <c r="HF22" s="392"/>
      <c r="HG22" s="392"/>
      <c r="HH22" s="392"/>
      <c r="HI22" s="392"/>
      <c r="HJ22" s="392"/>
      <c r="HK22" s="392"/>
      <c r="HL22" s="392"/>
      <c r="HM22" s="392"/>
      <c r="HN22" s="392"/>
      <c r="HO22" s="392"/>
      <c r="HP22" s="392"/>
      <c r="HQ22" s="392"/>
      <c r="HR22" s="392"/>
      <c r="HS22" s="392"/>
      <c r="HT22" s="392"/>
      <c r="HU22" s="392"/>
      <c r="HV22" s="392"/>
      <c r="HW22" s="392"/>
      <c r="HX22" s="392"/>
      <c r="HY22" s="392"/>
      <c r="HZ22" s="392"/>
      <c r="IA22" s="392"/>
      <c r="IB22" s="392"/>
      <c r="IC22" s="392"/>
      <c r="ID22" s="392"/>
      <c r="IE22" s="392"/>
      <c r="IF22" s="392"/>
      <c r="IG22" s="392"/>
      <c r="IH22" s="392"/>
      <c r="II22" s="392"/>
      <c r="IJ22" s="392"/>
      <c r="IK22" s="392"/>
      <c r="IL22" s="392"/>
      <c r="IM22" s="392"/>
      <c r="IN22" s="392"/>
      <c r="IO22" s="392"/>
      <c r="IP22" s="392"/>
      <c r="IQ22" s="392"/>
      <c r="IR22" s="392"/>
      <c r="IS22" s="392"/>
      <c r="IT22" s="392"/>
      <c r="IU22" s="392"/>
      <c r="IV22" s="392"/>
    </row>
    <row r="23" spans="1:256" s="271" customFormat="1" ht="16.5" thickBot="1">
      <c r="A23" s="333"/>
      <c r="B23" s="230"/>
      <c r="C23" s="235"/>
      <c r="D23" s="235"/>
      <c r="E23" s="235"/>
      <c r="F23" s="235"/>
      <c r="G23" s="235"/>
    </row>
    <row r="24" spans="1:256" s="271" customFormat="1" ht="18">
      <c r="A24" s="333"/>
      <c r="B24" s="1744" t="s">
        <v>181</v>
      </c>
      <c r="C24" s="2164" t="s">
        <v>14061</v>
      </c>
      <c r="D24" s="2165"/>
      <c r="E24" s="2165"/>
      <c r="F24" s="2166"/>
      <c r="G24" s="1670" t="s">
        <v>22</v>
      </c>
      <c r="H24" s="1173" t="s">
        <v>1977</v>
      </c>
    </row>
    <row r="25" spans="1:256" s="271" customFormat="1" ht="31.5">
      <c r="A25" s="333"/>
      <c r="B25" s="1107" t="s">
        <v>174</v>
      </c>
      <c r="C25" s="1108" t="s">
        <v>175</v>
      </c>
      <c r="D25" s="1109" t="s">
        <v>176</v>
      </c>
      <c r="E25" s="1110" t="s">
        <v>177</v>
      </c>
      <c r="F25" s="1111" t="s">
        <v>178</v>
      </c>
      <c r="G25" s="1112" t="s">
        <v>179</v>
      </c>
    </row>
    <row r="26" spans="1:256" s="271" customFormat="1" ht="15.75">
      <c r="A26" s="333"/>
      <c r="B26" s="1856">
        <v>45348</v>
      </c>
      <c r="C26" s="1758" t="s">
        <v>14644</v>
      </c>
      <c r="D26" s="1762">
        <v>2604.96</v>
      </c>
      <c r="E26" s="1762" t="s">
        <v>14409</v>
      </c>
      <c r="F26" s="1759" t="s">
        <v>14645</v>
      </c>
      <c r="G26" s="1401" t="s">
        <v>14646</v>
      </c>
      <c r="H26" s="1176"/>
    </row>
    <row r="27" spans="1:256" s="271" customFormat="1" ht="15.75">
      <c r="A27" s="333"/>
      <c r="B27" s="1856">
        <v>45345</v>
      </c>
      <c r="C27" s="1758" t="s">
        <v>14506</v>
      </c>
      <c r="D27" s="1762">
        <v>1098.29</v>
      </c>
      <c r="E27" s="1762" t="s">
        <v>14409</v>
      </c>
      <c r="F27" s="1760" t="s">
        <v>14507</v>
      </c>
      <c r="G27" s="1362" t="s">
        <v>14508</v>
      </c>
      <c r="H27" s="1176"/>
    </row>
    <row r="28" spans="1:256" s="271" customFormat="1" ht="15.75">
      <c r="A28" s="333"/>
      <c r="B28" s="1856">
        <v>45345</v>
      </c>
      <c r="C28" s="1758" t="s">
        <v>4610</v>
      </c>
      <c r="D28" s="1762">
        <v>4081.21</v>
      </c>
      <c r="E28" s="1762" t="s">
        <v>4609</v>
      </c>
      <c r="F28" s="1760" t="s">
        <v>14062</v>
      </c>
      <c r="G28" s="1362" t="s">
        <v>4607</v>
      </c>
      <c r="H28" s="1176"/>
    </row>
    <row r="29" spans="1:256" s="271" customFormat="1" ht="16.5" thickBot="1">
      <c r="A29" s="333"/>
      <c r="B29" s="1711"/>
      <c r="C29" s="1668" t="s">
        <v>180</v>
      </c>
      <c r="D29" s="1673">
        <f>IF(COUNT(D25:D28)=3,MEDIAN(D26:D28),SMALL(D26:D28,1))</f>
        <v>2604.96</v>
      </c>
      <c r="E29" s="1674"/>
      <c r="F29" s="1675"/>
      <c r="G29" s="1671"/>
    </row>
    <row r="30" spans="1:256" ht="13.5" thickBot="1"/>
    <row r="31" spans="1:256" ht="34.5" customHeight="1">
      <c r="A31" s="392"/>
      <c r="B31" s="377" t="str">
        <f>IF(COUNT($H$13:H31)&lt;10,CONCATENATE("CPU PLAY 00",COUNT($H$13:H31)),CONCATENATE("CPU PLAY 0",COUNT($H$13:H31)))</f>
        <v>CPU PLAY 002</v>
      </c>
      <c r="C31" s="2180" t="s">
        <v>14064</v>
      </c>
      <c r="D31" s="2180"/>
      <c r="E31" s="2180"/>
      <c r="F31" s="2180"/>
      <c r="G31" s="624" t="s">
        <v>22</v>
      </c>
      <c r="H31" s="465">
        <f>G39</f>
        <v>7112.84</v>
      </c>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2"/>
      <c r="AG31" s="392"/>
      <c r="AH31" s="392"/>
      <c r="AI31" s="392"/>
      <c r="AJ31" s="392"/>
      <c r="AK31" s="392"/>
      <c r="AL31" s="392"/>
      <c r="AM31" s="392"/>
      <c r="AN31" s="392"/>
      <c r="AO31" s="392"/>
      <c r="AP31" s="392"/>
      <c r="AQ31" s="392"/>
      <c r="AR31" s="392"/>
      <c r="AS31" s="392"/>
      <c r="AT31" s="392"/>
      <c r="AU31" s="392"/>
      <c r="AV31" s="392"/>
      <c r="AW31" s="392"/>
      <c r="AX31" s="392"/>
      <c r="AY31" s="392"/>
      <c r="AZ31" s="392"/>
      <c r="BA31" s="392"/>
      <c r="BB31" s="392"/>
      <c r="BC31" s="392"/>
      <c r="BD31" s="392"/>
      <c r="BE31" s="392"/>
      <c r="BF31" s="392"/>
      <c r="BG31" s="392"/>
      <c r="BH31" s="392"/>
      <c r="BI31" s="392"/>
      <c r="BJ31" s="392"/>
      <c r="BK31" s="392"/>
      <c r="BL31" s="392"/>
      <c r="BM31" s="392"/>
      <c r="BN31" s="392"/>
      <c r="BO31" s="392"/>
      <c r="BP31" s="392"/>
      <c r="BQ31" s="392"/>
      <c r="BR31" s="392"/>
      <c r="BS31" s="392"/>
      <c r="BT31" s="392"/>
      <c r="BU31" s="392"/>
      <c r="BV31" s="392"/>
      <c r="BW31" s="392"/>
      <c r="BX31" s="392"/>
      <c r="BY31" s="392"/>
      <c r="BZ31" s="392"/>
      <c r="CA31" s="392"/>
      <c r="CB31" s="392"/>
      <c r="CC31" s="392"/>
      <c r="CD31" s="392"/>
      <c r="CE31" s="392"/>
      <c r="CF31" s="392"/>
      <c r="CG31" s="392"/>
      <c r="CH31" s="392"/>
      <c r="CI31" s="392"/>
      <c r="CJ31" s="392"/>
      <c r="CK31" s="392"/>
      <c r="CL31" s="392"/>
      <c r="CM31" s="392"/>
      <c r="CN31" s="392"/>
      <c r="CO31" s="392"/>
      <c r="CP31" s="392"/>
      <c r="CQ31" s="392"/>
      <c r="CR31" s="392"/>
      <c r="CS31" s="392"/>
      <c r="CT31" s="392"/>
      <c r="CU31" s="392"/>
      <c r="CV31" s="392"/>
      <c r="CW31" s="392"/>
      <c r="CX31" s="392"/>
      <c r="CY31" s="392"/>
      <c r="CZ31" s="392"/>
      <c r="DA31" s="392"/>
      <c r="DB31" s="392"/>
      <c r="DC31" s="392"/>
      <c r="DD31" s="392"/>
      <c r="DE31" s="392"/>
      <c r="DF31" s="392"/>
      <c r="DG31" s="392"/>
      <c r="DH31" s="392"/>
      <c r="DI31" s="392"/>
      <c r="DJ31" s="392"/>
      <c r="DK31" s="392"/>
      <c r="DL31" s="392"/>
      <c r="DM31" s="392"/>
      <c r="DN31" s="392"/>
      <c r="DO31" s="392"/>
      <c r="DP31" s="392"/>
      <c r="DQ31" s="392"/>
      <c r="DR31" s="392"/>
      <c r="DS31" s="392"/>
      <c r="DT31" s="392"/>
      <c r="DU31" s="392"/>
      <c r="DV31" s="392"/>
      <c r="DW31" s="392"/>
      <c r="DX31" s="392"/>
      <c r="DY31" s="392"/>
      <c r="DZ31" s="392"/>
      <c r="EA31" s="392"/>
      <c r="EB31" s="392"/>
      <c r="EC31" s="392"/>
      <c r="ED31" s="392"/>
      <c r="EE31" s="392"/>
      <c r="EF31" s="392"/>
      <c r="EG31" s="392"/>
      <c r="EH31" s="392"/>
      <c r="EI31" s="392"/>
      <c r="EJ31" s="392"/>
      <c r="EK31" s="392"/>
      <c r="EL31" s="392"/>
      <c r="EM31" s="392"/>
      <c r="EN31" s="392"/>
      <c r="EO31" s="392"/>
      <c r="EP31" s="392"/>
      <c r="EQ31" s="392"/>
      <c r="ER31" s="392"/>
      <c r="ES31" s="392"/>
      <c r="ET31" s="392"/>
      <c r="EU31" s="392"/>
      <c r="EV31" s="392"/>
      <c r="EW31" s="392"/>
      <c r="EX31" s="392"/>
      <c r="EY31" s="392"/>
      <c r="EZ31" s="392"/>
      <c r="FA31" s="392"/>
      <c r="FB31" s="392"/>
      <c r="FC31" s="392"/>
      <c r="FD31" s="392"/>
      <c r="FE31" s="392"/>
      <c r="FF31" s="392"/>
      <c r="FG31" s="392"/>
      <c r="FH31" s="392"/>
      <c r="FI31" s="392"/>
      <c r="FJ31" s="392"/>
      <c r="FK31" s="392"/>
      <c r="FL31" s="392"/>
      <c r="FM31" s="392"/>
      <c r="FN31" s="392"/>
      <c r="FO31" s="392"/>
      <c r="FP31" s="392"/>
      <c r="FQ31" s="392"/>
      <c r="FR31" s="392"/>
      <c r="FS31" s="392"/>
      <c r="FT31" s="392"/>
      <c r="FU31" s="392"/>
      <c r="FV31" s="392"/>
      <c r="FW31" s="392"/>
      <c r="FX31" s="392"/>
      <c r="FY31" s="392"/>
      <c r="FZ31" s="392"/>
      <c r="GA31" s="392"/>
      <c r="GB31" s="392"/>
      <c r="GC31" s="392"/>
      <c r="GD31" s="392"/>
      <c r="GE31" s="392"/>
      <c r="GF31" s="392"/>
      <c r="GG31" s="392"/>
      <c r="GH31" s="392"/>
      <c r="GI31" s="392"/>
      <c r="GJ31" s="392"/>
      <c r="GK31" s="392"/>
      <c r="GL31" s="392"/>
      <c r="GM31" s="392"/>
      <c r="GN31" s="392"/>
      <c r="GO31" s="392"/>
      <c r="GP31" s="392"/>
      <c r="GQ31" s="392"/>
      <c r="GR31" s="392"/>
      <c r="GS31" s="392"/>
      <c r="GT31" s="392"/>
      <c r="GU31" s="392"/>
      <c r="GV31" s="392"/>
      <c r="GW31" s="392"/>
      <c r="GX31" s="392"/>
      <c r="GY31" s="392"/>
      <c r="GZ31" s="392"/>
      <c r="HA31" s="392"/>
      <c r="HB31" s="392"/>
      <c r="HC31" s="392"/>
      <c r="HD31" s="392"/>
      <c r="HE31" s="392"/>
      <c r="HF31" s="392"/>
      <c r="HG31" s="392"/>
      <c r="HH31" s="392"/>
      <c r="HI31" s="392"/>
      <c r="HJ31" s="392"/>
      <c r="HK31" s="392"/>
      <c r="HL31" s="392"/>
      <c r="HM31" s="392"/>
      <c r="HN31" s="392"/>
      <c r="HO31" s="392"/>
      <c r="HP31" s="392"/>
      <c r="HQ31" s="392"/>
      <c r="HR31" s="392"/>
      <c r="HS31" s="392"/>
      <c r="HT31" s="392"/>
      <c r="HU31" s="392"/>
      <c r="HV31" s="392"/>
      <c r="HW31" s="392"/>
      <c r="HX31" s="392"/>
      <c r="HY31" s="392"/>
      <c r="HZ31" s="392"/>
      <c r="IA31" s="392"/>
      <c r="IB31" s="392"/>
      <c r="IC31" s="392"/>
      <c r="ID31" s="392"/>
      <c r="IE31" s="392"/>
      <c r="IF31" s="392"/>
      <c r="IG31" s="392"/>
      <c r="IH31" s="392"/>
      <c r="II31" s="392"/>
      <c r="IJ31" s="392"/>
      <c r="IK31" s="392"/>
      <c r="IL31" s="392"/>
      <c r="IM31" s="392"/>
      <c r="IN31" s="392"/>
      <c r="IO31" s="392"/>
      <c r="IP31" s="392"/>
      <c r="IQ31" s="392"/>
      <c r="IR31" s="392"/>
      <c r="IS31" s="392"/>
      <c r="IT31" s="392"/>
      <c r="IU31" s="392"/>
      <c r="IV31" s="392"/>
    </row>
    <row r="32" spans="1:256" ht="31.5">
      <c r="A32" s="392"/>
      <c r="B32" s="433" t="s">
        <v>197</v>
      </c>
      <c r="C32" s="565" t="s">
        <v>161</v>
      </c>
      <c r="D32" s="565" t="s">
        <v>22</v>
      </c>
      <c r="E32" s="565" t="s">
        <v>162</v>
      </c>
      <c r="F32" s="566" t="s">
        <v>186</v>
      </c>
      <c r="G32" s="567" t="s">
        <v>187</v>
      </c>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392"/>
      <c r="BT32" s="392"/>
      <c r="BU32" s="392"/>
      <c r="BV32" s="392"/>
      <c r="BW32" s="392"/>
      <c r="BX32" s="392"/>
      <c r="BY32" s="392"/>
      <c r="BZ32" s="392"/>
      <c r="CA32" s="392"/>
      <c r="CB32" s="392"/>
      <c r="CC32" s="392"/>
      <c r="CD32" s="392"/>
      <c r="CE32" s="392"/>
      <c r="CF32" s="392"/>
      <c r="CG32" s="392"/>
      <c r="CH32" s="392"/>
      <c r="CI32" s="392"/>
      <c r="CJ32" s="392"/>
      <c r="CK32" s="392"/>
      <c r="CL32" s="392"/>
      <c r="CM32" s="392"/>
      <c r="CN32" s="392"/>
      <c r="CO32" s="392"/>
      <c r="CP32" s="392"/>
      <c r="CQ32" s="392"/>
      <c r="CR32" s="392"/>
      <c r="CS32" s="392"/>
      <c r="CT32" s="392"/>
      <c r="CU32" s="392"/>
      <c r="CV32" s="392"/>
      <c r="CW32" s="392"/>
      <c r="CX32" s="392"/>
      <c r="CY32" s="392"/>
      <c r="CZ32" s="392"/>
      <c r="DA32" s="392"/>
      <c r="DB32" s="392"/>
      <c r="DC32" s="392"/>
      <c r="DD32" s="392"/>
      <c r="DE32" s="392"/>
      <c r="DF32" s="392"/>
      <c r="DG32" s="392"/>
      <c r="DH32" s="392"/>
      <c r="DI32" s="392"/>
      <c r="DJ32" s="392"/>
      <c r="DK32" s="392"/>
      <c r="DL32" s="392"/>
      <c r="DM32" s="392"/>
      <c r="DN32" s="392"/>
      <c r="DO32" s="392"/>
      <c r="DP32" s="392"/>
      <c r="DQ32" s="392"/>
      <c r="DR32" s="392"/>
      <c r="DS32" s="392"/>
      <c r="DT32" s="392"/>
      <c r="DU32" s="392"/>
      <c r="DV32" s="392"/>
      <c r="DW32" s="392"/>
      <c r="DX32" s="392"/>
      <c r="DY32" s="392"/>
      <c r="DZ32" s="392"/>
      <c r="EA32" s="392"/>
      <c r="EB32" s="392"/>
      <c r="EC32" s="392"/>
      <c r="ED32" s="392"/>
      <c r="EE32" s="392"/>
      <c r="EF32" s="392"/>
      <c r="EG32" s="392"/>
      <c r="EH32" s="392"/>
      <c r="EI32" s="392"/>
      <c r="EJ32" s="392"/>
      <c r="EK32" s="392"/>
      <c r="EL32" s="392"/>
      <c r="EM32" s="392"/>
      <c r="EN32" s="392"/>
      <c r="EO32" s="392"/>
      <c r="EP32" s="392"/>
      <c r="EQ32" s="392"/>
      <c r="ER32" s="392"/>
      <c r="ES32" s="392"/>
      <c r="ET32" s="392"/>
      <c r="EU32" s="392"/>
      <c r="EV32" s="392"/>
      <c r="EW32" s="392"/>
      <c r="EX32" s="392"/>
      <c r="EY32" s="392"/>
      <c r="EZ32" s="392"/>
      <c r="FA32" s="392"/>
      <c r="FB32" s="392"/>
      <c r="FC32" s="392"/>
      <c r="FD32" s="392"/>
      <c r="FE32" s="392"/>
      <c r="FF32" s="392"/>
      <c r="FG32" s="392"/>
      <c r="FH32" s="392"/>
      <c r="FI32" s="392"/>
      <c r="FJ32" s="392"/>
      <c r="FK32" s="392"/>
      <c r="FL32" s="392"/>
      <c r="FM32" s="392"/>
      <c r="FN32" s="392"/>
      <c r="FO32" s="392"/>
      <c r="FP32" s="392"/>
      <c r="FQ32" s="392"/>
      <c r="FR32" s="392"/>
      <c r="FS32" s="392"/>
      <c r="FT32" s="392"/>
      <c r="FU32" s="392"/>
      <c r="FV32" s="392"/>
      <c r="FW32" s="392"/>
      <c r="FX32" s="392"/>
      <c r="FY32" s="392"/>
      <c r="FZ32" s="392"/>
      <c r="GA32" s="392"/>
      <c r="GB32" s="392"/>
      <c r="GC32" s="392"/>
      <c r="GD32" s="392"/>
      <c r="GE32" s="392"/>
      <c r="GF32" s="392"/>
      <c r="GG32" s="392"/>
      <c r="GH32" s="392"/>
      <c r="GI32" s="392"/>
      <c r="GJ32" s="392"/>
      <c r="GK32" s="392"/>
      <c r="GL32" s="392"/>
      <c r="GM32" s="392"/>
      <c r="GN32" s="392"/>
      <c r="GO32" s="392"/>
      <c r="GP32" s="392"/>
      <c r="GQ32" s="392"/>
      <c r="GR32" s="392"/>
      <c r="GS32" s="392"/>
      <c r="GT32" s="392"/>
      <c r="GU32" s="392"/>
      <c r="GV32" s="392"/>
      <c r="GW32" s="392"/>
      <c r="GX32" s="392"/>
      <c r="GY32" s="392"/>
      <c r="GZ32" s="392"/>
      <c r="HA32" s="392"/>
      <c r="HB32" s="392"/>
      <c r="HC32" s="392"/>
      <c r="HD32" s="392"/>
      <c r="HE32" s="392"/>
      <c r="HF32" s="392"/>
      <c r="HG32" s="392"/>
      <c r="HH32" s="392"/>
      <c r="HI32" s="392"/>
      <c r="HJ32" s="392"/>
      <c r="HK32" s="392"/>
      <c r="HL32" s="392"/>
      <c r="HM32" s="392"/>
      <c r="HN32" s="392"/>
      <c r="HO32" s="392"/>
      <c r="HP32" s="392"/>
      <c r="HQ32" s="392"/>
      <c r="HR32" s="392"/>
      <c r="HS32" s="392"/>
      <c r="HT32" s="392"/>
      <c r="HU32" s="392"/>
      <c r="HV32" s="392"/>
      <c r="HW32" s="392"/>
      <c r="HX32" s="392"/>
      <c r="HY32" s="392"/>
      <c r="HZ32" s="392"/>
      <c r="IA32" s="392"/>
      <c r="IB32" s="392"/>
      <c r="IC32" s="392"/>
      <c r="ID32" s="392"/>
      <c r="IE32" s="392"/>
      <c r="IF32" s="392"/>
      <c r="IG32" s="392"/>
      <c r="IH32" s="392"/>
      <c r="II32" s="392"/>
      <c r="IJ32" s="392"/>
      <c r="IK32" s="392"/>
      <c r="IL32" s="392"/>
      <c r="IM32" s="392"/>
      <c r="IN32" s="392"/>
      <c r="IO32" s="392"/>
      <c r="IP32" s="392"/>
      <c r="IQ32" s="392"/>
      <c r="IR32" s="392"/>
      <c r="IS32" s="392"/>
      <c r="IT32" s="392"/>
      <c r="IU32" s="392"/>
      <c r="IV32" s="392"/>
    </row>
    <row r="33" spans="1:256" ht="15.75">
      <c r="A33" s="392"/>
      <c r="B33" s="2312" t="s">
        <v>165</v>
      </c>
      <c r="C33" s="2313"/>
      <c r="D33" s="2313"/>
      <c r="E33" s="2313"/>
      <c r="F33" s="2313"/>
      <c r="G33" s="2314"/>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2"/>
      <c r="AM33" s="392"/>
      <c r="AN33" s="392"/>
      <c r="AO33" s="392"/>
      <c r="AP33" s="392"/>
      <c r="AQ33" s="392"/>
      <c r="AR33" s="392"/>
      <c r="AS33" s="392"/>
      <c r="AT33" s="392"/>
      <c r="AU33" s="392"/>
      <c r="AV33" s="392"/>
      <c r="AW33" s="392"/>
      <c r="AX33" s="392"/>
      <c r="AY33" s="392"/>
      <c r="AZ33" s="392"/>
      <c r="BA33" s="392"/>
      <c r="BB33" s="392"/>
      <c r="BC33" s="392"/>
      <c r="BD33" s="392"/>
      <c r="BE33" s="392"/>
      <c r="BF33" s="392"/>
      <c r="BG33" s="392"/>
      <c r="BH33" s="392"/>
      <c r="BI33" s="392"/>
      <c r="BJ33" s="392"/>
      <c r="BK33" s="392"/>
      <c r="BL33" s="392"/>
      <c r="BM33" s="392"/>
      <c r="BN33" s="392"/>
      <c r="BO33" s="392"/>
      <c r="BP33" s="392"/>
      <c r="BQ33" s="392"/>
      <c r="BR33" s="392"/>
      <c r="BS33" s="392"/>
      <c r="BT33" s="392"/>
      <c r="BU33" s="392"/>
      <c r="BV33" s="392"/>
      <c r="BW33" s="392"/>
      <c r="BX33" s="392"/>
      <c r="BY33" s="392"/>
      <c r="BZ33" s="392"/>
      <c r="CA33" s="392"/>
      <c r="CB33" s="392"/>
      <c r="CC33" s="392"/>
      <c r="CD33" s="392"/>
      <c r="CE33" s="392"/>
      <c r="CF33" s="392"/>
      <c r="CG33" s="392"/>
      <c r="CH33" s="392"/>
      <c r="CI33" s="392"/>
      <c r="CJ33" s="392"/>
      <c r="CK33" s="392"/>
      <c r="CL33" s="392"/>
      <c r="CM33" s="392"/>
      <c r="CN33" s="392"/>
      <c r="CO33" s="392"/>
      <c r="CP33" s="392"/>
      <c r="CQ33" s="392"/>
      <c r="CR33" s="392"/>
      <c r="CS33" s="392"/>
      <c r="CT33" s="392"/>
      <c r="CU33" s="392"/>
      <c r="CV33" s="392"/>
      <c r="CW33" s="392"/>
      <c r="CX33" s="392"/>
      <c r="CY33" s="392"/>
      <c r="CZ33" s="392"/>
      <c r="DA33" s="392"/>
      <c r="DB33" s="392"/>
      <c r="DC33" s="392"/>
      <c r="DD33" s="392"/>
      <c r="DE33" s="392"/>
      <c r="DF33" s="392"/>
      <c r="DG33" s="392"/>
      <c r="DH33" s="392"/>
      <c r="DI33" s="392"/>
      <c r="DJ33" s="392"/>
      <c r="DK33" s="392"/>
      <c r="DL33" s="392"/>
      <c r="DM33" s="392"/>
      <c r="DN33" s="392"/>
      <c r="DO33" s="392"/>
      <c r="DP33" s="392"/>
      <c r="DQ33" s="392"/>
      <c r="DR33" s="392"/>
      <c r="DS33" s="392"/>
      <c r="DT33" s="392"/>
      <c r="DU33" s="392"/>
      <c r="DV33" s="392"/>
      <c r="DW33" s="392"/>
      <c r="DX33" s="392"/>
      <c r="DY33" s="392"/>
      <c r="DZ33" s="392"/>
      <c r="EA33" s="392"/>
      <c r="EB33" s="392"/>
      <c r="EC33" s="392"/>
      <c r="ED33" s="392"/>
      <c r="EE33" s="392"/>
      <c r="EF33" s="392"/>
      <c r="EG33" s="392"/>
      <c r="EH33" s="392"/>
      <c r="EI33" s="392"/>
      <c r="EJ33" s="392"/>
      <c r="EK33" s="392"/>
      <c r="EL33" s="392"/>
      <c r="EM33" s="392"/>
      <c r="EN33" s="392"/>
      <c r="EO33" s="392"/>
      <c r="EP33" s="392"/>
      <c r="EQ33" s="392"/>
      <c r="ER33" s="392"/>
      <c r="ES33" s="392"/>
      <c r="ET33" s="392"/>
      <c r="EU33" s="392"/>
      <c r="EV33" s="392"/>
      <c r="EW33" s="392"/>
      <c r="EX33" s="392"/>
      <c r="EY33" s="392"/>
      <c r="EZ33" s="392"/>
      <c r="FA33" s="392"/>
      <c r="FB33" s="392"/>
      <c r="FC33" s="392"/>
      <c r="FD33" s="392"/>
      <c r="FE33" s="392"/>
      <c r="FF33" s="392"/>
      <c r="FG33" s="392"/>
      <c r="FH33" s="392"/>
      <c r="FI33" s="392"/>
      <c r="FJ33" s="392"/>
      <c r="FK33" s="392"/>
      <c r="FL33" s="392"/>
      <c r="FM33" s="392"/>
      <c r="FN33" s="392"/>
      <c r="FO33" s="392"/>
      <c r="FP33" s="392"/>
      <c r="FQ33" s="392"/>
      <c r="FR33" s="392"/>
      <c r="FS33" s="392"/>
      <c r="FT33" s="392"/>
      <c r="FU33" s="392"/>
      <c r="FV33" s="392"/>
      <c r="FW33" s="392"/>
      <c r="FX33" s="392"/>
      <c r="FY33" s="392"/>
      <c r="FZ33" s="392"/>
      <c r="GA33" s="392"/>
      <c r="GB33" s="392"/>
      <c r="GC33" s="392"/>
      <c r="GD33" s="392"/>
      <c r="GE33" s="392"/>
      <c r="GF33" s="392"/>
      <c r="GG33" s="392"/>
      <c r="GH33" s="392"/>
      <c r="GI33" s="392"/>
      <c r="GJ33" s="392"/>
      <c r="GK33" s="392"/>
      <c r="GL33" s="392"/>
      <c r="GM33" s="392"/>
      <c r="GN33" s="392"/>
      <c r="GO33" s="392"/>
      <c r="GP33" s="392"/>
      <c r="GQ33" s="392"/>
      <c r="GR33" s="392"/>
      <c r="GS33" s="392"/>
      <c r="GT33" s="392"/>
      <c r="GU33" s="392"/>
      <c r="GV33" s="392"/>
      <c r="GW33" s="392"/>
      <c r="GX33" s="392"/>
      <c r="GY33" s="392"/>
      <c r="GZ33" s="392"/>
      <c r="HA33" s="392"/>
      <c r="HB33" s="392"/>
      <c r="HC33" s="392"/>
      <c r="HD33" s="392"/>
      <c r="HE33" s="392"/>
      <c r="HF33" s="392"/>
      <c r="HG33" s="392"/>
      <c r="HH33" s="392"/>
      <c r="HI33" s="392"/>
      <c r="HJ33" s="392"/>
      <c r="HK33" s="392"/>
      <c r="HL33" s="392"/>
      <c r="HM33" s="392"/>
      <c r="HN33" s="392"/>
      <c r="HO33" s="392"/>
      <c r="HP33" s="392"/>
      <c r="HQ33" s="392"/>
      <c r="HR33" s="392"/>
      <c r="HS33" s="392"/>
      <c r="HT33" s="392"/>
      <c r="HU33" s="392"/>
      <c r="HV33" s="392"/>
      <c r="HW33" s="392"/>
      <c r="HX33" s="392"/>
      <c r="HY33" s="392"/>
      <c r="HZ33" s="392"/>
      <c r="IA33" s="392"/>
      <c r="IB33" s="392"/>
      <c r="IC33" s="392"/>
      <c r="ID33" s="392"/>
      <c r="IE33" s="392"/>
      <c r="IF33" s="392"/>
      <c r="IG33" s="392"/>
      <c r="IH33" s="392"/>
      <c r="II33" s="392"/>
      <c r="IJ33" s="392"/>
      <c r="IK33" s="392"/>
      <c r="IL33" s="392"/>
      <c r="IM33" s="392"/>
      <c r="IN33" s="392"/>
      <c r="IO33" s="392"/>
      <c r="IP33" s="392"/>
      <c r="IQ33" s="392"/>
      <c r="IR33" s="392"/>
      <c r="IS33" s="392"/>
      <c r="IT33" s="392"/>
      <c r="IU33" s="392"/>
      <c r="IV33" s="392"/>
    </row>
    <row r="34" spans="1:256" ht="15.75">
      <c r="A34" s="392"/>
      <c r="B34" s="436" t="s">
        <v>181</v>
      </c>
      <c r="C34" s="317" t="str">
        <f>C41</f>
        <v>BALANÇO FRONTAL PARA CADEIRANTES</v>
      </c>
      <c r="D34" s="434" t="s">
        <v>22</v>
      </c>
      <c r="E34" s="570">
        <v>1</v>
      </c>
      <c r="F34" s="568">
        <f>D46</f>
        <v>6968.81</v>
      </c>
      <c r="G34" s="553">
        <f>TRUNC(F34*E34,2)</f>
        <v>6968.81</v>
      </c>
      <c r="H34" s="392"/>
      <c r="I34" s="392"/>
      <c r="J34" s="392"/>
      <c r="K34" s="392"/>
      <c r="L34" s="392"/>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c r="CA34" s="392"/>
      <c r="CB34" s="392"/>
      <c r="CC34" s="392"/>
      <c r="CD34" s="392"/>
      <c r="CE34" s="392"/>
      <c r="CF34" s="392"/>
      <c r="CG34" s="392"/>
      <c r="CH34" s="392"/>
      <c r="CI34" s="392"/>
      <c r="CJ34" s="392"/>
      <c r="CK34" s="392"/>
      <c r="CL34" s="392"/>
      <c r="CM34" s="392"/>
      <c r="CN34" s="392"/>
      <c r="CO34" s="392"/>
      <c r="CP34" s="392"/>
      <c r="CQ34" s="392"/>
      <c r="CR34" s="392"/>
      <c r="CS34" s="392"/>
      <c r="CT34" s="392"/>
      <c r="CU34" s="392"/>
      <c r="CV34" s="392"/>
      <c r="CW34" s="392"/>
      <c r="CX34" s="392"/>
      <c r="CY34" s="392"/>
      <c r="CZ34" s="392"/>
      <c r="DA34" s="392"/>
      <c r="DB34" s="392"/>
      <c r="DC34" s="392"/>
      <c r="DD34" s="392"/>
      <c r="DE34" s="392"/>
      <c r="DF34" s="392"/>
      <c r="DG34" s="392"/>
      <c r="DH34" s="392"/>
      <c r="DI34" s="392"/>
      <c r="DJ34" s="392"/>
      <c r="DK34" s="392"/>
      <c r="DL34" s="392"/>
      <c r="DM34" s="392"/>
      <c r="DN34" s="392"/>
      <c r="DO34" s="392"/>
      <c r="DP34" s="392"/>
      <c r="DQ34" s="392"/>
      <c r="DR34" s="392"/>
      <c r="DS34" s="392"/>
      <c r="DT34" s="392"/>
      <c r="DU34" s="392"/>
      <c r="DV34" s="392"/>
      <c r="DW34" s="392"/>
      <c r="DX34" s="392"/>
      <c r="DY34" s="392"/>
      <c r="DZ34" s="392"/>
      <c r="EA34" s="392"/>
      <c r="EB34" s="392"/>
      <c r="EC34" s="392"/>
      <c r="ED34" s="392"/>
      <c r="EE34" s="392"/>
      <c r="EF34" s="392"/>
      <c r="EG34" s="392"/>
      <c r="EH34" s="392"/>
      <c r="EI34" s="392"/>
      <c r="EJ34" s="392"/>
      <c r="EK34" s="392"/>
      <c r="EL34" s="392"/>
      <c r="EM34" s="392"/>
      <c r="EN34" s="392"/>
      <c r="EO34" s="392"/>
      <c r="EP34" s="392"/>
      <c r="EQ34" s="392"/>
      <c r="ER34" s="392"/>
      <c r="ES34" s="392"/>
      <c r="ET34" s="392"/>
      <c r="EU34" s="392"/>
      <c r="EV34" s="392"/>
      <c r="EW34" s="392"/>
      <c r="EX34" s="392"/>
      <c r="EY34" s="392"/>
      <c r="EZ34" s="392"/>
      <c r="FA34" s="392"/>
      <c r="FB34" s="392"/>
      <c r="FC34" s="392"/>
      <c r="FD34" s="392"/>
      <c r="FE34" s="392"/>
      <c r="FF34" s="392"/>
      <c r="FG34" s="392"/>
      <c r="FH34" s="392"/>
      <c r="FI34" s="392"/>
      <c r="FJ34" s="392"/>
      <c r="FK34" s="392"/>
      <c r="FL34" s="392"/>
      <c r="FM34" s="392"/>
      <c r="FN34" s="392"/>
      <c r="FO34" s="392"/>
      <c r="FP34" s="392"/>
      <c r="FQ34" s="392"/>
      <c r="FR34" s="392"/>
      <c r="FS34" s="392"/>
      <c r="FT34" s="392"/>
      <c r="FU34" s="392"/>
      <c r="FV34" s="392"/>
      <c r="FW34" s="392"/>
      <c r="FX34" s="392"/>
      <c r="FY34" s="392"/>
      <c r="FZ34" s="392"/>
      <c r="GA34" s="392"/>
      <c r="GB34" s="392"/>
      <c r="GC34" s="392"/>
      <c r="GD34" s="392"/>
      <c r="GE34" s="392"/>
      <c r="GF34" s="392"/>
      <c r="GG34" s="392"/>
      <c r="GH34" s="392"/>
      <c r="GI34" s="392"/>
      <c r="GJ34" s="392"/>
      <c r="GK34" s="392"/>
      <c r="GL34" s="392"/>
      <c r="GM34" s="392"/>
      <c r="GN34" s="392"/>
      <c r="GO34" s="392"/>
      <c r="GP34" s="392"/>
      <c r="GQ34" s="392"/>
      <c r="GR34" s="392"/>
      <c r="GS34" s="392"/>
      <c r="GT34" s="392"/>
      <c r="GU34" s="392"/>
      <c r="GV34" s="392"/>
      <c r="GW34" s="392"/>
      <c r="GX34" s="392"/>
      <c r="GY34" s="392"/>
      <c r="GZ34" s="392"/>
      <c r="HA34" s="392"/>
      <c r="HB34" s="392"/>
      <c r="HC34" s="392"/>
      <c r="HD34" s="392"/>
      <c r="HE34" s="392"/>
      <c r="HF34" s="392"/>
      <c r="HG34" s="392"/>
      <c r="HH34" s="392"/>
      <c r="HI34" s="392"/>
      <c r="HJ34" s="392"/>
      <c r="HK34" s="392"/>
      <c r="HL34" s="392"/>
      <c r="HM34" s="392"/>
      <c r="HN34" s="392"/>
      <c r="HO34" s="392"/>
      <c r="HP34" s="392"/>
      <c r="HQ34" s="392"/>
      <c r="HR34" s="392"/>
      <c r="HS34" s="392"/>
      <c r="HT34" s="392"/>
      <c r="HU34" s="392"/>
      <c r="HV34" s="392"/>
      <c r="HW34" s="392"/>
      <c r="HX34" s="392"/>
      <c r="HY34" s="392"/>
      <c r="HZ34" s="392"/>
      <c r="IA34" s="392"/>
      <c r="IB34" s="392"/>
      <c r="IC34" s="392"/>
      <c r="ID34" s="392"/>
      <c r="IE34" s="392"/>
      <c r="IF34" s="392"/>
      <c r="IG34" s="392"/>
      <c r="IH34" s="392"/>
      <c r="II34" s="392"/>
      <c r="IJ34" s="392"/>
      <c r="IK34" s="392"/>
      <c r="IL34" s="392"/>
      <c r="IM34" s="392"/>
      <c r="IN34" s="392"/>
      <c r="IO34" s="392"/>
      <c r="IP34" s="392"/>
      <c r="IQ34" s="392"/>
      <c r="IR34" s="392"/>
      <c r="IS34" s="392"/>
      <c r="IT34" s="392"/>
      <c r="IU34" s="392"/>
      <c r="IV34" s="392"/>
    </row>
    <row r="35" spans="1:256" ht="45.75">
      <c r="A35" s="333" t="s">
        <v>391</v>
      </c>
      <c r="B35" s="436">
        <v>102486</v>
      </c>
      <c r="C35" s="317" t="str">
        <f>IF($A35="INSUMO",VLOOKUP($B35,'BANCO DE DADOS JANEIRO-24 INS'!$A:$D,2,FALSE),VLOOKUP($B35,'BANCO DE DADOS JANEIRO-24 SERV'!$B:$E,2,FALSE))</f>
        <v>CONCRETO FCK = 15MPA, TRAÇO 1:3,4:3,4 (EM MASSA SECA DE CIMENTO/ AREIA MÉDIA/ SEIXO ROLADO) - PREPARO MANUAL. AF_05/2021</v>
      </c>
      <c r="D35" s="316" t="str">
        <f>IF($A35="INSUMO",VLOOKUP($B35,'BANCO DE DADOS JANEIRO-24 INS'!$A:$D,3,FALSE),VLOOKUP($B35,'BANCO DE DADOS JANEIRO-24 SERV'!$B:$E,3,FALSE))</f>
        <v>M3</v>
      </c>
      <c r="E35" s="571">
        <v>6.2E-2</v>
      </c>
      <c r="F35" s="320">
        <f>IF($A35="INSUMO",VLOOKUP($B35,'BANCO DE DADOS JANEIRO-24 INS'!$A:$D,4,FALSE),VLOOKUP($B35,'BANCO DE DADOS JANEIRO-24 SERV'!$B:$E,4,FALSE))</f>
        <v>763.53</v>
      </c>
      <c r="G35" s="553">
        <f>TRUNC(F35*E35,2)</f>
        <v>47.33</v>
      </c>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392"/>
      <c r="BT35" s="392"/>
      <c r="BU35" s="392"/>
      <c r="BV35" s="392"/>
      <c r="BW35" s="392"/>
      <c r="BX35" s="392"/>
      <c r="BY35" s="392"/>
      <c r="BZ35" s="392"/>
      <c r="CA35" s="392"/>
      <c r="CB35" s="392"/>
      <c r="CC35" s="392"/>
      <c r="CD35" s="392"/>
      <c r="CE35" s="392"/>
      <c r="CF35" s="392"/>
      <c r="CG35" s="392"/>
      <c r="CH35" s="392"/>
      <c r="CI35" s="392"/>
      <c r="CJ35" s="392"/>
      <c r="CK35" s="392"/>
      <c r="CL35" s="392"/>
      <c r="CM35" s="392"/>
      <c r="CN35" s="392"/>
      <c r="CO35" s="392"/>
      <c r="CP35" s="392"/>
      <c r="CQ35" s="392"/>
      <c r="CR35" s="392"/>
      <c r="CS35" s="392"/>
      <c r="CT35" s="392"/>
      <c r="CU35" s="392"/>
      <c r="CV35" s="392"/>
      <c r="CW35" s="392"/>
      <c r="CX35" s="392"/>
      <c r="CY35" s="392"/>
      <c r="CZ35" s="392"/>
      <c r="DA35" s="392"/>
      <c r="DB35" s="392"/>
      <c r="DC35" s="392"/>
      <c r="DD35" s="392"/>
      <c r="DE35" s="392"/>
      <c r="DF35" s="392"/>
      <c r="DG35" s="392"/>
      <c r="DH35" s="392"/>
      <c r="DI35" s="392"/>
      <c r="DJ35" s="392"/>
      <c r="DK35" s="392"/>
      <c r="DL35" s="392"/>
      <c r="DM35" s="392"/>
      <c r="DN35" s="392"/>
      <c r="DO35" s="392"/>
      <c r="DP35" s="392"/>
      <c r="DQ35" s="392"/>
      <c r="DR35" s="392"/>
      <c r="DS35" s="392"/>
      <c r="DT35" s="392"/>
      <c r="DU35" s="392"/>
      <c r="DV35" s="392"/>
      <c r="DW35" s="392"/>
      <c r="DX35" s="392"/>
      <c r="DY35" s="392"/>
      <c r="DZ35" s="392"/>
      <c r="EA35" s="392"/>
      <c r="EB35" s="392"/>
      <c r="EC35" s="392"/>
      <c r="ED35" s="392"/>
      <c r="EE35" s="392"/>
      <c r="EF35" s="392"/>
      <c r="EG35" s="392"/>
      <c r="EH35" s="392"/>
      <c r="EI35" s="392"/>
      <c r="EJ35" s="392"/>
      <c r="EK35" s="392"/>
      <c r="EL35" s="392"/>
      <c r="EM35" s="392"/>
      <c r="EN35" s="392"/>
      <c r="EO35" s="392"/>
      <c r="EP35" s="392"/>
      <c r="EQ35" s="392"/>
      <c r="ER35" s="392"/>
      <c r="ES35" s="392"/>
      <c r="ET35" s="392"/>
      <c r="EU35" s="392"/>
      <c r="EV35" s="392"/>
      <c r="EW35" s="392"/>
      <c r="EX35" s="392"/>
      <c r="EY35" s="392"/>
      <c r="EZ35" s="392"/>
      <c r="FA35" s="392"/>
      <c r="FB35" s="392"/>
      <c r="FC35" s="392"/>
      <c r="FD35" s="392"/>
      <c r="FE35" s="392"/>
      <c r="FF35" s="392"/>
      <c r="FG35" s="392"/>
      <c r="FH35" s="392"/>
      <c r="FI35" s="392"/>
      <c r="FJ35" s="392"/>
      <c r="FK35" s="392"/>
      <c r="FL35" s="392"/>
      <c r="FM35" s="392"/>
      <c r="FN35" s="392"/>
      <c r="FO35" s="392"/>
      <c r="FP35" s="392"/>
      <c r="FQ35" s="392"/>
      <c r="FR35" s="392"/>
      <c r="FS35" s="392"/>
      <c r="FT35" s="392"/>
      <c r="FU35" s="392"/>
      <c r="FV35" s="392"/>
      <c r="FW35" s="392"/>
      <c r="FX35" s="392"/>
      <c r="FY35" s="392"/>
      <c r="FZ35" s="392"/>
      <c r="GA35" s="392"/>
      <c r="GB35" s="392"/>
      <c r="GC35" s="392"/>
      <c r="GD35" s="392"/>
      <c r="GE35" s="392"/>
      <c r="GF35" s="392"/>
      <c r="GG35" s="392"/>
      <c r="GH35" s="392"/>
      <c r="GI35" s="392"/>
      <c r="GJ35" s="392"/>
      <c r="GK35" s="392"/>
      <c r="GL35" s="392"/>
      <c r="GM35" s="392"/>
      <c r="GN35" s="392"/>
      <c r="GO35" s="392"/>
      <c r="GP35" s="392"/>
      <c r="GQ35" s="392"/>
      <c r="GR35" s="392"/>
      <c r="GS35" s="392"/>
      <c r="GT35" s="392"/>
      <c r="GU35" s="392"/>
      <c r="GV35" s="392"/>
      <c r="GW35" s="392"/>
      <c r="GX35" s="392"/>
      <c r="GY35" s="392"/>
      <c r="GZ35" s="392"/>
      <c r="HA35" s="392"/>
      <c r="HB35" s="392"/>
      <c r="HC35" s="392"/>
      <c r="HD35" s="392"/>
      <c r="HE35" s="392"/>
      <c r="HF35" s="392"/>
      <c r="HG35" s="392"/>
      <c r="HH35" s="392"/>
      <c r="HI35" s="392"/>
      <c r="HJ35" s="392"/>
      <c r="HK35" s="392"/>
      <c r="HL35" s="392"/>
      <c r="HM35" s="392"/>
      <c r="HN35" s="392"/>
      <c r="HO35" s="392"/>
      <c r="HP35" s="392"/>
      <c r="HQ35" s="392"/>
      <c r="HR35" s="392"/>
      <c r="HS35" s="392"/>
      <c r="HT35" s="392"/>
      <c r="HU35" s="392"/>
      <c r="HV35" s="392"/>
      <c r="HW35" s="392"/>
      <c r="HX35" s="392"/>
      <c r="HY35" s="392"/>
      <c r="HZ35" s="392"/>
      <c r="IA35" s="392"/>
      <c r="IB35" s="392"/>
      <c r="IC35" s="392"/>
      <c r="ID35" s="392"/>
      <c r="IE35" s="392"/>
      <c r="IF35" s="392"/>
      <c r="IG35" s="392"/>
      <c r="IH35" s="392"/>
      <c r="II35" s="392"/>
      <c r="IJ35" s="392"/>
      <c r="IK35" s="392"/>
      <c r="IL35" s="392"/>
      <c r="IM35" s="392"/>
      <c r="IN35" s="392"/>
      <c r="IO35" s="392"/>
      <c r="IP35" s="392"/>
      <c r="IQ35" s="392"/>
      <c r="IR35" s="392"/>
      <c r="IS35" s="392"/>
      <c r="IT35" s="392"/>
      <c r="IU35" s="392"/>
      <c r="IV35" s="392"/>
    </row>
    <row r="36" spans="1:256" s="271" customFormat="1" ht="15.75">
      <c r="A36" s="333"/>
      <c r="B36" s="2312" t="s">
        <v>169</v>
      </c>
      <c r="C36" s="2313"/>
      <c r="D36" s="2313"/>
      <c r="E36" s="2313"/>
      <c r="F36" s="2313"/>
      <c r="G36" s="2314"/>
    </row>
    <row r="37" spans="1:256" s="271" customFormat="1" ht="15.75">
      <c r="A37" s="333" t="s">
        <v>391</v>
      </c>
      <c r="B37" s="1274">
        <v>88309</v>
      </c>
      <c r="C37" s="1098" t="str">
        <f>IF($A37="INSUMO",VLOOKUP($B37,'BANCO DE DADOS JANEIRO-24 INS'!$A:$D,2,FALSE),VLOOKUP($B37,'BANCO DE DADOS JANEIRO-24 SERV'!$B:$E,2,FALSE))</f>
        <v>PEDREIRO COM ENCARGOS COMPLEMENTARES</v>
      </c>
      <c r="D37" s="1099" t="str">
        <f>IF($A37="INSUMO",VLOOKUP($B37,'BANCO DE DADOS JANEIRO-24 INS'!$A:$D,3,FALSE),VLOOKUP($B37,'BANCO DE DADOS JANEIRO-24 SERV'!$B:$E,3,FALSE))</f>
        <v>H</v>
      </c>
      <c r="E37" s="571">
        <v>0.84</v>
      </c>
      <c r="F37" s="1146">
        <f>IF($A37="INSUMO",VLOOKUP($B37,'BANCO DE DADOS JANEIRO-24 INS'!$A:$D,4,FALSE),VLOOKUP($B37,'BANCO DE DADOS JANEIRO-24 SERV'!$B:$E,4,FALSE))</f>
        <v>25.62</v>
      </c>
      <c r="G37" s="1101">
        <f>TRUNC(E37*F37,2)</f>
        <v>21.52</v>
      </c>
    </row>
    <row r="38" spans="1:256" s="271" customFormat="1" ht="16.5" thickBot="1">
      <c r="A38" s="333" t="s">
        <v>391</v>
      </c>
      <c r="B38" s="965">
        <v>88316</v>
      </c>
      <c r="C38" s="1103" t="str">
        <f>IF($A38="INSUMO",VLOOKUP($B38,'BANCO DE DADOS JANEIRO-24 INS'!$A:$D,2,FALSE),VLOOKUP($B38,'BANCO DE DADOS JANEIRO-24 SERV'!$B:$E,2,FALSE))</f>
        <v>SERVENTE COM ENCARGOS COMPLEMENTARES</v>
      </c>
      <c r="D38" s="1104" t="str">
        <f>IF($A38="INSUMO",VLOOKUP($B38,'BANCO DE DADOS JANEIRO-24 INS'!$A:$D,3,FALSE),VLOOKUP($B38,'BANCO DE DADOS JANEIRO-24 SERV'!$B:$E,3,FALSE))</f>
        <v>H</v>
      </c>
      <c r="E38" s="571">
        <v>3.7</v>
      </c>
      <c r="F38" s="1105">
        <f>IF($A38="INSUMO",VLOOKUP($B38,'BANCO DE DADOS JANEIRO-24 INS'!$A:$D,4,FALSE),VLOOKUP($B38,'BANCO DE DADOS JANEIRO-24 SERV'!$B:$E,4,FALSE))</f>
        <v>20.32</v>
      </c>
      <c r="G38" s="1106">
        <f>TRUNC(E38*F38,2)</f>
        <v>75.180000000000007</v>
      </c>
    </row>
    <row r="39" spans="1:256" ht="18.75" customHeight="1" thickBot="1">
      <c r="A39" s="392"/>
      <c r="B39" s="2485" t="s">
        <v>14066</v>
      </c>
      <c r="C39" s="2485"/>
      <c r="D39" s="2485"/>
      <c r="E39" s="2486"/>
      <c r="F39" s="263" t="s">
        <v>167</v>
      </c>
      <c r="G39" s="264">
        <f>TRUNC(SUM(G34:G38),2)</f>
        <v>7112.84</v>
      </c>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c r="CQ39" s="392"/>
      <c r="CR39" s="392"/>
      <c r="CS39" s="392"/>
      <c r="CT39" s="392"/>
      <c r="CU39" s="392"/>
      <c r="CV39" s="392"/>
      <c r="CW39" s="392"/>
      <c r="CX39" s="392"/>
      <c r="CY39" s="392"/>
      <c r="CZ39" s="392"/>
      <c r="DA39" s="392"/>
      <c r="DB39" s="392"/>
      <c r="DC39" s="392"/>
      <c r="DD39" s="392"/>
      <c r="DE39" s="392"/>
      <c r="DF39" s="392"/>
      <c r="DG39" s="392"/>
      <c r="DH39" s="392"/>
      <c r="DI39" s="392"/>
      <c r="DJ39" s="392"/>
      <c r="DK39" s="392"/>
      <c r="DL39" s="392"/>
      <c r="DM39" s="392"/>
      <c r="DN39" s="392"/>
      <c r="DO39" s="392"/>
      <c r="DP39" s="392"/>
      <c r="DQ39" s="392"/>
      <c r="DR39" s="392"/>
      <c r="DS39" s="392"/>
      <c r="DT39" s="392"/>
      <c r="DU39" s="392"/>
      <c r="DV39" s="392"/>
      <c r="DW39" s="392"/>
      <c r="DX39" s="392"/>
      <c r="DY39" s="392"/>
      <c r="DZ39" s="392"/>
      <c r="EA39" s="392"/>
      <c r="EB39" s="392"/>
      <c r="EC39" s="392"/>
      <c r="ED39" s="392"/>
      <c r="EE39" s="392"/>
      <c r="EF39" s="392"/>
      <c r="EG39" s="392"/>
      <c r="EH39" s="392"/>
      <c r="EI39" s="392"/>
      <c r="EJ39" s="392"/>
      <c r="EK39" s="392"/>
      <c r="EL39" s="392"/>
      <c r="EM39" s="392"/>
      <c r="EN39" s="392"/>
      <c r="EO39" s="392"/>
      <c r="EP39" s="392"/>
      <c r="EQ39" s="392"/>
      <c r="ER39" s="392"/>
      <c r="ES39" s="392"/>
      <c r="ET39" s="392"/>
      <c r="EU39" s="392"/>
      <c r="EV39" s="392"/>
      <c r="EW39" s="392"/>
      <c r="EX39" s="392"/>
      <c r="EY39" s="392"/>
      <c r="EZ39" s="392"/>
      <c r="FA39" s="392"/>
      <c r="FB39" s="392"/>
      <c r="FC39" s="392"/>
      <c r="FD39" s="392"/>
      <c r="FE39" s="392"/>
      <c r="FF39" s="392"/>
      <c r="FG39" s="392"/>
      <c r="FH39" s="392"/>
      <c r="FI39" s="392"/>
      <c r="FJ39" s="392"/>
      <c r="FK39" s="392"/>
      <c r="FL39" s="392"/>
      <c r="FM39" s="392"/>
      <c r="FN39" s="392"/>
      <c r="FO39" s="392"/>
      <c r="FP39" s="392"/>
      <c r="FQ39" s="392"/>
      <c r="FR39" s="392"/>
      <c r="FS39" s="392"/>
      <c r="FT39" s="392"/>
      <c r="FU39" s="392"/>
      <c r="FV39" s="392"/>
      <c r="FW39" s="392"/>
      <c r="FX39" s="392"/>
      <c r="FY39" s="392"/>
      <c r="FZ39" s="392"/>
      <c r="GA39" s="392"/>
      <c r="GB39" s="392"/>
      <c r="GC39" s="392"/>
      <c r="GD39" s="392"/>
      <c r="GE39" s="392"/>
      <c r="GF39" s="392"/>
      <c r="GG39" s="392"/>
      <c r="GH39" s="392"/>
      <c r="GI39" s="392"/>
      <c r="GJ39" s="392"/>
      <c r="GK39" s="392"/>
      <c r="GL39" s="392"/>
      <c r="GM39" s="392"/>
      <c r="GN39" s="392"/>
      <c r="GO39" s="392"/>
      <c r="GP39" s="392"/>
      <c r="GQ39" s="392"/>
      <c r="GR39" s="392"/>
      <c r="GS39" s="392"/>
      <c r="GT39" s="392"/>
      <c r="GU39" s="392"/>
      <c r="GV39" s="392"/>
      <c r="GW39" s="392"/>
      <c r="GX39" s="392"/>
      <c r="GY39" s="392"/>
      <c r="GZ39" s="392"/>
      <c r="HA39" s="392"/>
      <c r="HB39" s="392"/>
      <c r="HC39" s="392"/>
      <c r="HD39" s="392"/>
      <c r="HE39" s="392"/>
      <c r="HF39" s="392"/>
      <c r="HG39" s="392"/>
      <c r="HH39" s="392"/>
      <c r="HI39" s="392"/>
      <c r="HJ39" s="392"/>
      <c r="HK39" s="392"/>
      <c r="HL39" s="392"/>
      <c r="HM39" s="392"/>
      <c r="HN39" s="392"/>
      <c r="HO39" s="392"/>
      <c r="HP39" s="392"/>
      <c r="HQ39" s="392"/>
      <c r="HR39" s="392"/>
      <c r="HS39" s="392"/>
      <c r="HT39" s="392"/>
      <c r="HU39" s="392"/>
      <c r="HV39" s="392"/>
      <c r="HW39" s="392"/>
      <c r="HX39" s="392"/>
      <c r="HY39" s="392"/>
      <c r="HZ39" s="392"/>
      <c r="IA39" s="392"/>
      <c r="IB39" s="392"/>
      <c r="IC39" s="392"/>
      <c r="ID39" s="392"/>
      <c r="IE39" s="392"/>
      <c r="IF39" s="392"/>
      <c r="IG39" s="392"/>
      <c r="IH39" s="392"/>
      <c r="II39" s="392"/>
      <c r="IJ39" s="392"/>
      <c r="IK39" s="392"/>
      <c r="IL39" s="392"/>
      <c r="IM39" s="392"/>
      <c r="IN39" s="392"/>
      <c r="IO39" s="392"/>
      <c r="IP39" s="392"/>
      <c r="IQ39" s="392"/>
      <c r="IR39" s="392"/>
      <c r="IS39" s="392"/>
      <c r="IT39" s="392"/>
      <c r="IU39" s="392"/>
      <c r="IV39" s="392"/>
    </row>
    <row r="40" spans="1:256" s="271" customFormat="1" ht="16.5" thickBot="1">
      <c r="A40" s="333"/>
      <c r="B40" s="230"/>
      <c r="C40" s="235"/>
      <c r="D40" s="235"/>
      <c r="E40" s="235"/>
      <c r="F40" s="235"/>
      <c r="G40" s="235"/>
    </row>
    <row r="41" spans="1:256" s="271" customFormat="1" ht="18">
      <c r="A41" s="333"/>
      <c r="B41" s="1744" t="s">
        <v>181</v>
      </c>
      <c r="C41" s="2164" t="s">
        <v>14065</v>
      </c>
      <c r="D41" s="2165"/>
      <c r="E41" s="2165"/>
      <c r="F41" s="2166"/>
      <c r="G41" s="1670" t="s">
        <v>22</v>
      </c>
      <c r="H41" s="1173" t="s">
        <v>1977</v>
      </c>
    </row>
    <row r="42" spans="1:256" s="271" customFormat="1" ht="31.5">
      <c r="A42" s="333"/>
      <c r="B42" s="1107" t="s">
        <v>174</v>
      </c>
      <c r="C42" s="1108" t="s">
        <v>175</v>
      </c>
      <c r="D42" s="1109" t="s">
        <v>176</v>
      </c>
      <c r="E42" s="1110" t="s">
        <v>177</v>
      </c>
      <c r="F42" s="1111" t="s">
        <v>178</v>
      </c>
      <c r="G42" s="1112" t="s">
        <v>179</v>
      </c>
    </row>
    <row r="43" spans="1:256" s="271" customFormat="1" ht="15.75">
      <c r="A43" s="333"/>
      <c r="B43" s="1856">
        <v>45348</v>
      </c>
      <c r="C43" s="1758" t="s">
        <v>14644</v>
      </c>
      <c r="D43" s="1762">
        <v>6637.65</v>
      </c>
      <c r="E43" s="1762" t="s">
        <v>14409</v>
      </c>
      <c r="F43" s="1759" t="s">
        <v>14645</v>
      </c>
      <c r="G43" s="1401" t="s">
        <v>14646</v>
      </c>
      <c r="H43" s="1176"/>
    </row>
    <row r="44" spans="1:256" s="271" customFormat="1" ht="15.75">
      <c r="A44" s="333"/>
      <c r="B44" s="1856">
        <v>45345</v>
      </c>
      <c r="C44" s="1758" t="s">
        <v>14506</v>
      </c>
      <c r="D44" s="1762">
        <v>6968.81</v>
      </c>
      <c r="E44" s="1762" t="s">
        <v>14409</v>
      </c>
      <c r="F44" s="1760" t="s">
        <v>14507</v>
      </c>
      <c r="G44" s="1362" t="s">
        <v>14508</v>
      </c>
      <c r="H44" s="1176"/>
    </row>
    <row r="45" spans="1:256" s="271" customFormat="1" ht="15.75">
      <c r="A45" s="333"/>
      <c r="B45" s="1856">
        <v>45345</v>
      </c>
      <c r="C45" s="1758" t="s">
        <v>4610</v>
      </c>
      <c r="D45" s="1762">
        <v>7494.24</v>
      </c>
      <c r="E45" s="1762" t="s">
        <v>4609</v>
      </c>
      <c r="F45" s="1760" t="s">
        <v>14062</v>
      </c>
      <c r="G45" s="1362" t="s">
        <v>4607</v>
      </c>
      <c r="H45" s="1176"/>
    </row>
    <row r="46" spans="1:256" s="271" customFormat="1" ht="16.5" thickBot="1">
      <c r="A46" s="333"/>
      <c r="B46" s="1711"/>
      <c r="C46" s="1668" t="s">
        <v>180</v>
      </c>
      <c r="D46" s="1673">
        <f>IF(COUNT(D42:D45)=3,MEDIAN(D43:D45),SMALL(D43:D45,1))</f>
        <v>6968.81</v>
      </c>
      <c r="E46" s="1674"/>
      <c r="F46" s="1675"/>
      <c r="G46" s="1671"/>
    </row>
    <row r="47" spans="1:256" ht="13.5" thickBot="1"/>
    <row r="48" spans="1:256" ht="34.5" customHeight="1">
      <c r="A48" s="392"/>
      <c r="B48" s="377" t="str">
        <f>IF(COUNT($H$13:H48)&lt;10,CONCATENATE("CPU PLAY 00",COUNT($H$13:H48)),CONCATENATE("CPU PLAY 0",COUNT($H$13:H48)))</f>
        <v>CPU PLAY 003</v>
      </c>
      <c r="C48" s="2180" t="s">
        <v>14067</v>
      </c>
      <c r="D48" s="2180"/>
      <c r="E48" s="2180"/>
      <c r="F48" s="2180"/>
      <c r="G48" s="624" t="s">
        <v>22</v>
      </c>
      <c r="H48" s="465">
        <f>G56</f>
        <v>1902.14</v>
      </c>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c r="CQ48" s="392"/>
      <c r="CR48" s="392"/>
      <c r="CS48" s="392"/>
      <c r="CT48" s="392"/>
      <c r="CU48" s="392"/>
      <c r="CV48" s="392"/>
      <c r="CW48" s="392"/>
      <c r="CX48" s="392"/>
      <c r="CY48" s="392"/>
      <c r="CZ48" s="392"/>
      <c r="DA48" s="392"/>
      <c r="DB48" s="392"/>
      <c r="DC48" s="392"/>
      <c r="DD48" s="392"/>
      <c r="DE48" s="392"/>
      <c r="DF48" s="392"/>
      <c r="DG48" s="392"/>
      <c r="DH48" s="392"/>
      <c r="DI48" s="392"/>
      <c r="DJ48" s="392"/>
      <c r="DK48" s="392"/>
      <c r="DL48" s="392"/>
      <c r="DM48" s="392"/>
      <c r="DN48" s="392"/>
      <c r="DO48" s="392"/>
      <c r="DP48" s="392"/>
      <c r="DQ48" s="392"/>
      <c r="DR48" s="392"/>
      <c r="DS48" s="392"/>
      <c r="DT48" s="392"/>
      <c r="DU48" s="392"/>
      <c r="DV48" s="392"/>
      <c r="DW48" s="392"/>
      <c r="DX48" s="392"/>
      <c r="DY48" s="392"/>
      <c r="DZ48" s="392"/>
      <c r="EA48" s="392"/>
      <c r="EB48" s="392"/>
      <c r="EC48" s="392"/>
      <c r="ED48" s="392"/>
      <c r="EE48" s="392"/>
      <c r="EF48" s="392"/>
      <c r="EG48" s="392"/>
      <c r="EH48" s="392"/>
      <c r="EI48" s="392"/>
      <c r="EJ48" s="392"/>
      <c r="EK48" s="392"/>
      <c r="EL48" s="392"/>
      <c r="EM48" s="392"/>
      <c r="EN48" s="392"/>
      <c r="EO48" s="392"/>
      <c r="EP48" s="392"/>
      <c r="EQ48" s="392"/>
      <c r="ER48" s="392"/>
      <c r="ES48" s="392"/>
      <c r="ET48" s="392"/>
      <c r="EU48" s="392"/>
      <c r="EV48" s="392"/>
      <c r="EW48" s="392"/>
      <c r="EX48" s="392"/>
      <c r="EY48" s="392"/>
      <c r="EZ48" s="392"/>
      <c r="FA48" s="392"/>
      <c r="FB48" s="392"/>
      <c r="FC48" s="392"/>
      <c r="FD48" s="392"/>
      <c r="FE48" s="392"/>
      <c r="FF48" s="392"/>
      <c r="FG48" s="392"/>
      <c r="FH48" s="392"/>
      <c r="FI48" s="392"/>
      <c r="FJ48" s="392"/>
      <c r="FK48" s="392"/>
      <c r="FL48" s="392"/>
      <c r="FM48" s="392"/>
      <c r="FN48" s="392"/>
      <c r="FO48" s="392"/>
      <c r="FP48" s="392"/>
      <c r="FQ48" s="392"/>
      <c r="FR48" s="392"/>
      <c r="FS48" s="392"/>
      <c r="FT48" s="392"/>
      <c r="FU48" s="392"/>
      <c r="FV48" s="392"/>
      <c r="FW48" s="392"/>
      <c r="FX48" s="392"/>
      <c r="FY48" s="392"/>
      <c r="FZ48" s="392"/>
      <c r="GA48" s="392"/>
      <c r="GB48" s="392"/>
      <c r="GC48" s="392"/>
      <c r="GD48" s="392"/>
      <c r="GE48" s="392"/>
      <c r="GF48" s="392"/>
      <c r="GG48" s="392"/>
      <c r="GH48" s="392"/>
      <c r="GI48" s="392"/>
      <c r="GJ48" s="392"/>
      <c r="GK48" s="392"/>
      <c r="GL48" s="392"/>
      <c r="GM48" s="392"/>
      <c r="GN48" s="392"/>
      <c r="GO48" s="392"/>
      <c r="GP48" s="392"/>
      <c r="GQ48" s="392"/>
      <c r="GR48" s="392"/>
      <c r="GS48" s="392"/>
      <c r="GT48" s="392"/>
      <c r="GU48" s="392"/>
      <c r="GV48" s="392"/>
      <c r="GW48" s="392"/>
      <c r="GX48" s="392"/>
      <c r="GY48" s="392"/>
      <c r="GZ48" s="392"/>
      <c r="HA48" s="392"/>
      <c r="HB48" s="392"/>
      <c r="HC48" s="392"/>
      <c r="HD48" s="392"/>
      <c r="HE48" s="392"/>
      <c r="HF48" s="392"/>
      <c r="HG48" s="392"/>
      <c r="HH48" s="392"/>
      <c r="HI48" s="392"/>
      <c r="HJ48" s="392"/>
      <c r="HK48" s="392"/>
      <c r="HL48" s="392"/>
      <c r="HM48" s="392"/>
      <c r="HN48" s="392"/>
      <c r="HO48" s="392"/>
      <c r="HP48" s="392"/>
      <c r="HQ48" s="392"/>
      <c r="HR48" s="392"/>
      <c r="HS48" s="392"/>
      <c r="HT48" s="392"/>
      <c r="HU48" s="392"/>
      <c r="HV48" s="392"/>
      <c r="HW48" s="392"/>
      <c r="HX48" s="392"/>
      <c r="HY48" s="392"/>
      <c r="HZ48" s="392"/>
      <c r="IA48" s="392"/>
      <c r="IB48" s="392"/>
      <c r="IC48" s="392"/>
      <c r="ID48" s="392"/>
      <c r="IE48" s="392"/>
      <c r="IF48" s="392"/>
      <c r="IG48" s="392"/>
      <c r="IH48" s="392"/>
      <c r="II48" s="392"/>
      <c r="IJ48" s="392"/>
      <c r="IK48" s="392"/>
      <c r="IL48" s="392"/>
      <c r="IM48" s="392"/>
      <c r="IN48" s="392"/>
      <c r="IO48" s="392"/>
      <c r="IP48" s="392"/>
      <c r="IQ48" s="392"/>
      <c r="IR48" s="392"/>
      <c r="IS48" s="392"/>
      <c r="IT48" s="392"/>
      <c r="IU48" s="392"/>
      <c r="IV48" s="392"/>
    </row>
    <row r="49" spans="1:256" ht="31.5">
      <c r="A49" s="392"/>
      <c r="B49" s="433" t="s">
        <v>197</v>
      </c>
      <c r="C49" s="565" t="s">
        <v>161</v>
      </c>
      <c r="D49" s="565" t="s">
        <v>22</v>
      </c>
      <c r="E49" s="565" t="s">
        <v>162</v>
      </c>
      <c r="F49" s="566" t="s">
        <v>186</v>
      </c>
      <c r="G49" s="567" t="s">
        <v>187</v>
      </c>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2"/>
      <c r="CP49" s="392"/>
      <c r="CQ49" s="392"/>
      <c r="CR49" s="392"/>
      <c r="CS49" s="392"/>
      <c r="CT49" s="392"/>
      <c r="CU49" s="392"/>
      <c r="CV49" s="392"/>
      <c r="CW49" s="392"/>
      <c r="CX49" s="392"/>
      <c r="CY49" s="392"/>
      <c r="CZ49" s="392"/>
      <c r="DA49" s="392"/>
      <c r="DB49" s="392"/>
      <c r="DC49" s="392"/>
      <c r="DD49" s="392"/>
      <c r="DE49" s="392"/>
      <c r="DF49" s="392"/>
      <c r="DG49" s="392"/>
      <c r="DH49" s="392"/>
      <c r="DI49" s="392"/>
      <c r="DJ49" s="392"/>
      <c r="DK49" s="392"/>
      <c r="DL49" s="392"/>
      <c r="DM49" s="392"/>
      <c r="DN49" s="392"/>
      <c r="DO49" s="392"/>
      <c r="DP49" s="392"/>
      <c r="DQ49" s="392"/>
      <c r="DR49" s="392"/>
      <c r="DS49" s="392"/>
      <c r="DT49" s="392"/>
      <c r="DU49" s="392"/>
      <c r="DV49" s="392"/>
      <c r="DW49" s="392"/>
      <c r="DX49" s="392"/>
      <c r="DY49" s="392"/>
      <c r="DZ49" s="392"/>
      <c r="EA49" s="392"/>
      <c r="EB49" s="392"/>
      <c r="EC49" s="392"/>
      <c r="ED49" s="392"/>
      <c r="EE49" s="392"/>
      <c r="EF49" s="392"/>
      <c r="EG49" s="392"/>
      <c r="EH49" s="392"/>
      <c r="EI49" s="392"/>
      <c r="EJ49" s="392"/>
      <c r="EK49" s="392"/>
      <c r="EL49" s="392"/>
      <c r="EM49" s="392"/>
      <c r="EN49" s="392"/>
      <c r="EO49" s="392"/>
      <c r="EP49" s="392"/>
      <c r="EQ49" s="392"/>
      <c r="ER49" s="392"/>
      <c r="ES49" s="392"/>
      <c r="ET49" s="392"/>
      <c r="EU49" s="392"/>
      <c r="EV49" s="392"/>
      <c r="EW49" s="392"/>
      <c r="EX49" s="392"/>
      <c r="EY49" s="392"/>
      <c r="EZ49" s="392"/>
      <c r="FA49" s="392"/>
      <c r="FB49" s="392"/>
      <c r="FC49" s="392"/>
      <c r="FD49" s="392"/>
      <c r="FE49" s="392"/>
      <c r="FF49" s="392"/>
      <c r="FG49" s="392"/>
      <c r="FH49" s="392"/>
      <c r="FI49" s="392"/>
      <c r="FJ49" s="392"/>
      <c r="FK49" s="392"/>
      <c r="FL49" s="392"/>
      <c r="FM49" s="392"/>
      <c r="FN49" s="392"/>
      <c r="FO49" s="392"/>
      <c r="FP49" s="392"/>
      <c r="FQ49" s="392"/>
      <c r="FR49" s="392"/>
      <c r="FS49" s="392"/>
      <c r="FT49" s="392"/>
      <c r="FU49" s="392"/>
      <c r="FV49" s="392"/>
      <c r="FW49" s="392"/>
      <c r="FX49" s="392"/>
      <c r="FY49" s="392"/>
      <c r="FZ49" s="392"/>
      <c r="GA49" s="392"/>
      <c r="GB49" s="392"/>
      <c r="GC49" s="392"/>
      <c r="GD49" s="392"/>
      <c r="GE49" s="392"/>
      <c r="GF49" s="392"/>
      <c r="GG49" s="392"/>
      <c r="GH49" s="392"/>
      <c r="GI49" s="392"/>
      <c r="GJ49" s="392"/>
      <c r="GK49" s="392"/>
      <c r="GL49" s="392"/>
      <c r="GM49" s="392"/>
      <c r="GN49" s="392"/>
      <c r="GO49" s="392"/>
      <c r="GP49" s="392"/>
      <c r="GQ49" s="392"/>
      <c r="GR49" s="392"/>
      <c r="GS49" s="392"/>
      <c r="GT49" s="392"/>
      <c r="GU49" s="392"/>
      <c r="GV49" s="392"/>
      <c r="GW49" s="392"/>
      <c r="GX49" s="392"/>
      <c r="GY49" s="392"/>
      <c r="GZ49" s="392"/>
      <c r="HA49" s="392"/>
      <c r="HB49" s="392"/>
      <c r="HC49" s="392"/>
      <c r="HD49" s="392"/>
      <c r="HE49" s="392"/>
      <c r="HF49" s="392"/>
      <c r="HG49" s="392"/>
      <c r="HH49" s="392"/>
      <c r="HI49" s="392"/>
      <c r="HJ49" s="392"/>
      <c r="HK49" s="392"/>
      <c r="HL49" s="392"/>
      <c r="HM49" s="392"/>
      <c r="HN49" s="392"/>
      <c r="HO49" s="392"/>
      <c r="HP49" s="392"/>
      <c r="HQ49" s="392"/>
      <c r="HR49" s="392"/>
      <c r="HS49" s="392"/>
      <c r="HT49" s="392"/>
      <c r="HU49" s="392"/>
      <c r="HV49" s="392"/>
      <c r="HW49" s="392"/>
      <c r="HX49" s="392"/>
      <c r="HY49" s="392"/>
      <c r="HZ49" s="392"/>
      <c r="IA49" s="392"/>
      <c r="IB49" s="392"/>
      <c r="IC49" s="392"/>
      <c r="ID49" s="392"/>
      <c r="IE49" s="392"/>
      <c r="IF49" s="392"/>
      <c r="IG49" s="392"/>
      <c r="IH49" s="392"/>
      <c r="II49" s="392"/>
      <c r="IJ49" s="392"/>
      <c r="IK49" s="392"/>
      <c r="IL49" s="392"/>
      <c r="IM49" s="392"/>
      <c r="IN49" s="392"/>
      <c r="IO49" s="392"/>
      <c r="IP49" s="392"/>
      <c r="IQ49" s="392"/>
      <c r="IR49" s="392"/>
      <c r="IS49" s="392"/>
      <c r="IT49" s="392"/>
      <c r="IU49" s="392"/>
      <c r="IV49" s="392"/>
    </row>
    <row r="50" spans="1:256" ht="15.75">
      <c r="A50" s="392"/>
      <c r="B50" s="2312" t="s">
        <v>165</v>
      </c>
      <c r="C50" s="2313"/>
      <c r="D50" s="2313"/>
      <c r="E50" s="2313"/>
      <c r="F50" s="2313"/>
      <c r="G50" s="2314"/>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c r="CL50" s="392"/>
      <c r="CM50" s="392"/>
      <c r="CN50" s="392"/>
      <c r="CO50" s="392"/>
      <c r="CP50" s="392"/>
      <c r="CQ50" s="392"/>
      <c r="CR50" s="392"/>
      <c r="CS50" s="392"/>
      <c r="CT50" s="392"/>
      <c r="CU50" s="392"/>
      <c r="CV50" s="392"/>
      <c r="CW50" s="392"/>
      <c r="CX50" s="392"/>
      <c r="CY50" s="392"/>
      <c r="CZ50" s="392"/>
      <c r="DA50" s="392"/>
      <c r="DB50" s="392"/>
      <c r="DC50" s="392"/>
      <c r="DD50" s="392"/>
      <c r="DE50" s="392"/>
      <c r="DF50" s="392"/>
      <c r="DG50" s="392"/>
      <c r="DH50" s="392"/>
      <c r="DI50" s="392"/>
      <c r="DJ50" s="392"/>
      <c r="DK50" s="392"/>
      <c r="DL50" s="392"/>
      <c r="DM50" s="392"/>
      <c r="DN50" s="392"/>
      <c r="DO50" s="392"/>
      <c r="DP50" s="392"/>
      <c r="DQ50" s="392"/>
      <c r="DR50" s="392"/>
      <c r="DS50" s="392"/>
      <c r="DT50" s="392"/>
      <c r="DU50" s="392"/>
      <c r="DV50" s="392"/>
      <c r="DW50" s="392"/>
      <c r="DX50" s="392"/>
      <c r="DY50" s="392"/>
      <c r="DZ50" s="392"/>
      <c r="EA50" s="392"/>
      <c r="EB50" s="392"/>
      <c r="EC50" s="392"/>
      <c r="ED50" s="392"/>
      <c r="EE50" s="392"/>
      <c r="EF50" s="392"/>
      <c r="EG50" s="392"/>
      <c r="EH50" s="392"/>
      <c r="EI50" s="392"/>
      <c r="EJ50" s="392"/>
      <c r="EK50" s="392"/>
      <c r="EL50" s="392"/>
      <c r="EM50" s="392"/>
      <c r="EN50" s="392"/>
      <c r="EO50" s="392"/>
      <c r="EP50" s="392"/>
      <c r="EQ50" s="392"/>
      <c r="ER50" s="392"/>
      <c r="ES50" s="392"/>
      <c r="ET50" s="392"/>
      <c r="EU50" s="392"/>
      <c r="EV50" s="392"/>
      <c r="EW50" s="392"/>
      <c r="EX50" s="392"/>
      <c r="EY50" s="392"/>
      <c r="EZ50" s="392"/>
      <c r="FA50" s="392"/>
      <c r="FB50" s="392"/>
      <c r="FC50" s="392"/>
      <c r="FD50" s="392"/>
      <c r="FE50" s="392"/>
      <c r="FF50" s="392"/>
      <c r="FG50" s="392"/>
      <c r="FH50" s="392"/>
      <c r="FI50" s="392"/>
      <c r="FJ50" s="392"/>
      <c r="FK50" s="392"/>
      <c r="FL50" s="392"/>
      <c r="FM50" s="392"/>
      <c r="FN50" s="392"/>
      <c r="FO50" s="392"/>
      <c r="FP50" s="392"/>
      <c r="FQ50" s="392"/>
      <c r="FR50" s="392"/>
      <c r="FS50" s="392"/>
      <c r="FT50" s="392"/>
      <c r="FU50" s="392"/>
      <c r="FV50" s="392"/>
      <c r="FW50" s="392"/>
      <c r="FX50" s="392"/>
      <c r="FY50" s="392"/>
      <c r="FZ50" s="392"/>
      <c r="GA50" s="392"/>
      <c r="GB50" s="392"/>
      <c r="GC50" s="392"/>
      <c r="GD50" s="392"/>
      <c r="GE50" s="392"/>
      <c r="GF50" s="392"/>
      <c r="GG50" s="392"/>
      <c r="GH50" s="392"/>
      <c r="GI50" s="392"/>
      <c r="GJ50" s="392"/>
      <c r="GK50" s="392"/>
      <c r="GL50" s="392"/>
      <c r="GM50" s="392"/>
      <c r="GN50" s="392"/>
      <c r="GO50" s="392"/>
      <c r="GP50" s="392"/>
      <c r="GQ50" s="392"/>
      <c r="GR50" s="392"/>
      <c r="GS50" s="392"/>
      <c r="GT50" s="392"/>
      <c r="GU50" s="392"/>
      <c r="GV50" s="392"/>
      <c r="GW50" s="392"/>
      <c r="GX50" s="392"/>
      <c r="GY50" s="392"/>
      <c r="GZ50" s="392"/>
      <c r="HA50" s="392"/>
      <c r="HB50" s="392"/>
      <c r="HC50" s="392"/>
      <c r="HD50" s="392"/>
      <c r="HE50" s="392"/>
      <c r="HF50" s="392"/>
      <c r="HG50" s="392"/>
      <c r="HH50" s="392"/>
      <c r="HI50" s="392"/>
      <c r="HJ50" s="392"/>
      <c r="HK50" s="392"/>
      <c r="HL50" s="392"/>
      <c r="HM50" s="392"/>
      <c r="HN50" s="392"/>
      <c r="HO50" s="392"/>
      <c r="HP50" s="392"/>
      <c r="HQ50" s="392"/>
      <c r="HR50" s="392"/>
      <c r="HS50" s="392"/>
      <c r="HT50" s="392"/>
      <c r="HU50" s="392"/>
      <c r="HV50" s="392"/>
      <c r="HW50" s="392"/>
      <c r="HX50" s="392"/>
      <c r="HY50" s="392"/>
      <c r="HZ50" s="392"/>
      <c r="IA50" s="392"/>
      <c r="IB50" s="392"/>
      <c r="IC50" s="392"/>
      <c r="ID50" s="392"/>
      <c r="IE50" s="392"/>
      <c r="IF50" s="392"/>
      <c r="IG50" s="392"/>
      <c r="IH50" s="392"/>
      <c r="II50" s="392"/>
      <c r="IJ50" s="392"/>
      <c r="IK50" s="392"/>
      <c r="IL50" s="392"/>
      <c r="IM50" s="392"/>
      <c r="IN50" s="392"/>
      <c r="IO50" s="392"/>
      <c r="IP50" s="392"/>
      <c r="IQ50" s="392"/>
      <c r="IR50" s="392"/>
      <c r="IS50" s="392"/>
      <c r="IT50" s="392"/>
      <c r="IU50" s="392"/>
      <c r="IV50" s="392"/>
    </row>
    <row r="51" spans="1:256" ht="15.75">
      <c r="A51" s="392"/>
      <c r="B51" s="436" t="s">
        <v>181</v>
      </c>
      <c r="C51" s="317" t="str">
        <f>C58</f>
        <v>ESCORREGADOR 2 METROS</v>
      </c>
      <c r="D51" s="434" t="s">
        <v>22</v>
      </c>
      <c r="E51" s="570">
        <v>1</v>
      </c>
      <c r="F51" s="568">
        <f>D63</f>
        <v>1801.37</v>
      </c>
      <c r="G51" s="553">
        <f>TRUNC(F51*E51,2)</f>
        <v>1801.37</v>
      </c>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c r="CA51" s="392"/>
      <c r="CB51" s="392"/>
      <c r="CC51" s="392"/>
      <c r="CD51" s="392"/>
      <c r="CE51" s="392"/>
      <c r="CF51" s="392"/>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392"/>
      <c r="DG51" s="392"/>
      <c r="DH51" s="392"/>
      <c r="DI51" s="392"/>
      <c r="DJ51" s="392"/>
      <c r="DK51" s="392"/>
      <c r="DL51" s="392"/>
      <c r="DM51" s="392"/>
      <c r="DN51" s="392"/>
      <c r="DO51" s="392"/>
      <c r="DP51" s="392"/>
      <c r="DQ51" s="392"/>
      <c r="DR51" s="392"/>
      <c r="DS51" s="392"/>
      <c r="DT51" s="392"/>
      <c r="DU51" s="392"/>
      <c r="DV51" s="392"/>
      <c r="DW51" s="392"/>
      <c r="DX51" s="392"/>
      <c r="DY51" s="392"/>
      <c r="DZ51" s="392"/>
      <c r="EA51" s="392"/>
      <c r="EB51" s="392"/>
      <c r="EC51" s="392"/>
      <c r="ED51" s="392"/>
      <c r="EE51" s="392"/>
      <c r="EF51" s="392"/>
      <c r="EG51" s="392"/>
      <c r="EH51" s="392"/>
      <c r="EI51" s="392"/>
      <c r="EJ51" s="392"/>
      <c r="EK51" s="392"/>
      <c r="EL51" s="392"/>
      <c r="EM51" s="392"/>
      <c r="EN51" s="392"/>
      <c r="EO51" s="392"/>
      <c r="EP51" s="392"/>
      <c r="EQ51" s="392"/>
      <c r="ER51" s="392"/>
      <c r="ES51" s="392"/>
      <c r="ET51" s="392"/>
      <c r="EU51" s="392"/>
      <c r="EV51" s="392"/>
      <c r="EW51" s="392"/>
      <c r="EX51" s="392"/>
      <c r="EY51" s="392"/>
      <c r="EZ51" s="392"/>
      <c r="FA51" s="392"/>
      <c r="FB51" s="392"/>
      <c r="FC51" s="392"/>
      <c r="FD51" s="392"/>
      <c r="FE51" s="392"/>
      <c r="FF51" s="392"/>
      <c r="FG51" s="392"/>
      <c r="FH51" s="392"/>
      <c r="FI51" s="392"/>
      <c r="FJ51" s="392"/>
      <c r="FK51" s="392"/>
      <c r="FL51" s="392"/>
      <c r="FM51" s="392"/>
      <c r="FN51" s="392"/>
      <c r="FO51" s="392"/>
      <c r="FP51" s="392"/>
      <c r="FQ51" s="392"/>
      <c r="FR51" s="392"/>
      <c r="FS51" s="392"/>
      <c r="FT51" s="392"/>
      <c r="FU51" s="392"/>
      <c r="FV51" s="392"/>
      <c r="FW51" s="392"/>
      <c r="FX51" s="392"/>
      <c r="FY51" s="392"/>
      <c r="FZ51" s="392"/>
      <c r="GA51" s="392"/>
      <c r="GB51" s="392"/>
      <c r="GC51" s="392"/>
      <c r="GD51" s="392"/>
      <c r="GE51" s="392"/>
      <c r="GF51" s="392"/>
      <c r="GG51" s="392"/>
      <c r="GH51" s="392"/>
      <c r="GI51" s="392"/>
      <c r="GJ51" s="392"/>
      <c r="GK51" s="392"/>
      <c r="GL51" s="392"/>
      <c r="GM51" s="392"/>
      <c r="GN51" s="392"/>
      <c r="GO51" s="392"/>
      <c r="GP51" s="392"/>
      <c r="GQ51" s="392"/>
      <c r="GR51" s="392"/>
      <c r="GS51" s="392"/>
      <c r="GT51" s="392"/>
      <c r="GU51" s="392"/>
      <c r="GV51" s="392"/>
      <c r="GW51" s="392"/>
      <c r="GX51" s="392"/>
      <c r="GY51" s="392"/>
      <c r="GZ51" s="392"/>
      <c r="HA51" s="392"/>
      <c r="HB51" s="392"/>
      <c r="HC51" s="392"/>
      <c r="HD51" s="392"/>
      <c r="HE51" s="392"/>
      <c r="HF51" s="392"/>
      <c r="HG51" s="392"/>
      <c r="HH51" s="392"/>
      <c r="HI51" s="392"/>
      <c r="HJ51" s="392"/>
      <c r="HK51" s="392"/>
      <c r="HL51" s="392"/>
      <c r="HM51" s="392"/>
      <c r="HN51" s="392"/>
      <c r="HO51" s="392"/>
      <c r="HP51" s="392"/>
      <c r="HQ51" s="392"/>
      <c r="HR51" s="392"/>
      <c r="HS51" s="392"/>
      <c r="HT51" s="392"/>
      <c r="HU51" s="392"/>
      <c r="HV51" s="392"/>
      <c r="HW51" s="392"/>
      <c r="HX51" s="392"/>
      <c r="HY51" s="392"/>
      <c r="HZ51" s="392"/>
      <c r="IA51" s="392"/>
      <c r="IB51" s="392"/>
      <c r="IC51" s="392"/>
      <c r="ID51" s="392"/>
      <c r="IE51" s="392"/>
      <c r="IF51" s="392"/>
      <c r="IG51" s="392"/>
      <c r="IH51" s="392"/>
      <c r="II51" s="392"/>
      <c r="IJ51" s="392"/>
      <c r="IK51" s="392"/>
      <c r="IL51" s="392"/>
      <c r="IM51" s="392"/>
      <c r="IN51" s="392"/>
      <c r="IO51" s="392"/>
      <c r="IP51" s="392"/>
      <c r="IQ51" s="392"/>
      <c r="IR51" s="392"/>
      <c r="IS51" s="392"/>
      <c r="IT51" s="392"/>
      <c r="IU51" s="392"/>
      <c r="IV51" s="392"/>
    </row>
    <row r="52" spans="1:256" ht="45.75">
      <c r="A52" s="333" t="s">
        <v>391</v>
      </c>
      <c r="B52" s="436">
        <v>102486</v>
      </c>
      <c r="C52" s="317" t="str">
        <f>IF($A52="INSUMO",VLOOKUP($B52,'BANCO DE DADOS JANEIRO-24 INS'!$A:$D,2,FALSE),VLOOKUP($B52,'BANCO DE DADOS JANEIRO-24 SERV'!$B:$E,2,FALSE))</f>
        <v>CONCRETO FCK = 15MPA, TRAÇO 1:3,4:3,4 (EM MASSA SECA DE CIMENTO/ AREIA MÉDIA/ SEIXO ROLADO) - PREPARO MANUAL. AF_05/2021</v>
      </c>
      <c r="D52" s="316" t="str">
        <f>IF($A52="INSUMO",VLOOKUP($B52,'BANCO DE DADOS JANEIRO-24 INS'!$A:$D,3,FALSE),VLOOKUP($B52,'BANCO DE DADOS JANEIRO-24 SERV'!$B:$E,3,FALSE))</f>
        <v>M3</v>
      </c>
      <c r="E52" s="571">
        <v>7.4999999999999997E-2</v>
      </c>
      <c r="F52" s="320">
        <f>IF($A52="INSUMO",VLOOKUP($B52,'BANCO DE DADOS JANEIRO-24 INS'!$A:$D,4,FALSE),VLOOKUP($B52,'BANCO DE DADOS JANEIRO-24 SERV'!$B:$E,4,FALSE))</f>
        <v>763.53</v>
      </c>
      <c r="G52" s="553">
        <f>TRUNC(F52*E52,2)</f>
        <v>57.26</v>
      </c>
      <c r="H52" s="392"/>
      <c r="I52" s="392"/>
      <c r="J52" s="392"/>
      <c r="K52" s="392"/>
      <c r="L52" s="392"/>
      <c r="M52" s="392"/>
      <c r="N52" s="392"/>
      <c r="O52" s="392"/>
      <c r="P52" s="392"/>
      <c r="Q52" s="392"/>
      <c r="R52" s="392"/>
      <c r="S52" s="392"/>
      <c r="T52" s="392"/>
      <c r="U52" s="392"/>
      <c r="V52" s="392"/>
      <c r="W52" s="392"/>
      <c r="X52" s="392"/>
      <c r="Y52" s="392"/>
      <c r="Z52" s="392"/>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c r="CA52" s="392"/>
      <c r="CB52" s="392"/>
      <c r="CC52" s="392"/>
      <c r="CD52" s="392"/>
      <c r="CE52" s="392"/>
      <c r="CF52" s="392"/>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392"/>
      <c r="DG52" s="392"/>
      <c r="DH52" s="392"/>
      <c r="DI52" s="392"/>
      <c r="DJ52" s="392"/>
      <c r="DK52" s="392"/>
      <c r="DL52" s="392"/>
      <c r="DM52" s="392"/>
      <c r="DN52" s="392"/>
      <c r="DO52" s="392"/>
      <c r="DP52" s="392"/>
      <c r="DQ52" s="392"/>
      <c r="DR52" s="392"/>
      <c r="DS52" s="392"/>
      <c r="DT52" s="392"/>
      <c r="DU52" s="392"/>
      <c r="DV52" s="392"/>
      <c r="DW52" s="392"/>
      <c r="DX52" s="392"/>
      <c r="DY52" s="392"/>
      <c r="DZ52" s="392"/>
      <c r="EA52" s="392"/>
      <c r="EB52" s="392"/>
      <c r="EC52" s="392"/>
      <c r="ED52" s="392"/>
      <c r="EE52" s="392"/>
      <c r="EF52" s="392"/>
      <c r="EG52" s="392"/>
      <c r="EH52" s="392"/>
      <c r="EI52" s="392"/>
      <c r="EJ52" s="392"/>
      <c r="EK52" s="392"/>
      <c r="EL52" s="392"/>
      <c r="EM52" s="392"/>
      <c r="EN52" s="392"/>
      <c r="EO52" s="392"/>
      <c r="EP52" s="392"/>
      <c r="EQ52" s="392"/>
      <c r="ER52" s="392"/>
      <c r="ES52" s="392"/>
      <c r="ET52" s="392"/>
      <c r="EU52" s="392"/>
      <c r="EV52" s="392"/>
      <c r="EW52" s="392"/>
      <c r="EX52" s="392"/>
      <c r="EY52" s="392"/>
      <c r="EZ52" s="392"/>
      <c r="FA52" s="392"/>
      <c r="FB52" s="392"/>
      <c r="FC52" s="392"/>
      <c r="FD52" s="392"/>
      <c r="FE52" s="392"/>
      <c r="FF52" s="392"/>
      <c r="FG52" s="392"/>
      <c r="FH52" s="392"/>
      <c r="FI52" s="392"/>
      <c r="FJ52" s="392"/>
      <c r="FK52" s="392"/>
      <c r="FL52" s="392"/>
      <c r="FM52" s="392"/>
      <c r="FN52" s="392"/>
      <c r="FO52" s="392"/>
      <c r="FP52" s="392"/>
      <c r="FQ52" s="392"/>
      <c r="FR52" s="392"/>
      <c r="FS52" s="392"/>
      <c r="FT52" s="392"/>
      <c r="FU52" s="392"/>
      <c r="FV52" s="392"/>
      <c r="FW52" s="392"/>
      <c r="FX52" s="392"/>
      <c r="FY52" s="392"/>
      <c r="FZ52" s="392"/>
      <c r="GA52" s="392"/>
      <c r="GB52" s="392"/>
      <c r="GC52" s="392"/>
      <c r="GD52" s="392"/>
      <c r="GE52" s="392"/>
      <c r="GF52" s="392"/>
      <c r="GG52" s="392"/>
      <c r="GH52" s="392"/>
      <c r="GI52" s="392"/>
      <c r="GJ52" s="392"/>
      <c r="GK52" s="392"/>
      <c r="GL52" s="392"/>
      <c r="GM52" s="392"/>
      <c r="GN52" s="392"/>
      <c r="GO52" s="392"/>
      <c r="GP52" s="392"/>
      <c r="GQ52" s="392"/>
      <c r="GR52" s="392"/>
      <c r="GS52" s="392"/>
      <c r="GT52" s="392"/>
      <c r="GU52" s="392"/>
      <c r="GV52" s="392"/>
      <c r="GW52" s="392"/>
      <c r="GX52" s="392"/>
      <c r="GY52" s="392"/>
      <c r="GZ52" s="392"/>
      <c r="HA52" s="392"/>
      <c r="HB52" s="392"/>
      <c r="HC52" s="392"/>
      <c r="HD52" s="392"/>
      <c r="HE52" s="392"/>
      <c r="HF52" s="392"/>
      <c r="HG52" s="392"/>
      <c r="HH52" s="392"/>
      <c r="HI52" s="392"/>
      <c r="HJ52" s="392"/>
      <c r="HK52" s="392"/>
      <c r="HL52" s="392"/>
      <c r="HM52" s="392"/>
      <c r="HN52" s="392"/>
      <c r="HO52" s="392"/>
      <c r="HP52" s="392"/>
      <c r="HQ52" s="392"/>
      <c r="HR52" s="392"/>
      <c r="HS52" s="392"/>
      <c r="HT52" s="392"/>
      <c r="HU52" s="392"/>
      <c r="HV52" s="392"/>
      <c r="HW52" s="392"/>
      <c r="HX52" s="392"/>
      <c r="HY52" s="392"/>
      <c r="HZ52" s="392"/>
      <c r="IA52" s="392"/>
      <c r="IB52" s="392"/>
      <c r="IC52" s="392"/>
      <c r="ID52" s="392"/>
      <c r="IE52" s="392"/>
      <c r="IF52" s="392"/>
      <c r="IG52" s="392"/>
      <c r="IH52" s="392"/>
      <c r="II52" s="392"/>
      <c r="IJ52" s="392"/>
      <c r="IK52" s="392"/>
      <c r="IL52" s="392"/>
      <c r="IM52" s="392"/>
      <c r="IN52" s="392"/>
      <c r="IO52" s="392"/>
      <c r="IP52" s="392"/>
      <c r="IQ52" s="392"/>
      <c r="IR52" s="392"/>
      <c r="IS52" s="392"/>
      <c r="IT52" s="392"/>
      <c r="IU52" s="392"/>
      <c r="IV52" s="392"/>
    </row>
    <row r="53" spans="1:256" s="271" customFormat="1" ht="15.75">
      <c r="A53" s="333"/>
      <c r="B53" s="2312" t="s">
        <v>169</v>
      </c>
      <c r="C53" s="2313"/>
      <c r="D53" s="2313"/>
      <c r="E53" s="2313"/>
      <c r="F53" s="2313"/>
      <c r="G53" s="2314"/>
    </row>
    <row r="54" spans="1:256" s="271" customFormat="1" ht="15.75">
      <c r="A54" s="333" t="s">
        <v>391</v>
      </c>
      <c r="B54" s="1274">
        <v>88309</v>
      </c>
      <c r="C54" s="1098" t="str">
        <f>IF($A54="INSUMO",VLOOKUP($B54,'BANCO DE DADOS JANEIRO-24 INS'!$A:$D,2,FALSE),VLOOKUP($B54,'BANCO DE DADOS JANEIRO-24 SERV'!$B:$E,2,FALSE))</f>
        <v>PEDREIRO COM ENCARGOS COMPLEMENTARES</v>
      </c>
      <c r="D54" s="1099" t="str">
        <f>IF($A54="INSUMO",VLOOKUP($B54,'BANCO DE DADOS JANEIRO-24 INS'!$A:$D,3,FALSE),VLOOKUP($B54,'BANCO DE DADOS JANEIRO-24 SERV'!$B:$E,3,FALSE))</f>
        <v>H</v>
      </c>
      <c r="E54" s="570">
        <v>0.62</v>
      </c>
      <c r="F54" s="1146">
        <f>IF($A54="INSUMO",VLOOKUP($B54,'BANCO DE DADOS JANEIRO-24 INS'!$A:$D,4,FALSE),VLOOKUP($B54,'BANCO DE DADOS JANEIRO-24 SERV'!$B:$E,4,FALSE))</f>
        <v>25.62</v>
      </c>
      <c r="G54" s="1101">
        <f>TRUNC(E54*F54,2)</f>
        <v>15.88</v>
      </c>
    </row>
    <row r="55" spans="1:256" s="271" customFormat="1" ht="16.5" thickBot="1">
      <c r="A55" s="333" t="s">
        <v>391</v>
      </c>
      <c r="B55" s="965">
        <v>88316</v>
      </c>
      <c r="C55" s="1103" t="str">
        <f>IF($A55="INSUMO",VLOOKUP($B55,'BANCO DE DADOS JANEIRO-24 INS'!$A:$D,2,FALSE),VLOOKUP($B55,'BANCO DE DADOS JANEIRO-24 SERV'!$B:$E,2,FALSE))</f>
        <v>SERVENTE COM ENCARGOS COMPLEMENTARES</v>
      </c>
      <c r="D55" s="1104" t="str">
        <f>IF($A55="INSUMO",VLOOKUP($B55,'BANCO DE DADOS JANEIRO-24 INS'!$A:$D,3,FALSE),VLOOKUP($B55,'BANCO DE DADOS JANEIRO-24 SERV'!$B:$E,3,FALSE))</f>
        <v>H</v>
      </c>
      <c r="E55" s="570">
        <v>1.36</v>
      </c>
      <c r="F55" s="1105">
        <f>IF($A55="INSUMO",VLOOKUP($B55,'BANCO DE DADOS JANEIRO-24 INS'!$A:$D,4,FALSE),VLOOKUP($B55,'BANCO DE DADOS JANEIRO-24 SERV'!$B:$E,4,FALSE))</f>
        <v>20.32</v>
      </c>
      <c r="G55" s="1106">
        <f>TRUNC(E55*F55,2)</f>
        <v>27.63</v>
      </c>
    </row>
    <row r="56" spans="1:256" ht="27" customHeight="1" thickBot="1">
      <c r="A56" s="392"/>
      <c r="B56" s="2485" t="s">
        <v>14069</v>
      </c>
      <c r="C56" s="2485"/>
      <c r="D56" s="2485"/>
      <c r="E56" s="2486"/>
      <c r="F56" s="263" t="s">
        <v>167</v>
      </c>
      <c r="G56" s="264">
        <f>TRUNC(SUM(G51:G55),2)</f>
        <v>1902.14</v>
      </c>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2"/>
      <c r="CP56" s="392"/>
      <c r="CQ56" s="392"/>
      <c r="CR56" s="392"/>
      <c r="CS56" s="392"/>
      <c r="CT56" s="392"/>
      <c r="CU56" s="392"/>
      <c r="CV56" s="392"/>
      <c r="CW56" s="392"/>
      <c r="CX56" s="392"/>
      <c r="CY56" s="392"/>
      <c r="CZ56" s="392"/>
      <c r="DA56" s="392"/>
      <c r="DB56" s="392"/>
      <c r="DC56" s="392"/>
      <c r="DD56" s="392"/>
      <c r="DE56" s="392"/>
      <c r="DF56" s="392"/>
      <c r="DG56" s="392"/>
      <c r="DH56" s="392"/>
      <c r="DI56" s="392"/>
      <c r="DJ56" s="392"/>
      <c r="DK56" s="392"/>
      <c r="DL56" s="392"/>
      <c r="DM56" s="392"/>
      <c r="DN56" s="392"/>
      <c r="DO56" s="392"/>
      <c r="DP56" s="392"/>
      <c r="DQ56" s="392"/>
      <c r="DR56" s="392"/>
      <c r="DS56" s="392"/>
      <c r="DT56" s="392"/>
      <c r="DU56" s="392"/>
      <c r="DV56" s="392"/>
      <c r="DW56" s="392"/>
      <c r="DX56" s="392"/>
      <c r="DY56" s="392"/>
      <c r="DZ56" s="392"/>
      <c r="EA56" s="392"/>
      <c r="EB56" s="392"/>
      <c r="EC56" s="392"/>
      <c r="ED56" s="392"/>
      <c r="EE56" s="392"/>
      <c r="EF56" s="392"/>
      <c r="EG56" s="392"/>
      <c r="EH56" s="392"/>
      <c r="EI56" s="392"/>
      <c r="EJ56" s="392"/>
      <c r="EK56" s="392"/>
      <c r="EL56" s="392"/>
      <c r="EM56" s="392"/>
      <c r="EN56" s="392"/>
      <c r="EO56" s="392"/>
      <c r="EP56" s="392"/>
      <c r="EQ56" s="392"/>
      <c r="ER56" s="392"/>
      <c r="ES56" s="392"/>
      <c r="ET56" s="392"/>
      <c r="EU56" s="392"/>
      <c r="EV56" s="392"/>
      <c r="EW56" s="392"/>
      <c r="EX56" s="392"/>
      <c r="EY56" s="392"/>
      <c r="EZ56" s="392"/>
      <c r="FA56" s="392"/>
      <c r="FB56" s="392"/>
      <c r="FC56" s="392"/>
      <c r="FD56" s="392"/>
      <c r="FE56" s="392"/>
      <c r="FF56" s="392"/>
      <c r="FG56" s="392"/>
      <c r="FH56" s="392"/>
      <c r="FI56" s="392"/>
      <c r="FJ56" s="392"/>
      <c r="FK56" s="392"/>
      <c r="FL56" s="392"/>
      <c r="FM56" s="392"/>
      <c r="FN56" s="392"/>
      <c r="FO56" s="392"/>
      <c r="FP56" s="392"/>
      <c r="FQ56" s="392"/>
      <c r="FR56" s="392"/>
      <c r="FS56" s="392"/>
      <c r="FT56" s="392"/>
      <c r="FU56" s="392"/>
      <c r="FV56" s="392"/>
      <c r="FW56" s="392"/>
      <c r="FX56" s="392"/>
      <c r="FY56" s="392"/>
      <c r="FZ56" s="392"/>
      <c r="GA56" s="392"/>
      <c r="GB56" s="392"/>
      <c r="GC56" s="392"/>
      <c r="GD56" s="392"/>
      <c r="GE56" s="392"/>
      <c r="GF56" s="392"/>
      <c r="GG56" s="392"/>
      <c r="GH56" s="392"/>
      <c r="GI56" s="392"/>
      <c r="GJ56" s="392"/>
      <c r="GK56" s="392"/>
      <c r="GL56" s="392"/>
      <c r="GM56" s="392"/>
      <c r="GN56" s="392"/>
      <c r="GO56" s="392"/>
      <c r="GP56" s="392"/>
      <c r="GQ56" s="392"/>
      <c r="GR56" s="392"/>
      <c r="GS56" s="392"/>
      <c r="GT56" s="392"/>
      <c r="GU56" s="392"/>
      <c r="GV56" s="392"/>
      <c r="GW56" s="392"/>
      <c r="GX56" s="392"/>
      <c r="GY56" s="392"/>
      <c r="GZ56" s="392"/>
      <c r="HA56" s="392"/>
      <c r="HB56" s="392"/>
      <c r="HC56" s="392"/>
      <c r="HD56" s="392"/>
      <c r="HE56" s="392"/>
      <c r="HF56" s="392"/>
      <c r="HG56" s="392"/>
      <c r="HH56" s="392"/>
      <c r="HI56" s="392"/>
      <c r="HJ56" s="392"/>
      <c r="HK56" s="392"/>
      <c r="HL56" s="392"/>
      <c r="HM56" s="392"/>
      <c r="HN56" s="392"/>
      <c r="HO56" s="392"/>
      <c r="HP56" s="392"/>
      <c r="HQ56" s="392"/>
      <c r="HR56" s="392"/>
      <c r="HS56" s="392"/>
      <c r="HT56" s="392"/>
      <c r="HU56" s="392"/>
      <c r="HV56" s="392"/>
      <c r="HW56" s="392"/>
      <c r="HX56" s="392"/>
      <c r="HY56" s="392"/>
      <c r="HZ56" s="392"/>
      <c r="IA56" s="392"/>
      <c r="IB56" s="392"/>
      <c r="IC56" s="392"/>
      <c r="ID56" s="392"/>
      <c r="IE56" s="392"/>
      <c r="IF56" s="392"/>
      <c r="IG56" s="392"/>
      <c r="IH56" s="392"/>
      <c r="II56" s="392"/>
      <c r="IJ56" s="392"/>
      <c r="IK56" s="392"/>
      <c r="IL56" s="392"/>
      <c r="IM56" s="392"/>
      <c r="IN56" s="392"/>
      <c r="IO56" s="392"/>
      <c r="IP56" s="392"/>
      <c r="IQ56" s="392"/>
      <c r="IR56" s="392"/>
      <c r="IS56" s="392"/>
      <c r="IT56" s="392"/>
      <c r="IU56" s="392"/>
      <c r="IV56" s="392"/>
    </row>
    <row r="57" spans="1:256" s="271" customFormat="1" ht="16.5" thickBot="1">
      <c r="A57" s="333"/>
      <c r="B57" s="230"/>
      <c r="C57" s="235"/>
      <c r="D57" s="235"/>
      <c r="E57" s="235"/>
      <c r="F57" s="235"/>
      <c r="G57" s="235"/>
    </row>
    <row r="58" spans="1:256" s="271" customFormat="1" ht="18">
      <c r="A58" s="333"/>
      <c r="B58" s="1744" t="s">
        <v>181</v>
      </c>
      <c r="C58" s="2164" t="s">
        <v>14068</v>
      </c>
      <c r="D58" s="2165"/>
      <c r="E58" s="2165"/>
      <c r="F58" s="2166"/>
      <c r="G58" s="1670" t="s">
        <v>22</v>
      </c>
      <c r="H58" s="1173" t="s">
        <v>1977</v>
      </c>
    </row>
    <row r="59" spans="1:256" s="271" customFormat="1" ht="31.5">
      <c r="A59" s="333"/>
      <c r="B59" s="1107" t="s">
        <v>174</v>
      </c>
      <c r="C59" s="1108" t="s">
        <v>175</v>
      </c>
      <c r="D59" s="1109" t="s">
        <v>176</v>
      </c>
      <c r="E59" s="1110" t="s">
        <v>177</v>
      </c>
      <c r="F59" s="1111" t="s">
        <v>178</v>
      </c>
      <c r="G59" s="1112" t="s">
        <v>179</v>
      </c>
    </row>
    <row r="60" spans="1:256" s="271" customFormat="1" ht="15.75">
      <c r="A60" s="333"/>
      <c r="B60" s="1856">
        <v>45348</v>
      </c>
      <c r="C60" s="1758" t="s">
        <v>14644</v>
      </c>
      <c r="D60" s="1762">
        <v>1801.37</v>
      </c>
      <c r="E60" s="1762" t="s">
        <v>14409</v>
      </c>
      <c r="F60" s="1759" t="s">
        <v>14645</v>
      </c>
      <c r="G60" s="1401" t="s">
        <v>14646</v>
      </c>
      <c r="H60" s="1176"/>
    </row>
    <row r="61" spans="1:256" s="271" customFormat="1" ht="15.75">
      <c r="A61" s="333"/>
      <c r="B61" s="1856">
        <v>45345</v>
      </c>
      <c r="C61" s="1758" t="s">
        <v>14506</v>
      </c>
      <c r="D61" s="1762">
        <v>1112.1400000000001</v>
      </c>
      <c r="E61" s="1762" t="s">
        <v>14409</v>
      </c>
      <c r="F61" s="1760" t="s">
        <v>14507</v>
      </c>
      <c r="G61" s="1362" t="s">
        <v>14508</v>
      </c>
      <c r="H61" s="1176"/>
    </row>
    <row r="62" spans="1:256" s="271" customFormat="1" ht="15.75">
      <c r="A62" s="333"/>
      <c r="B62" s="1856">
        <v>45345</v>
      </c>
      <c r="C62" s="1758" t="s">
        <v>4610</v>
      </c>
      <c r="D62" s="1762">
        <v>4895.1400000000003</v>
      </c>
      <c r="E62" s="1762" t="s">
        <v>4609</v>
      </c>
      <c r="F62" s="1760" t="s">
        <v>14062</v>
      </c>
      <c r="G62" s="1362" t="s">
        <v>4607</v>
      </c>
      <c r="H62" s="1176"/>
    </row>
    <row r="63" spans="1:256" s="271" customFormat="1" ht="16.5" thickBot="1">
      <c r="A63" s="333"/>
      <c r="B63" s="1711"/>
      <c r="C63" s="1668" t="s">
        <v>180</v>
      </c>
      <c r="D63" s="1673">
        <f>IF(COUNT(D59:D62)=3,MEDIAN(D60:D62),SMALL(D60:D62,1))</f>
        <v>1801.37</v>
      </c>
      <c r="E63" s="1674"/>
      <c r="F63" s="1675"/>
      <c r="G63" s="1671"/>
    </row>
    <row r="64" spans="1:256" ht="13.5" thickBot="1"/>
    <row r="65" spans="1:256" ht="34.5" customHeight="1">
      <c r="A65" s="392"/>
      <c r="B65" s="377" t="str">
        <f>IF(COUNT($H$13:H65)&lt;10,CONCATENATE("CPU PLAY 00",COUNT($H$13:H65)),CONCATENATE("CPU PLAY 0",COUNT($H$13:H65)))</f>
        <v>CPU PLAY 004</v>
      </c>
      <c r="C65" s="2180" t="s">
        <v>14070</v>
      </c>
      <c r="D65" s="2180"/>
      <c r="E65" s="2180"/>
      <c r="F65" s="2180"/>
      <c r="G65" s="624" t="s">
        <v>22</v>
      </c>
      <c r="H65" s="465">
        <f>G73</f>
        <v>3162.08</v>
      </c>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392"/>
      <c r="BK65" s="392"/>
      <c r="BL65" s="392"/>
      <c r="BM65" s="392"/>
      <c r="BN65" s="392"/>
      <c r="BO65" s="392"/>
      <c r="BP65" s="392"/>
      <c r="BQ65" s="392"/>
      <c r="BR65" s="392"/>
      <c r="BS65" s="392"/>
      <c r="BT65" s="392"/>
      <c r="BU65" s="392"/>
      <c r="BV65" s="392"/>
      <c r="BW65" s="392"/>
      <c r="BX65" s="392"/>
      <c r="BY65" s="392"/>
      <c r="BZ65" s="392"/>
      <c r="CA65" s="392"/>
      <c r="CB65" s="392"/>
      <c r="CC65" s="392"/>
      <c r="CD65" s="392"/>
      <c r="CE65" s="392"/>
      <c r="CF65" s="392"/>
      <c r="CG65" s="392"/>
      <c r="CH65" s="392"/>
      <c r="CI65" s="392"/>
      <c r="CJ65" s="392"/>
      <c r="CK65" s="392"/>
      <c r="CL65" s="392"/>
      <c r="CM65" s="392"/>
      <c r="CN65" s="392"/>
      <c r="CO65" s="392"/>
      <c r="CP65" s="392"/>
      <c r="CQ65" s="392"/>
      <c r="CR65" s="392"/>
      <c r="CS65" s="392"/>
      <c r="CT65" s="392"/>
      <c r="CU65" s="392"/>
      <c r="CV65" s="392"/>
      <c r="CW65" s="392"/>
      <c r="CX65" s="392"/>
      <c r="CY65" s="392"/>
      <c r="CZ65" s="392"/>
      <c r="DA65" s="392"/>
      <c r="DB65" s="392"/>
      <c r="DC65" s="392"/>
      <c r="DD65" s="392"/>
      <c r="DE65" s="392"/>
      <c r="DF65" s="392"/>
      <c r="DG65" s="392"/>
      <c r="DH65" s="392"/>
      <c r="DI65" s="392"/>
      <c r="DJ65" s="392"/>
      <c r="DK65" s="392"/>
      <c r="DL65" s="392"/>
      <c r="DM65" s="392"/>
      <c r="DN65" s="392"/>
      <c r="DO65" s="392"/>
      <c r="DP65" s="392"/>
      <c r="DQ65" s="392"/>
      <c r="DR65" s="392"/>
      <c r="DS65" s="392"/>
      <c r="DT65" s="392"/>
      <c r="DU65" s="392"/>
      <c r="DV65" s="392"/>
      <c r="DW65" s="392"/>
      <c r="DX65" s="392"/>
      <c r="DY65" s="392"/>
      <c r="DZ65" s="392"/>
      <c r="EA65" s="392"/>
      <c r="EB65" s="392"/>
      <c r="EC65" s="392"/>
      <c r="ED65" s="392"/>
      <c r="EE65" s="392"/>
      <c r="EF65" s="392"/>
      <c r="EG65" s="392"/>
      <c r="EH65" s="392"/>
      <c r="EI65" s="392"/>
      <c r="EJ65" s="392"/>
      <c r="EK65" s="392"/>
      <c r="EL65" s="392"/>
      <c r="EM65" s="392"/>
      <c r="EN65" s="392"/>
      <c r="EO65" s="392"/>
      <c r="EP65" s="392"/>
      <c r="EQ65" s="392"/>
      <c r="ER65" s="392"/>
      <c r="ES65" s="392"/>
      <c r="ET65" s="392"/>
      <c r="EU65" s="392"/>
      <c r="EV65" s="392"/>
      <c r="EW65" s="392"/>
      <c r="EX65" s="392"/>
      <c r="EY65" s="392"/>
      <c r="EZ65" s="392"/>
      <c r="FA65" s="392"/>
      <c r="FB65" s="392"/>
      <c r="FC65" s="392"/>
      <c r="FD65" s="392"/>
      <c r="FE65" s="392"/>
      <c r="FF65" s="392"/>
      <c r="FG65" s="392"/>
      <c r="FH65" s="392"/>
      <c r="FI65" s="392"/>
      <c r="FJ65" s="392"/>
      <c r="FK65" s="392"/>
      <c r="FL65" s="392"/>
      <c r="FM65" s="392"/>
      <c r="FN65" s="392"/>
      <c r="FO65" s="392"/>
      <c r="FP65" s="392"/>
      <c r="FQ65" s="392"/>
      <c r="FR65" s="392"/>
      <c r="FS65" s="392"/>
      <c r="FT65" s="392"/>
      <c r="FU65" s="392"/>
      <c r="FV65" s="392"/>
      <c r="FW65" s="392"/>
      <c r="FX65" s="392"/>
      <c r="FY65" s="392"/>
      <c r="FZ65" s="392"/>
      <c r="GA65" s="392"/>
      <c r="GB65" s="392"/>
      <c r="GC65" s="392"/>
      <c r="GD65" s="392"/>
      <c r="GE65" s="392"/>
      <c r="GF65" s="392"/>
      <c r="GG65" s="392"/>
      <c r="GH65" s="392"/>
      <c r="GI65" s="392"/>
      <c r="GJ65" s="392"/>
      <c r="GK65" s="392"/>
      <c r="GL65" s="392"/>
      <c r="GM65" s="392"/>
      <c r="GN65" s="392"/>
      <c r="GO65" s="392"/>
      <c r="GP65" s="392"/>
      <c r="GQ65" s="392"/>
      <c r="GR65" s="392"/>
      <c r="GS65" s="392"/>
      <c r="GT65" s="392"/>
      <c r="GU65" s="392"/>
      <c r="GV65" s="392"/>
      <c r="GW65" s="392"/>
      <c r="GX65" s="392"/>
      <c r="GY65" s="392"/>
      <c r="GZ65" s="392"/>
      <c r="HA65" s="392"/>
      <c r="HB65" s="392"/>
      <c r="HC65" s="392"/>
      <c r="HD65" s="392"/>
      <c r="HE65" s="392"/>
      <c r="HF65" s="392"/>
      <c r="HG65" s="392"/>
      <c r="HH65" s="392"/>
      <c r="HI65" s="392"/>
      <c r="HJ65" s="392"/>
      <c r="HK65" s="392"/>
      <c r="HL65" s="392"/>
      <c r="HM65" s="392"/>
      <c r="HN65" s="392"/>
      <c r="HO65" s="392"/>
      <c r="HP65" s="392"/>
      <c r="HQ65" s="392"/>
      <c r="HR65" s="392"/>
      <c r="HS65" s="392"/>
      <c r="HT65" s="392"/>
      <c r="HU65" s="392"/>
      <c r="HV65" s="392"/>
      <c r="HW65" s="392"/>
      <c r="HX65" s="392"/>
      <c r="HY65" s="392"/>
      <c r="HZ65" s="392"/>
      <c r="IA65" s="392"/>
      <c r="IB65" s="392"/>
      <c r="IC65" s="392"/>
      <c r="ID65" s="392"/>
      <c r="IE65" s="392"/>
      <c r="IF65" s="392"/>
      <c r="IG65" s="392"/>
      <c r="IH65" s="392"/>
      <c r="II65" s="392"/>
      <c r="IJ65" s="392"/>
      <c r="IK65" s="392"/>
      <c r="IL65" s="392"/>
      <c r="IM65" s="392"/>
      <c r="IN65" s="392"/>
      <c r="IO65" s="392"/>
      <c r="IP65" s="392"/>
      <c r="IQ65" s="392"/>
      <c r="IR65" s="392"/>
      <c r="IS65" s="392"/>
      <c r="IT65" s="392"/>
      <c r="IU65" s="392"/>
      <c r="IV65" s="392"/>
    </row>
    <row r="66" spans="1:256" ht="31.5">
      <c r="A66" s="392"/>
      <c r="B66" s="433" t="s">
        <v>197</v>
      </c>
      <c r="C66" s="565" t="s">
        <v>161</v>
      </c>
      <c r="D66" s="565" t="s">
        <v>22</v>
      </c>
      <c r="E66" s="565" t="s">
        <v>162</v>
      </c>
      <c r="F66" s="566" t="s">
        <v>186</v>
      </c>
      <c r="G66" s="567" t="s">
        <v>187</v>
      </c>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392"/>
      <c r="BK66" s="392"/>
      <c r="BL66" s="392"/>
      <c r="BM66" s="392"/>
      <c r="BN66" s="392"/>
      <c r="BO66" s="392"/>
      <c r="BP66" s="392"/>
      <c r="BQ66" s="392"/>
      <c r="BR66" s="392"/>
      <c r="BS66" s="392"/>
      <c r="BT66" s="392"/>
      <c r="BU66" s="392"/>
      <c r="BV66" s="392"/>
      <c r="BW66" s="392"/>
      <c r="BX66" s="392"/>
      <c r="BY66" s="392"/>
      <c r="BZ66" s="392"/>
      <c r="CA66" s="392"/>
      <c r="CB66" s="392"/>
      <c r="CC66" s="392"/>
      <c r="CD66" s="392"/>
      <c r="CE66" s="392"/>
      <c r="CF66" s="392"/>
      <c r="CG66" s="392"/>
      <c r="CH66" s="392"/>
      <c r="CI66" s="392"/>
      <c r="CJ66" s="392"/>
      <c r="CK66" s="392"/>
      <c r="CL66" s="392"/>
      <c r="CM66" s="392"/>
      <c r="CN66" s="392"/>
      <c r="CO66" s="392"/>
      <c r="CP66" s="392"/>
      <c r="CQ66" s="392"/>
      <c r="CR66" s="392"/>
      <c r="CS66" s="392"/>
      <c r="CT66" s="392"/>
      <c r="CU66" s="392"/>
      <c r="CV66" s="392"/>
      <c r="CW66" s="392"/>
      <c r="CX66" s="392"/>
      <c r="CY66" s="392"/>
      <c r="CZ66" s="392"/>
      <c r="DA66" s="392"/>
      <c r="DB66" s="392"/>
      <c r="DC66" s="392"/>
      <c r="DD66" s="392"/>
      <c r="DE66" s="392"/>
      <c r="DF66" s="392"/>
      <c r="DG66" s="392"/>
      <c r="DH66" s="392"/>
      <c r="DI66" s="392"/>
      <c r="DJ66" s="392"/>
      <c r="DK66" s="392"/>
      <c r="DL66" s="392"/>
      <c r="DM66" s="392"/>
      <c r="DN66" s="392"/>
      <c r="DO66" s="392"/>
      <c r="DP66" s="392"/>
      <c r="DQ66" s="392"/>
      <c r="DR66" s="392"/>
      <c r="DS66" s="392"/>
      <c r="DT66" s="392"/>
      <c r="DU66" s="392"/>
      <c r="DV66" s="392"/>
      <c r="DW66" s="392"/>
      <c r="DX66" s="392"/>
      <c r="DY66" s="392"/>
      <c r="DZ66" s="392"/>
      <c r="EA66" s="392"/>
      <c r="EB66" s="392"/>
      <c r="EC66" s="392"/>
      <c r="ED66" s="392"/>
      <c r="EE66" s="392"/>
      <c r="EF66" s="392"/>
      <c r="EG66" s="392"/>
      <c r="EH66" s="392"/>
      <c r="EI66" s="392"/>
      <c r="EJ66" s="392"/>
      <c r="EK66" s="392"/>
      <c r="EL66" s="392"/>
      <c r="EM66" s="392"/>
      <c r="EN66" s="392"/>
      <c r="EO66" s="392"/>
      <c r="EP66" s="392"/>
      <c r="EQ66" s="392"/>
      <c r="ER66" s="392"/>
      <c r="ES66" s="392"/>
      <c r="ET66" s="392"/>
      <c r="EU66" s="392"/>
      <c r="EV66" s="392"/>
      <c r="EW66" s="392"/>
      <c r="EX66" s="392"/>
      <c r="EY66" s="392"/>
      <c r="EZ66" s="392"/>
      <c r="FA66" s="392"/>
      <c r="FB66" s="392"/>
      <c r="FC66" s="392"/>
      <c r="FD66" s="392"/>
      <c r="FE66" s="392"/>
      <c r="FF66" s="392"/>
      <c r="FG66" s="392"/>
      <c r="FH66" s="392"/>
      <c r="FI66" s="392"/>
      <c r="FJ66" s="392"/>
      <c r="FK66" s="392"/>
      <c r="FL66" s="392"/>
      <c r="FM66" s="392"/>
      <c r="FN66" s="392"/>
      <c r="FO66" s="392"/>
      <c r="FP66" s="392"/>
      <c r="FQ66" s="392"/>
      <c r="FR66" s="392"/>
      <c r="FS66" s="392"/>
      <c r="FT66" s="392"/>
      <c r="FU66" s="392"/>
      <c r="FV66" s="392"/>
      <c r="FW66" s="392"/>
      <c r="FX66" s="392"/>
      <c r="FY66" s="392"/>
      <c r="FZ66" s="392"/>
      <c r="GA66" s="392"/>
      <c r="GB66" s="392"/>
      <c r="GC66" s="392"/>
      <c r="GD66" s="392"/>
      <c r="GE66" s="392"/>
      <c r="GF66" s="392"/>
      <c r="GG66" s="392"/>
      <c r="GH66" s="392"/>
      <c r="GI66" s="392"/>
      <c r="GJ66" s="392"/>
      <c r="GK66" s="392"/>
      <c r="GL66" s="392"/>
      <c r="GM66" s="392"/>
      <c r="GN66" s="392"/>
      <c r="GO66" s="392"/>
      <c r="GP66" s="392"/>
      <c r="GQ66" s="392"/>
      <c r="GR66" s="392"/>
      <c r="GS66" s="392"/>
      <c r="GT66" s="392"/>
      <c r="GU66" s="392"/>
      <c r="GV66" s="392"/>
      <c r="GW66" s="392"/>
      <c r="GX66" s="392"/>
      <c r="GY66" s="392"/>
      <c r="GZ66" s="392"/>
      <c r="HA66" s="392"/>
      <c r="HB66" s="392"/>
      <c r="HC66" s="392"/>
      <c r="HD66" s="392"/>
      <c r="HE66" s="392"/>
      <c r="HF66" s="392"/>
      <c r="HG66" s="392"/>
      <c r="HH66" s="392"/>
      <c r="HI66" s="392"/>
      <c r="HJ66" s="392"/>
      <c r="HK66" s="392"/>
      <c r="HL66" s="392"/>
      <c r="HM66" s="392"/>
      <c r="HN66" s="392"/>
      <c r="HO66" s="392"/>
      <c r="HP66" s="392"/>
      <c r="HQ66" s="392"/>
      <c r="HR66" s="392"/>
      <c r="HS66" s="392"/>
      <c r="HT66" s="392"/>
      <c r="HU66" s="392"/>
      <c r="HV66" s="392"/>
      <c r="HW66" s="392"/>
      <c r="HX66" s="392"/>
      <c r="HY66" s="392"/>
      <c r="HZ66" s="392"/>
      <c r="IA66" s="392"/>
      <c r="IB66" s="392"/>
      <c r="IC66" s="392"/>
      <c r="ID66" s="392"/>
      <c r="IE66" s="392"/>
      <c r="IF66" s="392"/>
      <c r="IG66" s="392"/>
      <c r="IH66" s="392"/>
      <c r="II66" s="392"/>
      <c r="IJ66" s="392"/>
      <c r="IK66" s="392"/>
      <c r="IL66" s="392"/>
      <c r="IM66" s="392"/>
      <c r="IN66" s="392"/>
      <c r="IO66" s="392"/>
      <c r="IP66" s="392"/>
      <c r="IQ66" s="392"/>
      <c r="IR66" s="392"/>
      <c r="IS66" s="392"/>
      <c r="IT66" s="392"/>
      <c r="IU66" s="392"/>
      <c r="IV66" s="392"/>
    </row>
    <row r="67" spans="1:256" ht="15.75">
      <c r="A67" s="392"/>
      <c r="B67" s="2312" t="s">
        <v>165</v>
      </c>
      <c r="C67" s="2313"/>
      <c r="D67" s="2313"/>
      <c r="E67" s="2313"/>
      <c r="F67" s="2313"/>
      <c r="G67" s="2314"/>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2"/>
      <c r="AZ67" s="392"/>
      <c r="BA67" s="392"/>
      <c r="BB67" s="392"/>
      <c r="BC67" s="392"/>
      <c r="BD67" s="392"/>
      <c r="BE67" s="392"/>
      <c r="BF67" s="392"/>
      <c r="BG67" s="392"/>
      <c r="BH67" s="392"/>
      <c r="BI67" s="392"/>
      <c r="BJ67" s="392"/>
      <c r="BK67" s="392"/>
      <c r="BL67" s="392"/>
      <c r="BM67" s="392"/>
      <c r="BN67" s="392"/>
      <c r="BO67" s="392"/>
      <c r="BP67" s="392"/>
      <c r="BQ67" s="392"/>
      <c r="BR67" s="392"/>
      <c r="BS67" s="392"/>
      <c r="BT67" s="392"/>
      <c r="BU67" s="392"/>
      <c r="BV67" s="392"/>
      <c r="BW67" s="392"/>
      <c r="BX67" s="392"/>
      <c r="BY67" s="392"/>
      <c r="BZ67" s="392"/>
      <c r="CA67" s="392"/>
      <c r="CB67" s="392"/>
      <c r="CC67" s="392"/>
      <c r="CD67" s="392"/>
      <c r="CE67" s="392"/>
      <c r="CF67" s="392"/>
      <c r="CG67" s="392"/>
      <c r="CH67" s="392"/>
      <c r="CI67" s="392"/>
      <c r="CJ67" s="392"/>
      <c r="CK67" s="392"/>
      <c r="CL67" s="392"/>
      <c r="CM67" s="392"/>
      <c r="CN67" s="392"/>
      <c r="CO67" s="392"/>
      <c r="CP67" s="392"/>
      <c r="CQ67" s="392"/>
      <c r="CR67" s="392"/>
      <c r="CS67" s="392"/>
      <c r="CT67" s="392"/>
      <c r="CU67" s="392"/>
      <c r="CV67" s="392"/>
      <c r="CW67" s="392"/>
      <c r="CX67" s="392"/>
      <c r="CY67" s="392"/>
      <c r="CZ67" s="392"/>
      <c r="DA67" s="392"/>
      <c r="DB67" s="392"/>
      <c r="DC67" s="392"/>
      <c r="DD67" s="392"/>
      <c r="DE67" s="392"/>
      <c r="DF67" s="392"/>
      <c r="DG67" s="392"/>
      <c r="DH67" s="392"/>
      <c r="DI67" s="392"/>
      <c r="DJ67" s="392"/>
      <c r="DK67" s="392"/>
      <c r="DL67" s="392"/>
      <c r="DM67" s="392"/>
      <c r="DN67" s="392"/>
      <c r="DO67" s="392"/>
      <c r="DP67" s="392"/>
      <c r="DQ67" s="392"/>
      <c r="DR67" s="392"/>
      <c r="DS67" s="392"/>
      <c r="DT67" s="392"/>
      <c r="DU67" s="392"/>
      <c r="DV67" s="392"/>
      <c r="DW67" s="392"/>
      <c r="DX67" s="392"/>
      <c r="DY67" s="392"/>
      <c r="DZ67" s="392"/>
      <c r="EA67" s="392"/>
      <c r="EB67" s="392"/>
      <c r="EC67" s="392"/>
      <c r="ED67" s="392"/>
      <c r="EE67" s="392"/>
      <c r="EF67" s="392"/>
      <c r="EG67" s="392"/>
      <c r="EH67" s="392"/>
      <c r="EI67" s="392"/>
      <c r="EJ67" s="392"/>
      <c r="EK67" s="392"/>
      <c r="EL67" s="392"/>
      <c r="EM67" s="392"/>
      <c r="EN67" s="392"/>
      <c r="EO67" s="392"/>
      <c r="EP67" s="392"/>
      <c r="EQ67" s="392"/>
      <c r="ER67" s="392"/>
      <c r="ES67" s="392"/>
      <c r="ET67" s="392"/>
      <c r="EU67" s="392"/>
      <c r="EV67" s="392"/>
      <c r="EW67" s="392"/>
      <c r="EX67" s="392"/>
      <c r="EY67" s="392"/>
      <c r="EZ67" s="392"/>
      <c r="FA67" s="392"/>
      <c r="FB67" s="392"/>
      <c r="FC67" s="392"/>
      <c r="FD67" s="392"/>
      <c r="FE67" s="392"/>
      <c r="FF67" s="392"/>
      <c r="FG67" s="392"/>
      <c r="FH67" s="392"/>
      <c r="FI67" s="392"/>
      <c r="FJ67" s="392"/>
      <c r="FK67" s="392"/>
      <c r="FL67" s="392"/>
      <c r="FM67" s="392"/>
      <c r="FN67" s="392"/>
      <c r="FO67" s="392"/>
      <c r="FP67" s="392"/>
      <c r="FQ67" s="392"/>
      <c r="FR67" s="392"/>
      <c r="FS67" s="392"/>
      <c r="FT67" s="392"/>
      <c r="FU67" s="392"/>
      <c r="FV67" s="392"/>
      <c r="FW67" s="392"/>
      <c r="FX67" s="392"/>
      <c r="FY67" s="392"/>
      <c r="FZ67" s="392"/>
      <c r="GA67" s="392"/>
      <c r="GB67" s="392"/>
      <c r="GC67" s="392"/>
      <c r="GD67" s="392"/>
      <c r="GE67" s="392"/>
      <c r="GF67" s="392"/>
      <c r="GG67" s="392"/>
      <c r="GH67" s="392"/>
      <c r="GI67" s="392"/>
      <c r="GJ67" s="392"/>
      <c r="GK67" s="392"/>
      <c r="GL67" s="392"/>
      <c r="GM67" s="392"/>
      <c r="GN67" s="392"/>
      <c r="GO67" s="392"/>
      <c r="GP67" s="392"/>
      <c r="GQ67" s="392"/>
      <c r="GR67" s="392"/>
      <c r="GS67" s="392"/>
      <c r="GT67" s="392"/>
      <c r="GU67" s="392"/>
      <c r="GV67" s="392"/>
      <c r="GW67" s="392"/>
      <c r="GX67" s="392"/>
      <c r="GY67" s="392"/>
      <c r="GZ67" s="392"/>
      <c r="HA67" s="392"/>
      <c r="HB67" s="392"/>
      <c r="HC67" s="392"/>
      <c r="HD67" s="392"/>
      <c r="HE67" s="392"/>
      <c r="HF67" s="392"/>
      <c r="HG67" s="392"/>
      <c r="HH67" s="392"/>
      <c r="HI67" s="392"/>
      <c r="HJ67" s="392"/>
      <c r="HK67" s="392"/>
      <c r="HL67" s="392"/>
      <c r="HM67" s="392"/>
      <c r="HN67" s="392"/>
      <c r="HO67" s="392"/>
      <c r="HP67" s="392"/>
      <c r="HQ67" s="392"/>
      <c r="HR67" s="392"/>
      <c r="HS67" s="392"/>
      <c r="HT67" s="392"/>
      <c r="HU67" s="392"/>
      <c r="HV67" s="392"/>
      <c r="HW67" s="392"/>
      <c r="HX67" s="392"/>
      <c r="HY67" s="392"/>
      <c r="HZ67" s="392"/>
      <c r="IA67" s="392"/>
      <c r="IB67" s="392"/>
      <c r="IC67" s="392"/>
      <c r="ID67" s="392"/>
      <c r="IE67" s="392"/>
      <c r="IF67" s="392"/>
      <c r="IG67" s="392"/>
      <c r="IH67" s="392"/>
      <c r="II67" s="392"/>
      <c r="IJ67" s="392"/>
      <c r="IK67" s="392"/>
      <c r="IL67" s="392"/>
      <c r="IM67" s="392"/>
      <c r="IN67" s="392"/>
      <c r="IO67" s="392"/>
      <c r="IP67" s="392"/>
      <c r="IQ67" s="392"/>
      <c r="IR67" s="392"/>
      <c r="IS67" s="392"/>
      <c r="IT67" s="392"/>
      <c r="IU67" s="392"/>
      <c r="IV67" s="392"/>
    </row>
    <row r="68" spans="1:256" ht="15.75">
      <c r="A68" s="392"/>
      <c r="B68" s="436" t="s">
        <v>181</v>
      </c>
      <c r="C68" s="317" t="str">
        <f>C75</f>
        <v>LABIRINTO</v>
      </c>
      <c r="D68" s="434" t="s">
        <v>22</v>
      </c>
      <c r="E68" s="570">
        <v>1</v>
      </c>
      <c r="F68" s="568">
        <f>D80</f>
        <v>2992.97</v>
      </c>
      <c r="G68" s="553">
        <f>TRUNC(F68*E68,2)</f>
        <v>2992.97</v>
      </c>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c r="BK68" s="392"/>
      <c r="BL68" s="392"/>
      <c r="BM68" s="392"/>
      <c r="BN68" s="392"/>
      <c r="BO68" s="392"/>
      <c r="BP68" s="392"/>
      <c r="BQ68" s="392"/>
      <c r="BR68" s="392"/>
      <c r="BS68" s="392"/>
      <c r="BT68" s="392"/>
      <c r="BU68" s="392"/>
      <c r="BV68" s="392"/>
      <c r="BW68" s="392"/>
      <c r="BX68" s="392"/>
      <c r="BY68" s="392"/>
      <c r="BZ68" s="392"/>
      <c r="CA68" s="392"/>
      <c r="CB68" s="392"/>
      <c r="CC68" s="392"/>
      <c r="CD68" s="392"/>
      <c r="CE68" s="392"/>
      <c r="CF68" s="392"/>
      <c r="CG68" s="392"/>
      <c r="CH68" s="392"/>
      <c r="CI68" s="392"/>
      <c r="CJ68" s="392"/>
      <c r="CK68" s="392"/>
      <c r="CL68" s="392"/>
      <c r="CM68" s="392"/>
      <c r="CN68" s="392"/>
      <c r="CO68" s="392"/>
      <c r="CP68" s="392"/>
      <c r="CQ68" s="392"/>
      <c r="CR68" s="392"/>
      <c r="CS68" s="392"/>
      <c r="CT68" s="392"/>
      <c r="CU68" s="392"/>
      <c r="CV68" s="392"/>
      <c r="CW68" s="392"/>
      <c r="CX68" s="392"/>
      <c r="CY68" s="392"/>
      <c r="CZ68" s="392"/>
      <c r="DA68" s="392"/>
      <c r="DB68" s="392"/>
      <c r="DC68" s="392"/>
      <c r="DD68" s="392"/>
      <c r="DE68" s="392"/>
      <c r="DF68" s="392"/>
      <c r="DG68" s="392"/>
      <c r="DH68" s="392"/>
      <c r="DI68" s="392"/>
      <c r="DJ68" s="392"/>
      <c r="DK68" s="392"/>
      <c r="DL68" s="392"/>
      <c r="DM68" s="392"/>
      <c r="DN68" s="392"/>
      <c r="DO68" s="392"/>
      <c r="DP68" s="392"/>
      <c r="DQ68" s="392"/>
      <c r="DR68" s="392"/>
      <c r="DS68" s="392"/>
      <c r="DT68" s="392"/>
      <c r="DU68" s="392"/>
      <c r="DV68" s="392"/>
      <c r="DW68" s="392"/>
      <c r="DX68" s="392"/>
      <c r="DY68" s="392"/>
      <c r="DZ68" s="392"/>
      <c r="EA68" s="392"/>
      <c r="EB68" s="392"/>
      <c r="EC68" s="392"/>
      <c r="ED68" s="392"/>
      <c r="EE68" s="392"/>
      <c r="EF68" s="392"/>
      <c r="EG68" s="392"/>
      <c r="EH68" s="392"/>
      <c r="EI68" s="392"/>
      <c r="EJ68" s="392"/>
      <c r="EK68" s="392"/>
      <c r="EL68" s="392"/>
      <c r="EM68" s="392"/>
      <c r="EN68" s="392"/>
      <c r="EO68" s="392"/>
      <c r="EP68" s="392"/>
      <c r="EQ68" s="392"/>
      <c r="ER68" s="392"/>
      <c r="ES68" s="392"/>
      <c r="ET68" s="392"/>
      <c r="EU68" s="392"/>
      <c r="EV68" s="392"/>
      <c r="EW68" s="392"/>
      <c r="EX68" s="392"/>
      <c r="EY68" s="392"/>
      <c r="EZ68" s="392"/>
      <c r="FA68" s="392"/>
      <c r="FB68" s="392"/>
      <c r="FC68" s="392"/>
      <c r="FD68" s="392"/>
      <c r="FE68" s="392"/>
      <c r="FF68" s="392"/>
      <c r="FG68" s="392"/>
      <c r="FH68" s="392"/>
      <c r="FI68" s="392"/>
      <c r="FJ68" s="392"/>
      <c r="FK68" s="392"/>
      <c r="FL68" s="392"/>
      <c r="FM68" s="392"/>
      <c r="FN68" s="392"/>
      <c r="FO68" s="392"/>
      <c r="FP68" s="392"/>
      <c r="FQ68" s="392"/>
      <c r="FR68" s="392"/>
      <c r="FS68" s="392"/>
      <c r="FT68" s="392"/>
      <c r="FU68" s="392"/>
      <c r="FV68" s="392"/>
      <c r="FW68" s="392"/>
      <c r="FX68" s="392"/>
      <c r="FY68" s="392"/>
      <c r="FZ68" s="392"/>
      <c r="GA68" s="392"/>
      <c r="GB68" s="392"/>
      <c r="GC68" s="392"/>
      <c r="GD68" s="392"/>
      <c r="GE68" s="392"/>
      <c r="GF68" s="392"/>
      <c r="GG68" s="392"/>
      <c r="GH68" s="392"/>
      <c r="GI68" s="392"/>
      <c r="GJ68" s="392"/>
      <c r="GK68" s="392"/>
      <c r="GL68" s="392"/>
      <c r="GM68" s="392"/>
      <c r="GN68" s="392"/>
      <c r="GO68" s="392"/>
      <c r="GP68" s="392"/>
      <c r="GQ68" s="392"/>
      <c r="GR68" s="392"/>
      <c r="GS68" s="392"/>
      <c r="GT68" s="392"/>
      <c r="GU68" s="392"/>
      <c r="GV68" s="392"/>
      <c r="GW68" s="392"/>
      <c r="GX68" s="392"/>
      <c r="GY68" s="392"/>
      <c r="GZ68" s="392"/>
      <c r="HA68" s="392"/>
      <c r="HB68" s="392"/>
      <c r="HC68" s="392"/>
      <c r="HD68" s="392"/>
      <c r="HE68" s="392"/>
      <c r="HF68" s="392"/>
      <c r="HG68" s="392"/>
      <c r="HH68" s="392"/>
      <c r="HI68" s="392"/>
      <c r="HJ68" s="392"/>
      <c r="HK68" s="392"/>
      <c r="HL68" s="392"/>
      <c r="HM68" s="392"/>
      <c r="HN68" s="392"/>
      <c r="HO68" s="392"/>
      <c r="HP68" s="392"/>
      <c r="HQ68" s="392"/>
      <c r="HR68" s="392"/>
      <c r="HS68" s="392"/>
      <c r="HT68" s="392"/>
      <c r="HU68" s="392"/>
      <c r="HV68" s="392"/>
      <c r="HW68" s="392"/>
      <c r="HX68" s="392"/>
      <c r="HY68" s="392"/>
      <c r="HZ68" s="392"/>
      <c r="IA68" s="392"/>
      <c r="IB68" s="392"/>
      <c r="IC68" s="392"/>
      <c r="ID68" s="392"/>
      <c r="IE68" s="392"/>
      <c r="IF68" s="392"/>
      <c r="IG68" s="392"/>
      <c r="IH68" s="392"/>
      <c r="II68" s="392"/>
      <c r="IJ68" s="392"/>
      <c r="IK68" s="392"/>
      <c r="IL68" s="392"/>
      <c r="IM68" s="392"/>
      <c r="IN68" s="392"/>
      <c r="IO68" s="392"/>
      <c r="IP68" s="392"/>
      <c r="IQ68" s="392"/>
      <c r="IR68" s="392"/>
      <c r="IS68" s="392"/>
      <c r="IT68" s="392"/>
      <c r="IU68" s="392"/>
      <c r="IV68" s="392"/>
    </row>
    <row r="69" spans="1:256" ht="45.75">
      <c r="A69" s="333" t="s">
        <v>391</v>
      </c>
      <c r="B69" s="436">
        <v>102486</v>
      </c>
      <c r="C69" s="317" t="str">
        <f>IF($A69="INSUMO",VLOOKUP($B69,'BANCO DE DADOS JANEIRO-24 INS'!$A:$D,2,FALSE),VLOOKUP($B69,'BANCO DE DADOS JANEIRO-24 SERV'!$B:$E,2,FALSE))</f>
        <v>CONCRETO FCK = 15MPA, TRAÇO 1:3,4:3,4 (EM MASSA SECA DE CIMENTO/ AREIA MÉDIA/ SEIXO ROLADO) - PREPARO MANUAL. AF_05/2021</v>
      </c>
      <c r="D69" s="316" t="str">
        <f>IF($A69="INSUMO",VLOOKUP($B69,'BANCO DE DADOS JANEIRO-24 INS'!$A:$D,3,FALSE),VLOOKUP($B69,'BANCO DE DADOS JANEIRO-24 SERV'!$B:$E,3,FALSE))</f>
        <v>M3</v>
      </c>
      <c r="E69" s="570">
        <v>7.4999999999999997E-2</v>
      </c>
      <c r="F69" s="320">
        <f>IF($A69="INSUMO",VLOOKUP($B69,'BANCO DE DADOS JANEIRO-24 INS'!$A:$D,4,FALSE),VLOOKUP($B69,'BANCO DE DADOS JANEIRO-24 SERV'!$B:$E,4,FALSE))</f>
        <v>763.53</v>
      </c>
      <c r="G69" s="553">
        <f>TRUNC(F69*E69,2)</f>
        <v>57.26</v>
      </c>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c r="BH69" s="392"/>
      <c r="BI69" s="392"/>
      <c r="BJ69" s="392"/>
      <c r="BK69" s="392"/>
      <c r="BL69" s="392"/>
      <c r="BM69" s="392"/>
      <c r="BN69" s="392"/>
      <c r="BO69" s="392"/>
      <c r="BP69" s="392"/>
      <c r="BQ69" s="392"/>
      <c r="BR69" s="392"/>
      <c r="BS69" s="392"/>
      <c r="BT69" s="392"/>
      <c r="BU69" s="392"/>
      <c r="BV69" s="392"/>
      <c r="BW69" s="392"/>
      <c r="BX69" s="392"/>
      <c r="BY69" s="392"/>
      <c r="BZ69" s="392"/>
      <c r="CA69" s="392"/>
      <c r="CB69" s="392"/>
      <c r="CC69" s="392"/>
      <c r="CD69" s="392"/>
      <c r="CE69" s="392"/>
      <c r="CF69" s="392"/>
      <c r="CG69" s="392"/>
      <c r="CH69" s="392"/>
      <c r="CI69" s="392"/>
      <c r="CJ69" s="392"/>
      <c r="CK69" s="392"/>
      <c r="CL69" s="392"/>
      <c r="CM69" s="392"/>
      <c r="CN69" s="392"/>
      <c r="CO69" s="392"/>
      <c r="CP69" s="392"/>
      <c r="CQ69" s="392"/>
      <c r="CR69" s="392"/>
      <c r="CS69" s="392"/>
      <c r="CT69" s="392"/>
      <c r="CU69" s="392"/>
      <c r="CV69" s="392"/>
      <c r="CW69" s="392"/>
      <c r="CX69" s="392"/>
      <c r="CY69" s="392"/>
      <c r="CZ69" s="392"/>
      <c r="DA69" s="392"/>
      <c r="DB69" s="392"/>
      <c r="DC69" s="392"/>
      <c r="DD69" s="392"/>
      <c r="DE69" s="392"/>
      <c r="DF69" s="392"/>
      <c r="DG69" s="392"/>
      <c r="DH69" s="392"/>
      <c r="DI69" s="392"/>
      <c r="DJ69" s="392"/>
      <c r="DK69" s="392"/>
      <c r="DL69" s="392"/>
      <c r="DM69" s="392"/>
      <c r="DN69" s="392"/>
      <c r="DO69" s="392"/>
      <c r="DP69" s="392"/>
      <c r="DQ69" s="392"/>
      <c r="DR69" s="392"/>
      <c r="DS69" s="392"/>
      <c r="DT69" s="392"/>
      <c r="DU69" s="392"/>
      <c r="DV69" s="392"/>
      <c r="DW69" s="392"/>
      <c r="DX69" s="392"/>
      <c r="DY69" s="392"/>
      <c r="DZ69" s="392"/>
      <c r="EA69" s="392"/>
      <c r="EB69" s="392"/>
      <c r="EC69" s="392"/>
      <c r="ED69" s="392"/>
      <c r="EE69" s="392"/>
      <c r="EF69" s="392"/>
      <c r="EG69" s="392"/>
      <c r="EH69" s="392"/>
      <c r="EI69" s="392"/>
      <c r="EJ69" s="392"/>
      <c r="EK69" s="392"/>
      <c r="EL69" s="392"/>
      <c r="EM69" s="392"/>
      <c r="EN69" s="392"/>
      <c r="EO69" s="392"/>
      <c r="EP69" s="392"/>
      <c r="EQ69" s="392"/>
      <c r="ER69" s="392"/>
      <c r="ES69" s="392"/>
      <c r="ET69" s="392"/>
      <c r="EU69" s="392"/>
      <c r="EV69" s="392"/>
      <c r="EW69" s="392"/>
      <c r="EX69" s="392"/>
      <c r="EY69" s="392"/>
      <c r="EZ69" s="392"/>
      <c r="FA69" s="392"/>
      <c r="FB69" s="392"/>
      <c r="FC69" s="392"/>
      <c r="FD69" s="392"/>
      <c r="FE69" s="392"/>
      <c r="FF69" s="392"/>
      <c r="FG69" s="392"/>
      <c r="FH69" s="392"/>
      <c r="FI69" s="392"/>
      <c r="FJ69" s="392"/>
      <c r="FK69" s="392"/>
      <c r="FL69" s="392"/>
      <c r="FM69" s="392"/>
      <c r="FN69" s="392"/>
      <c r="FO69" s="392"/>
      <c r="FP69" s="392"/>
      <c r="FQ69" s="392"/>
      <c r="FR69" s="392"/>
      <c r="FS69" s="392"/>
      <c r="FT69" s="392"/>
      <c r="FU69" s="392"/>
      <c r="FV69" s="392"/>
      <c r="FW69" s="392"/>
      <c r="FX69" s="392"/>
      <c r="FY69" s="392"/>
      <c r="FZ69" s="392"/>
      <c r="GA69" s="392"/>
      <c r="GB69" s="392"/>
      <c r="GC69" s="392"/>
      <c r="GD69" s="392"/>
      <c r="GE69" s="392"/>
      <c r="GF69" s="392"/>
      <c r="GG69" s="392"/>
      <c r="GH69" s="392"/>
      <c r="GI69" s="392"/>
      <c r="GJ69" s="392"/>
      <c r="GK69" s="392"/>
      <c r="GL69" s="392"/>
      <c r="GM69" s="392"/>
      <c r="GN69" s="392"/>
      <c r="GO69" s="392"/>
      <c r="GP69" s="392"/>
      <c r="GQ69" s="392"/>
      <c r="GR69" s="392"/>
      <c r="GS69" s="392"/>
      <c r="GT69" s="392"/>
      <c r="GU69" s="392"/>
      <c r="GV69" s="392"/>
      <c r="GW69" s="392"/>
      <c r="GX69" s="392"/>
      <c r="GY69" s="392"/>
      <c r="GZ69" s="392"/>
      <c r="HA69" s="392"/>
      <c r="HB69" s="392"/>
      <c r="HC69" s="392"/>
      <c r="HD69" s="392"/>
      <c r="HE69" s="392"/>
      <c r="HF69" s="392"/>
      <c r="HG69" s="392"/>
      <c r="HH69" s="392"/>
      <c r="HI69" s="392"/>
      <c r="HJ69" s="392"/>
      <c r="HK69" s="392"/>
      <c r="HL69" s="392"/>
      <c r="HM69" s="392"/>
      <c r="HN69" s="392"/>
      <c r="HO69" s="392"/>
      <c r="HP69" s="392"/>
      <c r="HQ69" s="392"/>
      <c r="HR69" s="392"/>
      <c r="HS69" s="392"/>
      <c r="HT69" s="392"/>
      <c r="HU69" s="392"/>
      <c r="HV69" s="392"/>
      <c r="HW69" s="392"/>
      <c r="HX69" s="392"/>
      <c r="HY69" s="392"/>
      <c r="HZ69" s="392"/>
      <c r="IA69" s="392"/>
      <c r="IB69" s="392"/>
      <c r="IC69" s="392"/>
      <c r="ID69" s="392"/>
      <c r="IE69" s="392"/>
      <c r="IF69" s="392"/>
      <c r="IG69" s="392"/>
      <c r="IH69" s="392"/>
      <c r="II69" s="392"/>
      <c r="IJ69" s="392"/>
      <c r="IK69" s="392"/>
      <c r="IL69" s="392"/>
      <c r="IM69" s="392"/>
      <c r="IN69" s="392"/>
      <c r="IO69" s="392"/>
      <c r="IP69" s="392"/>
      <c r="IQ69" s="392"/>
      <c r="IR69" s="392"/>
      <c r="IS69" s="392"/>
      <c r="IT69" s="392"/>
      <c r="IU69" s="392"/>
      <c r="IV69" s="392"/>
    </row>
    <row r="70" spans="1:256" s="271" customFormat="1" ht="15.75">
      <c r="A70" s="333"/>
      <c r="B70" s="2312" t="s">
        <v>169</v>
      </c>
      <c r="C70" s="2313"/>
      <c r="D70" s="2313"/>
      <c r="E70" s="2313"/>
      <c r="F70" s="2313"/>
      <c r="G70" s="2314"/>
    </row>
    <row r="71" spans="1:256" s="271" customFormat="1" ht="15.75">
      <c r="A71" s="333" t="s">
        <v>391</v>
      </c>
      <c r="B71" s="1274">
        <v>88309</v>
      </c>
      <c r="C71" s="1098" t="str">
        <f>IF($A71="INSUMO",VLOOKUP($B71,'BANCO DE DADOS JANEIRO-24 INS'!$A:$D,2,FALSE),VLOOKUP($B71,'BANCO DE DADOS JANEIRO-24 SERV'!$B:$E,2,FALSE))</f>
        <v>PEDREIRO COM ENCARGOS COMPLEMENTARES</v>
      </c>
      <c r="D71" s="1099" t="str">
        <f>IF($A71="INSUMO",VLOOKUP($B71,'BANCO DE DADOS JANEIRO-24 INS'!$A:$D,3,FALSE),VLOOKUP($B71,'BANCO DE DADOS JANEIRO-24 SERV'!$B:$E,3,FALSE))</f>
        <v>H</v>
      </c>
      <c r="E71" s="570">
        <v>3.7</v>
      </c>
      <c r="F71" s="1146">
        <f>IF($A71="INSUMO",VLOOKUP($B71,'BANCO DE DADOS JANEIRO-24 INS'!$A:$D,4,FALSE),VLOOKUP($B71,'BANCO DE DADOS JANEIRO-24 SERV'!$B:$E,4,FALSE))</f>
        <v>25.62</v>
      </c>
      <c r="G71" s="1101">
        <f>TRUNC(E71*F71,2)</f>
        <v>94.79</v>
      </c>
    </row>
    <row r="72" spans="1:256" s="271" customFormat="1" ht="16.5" thickBot="1">
      <c r="A72" s="333" t="s">
        <v>391</v>
      </c>
      <c r="B72" s="965">
        <v>88316</v>
      </c>
      <c r="C72" s="1103" t="str">
        <f>IF($A72="INSUMO",VLOOKUP($B72,'BANCO DE DADOS JANEIRO-24 INS'!$A:$D,2,FALSE),VLOOKUP($B72,'BANCO DE DADOS JANEIRO-24 SERV'!$B:$E,2,FALSE))</f>
        <v>SERVENTE COM ENCARGOS COMPLEMENTARES</v>
      </c>
      <c r="D72" s="1104" t="str">
        <f>IF($A72="INSUMO",VLOOKUP($B72,'BANCO DE DADOS JANEIRO-24 INS'!$A:$D,3,FALSE),VLOOKUP($B72,'BANCO DE DADOS JANEIRO-24 SERV'!$B:$E,3,FALSE))</f>
        <v>H</v>
      </c>
      <c r="E72" s="570">
        <v>0.84</v>
      </c>
      <c r="F72" s="1105">
        <f>IF($A72="INSUMO",VLOOKUP($B72,'BANCO DE DADOS JANEIRO-24 INS'!$A:$D,4,FALSE),VLOOKUP($B72,'BANCO DE DADOS JANEIRO-24 SERV'!$B:$E,4,FALSE))</f>
        <v>20.32</v>
      </c>
      <c r="G72" s="1106">
        <f>TRUNC(E72*F72,2)</f>
        <v>17.059999999999999</v>
      </c>
    </row>
    <row r="73" spans="1:256" ht="21" customHeight="1" thickBot="1">
      <c r="A73" s="392"/>
      <c r="B73" s="2485" t="s">
        <v>14072</v>
      </c>
      <c r="C73" s="2485"/>
      <c r="D73" s="2485"/>
      <c r="E73" s="2486"/>
      <c r="F73" s="263" t="s">
        <v>167</v>
      </c>
      <c r="G73" s="264">
        <f>TRUNC(SUM(G68:G72),2)</f>
        <v>3162.08</v>
      </c>
      <c r="H73" s="392"/>
      <c r="I73" s="392"/>
      <c r="J73" s="392"/>
      <c r="K73" s="392"/>
      <c r="L73" s="392"/>
      <c r="M73" s="392"/>
      <c r="N73" s="392"/>
      <c r="O73" s="392"/>
      <c r="P73" s="392"/>
      <c r="Q73" s="392"/>
      <c r="R73" s="392"/>
      <c r="S73" s="392"/>
      <c r="T73" s="392"/>
      <c r="U73" s="392"/>
      <c r="V73" s="392"/>
      <c r="W73" s="392"/>
      <c r="X73" s="392"/>
      <c r="Y73" s="392"/>
      <c r="Z73" s="392"/>
      <c r="AA73" s="392"/>
      <c r="AB73" s="392"/>
      <c r="AC73" s="392"/>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2"/>
      <c r="AZ73" s="392"/>
      <c r="BA73" s="392"/>
      <c r="BB73" s="392"/>
      <c r="BC73" s="392"/>
      <c r="BD73" s="392"/>
      <c r="BE73" s="392"/>
      <c r="BF73" s="392"/>
      <c r="BG73" s="392"/>
      <c r="BH73" s="392"/>
      <c r="BI73" s="392"/>
      <c r="BJ73" s="392"/>
      <c r="BK73" s="392"/>
      <c r="BL73" s="392"/>
      <c r="BM73" s="392"/>
      <c r="BN73" s="392"/>
      <c r="BO73" s="392"/>
      <c r="BP73" s="392"/>
      <c r="BQ73" s="392"/>
      <c r="BR73" s="392"/>
      <c r="BS73" s="392"/>
      <c r="BT73" s="392"/>
      <c r="BU73" s="392"/>
      <c r="BV73" s="392"/>
      <c r="BW73" s="392"/>
      <c r="BX73" s="392"/>
      <c r="BY73" s="392"/>
      <c r="BZ73" s="392"/>
      <c r="CA73" s="392"/>
      <c r="CB73" s="392"/>
      <c r="CC73" s="392"/>
      <c r="CD73" s="392"/>
      <c r="CE73" s="392"/>
      <c r="CF73" s="392"/>
      <c r="CG73" s="392"/>
      <c r="CH73" s="392"/>
      <c r="CI73" s="392"/>
      <c r="CJ73" s="392"/>
      <c r="CK73" s="392"/>
      <c r="CL73" s="392"/>
      <c r="CM73" s="392"/>
      <c r="CN73" s="392"/>
      <c r="CO73" s="392"/>
      <c r="CP73" s="392"/>
      <c r="CQ73" s="392"/>
      <c r="CR73" s="392"/>
      <c r="CS73" s="392"/>
      <c r="CT73" s="392"/>
      <c r="CU73" s="392"/>
      <c r="CV73" s="392"/>
      <c r="CW73" s="392"/>
      <c r="CX73" s="392"/>
      <c r="CY73" s="392"/>
      <c r="CZ73" s="392"/>
      <c r="DA73" s="392"/>
      <c r="DB73" s="392"/>
      <c r="DC73" s="392"/>
      <c r="DD73" s="392"/>
      <c r="DE73" s="392"/>
      <c r="DF73" s="392"/>
      <c r="DG73" s="392"/>
      <c r="DH73" s="392"/>
      <c r="DI73" s="392"/>
      <c r="DJ73" s="392"/>
      <c r="DK73" s="392"/>
      <c r="DL73" s="392"/>
      <c r="DM73" s="392"/>
      <c r="DN73" s="392"/>
      <c r="DO73" s="392"/>
      <c r="DP73" s="392"/>
      <c r="DQ73" s="392"/>
      <c r="DR73" s="392"/>
      <c r="DS73" s="392"/>
      <c r="DT73" s="392"/>
      <c r="DU73" s="392"/>
      <c r="DV73" s="392"/>
      <c r="DW73" s="392"/>
      <c r="DX73" s="392"/>
      <c r="DY73" s="392"/>
      <c r="DZ73" s="392"/>
      <c r="EA73" s="392"/>
      <c r="EB73" s="392"/>
      <c r="EC73" s="392"/>
      <c r="ED73" s="392"/>
      <c r="EE73" s="392"/>
      <c r="EF73" s="392"/>
      <c r="EG73" s="392"/>
      <c r="EH73" s="392"/>
      <c r="EI73" s="392"/>
      <c r="EJ73" s="392"/>
      <c r="EK73" s="392"/>
      <c r="EL73" s="392"/>
      <c r="EM73" s="392"/>
      <c r="EN73" s="392"/>
      <c r="EO73" s="392"/>
      <c r="EP73" s="392"/>
      <c r="EQ73" s="392"/>
      <c r="ER73" s="392"/>
      <c r="ES73" s="392"/>
      <c r="ET73" s="392"/>
      <c r="EU73" s="392"/>
      <c r="EV73" s="392"/>
      <c r="EW73" s="392"/>
      <c r="EX73" s="392"/>
      <c r="EY73" s="392"/>
      <c r="EZ73" s="392"/>
      <c r="FA73" s="392"/>
      <c r="FB73" s="392"/>
      <c r="FC73" s="392"/>
      <c r="FD73" s="392"/>
      <c r="FE73" s="392"/>
      <c r="FF73" s="392"/>
      <c r="FG73" s="392"/>
      <c r="FH73" s="392"/>
      <c r="FI73" s="392"/>
      <c r="FJ73" s="392"/>
      <c r="FK73" s="392"/>
      <c r="FL73" s="392"/>
      <c r="FM73" s="392"/>
      <c r="FN73" s="392"/>
      <c r="FO73" s="392"/>
      <c r="FP73" s="392"/>
      <c r="FQ73" s="392"/>
      <c r="FR73" s="392"/>
      <c r="FS73" s="392"/>
      <c r="FT73" s="392"/>
      <c r="FU73" s="392"/>
      <c r="FV73" s="392"/>
      <c r="FW73" s="392"/>
      <c r="FX73" s="392"/>
      <c r="FY73" s="392"/>
      <c r="FZ73" s="392"/>
      <c r="GA73" s="392"/>
      <c r="GB73" s="392"/>
      <c r="GC73" s="392"/>
      <c r="GD73" s="392"/>
      <c r="GE73" s="392"/>
      <c r="GF73" s="392"/>
      <c r="GG73" s="392"/>
      <c r="GH73" s="392"/>
      <c r="GI73" s="392"/>
      <c r="GJ73" s="392"/>
      <c r="GK73" s="392"/>
      <c r="GL73" s="392"/>
      <c r="GM73" s="392"/>
      <c r="GN73" s="392"/>
      <c r="GO73" s="392"/>
      <c r="GP73" s="392"/>
      <c r="GQ73" s="392"/>
      <c r="GR73" s="392"/>
      <c r="GS73" s="392"/>
      <c r="GT73" s="392"/>
      <c r="GU73" s="392"/>
      <c r="GV73" s="392"/>
      <c r="GW73" s="392"/>
      <c r="GX73" s="392"/>
      <c r="GY73" s="392"/>
      <c r="GZ73" s="392"/>
      <c r="HA73" s="392"/>
      <c r="HB73" s="392"/>
      <c r="HC73" s="392"/>
      <c r="HD73" s="392"/>
      <c r="HE73" s="392"/>
      <c r="HF73" s="392"/>
      <c r="HG73" s="392"/>
      <c r="HH73" s="392"/>
      <c r="HI73" s="392"/>
      <c r="HJ73" s="392"/>
      <c r="HK73" s="392"/>
      <c r="HL73" s="392"/>
      <c r="HM73" s="392"/>
      <c r="HN73" s="392"/>
      <c r="HO73" s="392"/>
      <c r="HP73" s="392"/>
      <c r="HQ73" s="392"/>
      <c r="HR73" s="392"/>
      <c r="HS73" s="392"/>
      <c r="HT73" s="392"/>
      <c r="HU73" s="392"/>
      <c r="HV73" s="392"/>
      <c r="HW73" s="392"/>
      <c r="HX73" s="392"/>
      <c r="HY73" s="392"/>
      <c r="HZ73" s="392"/>
      <c r="IA73" s="392"/>
      <c r="IB73" s="392"/>
      <c r="IC73" s="392"/>
      <c r="ID73" s="392"/>
      <c r="IE73" s="392"/>
      <c r="IF73" s="392"/>
      <c r="IG73" s="392"/>
      <c r="IH73" s="392"/>
      <c r="II73" s="392"/>
      <c r="IJ73" s="392"/>
      <c r="IK73" s="392"/>
      <c r="IL73" s="392"/>
      <c r="IM73" s="392"/>
      <c r="IN73" s="392"/>
      <c r="IO73" s="392"/>
      <c r="IP73" s="392"/>
      <c r="IQ73" s="392"/>
      <c r="IR73" s="392"/>
      <c r="IS73" s="392"/>
      <c r="IT73" s="392"/>
      <c r="IU73" s="392"/>
      <c r="IV73" s="392"/>
    </row>
    <row r="74" spans="1:256" s="271" customFormat="1" ht="16.5" thickBot="1">
      <c r="A74" s="333"/>
      <c r="B74" s="230"/>
      <c r="C74" s="235"/>
      <c r="D74" s="235"/>
      <c r="E74" s="235"/>
      <c r="F74" s="235"/>
      <c r="G74" s="235"/>
    </row>
    <row r="75" spans="1:256" s="271" customFormat="1" ht="18">
      <c r="A75" s="333"/>
      <c r="B75" s="1744" t="s">
        <v>181</v>
      </c>
      <c r="C75" s="2164" t="s">
        <v>14071</v>
      </c>
      <c r="D75" s="2165"/>
      <c r="E75" s="2165"/>
      <c r="F75" s="2166"/>
      <c r="G75" s="1670" t="s">
        <v>22</v>
      </c>
      <c r="H75" s="1173" t="s">
        <v>1977</v>
      </c>
    </row>
    <row r="76" spans="1:256" s="271" customFormat="1" ht="31.5">
      <c r="A76" s="333"/>
      <c r="B76" s="1107" t="s">
        <v>174</v>
      </c>
      <c r="C76" s="1108" t="s">
        <v>175</v>
      </c>
      <c r="D76" s="1109" t="s">
        <v>176</v>
      </c>
      <c r="E76" s="1110" t="s">
        <v>177</v>
      </c>
      <c r="F76" s="1111" t="s">
        <v>178</v>
      </c>
      <c r="G76" s="1112" t="s">
        <v>179</v>
      </c>
    </row>
    <row r="77" spans="1:256" s="271" customFormat="1" ht="15.75">
      <c r="A77" s="333"/>
      <c r="B77" s="1856">
        <v>45348</v>
      </c>
      <c r="C77" s="1758" t="s">
        <v>14644</v>
      </c>
      <c r="D77" s="1762">
        <v>3128.08</v>
      </c>
      <c r="E77" s="1762" t="s">
        <v>14409</v>
      </c>
      <c r="F77" s="1759" t="s">
        <v>14645</v>
      </c>
      <c r="G77" s="1401" t="s">
        <v>14646</v>
      </c>
      <c r="H77" s="1176"/>
    </row>
    <row r="78" spans="1:256" s="271" customFormat="1" ht="15.75">
      <c r="A78" s="333"/>
      <c r="B78" s="1856">
        <v>45345</v>
      </c>
      <c r="C78" s="1758" t="s">
        <v>14506</v>
      </c>
      <c r="D78" s="1762">
        <v>1421.32</v>
      </c>
      <c r="E78" s="1762" t="s">
        <v>14409</v>
      </c>
      <c r="F78" s="1760" t="s">
        <v>14507</v>
      </c>
      <c r="G78" s="1362" t="s">
        <v>14508</v>
      </c>
      <c r="H78" s="1176"/>
    </row>
    <row r="79" spans="1:256" s="271" customFormat="1" ht="15.75">
      <c r="A79" s="333"/>
      <c r="B79" s="1856">
        <v>45345</v>
      </c>
      <c r="C79" s="1758" t="s">
        <v>4610</v>
      </c>
      <c r="D79" s="1762">
        <v>2992.97</v>
      </c>
      <c r="E79" s="1762" t="s">
        <v>4609</v>
      </c>
      <c r="F79" s="1760" t="s">
        <v>14062</v>
      </c>
      <c r="G79" s="1362" t="s">
        <v>4607</v>
      </c>
      <c r="H79" s="1176"/>
    </row>
    <row r="80" spans="1:256" s="271" customFormat="1" ht="16.5" thickBot="1">
      <c r="A80" s="333"/>
      <c r="B80" s="1711"/>
      <c r="C80" s="1668" t="s">
        <v>180</v>
      </c>
      <c r="D80" s="1673">
        <f>IF(COUNT(D76:D79)=3,MEDIAN(D77:D79),SMALL(D77:D79,1))</f>
        <v>2992.97</v>
      </c>
      <c r="E80" s="1674"/>
      <c r="F80" s="1675"/>
      <c r="G80" s="1671"/>
    </row>
    <row r="81" spans="1:256" ht="13.5" thickBot="1"/>
    <row r="82" spans="1:256" ht="34.5" customHeight="1">
      <c r="A82" s="392"/>
      <c r="B82" s="377" t="str">
        <f>IF(COUNT($H$13:H82)&lt;10,CONCATENATE("CPU PLAY 00",COUNT($H$13:H82)),CONCATENATE("CPU PLAY 0",COUNT($H$13:H82)))</f>
        <v>CPU PLAY 005</v>
      </c>
      <c r="C82" s="2180" t="s">
        <v>14073</v>
      </c>
      <c r="D82" s="2180"/>
      <c r="E82" s="2180"/>
      <c r="F82" s="2180"/>
      <c r="G82" s="624" t="s">
        <v>22</v>
      </c>
      <c r="H82" s="465">
        <f>G90</f>
        <v>2957.48</v>
      </c>
      <c r="I82" s="392"/>
      <c r="J82" s="392"/>
      <c r="K82" s="392"/>
      <c r="L82" s="392"/>
      <c r="M82" s="392"/>
      <c r="N82" s="392"/>
      <c r="O82" s="392"/>
      <c r="P82" s="392"/>
      <c r="Q82" s="392"/>
      <c r="R82" s="392"/>
      <c r="S82" s="392"/>
      <c r="T82" s="392"/>
      <c r="U82" s="392"/>
      <c r="V82" s="392"/>
      <c r="W82" s="392"/>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2"/>
      <c r="AZ82" s="392"/>
      <c r="BA82" s="392"/>
      <c r="BB82" s="392"/>
      <c r="BC82" s="392"/>
      <c r="BD82" s="392"/>
      <c r="BE82" s="392"/>
      <c r="BF82" s="392"/>
      <c r="BG82" s="392"/>
      <c r="BH82" s="392"/>
      <c r="BI82" s="392"/>
      <c r="BJ82" s="392"/>
      <c r="BK82" s="392"/>
      <c r="BL82" s="392"/>
      <c r="BM82" s="392"/>
      <c r="BN82" s="392"/>
      <c r="BO82" s="392"/>
      <c r="BP82" s="392"/>
      <c r="BQ82" s="392"/>
      <c r="BR82" s="392"/>
      <c r="BS82" s="392"/>
      <c r="BT82" s="392"/>
      <c r="BU82" s="392"/>
      <c r="BV82" s="392"/>
      <c r="BW82" s="392"/>
      <c r="BX82" s="392"/>
      <c r="BY82" s="392"/>
      <c r="BZ82" s="392"/>
      <c r="CA82" s="392"/>
      <c r="CB82" s="392"/>
      <c r="CC82" s="392"/>
      <c r="CD82" s="392"/>
      <c r="CE82" s="392"/>
      <c r="CF82" s="392"/>
      <c r="CG82" s="392"/>
      <c r="CH82" s="392"/>
      <c r="CI82" s="392"/>
      <c r="CJ82" s="392"/>
      <c r="CK82" s="392"/>
      <c r="CL82" s="392"/>
      <c r="CM82" s="392"/>
      <c r="CN82" s="392"/>
      <c r="CO82" s="392"/>
      <c r="CP82" s="392"/>
      <c r="CQ82" s="392"/>
      <c r="CR82" s="392"/>
      <c r="CS82" s="392"/>
      <c r="CT82" s="392"/>
      <c r="CU82" s="392"/>
      <c r="CV82" s="392"/>
      <c r="CW82" s="392"/>
      <c r="CX82" s="392"/>
      <c r="CY82" s="392"/>
      <c r="CZ82" s="392"/>
      <c r="DA82" s="392"/>
      <c r="DB82" s="392"/>
      <c r="DC82" s="392"/>
      <c r="DD82" s="392"/>
      <c r="DE82" s="392"/>
      <c r="DF82" s="392"/>
      <c r="DG82" s="392"/>
      <c r="DH82" s="392"/>
      <c r="DI82" s="392"/>
      <c r="DJ82" s="392"/>
      <c r="DK82" s="392"/>
      <c r="DL82" s="392"/>
      <c r="DM82" s="392"/>
      <c r="DN82" s="392"/>
      <c r="DO82" s="392"/>
      <c r="DP82" s="392"/>
      <c r="DQ82" s="392"/>
      <c r="DR82" s="392"/>
      <c r="DS82" s="392"/>
      <c r="DT82" s="392"/>
      <c r="DU82" s="392"/>
      <c r="DV82" s="392"/>
      <c r="DW82" s="392"/>
      <c r="DX82" s="392"/>
      <c r="DY82" s="392"/>
      <c r="DZ82" s="392"/>
      <c r="EA82" s="392"/>
      <c r="EB82" s="392"/>
      <c r="EC82" s="392"/>
      <c r="ED82" s="392"/>
      <c r="EE82" s="392"/>
      <c r="EF82" s="392"/>
      <c r="EG82" s="392"/>
      <c r="EH82" s="392"/>
      <c r="EI82" s="392"/>
      <c r="EJ82" s="392"/>
      <c r="EK82" s="392"/>
      <c r="EL82" s="392"/>
      <c r="EM82" s="392"/>
      <c r="EN82" s="392"/>
      <c r="EO82" s="392"/>
      <c r="EP82" s="392"/>
      <c r="EQ82" s="392"/>
      <c r="ER82" s="392"/>
      <c r="ES82" s="392"/>
      <c r="ET82" s="392"/>
      <c r="EU82" s="392"/>
      <c r="EV82" s="392"/>
      <c r="EW82" s="392"/>
      <c r="EX82" s="392"/>
      <c r="EY82" s="392"/>
      <c r="EZ82" s="392"/>
      <c r="FA82" s="392"/>
      <c r="FB82" s="392"/>
      <c r="FC82" s="392"/>
      <c r="FD82" s="392"/>
      <c r="FE82" s="392"/>
      <c r="FF82" s="392"/>
      <c r="FG82" s="392"/>
      <c r="FH82" s="392"/>
      <c r="FI82" s="392"/>
      <c r="FJ82" s="392"/>
      <c r="FK82" s="392"/>
      <c r="FL82" s="392"/>
      <c r="FM82" s="392"/>
      <c r="FN82" s="392"/>
      <c r="FO82" s="392"/>
      <c r="FP82" s="392"/>
      <c r="FQ82" s="392"/>
      <c r="FR82" s="392"/>
      <c r="FS82" s="392"/>
      <c r="FT82" s="392"/>
      <c r="FU82" s="392"/>
      <c r="FV82" s="392"/>
      <c r="FW82" s="392"/>
      <c r="FX82" s="392"/>
      <c r="FY82" s="392"/>
      <c r="FZ82" s="392"/>
      <c r="GA82" s="392"/>
      <c r="GB82" s="392"/>
      <c r="GC82" s="392"/>
      <c r="GD82" s="392"/>
      <c r="GE82" s="392"/>
      <c r="GF82" s="392"/>
      <c r="GG82" s="392"/>
      <c r="GH82" s="392"/>
      <c r="GI82" s="392"/>
      <c r="GJ82" s="392"/>
      <c r="GK82" s="392"/>
      <c r="GL82" s="392"/>
      <c r="GM82" s="392"/>
      <c r="GN82" s="392"/>
      <c r="GO82" s="392"/>
      <c r="GP82" s="392"/>
      <c r="GQ82" s="392"/>
      <c r="GR82" s="392"/>
      <c r="GS82" s="392"/>
      <c r="GT82" s="392"/>
      <c r="GU82" s="392"/>
      <c r="GV82" s="392"/>
      <c r="GW82" s="392"/>
      <c r="GX82" s="392"/>
      <c r="GY82" s="392"/>
      <c r="GZ82" s="392"/>
      <c r="HA82" s="392"/>
      <c r="HB82" s="392"/>
      <c r="HC82" s="392"/>
      <c r="HD82" s="392"/>
      <c r="HE82" s="392"/>
      <c r="HF82" s="392"/>
      <c r="HG82" s="392"/>
      <c r="HH82" s="392"/>
      <c r="HI82" s="392"/>
      <c r="HJ82" s="392"/>
      <c r="HK82" s="392"/>
      <c r="HL82" s="392"/>
      <c r="HM82" s="392"/>
      <c r="HN82" s="392"/>
      <c r="HO82" s="392"/>
      <c r="HP82" s="392"/>
      <c r="HQ82" s="392"/>
      <c r="HR82" s="392"/>
      <c r="HS82" s="392"/>
      <c r="HT82" s="392"/>
      <c r="HU82" s="392"/>
      <c r="HV82" s="392"/>
      <c r="HW82" s="392"/>
      <c r="HX82" s="392"/>
      <c r="HY82" s="392"/>
      <c r="HZ82" s="392"/>
      <c r="IA82" s="392"/>
      <c r="IB82" s="392"/>
      <c r="IC82" s="392"/>
      <c r="ID82" s="392"/>
      <c r="IE82" s="392"/>
      <c r="IF82" s="392"/>
      <c r="IG82" s="392"/>
      <c r="IH82" s="392"/>
      <c r="II82" s="392"/>
      <c r="IJ82" s="392"/>
      <c r="IK82" s="392"/>
      <c r="IL82" s="392"/>
      <c r="IM82" s="392"/>
      <c r="IN82" s="392"/>
      <c r="IO82" s="392"/>
      <c r="IP82" s="392"/>
      <c r="IQ82" s="392"/>
      <c r="IR82" s="392"/>
      <c r="IS82" s="392"/>
      <c r="IT82" s="392"/>
      <c r="IU82" s="392"/>
      <c r="IV82" s="392"/>
    </row>
    <row r="83" spans="1:256" ht="31.5">
      <c r="A83" s="392"/>
      <c r="B83" s="433" t="s">
        <v>197</v>
      </c>
      <c r="C83" s="565" t="s">
        <v>161</v>
      </c>
      <c r="D83" s="565" t="s">
        <v>22</v>
      </c>
      <c r="E83" s="565" t="s">
        <v>162</v>
      </c>
      <c r="F83" s="566" t="s">
        <v>186</v>
      </c>
      <c r="G83" s="567" t="s">
        <v>187</v>
      </c>
      <c r="H83" s="392"/>
      <c r="I83" s="392"/>
      <c r="J83" s="392"/>
      <c r="K83" s="392"/>
      <c r="L83" s="392"/>
      <c r="M83" s="392"/>
      <c r="N83" s="392"/>
      <c r="O83" s="392"/>
      <c r="P83" s="392"/>
      <c r="Q83" s="392"/>
      <c r="R83" s="392"/>
      <c r="S83" s="392"/>
      <c r="T83" s="392"/>
      <c r="U83" s="392"/>
      <c r="V83" s="392"/>
      <c r="W83" s="392"/>
      <c r="X83" s="392"/>
      <c r="Y83" s="392"/>
      <c r="Z83" s="392"/>
      <c r="AA83" s="392"/>
      <c r="AB83" s="392"/>
      <c r="AC83" s="392"/>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392"/>
      <c r="BK83" s="392"/>
      <c r="BL83" s="392"/>
      <c r="BM83" s="392"/>
      <c r="BN83" s="392"/>
      <c r="BO83" s="392"/>
      <c r="BP83" s="392"/>
      <c r="BQ83" s="392"/>
      <c r="BR83" s="392"/>
      <c r="BS83" s="392"/>
      <c r="BT83" s="392"/>
      <c r="BU83" s="392"/>
      <c r="BV83" s="392"/>
      <c r="BW83" s="392"/>
      <c r="BX83" s="392"/>
      <c r="BY83" s="392"/>
      <c r="BZ83" s="392"/>
      <c r="CA83" s="392"/>
      <c r="CB83" s="392"/>
      <c r="CC83" s="392"/>
      <c r="CD83" s="392"/>
      <c r="CE83" s="392"/>
      <c r="CF83" s="392"/>
      <c r="CG83" s="392"/>
      <c r="CH83" s="392"/>
      <c r="CI83" s="392"/>
      <c r="CJ83" s="392"/>
      <c r="CK83" s="392"/>
      <c r="CL83" s="392"/>
      <c r="CM83" s="392"/>
      <c r="CN83" s="392"/>
      <c r="CO83" s="392"/>
      <c r="CP83" s="392"/>
      <c r="CQ83" s="392"/>
      <c r="CR83" s="392"/>
      <c r="CS83" s="392"/>
      <c r="CT83" s="392"/>
      <c r="CU83" s="392"/>
      <c r="CV83" s="392"/>
      <c r="CW83" s="392"/>
      <c r="CX83" s="392"/>
      <c r="CY83" s="392"/>
      <c r="CZ83" s="392"/>
      <c r="DA83" s="392"/>
      <c r="DB83" s="392"/>
      <c r="DC83" s="392"/>
      <c r="DD83" s="392"/>
      <c r="DE83" s="392"/>
      <c r="DF83" s="392"/>
      <c r="DG83" s="392"/>
      <c r="DH83" s="392"/>
      <c r="DI83" s="392"/>
      <c r="DJ83" s="392"/>
      <c r="DK83" s="392"/>
      <c r="DL83" s="392"/>
      <c r="DM83" s="392"/>
      <c r="DN83" s="392"/>
      <c r="DO83" s="392"/>
      <c r="DP83" s="392"/>
      <c r="DQ83" s="392"/>
      <c r="DR83" s="392"/>
      <c r="DS83" s="392"/>
      <c r="DT83" s="392"/>
      <c r="DU83" s="392"/>
      <c r="DV83" s="392"/>
      <c r="DW83" s="392"/>
      <c r="DX83" s="392"/>
      <c r="DY83" s="392"/>
      <c r="DZ83" s="392"/>
      <c r="EA83" s="392"/>
      <c r="EB83" s="392"/>
      <c r="EC83" s="392"/>
      <c r="ED83" s="392"/>
      <c r="EE83" s="392"/>
      <c r="EF83" s="392"/>
      <c r="EG83" s="392"/>
      <c r="EH83" s="392"/>
      <c r="EI83" s="392"/>
      <c r="EJ83" s="392"/>
      <c r="EK83" s="392"/>
      <c r="EL83" s="392"/>
      <c r="EM83" s="392"/>
      <c r="EN83" s="392"/>
      <c r="EO83" s="392"/>
      <c r="EP83" s="392"/>
      <c r="EQ83" s="392"/>
      <c r="ER83" s="392"/>
      <c r="ES83" s="392"/>
      <c r="ET83" s="392"/>
      <c r="EU83" s="392"/>
      <c r="EV83" s="392"/>
      <c r="EW83" s="392"/>
      <c r="EX83" s="392"/>
      <c r="EY83" s="392"/>
      <c r="EZ83" s="392"/>
      <c r="FA83" s="392"/>
      <c r="FB83" s="392"/>
      <c r="FC83" s="392"/>
      <c r="FD83" s="392"/>
      <c r="FE83" s="392"/>
      <c r="FF83" s="392"/>
      <c r="FG83" s="392"/>
      <c r="FH83" s="392"/>
      <c r="FI83" s="392"/>
      <c r="FJ83" s="392"/>
      <c r="FK83" s="392"/>
      <c r="FL83" s="392"/>
      <c r="FM83" s="392"/>
      <c r="FN83" s="392"/>
      <c r="FO83" s="392"/>
      <c r="FP83" s="392"/>
      <c r="FQ83" s="392"/>
      <c r="FR83" s="392"/>
      <c r="FS83" s="392"/>
      <c r="FT83" s="392"/>
      <c r="FU83" s="392"/>
      <c r="FV83" s="392"/>
      <c r="FW83" s="392"/>
      <c r="FX83" s="392"/>
      <c r="FY83" s="392"/>
      <c r="FZ83" s="392"/>
      <c r="GA83" s="392"/>
      <c r="GB83" s="392"/>
      <c r="GC83" s="392"/>
      <c r="GD83" s="392"/>
      <c r="GE83" s="392"/>
      <c r="GF83" s="392"/>
      <c r="GG83" s="392"/>
      <c r="GH83" s="392"/>
      <c r="GI83" s="392"/>
      <c r="GJ83" s="392"/>
      <c r="GK83" s="392"/>
      <c r="GL83" s="392"/>
      <c r="GM83" s="392"/>
      <c r="GN83" s="392"/>
      <c r="GO83" s="392"/>
      <c r="GP83" s="392"/>
      <c r="GQ83" s="392"/>
      <c r="GR83" s="392"/>
      <c r="GS83" s="392"/>
      <c r="GT83" s="392"/>
      <c r="GU83" s="392"/>
      <c r="GV83" s="392"/>
      <c r="GW83" s="392"/>
      <c r="GX83" s="392"/>
      <c r="GY83" s="392"/>
      <c r="GZ83" s="392"/>
      <c r="HA83" s="392"/>
      <c r="HB83" s="392"/>
      <c r="HC83" s="392"/>
      <c r="HD83" s="392"/>
      <c r="HE83" s="392"/>
      <c r="HF83" s="392"/>
      <c r="HG83" s="392"/>
      <c r="HH83" s="392"/>
      <c r="HI83" s="392"/>
      <c r="HJ83" s="392"/>
      <c r="HK83" s="392"/>
      <c r="HL83" s="392"/>
      <c r="HM83" s="392"/>
      <c r="HN83" s="392"/>
      <c r="HO83" s="392"/>
      <c r="HP83" s="392"/>
      <c r="HQ83" s="392"/>
      <c r="HR83" s="392"/>
      <c r="HS83" s="392"/>
      <c r="HT83" s="392"/>
      <c r="HU83" s="392"/>
      <c r="HV83" s="392"/>
      <c r="HW83" s="392"/>
      <c r="HX83" s="392"/>
      <c r="HY83" s="392"/>
      <c r="HZ83" s="392"/>
      <c r="IA83" s="392"/>
      <c r="IB83" s="392"/>
      <c r="IC83" s="392"/>
      <c r="ID83" s="392"/>
      <c r="IE83" s="392"/>
      <c r="IF83" s="392"/>
      <c r="IG83" s="392"/>
      <c r="IH83" s="392"/>
      <c r="II83" s="392"/>
      <c r="IJ83" s="392"/>
      <c r="IK83" s="392"/>
      <c r="IL83" s="392"/>
      <c r="IM83" s="392"/>
      <c r="IN83" s="392"/>
      <c r="IO83" s="392"/>
      <c r="IP83" s="392"/>
      <c r="IQ83" s="392"/>
      <c r="IR83" s="392"/>
      <c r="IS83" s="392"/>
      <c r="IT83" s="392"/>
      <c r="IU83" s="392"/>
      <c r="IV83" s="392"/>
    </row>
    <row r="84" spans="1:256" ht="15.75">
      <c r="A84" s="392"/>
      <c r="B84" s="2312" t="s">
        <v>165</v>
      </c>
      <c r="C84" s="2313"/>
      <c r="D84" s="2313"/>
      <c r="E84" s="2313"/>
      <c r="F84" s="2313"/>
      <c r="G84" s="2314"/>
      <c r="H84" s="392"/>
      <c r="I84" s="392"/>
      <c r="J84" s="392"/>
      <c r="K84" s="392"/>
      <c r="L84" s="392"/>
      <c r="M84" s="392"/>
      <c r="N84" s="392"/>
      <c r="O84" s="392"/>
      <c r="P84" s="392"/>
      <c r="Q84" s="392"/>
      <c r="R84" s="392"/>
      <c r="S84" s="392"/>
      <c r="T84" s="392"/>
      <c r="U84" s="392"/>
      <c r="V84" s="392"/>
      <c r="W84" s="392"/>
      <c r="X84" s="392"/>
      <c r="Y84" s="392"/>
      <c r="Z84" s="392"/>
      <c r="AA84" s="392"/>
      <c r="AB84" s="392"/>
      <c r="AC84" s="392"/>
      <c r="AD84" s="392"/>
      <c r="AE84" s="392"/>
      <c r="AF84" s="392"/>
      <c r="AG84" s="392"/>
      <c r="AH84" s="392"/>
      <c r="AI84" s="392"/>
      <c r="AJ84" s="392"/>
      <c r="AK84" s="392"/>
      <c r="AL84" s="392"/>
      <c r="AM84" s="392"/>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392"/>
      <c r="BK84" s="392"/>
      <c r="BL84" s="392"/>
      <c r="BM84" s="392"/>
      <c r="BN84" s="392"/>
      <c r="BO84" s="392"/>
      <c r="BP84" s="392"/>
      <c r="BQ84" s="392"/>
      <c r="BR84" s="392"/>
      <c r="BS84" s="392"/>
      <c r="BT84" s="392"/>
      <c r="BU84" s="392"/>
      <c r="BV84" s="392"/>
      <c r="BW84" s="392"/>
      <c r="BX84" s="392"/>
      <c r="BY84" s="392"/>
      <c r="BZ84" s="392"/>
      <c r="CA84" s="392"/>
      <c r="CB84" s="392"/>
      <c r="CC84" s="392"/>
      <c r="CD84" s="392"/>
      <c r="CE84" s="392"/>
      <c r="CF84" s="392"/>
      <c r="CG84" s="392"/>
      <c r="CH84" s="392"/>
      <c r="CI84" s="392"/>
      <c r="CJ84" s="392"/>
      <c r="CK84" s="392"/>
      <c r="CL84" s="392"/>
      <c r="CM84" s="392"/>
      <c r="CN84" s="392"/>
      <c r="CO84" s="392"/>
      <c r="CP84" s="392"/>
      <c r="CQ84" s="392"/>
      <c r="CR84" s="392"/>
      <c r="CS84" s="392"/>
      <c r="CT84" s="392"/>
      <c r="CU84" s="392"/>
      <c r="CV84" s="392"/>
      <c r="CW84" s="392"/>
      <c r="CX84" s="392"/>
      <c r="CY84" s="392"/>
      <c r="CZ84" s="392"/>
      <c r="DA84" s="392"/>
      <c r="DB84" s="392"/>
      <c r="DC84" s="392"/>
      <c r="DD84" s="392"/>
      <c r="DE84" s="392"/>
      <c r="DF84" s="392"/>
      <c r="DG84" s="392"/>
      <c r="DH84" s="392"/>
      <c r="DI84" s="392"/>
      <c r="DJ84" s="392"/>
      <c r="DK84" s="392"/>
      <c r="DL84" s="392"/>
      <c r="DM84" s="392"/>
      <c r="DN84" s="392"/>
      <c r="DO84" s="392"/>
      <c r="DP84" s="392"/>
      <c r="DQ84" s="392"/>
      <c r="DR84" s="392"/>
      <c r="DS84" s="392"/>
      <c r="DT84" s="392"/>
      <c r="DU84" s="392"/>
      <c r="DV84" s="392"/>
      <c r="DW84" s="392"/>
      <c r="DX84" s="392"/>
      <c r="DY84" s="392"/>
      <c r="DZ84" s="392"/>
      <c r="EA84" s="392"/>
      <c r="EB84" s="392"/>
      <c r="EC84" s="392"/>
      <c r="ED84" s="392"/>
      <c r="EE84" s="392"/>
      <c r="EF84" s="392"/>
      <c r="EG84" s="392"/>
      <c r="EH84" s="392"/>
      <c r="EI84" s="392"/>
      <c r="EJ84" s="392"/>
      <c r="EK84" s="392"/>
      <c r="EL84" s="392"/>
      <c r="EM84" s="392"/>
      <c r="EN84" s="392"/>
      <c r="EO84" s="392"/>
      <c r="EP84" s="392"/>
      <c r="EQ84" s="392"/>
      <c r="ER84" s="392"/>
      <c r="ES84" s="392"/>
      <c r="ET84" s="392"/>
      <c r="EU84" s="392"/>
      <c r="EV84" s="392"/>
      <c r="EW84" s="392"/>
      <c r="EX84" s="392"/>
      <c r="EY84" s="392"/>
      <c r="EZ84" s="392"/>
      <c r="FA84" s="392"/>
      <c r="FB84" s="392"/>
      <c r="FC84" s="392"/>
      <c r="FD84" s="392"/>
      <c r="FE84" s="392"/>
      <c r="FF84" s="392"/>
      <c r="FG84" s="392"/>
      <c r="FH84" s="392"/>
      <c r="FI84" s="392"/>
      <c r="FJ84" s="392"/>
      <c r="FK84" s="392"/>
      <c r="FL84" s="392"/>
      <c r="FM84" s="392"/>
      <c r="FN84" s="392"/>
      <c r="FO84" s="392"/>
      <c r="FP84" s="392"/>
      <c r="FQ84" s="392"/>
      <c r="FR84" s="392"/>
      <c r="FS84" s="392"/>
      <c r="FT84" s="392"/>
      <c r="FU84" s="392"/>
      <c r="FV84" s="392"/>
      <c r="FW84" s="392"/>
      <c r="FX84" s="392"/>
      <c r="FY84" s="392"/>
      <c r="FZ84" s="392"/>
      <c r="GA84" s="392"/>
      <c r="GB84" s="392"/>
      <c r="GC84" s="392"/>
      <c r="GD84" s="392"/>
      <c r="GE84" s="392"/>
      <c r="GF84" s="392"/>
      <c r="GG84" s="392"/>
      <c r="GH84" s="392"/>
      <c r="GI84" s="392"/>
      <c r="GJ84" s="392"/>
      <c r="GK84" s="392"/>
      <c r="GL84" s="392"/>
      <c r="GM84" s="392"/>
      <c r="GN84" s="392"/>
      <c r="GO84" s="392"/>
      <c r="GP84" s="392"/>
      <c r="GQ84" s="392"/>
      <c r="GR84" s="392"/>
      <c r="GS84" s="392"/>
      <c r="GT84" s="392"/>
      <c r="GU84" s="392"/>
      <c r="GV84" s="392"/>
      <c r="GW84" s="392"/>
      <c r="GX84" s="392"/>
      <c r="GY84" s="392"/>
      <c r="GZ84" s="392"/>
      <c r="HA84" s="392"/>
      <c r="HB84" s="392"/>
      <c r="HC84" s="392"/>
      <c r="HD84" s="392"/>
      <c r="HE84" s="392"/>
      <c r="HF84" s="392"/>
      <c r="HG84" s="392"/>
      <c r="HH84" s="392"/>
      <c r="HI84" s="392"/>
      <c r="HJ84" s="392"/>
      <c r="HK84" s="392"/>
      <c r="HL84" s="392"/>
      <c r="HM84" s="392"/>
      <c r="HN84" s="392"/>
      <c r="HO84" s="392"/>
      <c r="HP84" s="392"/>
      <c r="HQ84" s="392"/>
      <c r="HR84" s="392"/>
      <c r="HS84" s="392"/>
      <c r="HT84" s="392"/>
      <c r="HU84" s="392"/>
      <c r="HV84" s="392"/>
      <c r="HW84" s="392"/>
      <c r="HX84" s="392"/>
      <c r="HY84" s="392"/>
      <c r="HZ84" s="392"/>
      <c r="IA84" s="392"/>
      <c r="IB84" s="392"/>
      <c r="IC84" s="392"/>
      <c r="ID84" s="392"/>
      <c r="IE84" s="392"/>
      <c r="IF84" s="392"/>
      <c r="IG84" s="392"/>
      <c r="IH84" s="392"/>
      <c r="II84" s="392"/>
      <c r="IJ84" s="392"/>
      <c r="IK84" s="392"/>
      <c r="IL84" s="392"/>
      <c r="IM84" s="392"/>
      <c r="IN84" s="392"/>
      <c r="IO84" s="392"/>
      <c r="IP84" s="392"/>
      <c r="IQ84" s="392"/>
      <c r="IR84" s="392"/>
      <c r="IS84" s="392"/>
      <c r="IT84" s="392"/>
      <c r="IU84" s="392"/>
      <c r="IV84" s="392"/>
    </row>
    <row r="85" spans="1:256" ht="15.75">
      <c r="A85" s="392"/>
      <c r="B85" s="436" t="s">
        <v>181</v>
      </c>
      <c r="C85" s="317" t="str">
        <f>C92</f>
        <v>GANGORRA TRIPLA</v>
      </c>
      <c r="D85" s="434" t="s">
        <v>22</v>
      </c>
      <c r="E85" s="570">
        <v>1</v>
      </c>
      <c r="F85" s="568">
        <f>D97</f>
        <v>2827.95</v>
      </c>
      <c r="G85" s="553">
        <f>TRUNC(F85*E85,2)</f>
        <v>2827.95</v>
      </c>
      <c r="H85" s="392"/>
      <c r="I85" s="392"/>
      <c r="J85" s="392"/>
      <c r="K85" s="392"/>
      <c r="L85" s="392"/>
      <c r="M85" s="392"/>
      <c r="N85" s="392"/>
      <c r="O85" s="392"/>
      <c r="P85" s="392"/>
      <c r="Q85" s="392"/>
      <c r="R85" s="392"/>
      <c r="S85" s="392"/>
      <c r="T85" s="392"/>
      <c r="U85" s="392"/>
      <c r="V85" s="392"/>
      <c r="W85" s="392"/>
      <c r="X85" s="392"/>
      <c r="Y85" s="392"/>
      <c r="Z85" s="392"/>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c r="BK85" s="392"/>
      <c r="BL85" s="392"/>
      <c r="BM85" s="392"/>
      <c r="BN85" s="392"/>
      <c r="BO85" s="392"/>
      <c r="BP85" s="392"/>
      <c r="BQ85" s="392"/>
      <c r="BR85" s="392"/>
      <c r="BS85" s="392"/>
      <c r="BT85" s="392"/>
      <c r="BU85" s="392"/>
      <c r="BV85" s="392"/>
      <c r="BW85" s="392"/>
      <c r="BX85" s="392"/>
      <c r="BY85" s="392"/>
      <c r="BZ85" s="392"/>
      <c r="CA85" s="392"/>
      <c r="CB85" s="392"/>
      <c r="CC85" s="392"/>
      <c r="CD85" s="392"/>
      <c r="CE85" s="392"/>
      <c r="CF85" s="392"/>
      <c r="CG85" s="392"/>
      <c r="CH85" s="392"/>
      <c r="CI85" s="392"/>
      <c r="CJ85" s="392"/>
      <c r="CK85" s="392"/>
      <c r="CL85" s="392"/>
      <c r="CM85" s="392"/>
      <c r="CN85" s="392"/>
      <c r="CO85" s="392"/>
      <c r="CP85" s="392"/>
      <c r="CQ85" s="392"/>
      <c r="CR85" s="392"/>
      <c r="CS85" s="392"/>
      <c r="CT85" s="392"/>
      <c r="CU85" s="392"/>
      <c r="CV85" s="392"/>
      <c r="CW85" s="392"/>
      <c r="CX85" s="392"/>
      <c r="CY85" s="392"/>
      <c r="CZ85" s="392"/>
      <c r="DA85" s="392"/>
      <c r="DB85" s="392"/>
      <c r="DC85" s="392"/>
      <c r="DD85" s="392"/>
      <c r="DE85" s="392"/>
      <c r="DF85" s="392"/>
      <c r="DG85" s="392"/>
      <c r="DH85" s="392"/>
      <c r="DI85" s="392"/>
      <c r="DJ85" s="392"/>
      <c r="DK85" s="392"/>
      <c r="DL85" s="392"/>
      <c r="DM85" s="392"/>
      <c r="DN85" s="392"/>
      <c r="DO85" s="392"/>
      <c r="DP85" s="392"/>
      <c r="DQ85" s="392"/>
      <c r="DR85" s="392"/>
      <c r="DS85" s="392"/>
      <c r="DT85" s="392"/>
      <c r="DU85" s="392"/>
      <c r="DV85" s="392"/>
      <c r="DW85" s="392"/>
      <c r="DX85" s="392"/>
      <c r="DY85" s="392"/>
      <c r="DZ85" s="392"/>
      <c r="EA85" s="392"/>
      <c r="EB85" s="392"/>
      <c r="EC85" s="392"/>
      <c r="ED85" s="392"/>
      <c r="EE85" s="392"/>
      <c r="EF85" s="392"/>
      <c r="EG85" s="392"/>
      <c r="EH85" s="392"/>
      <c r="EI85" s="392"/>
      <c r="EJ85" s="392"/>
      <c r="EK85" s="392"/>
      <c r="EL85" s="392"/>
      <c r="EM85" s="392"/>
      <c r="EN85" s="392"/>
      <c r="EO85" s="392"/>
      <c r="EP85" s="392"/>
      <c r="EQ85" s="392"/>
      <c r="ER85" s="392"/>
      <c r="ES85" s="392"/>
      <c r="ET85" s="392"/>
      <c r="EU85" s="392"/>
      <c r="EV85" s="392"/>
      <c r="EW85" s="392"/>
      <c r="EX85" s="392"/>
      <c r="EY85" s="392"/>
      <c r="EZ85" s="392"/>
      <c r="FA85" s="392"/>
      <c r="FB85" s="392"/>
      <c r="FC85" s="392"/>
      <c r="FD85" s="392"/>
      <c r="FE85" s="392"/>
      <c r="FF85" s="392"/>
      <c r="FG85" s="392"/>
      <c r="FH85" s="392"/>
      <c r="FI85" s="392"/>
      <c r="FJ85" s="392"/>
      <c r="FK85" s="392"/>
      <c r="FL85" s="392"/>
      <c r="FM85" s="392"/>
      <c r="FN85" s="392"/>
      <c r="FO85" s="392"/>
      <c r="FP85" s="392"/>
      <c r="FQ85" s="392"/>
      <c r="FR85" s="392"/>
      <c r="FS85" s="392"/>
      <c r="FT85" s="392"/>
      <c r="FU85" s="392"/>
      <c r="FV85" s="392"/>
      <c r="FW85" s="392"/>
      <c r="FX85" s="392"/>
      <c r="FY85" s="392"/>
      <c r="FZ85" s="392"/>
      <c r="GA85" s="392"/>
      <c r="GB85" s="392"/>
      <c r="GC85" s="392"/>
      <c r="GD85" s="392"/>
      <c r="GE85" s="392"/>
      <c r="GF85" s="392"/>
      <c r="GG85" s="392"/>
      <c r="GH85" s="392"/>
      <c r="GI85" s="392"/>
      <c r="GJ85" s="392"/>
      <c r="GK85" s="392"/>
      <c r="GL85" s="392"/>
      <c r="GM85" s="392"/>
      <c r="GN85" s="392"/>
      <c r="GO85" s="392"/>
      <c r="GP85" s="392"/>
      <c r="GQ85" s="392"/>
      <c r="GR85" s="392"/>
      <c r="GS85" s="392"/>
      <c r="GT85" s="392"/>
      <c r="GU85" s="392"/>
      <c r="GV85" s="392"/>
      <c r="GW85" s="392"/>
      <c r="GX85" s="392"/>
      <c r="GY85" s="392"/>
      <c r="GZ85" s="392"/>
      <c r="HA85" s="392"/>
      <c r="HB85" s="392"/>
      <c r="HC85" s="392"/>
      <c r="HD85" s="392"/>
      <c r="HE85" s="392"/>
      <c r="HF85" s="392"/>
      <c r="HG85" s="392"/>
      <c r="HH85" s="392"/>
      <c r="HI85" s="392"/>
      <c r="HJ85" s="392"/>
      <c r="HK85" s="392"/>
      <c r="HL85" s="392"/>
      <c r="HM85" s="392"/>
      <c r="HN85" s="392"/>
      <c r="HO85" s="392"/>
      <c r="HP85" s="392"/>
      <c r="HQ85" s="392"/>
      <c r="HR85" s="392"/>
      <c r="HS85" s="392"/>
      <c r="HT85" s="392"/>
      <c r="HU85" s="392"/>
      <c r="HV85" s="392"/>
      <c r="HW85" s="392"/>
      <c r="HX85" s="392"/>
      <c r="HY85" s="392"/>
      <c r="HZ85" s="392"/>
      <c r="IA85" s="392"/>
      <c r="IB85" s="392"/>
      <c r="IC85" s="392"/>
      <c r="ID85" s="392"/>
      <c r="IE85" s="392"/>
      <c r="IF85" s="392"/>
      <c r="IG85" s="392"/>
      <c r="IH85" s="392"/>
      <c r="II85" s="392"/>
      <c r="IJ85" s="392"/>
      <c r="IK85" s="392"/>
      <c r="IL85" s="392"/>
      <c r="IM85" s="392"/>
      <c r="IN85" s="392"/>
      <c r="IO85" s="392"/>
      <c r="IP85" s="392"/>
      <c r="IQ85" s="392"/>
      <c r="IR85" s="392"/>
      <c r="IS85" s="392"/>
      <c r="IT85" s="392"/>
      <c r="IU85" s="392"/>
      <c r="IV85" s="392"/>
    </row>
    <row r="86" spans="1:256" ht="45.75">
      <c r="A86" s="333" t="s">
        <v>391</v>
      </c>
      <c r="B86" s="436">
        <v>102486</v>
      </c>
      <c r="C86" s="317" t="str">
        <f>IF($A86="INSUMO",VLOOKUP($B86,'BANCO DE DADOS JANEIRO-24 INS'!$A:$D,2,FALSE),VLOOKUP($B86,'BANCO DE DADOS JANEIRO-24 SERV'!$B:$E,2,FALSE))</f>
        <v>CONCRETO FCK = 15MPA, TRAÇO 1:3,4:3,4 (EM MASSA SECA DE CIMENTO/ AREIA MÉDIA/ SEIXO ROLADO) - PREPARO MANUAL. AF_05/2021</v>
      </c>
      <c r="D86" s="316" t="str">
        <f>IF($A86="INSUMO",VLOOKUP($B86,'BANCO DE DADOS JANEIRO-24 INS'!$A:$D,3,FALSE),VLOOKUP($B86,'BANCO DE DADOS JANEIRO-24 SERV'!$B:$E,3,FALSE))</f>
        <v>M3</v>
      </c>
      <c r="E86" s="570">
        <v>0.1</v>
      </c>
      <c r="F86" s="320">
        <f>IF($A86="INSUMO",VLOOKUP($B86,'BANCO DE DADOS JANEIRO-24 INS'!$A:$D,4,FALSE),VLOOKUP($B86,'BANCO DE DADOS JANEIRO-24 SERV'!$B:$E,4,FALSE))</f>
        <v>763.53</v>
      </c>
      <c r="G86" s="553">
        <f>TRUNC(F86*E86,2)</f>
        <v>76.349999999999994</v>
      </c>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392"/>
      <c r="BQ86" s="392"/>
      <c r="BR86" s="392"/>
      <c r="BS86" s="392"/>
      <c r="BT86" s="392"/>
      <c r="BU86" s="392"/>
      <c r="BV86" s="392"/>
      <c r="BW86" s="392"/>
      <c r="BX86" s="392"/>
      <c r="BY86" s="392"/>
      <c r="BZ86" s="392"/>
      <c r="CA86" s="392"/>
      <c r="CB86" s="392"/>
      <c r="CC86" s="392"/>
      <c r="CD86" s="392"/>
      <c r="CE86" s="392"/>
      <c r="CF86" s="392"/>
      <c r="CG86" s="392"/>
      <c r="CH86" s="392"/>
      <c r="CI86" s="392"/>
      <c r="CJ86" s="392"/>
      <c r="CK86" s="392"/>
      <c r="CL86" s="392"/>
      <c r="CM86" s="392"/>
      <c r="CN86" s="392"/>
      <c r="CO86" s="392"/>
      <c r="CP86" s="392"/>
      <c r="CQ86" s="392"/>
      <c r="CR86" s="392"/>
      <c r="CS86" s="392"/>
      <c r="CT86" s="392"/>
      <c r="CU86" s="392"/>
      <c r="CV86" s="392"/>
      <c r="CW86" s="392"/>
      <c r="CX86" s="392"/>
      <c r="CY86" s="392"/>
      <c r="CZ86" s="392"/>
      <c r="DA86" s="392"/>
      <c r="DB86" s="392"/>
      <c r="DC86" s="392"/>
      <c r="DD86" s="392"/>
      <c r="DE86" s="392"/>
      <c r="DF86" s="392"/>
      <c r="DG86" s="392"/>
      <c r="DH86" s="392"/>
      <c r="DI86" s="392"/>
      <c r="DJ86" s="392"/>
      <c r="DK86" s="392"/>
      <c r="DL86" s="392"/>
      <c r="DM86" s="392"/>
      <c r="DN86" s="392"/>
      <c r="DO86" s="392"/>
      <c r="DP86" s="392"/>
      <c r="DQ86" s="392"/>
      <c r="DR86" s="392"/>
      <c r="DS86" s="392"/>
      <c r="DT86" s="392"/>
      <c r="DU86" s="392"/>
      <c r="DV86" s="392"/>
      <c r="DW86" s="392"/>
      <c r="DX86" s="392"/>
      <c r="DY86" s="392"/>
      <c r="DZ86" s="392"/>
      <c r="EA86" s="392"/>
      <c r="EB86" s="392"/>
      <c r="EC86" s="392"/>
      <c r="ED86" s="392"/>
      <c r="EE86" s="392"/>
      <c r="EF86" s="392"/>
      <c r="EG86" s="392"/>
      <c r="EH86" s="392"/>
      <c r="EI86" s="392"/>
      <c r="EJ86" s="392"/>
      <c r="EK86" s="392"/>
      <c r="EL86" s="392"/>
      <c r="EM86" s="392"/>
      <c r="EN86" s="392"/>
      <c r="EO86" s="392"/>
      <c r="EP86" s="392"/>
      <c r="EQ86" s="392"/>
      <c r="ER86" s="392"/>
      <c r="ES86" s="392"/>
      <c r="ET86" s="392"/>
      <c r="EU86" s="392"/>
      <c r="EV86" s="392"/>
      <c r="EW86" s="392"/>
      <c r="EX86" s="392"/>
      <c r="EY86" s="392"/>
      <c r="EZ86" s="392"/>
      <c r="FA86" s="392"/>
      <c r="FB86" s="392"/>
      <c r="FC86" s="392"/>
      <c r="FD86" s="392"/>
      <c r="FE86" s="392"/>
      <c r="FF86" s="392"/>
      <c r="FG86" s="392"/>
      <c r="FH86" s="392"/>
      <c r="FI86" s="392"/>
      <c r="FJ86" s="392"/>
      <c r="FK86" s="392"/>
      <c r="FL86" s="392"/>
      <c r="FM86" s="392"/>
      <c r="FN86" s="392"/>
      <c r="FO86" s="392"/>
      <c r="FP86" s="392"/>
      <c r="FQ86" s="392"/>
      <c r="FR86" s="392"/>
      <c r="FS86" s="392"/>
      <c r="FT86" s="392"/>
      <c r="FU86" s="392"/>
      <c r="FV86" s="392"/>
      <c r="FW86" s="392"/>
      <c r="FX86" s="392"/>
      <c r="FY86" s="392"/>
      <c r="FZ86" s="392"/>
      <c r="GA86" s="392"/>
      <c r="GB86" s="392"/>
      <c r="GC86" s="392"/>
      <c r="GD86" s="392"/>
      <c r="GE86" s="392"/>
      <c r="GF86" s="392"/>
      <c r="GG86" s="392"/>
      <c r="GH86" s="392"/>
      <c r="GI86" s="392"/>
      <c r="GJ86" s="392"/>
      <c r="GK86" s="392"/>
      <c r="GL86" s="392"/>
      <c r="GM86" s="392"/>
      <c r="GN86" s="392"/>
      <c r="GO86" s="392"/>
      <c r="GP86" s="392"/>
      <c r="GQ86" s="392"/>
      <c r="GR86" s="392"/>
      <c r="GS86" s="392"/>
      <c r="GT86" s="392"/>
      <c r="GU86" s="392"/>
      <c r="GV86" s="392"/>
      <c r="GW86" s="392"/>
      <c r="GX86" s="392"/>
      <c r="GY86" s="392"/>
      <c r="GZ86" s="392"/>
      <c r="HA86" s="392"/>
      <c r="HB86" s="392"/>
      <c r="HC86" s="392"/>
      <c r="HD86" s="392"/>
      <c r="HE86" s="392"/>
      <c r="HF86" s="392"/>
      <c r="HG86" s="392"/>
      <c r="HH86" s="392"/>
      <c r="HI86" s="392"/>
      <c r="HJ86" s="392"/>
      <c r="HK86" s="392"/>
      <c r="HL86" s="392"/>
      <c r="HM86" s="392"/>
      <c r="HN86" s="392"/>
      <c r="HO86" s="392"/>
      <c r="HP86" s="392"/>
      <c r="HQ86" s="392"/>
      <c r="HR86" s="392"/>
      <c r="HS86" s="392"/>
      <c r="HT86" s="392"/>
      <c r="HU86" s="392"/>
      <c r="HV86" s="392"/>
      <c r="HW86" s="392"/>
      <c r="HX86" s="392"/>
      <c r="HY86" s="392"/>
      <c r="HZ86" s="392"/>
      <c r="IA86" s="392"/>
      <c r="IB86" s="392"/>
      <c r="IC86" s="392"/>
      <c r="ID86" s="392"/>
      <c r="IE86" s="392"/>
      <c r="IF86" s="392"/>
      <c r="IG86" s="392"/>
      <c r="IH86" s="392"/>
      <c r="II86" s="392"/>
      <c r="IJ86" s="392"/>
      <c r="IK86" s="392"/>
      <c r="IL86" s="392"/>
      <c r="IM86" s="392"/>
      <c r="IN86" s="392"/>
      <c r="IO86" s="392"/>
      <c r="IP86" s="392"/>
      <c r="IQ86" s="392"/>
      <c r="IR86" s="392"/>
      <c r="IS86" s="392"/>
      <c r="IT86" s="392"/>
      <c r="IU86" s="392"/>
      <c r="IV86" s="392"/>
    </row>
    <row r="87" spans="1:256" s="271" customFormat="1" ht="15.75">
      <c r="A87" s="333"/>
      <c r="B87" s="2312" t="s">
        <v>169</v>
      </c>
      <c r="C87" s="2313"/>
      <c r="D87" s="2313"/>
      <c r="E87" s="2313"/>
      <c r="F87" s="2313"/>
      <c r="G87" s="2314"/>
    </row>
    <row r="88" spans="1:256" s="271" customFormat="1" ht="15.75">
      <c r="A88" s="333" t="s">
        <v>391</v>
      </c>
      <c r="B88" s="1274">
        <v>88309</v>
      </c>
      <c r="C88" s="1098" t="str">
        <f>IF($A88="INSUMO",VLOOKUP($B88,'BANCO DE DADOS JANEIRO-24 INS'!$A:$D,2,FALSE),VLOOKUP($B88,'BANCO DE DADOS JANEIRO-24 SERV'!$B:$E,2,FALSE))</f>
        <v>PEDREIRO COM ENCARGOS COMPLEMENTARES</v>
      </c>
      <c r="D88" s="1099" t="str">
        <f>IF($A88="INSUMO",VLOOKUP($B88,'BANCO DE DADOS JANEIRO-24 INS'!$A:$D,3,FALSE),VLOOKUP($B88,'BANCO DE DADOS JANEIRO-24 SERV'!$B:$E,3,FALSE))</f>
        <v>H</v>
      </c>
      <c r="E88" s="570">
        <v>0.68</v>
      </c>
      <c r="F88" s="1146">
        <f>IF($A88="INSUMO",VLOOKUP($B88,'BANCO DE DADOS JANEIRO-24 INS'!$A:$D,4,FALSE),VLOOKUP($B88,'BANCO DE DADOS JANEIRO-24 SERV'!$B:$E,4,FALSE))</f>
        <v>25.62</v>
      </c>
      <c r="G88" s="1101">
        <f>TRUNC(E88*F88,2)</f>
        <v>17.420000000000002</v>
      </c>
    </row>
    <row r="89" spans="1:256" s="271" customFormat="1" ht="16.5" thickBot="1">
      <c r="A89" s="333" t="s">
        <v>391</v>
      </c>
      <c r="B89" s="965">
        <v>88316</v>
      </c>
      <c r="C89" s="1103" t="str">
        <f>IF($A89="INSUMO",VLOOKUP($B89,'BANCO DE DADOS JANEIRO-24 INS'!$A:$D,2,FALSE),VLOOKUP($B89,'BANCO DE DADOS JANEIRO-24 SERV'!$B:$E,2,FALSE))</f>
        <v>SERVENTE COM ENCARGOS COMPLEMENTARES</v>
      </c>
      <c r="D89" s="1104" t="str">
        <f>IF($A89="INSUMO",VLOOKUP($B89,'BANCO DE DADOS JANEIRO-24 INS'!$A:$D,3,FALSE),VLOOKUP($B89,'BANCO DE DADOS JANEIRO-24 SERV'!$B:$E,3,FALSE))</f>
        <v>H</v>
      </c>
      <c r="E89" s="570">
        <v>1.76</v>
      </c>
      <c r="F89" s="1105">
        <f>IF($A89="INSUMO",VLOOKUP($B89,'BANCO DE DADOS JANEIRO-24 INS'!$A:$D,4,FALSE),VLOOKUP($B89,'BANCO DE DADOS JANEIRO-24 SERV'!$B:$E,4,FALSE))</f>
        <v>20.32</v>
      </c>
      <c r="G89" s="1106">
        <f>TRUNC(E89*F89,2)</f>
        <v>35.76</v>
      </c>
    </row>
    <row r="90" spans="1:256" ht="25.5" customHeight="1" thickBot="1">
      <c r="A90" s="392"/>
      <c r="B90" s="2485" t="s">
        <v>14075</v>
      </c>
      <c r="C90" s="2485"/>
      <c r="D90" s="2485"/>
      <c r="E90" s="2486"/>
      <c r="F90" s="263" t="s">
        <v>167</v>
      </c>
      <c r="G90" s="264">
        <f>TRUNC(SUM(G85:G89),2)</f>
        <v>2957.48</v>
      </c>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2"/>
      <c r="BF90" s="392"/>
      <c r="BG90" s="392"/>
      <c r="BH90" s="392"/>
      <c r="BI90" s="392"/>
      <c r="BJ90" s="392"/>
      <c r="BK90" s="392"/>
      <c r="BL90" s="392"/>
      <c r="BM90" s="392"/>
      <c r="BN90" s="392"/>
      <c r="BO90" s="392"/>
      <c r="BP90" s="392"/>
      <c r="BQ90" s="392"/>
      <c r="BR90" s="392"/>
      <c r="BS90" s="392"/>
      <c r="BT90" s="392"/>
      <c r="BU90" s="392"/>
      <c r="BV90" s="392"/>
      <c r="BW90" s="392"/>
      <c r="BX90" s="392"/>
      <c r="BY90" s="392"/>
      <c r="BZ90" s="392"/>
      <c r="CA90" s="392"/>
      <c r="CB90" s="392"/>
      <c r="CC90" s="392"/>
      <c r="CD90" s="392"/>
      <c r="CE90" s="392"/>
      <c r="CF90" s="392"/>
      <c r="CG90" s="392"/>
      <c r="CH90" s="392"/>
      <c r="CI90" s="392"/>
      <c r="CJ90" s="392"/>
      <c r="CK90" s="392"/>
      <c r="CL90" s="392"/>
      <c r="CM90" s="392"/>
      <c r="CN90" s="392"/>
      <c r="CO90" s="392"/>
      <c r="CP90" s="392"/>
      <c r="CQ90" s="392"/>
      <c r="CR90" s="392"/>
      <c r="CS90" s="392"/>
      <c r="CT90" s="392"/>
      <c r="CU90" s="392"/>
      <c r="CV90" s="392"/>
      <c r="CW90" s="392"/>
      <c r="CX90" s="392"/>
      <c r="CY90" s="392"/>
      <c r="CZ90" s="392"/>
      <c r="DA90" s="392"/>
      <c r="DB90" s="392"/>
      <c r="DC90" s="392"/>
      <c r="DD90" s="392"/>
      <c r="DE90" s="392"/>
      <c r="DF90" s="392"/>
      <c r="DG90" s="392"/>
      <c r="DH90" s="392"/>
      <c r="DI90" s="392"/>
      <c r="DJ90" s="392"/>
      <c r="DK90" s="392"/>
      <c r="DL90" s="392"/>
      <c r="DM90" s="392"/>
      <c r="DN90" s="392"/>
      <c r="DO90" s="392"/>
      <c r="DP90" s="392"/>
      <c r="DQ90" s="392"/>
      <c r="DR90" s="392"/>
      <c r="DS90" s="392"/>
      <c r="DT90" s="392"/>
      <c r="DU90" s="392"/>
      <c r="DV90" s="392"/>
      <c r="DW90" s="392"/>
      <c r="DX90" s="392"/>
      <c r="DY90" s="392"/>
      <c r="DZ90" s="392"/>
      <c r="EA90" s="392"/>
      <c r="EB90" s="392"/>
      <c r="EC90" s="392"/>
      <c r="ED90" s="392"/>
      <c r="EE90" s="392"/>
      <c r="EF90" s="392"/>
      <c r="EG90" s="392"/>
      <c r="EH90" s="392"/>
      <c r="EI90" s="392"/>
      <c r="EJ90" s="392"/>
      <c r="EK90" s="392"/>
      <c r="EL90" s="392"/>
      <c r="EM90" s="392"/>
      <c r="EN90" s="392"/>
      <c r="EO90" s="392"/>
      <c r="EP90" s="392"/>
      <c r="EQ90" s="392"/>
      <c r="ER90" s="392"/>
      <c r="ES90" s="392"/>
      <c r="ET90" s="392"/>
      <c r="EU90" s="392"/>
      <c r="EV90" s="392"/>
      <c r="EW90" s="392"/>
      <c r="EX90" s="392"/>
      <c r="EY90" s="392"/>
      <c r="EZ90" s="392"/>
      <c r="FA90" s="392"/>
      <c r="FB90" s="392"/>
      <c r="FC90" s="392"/>
      <c r="FD90" s="392"/>
      <c r="FE90" s="392"/>
      <c r="FF90" s="392"/>
      <c r="FG90" s="392"/>
      <c r="FH90" s="392"/>
      <c r="FI90" s="392"/>
      <c r="FJ90" s="392"/>
      <c r="FK90" s="392"/>
      <c r="FL90" s="392"/>
      <c r="FM90" s="392"/>
      <c r="FN90" s="392"/>
      <c r="FO90" s="392"/>
      <c r="FP90" s="392"/>
      <c r="FQ90" s="392"/>
      <c r="FR90" s="392"/>
      <c r="FS90" s="392"/>
      <c r="FT90" s="392"/>
      <c r="FU90" s="392"/>
      <c r="FV90" s="392"/>
      <c r="FW90" s="392"/>
      <c r="FX90" s="392"/>
      <c r="FY90" s="392"/>
      <c r="FZ90" s="392"/>
      <c r="GA90" s="392"/>
      <c r="GB90" s="392"/>
      <c r="GC90" s="392"/>
      <c r="GD90" s="392"/>
      <c r="GE90" s="392"/>
      <c r="GF90" s="392"/>
      <c r="GG90" s="392"/>
      <c r="GH90" s="392"/>
      <c r="GI90" s="392"/>
      <c r="GJ90" s="392"/>
      <c r="GK90" s="392"/>
      <c r="GL90" s="392"/>
      <c r="GM90" s="392"/>
      <c r="GN90" s="392"/>
      <c r="GO90" s="392"/>
      <c r="GP90" s="392"/>
      <c r="GQ90" s="392"/>
      <c r="GR90" s="392"/>
      <c r="GS90" s="392"/>
      <c r="GT90" s="392"/>
      <c r="GU90" s="392"/>
      <c r="GV90" s="392"/>
      <c r="GW90" s="392"/>
      <c r="GX90" s="392"/>
      <c r="GY90" s="392"/>
      <c r="GZ90" s="392"/>
      <c r="HA90" s="392"/>
      <c r="HB90" s="392"/>
      <c r="HC90" s="392"/>
      <c r="HD90" s="392"/>
      <c r="HE90" s="392"/>
      <c r="HF90" s="392"/>
      <c r="HG90" s="392"/>
      <c r="HH90" s="392"/>
      <c r="HI90" s="392"/>
      <c r="HJ90" s="392"/>
      <c r="HK90" s="392"/>
      <c r="HL90" s="392"/>
      <c r="HM90" s="392"/>
      <c r="HN90" s="392"/>
      <c r="HO90" s="392"/>
      <c r="HP90" s="392"/>
      <c r="HQ90" s="392"/>
      <c r="HR90" s="392"/>
      <c r="HS90" s="392"/>
      <c r="HT90" s="392"/>
      <c r="HU90" s="392"/>
      <c r="HV90" s="392"/>
      <c r="HW90" s="392"/>
      <c r="HX90" s="392"/>
      <c r="HY90" s="392"/>
      <c r="HZ90" s="392"/>
      <c r="IA90" s="392"/>
      <c r="IB90" s="392"/>
      <c r="IC90" s="392"/>
      <c r="ID90" s="392"/>
      <c r="IE90" s="392"/>
      <c r="IF90" s="392"/>
      <c r="IG90" s="392"/>
      <c r="IH90" s="392"/>
      <c r="II90" s="392"/>
      <c r="IJ90" s="392"/>
      <c r="IK90" s="392"/>
      <c r="IL90" s="392"/>
      <c r="IM90" s="392"/>
      <c r="IN90" s="392"/>
      <c r="IO90" s="392"/>
      <c r="IP90" s="392"/>
      <c r="IQ90" s="392"/>
      <c r="IR90" s="392"/>
      <c r="IS90" s="392"/>
      <c r="IT90" s="392"/>
      <c r="IU90" s="392"/>
      <c r="IV90" s="392"/>
    </row>
    <row r="91" spans="1:256" s="271" customFormat="1" ht="16.5" thickBot="1">
      <c r="A91" s="333"/>
      <c r="B91" s="230"/>
      <c r="C91" s="235"/>
      <c r="D91" s="235"/>
      <c r="E91" s="235"/>
      <c r="F91" s="235"/>
      <c r="G91" s="235"/>
    </row>
    <row r="92" spans="1:256" s="271" customFormat="1" ht="18">
      <c r="A92" s="333"/>
      <c r="B92" s="1744" t="s">
        <v>181</v>
      </c>
      <c r="C92" s="2164" t="s">
        <v>14074</v>
      </c>
      <c r="D92" s="2165"/>
      <c r="E92" s="2165"/>
      <c r="F92" s="2166"/>
      <c r="G92" s="1670" t="s">
        <v>22</v>
      </c>
      <c r="H92" s="1173" t="s">
        <v>1977</v>
      </c>
    </row>
    <row r="93" spans="1:256" s="271" customFormat="1" ht="31.5">
      <c r="A93" s="333"/>
      <c r="B93" s="1107" t="s">
        <v>174</v>
      </c>
      <c r="C93" s="1108" t="s">
        <v>175</v>
      </c>
      <c r="D93" s="1109" t="s">
        <v>176</v>
      </c>
      <c r="E93" s="1110" t="s">
        <v>177</v>
      </c>
      <c r="F93" s="1111" t="s">
        <v>178</v>
      </c>
      <c r="G93" s="1112" t="s">
        <v>179</v>
      </c>
    </row>
    <row r="94" spans="1:256" s="271" customFormat="1" ht="15.75">
      <c r="A94" s="333"/>
      <c r="B94" s="1856">
        <v>45348</v>
      </c>
      <c r="C94" s="1758" t="s">
        <v>14644</v>
      </c>
      <c r="D94" s="1762">
        <v>2827.95</v>
      </c>
      <c r="E94" s="1762" t="s">
        <v>14409</v>
      </c>
      <c r="F94" s="1759" t="s">
        <v>14645</v>
      </c>
      <c r="G94" s="1401" t="s">
        <v>14646</v>
      </c>
      <c r="H94" s="1176"/>
    </row>
    <row r="95" spans="1:256" s="271" customFormat="1" ht="15.75">
      <c r="A95" s="333"/>
      <c r="B95" s="1856">
        <v>45345</v>
      </c>
      <c r="C95" s="1758" t="s">
        <v>14506</v>
      </c>
      <c r="D95" s="1762">
        <v>1162.9000000000001</v>
      </c>
      <c r="E95" s="1762" t="s">
        <v>14409</v>
      </c>
      <c r="F95" s="1760" t="s">
        <v>14507</v>
      </c>
      <c r="G95" s="1362" t="s">
        <v>14508</v>
      </c>
      <c r="H95" s="1176"/>
    </row>
    <row r="96" spans="1:256" s="271" customFormat="1" ht="15.75">
      <c r="A96" s="333"/>
      <c r="B96" s="1856">
        <v>45345</v>
      </c>
      <c r="C96" s="1758" t="s">
        <v>4610</v>
      </c>
      <c r="D96" s="1762">
        <v>4543.93</v>
      </c>
      <c r="E96" s="1762" t="s">
        <v>4609</v>
      </c>
      <c r="F96" s="1760" t="s">
        <v>14062</v>
      </c>
      <c r="G96" s="1362" t="s">
        <v>4607</v>
      </c>
      <c r="H96" s="1176"/>
    </row>
    <row r="97" spans="1:256" s="271" customFormat="1" ht="16.5" thickBot="1">
      <c r="A97" s="333"/>
      <c r="B97" s="1711"/>
      <c r="C97" s="1668" t="s">
        <v>180</v>
      </c>
      <c r="D97" s="1673">
        <f>IF(COUNT(D93:D96)=3,MEDIAN(D94:D96),SMALL(D94:D96,1))</f>
        <v>2827.95</v>
      </c>
      <c r="E97" s="1674"/>
      <c r="F97" s="1675"/>
      <c r="G97" s="1671"/>
    </row>
    <row r="98" spans="1:256" ht="13.5" thickBot="1"/>
    <row r="99" spans="1:256" ht="34.5" customHeight="1">
      <c r="A99" s="392"/>
      <c r="B99" s="377" t="str">
        <f>IF(COUNT($H$13:H99)&lt;10,CONCATENATE("CPU PLAY 00",COUNT($H$13:H99)),CONCATENATE("CPU PLAY 0",COUNT($H$13:H99)))</f>
        <v>CPU PLAY 006</v>
      </c>
      <c r="C99" s="2180" t="s">
        <v>14076</v>
      </c>
      <c r="D99" s="2180"/>
      <c r="E99" s="2180"/>
      <c r="F99" s="2180"/>
      <c r="G99" s="624" t="s">
        <v>22</v>
      </c>
      <c r="H99" s="465">
        <f>G107</f>
        <v>4160.0200000000004</v>
      </c>
      <c r="I99" s="392"/>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2"/>
      <c r="BF99" s="392"/>
      <c r="BG99" s="392"/>
      <c r="BH99" s="392"/>
      <c r="BI99" s="392"/>
      <c r="BJ99" s="392"/>
      <c r="BK99" s="392"/>
      <c r="BL99" s="392"/>
      <c r="BM99" s="392"/>
      <c r="BN99" s="392"/>
      <c r="BO99" s="392"/>
      <c r="BP99" s="392"/>
      <c r="BQ99" s="392"/>
      <c r="BR99" s="392"/>
      <c r="BS99" s="392"/>
      <c r="BT99" s="392"/>
      <c r="BU99" s="392"/>
      <c r="BV99" s="392"/>
      <c r="BW99" s="392"/>
      <c r="BX99" s="392"/>
      <c r="BY99" s="392"/>
      <c r="BZ99" s="392"/>
      <c r="CA99" s="392"/>
      <c r="CB99" s="392"/>
      <c r="CC99" s="392"/>
      <c r="CD99" s="392"/>
      <c r="CE99" s="392"/>
      <c r="CF99" s="392"/>
      <c r="CG99" s="392"/>
      <c r="CH99" s="392"/>
      <c r="CI99" s="392"/>
      <c r="CJ99" s="392"/>
      <c r="CK99" s="392"/>
      <c r="CL99" s="392"/>
      <c r="CM99" s="392"/>
      <c r="CN99" s="392"/>
      <c r="CO99" s="392"/>
      <c r="CP99" s="392"/>
      <c r="CQ99" s="392"/>
      <c r="CR99" s="392"/>
      <c r="CS99" s="392"/>
      <c r="CT99" s="392"/>
      <c r="CU99" s="392"/>
      <c r="CV99" s="392"/>
      <c r="CW99" s="392"/>
      <c r="CX99" s="392"/>
      <c r="CY99" s="392"/>
      <c r="CZ99" s="392"/>
      <c r="DA99" s="392"/>
      <c r="DB99" s="392"/>
      <c r="DC99" s="392"/>
      <c r="DD99" s="392"/>
      <c r="DE99" s="392"/>
      <c r="DF99" s="392"/>
      <c r="DG99" s="392"/>
      <c r="DH99" s="392"/>
      <c r="DI99" s="392"/>
      <c r="DJ99" s="392"/>
      <c r="DK99" s="392"/>
      <c r="DL99" s="392"/>
      <c r="DM99" s="392"/>
      <c r="DN99" s="392"/>
      <c r="DO99" s="392"/>
      <c r="DP99" s="392"/>
      <c r="DQ99" s="392"/>
      <c r="DR99" s="392"/>
      <c r="DS99" s="392"/>
      <c r="DT99" s="392"/>
      <c r="DU99" s="392"/>
      <c r="DV99" s="392"/>
      <c r="DW99" s="392"/>
      <c r="DX99" s="392"/>
      <c r="DY99" s="392"/>
      <c r="DZ99" s="392"/>
      <c r="EA99" s="392"/>
      <c r="EB99" s="392"/>
      <c r="EC99" s="392"/>
      <c r="ED99" s="392"/>
      <c r="EE99" s="392"/>
      <c r="EF99" s="392"/>
      <c r="EG99" s="392"/>
      <c r="EH99" s="392"/>
      <c r="EI99" s="392"/>
      <c r="EJ99" s="392"/>
      <c r="EK99" s="392"/>
      <c r="EL99" s="392"/>
      <c r="EM99" s="392"/>
      <c r="EN99" s="392"/>
      <c r="EO99" s="392"/>
      <c r="EP99" s="392"/>
      <c r="EQ99" s="392"/>
      <c r="ER99" s="392"/>
      <c r="ES99" s="392"/>
      <c r="ET99" s="392"/>
      <c r="EU99" s="392"/>
      <c r="EV99" s="392"/>
      <c r="EW99" s="392"/>
      <c r="EX99" s="392"/>
      <c r="EY99" s="392"/>
      <c r="EZ99" s="392"/>
      <c r="FA99" s="392"/>
      <c r="FB99" s="392"/>
      <c r="FC99" s="392"/>
      <c r="FD99" s="392"/>
      <c r="FE99" s="392"/>
      <c r="FF99" s="392"/>
      <c r="FG99" s="392"/>
      <c r="FH99" s="392"/>
      <c r="FI99" s="392"/>
      <c r="FJ99" s="392"/>
      <c r="FK99" s="392"/>
      <c r="FL99" s="392"/>
      <c r="FM99" s="392"/>
      <c r="FN99" s="392"/>
      <c r="FO99" s="392"/>
      <c r="FP99" s="392"/>
      <c r="FQ99" s="392"/>
      <c r="FR99" s="392"/>
      <c r="FS99" s="392"/>
      <c r="FT99" s="392"/>
      <c r="FU99" s="392"/>
      <c r="FV99" s="392"/>
      <c r="FW99" s="392"/>
      <c r="FX99" s="392"/>
      <c r="FY99" s="392"/>
      <c r="FZ99" s="392"/>
      <c r="GA99" s="392"/>
      <c r="GB99" s="392"/>
      <c r="GC99" s="392"/>
      <c r="GD99" s="392"/>
      <c r="GE99" s="392"/>
      <c r="GF99" s="392"/>
      <c r="GG99" s="392"/>
      <c r="GH99" s="392"/>
      <c r="GI99" s="392"/>
      <c r="GJ99" s="392"/>
      <c r="GK99" s="392"/>
      <c r="GL99" s="392"/>
      <c r="GM99" s="392"/>
      <c r="GN99" s="392"/>
      <c r="GO99" s="392"/>
      <c r="GP99" s="392"/>
      <c r="GQ99" s="392"/>
      <c r="GR99" s="392"/>
      <c r="GS99" s="392"/>
      <c r="GT99" s="392"/>
      <c r="GU99" s="392"/>
      <c r="GV99" s="392"/>
      <c r="GW99" s="392"/>
      <c r="GX99" s="392"/>
      <c r="GY99" s="392"/>
      <c r="GZ99" s="392"/>
      <c r="HA99" s="392"/>
      <c r="HB99" s="392"/>
      <c r="HC99" s="392"/>
      <c r="HD99" s="392"/>
      <c r="HE99" s="392"/>
      <c r="HF99" s="392"/>
      <c r="HG99" s="392"/>
      <c r="HH99" s="392"/>
      <c r="HI99" s="392"/>
      <c r="HJ99" s="392"/>
      <c r="HK99" s="392"/>
      <c r="HL99" s="392"/>
      <c r="HM99" s="392"/>
      <c r="HN99" s="392"/>
      <c r="HO99" s="392"/>
      <c r="HP99" s="392"/>
      <c r="HQ99" s="392"/>
      <c r="HR99" s="392"/>
      <c r="HS99" s="392"/>
      <c r="HT99" s="392"/>
      <c r="HU99" s="392"/>
      <c r="HV99" s="392"/>
      <c r="HW99" s="392"/>
      <c r="HX99" s="392"/>
      <c r="HY99" s="392"/>
      <c r="HZ99" s="392"/>
      <c r="IA99" s="392"/>
      <c r="IB99" s="392"/>
      <c r="IC99" s="392"/>
      <c r="ID99" s="392"/>
      <c r="IE99" s="392"/>
      <c r="IF99" s="392"/>
      <c r="IG99" s="392"/>
      <c r="IH99" s="392"/>
      <c r="II99" s="392"/>
      <c r="IJ99" s="392"/>
      <c r="IK99" s="392"/>
      <c r="IL99" s="392"/>
      <c r="IM99" s="392"/>
      <c r="IN99" s="392"/>
      <c r="IO99" s="392"/>
      <c r="IP99" s="392"/>
      <c r="IQ99" s="392"/>
      <c r="IR99" s="392"/>
      <c r="IS99" s="392"/>
      <c r="IT99" s="392"/>
      <c r="IU99" s="392"/>
      <c r="IV99" s="392"/>
    </row>
    <row r="100" spans="1:256" ht="31.5">
      <c r="A100" s="392"/>
      <c r="B100" s="433" t="s">
        <v>197</v>
      </c>
      <c r="C100" s="565" t="s">
        <v>161</v>
      </c>
      <c r="D100" s="565" t="s">
        <v>22</v>
      </c>
      <c r="E100" s="565" t="s">
        <v>162</v>
      </c>
      <c r="F100" s="566" t="s">
        <v>186</v>
      </c>
      <c r="G100" s="567" t="s">
        <v>187</v>
      </c>
      <c r="H100" s="392"/>
      <c r="I100" s="392"/>
      <c r="J100" s="392"/>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392"/>
      <c r="AL100" s="392"/>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392"/>
      <c r="BR100" s="392"/>
      <c r="BS100" s="392"/>
      <c r="BT100" s="392"/>
      <c r="BU100" s="392"/>
      <c r="BV100" s="392"/>
      <c r="BW100" s="392"/>
      <c r="BX100" s="392"/>
      <c r="BY100" s="392"/>
      <c r="BZ100" s="392"/>
      <c r="CA100" s="392"/>
      <c r="CB100" s="392"/>
      <c r="CC100" s="392"/>
      <c r="CD100" s="392"/>
      <c r="CE100" s="392"/>
      <c r="CF100" s="392"/>
      <c r="CG100" s="392"/>
      <c r="CH100" s="392"/>
      <c r="CI100" s="392"/>
      <c r="CJ100" s="392"/>
      <c r="CK100" s="392"/>
      <c r="CL100" s="392"/>
      <c r="CM100" s="392"/>
      <c r="CN100" s="392"/>
      <c r="CO100" s="392"/>
      <c r="CP100" s="392"/>
      <c r="CQ100" s="392"/>
      <c r="CR100" s="392"/>
      <c r="CS100" s="392"/>
      <c r="CT100" s="392"/>
      <c r="CU100" s="392"/>
      <c r="CV100" s="392"/>
      <c r="CW100" s="392"/>
      <c r="CX100" s="392"/>
      <c r="CY100" s="392"/>
      <c r="CZ100" s="392"/>
      <c r="DA100" s="392"/>
      <c r="DB100" s="392"/>
      <c r="DC100" s="392"/>
      <c r="DD100" s="392"/>
      <c r="DE100" s="392"/>
      <c r="DF100" s="392"/>
      <c r="DG100" s="392"/>
      <c r="DH100" s="392"/>
      <c r="DI100" s="392"/>
      <c r="DJ100" s="392"/>
      <c r="DK100" s="392"/>
      <c r="DL100" s="392"/>
      <c r="DM100" s="392"/>
      <c r="DN100" s="392"/>
      <c r="DO100" s="392"/>
      <c r="DP100" s="392"/>
      <c r="DQ100" s="392"/>
      <c r="DR100" s="392"/>
      <c r="DS100" s="392"/>
      <c r="DT100" s="392"/>
      <c r="DU100" s="392"/>
      <c r="DV100" s="392"/>
      <c r="DW100" s="392"/>
      <c r="DX100" s="392"/>
      <c r="DY100" s="392"/>
      <c r="DZ100" s="392"/>
      <c r="EA100" s="392"/>
      <c r="EB100" s="392"/>
      <c r="EC100" s="392"/>
      <c r="ED100" s="392"/>
      <c r="EE100" s="392"/>
      <c r="EF100" s="392"/>
      <c r="EG100" s="392"/>
      <c r="EH100" s="392"/>
      <c r="EI100" s="392"/>
      <c r="EJ100" s="392"/>
      <c r="EK100" s="392"/>
      <c r="EL100" s="392"/>
      <c r="EM100" s="392"/>
      <c r="EN100" s="392"/>
      <c r="EO100" s="392"/>
      <c r="EP100" s="392"/>
      <c r="EQ100" s="392"/>
      <c r="ER100" s="392"/>
      <c r="ES100" s="392"/>
      <c r="ET100" s="392"/>
      <c r="EU100" s="392"/>
      <c r="EV100" s="392"/>
      <c r="EW100" s="392"/>
      <c r="EX100" s="392"/>
      <c r="EY100" s="392"/>
      <c r="EZ100" s="392"/>
      <c r="FA100" s="392"/>
      <c r="FB100" s="392"/>
      <c r="FC100" s="392"/>
      <c r="FD100" s="392"/>
      <c r="FE100" s="392"/>
      <c r="FF100" s="392"/>
      <c r="FG100" s="392"/>
      <c r="FH100" s="392"/>
      <c r="FI100" s="392"/>
      <c r="FJ100" s="392"/>
      <c r="FK100" s="392"/>
      <c r="FL100" s="392"/>
      <c r="FM100" s="392"/>
      <c r="FN100" s="392"/>
      <c r="FO100" s="392"/>
      <c r="FP100" s="392"/>
      <c r="FQ100" s="392"/>
      <c r="FR100" s="392"/>
      <c r="FS100" s="392"/>
      <c r="FT100" s="392"/>
      <c r="FU100" s="392"/>
      <c r="FV100" s="392"/>
      <c r="FW100" s="392"/>
      <c r="FX100" s="392"/>
      <c r="FY100" s="392"/>
      <c r="FZ100" s="392"/>
      <c r="GA100" s="392"/>
      <c r="GB100" s="392"/>
      <c r="GC100" s="392"/>
      <c r="GD100" s="392"/>
      <c r="GE100" s="392"/>
      <c r="GF100" s="392"/>
      <c r="GG100" s="392"/>
      <c r="GH100" s="392"/>
      <c r="GI100" s="392"/>
      <c r="GJ100" s="392"/>
      <c r="GK100" s="392"/>
      <c r="GL100" s="392"/>
      <c r="GM100" s="392"/>
      <c r="GN100" s="392"/>
      <c r="GO100" s="392"/>
      <c r="GP100" s="392"/>
      <c r="GQ100" s="392"/>
      <c r="GR100" s="392"/>
      <c r="GS100" s="392"/>
      <c r="GT100" s="392"/>
      <c r="GU100" s="392"/>
      <c r="GV100" s="392"/>
      <c r="GW100" s="392"/>
      <c r="GX100" s="392"/>
      <c r="GY100" s="392"/>
      <c r="GZ100" s="392"/>
      <c r="HA100" s="392"/>
      <c r="HB100" s="392"/>
      <c r="HC100" s="392"/>
      <c r="HD100" s="392"/>
      <c r="HE100" s="392"/>
      <c r="HF100" s="392"/>
      <c r="HG100" s="392"/>
      <c r="HH100" s="392"/>
      <c r="HI100" s="392"/>
      <c r="HJ100" s="392"/>
      <c r="HK100" s="392"/>
      <c r="HL100" s="392"/>
      <c r="HM100" s="392"/>
      <c r="HN100" s="392"/>
      <c r="HO100" s="392"/>
      <c r="HP100" s="392"/>
      <c r="HQ100" s="392"/>
      <c r="HR100" s="392"/>
      <c r="HS100" s="392"/>
      <c r="HT100" s="392"/>
      <c r="HU100" s="392"/>
      <c r="HV100" s="392"/>
      <c r="HW100" s="392"/>
      <c r="HX100" s="392"/>
      <c r="HY100" s="392"/>
      <c r="HZ100" s="392"/>
      <c r="IA100" s="392"/>
      <c r="IB100" s="392"/>
      <c r="IC100" s="392"/>
      <c r="ID100" s="392"/>
      <c r="IE100" s="392"/>
      <c r="IF100" s="392"/>
      <c r="IG100" s="392"/>
      <c r="IH100" s="392"/>
      <c r="II100" s="392"/>
      <c r="IJ100" s="392"/>
      <c r="IK100" s="392"/>
      <c r="IL100" s="392"/>
      <c r="IM100" s="392"/>
      <c r="IN100" s="392"/>
      <c r="IO100" s="392"/>
      <c r="IP100" s="392"/>
      <c r="IQ100" s="392"/>
      <c r="IR100" s="392"/>
      <c r="IS100" s="392"/>
      <c r="IT100" s="392"/>
      <c r="IU100" s="392"/>
      <c r="IV100" s="392"/>
    </row>
    <row r="101" spans="1:256" ht="15.75">
      <c r="A101" s="392"/>
      <c r="B101" s="2312" t="s">
        <v>165</v>
      </c>
      <c r="C101" s="2313"/>
      <c r="D101" s="2313"/>
      <c r="E101" s="2313"/>
      <c r="F101" s="2313"/>
      <c r="G101" s="2314"/>
      <c r="H101" s="392"/>
      <c r="I101" s="392"/>
      <c r="J101" s="392"/>
      <c r="K101" s="392"/>
      <c r="L101" s="392"/>
      <c r="M101" s="392"/>
      <c r="N101" s="392"/>
      <c r="O101" s="392"/>
      <c r="P101" s="392"/>
      <c r="Q101" s="392"/>
      <c r="R101" s="392"/>
      <c r="S101" s="392"/>
      <c r="T101" s="392"/>
      <c r="U101" s="392"/>
      <c r="V101" s="392"/>
      <c r="W101" s="392"/>
      <c r="X101" s="392"/>
      <c r="Y101" s="392"/>
      <c r="Z101" s="392"/>
      <c r="AA101" s="392"/>
      <c r="AB101" s="392"/>
      <c r="AC101" s="392"/>
      <c r="AD101" s="392"/>
      <c r="AE101" s="392"/>
      <c r="AF101" s="392"/>
      <c r="AG101" s="392"/>
      <c r="AH101" s="392"/>
      <c r="AI101" s="392"/>
      <c r="AJ101" s="392"/>
      <c r="AK101" s="392"/>
      <c r="AL101" s="392"/>
      <c r="AM101" s="392"/>
      <c r="AN101" s="392"/>
      <c r="AO101" s="392"/>
      <c r="AP101" s="392"/>
      <c r="AQ101" s="392"/>
      <c r="AR101" s="392"/>
      <c r="AS101" s="392"/>
      <c r="AT101" s="392"/>
      <c r="AU101" s="392"/>
      <c r="AV101" s="392"/>
      <c r="AW101" s="392"/>
      <c r="AX101" s="392"/>
      <c r="AY101" s="392"/>
      <c r="AZ101" s="392"/>
      <c r="BA101" s="392"/>
      <c r="BB101" s="392"/>
      <c r="BC101" s="392"/>
      <c r="BD101" s="392"/>
      <c r="BE101" s="392"/>
      <c r="BF101" s="392"/>
      <c r="BG101" s="392"/>
      <c r="BH101" s="392"/>
      <c r="BI101" s="392"/>
      <c r="BJ101" s="392"/>
      <c r="BK101" s="392"/>
      <c r="BL101" s="392"/>
      <c r="BM101" s="392"/>
      <c r="BN101" s="392"/>
      <c r="BO101" s="392"/>
      <c r="BP101" s="392"/>
      <c r="BQ101" s="392"/>
      <c r="BR101" s="392"/>
      <c r="BS101" s="392"/>
      <c r="BT101" s="392"/>
      <c r="BU101" s="392"/>
      <c r="BV101" s="392"/>
      <c r="BW101" s="392"/>
      <c r="BX101" s="392"/>
      <c r="BY101" s="392"/>
      <c r="BZ101" s="392"/>
      <c r="CA101" s="392"/>
      <c r="CB101" s="392"/>
      <c r="CC101" s="392"/>
      <c r="CD101" s="392"/>
      <c r="CE101" s="392"/>
      <c r="CF101" s="392"/>
      <c r="CG101" s="392"/>
      <c r="CH101" s="392"/>
      <c r="CI101" s="392"/>
      <c r="CJ101" s="392"/>
      <c r="CK101" s="392"/>
      <c r="CL101" s="392"/>
      <c r="CM101" s="392"/>
      <c r="CN101" s="392"/>
      <c r="CO101" s="392"/>
      <c r="CP101" s="392"/>
      <c r="CQ101" s="392"/>
      <c r="CR101" s="392"/>
      <c r="CS101" s="392"/>
      <c r="CT101" s="392"/>
      <c r="CU101" s="392"/>
      <c r="CV101" s="392"/>
      <c r="CW101" s="392"/>
      <c r="CX101" s="392"/>
      <c r="CY101" s="392"/>
      <c r="CZ101" s="392"/>
      <c r="DA101" s="392"/>
      <c r="DB101" s="392"/>
      <c r="DC101" s="392"/>
      <c r="DD101" s="392"/>
      <c r="DE101" s="392"/>
      <c r="DF101" s="392"/>
      <c r="DG101" s="392"/>
      <c r="DH101" s="392"/>
      <c r="DI101" s="392"/>
      <c r="DJ101" s="392"/>
      <c r="DK101" s="392"/>
      <c r="DL101" s="392"/>
      <c r="DM101" s="392"/>
      <c r="DN101" s="392"/>
      <c r="DO101" s="392"/>
      <c r="DP101" s="392"/>
      <c r="DQ101" s="392"/>
      <c r="DR101" s="392"/>
      <c r="DS101" s="392"/>
      <c r="DT101" s="392"/>
      <c r="DU101" s="392"/>
      <c r="DV101" s="392"/>
      <c r="DW101" s="392"/>
      <c r="DX101" s="392"/>
      <c r="DY101" s="392"/>
      <c r="DZ101" s="392"/>
      <c r="EA101" s="392"/>
      <c r="EB101" s="392"/>
      <c r="EC101" s="392"/>
      <c r="ED101" s="392"/>
      <c r="EE101" s="392"/>
      <c r="EF101" s="392"/>
      <c r="EG101" s="392"/>
      <c r="EH101" s="392"/>
      <c r="EI101" s="392"/>
      <c r="EJ101" s="392"/>
      <c r="EK101" s="392"/>
      <c r="EL101" s="392"/>
      <c r="EM101" s="392"/>
      <c r="EN101" s="392"/>
      <c r="EO101" s="392"/>
      <c r="EP101" s="392"/>
      <c r="EQ101" s="392"/>
      <c r="ER101" s="392"/>
      <c r="ES101" s="392"/>
      <c r="ET101" s="392"/>
      <c r="EU101" s="392"/>
      <c r="EV101" s="392"/>
      <c r="EW101" s="392"/>
      <c r="EX101" s="392"/>
      <c r="EY101" s="392"/>
      <c r="EZ101" s="392"/>
      <c r="FA101" s="392"/>
      <c r="FB101" s="392"/>
      <c r="FC101" s="392"/>
      <c r="FD101" s="392"/>
      <c r="FE101" s="392"/>
      <c r="FF101" s="392"/>
      <c r="FG101" s="392"/>
      <c r="FH101" s="392"/>
      <c r="FI101" s="392"/>
      <c r="FJ101" s="392"/>
      <c r="FK101" s="392"/>
      <c r="FL101" s="392"/>
      <c r="FM101" s="392"/>
      <c r="FN101" s="392"/>
      <c r="FO101" s="392"/>
      <c r="FP101" s="392"/>
      <c r="FQ101" s="392"/>
      <c r="FR101" s="392"/>
      <c r="FS101" s="392"/>
      <c r="FT101" s="392"/>
      <c r="FU101" s="392"/>
      <c r="FV101" s="392"/>
      <c r="FW101" s="392"/>
      <c r="FX101" s="392"/>
      <c r="FY101" s="392"/>
      <c r="FZ101" s="392"/>
      <c r="GA101" s="392"/>
      <c r="GB101" s="392"/>
      <c r="GC101" s="392"/>
      <c r="GD101" s="392"/>
      <c r="GE101" s="392"/>
      <c r="GF101" s="392"/>
      <c r="GG101" s="392"/>
      <c r="GH101" s="392"/>
      <c r="GI101" s="392"/>
      <c r="GJ101" s="392"/>
      <c r="GK101" s="392"/>
      <c r="GL101" s="392"/>
      <c r="GM101" s="392"/>
      <c r="GN101" s="392"/>
      <c r="GO101" s="392"/>
      <c r="GP101" s="392"/>
      <c r="GQ101" s="392"/>
      <c r="GR101" s="392"/>
      <c r="GS101" s="392"/>
      <c r="GT101" s="392"/>
      <c r="GU101" s="392"/>
      <c r="GV101" s="392"/>
      <c r="GW101" s="392"/>
      <c r="GX101" s="392"/>
      <c r="GY101" s="392"/>
      <c r="GZ101" s="392"/>
      <c r="HA101" s="392"/>
      <c r="HB101" s="392"/>
      <c r="HC101" s="392"/>
      <c r="HD101" s="392"/>
      <c r="HE101" s="392"/>
      <c r="HF101" s="392"/>
      <c r="HG101" s="392"/>
      <c r="HH101" s="392"/>
      <c r="HI101" s="392"/>
      <c r="HJ101" s="392"/>
      <c r="HK101" s="392"/>
      <c r="HL101" s="392"/>
      <c r="HM101" s="392"/>
      <c r="HN101" s="392"/>
      <c r="HO101" s="392"/>
      <c r="HP101" s="392"/>
      <c r="HQ101" s="392"/>
      <c r="HR101" s="392"/>
      <c r="HS101" s="392"/>
      <c r="HT101" s="392"/>
      <c r="HU101" s="392"/>
      <c r="HV101" s="392"/>
      <c r="HW101" s="392"/>
      <c r="HX101" s="392"/>
      <c r="HY101" s="392"/>
      <c r="HZ101" s="392"/>
      <c r="IA101" s="392"/>
      <c r="IB101" s="392"/>
      <c r="IC101" s="392"/>
      <c r="ID101" s="392"/>
      <c r="IE101" s="392"/>
      <c r="IF101" s="392"/>
      <c r="IG101" s="392"/>
      <c r="IH101" s="392"/>
      <c r="II101" s="392"/>
      <c r="IJ101" s="392"/>
      <c r="IK101" s="392"/>
      <c r="IL101" s="392"/>
      <c r="IM101" s="392"/>
      <c r="IN101" s="392"/>
      <c r="IO101" s="392"/>
      <c r="IP101" s="392"/>
      <c r="IQ101" s="392"/>
      <c r="IR101" s="392"/>
      <c r="IS101" s="392"/>
      <c r="IT101" s="392"/>
      <c r="IU101" s="392"/>
      <c r="IV101" s="392"/>
    </row>
    <row r="102" spans="1:256" ht="15.75">
      <c r="A102" s="392"/>
      <c r="B102" s="436" t="s">
        <v>181</v>
      </c>
      <c r="C102" s="317" t="str">
        <f>C109</f>
        <v>GIRA - GIRA - 8 LUGARES</v>
      </c>
      <c r="D102" s="434" t="s">
        <v>22</v>
      </c>
      <c r="E102" s="570">
        <v>1</v>
      </c>
      <c r="F102" s="568">
        <f>D114</f>
        <v>3982.51</v>
      </c>
      <c r="G102" s="553">
        <f>TRUNC(F102*E102,2)</f>
        <v>3982.51</v>
      </c>
      <c r="H102" s="392"/>
      <c r="I102" s="392"/>
      <c r="J102" s="392"/>
      <c r="K102" s="392"/>
      <c r="L102" s="392"/>
      <c r="M102" s="392"/>
      <c r="N102" s="392"/>
      <c r="O102" s="392"/>
      <c r="P102" s="392"/>
      <c r="Q102" s="392"/>
      <c r="R102" s="392"/>
      <c r="S102" s="392"/>
      <c r="T102" s="392"/>
      <c r="U102" s="392"/>
      <c r="V102" s="392"/>
      <c r="W102" s="392"/>
      <c r="X102" s="392"/>
      <c r="Y102" s="392"/>
      <c r="Z102" s="392"/>
      <c r="AA102" s="392"/>
      <c r="AB102" s="392"/>
      <c r="AC102" s="392"/>
      <c r="AD102" s="392"/>
      <c r="AE102" s="392"/>
      <c r="AF102" s="392"/>
      <c r="AG102" s="392"/>
      <c r="AH102" s="392"/>
      <c r="AI102" s="392"/>
      <c r="AJ102" s="392"/>
      <c r="AK102" s="392"/>
      <c r="AL102" s="392"/>
      <c r="AM102" s="392"/>
      <c r="AN102" s="392"/>
      <c r="AO102" s="392"/>
      <c r="AP102" s="392"/>
      <c r="AQ102" s="392"/>
      <c r="AR102" s="392"/>
      <c r="AS102" s="392"/>
      <c r="AT102" s="392"/>
      <c r="AU102" s="392"/>
      <c r="AV102" s="392"/>
      <c r="AW102" s="392"/>
      <c r="AX102" s="392"/>
      <c r="AY102" s="392"/>
      <c r="AZ102" s="392"/>
      <c r="BA102" s="392"/>
      <c r="BB102" s="392"/>
      <c r="BC102" s="392"/>
      <c r="BD102" s="392"/>
      <c r="BE102" s="392"/>
      <c r="BF102" s="392"/>
      <c r="BG102" s="392"/>
      <c r="BH102" s="392"/>
      <c r="BI102" s="392"/>
      <c r="BJ102" s="392"/>
      <c r="BK102" s="392"/>
      <c r="BL102" s="392"/>
      <c r="BM102" s="392"/>
      <c r="BN102" s="392"/>
      <c r="BO102" s="392"/>
      <c r="BP102" s="392"/>
      <c r="BQ102" s="392"/>
      <c r="BR102" s="392"/>
      <c r="BS102" s="392"/>
      <c r="BT102" s="392"/>
      <c r="BU102" s="392"/>
      <c r="BV102" s="392"/>
      <c r="BW102" s="392"/>
      <c r="BX102" s="392"/>
      <c r="BY102" s="392"/>
      <c r="BZ102" s="392"/>
      <c r="CA102" s="392"/>
      <c r="CB102" s="392"/>
      <c r="CC102" s="392"/>
      <c r="CD102" s="392"/>
      <c r="CE102" s="392"/>
      <c r="CF102" s="392"/>
      <c r="CG102" s="392"/>
      <c r="CH102" s="392"/>
      <c r="CI102" s="392"/>
      <c r="CJ102" s="392"/>
      <c r="CK102" s="392"/>
      <c r="CL102" s="392"/>
      <c r="CM102" s="392"/>
      <c r="CN102" s="392"/>
      <c r="CO102" s="392"/>
      <c r="CP102" s="392"/>
      <c r="CQ102" s="392"/>
      <c r="CR102" s="392"/>
      <c r="CS102" s="392"/>
      <c r="CT102" s="392"/>
      <c r="CU102" s="392"/>
      <c r="CV102" s="392"/>
      <c r="CW102" s="392"/>
      <c r="CX102" s="392"/>
      <c r="CY102" s="392"/>
      <c r="CZ102" s="392"/>
      <c r="DA102" s="392"/>
      <c r="DB102" s="392"/>
      <c r="DC102" s="392"/>
      <c r="DD102" s="392"/>
      <c r="DE102" s="392"/>
      <c r="DF102" s="392"/>
      <c r="DG102" s="392"/>
      <c r="DH102" s="392"/>
      <c r="DI102" s="392"/>
      <c r="DJ102" s="392"/>
      <c r="DK102" s="392"/>
      <c r="DL102" s="392"/>
      <c r="DM102" s="392"/>
      <c r="DN102" s="392"/>
      <c r="DO102" s="392"/>
      <c r="DP102" s="392"/>
      <c r="DQ102" s="392"/>
      <c r="DR102" s="392"/>
      <c r="DS102" s="392"/>
      <c r="DT102" s="392"/>
      <c r="DU102" s="392"/>
      <c r="DV102" s="392"/>
      <c r="DW102" s="392"/>
      <c r="DX102" s="392"/>
      <c r="DY102" s="392"/>
      <c r="DZ102" s="392"/>
      <c r="EA102" s="392"/>
      <c r="EB102" s="392"/>
      <c r="EC102" s="392"/>
      <c r="ED102" s="392"/>
      <c r="EE102" s="392"/>
      <c r="EF102" s="392"/>
      <c r="EG102" s="392"/>
      <c r="EH102" s="392"/>
      <c r="EI102" s="392"/>
      <c r="EJ102" s="392"/>
      <c r="EK102" s="392"/>
      <c r="EL102" s="392"/>
      <c r="EM102" s="392"/>
      <c r="EN102" s="392"/>
      <c r="EO102" s="392"/>
      <c r="EP102" s="392"/>
      <c r="EQ102" s="392"/>
      <c r="ER102" s="392"/>
      <c r="ES102" s="392"/>
      <c r="ET102" s="392"/>
      <c r="EU102" s="392"/>
      <c r="EV102" s="392"/>
      <c r="EW102" s="392"/>
      <c r="EX102" s="392"/>
      <c r="EY102" s="392"/>
      <c r="EZ102" s="392"/>
      <c r="FA102" s="392"/>
      <c r="FB102" s="392"/>
      <c r="FC102" s="392"/>
      <c r="FD102" s="392"/>
      <c r="FE102" s="392"/>
      <c r="FF102" s="392"/>
      <c r="FG102" s="392"/>
      <c r="FH102" s="392"/>
      <c r="FI102" s="392"/>
      <c r="FJ102" s="392"/>
      <c r="FK102" s="392"/>
      <c r="FL102" s="392"/>
      <c r="FM102" s="392"/>
      <c r="FN102" s="392"/>
      <c r="FO102" s="392"/>
      <c r="FP102" s="392"/>
      <c r="FQ102" s="392"/>
      <c r="FR102" s="392"/>
      <c r="FS102" s="392"/>
      <c r="FT102" s="392"/>
      <c r="FU102" s="392"/>
      <c r="FV102" s="392"/>
      <c r="FW102" s="392"/>
      <c r="FX102" s="392"/>
      <c r="FY102" s="392"/>
      <c r="FZ102" s="392"/>
      <c r="GA102" s="392"/>
      <c r="GB102" s="392"/>
      <c r="GC102" s="392"/>
      <c r="GD102" s="392"/>
      <c r="GE102" s="392"/>
      <c r="GF102" s="392"/>
      <c r="GG102" s="392"/>
      <c r="GH102" s="392"/>
      <c r="GI102" s="392"/>
      <c r="GJ102" s="392"/>
      <c r="GK102" s="392"/>
      <c r="GL102" s="392"/>
      <c r="GM102" s="392"/>
      <c r="GN102" s="392"/>
      <c r="GO102" s="392"/>
      <c r="GP102" s="392"/>
      <c r="GQ102" s="392"/>
      <c r="GR102" s="392"/>
      <c r="GS102" s="392"/>
      <c r="GT102" s="392"/>
      <c r="GU102" s="392"/>
      <c r="GV102" s="392"/>
      <c r="GW102" s="392"/>
      <c r="GX102" s="392"/>
      <c r="GY102" s="392"/>
      <c r="GZ102" s="392"/>
      <c r="HA102" s="392"/>
      <c r="HB102" s="392"/>
      <c r="HC102" s="392"/>
      <c r="HD102" s="392"/>
      <c r="HE102" s="392"/>
      <c r="HF102" s="392"/>
      <c r="HG102" s="392"/>
      <c r="HH102" s="392"/>
      <c r="HI102" s="392"/>
      <c r="HJ102" s="392"/>
      <c r="HK102" s="392"/>
      <c r="HL102" s="392"/>
      <c r="HM102" s="392"/>
      <c r="HN102" s="392"/>
      <c r="HO102" s="392"/>
      <c r="HP102" s="392"/>
      <c r="HQ102" s="392"/>
      <c r="HR102" s="392"/>
      <c r="HS102" s="392"/>
      <c r="HT102" s="392"/>
      <c r="HU102" s="392"/>
      <c r="HV102" s="392"/>
      <c r="HW102" s="392"/>
      <c r="HX102" s="392"/>
      <c r="HY102" s="392"/>
      <c r="HZ102" s="392"/>
      <c r="IA102" s="392"/>
      <c r="IB102" s="392"/>
      <c r="IC102" s="392"/>
      <c r="ID102" s="392"/>
      <c r="IE102" s="392"/>
      <c r="IF102" s="392"/>
      <c r="IG102" s="392"/>
      <c r="IH102" s="392"/>
      <c r="II102" s="392"/>
      <c r="IJ102" s="392"/>
      <c r="IK102" s="392"/>
      <c r="IL102" s="392"/>
      <c r="IM102" s="392"/>
      <c r="IN102" s="392"/>
      <c r="IO102" s="392"/>
      <c r="IP102" s="392"/>
      <c r="IQ102" s="392"/>
      <c r="IR102" s="392"/>
      <c r="IS102" s="392"/>
      <c r="IT102" s="392"/>
      <c r="IU102" s="392"/>
      <c r="IV102" s="392"/>
    </row>
    <row r="103" spans="1:256" ht="30.75">
      <c r="A103" s="333" t="s">
        <v>391</v>
      </c>
      <c r="B103" s="436">
        <v>93358</v>
      </c>
      <c r="C103" s="317" t="str">
        <f>IF($A103="INSUMO",VLOOKUP($B103,'BANCO DE DADOS JANEIRO-24 INS'!$A:$D,2,FALSE),VLOOKUP($B103,'BANCO DE DADOS JANEIRO-24 SERV'!$B:$E,2,FALSE))</f>
        <v>ESCAVAÇÃO MANUAL DE VALA COM PROFUNDIDADE MENOR OU IGUAL A 1,30 M. AF_02/2021</v>
      </c>
      <c r="D103" s="316" t="str">
        <f>IF($A103="INSUMO",VLOOKUP($B103,'BANCO DE DADOS JANEIRO-24 INS'!$A:$D,3,FALSE),VLOOKUP($B103,'BANCO DE DADOS JANEIRO-24 SERV'!$B:$E,3,FALSE))</f>
        <v>M3</v>
      </c>
      <c r="E103" s="570">
        <v>0.18</v>
      </c>
      <c r="F103" s="320">
        <f>IF($A103="INSUMO",VLOOKUP($B103,'BANCO DE DADOS JANEIRO-24 INS'!$A:$D,4,FALSE),VLOOKUP($B103,'BANCO DE DADOS JANEIRO-24 SERV'!$B:$E,4,FALSE))</f>
        <v>80.38</v>
      </c>
      <c r="G103" s="553">
        <f>TRUNC(F103*E103,2)</f>
        <v>14.46</v>
      </c>
      <c r="H103" s="392"/>
      <c r="I103" s="392"/>
      <c r="J103" s="392"/>
      <c r="K103" s="392"/>
      <c r="L103" s="392"/>
      <c r="M103" s="392"/>
      <c r="N103" s="392"/>
      <c r="O103" s="392"/>
      <c r="P103" s="392"/>
      <c r="Q103" s="392"/>
      <c r="R103" s="392"/>
      <c r="S103" s="392"/>
      <c r="T103" s="392"/>
      <c r="U103" s="392"/>
      <c r="V103" s="392"/>
      <c r="W103" s="392"/>
      <c r="X103" s="392"/>
      <c r="Y103" s="392"/>
      <c r="Z103" s="392"/>
      <c r="AA103" s="392"/>
      <c r="AB103" s="392"/>
      <c r="AC103" s="392"/>
      <c r="AD103" s="392"/>
      <c r="AE103" s="392"/>
      <c r="AF103" s="392"/>
      <c r="AG103" s="392"/>
      <c r="AH103" s="392"/>
      <c r="AI103" s="392"/>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c r="BK103" s="392"/>
      <c r="BL103" s="392"/>
      <c r="BM103" s="392"/>
      <c r="BN103" s="392"/>
      <c r="BO103" s="392"/>
      <c r="BP103" s="392"/>
      <c r="BQ103" s="392"/>
      <c r="BR103" s="392"/>
      <c r="BS103" s="392"/>
      <c r="BT103" s="392"/>
      <c r="BU103" s="392"/>
      <c r="BV103" s="392"/>
      <c r="BW103" s="392"/>
      <c r="BX103" s="392"/>
      <c r="BY103" s="392"/>
      <c r="BZ103" s="392"/>
      <c r="CA103" s="392"/>
      <c r="CB103" s="392"/>
      <c r="CC103" s="392"/>
      <c r="CD103" s="392"/>
      <c r="CE103" s="392"/>
      <c r="CF103" s="392"/>
      <c r="CG103" s="392"/>
      <c r="CH103" s="392"/>
      <c r="CI103" s="39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c r="DD103" s="392"/>
      <c r="DE103" s="392"/>
      <c r="DF103" s="392"/>
      <c r="DG103" s="392"/>
      <c r="DH103" s="392"/>
      <c r="DI103" s="392"/>
      <c r="DJ103" s="392"/>
      <c r="DK103" s="392"/>
      <c r="DL103" s="392"/>
      <c r="DM103" s="392"/>
      <c r="DN103" s="392"/>
      <c r="DO103" s="392"/>
      <c r="DP103" s="392"/>
      <c r="DQ103" s="392"/>
      <c r="DR103" s="392"/>
      <c r="DS103" s="392"/>
      <c r="DT103" s="392"/>
      <c r="DU103" s="392"/>
      <c r="DV103" s="392"/>
      <c r="DW103" s="392"/>
      <c r="DX103" s="392"/>
      <c r="DY103" s="392"/>
      <c r="DZ103" s="392"/>
      <c r="EA103" s="392"/>
      <c r="EB103" s="392"/>
      <c r="EC103" s="392"/>
      <c r="ED103" s="392"/>
      <c r="EE103" s="392"/>
      <c r="EF103" s="392"/>
      <c r="EG103" s="392"/>
      <c r="EH103" s="392"/>
      <c r="EI103" s="392"/>
      <c r="EJ103" s="392"/>
      <c r="EK103" s="392"/>
      <c r="EL103" s="392"/>
      <c r="EM103" s="392"/>
      <c r="EN103" s="392"/>
      <c r="EO103" s="392"/>
      <c r="EP103" s="392"/>
      <c r="EQ103" s="392"/>
      <c r="ER103" s="392"/>
      <c r="ES103" s="392"/>
      <c r="ET103" s="392"/>
      <c r="EU103" s="392"/>
      <c r="EV103" s="392"/>
      <c r="EW103" s="392"/>
      <c r="EX103" s="392"/>
      <c r="EY103" s="392"/>
      <c r="EZ103" s="392"/>
      <c r="FA103" s="392"/>
      <c r="FB103" s="392"/>
      <c r="FC103" s="392"/>
      <c r="FD103" s="392"/>
      <c r="FE103" s="392"/>
      <c r="FF103" s="392"/>
      <c r="FG103" s="392"/>
      <c r="FH103" s="392"/>
      <c r="FI103" s="392"/>
      <c r="FJ103" s="392"/>
      <c r="FK103" s="392"/>
      <c r="FL103" s="392"/>
      <c r="FM103" s="392"/>
      <c r="FN103" s="392"/>
      <c r="FO103" s="392"/>
      <c r="FP103" s="392"/>
      <c r="FQ103" s="392"/>
      <c r="FR103" s="392"/>
      <c r="FS103" s="392"/>
      <c r="FT103" s="392"/>
      <c r="FU103" s="392"/>
      <c r="FV103" s="392"/>
      <c r="FW103" s="392"/>
      <c r="FX103" s="392"/>
      <c r="FY103" s="392"/>
      <c r="FZ103" s="392"/>
      <c r="GA103" s="392"/>
      <c r="GB103" s="392"/>
      <c r="GC103" s="392"/>
      <c r="GD103" s="392"/>
      <c r="GE103" s="392"/>
      <c r="GF103" s="392"/>
      <c r="GG103" s="392"/>
      <c r="GH103" s="392"/>
      <c r="GI103" s="392"/>
      <c r="GJ103" s="392"/>
      <c r="GK103" s="392"/>
      <c r="GL103" s="392"/>
      <c r="GM103" s="392"/>
      <c r="GN103" s="392"/>
      <c r="GO103" s="392"/>
      <c r="GP103" s="392"/>
      <c r="GQ103" s="392"/>
      <c r="GR103" s="392"/>
      <c r="GS103" s="392"/>
      <c r="GT103" s="392"/>
      <c r="GU103" s="392"/>
      <c r="GV103" s="392"/>
      <c r="GW103" s="392"/>
      <c r="GX103" s="392"/>
      <c r="GY103" s="392"/>
      <c r="GZ103" s="392"/>
      <c r="HA103" s="392"/>
      <c r="HB103" s="392"/>
      <c r="HC103" s="392"/>
      <c r="HD103" s="392"/>
      <c r="HE103" s="392"/>
      <c r="HF103" s="392"/>
      <c r="HG103" s="392"/>
      <c r="HH103" s="392"/>
      <c r="HI103" s="392"/>
      <c r="HJ103" s="392"/>
      <c r="HK103" s="392"/>
      <c r="HL103" s="392"/>
      <c r="HM103" s="392"/>
      <c r="HN103" s="392"/>
      <c r="HO103" s="392"/>
      <c r="HP103" s="392"/>
      <c r="HQ103" s="392"/>
      <c r="HR103" s="392"/>
      <c r="HS103" s="392"/>
      <c r="HT103" s="392"/>
      <c r="HU103" s="392"/>
      <c r="HV103" s="392"/>
      <c r="HW103" s="392"/>
      <c r="HX103" s="392"/>
      <c r="HY103" s="392"/>
      <c r="HZ103" s="392"/>
      <c r="IA103" s="392"/>
      <c r="IB103" s="392"/>
      <c r="IC103" s="392"/>
      <c r="ID103" s="392"/>
      <c r="IE103" s="392"/>
      <c r="IF103" s="392"/>
      <c r="IG103" s="392"/>
      <c r="IH103" s="392"/>
      <c r="II103" s="392"/>
      <c r="IJ103" s="392"/>
      <c r="IK103" s="392"/>
      <c r="IL103" s="392"/>
      <c r="IM103" s="392"/>
      <c r="IN103" s="392"/>
      <c r="IO103" s="392"/>
      <c r="IP103" s="392"/>
      <c r="IQ103" s="392"/>
      <c r="IR103" s="392"/>
      <c r="IS103" s="392"/>
      <c r="IT103" s="392"/>
      <c r="IU103" s="392"/>
      <c r="IV103" s="392"/>
    </row>
    <row r="104" spans="1:256" ht="45.75">
      <c r="A104" s="333" t="s">
        <v>391</v>
      </c>
      <c r="B104" s="436">
        <v>102486</v>
      </c>
      <c r="C104" s="317" t="str">
        <f>IF($A104="INSUMO",VLOOKUP($B104,'BANCO DE DADOS JANEIRO-24 INS'!$A:$D,2,FALSE),VLOOKUP($B104,'BANCO DE DADOS JANEIRO-24 SERV'!$B:$E,2,FALSE))</f>
        <v>CONCRETO FCK = 15MPA, TRAÇO 1:3,4:3,4 (EM MASSA SECA DE CIMENTO/ AREIA MÉDIA/ SEIXO ROLADO) - PREPARO MANUAL. AF_05/2021</v>
      </c>
      <c r="D104" s="316" t="str">
        <f>IF($A104="INSUMO",VLOOKUP($B104,'BANCO DE DADOS JANEIRO-24 INS'!$A:$D,3,FALSE),VLOOKUP($B104,'BANCO DE DADOS JANEIRO-24 SERV'!$B:$E,3,FALSE))</f>
        <v>M3</v>
      </c>
      <c r="E104" s="570">
        <v>0.18</v>
      </c>
      <c r="F104" s="320">
        <f>IF($A104="INSUMO",VLOOKUP($B104,'BANCO DE DADOS JANEIRO-24 INS'!$A:$D,4,FALSE),VLOOKUP($B104,'BANCO DE DADOS JANEIRO-24 SERV'!$B:$E,4,FALSE))</f>
        <v>763.53</v>
      </c>
      <c r="G104" s="553">
        <f>TRUNC(F104*E104,2)</f>
        <v>137.43</v>
      </c>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392"/>
      <c r="BK104" s="392"/>
      <c r="BL104" s="392"/>
      <c r="BM104" s="392"/>
      <c r="BN104" s="392"/>
      <c r="BO104" s="392"/>
      <c r="BP104" s="392"/>
      <c r="BQ104" s="392"/>
      <c r="BR104" s="392"/>
      <c r="BS104" s="392"/>
      <c r="BT104" s="392"/>
      <c r="BU104" s="392"/>
      <c r="BV104" s="392"/>
      <c r="BW104" s="392"/>
      <c r="BX104" s="392"/>
      <c r="BY104" s="392"/>
      <c r="BZ104" s="392"/>
      <c r="CA104" s="392"/>
      <c r="CB104" s="392"/>
      <c r="CC104" s="392"/>
      <c r="CD104" s="392"/>
      <c r="CE104" s="392"/>
      <c r="CF104" s="392"/>
      <c r="CG104" s="392"/>
      <c r="CH104" s="392"/>
      <c r="CI104" s="39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c r="DD104" s="392"/>
      <c r="DE104" s="392"/>
      <c r="DF104" s="392"/>
      <c r="DG104" s="392"/>
      <c r="DH104" s="392"/>
      <c r="DI104" s="392"/>
      <c r="DJ104" s="392"/>
      <c r="DK104" s="392"/>
      <c r="DL104" s="392"/>
      <c r="DM104" s="392"/>
      <c r="DN104" s="392"/>
      <c r="DO104" s="392"/>
      <c r="DP104" s="392"/>
      <c r="DQ104" s="392"/>
      <c r="DR104" s="392"/>
      <c r="DS104" s="392"/>
      <c r="DT104" s="392"/>
      <c r="DU104" s="392"/>
      <c r="DV104" s="392"/>
      <c r="DW104" s="392"/>
      <c r="DX104" s="392"/>
      <c r="DY104" s="392"/>
      <c r="DZ104" s="392"/>
      <c r="EA104" s="392"/>
      <c r="EB104" s="392"/>
      <c r="EC104" s="392"/>
      <c r="ED104" s="392"/>
      <c r="EE104" s="392"/>
      <c r="EF104" s="392"/>
      <c r="EG104" s="392"/>
      <c r="EH104" s="392"/>
      <c r="EI104" s="392"/>
      <c r="EJ104" s="392"/>
      <c r="EK104" s="392"/>
      <c r="EL104" s="392"/>
      <c r="EM104" s="392"/>
      <c r="EN104" s="392"/>
      <c r="EO104" s="392"/>
      <c r="EP104" s="392"/>
      <c r="EQ104" s="392"/>
      <c r="ER104" s="392"/>
      <c r="ES104" s="392"/>
      <c r="ET104" s="392"/>
      <c r="EU104" s="392"/>
      <c r="EV104" s="392"/>
      <c r="EW104" s="392"/>
      <c r="EX104" s="392"/>
      <c r="EY104" s="392"/>
      <c r="EZ104" s="392"/>
      <c r="FA104" s="392"/>
      <c r="FB104" s="392"/>
      <c r="FC104" s="392"/>
      <c r="FD104" s="392"/>
      <c r="FE104" s="392"/>
      <c r="FF104" s="392"/>
      <c r="FG104" s="392"/>
      <c r="FH104" s="392"/>
      <c r="FI104" s="392"/>
      <c r="FJ104" s="392"/>
      <c r="FK104" s="392"/>
      <c r="FL104" s="392"/>
      <c r="FM104" s="392"/>
      <c r="FN104" s="392"/>
      <c r="FO104" s="392"/>
      <c r="FP104" s="392"/>
      <c r="FQ104" s="392"/>
      <c r="FR104" s="392"/>
      <c r="FS104" s="392"/>
      <c r="FT104" s="392"/>
      <c r="FU104" s="392"/>
      <c r="FV104" s="392"/>
      <c r="FW104" s="392"/>
      <c r="FX104" s="392"/>
      <c r="FY104" s="392"/>
      <c r="FZ104" s="392"/>
      <c r="GA104" s="392"/>
      <c r="GB104" s="392"/>
      <c r="GC104" s="392"/>
      <c r="GD104" s="392"/>
      <c r="GE104" s="392"/>
      <c r="GF104" s="392"/>
      <c r="GG104" s="392"/>
      <c r="GH104" s="392"/>
      <c r="GI104" s="392"/>
      <c r="GJ104" s="392"/>
      <c r="GK104" s="392"/>
      <c r="GL104" s="392"/>
      <c r="GM104" s="392"/>
      <c r="GN104" s="392"/>
      <c r="GO104" s="392"/>
      <c r="GP104" s="392"/>
      <c r="GQ104" s="392"/>
      <c r="GR104" s="392"/>
      <c r="GS104" s="392"/>
      <c r="GT104" s="392"/>
      <c r="GU104" s="392"/>
      <c r="GV104" s="392"/>
      <c r="GW104" s="392"/>
      <c r="GX104" s="392"/>
      <c r="GY104" s="392"/>
      <c r="GZ104" s="392"/>
      <c r="HA104" s="392"/>
      <c r="HB104" s="392"/>
      <c r="HC104" s="392"/>
      <c r="HD104" s="392"/>
      <c r="HE104" s="392"/>
      <c r="HF104" s="392"/>
      <c r="HG104" s="392"/>
      <c r="HH104" s="392"/>
      <c r="HI104" s="392"/>
      <c r="HJ104" s="392"/>
      <c r="HK104" s="392"/>
      <c r="HL104" s="392"/>
      <c r="HM104" s="392"/>
      <c r="HN104" s="392"/>
      <c r="HO104" s="392"/>
      <c r="HP104" s="392"/>
      <c r="HQ104" s="392"/>
      <c r="HR104" s="392"/>
      <c r="HS104" s="392"/>
      <c r="HT104" s="392"/>
      <c r="HU104" s="392"/>
      <c r="HV104" s="392"/>
      <c r="HW104" s="392"/>
      <c r="HX104" s="392"/>
      <c r="HY104" s="392"/>
      <c r="HZ104" s="392"/>
      <c r="IA104" s="392"/>
      <c r="IB104" s="392"/>
      <c r="IC104" s="392"/>
      <c r="ID104" s="392"/>
      <c r="IE104" s="392"/>
      <c r="IF104" s="392"/>
      <c r="IG104" s="392"/>
      <c r="IH104" s="392"/>
      <c r="II104" s="392"/>
      <c r="IJ104" s="392"/>
      <c r="IK104" s="392"/>
      <c r="IL104" s="392"/>
      <c r="IM104" s="392"/>
      <c r="IN104" s="392"/>
      <c r="IO104" s="392"/>
      <c r="IP104" s="392"/>
      <c r="IQ104" s="392"/>
      <c r="IR104" s="392"/>
      <c r="IS104" s="392"/>
      <c r="IT104" s="392"/>
      <c r="IU104" s="392"/>
      <c r="IV104" s="392"/>
    </row>
    <row r="105" spans="1:256" s="271" customFormat="1" ht="15.75">
      <c r="A105" s="333"/>
      <c r="B105" s="2312" t="s">
        <v>169</v>
      </c>
      <c r="C105" s="2313"/>
      <c r="D105" s="2313"/>
      <c r="E105" s="2313"/>
      <c r="F105" s="2313"/>
      <c r="G105" s="2314"/>
    </row>
    <row r="106" spans="1:256" s="271" customFormat="1" ht="16.5" thickBot="1">
      <c r="A106" s="333" t="s">
        <v>391</v>
      </c>
      <c r="B106" s="1274">
        <v>88309</v>
      </c>
      <c r="C106" s="1098" t="str">
        <f>IF($A106="INSUMO",VLOOKUP($B106,'BANCO DE DADOS JANEIRO-24 INS'!$A:$D,2,FALSE),VLOOKUP($B106,'BANCO DE DADOS JANEIRO-24 SERV'!$B:$E,2,FALSE))</f>
        <v>PEDREIRO COM ENCARGOS COMPLEMENTARES</v>
      </c>
      <c r="D106" s="1099" t="str">
        <f>IF($A106="INSUMO",VLOOKUP($B106,'BANCO DE DADOS JANEIRO-24 INS'!$A:$D,3,FALSE),VLOOKUP($B106,'BANCO DE DADOS JANEIRO-24 SERV'!$B:$E,3,FALSE))</f>
        <v>H</v>
      </c>
      <c r="E106" s="570">
        <v>1</v>
      </c>
      <c r="F106" s="1146">
        <f>IF($A106="INSUMO",VLOOKUP($B106,'BANCO DE DADOS JANEIRO-24 INS'!$A:$D,4,FALSE),VLOOKUP($B106,'BANCO DE DADOS JANEIRO-24 SERV'!$B:$E,4,FALSE))</f>
        <v>25.62</v>
      </c>
      <c r="G106" s="1101">
        <f>TRUNC(E106*F106,2)</f>
        <v>25.62</v>
      </c>
    </row>
    <row r="107" spans="1:256" ht="25.5" customHeight="1" thickBot="1">
      <c r="A107" s="392"/>
      <c r="B107" s="2485" t="s">
        <v>14075</v>
      </c>
      <c r="C107" s="2485"/>
      <c r="D107" s="2485"/>
      <c r="E107" s="2486"/>
      <c r="F107" s="263" t="s">
        <v>167</v>
      </c>
      <c r="G107" s="264">
        <f>TRUNC(SUM(G102:G106),2)</f>
        <v>4160.0200000000004</v>
      </c>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392"/>
      <c r="BK107" s="392"/>
      <c r="BL107" s="392"/>
      <c r="BM107" s="392"/>
      <c r="BN107" s="392"/>
      <c r="BO107" s="392"/>
      <c r="BP107" s="392"/>
      <c r="BQ107" s="392"/>
      <c r="BR107" s="392"/>
      <c r="BS107" s="392"/>
      <c r="BT107" s="392"/>
      <c r="BU107" s="392"/>
      <c r="BV107" s="392"/>
      <c r="BW107" s="392"/>
      <c r="BX107" s="392"/>
      <c r="BY107" s="392"/>
      <c r="BZ107" s="392"/>
      <c r="CA107" s="392"/>
      <c r="CB107" s="392"/>
      <c r="CC107" s="392"/>
      <c r="CD107" s="392"/>
      <c r="CE107" s="392"/>
      <c r="CF107" s="392"/>
      <c r="CG107" s="392"/>
      <c r="CH107" s="392"/>
      <c r="CI107" s="392"/>
      <c r="CJ107" s="392"/>
      <c r="CK107" s="392"/>
      <c r="CL107" s="392"/>
      <c r="CM107" s="392"/>
      <c r="CN107" s="392"/>
      <c r="CO107" s="392"/>
      <c r="CP107" s="392"/>
      <c r="CQ107" s="392"/>
      <c r="CR107" s="392"/>
      <c r="CS107" s="392"/>
      <c r="CT107" s="392"/>
      <c r="CU107" s="392"/>
      <c r="CV107" s="392"/>
      <c r="CW107" s="392"/>
      <c r="CX107" s="392"/>
      <c r="CY107" s="392"/>
      <c r="CZ107" s="392"/>
      <c r="DA107" s="392"/>
      <c r="DB107" s="392"/>
      <c r="DC107" s="392"/>
      <c r="DD107" s="392"/>
      <c r="DE107" s="392"/>
      <c r="DF107" s="392"/>
      <c r="DG107" s="392"/>
      <c r="DH107" s="392"/>
      <c r="DI107" s="392"/>
      <c r="DJ107" s="392"/>
      <c r="DK107" s="392"/>
      <c r="DL107" s="392"/>
      <c r="DM107" s="392"/>
      <c r="DN107" s="392"/>
      <c r="DO107" s="392"/>
      <c r="DP107" s="392"/>
      <c r="DQ107" s="392"/>
      <c r="DR107" s="392"/>
      <c r="DS107" s="392"/>
      <c r="DT107" s="392"/>
      <c r="DU107" s="392"/>
      <c r="DV107" s="392"/>
      <c r="DW107" s="392"/>
      <c r="DX107" s="392"/>
      <c r="DY107" s="392"/>
      <c r="DZ107" s="392"/>
      <c r="EA107" s="392"/>
      <c r="EB107" s="392"/>
      <c r="EC107" s="392"/>
      <c r="ED107" s="392"/>
      <c r="EE107" s="392"/>
      <c r="EF107" s="392"/>
      <c r="EG107" s="392"/>
      <c r="EH107" s="392"/>
      <c r="EI107" s="392"/>
      <c r="EJ107" s="392"/>
      <c r="EK107" s="392"/>
      <c r="EL107" s="392"/>
      <c r="EM107" s="392"/>
      <c r="EN107" s="392"/>
      <c r="EO107" s="392"/>
      <c r="EP107" s="392"/>
      <c r="EQ107" s="392"/>
      <c r="ER107" s="392"/>
      <c r="ES107" s="392"/>
      <c r="ET107" s="392"/>
      <c r="EU107" s="392"/>
      <c r="EV107" s="392"/>
      <c r="EW107" s="392"/>
      <c r="EX107" s="392"/>
      <c r="EY107" s="392"/>
      <c r="EZ107" s="392"/>
      <c r="FA107" s="392"/>
      <c r="FB107" s="392"/>
      <c r="FC107" s="392"/>
      <c r="FD107" s="392"/>
      <c r="FE107" s="392"/>
      <c r="FF107" s="392"/>
      <c r="FG107" s="392"/>
      <c r="FH107" s="392"/>
      <c r="FI107" s="392"/>
      <c r="FJ107" s="392"/>
      <c r="FK107" s="392"/>
      <c r="FL107" s="392"/>
      <c r="FM107" s="392"/>
      <c r="FN107" s="392"/>
      <c r="FO107" s="392"/>
      <c r="FP107" s="392"/>
      <c r="FQ107" s="392"/>
      <c r="FR107" s="392"/>
      <c r="FS107" s="392"/>
      <c r="FT107" s="392"/>
      <c r="FU107" s="392"/>
      <c r="FV107" s="392"/>
      <c r="FW107" s="392"/>
      <c r="FX107" s="392"/>
      <c r="FY107" s="392"/>
      <c r="FZ107" s="392"/>
      <c r="GA107" s="392"/>
      <c r="GB107" s="392"/>
      <c r="GC107" s="392"/>
      <c r="GD107" s="392"/>
      <c r="GE107" s="392"/>
      <c r="GF107" s="392"/>
      <c r="GG107" s="392"/>
      <c r="GH107" s="392"/>
      <c r="GI107" s="392"/>
      <c r="GJ107" s="392"/>
      <c r="GK107" s="392"/>
      <c r="GL107" s="392"/>
      <c r="GM107" s="392"/>
      <c r="GN107" s="392"/>
      <c r="GO107" s="392"/>
      <c r="GP107" s="392"/>
      <c r="GQ107" s="392"/>
      <c r="GR107" s="392"/>
      <c r="GS107" s="392"/>
      <c r="GT107" s="392"/>
      <c r="GU107" s="392"/>
      <c r="GV107" s="392"/>
      <c r="GW107" s="392"/>
      <c r="GX107" s="392"/>
      <c r="GY107" s="392"/>
      <c r="GZ107" s="392"/>
      <c r="HA107" s="392"/>
      <c r="HB107" s="392"/>
      <c r="HC107" s="392"/>
      <c r="HD107" s="392"/>
      <c r="HE107" s="392"/>
      <c r="HF107" s="392"/>
      <c r="HG107" s="392"/>
      <c r="HH107" s="392"/>
      <c r="HI107" s="392"/>
      <c r="HJ107" s="392"/>
      <c r="HK107" s="392"/>
      <c r="HL107" s="392"/>
      <c r="HM107" s="392"/>
      <c r="HN107" s="392"/>
      <c r="HO107" s="392"/>
      <c r="HP107" s="392"/>
      <c r="HQ107" s="392"/>
      <c r="HR107" s="392"/>
      <c r="HS107" s="392"/>
      <c r="HT107" s="392"/>
      <c r="HU107" s="392"/>
      <c r="HV107" s="392"/>
      <c r="HW107" s="392"/>
      <c r="HX107" s="392"/>
      <c r="HY107" s="392"/>
      <c r="HZ107" s="392"/>
      <c r="IA107" s="392"/>
      <c r="IB107" s="392"/>
      <c r="IC107" s="392"/>
      <c r="ID107" s="392"/>
      <c r="IE107" s="392"/>
      <c r="IF107" s="392"/>
      <c r="IG107" s="392"/>
      <c r="IH107" s="392"/>
      <c r="II107" s="392"/>
      <c r="IJ107" s="392"/>
      <c r="IK107" s="392"/>
      <c r="IL107" s="392"/>
      <c r="IM107" s="392"/>
      <c r="IN107" s="392"/>
      <c r="IO107" s="392"/>
      <c r="IP107" s="392"/>
      <c r="IQ107" s="392"/>
      <c r="IR107" s="392"/>
      <c r="IS107" s="392"/>
      <c r="IT107" s="392"/>
      <c r="IU107" s="392"/>
      <c r="IV107" s="392"/>
    </row>
    <row r="108" spans="1:256" s="271" customFormat="1" ht="16.5" thickBot="1">
      <c r="A108" s="333"/>
      <c r="B108" s="230"/>
      <c r="C108" s="235"/>
      <c r="D108" s="235"/>
      <c r="E108" s="235"/>
      <c r="F108" s="235"/>
      <c r="G108" s="235"/>
    </row>
    <row r="109" spans="1:256" s="271" customFormat="1" ht="18">
      <c r="A109" s="333"/>
      <c r="B109" s="1744" t="s">
        <v>181</v>
      </c>
      <c r="C109" s="2164" t="s">
        <v>14429</v>
      </c>
      <c r="D109" s="2165"/>
      <c r="E109" s="2165"/>
      <c r="F109" s="2166"/>
      <c r="G109" s="1670" t="s">
        <v>22</v>
      </c>
      <c r="H109" s="1173" t="s">
        <v>1977</v>
      </c>
    </row>
    <row r="110" spans="1:256" s="271" customFormat="1" ht="31.5">
      <c r="A110" s="333"/>
      <c r="B110" s="1107" t="s">
        <v>174</v>
      </c>
      <c r="C110" s="1108" t="s">
        <v>175</v>
      </c>
      <c r="D110" s="1109" t="s">
        <v>176</v>
      </c>
      <c r="E110" s="1110" t="s">
        <v>177</v>
      </c>
      <c r="F110" s="1111" t="s">
        <v>178</v>
      </c>
      <c r="G110" s="1112" t="s">
        <v>179</v>
      </c>
    </row>
    <row r="111" spans="1:256" s="271" customFormat="1" ht="15.75">
      <c r="A111" s="333"/>
      <c r="B111" s="1856">
        <v>45348</v>
      </c>
      <c r="C111" s="1758" t="s">
        <v>14644</v>
      </c>
      <c r="D111" s="1762">
        <v>4061.37</v>
      </c>
      <c r="E111" s="1762" t="s">
        <v>14409</v>
      </c>
      <c r="F111" s="1759" t="s">
        <v>14645</v>
      </c>
      <c r="G111" s="1401" t="s">
        <v>14646</v>
      </c>
      <c r="H111" s="1176"/>
    </row>
    <row r="112" spans="1:256" s="271" customFormat="1" ht="15.75">
      <c r="A112" s="333"/>
      <c r="B112" s="1856">
        <v>45345</v>
      </c>
      <c r="C112" s="1758" t="s">
        <v>14506</v>
      </c>
      <c r="D112" s="1762">
        <v>1115.21</v>
      </c>
      <c r="E112" s="1762" t="s">
        <v>14409</v>
      </c>
      <c r="F112" s="1760" t="s">
        <v>14507</v>
      </c>
      <c r="G112" s="1362" t="s">
        <v>14508</v>
      </c>
      <c r="H112" s="1176"/>
    </row>
    <row r="113" spans="1:8" s="271" customFormat="1" ht="15.75">
      <c r="A113" s="333"/>
      <c r="B113" s="1856">
        <v>45345</v>
      </c>
      <c r="C113" s="1758" t="s">
        <v>4610</v>
      </c>
      <c r="D113" s="1762">
        <v>3982.51</v>
      </c>
      <c r="E113" s="1762" t="s">
        <v>4609</v>
      </c>
      <c r="F113" s="1760" t="s">
        <v>14062</v>
      </c>
      <c r="G113" s="1362" t="s">
        <v>4607</v>
      </c>
      <c r="H113" s="1176"/>
    </row>
    <row r="114" spans="1:8" s="271" customFormat="1" ht="16.5" thickBot="1">
      <c r="A114" s="333"/>
      <c r="B114" s="1711"/>
      <c r="C114" s="1668" t="s">
        <v>180</v>
      </c>
      <c r="D114" s="1673">
        <f>IF(COUNT(D110:D113)=3,MEDIAN(D111:D113),SMALL(D111:D113,1))</f>
        <v>3982.51</v>
      </c>
      <c r="E114" s="1674"/>
      <c r="F114" s="1675"/>
      <c r="G114" s="1671"/>
    </row>
  </sheetData>
  <autoFilter ref="G1:G13" xr:uid="{00000000-0009-0000-0000-000017000000}"/>
  <mergeCells count="41">
    <mergeCell ref="B101:G101"/>
    <mergeCell ref="B105:G105"/>
    <mergeCell ref="B107:E107"/>
    <mergeCell ref="C109:F109"/>
    <mergeCell ref="B70:G70"/>
    <mergeCell ref="B73:E73"/>
    <mergeCell ref="C75:F75"/>
    <mergeCell ref="C82:F82"/>
    <mergeCell ref="B84:G84"/>
    <mergeCell ref="B87:G87"/>
    <mergeCell ref="B90:E90"/>
    <mergeCell ref="C92:F92"/>
    <mergeCell ref="C99:F99"/>
    <mergeCell ref="B56:E56"/>
    <mergeCell ref="C58:F58"/>
    <mergeCell ref="C65:F65"/>
    <mergeCell ref="B67:G67"/>
    <mergeCell ref="B16:G16"/>
    <mergeCell ref="B22:E22"/>
    <mergeCell ref="C24:F24"/>
    <mergeCell ref="B39:E39"/>
    <mergeCell ref="C41:F41"/>
    <mergeCell ref="C48:F48"/>
    <mergeCell ref="B50:G50"/>
    <mergeCell ref="B53:G53"/>
    <mergeCell ref="C14:F14"/>
    <mergeCell ref="B19:G19"/>
    <mergeCell ref="C31:F31"/>
    <mergeCell ref="B33:G33"/>
    <mergeCell ref="B36:G36"/>
    <mergeCell ref="C3:D3"/>
    <mergeCell ref="B11:G11"/>
    <mergeCell ref="B3:B4"/>
    <mergeCell ref="F3:G3"/>
    <mergeCell ref="B5:G5"/>
    <mergeCell ref="C7:E7"/>
    <mergeCell ref="B9:D9"/>
    <mergeCell ref="E9:F9"/>
    <mergeCell ref="C8:D8"/>
    <mergeCell ref="E8:F8"/>
    <mergeCell ref="C4:D4"/>
  </mergeCells>
  <dataValidations disablePrompts="1" count="1">
    <dataValidation type="list" allowBlank="1" showInputMessage="1" showErrorMessage="1" sqref="A18 A20:A21 A35 A37:A38 A52 A54:A55 A69 A71:A72 A86 A88:A89 A103:A104 A106" xr:uid="{00000000-0002-0000-1700-000000000000}">
      <formula1>#REF!</formula1>
    </dataValidation>
  </dataValidations>
  <hyperlinks>
    <hyperlink ref="G27" r:id="rId1" display="falecom@flex. Ind.br" xr:uid="{B7EA5E19-A767-49AA-AA30-72CB30A1F92B}"/>
    <hyperlink ref="G44" r:id="rId2" display="falecom@flex. Ind.br" xr:uid="{A83A73E9-3166-4911-8A53-9997C9165FED}"/>
    <hyperlink ref="G61" r:id="rId3" display="falecom@flex. Ind.br" xr:uid="{23768596-0F71-4C0F-9DDC-59DD138EFC89}"/>
    <hyperlink ref="G78" r:id="rId4" display="falecom@flex. Ind.br" xr:uid="{CB7A7B90-1AB6-4803-ACD8-A074087F7B42}"/>
    <hyperlink ref="G95" r:id="rId5" display="falecom@flex. Ind.br" xr:uid="{719F85BC-F403-49C5-8EB1-02D4556A5112}"/>
    <hyperlink ref="G112" r:id="rId6" display="falecom@flex. Ind.br" xr:uid="{218C219D-2E4B-4C2D-8272-E60558E18CF9}"/>
  </hyperlinks>
  <pageMargins left="0.511811024" right="0.511811024" top="0.78740157499999996" bottom="0.78740157499999996" header="0.31496062000000002" footer="0.31496062000000002"/>
  <pageSetup paperSize="9" scale="52" fitToHeight="0" orientation="portrait" r:id="rId7"/>
  <rowBreaks count="1" manualBreakCount="1">
    <brk id="64" min="1" max="6" man="1"/>
  </rowBreaks>
  <drawing r:id="rId8"/>
  <legacyDrawingHF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CAE5-AE84-49B1-AB61-E65A511362B8}">
  <sheetPr>
    <tabColor theme="3" tint="-0.499984740745262"/>
    <pageSetUpPr fitToPage="1"/>
  </sheetPr>
  <dimension ref="C2:J48"/>
  <sheetViews>
    <sheetView view="pageBreakPreview" zoomScale="85" zoomScaleNormal="100" zoomScaleSheetLayoutView="85" workbookViewId="0">
      <selection activeCell="AG38" sqref="AG38"/>
    </sheetView>
  </sheetViews>
  <sheetFormatPr defaultColWidth="9.140625" defaultRowHeight="15"/>
  <cols>
    <col min="3" max="3" width="29.5703125" customWidth="1"/>
    <col min="4" max="4" width="26.7109375" bestFit="1" customWidth="1"/>
    <col min="6" max="6" width="14.42578125" customWidth="1"/>
    <col min="7" max="7" width="20.85546875" customWidth="1"/>
    <col min="8" max="8" width="14.85546875" customWidth="1"/>
    <col min="10" max="10" width="27.42578125" customWidth="1"/>
  </cols>
  <sheetData>
    <row r="2" spans="3:10" ht="15.75" thickBot="1"/>
    <row r="3" spans="3:10" ht="48" customHeight="1">
      <c r="C3" s="2489"/>
      <c r="D3" s="2098" t="s">
        <v>13365</v>
      </c>
      <c r="E3" s="2125"/>
      <c r="F3" s="2125"/>
      <c r="G3" s="2125"/>
      <c r="H3" s="2125"/>
      <c r="I3" s="2125"/>
      <c r="J3" s="2125"/>
    </row>
    <row r="4" spans="3:10" ht="30" customHeight="1" thickBot="1">
      <c r="C4" s="2490"/>
      <c r="D4" s="2102"/>
      <c r="E4" s="2491"/>
      <c r="F4" s="2491"/>
      <c r="G4" s="2491"/>
      <c r="H4" s="2491"/>
      <c r="I4" s="2491"/>
      <c r="J4" s="2491"/>
    </row>
    <row r="5" spans="3:10" ht="50.1" customHeight="1" thickBot="1">
      <c r="C5" s="2490"/>
      <c r="D5" s="2080" t="s">
        <v>13363</v>
      </c>
      <c r="E5" s="2081"/>
      <c r="F5" s="2081"/>
      <c r="G5" s="2081"/>
      <c r="H5" s="2081"/>
      <c r="I5" s="2081"/>
      <c r="J5" s="2081"/>
    </row>
    <row r="6" spans="3:10" ht="15.75">
      <c r="C6" s="1398" t="s">
        <v>5</v>
      </c>
      <c r="D6" s="2492" t="str">
        <f>'ORÇAMENTO '!G11</f>
        <v xml:space="preserve">ESCOLA MUNICIPAL DOMINGOS AZZOLINI </v>
      </c>
      <c r="E6" s="2492"/>
      <c r="F6" s="2492"/>
      <c r="G6" s="2492"/>
      <c r="H6" s="2492"/>
      <c r="I6" s="2492"/>
      <c r="J6" s="2492"/>
    </row>
    <row r="7" spans="3:10" ht="15.75">
      <c r="C7" s="1483" t="s">
        <v>7</v>
      </c>
      <c r="D7" s="2493" t="str">
        <f>'ORÇAMENTO '!G12</f>
        <v>SANTO ANTONIO DO LESTE</v>
      </c>
      <c r="E7" s="2494"/>
      <c r="F7" s="2494"/>
      <c r="G7" s="2494"/>
      <c r="H7" s="2494"/>
      <c r="I7" s="2494"/>
      <c r="J7" s="2494"/>
    </row>
    <row r="8" spans="3:10" ht="15.75" customHeight="1" thickBot="1">
      <c r="C8" s="2487"/>
      <c r="D8" s="2488"/>
      <c r="E8" s="2488"/>
      <c r="F8" s="2488"/>
      <c r="G8" s="2488"/>
      <c r="H8" s="2488"/>
      <c r="I8" s="2488"/>
      <c r="J8" s="2488"/>
    </row>
    <row r="9" spans="3:10" ht="6" customHeight="1" thickBot="1">
      <c r="C9" s="2495"/>
      <c r="D9" s="2496"/>
      <c r="E9" s="2496"/>
      <c r="F9" s="2496"/>
      <c r="G9" s="2496"/>
      <c r="H9" s="2496"/>
      <c r="I9" s="2496"/>
      <c r="J9" s="2496"/>
    </row>
    <row r="10" spans="3:10" ht="6" customHeight="1" thickBot="1">
      <c r="C10" s="2497"/>
      <c r="D10" s="2498"/>
      <c r="E10" s="2498"/>
      <c r="F10" s="2498"/>
      <c r="G10" s="2498"/>
      <c r="H10" s="2498"/>
      <c r="I10" s="2498"/>
      <c r="J10" s="2498"/>
    </row>
    <row r="11" spans="3:10" ht="21.95" customHeight="1" thickBot="1">
      <c r="C11" s="2245" t="s">
        <v>14233</v>
      </c>
      <c r="D11" s="2246"/>
      <c r="E11" s="2246"/>
      <c r="F11" s="2246"/>
      <c r="G11" s="2246"/>
      <c r="H11" s="2246"/>
      <c r="I11" s="2246"/>
      <c r="J11" s="2246"/>
    </row>
    <row r="12" spans="3:10" ht="6" customHeight="1" thickBot="1">
      <c r="C12" s="2497"/>
      <c r="D12" s="2498"/>
      <c r="E12" s="2498"/>
      <c r="F12" s="2498"/>
      <c r="G12" s="2498"/>
      <c r="H12" s="2498"/>
      <c r="I12" s="2498"/>
      <c r="J12" s="2498"/>
    </row>
    <row r="13" spans="3:10" ht="6" customHeight="1" thickBot="1">
      <c r="C13" s="2499"/>
      <c r="D13" s="2500"/>
      <c r="E13" s="2500"/>
      <c r="F13" s="2500"/>
      <c r="G13" s="2500"/>
      <c r="H13" s="2500"/>
      <c r="I13" s="2500"/>
      <c r="J13" s="2500"/>
    </row>
    <row r="14" spans="3:10" s="1051" customFormat="1" ht="14.25">
      <c r="D14" s="2501" t="s">
        <v>14200</v>
      </c>
      <c r="E14" s="2501"/>
      <c r="F14" s="2501"/>
      <c r="G14" s="2501"/>
      <c r="H14" s="2501"/>
      <c r="I14" s="2501"/>
    </row>
    <row r="15" spans="3:10" s="1051" customFormat="1" ht="14.25">
      <c r="D15" s="2502" t="s">
        <v>14201</v>
      </c>
      <c r="E15" s="2502" t="s">
        <v>14202</v>
      </c>
      <c r="F15" s="2502"/>
      <c r="G15" s="2502"/>
      <c r="H15" s="1810"/>
      <c r="I15" s="2502" t="s">
        <v>170</v>
      </c>
    </row>
    <row r="16" spans="3:10" s="1051" customFormat="1" ht="14.25">
      <c r="D16" s="2502"/>
      <c r="E16" s="1810">
        <v>2.7</v>
      </c>
      <c r="F16" s="1810">
        <v>1.9</v>
      </c>
      <c r="G16" s="1810">
        <v>1.2</v>
      </c>
      <c r="H16" s="1810"/>
      <c r="I16" s="2502"/>
    </row>
    <row r="17" spans="4:9" s="1051" customFormat="1" ht="14.25">
      <c r="D17" s="1811" t="s">
        <v>14203</v>
      </c>
      <c r="E17" s="1812">
        <v>2</v>
      </c>
      <c r="F17" s="1812">
        <v>1</v>
      </c>
      <c r="G17" s="1812">
        <v>2</v>
      </c>
      <c r="H17" s="1812">
        <f>0.8+(11.7/2)</f>
        <v>6.6499999999999995</v>
      </c>
      <c r="I17" s="1812">
        <f>E17*$E$9+F17*$F$9+G17*$G$9+H17</f>
        <v>6.6499999999999995</v>
      </c>
    </row>
    <row r="18" spans="4:9" s="1051" customFormat="1" ht="14.25">
      <c r="D18" s="1811" t="s">
        <v>14204</v>
      </c>
      <c r="E18" s="1812">
        <v>4</v>
      </c>
      <c r="F18" s="1812"/>
      <c r="G18" s="1812">
        <v>2</v>
      </c>
      <c r="H18" s="1812">
        <f>(4.66/2)+(1.21/2)+0.8+(4.98/2)+(5.15/2)</f>
        <v>8.8000000000000007</v>
      </c>
      <c r="I18" s="1812">
        <f t="shared" ref="I18:I47" si="0">E18*$E$9+F18*$F$9+G18*$G$9+H18</f>
        <v>8.8000000000000007</v>
      </c>
    </row>
    <row r="19" spans="4:9" s="1051" customFormat="1" ht="14.25">
      <c r="D19" s="1811" t="s">
        <v>14205</v>
      </c>
      <c r="E19" s="1812">
        <v>3</v>
      </c>
      <c r="F19" s="1812">
        <v>1</v>
      </c>
      <c r="G19" s="1812">
        <v>1</v>
      </c>
      <c r="H19" s="1812">
        <f>(1.47+0.28)/2</f>
        <v>0.875</v>
      </c>
      <c r="I19" s="1812">
        <f t="shared" si="0"/>
        <v>0.875</v>
      </c>
    </row>
    <row r="20" spans="4:9" s="1051" customFormat="1" ht="14.25">
      <c r="D20" s="1811" t="s">
        <v>14206</v>
      </c>
      <c r="E20" s="1812">
        <v>2</v>
      </c>
      <c r="F20" s="1812">
        <v>2</v>
      </c>
      <c r="G20" s="1812">
        <v>1</v>
      </c>
      <c r="H20" s="1812"/>
      <c r="I20" s="1812">
        <f t="shared" si="0"/>
        <v>0</v>
      </c>
    </row>
    <row r="21" spans="4:9" s="1051" customFormat="1" ht="14.25">
      <c r="D21" s="1811" t="s">
        <v>14207</v>
      </c>
      <c r="E21" s="1812"/>
      <c r="F21" s="1812">
        <v>1</v>
      </c>
      <c r="G21" s="1812"/>
      <c r="H21" s="1812"/>
      <c r="I21" s="1812">
        <f t="shared" si="0"/>
        <v>0</v>
      </c>
    </row>
    <row r="22" spans="4:9" s="1051" customFormat="1" ht="14.25">
      <c r="D22" s="1811" t="s">
        <v>14208</v>
      </c>
      <c r="E22" s="1812"/>
      <c r="F22" s="1812">
        <v>1</v>
      </c>
      <c r="G22" s="1812"/>
      <c r="H22" s="1812"/>
      <c r="I22" s="1812">
        <f t="shared" si="0"/>
        <v>0</v>
      </c>
    </row>
    <row r="23" spans="4:9" s="1051" customFormat="1" ht="14.25">
      <c r="D23" s="1811" t="s">
        <v>14209</v>
      </c>
      <c r="E23" s="1812"/>
      <c r="F23" s="1812">
        <v>4</v>
      </c>
      <c r="G23" s="1812">
        <v>1</v>
      </c>
      <c r="H23" s="1812">
        <f>4.65/2</f>
        <v>2.3250000000000002</v>
      </c>
      <c r="I23" s="1812">
        <f t="shared" si="0"/>
        <v>2.3250000000000002</v>
      </c>
    </row>
    <row r="24" spans="4:9" s="1051" customFormat="1" ht="14.25">
      <c r="D24" s="1811" t="s">
        <v>14210</v>
      </c>
      <c r="E24" s="1812"/>
      <c r="F24" s="1812">
        <v>1</v>
      </c>
      <c r="G24" s="1812"/>
      <c r="H24" s="1812"/>
      <c r="I24" s="1812">
        <f t="shared" si="0"/>
        <v>0</v>
      </c>
    </row>
    <row r="25" spans="4:9" s="1051" customFormat="1" ht="14.25">
      <c r="D25" s="1811" t="s">
        <v>14210</v>
      </c>
      <c r="E25" s="1812"/>
      <c r="F25" s="1812">
        <v>1</v>
      </c>
      <c r="G25" s="1812"/>
      <c r="H25" s="1812"/>
      <c r="I25" s="1812">
        <f t="shared" si="0"/>
        <v>0</v>
      </c>
    </row>
    <row r="26" spans="4:9" s="1051" customFormat="1" ht="14.25">
      <c r="D26" s="1811" t="s">
        <v>14208</v>
      </c>
      <c r="E26" s="1812"/>
      <c r="F26" s="1812">
        <v>1</v>
      </c>
      <c r="G26" s="1812"/>
      <c r="H26" s="1812"/>
      <c r="I26" s="1812">
        <f t="shared" si="0"/>
        <v>0</v>
      </c>
    </row>
    <row r="27" spans="4:9" s="1051" customFormat="1" ht="14.25">
      <c r="D27" s="1811" t="s">
        <v>14211</v>
      </c>
      <c r="E27" s="1812"/>
      <c r="F27" s="1812">
        <v>2</v>
      </c>
      <c r="G27" s="1812"/>
      <c r="H27" s="1812"/>
      <c r="I27" s="1812">
        <f t="shared" si="0"/>
        <v>0</v>
      </c>
    </row>
    <row r="28" spans="4:9" s="1051" customFormat="1" ht="14.25">
      <c r="D28" s="1811" t="s">
        <v>14212</v>
      </c>
      <c r="E28" s="1812">
        <v>1</v>
      </c>
      <c r="F28" s="1812">
        <v>1</v>
      </c>
      <c r="G28" s="1812">
        <v>2</v>
      </c>
      <c r="H28" s="1812">
        <f>(6.08/2)+(6.16/2)+0.8</f>
        <v>6.92</v>
      </c>
      <c r="I28" s="1812">
        <f t="shared" si="0"/>
        <v>6.92</v>
      </c>
    </row>
    <row r="29" spans="4:9" s="1051" customFormat="1" ht="14.25">
      <c r="D29" s="1811" t="s">
        <v>14213</v>
      </c>
      <c r="E29" s="1812">
        <v>3</v>
      </c>
      <c r="F29" s="1812">
        <v>1</v>
      </c>
      <c r="G29" s="1812">
        <v>2</v>
      </c>
      <c r="H29" s="1812">
        <f>2.76+2.91+3.72</f>
        <v>9.39</v>
      </c>
      <c r="I29" s="1812">
        <f t="shared" si="0"/>
        <v>9.39</v>
      </c>
    </row>
    <row r="30" spans="4:9" s="1051" customFormat="1" ht="14.25">
      <c r="D30" s="1811" t="s">
        <v>14214</v>
      </c>
      <c r="E30" s="1812">
        <v>3</v>
      </c>
      <c r="F30" s="1812">
        <v>1</v>
      </c>
      <c r="G30" s="1812">
        <v>2</v>
      </c>
      <c r="H30" s="1812">
        <f>3.03+3.41+2.82</f>
        <v>9.26</v>
      </c>
      <c r="I30" s="1812">
        <f t="shared" si="0"/>
        <v>9.26</v>
      </c>
    </row>
    <row r="31" spans="4:9" s="1051" customFormat="1" ht="14.25">
      <c r="D31" s="1811" t="s">
        <v>14215</v>
      </c>
      <c r="E31" s="1812">
        <v>2</v>
      </c>
      <c r="F31" s="1812">
        <v>1</v>
      </c>
      <c r="G31" s="1812">
        <v>2</v>
      </c>
      <c r="H31" s="1812">
        <f>2.27+2.53+2.81+0.8</f>
        <v>8.41</v>
      </c>
      <c r="I31" s="1812">
        <f t="shared" si="0"/>
        <v>8.41</v>
      </c>
    </row>
    <row r="32" spans="4:9" s="1051" customFormat="1" ht="14.25">
      <c r="D32" s="1811" t="s">
        <v>14216</v>
      </c>
      <c r="E32" s="1812">
        <v>3</v>
      </c>
      <c r="F32" s="1812">
        <v>1</v>
      </c>
      <c r="G32" s="1812">
        <v>2</v>
      </c>
      <c r="H32" s="1812">
        <f>2.51+4.13+2.58</f>
        <v>9.2199999999999989</v>
      </c>
      <c r="I32" s="1812">
        <f t="shared" si="0"/>
        <v>9.2199999999999989</v>
      </c>
    </row>
    <row r="33" spans="4:9" s="1051" customFormat="1" ht="14.25">
      <c r="D33" s="1811" t="s">
        <v>14217</v>
      </c>
      <c r="E33" s="1812">
        <v>1</v>
      </c>
      <c r="F33" s="1812">
        <v>1</v>
      </c>
      <c r="G33" s="1812">
        <v>2</v>
      </c>
      <c r="H33" s="1812">
        <f>3.13+3.08+0.08</f>
        <v>6.29</v>
      </c>
      <c r="I33" s="1812">
        <f t="shared" si="0"/>
        <v>6.29</v>
      </c>
    </row>
    <row r="34" spans="4:9" s="1051" customFormat="1" ht="14.25">
      <c r="D34" s="1811" t="s">
        <v>14218</v>
      </c>
      <c r="E34" s="1812">
        <v>3</v>
      </c>
      <c r="F34" s="1812"/>
      <c r="G34" s="1812">
        <v>2</v>
      </c>
      <c r="H34" s="1812">
        <f>3.25+3.22+0.8</f>
        <v>7.2700000000000005</v>
      </c>
      <c r="I34" s="1812">
        <f t="shared" si="0"/>
        <v>7.2700000000000005</v>
      </c>
    </row>
    <row r="35" spans="4:9" s="1051" customFormat="1" ht="14.25">
      <c r="D35" s="1811" t="s">
        <v>14219</v>
      </c>
      <c r="E35" s="1812">
        <v>1</v>
      </c>
      <c r="F35" s="1812">
        <v>1</v>
      </c>
      <c r="G35" s="1812">
        <v>2</v>
      </c>
      <c r="H35" s="1812">
        <f>2.69+2.72+0.8</f>
        <v>6.21</v>
      </c>
      <c r="I35" s="1812">
        <f t="shared" si="0"/>
        <v>6.21</v>
      </c>
    </row>
    <row r="36" spans="4:9" s="1051" customFormat="1" ht="14.25">
      <c r="D36" s="1811" t="s">
        <v>14220</v>
      </c>
      <c r="E36" s="1812">
        <v>2</v>
      </c>
      <c r="F36" s="1812"/>
      <c r="G36" s="1812">
        <v>2</v>
      </c>
      <c r="H36" s="1812">
        <f>2.68+2.56+0.8</f>
        <v>6.04</v>
      </c>
      <c r="I36" s="1812">
        <f t="shared" si="0"/>
        <v>6.04</v>
      </c>
    </row>
    <row r="37" spans="4:9" s="1051" customFormat="1" ht="14.25">
      <c r="D37" s="1811" t="s">
        <v>14221</v>
      </c>
      <c r="E37" s="1812">
        <v>2</v>
      </c>
      <c r="F37" s="1812">
        <v>1</v>
      </c>
      <c r="G37" s="1812">
        <v>2</v>
      </c>
      <c r="H37" s="1812">
        <f xml:space="preserve"> 2.43+2.87+0.8+2.61</f>
        <v>8.7100000000000009</v>
      </c>
      <c r="I37" s="1812">
        <f t="shared" si="0"/>
        <v>8.7100000000000009</v>
      </c>
    </row>
    <row r="38" spans="4:9" s="1051" customFormat="1" ht="14.25">
      <c r="D38" s="1811" t="s">
        <v>14222</v>
      </c>
      <c r="E38" s="1812"/>
      <c r="F38" s="1812">
        <v>3</v>
      </c>
      <c r="G38" s="1812"/>
      <c r="H38" s="1812"/>
      <c r="I38" s="1812">
        <f t="shared" si="0"/>
        <v>0</v>
      </c>
    </row>
    <row r="39" spans="4:9" s="1051" customFormat="1" ht="14.25">
      <c r="D39" s="1811" t="s">
        <v>14223</v>
      </c>
      <c r="E39" s="1812"/>
      <c r="F39" s="1812">
        <v>1</v>
      </c>
      <c r="G39" s="1812"/>
      <c r="H39" s="1812"/>
      <c r="I39" s="1812">
        <f t="shared" si="0"/>
        <v>0</v>
      </c>
    </row>
    <row r="40" spans="4:9" s="1051" customFormat="1" ht="14.25">
      <c r="D40" s="1811" t="s">
        <v>14224</v>
      </c>
      <c r="E40" s="1812">
        <v>1</v>
      </c>
      <c r="F40" s="1812">
        <v>1</v>
      </c>
      <c r="G40" s="1812">
        <v>2</v>
      </c>
      <c r="H40" s="1812">
        <f>3.19+3.87+0.8</f>
        <v>7.86</v>
      </c>
      <c r="I40" s="1812">
        <f t="shared" si="0"/>
        <v>7.86</v>
      </c>
    </row>
    <row r="41" spans="4:9" s="1051" customFormat="1" ht="14.25">
      <c r="D41" s="1811" t="s">
        <v>14225</v>
      </c>
      <c r="E41" s="1812">
        <v>2</v>
      </c>
      <c r="F41" s="1812">
        <v>1</v>
      </c>
      <c r="G41" s="1812">
        <v>2</v>
      </c>
      <c r="H41" s="1812">
        <f>2.77+3.1+0.8+2.42</f>
        <v>9.09</v>
      </c>
      <c r="I41" s="1812">
        <f t="shared" si="0"/>
        <v>9.09</v>
      </c>
    </row>
    <row r="42" spans="4:9" s="1051" customFormat="1" ht="14.25">
      <c r="D42" s="1811" t="s">
        <v>14226</v>
      </c>
      <c r="E42" s="1812">
        <v>1</v>
      </c>
      <c r="F42" s="1812">
        <v>1</v>
      </c>
      <c r="G42" s="1812">
        <v>2</v>
      </c>
      <c r="H42" s="1812">
        <f>2.07+2.57+0.8</f>
        <v>5.4399999999999995</v>
      </c>
      <c r="I42" s="1812">
        <f t="shared" si="0"/>
        <v>5.4399999999999995</v>
      </c>
    </row>
    <row r="43" spans="4:9" s="1051" customFormat="1" ht="14.25">
      <c r="D43" s="1811" t="s">
        <v>14227</v>
      </c>
      <c r="E43" s="1812">
        <v>1</v>
      </c>
      <c r="F43" s="1812">
        <v>1</v>
      </c>
      <c r="G43" s="1812">
        <v>2</v>
      </c>
      <c r="H43" s="1812">
        <f>1.93+0.8</f>
        <v>2.73</v>
      </c>
      <c r="I43" s="1812">
        <f t="shared" si="0"/>
        <v>2.73</v>
      </c>
    </row>
    <row r="44" spans="4:9" s="1051" customFormat="1" ht="14.25">
      <c r="D44" s="1811" t="s">
        <v>14228</v>
      </c>
      <c r="E44" s="1812">
        <v>2</v>
      </c>
      <c r="F44" s="1812">
        <v>1</v>
      </c>
      <c r="G44" s="1812">
        <v>2</v>
      </c>
      <c r="H44" s="1812">
        <f>2.07+2.48+2.82+0.8</f>
        <v>8.17</v>
      </c>
      <c r="I44" s="1812">
        <f t="shared" si="0"/>
        <v>8.17</v>
      </c>
    </row>
    <row r="45" spans="4:9" s="1051" customFormat="1" ht="14.25">
      <c r="D45" s="1811" t="s">
        <v>14229</v>
      </c>
      <c r="E45" s="1812">
        <v>1</v>
      </c>
      <c r="F45" s="1812">
        <v>1</v>
      </c>
      <c r="G45" s="1812">
        <v>2</v>
      </c>
      <c r="H45" s="1812">
        <f>2.76+0.8+3.24</f>
        <v>6.8</v>
      </c>
      <c r="I45" s="1812">
        <f t="shared" si="0"/>
        <v>6.8</v>
      </c>
    </row>
    <row r="46" spans="4:9" s="1051" customFormat="1" ht="14.25">
      <c r="D46" s="1811" t="s">
        <v>14230</v>
      </c>
      <c r="E46" s="1812"/>
      <c r="F46" s="1812">
        <v>1</v>
      </c>
      <c r="G46" s="1812"/>
      <c r="H46" s="1812"/>
      <c r="I46" s="1812">
        <f t="shared" si="0"/>
        <v>0</v>
      </c>
    </row>
    <row r="47" spans="4:9" s="1051" customFormat="1" ht="14.25">
      <c r="D47" s="1811" t="s">
        <v>14231</v>
      </c>
      <c r="E47" s="1812"/>
      <c r="F47" s="1812">
        <v>13</v>
      </c>
      <c r="G47" s="1812"/>
      <c r="H47" s="1812"/>
      <c r="I47" s="1812">
        <f t="shared" si="0"/>
        <v>0</v>
      </c>
    </row>
    <row r="48" spans="4:9" s="1051" customFormat="1" ht="14.25">
      <c r="D48" s="2503" t="s">
        <v>14232</v>
      </c>
      <c r="E48" s="2503"/>
      <c r="F48" s="2503"/>
      <c r="G48" s="2503"/>
      <c r="H48" s="2503"/>
      <c r="I48" s="1811">
        <f>SUM(I17:I47)</f>
        <v>136.46</v>
      </c>
    </row>
  </sheetData>
  <mergeCells count="16">
    <mergeCell ref="D14:I14"/>
    <mergeCell ref="D15:D16"/>
    <mergeCell ref="E15:G15"/>
    <mergeCell ref="I15:I16"/>
    <mergeCell ref="D48:H48"/>
    <mergeCell ref="C9:J9"/>
    <mergeCell ref="C10:J10"/>
    <mergeCell ref="C11:J11"/>
    <mergeCell ref="C12:J12"/>
    <mergeCell ref="C13:J13"/>
    <mergeCell ref="C8:J8"/>
    <mergeCell ref="C3:C5"/>
    <mergeCell ref="D3:J4"/>
    <mergeCell ref="D5:J5"/>
    <mergeCell ref="D6:J6"/>
    <mergeCell ref="D7:J7"/>
  </mergeCells>
  <pageMargins left="0.511811024" right="0.511811024" top="0.78740157499999996" bottom="0.78740157499999996" header="0.31496062000000002" footer="0.31496062000000002"/>
  <pageSetup paperSize="9" scale="6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1C80-58B3-4510-88C0-8354F911B770}">
  <sheetPr>
    <tabColor theme="3" tint="-0.499984740745262"/>
    <pageSetUpPr fitToPage="1"/>
  </sheetPr>
  <dimension ref="C2:X71"/>
  <sheetViews>
    <sheetView view="pageBreakPreview" zoomScale="70" zoomScaleNormal="70" zoomScaleSheetLayoutView="70" workbookViewId="0">
      <selection activeCell="AG38" sqref="AG38"/>
    </sheetView>
  </sheetViews>
  <sheetFormatPr defaultColWidth="9.140625" defaultRowHeight="15"/>
  <cols>
    <col min="3" max="3" width="50" customWidth="1"/>
    <col min="4" max="4" width="10.7109375" bestFit="1" customWidth="1"/>
    <col min="5" max="5" width="14.5703125" bestFit="1" customWidth="1"/>
    <col min="6" max="6" width="15.42578125" bestFit="1" customWidth="1"/>
    <col min="7" max="7" width="12.5703125" bestFit="1" customWidth="1"/>
    <col min="8" max="8" width="10.85546875" bestFit="1" customWidth="1"/>
    <col min="9" max="9" width="15.42578125" bestFit="1" customWidth="1"/>
    <col min="10" max="10" width="12.5703125" bestFit="1" customWidth="1"/>
    <col min="11" max="11" width="10.85546875" bestFit="1" customWidth="1"/>
    <col min="12" max="12" width="15.42578125" bestFit="1" customWidth="1"/>
    <col min="13" max="13" width="12.5703125" bestFit="1" customWidth="1"/>
    <col min="14" max="14" width="10.85546875" bestFit="1" customWidth="1"/>
    <col min="15" max="15" width="15.42578125" bestFit="1" customWidth="1"/>
    <col min="16" max="16" width="12.5703125" bestFit="1" customWidth="1"/>
    <col min="17" max="17" width="10.85546875" bestFit="1" customWidth="1"/>
    <col min="18" max="18" width="15.42578125" bestFit="1" customWidth="1"/>
    <col min="19" max="19" width="12.5703125" bestFit="1" customWidth="1"/>
    <col min="20" max="20" width="10.85546875" bestFit="1" customWidth="1"/>
    <col min="21" max="21" width="15.42578125" bestFit="1" customWidth="1"/>
    <col min="22" max="22" width="12.5703125" bestFit="1" customWidth="1"/>
    <col min="23" max="23" width="10.85546875" bestFit="1" customWidth="1"/>
    <col min="24" max="24" width="22.5703125" bestFit="1" customWidth="1"/>
  </cols>
  <sheetData>
    <row r="2" spans="3:24" ht="15.75" thickBot="1"/>
    <row r="3" spans="3:24" ht="48" customHeight="1">
      <c r="C3" s="2489"/>
      <c r="D3" s="2100" t="s">
        <v>14513</v>
      </c>
      <c r="E3" s="2126"/>
      <c r="F3" s="2126"/>
      <c r="G3" s="2126"/>
      <c r="H3" s="2126"/>
      <c r="I3" s="2126"/>
      <c r="J3" s="2126"/>
      <c r="K3" s="2126"/>
      <c r="L3" s="2126"/>
      <c r="M3" s="2126"/>
      <c r="N3" s="2126"/>
      <c r="O3" s="2126"/>
      <c r="P3" s="2126"/>
      <c r="Q3" s="2126"/>
      <c r="R3" s="2126"/>
      <c r="S3" s="2126"/>
      <c r="T3" s="2126"/>
      <c r="U3" s="2126"/>
      <c r="V3" s="2126"/>
      <c r="W3" s="2126"/>
      <c r="X3" s="2126"/>
    </row>
    <row r="4" spans="3:24" ht="30" customHeight="1">
      <c r="C4" s="2490"/>
      <c r="D4" s="2100"/>
      <c r="E4" s="2126"/>
      <c r="F4" s="2126"/>
      <c r="G4" s="2126"/>
      <c r="H4" s="2126"/>
      <c r="I4" s="2126"/>
      <c r="J4" s="2126"/>
      <c r="K4" s="2126"/>
      <c r="L4" s="2126"/>
      <c r="M4" s="2126"/>
      <c r="N4" s="2126"/>
      <c r="O4" s="2126"/>
      <c r="P4" s="2126"/>
      <c r="Q4" s="2126"/>
      <c r="R4" s="2126"/>
      <c r="S4" s="2126"/>
      <c r="T4" s="2126"/>
      <c r="U4" s="2126"/>
      <c r="V4" s="2126"/>
      <c r="W4" s="2126"/>
      <c r="X4" s="2126"/>
    </row>
    <row r="5" spans="3:24" ht="50.1" customHeight="1" thickBot="1">
      <c r="C5" s="2490"/>
      <c r="D5" s="2536" t="s">
        <v>13363</v>
      </c>
      <c r="E5" s="2537"/>
      <c r="F5" s="2537"/>
      <c r="G5" s="2537"/>
      <c r="H5" s="2537"/>
      <c r="I5" s="2537"/>
      <c r="J5" s="2537"/>
      <c r="K5" s="2537"/>
      <c r="L5" s="2537"/>
      <c r="M5" s="2537"/>
      <c r="N5" s="2537"/>
      <c r="O5" s="2537"/>
      <c r="P5" s="2537"/>
      <c r="Q5" s="2537"/>
      <c r="R5" s="2537"/>
      <c r="S5" s="2537"/>
      <c r="T5" s="2537"/>
      <c r="U5" s="2537"/>
      <c r="V5" s="2537"/>
      <c r="W5" s="2537"/>
      <c r="X5" s="2537"/>
    </row>
    <row r="6" spans="3:24" ht="15.75">
      <c r="C6" s="1398" t="s">
        <v>5</v>
      </c>
      <c r="D6" s="2538" t="str">
        <f>'ORÇAMENTO '!G11</f>
        <v xml:space="preserve">ESCOLA MUNICIPAL DOMINGOS AZZOLINI </v>
      </c>
      <c r="E6" s="2539"/>
      <c r="F6" s="2539"/>
      <c r="G6" s="2539"/>
      <c r="H6" s="2539"/>
      <c r="I6" s="2539"/>
      <c r="J6" s="2539"/>
      <c r="K6" s="2539"/>
      <c r="L6" s="2539"/>
      <c r="M6" s="2539"/>
      <c r="N6" s="2539"/>
      <c r="O6" s="2539"/>
      <c r="P6" s="2539"/>
      <c r="Q6" s="2539"/>
      <c r="R6" s="2539"/>
      <c r="S6" s="2539"/>
      <c r="T6" s="2539"/>
      <c r="U6" s="2539"/>
      <c r="V6" s="2539"/>
      <c r="W6" s="2539"/>
      <c r="X6" s="2539"/>
    </row>
    <row r="7" spans="3:24" ht="15.75">
      <c r="C7" s="1483" t="s">
        <v>7</v>
      </c>
      <c r="D7" s="2540" t="str">
        <f>'ORÇAMENTO '!G12</f>
        <v>SANTO ANTONIO DO LESTE</v>
      </c>
      <c r="E7" s="2541"/>
      <c r="F7" s="2541"/>
      <c r="G7" s="2541"/>
      <c r="H7" s="2541"/>
      <c r="I7" s="2541"/>
      <c r="J7" s="2541"/>
      <c r="K7" s="2541"/>
      <c r="L7" s="2541"/>
      <c r="M7" s="2541"/>
      <c r="N7" s="2541"/>
      <c r="O7" s="2541"/>
      <c r="P7" s="2541"/>
      <c r="Q7" s="2541"/>
      <c r="R7" s="2541"/>
      <c r="S7" s="2541"/>
      <c r="T7" s="2541"/>
      <c r="U7" s="2541"/>
      <c r="V7" s="2541"/>
      <c r="W7" s="2541"/>
      <c r="X7" s="2541"/>
    </row>
    <row r="8" spans="3:24" ht="15.75" customHeight="1">
      <c r="C8" s="2540"/>
      <c r="D8" s="2541"/>
      <c r="E8" s="2541"/>
      <c r="F8" s="2541"/>
      <c r="G8" s="2541"/>
      <c r="H8" s="2541"/>
      <c r="I8" s="2541"/>
      <c r="J8" s="2541"/>
      <c r="K8" s="2541"/>
      <c r="L8" s="2541"/>
      <c r="M8" s="2541"/>
      <c r="N8" s="2541"/>
      <c r="O8" s="2541"/>
      <c r="P8" s="2541"/>
      <c r="Q8" s="2541"/>
      <c r="R8" s="2541"/>
      <c r="S8" s="2541"/>
      <c r="T8" s="2541"/>
      <c r="U8" s="2541"/>
      <c r="V8" s="2541"/>
      <c r="W8" s="2541"/>
      <c r="X8" s="2541"/>
    </row>
    <row r="9" spans="3:24" ht="6" customHeight="1">
      <c r="C9" s="2540"/>
      <c r="D9" s="2541"/>
      <c r="E9" s="2541"/>
      <c r="F9" s="2541"/>
      <c r="G9" s="2541"/>
      <c r="H9" s="2541"/>
      <c r="I9" s="2541"/>
      <c r="J9" s="2541"/>
      <c r="K9" s="2541"/>
      <c r="L9" s="2541"/>
      <c r="M9" s="2541"/>
      <c r="N9" s="2541"/>
      <c r="O9" s="2541"/>
      <c r="P9" s="2541"/>
      <c r="Q9" s="2541"/>
      <c r="R9" s="2541"/>
      <c r="S9" s="2541"/>
      <c r="T9" s="2541"/>
      <c r="U9" s="2541"/>
      <c r="V9" s="2541"/>
      <c r="W9" s="2541"/>
      <c r="X9" s="2541"/>
    </row>
    <row r="10" spans="3:24" ht="6" customHeight="1">
      <c r="C10" s="2504"/>
      <c r="D10" s="2505"/>
      <c r="E10" s="2505"/>
      <c r="F10" s="2505"/>
      <c r="G10" s="2505"/>
      <c r="H10" s="2505"/>
      <c r="I10" s="2505"/>
      <c r="J10" s="2505"/>
      <c r="K10" s="2505"/>
      <c r="L10" s="2505"/>
      <c r="M10" s="2505"/>
      <c r="N10" s="2505"/>
      <c r="O10" s="2505"/>
      <c r="P10" s="2505"/>
      <c r="Q10" s="2505"/>
      <c r="R10" s="2505"/>
      <c r="S10" s="2505"/>
      <c r="T10" s="2505"/>
      <c r="U10" s="2505"/>
      <c r="V10" s="2505"/>
      <c r="W10" s="2505"/>
      <c r="X10" s="2505"/>
    </row>
    <row r="11" spans="3:24" ht="21.95" customHeight="1">
      <c r="C11" s="2542" t="s">
        <v>14234</v>
      </c>
      <c r="D11" s="2543"/>
      <c r="E11" s="2543"/>
      <c r="F11" s="2543"/>
      <c r="G11" s="2543"/>
      <c r="H11" s="2543"/>
      <c r="I11" s="2543"/>
      <c r="J11" s="2543"/>
      <c r="K11" s="2543"/>
      <c r="L11" s="2543"/>
      <c r="M11" s="2543"/>
      <c r="N11" s="2543"/>
      <c r="O11" s="2543"/>
      <c r="P11" s="2543"/>
      <c r="Q11" s="2543"/>
      <c r="R11" s="2543"/>
      <c r="S11" s="2543"/>
      <c r="T11" s="2543"/>
      <c r="U11" s="2543"/>
      <c r="V11" s="2543"/>
      <c r="W11" s="2543"/>
      <c r="X11" s="2543"/>
    </row>
    <row r="12" spans="3:24" ht="6" customHeight="1" thickBot="1">
      <c r="C12" s="2504"/>
      <c r="D12" s="2505"/>
      <c r="E12" s="2505"/>
      <c r="F12" s="2505"/>
      <c r="G12" s="2505"/>
      <c r="H12" s="2505"/>
      <c r="I12" s="2505"/>
      <c r="J12" s="2505"/>
      <c r="K12" s="2505"/>
      <c r="L12" s="2505"/>
      <c r="M12" s="2505"/>
      <c r="N12" s="2505"/>
      <c r="O12" s="2505"/>
      <c r="P12" s="2505"/>
      <c r="Q12" s="2505"/>
      <c r="R12" s="2505"/>
      <c r="S12" s="2505"/>
      <c r="T12" s="2505"/>
      <c r="U12" s="2505"/>
      <c r="V12" s="2505"/>
      <c r="W12" s="2505"/>
      <c r="X12" s="2505"/>
    </row>
    <row r="13" spans="3:24" ht="6" customHeight="1" thickBot="1">
      <c r="C13" s="2499"/>
      <c r="D13" s="2500"/>
      <c r="E13" s="2500"/>
      <c r="F13" s="2500"/>
      <c r="G13" s="2500"/>
      <c r="H13" s="2500"/>
      <c r="I13" s="2500"/>
      <c r="J13" s="2500"/>
      <c r="K13" s="2500"/>
    </row>
    <row r="14" spans="3:24" ht="23.25" customHeight="1" thickBot="1">
      <c r="C14" s="2512" t="s">
        <v>14235</v>
      </c>
      <c r="D14" s="2513"/>
      <c r="E14" s="2513"/>
      <c r="F14" s="2513"/>
      <c r="G14" s="2513"/>
      <c r="H14" s="2513"/>
      <c r="I14" s="2513"/>
      <c r="J14" s="2513"/>
      <c r="K14" s="2513"/>
      <c r="L14" s="2513"/>
      <c r="M14" s="2513"/>
      <c r="N14" s="2513"/>
      <c r="O14" s="2513"/>
      <c r="P14" s="2513"/>
      <c r="Q14" s="2513"/>
      <c r="R14" s="2513"/>
      <c r="S14" s="2513"/>
      <c r="T14" s="2513"/>
      <c r="U14" s="2513"/>
      <c r="V14" s="2513"/>
      <c r="W14" s="2513"/>
      <c r="X14" s="2513"/>
    </row>
    <row r="15" spans="3:24">
      <c r="C15" s="2514"/>
      <c r="D15" s="2515"/>
      <c r="E15" s="2516"/>
      <c r="F15" s="2520" t="s">
        <v>14236</v>
      </c>
      <c r="G15" s="2521"/>
      <c r="H15" s="2522"/>
      <c r="I15" s="2526" t="s">
        <v>14237</v>
      </c>
      <c r="J15" s="2527"/>
      <c r="K15" s="2528"/>
      <c r="L15" s="2526" t="s">
        <v>14238</v>
      </c>
      <c r="M15" s="2527"/>
      <c r="N15" s="2528"/>
      <c r="O15" s="2520" t="s">
        <v>14239</v>
      </c>
      <c r="P15" s="2521"/>
      <c r="Q15" s="2522"/>
      <c r="R15" s="2526" t="s">
        <v>14240</v>
      </c>
      <c r="S15" s="2527"/>
      <c r="T15" s="2528"/>
      <c r="U15" s="2526" t="s">
        <v>14241</v>
      </c>
      <c r="V15" s="2527"/>
      <c r="W15" s="2528"/>
      <c r="X15" s="2522" t="s">
        <v>14242</v>
      </c>
    </row>
    <row r="16" spans="3:24" ht="15.75" thickBot="1">
      <c r="C16" s="2517"/>
      <c r="D16" s="2518"/>
      <c r="E16" s="2519"/>
      <c r="F16" s="2523"/>
      <c r="G16" s="2524"/>
      <c r="H16" s="2525"/>
      <c r="I16" s="2529"/>
      <c r="J16" s="2530"/>
      <c r="K16" s="2531"/>
      <c r="L16" s="2529"/>
      <c r="M16" s="2530"/>
      <c r="N16" s="2531"/>
      <c r="O16" s="2523"/>
      <c r="P16" s="2524"/>
      <c r="Q16" s="2525"/>
      <c r="R16" s="2529"/>
      <c r="S16" s="2530"/>
      <c r="T16" s="2531"/>
      <c r="U16" s="2529"/>
      <c r="V16" s="2530"/>
      <c r="W16" s="2531"/>
      <c r="X16" s="2525"/>
    </row>
    <row r="17" spans="3:24" ht="16.5" thickBot="1">
      <c r="C17" s="1900" t="s">
        <v>14243</v>
      </c>
      <c r="D17" s="1901" t="s">
        <v>2981</v>
      </c>
      <c r="E17" s="1901" t="s">
        <v>14244</v>
      </c>
      <c r="F17" s="1902" t="s">
        <v>14245</v>
      </c>
      <c r="G17" s="1903" t="s">
        <v>14246</v>
      </c>
      <c r="H17" s="1904" t="s">
        <v>14247</v>
      </c>
      <c r="I17" s="1902" t="s">
        <v>14245</v>
      </c>
      <c r="J17" s="1903" t="s">
        <v>14246</v>
      </c>
      <c r="K17" s="1904" t="s">
        <v>14247</v>
      </c>
      <c r="L17" s="1902" t="s">
        <v>14245</v>
      </c>
      <c r="M17" s="1903" t="s">
        <v>14246</v>
      </c>
      <c r="N17" s="1904" t="s">
        <v>14247</v>
      </c>
      <c r="O17" s="1902" t="s">
        <v>14245</v>
      </c>
      <c r="P17" s="1903" t="s">
        <v>14246</v>
      </c>
      <c r="Q17" s="1904" t="s">
        <v>14247</v>
      </c>
      <c r="R17" s="1902" t="s">
        <v>14245</v>
      </c>
      <c r="S17" s="1903" t="s">
        <v>14246</v>
      </c>
      <c r="T17" s="1904" t="s">
        <v>14247</v>
      </c>
      <c r="U17" s="1902" t="s">
        <v>14245</v>
      </c>
      <c r="V17" s="1903" t="s">
        <v>14246</v>
      </c>
      <c r="W17" s="1904" t="s">
        <v>14247</v>
      </c>
      <c r="X17" s="1904" t="s">
        <v>14247</v>
      </c>
    </row>
    <row r="18" spans="3:24" ht="15.75">
      <c r="C18" s="1905" t="s">
        <v>14248</v>
      </c>
      <c r="D18" s="1906" t="s">
        <v>14249</v>
      </c>
      <c r="E18" s="1907"/>
      <c r="F18" s="1908" t="s">
        <v>14046</v>
      </c>
      <c r="G18" s="1909" t="s">
        <v>14046</v>
      </c>
      <c r="H18" s="1910" t="s">
        <v>14046</v>
      </c>
      <c r="I18" s="1908" t="s">
        <v>14046</v>
      </c>
      <c r="J18" s="1909" t="s">
        <v>14046</v>
      </c>
      <c r="K18" s="1910" t="s">
        <v>14046</v>
      </c>
      <c r="L18" s="1908">
        <f>6.15+6.15</f>
        <v>12.3</v>
      </c>
      <c r="M18" s="1909">
        <v>3</v>
      </c>
      <c r="N18" s="1911">
        <f>(L18*M18)</f>
        <v>36.900000000000006</v>
      </c>
      <c r="O18" s="1908" t="s">
        <v>14046</v>
      </c>
      <c r="P18" s="1909" t="s">
        <v>14046</v>
      </c>
      <c r="Q18" s="1911" t="s">
        <v>14046</v>
      </c>
      <c r="R18" s="1908" t="s">
        <v>14046</v>
      </c>
      <c r="S18" s="1909" t="s">
        <v>14046</v>
      </c>
      <c r="T18" s="1910" t="s">
        <v>14046</v>
      </c>
      <c r="U18" s="1908">
        <v>27.4</v>
      </c>
      <c r="V18" s="1909">
        <v>3</v>
      </c>
      <c r="W18" s="1910">
        <f>(U18*V18)</f>
        <v>82.199999999999989</v>
      </c>
      <c r="X18" s="1912" t="s">
        <v>14046</v>
      </c>
    </row>
    <row r="19" spans="3:24" ht="15.75">
      <c r="C19" s="1913" t="s">
        <v>14250</v>
      </c>
      <c r="D19" s="1914" t="s">
        <v>14249</v>
      </c>
      <c r="E19" s="1915"/>
      <c r="F19" s="1916" t="s">
        <v>14046</v>
      </c>
      <c r="G19" s="1917" t="s">
        <v>14046</v>
      </c>
      <c r="H19" s="1918" t="s">
        <v>14046</v>
      </c>
      <c r="I19" s="1916" t="s">
        <v>14046</v>
      </c>
      <c r="J19" s="1917" t="s">
        <v>14046</v>
      </c>
      <c r="K19" s="1918" t="s">
        <v>14046</v>
      </c>
      <c r="L19" s="1916">
        <f>7+7</f>
        <v>14</v>
      </c>
      <c r="M19" s="1917">
        <v>3</v>
      </c>
      <c r="N19" s="1919">
        <f t="shared" ref="N19:N59" si="0">(L19*M19)</f>
        <v>42</v>
      </c>
      <c r="O19" s="1916" t="s">
        <v>14046</v>
      </c>
      <c r="P19" s="1917" t="s">
        <v>14046</v>
      </c>
      <c r="Q19" s="1919" t="s">
        <v>14046</v>
      </c>
      <c r="R19" s="1916" t="s">
        <v>14046</v>
      </c>
      <c r="S19" s="1917" t="s">
        <v>14046</v>
      </c>
      <c r="T19" s="1918" t="s">
        <v>14046</v>
      </c>
      <c r="U19" s="1916">
        <v>26</v>
      </c>
      <c r="V19" s="1917">
        <v>3</v>
      </c>
      <c r="W19" s="1918">
        <f t="shared" ref="W19:W59" si="1">(U19*V19)</f>
        <v>78</v>
      </c>
      <c r="X19" s="1920" t="s">
        <v>14046</v>
      </c>
    </row>
    <row r="20" spans="3:24" ht="15.75">
      <c r="C20" s="1913" t="s">
        <v>14251</v>
      </c>
      <c r="D20" s="1914" t="s">
        <v>14249</v>
      </c>
      <c r="E20" s="1915"/>
      <c r="F20" s="1916" t="s">
        <v>14046</v>
      </c>
      <c r="G20" s="1917" t="s">
        <v>14046</v>
      </c>
      <c r="H20" s="1918" t="s">
        <v>14046</v>
      </c>
      <c r="I20" s="1916" t="s">
        <v>14046</v>
      </c>
      <c r="J20" s="1917" t="s">
        <v>14046</v>
      </c>
      <c r="K20" s="1918" t="s">
        <v>14046</v>
      </c>
      <c r="L20" s="1916">
        <f>6.3+6.3+6.45</f>
        <v>19.05</v>
      </c>
      <c r="M20" s="1917">
        <v>3</v>
      </c>
      <c r="N20" s="1919">
        <f t="shared" si="0"/>
        <v>57.150000000000006</v>
      </c>
      <c r="O20" s="1916" t="s">
        <v>14046</v>
      </c>
      <c r="P20" s="1917" t="s">
        <v>14046</v>
      </c>
      <c r="Q20" s="1919" t="s">
        <v>14046</v>
      </c>
      <c r="R20" s="1916" t="s">
        <v>14046</v>
      </c>
      <c r="S20" s="1917" t="s">
        <v>14046</v>
      </c>
      <c r="T20" s="1918" t="s">
        <v>14046</v>
      </c>
      <c r="U20" s="1916">
        <v>24.3</v>
      </c>
      <c r="V20" s="1917">
        <v>3</v>
      </c>
      <c r="W20" s="1918">
        <f t="shared" si="1"/>
        <v>72.900000000000006</v>
      </c>
      <c r="X20" s="1920" t="s">
        <v>14046</v>
      </c>
    </row>
    <row r="21" spans="3:24" ht="15.75">
      <c r="C21" s="1913" t="s">
        <v>14252</v>
      </c>
      <c r="D21" s="1914" t="s">
        <v>14249</v>
      </c>
      <c r="E21" s="1915"/>
      <c r="F21" s="1916" t="s">
        <v>14046</v>
      </c>
      <c r="G21" s="1917" t="s">
        <v>14046</v>
      </c>
      <c r="H21" s="1918" t="s">
        <v>14046</v>
      </c>
      <c r="I21" s="1916" t="s">
        <v>14046</v>
      </c>
      <c r="J21" s="1917" t="s">
        <v>14046</v>
      </c>
      <c r="K21" s="1918" t="s">
        <v>14046</v>
      </c>
      <c r="L21" s="1916">
        <f>6.15+6.15+8</f>
        <v>20.3</v>
      </c>
      <c r="M21" s="1917">
        <v>3</v>
      </c>
      <c r="N21" s="1919">
        <f t="shared" si="0"/>
        <v>60.900000000000006</v>
      </c>
      <c r="O21" s="1916" t="s">
        <v>14046</v>
      </c>
      <c r="P21" s="1917" t="s">
        <v>14046</v>
      </c>
      <c r="Q21" s="1919" t="s">
        <v>14046</v>
      </c>
      <c r="R21" s="1916" t="s">
        <v>14046</v>
      </c>
      <c r="S21" s="1917" t="s">
        <v>14046</v>
      </c>
      <c r="T21" s="1918" t="s">
        <v>14046</v>
      </c>
      <c r="U21" s="1916">
        <v>27.4</v>
      </c>
      <c r="V21" s="1917">
        <v>3</v>
      </c>
      <c r="W21" s="1918">
        <f t="shared" si="1"/>
        <v>82.199999999999989</v>
      </c>
      <c r="X21" s="1920" t="s">
        <v>14046</v>
      </c>
    </row>
    <row r="22" spans="3:24" ht="15.75">
      <c r="C22" s="1913" t="s">
        <v>14253</v>
      </c>
      <c r="D22" s="1914" t="s">
        <v>14249</v>
      </c>
      <c r="E22" s="1915"/>
      <c r="F22" s="1916" t="s">
        <v>14046</v>
      </c>
      <c r="G22" s="1917" t="s">
        <v>14046</v>
      </c>
      <c r="H22" s="1918" t="s">
        <v>14046</v>
      </c>
      <c r="I22" s="1916" t="s">
        <v>14046</v>
      </c>
      <c r="J22" s="1917" t="s">
        <v>14046</v>
      </c>
      <c r="K22" s="1918" t="s">
        <v>14046</v>
      </c>
      <c r="L22" s="1916">
        <f>6.35+6.35+8</f>
        <v>20.7</v>
      </c>
      <c r="M22" s="1917">
        <v>3</v>
      </c>
      <c r="N22" s="1919">
        <f t="shared" si="0"/>
        <v>62.099999999999994</v>
      </c>
      <c r="O22" s="1916" t="s">
        <v>14046</v>
      </c>
      <c r="P22" s="1917" t="s">
        <v>14046</v>
      </c>
      <c r="Q22" s="1919" t="s">
        <v>14046</v>
      </c>
      <c r="R22" s="1916" t="s">
        <v>14046</v>
      </c>
      <c r="S22" s="1917" t="s">
        <v>14046</v>
      </c>
      <c r="T22" s="1918" t="s">
        <v>14046</v>
      </c>
      <c r="U22" s="1916">
        <v>27.5</v>
      </c>
      <c r="V22" s="1917">
        <v>3</v>
      </c>
      <c r="W22" s="1918">
        <f t="shared" si="1"/>
        <v>82.5</v>
      </c>
      <c r="X22" s="1920" t="s">
        <v>14046</v>
      </c>
    </row>
    <row r="23" spans="3:24" ht="15.75">
      <c r="C23" s="1913" t="s">
        <v>14254</v>
      </c>
      <c r="D23" s="1914" t="s">
        <v>14249</v>
      </c>
      <c r="E23" s="1915"/>
      <c r="F23" s="1916" t="s">
        <v>14046</v>
      </c>
      <c r="G23" s="1917" t="s">
        <v>14046</v>
      </c>
      <c r="H23" s="1918" t="s">
        <v>14046</v>
      </c>
      <c r="I23" s="1916" t="s">
        <v>14046</v>
      </c>
      <c r="J23" s="1917" t="s">
        <v>14046</v>
      </c>
      <c r="K23" s="1918" t="s">
        <v>14046</v>
      </c>
      <c r="L23" s="1916">
        <f>6.2+6.2</f>
        <v>12.4</v>
      </c>
      <c r="M23" s="1917">
        <v>3</v>
      </c>
      <c r="N23" s="1919">
        <f t="shared" si="0"/>
        <v>37.200000000000003</v>
      </c>
      <c r="O23" s="1916" t="s">
        <v>14046</v>
      </c>
      <c r="P23" s="1917" t="s">
        <v>14046</v>
      </c>
      <c r="Q23" s="1919" t="s">
        <v>14046</v>
      </c>
      <c r="R23" s="1916" t="s">
        <v>14046</v>
      </c>
      <c r="S23" s="1917" t="s">
        <v>14046</v>
      </c>
      <c r="T23" s="1918" t="s">
        <v>14046</v>
      </c>
      <c r="U23" s="1916">
        <v>27.5</v>
      </c>
      <c r="V23" s="1917">
        <v>3</v>
      </c>
      <c r="W23" s="1918">
        <f t="shared" si="1"/>
        <v>82.5</v>
      </c>
      <c r="X23" s="1920" t="s">
        <v>14046</v>
      </c>
    </row>
    <row r="24" spans="3:24" ht="15.75">
      <c r="C24" s="1913" t="s">
        <v>14255</v>
      </c>
      <c r="D24" s="1914" t="s">
        <v>14249</v>
      </c>
      <c r="E24" s="1915"/>
      <c r="F24" s="1916" t="s">
        <v>14046</v>
      </c>
      <c r="G24" s="1917" t="s">
        <v>14046</v>
      </c>
      <c r="H24" s="1918" t="s">
        <v>14046</v>
      </c>
      <c r="I24" s="1916" t="s">
        <v>14046</v>
      </c>
      <c r="J24" s="1917" t="s">
        <v>14046</v>
      </c>
      <c r="K24" s="1918" t="s">
        <v>14046</v>
      </c>
      <c r="L24" s="1916">
        <f>6.2+6.2</f>
        <v>12.4</v>
      </c>
      <c r="M24" s="1917">
        <v>3</v>
      </c>
      <c r="N24" s="1919">
        <f t="shared" si="0"/>
        <v>37.200000000000003</v>
      </c>
      <c r="O24" s="1916" t="s">
        <v>14046</v>
      </c>
      <c r="P24" s="1917" t="s">
        <v>14046</v>
      </c>
      <c r="Q24" s="1919" t="s">
        <v>14046</v>
      </c>
      <c r="R24" s="1916" t="s">
        <v>14046</v>
      </c>
      <c r="S24" s="1917" t="s">
        <v>14046</v>
      </c>
      <c r="T24" s="1918" t="s">
        <v>14046</v>
      </c>
      <c r="U24" s="1916">
        <v>27.5</v>
      </c>
      <c r="V24" s="1917">
        <v>3</v>
      </c>
      <c r="W24" s="1918">
        <f t="shared" si="1"/>
        <v>82.5</v>
      </c>
      <c r="X24" s="1920" t="s">
        <v>14046</v>
      </c>
    </row>
    <row r="25" spans="3:24" ht="15.75">
      <c r="C25" s="1913" t="s">
        <v>14256</v>
      </c>
      <c r="D25" s="1914" t="s">
        <v>14249</v>
      </c>
      <c r="E25" s="1915"/>
      <c r="F25" s="1916" t="s">
        <v>14046</v>
      </c>
      <c r="G25" s="1917" t="s">
        <v>14046</v>
      </c>
      <c r="H25" s="1918" t="s">
        <v>14046</v>
      </c>
      <c r="I25" s="1916" t="s">
        <v>14046</v>
      </c>
      <c r="J25" s="1917" t="s">
        <v>14046</v>
      </c>
      <c r="K25" s="1918" t="s">
        <v>14046</v>
      </c>
      <c r="L25" s="1916">
        <f>6.3+6.3+8</f>
        <v>20.6</v>
      </c>
      <c r="M25" s="1917">
        <v>3</v>
      </c>
      <c r="N25" s="1919">
        <f t="shared" si="0"/>
        <v>61.800000000000004</v>
      </c>
      <c r="O25" s="1916" t="s">
        <v>14046</v>
      </c>
      <c r="P25" s="1917" t="s">
        <v>14046</v>
      </c>
      <c r="Q25" s="1919" t="s">
        <v>14046</v>
      </c>
      <c r="R25" s="1916" t="s">
        <v>14046</v>
      </c>
      <c r="S25" s="1917" t="s">
        <v>14046</v>
      </c>
      <c r="T25" s="1918" t="s">
        <v>14046</v>
      </c>
      <c r="U25" s="1916">
        <v>27.4</v>
      </c>
      <c r="V25" s="1917">
        <v>3</v>
      </c>
      <c r="W25" s="1918">
        <f t="shared" si="1"/>
        <v>82.199999999999989</v>
      </c>
      <c r="X25" s="1920" t="s">
        <v>14046</v>
      </c>
    </row>
    <row r="26" spans="3:24" ht="15.75">
      <c r="C26" s="1913" t="s">
        <v>14257</v>
      </c>
      <c r="D26" s="1914" t="s">
        <v>14249</v>
      </c>
      <c r="E26" s="1915"/>
      <c r="F26" s="1916" t="s">
        <v>14046</v>
      </c>
      <c r="G26" s="1917" t="s">
        <v>14046</v>
      </c>
      <c r="H26" s="1918" t="s">
        <v>14046</v>
      </c>
      <c r="I26" s="1916" t="s">
        <v>14046</v>
      </c>
      <c r="J26" s="1917" t="s">
        <v>14046</v>
      </c>
      <c r="K26" s="1918" t="s">
        <v>14046</v>
      </c>
      <c r="L26" s="1916">
        <f>6.15+6.15+8</f>
        <v>20.3</v>
      </c>
      <c r="M26" s="1917">
        <v>3</v>
      </c>
      <c r="N26" s="1919">
        <f t="shared" si="0"/>
        <v>60.900000000000006</v>
      </c>
      <c r="O26" s="1916" t="s">
        <v>14046</v>
      </c>
      <c r="P26" s="1917" t="s">
        <v>14046</v>
      </c>
      <c r="Q26" s="1919" t="s">
        <v>14046</v>
      </c>
      <c r="R26" s="1916" t="s">
        <v>14046</v>
      </c>
      <c r="S26" s="1917" t="s">
        <v>14046</v>
      </c>
      <c r="T26" s="1918" t="s">
        <v>14046</v>
      </c>
      <c r="U26" s="1916">
        <v>27.4</v>
      </c>
      <c r="V26" s="1917">
        <v>3</v>
      </c>
      <c r="W26" s="1918">
        <f t="shared" si="1"/>
        <v>82.199999999999989</v>
      </c>
      <c r="X26" s="1920" t="s">
        <v>14046</v>
      </c>
    </row>
    <row r="27" spans="3:24" ht="15.75">
      <c r="C27" s="1913" t="s">
        <v>14258</v>
      </c>
      <c r="D27" s="1914" t="s">
        <v>14249</v>
      </c>
      <c r="E27" s="1915"/>
      <c r="F27" s="1916" t="s">
        <v>14046</v>
      </c>
      <c r="G27" s="1917" t="s">
        <v>14046</v>
      </c>
      <c r="H27" s="1918" t="s">
        <v>14046</v>
      </c>
      <c r="I27" s="1916" t="s">
        <v>14046</v>
      </c>
      <c r="J27" s="1917" t="s">
        <v>14046</v>
      </c>
      <c r="K27" s="1918" t="s">
        <v>14046</v>
      </c>
      <c r="L27" s="1916">
        <v>11.3</v>
      </c>
      <c r="M27" s="1917">
        <v>3</v>
      </c>
      <c r="N27" s="1919">
        <f t="shared" si="0"/>
        <v>33.900000000000006</v>
      </c>
      <c r="O27" s="1916" t="s">
        <v>14046</v>
      </c>
      <c r="P27" s="1917" t="s">
        <v>14046</v>
      </c>
      <c r="Q27" s="1919" t="s">
        <v>14046</v>
      </c>
      <c r="R27" s="1916" t="s">
        <v>14046</v>
      </c>
      <c r="S27" s="1917" t="s">
        <v>14046</v>
      </c>
      <c r="T27" s="1918" t="s">
        <v>14046</v>
      </c>
      <c r="U27" s="1916">
        <v>27.4</v>
      </c>
      <c r="V27" s="1917">
        <v>3</v>
      </c>
      <c r="W27" s="1918">
        <f t="shared" si="1"/>
        <v>82.199999999999989</v>
      </c>
      <c r="X27" s="1920" t="s">
        <v>14046</v>
      </c>
    </row>
    <row r="28" spans="3:24" ht="15.75">
      <c r="C28" s="1913" t="s">
        <v>14259</v>
      </c>
      <c r="D28" s="1914" t="s">
        <v>14249</v>
      </c>
      <c r="E28" s="1915"/>
      <c r="F28" s="1916" t="s">
        <v>14046</v>
      </c>
      <c r="G28" s="1917" t="s">
        <v>14046</v>
      </c>
      <c r="H28" s="1918" t="s">
        <v>14046</v>
      </c>
      <c r="I28" s="1916" t="s">
        <v>14046</v>
      </c>
      <c r="J28" s="1917" t="s">
        <v>14046</v>
      </c>
      <c r="K28" s="1918" t="s">
        <v>14046</v>
      </c>
      <c r="L28" s="1916">
        <v>11.3</v>
      </c>
      <c r="M28" s="1917">
        <v>3</v>
      </c>
      <c r="N28" s="1919">
        <f t="shared" si="0"/>
        <v>33.900000000000006</v>
      </c>
      <c r="O28" s="1916" t="s">
        <v>14046</v>
      </c>
      <c r="P28" s="1917" t="s">
        <v>14046</v>
      </c>
      <c r="Q28" s="1919" t="s">
        <v>14046</v>
      </c>
      <c r="R28" s="1916" t="s">
        <v>14046</v>
      </c>
      <c r="S28" s="1917" t="s">
        <v>14046</v>
      </c>
      <c r="T28" s="1918" t="s">
        <v>14046</v>
      </c>
      <c r="U28" s="1916">
        <v>27.5</v>
      </c>
      <c r="V28" s="1917">
        <v>3</v>
      </c>
      <c r="W28" s="1918">
        <f t="shared" si="1"/>
        <v>82.5</v>
      </c>
      <c r="X28" s="1920" t="s">
        <v>14046</v>
      </c>
    </row>
    <row r="29" spans="3:24" ht="15.75">
      <c r="C29" s="1913" t="s">
        <v>14260</v>
      </c>
      <c r="D29" s="1914" t="s">
        <v>14249</v>
      </c>
      <c r="E29" s="1915"/>
      <c r="F29" s="1916" t="s">
        <v>14046</v>
      </c>
      <c r="G29" s="1917" t="s">
        <v>14046</v>
      </c>
      <c r="H29" s="1918" t="s">
        <v>14046</v>
      </c>
      <c r="I29" s="1916" t="s">
        <v>14046</v>
      </c>
      <c r="J29" s="1917" t="s">
        <v>14046</v>
      </c>
      <c r="K29" s="1918" t="s">
        <v>14046</v>
      </c>
      <c r="L29" s="1916">
        <f>6.2+6.2</f>
        <v>12.4</v>
      </c>
      <c r="M29" s="1917">
        <v>3</v>
      </c>
      <c r="N29" s="1919">
        <f t="shared" si="0"/>
        <v>37.200000000000003</v>
      </c>
      <c r="O29" s="1916" t="s">
        <v>14046</v>
      </c>
      <c r="P29" s="1917" t="s">
        <v>14046</v>
      </c>
      <c r="Q29" s="1919" t="s">
        <v>14046</v>
      </c>
      <c r="R29" s="1916" t="s">
        <v>14046</v>
      </c>
      <c r="S29" s="1917" t="s">
        <v>14046</v>
      </c>
      <c r="T29" s="1918" t="s">
        <v>14046</v>
      </c>
      <c r="U29" s="1916">
        <v>27.5</v>
      </c>
      <c r="V29" s="1917">
        <v>3</v>
      </c>
      <c r="W29" s="1918">
        <f t="shared" si="1"/>
        <v>82.5</v>
      </c>
      <c r="X29" s="1920" t="s">
        <v>14046</v>
      </c>
    </row>
    <row r="30" spans="3:24" ht="15.75">
      <c r="C30" s="1913" t="s">
        <v>14261</v>
      </c>
      <c r="D30" s="1914" t="s">
        <v>14249</v>
      </c>
      <c r="E30" s="1915"/>
      <c r="F30" s="1916" t="s">
        <v>14046</v>
      </c>
      <c r="G30" s="1917" t="s">
        <v>14046</v>
      </c>
      <c r="H30" s="1918" t="s">
        <v>14046</v>
      </c>
      <c r="I30" s="1916" t="s">
        <v>14046</v>
      </c>
      <c r="J30" s="1917" t="s">
        <v>14046</v>
      </c>
      <c r="K30" s="1918" t="s">
        <v>14046</v>
      </c>
      <c r="L30" s="1916">
        <f>5.15+5.15</f>
        <v>10.3</v>
      </c>
      <c r="M30" s="1917">
        <v>3</v>
      </c>
      <c r="N30" s="1919">
        <f t="shared" si="0"/>
        <v>30.900000000000002</v>
      </c>
      <c r="O30" s="1916" t="s">
        <v>14046</v>
      </c>
      <c r="P30" s="1917" t="s">
        <v>14046</v>
      </c>
      <c r="Q30" s="1919" t="s">
        <v>14046</v>
      </c>
      <c r="R30" s="1916" t="s">
        <v>14046</v>
      </c>
      <c r="S30" s="1917" t="s">
        <v>14046</v>
      </c>
      <c r="T30" s="1918" t="s">
        <v>14046</v>
      </c>
      <c r="U30" s="1916">
        <v>25.4</v>
      </c>
      <c r="V30" s="1917">
        <v>3</v>
      </c>
      <c r="W30" s="1918">
        <f t="shared" si="1"/>
        <v>76.199999999999989</v>
      </c>
      <c r="X30" s="1920" t="s">
        <v>14046</v>
      </c>
    </row>
    <row r="31" spans="3:24" ht="15.75">
      <c r="C31" s="1913" t="s">
        <v>14262</v>
      </c>
      <c r="D31" s="1914" t="s">
        <v>14249</v>
      </c>
      <c r="E31" s="1915"/>
      <c r="F31" s="1916" t="s">
        <v>14046</v>
      </c>
      <c r="G31" s="1917" t="s">
        <v>14046</v>
      </c>
      <c r="H31" s="1918" t="s">
        <v>14046</v>
      </c>
      <c r="I31" s="1916" t="s">
        <v>14046</v>
      </c>
      <c r="J31" s="1917" t="s">
        <v>14046</v>
      </c>
      <c r="K31" s="1918" t="s">
        <v>14046</v>
      </c>
      <c r="L31" s="1916">
        <f>6.15+6.15</f>
        <v>12.3</v>
      </c>
      <c r="M31" s="1917">
        <v>3</v>
      </c>
      <c r="N31" s="1919">
        <f t="shared" si="0"/>
        <v>36.900000000000006</v>
      </c>
      <c r="O31" s="1916" t="s">
        <v>14046</v>
      </c>
      <c r="P31" s="1917" t="s">
        <v>14046</v>
      </c>
      <c r="Q31" s="1919" t="s">
        <v>14046</v>
      </c>
      <c r="R31" s="1916" t="s">
        <v>14046</v>
      </c>
      <c r="S31" s="1917" t="s">
        <v>14046</v>
      </c>
      <c r="T31" s="1918" t="s">
        <v>14046</v>
      </c>
      <c r="U31" s="1916">
        <v>27.4</v>
      </c>
      <c r="V31" s="1917">
        <v>3</v>
      </c>
      <c r="W31" s="1918">
        <f t="shared" si="1"/>
        <v>82.199999999999989</v>
      </c>
      <c r="X31" s="1920" t="s">
        <v>14046</v>
      </c>
    </row>
    <row r="32" spans="3:24" ht="15.75">
      <c r="C32" s="1913" t="s">
        <v>14263</v>
      </c>
      <c r="D32" s="1914" t="s">
        <v>14249</v>
      </c>
      <c r="E32" s="1915"/>
      <c r="F32" s="1916" t="s">
        <v>14046</v>
      </c>
      <c r="G32" s="1917" t="s">
        <v>14046</v>
      </c>
      <c r="H32" s="1918" t="s">
        <v>14046</v>
      </c>
      <c r="I32" s="1916" t="s">
        <v>14046</v>
      </c>
      <c r="J32" s="1917" t="s">
        <v>14046</v>
      </c>
      <c r="K32" s="1918" t="s">
        <v>14046</v>
      </c>
      <c r="L32" s="1916">
        <f>6.15+6.15+8</f>
        <v>20.3</v>
      </c>
      <c r="M32" s="1917">
        <v>3</v>
      </c>
      <c r="N32" s="1919">
        <f t="shared" si="0"/>
        <v>60.900000000000006</v>
      </c>
      <c r="O32" s="1916" t="s">
        <v>14046</v>
      </c>
      <c r="P32" s="1917" t="s">
        <v>14046</v>
      </c>
      <c r="Q32" s="1919" t="s">
        <v>14046</v>
      </c>
      <c r="R32" s="1916" t="s">
        <v>14046</v>
      </c>
      <c r="S32" s="1917" t="s">
        <v>14046</v>
      </c>
      <c r="T32" s="1918" t="s">
        <v>14046</v>
      </c>
      <c r="U32" s="1916">
        <v>27.4</v>
      </c>
      <c r="V32" s="1917">
        <v>3</v>
      </c>
      <c r="W32" s="1918">
        <f t="shared" si="1"/>
        <v>82.199999999999989</v>
      </c>
      <c r="X32" s="1920" t="s">
        <v>14046</v>
      </c>
    </row>
    <row r="33" spans="3:24" ht="15.75">
      <c r="C33" s="1921" t="s">
        <v>14264</v>
      </c>
      <c r="D33" s="1914" t="s">
        <v>14249</v>
      </c>
      <c r="E33" s="1915"/>
      <c r="F33" s="1916" t="s">
        <v>14046</v>
      </c>
      <c r="G33" s="1917" t="s">
        <v>14046</v>
      </c>
      <c r="H33" s="1918" t="s">
        <v>14046</v>
      </c>
      <c r="I33" s="1916" t="s">
        <v>14046</v>
      </c>
      <c r="J33" s="1917" t="s">
        <v>14046</v>
      </c>
      <c r="K33" s="1918" t="s">
        <v>14046</v>
      </c>
      <c r="L33" s="1916">
        <v>28.6</v>
      </c>
      <c r="M33" s="1917">
        <v>3</v>
      </c>
      <c r="N33" s="1919">
        <f t="shared" si="0"/>
        <v>85.800000000000011</v>
      </c>
      <c r="O33" s="1916" t="s">
        <v>14046</v>
      </c>
      <c r="P33" s="1917" t="s">
        <v>14046</v>
      </c>
      <c r="Q33" s="1919" t="s">
        <v>14046</v>
      </c>
      <c r="R33" s="1916" t="s">
        <v>14046</v>
      </c>
      <c r="S33" s="1917" t="s">
        <v>14046</v>
      </c>
      <c r="T33" s="1918" t="s">
        <v>14046</v>
      </c>
      <c r="U33" s="1916">
        <v>27.4</v>
      </c>
      <c r="V33" s="1917">
        <v>1</v>
      </c>
      <c r="W33" s="1918">
        <f t="shared" si="1"/>
        <v>27.4</v>
      </c>
      <c r="X33" s="1920" t="s">
        <v>14046</v>
      </c>
    </row>
    <row r="34" spans="3:24" ht="15.75">
      <c r="C34" s="1913" t="s">
        <v>14265</v>
      </c>
      <c r="D34" s="1914" t="s">
        <v>14249</v>
      </c>
      <c r="E34" s="1915"/>
      <c r="F34" s="1916" t="s">
        <v>14046</v>
      </c>
      <c r="G34" s="1917" t="s">
        <v>14046</v>
      </c>
      <c r="H34" s="1918" t="s">
        <v>14046</v>
      </c>
      <c r="I34" s="1916" t="s">
        <v>14046</v>
      </c>
      <c r="J34" s="1917" t="s">
        <v>14046</v>
      </c>
      <c r="K34" s="1918" t="s">
        <v>14046</v>
      </c>
      <c r="L34" s="1916">
        <v>18.100000000000001</v>
      </c>
      <c r="M34" s="1917">
        <v>3</v>
      </c>
      <c r="N34" s="1919">
        <f t="shared" si="0"/>
        <v>54.300000000000004</v>
      </c>
      <c r="O34" s="1916" t="s">
        <v>14046</v>
      </c>
      <c r="P34" s="1917" t="s">
        <v>14046</v>
      </c>
      <c r="Q34" s="1919" t="s">
        <v>14046</v>
      </c>
      <c r="R34" s="1916" t="s">
        <v>14046</v>
      </c>
      <c r="S34" s="1917" t="s">
        <v>14046</v>
      </c>
      <c r="T34" s="1918" t="s">
        <v>14046</v>
      </c>
      <c r="U34" s="1916">
        <v>16.899999999999999</v>
      </c>
      <c r="V34" s="1917">
        <v>3</v>
      </c>
      <c r="W34" s="1918">
        <f t="shared" si="1"/>
        <v>50.699999999999996</v>
      </c>
      <c r="X34" s="1920" t="s">
        <v>14046</v>
      </c>
    </row>
    <row r="35" spans="3:24" ht="15.75">
      <c r="C35" s="1921" t="s">
        <v>14266</v>
      </c>
      <c r="D35" s="1914" t="s">
        <v>14249</v>
      </c>
      <c r="E35" s="1915"/>
      <c r="F35" s="1916" t="s">
        <v>14046</v>
      </c>
      <c r="G35" s="1917" t="s">
        <v>14046</v>
      </c>
      <c r="H35" s="1918" t="s">
        <v>14046</v>
      </c>
      <c r="I35" s="1916" t="s">
        <v>14046</v>
      </c>
      <c r="J35" s="1917" t="s">
        <v>14046</v>
      </c>
      <c r="K35" s="1918" t="s">
        <v>14046</v>
      </c>
      <c r="L35" s="1916">
        <v>28.6</v>
      </c>
      <c r="M35" s="1917">
        <v>3</v>
      </c>
      <c r="N35" s="1919">
        <f t="shared" si="0"/>
        <v>85.800000000000011</v>
      </c>
      <c r="O35" s="1916" t="s">
        <v>14046</v>
      </c>
      <c r="P35" s="1917" t="s">
        <v>14046</v>
      </c>
      <c r="Q35" s="1919" t="s">
        <v>14046</v>
      </c>
      <c r="R35" s="1916" t="s">
        <v>14046</v>
      </c>
      <c r="S35" s="1917" t="s">
        <v>14046</v>
      </c>
      <c r="T35" s="1918" t="s">
        <v>14046</v>
      </c>
      <c r="U35" s="1916">
        <v>27.4</v>
      </c>
      <c r="V35" s="1917">
        <v>1</v>
      </c>
      <c r="W35" s="1918">
        <f t="shared" si="1"/>
        <v>27.4</v>
      </c>
      <c r="X35" s="1920" t="s">
        <v>14046</v>
      </c>
    </row>
    <row r="36" spans="3:24" ht="15.75">
      <c r="C36" s="1913" t="s">
        <v>14170</v>
      </c>
      <c r="D36" s="1914" t="s">
        <v>14249</v>
      </c>
      <c r="E36" s="1915"/>
      <c r="F36" s="1916" t="s">
        <v>14046</v>
      </c>
      <c r="G36" s="1917" t="s">
        <v>14046</v>
      </c>
      <c r="H36" s="1918" t="s">
        <v>14046</v>
      </c>
      <c r="I36" s="1916" t="s">
        <v>14046</v>
      </c>
      <c r="J36" s="1917" t="s">
        <v>14046</v>
      </c>
      <c r="K36" s="1918" t="s">
        <v>14046</v>
      </c>
      <c r="L36" s="1916">
        <v>20.82</v>
      </c>
      <c r="M36" s="1917">
        <v>3</v>
      </c>
      <c r="N36" s="1919">
        <f t="shared" si="0"/>
        <v>62.46</v>
      </c>
      <c r="O36" s="1916" t="s">
        <v>14046</v>
      </c>
      <c r="P36" s="1917" t="s">
        <v>14046</v>
      </c>
      <c r="Q36" s="1919" t="s">
        <v>14046</v>
      </c>
      <c r="R36" s="1916" t="s">
        <v>14046</v>
      </c>
      <c r="S36" s="1917" t="s">
        <v>14046</v>
      </c>
      <c r="T36" s="1918" t="s">
        <v>14046</v>
      </c>
      <c r="U36" s="1916">
        <v>27.2</v>
      </c>
      <c r="V36" s="1917">
        <v>3</v>
      </c>
      <c r="W36" s="1918">
        <f t="shared" si="1"/>
        <v>81.599999999999994</v>
      </c>
      <c r="X36" s="1920" t="s">
        <v>14046</v>
      </c>
    </row>
    <row r="37" spans="3:24" ht="15.75">
      <c r="C37" s="1913" t="s">
        <v>14210</v>
      </c>
      <c r="D37" s="1914" t="s">
        <v>14249</v>
      </c>
      <c r="E37" s="1915"/>
      <c r="F37" s="1916" t="s">
        <v>14046</v>
      </c>
      <c r="G37" s="1917" t="s">
        <v>14046</v>
      </c>
      <c r="H37" s="1918" t="s">
        <v>14046</v>
      </c>
      <c r="I37" s="1916" t="s">
        <v>14046</v>
      </c>
      <c r="J37" s="1917" t="s">
        <v>14046</v>
      </c>
      <c r="K37" s="1918" t="s">
        <v>14046</v>
      </c>
      <c r="L37" s="1916">
        <v>5.18</v>
      </c>
      <c r="M37" s="1917">
        <v>3</v>
      </c>
      <c r="N37" s="1919">
        <f t="shared" si="0"/>
        <v>15.54</v>
      </c>
      <c r="O37" s="1916" t="s">
        <v>14046</v>
      </c>
      <c r="P37" s="1917" t="s">
        <v>14046</v>
      </c>
      <c r="Q37" s="1919" t="s">
        <v>14046</v>
      </c>
      <c r="R37" s="1916" t="s">
        <v>14046</v>
      </c>
      <c r="S37" s="1917" t="s">
        <v>14046</v>
      </c>
      <c r="T37" s="1918" t="s">
        <v>14046</v>
      </c>
      <c r="U37" s="1916">
        <v>6.65</v>
      </c>
      <c r="V37" s="1917">
        <v>1</v>
      </c>
      <c r="W37" s="1918">
        <f t="shared" si="1"/>
        <v>6.65</v>
      </c>
      <c r="X37" s="1920" t="s">
        <v>14046</v>
      </c>
    </row>
    <row r="38" spans="3:24" ht="15.75">
      <c r="C38" s="1913" t="s">
        <v>14210</v>
      </c>
      <c r="D38" s="1914" t="s">
        <v>14249</v>
      </c>
      <c r="E38" s="1915"/>
      <c r="F38" s="1916" t="s">
        <v>14046</v>
      </c>
      <c r="G38" s="1917" t="s">
        <v>14046</v>
      </c>
      <c r="H38" s="1918" t="s">
        <v>14046</v>
      </c>
      <c r="I38" s="1916" t="s">
        <v>14046</v>
      </c>
      <c r="J38" s="1917" t="s">
        <v>14046</v>
      </c>
      <c r="K38" s="1918" t="s">
        <v>14046</v>
      </c>
      <c r="L38" s="1916">
        <v>1.5</v>
      </c>
      <c r="M38" s="1917">
        <v>3</v>
      </c>
      <c r="N38" s="1919">
        <f t="shared" si="0"/>
        <v>4.5</v>
      </c>
      <c r="O38" s="1916" t="s">
        <v>14046</v>
      </c>
      <c r="P38" s="1917" t="s">
        <v>14046</v>
      </c>
      <c r="Q38" s="1919" t="s">
        <v>14046</v>
      </c>
      <c r="R38" s="1916" t="s">
        <v>14046</v>
      </c>
      <c r="S38" s="1917" t="s">
        <v>14046</v>
      </c>
      <c r="T38" s="1918" t="s">
        <v>14046</v>
      </c>
      <c r="U38" s="1916">
        <v>6.35</v>
      </c>
      <c r="V38" s="1917">
        <v>1</v>
      </c>
      <c r="W38" s="1918">
        <f t="shared" si="1"/>
        <v>6.35</v>
      </c>
      <c r="X38" s="1920" t="s">
        <v>14046</v>
      </c>
    </row>
    <row r="39" spans="3:24" ht="15.75">
      <c r="C39" s="1913" t="s">
        <v>14208</v>
      </c>
      <c r="D39" s="1914" t="s">
        <v>14249</v>
      </c>
      <c r="E39" s="1915"/>
      <c r="F39" s="1916" t="s">
        <v>14046</v>
      </c>
      <c r="G39" s="1917" t="s">
        <v>14046</v>
      </c>
      <c r="H39" s="1918" t="s">
        <v>14046</v>
      </c>
      <c r="I39" s="1916" t="s">
        <v>14046</v>
      </c>
      <c r="J39" s="1917" t="s">
        <v>14046</v>
      </c>
      <c r="K39" s="1918" t="s">
        <v>14046</v>
      </c>
      <c r="L39" s="1916">
        <v>4.43</v>
      </c>
      <c r="M39" s="1917">
        <v>3</v>
      </c>
      <c r="N39" s="1919">
        <f t="shared" si="0"/>
        <v>13.29</v>
      </c>
      <c r="O39" s="1916" t="s">
        <v>14046</v>
      </c>
      <c r="P39" s="1917" t="s">
        <v>14046</v>
      </c>
      <c r="Q39" s="1919" t="s">
        <v>14046</v>
      </c>
      <c r="R39" s="1916" t="s">
        <v>14046</v>
      </c>
      <c r="S39" s="1917" t="s">
        <v>14046</v>
      </c>
      <c r="T39" s="1918" t="s">
        <v>14046</v>
      </c>
      <c r="U39" s="1916">
        <v>8.1</v>
      </c>
      <c r="V39" s="1917">
        <v>1</v>
      </c>
      <c r="W39" s="1918">
        <f t="shared" si="1"/>
        <v>8.1</v>
      </c>
      <c r="X39" s="1920" t="s">
        <v>14046</v>
      </c>
    </row>
    <row r="40" spans="3:24" ht="15.75">
      <c r="C40" s="1913" t="s">
        <v>14267</v>
      </c>
      <c r="D40" s="1914" t="s">
        <v>14249</v>
      </c>
      <c r="E40" s="1915"/>
      <c r="F40" s="1916" t="s">
        <v>14046</v>
      </c>
      <c r="G40" s="1917" t="s">
        <v>14046</v>
      </c>
      <c r="H40" s="1918" t="s">
        <v>14046</v>
      </c>
      <c r="I40" s="1916" t="s">
        <v>14046</v>
      </c>
      <c r="J40" s="1917" t="s">
        <v>14046</v>
      </c>
      <c r="K40" s="1918" t="s">
        <v>14046</v>
      </c>
      <c r="L40" s="1916">
        <f>4.05+4.05</f>
        <v>8.1</v>
      </c>
      <c r="M40" s="1917">
        <v>3</v>
      </c>
      <c r="N40" s="1919">
        <f t="shared" si="0"/>
        <v>24.299999999999997</v>
      </c>
      <c r="O40" s="1916" t="s">
        <v>14046</v>
      </c>
      <c r="P40" s="1917" t="s">
        <v>14046</v>
      </c>
      <c r="Q40" s="1919" t="s">
        <v>14046</v>
      </c>
      <c r="R40" s="1916" t="s">
        <v>14046</v>
      </c>
      <c r="S40" s="1917" t="s">
        <v>14046</v>
      </c>
      <c r="T40" s="1918" t="s">
        <v>14046</v>
      </c>
      <c r="U40" s="1916">
        <v>18.100000000000001</v>
      </c>
      <c r="V40" s="1917">
        <v>3</v>
      </c>
      <c r="W40" s="1918">
        <f t="shared" si="1"/>
        <v>54.300000000000004</v>
      </c>
      <c r="X40" s="1920" t="s">
        <v>14046</v>
      </c>
    </row>
    <row r="41" spans="3:24" ht="15.75">
      <c r="C41" s="1913" t="s">
        <v>14268</v>
      </c>
      <c r="D41" s="1914" t="s">
        <v>14249</v>
      </c>
      <c r="E41" s="1915"/>
      <c r="F41" s="1916" t="s">
        <v>14046</v>
      </c>
      <c r="G41" s="1917" t="s">
        <v>14046</v>
      </c>
      <c r="H41" s="1918" t="s">
        <v>14046</v>
      </c>
      <c r="I41" s="1916" t="s">
        <v>14046</v>
      </c>
      <c r="J41" s="1917" t="s">
        <v>14046</v>
      </c>
      <c r="K41" s="1918" t="s">
        <v>14046</v>
      </c>
      <c r="L41" s="1916">
        <v>2.15</v>
      </c>
      <c r="M41" s="1917">
        <v>3</v>
      </c>
      <c r="N41" s="1919">
        <f t="shared" si="0"/>
        <v>6.4499999999999993</v>
      </c>
      <c r="O41" s="1916" t="s">
        <v>14046</v>
      </c>
      <c r="P41" s="1917" t="s">
        <v>14046</v>
      </c>
      <c r="Q41" s="1919" t="s">
        <v>14046</v>
      </c>
      <c r="R41" s="1916" t="s">
        <v>14046</v>
      </c>
      <c r="S41" s="1917" t="s">
        <v>14046</v>
      </c>
      <c r="T41" s="1918" t="s">
        <v>14046</v>
      </c>
      <c r="U41" s="1916">
        <v>11.7</v>
      </c>
      <c r="V41" s="1917">
        <v>3</v>
      </c>
      <c r="W41" s="1918">
        <f t="shared" si="1"/>
        <v>35.099999999999994</v>
      </c>
      <c r="X41" s="1920" t="s">
        <v>14046</v>
      </c>
    </row>
    <row r="42" spans="3:24" ht="15.75">
      <c r="C42" s="1913" t="s">
        <v>14208</v>
      </c>
      <c r="D42" s="1914" t="s">
        <v>14249</v>
      </c>
      <c r="E42" s="1915"/>
      <c r="F42" s="1916" t="s">
        <v>14046</v>
      </c>
      <c r="G42" s="1917" t="s">
        <v>14046</v>
      </c>
      <c r="H42" s="1918" t="s">
        <v>14046</v>
      </c>
      <c r="I42" s="1916" t="s">
        <v>14046</v>
      </c>
      <c r="J42" s="1917" t="s">
        <v>14046</v>
      </c>
      <c r="K42" s="1918" t="s">
        <v>14046</v>
      </c>
      <c r="L42" s="1916">
        <v>2.15</v>
      </c>
      <c r="M42" s="1917">
        <v>3</v>
      </c>
      <c r="N42" s="1919">
        <f t="shared" si="0"/>
        <v>6.4499999999999993</v>
      </c>
      <c r="O42" s="1916" t="s">
        <v>14046</v>
      </c>
      <c r="P42" s="1917" t="s">
        <v>14046</v>
      </c>
      <c r="Q42" s="1919" t="s">
        <v>14046</v>
      </c>
      <c r="R42" s="1916" t="s">
        <v>14046</v>
      </c>
      <c r="S42" s="1917" t="s">
        <v>14046</v>
      </c>
      <c r="T42" s="1918" t="s">
        <v>14046</v>
      </c>
      <c r="U42" s="1916">
        <v>8.3000000000000007</v>
      </c>
      <c r="V42" s="1917">
        <v>1</v>
      </c>
      <c r="W42" s="1918">
        <f t="shared" si="1"/>
        <v>8.3000000000000007</v>
      </c>
      <c r="X42" s="1920" t="s">
        <v>14046</v>
      </c>
    </row>
    <row r="43" spans="3:24" ht="15.75">
      <c r="C43" s="1921" t="s">
        <v>14269</v>
      </c>
      <c r="D43" s="1914" t="s">
        <v>14249</v>
      </c>
      <c r="E43" s="1915"/>
      <c r="F43" s="1916" t="s">
        <v>14046</v>
      </c>
      <c r="G43" s="1917" t="s">
        <v>14046</v>
      </c>
      <c r="H43" s="1918" t="s">
        <v>14046</v>
      </c>
      <c r="I43" s="1916" t="s">
        <v>14046</v>
      </c>
      <c r="J43" s="1917" t="s">
        <v>14046</v>
      </c>
      <c r="K43" s="1918" t="s">
        <v>14046</v>
      </c>
      <c r="L43" s="1916">
        <f>3.7+3.7+5.45</f>
        <v>12.850000000000001</v>
      </c>
      <c r="M43" s="1917">
        <v>3</v>
      </c>
      <c r="N43" s="1919">
        <f t="shared" si="0"/>
        <v>38.550000000000004</v>
      </c>
      <c r="O43" s="1916" t="s">
        <v>14046</v>
      </c>
      <c r="P43" s="1917" t="s">
        <v>14046</v>
      </c>
      <c r="Q43" s="1919" t="s">
        <v>14046</v>
      </c>
      <c r="R43" s="1916" t="s">
        <v>14046</v>
      </c>
      <c r="S43" s="1917" t="s">
        <v>14046</v>
      </c>
      <c r="T43" s="1918" t="s">
        <v>14046</v>
      </c>
      <c r="U43" s="1916">
        <v>17.100000000000001</v>
      </c>
      <c r="V43" s="1917">
        <v>3</v>
      </c>
      <c r="W43" s="1918">
        <f t="shared" si="1"/>
        <v>51.300000000000004</v>
      </c>
      <c r="X43" s="1920" t="s">
        <v>14046</v>
      </c>
    </row>
    <row r="44" spans="3:24" ht="15.75">
      <c r="C44" s="1913" t="s">
        <v>14270</v>
      </c>
      <c r="D44" s="1914" t="s">
        <v>14249</v>
      </c>
      <c r="E44" s="1915"/>
      <c r="F44" s="1916" t="s">
        <v>14046</v>
      </c>
      <c r="G44" s="1917" t="s">
        <v>14046</v>
      </c>
      <c r="H44" s="1918" t="s">
        <v>14046</v>
      </c>
      <c r="I44" s="1916" t="s">
        <v>14046</v>
      </c>
      <c r="J44" s="1917" t="s">
        <v>14046</v>
      </c>
      <c r="K44" s="1918" t="s">
        <v>14046</v>
      </c>
      <c r="L44" s="1916">
        <f>5.15+5.15+8</f>
        <v>18.3</v>
      </c>
      <c r="M44" s="1917">
        <v>3</v>
      </c>
      <c r="N44" s="1919">
        <f t="shared" si="0"/>
        <v>54.900000000000006</v>
      </c>
      <c r="O44" s="1916" t="s">
        <v>14046</v>
      </c>
      <c r="P44" s="1917" t="s">
        <v>14046</v>
      </c>
      <c r="Q44" s="1919" t="s">
        <v>14046</v>
      </c>
      <c r="R44" s="1916" t="s">
        <v>14046</v>
      </c>
      <c r="S44" s="1917" t="s">
        <v>14046</v>
      </c>
      <c r="T44" s="1918" t="s">
        <v>14046</v>
      </c>
      <c r="U44" s="1916">
        <v>25.1</v>
      </c>
      <c r="V44" s="1917">
        <v>3</v>
      </c>
      <c r="W44" s="1918">
        <f t="shared" si="1"/>
        <v>75.300000000000011</v>
      </c>
      <c r="X44" s="1920" t="s">
        <v>14046</v>
      </c>
    </row>
    <row r="45" spans="3:24" ht="15.75">
      <c r="C45" s="1921" t="s">
        <v>14271</v>
      </c>
      <c r="D45" s="1914" t="s">
        <v>14249</v>
      </c>
      <c r="E45" s="1915"/>
      <c r="F45" s="1916" t="s">
        <v>14046</v>
      </c>
      <c r="G45" s="1917" t="s">
        <v>14046</v>
      </c>
      <c r="H45" s="1918" t="s">
        <v>14046</v>
      </c>
      <c r="I45" s="1916" t="s">
        <v>14046</v>
      </c>
      <c r="J45" s="1917" t="s">
        <v>14046</v>
      </c>
      <c r="K45" s="1918" t="s">
        <v>14046</v>
      </c>
      <c r="L45" s="1916">
        <f>8.15+8.15</f>
        <v>16.3</v>
      </c>
      <c r="M45" s="1917">
        <v>3</v>
      </c>
      <c r="N45" s="1919">
        <f t="shared" si="0"/>
        <v>48.900000000000006</v>
      </c>
      <c r="O45" s="1916" t="s">
        <v>14046</v>
      </c>
      <c r="P45" s="1917" t="s">
        <v>14046</v>
      </c>
      <c r="Q45" s="1919" t="s">
        <v>14046</v>
      </c>
      <c r="R45" s="1916" t="s">
        <v>14046</v>
      </c>
      <c r="S45" s="1917" t="s">
        <v>14046</v>
      </c>
      <c r="T45" s="1918" t="s">
        <v>14046</v>
      </c>
      <c r="U45" s="1916">
        <v>31.4</v>
      </c>
      <c r="V45" s="1917">
        <v>3</v>
      </c>
      <c r="W45" s="1918">
        <f t="shared" si="1"/>
        <v>94.199999999999989</v>
      </c>
      <c r="X45" s="1920" t="s">
        <v>14046</v>
      </c>
    </row>
    <row r="46" spans="3:24" ht="15.75">
      <c r="C46" s="1921" t="s">
        <v>14272</v>
      </c>
      <c r="D46" s="1914" t="s">
        <v>14249</v>
      </c>
      <c r="E46" s="1915"/>
      <c r="F46" s="1916" t="s">
        <v>14046</v>
      </c>
      <c r="G46" s="1917" t="s">
        <v>14046</v>
      </c>
      <c r="H46" s="1918" t="s">
        <v>14046</v>
      </c>
      <c r="I46" s="1916" t="s">
        <v>14046</v>
      </c>
      <c r="J46" s="1917" t="s">
        <v>14046</v>
      </c>
      <c r="K46" s="1918" t="s">
        <v>14046</v>
      </c>
      <c r="L46" s="1916">
        <f>8+5.8+5.8</f>
        <v>19.600000000000001</v>
      </c>
      <c r="M46" s="1917">
        <v>3</v>
      </c>
      <c r="N46" s="1919">
        <f t="shared" si="0"/>
        <v>58.800000000000004</v>
      </c>
      <c r="O46" s="1916" t="s">
        <v>14046</v>
      </c>
      <c r="P46" s="1917" t="s">
        <v>14046</v>
      </c>
      <c r="Q46" s="1919" t="s">
        <v>14046</v>
      </c>
      <c r="R46" s="1916" t="s">
        <v>14046</v>
      </c>
      <c r="S46" s="1917" t="s">
        <v>14046</v>
      </c>
      <c r="T46" s="1918" t="s">
        <v>14046</v>
      </c>
      <c r="U46" s="1916">
        <v>26</v>
      </c>
      <c r="V46" s="1917">
        <v>3</v>
      </c>
      <c r="W46" s="1918">
        <f t="shared" si="1"/>
        <v>78</v>
      </c>
      <c r="X46" s="1920" t="s">
        <v>14046</v>
      </c>
    </row>
    <row r="47" spans="3:24" ht="15.75">
      <c r="C47" s="1913" t="s">
        <v>14273</v>
      </c>
      <c r="D47" s="1914" t="s">
        <v>14249</v>
      </c>
      <c r="E47" s="1915"/>
      <c r="F47" s="1916" t="s">
        <v>14046</v>
      </c>
      <c r="G47" s="1917" t="s">
        <v>14046</v>
      </c>
      <c r="H47" s="1918" t="s">
        <v>14046</v>
      </c>
      <c r="I47" s="1916" t="s">
        <v>14046</v>
      </c>
      <c r="J47" s="1917" t="s">
        <v>14046</v>
      </c>
      <c r="K47" s="1918" t="s">
        <v>14046</v>
      </c>
      <c r="L47" s="1916">
        <f>10.3+10.3+8</f>
        <v>28.6</v>
      </c>
      <c r="M47" s="1917">
        <v>3</v>
      </c>
      <c r="N47" s="1919">
        <f t="shared" si="0"/>
        <v>85.800000000000011</v>
      </c>
      <c r="O47" s="1916" t="s">
        <v>14046</v>
      </c>
      <c r="P47" s="1917" t="s">
        <v>14046</v>
      </c>
      <c r="Q47" s="1919" t="s">
        <v>14046</v>
      </c>
      <c r="R47" s="1916" t="s">
        <v>14046</v>
      </c>
      <c r="S47" s="1917" t="s">
        <v>14046</v>
      </c>
      <c r="T47" s="1918" t="s">
        <v>14046</v>
      </c>
      <c r="U47" s="1916">
        <v>35.4</v>
      </c>
      <c r="V47" s="1917">
        <v>3</v>
      </c>
      <c r="W47" s="1918">
        <f t="shared" si="1"/>
        <v>106.19999999999999</v>
      </c>
      <c r="X47" s="1920" t="s">
        <v>14046</v>
      </c>
    </row>
    <row r="48" spans="3:24" ht="31.5">
      <c r="C48" s="1921" t="s">
        <v>14274</v>
      </c>
      <c r="D48" s="1922" t="s">
        <v>14249</v>
      </c>
      <c r="E48" s="1923"/>
      <c r="F48" s="1916" t="s">
        <v>14046</v>
      </c>
      <c r="G48" s="1917" t="s">
        <v>14046</v>
      </c>
      <c r="H48" s="1918" t="s">
        <v>14046</v>
      </c>
      <c r="I48" s="1916" t="s">
        <v>14046</v>
      </c>
      <c r="J48" s="1917" t="s">
        <v>14046</v>
      </c>
      <c r="K48" s="1918" t="s">
        <v>14046</v>
      </c>
      <c r="L48" s="1916">
        <f>62*(0.15+0.3)</f>
        <v>27.9</v>
      </c>
      <c r="M48" s="1917">
        <v>3</v>
      </c>
      <c r="N48" s="1919">
        <f>(L48*M48)</f>
        <v>83.699999999999989</v>
      </c>
      <c r="O48" s="1916" t="s">
        <v>14046</v>
      </c>
      <c r="P48" s="1917" t="s">
        <v>14046</v>
      </c>
      <c r="Q48" s="1919" t="s">
        <v>14046</v>
      </c>
      <c r="R48" s="1916" t="s">
        <v>14046</v>
      </c>
      <c r="S48" s="1917" t="s">
        <v>14046</v>
      </c>
      <c r="T48" s="1918" t="s">
        <v>14046</v>
      </c>
      <c r="U48" s="1916">
        <f>62*(0.15+0.3)</f>
        <v>27.9</v>
      </c>
      <c r="V48" s="1917">
        <v>3</v>
      </c>
      <c r="W48" s="1918">
        <f t="shared" si="1"/>
        <v>83.699999999999989</v>
      </c>
      <c r="X48" s="1920" t="s">
        <v>14046</v>
      </c>
    </row>
    <row r="49" spans="3:24" ht="15.75">
      <c r="C49" s="1913" t="s">
        <v>14275</v>
      </c>
      <c r="D49" s="1914" t="s">
        <v>14249</v>
      </c>
      <c r="E49" s="1915"/>
      <c r="F49" s="1916" t="s">
        <v>14046</v>
      </c>
      <c r="G49" s="1917" t="s">
        <v>14046</v>
      </c>
      <c r="H49" s="1918" t="s">
        <v>14046</v>
      </c>
      <c r="I49" s="1916" t="s">
        <v>14046</v>
      </c>
      <c r="J49" s="1917" t="s">
        <v>14046</v>
      </c>
      <c r="K49" s="1918" t="s">
        <v>14046</v>
      </c>
      <c r="L49" s="1916">
        <v>38</v>
      </c>
      <c r="M49" s="1917">
        <v>3</v>
      </c>
      <c r="N49" s="1919">
        <f t="shared" si="0"/>
        <v>114</v>
      </c>
      <c r="O49" s="1916" t="s">
        <v>14046</v>
      </c>
      <c r="P49" s="1917" t="s">
        <v>14046</v>
      </c>
      <c r="Q49" s="1919" t="s">
        <v>14046</v>
      </c>
      <c r="R49" s="1916" t="s">
        <v>14046</v>
      </c>
      <c r="S49" s="1917" t="s">
        <v>14046</v>
      </c>
      <c r="T49" s="1918" t="s">
        <v>14046</v>
      </c>
      <c r="U49" s="1916">
        <v>44.76</v>
      </c>
      <c r="V49" s="1917">
        <v>3</v>
      </c>
      <c r="W49" s="1918">
        <f t="shared" si="1"/>
        <v>134.28</v>
      </c>
      <c r="X49" s="1920" t="s">
        <v>14046</v>
      </c>
    </row>
    <row r="50" spans="3:24" ht="15.75">
      <c r="C50" s="1913" t="s">
        <v>14265</v>
      </c>
      <c r="D50" s="1914" t="s">
        <v>14249</v>
      </c>
      <c r="E50" s="1915"/>
      <c r="F50" s="1916" t="s">
        <v>14046</v>
      </c>
      <c r="G50" s="1917" t="s">
        <v>14046</v>
      </c>
      <c r="H50" s="1918" t="s">
        <v>14046</v>
      </c>
      <c r="I50" s="1916" t="s">
        <v>14046</v>
      </c>
      <c r="J50" s="1917" t="s">
        <v>14046</v>
      </c>
      <c r="K50" s="1918" t="s">
        <v>14046</v>
      </c>
      <c r="L50" s="1916">
        <f>2.55+2.55+1.3</f>
        <v>6.3999999999999995</v>
      </c>
      <c r="M50" s="1917">
        <v>3</v>
      </c>
      <c r="N50" s="1919">
        <f t="shared" si="0"/>
        <v>19.2</v>
      </c>
      <c r="O50" s="1916" t="s">
        <v>14046</v>
      </c>
      <c r="P50" s="1917" t="s">
        <v>14046</v>
      </c>
      <c r="Q50" s="1919" t="s">
        <v>14046</v>
      </c>
      <c r="R50" s="1916" t="s">
        <v>14046</v>
      </c>
      <c r="S50" s="1917" t="s">
        <v>14046</v>
      </c>
      <c r="T50" s="1918" t="s">
        <v>14046</v>
      </c>
      <c r="U50" s="1916">
        <v>19.399999999999999</v>
      </c>
      <c r="V50" s="1917">
        <v>3</v>
      </c>
      <c r="W50" s="1918">
        <f t="shared" si="1"/>
        <v>58.199999999999996</v>
      </c>
      <c r="X50" s="1920" t="s">
        <v>14046</v>
      </c>
    </row>
    <row r="51" spans="3:24" ht="15.75">
      <c r="C51" s="1913" t="s">
        <v>14276</v>
      </c>
      <c r="D51" s="1914" t="s">
        <v>14249</v>
      </c>
      <c r="E51" s="1915"/>
      <c r="F51" s="1916" t="s">
        <v>14046</v>
      </c>
      <c r="G51" s="1917" t="s">
        <v>14046</v>
      </c>
      <c r="H51" s="1918" t="s">
        <v>14046</v>
      </c>
      <c r="I51" s="1916" t="s">
        <v>14046</v>
      </c>
      <c r="J51" s="1917" t="s">
        <v>14046</v>
      </c>
      <c r="K51" s="1918" t="s">
        <v>14046</v>
      </c>
      <c r="L51" s="1916">
        <f>9.05+4.65</f>
        <v>13.700000000000001</v>
      </c>
      <c r="M51" s="1917">
        <v>3</v>
      </c>
      <c r="N51" s="1919">
        <f t="shared" si="0"/>
        <v>41.1</v>
      </c>
      <c r="O51" s="1916" t="s">
        <v>14046</v>
      </c>
      <c r="P51" s="1917" t="s">
        <v>14046</v>
      </c>
      <c r="Q51" s="1919" t="s">
        <v>14046</v>
      </c>
      <c r="R51" s="1916" t="s">
        <v>14046</v>
      </c>
      <c r="S51" s="1917" t="s">
        <v>14046</v>
      </c>
      <c r="T51" s="1918" t="s">
        <v>14046</v>
      </c>
      <c r="U51" s="1916">
        <v>27</v>
      </c>
      <c r="V51" s="1917">
        <v>1</v>
      </c>
      <c r="W51" s="1918">
        <f t="shared" si="1"/>
        <v>27</v>
      </c>
      <c r="X51" s="1920" t="s">
        <v>14046</v>
      </c>
    </row>
    <row r="52" spans="3:24" ht="15.75">
      <c r="C52" s="1913" t="s">
        <v>14277</v>
      </c>
      <c r="D52" s="1914" t="s">
        <v>14249</v>
      </c>
      <c r="E52" s="1915"/>
      <c r="F52" s="1916" t="s">
        <v>14046</v>
      </c>
      <c r="G52" s="1917" t="s">
        <v>14046</v>
      </c>
      <c r="H52" s="1918" t="s">
        <v>14046</v>
      </c>
      <c r="I52" s="1916" t="s">
        <v>14046</v>
      </c>
      <c r="J52" s="1917" t="s">
        <v>14046</v>
      </c>
      <c r="K52" s="1918" t="s">
        <v>14046</v>
      </c>
      <c r="L52" s="1916">
        <v>1.55</v>
      </c>
      <c r="M52" s="1917">
        <v>3</v>
      </c>
      <c r="N52" s="1919">
        <f t="shared" si="0"/>
        <v>4.6500000000000004</v>
      </c>
      <c r="O52" s="1916" t="s">
        <v>14046</v>
      </c>
      <c r="P52" s="1917" t="s">
        <v>14046</v>
      </c>
      <c r="Q52" s="1919" t="s">
        <v>14046</v>
      </c>
      <c r="R52" s="1916" t="s">
        <v>14046</v>
      </c>
      <c r="S52" s="1917" t="s">
        <v>14046</v>
      </c>
      <c r="T52" s="1918" t="s">
        <v>14046</v>
      </c>
      <c r="U52" s="1916">
        <v>7.6</v>
      </c>
      <c r="V52" s="1917">
        <v>3</v>
      </c>
      <c r="W52" s="1918">
        <f t="shared" si="1"/>
        <v>22.799999999999997</v>
      </c>
      <c r="X52" s="1920" t="s">
        <v>14046</v>
      </c>
    </row>
    <row r="53" spans="3:24" ht="15.75">
      <c r="C53" s="1913" t="s">
        <v>14278</v>
      </c>
      <c r="D53" s="1914" t="s">
        <v>14249</v>
      </c>
      <c r="E53" s="1915"/>
      <c r="F53" s="1916" t="s">
        <v>14046</v>
      </c>
      <c r="G53" s="1917" t="s">
        <v>14046</v>
      </c>
      <c r="H53" s="1918" t="s">
        <v>14046</v>
      </c>
      <c r="I53" s="1916" t="s">
        <v>14046</v>
      </c>
      <c r="J53" s="1917" t="s">
        <v>14046</v>
      </c>
      <c r="K53" s="1918" t="s">
        <v>14046</v>
      </c>
      <c r="L53" s="1916">
        <v>1.55</v>
      </c>
      <c r="M53" s="1917">
        <v>3</v>
      </c>
      <c r="N53" s="1919">
        <f t="shared" si="0"/>
        <v>4.6500000000000004</v>
      </c>
      <c r="O53" s="1916" t="s">
        <v>14046</v>
      </c>
      <c r="P53" s="1917" t="s">
        <v>14046</v>
      </c>
      <c r="Q53" s="1919" t="s">
        <v>14046</v>
      </c>
      <c r="R53" s="1916" t="s">
        <v>14046</v>
      </c>
      <c r="S53" s="1917" t="s">
        <v>14046</v>
      </c>
      <c r="T53" s="1918" t="s">
        <v>14046</v>
      </c>
      <c r="U53" s="1916">
        <v>7.2</v>
      </c>
      <c r="V53" s="1917">
        <v>3</v>
      </c>
      <c r="W53" s="1918">
        <f t="shared" si="1"/>
        <v>21.6</v>
      </c>
      <c r="X53" s="1920" t="s">
        <v>14046</v>
      </c>
    </row>
    <row r="54" spans="3:24" ht="15.75">
      <c r="C54" s="1913" t="s">
        <v>14279</v>
      </c>
      <c r="D54" s="1914" t="s">
        <v>14249</v>
      </c>
      <c r="E54" s="1915"/>
      <c r="F54" s="1916" t="s">
        <v>14046</v>
      </c>
      <c r="G54" s="1917" t="s">
        <v>14046</v>
      </c>
      <c r="H54" s="1918" t="s">
        <v>14046</v>
      </c>
      <c r="I54" s="1916" t="s">
        <v>14046</v>
      </c>
      <c r="J54" s="1917" t="s">
        <v>14046</v>
      </c>
      <c r="K54" s="1918" t="s">
        <v>14046</v>
      </c>
      <c r="L54" s="1916">
        <v>4.57</v>
      </c>
      <c r="M54" s="1917">
        <v>3</v>
      </c>
      <c r="N54" s="1919">
        <f t="shared" si="0"/>
        <v>13.71</v>
      </c>
      <c r="O54" s="1916" t="s">
        <v>14046</v>
      </c>
      <c r="P54" s="1917" t="s">
        <v>14046</v>
      </c>
      <c r="Q54" s="1919" t="s">
        <v>14046</v>
      </c>
      <c r="R54" s="1916" t="s">
        <v>14046</v>
      </c>
      <c r="S54" s="1917" t="s">
        <v>14046</v>
      </c>
      <c r="T54" s="1918" t="s">
        <v>14046</v>
      </c>
      <c r="U54" s="1916">
        <v>8.24</v>
      </c>
      <c r="V54" s="1917">
        <v>3</v>
      </c>
      <c r="W54" s="1918">
        <f t="shared" si="1"/>
        <v>24.72</v>
      </c>
      <c r="X54" s="1920" t="s">
        <v>14046</v>
      </c>
    </row>
    <row r="55" spans="3:24" ht="15.75">
      <c r="C55" s="1913" t="s">
        <v>14208</v>
      </c>
      <c r="D55" s="1914" t="s">
        <v>14249</v>
      </c>
      <c r="E55" s="1915"/>
      <c r="F55" s="1916" t="s">
        <v>14046</v>
      </c>
      <c r="G55" s="1917" t="s">
        <v>14046</v>
      </c>
      <c r="H55" s="1918" t="s">
        <v>14046</v>
      </c>
      <c r="I55" s="1916" t="s">
        <v>14046</v>
      </c>
      <c r="J55" s="1917" t="s">
        <v>14046</v>
      </c>
      <c r="K55" s="1918" t="s">
        <v>14046</v>
      </c>
      <c r="L55" s="1916">
        <f>4.15+1.77</f>
        <v>5.92</v>
      </c>
      <c r="M55" s="1917">
        <v>3</v>
      </c>
      <c r="N55" s="1919">
        <f t="shared" si="0"/>
        <v>17.759999999999998</v>
      </c>
      <c r="O55" s="1916" t="s">
        <v>14046</v>
      </c>
      <c r="P55" s="1917" t="s">
        <v>14046</v>
      </c>
      <c r="Q55" s="1919" t="s">
        <v>14046</v>
      </c>
      <c r="R55" s="1916" t="s">
        <v>14046</v>
      </c>
      <c r="S55" s="1917" t="s">
        <v>14046</v>
      </c>
      <c r="T55" s="1918" t="s">
        <v>14046</v>
      </c>
      <c r="U55" s="1916">
        <v>8.64</v>
      </c>
      <c r="V55" s="1917">
        <v>1</v>
      </c>
      <c r="W55" s="1918">
        <f t="shared" si="1"/>
        <v>8.64</v>
      </c>
      <c r="X55" s="1920" t="s">
        <v>14046</v>
      </c>
    </row>
    <row r="56" spans="3:24" ht="15.75">
      <c r="C56" s="1913" t="s">
        <v>14280</v>
      </c>
      <c r="D56" s="1914" t="s">
        <v>14249</v>
      </c>
      <c r="E56" s="1915" t="s">
        <v>14249</v>
      </c>
      <c r="F56" s="1916">
        <v>20.97</v>
      </c>
      <c r="G56" s="1917">
        <v>1</v>
      </c>
      <c r="H56" s="1918">
        <f>F56*G56</f>
        <v>20.97</v>
      </c>
      <c r="I56" s="1916">
        <v>20.97</v>
      </c>
      <c r="J56" s="1917">
        <v>1</v>
      </c>
      <c r="K56" s="1918">
        <f>I56*J56</f>
        <v>20.97</v>
      </c>
      <c r="L56" s="1916">
        <v>549.41999999999996</v>
      </c>
      <c r="M56" s="1917">
        <v>1</v>
      </c>
      <c r="N56" s="1919">
        <f>L56*M56</f>
        <v>549.41999999999996</v>
      </c>
      <c r="O56" s="1916">
        <v>20.97</v>
      </c>
      <c r="P56" s="1917">
        <v>1</v>
      </c>
      <c r="Q56" s="1919">
        <f>O56*P56</f>
        <v>20.97</v>
      </c>
      <c r="R56" s="1916">
        <v>20.97</v>
      </c>
      <c r="S56" s="1917">
        <v>1</v>
      </c>
      <c r="T56" s="1919">
        <f>R56*S56</f>
        <v>20.97</v>
      </c>
      <c r="U56" s="1916">
        <v>549.41999999999996</v>
      </c>
      <c r="V56" s="1917">
        <v>1</v>
      </c>
      <c r="W56" s="1918">
        <f>U56*V56</f>
        <v>549.41999999999996</v>
      </c>
      <c r="X56" s="1920"/>
    </row>
    <row r="57" spans="3:24" ht="15.75">
      <c r="C57" s="1913" t="s">
        <v>14281</v>
      </c>
      <c r="D57" s="1914"/>
      <c r="E57" s="1915" t="s">
        <v>14249</v>
      </c>
      <c r="F57" s="1916">
        <v>15</v>
      </c>
      <c r="G57" s="1917">
        <v>3</v>
      </c>
      <c r="H57" s="1918">
        <f>(F57*G57)</f>
        <v>45</v>
      </c>
      <c r="I57" s="1916">
        <v>15</v>
      </c>
      <c r="J57" s="1917">
        <v>3</v>
      </c>
      <c r="K57" s="1918">
        <f>(I57*J57)</f>
        <v>45</v>
      </c>
      <c r="L57" s="1916">
        <v>15</v>
      </c>
      <c r="M57" s="1917">
        <v>3</v>
      </c>
      <c r="N57" s="1919">
        <f t="shared" si="0"/>
        <v>45</v>
      </c>
      <c r="O57" s="1916">
        <v>17.21</v>
      </c>
      <c r="P57" s="1917">
        <v>3</v>
      </c>
      <c r="Q57" s="1919">
        <f>(O57*P57)</f>
        <v>51.63</v>
      </c>
      <c r="R57" s="1916">
        <v>8.6999999999999993</v>
      </c>
      <c r="S57" s="1917">
        <v>3</v>
      </c>
      <c r="T57" s="1918">
        <f>(R57*S57)</f>
        <v>26.099999999999998</v>
      </c>
      <c r="U57" s="1916">
        <v>17.21</v>
      </c>
      <c r="V57" s="1917">
        <v>1</v>
      </c>
      <c r="W57" s="1918">
        <f t="shared" si="1"/>
        <v>17.21</v>
      </c>
      <c r="X57" s="1920" t="s">
        <v>14046</v>
      </c>
    </row>
    <row r="58" spans="3:24" ht="15.75">
      <c r="C58" s="1913" t="s">
        <v>14282</v>
      </c>
      <c r="D58" s="1914"/>
      <c r="E58" s="1915" t="s">
        <v>14249</v>
      </c>
      <c r="F58" s="1916">
        <v>15</v>
      </c>
      <c r="G58" s="1917">
        <v>3</v>
      </c>
      <c r="H58" s="1918">
        <f>(F58*G58)</f>
        <v>45</v>
      </c>
      <c r="I58" s="1916">
        <v>15</v>
      </c>
      <c r="J58" s="1917">
        <v>3</v>
      </c>
      <c r="K58" s="1918">
        <f>(I58*J58)</f>
        <v>45</v>
      </c>
      <c r="L58" s="1916">
        <v>15</v>
      </c>
      <c r="M58" s="1917">
        <v>3</v>
      </c>
      <c r="N58" s="1919">
        <f t="shared" si="0"/>
        <v>45</v>
      </c>
      <c r="O58" s="1916">
        <v>17.21</v>
      </c>
      <c r="P58" s="1917">
        <v>3</v>
      </c>
      <c r="Q58" s="1919">
        <f>(O58*P58)</f>
        <v>51.63</v>
      </c>
      <c r="R58" s="1916">
        <v>8.6999999999999993</v>
      </c>
      <c r="S58" s="1917">
        <v>3</v>
      </c>
      <c r="T58" s="1918">
        <f>(R58*S58)</f>
        <v>26.099999999999998</v>
      </c>
      <c r="U58" s="1916">
        <v>17.21</v>
      </c>
      <c r="V58" s="1917">
        <v>1</v>
      </c>
      <c r="W58" s="1918">
        <f t="shared" si="1"/>
        <v>17.21</v>
      </c>
      <c r="X58" s="1920" t="s">
        <v>14046</v>
      </c>
    </row>
    <row r="59" spans="3:24" ht="15.75">
      <c r="C59" s="1913" t="s">
        <v>14210</v>
      </c>
      <c r="D59" s="1914"/>
      <c r="E59" s="1915" t="s">
        <v>14249</v>
      </c>
      <c r="F59" s="1916">
        <v>2.5499999999999998</v>
      </c>
      <c r="G59" s="1917">
        <v>3</v>
      </c>
      <c r="H59" s="1918">
        <f>(F59*G59)</f>
        <v>7.6499999999999995</v>
      </c>
      <c r="I59" s="1916">
        <v>2.5499999999999998</v>
      </c>
      <c r="J59" s="1917">
        <v>3</v>
      </c>
      <c r="K59" s="1918">
        <f>(I59*J59)</f>
        <v>7.6499999999999995</v>
      </c>
      <c r="L59" s="1916">
        <v>2.5499999999999998</v>
      </c>
      <c r="M59" s="1917">
        <v>3</v>
      </c>
      <c r="N59" s="1919">
        <f t="shared" si="0"/>
        <v>7.6499999999999995</v>
      </c>
      <c r="O59" s="1916">
        <v>8.49</v>
      </c>
      <c r="P59" s="1917">
        <v>3</v>
      </c>
      <c r="Q59" s="1919">
        <f>(O59*P59)</f>
        <v>25.47</v>
      </c>
      <c r="R59" s="1916">
        <v>3</v>
      </c>
      <c r="S59" s="1917">
        <v>3</v>
      </c>
      <c r="T59" s="1918">
        <f>(R59*S59)</f>
        <v>9</v>
      </c>
      <c r="U59" s="1916">
        <v>8.49</v>
      </c>
      <c r="V59" s="1917">
        <v>1</v>
      </c>
      <c r="W59" s="1918">
        <f t="shared" si="1"/>
        <v>8.49</v>
      </c>
      <c r="X59" s="1920" t="s">
        <v>14046</v>
      </c>
    </row>
    <row r="60" spans="3:24" ht="15.75">
      <c r="C60" s="1913" t="s">
        <v>14283</v>
      </c>
      <c r="D60" s="1914" t="s">
        <v>14249</v>
      </c>
      <c r="E60" s="1915"/>
      <c r="F60" s="1916" t="s">
        <v>14046</v>
      </c>
      <c r="G60" s="1917" t="s">
        <v>14046</v>
      </c>
      <c r="H60" s="1918" t="s">
        <v>14046</v>
      </c>
      <c r="I60" s="1916" t="s">
        <v>14046</v>
      </c>
      <c r="J60" s="1917" t="s">
        <v>14046</v>
      </c>
      <c r="K60" s="1918" t="s">
        <v>14046</v>
      </c>
      <c r="L60" s="1924" t="s">
        <v>14046</v>
      </c>
      <c r="M60" s="1917" t="s">
        <v>14046</v>
      </c>
      <c r="N60" s="1919" t="s">
        <v>14046</v>
      </c>
      <c r="O60" s="1916" t="s">
        <v>14046</v>
      </c>
      <c r="P60" s="1917" t="s">
        <v>14046</v>
      </c>
      <c r="Q60" s="1919" t="s">
        <v>14046</v>
      </c>
      <c r="R60" s="1916" t="s">
        <v>14046</v>
      </c>
      <c r="S60" s="1917" t="s">
        <v>14046</v>
      </c>
      <c r="T60" s="1918" t="s">
        <v>14046</v>
      </c>
      <c r="U60" s="1916" t="s">
        <v>14046</v>
      </c>
      <c r="V60" s="1917" t="s">
        <v>14046</v>
      </c>
      <c r="W60" s="1918" t="s">
        <v>14046</v>
      </c>
      <c r="X60" s="1920">
        <v>20.96</v>
      </c>
    </row>
    <row r="61" spans="3:24" ht="15.75">
      <c r="C61" s="1925" t="s">
        <v>14284</v>
      </c>
      <c r="D61" s="1926" t="s">
        <v>14249</v>
      </c>
      <c r="E61" s="1927"/>
      <c r="F61" s="1916" t="s">
        <v>14046</v>
      </c>
      <c r="G61" s="1917" t="s">
        <v>14046</v>
      </c>
      <c r="H61" s="1918" t="s">
        <v>14046</v>
      </c>
      <c r="I61" s="1916" t="s">
        <v>14046</v>
      </c>
      <c r="J61" s="1917" t="s">
        <v>14046</v>
      </c>
      <c r="K61" s="1918" t="s">
        <v>14046</v>
      </c>
      <c r="L61" s="1924" t="s">
        <v>14046</v>
      </c>
      <c r="M61" s="1917" t="s">
        <v>14046</v>
      </c>
      <c r="N61" s="1919" t="s">
        <v>14046</v>
      </c>
      <c r="O61" s="1916" t="s">
        <v>14046</v>
      </c>
      <c r="P61" s="1917" t="s">
        <v>14046</v>
      </c>
      <c r="Q61" s="1919" t="s">
        <v>14046</v>
      </c>
      <c r="R61" s="1916" t="s">
        <v>14046</v>
      </c>
      <c r="S61" s="1917" t="s">
        <v>14046</v>
      </c>
      <c r="T61" s="1918" t="s">
        <v>14046</v>
      </c>
      <c r="U61" s="1916" t="s">
        <v>14046</v>
      </c>
      <c r="V61" s="1917" t="s">
        <v>14046</v>
      </c>
      <c r="W61" s="1918" t="s">
        <v>14046</v>
      </c>
      <c r="X61" s="1920">
        <f>16.48+5.27+5.28+5.8+8.97+6.87+6.89</f>
        <v>55.559999999999995</v>
      </c>
    </row>
    <row r="62" spans="3:24" ht="16.5" thickBot="1">
      <c r="C62" s="1928" t="s">
        <v>14285</v>
      </c>
      <c r="D62" s="1929" t="s">
        <v>14249</v>
      </c>
      <c r="E62" s="1930"/>
      <c r="F62" s="1931" t="s">
        <v>14046</v>
      </c>
      <c r="G62" s="1932" t="s">
        <v>14046</v>
      </c>
      <c r="H62" s="1933" t="s">
        <v>14046</v>
      </c>
      <c r="I62" s="1931" t="s">
        <v>14046</v>
      </c>
      <c r="J62" s="1932" t="s">
        <v>14046</v>
      </c>
      <c r="K62" s="1933" t="s">
        <v>14046</v>
      </c>
      <c r="L62" s="1934" t="s">
        <v>14046</v>
      </c>
      <c r="M62" s="1932" t="s">
        <v>14046</v>
      </c>
      <c r="N62" s="1935" t="s">
        <v>14046</v>
      </c>
      <c r="O62" s="1931" t="s">
        <v>14046</v>
      </c>
      <c r="P62" s="1932" t="s">
        <v>14046</v>
      </c>
      <c r="Q62" s="1935" t="s">
        <v>14046</v>
      </c>
      <c r="R62" s="1931" t="s">
        <v>14046</v>
      </c>
      <c r="S62" s="1932" t="s">
        <v>14046</v>
      </c>
      <c r="T62" s="1933" t="s">
        <v>14046</v>
      </c>
      <c r="U62" s="1931" t="s">
        <v>14046</v>
      </c>
      <c r="V62" s="1932" t="s">
        <v>14046</v>
      </c>
      <c r="W62" s="1933" t="s">
        <v>14046</v>
      </c>
      <c r="X62" s="1936">
        <v>1603.96</v>
      </c>
    </row>
    <row r="63" spans="3:24" ht="16.5" thickBot="1">
      <c r="C63" s="2506" t="s">
        <v>14286</v>
      </c>
      <c r="D63" s="2507"/>
      <c r="E63" s="2508"/>
      <c r="F63" s="2509">
        <f>SUM(H18:H62)</f>
        <v>118.62</v>
      </c>
      <c r="G63" s="2510"/>
      <c r="H63" s="2511"/>
      <c r="I63" s="2509">
        <f>SUM(K18:K62)</f>
        <v>118.62</v>
      </c>
      <c r="J63" s="2510"/>
      <c r="K63" s="2511"/>
      <c r="L63" s="2509">
        <f>SUM(N18:N62)</f>
        <v>2281.5300000000002</v>
      </c>
      <c r="M63" s="2510"/>
      <c r="N63" s="2511"/>
      <c r="O63" s="2509">
        <f>SUM(Q18:Q62)</f>
        <v>149.69999999999999</v>
      </c>
      <c r="P63" s="2510"/>
      <c r="Q63" s="2511"/>
      <c r="R63" s="2509">
        <f>SUM(T18:T62)</f>
        <v>82.169999999999987</v>
      </c>
      <c r="S63" s="2510"/>
      <c r="T63" s="2511"/>
      <c r="U63" s="2509">
        <f>SUM(W18:W62)</f>
        <v>2899.1699999999996</v>
      </c>
      <c r="V63" s="2510"/>
      <c r="W63" s="2511"/>
      <c r="X63" s="1937">
        <f>SUM(X18:X62)</f>
        <v>1680.48</v>
      </c>
    </row>
    <row r="64" spans="3:24" ht="15.75" thickBot="1">
      <c r="X64" s="1315"/>
    </row>
    <row r="65" spans="3:16" ht="15.75">
      <c r="C65" s="2544" t="s">
        <v>14287</v>
      </c>
      <c r="D65" s="2545"/>
      <c r="E65" s="2545"/>
      <c r="F65" s="2545"/>
      <c r="G65" s="2545"/>
      <c r="H65" s="1938">
        <f>I63+R63</f>
        <v>200.79</v>
      </c>
      <c r="I65" s="1814"/>
      <c r="J65" s="1814"/>
      <c r="K65" s="1814"/>
      <c r="L65" s="1814"/>
      <c r="N65" s="1814"/>
      <c r="O65" s="1814"/>
      <c r="P65" s="1814"/>
    </row>
    <row r="66" spans="3:16" ht="15.75">
      <c r="C66" s="2532" t="s">
        <v>14288</v>
      </c>
      <c r="D66" s="2533"/>
      <c r="E66" s="2533"/>
      <c r="F66" s="2533"/>
      <c r="G66" s="2533"/>
      <c r="H66" s="1939">
        <f>F63</f>
        <v>118.62</v>
      </c>
      <c r="I66" s="1815"/>
      <c r="J66" s="1815"/>
      <c r="K66" s="1815"/>
      <c r="L66" s="1815"/>
      <c r="N66" s="1815"/>
      <c r="O66" s="1815"/>
      <c r="P66" s="1815"/>
    </row>
    <row r="67" spans="3:16" ht="15.75">
      <c r="C67" s="2532" t="s">
        <v>14289</v>
      </c>
      <c r="D67" s="2533"/>
      <c r="E67" s="2533"/>
      <c r="F67" s="2533"/>
      <c r="G67" s="2533"/>
      <c r="H67" s="1939">
        <f>O63</f>
        <v>149.69999999999999</v>
      </c>
      <c r="J67" s="1816"/>
      <c r="K67" s="1816"/>
      <c r="L67" s="1816"/>
      <c r="N67" s="1816"/>
      <c r="O67" s="1816"/>
      <c r="P67" s="1816"/>
    </row>
    <row r="68" spans="3:16" ht="15.75">
      <c r="C68" s="2532" t="s">
        <v>14290</v>
      </c>
      <c r="D68" s="2533"/>
      <c r="E68" s="2533"/>
      <c r="F68" s="2533"/>
      <c r="G68" s="2533"/>
      <c r="H68" s="1939">
        <f>L63+U63</f>
        <v>5180.7</v>
      </c>
      <c r="J68" s="1816"/>
      <c r="K68" s="1816"/>
      <c r="L68" s="1816"/>
      <c r="N68" s="1816"/>
      <c r="O68" s="1816"/>
      <c r="P68" s="1816"/>
    </row>
    <row r="69" spans="3:16" ht="15.75">
      <c r="C69" s="2532" t="s">
        <v>14291</v>
      </c>
      <c r="D69" s="2533"/>
      <c r="E69" s="2533"/>
      <c r="F69" s="2533"/>
      <c r="G69" s="2533"/>
      <c r="H69" s="1939">
        <f>X63</f>
        <v>1680.48</v>
      </c>
      <c r="J69" s="1816"/>
      <c r="K69" s="1816"/>
      <c r="L69" s="1816"/>
      <c r="N69" s="1816"/>
      <c r="O69" s="1816"/>
      <c r="P69" s="1816"/>
    </row>
    <row r="70" spans="3:16" ht="16.5" thickBot="1">
      <c r="C70" s="2534" t="s">
        <v>14292</v>
      </c>
      <c r="D70" s="2535"/>
      <c r="E70" s="2535"/>
      <c r="F70" s="2535"/>
      <c r="G70" s="2535"/>
      <c r="H70" s="1940">
        <f>N18+N19+N20+N21+N22+N23+N24+N25+N26+N27+N28+N29+N30+N31+N32+N33+N34+N35+N36+N37+N38+N39+N40+N41+N42+N43+N44+N45+N46+N47+N48+N49+N50+N51+N52+N53+N54+N55+W55+W54+W53+W52+W51+W50+W49+W48+W47+W46+W45+W44+W43+W42+W41+W40+W39+W37+W38+W36+W35+W34+W33+W32+W31+W30+W29+W28+W27+W26+W25+W23+W24+W22+W21+W20+W19+W18</f>
        <v>3941.2999999999988</v>
      </c>
      <c r="J70" s="1816"/>
      <c r="K70" s="1816"/>
      <c r="L70" s="1816"/>
      <c r="N70" s="1816"/>
      <c r="O70" s="1816"/>
      <c r="P70" s="1816"/>
    </row>
    <row r="71" spans="3:16">
      <c r="F71" s="1816"/>
      <c r="G71" s="1816"/>
      <c r="H71" s="1816"/>
      <c r="J71" s="1816"/>
      <c r="K71" s="1816"/>
      <c r="L71" s="1816"/>
      <c r="N71" s="1816"/>
      <c r="O71" s="1816"/>
      <c r="P71" s="1816"/>
    </row>
  </sheetData>
  <mergeCells count="32">
    <mergeCell ref="C68:G68"/>
    <mergeCell ref="C69:G69"/>
    <mergeCell ref="C70:G70"/>
    <mergeCell ref="D3:X4"/>
    <mergeCell ref="D5:X5"/>
    <mergeCell ref="D6:X6"/>
    <mergeCell ref="D7:X7"/>
    <mergeCell ref="C8:X9"/>
    <mergeCell ref="C11:X11"/>
    <mergeCell ref="C10:X10"/>
    <mergeCell ref="O63:Q63"/>
    <mergeCell ref="R63:T63"/>
    <mergeCell ref="U63:W63"/>
    <mergeCell ref="C65:G65"/>
    <mergeCell ref="C66:G66"/>
    <mergeCell ref="C67:G67"/>
    <mergeCell ref="C13:K13"/>
    <mergeCell ref="C12:X12"/>
    <mergeCell ref="C3:C5"/>
    <mergeCell ref="C63:E63"/>
    <mergeCell ref="F63:H63"/>
    <mergeCell ref="I63:K63"/>
    <mergeCell ref="L63:N63"/>
    <mergeCell ref="C14:X14"/>
    <mergeCell ref="C15:E16"/>
    <mergeCell ref="F15:H16"/>
    <mergeCell ref="I15:K16"/>
    <mergeCell ref="L15:N16"/>
    <mergeCell ref="O15:Q16"/>
    <mergeCell ref="R15:T16"/>
    <mergeCell ref="U15:W16"/>
    <mergeCell ref="X15:X16"/>
  </mergeCells>
  <pageMargins left="0.511811024" right="0.511811024" top="0.78740157499999996" bottom="0.78740157499999996" header="0.31496062000000002" footer="0.31496062000000002"/>
  <pageSetup paperSize="9" scale="4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EC520-00F8-4DFE-B5C5-5DF39B3A54C3}">
  <sheetPr>
    <tabColor theme="3" tint="-0.499984740745262"/>
    <pageSetUpPr fitToPage="1"/>
  </sheetPr>
  <dimension ref="C2:O34"/>
  <sheetViews>
    <sheetView view="pageBreakPreview" zoomScaleNormal="100" zoomScaleSheetLayoutView="100" workbookViewId="0">
      <selection activeCell="AG38" sqref="AG38"/>
    </sheetView>
  </sheetViews>
  <sheetFormatPr defaultColWidth="9.140625" defaultRowHeight="15"/>
  <cols>
    <col min="3" max="3" width="37.140625" bestFit="1" customWidth="1"/>
    <col min="4" max="4" width="26.7109375" bestFit="1" customWidth="1"/>
    <col min="6" max="6" width="14.42578125" customWidth="1"/>
    <col min="7" max="7" width="20.85546875" customWidth="1"/>
    <col min="8" max="8" width="14.85546875" customWidth="1"/>
  </cols>
  <sheetData>
    <row r="2" spans="3:15" ht="15.75" thickBot="1"/>
    <row r="3" spans="3:15" ht="48" customHeight="1">
      <c r="C3" s="2489"/>
      <c r="D3" s="2098" t="s">
        <v>13365</v>
      </c>
      <c r="E3" s="2125"/>
      <c r="F3" s="2125"/>
      <c r="G3" s="2125"/>
      <c r="H3" s="2125"/>
      <c r="I3" s="2125"/>
      <c r="J3" s="2125"/>
    </row>
    <row r="4" spans="3:15" ht="30" customHeight="1" thickBot="1">
      <c r="C4" s="2490"/>
      <c r="D4" s="2102"/>
      <c r="E4" s="2491"/>
      <c r="F4" s="2491"/>
      <c r="G4" s="2491"/>
      <c r="H4" s="2491"/>
      <c r="I4" s="2491"/>
      <c r="J4" s="2491"/>
    </row>
    <row r="5" spans="3:15" ht="50.1" customHeight="1" thickBot="1">
      <c r="C5" s="2490"/>
      <c r="D5" s="2080" t="s">
        <v>13363</v>
      </c>
      <c r="E5" s="2081"/>
      <c r="F5" s="2081"/>
      <c r="G5" s="2081"/>
      <c r="H5" s="2081"/>
      <c r="I5" s="2081"/>
      <c r="J5" s="2081"/>
    </row>
    <row r="6" spans="3:15" ht="15.75">
      <c r="C6" s="1398" t="s">
        <v>5</v>
      </c>
      <c r="D6" s="2492" t="str">
        <f>'ORÇAMENTO '!G11</f>
        <v xml:space="preserve">ESCOLA MUNICIPAL DOMINGOS AZZOLINI </v>
      </c>
      <c r="E6" s="2492"/>
      <c r="F6" s="2492"/>
      <c r="G6" s="2492"/>
      <c r="H6" s="2492"/>
      <c r="I6" s="2492"/>
      <c r="J6" s="2492"/>
    </row>
    <row r="7" spans="3:15" ht="15.75">
      <c r="C7" s="1483" t="s">
        <v>7</v>
      </c>
      <c r="D7" s="2493" t="str">
        <f>'ORÇAMENTO '!G12</f>
        <v>SANTO ANTONIO DO LESTE</v>
      </c>
      <c r="E7" s="2494"/>
      <c r="F7" s="2494"/>
      <c r="G7" s="2494"/>
      <c r="H7" s="2494"/>
      <c r="I7" s="2494"/>
      <c r="J7" s="2494"/>
    </row>
    <row r="8" spans="3:15" ht="15.75" customHeight="1" thickBot="1">
      <c r="C8" s="2487"/>
      <c r="D8" s="2488"/>
      <c r="E8" s="2488"/>
      <c r="F8" s="2488"/>
      <c r="G8" s="2488"/>
      <c r="H8" s="2488"/>
      <c r="I8" s="2488"/>
      <c r="J8" s="2488"/>
    </row>
    <row r="9" spans="3:15" ht="6" customHeight="1" thickBot="1">
      <c r="C9" s="2495"/>
      <c r="D9" s="2496"/>
      <c r="E9" s="2496"/>
      <c r="F9" s="2496"/>
      <c r="G9" s="2496"/>
      <c r="H9" s="2496"/>
      <c r="I9" s="2496"/>
      <c r="J9" s="2496"/>
    </row>
    <row r="10" spans="3:15" ht="6" customHeight="1" thickBot="1">
      <c r="C10" s="2497"/>
      <c r="D10" s="2498"/>
      <c r="E10" s="2498"/>
      <c r="F10" s="2498"/>
      <c r="G10" s="2498"/>
      <c r="H10" s="2498"/>
      <c r="I10" s="2498"/>
      <c r="J10" s="2498"/>
    </row>
    <row r="11" spans="3:15" ht="21.95" customHeight="1" thickBot="1">
      <c r="C11" s="2245" t="s">
        <v>14302</v>
      </c>
      <c r="D11" s="2246"/>
      <c r="E11" s="2246"/>
      <c r="F11" s="2246"/>
      <c r="G11" s="2246"/>
      <c r="H11" s="2246"/>
      <c r="I11" s="2246"/>
      <c r="J11" s="2246"/>
    </row>
    <row r="12" spans="3:15" ht="6" customHeight="1" thickBot="1">
      <c r="C12" s="2497"/>
      <c r="D12" s="2498"/>
      <c r="E12" s="2498"/>
      <c r="F12" s="2498"/>
      <c r="G12" s="2498"/>
      <c r="H12" s="2498"/>
      <c r="I12" s="2498"/>
      <c r="J12" s="2498"/>
    </row>
    <row r="13" spans="3:15">
      <c r="D13" s="2546" t="s">
        <v>400</v>
      </c>
      <c r="E13" s="2546"/>
      <c r="F13" s="2546"/>
      <c r="G13" s="2546"/>
    </row>
    <row r="14" spans="3:15">
      <c r="D14" s="1818" t="s">
        <v>14243</v>
      </c>
      <c r="E14" s="1818" t="s">
        <v>14293</v>
      </c>
      <c r="F14" s="1819" t="s">
        <v>14246</v>
      </c>
      <c r="G14" s="1819" t="s">
        <v>14294</v>
      </c>
      <c r="I14" s="677"/>
      <c r="J14" s="677"/>
      <c r="K14" s="677"/>
      <c r="L14" s="677"/>
      <c r="M14" s="677"/>
      <c r="N14" s="677"/>
      <c r="O14" s="677"/>
    </row>
    <row r="15" spans="3:15">
      <c r="D15" s="1234" t="s">
        <v>14295</v>
      </c>
      <c r="E15" s="1400">
        <v>21.51</v>
      </c>
      <c r="F15" s="1400">
        <v>3</v>
      </c>
      <c r="G15" s="1400">
        <f>E15*F15</f>
        <v>64.53</v>
      </c>
      <c r="I15" s="677"/>
      <c r="J15" s="677"/>
      <c r="K15" s="677"/>
      <c r="L15" s="677"/>
      <c r="M15" s="677"/>
      <c r="N15" s="677"/>
      <c r="O15" s="1816"/>
    </row>
    <row r="16" spans="3:15">
      <c r="D16" s="1234" t="s">
        <v>14296</v>
      </c>
      <c r="E16" s="1400">
        <v>21.51</v>
      </c>
      <c r="F16" s="1400">
        <v>3</v>
      </c>
      <c r="G16" s="1400">
        <f>E16*F16</f>
        <v>64.53</v>
      </c>
      <c r="I16" s="677"/>
      <c r="J16" s="677"/>
      <c r="K16" s="677"/>
      <c r="L16" s="677"/>
      <c r="M16" s="677"/>
      <c r="N16" s="677"/>
      <c r="O16" s="1816"/>
    </row>
    <row r="17" spans="4:15">
      <c r="D17" s="1234" t="s">
        <v>14210</v>
      </c>
      <c r="E17" s="1400">
        <v>2.5499999999999998</v>
      </c>
      <c r="F17" s="1400">
        <v>3</v>
      </c>
      <c r="G17" s="1400">
        <f>E17*F17</f>
        <v>7.6499999999999995</v>
      </c>
      <c r="I17" s="677"/>
      <c r="J17" s="677"/>
      <c r="K17" s="677"/>
      <c r="L17" s="677"/>
      <c r="M17" s="677"/>
      <c r="N17" s="677"/>
      <c r="O17" s="1816"/>
    </row>
    <row r="18" spans="4:15">
      <c r="D18" s="1820" t="s">
        <v>14286</v>
      </c>
      <c r="E18" s="1821"/>
      <c r="F18" s="1821"/>
      <c r="G18" s="1821">
        <f>SUM(G15:G17)</f>
        <v>136.71</v>
      </c>
    </row>
    <row r="19" spans="4:15" ht="6.75" customHeight="1">
      <c r="I19" s="677"/>
      <c r="J19" s="677"/>
      <c r="K19" s="677"/>
      <c r="L19" s="677"/>
      <c r="M19" s="677"/>
      <c r="N19" s="677"/>
      <c r="O19" s="1816"/>
    </row>
    <row r="20" spans="4:15">
      <c r="D20" s="2547" t="s">
        <v>14297</v>
      </c>
      <c r="E20" s="2547"/>
      <c r="F20" s="2547"/>
      <c r="G20" s="2547"/>
      <c r="I20" s="677"/>
      <c r="J20" s="677"/>
      <c r="K20" s="677"/>
      <c r="L20" s="677"/>
      <c r="M20" s="677"/>
      <c r="N20" s="677"/>
      <c r="O20" s="1816"/>
    </row>
    <row r="21" spans="4:15">
      <c r="D21" s="1818" t="s">
        <v>14243</v>
      </c>
      <c r="E21" s="1818" t="s">
        <v>14293</v>
      </c>
      <c r="F21" s="1819" t="s">
        <v>14246</v>
      </c>
      <c r="G21" s="1819" t="s">
        <v>14298</v>
      </c>
      <c r="I21" s="677"/>
      <c r="J21" s="677"/>
      <c r="K21" s="677"/>
      <c r="O21" s="1816"/>
    </row>
    <row r="22" spans="4:15">
      <c r="D22" s="1234" t="s">
        <v>14295</v>
      </c>
      <c r="E22" s="1400">
        <v>21.51</v>
      </c>
      <c r="F22" s="1400">
        <v>3</v>
      </c>
      <c r="G22" s="1400">
        <f>E22*F22</f>
        <v>64.53</v>
      </c>
      <c r="K22" s="677"/>
    </row>
    <row r="23" spans="4:15">
      <c r="D23" s="1234" t="s">
        <v>14296</v>
      </c>
      <c r="E23" s="1400">
        <v>21.51</v>
      </c>
      <c r="F23" s="1400">
        <v>3</v>
      </c>
      <c r="G23" s="1400">
        <f>E23*F23</f>
        <v>64.53</v>
      </c>
      <c r="I23" s="1817"/>
      <c r="J23" s="1817"/>
      <c r="K23" s="677"/>
    </row>
    <row r="24" spans="4:15">
      <c r="D24" s="1234" t="s">
        <v>14210</v>
      </c>
      <c r="E24" s="1400">
        <v>2.5499999999999998</v>
      </c>
      <c r="F24" s="1400">
        <v>3</v>
      </c>
      <c r="G24" s="1400">
        <f>E24*F24</f>
        <v>7.6499999999999995</v>
      </c>
      <c r="I24" s="1817"/>
      <c r="J24" s="1817"/>
      <c r="K24" s="677"/>
    </row>
    <row r="25" spans="4:15">
      <c r="D25" s="1820" t="s">
        <v>14286</v>
      </c>
      <c r="E25" s="1821"/>
      <c r="F25" s="1821"/>
      <c r="G25" s="1821">
        <f>(SUM(G22:G24)*2)</f>
        <v>273.42</v>
      </c>
    </row>
    <row r="26" spans="4:15" ht="5.25" customHeight="1">
      <c r="I26" s="677"/>
      <c r="J26" s="677"/>
      <c r="K26" s="677"/>
      <c r="L26" s="677"/>
      <c r="M26" s="677"/>
      <c r="N26" s="677"/>
      <c r="O26" s="677"/>
    </row>
    <row r="27" spans="4:15">
      <c r="D27" s="2547" t="s">
        <v>14299</v>
      </c>
      <c r="E27" s="2547"/>
      <c r="F27" s="2547"/>
      <c r="G27" s="2547"/>
      <c r="I27" s="677"/>
      <c r="J27" s="677"/>
      <c r="K27" s="677"/>
      <c r="L27" s="677"/>
      <c r="M27" s="677"/>
      <c r="N27" s="677"/>
      <c r="O27" s="1816"/>
    </row>
    <row r="28" spans="4:15">
      <c r="D28" s="1818" t="s">
        <v>14243</v>
      </c>
      <c r="E28" s="1818" t="s">
        <v>14293</v>
      </c>
      <c r="F28" s="1819" t="s">
        <v>14246</v>
      </c>
      <c r="G28" s="1819" t="s">
        <v>14300</v>
      </c>
      <c r="I28" s="677"/>
      <c r="J28" s="677"/>
      <c r="K28" s="677"/>
      <c r="O28" s="1816"/>
    </row>
    <row r="29" spans="4:15">
      <c r="D29" s="1234" t="s">
        <v>14295</v>
      </c>
      <c r="E29" s="1400">
        <v>21.51</v>
      </c>
      <c r="F29" s="1400">
        <v>3</v>
      </c>
      <c r="G29" s="1400">
        <f>E29*F29</f>
        <v>64.53</v>
      </c>
      <c r="K29" s="677"/>
    </row>
    <row r="30" spans="4:15">
      <c r="D30" s="1234" t="s">
        <v>14296</v>
      </c>
      <c r="E30" s="1400">
        <v>21.51</v>
      </c>
      <c r="F30" s="1400">
        <v>3</v>
      </c>
      <c r="G30" s="1400">
        <f>E30*F30</f>
        <v>64.53</v>
      </c>
      <c r="I30" s="1817"/>
      <c r="J30" s="1817"/>
      <c r="K30" s="677"/>
    </row>
    <row r="31" spans="4:15">
      <c r="D31" s="1234" t="s">
        <v>14210</v>
      </c>
      <c r="E31" s="1400">
        <v>2.5499999999999998</v>
      </c>
      <c r="F31" s="1400">
        <v>3</v>
      </c>
      <c r="G31" s="1400">
        <f>E31*F31</f>
        <v>7.6499999999999995</v>
      </c>
      <c r="I31" s="1817"/>
      <c r="J31" s="1817"/>
      <c r="K31" s="677"/>
    </row>
    <row r="32" spans="4:15">
      <c r="D32" s="1820" t="s">
        <v>14286</v>
      </c>
      <c r="E32" s="1821"/>
      <c r="F32" s="1821"/>
      <c r="G32" s="1821">
        <f>(SUM(G29:G31)*2)</f>
        <v>273.42</v>
      </c>
    </row>
    <row r="33" spans="4:10">
      <c r="D33" s="1820"/>
      <c r="E33" s="1821"/>
      <c r="F33" s="1821"/>
      <c r="G33" s="1821"/>
    </row>
    <row r="34" spans="4:10" ht="27" customHeight="1">
      <c r="D34" s="2548" t="s">
        <v>14301</v>
      </c>
      <c r="E34" s="2548"/>
      <c r="F34" s="2548"/>
      <c r="G34" s="2548"/>
      <c r="I34" s="677"/>
      <c r="J34" s="677"/>
    </row>
  </sheetData>
  <mergeCells count="14">
    <mergeCell ref="D13:G13"/>
    <mergeCell ref="D20:G20"/>
    <mergeCell ref="D27:G27"/>
    <mergeCell ref="D34:G34"/>
    <mergeCell ref="C9:J9"/>
    <mergeCell ref="C10:J10"/>
    <mergeCell ref="C11:J11"/>
    <mergeCell ref="C12:J12"/>
    <mergeCell ref="C8:J8"/>
    <mergeCell ref="C3:C5"/>
    <mergeCell ref="D3:J4"/>
    <mergeCell ref="D5:J5"/>
    <mergeCell ref="D6:J6"/>
    <mergeCell ref="D7:J7"/>
  </mergeCells>
  <pageMargins left="0.511811024" right="0.511811024" top="0.78740157499999996" bottom="0.78740157499999996" header="0.31496062000000002" footer="0.31496062000000002"/>
  <pageSetup paperSize="9" scale="65"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6AA3-D3CE-4B1C-AC7B-14BEA2F465EE}">
  <sheetPr>
    <tabColor theme="3" tint="-0.499984740745262"/>
    <pageSetUpPr fitToPage="1"/>
  </sheetPr>
  <dimension ref="C2:J48"/>
  <sheetViews>
    <sheetView view="pageBreakPreview" zoomScale="60" zoomScaleNormal="100" workbookViewId="0">
      <selection activeCell="AG38" sqref="AG38"/>
    </sheetView>
  </sheetViews>
  <sheetFormatPr defaultColWidth="9.140625" defaultRowHeight="15"/>
  <cols>
    <col min="3" max="3" width="37.140625" bestFit="1" customWidth="1"/>
    <col min="4" max="4" width="26.7109375" bestFit="1" customWidth="1"/>
    <col min="6" max="6" width="14.42578125" customWidth="1"/>
    <col min="7" max="7" width="20.85546875" customWidth="1"/>
    <col min="8" max="8" width="14.85546875" customWidth="1"/>
  </cols>
  <sheetData>
    <row r="2" spans="3:10" ht="15.75" thickBot="1"/>
    <row r="3" spans="3:10" ht="48" customHeight="1">
      <c r="C3" s="2489"/>
      <c r="D3" s="2098" t="s">
        <v>13365</v>
      </c>
      <c r="E3" s="2125"/>
      <c r="F3" s="2125"/>
      <c r="G3" s="2125"/>
      <c r="H3" s="2125"/>
      <c r="I3" s="2125"/>
      <c r="J3" s="2125"/>
    </row>
    <row r="4" spans="3:10" ht="30" customHeight="1" thickBot="1">
      <c r="C4" s="2490"/>
      <c r="D4" s="2102"/>
      <c r="E4" s="2491"/>
      <c r="F4" s="2491"/>
      <c r="G4" s="2491"/>
      <c r="H4" s="2491"/>
      <c r="I4" s="2491"/>
      <c r="J4" s="2491"/>
    </row>
    <row r="5" spans="3:10" ht="50.1" customHeight="1" thickBot="1">
      <c r="C5" s="2490"/>
      <c r="D5" s="2080" t="s">
        <v>13363</v>
      </c>
      <c r="E5" s="2081"/>
      <c r="F5" s="2081"/>
      <c r="G5" s="2081"/>
      <c r="H5" s="2081"/>
      <c r="I5" s="2081"/>
      <c r="J5" s="2081"/>
    </row>
    <row r="6" spans="3:10" ht="15.75">
      <c r="C6" s="1398" t="s">
        <v>5</v>
      </c>
      <c r="D6" s="2492" t="str">
        <f>'ORÇAMENTO '!G11</f>
        <v xml:space="preserve">ESCOLA MUNICIPAL DOMINGOS AZZOLINI </v>
      </c>
      <c r="E6" s="2492"/>
      <c r="F6" s="2492"/>
      <c r="G6" s="2492"/>
      <c r="H6" s="2492"/>
      <c r="I6" s="2492"/>
      <c r="J6" s="2492"/>
    </row>
    <row r="7" spans="3:10" ht="15.75">
      <c r="C7" s="1483" t="s">
        <v>7</v>
      </c>
      <c r="D7" s="2493" t="str">
        <f>'ORÇAMENTO '!G12</f>
        <v>SANTO ANTONIO DO LESTE</v>
      </c>
      <c r="E7" s="2494"/>
      <c r="F7" s="2494"/>
      <c r="G7" s="2494"/>
      <c r="H7" s="2494"/>
      <c r="I7" s="2494"/>
      <c r="J7" s="2494"/>
    </row>
    <row r="8" spans="3:10" ht="15.75" customHeight="1" thickBot="1">
      <c r="C8" s="2487"/>
      <c r="D8" s="2488"/>
      <c r="E8" s="2488"/>
      <c r="F8" s="2488"/>
      <c r="G8" s="2488"/>
      <c r="H8" s="2488"/>
      <c r="I8" s="2488"/>
      <c r="J8" s="2488"/>
    </row>
    <row r="9" spans="3:10" ht="6" customHeight="1" thickBot="1">
      <c r="C9" s="2495"/>
      <c r="D9" s="2496"/>
      <c r="E9" s="2496"/>
      <c r="F9" s="2496"/>
      <c r="G9" s="2496"/>
      <c r="H9" s="2496"/>
      <c r="I9" s="2496"/>
      <c r="J9" s="2496"/>
    </row>
    <row r="10" spans="3:10" ht="6" customHeight="1" thickBot="1">
      <c r="C10" s="2497"/>
      <c r="D10" s="2498"/>
      <c r="E10" s="2498"/>
      <c r="F10" s="2498"/>
      <c r="G10" s="2498"/>
      <c r="H10" s="2498"/>
      <c r="I10" s="2498"/>
      <c r="J10" s="2498"/>
    </row>
    <row r="11" spans="3:10" ht="21.95" customHeight="1" thickBot="1">
      <c r="C11" s="2245" t="s">
        <v>14311</v>
      </c>
      <c r="D11" s="2246"/>
      <c r="E11" s="2246"/>
      <c r="F11" s="2246"/>
      <c r="G11" s="2246"/>
      <c r="H11" s="2246"/>
      <c r="I11" s="2246"/>
      <c r="J11" s="2246"/>
    </row>
    <row r="12" spans="3:10" ht="6" customHeight="1" thickBot="1">
      <c r="C12" s="2497"/>
      <c r="D12" s="2498"/>
      <c r="E12" s="2498"/>
      <c r="F12" s="2498"/>
      <c r="G12" s="2498"/>
      <c r="H12" s="2498"/>
      <c r="I12" s="2498"/>
      <c r="J12" s="2498"/>
    </row>
    <row r="13" spans="3:10" ht="15.75">
      <c r="D13" s="2552" t="s">
        <v>14303</v>
      </c>
      <c r="E13" s="2553"/>
      <c r="F13" s="2553"/>
      <c r="G13" s="2554"/>
    </row>
    <row r="14" spans="3:10">
      <c r="D14" s="2549" t="s">
        <v>14304</v>
      </c>
      <c r="E14" s="2550"/>
      <c r="F14" s="2550"/>
      <c r="G14" s="2551"/>
    </row>
    <row r="15" spans="3:10">
      <c r="D15" s="1823" t="s">
        <v>14305</v>
      </c>
      <c r="E15" s="1823" t="s">
        <v>14160</v>
      </c>
      <c r="F15" s="1823" t="s">
        <v>14161</v>
      </c>
      <c r="G15" s="1823" t="s">
        <v>14306</v>
      </c>
    </row>
    <row r="16" spans="3:10">
      <c r="D16" s="1399">
        <v>7</v>
      </c>
      <c r="E16" s="1400">
        <v>0.6</v>
      </c>
      <c r="F16" s="1400">
        <v>0.6</v>
      </c>
      <c r="G16" s="1400">
        <f t="shared" ref="G16:G21" si="0">D16*E16*F16</f>
        <v>2.52</v>
      </c>
    </row>
    <row r="17" spans="4:7">
      <c r="D17" s="1399">
        <v>3</v>
      </c>
      <c r="E17" s="1400">
        <v>1</v>
      </c>
      <c r="F17" s="1400">
        <v>1</v>
      </c>
      <c r="G17" s="1400">
        <f t="shared" si="0"/>
        <v>3</v>
      </c>
    </row>
    <row r="18" spans="4:7">
      <c r="D18" s="1399">
        <v>4</v>
      </c>
      <c r="E18" s="1400">
        <v>1.2</v>
      </c>
      <c r="F18" s="1400">
        <v>1</v>
      </c>
      <c r="G18" s="1400">
        <f t="shared" si="0"/>
        <v>4.8</v>
      </c>
    </row>
    <row r="19" spans="4:7">
      <c r="D19" s="1399">
        <v>50</v>
      </c>
      <c r="E19" s="1400">
        <v>1.5</v>
      </c>
      <c r="F19" s="1400">
        <v>1.1000000000000001</v>
      </c>
      <c r="G19" s="1400">
        <f t="shared" si="0"/>
        <v>82.5</v>
      </c>
    </row>
    <row r="20" spans="4:7">
      <c r="D20" s="1399">
        <v>16</v>
      </c>
      <c r="E20" s="1400">
        <v>2</v>
      </c>
      <c r="F20" s="1400">
        <v>1.1000000000000001</v>
      </c>
      <c r="G20" s="1400">
        <f t="shared" si="0"/>
        <v>35.200000000000003</v>
      </c>
    </row>
    <row r="21" spans="4:7">
      <c r="D21" s="1399">
        <v>1</v>
      </c>
      <c r="E21" s="1400">
        <v>2.2000000000000002</v>
      </c>
      <c r="F21" s="1400">
        <v>1.1000000000000001</v>
      </c>
      <c r="G21" s="1400">
        <f t="shared" si="0"/>
        <v>2.4200000000000004</v>
      </c>
    </row>
    <row r="22" spans="4:7">
      <c r="D22" s="1820" t="s">
        <v>14307</v>
      </c>
      <c r="E22" s="1820"/>
      <c r="F22" s="1820"/>
      <c r="G22" s="1821">
        <f>SUM(G16:G21)</f>
        <v>130.43999999999997</v>
      </c>
    </row>
    <row r="24" spans="4:7">
      <c r="D24" s="2549" t="s">
        <v>14308</v>
      </c>
      <c r="E24" s="2550"/>
      <c r="F24" s="2550"/>
      <c r="G24" s="2551"/>
    </row>
    <row r="25" spans="4:7">
      <c r="D25" s="1823" t="s">
        <v>14305</v>
      </c>
      <c r="E25" s="1823" t="s">
        <v>14160</v>
      </c>
      <c r="F25" s="1823" t="s">
        <v>14161</v>
      </c>
      <c r="G25" s="1823" t="s">
        <v>14306</v>
      </c>
    </row>
    <row r="26" spans="4:7">
      <c r="D26" s="1399">
        <v>7</v>
      </c>
      <c r="E26" s="1400">
        <v>0.6</v>
      </c>
      <c r="F26" s="1400">
        <v>0.6</v>
      </c>
      <c r="G26" s="1400">
        <f t="shared" ref="G26:G31" si="1">D26*E26*F26</f>
        <v>2.52</v>
      </c>
    </row>
    <row r="27" spans="4:7">
      <c r="D27" s="1399">
        <v>3</v>
      </c>
      <c r="E27" s="1400">
        <v>1</v>
      </c>
      <c r="F27" s="1400">
        <v>1</v>
      </c>
      <c r="G27" s="1400">
        <f t="shared" si="1"/>
        <v>3</v>
      </c>
    </row>
    <row r="28" spans="4:7">
      <c r="D28" s="1399">
        <v>4</v>
      </c>
      <c r="E28" s="1400">
        <v>1.2</v>
      </c>
      <c r="F28" s="1400">
        <v>1</v>
      </c>
      <c r="G28" s="1400">
        <f t="shared" si="1"/>
        <v>4.8</v>
      </c>
    </row>
    <row r="29" spans="4:7">
      <c r="D29" s="1399">
        <v>50</v>
      </c>
      <c r="E29" s="1400">
        <v>1.5</v>
      </c>
      <c r="F29" s="1400">
        <v>1.1000000000000001</v>
      </c>
      <c r="G29" s="1400">
        <f t="shared" si="1"/>
        <v>82.5</v>
      </c>
    </row>
    <row r="30" spans="4:7">
      <c r="D30" s="1399">
        <v>16</v>
      </c>
      <c r="E30" s="1400">
        <v>2</v>
      </c>
      <c r="F30" s="1400">
        <v>1.1000000000000001</v>
      </c>
      <c r="G30" s="1400">
        <f t="shared" si="1"/>
        <v>35.200000000000003</v>
      </c>
    </row>
    <row r="31" spans="4:7">
      <c r="D31" s="1399">
        <v>1</v>
      </c>
      <c r="E31" s="1400">
        <v>2.2000000000000002</v>
      </c>
      <c r="F31" s="1400">
        <v>1.1000000000000001</v>
      </c>
      <c r="G31" s="1400">
        <f t="shared" si="1"/>
        <v>2.4200000000000004</v>
      </c>
    </row>
    <row r="32" spans="4:7">
      <c r="D32" s="1820" t="s">
        <v>14307</v>
      </c>
      <c r="E32" s="1820"/>
      <c r="F32" s="1820"/>
      <c r="G32" s="1821">
        <f>SUM(G26:G31)</f>
        <v>130.43999999999997</v>
      </c>
    </row>
    <row r="34" spans="4:7">
      <c r="D34" s="2549" t="s">
        <v>14309</v>
      </c>
      <c r="E34" s="2550"/>
      <c r="F34" s="2550"/>
      <c r="G34" s="2551"/>
    </row>
    <row r="35" spans="4:7">
      <c r="D35" s="1823" t="s">
        <v>14305</v>
      </c>
      <c r="E35" s="1823" t="s">
        <v>14160</v>
      </c>
      <c r="F35" s="1823" t="s">
        <v>14161</v>
      </c>
      <c r="G35" s="1823" t="s">
        <v>14306</v>
      </c>
    </row>
    <row r="36" spans="4:7">
      <c r="D36" s="1399">
        <v>38</v>
      </c>
      <c r="E36" s="1400">
        <v>0.9</v>
      </c>
      <c r="F36" s="1400">
        <v>2.1</v>
      </c>
      <c r="G36" s="1400">
        <f>D36*E36*F36</f>
        <v>71.820000000000007</v>
      </c>
    </row>
    <row r="37" spans="4:7">
      <c r="D37" s="1399">
        <v>25</v>
      </c>
      <c r="E37" s="1400">
        <v>0.7</v>
      </c>
      <c r="F37" s="1400">
        <v>2.1</v>
      </c>
      <c r="G37" s="1400">
        <f>D37*E37*F37</f>
        <v>36.75</v>
      </c>
    </row>
    <row r="38" spans="4:7">
      <c r="D38" s="1399">
        <v>1</v>
      </c>
      <c r="E38" s="1400">
        <v>1.4</v>
      </c>
      <c r="F38" s="1400">
        <v>2.1</v>
      </c>
      <c r="G38" s="1400">
        <f>D38*E38*F38</f>
        <v>2.94</v>
      </c>
    </row>
    <row r="39" spans="4:7">
      <c r="D39" s="1399">
        <v>2</v>
      </c>
      <c r="E39" s="1400">
        <v>3.5</v>
      </c>
      <c r="F39" s="1400">
        <v>2.1</v>
      </c>
      <c r="G39" s="1400">
        <f>D39*E39*F39</f>
        <v>14.700000000000001</v>
      </c>
    </row>
    <row r="40" spans="4:7">
      <c r="D40" s="1820" t="s">
        <v>14307</v>
      </c>
      <c r="E40" s="1820"/>
      <c r="F40" s="1820"/>
      <c r="G40" s="1821">
        <f>SUM(G36:G39)</f>
        <v>126.21000000000001</v>
      </c>
    </row>
    <row r="42" spans="4:7">
      <c r="D42" s="2547" t="s">
        <v>14310</v>
      </c>
      <c r="E42" s="2547"/>
      <c r="F42" s="2547"/>
      <c r="G42" s="2547"/>
    </row>
    <row r="43" spans="4:7">
      <c r="D43" s="1823" t="s">
        <v>14305</v>
      </c>
      <c r="E43" s="1823" t="s">
        <v>14160</v>
      </c>
      <c r="F43" s="1823" t="s">
        <v>14161</v>
      </c>
      <c r="G43" s="1823" t="s">
        <v>14306</v>
      </c>
    </row>
    <row r="44" spans="4:7">
      <c r="D44" s="1399">
        <v>38</v>
      </c>
      <c r="E44" s="1400">
        <v>0.9</v>
      </c>
      <c r="F44" s="1400">
        <v>2.1</v>
      </c>
      <c r="G44" s="1400">
        <f>D44*E44*F44</f>
        <v>71.820000000000007</v>
      </c>
    </row>
    <row r="45" spans="4:7">
      <c r="D45" s="1399">
        <v>25</v>
      </c>
      <c r="E45" s="1400">
        <v>0.7</v>
      </c>
      <c r="F45" s="1400">
        <v>2.1</v>
      </c>
      <c r="G45" s="1400">
        <f>D45*E45*F45</f>
        <v>36.75</v>
      </c>
    </row>
    <row r="46" spans="4:7">
      <c r="D46" s="1399">
        <v>1</v>
      </c>
      <c r="E46" s="1400">
        <v>1.4</v>
      </c>
      <c r="F46" s="1400">
        <v>2.1</v>
      </c>
      <c r="G46" s="1400">
        <f>D46*E46*F46</f>
        <v>2.94</v>
      </c>
    </row>
    <row r="47" spans="4:7">
      <c r="D47" s="1399">
        <v>2</v>
      </c>
      <c r="E47" s="1400">
        <v>3.5</v>
      </c>
      <c r="F47" s="1400">
        <v>2.1</v>
      </c>
      <c r="G47" s="1400">
        <f>D47*E47*F47</f>
        <v>14.700000000000001</v>
      </c>
    </row>
    <row r="48" spans="4:7">
      <c r="D48" s="1820" t="s">
        <v>14307</v>
      </c>
      <c r="E48" s="1820"/>
      <c r="F48" s="1820"/>
      <c r="G48" s="1821">
        <f>SUM(G44:G47)</f>
        <v>126.21000000000001</v>
      </c>
    </row>
  </sheetData>
  <mergeCells count="15">
    <mergeCell ref="D34:G34"/>
    <mergeCell ref="D13:G13"/>
    <mergeCell ref="D14:G14"/>
    <mergeCell ref="D24:G24"/>
    <mergeCell ref="D42:G42"/>
    <mergeCell ref="C9:J9"/>
    <mergeCell ref="C10:J10"/>
    <mergeCell ref="C11:J11"/>
    <mergeCell ref="C12:J12"/>
    <mergeCell ref="C3:C5"/>
    <mergeCell ref="D3:J4"/>
    <mergeCell ref="D5:J5"/>
    <mergeCell ref="D6:J6"/>
    <mergeCell ref="D7:J7"/>
    <mergeCell ref="C8:J8"/>
  </mergeCells>
  <pageMargins left="0.511811024" right="0.511811024" top="0.78740157499999996" bottom="0.78740157499999996" header="0.31496062000000002" footer="0.31496062000000002"/>
  <pageSetup paperSize="9" scale="6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E9B3-CAB4-4E7C-B7C1-505289E4325E}">
  <sheetPr>
    <tabColor theme="3" tint="0.79998168889431442"/>
    <pageSetUpPr fitToPage="1"/>
  </sheetPr>
  <dimension ref="A1"/>
  <sheetViews>
    <sheetView tabSelected="1" view="pageBreakPreview" zoomScale="60" zoomScaleNormal="100" workbookViewId="0">
      <selection activeCell="AG38" sqref="AG38"/>
    </sheetView>
  </sheetViews>
  <sheetFormatPr defaultRowHeight="15"/>
  <sheetData/>
  <pageMargins left="0.511811024" right="0.511811024" top="0.78740157499999996" bottom="0.78740157499999996" header="0.31496062000000002" footer="0.31496062000000002"/>
  <pageSetup paperSize="9" scale="91"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694B-A732-4584-82ED-AE3C0D9690D8}">
  <sheetPr>
    <tabColor theme="3" tint="-0.499984740745262"/>
    <pageSetUpPr fitToPage="1"/>
  </sheetPr>
  <dimension ref="C2:G78"/>
  <sheetViews>
    <sheetView view="pageBreakPreview" zoomScaleNormal="100" zoomScaleSheetLayoutView="100" workbookViewId="0">
      <selection activeCell="AG38" sqref="AG38"/>
    </sheetView>
  </sheetViews>
  <sheetFormatPr defaultColWidth="9.140625" defaultRowHeight="15"/>
  <cols>
    <col min="3" max="3" width="37.140625" bestFit="1" customWidth="1"/>
    <col min="4" max="4" width="49.5703125" customWidth="1"/>
    <col min="5" max="5" width="12.5703125" customWidth="1"/>
    <col min="6" max="6" width="25.28515625" customWidth="1"/>
    <col min="7" max="7" width="26.5703125" customWidth="1"/>
  </cols>
  <sheetData>
    <row r="2" spans="3:7" ht="15.75" thickBot="1"/>
    <row r="3" spans="3:7" ht="48" customHeight="1">
      <c r="C3" s="2489"/>
      <c r="D3" s="2555" t="s">
        <v>14513</v>
      </c>
      <c r="E3" s="2556"/>
      <c r="F3" s="2556"/>
      <c r="G3" s="2556"/>
    </row>
    <row r="4" spans="3:7" ht="30" customHeight="1" thickBot="1">
      <c r="C4" s="2490"/>
      <c r="D4" s="2557"/>
      <c r="E4" s="2558"/>
      <c r="F4" s="2558"/>
      <c r="G4" s="2558"/>
    </row>
    <row r="5" spans="3:7" ht="50.1" customHeight="1" thickBot="1">
      <c r="C5" s="2490"/>
      <c r="D5" s="2559" t="s">
        <v>13363</v>
      </c>
      <c r="E5" s="2560"/>
      <c r="F5" s="2560"/>
      <c r="G5" s="2560"/>
    </row>
    <row r="6" spans="3:7" ht="15.75">
      <c r="C6" s="1398" t="s">
        <v>5</v>
      </c>
      <c r="D6" s="2561" t="str">
        <f>'ORÇAMENTO '!G11</f>
        <v xml:space="preserve">ESCOLA MUNICIPAL DOMINGOS AZZOLINI </v>
      </c>
      <c r="E6" s="2561"/>
      <c r="F6" s="2561"/>
      <c r="G6" s="2561"/>
    </row>
    <row r="7" spans="3:7" ht="15.75">
      <c r="C7" s="1483" t="s">
        <v>7</v>
      </c>
      <c r="D7" s="2562" t="str">
        <f>'ORÇAMENTO '!G12</f>
        <v>SANTO ANTONIO DO LESTE</v>
      </c>
      <c r="E7" s="2563"/>
      <c r="F7" s="2563"/>
      <c r="G7" s="2563"/>
    </row>
    <row r="8" spans="3:7" ht="15.75" customHeight="1" thickBot="1">
      <c r="C8" s="2487"/>
      <c r="D8" s="2488"/>
      <c r="E8" s="2488"/>
      <c r="F8" s="2488"/>
      <c r="G8" s="2488"/>
    </row>
    <row r="9" spans="3:7" ht="6" customHeight="1" thickBot="1">
      <c r="C9" s="2495"/>
      <c r="D9" s="2496"/>
      <c r="E9" s="2496"/>
      <c r="F9" s="2496"/>
      <c r="G9" s="2496"/>
    </row>
    <row r="10" spans="3:7" ht="6" customHeight="1" thickBot="1">
      <c r="C10" s="2497"/>
      <c r="D10" s="2498"/>
      <c r="E10" s="2498"/>
      <c r="F10" s="2498"/>
      <c r="G10" s="2498"/>
    </row>
    <row r="11" spans="3:7" ht="21.95" customHeight="1" thickBot="1">
      <c r="C11" s="2245" t="s">
        <v>14334</v>
      </c>
      <c r="D11" s="2246"/>
      <c r="E11" s="2246"/>
      <c r="F11" s="2246"/>
      <c r="G11" s="2246"/>
    </row>
    <row r="12" spans="3:7" ht="6" customHeight="1" thickBot="1">
      <c r="C12" s="2497"/>
      <c r="D12" s="2498"/>
      <c r="E12" s="2498"/>
      <c r="F12" s="2498"/>
      <c r="G12" s="2498"/>
    </row>
    <row r="13" spans="3:7">
      <c r="D13" s="2547" t="s">
        <v>14312</v>
      </c>
      <c r="E13" s="2547"/>
    </row>
    <row r="14" spans="3:7">
      <c r="D14" s="1824" t="s">
        <v>14243</v>
      </c>
      <c r="E14" s="1824" t="s">
        <v>14306</v>
      </c>
    </row>
    <row r="15" spans="3:7">
      <c r="D15" s="1234" t="s">
        <v>14313</v>
      </c>
      <c r="E15" s="1400">
        <v>1603.96</v>
      </c>
    </row>
    <row r="16" spans="3:7">
      <c r="D16" s="1820" t="s">
        <v>14314</v>
      </c>
      <c r="E16" s="1821">
        <f>SUM(E15:E15)</f>
        <v>1603.96</v>
      </c>
    </row>
    <row r="18" spans="4:5">
      <c r="D18" s="2547" t="s">
        <v>14315</v>
      </c>
      <c r="E18" s="2547"/>
    </row>
    <row r="19" spans="4:5">
      <c r="D19" s="1822" t="s">
        <v>14243</v>
      </c>
      <c r="E19" s="1822" t="s">
        <v>14306</v>
      </c>
    </row>
    <row r="20" spans="4:5">
      <c r="D20" s="1234" t="s">
        <v>14316</v>
      </c>
      <c r="E20" s="1400">
        <v>46.2</v>
      </c>
    </row>
    <row r="21" spans="4:5">
      <c r="D21" s="1234" t="s">
        <v>14316</v>
      </c>
      <c r="E21" s="1400">
        <v>46.2</v>
      </c>
    </row>
    <row r="22" spans="4:5">
      <c r="D22" s="1234" t="s">
        <v>14316</v>
      </c>
      <c r="E22" s="1400">
        <v>38.5</v>
      </c>
    </row>
    <row r="23" spans="4:5">
      <c r="D23" s="1234" t="s">
        <v>14317</v>
      </c>
      <c r="E23" s="1400">
        <v>46.58</v>
      </c>
    </row>
    <row r="24" spans="4:5">
      <c r="D24" s="1234" t="s">
        <v>14316</v>
      </c>
      <c r="E24" s="1400">
        <v>46.58</v>
      </c>
    </row>
    <row r="25" spans="4:5">
      <c r="D25" s="1234" t="s">
        <v>14316</v>
      </c>
      <c r="E25" s="1400">
        <v>46.58</v>
      </c>
    </row>
    <row r="26" spans="4:5">
      <c r="D26" s="1234" t="s">
        <v>14316</v>
      </c>
      <c r="E26" s="1400">
        <v>46.2</v>
      </c>
    </row>
    <row r="27" spans="4:5">
      <c r="D27" s="1234" t="s">
        <v>14316</v>
      </c>
      <c r="E27" s="1400">
        <v>46.2</v>
      </c>
    </row>
    <row r="28" spans="4:5">
      <c r="D28" s="1234" t="s">
        <v>14316</v>
      </c>
      <c r="E28" s="1400">
        <v>46.58</v>
      </c>
    </row>
    <row r="29" spans="4:5">
      <c r="D29" s="1234" t="s">
        <v>14316</v>
      </c>
      <c r="E29" s="1400">
        <v>46.58</v>
      </c>
    </row>
    <row r="30" spans="4:5">
      <c r="D30" s="1234" t="s">
        <v>14316</v>
      </c>
      <c r="E30" s="1400">
        <v>46.58</v>
      </c>
    </row>
    <row r="31" spans="4:5">
      <c r="D31" s="1234" t="s">
        <v>14316</v>
      </c>
      <c r="E31" s="1400">
        <v>46.2</v>
      </c>
    </row>
    <row r="32" spans="4:5">
      <c r="D32" s="1234" t="s">
        <v>14316</v>
      </c>
      <c r="E32" s="1400">
        <v>36.5</v>
      </c>
    </row>
    <row r="33" spans="4:5">
      <c r="D33" s="1234" t="s">
        <v>14316</v>
      </c>
      <c r="E33" s="1400">
        <v>42.13</v>
      </c>
    </row>
    <row r="34" spans="4:5">
      <c r="D34" s="1234" t="s">
        <v>14316</v>
      </c>
      <c r="E34" s="1400">
        <v>46.2</v>
      </c>
    </row>
    <row r="35" spans="4:5">
      <c r="D35" s="1234" t="s">
        <v>14318</v>
      </c>
      <c r="E35" s="1400">
        <v>40.81</v>
      </c>
    </row>
    <row r="36" spans="4:5">
      <c r="D36" s="1234" t="s">
        <v>14273</v>
      </c>
      <c r="E36" s="1400">
        <v>77</v>
      </c>
    </row>
    <row r="37" spans="4:5">
      <c r="D37" s="1234" t="s">
        <v>14271</v>
      </c>
      <c r="E37" s="1400">
        <v>61.6</v>
      </c>
    </row>
    <row r="38" spans="4:5">
      <c r="D38" s="1234" t="s">
        <v>14270</v>
      </c>
      <c r="E38" s="1400">
        <v>37.340000000000003</v>
      </c>
    </row>
    <row r="39" spans="4:5">
      <c r="D39" s="1234" t="s">
        <v>14269</v>
      </c>
      <c r="E39" s="1400">
        <v>17.510000000000002</v>
      </c>
    </row>
    <row r="40" spans="4:5">
      <c r="D40" s="1234" t="s">
        <v>14319</v>
      </c>
      <c r="E40" s="1400">
        <v>8.3699999999999992</v>
      </c>
    </row>
    <row r="41" spans="4:5">
      <c r="D41" s="1234" t="s">
        <v>14267</v>
      </c>
      <c r="E41" s="1400">
        <v>20.079999999999998</v>
      </c>
    </row>
    <row r="42" spans="4:5">
      <c r="D42" s="1234" t="s">
        <v>14170</v>
      </c>
      <c r="E42" s="1400">
        <v>14.33</v>
      </c>
    </row>
    <row r="43" spans="4:5">
      <c r="D43" s="1234" t="s">
        <v>14170</v>
      </c>
      <c r="E43" s="1400">
        <v>7.98</v>
      </c>
    </row>
    <row r="44" spans="4:5">
      <c r="D44" s="1234" t="s">
        <v>14265</v>
      </c>
      <c r="E44" s="1400">
        <v>17.57</v>
      </c>
    </row>
    <row r="45" spans="4:5">
      <c r="D45" s="1234" t="s">
        <v>14320</v>
      </c>
      <c r="E45" s="1400">
        <v>4.22</v>
      </c>
    </row>
    <row r="46" spans="4:5">
      <c r="D46" s="1234" t="s">
        <v>14321</v>
      </c>
      <c r="E46" s="1400">
        <v>3.08</v>
      </c>
    </row>
    <row r="47" spans="4:5">
      <c r="D47" s="1234" t="s">
        <v>3015</v>
      </c>
      <c r="E47" s="1400">
        <v>3.36</v>
      </c>
    </row>
    <row r="48" spans="4:5">
      <c r="D48" s="1234" t="s">
        <v>14265</v>
      </c>
      <c r="E48" s="1400">
        <v>17.52</v>
      </c>
    </row>
    <row r="49" spans="4:7">
      <c r="D49" s="1234" t="s">
        <v>14322</v>
      </c>
      <c r="E49" s="1400">
        <v>110.08</v>
      </c>
    </row>
    <row r="50" spans="4:7">
      <c r="D50" s="1234" t="s">
        <v>14323</v>
      </c>
      <c r="E50" s="1400">
        <v>360.68</v>
      </c>
    </row>
    <row r="51" spans="4:7">
      <c r="D51" s="1234" t="s">
        <v>14323</v>
      </c>
      <c r="E51" s="1400">
        <v>60.35</v>
      </c>
    </row>
    <row r="52" spans="4:7">
      <c r="D52" s="1234" t="s">
        <v>14324</v>
      </c>
      <c r="E52" s="1400">
        <v>42.4</v>
      </c>
    </row>
    <row r="53" spans="4:7">
      <c r="D53" s="1234" t="s">
        <v>14324</v>
      </c>
      <c r="E53" s="1400">
        <v>42.4</v>
      </c>
    </row>
    <row r="54" spans="4:7">
      <c r="D54" s="1234" t="s">
        <v>14325</v>
      </c>
      <c r="E54" s="1400">
        <v>68.09</v>
      </c>
    </row>
    <row r="55" spans="4:7">
      <c r="D55" s="1234" t="s">
        <v>14326</v>
      </c>
      <c r="E55" s="1400">
        <v>79.63</v>
      </c>
    </row>
    <row r="56" spans="4:7">
      <c r="D56" s="1234" t="s">
        <v>14327</v>
      </c>
      <c r="E56" s="1400">
        <v>61.15</v>
      </c>
    </row>
    <row r="57" spans="4:7">
      <c r="D57" s="1234" t="s">
        <v>14326</v>
      </c>
      <c r="E57" s="1400">
        <v>79.64</v>
      </c>
    </row>
    <row r="58" spans="4:7">
      <c r="D58" s="1234" t="s">
        <v>14323</v>
      </c>
      <c r="E58" s="1400">
        <v>40</v>
      </c>
    </row>
    <row r="59" spans="4:7">
      <c r="D59" s="1825" t="s">
        <v>167</v>
      </c>
      <c r="E59" s="1826">
        <f>SUM(E20:E58)</f>
        <v>1949.0000000000002</v>
      </c>
    </row>
    <row r="61" spans="4:7">
      <c r="D61" s="2547" t="s">
        <v>14328</v>
      </c>
      <c r="E61" s="2547"/>
    </row>
    <row r="62" spans="4:7">
      <c r="D62" s="1824" t="s">
        <v>14243</v>
      </c>
      <c r="E62" s="1824" t="s">
        <v>14306</v>
      </c>
    </row>
    <row r="63" spans="4:7">
      <c r="D63" s="1234" t="s">
        <v>14210</v>
      </c>
      <c r="E63" s="1400">
        <f t="shared" ref="E63:E71" si="0">2.7+G63</f>
        <v>16</v>
      </c>
      <c r="G63" s="1813">
        <f>6.65*2</f>
        <v>13.3</v>
      </c>
    </row>
    <row r="64" spans="4:7">
      <c r="D64" s="1234" t="s">
        <v>14210</v>
      </c>
      <c r="E64" s="1400">
        <f t="shared" si="0"/>
        <v>15.399999999999999</v>
      </c>
      <c r="G64" s="1813">
        <f>6.35*2</f>
        <v>12.7</v>
      </c>
    </row>
    <row r="65" spans="4:7">
      <c r="D65" s="1234" t="s">
        <v>14266</v>
      </c>
      <c r="E65" s="1400">
        <f t="shared" si="0"/>
        <v>57.5</v>
      </c>
      <c r="G65" s="1813">
        <f>27.4*2</f>
        <v>54.8</v>
      </c>
    </row>
    <row r="66" spans="4:7">
      <c r="D66" s="1234" t="s">
        <v>14264</v>
      </c>
      <c r="E66" s="1400">
        <f t="shared" si="0"/>
        <v>57.5</v>
      </c>
      <c r="G66" s="1813">
        <f>27.4*2</f>
        <v>54.8</v>
      </c>
    </row>
    <row r="67" spans="4:7">
      <c r="D67" s="1234" t="s">
        <v>14208</v>
      </c>
      <c r="E67" s="1400">
        <f t="shared" si="0"/>
        <v>18.899999999999999</v>
      </c>
      <c r="G67" s="1813">
        <f>8.1*2</f>
        <v>16.2</v>
      </c>
    </row>
    <row r="68" spans="4:7">
      <c r="D68" s="1234" t="s">
        <v>14276</v>
      </c>
      <c r="E68" s="1400">
        <f t="shared" si="0"/>
        <v>56.7</v>
      </c>
      <c r="G68" s="1813">
        <f>27*2</f>
        <v>54</v>
      </c>
    </row>
    <row r="69" spans="4:7">
      <c r="D69" s="1234" t="s">
        <v>14329</v>
      </c>
      <c r="E69" s="1400">
        <f t="shared" si="0"/>
        <v>20.099999999999998</v>
      </c>
      <c r="G69" s="1813">
        <f>8.7*2</f>
        <v>17.399999999999999</v>
      </c>
    </row>
    <row r="70" spans="4:7">
      <c r="D70" s="1234" t="s">
        <v>14330</v>
      </c>
      <c r="E70" s="1400">
        <f t="shared" si="0"/>
        <v>20.099999999999998</v>
      </c>
      <c r="G70" s="1813">
        <f>8.7*2</f>
        <v>17.399999999999999</v>
      </c>
    </row>
    <row r="71" spans="4:7">
      <c r="D71" s="1234" t="s">
        <v>14210</v>
      </c>
      <c r="E71" s="1400">
        <f t="shared" si="0"/>
        <v>8.6999999999999993</v>
      </c>
      <c r="G71" s="1813">
        <f>3*2</f>
        <v>6</v>
      </c>
    </row>
    <row r="72" spans="4:7">
      <c r="D72" s="1820" t="s">
        <v>14314</v>
      </c>
      <c r="E72" s="1821">
        <f>SUM(E63:E71)</f>
        <v>270.89999999999998</v>
      </c>
    </row>
    <row r="73" spans="4:7" ht="30" customHeight="1">
      <c r="D73" s="2564" t="s">
        <v>14331</v>
      </c>
      <c r="E73" s="2564"/>
    </row>
    <row r="75" spans="4:7">
      <c r="D75" s="2547" t="s">
        <v>14332</v>
      </c>
      <c r="E75" s="2547"/>
    </row>
    <row r="76" spans="4:7">
      <c r="D76" s="1824" t="s">
        <v>14243</v>
      </c>
      <c r="E76" s="1824" t="s">
        <v>21</v>
      </c>
    </row>
    <row r="77" spans="4:7">
      <c r="D77" s="1234" t="s">
        <v>14333</v>
      </c>
      <c r="E77" s="1400">
        <v>320.45890000000003</v>
      </c>
    </row>
    <row r="78" spans="4:7">
      <c r="D78" s="1820" t="s">
        <v>14314</v>
      </c>
      <c r="E78" s="1821">
        <f>SUM(E77:E77)</f>
        <v>320.45890000000003</v>
      </c>
    </row>
  </sheetData>
  <mergeCells count="15">
    <mergeCell ref="D13:E13"/>
    <mergeCell ref="D18:E18"/>
    <mergeCell ref="D61:E61"/>
    <mergeCell ref="D73:E73"/>
    <mergeCell ref="D75:E75"/>
    <mergeCell ref="C9:G9"/>
    <mergeCell ref="C10:G10"/>
    <mergeCell ref="C11:G11"/>
    <mergeCell ref="C12:G12"/>
    <mergeCell ref="C3:C5"/>
    <mergeCell ref="D3:G4"/>
    <mergeCell ref="D5:G5"/>
    <mergeCell ref="D6:G6"/>
    <mergeCell ref="D7:G7"/>
    <mergeCell ref="C8:G8"/>
  </mergeCells>
  <pageMargins left="0.511811024" right="0.511811024" top="0.78740157499999996" bottom="0.78740157499999996" header="0.31496062000000002" footer="0.31496062000000002"/>
  <pageSetup paperSize="9" scale="61"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15A2-1E50-4634-A760-E175F2D96BAC}">
  <sheetPr>
    <tabColor theme="3" tint="-0.499984740745262"/>
    <pageSetUpPr fitToPage="1"/>
  </sheetPr>
  <dimension ref="C2:M90"/>
  <sheetViews>
    <sheetView view="pageBreakPreview" topLeftCell="B5" zoomScale="85" zoomScaleNormal="100" zoomScaleSheetLayoutView="85" workbookViewId="0">
      <selection activeCell="AG38" sqref="AG38"/>
    </sheetView>
  </sheetViews>
  <sheetFormatPr defaultColWidth="9.140625" defaultRowHeight="15"/>
  <cols>
    <col min="3" max="3" width="37.140625" bestFit="1" customWidth="1"/>
    <col min="4" max="4" width="26.7109375" bestFit="1" customWidth="1"/>
    <col min="5" max="5" width="19" customWidth="1"/>
    <col min="6" max="6" width="20" customWidth="1"/>
    <col min="7" max="7" width="20.85546875" customWidth="1"/>
  </cols>
  <sheetData>
    <row r="2" spans="3:7" ht="15.75" thickBot="1"/>
    <row r="3" spans="3:7" ht="48" customHeight="1">
      <c r="C3" s="2489"/>
      <c r="D3" s="2555" t="s">
        <v>13365</v>
      </c>
      <c r="E3" s="2556"/>
      <c r="F3" s="2556"/>
      <c r="G3" s="2556"/>
    </row>
    <row r="4" spans="3:7" ht="30" customHeight="1" thickBot="1">
      <c r="C4" s="2490"/>
      <c r="D4" s="2557"/>
      <c r="E4" s="2558"/>
      <c r="F4" s="2558"/>
      <c r="G4" s="2558"/>
    </row>
    <row r="5" spans="3:7" ht="66" customHeight="1" thickBot="1">
      <c r="C5" s="2490"/>
      <c r="D5" s="2559" t="s">
        <v>13363</v>
      </c>
      <c r="E5" s="2560"/>
      <c r="F5" s="2560"/>
      <c r="G5" s="2560"/>
    </row>
    <row r="6" spans="3:7" ht="15.75">
      <c r="C6" s="1398" t="s">
        <v>5</v>
      </c>
      <c r="D6" s="2561" t="str">
        <f>'ORÇAMENTO '!G11</f>
        <v xml:space="preserve">ESCOLA MUNICIPAL DOMINGOS AZZOLINI </v>
      </c>
      <c r="E6" s="2561"/>
      <c r="F6" s="2561"/>
      <c r="G6" s="2561"/>
    </row>
    <row r="7" spans="3:7" ht="15.75">
      <c r="C7" s="1483" t="s">
        <v>7</v>
      </c>
      <c r="D7" s="2562" t="str">
        <f>'ORÇAMENTO '!G12</f>
        <v>SANTO ANTONIO DO LESTE</v>
      </c>
      <c r="E7" s="2563"/>
      <c r="F7" s="2563"/>
      <c r="G7" s="2563"/>
    </row>
    <row r="8" spans="3:7" ht="15.75" customHeight="1" thickBot="1">
      <c r="C8" s="2487"/>
      <c r="D8" s="2488"/>
      <c r="E8" s="2488"/>
      <c r="F8" s="2488"/>
      <c r="G8" s="2488"/>
    </row>
    <row r="9" spans="3:7" ht="6" customHeight="1" thickBot="1">
      <c r="C9" s="2495"/>
      <c r="D9" s="2496"/>
      <c r="E9" s="2496"/>
      <c r="F9" s="2496"/>
      <c r="G9" s="2496"/>
    </row>
    <row r="10" spans="3:7" ht="6" customHeight="1" thickBot="1">
      <c r="C10" s="2497"/>
      <c r="D10" s="2498"/>
      <c r="E10" s="2498"/>
      <c r="F10" s="2498"/>
      <c r="G10" s="2498"/>
    </row>
    <row r="11" spans="3:7" ht="21.95" customHeight="1" thickBot="1">
      <c r="C11" s="2245" t="s">
        <v>14343</v>
      </c>
      <c r="D11" s="2246"/>
      <c r="E11" s="2246"/>
      <c r="F11" s="2246"/>
      <c r="G11" s="2246"/>
    </row>
    <row r="12" spans="3:7" ht="6" customHeight="1" thickBot="1">
      <c r="C12" s="2497"/>
      <c r="D12" s="2498"/>
      <c r="E12" s="2498"/>
      <c r="F12" s="2498"/>
      <c r="G12" s="2498"/>
    </row>
    <row r="13" spans="3:7">
      <c r="C13" s="2549" t="s">
        <v>14335</v>
      </c>
      <c r="D13" s="2550"/>
      <c r="E13" s="2550"/>
      <c r="F13" s="2550"/>
      <c r="G13" s="2551"/>
    </row>
    <row r="14" spans="3:7">
      <c r="C14" s="1823" t="s">
        <v>14243</v>
      </c>
      <c r="D14" s="1823" t="s">
        <v>14336</v>
      </c>
      <c r="E14" s="1823" t="s">
        <v>14337</v>
      </c>
      <c r="F14" s="1823" t="s">
        <v>14338</v>
      </c>
      <c r="G14" s="1823" t="s">
        <v>14339</v>
      </c>
    </row>
    <row r="15" spans="3:7">
      <c r="C15" s="2565" t="s">
        <v>2982</v>
      </c>
      <c r="D15" s="1247">
        <v>13.87</v>
      </c>
      <c r="E15" s="1400">
        <v>19.440000000000001</v>
      </c>
      <c r="F15" s="1400">
        <v>33.93</v>
      </c>
      <c r="G15" s="1247">
        <v>38.82</v>
      </c>
    </row>
    <row r="16" spans="3:7">
      <c r="C16" s="2566"/>
      <c r="D16" s="1247" t="s">
        <v>14046</v>
      </c>
      <c r="E16" s="1400" t="s">
        <v>14046</v>
      </c>
      <c r="F16" s="1400" t="s">
        <v>14046</v>
      </c>
      <c r="G16" s="1247" t="s">
        <v>14046</v>
      </c>
    </row>
    <row r="17" spans="3:13">
      <c r="C17" s="2567"/>
      <c r="D17" s="1247" t="s">
        <v>14046</v>
      </c>
      <c r="E17" s="1400" t="s">
        <v>14046</v>
      </c>
      <c r="F17" s="1400" t="s">
        <v>14046</v>
      </c>
      <c r="G17" s="1247" t="s">
        <v>14046</v>
      </c>
    </row>
    <row r="18" spans="3:13">
      <c r="C18" s="2565" t="s">
        <v>2981</v>
      </c>
      <c r="D18" s="1247">
        <v>152.57</v>
      </c>
      <c r="E18" s="1400">
        <v>18.86</v>
      </c>
      <c r="F18" s="1247">
        <v>74.989999999999995</v>
      </c>
      <c r="G18" s="1247">
        <v>2610.0100000000002</v>
      </c>
      <c r="M18">
        <v>162785</v>
      </c>
    </row>
    <row r="19" spans="3:13">
      <c r="C19" s="2566"/>
      <c r="D19" s="1247">
        <f>15.76*2</f>
        <v>31.52</v>
      </c>
      <c r="E19" s="1400">
        <f>9.2*2</f>
        <v>18.399999999999999</v>
      </c>
      <c r="F19" s="1247">
        <v>374.31</v>
      </c>
      <c r="G19" s="1247" t="s">
        <v>14046</v>
      </c>
    </row>
    <row r="20" spans="3:13">
      <c r="C20" s="2566"/>
      <c r="D20" s="1247">
        <f>6.72*2</f>
        <v>13.44</v>
      </c>
      <c r="E20" s="1400">
        <f>8.25*2</f>
        <v>16.5</v>
      </c>
      <c r="F20" s="1247">
        <v>141.6</v>
      </c>
      <c r="G20" s="1247" t="s">
        <v>14046</v>
      </c>
    </row>
    <row r="21" spans="3:13">
      <c r="C21" s="2566"/>
      <c r="D21" s="1247">
        <v>102.66</v>
      </c>
      <c r="E21" s="1400">
        <v>6.2</v>
      </c>
      <c r="F21" s="1247" t="s">
        <v>14046</v>
      </c>
      <c r="G21" s="1247" t="s">
        <v>14046</v>
      </c>
    </row>
    <row r="22" spans="3:13">
      <c r="C22" s="2566"/>
      <c r="D22" s="1247">
        <f>6.76*2</f>
        <v>13.52</v>
      </c>
      <c r="E22" s="1400">
        <f>8.2*2</f>
        <v>16.399999999999999</v>
      </c>
      <c r="F22" s="1247" t="s">
        <v>14046</v>
      </c>
      <c r="G22" s="1247" t="s">
        <v>14046</v>
      </c>
    </row>
    <row r="23" spans="3:13">
      <c r="C23" s="2566"/>
      <c r="D23" s="1247">
        <v>99.97</v>
      </c>
      <c r="E23" s="1400">
        <v>37.4</v>
      </c>
      <c r="F23" s="1247" t="s">
        <v>14046</v>
      </c>
      <c r="G23" s="1247" t="s">
        <v>14046</v>
      </c>
    </row>
    <row r="24" spans="3:13">
      <c r="C24" s="2566"/>
      <c r="D24" s="1247">
        <f>7.49*2</f>
        <v>14.98</v>
      </c>
      <c r="E24" s="1400" t="s">
        <v>14046</v>
      </c>
      <c r="F24" s="1247" t="s">
        <v>14046</v>
      </c>
      <c r="G24" s="1247" t="s">
        <v>14046</v>
      </c>
    </row>
    <row r="25" spans="3:13">
      <c r="C25" s="2566"/>
      <c r="D25" s="1247">
        <f>6.09*2</f>
        <v>12.18</v>
      </c>
      <c r="E25" s="1400" t="s">
        <v>14046</v>
      </c>
      <c r="F25" s="1247" t="s">
        <v>14046</v>
      </c>
      <c r="G25" s="1247" t="s">
        <v>14046</v>
      </c>
    </row>
    <row r="26" spans="3:13">
      <c r="C26" s="2566"/>
      <c r="D26" s="1399">
        <f>7.42*2</f>
        <v>14.84</v>
      </c>
      <c r="E26" s="1400" t="s">
        <v>14046</v>
      </c>
      <c r="F26" s="1247" t="s">
        <v>14046</v>
      </c>
      <c r="G26" s="1247" t="s">
        <v>14046</v>
      </c>
    </row>
    <row r="27" spans="3:13">
      <c r="C27" s="2566"/>
      <c r="D27" s="1399">
        <f>8.56*2</f>
        <v>17.12</v>
      </c>
      <c r="E27" s="1400" t="s">
        <v>14046</v>
      </c>
      <c r="F27" s="1247" t="s">
        <v>14046</v>
      </c>
      <c r="G27" s="1247" t="s">
        <v>14046</v>
      </c>
    </row>
    <row r="28" spans="3:13">
      <c r="C28" s="2566"/>
      <c r="D28" s="1399">
        <v>30.31</v>
      </c>
      <c r="E28" s="1400" t="s">
        <v>14046</v>
      </c>
      <c r="F28" s="1247" t="s">
        <v>14046</v>
      </c>
      <c r="G28" s="1247" t="s">
        <v>14046</v>
      </c>
    </row>
    <row r="29" spans="3:13">
      <c r="C29" s="2566"/>
      <c r="D29" s="1247">
        <v>6.53</v>
      </c>
      <c r="E29" s="1400" t="s">
        <v>14046</v>
      </c>
      <c r="F29" s="1247" t="s">
        <v>14046</v>
      </c>
      <c r="G29" s="1247" t="s">
        <v>14046</v>
      </c>
    </row>
    <row r="30" spans="3:13">
      <c r="C30" s="2567"/>
      <c r="D30" s="1247">
        <v>7.75</v>
      </c>
      <c r="E30" s="1400" t="s">
        <v>14046</v>
      </c>
      <c r="F30" s="1247" t="s">
        <v>14046</v>
      </c>
      <c r="G30" s="1247" t="s">
        <v>14046</v>
      </c>
    </row>
    <row r="31" spans="3:13">
      <c r="C31" s="1820" t="s">
        <v>14340</v>
      </c>
      <c r="D31" s="1821">
        <f>SUM(D15:D29)</f>
        <v>523.50999999999988</v>
      </c>
      <c r="E31" s="1821">
        <f>SUM(E15:E30)</f>
        <v>133.19999999999999</v>
      </c>
      <c r="F31" s="1821">
        <f>SUM(F15:F21)</f>
        <v>624.83000000000004</v>
      </c>
      <c r="G31" s="1821">
        <f>SUM(G15:G21)</f>
        <v>2648.8300000000004</v>
      </c>
    </row>
    <row r="32" spans="3:13">
      <c r="D32" s="677"/>
      <c r="F32" s="677"/>
    </row>
    <row r="33" spans="3:6">
      <c r="C33" s="2549" t="s">
        <v>14341</v>
      </c>
      <c r="D33" s="2551"/>
      <c r="F33" s="677"/>
    </row>
    <row r="34" spans="3:6">
      <c r="C34" s="1822" t="s">
        <v>14243</v>
      </c>
      <c r="D34" s="1822" t="s">
        <v>14306</v>
      </c>
      <c r="F34" s="677"/>
    </row>
    <row r="35" spans="3:6">
      <c r="C35" s="1234" t="s">
        <v>14316</v>
      </c>
      <c r="D35" s="1400">
        <v>46.2</v>
      </c>
      <c r="F35" s="677"/>
    </row>
    <row r="36" spans="3:6">
      <c r="C36" s="1234" t="s">
        <v>14316</v>
      </c>
      <c r="D36" s="1400">
        <v>46.2</v>
      </c>
      <c r="F36" s="677"/>
    </row>
    <row r="37" spans="3:6">
      <c r="C37" s="1234" t="s">
        <v>14316</v>
      </c>
      <c r="D37" s="1400">
        <v>38.5</v>
      </c>
      <c r="F37" s="677"/>
    </row>
    <row r="38" spans="3:6">
      <c r="C38" s="1234" t="s">
        <v>14317</v>
      </c>
      <c r="D38" s="1400">
        <v>46.58</v>
      </c>
      <c r="F38" s="677"/>
    </row>
    <row r="39" spans="3:6">
      <c r="C39" s="1234" t="s">
        <v>14316</v>
      </c>
      <c r="D39" s="1400">
        <v>46.58</v>
      </c>
      <c r="F39" s="677"/>
    </row>
    <row r="40" spans="3:6">
      <c r="C40" s="1234" t="s">
        <v>14316</v>
      </c>
      <c r="D40" s="1400">
        <v>46.58</v>
      </c>
      <c r="F40" s="677"/>
    </row>
    <row r="41" spans="3:6">
      <c r="C41" s="1234" t="s">
        <v>14316</v>
      </c>
      <c r="D41" s="1400">
        <v>46.2</v>
      </c>
      <c r="F41" s="677"/>
    </row>
    <row r="42" spans="3:6">
      <c r="C42" s="1234" t="s">
        <v>14316</v>
      </c>
      <c r="D42" s="1400">
        <v>46.2</v>
      </c>
      <c r="F42" s="677"/>
    </row>
    <row r="43" spans="3:6">
      <c r="C43" s="1234" t="s">
        <v>14316</v>
      </c>
      <c r="D43" s="1400">
        <v>46.58</v>
      </c>
      <c r="F43" s="677"/>
    </row>
    <row r="44" spans="3:6">
      <c r="C44" s="1234" t="s">
        <v>14316</v>
      </c>
      <c r="D44" s="1400">
        <v>46.58</v>
      </c>
      <c r="F44" s="677"/>
    </row>
    <row r="45" spans="3:6">
      <c r="C45" s="1234" t="s">
        <v>14316</v>
      </c>
      <c r="D45" s="1400">
        <v>46.58</v>
      </c>
      <c r="F45" s="677"/>
    </row>
    <row r="46" spans="3:6">
      <c r="C46" s="1234" t="s">
        <v>14316</v>
      </c>
      <c r="D46" s="1400">
        <v>46.2</v>
      </c>
      <c r="F46" s="677"/>
    </row>
    <row r="47" spans="3:6">
      <c r="C47" s="1234" t="s">
        <v>14316</v>
      </c>
      <c r="D47" s="1400">
        <v>36.5</v>
      </c>
      <c r="F47" s="677"/>
    </row>
    <row r="48" spans="3:6">
      <c r="C48" s="1234" t="s">
        <v>14316</v>
      </c>
      <c r="D48" s="1400">
        <v>42.13</v>
      </c>
      <c r="F48" s="677"/>
    </row>
    <row r="49" spans="3:6">
      <c r="C49" s="1234" t="s">
        <v>14316</v>
      </c>
      <c r="D49" s="1400">
        <v>46.2</v>
      </c>
      <c r="F49" s="677"/>
    </row>
    <row r="50" spans="3:6">
      <c r="C50" s="1234" t="s">
        <v>14318</v>
      </c>
      <c r="D50" s="1400">
        <v>40.81</v>
      </c>
      <c r="F50" s="677"/>
    </row>
    <row r="51" spans="3:6">
      <c r="C51" s="1234" t="s">
        <v>14273</v>
      </c>
      <c r="D51" s="1400">
        <v>77</v>
      </c>
      <c r="F51" s="677"/>
    </row>
    <row r="52" spans="3:6">
      <c r="C52" s="1234" t="s">
        <v>14271</v>
      </c>
      <c r="D52" s="1400">
        <v>61.6</v>
      </c>
      <c r="F52" s="677"/>
    </row>
    <row r="53" spans="3:6">
      <c r="C53" s="1234" t="s">
        <v>14270</v>
      </c>
      <c r="D53" s="1400">
        <v>37.340000000000003</v>
      </c>
      <c r="F53" s="677"/>
    </row>
    <row r="54" spans="3:6">
      <c r="C54" s="1234" t="s">
        <v>14269</v>
      </c>
      <c r="D54" s="1400">
        <v>17.510000000000002</v>
      </c>
      <c r="F54" s="677"/>
    </row>
    <row r="55" spans="3:6">
      <c r="C55" s="1234" t="s">
        <v>14319</v>
      </c>
      <c r="D55" s="1400">
        <v>8.3699999999999992</v>
      </c>
      <c r="F55" s="677"/>
    </row>
    <row r="56" spans="3:6">
      <c r="C56" s="1234" t="s">
        <v>14267</v>
      </c>
      <c r="D56" s="1400">
        <v>20.079999999999998</v>
      </c>
      <c r="F56" s="677"/>
    </row>
    <row r="57" spans="3:6">
      <c r="C57" s="1234" t="s">
        <v>14210</v>
      </c>
      <c r="D57" s="1400">
        <v>2.7</v>
      </c>
      <c r="F57" s="677"/>
    </row>
    <row r="58" spans="3:6">
      <c r="C58" s="1234" t="s">
        <v>14210</v>
      </c>
      <c r="D58" s="1400">
        <v>2.7</v>
      </c>
      <c r="F58" s="677"/>
    </row>
    <row r="59" spans="3:6">
      <c r="C59" s="1234" t="s">
        <v>14208</v>
      </c>
      <c r="D59" s="1400">
        <v>4.08</v>
      </c>
      <c r="F59" s="677"/>
    </row>
    <row r="60" spans="3:6">
      <c r="C60" s="1234" t="s">
        <v>14170</v>
      </c>
      <c r="D60" s="1400">
        <v>14.33</v>
      </c>
      <c r="F60" s="677"/>
    </row>
    <row r="61" spans="3:6">
      <c r="C61" s="1234" t="s">
        <v>14170</v>
      </c>
      <c r="D61" s="1400">
        <v>7.98</v>
      </c>
      <c r="F61" s="677"/>
    </row>
    <row r="62" spans="3:6">
      <c r="C62" s="1234" t="s">
        <v>14266</v>
      </c>
      <c r="D62" s="1400">
        <v>46.2</v>
      </c>
      <c r="F62" s="677"/>
    </row>
    <row r="63" spans="3:6">
      <c r="C63" s="1234" t="s">
        <v>14265</v>
      </c>
      <c r="D63" s="1400">
        <v>17.57</v>
      </c>
      <c r="F63" s="677"/>
    </row>
    <row r="64" spans="3:6">
      <c r="C64" s="1234" t="s">
        <v>14264</v>
      </c>
      <c r="D64" s="1400">
        <v>46.2</v>
      </c>
      <c r="F64" s="677"/>
    </row>
    <row r="65" spans="3:6">
      <c r="C65" s="1234" t="s">
        <v>14208</v>
      </c>
      <c r="D65" s="1400">
        <v>4.5999999999999996</v>
      </c>
      <c r="F65" s="677"/>
    </row>
    <row r="66" spans="3:6">
      <c r="C66" s="1234" t="s">
        <v>14320</v>
      </c>
      <c r="D66" s="1400">
        <v>4.22</v>
      </c>
      <c r="F66" s="677"/>
    </row>
    <row r="67" spans="3:6">
      <c r="C67" s="1234" t="s">
        <v>14321</v>
      </c>
      <c r="D67" s="1400">
        <v>3.08</v>
      </c>
      <c r="F67" s="677"/>
    </row>
    <row r="68" spans="3:6">
      <c r="C68" s="1234" t="s">
        <v>3015</v>
      </c>
      <c r="D68" s="1400">
        <v>3.36</v>
      </c>
      <c r="F68" s="677"/>
    </row>
    <row r="69" spans="3:6">
      <c r="C69" s="1234" t="s">
        <v>14276</v>
      </c>
      <c r="D69" s="1400">
        <v>45</v>
      </c>
      <c r="F69" s="677"/>
    </row>
    <row r="70" spans="3:6">
      <c r="C70" s="1234" t="s">
        <v>14265</v>
      </c>
      <c r="D70" s="1400">
        <v>17.52</v>
      </c>
      <c r="F70" s="677"/>
    </row>
    <row r="71" spans="3:6">
      <c r="C71" s="1234" t="s">
        <v>14322</v>
      </c>
      <c r="D71" s="1400">
        <v>110.08</v>
      </c>
      <c r="F71" s="677"/>
    </row>
    <row r="72" spans="3:6">
      <c r="C72" s="1234" t="s">
        <v>14323</v>
      </c>
      <c r="D72" s="1400">
        <v>360.68</v>
      </c>
      <c r="F72" s="677"/>
    </row>
    <row r="73" spans="3:6">
      <c r="C73" s="1234" t="s">
        <v>14323</v>
      </c>
      <c r="D73" s="1400">
        <v>60.35</v>
      </c>
      <c r="F73" s="677"/>
    </row>
    <row r="74" spans="3:6">
      <c r="C74" s="1234" t="s">
        <v>14324</v>
      </c>
      <c r="D74" s="1400">
        <v>42.4</v>
      </c>
      <c r="F74" s="677"/>
    </row>
    <row r="75" spans="3:6">
      <c r="C75" s="1234" t="s">
        <v>14324</v>
      </c>
      <c r="D75" s="1400">
        <v>42.4</v>
      </c>
      <c r="F75" s="677"/>
    </row>
    <row r="76" spans="3:6">
      <c r="C76" s="1234" t="s">
        <v>14325</v>
      </c>
      <c r="D76" s="1400">
        <v>68.09</v>
      </c>
      <c r="F76" s="677"/>
    </row>
    <row r="77" spans="3:6">
      <c r="C77" s="1234" t="s">
        <v>14326</v>
      </c>
      <c r="D77" s="1400">
        <v>79.63</v>
      </c>
      <c r="F77" s="677"/>
    </row>
    <row r="78" spans="3:6">
      <c r="C78" s="1234" t="s">
        <v>14329</v>
      </c>
      <c r="D78" s="1400">
        <v>17.07</v>
      </c>
      <c r="F78" s="677"/>
    </row>
    <row r="79" spans="3:6">
      <c r="C79" s="1234" t="s">
        <v>14330</v>
      </c>
      <c r="D79" s="1400">
        <v>17.07</v>
      </c>
      <c r="F79" s="677"/>
    </row>
    <row r="80" spans="3:6">
      <c r="C80" s="1234" t="s">
        <v>14210</v>
      </c>
      <c r="D80" s="1400">
        <v>4.33</v>
      </c>
      <c r="F80" s="677"/>
    </row>
    <row r="81" spans="3:6">
      <c r="C81" s="1234" t="s">
        <v>14327</v>
      </c>
      <c r="D81" s="1400">
        <v>61.15</v>
      </c>
      <c r="F81" s="677"/>
    </row>
    <row r="82" spans="3:6">
      <c r="C82" s="1234" t="s">
        <v>14283</v>
      </c>
      <c r="D82" s="1400">
        <v>20.96</v>
      </c>
      <c r="F82" s="677"/>
    </row>
    <row r="83" spans="3:6">
      <c r="C83" s="1234" t="s">
        <v>14342</v>
      </c>
      <c r="D83" s="1400">
        <v>8.85</v>
      </c>
      <c r="F83" s="677"/>
    </row>
    <row r="84" spans="3:6">
      <c r="C84" s="1234" t="s">
        <v>14342</v>
      </c>
      <c r="D84" s="1400">
        <v>16.47</v>
      </c>
      <c r="F84" s="677"/>
    </row>
    <row r="85" spans="3:6">
      <c r="C85" s="1234" t="s">
        <v>14342</v>
      </c>
      <c r="D85" s="1400">
        <v>6.87</v>
      </c>
      <c r="F85" s="677"/>
    </row>
    <row r="86" spans="3:6">
      <c r="C86" s="1234" t="s">
        <v>14342</v>
      </c>
      <c r="D86" s="1400">
        <v>6.89</v>
      </c>
      <c r="F86" s="677"/>
    </row>
    <row r="87" spans="3:6">
      <c r="C87" s="1234" t="s">
        <v>14326</v>
      </c>
      <c r="D87" s="1400">
        <v>79.64</v>
      </c>
      <c r="F87" s="677"/>
    </row>
    <row r="88" spans="3:6">
      <c r="C88" s="1234" t="s">
        <v>14323</v>
      </c>
      <c r="D88" s="1400">
        <v>40</v>
      </c>
      <c r="F88" s="677"/>
    </row>
    <row r="89" spans="3:6">
      <c r="C89" s="1820" t="s">
        <v>14340</v>
      </c>
      <c r="D89" s="1821">
        <f>SUM(D35:D88)</f>
        <v>2198.9899999999993</v>
      </c>
      <c r="F89" s="677"/>
    </row>
    <row r="90" spans="3:6">
      <c r="D90" s="677"/>
      <c r="F90" s="677"/>
    </row>
  </sheetData>
  <mergeCells count="14">
    <mergeCell ref="C13:G13"/>
    <mergeCell ref="C15:C17"/>
    <mergeCell ref="C18:C30"/>
    <mergeCell ref="C33:D33"/>
    <mergeCell ref="C9:G9"/>
    <mergeCell ref="C10:G10"/>
    <mergeCell ref="C11:G11"/>
    <mergeCell ref="C12:G12"/>
    <mergeCell ref="C8:G8"/>
    <mergeCell ref="C3:C5"/>
    <mergeCell ref="D3:G4"/>
    <mergeCell ref="D5:G5"/>
    <mergeCell ref="D6:G6"/>
    <mergeCell ref="D7:G7"/>
  </mergeCells>
  <pageMargins left="0.51181102362204722" right="0.51181102362204722" top="0.78740157480314965" bottom="0.78740157480314965" header="0.31496062992125984" footer="0.31496062992125984"/>
  <pageSetup paperSize="9" scale="74"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4C40C-6E6A-43D3-BB17-738CC7E67DD0}">
  <sheetPr>
    <tabColor theme="3" tint="-0.499984740745262"/>
    <pageSetUpPr fitToPage="1"/>
  </sheetPr>
  <dimension ref="C2:J125"/>
  <sheetViews>
    <sheetView view="pageBreakPreview" zoomScale="85" zoomScaleNormal="100" zoomScaleSheetLayoutView="85" workbookViewId="0">
      <selection activeCell="AG38" sqref="AG38"/>
    </sheetView>
  </sheetViews>
  <sheetFormatPr defaultColWidth="9.140625" defaultRowHeight="15"/>
  <cols>
    <col min="3" max="3" width="37.140625" bestFit="1" customWidth="1"/>
    <col min="4" max="4" width="18.7109375" customWidth="1"/>
    <col min="5" max="5" width="39" customWidth="1"/>
    <col min="6" max="6" width="16.28515625" customWidth="1"/>
    <col min="7" max="7" width="20.85546875" customWidth="1"/>
    <col min="8" max="8" width="16.28515625" customWidth="1"/>
  </cols>
  <sheetData>
    <row r="2" spans="3:8" ht="15.75" thickBot="1"/>
    <row r="3" spans="3:8" ht="48" customHeight="1">
      <c r="C3" s="2568"/>
      <c r="D3" s="2570" t="s">
        <v>14513</v>
      </c>
      <c r="E3" s="2570"/>
      <c r="F3" s="2570"/>
      <c r="G3" s="2570"/>
      <c r="H3" s="2570"/>
    </row>
    <row r="4" spans="3:8" ht="30" customHeight="1">
      <c r="C4" s="2569"/>
      <c r="D4" s="2570"/>
      <c r="E4" s="2570"/>
      <c r="F4" s="2570"/>
      <c r="G4" s="2570"/>
      <c r="H4" s="2570"/>
    </row>
    <row r="5" spans="3:8" ht="50.1" customHeight="1" thickBot="1">
      <c r="C5" s="2569"/>
      <c r="D5" s="2571" t="s">
        <v>13363</v>
      </c>
      <c r="E5" s="2571"/>
      <c r="F5" s="2571"/>
      <c r="G5" s="2571"/>
      <c r="H5" s="2571"/>
    </row>
    <row r="6" spans="3:8" ht="15.75">
      <c r="C6" s="1942" t="s">
        <v>5</v>
      </c>
      <c r="D6" s="2572" t="str">
        <f>'ORÇAMENTO '!G11</f>
        <v xml:space="preserve">ESCOLA MUNICIPAL DOMINGOS AZZOLINI </v>
      </c>
      <c r="E6" s="2572"/>
      <c r="F6" s="2572"/>
      <c r="G6" s="2572"/>
      <c r="H6" s="2572"/>
    </row>
    <row r="7" spans="3:8" ht="15.75">
      <c r="C7" s="1943" t="s">
        <v>7</v>
      </c>
      <c r="D7" s="2573" t="str">
        <f>'ORÇAMENTO '!G12</f>
        <v>SANTO ANTONIO DO LESTE</v>
      </c>
      <c r="E7" s="2573"/>
      <c r="F7" s="2573"/>
      <c r="G7" s="2573"/>
      <c r="H7" s="2573"/>
    </row>
    <row r="8" spans="3:8" ht="15.75" customHeight="1" thickBot="1">
      <c r="C8" s="2540"/>
      <c r="D8" s="2541"/>
      <c r="E8" s="2541"/>
      <c r="F8" s="2541"/>
      <c r="G8" s="2541"/>
      <c r="H8" s="2541"/>
    </row>
    <row r="9" spans="3:8" ht="6" customHeight="1" thickBot="1">
      <c r="C9" s="2495"/>
      <c r="D9" s="2496"/>
      <c r="E9" s="2496"/>
      <c r="F9" s="2496"/>
      <c r="G9" s="2496"/>
      <c r="H9" s="1833"/>
    </row>
    <row r="10" spans="3:8" ht="6" customHeight="1">
      <c r="C10" s="2504"/>
      <c r="D10" s="2505"/>
      <c r="E10" s="2505"/>
      <c r="F10" s="2505"/>
      <c r="G10" s="2505"/>
      <c r="H10" s="2505"/>
    </row>
    <row r="11" spans="3:8" ht="21.95" customHeight="1">
      <c r="C11" s="2542" t="s">
        <v>14371</v>
      </c>
      <c r="D11" s="2543"/>
      <c r="E11" s="2543"/>
      <c r="F11" s="2543"/>
      <c r="G11" s="2543"/>
      <c r="H11" s="2543"/>
    </row>
    <row r="12" spans="3:8" ht="6" customHeight="1">
      <c r="C12" s="2504"/>
      <c r="D12" s="2505"/>
      <c r="E12" s="2505"/>
      <c r="F12" s="2505"/>
      <c r="G12" s="2505"/>
      <c r="H12" s="2505"/>
    </row>
    <row r="13" spans="3:8" s="1051" customFormat="1">
      <c r="C13" s="2574" t="s">
        <v>14344</v>
      </c>
      <c r="D13" s="2574"/>
      <c r="E13" s="2574"/>
      <c r="F13" s="2574"/>
      <c r="G13" s="2574"/>
      <c r="H13" s="2574"/>
    </row>
    <row r="14" spans="3:8" s="1051" customFormat="1">
      <c r="C14" s="1774" t="s">
        <v>14345</v>
      </c>
      <c r="D14" s="1827" t="s">
        <v>14346</v>
      </c>
      <c r="E14" s="1827" t="s">
        <v>427</v>
      </c>
      <c r="F14" s="1827" t="s">
        <v>14347</v>
      </c>
      <c r="G14" s="1774" t="s">
        <v>14306</v>
      </c>
      <c r="H14" s="1827" t="s">
        <v>14348</v>
      </c>
    </row>
    <row r="15" spans="3:8" s="1051" customFormat="1" ht="14.25">
      <c r="C15" s="1810" t="s">
        <v>14349</v>
      </c>
      <c r="D15" s="1810">
        <v>28</v>
      </c>
      <c r="E15" s="1941" t="s">
        <v>14350</v>
      </c>
      <c r="F15" s="1810">
        <f>1567.27+671.67</f>
        <v>2238.94</v>
      </c>
      <c r="G15" s="1812" t="s">
        <v>14046</v>
      </c>
      <c r="H15" s="1828">
        <v>0.65239895100528666</v>
      </c>
    </row>
    <row r="16" spans="3:8" s="1051" customFormat="1" ht="14.25">
      <c r="C16" s="1810" t="s">
        <v>14349</v>
      </c>
      <c r="D16" s="1810">
        <v>31</v>
      </c>
      <c r="E16" s="1941" t="s">
        <v>14351</v>
      </c>
      <c r="F16" s="1810">
        <f>56.35+850.43+87.68+221.62</f>
        <v>1216.08</v>
      </c>
      <c r="G16" s="1812" t="s">
        <v>14046</v>
      </c>
      <c r="H16" s="1828">
        <v>0.35435041418640473</v>
      </c>
    </row>
    <row r="17" spans="3:10" s="1051" customFormat="1" ht="14.25">
      <c r="C17" s="1810" t="s">
        <v>3213</v>
      </c>
      <c r="D17" s="1810">
        <v>1330</v>
      </c>
      <c r="E17" s="1941" t="s">
        <v>14352</v>
      </c>
      <c r="F17" s="1810">
        <v>118.73</v>
      </c>
      <c r="G17" s="1812" t="s">
        <v>14046</v>
      </c>
      <c r="H17" s="1828">
        <v>3.4596428422761526E-2</v>
      </c>
    </row>
    <row r="18" spans="3:10" s="1051" customFormat="1" ht="14.25">
      <c r="C18" s="1810" t="s">
        <v>3213</v>
      </c>
      <c r="D18" s="1810">
        <v>11977</v>
      </c>
      <c r="E18" s="1941" t="s">
        <v>14353</v>
      </c>
      <c r="F18" s="1810">
        <v>29.7</v>
      </c>
      <c r="G18" s="1812" t="s">
        <v>14046</v>
      </c>
      <c r="H18" s="1828">
        <v>8.6542063855471855E-3</v>
      </c>
      <c r="J18" s="1829">
        <f>SUM(H15:H18)</f>
        <v>1.0500000000000003</v>
      </c>
    </row>
    <row r="19" spans="3:10" s="1051" customFormat="1" ht="14.25">
      <c r="C19" s="1810" t="s">
        <v>3213</v>
      </c>
      <c r="D19" s="1810">
        <v>100716</v>
      </c>
      <c r="E19" s="1941" t="s">
        <v>14354</v>
      </c>
      <c r="F19" s="1810" t="s">
        <v>14046</v>
      </c>
      <c r="G19" s="1810">
        <v>271.09899999999999</v>
      </c>
      <c r="H19" s="1828">
        <v>7.8994838279981688E-2</v>
      </c>
    </row>
    <row r="20" spans="3:10" s="1051" customFormat="1" ht="14.25">
      <c r="C20" s="1810" t="s">
        <v>3213</v>
      </c>
      <c r="D20" s="1810">
        <v>100719</v>
      </c>
      <c r="E20" s="1941" t="s">
        <v>2984</v>
      </c>
      <c r="F20" s="1810" t="s">
        <v>14046</v>
      </c>
      <c r="G20" s="1810">
        <v>271.09899999999999</v>
      </c>
      <c r="H20" s="1828">
        <v>7.8994838279981688E-2</v>
      </c>
    </row>
    <row r="21" spans="3:10" s="1051" customFormat="1">
      <c r="C21" s="2575" t="s">
        <v>14355</v>
      </c>
      <c r="D21" s="2575"/>
      <c r="E21" s="2575"/>
      <c r="F21" s="1830">
        <f>SUM(F15:F18)</f>
        <v>3603.45</v>
      </c>
      <c r="G21" s="1811"/>
      <c r="H21" s="1831"/>
    </row>
    <row r="22" spans="3:10" s="1051" customFormat="1" ht="14.25"/>
    <row r="23" spans="3:10" s="1051" customFormat="1">
      <c r="C23" s="2576" t="s">
        <v>14356</v>
      </c>
      <c r="D23" s="2576"/>
      <c r="E23" s="2576"/>
      <c r="F23" s="2576"/>
      <c r="G23" s="2576"/>
      <c r="H23" s="2576"/>
    </row>
    <row r="24" spans="3:10" s="1051" customFormat="1">
      <c r="C24" s="1774" t="s">
        <v>14345</v>
      </c>
      <c r="D24" s="1827" t="s">
        <v>14346</v>
      </c>
      <c r="E24" s="1827" t="s">
        <v>427</v>
      </c>
      <c r="F24" s="1827" t="s">
        <v>14347</v>
      </c>
      <c r="G24" s="1774" t="s">
        <v>14306</v>
      </c>
      <c r="H24" s="1827" t="s">
        <v>14348</v>
      </c>
    </row>
    <row r="25" spans="3:10" s="1051" customFormat="1" ht="14.25">
      <c r="C25" s="1810" t="s">
        <v>14349</v>
      </c>
      <c r="D25" s="1810">
        <v>29</v>
      </c>
      <c r="E25" s="1941" t="s">
        <v>14357</v>
      </c>
      <c r="F25" s="1810">
        <f>1131.78+485.04</f>
        <v>1616.82</v>
      </c>
      <c r="G25" s="1812" t="s">
        <v>14046</v>
      </c>
      <c r="H25" s="1828">
        <v>0.63722186355173871</v>
      </c>
    </row>
    <row r="26" spans="3:10" s="1051" customFormat="1" ht="14.25">
      <c r="C26" s="1810" t="s">
        <v>14349</v>
      </c>
      <c r="D26" s="1810">
        <v>31</v>
      </c>
      <c r="E26" s="1941" t="s">
        <v>14351</v>
      </c>
      <c r="F26" s="1810">
        <f>46.1+722.7+171.69</f>
        <v>940.49</v>
      </c>
      <c r="G26" s="1812" t="s">
        <v>14046</v>
      </c>
      <c r="H26" s="1828">
        <v>0.37066636388204915</v>
      </c>
    </row>
    <row r="27" spans="3:10" s="1051" customFormat="1" ht="14.25">
      <c r="C27" s="1810" t="s">
        <v>3213</v>
      </c>
      <c r="D27" s="1810">
        <v>1330</v>
      </c>
      <c r="E27" s="1941" t="s">
        <v>14352</v>
      </c>
      <c r="F27" s="1810">
        <v>79.48</v>
      </c>
      <c r="G27" s="1812" t="s">
        <v>14046</v>
      </c>
      <c r="H27" s="1828">
        <v>3.1324695213500696E-2</v>
      </c>
    </row>
    <row r="28" spans="3:10" s="1051" customFormat="1" ht="14.25">
      <c r="C28" s="1810" t="s">
        <v>3213</v>
      </c>
      <c r="D28" s="1810">
        <v>11977</v>
      </c>
      <c r="E28" s="1941" t="s">
        <v>14353</v>
      </c>
      <c r="F28" s="1810">
        <v>27.37</v>
      </c>
      <c r="G28" s="1812" t="s">
        <v>14046</v>
      </c>
      <c r="H28" s="1828">
        <v>1.078707735271155E-2</v>
      </c>
      <c r="J28" s="1829">
        <f>SUM(H25:H28)</f>
        <v>1.05</v>
      </c>
    </row>
    <row r="29" spans="3:10" s="1051" customFormat="1" ht="14.25">
      <c r="C29" s="1810" t="s">
        <v>3213</v>
      </c>
      <c r="D29" s="1810">
        <v>100716</v>
      </c>
      <c r="E29" s="1941" t="s">
        <v>14354</v>
      </c>
      <c r="F29" s="1810" t="s">
        <v>14046</v>
      </c>
      <c r="G29" s="1810">
        <v>215.11799999999999</v>
      </c>
      <c r="H29" s="1828">
        <v>8.4782407963485684E-2</v>
      </c>
    </row>
    <row r="30" spans="3:10" s="1051" customFormat="1" ht="14.25">
      <c r="C30" s="1810" t="s">
        <v>3213</v>
      </c>
      <c r="D30" s="1810">
        <v>100719</v>
      </c>
      <c r="E30" s="1941" t="s">
        <v>2984</v>
      </c>
      <c r="F30" s="1810" t="s">
        <v>14046</v>
      </c>
      <c r="G30" s="1810">
        <v>215.11799999999999</v>
      </c>
      <c r="H30" s="1828">
        <v>8.4782407963485684E-2</v>
      </c>
    </row>
    <row r="31" spans="3:10" s="1051" customFormat="1">
      <c r="C31" s="2575" t="s">
        <v>14355</v>
      </c>
      <c r="D31" s="2575"/>
      <c r="E31" s="2575"/>
      <c r="F31" s="1830">
        <f>SUM(F25:F28)</f>
        <v>2664.16</v>
      </c>
      <c r="G31" s="1811"/>
      <c r="H31" s="1831"/>
    </row>
    <row r="32" spans="3:10" s="1051" customFormat="1" ht="14.25"/>
    <row r="33" spans="3:10" s="1051" customFormat="1">
      <c r="C33" s="2576" t="s">
        <v>14358</v>
      </c>
      <c r="D33" s="2576"/>
      <c r="E33" s="2576"/>
      <c r="F33" s="2576"/>
      <c r="G33" s="2576"/>
      <c r="H33" s="2576"/>
    </row>
    <row r="34" spans="3:10" s="1051" customFormat="1">
      <c r="C34" s="1774" t="s">
        <v>14345</v>
      </c>
      <c r="D34" s="1827" t="s">
        <v>14346</v>
      </c>
      <c r="E34" s="1827" t="s">
        <v>427</v>
      </c>
      <c r="F34" s="1827" t="s">
        <v>14347</v>
      </c>
      <c r="G34" s="1774" t="s">
        <v>14306</v>
      </c>
      <c r="H34" s="1827" t="s">
        <v>14348</v>
      </c>
    </row>
    <row r="35" spans="3:10" s="1051" customFormat="1" ht="14.25">
      <c r="C35" s="1810" t="s">
        <v>14349</v>
      </c>
      <c r="D35" s="1810">
        <v>29</v>
      </c>
      <c r="E35" s="1941" t="s">
        <v>14357</v>
      </c>
      <c r="F35" s="1810">
        <f>117.21+566.19+1303.75+6.05</f>
        <v>1993.2</v>
      </c>
      <c r="G35" s="1812" t="s">
        <v>14046</v>
      </c>
      <c r="H35" s="1828">
        <v>0.15286191548135369</v>
      </c>
    </row>
    <row r="36" spans="3:10" s="1051" customFormat="1" ht="14.25">
      <c r="C36" s="1810" t="s">
        <v>14349</v>
      </c>
      <c r="D36" s="1810">
        <v>31</v>
      </c>
      <c r="E36" s="1941" t="s">
        <v>14351</v>
      </c>
      <c r="F36" s="1810">
        <f>737.45+548.79+286.38+479.32+2396.61+1001.23</f>
        <v>5449.7800000000007</v>
      </c>
      <c r="G36" s="1812" t="s">
        <v>14046</v>
      </c>
      <c r="H36" s="1828">
        <v>0.41795294488860718</v>
      </c>
    </row>
    <row r="37" spans="3:10" s="1051" customFormat="1" ht="14.25">
      <c r="C37" s="1810" t="s">
        <v>14349</v>
      </c>
      <c r="D37" s="1810">
        <v>82</v>
      </c>
      <c r="E37" s="1941" t="s">
        <v>14359</v>
      </c>
      <c r="F37" s="1810">
        <f>5062.43</f>
        <v>5062.43</v>
      </c>
      <c r="G37" s="1812" t="s">
        <v>14046</v>
      </c>
      <c r="H37" s="1828">
        <v>0.38824641119319153</v>
      </c>
    </row>
    <row r="38" spans="3:10" s="1051" customFormat="1" ht="14.25">
      <c r="C38" s="1810" t="s">
        <v>14349</v>
      </c>
      <c r="D38" s="1810">
        <v>27</v>
      </c>
      <c r="E38" s="1941" t="s">
        <v>14360</v>
      </c>
      <c r="F38" s="1810">
        <f>358.71</f>
        <v>358.71</v>
      </c>
      <c r="G38" s="1812" t="s">
        <v>14046</v>
      </c>
      <c r="H38" s="1828">
        <v>2.7510083133813153E-2</v>
      </c>
    </row>
    <row r="39" spans="3:10" s="1051" customFormat="1" ht="14.25">
      <c r="C39" s="1810" t="s">
        <v>14349</v>
      </c>
      <c r="D39" s="1810">
        <v>30</v>
      </c>
      <c r="E39" s="1941" t="s">
        <v>14361</v>
      </c>
      <c r="F39" s="1810">
        <f>289.69</f>
        <v>289.69</v>
      </c>
      <c r="G39" s="1812" t="s">
        <v>14046</v>
      </c>
      <c r="H39" s="1828">
        <v>2.2216821340454222E-2</v>
      </c>
    </row>
    <row r="40" spans="3:10" s="1051" customFormat="1" ht="14.25">
      <c r="C40" s="1810" t="s">
        <v>14349</v>
      </c>
      <c r="D40" s="1810">
        <v>32</v>
      </c>
      <c r="E40" s="1941" t="s">
        <v>14362</v>
      </c>
      <c r="F40" s="1810">
        <v>256.37</v>
      </c>
      <c r="G40" s="1812" t="s">
        <v>14046</v>
      </c>
      <c r="H40" s="1828">
        <v>1.9661453578143012E-2</v>
      </c>
    </row>
    <row r="41" spans="3:10" s="1051" customFormat="1" ht="14.25">
      <c r="C41" s="1810" t="s">
        <v>3213</v>
      </c>
      <c r="D41" s="1810">
        <v>1330</v>
      </c>
      <c r="E41" s="1941" t="s">
        <v>14352</v>
      </c>
      <c r="F41" s="1810">
        <v>203.12</v>
      </c>
      <c r="G41" s="1812" t="s">
        <v>14046</v>
      </c>
      <c r="H41" s="1828">
        <v>1.5577620044437367E-2</v>
      </c>
    </row>
    <row r="42" spans="3:10" s="1051" customFormat="1" ht="14.25">
      <c r="C42" s="1810" t="s">
        <v>3213</v>
      </c>
      <c r="D42" s="1810">
        <v>11977</v>
      </c>
      <c r="E42" s="1941" t="s">
        <v>14353</v>
      </c>
      <c r="F42" s="1810">
        <v>77.88</v>
      </c>
      <c r="G42" s="1812" t="s">
        <v>14046</v>
      </c>
      <c r="H42" s="1828">
        <v>5.9727503399999125E-3</v>
      </c>
      <c r="J42" s="1829">
        <f>SUM(H35:H42)</f>
        <v>1.05</v>
      </c>
    </row>
    <row r="43" spans="3:10" s="1051" customFormat="1" ht="14.25">
      <c r="C43" s="1810" t="s">
        <v>3213</v>
      </c>
      <c r="D43" s="1810">
        <v>100716</v>
      </c>
      <c r="E43" s="1941" t="s">
        <v>14354</v>
      </c>
      <c r="F43" s="1810" t="s">
        <v>14046</v>
      </c>
      <c r="G43" s="1810">
        <v>1063.1389999999999</v>
      </c>
      <c r="H43" s="1828">
        <v>8.1533947402634394E-2</v>
      </c>
    </row>
    <row r="44" spans="3:10" s="1051" customFormat="1" ht="14.25">
      <c r="C44" s="1810" t="s">
        <v>3213</v>
      </c>
      <c r="D44" s="1810">
        <v>100719</v>
      </c>
      <c r="E44" s="1941" t="s">
        <v>2984</v>
      </c>
      <c r="F44" s="1810" t="s">
        <v>14046</v>
      </c>
      <c r="G44" s="1810">
        <v>1063.1389999999999</v>
      </c>
      <c r="H44" s="1828">
        <v>8.1533947402634394E-2</v>
      </c>
    </row>
    <row r="45" spans="3:10" s="1051" customFormat="1">
      <c r="C45" s="2575" t="s">
        <v>14355</v>
      </c>
      <c r="D45" s="2575"/>
      <c r="E45" s="2575"/>
      <c r="F45" s="1830">
        <f>SUM(F35:F44)</f>
        <v>13691.18</v>
      </c>
      <c r="G45" s="1811"/>
      <c r="H45" s="1831"/>
    </row>
    <row r="46" spans="3:10" s="1051" customFormat="1" ht="14.25"/>
    <row r="47" spans="3:10" s="1051" customFormat="1">
      <c r="C47" s="2576" t="s">
        <v>14363</v>
      </c>
      <c r="D47" s="2576"/>
      <c r="E47" s="2576"/>
      <c r="F47" s="2576"/>
      <c r="G47" s="2576"/>
      <c r="H47" s="2576"/>
    </row>
    <row r="48" spans="3:10" s="1051" customFormat="1">
      <c r="C48" s="1774" t="s">
        <v>14345</v>
      </c>
      <c r="D48" s="1827" t="s">
        <v>14346</v>
      </c>
      <c r="E48" s="1827" t="s">
        <v>427</v>
      </c>
      <c r="F48" s="1827" t="s">
        <v>14347</v>
      </c>
      <c r="G48" s="1774" t="s">
        <v>14306</v>
      </c>
      <c r="H48" s="1827" t="s">
        <v>14348</v>
      </c>
    </row>
    <row r="49" spans="3:10" s="1051" customFormat="1" ht="14.25">
      <c r="C49" s="1810" t="s">
        <v>14349</v>
      </c>
      <c r="D49" s="1810">
        <v>31</v>
      </c>
      <c r="E49" s="1941" t="s">
        <v>14351</v>
      </c>
      <c r="F49" s="1810">
        <v>213.82</v>
      </c>
      <c r="G49" s="1812" t="s">
        <v>14046</v>
      </c>
      <c r="H49" s="1828">
        <v>0.96006414368184745</v>
      </c>
    </row>
    <row r="50" spans="3:10" s="1051" customFormat="1" ht="14.25">
      <c r="C50" s="1810" t="s">
        <v>3213</v>
      </c>
      <c r="D50" s="1810">
        <v>1330</v>
      </c>
      <c r="E50" s="1941" t="s">
        <v>14352</v>
      </c>
      <c r="F50" s="1810">
        <v>9.89</v>
      </c>
      <c r="G50" s="1812" t="s">
        <v>14046</v>
      </c>
      <c r="H50" s="1828">
        <v>4.4406670942912133E-2</v>
      </c>
    </row>
    <row r="51" spans="3:10" s="1051" customFormat="1" ht="14.25">
      <c r="C51" s="1810" t="s">
        <v>3213</v>
      </c>
      <c r="D51" s="1810">
        <v>11977</v>
      </c>
      <c r="E51" s="1941" t="s">
        <v>14353</v>
      </c>
      <c r="F51" s="1810">
        <v>10.14</v>
      </c>
      <c r="G51" s="1812" t="s">
        <v>14046</v>
      </c>
      <c r="H51" s="1828">
        <v>4.5529185375240547E-2</v>
      </c>
      <c r="J51" s="1829">
        <f>SUM(H49:H51)</f>
        <v>1.0500000000000003</v>
      </c>
    </row>
    <row r="52" spans="3:10" s="1051" customFormat="1" ht="14.25">
      <c r="C52" s="1810" t="s">
        <v>3213</v>
      </c>
      <c r="D52" s="1810">
        <v>100716</v>
      </c>
      <c r="E52" s="1941" t="s">
        <v>14354</v>
      </c>
      <c r="F52" s="1810" t="s">
        <v>14046</v>
      </c>
      <c r="G52" s="1810">
        <v>26.35</v>
      </c>
      <c r="H52" s="1828">
        <v>0.11831302116741504</v>
      </c>
    </row>
    <row r="53" spans="3:10" s="1051" customFormat="1" ht="14.25">
      <c r="C53" s="1810" t="s">
        <v>3213</v>
      </c>
      <c r="D53" s="1810">
        <v>100719</v>
      </c>
      <c r="E53" s="1941" t="s">
        <v>2984</v>
      </c>
      <c r="F53" s="1810" t="s">
        <v>14046</v>
      </c>
      <c r="G53" s="1810">
        <v>26.35</v>
      </c>
      <c r="H53" s="1828">
        <v>0.11831302116741504</v>
      </c>
    </row>
    <row r="54" spans="3:10" s="1051" customFormat="1">
      <c r="C54" s="2575" t="s">
        <v>14355</v>
      </c>
      <c r="D54" s="2575"/>
      <c r="E54" s="2575"/>
      <c r="F54" s="1830">
        <f>SUM(F49:F53)</f>
        <v>233.84999999999997</v>
      </c>
      <c r="G54" s="1811"/>
      <c r="H54" s="1832"/>
    </row>
    <row r="55" spans="3:10" s="1051" customFormat="1" ht="14.25"/>
    <row r="56" spans="3:10" s="1051" customFormat="1">
      <c r="C56" s="2576" t="s">
        <v>14364</v>
      </c>
      <c r="D56" s="2576"/>
      <c r="E56" s="2576"/>
      <c r="F56" s="2576"/>
      <c r="G56" s="2576"/>
      <c r="H56" s="2576"/>
    </row>
    <row r="57" spans="3:10" s="1051" customFormat="1">
      <c r="C57" s="1774" t="s">
        <v>14345</v>
      </c>
      <c r="D57" s="1827" t="s">
        <v>14346</v>
      </c>
      <c r="E57" s="1827" t="s">
        <v>427</v>
      </c>
      <c r="F57" s="1827" t="s">
        <v>14347</v>
      </c>
      <c r="G57" s="1774" t="s">
        <v>14306</v>
      </c>
      <c r="H57" s="1827" t="s">
        <v>14348</v>
      </c>
    </row>
    <row r="58" spans="3:10" s="1051" customFormat="1" ht="14.25">
      <c r="C58" s="1810" t="s">
        <v>14349</v>
      </c>
      <c r="D58" s="1810">
        <v>31</v>
      </c>
      <c r="E58" s="1941" t="s">
        <v>14351</v>
      </c>
      <c r="F58" s="1810">
        <f>19.41+103.41+32.35</f>
        <v>155.16999999999999</v>
      </c>
      <c r="G58" s="1812" t="s">
        <v>14046</v>
      </c>
      <c r="H58" s="1828">
        <v>0.38117279618192029</v>
      </c>
    </row>
    <row r="59" spans="3:10" s="1051" customFormat="1" ht="14.25">
      <c r="C59" s="1810" t="s">
        <v>14349</v>
      </c>
      <c r="D59" s="1810">
        <v>27</v>
      </c>
      <c r="E59" s="1941" t="s">
        <v>14360</v>
      </c>
      <c r="F59" s="1810">
        <v>252.24</v>
      </c>
      <c r="G59" s="1812" t="s">
        <v>14046</v>
      </c>
      <c r="H59" s="1828">
        <v>0.61962380685008434</v>
      </c>
    </row>
    <row r="60" spans="3:10" s="1051" customFormat="1" ht="14.25">
      <c r="C60" s="1810" t="s">
        <v>3213</v>
      </c>
      <c r="D60" s="1810">
        <v>1330</v>
      </c>
      <c r="E60" s="1941" t="s">
        <v>14352</v>
      </c>
      <c r="F60" s="1810">
        <v>9.89</v>
      </c>
      <c r="G60" s="1812" t="s">
        <v>14046</v>
      </c>
      <c r="H60" s="1828">
        <v>2.4294637843907924E-2</v>
      </c>
    </row>
    <row r="61" spans="3:10" s="1051" customFormat="1" ht="14.25">
      <c r="C61" s="1810" t="s">
        <v>3213</v>
      </c>
      <c r="D61" s="1810">
        <v>11977</v>
      </c>
      <c r="E61" s="1941" t="s">
        <v>14353</v>
      </c>
      <c r="F61" s="1810">
        <v>10.14</v>
      </c>
      <c r="G61" s="1812" t="s">
        <v>14046</v>
      </c>
      <c r="H61" s="1828">
        <v>2.4908759124087597E-2</v>
      </c>
      <c r="J61" s="1829">
        <f>SUM(H58:H61)</f>
        <v>1.05</v>
      </c>
    </row>
    <row r="62" spans="3:10" s="1051" customFormat="1" ht="14.25">
      <c r="C62" s="1810" t="s">
        <v>3213</v>
      </c>
      <c r="D62" s="1810">
        <v>100716</v>
      </c>
      <c r="E62" s="1941" t="s">
        <v>14354</v>
      </c>
      <c r="F62" s="1810" t="s">
        <v>14046</v>
      </c>
      <c r="G62" s="1810">
        <v>26.35</v>
      </c>
      <c r="H62" s="1828">
        <v>6.4728382930937689E-2</v>
      </c>
    </row>
    <row r="63" spans="3:10" s="1051" customFormat="1" ht="14.25">
      <c r="C63" s="1810" t="s">
        <v>3213</v>
      </c>
      <c r="D63" s="1810">
        <v>100719</v>
      </c>
      <c r="E63" s="1941" t="s">
        <v>2984</v>
      </c>
      <c r="F63" s="1810" t="s">
        <v>14046</v>
      </c>
      <c r="G63" s="1810">
        <v>26.35</v>
      </c>
      <c r="H63" s="1828">
        <v>6.4728382930937689E-2</v>
      </c>
    </row>
    <row r="64" spans="3:10" s="1051" customFormat="1">
      <c r="C64" s="2575" t="s">
        <v>14355</v>
      </c>
      <c r="D64" s="2575"/>
      <c r="E64" s="2575"/>
      <c r="F64" s="1830">
        <f>SUM(F58:F63)</f>
        <v>427.43999999999994</v>
      </c>
      <c r="G64" s="1811"/>
      <c r="H64" s="1831"/>
    </row>
    <row r="65" spans="3:10" s="1051" customFormat="1" ht="14.25"/>
    <row r="66" spans="3:10" s="1051" customFormat="1">
      <c r="C66" s="2576" t="s">
        <v>14365</v>
      </c>
      <c r="D66" s="2576"/>
      <c r="E66" s="2576"/>
      <c r="F66" s="2576"/>
      <c r="G66" s="2576"/>
      <c r="H66" s="2576"/>
    </row>
    <row r="67" spans="3:10" s="1051" customFormat="1">
      <c r="C67" s="1774" t="s">
        <v>14345</v>
      </c>
      <c r="D67" s="1827" t="s">
        <v>14346</v>
      </c>
      <c r="E67" s="1827" t="s">
        <v>427</v>
      </c>
      <c r="F67" s="1827" t="s">
        <v>14347</v>
      </c>
      <c r="G67" s="1774" t="s">
        <v>14306</v>
      </c>
      <c r="H67" s="1827" t="s">
        <v>14348</v>
      </c>
    </row>
    <row r="68" spans="3:10" s="1051" customFormat="1" ht="14.25">
      <c r="C68" s="1810" t="s">
        <v>14349</v>
      </c>
      <c r="D68" s="1810">
        <v>31</v>
      </c>
      <c r="E68" s="1941" t="s">
        <v>14351</v>
      </c>
      <c r="F68" s="1810">
        <v>182.18</v>
      </c>
      <c r="G68" s="1812" t="s">
        <v>14046</v>
      </c>
      <c r="H68" s="1828">
        <v>0.94599179071262562</v>
      </c>
    </row>
    <row r="69" spans="3:10" s="1051" customFormat="1" ht="14.25">
      <c r="C69" s="1810" t="s">
        <v>3213</v>
      </c>
      <c r="D69" s="1810">
        <v>1330</v>
      </c>
      <c r="E69" s="1941" t="s">
        <v>14352</v>
      </c>
      <c r="F69" s="1810">
        <v>9.89</v>
      </c>
      <c r="G69" s="1812" t="s">
        <v>14046</v>
      </c>
      <c r="H69" s="1828">
        <v>5.1355026952178438E-2</v>
      </c>
    </row>
    <row r="70" spans="3:10" s="1051" customFormat="1" ht="14.25">
      <c r="C70" s="1810" t="s">
        <v>3213</v>
      </c>
      <c r="D70" s="1810">
        <v>11977</v>
      </c>
      <c r="E70" s="1941" t="s">
        <v>14353</v>
      </c>
      <c r="F70" s="1810">
        <v>10.14</v>
      </c>
      <c r="G70" s="1812" t="s">
        <v>14046</v>
      </c>
      <c r="H70" s="1828">
        <v>5.2653182335196093E-2</v>
      </c>
      <c r="J70" s="1829">
        <f>SUM(H68:H70)</f>
        <v>1.05</v>
      </c>
    </row>
    <row r="71" spans="3:10" s="1051" customFormat="1" ht="14.25">
      <c r="C71" s="1810" t="s">
        <v>3213</v>
      </c>
      <c r="D71" s="1810">
        <v>100716</v>
      </c>
      <c r="E71" s="1941" t="s">
        <v>14354</v>
      </c>
      <c r="F71" s="1810" t="s">
        <v>14046</v>
      </c>
      <c r="G71" s="1810">
        <v>22.33</v>
      </c>
      <c r="H71" s="1828">
        <v>0.11595123881113695</v>
      </c>
    </row>
    <row r="72" spans="3:10" s="1051" customFormat="1" ht="14.25">
      <c r="C72" s="1810" t="s">
        <v>3213</v>
      </c>
      <c r="D72" s="1810">
        <v>100719</v>
      </c>
      <c r="E72" s="1941" t="s">
        <v>2984</v>
      </c>
      <c r="F72" s="1810" t="s">
        <v>14046</v>
      </c>
      <c r="G72" s="1810">
        <v>22.33</v>
      </c>
      <c r="H72" s="1828">
        <v>0.11595123881113695</v>
      </c>
    </row>
    <row r="73" spans="3:10" s="1051" customFormat="1">
      <c r="C73" s="2575" t="s">
        <v>14355</v>
      </c>
      <c r="D73" s="2575"/>
      <c r="E73" s="2575"/>
      <c r="F73" s="1830">
        <f>SUM(F68:F72)</f>
        <v>202.20999999999998</v>
      </c>
      <c r="G73" s="1811"/>
      <c r="H73" s="1831"/>
    </row>
    <row r="74" spans="3:10" s="1051" customFormat="1" ht="14.25"/>
    <row r="75" spans="3:10" s="1051" customFormat="1">
      <c r="C75" s="2576" t="s">
        <v>14366</v>
      </c>
      <c r="D75" s="2576"/>
      <c r="E75" s="2576"/>
      <c r="F75" s="2576"/>
      <c r="G75" s="2576"/>
      <c r="H75" s="2576"/>
    </row>
    <row r="76" spans="3:10" s="1051" customFormat="1">
      <c r="C76" s="1774" t="s">
        <v>14345</v>
      </c>
      <c r="D76" s="1827" t="s">
        <v>14346</v>
      </c>
      <c r="E76" s="1827" t="s">
        <v>427</v>
      </c>
      <c r="F76" s="1827" t="s">
        <v>14347</v>
      </c>
      <c r="G76" s="1774" t="s">
        <v>14306</v>
      </c>
      <c r="H76" s="1827" t="s">
        <v>14348</v>
      </c>
    </row>
    <row r="77" spans="3:10" s="1051" customFormat="1" ht="14.25">
      <c r="C77" s="1810" t="s">
        <v>14349</v>
      </c>
      <c r="D77" s="1810">
        <v>31</v>
      </c>
      <c r="E77" s="1941" t="s">
        <v>14351</v>
      </c>
      <c r="F77" s="1810">
        <f>25.88+229.63+175.75+44.76</f>
        <v>476.02</v>
      </c>
      <c r="G77" s="1812" t="s">
        <v>14046</v>
      </c>
      <c r="H77" s="1828">
        <v>0.54667665620317407</v>
      </c>
    </row>
    <row r="78" spans="3:10" s="1051" customFormat="1" ht="14.25">
      <c r="C78" s="1810" t="s">
        <v>14349</v>
      </c>
      <c r="D78" s="1810">
        <v>29</v>
      </c>
      <c r="E78" s="1941" t="s">
        <v>14357</v>
      </c>
      <c r="F78" s="1810">
        <v>200.86</v>
      </c>
      <c r="G78" s="1812" t="s">
        <v>14046</v>
      </c>
      <c r="H78" s="1828">
        <v>0.23067407496527362</v>
      </c>
    </row>
    <row r="79" spans="3:10" s="1051" customFormat="1" ht="14.25">
      <c r="C79" s="1810" t="s">
        <v>14349</v>
      </c>
      <c r="D79" s="1810">
        <v>28</v>
      </c>
      <c r="E79" s="1941" t="s">
        <v>14350</v>
      </c>
      <c r="F79" s="1810">
        <v>229.63</v>
      </c>
      <c r="G79" s="1812" t="s">
        <v>14046</v>
      </c>
      <c r="H79" s="1828">
        <v>0.26371446696343614</v>
      </c>
    </row>
    <row r="80" spans="3:10" s="1051" customFormat="1" ht="14.25">
      <c r="C80" s="1810" t="s">
        <v>3213</v>
      </c>
      <c r="D80" s="1810">
        <v>1330</v>
      </c>
      <c r="E80" s="1941" t="s">
        <v>14352</v>
      </c>
      <c r="F80" s="1810">
        <v>4.4000000000000004</v>
      </c>
      <c r="G80" s="1812" t="s">
        <v>14046</v>
      </c>
      <c r="H80" s="1828">
        <v>5.0531013135875942E-3</v>
      </c>
    </row>
    <row r="81" spans="3:10" s="1051" customFormat="1" ht="14.25">
      <c r="C81" s="1810" t="s">
        <v>3213</v>
      </c>
      <c r="D81" s="1810">
        <v>11977</v>
      </c>
      <c r="E81" s="1941" t="s">
        <v>14353</v>
      </c>
      <c r="F81" s="1810">
        <v>3.38</v>
      </c>
      <c r="G81" s="1812" t="s">
        <v>14046</v>
      </c>
      <c r="H81" s="1828">
        <v>3.8817005545286509E-3</v>
      </c>
      <c r="J81" s="1829">
        <f>SUM(H77:H81)</f>
        <v>1.05</v>
      </c>
    </row>
    <row r="82" spans="3:10" s="1051" customFormat="1" ht="14.25">
      <c r="C82" s="1810" t="s">
        <v>3213</v>
      </c>
      <c r="D82" s="1810">
        <v>100716</v>
      </c>
      <c r="E82" s="1941" t="s">
        <v>14354</v>
      </c>
      <c r="F82" s="1810" t="s">
        <v>14046</v>
      </c>
      <c r="G82" s="1810">
        <v>68.736999999999995</v>
      </c>
      <c r="H82" s="1828">
        <v>7.8939778407288719E-2</v>
      </c>
    </row>
    <row r="83" spans="3:10" s="1051" customFormat="1" ht="14.25">
      <c r="C83" s="1810" t="s">
        <v>3213</v>
      </c>
      <c r="D83" s="1810">
        <v>100719</v>
      </c>
      <c r="E83" s="1941" t="s">
        <v>2984</v>
      </c>
      <c r="F83" s="1810" t="s">
        <v>14046</v>
      </c>
      <c r="G83" s="1810">
        <v>68.736999999999995</v>
      </c>
      <c r="H83" s="1828">
        <v>7.8939778407288719E-2</v>
      </c>
    </row>
    <row r="84" spans="3:10" s="1051" customFormat="1">
      <c r="C84" s="2575" t="s">
        <v>14355</v>
      </c>
      <c r="D84" s="2575"/>
      <c r="E84" s="2575"/>
      <c r="F84" s="1830">
        <f>SUM(F77:F83)</f>
        <v>914.29</v>
      </c>
      <c r="G84" s="1811"/>
      <c r="H84" s="1831"/>
    </row>
    <row r="85" spans="3:10" s="1051" customFormat="1" ht="14.25"/>
    <row r="86" spans="3:10" s="1051" customFormat="1">
      <c r="C86" s="2576" t="s">
        <v>14367</v>
      </c>
      <c r="D86" s="2576"/>
      <c r="E86" s="2576"/>
      <c r="F86" s="2576"/>
      <c r="G86" s="2576"/>
      <c r="H86" s="2576"/>
    </row>
    <row r="87" spans="3:10" s="1051" customFormat="1">
      <c r="C87" s="1774" t="s">
        <v>14345</v>
      </c>
      <c r="D87" s="1827" t="s">
        <v>14346</v>
      </c>
      <c r="E87" s="1827" t="s">
        <v>427</v>
      </c>
      <c r="F87" s="1827" t="s">
        <v>14347</v>
      </c>
      <c r="G87" s="1774" t="s">
        <v>14306</v>
      </c>
      <c r="H87" s="1827" t="s">
        <v>14348</v>
      </c>
    </row>
    <row r="88" spans="3:10" s="1051" customFormat="1" ht="14.25">
      <c r="C88" s="1810" t="s">
        <v>14349</v>
      </c>
      <c r="D88" s="1810">
        <v>31</v>
      </c>
      <c r="E88" s="1941" t="s">
        <v>14351</v>
      </c>
      <c r="F88" s="1810">
        <f>25.88+229.63+175.75+44.76</f>
        <v>476.02</v>
      </c>
      <c r="G88" s="1812" t="s">
        <v>14046</v>
      </c>
      <c r="H88" s="1828">
        <v>0.54667665620317407</v>
      </c>
    </row>
    <row r="89" spans="3:10" s="1051" customFormat="1" ht="14.25">
      <c r="C89" s="1810" t="s">
        <v>14349</v>
      </c>
      <c r="D89" s="1810">
        <v>29</v>
      </c>
      <c r="E89" s="1941" t="s">
        <v>14357</v>
      </c>
      <c r="F89" s="1810">
        <v>200.86</v>
      </c>
      <c r="G89" s="1812" t="s">
        <v>14046</v>
      </c>
      <c r="H89" s="1828">
        <v>0.23067407496527362</v>
      </c>
    </row>
    <row r="90" spans="3:10" s="1051" customFormat="1" ht="14.25">
      <c r="C90" s="1810" t="s">
        <v>14349</v>
      </c>
      <c r="D90" s="1810">
        <v>28</v>
      </c>
      <c r="E90" s="1941" t="s">
        <v>14350</v>
      </c>
      <c r="F90" s="1810">
        <v>229.63</v>
      </c>
      <c r="G90" s="1812" t="s">
        <v>14046</v>
      </c>
      <c r="H90" s="1828">
        <v>0.26371446696343614</v>
      </c>
    </row>
    <row r="91" spans="3:10" s="1051" customFormat="1" ht="14.25">
      <c r="C91" s="1810" t="s">
        <v>3213</v>
      </c>
      <c r="D91" s="1810">
        <v>1330</v>
      </c>
      <c r="E91" s="1941" t="s">
        <v>14352</v>
      </c>
      <c r="F91" s="1810">
        <v>4.4000000000000004</v>
      </c>
      <c r="G91" s="1812" t="s">
        <v>14046</v>
      </c>
      <c r="H91" s="1828">
        <v>5.0531013135875942E-3</v>
      </c>
    </row>
    <row r="92" spans="3:10" s="1051" customFormat="1" ht="14.25">
      <c r="C92" s="1810" t="s">
        <v>3213</v>
      </c>
      <c r="D92" s="1810">
        <v>11977</v>
      </c>
      <c r="E92" s="1941" t="s">
        <v>14353</v>
      </c>
      <c r="F92" s="1810">
        <v>3.38</v>
      </c>
      <c r="G92" s="1812" t="s">
        <v>14046</v>
      </c>
      <c r="H92" s="1828">
        <v>3.8817005545286509E-3</v>
      </c>
      <c r="J92" s="1829">
        <f>SUM(H88:H92)</f>
        <v>1.05</v>
      </c>
    </row>
    <row r="93" spans="3:10" s="1051" customFormat="1" ht="14.25">
      <c r="C93" s="1810" t="s">
        <v>3213</v>
      </c>
      <c r="D93" s="1810">
        <v>100716</v>
      </c>
      <c r="E93" s="1941" t="s">
        <v>14354</v>
      </c>
      <c r="F93" s="1810" t="s">
        <v>14046</v>
      </c>
      <c r="G93" s="1810">
        <v>68.736999999999995</v>
      </c>
      <c r="H93" s="1828">
        <v>7.8939778407288719E-2</v>
      </c>
    </row>
    <row r="94" spans="3:10" s="1051" customFormat="1" ht="14.25">
      <c r="C94" s="1810" t="s">
        <v>3213</v>
      </c>
      <c r="D94" s="1810">
        <v>100719</v>
      </c>
      <c r="E94" s="1941" t="s">
        <v>2984</v>
      </c>
      <c r="F94" s="1810" t="s">
        <v>14046</v>
      </c>
      <c r="G94" s="1810">
        <v>68.736999999999995</v>
      </c>
      <c r="H94" s="1828">
        <v>7.8939778407288719E-2</v>
      </c>
    </row>
    <row r="95" spans="3:10" s="1051" customFormat="1">
      <c r="C95" s="2575" t="s">
        <v>14355</v>
      </c>
      <c r="D95" s="2575"/>
      <c r="E95" s="2575"/>
      <c r="F95" s="1830">
        <f>SUM(F88:F94)</f>
        <v>914.29</v>
      </c>
      <c r="G95" s="1811"/>
      <c r="H95" s="1831"/>
    </row>
    <row r="96" spans="3:10" s="1051" customFormat="1" ht="14.25"/>
    <row r="97" spans="3:10" s="1051" customFormat="1">
      <c r="C97" s="2576" t="s">
        <v>14368</v>
      </c>
      <c r="D97" s="2576"/>
      <c r="E97" s="2576"/>
      <c r="F97" s="2576"/>
      <c r="G97" s="2576"/>
      <c r="H97" s="2576"/>
    </row>
    <row r="98" spans="3:10" s="1051" customFormat="1">
      <c r="C98" s="1774" t="s">
        <v>14345</v>
      </c>
      <c r="D98" s="1827" t="s">
        <v>14346</v>
      </c>
      <c r="E98" s="1827" t="s">
        <v>427</v>
      </c>
      <c r="F98" s="1827" t="s">
        <v>14347</v>
      </c>
      <c r="G98" s="1774" t="s">
        <v>14306</v>
      </c>
      <c r="H98" s="1827" t="s">
        <v>14348</v>
      </c>
    </row>
    <row r="99" spans="3:10" s="1051" customFormat="1" ht="14.25">
      <c r="C99" s="1810" t="s">
        <v>14349</v>
      </c>
      <c r="D99" s="1810">
        <v>31</v>
      </c>
      <c r="E99" s="1941" t="s">
        <v>14351</v>
      </c>
      <c r="F99" s="1810">
        <v>281.69</v>
      </c>
      <c r="G99" s="1812" t="s">
        <v>14046</v>
      </c>
      <c r="H99" s="1828">
        <v>0.93195481614519327</v>
      </c>
    </row>
    <row r="100" spans="3:10" s="1051" customFormat="1" ht="14.25">
      <c r="C100" s="1810" t="s">
        <v>3213</v>
      </c>
      <c r="D100" s="1810">
        <v>1330</v>
      </c>
      <c r="E100" s="1941" t="s">
        <v>14352</v>
      </c>
      <c r="F100" s="1810">
        <v>19.489999999999998</v>
      </c>
      <c r="G100" s="1812" t="s">
        <v>14046</v>
      </c>
      <c r="H100" s="1828">
        <v>6.4481519992437841E-2</v>
      </c>
    </row>
    <row r="101" spans="3:10" s="1051" customFormat="1" ht="14.25">
      <c r="C101" s="1810" t="s">
        <v>3213</v>
      </c>
      <c r="D101" s="1810">
        <v>11977</v>
      </c>
      <c r="E101" s="1941" t="s">
        <v>14353</v>
      </c>
      <c r="F101" s="1810">
        <v>16.190000000000001</v>
      </c>
      <c r="G101" s="1812" t="s">
        <v>14046</v>
      </c>
      <c r="H101" s="1828">
        <v>5.3563663862368847E-2</v>
      </c>
    </row>
    <row r="102" spans="3:10" s="1051" customFormat="1" ht="14.25">
      <c r="C102" s="1810" t="s">
        <v>3213</v>
      </c>
      <c r="D102" s="1810">
        <v>100716</v>
      </c>
      <c r="E102" s="1941" t="s">
        <v>14354</v>
      </c>
      <c r="F102" s="1810" t="s">
        <v>14046</v>
      </c>
      <c r="G102" s="1810">
        <v>36.304000000000002</v>
      </c>
      <c r="H102" s="1828">
        <v>0.12010965119576521</v>
      </c>
    </row>
    <row r="103" spans="3:10" s="1051" customFormat="1" ht="14.25">
      <c r="C103" s="1810" t="s">
        <v>3213</v>
      </c>
      <c r="D103" s="1810">
        <v>100719</v>
      </c>
      <c r="E103" s="1941" t="s">
        <v>2984</v>
      </c>
      <c r="F103" s="1810" t="s">
        <v>14046</v>
      </c>
      <c r="G103" s="1810">
        <v>36.304000000000002</v>
      </c>
      <c r="H103" s="1828">
        <v>0.12010965119576521</v>
      </c>
    </row>
    <row r="104" spans="3:10" s="1051" customFormat="1">
      <c r="C104" s="2575" t="s">
        <v>14355</v>
      </c>
      <c r="D104" s="2575"/>
      <c r="E104" s="2575"/>
      <c r="F104" s="1830">
        <f>SUM(F99:F103)</f>
        <v>317.37</v>
      </c>
      <c r="G104" s="1811"/>
      <c r="H104" s="1831"/>
    </row>
    <row r="105" spans="3:10" s="1051" customFormat="1" ht="14.25"/>
    <row r="106" spans="3:10" s="1051" customFormat="1">
      <c r="C106" s="2576" t="s">
        <v>14369</v>
      </c>
      <c r="D106" s="2576"/>
      <c r="E106" s="2576"/>
      <c r="F106" s="2576"/>
      <c r="G106" s="2576"/>
      <c r="H106" s="2576"/>
    </row>
    <row r="107" spans="3:10" s="1051" customFormat="1">
      <c r="C107" s="1774" t="s">
        <v>14345</v>
      </c>
      <c r="D107" s="1827" t="s">
        <v>14346</v>
      </c>
      <c r="E107" s="1827" t="s">
        <v>427</v>
      </c>
      <c r="F107" s="1827" t="s">
        <v>14347</v>
      </c>
      <c r="G107" s="1774" t="s">
        <v>14306</v>
      </c>
      <c r="H107" s="1827" t="s">
        <v>14348</v>
      </c>
    </row>
    <row r="108" spans="3:10" s="1051" customFormat="1" ht="14.25">
      <c r="C108" s="1810" t="s">
        <v>14349</v>
      </c>
      <c r="D108" s="1810">
        <v>31</v>
      </c>
      <c r="E108" s="1941" t="s">
        <v>14351</v>
      </c>
      <c r="F108" s="1810">
        <f>14.02+302.42+81.42</f>
        <v>397.86</v>
      </c>
      <c r="G108" s="1812" t="s">
        <v>14046</v>
      </c>
      <c r="H108" s="1828">
        <v>0.57652116310843082</v>
      </c>
    </row>
    <row r="109" spans="3:10" s="1051" customFormat="1" ht="14.25">
      <c r="C109" s="1810" t="s">
        <v>14349</v>
      </c>
      <c r="D109" s="1810">
        <v>29</v>
      </c>
      <c r="E109" s="1941" t="s">
        <v>14357</v>
      </c>
      <c r="F109" s="1810">
        <f>300.03</f>
        <v>300.02999999999997</v>
      </c>
      <c r="G109" s="1812"/>
      <c r="H109" s="1828">
        <v>0.43476007783497328</v>
      </c>
    </row>
    <row r="110" spans="3:10" s="1051" customFormat="1" ht="14.25">
      <c r="C110" s="1810" t="s">
        <v>3213</v>
      </c>
      <c r="D110" s="1810">
        <v>1330</v>
      </c>
      <c r="E110" s="1941" t="s">
        <v>14352</v>
      </c>
      <c r="F110" s="1810">
        <v>13.19</v>
      </c>
      <c r="G110" s="1812" t="s">
        <v>14046</v>
      </c>
      <c r="H110" s="1828">
        <v>1.9113040118132512E-2</v>
      </c>
    </row>
    <row r="111" spans="3:10" s="1051" customFormat="1" ht="14.25">
      <c r="C111" s="1810" t="s">
        <v>3213</v>
      </c>
      <c r="D111" s="1810">
        <v>11977</v>
      </c>
      <c r="E111" s="1941" t="s">
        <v>14353</v>
      </c>
      <c r="F111" s="1810">
        <v>13.53</v>
      </c>
      <c r="G111" s="1812" t="s">
        <v>14046</v>
      </c>
      <c r="H111" s="1828">
        <v>1.960571893846345E-2</v>
      </c>
      <c r="J111" s="1829">
        <f>SUM(H108:H111)</f>
        <v>1.0500000000000003</v>
      </c>
    </row>
    <row r="112" spans="3:10" s="1051" customFormat="1" ht="14.25">
      <c r="C112" s="1810" t="s">
        <v>3213</v>
      </c>
      <c r="D112" s="1810">
        <v>100716</v>
      </c>
      <c r="E112" s="1941" t="s">
        <v>14354</v>
      </c>
      <c r="F112" s="1810" t="s">
        <v>14046</v>
      </c>
      <c r="G112" s="1810">
        <v>79.373000000000005</v>
      </c>
      <c r="H112" s="1828">
        <v>0.11501587060625716</v>
      </c>
    </row>
    <row r="113" spans="3:10" s="1051" customFormat="1" ht="14.25">
      <c r="C113" s="1810" t="s">
        <v>3213</v>
      </c>
      <c r="D113" s="1810">
        <v>100719</v>
      </c>
      <c r="E113" s="1941" t="s">
        <v>2984</v>
      </c>
      <c r="F113" s="1810" t="s">
        <v>14046</v>
      </c>
      <c r="G113" s="1810">
        <v>79.373000000000005</v>
      </c>
      <c r="H113" s="1828">
        <v>0.11501587060625716</v>
      </c>
    </row>
    <row r="114" spans="3:10" s="1051" customFormat="1">
      <c r="C114" s="2575" t="s">
        <v>14355</v>
      </c>
      <c r="D114" s="2575"/>
      <c r="E114" s="2575"/>
      <c r="F114" s="1830">
        <f>SUM(F108:F113)</f>
        <v>724.61</v>
      </c>
      <c r="G114" s="1811"/>
      <c r="H114" s="1831"/>
    </row>
    <row r="115" spans="3:10" s="1051" customFormat="1" ht="14.25"/>
    <row r="116" spans="3:10" s="1051" customFormat="1">
      <c r="C116" s="2576" t="s">
        <v>14370</v>
      </c>
      <c r="D116" s="2576"/>
      <c r="E116" s="2576"/>
      <c r="F116" s="2576"/>
      <c r="G116" s="2576"/>
      <c r="H116" s="2576"/>
    </row>
    <row r="117" spans="3:10" s="1051" customFormat="1">
      <c r="C117" s="1774" t="s">
        <v>14345</v>
      </c>
      <c r="D117" s="1827" t="s">
        <v>14346</v>
      </c>
      <c r="E117" s="1827" t="s">
        <v>427</v>
      </c>
      <c r="F117" s="1827" t="s">
        <v>14347</v>
      </c>
      <c r="G117" s="1774" t="s">
        <v>14306</v>
      </c>
      <c r="H117" s="1827" t="s">
        <v>14348</v>
      </c>
    </row>
    <row r="118" spans="3:10" s="1051" customFormat="1" ht="14.25">
      <c r="C118" s="1810" t="s">
        <v>14349</v>
      </c>
      <c r="D118" s="1810">
        <v>31</v>
      </c>
      <c r="E118" s="1941" t="s">
        <v>14351</v>
      </c>
      <c r="F118" s="1810">
        <f>165.6+320.84+116.8</f>
        <v>603.2399999999999</v>
      </c>
      <c r="G118" s="1812" t="s">
        <v>14046</v>
      </c>
      <c r="H118" s="1828">
        <v>0.4556422780603252</v>
      </c>
    </row>
    <row r="119" spans="3:10" s="1051" customFormat="1" ht="14.25">
      <c r="C119" s="1810" t="s">
        <v>14349</v>
      </c>
      <c r="D119" s="1810">
        <v>29</v>
      </c>
      <c r="E119" s="1941" t="s">
        <v>14357</v>
      </c>
      <c r="F119" s="1810">
        <f>586.8</f>
        <v>586.79999999999995</v>
      </c>
      <c r="G119" s="1812" t="s">
        <v>14046</v>
      </c>
      <c r="H119" s="1828">
        <v>0.44322473437736032</v>
      </c>
    </row>
    <row r="120" spans="3:10" s="1051" customFormat="1" ht="14.25">
      <c r="C120" s="1810" t="s">
        <v>14349</v>
      </c>
      <c r="D120" s="1810">
        <v>28</v>
      </c>
      <c r="E120" s="1941" t="s">
        <v>14350</v>
      </c>
      <c r="F120" s="1810">
        <v>146.66</v>
      </c>
      <c r="G120" s="1812" t="s">
        <v>14046</v>
      </c>
      <c r="H120" s="1828">
        <v>0.11077597059267837</v>
      </c>
    </row>
    <row r="121" spans="3:10" s="1051" customFormat="1" ht="14.25">
      <c r="C121" s="1810" t="s">
        <v>3213</v>
      </c>
      <c r="D121" s="1810">
        <v>1330</v>
      </c>
      <c r="E121" s="1941" t="s">
        <v>14352</v>
      </c>
      <c r="F121" s="1810">
        <v>26.38</v>
      </c>
      <c r="G121" s="1812" t="s">
        <v>14046</v>
      </c>
      <c r="H121" s="1828">
        <v>1.9925474595901101E-2</v>
      </c>
    </row>
    <row r="122" spans="3:10" s="1051" customFormat="1" ht="14.25">
      <c r="C122" s="1810" t="s">
        <v>3213</v>
      </c>
      <c r="D122" s="1810">
        <v>11977</v>
      </c>
      <c r="E122" s="1941" t="s">
        <v>14353</v>
      </c>
      <c r="F122" s="1810">
        <v>27.05</v>
      </c>
      <c r="G122" s="1812" t="s">
        <v>14046</v>
      </c>
      <c r="H122" s="1828">
        <v>2.0431542373734832E-2</v>
      </c>
      <c r="J122" s="1829">
        <f>SUM(H118:H122)</f>
        <v>1.0499999999999998</v>
      </c>
    </row>
    <row r="123" spans="3:10" s="1051" customFormat="1" ht="14.25">
      <c r="C123" s="1810" t="s">
        <v>3213</v>
      </c>
      <c r="D123" s="1810">
        <v>100716</v>
      </c>
      <c r="E123" s="1941" t="s">
        <v>14354</v>
      </c>
      <c r="F123" s="1810" t="s">
        <v>14046</v>
      </c>
      <c r="G123" s="1810">
        <v>135.4</v>
      </c>
      <c r="H123" s="1828">
        <v>0.10227101062490558</v>
      </c>
    </row>
    <row r="124" spans="3:10" s="1051" customFormat="1" ht="14.25">
      <c r="C124" s="1810" t="s">
        <v>3213</v>
      </c>
      <c r="D124" s="1810">
        <v>100719</v>
      </c>
      <c r="E124" s="1941" t="s">
        <v>2984</v>
      </c>
      <c r="F124" s="1810" t="s">
        <v>14046</v>
      </c>
      <c r="G124" s="1810">
        <v>135.4</v>
      </c>
      <c r="H124" s="1828">
        <v>0.10227101062490558</v>
      </c>
    </row>
    <row r="125" spans="3:10" s="1051" customFormat="1">
      <c r="C125" s="2575" t="s">
        <v>14355</v>
      </c>
      <c r="D125" s="2575"/>
      <c r="E125" s="2575"/>
      <c r="F125" s="1830">
        <f>SUM(F118:F124)</f>
        <v>1390.13</v>
      </c>
      <c r="G125" s="1811"/>
      <c r="H125" s="1831"/>
    </row>
  </sheetData>
  <mergeCells count="32">
    <mergeCell ref="C104:E104"/>
    <mergeCell ref="C106:H106"/>
    <mergeCell ref="C114:E114"/>
    <mergeCell ref="C116:H116"/>
    <mergeCell ref="C125:E125"/>
    <mergeCell ref="C97:H97"/>
    <mergeCell ref="C45:E45"/>
    <mergeCell ref="C47:H47"/>
    <mergeCell ref="C54:E54"/>
    <mergeCell ref="C56:H56"/>
    <mergeCell ref="C64:E64"/>
    <mergeCell ref="C66:H66"/>
    <mergeCell ref="C73:E73"/>
    <mergeCell ref="C75:H75"/>
    <mergeCell ref="C84:E84"/>
    <mergeCell ref="C86:H86"/>
    <mergeCell ref="C95:E95"/>
    <mergeCell ref="C13:H13"/>
    <mergeCell ref="C21:E21"/>
    <mergeCell ref="C23:H23"/>
    <mergeCell ref="C31:E31"/>
    <mergeCell ref="C33:H33"/>
    <mergeCell ref="C9:G9"/>
    <mergeCell ref="C11:H11"/>
    <mergeCell ref="C10:H10"/>
    <mergeCell ref="C12:H12"/>
    <mergeCell ref="C3:C5"/>
    <mergeCell ref="D3:H4"/>
    <mergeCell ref="D5:H5"/>
    <mergeCell ref="D6:H6"/>
    <mergeCell ref="D7:H7"/>
    <mergeCell ref="C8:H8"/>
  </mergeCells>
  <pageMargins left="0.51181102362204722" right="0.51181102362204722" top="0.78740157480314965" bottom="0.78740157480314965" header="0.31496062992125984" footer="0.31496062992125984"/>
  <pageSetup paperSize="9" scale="62" fitToHeight="0" orientation="portrait" r:id="rId1"/>
  <rowBreaks count="1" manualBreakCount="1">
    <brk id="74" min="2"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5AE7-EB66-48DC-8F59-977EA7F68DFE}">
  <sheetPr>
    <tabColor theme="3" tint="-0.499984740745262"/>
    <pageSetUpPr fitToPage="1"/>
  </sheetPr>
  <dimension ref="B3:G21"/>
  <sheetViews>
    <sheetView view="pageBreakPreview" zoomScale="85" zoomScaleNormal="100" zoomScaleSheetLayoutView="85" workbookViewId="0">
      <selection activeCell="AG38" sqref="AG38"/>
    </sheetView>
  </sheetViews>
  <sheetFormatPr defaultColWidth="9.140625" defaultRowHeight="15"/>
  <cols>
    <col min="3" max="3" width="37.140625" bestFit="1" customWidth="1"/>
    <col min="4" max="4" width="26.7109375" bestFit="1" customWidth="1"/>
    <col min="5" max="5" width="20.85546875" customWidth="1"/>
    <col min="6" max="6" width="15.42578125" customWidth="1"/>
    <col min="7" max="7" width="20.85546875" customWidth="1"/>
  </cols>
  <sheetData>
    <row r="3" spans="2:7" ht="48" customHeight="1">
      <c r="C3" s="2577"/>
      <c r="D3" s="2570" t="s">
        <v>13365</v>
      </c>
      <c r="E3" s="2570"/>
      <c r="F3" s="2570"/>
      <c r="G3" s="2570"/>
    </row>
    <row r="4" spans="2:7" ht="30" customHeight="1">
      <c r="C4" s="2577"/>
      <c r="D4" s="2570"/>
      <c r="E4" s="2570"/>
      <c r="F4" s="2570"/>
      <c r="G4" s="2570"/>
    </row>
    <row r="5" spans="2:7" ht="50.1" customHeight="1">
      <c r="C5" s="2577"/>
      <c r="D5" s="2571" t="s">
        <v>13363</v>
      </c>
      <c r="E5" s="2571"/>
      <c r="F5" s="2571"/>
      <c r="G5" s="2571"/>
    </row>
    <row r="6" spans="2:7" ht="15.75">
      <c r="C6" s="1944" t="s">
        <v>5</v>
      </c>
      <c r="D6" s="2572" t="str">
        <f>'ORÇAMENTO '!G11</f>
        <v xml:space="preserve">ESCOLA MUNICIPAL DOMINGOS AZZOLINI </v>
      </c>
      <c r="E6" s="2572"/>
      <c r="F6" s="2572"/>
      <c r="G6" s="2572"/>
    </row>
    <row r="7" spans="2:7" ht="15.75">
      <c r="C7" s="1944" t="s">
        <v>7</v>
      </c>
      <c r="D7" s="2573" t="str">
        <f>'ORÇAMENTO '!G12</f>
        <v>SANTO ANTONIO DO LESTE</v>
      </c>
      <c r="E7" s="2573"/>
      <c r="F7" s="2573"/>
      <c r="G7" s="2573"/>
    </row>
    <row r="8" spans="2:7" ht="15.75" customHeight="1" thickBot="1">
      <c r="C8" s="2540"/>
      <c r="D8" s="2541"/>
      <c r="E8" s="2541"/>
      <c r="F8" s="2541"/>
      <c r="G8" s="2541"/>
    </row>
    <row r="9" spans="2:7" ht="6" customHeight="1" thickBot="1">
      <c r="C9" s="2495"/>
      <c r="D9" s="2496"/>
      <c r="E9" s="2496"/>
      <c r="F9" s="2496"/>
      <c r="G9" s="2496"/>
    </row>
    <row r="10" spans="2:7" ht="6" customHeight="1">
      <c r="C10" s="2504"/>
      <c r="D10" s="2505"/>
      <c r="E10" s="2505"/>
      <c r="F10" s="2505"/>
      <c r="G10" s="2505"/>
    </row>
    <row r="11" spans="2:7" ht="21.95" customHeight="1">
      <c r="C11" s="2542" t="s">
        <v>14514</v>
      </c>
      <c r="D11" s="2543"/>
      <c r="E11" s="2543"/>
      <c r="F11" s="2543"/>
      <c r="G11" s="2543"/>
    </row>
    <row r="12" spans="2:7" ht="6" customHeight="1">
      <c r="C12" s="2504"/>
      <c r="D12" s="2505"/>
      <c r="E12" s="2505"/>
      <c r="F12" s="2505"/>
      <c r="G12" s="2505"/>
    </row>
    <row r="13" spans="2:7" ht="15.75" customHeight="1">
      <c r="B13" s="1834"/>
    </row>
    <row r="14" spans="2:7" ht="15.75" customHeight="1">
      <c r="C14" s="2579" t="s">
        <v>14305</v>
      </c>
      <c r="D14" s="2580" t="s">
        <v>14372</v>
      </c>
      <c r="E14" s="2580"/>
      <c r="F14" s="2579" t="s">
        <v>14306</v>
      </c>
      <c r="G14" s="2579" t="s">
        <v>167</v>
      </c>
    </row>
    <row r="15" spans="2:7">
      <c r="C15" s="2579"/>
      <c r="D15" s="1399" t="s">
        <v>14160</v>
      </c>
      <c r="E15" s="1399" t="s">
        <v>5327</v>
      </c>
      <c r="F15" s="2579"/>
      <c r="G15" s="2579"/>
    </row>
    <row r="16" spans="2:7">
      <c r="C16" s="1399">
        <v>20</v>
      </c>
      <c r="D16" s="1400">
        <v>0.13</v>
      </c>
      <c r="E16" s="1400">
        <v>0.2</v>
      </c>
      <c r="F16" s="1835">
        <f>D16*E16</f>
        <v>2.6000000000000002E-2</v>
      </c>
      <c r="G16" s="1835">
        <f>C16*F16</f>
        <v>0.52</v>
      </c>
    </row>
    <row r="17" spans="3:7">
      <c r="C17" s="1399">
        <v>2</v>
      </c>
      <c r="D17" s="1400">
        <v>0.15</v>
      </c>
      <c r="E17" s="1400">
        <v>0.2</v>
      </c>
      <c r="F17" s="1835">
        <f>D17*E17</f>
        <v>0.03</v>
      </c>
      <c r="G17" s="1835">
        <f>C17*F17</f>
        <v>0.06</v>
      </c>
    </row>
    <row r="18" spans="3:7">
      <c r="C18" s="1399">
        <v>2</v>
      </c>
      <c r="D18" s="1400">
        <v>0.15</v>
      </c>
      <c r="E18" s="1400">
        <v>0.2</v>
      </c>
      <c r="F18" s="1835">
        <f>D18*E18</f>
        <v>0.03</v>
      </c>
      <c r="G18" s="1835">
        <f>C18*F18</f>
        <v>0.06</v>
      </c>
    </row>
    <row r="19" spans="3:7">
      <c r="C19" s="1399">
        <v>2</v>
      </c>
      <c r="D19" s="1400">
        <v>0.15</v>
      </c>
      <c r="E19" s="1400">
        <v>0.15</v>
      </c>
      <c r="F19" s="1835">
        <f>D19*E19</f>
        <v>2.2499999999999999E-2</v>
      </c>
      <c r="G19" s="1835">
        <f>C19*F19</f>
        <v>4.4999999999999998E-2</v>
      </c>
    </row>
    <row r="20" spans="3:7">
      <c r="C20" s="1399">
        <v>42</v>
      </c>
      <c r="D20" s="1400">
        <v>0.24</v>
      </c>
      <c r="E20" s="1400">
        <v>0.12</v>
      </c>
      <c r="F20" s="1835">
        <f>D20*E20</f>
        <v>2.8799999999999999E-2</v>
      </c>
      <c r="G20" s="1835">
        <f>C20*F20</f>
        <v>1.2096</v>
      </c>
    </row>
    <row r="21" spans="3:7">
      <c r="C21" s="2578" t="s">
        <v>167</v>
      </c>
      <c r="D21" s="2578"/>
      <c r="E21" s="2578"/>
      <c r="F21" s="2578"/>
      <c r="G21" s="1835">
        <f>SUM(G16:G20)</f>
        <v>1.8946000000000001</v>
      </c>
    </row>
  </sheetData>
  <mergeCells count="15">
    <mergeCell ref="C21:F21"/>
    <mergeCell ref="G14:G15"/>
    <mergeCell ref="C14:C15"/>
    <mergeCell ref="D14:E14"/>
    <mergeCell ref="F14:F15"/>
    <mergeCell ref="C9:G9"/>
    <mergeCell ref="C10:G10"/>
    <mergeCell ref="C11:G11"/>
    <mergeCell ref="C12:G12"/>
    <mergeCell ref="C3:C5"/>
    <mergeCell ref="D3:G4"/>
    <mergeCell ref="D5:G5"/>
    <mergeCell ref="D6:G6"/>
    <mergeCell ref="D7:G7"/>
    <mergeCell ref="C8:G8"/>
  </mergeCells>
  <pageMargins left="0.511811024" right="0.511811024" top="0.78740157499999996" bottom="0.78740157499999996" header="0.31496062000000002" footer="0.31496062000000002"/>
  <pageSetup paperSize="9" scale="76"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1DBD-C5E3-4241-B344-5D42FB8CBC97}">
  <sheetPr>
    <tabColor theme="3" tint="-0.499984740745262"/>
    <pageSetUpPr fitToPage="1"/>
  </sheetPr>
  <dimension ref="C2:AE52"/>
  <sheetViews>
    <sheetView view="pageBreakPreview" topLeftCell="A6" zoomScale="85" zoomScaleNormal="100" zoomScaleSheetLayoutView="85" workbookViewId="0">
      <selection activeCell="AG38" sqref="AG38"/>
    </sheetView>
  </sheetViews>
  <sheetFormatPr defaultColWidth="9.140625" defaultRowHeight="15"/>
  <cols>
    <col min="3" max="3" width="37.140625" bestFit="1" customWidth="1"/>
    <col min="4" max="4" width="26.7109375" bestFit="1" customWidth="1"/>
    <col min="5" max="5" width="15.42578125" customWidth="1"/>
    <col min="6" max="6" width="22.140625" customWidth="1"/>
    <col min="7" max="7" width="37.85546875" customWidth="1"/>
    <col min="8" max="8" width="32.5703125" customWidth="1"/>
  </cols>
  <sheetData>
    <row r="2" spans="3:31" ht="15.75" thickBot="1"/>
    <row r="3" spans="3:31" ht="48" customHeight="1">
      <c r="C3" s="2568"/>
      <c r="D3" s="2570" t="s">
        <v>14513</v>
      </c>
      <c r="E3" s="2570"/>
      <c r="F3" s="2570"/>
      <c r="G3" s="2570"/>
      <c r="H3" s="2570"/>
    </row>
    <row r="4" spans="3:31" ht="30" customHeight="1">
      <c r="C4" s="2569"/>
      <c r="D4" s="2570"/>
      <c r="E4" s="2570"/>
      <c r="F4" s="2570"/>
      <c r="G4" s="2570"/>
      <c r="H4" s="2570"/>
    </row>
    <row r="5" spans="3:31" ht="50.1" customHeight="1" thickBot="1">
      <c r="C5" s="2569"/>
      <c r="D5" s="2571" t="s">
        <v>13363</v>
      </c>
      <c r="E5" s="2571"/>
      <c r="F5" s="2571"/>
      <c r="G5" s="2571"/>
      <c r="H5" s="2571"/>
    </row>
    <row r="6" spans="3:31" ht="15.75">
      <c r="C6" s="1942" t="s">
        <v>5</v>
      </c>
      <c r="D6" s="2572" t="str">
        <f>'ORÇAMENTO '!G11</f>
        <v xml:space="preserve">ESCOLA MUNICIPAL DOMINGOS AZZOLINI </v>
      </c>
      <c r="E6" s="2572"/>
      <c r="F6" s="2572"/>
      <c r="G6" s="2572"/>
      <c r="H6" s="2572"/>
    </row>
    <row r="7" spans="3:31" ht="15.75">
      <c r="C7" s="1943" t="s">
        <v>7</v>
      </c>
      <c r="D7" s="2573" t="str">
        <f>'ORÇAMENTO '!G12</f>
        <v>SANTO ANTONIO DO LESTE</v>
      </c>
      <c r="E7" s="2573"/>
      <c r="F7" s="2573"/>
      <c r="G7" s="2573"/>
      <c r="H7" s="2573"/>
    </row>
    <row r="8" spans="3:31" ht="15.75" customHeight="1" thickBot="1">
      <c r="C8" s="2540"/>
      <c r="D8" s="2541"/>
      <c r="E8" s="2541"/>
      <c r="F8" s="2541"/>
      <c r="G8" s="2541"/>
      <c r="H8" s="2541"/>
    </row>
    <row r="9" spans="3:31" ht="6" customHeight="1" thickBot="1">
      <c r="C9" s="2495"/>
      <c r="D9" s="2496"/>
      <c r="E9" s="2496"/>
      <c r="F9" s="2496"/>
      <c r="G9" s="2496"/>
      <c r="H9" s="1833"/>
    </row>
    <row r="10" spans="3:31" ht="6" customHeight="1">
      <c r="C10" s="2504"/>
      <c r="D10" s="2505"/>
      <c r="E10" s="2505"/>
      <c r="F10" s="2505"/>
      <c r="G10" s="2505"/>
      <c r="H10" s="2505"/>
    </row>
    <row r="11" spans="3:31" ht="21.95" customHeight="1">
      <c r="C11" s="2542" t="s">
        <v>14371</v>
      </c>
      <c r="D11" s="2543"/>
      <c r="E11" s="2543"/>
      <c r="F11" s="2543"/>
      <c r="G11" s="2543"/>
      <c r="H11" s="2543"/>
    </row>
    <row r="12" spans="3:31" ht="6" customHeight="1">
      <c r="C12" s="2504"/>
      <c r="D12" s="2505"/>
      <c r="E12" s="2505"/>
      <c r="F12" s="2505"/>
      <c r="G12" s="2505"/>
      <c r="H12" s="2505"/>
    </row>
    <row r="13" spans="3:31" s="1836" customFormat="1" ht="25.5">
      <c r="C13" s="1837" t="s">
        <v>10</v>
      </c>
      <c r="D13" s="2583" t="s">
        <v>14373</v>
      </c>
      <c r="E13" s="2582"/>
      <c r="F13" s="1838" t="s">
        <v>14374</v>
      </c>
      <c r="G13" s="1838" t="s">
        <v>14375</v>
      </c>
      <c r="H13" s="1838" t="s">
        <v>14376</v>
      </c>
      <c r="I13" s="1839"/>
      <c r="J13" s="1839"/>
      <c r="L13" s="1839"/>
      <c r="M13" s="1840"/>
      <c r="N13" s="1840"/>
      <c r="O13" s="1839"/>
      <c r="P13" s="1839"/>
      <c r="Q13" s="1839"/>
      <c r="R13" s="1839"/>
      <c r="S13" s="1839"/>
      <c r="T13" s="1839"/>
      <c r="U13" s="1840"/>
      <c r="V13" s="1840"/>
      <c r="W13" s="1840"/>
      <c r="X13" s="1840"/>
      <c r="Y13" s="1840"/>
      <c r="Z13" s="1840"/>
      <c r="AA13" s="1840"/>
      <c r="AB13" s="1840"/>
      <c r="AC13" s="1840"/>
      <c r="AD13" s="1840"/>
      <c r="AE13" s="1840"/>
    </row>
    <row r="14" spans="3:31" s="1836" customFormat="1" ht="30" customHeight="1">
      <c r="C14" s="1841">
        <v>1</v>
      </c>
      <c r="D14" s="2586" t="str">
        <f>D6</f>
        <v xml:space="preserve">ESCOLA MUNICIPAL DOMINGOS AZZOLINI </v>
      </c>
      <c r="E14" s="2582"/>
      <c r="F14" s="1842">
        <f>25.08298+4.254</f>
        <v>29.336979999999997</v>
      </c>
      <c r="G14" s="1843">
        <v>30</v>
      </c>
      <c r="H14" s="1844">
        <f>TRUNC(F14*G14,3)</f>
        <v>880.10900000000004</v>
      </c>
      <c r="I14" s="1845"/>
      <c r="J14" s="1845"/>
      <c r="K14" s="1845"/>
      <c r="L14" s="1845"/>
      <c r="M14" s="1840"/>
      <c r="N14" s="1840"/>
      <c r="O14" s="1845"/>
      <c r="P14" s="1845"/>
      <c r="Q14" s="1845"/>
      <c r="R14" s="1845"/>
      <c r="S14" s="1845"/>
      <c r="T14" s="1845"/>
      <c r="U14" s="1845"/>
      <c r="V14" s="1845"/>
      <c r="W14" s="1845"/>
      <c r="X14" s="1845"/>
      <c r="Y14" s="1845"/>
      <c r="Z14" s="1845"/>
      <c r="AA14" s="1845"/>
      <c r="AB14" s="1845"/>
      <c r="AC14" s="1845"/>
      <c r="AD14" s="1845"/>
      <c r="AE14" s="1845"/>
    </row>
    <row r="15" spans="3:31" s="1836" customFormat="1" ht="30" customHeight="1">
      <c r="C15" s="2585" t="s">
        <v>14377</v>
      </c>
      <c r="D15" s="2582"/>
      <c r="E15" s="2582"/>
      <c r="F15" s="1846"/>
      <c r="G15" s="1847"/>
      <c r="H15" s="1847">
        <f>SUM(H14)</f>
        <v>880.10900000000004</v>
      </c>
      <c r="I15" s="1845"/>
      <c r="J15" s="1845"/>
      <c r="K15" s="1845"/>
      <c r="L15" s="1845"/>
      <c r="M15" s="1840"/>
      <c r="N15" s="1840"/>
      <c r="O15" s="1845"/>
      <c r="P15" s="1845"/>
      <c r="Q15" s="1845"/>
      <c r="R15" s="1845"/>
      <c r="S15" s="1845"/>
      <c r="T15" s="1845"/>
      <c r="U15" s="1845"/>
      <c r="V15" s="1845"/>
      <c r="W15" s="1845"/>
      <c r="X15" s="1845"/>
      <c r="Y15" s="1845"/>
      <c r="Z15" s="1845"/>
      <c r="AA15" s="1845"/>
      <c r="AB15" s="1845"/>
      <c r="AC15" s="1845"/>
      <c r="AD15" s="1845"/>
      <c r="AE15" s="1845"/>
    </row>
    <row r="16" spans="3:31" s="1848" customFormat="1" ht="14.25">
      <c r="C16" s="2584" t="s">
        <v>14378</v>
      </c>
      <c r="D16" s="2584"/>
      <c r="E16" s="2584"/>
      <c r="F16" s="2584"/>
      <c r="G16" s="2584"/>
      <c r="H16" s="2584"/>
      <c r="M16" s="1840"/>
      <c r="N16" s="1840"/>
    </row>
    <row r="17" spans="3:31" s="1849" customFormat="1" ht="30" customHeight="1">
      <c r="C17" s="2584" t="s">
        <v>14379</v>
      </c>
      <c r="D17" s="2584"/>
      <c r="E17" s="2584"/>
      <c r="F17" s="2584"/>
      <c r="G17" s="2584"/>
      <c r="H17" s="2584"/>
      <c r="I17" s="1845"/>
      <c r="J17" s="1845"/>
      <c r="K17" s="1845"/>
      <c r="L17" s="1845"/>
      <c r="M17" s="1840"/>
      <c r="N17" s="1840"/>
      <c r="O17" s="1845"/>
      <c r="P17" s="1845"/>
      <c r="Q17" s="1845"/>
      <c r="R17" s="1845"/>
      <c r="S17" s="1845"/>
      <c r="T17" s="1845"/>
      <c r="U17" s="1845"/>
      <c r="V17" s="1845"/>
      <c r="W17" s="1845"/>
      <c r="X17" s="1845"/>
      <c r="Y17" s="1845"/>
      <c r="Z17" s="1845"/>
      <c r="AA17" s="1845"/>
      <c r="AB17" s="1845"/>
      <c r="AC17" s="1845"/>
      <c r="AD17" s="1845"/>
      <c r="AE17" s="1845"/>
    </row>
    <row r="18" spans="3:31" s="1849" customFormat="1" ht="15" customHeight="1">
      <c r="C18" s="2584" t="s">
        <v>14380</v>
      </c>
      <c r="D18" s="2584"/>
      <c r="E18" s="2584"/>
      <c r="F18" s="2584"/>
      <c r="G18" s="2584"/>
      <c r="H18" s="2584"/>
      <c r="I18" s="1845"/>
      <c r="J18" s="1845"/>
      <c r="K18" s="1845"/>
      <c r="L18" s="1845"/>
      <c r="M18" s="1840"/>
      <c r="N18" s="1840"/>
      <c r="O18" s="1845"/>
      <c r="P18" s="1845"/>
      <c r="Q18" s="1845"/>
      <c r="R18" s="1845"/>
      <c r="S18" s="1845"/>
      <c r="T18" s="1845"/>
      <c r="U18" s="1845"/>
      <c r="V18" s="1845"/>
      <c r="W18" s="1845"/>
      <c r="X18" s="1845"/>
      <c r="Y18" s="1845"/>
      <c r="Z18" s="1845"/>
      <c r="AA18" s="1845"/>
      <c r="AB18" s="1845"/>
      <c r="AC18" s="1845"/>
      <c r="AD18" s="1845"/>
      <c r="AE18" s="1845"/>
    </row>
    <row r="19" spans="3:31" s="1849" customFormat="1" ht="14.25">
      <c r="C19" s="2584" t="s">
        <v>3486</v>
      </c>
      <c r="D19" s="2584"/>
      <c r="E19" s="2584"/>
      <c r="F19" s="2584"/>
      <c r="G19" s="2584"/>
      <c r="H19" s="2584"/>
      <c r="I19" s="1850"/>
      <c r="J19" s="1850"/>
      <c r="K19" s="1851"/>
      <c r="L19" s="1852"/>
      <c r="M19" s="1840"/>
      <c r="N19" s="1840"/>
      <c r="O19" s="1850"/>
      <c r="P19" s="1850"/>
      <c r="Q19" s="1851"/>
      <c r="R19" s="1852"/>
      <c r="S19" s="1850"/>
      <c r="T19" s="1850"/>
      <c r="U19" s="1850"/>
      <c r="V19" s="1850"/>
      <c r="W19" s="1851"/>
      <c r="X19" s="1852"/>
      <c r="Y19" s="1850"/>
      <c r="Z19" s="1850"/>
      <c r="AA19" s="1850"/>
      <c r="AB19" s="1850"/>
      <c r="AC19" s="1851"/>
      <c r="AD19" s="1852"/>
      <c r="AE19" s="1850"/>
    </row>
    <row r="20" spans="3:31" s="1836" customFormat="1" ht="24.75" customHeight="1">
      <c r="C20" s="2581" t="s">
        <v>14381</v>
      </c>
      <c r="D20" s="2582"/>
      <c r="E20" s="2582"/>
      <c r="F20" s="2582"/>
      <c r="G20" s="2582"/>
      <c r="H20" s="2582"/>
      <c r="I20" s="1839"/>
      <c r="J20" s="1839"/>
      <c r="K20" s="1839"/>
      <c r="L20" s="1839"/>
      <c r="M20" s="1840"/>
      <c r="N20" s="1840"/>
      <c r="O20" s="1839"/>
      <c r="P20" s="1839"/>
      <c r="Q20" s="1839"/>
      <c r="R20" s="1839"/>
      <c r="S20" s="1839"/>
      <c r="T20" s="1839"/>
      <c r="U20" s="1840"/>
      <c r="V20" s="1840"/>
      <c r="W20" s="1840"/>
      <c r="X20" s="1840"/>
      <c r="Y20" s="1840"/>
      <c r="Z20" s="1840"/>
      <c r="AA20" s="1840"/>
      <c r="AB20" s="1840"/>
      <c r="AC20" s="1840"/>
      <c r="AD20" s="1840"/>
      <c r="AE20" s="1840"/>
    </row>
    <row r="21" spans="3:31" s="1836" customFormat="1" ht="51" customHeight="1">
      <c r="C21" s="1837" t="s">
        <v>10</v>
      </c>
      <c r="D21" s="2583" t="s">
        <v>14373</v>
      </c>
      <c r="E21" s="2582"/>
      <c r="F21" s="1838" t="s">
        <v>14374</v>
      </c>
      <c r="G21" s="1838" t="s">
        <v>14375</v>
      </c>
      <c r="H21" s="1838" t="s">
        <v>14376</v>
      </c>
      <c r="I21" s="1839"/>
      <c r="J21" s="1853"/>
      <c r="L21" s="1839"/>
      <c r="M21" s="1839"/>
      <c r="N21" s="1839"/>
      <c r="O21" s="1839"/>
      <c r="P21" s="1839"/>
      <c r="Q21" s="1839"/>
      <c r="R21" s="1839"/>
      <c r="S21" s="1839"/>
      <c r="T21" s="1839"/>
      <c r="U21" s="1840"/>
      <c r="V21" s="1840"/>
      <c r="W21" s="1840"/>
      <c r="X21" s="1840"/>
      <c r="Y21" s="1840"/>
      <c r="Z21" s="1840"/>
      <c r="AA21" s="1840"/>
      <c r="AB21" s="1840"/>
      <c r="AC21" s="1840"/>
      <c r="AD21" s="1840"/>
      <c r="AE21" s="1840"/>
    </row>
    <row r="22" spans="3:31" s="1836" customFormat="1" ht="30" customHeight="1">
      <c r="C22" s="1841">
        <v>1</v>
      </c>
      <c r="D22" s="2584" t="str">
        <f>D14</f>
        <v xml:space="preserve">ESCOLA MUNICIPAL DOMINGOS AZZOLINI </v>
      </c>
      <c r="E22" s="2582"/>
      <c r="F22" s="1842">
        <f>F14</f>
        <v>29.336979999999997</v>
      </c>
      <c r="G22" s="1843">
        <v>350</v>
      </c>
      <c r="H22" s="1844">
        <f>TRUNC(F22*G22,3)</f>
        <v>10267.942999999999</v>
      </c>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row>
    <row r="23" spans="3:31" s="1836" customFormat="1" ht="30" customHeight="1">
      <c r="C23" s="2585" t="s">
        <v>14377</v>
      </c>
      <c r="D23" s="2582"/>
      <c r="E23" s="2582"/>
      <c r="F23" s="1846"/>
      <c r="G23" s="1847"/>
      <c r="H23" s="1847">
        <f>SUM(H22)</f>
        <v>10267.942999999999</v>
      </c>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row>
    <row r="24" spans="3:31" s="1848" customFormat="1" ht="12.75">
      <c r="C24" s="2584" t="str">
        <f>C16</f>
        <v>MATERIAL A SER TRANSPORTADO = 25,08298 TON (ESTRUTURA METÁLICA BLOCO A AO K) + 4,254 TON (PISO TATIL DE CONCRETO)</v>
      </c>
      <c r="D24" s="2584"/>
      <c r="E24" s="2584"/>
      <c r="F24" s="2584"/>
      <c r="G24" s="2584"/>
      <c r="H24" s="2584"/>
    </row>
    <row r="25" spans="3:31" s="1849" customFormat="1" ht="30" customHeight="1">
      <c r="C25" s="2584" t="s">
        <v>14382</v>
      </c>
      <c r="D25" s="2584"/>
      <c r="E25" s="2584"/>
      <c r="F25" s="2584"/>
      <c r="G25" s="2584"/>
      <c r="H25" s="2584"/>
      <c r="I25" s="1845"/>
      <c r="J25" s="1845"/>
      <c r="K25" s="1845"/>
      <c r="L25" s="1845"/>
      <c r="M25" s="1845"/>
      <c r="N25" s="1845"/>
      <c r="O25" s="1845"/>
      <c r="P25" s="1845"/>
      <c r="Q25" s="1845"/>
      <c r="R25" s="1845"/>
      <c r="S25" s="1845"/>
      <c r="T25" s="1845"/>
      <c r="U25" s="1845"/>
      <c r="V25" s="1845"/>
      <c r="W25" s="1845"/>
      <c r="X25" s="1845"/>
      <c r="Y25" s="1845"/>
      <c r="Z25" s="1845"/>
      <c r="AA25" s="1845"/>
      <c r="AB25" s="1845"/>
      <c r="AC25" s="1845"/>
      <c r="AD25" s="1845"/>
      <c r="AE25" s="1845"/>
    </row>
    <row r="26" spans="3:31" s="1849" customFormat="1" ht="15" customHeight="1">
      <c r="C26" s="2584" t="s">
        <v>14380</v>
      </c>
      <c r="D26" s="2584"/>
      <c r="E26" s="2584"/>
      <c r="F26" s="2584"/>
      <c r="G26" s="2584"/>
      <c r="H26" s="2584"/>
      <c r="I26" s="1845"/>
      <c r="J26" s="1845"/>
      <c r="K26" s="1845"/>
      <c r="L26" s="1845"/>
      <c r="M26" s="1845"/>
      <c r="N26" s="1845"/>
      <c r="O26" s="1845"/>
      <c r="P26" s="1845"/>
      <c r="Q26" s="1845"/>
      <c r="R26" s="1845"/>
      <c r="S26" s="1845"/>
      <c r="T26" s="1845"/>
      <c r="U26" s="1845"/>
      <c r="V26" s="1845"/>
      <c r="W26" s="1845"/>
      <c r="X26" s="1845"/>
      <c r="Y26" s="1845"/>
      <c r="Z26" s="1845"/>
      <c r="AA26" s="1845"/>
      <c r="AB26" s="1845"/>
      <c r="AC26" s="1845"/>
      <c r="AD26" s="1845"/>
      <c r="AE26" s="1845"/>
    </row>
    <row r="27" spans="3:31" s="1849" customFormat="1" ht="30" customHeight="1">
      <c r="C27" s="2584" t="s">
        <v>3487</v>
      </c>
      <c r="D27" s="2584"/>
      <c r="E27" s="2584"/>
      <c r="F27" s="2584"/>
      <c r="G27" s="2584"/>
      <c r="H27" s="2584"/>
      <c r="I27" s="1850"/>
      <c r="J27" s="1850"/>
      <c r="K27" s="1851"/>
      <c r="L27" s="1852"/>
      <c r="M27" s="1850"/>
      <c r="N27" s="1850"/>
      <c r="O27" s="1850"/>
      <c r="P27" s="1850"/>
      <c r="Q27" s="1851"/>
      <c r="R27" s="1852"/>
      <c r="S27" s="1850"/>
      <c r="T27" s="1850"/>
      <c r="U27" s="1850"/>
      <c r="V27" s="1850"/>
      <c r="W27" s="1851"/>
      <c r="X27" s="1852"/>
      <c r="Y27" s="1850"/>
      <c r="Z27" s="1850"/>
      <c r="AA27" s="1850"/>
      <c r="AB27" s="1850"/>
      <c r="AC27" s="1851"/>
      <c r="AD27" s="1852"/>
      <c r="AE27" s="1850"/>
    </row>
    <row r="28" spans="3:31" s="1836" customFormat="1" ht="15.75" customHeight="1">
      <c r="C28" s="1854"/>
      <c r="D28" s="1854"/>
      <c r="E28" s="1854"/>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row>
    <row r="29" spans="3:31" s="1836" customFormat="1" ht="15.75" customHeight="1">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row>
    <row r="30" spans="3:31" s="1836" customFormat="1" ht="15.75" customHeight="1">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row>
    <row r="31" spans="3:31" s="1836" customFormat="1" ht="15.75" customHeight="1">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row>
    <row r="32" spans="3:31" s="1836" customFormat="1" ht="15.75" customHeight="1">
      <c r="C32" s="1854"/>
      <c r="D32" s="1854"/>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row>
    <row r="33" spans="3:31" s="1836" customFormat="1" ht="15.75" customHeight="1">
      <c r="C33" s="1854"/>
      <c r="D33" s="1854"/>
      <c r="E33" s="1854"/>
      <c r="F33" s="1854"/>
      <c r="G33" s="1854"/>
      <c r="H33" s="1854"/>
      <c r="I33" s="1854"/>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row>
    <row r="34" spans="3:31" s="1836" customFormat="1" ht="15.75" customHeight="1">
      <c r="C34" s="185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row>
    <row r="35" spans="3:31" s="1836" customFormat="1" ht="15.75" customHeight="1">
      <c r="C35" s="1854"/>
      <c r="D35" s="1854"/>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row>
    <row r="36" spans="3:31" s="1836" customFormat="1" ht="15.75" customHeight="1">
      <c r="C36" s="1854"/>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row>
    <row r="37" spans="3:31" s="1836" customFormat="1" ht="15.75" customHeight="1">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row>
    <row r="38" spans="3:31" s="1836" customFormat="1" ht="15.75" customHeight="1">
      <c r="C38" s="1854"/>
      <c r="D38" s="1854"/>
      <c r="E38" s="1854"/>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row>
    <row r="39" spans="3:31" s="1836" customFormat="1" ht="15.75" customHeight="1">
      <c r="C39" s="1854"/>
      <c r="D39" s="1854"/>
      <c r="E39" s="1854"/>
      <c r="F39" s="1854"/>
      <c r="G39" s="1854"/>
      <c r="H39" s="1854"/>
      <c r="I39" s="1854"/>
      <c r="J39" s="1854"/>
      <c r="K39" s="1854"/>
      <c r="L39" s="1854"/>
      <c r="M39" s="1854"/>
      <c r="N39" s="1854"/>
      <c r="O39" s="1854"/>
      <c r="P39" s="1854"/>
      <c r="Q39" s="1854"/>
      <c r="R39" s="1854"/>
      <c r="S39" s="1854"/>
      <c r="T39" s="1854"/>
      <c r="U39" s="1854"/>
      <c r="V39" s="1854"/>
      <c r="W39" s="1854"/>
      <c r="X39" s="1854"/>
      <c r="Y39" s="1854"/>
      <c r="Z39" s="1854"/>
      <c r="AA39" s="1854"/>
      <c r="AB39" s="1854"/>
      <c r="AC39" s="1854"/>
      <c r="AD39" s="1854"/>
      <c r="AE39" s="1854"/>
    </row>
    <row r="40" spans="3:31" s="1836" customFormat="1" ht="15.75" customHeight="1">
      <c r="C40" s="1854"/>
      <c r="D40" s="1854"/>
      <c r="E40" s="1854"/>
      <c r="F40" s="1854"/>
      <c r="G40" s="1854"/>
      <c r="H40" s="1854"/>
      <c r="I40" s="1854"/>
      <c r="J40" s="1854"/>
      <c r="K40" s="1854"/>
      <c r="L40" s="1854"/>
      <c r="M40" s="1854"/>
      <c r="N40" s="1854"/>
      <c r="O40" s="1854"/>
      <c r="P40" s="1854"/>
      <c r="Q40" s="1854"/>
      <c r="R40" s="1854"/>
      <c r="S40" s="1854"/>
      <c r="T40" s="1854"/>
      <c r="U40" s="1854"/>
      <c r="V40" s="1854"/>
      <c r="W40" s="1854"/>
      <c r="X40" s="1854"/>
      <c r="Y40" s="1854"/>
      <c r="Z40" s="1854"/>
      <c r="AA40" s="1854"/>
      <c r="AB40" s="1854"/>
      <c r="AC40" s="1854"/>
      <c r="AD40" s="1854"/>
      <c r="AE40" s="1854"/>
    </row>
    <row r="41" spans="3:31" s="1836" customFormat="1" ht="15.75" customHeight="1">
      <c r="C41" s="1854"/>
      <c r="D41" s="1854"/>
      <c r="E41" s="1854"/>
      <c r="F41" s="1854"/>
      <c r="G41" s="1854"/>
      <c r="H41" s="1854"/>
      <c r="I41" s="1854"/>
      <c r="J41" s="1854"/>
      <c r="K41" s="1854"/>
      <c r="L41" s="1854"/>
      <c r="M41" s="1854"/>
      <c r="N41" s="1854"/>
      <c r="O41" s="1854"/>
      <c r="P41" s="1854"/>
      <c r="Q41" s="1854"/>
      <c r="R41" s="1854"/>
      <c r="S41" s="1854"/>
      <c r="T41" s="1854"/>
      <c r="U41" s="1854"/>
      <c r="V41" s="1854"/>
      <c r="W41" s="1854"/>
      <c r="X41" s="1854"/>
      <c r="Y41" s="1854"/>
      <c r="Z41" s="1854"/>
      <c r="AA41" s="1854"/>
      <c r="AB41" s="1854"/>
      <c r="AC41" s="1854"/>
      <c r="AD41" s="1854"/>
      <c r="AE41" s="1854"/>
    </row>
    <row r="42" spans="3:31" s="1836" customFormat="1" ht="15.75" customHeight="1">
      <c r="C42" s="1854"/>
      <c r="D42" s="1854"/>
      <c r="E42" s="1854"/>
      <c r="F42" s="1854"/>
      <c r="G42" s="1854"/>
      <c r="H42" s="1854"/>
      <c r="I42" s="1854"/>
      <c r="J42" s="1854"/>
      <c r="K42" s="1854"/>
      <c r="L42" s="1854"/>
      <c r="M42" s="1854"/>
      <c r="N42" s="1854"/>
      <c r="O42" s="1854"/>
      <c r="P42" s="1854"/>
      <c r="Q42" s="1854"/>
      <c r="R42" s="1854"/>
      <c r="S42" s="1854"/>
      <c r="T42" s="1854"/>
      <c r="U42" s="1854"/>
      <c r="V42" s="1854"/>
      <c r="W42" s="1854"/>
      <c r="X42" s="1854"/>
      <c r="Y42" s="1854"/>
      <c r="Z42" s="1854"/>
      <c r="AA42" s="1854"/>
      <c r="AB42" s="1854"/>
      <c r="AC42" s="1854"/>
      <c r="AD42" s="1854"/>
      <c r="AE42" s="1854"/>
    </row>
    <row r="43" spans="3:31" s="1836" customFormat="1" ht="15.75" customHeight="1">
      <c r="C43" s="1854"/>
      <c r="D43" s="1854"/>
      <c r="E43" s="1854"/>
      <c r="F43" s="1854"/>
      <c r="G43" s="1854"/>
      <c r="H43" s="1854"/>
      <c r="I43" s="1854"/>
      <c r="J43" s="1854"/>
      <c r="K43" s="1854"/>
      <c r="L43" s="1854"/>
      <c r="M43" s="1854"/>
      <c r="N43" s="1854"/>
      <c r="O43" s="1854"/>
      <c r="P43" s="1854"/>
      <c r="Q43" s="1854"/>
      <c r="R43" s="1854"/>
      <c r="S43" s="1854"/>
      <c r="T43" s="1854"/>
      <c r="U43" s="1854"/>
      <c r="V43" s="1854"/>
      <c r="W43" s="1854"/>
      <c r="X43" s="1854"/>
      <c r="Y43" s="1854"/>
      <c r="Z43" s="1854"/>
      <c r="AA43" s="1854"/>
      <c r="AB43" s="1854"/>
      <c r="AC43" s="1854"/>
      <c r="AD43" s="1854"/>
      <c r="AE43" s="1854"/>
    </row>
    <row r="44" spans="3:31" s="1836" customFormat="1" ht="15.75" customHeight="1">
      <c r="C44" s="1854"/>
      <c r="D44" s="1854"/>
      <c r="E44" s="1854"/>
      <c r="F44" s="1854"/>
      <c r="G44" s="1854"/>
      <c r="H44" s="1854"/>
      <c r="I44" s="1854"/>
      <c r="J44" s="1854"/>
      <c r="K44" s="1854"/>
      <c r="L44" s="1854"/>
      <c r="M44" s="1854"/>
      <c r="N44" s="1854"/>
      <c r="O44" s="1854"/>
      <c r="P44" s="1854"/>
      <c r="Q44" s="1854"/>
      <c r="R44" s="1854"/>
      <c r="S44" s="1854"/>
      <c r="T44" s="1854"/>
      <c r="U44" s="1854"/>
      <c r="V44" s="1854"/>
      <c r="W44" s="1854"/>
      <c r="X44" s="1854"/>
      <c r="Y44" s="1854"/>
      <c r="Z44" s="1854"/>
      <c r="AA44" s="1854"/>
      <c r="AB44" s="1854"/>
      <c r="AC44" s="1854"/>
      <c r="AD44" s="1854"/>
      <c r="AE44" s="1854"/>
    </row>
    <row r="45" spans="3:31" s="1836" customFormat="1" ht="15.75" customHeight="1">
      <c r="C45" s="1854"/>
      <c r="D45" s="1854"/>
      <c r="E45" s="1854"/>
      <c r="F45" s="1854"/>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row>
    <row r="46" spans="3:31" s="1836" customFormat="1" ht="15.75" customHeight="1">
      <c r="C46" s="1854"/>
      <c r="D46" s="1854"/>
      <c r="E46" s="1854"/>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row>
    <row r="47" spans="3:31" s="1836" customFormat="1" ht="15.75" customHeight="1">
      <c r="C47" s="1854"/>
      <c r="D47" s="1854"/>
      <c r="E47" s="1854"/>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row>
    <row r="48" spans="3:31" s="1836" customFormat="1" ht="15.75" customHeight="1">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row>
    <row r="49" spans="3:31" s="1836" customFormat="1" ht="15.75" customHeight="1">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row>
    <row r="50" spans="3:31" s="1836" customFormat="1" ht="15.75" customHeight="1">
      <c r="C50" s="1854"/>
      <c r="D50" s="1854"/>
      <c r="E50" s="1854"/>
      <c r="F50" s="1854"/>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row>
    <row r="51" spans="3:31" s="1836" customFormat="1" ht="15.75" customHeight="1">
      <c r="C51" s="1854"/>
      <c r="D51" s="1854"/>
      <c r="E51" s="1854"/>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row>
    <row r="52" spans="3:31" s="1836" customFormat="1" ht="15.75" customHeight="1">
      <c r="C52" s="1854"/>
      <c r="D52" s="1854"/>
      <c r="E52" s="1854"/>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row>
  </sheetData>
  <mergeCells count="25">
    <mergeCell ref="C23:E23"/>
    <mergeCell ref="C24:H24"/>
    <mergeCell ref="C25:H25"/>
    <mergeCell ref="C27:H27"/>
    <mergeCell ref="C9:G9"/>
    <mergeCell ref="C10:H10"/>
    <mergeCell ref="C11:H11"/>
    <mergeCell ref="C12:H12"/>
    <mergeCell ref="C26:H26"/>
    <mergeCell ref="D13:E13"/>
    <mergeCell ref="D14:E14"/>
    <mergeCell ref="C15:E15"/>
    <mergeCell ref="C16:H16"/>
    <mergeCell ref="C17:H17"/>
    <mergeCell ref="C18:H18"/>
    <mergeCell ref="C19:H19"/>
    <mergeCell ref="C20:H20"/>
    <mergeCell ref="D21:E21"/>
    <mergeCell ref="D22:E22"/>
    <mergeCell ref="C8:H8"/>
    <mergeCell ref="C3:C5"/>
    <mergeCell ref="D3:H4"/>
    <mergeCell ref="D5:H5"/>
    <mergeCell ref="D6:H6"/>
    <mergeCell ref="D7:H7"/>
  </mergeCells>
  <pageMargins left="0.51181102362204722" right="0.51181102362204722" top="0.78740157480314965" bottom="0.78740157480314965" header="0.31496062992125984" footer="0.31496062992125984"/>
  <pageSetup paperSize="9" scale="79" fitToHeight="0" orientation="landscape" r:id="rId1"/>
  <rowBreaks count="1" manualBreakCount="1">
    <brk id="27" min="2" max="7"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0">
    <tabColor theme="3" tint="-0.499984740745262"/>
    <pageSetUpPr fitToPage="1"/>
  </sheetPr>
  <dimension ref="C2:S82"/>
  <sheetViews>
    <sheetView view="pageBreakPreview" zoomScale="85" zoomScaleNormal="70" zoomScaleSheetLayoutView="85" workbookViewId="0">
      <selection activeCell="AG38" sqref="AG38"/>
    </sheetView>
  </sheetViews>
  <sheetFormatPr defaultColWidth="9.140625" defaultRowHeight="15"/>
  <cols>
    <col min="3" max="3" width="37.140625" bestFit="1" customWidth="1"/>
    <col min="4" max="4" width="26.7109375" bestFit="1" customWidth="1"/>
    <col min="6" max="6" width="14.42578125" customWidth="1"/>
    <col min="7" max="7" width="20.85546875" customWidth="1"/>
    <col min="8" max="8" width="14.85546875" customWidth="1"/>
    <col min="11" max="11" width="27.7109375" bestFit="1" customWidth="1"/>
  </cols>
  <sheetData>
    <row r="2" spans="3:11" ht="15.75" thickBot="1"/>
    <row r="3" spans="3:11" ht="48" customHeight="1">
      <c r="C3" s="2489"/>
      <c r="D3" s="2098" t="s">
        <v>13365</v>
      </c>
      <c r="E3" s="2125"/>
      <c r="F3" s="2125"/>
      <c r="G3" s="2125"/>
      <c r="H3" s="2125"/>
      <c r="I3" s="2125"/>
      <c r="J3" s="2125"/>
      <c r="K3" s="2125"/>
    </row>
    <row r="4" spans="3:11" ht="30" customHeight="1" thickBot="1">
      <c r="C4" s="2490"/>
      <c r="D4" s="2102"/>
      <c r="E4" s="2491"/>
      <c r="F4" s="2491"/>
      <c r="G4" s="2491"/>
      <c r="H4" s="2491"/>
      <c r="I4" s="2491"/>
      <c r="J4" s="2491"/>
      <c r="K4" s="2491"/>
    </row>
    <row r="5" spans="3:11" ht="50.1" customHeight="1" thickBot="1">
      <c r="C5" s="2490"/>
      <c r="D5" s="2080" t="s">
        <v>13363</v>
      </c>
      <c r="E5" s="2081"/>
      <c r="F5" s="2081"/>
      <c r="G5" s="2081"/>
      <c r="H5" s="2081"/>
      <c r="I5" s="2081"/>
      <c r="J5" s="2081"/>
      <c r="K5" s="2081"/>
    </row>
    <row r="6" spans="3:11" ht="15.75">
      <c r="C6" s="1398" t="s">
        <v>5</v>
      </c>
      <c r="D6" s="2492" t="str">
        <f>'ORÇAMENTO '!G11</f>
        <v xml:space="preserve">ESCOLA MUNICIPAL DOMINGOS AZZOLINI </v>
      </c>
      <c r="E6" s="2492"/>
      <c r="F6" s="2492"/>
      <c r="G6" s="2492"/>
      <c r="H6" s="2492"/>
      <c r="I6" s="2492"/>
      <c r="J6" s="2492"/>
      <c r="K6" s="2492"/>
    </row>
    <row r="7" spans="3:11" ht="15.75">
      <c r="C7" s="1483" t="s">
        <v>7</v>
      </c>
      <c r="D7" s="2493" t="str">
        <f>'ORÇAMENTO '!G12</f>
        <v>SANTO ANTONIO DO LESTE</v>
      </c>
      <c r="E7" s="2494"/>
      <c r="F7" s="2494"/>
      <c r="G7" s="2494"/>
      <c r="H7" s="2494"/>
      <c r="I7" s="2494"/>
      <c r="J7" s="2494"/>
      <c r="K7" s="2494"/>
    </row>
    <row r="8" spans="3:11" ht="15.75" customHeight="1" thickBot="1">
      <c r="C8" s="2487"/>
      <c r="D8" s="2488"/>
      <c r="E8" s="2488"/>
      <c r="F8" s="2488"/>
      <c r="G8" s="2488"/>
      <c r="H8" s="2488"/>
      <c r="I8" s="2488"/>
      <c r="J8" s="2488"/>
      <c r="K8" s="2488"/>
    </row>
    <row r="9" spans="3:11" ht="6" customHeight="1" thickBot="1">
      <c r="C9" s="2495"/>
      <c r="D9" s="2496"/>
      <c r="E9" s="2496"/>
      <c r="F9" s="2496"/>
      <c r="G9" s="2496"/>
      <c r="H9" s="2496"/>
      <c r="I9" s="2496"/>
      <c r="J9" s="2496"/>
      <c r="K9" s="2496"/>
    </row>
    <row r="10" spans="3:11" ht="6" customHeight="1" thickBot="1">
      <c r="C10" s="2497"/>
      <c r="D10" s="2498"/>
      <c r="E10" s="2498"/>
      <c r="F10" s="2498"/>
      <c r="G10" s="2498"/>
      <c r="H10" s="2498"/>
      <c r="I10" s="2498"/>
      <c r="J10" s="2498"/>
      <c r="K10" s="2498"/>
    </row>
    <row r="11" spans="3:11" ht="21.95" customHeight="1" thickBot="1">
      <c r="C11" s="2245" t="s">
        <v>5325</v>
      </c>
      <c r="D11" s="2246"/>
      <c r="E11" s="2246"/>
      <c r="F11" s="2246"/>
      <c r="G11" s="2246"/>
      <c r="H11" s="2246"/>
      <c r="I11" s="2246"/>
      <c r="J11" s="2246"/>
      <c r="K11" s="2246"/>
    </row>
    <row r="12" spans="3:11" ht="6" customHeight="1" thickBot="1">
      <c r="C12" s="2497"/>
      <c r="D12" s="2498"/>
      <c r="E12" s="2498"/>
      <c r="F12" s="2498"/>
      <c r="G12" s="2498"/>
      <c r="H12" s="2498"/>
      <c r="I12" s="2498"/>
      <c r="J12" s="2498"/>
      <c r="K12" s="2498"/>
    </row>
    <row r="13" spans="3:11" ht="6" customHeight="1" thickBot="1">
      <c r="C13" s="2499"/>
      <c r="D13" s="2500"/>
      <c r="E13" s="2500"/>
      <c r="F13" s="2500"/>
      <c r="G13" s="2500"/>
      <c r="H13" s="2500"/>
      <c r="I13" s="2500"/>
      <c r="J13" s="2500"/>
      <c r="K13" s="2500"/>
    </row>
    <row r="14" spans="3:11" s="1776" customFormat="1" ht="9" customHeight="1">
      <c r="C14" s="2587" t="s">
        <v>14159</v>
      </c>
      <c r="D14" s="2587" t="s">
        <v>2223</v>
      </c>
      <c r="E14" s="2588" t="s">
        <v>14160</v>
      </c>
      <c r="F14" s="2591" t="s">
        <v>5327</v>
      </c>
      <c r="G14" s="2591" t="s">
        <v>14161</v>
      </c>
      <c r="H14" s="2599" t="s">
        <v>14162</v>
      </c>
      <c r="I14" s="2599"/>
      <c r="J14" s="2587" t="s">
        <v>14163</v>
      </c>
      <c r="K14" s="2591" t="s">
        <v>14164</v>
      </c>
    </row>
    <row r="15" spans="3:11" s="1776" customFormat="1">
      <c r="C15" s="2587"/>
      <c r="D15" s="2587"/>
      <c r="E15" s="2588"/>
      <c r="F15" s="2591"/>
      <c r="G15" s="2591"/>
      <c r="H15" s="1775" t="s">
        <v>14160</v>
      </c>
      <c r="I15" s="1775" t="s">
        <v>5327</v>
      </c>
      <c r="J15" s="2587"/>
      <c r="K15" s="2591"/>
    </row>
    <row r="16" spans="3:11" s="1776" customFormat="1">
      <c r="C16" s="2587" t="s">
        <v>14165</v>
      </c>
      <c r="D16" s="2587"/>
      <c r="E16" s="2587"/>
      <c r="F16" s="2587"/>
      <c r="G16" s="2587"/>
      <c r="H16" s="2587"/>
      <c r="I16" s="2587"/>
      <c r="J16" s="2587"/>
      <c r="K16" s="2587"/>
    </row>
    <row r="17" spans="3:11" s="1776" customFormat="1" ht="14.25">
      <c r="C17" s="1267" t="s">
        <v>14166</v>
      </c>
      <c r="D17" s="1267">
        <v>6</v>
      </c>
      <c r="E17" s="1777">
        <v>0.55000000000000004</v>
      </c>
      <c r="F17" s="1778">
        <v>0.65</v>
      </c>
      <c r="G17" s="1778">
        <v>1</v>
      </c>
      <c r="H17" s="1778">
        <f>E17+0.4</f>
        <v>0.95000000000000007</v>
      </c>
      <c r="I17" s="1778">
        <f>F17+0.4</f>
        <v>1.05</v>
      </c>
      <c r="J17" s="1779">
        <f>E17*F17*D17</f>
        <v>2.1450000000000005</v>
      </c>
      <c r="K17" s="1779">
        <f>H17*I17*G17*D17</f>
        <v>5.9850000000000012</v>
      </c>
    </row>
    <row r="18" spans="3:11" s="1776" customFormat="1" ht="14.25">
      <c r="C18" s="1267" t="s">
        <v>14167</v>
      </c>
      <c r="D18" s="1267">
        <v>2</v>
      </c>
      <c r="E18" s="1777">
        <v>0.55000000000000004</v>
      </c>
      <c r="F18" s="1778">
        <v>0.65</v>
      </c>
      <c r="G18" s="1778">
        <v>1</v>
      </c>
      <c r="H18" s="1778">
        <f>E18+0.4</f>
        <v>0.95000000000000007</v>
      </c>
      <c r="I18" s="1778">
        <f>F18+0.4</f>
        <v>1.05</v>
      </c>
      <c r="J18" s="1779">
        <f>E18*F18*D18</f>
        <v>0.71500000000000008</v>
      </c>
      <c r="K18" s="1779">
        <f>H18*I18*G18*D18</f>
        <v>1.9950000000000003</v>
      </c>
    </row>
    <row r="19" spans="3:11" s="1776" customFormat="1">
      <c r="C19" s="2593" t="s">
        <v>14168</v>
      </c>
      <c r="D19" s="2593"/>
      <c r="E19" s="2593"/>
      <c r="F19" s="2593"/>
      <c r="G19" s="2593"/>
      <c r="H19" s="2593"/>
      <c r="I19" s="2593"/>
      <c r="J19" s="2593"/>
      <c r="K19" s="2593"/>
    </row>
    <row r="20" spans="3:11" s="1776" customFormat="1" ht="14.25">
      <c r="C20" s="1267" t="s">
        <v>14169</v>
      </c>
      <c r="D20" s="1267">
        <v>8</v>
      </c>
      <c r="E20" s="1777">
        <v>0.55000000000000004</v>
      </c>
      <c r="F20" s="1778">
        <v>0.65</v>
      </c>
      <c r="G20" s="1778">
        <v>1</v>
      </c>
      <c r="H20" s="1778">
        <f>E20+0.4</f>
        <v>0.95000000000000007</v>
      </c>
      <c r="I20" s="1778">
        <f>F20+0.4</f>
        <v>1.05</v>
      </c>
      <c r="J20" s="1779">
        <f>E20*F20*D20</f>
        <v>2.8600000000000003</v>
      </c>
      <c r="K20" s="1779">
        <f>H20*I20*G20*D20</f>
        <v>7.9800000000000013</v>
      </c>
    </row>
    <row r="21" spans="3:11" s="1776" customFormat="1">
      <c r="C21" s="2587" t="s">
        <v>14170</v>
      </c>
      <c r="D21" s="2587"/>
      <c r="E21" s="2587"/>
      <c r="F21" s="2587"/>
      <c r="G21" s="2587"/>
      <c r="H21" s="2587"/>
      <c r="I21" s="2587"/>
      <c r="J21" s="2587"/>
      <c r="K21" s="2587"/>
    </row>
    <row r="22" spans="3:11" s="1776" customFormat="1" ht="14.25">
      <c r="C22" s="1267" t="s">
        <v>14171</v>
      </c>
      <c r="D22" s="1267">
        <v>2</v>
      </c>
      <c r="E22" s="1777">
        <v>0.55000000000000004</v>
      </c>
      <c r="F22" s="1778">
        <v>0.65</v>
      </c>
      <c r="G22" s="1778">
        <v>1</v>
      </c>
      <c r="H22" s="1778">
        <f>E22+0.4</f>
        <v>0.95000000000000007</v>
      </c>
      <c r="I22" s="1778">
        <f>F22+0.4</f>
        <v>1.05</v>
      </c>
      <c r="J22" s="1779">
        <f>E22*F22*D22</f>
        <v>0.71500000000000008</v>
      </c>
      <c r="K22" s="1779">
        <f>H22*I22*G22*D22</f>
        <v>1.9950000000000003</v>
      </c>
    </row>
    <row r="23" spans="3:11" s="1776" customFormat="1">
      <c r="C23" s="2587" t="s">
        <v>14172</v>
      </c>
      <c r="D23" s="2587"/>
      <c r="E23" s="2587"/>
      <c r="F23" s="2587"/>
      <c r="G23" s="2587"/>
      <c r="H23" s="2587"/>
      <c r="I23" s="2587"/>
      <c r="J23" s="2587"/>
      <c r="K23" s="2587"/>
    </row>
    <row r="24" spans="3:11" s="1776" customFormat="1" ht="14.25">
      <c r="C24" s="1267" t="s">
        <v>5326</v>
      </c>
      <c r="D24" s="1267">
        <v>1</v>
      </c>
      <c r="E24" s="1777">
        <v>0.75</v>
      </c>
      <c r="F24" s="1778">
        <v>0.7</v>
      </c>
      <c r="G24" s="1778">
        <v>1</v>
      </c>
      <c r="H24" s="1778">
        <f>E24+0.4</f>
        <v>1.1499999999999999</v>
      </c>
      <c r="I24" s="1778">
        <f>F24+0.4</f>
        <v>1.1000000000000001</v>
      </c>
      <c r="J24" s="1779">
        <f>E24*F24*D24</f>
        <v>0.52499999999999991</v>
      </c>
      <c r="K24" s="1779">
        <f>H24*I24*G24*D24</f>
        <v>1.2649999999999999</v>
      </c>
    </row>
    <row r="25" spans="3:11" s="1776" customFormat="1">
      <c r="C25" s="2594" t="s">
        <v>14173</v>
      </c>
      <c r="D25" s="2594"/>
      <c r="E25" s="2594"/>
      <c r="F25" s="2594"/>
      <c r="G25" s="2594"/>
      <c r="H25" s="2594"/>
      <c r="I25" s="2594"/>
      <c r="J25" s="2594"/>
      <c r="K25" s="2594"/>
    </row>
    <row r="26" spans="3:11" s="1776" customFormat="1" ht="14.25">
      <c r="C26" s="1267" t="s">
        <v>5326</v>
      </c>
      <c r="D26" s="1267">
        <v>1</v>
      </c>
      <c r="E26" s="1777">
        <v>1.1000000000000001</v>
      </c>
      <c r="F26" s="1778">
        <v>1.1000000000000001</v>
      </c>
      <c r="G26" s="1778">
        <v>1</v>
      </c>
      <c r="H26" s="1778">
        <f>E26+0.4</f>
        <v>1.5</v>
      </c>
      <c r="I26" s="1778">
        <f>F26+0.4</f>
        <v>1.5</v>
      </c>
      <c r="J26" s="1779">
        <f>E26*F26*D26</f>
        <v>1.2100000000000002</v>
      </c>
      <c r="K26" s="1779">
        <f>H26*I26*G26*D26</f>
        <v>2.25</v>
      </c>
    </row>
    <row r="27" spans="3:11" s="1776" customFormat="1">
      <c r="C27" s="2595" t="s">
        <v>14174</v>
      </c>
      <c r="D27" s="2595"/>
      <c r="E27" s="2595"/>
      <c r="F27" s="2595"/>
      <c r="G27" s="2595"/>
      <c r="H27" s="2595"/>
      <c r="I27" s="1781" t="s">
        <v>167</v>
      </c>
      <c r="J27" s="1782">
        <f>SUM(J17:J26)</f>
        <v>8.1700000000000017</v>
      </c>
      <c r="K27" s="1782">
        <f>SUM(K17:K26)</f>
        <v>21.470000000000002</v>
      </c>
    </row>
    <row r="28" spans="3:11" s="1776" customFormat="1" ht="14.25">
      <c r="C28" s="2596"/>
      <c r="D28" s="2597"/>
      <c r="E28" s="2597"/>
      <c r="F28" s="2597"/>
      <c r="G28" s="2597"/>
      <c r="H28" s="2597"/>
      <c r="I28" s="2597"/>
      <c r="J28" s="2597"/>
      <c r="K28" s="2598"/>
    </row>
    <row r="29" spans="3:11" s="1776" customFormat="1">
      <c r="C29" s="2587" t="s">
        <v>14175</v>
      </c>
      <c r="D29" s="2587"/>
      <c r="E29" s="2587"/>
      <c r="F29" s="2587"/>
      <c r="G29" s="2587"/>
      <c r="H29" s="2587"/>
      <c r="I29" s="2587"/>
      <c r="J29" s="2587"/>
      <c r="K29" s="2587"/>
    </row>
    <row r="30" spans="3:11" s="1776" customFormat="1">
      <c r="C30" s="2587" t="s">
        <v>14159</v>
      </c>
      <c r="D30" s="2587"/>
      <c r="E30" s="2588" t="s">
        <v>14160</v>
      </c>
      <c r="F30" s="2591" t="s">
        <v>5327</v>
      </c>
      <c r="G30" s="2591" t="s">
        <v>14161</v>
      </c>
      <c r="H30" s="1775" t="s">
        <v>14162</v>
      </c>
      <c r="I30" s="2587" t="s">
        <v>14163</v>
      </c>
      <c r="J30" s="2587"/>
      <c r="K30" s="2591" t="s">
        <v>14164</v>
      </c>
    </row>
    <row r="31" spans="3:11" s="1776" customFormat="1">
      <c r="C31" s="2587"/>
      <c r="D31" s="2587"/>
      <c r="E31" s="2588"/>
      <c r="F31" s="2591"/>
      <c r="G31" s="2591"/>
      <c r="H31" s="1775" t="s">
        <v>14160</v>
      </c>
      <c r="I31" s="2587"/>
      <c r="J31" s="2587"/>
      <c r="K31" s="2591"/>
    </row>
    <row r="32" spans="3:11" s="1776" customFormat="1">
      <c r="C32" s="2587" t="s">
        <v>14165</v>
      </c>
      <c r="D32" s="2587"/>
      <c r="E32" s="2587"/>
      <c r="F32" s="2587"/>
      <c r="G32" s="2587"/>
      <c r="H32" s="2587"/>
      <c r="I32" s="2587"/>
      <c r="J32" s="2587"/>
      <c r="K32" s="2587"/>
    </row>
    <row r="33" spans="3:11" s="1776" customFormat="1" ht="14.25">
      <c r="C33" s="2274" t="s">
        <v>5329</v>
      </c>
      <c r="D33" s="2274"/>
      <c r="E33" s="1783">
        <v>0.15</v>
      </c>
      <c r="F33" s="1779">
        <v>5.3090000000000002</v>
      </c>
      <c r="G33" s="1778">
        <v>0.25</v>
      </c>
      <c r="H33" s="1778">
        <f>E33+0.4</f>
        <v>0.55000000000000004</v>
      </c>
      <c r="I33" s="2592">
        <f>E33*F33</f>
        <v>0.79635</v>
      </c>
      <c r="J33" s="2592"/>
      <c r="K33" s="1779">
        <f>H33*F33*G33</f>
        <v>0.72998750000000012</v>
      </c>
    </row>
    <row r="34" spans="3:11" s="1776" customFormat="1" ht="14.25">
      <c r="C34" s="2274" t="s">
        <v>5330</v>
      </c>
      <c r="D34" s="2274"/>
      <c r="E34" s="1783">
        <v>0.15</v>
      </c>
      <c r="F34" s="1779">
        <v>2.5499999999999998</v>
      </c>
      <c r="G34" s="1778">
        <v>0.25</v>
      </c>
      <c r="H34" s="1778">
        <f t="shared" ref="H34:H54" si="0">E34+0.4</f>
        <v>0.55000000000000004</v>
      </c>
      <c r="I34" s="2592">
        <f t="shared" ref="I34:I45" si="1">E34*F34</f>
        <v>0.38249999999999995</v>
      </c>
      <c r="J34" s="2592"/>
      <c r="K34" s="1779">
        <f t="shared" ref="K34:K54" si="2">H34*F34*G34</f>
        <v>0.35062500000000002</v>
      </c>
    </row>
    <row r="35" spans="3:11" s="1776" customFormat="1" ht="14.25">
      <c r="C35" s="2274" t="s">
        <v>5331</v>
      </c>
      <c r="D35" s="2274"/>
      <c r="E35" s="1783">
        <v>0.15</v>
      </c>
      <c r="F35" s="1779">
        <v>5.3090000000000002</v>
      </c>
      <c r="G35" s="1778">
        <v>0.25</v>
      </c>
      <c r="H35" s="1778">
        <f t="shared" si="0"/>
        <v>0.55000000000000004</v>
      </c>
      <c r="I35" s="2592">
        <f t="shared" si="1"/>
        <v>0.79635</v>
      </c>
      <c r="J35" s="2592"/>
      <c r="K35" s="1779">
        <f t="shared" si="2"/>
        <v>0.72998750000000012</v>
      </c>
    </row>
    <row r="36" spans="3:11" s="1776" customFormat="1" ht="14.25">
      <c r="C36" s="2274" t="s">
        <v>5332</v>
      </c>
      <c r="D36" s="2274"/>
      <c r="E36" s="1783">
        <v>0.15</v>
      </c>
      <c r="F36" s="1779">
        <v>2.5499999999999998</v>
      </c>
      <c r="G36" s="1778">
        <v>0.25</v>
      </c>
      <c r="H36" s="1778">
        <f t="shared" si="0"/>
        <v>0.55000000000000004</v>
      </c>
      <c r="I36" s="2592">
        <f t="shared" si="1"/>
        <v>0.38249999999999995</v>
      </c>
      <c r="J36" s="2592"/>
      <c r="K36" s="1779">
        <f t="shared" si="2"/>
        <v>0.35062500000000002</v>
      </c>
    </row>
    <row r="37" spans="3:11" s="1776" customFormat="1" ht="14.25">
      <c r="C37" s="2274" t="s">
        <v>5333</v>
      </c>
      <c r="D37" s="2274"/>
      <c r="E37" s="1783">
        <v>0.15</v>
      </c>
      <c r="F37" s="1779">
        <v>5.3090000000000002</v>
      </c>
      <c r="G37" s="1778">
        <v>0.25</v>
      </c>
      <c r="H37" s="1778">
        <f t="shared" si="0"/>
        <v>0.55000000000000004</v>
      </c>
      <c r="I37" s="2592">
        <f t="shared" si="1"/>
        <v>0.79635</v>
      </c>
      <c r="J37" s="2592"/>
      <c r="K37" s="1779">
        <f t="shared" si="2"/>
        <v>0.72998750000000012</v>
      </c>
    </row>
    <row r="38" spans="3:11" s="1776" customFormat="1" ht="14.25">
      <c r="C38" s="2274" t="s">
        <v>5334</v>
      </c>
      <c r="D38" s="2274"/>
      <c r="E38" s="1783">
        <v>0.15</v>
      </c>
      <c r="F38" s="1779">
        <v>2.5499999999999998</v>
      </c>
      <c r="G38" s="1778">
        <v>0.25</v>
      </c>
      <c r="H38" s="1778">
        <f t="shared" si="0"/>
        <v>0.55000000000000004</v>
      </c>
      <c r="I38" s="2592">
        <f t="shared" si="1"/>
        <v>0.38249999999999995</v>
      </c>
      <c r="J38" s="2592"/>
      <c r="K38" s="1779">
        <f t="shared" si="2"/>
        <v>0.35062500000000002</v>
      </c>
    </row>
    <row r="39" spans="3:11" s="1776" customFormat="1" ht="14.25">
      <c r="C39" s="2274" t="s">
        <v>5335</v>
      </c>
      <c r="D39" s="2274"/>
      <c r="E39" s="1783">
        <v>0.15</v>
      </c>
      <c r="F39" s="1779">
        <v>5.3090000000000002</v>
      </c>
      <c r="G39" s="1778">
        <v>0.25</v>
      </c>
      <c r="H39" s="1778">
        <f t="shared" si="0"/>
        <v>0.55000000000000004</v>
      </c>
      <c r="I39" s="2592">
        <f t="shared" si="1"/>
        <v>0.79635</v>
      </c>
      <c r="J39" s="2592"/>
      <c r="K39" s="1779">
        <f t="shared" si="2"/>
        <v>0.72998750000000012</v>
      </c>
    </row>
    <row r="40" spans="3:11" s="1776" customFormat="1" ht="14.25">
      <c r="C40" s="2274" t="s">
        <v>5336</v>
      </c>
      <c r="D40" s="2274"/>
      <c r="E40" s="1783">
        <v>0.15</v>
      </c>
      <c r="F40" s="1779">
        <v>3.0990000000000002</v>
      </c>
      <c r="G40" s="1778">
        <v>0.25</v>
      </c>
      <c r="H40" s="1778">
        <f t="shared" si="0"/>
        <v>0.55000000000000004</v>
      </c>
      <c r="I40" s="2592">
        <f t="shared" si="1"/>
        <v>0.46484999999999999</v>
      </c>
      <c r="J40" s="2592"/>
      <c r="K40" s="1779">
        <f t="shared" si="2"/>
        <v>0.42611250000000006</v>
      </c>
    </row>
    <row r="41" spans="3:11" s="1776" customFormat="1" ht="14.25">
      <c r="C41" s="2274" t="s">
        <v>5337</v>
      </c>
      <c r="D41" s="2274"/>
      <c r="E41" s="1783">
        <v>0.15</v>
      </c>
      <c r="F41" s="1779">
        <v>3.0990000000000002</v>
      </c>
      <c r="G41" s="1778">
        <v>0.25</v>
      </c>
      <c r="H41" s="1778">
        <f t="shared" si="0"/>
        <v>0.55000000000000004</v>
      </c>
      <c r="I41" s="2592">
        <f t="shared" si="1"/>
        <v>0.46484999999999999</v>
      </c>
      <c r="J41" s="2592"/>
      <c r="K41" s="1779">
        <f t="shared" si="2"/>
        <v>0.42611250000000006</v>
      </c>
    </row>
    <row r="42" spans="3:11" s="1776" customFormat="1" ht="14.25">
      <c r="C42" s="2274" t="s">
        <v>5338</v>
      </c>
      <c r="D42" s="2274"/>
      <c r="E42" s="1783">
        <v>0.15</v>
      </c>
      <c r="F42" s="1779">
        <v>3.0990000000000002</v>
      </c>
      <c r="G42" s="1778">
        <v>0.25</v>
      </c>
      <c r="H42" s="1778">
        <f t="shared" si="0"/>
        <v>0.55000000000000004</v>
      </c>
      <c r="I42" s="2592">
        <f t="shared" si="1"/>
        <v>0.46484999999999999</v>
      </c>
      <c r="J42" s="2592"/>
      <c r="K42" s="1779">
        <f t="shared" si="2"/>
        <v>0.42611250000000006</v>
      </c>
    </row>
    <row r="43" spans="3:11" s="1776" customFormat="1" ht="14.25">
      <c r="C43" s="2274" t="s">
        <v>5339</v>
      </c>
      <c r="D43" s="2274"/>
      <c r="E43" s="1783">
        <v>0.15</v>
      </c>
      <c r="F43" s="1779">
        <v>3.0990000000000002</v>
      </c>
      <c r="G43" s="1778">
        <v>0.25</v>
      </c>
      <c r="H43" s="1778">
        <f t="shared" si="0"/>
        <v>0.55000000000000004</v>
      </c>
      <c r="I43" s="2592">
        <f t="shared" si="1"/>
        <v>0.46484999999999999</v>
      </c>
      <c r="J43" s="2592"/>
      <c r="K43" s="1779">
        <f t="shared" si="2"/>
        <v>0.42611250000000006</v>
      </c>
    </row>
    <row r="44" spans="3:11" s="1776" customFormat="1" ht="14.25">
      <c r="C44" s="2274" t="s">
        <v>5340</v>
      </c>
      <c r="D44" s="2274"/>
      <c r="E44" s="1783">
        <v>0.15</v>
      </c>
      <c r="F44" s="1779">
        <v>3.0990000000000002</v>
      </c>
      <c r="G44" s="1778">
        <v>0.25</v>
      </c>
      <c r="H44" s="1778">
        <f t="shared" si="0"/>
        <v>0.55000000000000004</v>
      </c>
      <c r="I44" s="2592">
        <f t="shared" si="1"/>
        <v>0.46484999999999999</v>
      </c>
      <c r="J44" s="2592"/>
      <c r="K44" s="1779">
        <f t="shared" si="2"/>
        <v>0.42611250000000006</v>
      </c>
    </row>
    <row r="45" spans="3:11" s="1776" customFormat="1" ht="14.25">
      <c r="C45" s="2274" t="s">
        <v>5341</v>
      </c>
      <c r="D45" s="2274"/>
      <c r="E45" s="1783">
        <v>0.15</v>
      </c>
      <c r="F45" s="1779">
        <v>3.0990000000000002</v>
      </c>
      <c r="G45" s="1778">
        <v>0.25</v>
      </c>
      <c r="H45" s="1778">
        <f t="shared" si="0"/>
        <v>0.55000000000000004</v>
      </c>
      <c r="I45" s="2592">
        <f t="shared" si="1"/>
        <v>0.46484999999999999</v>
      </c>
      <c r="J45" s="2592"/>
      <c r="K45" s="1779">
        <f t="shared" si="2"/>
        <v>0.42611250000000006</v>
      </c>
    </row>
    <row r="46" spans="3:11" s="1776" customFormat="1" ht="15" customHeight="1">
      <c r="C46" s="2593" t="s">
        <v>14168</v>
      </c>
      <c r="D46" s="2593"/>
      <c r="E46" s="2593"/>
      <c r="F46" s="2593"/>
      <c r="G46" s="2593"/>
      <c r="H46" s="2593"/>
      <c r="I46" s="2593"/>
      <c r="J46" s="2593"/>
      <c r="K46" s="2593"/>
    </row>
    <row r="47" spans="3:11" s="1776" customFormat="1" ht="14.25">
      <c r="C47" s="2274" t="s">
        <v>5329</v>
      </c>
      <c r="D47" s="2274"/>
      <c r="E47" s="1783">
        <v>0.15</v>
      </c>
      <c r="F47" s="1779">
        <f>4.05*3</f>
        <v>12.149999999999999</v>
      </c>
      <c r="G47" s="1778">
        <v>0.25</v>
      </c>
      <c r="H47" s="1778">
        <f t="shared" si="0"/>
        <v>0.55000000000000004</v>
      </c>
      <c r="I47" s="2592">
        <f>E47*F47</f>
        <v>1.8224999999999998</v>
      </c>
      <c r="J47" s="2592"/>
      <c r="K47" s="1779">
        <f t="shared" si="2"/>
        <v>1.670625</v>
      </c>
    </row>
    <row r="48" spans="3:11" s="1776" customFormat="1" ht="14.25">
      <c r="C48" s="2274" t="s">
        <v>5330</v>
      </c>
      <c r="D48" s="2274"/>
      <c r="E48" s="1783">
        <v>0.15</v>
      </c>
      <c r="F48" s="1779">
        <v>4.75</v>
      </c>
      <c r="G48" s="1778">
        <v>0.25</v>
      </c>
      <c r="H48" s="1778">
        <f t="shared" si="0"/>
        <v>0.55000000000000004</v>
      </c>
      <c r="I48" s="2592">
        <f>E48*F48</f>
        <v>0.71250000000000002</v>
      </c>
      <c r="J48" s="2592"/>
      <c r="K48" s="1779">
        <f t="shared" si="2"/>
        <v>0.65312500000000007</v>
      </c>
    </row>
    <row r="49" spans="3:11" s="1776" customFormat="1" ht="14.25">
      <c r="C49" s="2274" t="s">
        <v>5331</v>
      </c>
      <c r="D49" s="2274"/>
      <c r="E49" s="1783">
        <v>0.15</v>
      </c>
      <c r="F49" s="1779">
        <v>12.15</v>
      </c>
      <c r="G49" s="1778">
        <v>0.25</v>
      </c>
      <c r="H49" s="1778">
        <f t="shared" si="0"/>
        <v>0.55000000000000004</v>
      </c>
      <c r="I49" s="2592">
        <f>E49*F49</f>
        <v>1.8225</v>
      </c>
      <c r="J49" s="2592"/>
      <c r="K49" s="1779">
        <f t="shared" si="2"/>
        <v>1.6706250000000002</v>
      </c>
    </row>
    <row r="50" spans="3:11" s="1776" customFormat="1" ht="14.25">
      <c r="C50" s="2274" t="s">
        <v>5332</v>
      </c>
      <c r="D50" s="2274"/>
      <c r="E50" s="1783">
        <v>0.15</v>
      </c>
      <c r="F50" s="1779">
        <v>4.75</v>
      </c>
      <c r="G50" s="1778">
        <v>0.25</v>
      </c>
      <c r="H50" s="1778">
        <f t="shared" si="0"/>
        <v>0.55000000000000004</v>
      </c>
      <c r="I50" s="2592">
        <f>E50*F50</f>
        <v>0.71250000000000002</v>
      </c>
      <c r="J50" s="2592"/>
      <c r="K50" s="1779">
        <f t="shared" si="2"/>
        <v>0.65312500000000007</v>
      </c>
    </row>
    <row r="51" spans="3:11" s="1776" customFormat="1" ht="15" customHeight="1">
      <c r="C51" s="2593" t="s">
        <v>14170</v>
      </c>
      <c r="D51" s="2593"/>
      <c r="E51" s="2593"/>
      <c r="F51" s="2593"/>
      <c r="G51" s="2593"/>
      <c r="H51" s="2593"/>
      <c r="I51" s="2593"/>
      <c r="J51" s="2593"/>
      <c r="K51" s="2593"/>
    </row>
    <row r="52" spans="3:11" s="1776" customFormat="1" ht="14.25">
      <c r="C52" s="2274" t="s">
        <v>14176</v>
      </c>
      <c r="D52" s="2274"/>
      <c r="E52" s="1783">
        <v>0.15</v>
      </c>
      <c r="F52" s="1779">
        <v>1.05</v>
      </c>
      <c r="G52" s="1778">
        <v>0.25</v>
      </c>
      <c r="H52" s="1778">
        <f t="shared" si="0"/>
        <v>0.55000000000000004</v>
      </c>
      <c r="I52" s="2592">
        <f>E52*F52</f>
        <v>0.1575</v>
      </c>
      <c r="J52" s="2592"/>
      <c r="K52" s="1779">
        <f t="shared" si="2"/>
        <v>0.14437500000000003</v>
      </c>
    </row>
    <row r="53" spans="3:11" s="1776" customFormat="1" ht="14.25">
      <c r="C53" s="2274" t="s">
        <v>14177</v>
      </c>
      <c r="D53" s="2274"/>
      <c r="E53" s="1783">
        <v>0.15</v>
      </c>
      <c r="F53" s="1779">
        <v>1.05</v>
      </c>
      <c r="G53" s="1778">
        <v>0.25</v>
      </c>
      <c r="H53" s="1778">
        <f t="shared" si="0"/>
        <v>0.55000000000000004</v>
      </c>
      <c r="I53" s="2592">
        <f>E53*F53</f>
        <v>0.1575</v>
      </c>
      <c r="J53" s="2592"/>
      <c r="K53" s="1779">
        <f t="shared" si="2"/>
        <v>0.14437500000000003</v>
      </c>
    </row>
    <row r="54" spans="3:11" s="1776" customFormat="1" ht="14.25">
      <c r="C54" s="2274" t="s">
        <v>14178</v>
      </c>
      <c r="D54" s="2274"/>
      <c r="E54" s="1783">
        <v>0.15</v>
      </c>
      <c r="F54" s="1779">
        <v>3.6</v>
      </c>
      <c r="G54" s="1778">
        <v>0.25</v>
      </c>
      <c r="H54" s="1778">
        <f t="shared" si="0"/>
        <v>0.55000000000000004</v>
      </c>
      <c r="I54" s="2592">
        <f>E54*F54</f>
        <v>0.54</v>
      </c>
      <c r="J54" s="2592"/>
      <c r="K54" s="1779">
        <f t="shared" si="2"/>
        <v>0.49500000000000005</v>
      </c>
    </row>
    <row r="55" spans="3:11" s="1776" customFormat="1">
      <c r="C55" s="2605" t="s">
        <v>167</v>
      </c>
      <c r="D55" s="2605"/>
      <c r="E55" s="2605"/>
      <c r="F55" s="2605"/>
      <c r="G55" s="2605"/>
      <c r="H55" s="2605"/>
      <c r="I55" s="2606">
        <f>SUM(I33:J54)</f>
        <v>13.047000000000004</v>
      </c>
      <c r="J55" s="2606"/>
      <c r="K55" s="1782">
        <f>SUM(K33:K54)</f>
        <v>11.959750000000001</v>
      </c>
    </row>
    <row r="56" spans="3:11" s="1776" customFormat="1">
      <c r="C56" s="2595" t="s">
        <v>14174</v>
      </c>
      <c r="D56" s="2595"/>
      <c r="E56" s="2595"/>
      <c r="F56" s="2595"/>
      <c r="G56" s="2595"/>
      <c r="H56" s="1781" t="s">
        <v>5561</v>
      </c>
      <c r="I56" s="2606">
        <f>J27+I55</f>
        <v>21.217000000000006</v>
      </c>
      <c r="J56" s="2606"/>
      <c r="K56" s="1782">
        <f>K27+K55</f>
        <v>33.429750000000006</v>
      </c>
    </row>
    <row r="57" spans="3:11" s="1776" customFormat="1">
      <c r="C57" s="1784"/>
      <c r="D57" s="1785"/>
      <c r="E57" s="1786"/>
      <c r="F57" s="1787"/>
      <c r="G57" s="1787"/>
      <c r="H57" s="1787"/>
      <c r="I57" s="1787"/>
      <c r="J57" s="1787"/>
      <c r="K57" s="1788"/>
    </row>
    <row r="58" spans="3:11" s="1776" customFormat="1">
      <c r="C58" s="2587" t="s">
        <v>5328</v>
      </c>
      <c r="D58" s="2587"/>
      <c r="E58" s="2587"/>
      <c r="F58" s="2587"/>
      <c r="G58" s="2587"/>
      <c r="H58" s="2587"/>
      <c r="I58" s="2587"/>
      <c r="J58" s="2587"/>
      <c r="K58" s="2587"/>
    </row>
    <row r="59" spans="3:11" s="1776" customFormat="1" ht="30" customHeight="1">
      <c r="C59" s="2587" t="s">
        <v>14159</v>
      </c>
      <c r="D59" s="2587"/>
      <c r="E59" s="1772" t="s">
        <v>14179</v>
      </c>
      <c r="F59" s="2588" t="s">
        <v>14180</v>
      </c>
      <c r="G59" s="2588"/>
      <c r="H59" s="2591" t="s">
        <v>14181</v>
      </c>
      <c r="I59" s="2591"/>
      <c r="J59" s="2591" t="s">
        <v>19</v>
      </c>
      <c r="K59" s="2591"/>
    </row>
    <row r="60" spans="3:11" s="1776" customFormat="1" ht="15" customHeight="1">
      <c r="C60" s="2274" t="s">
        <v>14182</v>
      </c>
      <c r="D60" s="2274"/>
      <c r="E60" s="1790">
        <f>K27</f>
        <v>21.470000000000002</v>
      </c>
      <c r="F60" s="2590">
        <f>J27*0.05</f>
        <v>0.40850000000000009</v>
      </c>
      <c r="G60" s="2590"/>
      <c r="H60" s="2589">
        <f>1.24+0.92+0.33+0.24+0.51</f>
        <v>3.24</v>
      </c>
      <c r="I60" s="2589"/>
      <c r="J60" s="2606">
        <f>E60-F60-H60</f>
        <v>17.8215</v>
      </c>
      <c r="K60" s="2606"/>
    </row>
    <row r="61" spans="3:11" s="1776" customFormat="1">
      <c r="C61" s="2274" t="s">
        <v>14175</v>
      </c>
      <c r="D61" s="2274"/>
      <c r="E61" s="1791">
        <f>K55</f>
        <v>11.959750000000001</v>
      </c>
      <c r="F61" s="2590">
        <f>I55*0.05</f>
        <v>0.65235000000000021</v>
      </c>
      <c r="G61" s="2590"/>
      <c r="H61" s="2589">
        <f>1.79+1.27+0.21</f>
        <v>3.27</v>
      </c>
      <c r="I61" s="2589"/>
      <c r="J61" s="2606">
        <f>E61-F61-H61</f>
        <v>8.0374000000000017</v>
      </c>
      <c r="K61" s="2606"/>
    </row>
    <row r="62" spans="3:11" s="1776" customFormat="1">
      <c r="C62" s="2607" t="s">
        <v>14183</v>
      </c>
      <c r="D62" s="2607"/>
      <c r="E62" s="2607"/>
      <c r="F62" s="2607"/>
      <c r="G62" s="2607"/>
      <c r="H62" s="2607"/>
      <c r="I62" s="2607"/>
      <c r="J62" s="2593">
        <f>SUM(J60:J61)</f>
        <v>25.858900000000002</v>
      </c>
      <c r="K62" s="2593"/>
    </row>
    <row r="63" spans="3:11" s="1776" customFormat="1" ht="14.25">
      <c r="C63" s="1792"/>
      <c r="D63" s="1793"/>
      <c r="E63" s="1794"/>
      <c r="F63" s="1795"/>
      <c r="G63" s="1795"/>
      <c r="H63" s="1795"/>
      <c r="I63" s="1795"/>
      <c r="J63" s="1795"/>
      <c r="K63" s="1796"/>
    </row>
    <row r="64" spans="3:11" s="1776" customFormat="1">
      <c r="C64" s="1797"/>
      <c r="D64" s="1798"/>
      <c r="E64" s="1789"/>
      <c r="F64" s="2587" t="s">
        <v>14184</v>
      </c>
      <c r="G64" s="2587"/>
      <c r="H64" s="2587"/>
      <c r="K64" s="1799"/>
    </row>
    <row r="65" spans="3:19" s="1776" customFormat="1" ht="30">
      <c r="C65" s="1797"/>
      <c r="D65" s="1798"/>
      <c r="E65" s="1800"/>
      <c r="F65" s="1772" t="s">
        <v>14185</v>
      </c>
      <c r="G65" s="1773" t="s">
        <v>14186</v>
      </c>
      <c r="H65" s="1774" t="s">
        <v>0</v>
      </c>
      <c r="K65" s="1799"/>
      <c r="L65" s="1776" t="s">
        <v>14187</v>
      </c>
      <c r="M65" s="1776" t="s">
        <v>14188</v>
      </c>
      <c r="N65" s="1776" t="s">
        <v>14189</v>
      </c>
      <c r="O65" s="1776" t="s">
        <v>14190</v>
      </c>
      <c r="P65" s="1776" t="s">
        <v>14191</v>
      </c>
      <c r="Q65" s="1776" t="s">
        <v>14192</v>
      </c>
      <c r="R65" s="1776" t="s">
        <v>14193</v>
      </c>
      <c r="S65" s="1776" t="s">
        <v>14194</v>
      </c>
    </row>
    <row r="66" spans="3:19" s="1776" customFormat="1" ht="14.25">
      <c r="C66" s="1797"/>
      <c r="D66" s="1798"/>
      <c r="F66" s="1801">
        <v>14.3161</v>
      </c>
      <c r="G66" s="1777">
        <v>0.25</v>
      </c>
      <c r="H66" s="1778">
        <f>F66*G66</f>
        <v>3.5790250000000001</v>
      </c>
      <c r="K66" s="1799"/>
      <c r="L66" s="1776">
        <v>32.200000000000003</v>
      </c>
      <c r="M66" s="1776">
        <v>77.8</v>
      </c>
      <c r="N66" s="1776">
        <v>43.7</v>
      </c>
      <c r="O66" s="1776">
        <v>50.9</v>
      </c>
      <c r="P66" s="1776">
        <v>7.3</v>
      </c>
      <c r="Q66" s="1776">
        <v>10.4</v>
      </c>
      <c r="R66" s="1776">
        <v>14</v>
      </c>
      <c r="S66" s="1776">
        <v>29.1</v>
      </c>
    </row>
    <row r="67" spans="3:19" s="1776" customFormat="1" ht="14.25">
      <c r="C67" s="1797"/>
      <c r="D67" s="1798"/>
      <c r="F67" s="1801">
        <v>8.7982999999999993</v>
      </c>
      <c r="G67" s="1777">
        <v>0.25</v>
      </c>
      <c r="H67" s="1778">
        <f t="shared" ref="H67:H77" si="3">F67*G67</f>
        <v>2.1995749999999998</v>
      </c>
      <c r="K67" s="1799"/>
      <c r="L67" s="1776">
        <v>30.4</v>
      </c>
      <c r="M67" s="1776">
        <v>10</v>
      </c>
      <c r="P67" s="1776">
        <v>24.7</v>
      </c>
      <c r="R67" s="1776">
        <v>3.8</v>
      </c>
      <c r="S67" s="1776">
        <v>3.8</v>
      </c>
    </row>
    <row r="68" spans="3:19" s="1776" customFormat="1" ht="14.25">
      <c r="C68" s="1797"/>
      <c r="D68" s="1798"/>
      <c r="F68" s="1801">
        <v>8.4998000000000005</v>
      </c>
      <c r="G68" s="1777">
        <v>0.25</v>
      </c>
      <c r="H68" s="1778">
        <f t="shared" si="3"/>
        <v>2.1249500000000001</v>
      </c>
      <c r="K68" s="1799"/>
      <c r="L68" s="1776">
        <v>56.3</v>
      </c>
      <c r="M68" s="1776">
        <v>77.2</v>
      </c>
    </row>
    <row r="69" spans="3:19" s="1776" customFormat="1" ht="14.25">
      <c r="C69" s="1797"/>
      <c r="D69" s="1798"/>
      <c r="F69" s="1801">
        <v>7.5979999999999999</v>
      </c>
      <c r="G69" s="1777">
        <v>0.25</v>
      </c>
      <c r="H69" s="1778">
        <f t="shared" si="3"/>
        <v>1.8995</v>
      </c>
      <c r="K69" s="1799"/>
      <c r="L69" s="1776">
        <v>6</v>
      </c>
      <c r="M69" s="1776">
        <v>44</v>
      </c>
      <c r="N69" s="1776">
        <v>9.9</v>
      </c>
      <c r="O69" s="1776">
        <v>34.1</v>
      </c>
      <c r="P69" s="1776">
        <v>4</v>
      </c>
      <c r="Q69" s="1776">
        <v>5</v>
      </c>
      <c r="R69" s="1776">
        <v>2.2999999999999998</v>
      </c>
      <c r="S69" s="1776">
        <v>3</v>
      </c>
    </row>
    <row r="70" spans="3:19" s="1776" customFormat="1" ht="14.25">
      <c r="C70" s="1797"/>
      <c r="D70" s="1798"/>
      <c r="F70" s="1801">
        <v>8.7949999999999999</v>
      </c>
      <c r="G70" s="1777">
        <v>0.25</v>
      </c>
      <c r="H70" s="1778">
        <f t="shared" si="3"/>
        <v>2.19875</v>
      </c>
      <c r="K70" s="1799"/>
    </row>
    <row r="71" spans="3:19" s="1776" customFormat="1" ht="14.25">
      <c r="C71" s="1797"/>
      <c r="D71" s="1798"/>
      <c r="F71" s="1801">
        <v>14.316599999999999</v>
      </c>
      <c r="G71" s="1777">
        <v>0.25</v>
      </c>
      <c r="H71" s="1778">
        <f t="shared" si="3"/>
        <v>3.5791499999999998</v>
      </c>
      <c r="K71" s="1799"/>
    </row>
    <row r="72" spans="3:19" s="1776" customFormat="1" ht="14.25">
      <c r="C72" s="1797"/>
      <c r="D72" s="1798"/>
      <c r="F72" s="1801">
        <v>35.134999999999998</v>
      </c>
      <c r="G72" s="1777">
        <v>0.25</v>
      </c>
      <c r="H72" s="1778">
        <f t="shared" si="3"/>
        <v>8.7837499999999995</v>
      </c>
      <c r="K72" s="1799"/>
    </row>
    <row r="73" spans="3:19" s="1776" customFormat="1" ht="14.25">
      <c r="C73" s="1797"/>
      <c r="D73" s="1798"/>
      <c r="F73" s="2600" t="s">
        <v>14195</v>
      </c>
      <c r="G73" s="2601"/>
      <c r="H73" s="1778">
        <v>7.42</v>
      </c>
      <c r="K73" s="1799"/>
    </row>
    <row r="74" spans="3:19" s="1776" customFormat="1" ht="14.25">
      <c r="C74" s="1797"/>
      <c r="D74" s="1798"/>
      <c r="F74" s="1802">
        <v>35.200000000000003</v>
      </c>
      <c r="G74" s="1777">
        <v>0.25</v>
      </c>
      <c r="H74" s="1778">
        <f t="shared" si="3"/>
        <v>8.8000000000000007</v>
      </c>
      <c r="K74" s="1799"/>
    </row>
    <row r="75" spans="3:19" s="1776" customFormat="1" ht="14.25">
      <c r="C75" s="1797"/>
      <c r="D75" s="1798"/>
      <c r="F75" s="1802">
        <v>36.4</v>
      </c>
      <c r="G75" s="1777">
        <v>0.25</v>
      </c>
      <c r="H75" s="1778">
        <f t="shared" si="3"/>
        <v>9.1</v>
      </c>
      <c r="K75" s="1799"/>
    </row>
    <row r="76" spans="3:19" s="1776" customFormat="1" ht="14.25">
      <c r="C76" s="1797"/>
      <c r="D76" s="1798"/>
      <c r="F76" s="2600" t="s">
        <v>14196</v>
      </c>
      <c r="G76" s="2601"/>
      <c r="H76" s="1778">
        <v>5.37</v>
      </c>
      <c r="K76" s="1799"/>
      <c r="L76" s="1776">
        <v>19.2</v>
      </c>
    </row>
    <row r="77" spans="3:19" s="1776" customFormat="1" ht="14.25">
      <c r="C77" s="1797"/>
      <c r="D77" s="1798"/>
      <c r="F77" s="1802">
        <v>12.7</v>
      </c>
      <c r="G77" s="1803">
        <v>0.25</v>
      </c>
      <c r="H77" s="1778">
        <f t="shared" si="3"/>
        <v>3.1749999999999998</v>
      </c>
      <c r="K77" s="1799"/>
      <c r="L77" s="1776">
        <v>5.2</v>
      </c>
    </row>
    <row r="78" spans="3:19" s="1776" customFormat="1" ht="14.25">
      <c r="C78" s="1797"/>
      <c r="D78" s="1798"/>
      <c r="F78" s="2600" t="s">
        <v>14197</v>
      </c>
      <c r="G78" s="2601"/>
      <c r="H78" s="1778">
        <v>0.93</v>
      </c>
      <c r="K78" s="1799"/>
      <c r="L78" s="1776">
        <v>2.93</v>
      </c>
    </row>
    <row r="79" spans="3:19" s="1776" customFormat="1">
      <c r="C79" s="1797"/>
      <c r="D79" s="1798"/>
      <c r="E79" s="1800"/>
      <c r="F79" s="2602" t="s">
        <v>167</v>
      </c>
      <c r="G79" s="2603"/>
      <c r="H79" s="1780">
        <f>SUM(H66:H78)</f>
        <v>59.159699999999994</v>
      </c>
      <c r="K79" s="1799"/>
      <c r="L79" s="1776">
        <v>2.93</v>
      </c>
    </row>
    <row r="80" spans="3:19" s="1776" customFormat="1" ht="14.25">
      <c r="C80" s="1797"/>
      <c r="D80" s="1798"/>
      <c r="E80" s="1804"/>
      <c r="F80" s="2604" t="s">
        <v>14198</v>
      </c>
      <c r="G80" s="2604"/>
      <c r="H80" s="2604"/>
      <c r="K80" s="1799"/>
    </row>
    <row r="81" spans="3:15" s="1776" customFormat="1" ht="28.5" customHeight="1">
      <c r="C81" s="1797"/>
      <c r="D81" s="1798"/>
      <c r="E81" s="1804"/>
      <c r="F81" s="2604" t="s">
        <v>14199</v>
      </c>
      <c r="G81" s="2604"/>
      <c r="H81" s="2604"/>
      <c r="K81" s="1799"/>
      <c r="L81" s="1776">
        <v>43.9</v>
      </c>
      <c r="M81" s="1776">
        <v>15.9</v>
      </c>
      <c r="N81" s="1776">
        <v>7.9</v>
      </c>
      <c r="O81" s="1776">
        <v>7.9</v>
      </c>
    </row>
    <row r="82" spans="3:15" s="1776" customFormat="1" ht="14.25">
      <c r="C82" s="1805"/>
      <c r="D82" s="1806"/>
      <c r="E82" s="1807"/>
      <c r="F82" s="1808"/>
      <c r="G82" s="1808"/>
      <c r="H82" s="1808"/>
      <c r="I82" s="1808"/>
      <c r="J82" s="1808"/>
      <c r="K82" s="1809"/>
      <c r="L82" s="1776">
        <v>45.8</v>
      </c>
    </row>
  </sheetData>
  <mergeCells count="102">
    <mergeCell ref="F78:G78"/>
    <mergeCell ref="F79:G79"/>
    <mergeCell ref="F80:H80"/>
    <mergeCell ref="F81:H81"/>
    <mergeCell ref="I53:J53"/>
    <mergeCell ref="C54:D54"/>
    <mergeCell ref="I54:J54"/>
    <mergeCell ref="C55:H55"/>
    <mergeCell ref="I55:J55"/>
    <mergeCell ref="C56:G56"/>
    <mergeCell ref="I56:J56"/>
    <mergeCell ref="C58:K58"/>
    <mergeCell ref="C59:D59"/>
    <mergeCell ref="J59:K59"/>
    <mergeCell ref="C60:D60"/>
    <mergeCell ref="J60:K60"/>
    <mergeCell ref="C61:D61"/>
    <mergeCell ref="J61:K61"/>
    <mergeCell ref="C62:I62"/>
    <mergeCell ref="J62:K62"/>
    <mergeCell ref="F64:H64"/>
    <mergeCell ref="F73:G73"/>
    <mergeCell ref="F76:G76"/>
    <mergeCell ref="F60:G60"/>
    <mergeCell ref="I47:J47"/>
    <mergeCell ref="C48:D48"/>
    <mergeCell ref="I48:J48"/>
    <mergeCell ref="C49:D49"/>
    <mergeCell ref="I49:J49"/>
    <mergeCell ref="I41:J41"/>
    <mergeCell ref="C42:D42"/>
    <mergeCell ref="I42:J42"/>
    <mergeCell ref="C43:D43"/>
    <mergeCell ref="I43:J43"/>
    <mergeCell ref="C47:D47"/>
    <mergeCell ref="C44:D44"/>
    <mergeCell ref="I44:J44"/>
    <mergeCell ref="C45:D45"/>
    <mergeCell ref="I45:J45"/>
    <mergeCell ref="C46:K46"/>
    <mergeCell ref="C41:D41"/>
    <mergeCell ref="I38:J38"/>
    <mergeCell ref="C39:D39"/>
    <mergeCell ref="I39:J39"/>
    <mergeCell ref="C40:D40"/>
    <mergeCell ref="I40:J40"/>
    <mergeCell ref="I35:J35"/>
    <mergeCell ref="C36:D36"/>
    <mergeCell ref="I36:J36"/>
    <mergeCell ref="C37:D37"/>
    <mergeCell ref="I37:J37"/>
    <mergeCell ref="C38:D38"/>
    <mergeCell ref="C35:D35"/>
    <mergeCell ref="K30:K31"/>
    <mergeCell ref="C32:K32"/>
    <mergeCell ref="C33:D33"/>
    <mergeCell ref="I33:J33"/>
    <mergeCell ref="C34:D34"/>
    <mergeCell ref="I34:J34"/>
    <mergeCell ref="J14:J15"/>
    <mergeCell ref="K14:K15"/>
    <mergeCell ref="C16:K16"/>
    <mergeCell ref="C19:K19"/>
    <mergeCell ref="C21:K21"/>
    <mergeCell ref="C23:K23"/>
    <mergeCell ref="C25:K25"/>
    <mergeCell ref="C27:H27"/>
    <mergeCell ref="C28:K28"/>
    <mergeCell ref="C29:K29"/>
    <mergeCell ref="C30:D31"/>
    <mergeCell ref="E30:E31"/>
    <mergeCell ref="F30:F31"/>
    <mergeCell ref="G30:G31"/>
    <mergeCell ref="I30:J31"/>
    <mergeCell ref="F14:F15"/>
    <mergeCell ref="G14:G15"/>
    <mergeCell ref="H14:I14"/>
    <mergeCell ref="H60:I60"/>
    <mergeCell ref="F61:G61"/>
    <mergeCell ref="H61:I61"/>
    <mergeCell ref="F59:G59"/>
    <mergeCell ref="H59:I59"/>
    <mergeCell ref="C53:D53"/>
    <mergeCell ref="C50:D50"/>
    <mergeCell ref="I50:J50"/>
    <mergeCell ref="C51:K51"/>
    <mergeCell ref="C52:D52"/>
    <mergeCell ref="I52:J52"/>
    <mergeCell ref="C3:C5"/>
    <mergeCell ref="D3:K4"/>
    <mergeCell ref="D5:K5"/>
    <mergeCell ref="C13:K13"/>
    <mergeCell ref="C14:C15"/>
    <mergeCell ref="D14:D15"/>
    <mergeCell ref="E14:E15"/>
    <mergeCell ref="D6:K6"/>
    <mergeCell ref="C9:K9"/>
    <mergeCell ref="C10:K10"/>
    <mergeCell ref="C11:K11"/>
    <mergeCell ref="C12:K12"/>
    <mergeCell ref="D7:K7"/>
    <mergeCell ref="C8:K8"/>
  </mergeCells>
  <pageMargins left="0.7" right="0.7" top="0.75" bottom="0.75" header="0.3" footer="0.3"/>
  <pageSetup paperSize="9" scale="51"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18">
    <tabColor theme="3" tint="0.79998168889431442"/>
    <pageSetUpPr fitToPage="1"/>
  </sheetPr>
  <dimension ref="A1:I654"/>
  <sheetViews>
    <sheetView showZeros="0" view="pageBreakPreview" zoomScaleNormal="100" zoomScaleSheetLayoutView="100" workbookViewId="0">
      <selection activeCell="AG38" sqref="AG38"/>
    </sheetView>
  </sheetViews>
  <sheetFormatPr defaultRowHeight="12.75"/>
  <cols>
    <col min="1" max="1" width="9.140625" style="633"/>
    <col min="2" max="2" width="20.7109375" style="633" customWidth="1"/>
    <col min="3" max="3" width="61.140625" style="633" customWidth="1"/>
    <col min="4" max="4" width="55" style="633" customWidth="1"/>
    <col min="5" max="5" width="12.28515625" style="633" customWidth="1"/>
    <col min="6" max="6" width="10.7109375" style="633" customWidth="1"/>
    <col min="7" max="8" width="13.28515625" style="633" bestFit="1" customWidth="1"/>
    <col min="9" max="13" width="9.140625" style="633"/>
    <col min="14" max="14" width="9.5703125" style="633" bestFit="1" customWidth="1"/>
    <col min="15" max="257" width="9.140625" style="633"/>
    <col min="258" max="258" width="9.28515625" style="633" customWidth="1"/>
    <col min="259" max="259" width="46.42578125" style="633" customWidth="1"/>
    <col min="260" max="260" width="38.42578125" style="633" customWidth="1"/>
    <col min="261" max="261" width="10.7109375" style="633" customWidth="1"/>
    <col min="262" max="262" width="14" style="633" customWidth="1"/>
    <col min="263" max="269" width="9.140625" style="633"/>
    <col min="270" max="270" width="9.5703125" style="633" bestFit="1" customWidth="1"/>
    <col min="271" max="513" width="9.140625" style="633"/>
    <col min="514" max="514" width="9.28515625" style="633" customWidth="1"/>
    <col min="515" max="515" width="46.42578125" style="633" customWidth="1"/>
    <col min="516" max="516" width="38.42578125" style="633" customWidth="1"/>
    <col min="517" max="517" width="10.7109375" style="633" customWidth="1"/>
    <col min="518" max="518" width="14" style="633" customWidth="1"/>
    <col min="519" max="525" width="9.140625" style="633"/>
    <col min="526" max="526" width="9.5703125" style="633" bestFit="1" customWidth="1"/>
    <col min="527" max="769" width="9.140625" style="633"/>
    <col min="770" max="770" width="9.28515625" style="633" customWidth="1"/>
    <col min="771" max="771" width="46.42578125" style="633" customWidth="1"/>
    <col min="772" max="772" width="38.42578125" style="633" customWidth="1"/>
    <col min="773" max="773" width="10.7109375" style="633" customWidth="1"/>
    <col min="774" max="774" width="14" style="633" customWidth="1"/>
    <col min="775" max="781" width="9.140625" style="633"/>
    <col min="782" max="782" width="9.5703125" style="633" bestFit="1" customWidth="1"/>
    <col min="783" max="1025" width="9.140625" style="633"/>
    <col min="1026" max="1026" width="9.28515625" style="633" customWidth="1"/>
    <col min="1027" max="1027" width="46.42578125" style="633" customWidth="1"/>
    <col min="1028" max="1028" width="38.42578125" style="633" customWidth="1"/>
    <col min="1029" max="1029" width="10.7109375" style="633" customWidth="1"/>
    <col min="1030" max="1030" width="14" style="633" customWidth="1"/>
    <col min="1031" max="1037" width="9.140625" style="633"/>
    <col min="1038" max="1038" width="9.5703125" style="633" bestFit="1" customWidth="1"/>
    <col min="1039" max="1281" width="9.140625" style="633"/>
    <col min="1282" max="1282" width="9.28515625" style="633" customWidth="1"/>
    <col min="1283" max="1283" width="46.42578125" style="633" customWidth="1"/>
    <col min="1284" max="1284" width="38.42578125" style="633" customWidth="1"/>
    <col min="1285" max="1285" width="10.7109375" style="633" customWidth="1"/>
    <col min="1286" max="1286" width="14" style="633" customWidth="1"/>
    <col min="1287" max="1293" width="9.140625" style="633"/>
    <col min="1294" max="1294" width="9.5703125" style="633" bestFit="1" customWidth="1"/>
    <col min="1295" max="1537" width="9.140625" style="633"/>
    <col min="1538" max="1538" width="9.28515625" style="633" customWidth="1"/>
    <col min="1539" max="1539" width="46.42578125" style="633" customWidth="1"/>
    <col min="1540" max="1540" width="38.42578125" style="633" customWidth="1"/>
    <col min="1541" max="1541" width="10.7109375" style="633" customWidth="1"/>
    <col min="1542" max="1542" width="14" style="633" customWidth="1"/>
    <col min="1543" max="1549" width="9.140625" style="633"/>
    <col min="1550" max="1550" width="9.5703125" style="633" bestFit="1" customWidth="1"/>
    <col min="1551" max="1793" width="9.140625" style="633"/>
    <col min="1794" max="1794" width="9.28515625" style="633" customWidth="1"/>
    <col min="1795" max="1795" width="46.42578125" style="633" customWidth="1"/>
    <col min="1796" max="1796" width="38.42578125" style="633" customWidth="1"/>
    <col min="1797" max="1797" width="10.7109375" style="633" customWidth="1"/>
    <col min="1798" max="1798" width="14" style="633" customWidth="1"/>
    <col min="1799" max="1805" width="9.140625" style="633"/>
    <col min="1806" max="1806" width="9.5703125" style="633" bestFit="1" customWidth="1"/>
    <col min="1807" max="2049" width="9.140625" style="633"/>
    <col min="2050" max="2050" width="9.28515625" style="633" customWidth="1"/>
    <col min="2051" max="2051" width="46.42578125" style="633" customWidth="1"/>
    <col min="2052" max="2052" width="38.42578125" style="633" customWidth="1"/>
    <col min="2053" max="2053" width="10.7109375" style="633" customWidth="1"/>
    <col min="2054" max="2054" width="14" style="633" customWidth="1"/>
    <col min="2055" max="2061" width="9.140625" style="633"/>
    <col min="2062" max="2062" width="9.5703125" style="633" bestFit="1" customWidth="1"/>
    <col min="2063" max="2305" width="9.140625" style="633"/>
    <col min="2306" max="2306" width="9.28515625" style="633" customWidth="1"/>
    <col min="2307" max="2307" width="46.42578125" style="633" customWidth="1"/>
    <col min="2308" max="2308" width="38.42578125" style="633" customWidth="1"/>
    <col min="2309" max="2309" width="10.7109375" style="633" customWidth="1"/>
    <col min="2310" max="2310" width="14" style="633" customWidth="1"/>
    <col min="2311" max="2317" width="9.140625" style="633"/>
    <col min="2318" max="2318" width="9.5703125" style="633" bestFit="1" customWidth="1"/>
    <col min="2319" max="2561" width="9.140625" style="633"/>
    <col min="2562" max="2562" width="9.28515625" style="633" customWidth="1"/>
    <col min="2563" max="2563" width="46.42578125" style="633" customWidth="1"/>
    <col min="2564" max="2564" width="38.42578125" style="633" customWidth="1"/>
    <col min="2565" max="2565" width="10.7109375" style="633" customWidth="1"/>
    <col min="2566" max="2566" width="14" style="633" customWidth="1"/>
    <col min="2567" max="2573" width="9.140625" style="633"/>
    <col min="2574" max="2574" width="9.5703125" style="633" bestFit="1" customWidth="1"/>
    <col min="2575" max="2817" width="9.140625" style="633"/>
    <col min="2818" max="2818" width="9.28515625" style="633" customWidth="1"/>
    <col min="2819" max="2819" width="46.42578125" style="633" customWidth="1"/>
    <col min="2820" max="2820" width="38.42578125" style="633" customWidth="1"/>
    <col min="2821" max="2821" width="10.7109375" style="633" customWidth="1"/>
    <col min="2822" max="2822" width="14" style="633" customWidth="1"/>
    <col min="2823" max="2829" width="9.140625" style="633"/>
    <col min="2830" max="2830" width="9.5703125" style="633" bestFit="1" customWidth="1"/>
    <col min="2831" max="3073" width="9.140625" style="633"/>
    <col min="3074" max="3074" width="9.28515625" style="633" customWidth="1"/>
    <col min="3075" max="3075" width="46.42578125" style="633" customWidth="1"/>
    <col min="3076" max="3076" width="38.42578125" style="633" customWidth="1"/>
    <col min="3077" max="3077" width="10.7109375" style="633" customWidth="1"/>
    <col min="3078" max="3078" width="14" style="633" customWidth="1"/>
    <col min="3079" max="3085" width="9.140625" style="633"/>
    <col min="3086" max="3086" width="9.5703125" style="633" bestFit="1" customWidth="1"/>
    <col min="3087" max="3329" width="9.140625" style="633"/>
    <col min="3330" max="3330" width="9.28515625" style="633" customWidth="1"/>
    <col min="3331" max="3331" width="46.42578125" style="633" customWidth="1"/>
    <col min="3332" max="3332" width="38.42578125" style="633" customWidth="1"/>
    <col min="3333" max="3333" width="10.7109375" style="633" customWidth="1"/>
    <col min="3334" max="3334" width="14" style="633" customWidth="1"/>
    <col min="3335" max="3341" width="9.140625" style="633"/>
    <col min="3342" max="3342" width="9.5703125" style="633" bestFit="1" customWidth="1"/>
    <col min="3343" max="3585" width="9.140625" style="633"/>
    <col min="3586" max="3586" width="9.28515625" style="633" customWidth="1"/>
    <col min="3587" max="3587" width="46.42578125" style="633" customWidth="1"/>
    <col min="3588" max="3588" width="38.42578125" style="633" customWidth="1"/>
    <col min="3589" max="3589" width="10.7109375" style="633" customWidth="1"/>
    <col min="3590" max="3590" width="14" style="633" customWidth="1"/>
    <col min="3591" max="3597" width="9.140625" style="633"/>
    <col min="3598" max="3598" width="9.5703125" style="633" bestFit="1" customWidth="1"/>
    <col min="3599" max="3841" width="9.140625" style="633"/>
    <col min="3842" max="3842" width="9.28515625" style="633" customWidth="1"/>
    <col min="3843" max="3843" width="46.42578125" style="633" customWidth="1"/>
    <col min="3844" max="3844" width="38.42578125" style="633" customWidth="1"/>
    <col min="3845" max="3845" width="10.7109375" style="633" customWidth="1"/>
    <col min="3846" max="3846" width="14" style="633" customWidth="1"/>
    <col min="3847" max="3853" width="9.140625" style="633"/>
    <col min="3854" max="3854" width="9.5703125" style="633" bestFit="1" customWidth="1"/>
    <col min="3855" max="4097" width="9.140625" style="633"/>
    <col min="4098" max="4098" width="9.28515625" style="633" customWidth="1"/>
    <col min="4099" max="4099" width="46.42578125" style="633" customWidth="1"/>
    <col min="4100" max="4100" width="38.42578125" style="633" customWidth="1"/>
    <col min="4101" max="4101" width="10.7109375" style="633" customWidth="1"/>
    <col min="4102" max="4102" width="14" style="633" customWidth="1"/>
    <col min="4103" max="4109" width="9.140625" style="633"/>
    <col min="4110" max="4110" width="9.5703125" style="633" bestFit="1" customWidth="1"/>
    <col min="4111" max="4353" width="9.140625" style="633"/>
    <col min="4354" max="4354" width="9.28515625" style="633" customWidth="1"/>
    <col min="4355" max="4355" width="46.42578125" style="633" customWidth="1"/>
    <col min="4356" max="4356" width="38.42578125" style="633" customWidth="1"/>
    <col min="4357" max="4357" width="10.7109375" style="633" customWidth="1"/>
    <col min="4358" max="4358" width="14" style="633" customWidth="1"/>
    <col min="4359" max="4365" width="9.140625" style="633"/>
    <col min="4366" max="4366" width="9.5703125" style="633" bestFit="1" customWidth="1"/>
    <col min="4367" max="4609" width="9.140625" style="633"/>
    <col min="4610" max="4610" width="9.28515625" style="633" customWidth="1"/>
    <col min="4611" max="4611" width="46.42578125" style="633" customWidth="1"/>
    <col min="4612" max="4612" width="38.42578125" style="633" customWidth="1"/>
    <col min="4613" max="4613" width="10.7109375" style="633" customWidth="1"/>
    <col min="4614" max="4614" width="14" style="633" customWidth="1"/>
    <col min="4615" max="4621" width="9.140625" style="633"/>
    <col min="4622" max="4622" width="9.5703125" style="633" bestFit="1" customWidth="1"/>
    <col min="4623" max="4865" width="9.140625" style="633"/>
    <col min="4866" max="4866" width="9.28515625" style="633" customWidth="1"/>
    <col min="4867" max="4867" width="46.42578125" style="633" customWidth="1"/>
    <col min="4868" max="4868" width="38.42578125" style="633" customWidth="1"/>
    <col min="4869" max="4869" width="10.7109375" style="633" customWidth="1"/>
    <col min="4870" max="4870" width="14" style="633" customWidth="1"/>
    <col min="4871" max="4877" width="9.140625" style="633"/>
    <col min="4878" max="4878" width="9.5703125" style="633" bestFit="1" customWidth="1"/>
    <col min="4879" max="5121" width="9.140625" style="633"/>
    <col min="5122" max="5122" width="9.28515625" style="633" customWidth="1"/>
    <col min="5123" max="5123" width="46.42578125" style="633" customWidth="1"/>
    <col min="5124" max="5124" width="38.42578125" style="633" customWidth="1"/>
    <col min="5125" max="5125" width="10.7109375" style="633" customWidth="1"/>
    <col min="5126" max="5126" width="14" style="633" customWidth="1"/>
    <col min="5127" max="5133" width="9.140625" style="633"/>
    <col min="5134" max="5134" width="9.5703125" style="633" bestFit="1" customWidth="1"/>
    <col min="5135" max="5377" width="9.140625" style="633"/>
    <col min="5378" max="5378" width="9.28515625" style="633" customWidth="1"/>
    <col min="5379" max="5379" width="46.42578125" style="633" customWidth="1"/>
    <col min="5380" max="5380" width="38.42578125" style="633" customWidth="1"/>
    <col min="5381" max="5381" width="10.7109375" style="633" customWidth="1"/>
    <col min="5382" max="5382" width="14" style="633" customWidth="1"/>
    <col min="5383" max="5389" width="9.140625" style="633"/>
    <col min="5390" max="5390" width="9.5703125" style="633" bestFit="1" customWidth="1"/>
    <col min="5391" max="5633" width="9.140625" style="633"/>
    <col min="5634" max="5634" width="9.28515625" style="633" customWidth="1"/>
    <col min="5635" max="5635" width="46.42578125" style="633" customWidth="1"/>
    <col min="5636" max="5636" width="38.42578125" style="633" customWidth="1"/>
    <col min="5637" max="5637" width="10.7109375" style="633" customWidth="1"/>
    <col min="5638" max="5638" width="14" style="633" customWidth="1"/>
    <col min="5639" max="5645" width="9.140625" style="633"/>
    <col min="5646" max="5646" width="9.5703125" style="633" bestFit="1" customWidth="1"/>
    <col min="5647" max="5889" width="9.140625" style="633"/>
    <col min="5890" max="5890" width="9.28515625" style="633" customWidth="1"/>
    <col min="5891" max="5891" width="46.42578125" style="633" customWidth="1"/>
    <col min="5892" max="5892" width="38.42578125" style="633" customWidth="1"/>
    <col min="5893" max="5893" width="10.7109375" style="633" customWidth="1"/>
    <col min="5894" max="5894" width="14" style="633" customWidth="1"/>
    <col min="5895" max="5901" width="9.140625" style="633"/>
    <col min="5902" max="5902" width="9.5703125" style="633" bestFit="1" customWidth="1"/>
    <col min="5903" max="6145" width="9.140625" style="633"/>
    <col min="6146" max="6146" width="9.28515625" style="633" customWidth="1"/>
    <col min="6147" max="6147" width="46.42578125" style="633" customWidth="1"/>
    <col min="6148" max="6148" width="38.42578125" style="633" customWidth="1"/>
    <col min="6149" max="6149" width="10.7109375" style="633" customWidth="1"/>
    <col min="6150" max="6150" width="14" style="633" customWidth="1"/>
    <col min="6151" max="6157" width="9.140625" style="633"/>
    <col min="6158" max="6158" width="9.5703125" style="633" bestFit="1" customWidth="1"/>
    <col min="6159" max="6401" width="9.140625" style="633"/>
    <col min="6402" max="6402" width="9.28515625" style="633" customWidth="1"/>
    <col min="6403" max="6403" width="46.42578125" style="633" customWidth="1"/>
    <col min="6404" max="6404" width="38.42578125" style="633" customWidth="1"/>
    <col min="6405" max="6405" width="10.7109375" style="633" customWidth="1"/>
    <col min="6406" max="6406" width="14" style="633" customWidth="1"/>
    <col min="6407" max="6413" width="9.140625" style="633"/>
    <col min="6414" max="6414" width="9.5703125" style="633" bestFit="1" customWidth="1"/>
    <col min="6415" max="6657" width="9.140625" style="633"/>
    <col min="6658" max="6658" width="9.28515625" style="633" customWidth="1"/>
    <col min="6659" max="6659" width="46.42578125" style="633" customWidth="1"/>
    <col min="6660" max="6660" width="38.42578125" style="633" customWidth="1"/>
    <col min="6661" max="6661" width="10.7109375" style="633" customWidth="1"/>
    <col min="6662" max="6662" width="14" style="633" customWidth="1"/>
    <col min="6663" max="6669" width="9.140625" style="633"/>
    <col min="6670" max="6670" width="9.5703125" style="633" bestFit="1" customWidth="1"/>
    <col min="6671" max="6913" width="9.140625" style="633"/>
    <col min="6914" max="6914" width="9.28515625" style="633" customWidth="1"/>
    <col min="6915" max="6915" width="46.42578125" style="633" customWidth="1"/>
    <col min="6916" max="6916" width="38.42578125" style="633" customWidth="1"/>
    <col min="6917" max="6917" width="10.7109375" style="633" customWidth="1"/>
    <col min="6918" max="6918" width="14" style="633" customWidth="1"/>
    <col min="6919" max="6925" width="9.140625" style="633"/>
    <col min="6926" max="6926" width="9.5703125" style="633" bestFit="1" customWidth="1"/>
    <col min="6927" max="7169" width="9.140625" style="633"/>
    <col min="7170" max="7170" width="9.28515625" style="633" customWidth="1"/>
    <col min="7171" max="7171" width="46.42578125" style="633" customWidth="1"/>
    <col min="7172" max="7172" width="38.42578125" style="633" customWidth="1"/>
    <col min="7173" max="7173" width="10.7109375" style="633" customWidth="1"/>
    <col min="7174" max="7174" width="14" style="633" customWidth="1"/>
    <col min="7175" max="7181" width="9.140625" style="633"/>
    <col min="7182" max="7182" width="9.5703125" style="633" bestFit="1" customWidth="1"/>
    <col min="7183" max="7425" width="9.140625" style="633"/>
    <col min="7426" max="7426" width="9.28515625" style="633" customWidth="1"/>
    <col min="7427" max="7427" width="46.42578125" style="633" customWidth="1"/>
    <col min="7428" max="7428" width="38.42578125" style="633" customWidth="1"/>
    <col min="7429" max="7429" width="10.7109375" style="633" customWidth="1"/>
    <col min="7430" max="7430" width="14" style="633" customWidth="1"/>
    <col min="7431" max="7437" width="9.140625" style="633"/>
    <col min="7438" max="7438" width="9.5703125" style="633" bestFit="1" customWidth="1"/>
    <col min="7439" max="7681" width="9.140625" style="633"/>
    <col min="7682" max="7682" width="9.28515625" style="633" customWidth="1"/>
    <col min="7683" max="7683" width="46.42578125" style="633" customWidth="1"/>
    <col min="7684" max="7684" width="38.42578125" style="633" customWidth="1"/>
    <col min="7685" max="7685" width="10.7109375" style="633" customWidth="1"/>
    <col min="7686" max="7686" width="14" style="633" customWidth="1"/>
    <col min="7687" max="7693" width="9.140625" style="633"/>
    <col min="7694" max="7694" width="9.5703125" style="633" bestFit="1" customWidth="1"/>
    <col min="7695" max="7937" width="9.140625" style="633"/>
    <col min="7938" max="7938" width="9.28515625" style="633" customWidth="1"/>
    <col min="7939" max="7939" width="46.42578125" style="633" customWidth="1"/>
    <col min="7940" max="7940" width="38.42578125" style="633" customWidth="1"/>
    <col min="7941" max="7941" width="10.7109375" style="633" customWidth="1"/>
    <col min="7942" max="7942" width="14" style="633" customWidth="1"/>
    <col min="7943" max="7949" width="9.140625" style="633"/>
    <col min="7950" max="7950" width="9.5703125" style="633" bestFit="1" customWidth="1"/>
    <col min="7951" max="8193" width="9.140625" style="633"/>
    <col min="8194" max="8194" width="9.28515625" style="633" customWidth="1"/>
    <col min="8195" max="8195" width="46.42578125" style="633" customWidth="1"/>
    <col min="8196" max="8196" width="38.42578125" style="633" customWidth="1"/>
    <col min="8197" max="8197" width="10.7109375" style="633" customWidth="1"/>
    <col min="8198" max="8198" width="14" style="633" customWidth="1"/>
    <col min="8199" max="8205" width="9.140625" style="633"/>
    <col min="8206" max="8206" width="9.5703125" style="633" bestFit="1" customWidth="1"/>
    <col min="8207" max="8449" width="9.140625" style="633"/>
    <col min="8450" max="8450" width="9.28515625" style="633" customWidth="1"/>
    <col min="8451" max="8451" width="46.42578125" style="633" customWidth="1"/>
    <col min="8452" max="8452" width="38.42578125" style="633" customWidth="1"/>
    <col min="8453" max="8453" width="10.7109375" style="633" customWidth="1"/>
    <col min="8454" max="8454" width="14" style="633" customWidth="1"/>
    <col min="8455" max="8461" width="9.140625" style="633"/>
    <col min="8462" max="8462" width="9.5703125" style="633" bestFit="1" customWidth="1"/>
    <col min="8463" max="8705" width="9.140625" style="633"/>
    <col min="8706" max="8706" width="9.28515625" style="633" customWidth="1"/>
    <col min="8707" max="8707" width="46.42578125" style="633" customWidth="1"/>
    <col min="8708" max="8708" width="38.42578125" style="633" customWidth="1"/>
    <col min="8709" max="8709" width="10.7109375" style="633" customWidth="1"/>
    <col min="8710" max="8710" width="14" style="633" customWidth="1"/>
    <col min="8711" max="8717" width="9.140625" style="633"/>
    <col min="8718" max="8718" width="9.5703125" style="633" bestFit="1" customWidth="1"/>
    <col min="8719" max="8961" width="9.140625" style="633"/>
    <col min="8962" max="8962" width="9.28515625" style="633" customWidth="1"/>
    <col min="8963" max="8963" width="46.42578125" style="633" customWidth="1"/>
    <col min="8964" max="8964" width="38.42578125" style="633" customWidth="1"/>
    <col min="8965" max="8965" width="10.7109375" style="633" customWidth="1"/>
    <col min="8966" max="8966" width="14" style="633" customWidth="1"/>
    <col min="8967" max="8973" width="9.140625" style="633"/>
    <col min="8974" max="8974" width="9.5703125" style="633" bestFit="1" customWidth="1"/>
    <col min="8975" max="9217" width="9.140625" style="633"/>
    <col min="9218" max="9218" width="9.28515625" style="633" customWidth="1"/>
    <col min="9219" max="9219" width="46.42578125" style="633" customWidth="1"/>
    <col min="9220" max="9220" width="38.42578125" style="633" customWidth="1"/>
    <col min="9221" max="9221" width="10.7109375" style="633" customWidth="1"/>
    <col min="9222" max="9222" width="14" style="633" customWidth="1"/>
    <col min="9223" max="9229" width="9.140625" style="633"/>
    <col min="9230" max="9230" width="9.5703125" style="633" bestFit="1" customWidth="1"/>
    <col min="9231" max="9473" width="9.140625" style="633"/>
    <col min="9474" max="9474" width="9.28515625" style="633" customWidth="1"/>
    <col min="9475" max="9475" width="46.42578125" style="633" customWidth="1"/>
    <col min="9476" max="9476" width="38.42578125" style="633" customWidth="1"/>
    <col min="9477" max="9477" width="10.7109375" style="633" customWidth="1"/>
    <col min="9478" max="9478" width="14" style="633" customWidth="1"/>
    <col min="9479" max="9485" width="9.140625" style="633"/>
    <col min="9486" max="9486" width="9.5703125" style="633" bestFit="1" customWidth="1"/>
    <col min="9487" max="9729" width="9.140625" style="633"/>
    <col min="9730" max="9730" width="9.28515625" style="633" customWidth="1"/>
    <col min="9731" max="9731" width="46.42578125" style="633" customWidth="1"/>
    <col min="9732" max="9732" width="38.42578125" style="633" customWidth="1"/>
    <col min="9733" max="9733" width="10.7109375" style="633" customWidth="1"/>
    <col min="9734" max="9734" width="14" style="633" customWidth="1"/>
    <col min="9735" max="9741" width="9.140625" style="633"/>
    <col min="9742" max="9742" width="9.5703125" style="633" bestFit="1" customWidth="1"/>
    <col min="9743" max="9985" width="9.140625" style="633"/>
    <col min="9986" max="9986" width="9.28515625" style="633" customWidth="1"/>
    <col min="9987" max="9987" width="46.42578125" style="633" customWidth="1"/>
    <col min="9988" max="9988" width="38.42578125" style="633" customWidth="1"/>
    <col min="9989" max="9989" width="10.7109375" style="633" customWidth="1"/>
    <col min="9990" max="9990" width="14" style="633" customWidth="1"/>
    <col min="9991" max="9997" width="9.140625" style="633"/>
    <col min="9998" max="9998" width="9.5703125" style="633" bestFit="1" customWidth="1"/>
    <col min="9999" max="10241" width="9.140625" style="633"/>
    <col min="10242" max="10242" width="9.28515625" style="633" customWidth="1"/>
    <col min="10243" max="10243" width="46.42578125" style="633" customWidth="1"/>
    <col min="10244" max="10244" width="38.42578125" style="633" customWidth="1"/>
    <col min="10245" max="10245" width="10.7109375" style="633" customWidth="1"/>
    <col min="10246" max="10246" width="14" style="633" customWidth="1"/>
    <col min="10247" max="10253" width="9.140625" style="633"/>
    <col min="10254" max="10254" width="9.5703125" style="633" bestFit="1" customWidth="1"/>
    <col min="10255" max="10497" width="9.140625" style="633"/>
    <col min="10498" max="10498" width="9.28515625" style="633" customWidth="1"/>
    <col min="10499" max="10499" width="46.42578125" style="633" customWidth="1"/>
    <col min="10500" max="10500" width="38.42578125" style="633" customWidth="1"/>
    <col min="10501" max="10501" width="10.7109375" style="633" customWidth="1"/>
    <col min="10502" max="10502" width="14" style="633" customWidth="1"/>
    <col min="10503" max="10509" width="9.140625" style="633"/>
    <col min="10510" max="10510" width="9.5703125" style="633" bestFit="1" customWidth="1"/>
    <col min="10511" max="10753" width="9.140625" style="633"/>
    <col min="10754" max="10754" width="9.28515625" style="633" customWidth="1"/>
    <col min="10755" max="10755" width="46.42578125" style="633" customWidth="1"/>
    <col min="10756" max="10756" width="38.42578125" style="633" customWidth="1"/>
    <col min="10757" max="10757" width="10.7109375" style="633" customWidth="1"/>
    <col min="10758" max="10758" width="14" style="633" customWidth="1"/>
    <col min="10759" max="10765" width="9.140625" style="633"/>
    <col min="10766" max="10766" width="9.5703125" style="633" bestFit="1" customWidth="1"/>
    <col min="10767" max="11009" width="9.140625" style="633"/>
    <col min="11010" max="11010" width="9.28515625" style="633" customWidth="1"/>
    <col min="11011" max="11011" width="46.42578125" style="633" customWidth="1"/>
    <col min="11012" max="11012" width="38.42578125" style="633" customWidth="1"/>
    <col min="11013" max="11013" width="10.7109375" style="633" customWidth="1"/>
    <col min="11014" max="11014" width="14" style="633" customWidth="1"/>
    <col min="11015" max="11021" width="9.140625" style="633"/>
    <col min="11022" max="11022" width="9.5703125" style="633" bestFit="1" customWidth="1"/>
    <col min="11023" max="11265" width="9.140625" style="633"/>
    <col min="11266" max="11266" width="9.28515625" style="633" customWidth="1"/>
    <col min="11267" max="11267" width="46.42578125" style="633" customWidth="1"/>
    <col min="11268" max="11268" width="38.42578125" style="633" customWidth="1"/>
    <col min="11269" max="11269" width="10.7109375" style="633" customWidth="1"/>
    <col min="11270" max="11270" width="14" style="633" customWidth="1"/>
    <col min="11271" max="11277" width="9.140625" style="633"/>
    <col min="11278" max="11278" width="9.5703125" style="633" bestFit="1" customWidth="1"/>
    <col min="11279" max="11521" width="9.140625" style="633"/>
    <col min="11522" max="11522" width="9.28515625" style="633" customWidth="1"/>
    <col min="11523" max="11523" width="46.42578125" style="633" customWidth="1"/>
    <col min="11524" max="11524" width="38.42578125" style="633" customWidth="1"/>
    <col min="11525" max="11525" width="10.7109375" style="633" customWidth="1"/>
    <col min="11526" max="11526" width="14" style="633" customWidth="1"/>
    <col min="11527" max="11533" width="9.140625" style="633"/>
    <col min="11534" max="11534" width="9.5703125" style="633" bestFit="1" customWidth="1"/>
    <col min="11535" max="11777" width="9.140625" style="633"/>
    <col min="11778" max="11778" width="9.28515625" style="633" customWidth="1"/>
    <col min="11779" max="11779" width="46.42578125" style="633" customWidth="1"/>
    <col min="11780" max="11780" width="38.42578125" style="633" customWidth="1"/>
    <col min="11781" max="11781" width="10.7109375" style="633" customWidth="1"/>
    <col min="11782" max="11782" width="14" style="633" customWidth="1"/>
    <col min="11783" max="11789" width="9.140625" style="633"/>
    <col min="11790" max="11790" width="9.5703125" style="633" bestFit="1" customWidth="1"/>
    <col min="11791" max="12033" width="9.140625" style="633"/>
    <col min="12034" max="12034" width="9.28515625" style="633" customWidth="1"/>
    <col min="12035" max="12035" width="46.42578125" style="633" customWidth="1"/>
    <col min="12036" max="12036" width="38.42578125" style="633" customWidth="1"/>
    <col min="12037" max="12037" width="10.7109375" style="633" customWidth="1"/>
    <col min="12038" max="12038" width="14" style="633" customWidth="1"/>
    <col min="12039" max="12045" width="9.140625" style="633"/>
    <col min="12046" max="12046" width="9.5703125" style="633" bestFit="1" customWidth="1"/>
    <col min="12047" max="12289" width="9.140625" style="633"/>
    <col min="12290" max="12290" width="9.28515625" style="633" customWidth="1"/>
    <col min="12291" max="12291" width="46.42578125" style="633" customWidth="1"/>
    <col min="12292" max="12292" width="38.42578125" style="633" customWidth="1"/>
    <col min="12293" max="12293" width="10.7109375" style="633" customWidth="1"/>
    <col min="12294" max="12294" width="14" style="633" customWidth="1"/>
    <col min="12295" max="12301" width="9.140625" style="633"/>
    <col min="12302" max="12302" width="9.5703125" style="633" bestFit="1" customWidth="1"/>
    <col min="12303" max="12545" width="9.140625" style="633"/>
    <col min="12546" max="12546" width="9.28515625" style="633" customWidth="1"/>
    <col min="12547" max="12547" width="46.42578125" style="633" customWidth="1"/>
    <col min="12548" max="12548" width="38.42578125" style="633" customWidth="1"/>
    <col min="12549" max="12549" width="10.7109375" style="633" customWidth="1"/>
    <col min="12550" max="12550" width="14" style="633" customWidth="1"/>
    <col min="12551" max="12557" width="9.140625" style="633"/>
    <col min="12558" max="12558" width="9.5703125" style="633" bestFit="1" customWidth="1"/>
    <col min="12559" max="12801" width="9.140625" style="633"/>
    <col min="12802" max="12802" width="9.28515625" style="633" customWidth="1"/>
    <col min="12803" max="12803" width="46.42578125" style="633" customWidth="1"/>
    <col min="12804" max="12804" width="38.42578125" style="633" customWidth="1"/>
    <col min="12805" max="12805" width="10.7109375" style="633" customWidth="1"/>
    <col min="12806" max="12806" width="14" style="633" customWidth="1"/>
    <col min="12807" max="12813" width="9.140625" style="633"/>
    <col min="12814" max="12814" width="9.5703125" style="633" bestFit="1" customWidth="1"/>
    <col min="12815" max="13057" width="9.140625" style="633"/>
    <col min="13058" max="13058" width="9.28515625" style="633" customWidth="1"/>
    <col min="13059" max="13059" width="46.42578125" style="633" customWidth="1"/>
    <col min="13060" max="13060" width="38.42578125" style="633" customWidth="1"/>
    <col min="13061" max="13061" width="10.7109375" style="633" customWidth="1"/>
    <col min="13062" max="13062" width="14" style="633" customWidth="1"/>
    <col min="13063" max="13069" width="9.140625" style="633"/>
    <col min="13070" max="13070" width="9.5703125" style="633" bestFit="1" customWidth="1"/>
    <col min="13071" max="13313" width="9.140625" style="633"/>
    <col min="13314" max="13314" width="9.28515625" style="633" customWidth="1"/>
    <col min="13315" max="13315" width="46.42578125" style="633" customWidth="1"/>
    <col min="13316" max="13316" width="38.42578125" style="633" customWidth="1"/>
    <col min="13317" max="13317" width="10.7109375" style="633" customWidth="1"/>
    <col min="13318" max="13318" width="14" style="633" customWidth="1"/>
    <col min="13319" max="13325" width="9.140625" style="633"/>
    <col min="13326" max="13326" width="9.5703125" style="633" bestFit="1" customWidth="1"/>
    <col min="13327" max="13569" width="9.140625" style="633"/>
    <col min="13570" max="13570" width="9.28515625" style="633" customWidth="1"/>
    <col min="13571" max="13571" width="46.42578125" style="633" customWidth="1"/>
    <col min="13572" max="13572" width="38.42578125" style="633" customWidth="1"/>
    <col min="13573" max="13573" width="10.7109375" style="633" customWidth="1"/>
    <col min="13574" max="13574" width="14" style="633" customWidth="1"/>
    <col min="13575" max="13581" width="9.140625" style="633"/>
    <col min="13582" max="13582" width="9.5703125" style="633" bestFit="1" customWidth="1"/>
    <col min="13583" max="13825" width="9.140625" style="633"/>
    <col min="13826" max="13826" width="9.28515625" style="633" customWidth="1"/>
    <col min="13827" max="13827" width="46.42578125" style="633" customWidth="1"/>
    <col min="13828" max="13828" width="38.42578125" style="633" customWidth="1"/>
    <col min="13829" max="13829" width="10.7109375" style="633" customWidth="1"/>
    <col min="13830" max="13830" width="14" style="633" customWidth="1"/>
    <col min="13831" max="13837" width="9.140625" style="633"/>
    <col min="13838" max="13838" width="9.5703125" style="633" bestFit="1" customWidth="1"/>
    <col min="13839" max="14081" width="9.140625" style="633"/>
    <col min="14082" max="14082" width="9.28515625" style="633" customWidth="1"/>
    <col min="14083" max="14083" width="46.42578125" style="633" customWidth="1"/>
    <col min="14084" max="14084" width="38.42578125" style="633" customWidth="1"/>
    <col min="14085" max="14085" width="10.7109375" style="633" customWidth="1"/>
    <col min="14086" max="14086" width="14" style="633" customWidth="1"/>
    <col min="14087" max="14093" width="9.140625" style="633"/>
    <col min="14094" max="14094" width="9.5703125" style="633" bestFit="1" customWidth="1"/>
    <col min="14095" max="14337" width="9.140625" style="633"/>
    <col min="14338" max="14338" width="9.28515625" style="633" customWidth="1"/>
    <col min="14339" max="14339" width="46.42578125" style="633" customWidth="1"/>
    <col min="14340" max="14340" width="38.42578125" style="633" customWidth="1"/>
    <col min="14341" max="14341" width="10.7109375" style="633" customWidth="1"/>
    <col min="14342" max="14342" width="14" style="633" customWidth="1"/>
    <col min="14343" max="14349" width="9.140625" style="633"/>
    <col min="14350" max="14350" width="9.5703125" style="633" bestFit="1" customWidth="1"/>
    <col min="14351" max="14593" width="9.140625" style="633"/>
    <col min="14594" max="14594" width="9.28515625" style="633" customWidth="1"/>
    <col min="14595" max="14595" width="46.42578125" style="633" customWidth="1"/>
    <col min="14596" max="14596" width="38.42578125" style="633" customWidth="1"/>
    <col min="14597" max="14597" width="10.7109375" style="633" customWidth="1"/>
    <col min="14598" max="14598" width="14" style="633" customWidth="1"/>
    <col min="14599" max="14605" width="9.140625" style="633"/>
    <col min="14606" max="14606" width="9.5703125" style="633" bestFit="1" customWidth="1"/>
    <col min="14607" max="14849" width="9.140625" style="633"/>
    <col min="14850" max="14850" width="9.28515625" style="633" customWidth="1"/>
    <col min="14851" max="14851" width="46.42578125" style="633" customWidth="1"/>
    <col min="14852" max="14852" width="38.42578125" style="633" customWidth="1"/>
    <col min="14853" max="14853" width="10.7109375" style="633" customWidth="1"/>
    <col min="14854" max="14854" width="14" style="633" customWidth="1"/>
    <col min="14855" max="14861" width="9.140625" style="633"/>
    <col min="14862" max="14862" width="9.5703125" style="633" bestFit="1" customWidth="1"/>
    <col min="14863" max="15105" width="9.140625" style="633"/>
    <col min="15106" max="15106" width="9.28515625" style="633" customWidth="1"/>
    <col min="15107" max="15107" width="46.42578125" style="633" customWidth="1"/>
    <col min="15108" max="15108" width="38.42578125" style="633" customWidth="1"/>
    <col min="15109" max="15109" width="10.7109375" style="633" customWidth="1"/>
    <col min="15110" max="15110" width="14" style="633" customWidth="1"/>
    <col min="15111" max="15117" width="9.140625" style="633"/>
    <col min="15118" max="15118" width="9.5703125" style="633" bestFit="1" customWidth="1"/>
    <col min="15119" max="15361" width="9.140625" style="633"/>
    <col min="15362" max="15362" width="9.28515625" style="633" customWidth="1"/>
    <col min="15363" max="15363" width="46.42578125" style="633" customWidth="1"/>
    <col min="15364" max="15364" width="38.42578125" style="633" customWidth="1"/>
    <col min="15365" max="15365" width="10.7109375" style="633" customWidth="1"/>
    <col min="15366" max="15366" width="14" style="633" customWidth="1"/>
    <col min="15367" max="15373" width="9.140625" style="633"/>
    <col min="15374" max="15374" width="9.5703125" style="633" bestFit="1" customWidth="1"/>
    <col min="15375" max="15617" width="9.140625" style="633"/>
    <col min="15618" max="15618" width="9.28515625" style="633" customWidth="1"/>
    <col min="15619" max="15619" width="46.42578125" style="633" customWidth="1"/>
    <col min="15620" max="15620" width="38.42578125" style="633" customWidth="1"/>
    <col min="15621" max="15621" width="10.7109375" style="633" customWidth="1"/>
    <col min="15622" max="15622" width="14" style="633" customWidth="1"/>
    <col min="15623" max="15629" width="9.140625" style="633"/>
    <col min="15630" max="15630" width="9.5703125" style="633" bestFit="1" customWidth="1"/>
    <col min="15631" max="15873" width="9.140625" style="633"/>
    <col min="15874" max="15874" width="9.28515625" style="633" customWidth="1"/>
    <col min="15875" max="15875" width="46.42578125" style="633" customWidth="1"/>
    <col min="15876" max="15876" width="38.42578125" style="633" customWidth="1"/>
    <col min="15877" max="15877" width="10.7109375" style="633" customWidth="1"/>
    <col min="15878" max="15878" width="14" style="633" customWidth="1"/>
    <col min="15879" max="15885" width="9.140625" style="633"/>
    <col min="15886" max="15886" width="9.5703125" style="633" bestFit="1" customWidth="1"/>
    <col min="15887" max="16129" width="9.140625" style="633"/>
    <col min="16130" max="16130" width="9.28515625" style="633" customWidth="1"/>
    <col min="16131" max="16131" width="46.42578125" style="633" customWidth="1"/>
    <col min="16132" max="16132" width="38.42578125" style="633" customWidth="1"/>
    <col min="16133" max="16133" width="10.7109375" style="633" customWidth="1"/>
    <col min="16134" max="16134" width="14" style="633" customWidth="1"/>
    <col min="16135" max="16141" width="9.140625" style="633"/>
    <col min="16142" max="16142" width="9.5703125" style="633" bestFit="1" customWidth="1"/>
    <col min="16143" max="16384" width="9.140625" style="633"/>
  </cols>
  <sheetData>
    <row r="1" spans="1:9" ht="25.5">
      <c r="B1" s="641"/>
    </row>
    <row r="2" spans="1:9" s="634" customFormat="1" ht="5.25">
      <c r="B2" s="642"/>
      <c r="C2" s="643"/>
      <c r="D2" s="642"/>
      <c r="E2" s="644"/>
      <c r="F2" s="644"/>
    </row>
    <row r="3" spans="1:9" ht="18.75" customHeight="1">
      <c r="A3" s="635"/>
      <c r="B3" s="2608"/>
      <c r="C3" s="2617" t="s">
        <v>14513</v>
      </c>
      <c r="D3" s="2617"/>
      <c r="E3" s="2612"/>
      <c r="F3" s="2612"/>
    </row>
    <row r="4" spans="1:9" ht="18.75" customHeight="1">
      <c r="A4" s="635"/>
      <c r="B4" s="2608"/>
      <c r="C4" s="2617"/>
      <c r="D4" s="2617"/>
      <c r="E4" s="2612"/>
      <c r="F4" s="2612"/>
      <c r="G4" s="924"/>
      <c r="H4" s="924"/>
      <c r="I4" s="924"/>
    </row>
    <row r="5" spans="1:9" ht="18.75" customHeight="1">
      <c r="A5" s="635"/>
      <c r="B5" s="2608"/>
      <c r="C5" s="2616" t="s">
        <v>13363</v>
      </c>
      <c r="D5" s="2616"/>
      <c r="E5" s="2612"/>
      <c r="F5" s="2612"/>
      <c r="G5" s="925"/>
      <c r="H5" s="925"/>
      <c r="I5" s="925"/>
    </row>
    <row r="6" spans="1:9" ht="18.75" customHeight="1">
      <c r="A6" s="635"/>
      <c r="B6" s="2608"/>
      <c r="C6" s="2616"/>
      <c r="D6" s="2616"/>
      <c r="E6" s="2612"/>
      <c r="F6" s="2612"/>
      <c r="G6" s="926"/>
      <c r="H6" s="926"/>
      <c r="I6" s="926"/>
    </row>
    <row r="7" spans="1:9" ht="18.75" customHeight="1">
      <c r="A7" s="635"/>
      <c r="B7" s="2608"/>
      <c r="C7" s="2616"/>
      <c r="D7" s="2616"/>
      <c r="E7" s="2612"/>
      <c r="F7" s="2612"/>
      <c r="G7" s="926"/>
      <c r="H7" s="926"/>
      <c r="I7" s="926"/>
    </row>
    <row r="8" spans="1:9" s="636" customFormat="1" ht="5.25" customHeight="1">
      <c r="B8" s="1945"/>
      <c r="C8" s="1946"/>
      <c r="D8" s="1945"/>
      <c r="E8" s="1947"/>
      <c r="F8" s="1947"/>
      <c r="G8" s="926"/>
      <c r="H8" s="926"/>
      <c r="I8" s="926"/>
    </row>
    <row r="9" spans="1:9" ht="20.100000000000001" customHeight="1">
      <c r="B9" s="1948" t="s">
        <v>5</v>
      </c>
      <c r="C9" s="2613" t="str">
        <f>'ORÇAMENTO '!G11</f>
        <v xml:space="preserve">ESCOLA MUNICIPAL DOMINGOS AZZOLINI </v>
      </c>
      <c r="D9" s="2613"/>
      <c r="E9" s="2613"/>
      <c r="F9" s="2613"/>
      <c r="G9" s="926"/>
      <c r="H9" s="926"/>
      <c r="I9" s="926"/>
    </row>
    <row r="10" spans="1:9" ht="20.100000000000001" customHeight="1">
      <c r="B10" s="1948" t="s">
        <v>7</v>
      </c>
      <c r="C10" s="2614" t="str">
        <f>'ORÇAMENTO '!G12</f>
        <v>SANTO ANTONIO DO LESTE</v>
      </c>
      <c r="D10" s="2614"/>
      <c r="E10" s="2614"/>
      <c r="F10" s="2614"/>
      <c r="G10" s="926"/>
      <c r="H10" s="926"/>
      <c r="I10" s="926"/>
    </row>
    <row r="11" spans="1:9" ht="20.100000000000001" customHeight="1">
      <c r="B11" s="1948" t="s">
        <v>6</v>
      </c>
      <c r="C11" s="2615">
        <f>'ORÇAMENTO '!N11</f>
        <v>45366</v>
      </c>
      <c r="D11" s="2615"/>
      <c r="E11" s="2615"/>
      <c r="F11" s="2615"/>
    </row>
    <row r="12" spans="1:9" s="634" customFormat="1" ht="9" customHeight="1">
      <c r="B12" s="1949"/>
      <c r="C12" s="1949"/>
      <c r="D12" s="1949"/>
      <c r="E12" s="1949"/>
      <c r="F12" s="1949"/>
    </row>
    <row r="13" spans="1:9" s="82" customFormat="1" ht="27" thickBot="1">
      <c r="B13" s="2609" t="s">
        <v>2179</v>
      </c>
      <c r="C13" s="2610"/>
      <c r="D13" s="2610"/>
      <c r="E13" s="2610"/>
      <c r="F13" s="2611"/>
    </row>
    <row r="14" spans="1:9" s="634" customFormat="1" ht="10.5" customHeight="1" thickBot="1">
      <c r="B14" s="645"/>
      <c r="C14" s="645"/>
      <c r="D14" s="645"/>
      <c r="E14" s="645"/>
      <c r="F14" s="645"/>
    </row>
    <row r="15" spans="1:9" ht="16.5" thickBot="1">
      <c r="B15" s="927" t="str">
        <f ca="1">'ORÇAMENTO '!F21</f>
        <v>1.0</v>
      </c>
      <c r="C15" s="928" t="str">
        <f ca="1">IFERROR(VLOOKUP($B15,'ORÇAMENTO '!$F$21:$N$993,4,FALSE),IF(CONCATENATE('ORÇAMENTO '!F21,'ORÇAMENTO '!G21,'ORÇAMENTO '!I21,'ORÇAMENTO '!J21,'ORÇAMENTO '!K21,'ORÇAMENTO '!L21,'ORÇAMENTO '!M21)='ORÇAMENTO '!I21,'ORÇAMENTO '!I21,""))</f>
        <v>A D M I N I S T R A Ç Ã O  O B R A</v>
      </c>
      <c r="D15" s="929" t="str">
        <f ca="1">IFERROR(IF(VLOOKUP($B15,'ORÇAMENTO '!$F$21:$P$993,10,FALSE)=0,"",VLOOKUP($B15,'ORÇAMENTO '!$F$21:$P$993,10,FALSE)),"")</f>
        <v/>
      </c>
      <c r="E15" s="930" t="str">
        <f ca="1">IFERROR(IF(VLOOKUP($B15,'ORÇAMENTO '!$F$21:$N$993,5,FALSE)=0,"",VLOOKUP($B15,'ORÇAMENTO '!$F$21:$N$993,5,FALSE)),"")</f>
        <v/>
      </c>
      <c r="F15" s="931" t="str">
        <f ca="1">IFERROR(IF(VLOOKUP($B15,'ORÇAMENTO '!$F$21:$N$993,5,FALSE)=0,"",VLOOKUP($B15,'ORÇAMENTO '!$F$21:$N$993,5,FALSE)),"")</f>
        <v/>
      </c>
    </row>
    <row r="16" spans="1:9" ht="90">
      <c r="B16" s="646" t="str">
        <f ca="1">'ORÇAMENTO '!F22</f>
        <v>1.1</v>
      </c>
      <c r="C16" s="647" t="str">
        <f ca="1">IFERROR(IF(OR($B16="",$B16=0),'ORÇAMENTO '!I22,VLOOKUP($B16,'ORÇAMENTO '!$F$21:$N$450,4,FALSE)),"")</f>
        <v>ADMINISTRAÇÃO LOCAL</v>
      </c>
      <c r="D16" s="648" t="str">
        <f ca="1">IFERROR(IF(VLOOKUP($B16,'ORÇAMENTO '!$F$21:$P$993,11,FALSE)=0,"",VLOOKUP($B16,'ORÇAMENTO '!$F$21:$P$993,11,FALSE)),"")</f>
        <v>MESTRE DE OBRAS COM ENCARGOS COMPLEMENTARES: 4HR*5DIAS*4SEMANAS*12MESES ENGENHEIRO CIVIL DE OBRA JUNIOR COM ENCARGOS COMPLEMENTARES: 2HR*2DIAS*4SEMANAS*3MESES</v>
      </c>
      <c r="E16" s="649">
        <f ca="1">IFERROR(IF(VLOOKUP($B16,'ORÇAMENTO '!$F$21:$N$993,6,FALSE)=0,"",VLOOKUP($B16,'ORÇAMENTO '!$F$21:$N$993,6,FALSE)),"")</f>
        <v>1</v>
      </c>
      <c r="F16" s="649" t="str">
        <f ca="1">IFERROR(IF(VLOOKUP($B16,'ORÇAMENTO '!$F$21:$N$993,5,FALSE)=0,"",VLOOKUP($B16,'ORÇAMENTO '!$F$21:$N$993,5,FALSE)),"")</f>
        <v>UN</v>
      </c>
    </row>
    <row r="17" spans="2:6" ht="15">
      <c r="B17" s="646" t="str">
        <f>'ORÇAMENTO '!F23</f>
        <v/>
      </c>
      <c r="C17" s="647">
        <f>IFERROR(IF(OR($B17="",$B17=0),'ORÇAMENTO '!I23,VLOOKUP($B17,'ORÇAMENTO '!$F$21:$N$450,4,FALSE)),"")</f>
        <v>0</v>
      </c>
      <c r="D17" s="648" t="str">
        <f ca="1">IFERROR(IF(VLOOKUP($B17,'ORÇAMENTO '!$F$21:$P$993,11,FALSE)=0,"",VLOOKUP($B17,'ORÇAMENTO '!$F$21:$P$993,11,FALSE)),"")</f>
        <v/>
      </c>
      <c r="E17" s="649" t="str">
        <f ca="1">IFERROR(IF(VLOOKUP($B17,'ORÇAMENTO '!$F$21:$N$993,6,FALSE)=0,"",VLOOKUP($B17,'ORÇAMENTO '!$F$21:$N$993,6,FALSE)),"")</f>
        <v/>
      </c>
      <c r="F17" s="649" t="str">
        <f ca="1">IFERROR(IF(VLOOKUP($B17,'ORÇAMENTO '!$F$21:$N$993,5,FALSE)=0,"",VLOOKUP($B17,'ORÇAMENTO '!$F$21:$N$993,5,FALSE)),"")</f>
        <v/>
      </c>
    </row>
    <row r="18" spans="2:6" ht="15.75">
      <c r="B18" s="646" t="str">
        <f ca="1">'ORÇAMENTO '!F24</f>
        <v>2.0</v>
      </c>
      <c r="C18" s="647" t="str">
        <f ca="1">IFERROR(IF(OR($B18="",$B18=0),'ORÇAMENTO '!I24,VLOOKUP($B18,'ORÇAMENTO '!$F$21:$N$450,4,FALSE)),"")</f>
        <v>S E R V I Ç O S   I N I C I A I S</v>
      </c>
      <c r="D18" s="648" t="str">
        <f ca="1">IFERROR(IF(VLOOKUP($B18,'ORÇAMENTO '!$F$21:$P$993,11,FALSE)=0,"",VLOOKUP($B18,'ORÇAMENTO '!$F$21:$P$993,11,FALSE)),"")</f>
        <v/>
      </c>
      <c r="E18" s="649" t="str">
        <f ca="1">IFERROR(IF(VLOOKUP($B18,'ORÇAMENTO '!$F$21:$N$993,6,FALSE)=0,"",VLOOKUP($B18,'ORÇAMENTO '!$F$21:$N$993,6,FALSE)),"")</f>
        <v/>
      </c>
      <c r="F18" s="649" t="str">
        <f ca="1">IFERROR(IF(VLOOKUP($B18,'ORÇAMENTO '!$F$21:$N$993,5,FALSE)=0,"",VLOOKUP($B18,'ORÇAMENTO '!$F$21:$N$993,5,FALSE)),"")</f>
        <v/>
      </c>
    </row>
    <row r="19" spans="2:6" ht="15.75">
      <c r="B19" s="646"/>
      <c r="C19" s="647" t="s">
        <v>13360</v>
      </c>
      <c r="D19" s="648"/>
      <c r="E19" s="649"/>
      <c r="F19" s="649"/>
    </row>
    <row r="20" spans="2:6" ht="45">
      <c r="B20" s="646" t="str">
        <f ca="1">'ORÇAMENTO '!F25</f>
        <v>2.1</v>
      </c>
      <c r="C20" s="647" t="str">
        <f ca="1">IFERROR(IF(OR($B20="",$B20=0),'ORÇAMENTO '!I25,VLOOKUP($B20,'ORÇAMENTO '!$F$21:$N$450,4,FALSE)),"")</f>
        <v>FORNECIMENTO E INSTALAÇÃO DE PLACA DE OBRA COM CHAPA GALVANIZADA E ESTRUTURA DE MADEIRA. AF_03/2022_PS</v>
      </c>
      <c r="D20" s="648" t="str">
        <f ca="1">IFERROR(IF(VLOOKUP($B20,'ORÇAMENTO '!$F$21:$P$993,11,FALSE)=0,"",VLOOKUP($B20,'ORÇAMENTO '!$F$21:$P$993,11,FALSE)),"")</f>
        <v>1,25*2,5 OU 5*2,5</v>
      </c>
      <c r="E20" s="649">
        <f ca="1">IFERROR(IF(VLOOKUP($B20,'ORÇAMENTO '!$F$21:$N$993,6,FALSE)=0,"",VLOOKUP($B20,'ORÇAMENTO '!$F$21:$N$993,6,FALSE)),"")</f>
        <v>12.5</v>
      </c>
      <c r="F20" s="649" t="str">
        <f ca="1">IFERROR(IF(VLOOKUP($B20,'ORÇAMENTO '!$F$21:$N$993,5,FALSE)=0,"",VLOOKUP($B20,'ORÇAMENTO '!$F$21:$N$993,5,FALSE)),"")</f>
        <v>M2</v>
      </c>
    </row>
    <row r="21" spans="2:6" ht="45">
      <c r="B21" s="646" t="str">
        <f ca="1">'ORÇAMENTO '!F26</f>
        <v>2.2</v>
      </c>
      <c r="C21" s="647" t="str">
        <f ca="1">IFERROR(IF(OR($B21="",$B21=0),'ORÇAMENTO '!I26,VLOOKUP($B21,'ORÇAMENTO '!$F$21:$N$450,4,FALSE)),"")</f>
        <v>LOCACAO CONVENCIONAL DE OBRA, UTILIZANDO GABARITO DE TÁBUAS CORRIDAS PONTALETADAS A CADA 2,00M -  2 UTILIZAÇÕES. AF_10/2018</v>
      </c>
      <c r="D21" s="648" t="str">
        <f ca="1">IFERROR(IF(VLOOKUP($B21,'ORÇAMENTO '!$F$21:$P$993,11,FALSE)=0,"",VLOOKUP($B21,'ORÇAMENTO '!$F$21:$P$993,11,FALSE)),"")</f>
        <v>35,1353+3,10+3,10+3,10+3,10</v>
      </c>
      <c r="E21" s="649">
        <f ca="1">IFERROR(IF(VLOOKUP($B21,'ORÇAMENTO '!$F$21:$N$993,6,FALSE)=0,"",VLOOKUP($B21,'ORÇAMENTO '!$F$21:$N$993,6,FALSE)),"")</f>
        <v>47.54</v>
      </c>
      <c r="F21" s="649" t="str">
        <f ca="1">IFERROR(IF(VLOOKUP($B21,'ORÇAMENTO '!$F$21:$N$993,5,FALSE)=0,"",VLOOKUP($B21,'ORÇAMENTO '!$F$21:$N$993,5,FALSE)),"")</f>
        <v>M</v>
      </c>
    </row>
    <row r="22" spans="2:6" ht="15">
      <c r="B22" s="646" t="str">
        <f>'ORÇAMENTO '!F27</f>
        <v/>
      </c>
      <c r="C22" s="647">
        <f>IFERROR(IF(OR($B22="",$B22=0),'ORÇAMENTO '!I27,VLOOKUP($B22,'ORÇAMENTO '!$F$21:$N$450,4,FALSE)),"")</f>
        <v>0</v>
      </c>
      <c r="D22" s="648" t="str">
        <f ca="1">IFERROR(IF(VLOOKUP($B22,'ORÇAMENTO '!$F$21:$P$993,11,FALSE)=0,"",VLOOKUP($B22,'ORÇAMENTO '!$F$21:$P$993,11,FALSE)),"")</f>
        <v/>
      </c>
      <c r="E22" s="649" t="str">
        <f ca="1">IFERROR(IF(VLOOKUP($B22,'ORÇAMENTO '!$F$21:$N$993,6,FALSE)=0,"",VLOOKUP($B22,'ORÇAMENTO '!$F$21:$N$993,6,FALSE)),"")</f>
        <v/>
      </c>
      <c r="F22" s="649" t="str">
        <f ca="1">IFERROR(IF(VLOOKUP($B22,'ORÇAMENTO '!$F$21:$N$993,5,FALSE)=0,"",VLOOKUP($B22,'ORÇAMENTO '!$F$21:$N$993,5,FALSE)),"")</f>
        <v/>
      </c>
    </row>
    <row r="23" spans="2:6" ht="15.75">
      <c r="B23" s="646" t="str">
        <f ca="1">'ORÇAMENTO '!F28</f>
        <v>3.0</v>
      </c>
      <c r="C23" s="647" t="str">
        <f ca="1">IFERROR(IF(OR($B23="",$B23=0),'ORÇAMENTO '!I28,VLOOKUP($B23,'ORÇAMENTO '!$F$21:$N$450,4,FALSE)),"")</f>
        <v xml:space="preserve">D E M O L I Ç Ã O   E   R E T I R A D A S </v>
      </c>
      <c r="D23" s="648" t="str">
        <f ca="1">IFERROR(IF(VLOOKUP($B23,'ORÇAMENTO '!$F$21:$P$993,11,FALSE)=0,"",VLOOKUP($B23,'ORÇAMENTO '!$F$21:$P$993,11,FALSE)),"")</f>
        <v/>
      </c>
      <c r="E23" s="649" t="str">
        <f ca="1">IFERROR(IF(VLOOKUP($B23,'ORÇAMENTO '!$F$21:$N$993,6,FALSE)=0,"",VLOOKUP($B23,'ORÇAMENTO '!$F$21:$N$993,6,FALSE)),"")</f>
        <v/>
      </c>
      <c r="F23" s="649" t="str">
        <f ca="1">IFERROR(IF(VLOOKUP($B23,'ORÇAMENTO '!$F$21:$N$993,5,FALSE)=0,"",VLOOKUP($B23,'ORÇAMENTO '!$F$21:$N$993,5,FALSE)),"")</f>
        <v/>
      </c>
    </row>
    <row r="24" spans="2:6" ht="15.75">
      <c r="B24" s="646"/>
      <c r="C24" s="647" t="s">
        <v>14383</v>
      </c>
      <c r="D24" s="648"/>
      <c r="E24" s="649"/>
      <c r="F24" s="649"/>
    </row>
    <row r="25" spans="2:6" ht="15">
      <c r="B25" s="646" t="str">
        <f>'ORÇAMENTO '!F39</f>
        <v/>
      </c>
      <c r="C25" s="647">
        <f>IFERROR(IF(OR($B25="",$B25=0),'ORÇAMENTO '!I39,VLOOKUP($B25,'ORÇAMENTO '!$F$21:$N$450,4,FALSE)),"")</f>
        <v>0</v>
      </c>
      <c r="D25" s="648" t="str">
        <f ca="1">IFERROR(IF(VLOOKUP($B25,'ORÇAMENTO '!$F$21:$P$993,11,FALSE)=0,"",VLOOKUP($B25,'ORÇAMENTO '!$F$21:$P$993,11,FALSE)),"")</f>
        <v/>
      </c>
      <c r="E25" s="649" t="str">
        <f ca="1">IFERROR(IF(VLOOKUP($B25,'ORÇAMENTO '!$F$21:$N$993,6,FALSE)=0,"",VLOOKUP($B25,'ORÇAMENTO '!$F$21:$N$993,6,FALSE)),"")</f>
        <v/>
      </c>
      <c r="F25" s="649" t="str">
        <f ca="1">IFERROR(IF(VLOOKUP($B25,'ORÇAMENTO '!$F$21:$N$993,5,FALSE)=0,"",VLOOKUP($B25,'ORÇAMENTO '!$F$21:$N$993,5,FALSE)),"")</f>
        <v/>
      </c>
    </row>
    <row r="26" spans="2:6" ht="15.75">
      <c r="B26" s="646" t="str">
        <f ca="1">'ORÇAMENTO '!F40</f>
        <v>4.0</v>
      </c>
      <c r="C26" s="647" t="str">
        <f ca="1">IFERROR(IF(OR($B26="",$B26=0),'ORÇAMENTO '!I40,VLOOKUP($B26,'ORÇAMENTO '!$F$21:$N$450,4,FALSE)),"")</f>
        <v>M O V I M E N T O  D E   T E R R A</v>
      </c>
      <c r="D26" s="648" t="str">
        <f ca="1">IFERROR(IF(VLOOKUP($B26,'ORÇAMENTO '!$F$21:$P$993,11,FALSE)=0,"",VLOOKUP($B26,'ORÇAMENTO '!$F$21:$P$993,11,FALSE)),"")</f>
        <v/>
      </c>
      <c r="E26" s="649" t="str">
        <f ca="1">IFERROR(IF(VLOOKUP($B26,'ORÇAMENTO '!$F$21:$N$993,6,FALSE)=0,"",VLOOKUP($B26,'ORÇAMENTO '!$F$21:$N$993,6,FALSE)),"")</f>
        <v/>
      </c>
      <c r="F26" s="649" t="str">
        <f ca="1">IFERROR(IF(VLOOKUP($B26,'ORÇAMENTO '!$F$21:$N$993,5,FALSE)=0,"",VLOOKUP($B26,'ORÇAMENTO '!$F$21:$N$993,5,FALSE)),"")</f>
        <v/>
      </c>
    </row>
    <row r="27" spans="2:6" ht="15.75">
      <c r="B27" s="646" t="str">
        <f>'ORÇAMENTO '!F41</f>
        <v/>
      </c>
      <c r="C27" s="647" t="s">
        <v>14383</v>
      </c>
      <c r="D27" s="648" t="str">
        <f ca="1">IFERROR(IF(VLOOKUP($B27,'ORÇAMENTO '!$F$21:$P$993,11,FALSE)=0,"",VLOOKUP($B27,'ORÇAMENTO '!$F$21:$P$993,11,FALSE)),"")</f>
        <v/>
      </c>
      <c r="E27" s="649" t="str">
        <f ca="1">IFERROR(IF(VLOOKUP($B27,'ORÇAMENTO '!$F$21:$N$993,6,FALSE)=0,"",VLOOKUP($B27,'ORÇAMENTO '!$F$21:$N$993,6,FALSE)),"")</f>
        <v/>
      </c>
      <c r="F27" s="649" t="str">
        <f ca="1">IFERROR(IF(VLOOKUP($B27,'ORÇAMENTO '!$F$21:$N$993,5,FALSE)=0,"",VLOOKUP($B27,'ORÇAMENTO '!$F$21:$N$993,5,FALSE)),"")</f>
        <v/>
      </c>
    </row>
    <row r="28" spans="2:6" ht="15">
      <c r="B28" s="646" t="str">
        <f>'ORÇAMENTO '!F46</f>
        <v/>
      </c>
      <c r="C28" s="647">
        <f>IFERROR(IF(OR($B28="",$B28=0),'ORÇAMENTO '!I46,VLOOKUP($B28,'ORÇAMENTO '!$F$21:$N$450,4,FALSE)),"")</f>
        <v>0</v>
      </c>
      <c r="D28" s="648" t="str">
        <f ca="1">IFERROR(IF(VLOOKUP($B28,'ORÇAMENTO '!$F$21:$P$993,11,FALSE)=0,"",VLOOKUP($B28,'ORÇAMENTO '!$F$21:$P$993,11,FALSE)),"")</f>
        <v/>
      </c>
      <c r="E28" s="649" t="str">
        <f ca="1">IFERROR(IF(VLOOKUP($B28,'ORÇAMENTO '!$F$21:$N$993,6,FALSE)=0,"",VLOOKUP($B28,'ORÇAMENTO '!$F$21:$N$993,6,FALSE)),"")</f>
        <v/>
      </c>
      <c r="F28" s="649" t="str">
        <f ca="1">IFERROR(IF(VLOOKUP($B28,'ORÇAMENTO '!$F$21:$N$993,5,FALSE)=0,"",VLOOKUP($B28,'ORÇAMENTO '!$F$21:$N$993,5,FALSE)),"")</f>
        <v/>
      </c>
    </row>
    <row r="29" spans="2:6" ht="15.75">
      <c r="B29" s="646" t="str">
        <f ca="1">'ORÇAMENTO '!F47</f>
        <v>5.0</v>
      </c>
      <c r="C29" s="647" t="str">
        <f ca="1">IFERROR(IF(OR($B29="",$B29=0),'ORÇAMENTO '!I47,VLOOKUP($B29,'ORÇAMENTO '!$F$21:$N$450,4,FALSE)),"")</f>
        <v>F U N D A Ç Ã O</v>
      </c>
      <c r="D29" s="648" t="str">
        <f ca="1">IFERROR(IF(VLOOKUP($B29,'ORÇAMENTO '!$F$21:$P$993,11,FALSE)=0,"",VLOOKUP($B29,'ORÇAMENTO '!$F$21:$P$993,11,FALSE)),"")</f>
        <v/>
      </c>
      <c r="E29" s="649" t="str">
        <f ca="1">IFERROR(IF(VLOOKUP($B29,'ORÇAMENTO '!$F$21:$N$993,6,FALSE)=0,"",VLOOKUP($B29,'ORÇAMENTO '!$F$21:$N$993,6,FALSE)),"")</f>
        <v/>
      </c>
      <c r="F29" s="649" t="str">
        <f ca="1">IFERROR(IF(VLOOKUP($B29,'ORÇAMENTO '!$F$21:$N$993,5,FALSE)=0,"",VLOOKUP($B29,'ORÇAMENTO '!$F$21:$N$993,5,FALSE)),"")</f>
        <v/>
      </c>
    </row>
    <row r="30" spans="2:6" ht="15.75">
      <c r="B30" s="646" t="str">
        <f>'ORÇAMENTO '!F48</f>
        <v/>
      </c>
      <c r="C30" s="647" t="s">
        <v>13360</v>
      </c>
      <c r="D30" s="648" t="str">
        <f ca="1">IFERROR(IF(VLOOKUP($B30,'ORÇAMENTO '!$F$21:$P$993,11,FALSE)=0,"",VLOOKUP($B30,'ORÇAMENTO '!$F$21:$P$993,11,FALSE)),"")</f>
        <v/>
      </c>
      <c r="E30" s="649" t="str">
        <f ca="1">IFERROR(IF(VLOOKUP($B30,'ORÇAMENTO '!$F$21:$N$993,6,FALSE)=0,"",VLOOKUP($B30,'ORÇAMENTO '!$F$21:$N$993,6,FALSE)),"")</f>
        <v/>
      </c>
      <c r="F30" s="649" t="str">
        <f ca="1">IFERROR(IF(VLOOKUP($B30,'ORÇAMENTO '!$F$21:$N$993,5,FALSE)=0,"",VLOOKUP($B30,'ORÇAMENTO '!$F$21:$N$993,5,FALSE)),"")</f>
        <v/>
      </c>
    </row>
    <row r="31" spans="2:6" ht="15">
      <c r="B31" s="646" t="str">
        <f>'ORÇAMENTO '!F72</f>
        <v/>
      </c>
      <c r="C31" s="647">
        <f>IFERROR(IF(OR($B31="",$B31=0),'ORÇAMENTO '!I72,VLOOKUP($B31,'ORÇAMENTO '!$F$21:$N$450,4,FALSE)),"")</f>
        <v>0</v>
      </c>
      <c r="D31" s="648" t="str">
        <f ca="1">IFERROR(IF(VLOOKUP($B31,'ORÇAMENTO '!$F$21:$P$993,11,FALSE)=0,"",VLOOKUP($B31,'ORÇAMENTO '!$F$21:$P$993,11,FALSE)),"")</f>
        <v/>
      </c>
      <c r="E31" s="649" t="str">
        <f ca="1">IFERROR(IF(VLOOKUP($B31,'ORÇAMENTO '!$F$21:$N$993,6,FALSE)=0,"",VLOOKUP($B31,'ORÇAMENTO '!$F$21:$N$993,6,FALSE)),"")</f>
        <v/>
      </c>
      <c r="F31" s="649" t="str">
        <f ca="1">IFERROR(IF(VLOOKUP($B31,'ORÇAMENTO '!$F$21:$N$993,5,FALSE)=0,"",VLOOKUP($B31,'ORÇAMENTO '!$F$21:$N$993,5,FALSE)),"")</f>
        <v/>
      </c>
    </row>
    <row r="32" spans="2:6" ht="15.75">
      <c r="B32" s="646" t="str">
        <f ca="1">'ORÇAMENTO '!F73</f>
        <v>6.0</v>
      </c>
      <c r="C32" s="647" t="str">
        <f ca="1">IFERROR(IF(OR($B32="",$B32=0),'ORÇAMENTO '!I73,VLOOKUP($B32,'ORÇAMENTO '!$F$21:$N$450,4,FALSE)),"")</f>
        <v>E S T R U T U R A  - M E T Á L I C O</v>
      </c>
      <c r="D32" s="648" t="str">
        <f ca="1">IFERROR(IF(VLOOKUP($B32,'ORÇAMENTO '!$F$21:$P$993,11,FALSE)=0,"",VLOOKUP($B32,'ORÇAMENTO '!$F$21:$P$993,11,FALSE)),"")</f>
        <v/>
      </c>
      <c r="E32" s="649" t="str">
        <f ca="1">IFERROR(IF(VLOOKUP($B32,'ORÇAMENTO '!$F$21:$N$993,6,FALSE)=0,"",VLOOKUP($B32,'ORÇAMENTO '!$F$21:$N$993,6,FALSE)),"")</f>
        <v/>
      </c>
      <c r="F32" s="649" t="str">
        <f ca="1">IFERROR(IF(VLOOKUP($B32,'ORÇAMENTO '!$F$21:$N$993,5,FALSE)=0,"",VLOOKUP($B32,'ORÇAMENTO '!$F$21:$N$993,5,FALSE)),"")</f>
        <v/>
      </c>
    </row>
    <row r="33" spans="2:6" ht="15.75">
      <c r="B33" s="646"/>
      <c r="C33" s="647" t="s">
        <v>14383</v>
      </c>
      <c r="D33" s="648"/>
      <c r="E33" s="649"/>
      <c r="F33" s="649"/>
    </row>
    <row r="34" spans="2:6" ht="15">
      <c r="B34" s="646" t="str">
        <f>'ORÇAMENTO '!F77</f>
        <v/>
      </c>
      <c r="C34" s="647">
        <f>IFERROR(IF(OR($B34="",$B34=0),'ORÇAMENTO '!I77,VLOOKUP($B34,'ORÇAMENTO '!$F$21:$N$450,4,FALSE)),"")</f>
        <v>0</v>
      </c>
      <c r="D34" s="648" t="str">
        <f ca="1">IFERROR(IF(VLOOKUP($B34,'ORÇAMENTO '!$F$21:$P$993,11,FALSE)=0,"",VLOOKUP($B34,'ORÇAMENTO '!$F$21:$P$993,11,FALSE)),"")</f>
        <v/>
      </c>
      <c r="E34" s="649" t="str">
        <f ca="1">IFERROR(IF(VLOOKUP($B34,'ORÇAMENTO '!$F$21:$N$993,6,FALSE)=0,"",VLOOKUP($B34,'ORÇAMENTO '!$F$21:$N$993,6,FALSE)),"")</f>
        <v/>
      </c>
      <c r="F34" s="649" t="str">
        <f ca="1">IFERROR(IF(VLOOKUP($B34,'ORÇAMENTO '!$F$21:$N$993,5,FALSE)=0,"",VLOOKUP($B34,'ORÇAMENTO '!$F$21:$N$993,5,FALSE)),"")</f>
        <v/>
      </c>
    </row>
    <row r="35" spans="2:6" ht="15.75">
      <c r="B35" s="1855" t="str">
        <f ca="1">'ORÇAMENTO '!F78</f>
        <v>7.0</v>
      </c>
      <c r="C35" s="2618" t="str">
        <f ca="1">IFERROR(IF(OR($B35="",$B35=0),'ORÇAMENTO '!I78,VLOOKUP($B35,'ORÇAMENTO '!$F$21:$N$450,4,FALSE)),"")</f>
        <v>A L V E N A R I A S ,   F E C H A M E N T O S   E   D I V I S Ó R I A S</v>
      </c>
      <c r="D35" s="2618"/>
      <c r="E35" s="2618"/>
      <c r="F35" s="2618"/>
    </row>
    <row r="36" spans="2:6" ht="15.75">
      <c r="B36" s="646" t="str">
        <f>'ORÇAMENTO '!F79</f>
        <v/>
      </c>
      <c r="C36" s="647" t="s">
        <v>14383</v>
      </c>
      <c r="D36" s="648" t="str">
        <f ca="1">IFERROR(IF(VLOOKUP($B36,'ORÇAMENTO '!$F$21:$P$993,11,FALSE)=0,"",VLOOKUP($B36,'ORÇAMENTO '!$F$21:$P$993,11,FALSE)),"")</f>
        <v/>
      </c>
      <c r="E36" s="649" t="str">
        <f ca="1">IFERROR(IF(VLOOKUP($B36,'ORÇAMENTO '!$F$21:$N$993,6,FALSE)=0,"",VLOOKUP($B36,'ORÇAMENTO '!$F$21:$N$993,6,FALSE)),"")</f>
        <v/>
      </c>
      <c r="F36" s="649" t="str">
        <f ca="1">IFERROR(IF(VLOOKUP($B36,'ORÇAMENTO '!$F$21:$N$993,5,FALSE)=0,"",VLOOKUP($B36,'ORÇAMENTO '!$F$21:$N$993,5,FALSE)),"")</f>
        <v/>
      </c>
    </row>
    <row r="37" spans="2:6" ht="15">
      <c r="B37" s="646" t="str">
        <f>'ORÇAMENTO '!F83</f>
        <v/>
      </c>
      <c r="C37" s="647">
        <f>IFERROR(IF(OR($B37="",$B37=0),'ORÇAMENTO '!I83,VLOOKUP($B37,'ORÇAMENTO '!$F$21:$N$450,4,FALSE)),"")</f>
        <v>0</v>
      </c>
      <c r="D37" s="648" t="str">
        <f ca="1">IFERROR(IF(VLOOKUP($B37,'ORÇAMENTO '!$F$21:$P$993,11,FALSE)=0,"",VLOOKUP($B37,'ORÇAMENTO '!$F$21:$P$993,11,FALSE)),"")</f>
        <v/>
      </c>
      <c r="E37" s="649" t="str">
        <f ca="1">IFERROR(IF(VLOOKUP($B37,'ORÇAMENTO '!$F$21:$N$993,6,FALSE)=0,"",VLOOKUP($B37,'ORÇAMENTO '!$F$21:$N$993,6,FALSE)),"")</f>
        <v/>
      </c>
      <c r="F37" s="649" t="str">
        <f ca="1">IFERROR(IF(VLOOKUP($B37,'ORÇAMENTO '!$F$21:$N$993,5,FALSE)=0,"",VLOOKUP($B37,'ORÇAMENTO '!$F$21:$N$993,5,FALSE)),"")</f>
        <v/>
      </c>
    </row>
    <row r="38" spans="2:6" ht="15.75">
      <c r="B38" s="646" t="str">
        <f ca="1">'ORÇAMENTO '!F84</f>
        <v>8.0</v>
      </c>
      <c r="C38" s="647" t="str">
        <f ca="1">IFERROR(IF(OR($B38="",$B38=0),'ORÇAMENTO '!I84,VLOOKUP($B38,'ORÇAMENTO '!$F$21:$N$450,4,FALSE)),"")</f>
        <v>E S Q U A D R I A S</v>
      </c>
      <c r="D38" s="648" t="str">
        <f ca="1">IFERROR(IF(VLOOKUP($B38,'ORÇAMENTO '!$F$21:$P$993,11,FALSE)=0,"",VLOOKUP($B38,'ORÇAMENTO '!$F$21:$P$993,11,FALSE)),"")</f>
        <v/>
      </c>
      <c r="E38" s="649" t="str">
        <f ca="1">IFERROR(IF(VLOOKUP($B38,'ORÇAMENTO '!$F$21:$N$993,6,FALSE)=0,"",VLOOKUP($B38,'ORÇAMENTO '!$F$21:$N$993,6,FALSE)),"")</f>
        <v/>
      </c>
      <c r="F38" s="649" t="str">
        <f ca="1">IFERROR(IF(VLOOKUP($B38,'ORÇAMENTO '!$F$21:$N$993,5,FALSE)=0,"",VLOOKUP($B38,'ORÇAMENTO '!$F$21:$N$993,5,FALSE)),"")</f>
        <v/>
      </c>
    </row>
    <row r="39" spans="2:6" ht="15.75">
      <c r="B39" s="646" t="str">
        <f>'ORÇAMENTO '!F85</f>
        <v/>
      </c>
      <c r="C39" s="647" t="s">
        <v>14383</v>
      </c>
      <c r="D39" s="648" t="str">
        <f ca="1">IFERROR(IF(VLOOKUP($B39,'ORÇAMENTO '!$F$21:$P$993,11,FALSE)=0,"",VLOOKUP($B39,'ORÇAMENTO '!$F$21:$P$993,11,FALSE)),"")</f>
        <v/>
      </c>
      <c r="E39" s="649" t="str">
        <f ca="1">IFERROR(IF(VLOOKUP($B39,'ORÇAMENTO '!$F$21:$N$993,6,FALSE)=0,"",VLOOKUP($B39,'ORÇAMENTO '!$F$21:$N$993,6,FALSE)),"")</f>
        <v/>
      </c>
      <c r="F39" s="649" t="str">
        <f ca="1">IFERROR(IF(VLOOKUP($B39,'ORÇAMENTO '!$F$21:$N$993,5,FALSE)=0,"",VLOOKUP($B39,'ORÇAMENTO '!$F$21:$N$993,5,FALSE)),"")</f>
        <v/>
      </c>
    </row>
    <row r="40" spans="2:6" ht="15">
      <c r="B40" s="646" t="str">
        <f>'ORÇAMENTO '!F92</f>
        <v/>
      </c>
      <c r="C40" s="647">
        <f>IFERROR(IF(OR($B40="",$B40=0),'ORÇAMENTO '!I92,VLOOKUP($B40,'ORÇAMENTO '!$F$21:$N$450,4,FALSE)),"")</f>
        <v>0</v>
      </c>
      <c r="D40" s="648" t="str">
        <f ca="1">IFERROR(IF(VLOOKUP($B40,'ORÇAMENTO '!$F$21:$P$993,11,FALSE)=0,"",VLOOKUP($B40,'ORÇAMENTO '!$F$21:$P$993,11,FALSE)),"")</f>
        <v/>
      </c>
      <c r="E40" s="649" t="str">
        <f ca="1">IFERROR(IF(VLOOKUP($B40,'ORÇAMENTO '!$F$21:$N$993,6,FALSE)=0,"",VLOOKUP($B40,'ORÇAMENTO '!$F$21:$N$993,6,FALSE)),"")</f>
        <v/>
      </c>
      <c r="F40" s="649" t="str">
        <f ca="1">IFERROR(IF(VLOOKUP($B40,'ORÇAMENTO '!$F$21:$N$993,5,FALSE)=0,"",VLOOKUP($B40,'ORÇAMENTO '!$F$21:$N$993,5,FALSE)),"")</f>
        <v/>
      </c>
    </row>
    <row r="41" spans="2:6" ht="15.75">
      <c r="B41" s="646" t="str">
        <f ca="1">'ORÇAMENTO '!F93</f>
        <v>9.0</v>
      </c>
      <c r="C41" s="647" t="str">
        <f ca="1">IFERROR(IF(OR($B41="",$B41=0),'ORÇAMENTO '!I93,VLOOKUP($B41,'ORÇAMENTO '!$F$21:$N$450,4,FALSE)),"")</f>
        <v>C O B E R T U R A S</v>
      </c>
      <c r="D41" s="648" t="str">
        <f ca="1">IFERROR(IF(VLOOKUP($B41,'ORÇAMENTO '!$F$21:$P$993,11,FALSE)=0,"",VLOOKUP($B41,'ORÇAMENTO '!$F$21:$P$993,11,FALSE)),"")</f>
        <v/>
      </c>
      <c r="E41" s="649" t="str">
        <f ca="1">IFERROR(IF(VLOOKUP($B41,'ORÇAMENTO '!$F$21:$N$993,6,FALSE)=0,"",VLOOKUP($B41,'ORÇAMENTO '!$F$21:$N$993,6,FALSE)),"")</f>
        <v/>
      </c>
      <c r="F41" s="649" t="str">
        <f ca="1">IFERROR(IF(VLOOKUP($B41,'ORÇAMENTO '!$F$21:$N$993,5,FALSE)=0,"",VLOOKUP($B41,'ORÇAMENTO '!$F$21:$N$993,5,FALSE)),"")</f>
        <v/>
      </c>
    </row>
    <row r="42" spans="2:6" ht="15.75">
      <c r="B42" s="646" t="str">
        <f>'ORÇAMENTO '!F94</f>
        <v/>
      </c>
      <c r="C42" s="647" t="s">
        <v>14383</v>
      </c>
      <c r="D42" s="648" t="str">
        <f ca="1">IFERROR(IF(VLOOKUP($B42,'ORÇAMENTO '!$F$21:$P$993,11,FALSE)=0,"",VLOOKUP($B42,'ORÇAMENTO '!$F$21:$P$993,11,FALSE)),"")</f>
        <v/>
      </c>
      <c r="E42" s="649" t="str">
        <f ca="1">IFERROR(IF(VLOOKUP($B42,'ORÇAMENTO '!$F$21:$N$993,6,FALSE)=0,"",VLOOKUP($B42,'ORÇAMENTO '!$F$21:$N$993,6,FALSE)),"")</f>
        <v/>
      </c>
      <c r="F42" s="649" t="str">
        <f ca="1">IFERROR(IF(VLOOKUP($B42,'ORÇAMENTO '!$F$21:$N$993,5,FALSE)=0,"",VLOOKUP($B42,'ORÇAMENTO '!$F$21:$N$993,5,FALSE)),"")</f>
        <v/>
      </c>
    </row>
    <row r="43" spans="2:6" ht="15">
      <c r="B43" s="646" t="str">
        <f>'ORÇAMENTO '!F100</f>
        <v/>
      </c>
      <c r="C43" s="647">
        <f>IFERROR(IF(OR($B43="",$B43=0),'ORÇAMENTO '!I100,VLOOKUP($B43,'ORÇAMENTO '!$F$21:$N$450,4,FALSE)),"")</f>
        <v>0</v>
      </c>
      <c r="D43" s="648" t="str">
        <f ca="1">IFERROR(IF(VLOOKUP($B43,'ORÇAMENTO '!$F$21:$P$993,11,FALSE)=0,"",VLOOKUP($B43,'ORÇAMENTO '!$F$21:$P$993,11,FALSE)),"")</f>
        <v/>
      </c>
      <c r="E43" s="649" t="str">
        <f ca="1">IFERROR(IF(VLOOKUP($B43,'ORÇAMENTO '!$F$21:$N$993,6,FALSE)=0,"",VLOOKUP($B43,'ORÇAMENTO '!$F$21:$N$993,6,FALSE)),"")</f>
        <v/>
      </c>
      <c r="F43" s="649" t="str">
        <f ca="1">IFERROR(IF(VLOOKUP($B43,'ORÇAMENTO '!$F$21:$N$993,5,FALSE)=0,"",VLOOKUP($B43,'ORÇAMENTO '!$F$21:$N$993,5,FALSE)),"")</f>
        <v/>
      </c>
    </row>
    <row r="44" spans="2:6" ht="15.75">
      <c r="B44" s="646" t="str">
        <f ca="1">'ORÇAMENTO '!F101</f>
        <v>10.0</v>
      </c>
      <c r="C44" s="647" t="str">
        <f ca="1">IFERROR(IF(OR($B44="",$B44=0),'ORÇAMENTO '!I101,VLOOKUP($B44,'ORÇAMENTO '!$F$21:$N$450,4,FALSE)),"")</f>
        <v>P I S O S</v>
      </c>
      <c r="D44" s="648" t="str">
        <f ca="1">IFERROR(IF(VLOOKUP($B44,'ORÇAMENTO '!$F$21:$P$993,11,FALSE)=0,"",VLOOKUP($B44,'ORÇAMENTO '!$F$21:$P$993,11,FALSE)),"")</f>
        <v/>
      </c>
      <c r="E44" s="649" t="str">
        <f ca="1">IFERROR(IF(VLOOKUP($B44,'ORÇAMENTO '!$F$21:$N$993,6,FALSE)=0,"",VLOOKUP($B44,'ORÇAMENTO '!$F$21:$N$993,6,FALSE)),"")</f>
        <v/>
      </c>
      <c r="F44" s="649" t="str">
        <f ca="1">IFERROR(IF(VLOOKUP($B44,'ORÇAMENTO '!$F$21:$N$993,5,FALSE)=0,"",VLOOKUP($B44,'ORÇAMENTO '!$F$21:$N$993,5,FALSE)),"")</f>
        <v/>
      </c>
    </row>
    <row r="45" spans="2:6" ht="15.75">
      <c r="B45" s="646"/>
      <c r="C45" s="647" t="s">
        <v>14383</v>
      </c>
      <c r="D45" s="648"/>
      <c r="E45" s="649"/>
      <c r="F45" s="649"/>
    </row>
    <row r="46" spans="2:6" ht="15">
      <c r="B46" s="646" t="str">
        <f>'ORÇAMENTO '!F107</f>
        <v/>
      </c>
      <c r="C46" s="647">
        <f>IFERROR(IF(OR($B46="",$B46=0),'ORÇAMENTO '!I107,VLOOKUP($B46,'ORÇAMENTO '!$F$21:$N$450,4,FALSE)),"")</f>
        <v>0</v>
      </c>
      <c r="D46" s="648" t="str">
        <f ca="1">IFERROR(IF(VLOOKUP($B46,'ORÇAMENTO '!$F$21:$P$993,11,FALSE)=0,"",VLOOKUP($B46,'ORÇAMENTO '!$F$21:$P$993,11,FALSE)),"")</f>
        <v/>
      </c>
      <c r="E46" s="649" t="str">
        <f ca="1">IFERROR(IF(VLOOKUP($B46,'ORÇAMENTO '!$F$21:$N$993,6,FALSE)=0,"",VLOOKUP($B46,'ORÇAMENTO '!$F$21:$N$993,6,FALSE)),"")</f>
        <v/>
      </c>
      <c r="F46" s="649" t="str">
        <f ca="1">IFERROR(IF(VLOOKUP($B46,'ORÇAMENTO '!$F$21:$N$993,5,FALSE)=0,"",VLOOKUP($B46,'ORÇAMENTO '!$F$21:$N$993,5,FALSE)),"")</f>
        <v/>
      </c>
    </row>
    <row r="47" spans="2:6" ht="15.75">
      <c r="B47" s="646" t="str">
        <f ca="1">'ORÇAMENTO '!F108</f>
        <v>11.0</v>
      </c>
      <c r="C47" s="2618" t="str">
        <f ca="1">IFERROR(IF(OR($B47="",$B47=0),'ORÇAMENTO '!I108,VLOOKUP($B47,'ORÇAMENTO '!$F$21:$N$450,4,FALSE)),"")</f>
        <v xml:space="preserve">I N S T A L A Ç Õ E S   H I D R O S S A N I T Á R I A S </v>
      </c>
      <c r="D47" s="2618"/>
      <c r="E47" s="2618"/>
      <c r="F47" s="2618"/>
    </row>
    <row r="48" spans="2:6" ht="15.75">
      <c r="B48" s="646" t="str">
        <f>'ORÇAMENTO '!F109</f>
        <v/>
      </c>
      <c r="C48" s="647" t="s">
        <v>13360</v>
      </c>
      <c r="D48" s="648" t="str">
        <f ca="1">IFERROR(IF(VLOOKUP($B48,'ORÇAMENTO '!$F$21:$P$993,11,FALSE)=0,"",VLOOKUP($B48,'ORÇAMENTO '!$F$21:$P$993,11,FALSE)),"")</f>
        <v/>
      </c>
      <c r="E48" s="649" t="str">
        <f ca="1">IFERROR(IF(VLOOKUP($B48,'ORÇAMENTO '!$F$21:$N$993,6,FALSE)=0,"",VLOOKUP($B48,'ORÇAMENTO '!$F$21:$N$993,6,FALSE)),"")</f>
        <v/>
      </c>
      <c r="F48" s="649" t="str">
        <f ca="1">IFERROR(IF(VLOOKUP($B48,'ORÇAMENTO '!$F$21:$N$993,5,FALSE)=0,"",VLOOKUP($B48,'ORÇAMENTO '!$F$21:$N$993,5,FALSE)),"")</f>
        <v/>
      </c>
    </row>
    <row r="49" spans="2:6" ht="15">
      <c r="B49" s="646" t="str">
        <f>'ORÇAMENTO '!F188</f>
        <v/>
      </c>
      <c r="C49" s="647">
        <f>IFERROR(IF(OR($B49="",$B49=0),'ORÇAMENTO '!I188,VLOOKUP($B49,'ORÇAMENTO '!$F$21:$N$450,4,FALSE)),"")</f>
        <v>0</v>
      </c>
      <c r="D49" s="648" t="str">
        <f ca="1">IFERROR(IF(VLOOKUP($B49,'ORÇAMENTO '!$F$21:$P$993,11,FALSE)=0,"",VLOOKUP($B49,'ORÇAMENTO '!$F$21:$P$993,11,FALSE)),"")</f>
        <v/>
      </c>
      <c r="E49" s="649" t="str">
        <f ca="1">IFERROR(IF(VLOOKUP($B49,'ORÇAMENTO '!$F$21:$N$993,6,FALSE)=0,"",VLOOKUP($B49,'ORÇAMENTO '!$F$21:$N$993,6,FALSE)),"")</f>
        <v/>
      </c>
      <c r="F49" s="649" t="str">
        <f ca="1">IFERROR(IF(VLOOKUP($B49,'ORÇAMENTO '!$F$21:$N$993,5,FALSE)=0,"",VLOOKUP($B49,'ORÇAMENTO '!$F$21:$N$993,5,FALSE)),"")</f>
        <v/>
      </c>
    </row>
    <row r="50" spans="2:6" ht="15.75">
      <c r="B50" s="646" t="str">
        <f ca="1">'ORÇAMENTO '!F189</f>
        <v>12.0</v>
      </c>
      <c r="C50" s="647" t="str">
        <f ca="1">IFERROR(IF(OR($B50="",$B50=0),'ORÇAMENTO '!I189,VLOOKUP($B50,'ORÇAMENTO '!$F$21:$N$450,4,FALSE)),"")</f>
        <v xml:space="preserve">I N S T A L A Ç Õ E S   E L É T R I C A S </v>
      </c>
      <c r="D50" s="648" t="str">
        <f ca="1">IFERROR(IF(VLOOKUP($B50,'ORÇAMENTO '!$F$21:$P$993,11,FALSE)=0,"",VLOOKUP($B50,'ORÇAMENTO '!$F$21:$P$993,11,FALSE)),"")</f>
        <v/>
      </c>
      <c r="E50" s="649" t="str">
        <f ca="1">IFERROR(IF(VLOOKUP($B50,'ORÇAMENTO '!$F$21:$N$993,6,FALSE)=0,"",VLOOKUP($B50,'ORÇAMENTO '!$F$21:$N$993,6,FALSE)),"")</f>
        <v/>
      </c>
      <c r="F50" s="649" t="str">
        <f ca="1">IFERROR(IF(VLOOKUP($B50,'ORÇAMENTO '!$F$21:$N$993,5,FALSE)=0,"",VLOOKUP($B50,'ORÇAMENTO '!$F$21:$N$993,5,FALSE)),"")</f>
        <v/>
      </c>
    </row>
    <row r="51" spans="2:6" ht="15.75">
      <c r="B51" s="646" t="str">
        <f>'ORÇAMENTO '!F190</f>
        <v/>
      </c>
      <c r="C51" s="647" t="s">
        <v>13360</v>
      </c>
      <c r="D51" s="648" t="str">
        <f ca="1">IFERROR(IF(VLOOKUP($B51,'ORÇAMENTO '!$F$21:$P$993,11,FALSE)=0,"",VLOOKUP($B51,'ORÇAMENTO '!$F$21:$P$993,11,FALSE)),"")</f>
        <v/>
      </c>
      <c r="E51" s="649" t="str">
        <f ca="1">IFERROR(IF(VLOOKUP($B51,'ORÇAMENTO '!$F$21:$N$993,6,FALSE)=0,"",VLOOKUP($B51,'ORÇAMENTO '!$F$21:$N$993,6,FALSE)),"")</f>
        <v/>
      </c>
      <c r="F51" s="649" t="str">
        <f ca="1">IFERROR(IF(VLOOKUP($B51,'ORÇAMENTO '!$F$21:$N$993,5,FALSE)=0,"",VLOOKUP($B51,'ORÇAMENTO '!$F$21:$N$993,5,FALSE)),"")</f>
        <v/>
      </c>
    </row>
    <row r="52" spans="2:6" ht="15">
      <c r="B52" s="646" t="str">
        <f>'ORÇAMENTO '!F257</f>
        <v/>
      </c>
      <c r="C52" s="647">
        <f>IFERROR(IF(OR($B52="",$B52=0),'ORÇAMENTO '!I257,VLOOKUP($B52,'ORÇAMENTO '!$F$21:$N$450,4,FALSE)),"")</f>
        <v>0</v>
      </c>
      <c r="D52" s="648" t="str">
        <f ca="1">IFERROR(IF(VLOOKUP($B52,'ORÇAMENTO '!$F$21:$P$993,11,FALSE)=0,"",VLOOKUP($B52,'ORÇAMENTO '!$F$21:$P$993,11,FALSE)),"")</f>
        <v/>
      </c>
      <c r="E52" s="649" t="str">
        <f ca="1">IFERROR(IF(VLOOKUP($B52,'ORÇAMENTO '!$F$21:$N$993,6,FALSE)=0,"",VLOOKUP($B52,'ORÇAMENTO '!$F$21:$N$993,6,FALSE)),"")</f>
        <v/>
      </c>
      <c r="F52" s="649" t="str">
        <f ca="1">IFERROR(IF(VLOOKUP($B52,'ORÇAMENTO '!$F$21:$N$993,5,FALSE)=0,"",VLOOKUP($B52,'ORÇAMENTO '!$F$21:$N$993,5,FALSE)),"")</f>
        <v/>
      </c>
    </row>
    <row r="53" spans="2:6" ht="15.75">
      <c r="B53" s="646" t="str">
        <f ca="1">'ORÇAMENTO '!F258</f>
        <v>13.0</v>
      </c>
      <c r="C53" s="647" t="str">
        <f ca="1">IFERROR(IF(OR($B53="",$B53=0),'ORÇAMENTO '!I258,VLOOKUP($B53,'ORÇAMENTO '!$F$21:$N$450,4,FALSE)),"")</f>
        <v>S P D A</v>
      </c>
      <c r="D53" s="648" t="str">
        <f ca="1">IFERROR(IF(VLOOKUP($B53,'ORÇAMENTO '!$F$21:$P$993,11,FALSE)=0,"",VLOOKUP($B53,'ORÇAMENTO '!$F$21:$P$993,11,FALSE)),"")</f>
        <v/>
      </c>
      <c r="E53" s="649" t="str">
        <f ca="1">IFERROR(IF(VLOOKUP($B53,'ORÇAMENTO '!$F$21:$N$993,6,FALSE)=0,"",VLOOKUP($B53,'ORÇAMENTO '!$F$21:$N$993,6,FALSE)),"")</f>
        <v/>
      </c>
      <c r="F53" s="649" t="str">
        <f ca="1">IFERROR(IF(VLOOKUP($B53,'ORÇAMENTO '!$F$21:$N$993,5,FALSE)=0,"",VLOOKUP($B53,'ORÇAMENTO '!$F$21:$N$993,5,FALSE)),"")</f>
        <v/>
      </c>
    </row>
    <row r="54" spans="2:6" ht="15.75">
      <c r="B54" s="646"/>
      <c r="C54" s="647" t="s">
        <v>13360</v>
      </c>
      <c r="D54" s="648"/>
      <c r="E54" s="649"/>
      <c r="F54" s="649"/>
    </row>
    <row r="55" spans="2:6" ht="15">
      <c r="B55" s="646" t="str">
        <f>'ORÇAMENTO '!F268</f>
        <v/>
      </c>
      <c r="C55" s="647">
        <f>IFERROR(IF(OR($B55="",$B55=0),'ORÇAMENTO '!I268,VLOOKUP($B55,'ORÇAMENTO '!$F$21:$N$450,4,FALSE)),"")</f>
        <v>0</v>
      </c>
      <c r="D55" s="648" t="str">
        <f ca="1">IFERROR(IF(VLOOKUP($B55,'ORÇAMENTO '!$F$21:$P$993,11,FALSE)=0,"",VLOOKUP($B55,'ORÇAMENTO '!$F$21:$P$993,11,FALSE)),"")</f>
        <v/>
      </c>
      <c r="E55" s="649" t="str">
        <f ca="1">IFERROR(IF(VLOOKUP($B55,'ORÇAMENTO '!$F$21:$N$993,6,FALSE)=0,"",VLOOKUP($B55,'ORÇAMENTO '!$F$21:$N$993,6,FALSE)),"")</f>
        <v/>
      </c>
      <c r="F55" s="649" t="str">
        <f ca="1">IFERROR(IF(VLOOKUP($B55,'ORÇAMENTO '!$F$21:$N$993,5,FALSE)=0,"",VLOOKUP($B55,'ORÇAMENTO '!$F$21:$N$993,5,FALSE)),"")</f>
        <v/>
      </c>
    </row>
    <row r="56" spans="2:6" ht="15.75">
      <c r="B56" s="646" t="str">
        <f ca="1">'ORÇAMENTO '!F269</f>
        <v>14.0</v>
      </c>
      <c r="C56" s="647" t="str">
        <f ca="1">IFERROR(IF(OR($B56="",$B56=0),'ORÇAMENTO '!I269,VLOOKUP($B56,'ORÇAMENTO '!$F$21:$N$450,4,FALSE)),"")</f>
        <v>G L P</v>
      </c>
      <c r="D56" s="648" t="str">
        <f ca="1">IFERROR(IF(VLOOKUP($B56,'ORÇAMENTO '!$F$21:$P$993,11,FALSE)=0,"",VLOOKUP($B56,'ORÇAMENTO '!$F$21:$P$993,11,FALSE)),"")</f>
        <v/>
      </c>
      <c r="E56" s="649" t="str">
        <f ca="1">IFERROR(IF(VLOOKUP($B56,'ORÇAMENTO '!$F$21:$N$993,6,FALSE)=0,"",VLOOKUP($B56,'ORÇAMENTO '!$F$21:$N$993,6,FALSE)),"")</f>
        <v/>
      </c>
      <c r="F56" s="649" t="str">
        <f ca="1">IFERROR(IF(VLOOKUP($B56,'ORÇAMENTO '!$F$21:$N$993,5,FALSE)=0,"",VLOOKUP($B56,'ORÇAMENTO '!$F$21:$N$993,5,FALSE)),"")</f>
        <v/>
      </c>
    </row>
    <row r="57" spans="2:6" ht="15.75">
      <c r="B57" s="646"/>
      <c r="C57" s="646" t="s">
        <v>13360</v>
      </c>
      <c r="D57" s="648"/>
      <c r="E57" s="649"/>
      <c r="F57" s="649"/>
    </row>
    <row r="58" spans="2:6" ht="15">
      <c r="B58" s="646" t="str">
        <f>'ORÇAMENTO '!F279</f>
        <v/>
      </c>
      <c r="C58" s="647">
        <f>IFERROR(IF(OR($B58="",$B58=0),'ORÇAMENTO '!I279,VLOOKUP($B58,'ORÇAMENTO '!$F$21:$N$450,4,FALSE)),"")</f>
        <v>0</v>
      </c>
      <c r="D58" s="648" t="str">
        <f ca="1">IFERROR(IF(VLOOKUP($B58,'ORÇAMENTO '!$F$21:$P$993,11,FALSE)=0,"",VLOOKUP($B58,'ORÇAMENTO '!$F$21:$P$993,11,FALSE)),"")</f>
        <v/>
      </c>
      <c r="E58" s="649" t="str">
        <f ca="1">IFERROR(IF(VLOOKUP($B58,'ORÇAMENTO '!$F$21:$N$993,6,FALSE)=0,"",VLOOKUP($B58,'ORÇAMENTO '!$F$21:$N$993,6,FALSE)),"")</f>
        <v/>
      </c>
      <c r="F58" s="649" t="str">
        <f ca="1">IFERROR(IF(VLOOKUP($B58,'ORÇAMENTO '!$F$21:$N$993,5,FALSE)=0,"",VLOOKUP($B58,'ORÇAMENTO '!$F$21:$N$993,5,FALSE)),"")</f>
        <v/>
      </c>
    </row>
    <row r="59" spans="2:6" ht="15.75">
      <c r="B59" s="646" t="str">
        <f ca="1">'ORÇAMENTO '!F280</f>
        <v>15.0</v>
      </c>
      <c r="C59" s="2618" t="str">
        <f ca="1">IFERROR(IF(OR($B59="",$B59=0),'ORÇAMENTO '!I280,VLOOKUP($B59,'ORÇAMENTO '!$F$21:$N$450,4,FALSE)),"")</f>
        <v>P R E V E N Ç Ã O   E   C O M B A T E   A   I N C Ê N D I O</v>
      </c>
      <c r="D59" s="2618"/>
      <c r="E59" s="2618"/>
      <c r="F59" s="2618"/>
    </row>
    <row r="60" spans="2:6" ht="15.75">
      <c r="B60" s="646" t="str">
        <f>'ORÇAMENTO '!F281</f>
        <v/>
      </c>
      <c r="C60" s="647" t="s">
        <v>13360</v>
      </c>
      <c r="D60" s="648" t="str">
        <f ca="1">IFERROR(IF(VLOOKUP($B60,'ORÇAMENTO '!$F$21:$P$993,11,FALSE)=0,"",VLOOKUP($B60,'ORÇAMENTO '!$F$21:$P$993,11,FALSE)),"")</f>
        <v/>
      </c>
      <c r="E60" s="649" t="str">
        <f ca="1">IFERROR(IF(VLOOKUP($B60,'ORÇAMENTO '!$F$21:$N$993,6,FALSE)=0,"",VLOOKUP($B60,'ORÇAMENTO '!$F$21:$N$993,6,FALSE)),"")</f>
        <v/>
      </c>
      <c r="F60" s="649" t="str">
        <f ca="1">IFERROR(IF(VLOOKUP($B60,'ORÇAMENTO '!$F$21:$N$993,5,FALSE)=0,"",VLOOKUP($B60,'ORÇAMENTO '!$F$21:$N$993,5,FALSE)),"")</f>
        <v/>
      </c>
    </row>
    <row r="61" spans="2:6" ht="15">
      <c r="B61" s="646" t="str">
        <f>'ORÇAMENTO '!F306</f>
        <v/>
      </c>
      <c r="C61" s="647">
        <f>IFERROR(IF(OR($B61="",$B61=0),'ORÇAMENTO '!I306,VLOOKUP($B61,'ORÇAMENTO '!$F$21:$N$450,4,FALSE)),"")</f>
        <v>0</v>
      </c>
      <c r="D61" s="648" t="str">
        <f ca="1">IFERROR(IF(VLOOKUP($B61,'ORÇAMENTO '!$F$21:$P$993,11,FALSE)=0,"",VLOOKUP($B61,'ORÇAMENTO '!$F$21:$P$993,11,FALSE)),"")</f>
        <v/>
      </c>
      <c r="E61" s="649" t="str">
        <f ca="1">IFERROR(IF(VLOOKUP($B61,'ORÇAMENTO '!$F$21:$N$993,6,FALSE)=0,"",VLOOKUP($B61,'ORÇAMENTO '!$F$21:$N$993,6,FALSE)),"")</f>
        <v/>
      </c>
      <c r="F61" s="649" t="str">
        <f ca="1">IFERROR(IF(VLOOKUP($B61,'ORÇAMENTO '!$F$21:$N$993,5,FALSE)=0,"",VLOOKUP($B61,'ORÇAMENTO '!$F$21:$N$993,5,FALSE)),"")</f>
        <v/>
      </c>
    </row>
    <row r="62" spans="2:6" ht="15.75">
      <c r="B62" s="646" t="str">
        <f ca="1">'ORÇAMENTO '!F307</f>
        <v>16.0</v>
      </c>
      <c r="C62" s="647" t="str">
        <f ca="1">IFERROR(IF(OR($B62="",$B62=0),'ORÇAMENTO '!I307,VLOOKUP($B62,'ORÇAMENTO '!$F$21:$N$450,4,FALSE)),"")</f>
        <v>P I N T U R A S</v>
      </c>
      <c r="D62" s="648" t="str">
        <f ca="1">IFERROR(IF(VLOOKUP($B62,'ORÇAMENTO '!$F$21:$P$993,11,FALSE)=0,"",VLOOKUP($B62,'ORÇAMENTO '!$F$21:$P$993,11,FALSE)),"")</f>
        <v/>
      </c>
      <c r="E62" s="649" t="str">
        <f ca="1">IFERROR(IF(VLOOKUP($B62,'ORÇAMENTO '!$F$21:$N$993,6,FALSE)=0,"",VLOOKUP($B62,'ORÇAMENTO '!$F$21:$N$993,6,FALSE)),"")</f>
        <v/>
      </c>
      <c r="F62" s="649" t="str">
        <f ca="1">IFERROR(IF(VLOOKUP($B62,'ORÇAMENTO '!$F$21:$N$993,5,FALSE)=0,"",VLOOKUP($B62,'ORÇAMENTO '!$F$21:$N$993,5,FALSE)),"")</f>
        <v/>
      </c>
    </row>
    <row r="63" spans="2:6" ht="15.75">
      <c r="B63" s="646" t="str">
        <f>'ORÇAMENTO '!F308</f>
        <v/>
      </c>
      <c r="C63" s="647" t="s">
        <v>14383</v>
      </c>
      <c r="D63" s="648" t="str">
        <f ca="1">IFERROR(IF(VLOOKUP($B63,'ORÇAMENTO '!$F$21:$P$993,11,FALSE)=0,"",VLOOKUP($B63,'ORÇAMENTO '!$F$21:$P$993,11,FALSE)),"")</f>
        <v/>
      </c>
      <c r="E63" s="649" t="str">
        <f ca="1">IFERROR(IF(VLOOKUP($B63,'ORÇAMENTO '!$F$21:$N$993,6,FALSE)=0,"",VLOOKUP($B63,'ORÇAMENTO '!$F$21:$N$993,6,FALSE)),"")</f>
        <v/>
      </c>
      <c r="F63" s="649" t="str">
        <f ca="1">IFERROR(IF(VLOOKUP($B63,'ORÇAMENTO '!$F$21:$N$993,5,FALSE)=0,"",VLOOKUP($B63,'ORÇAMENTO '!$F$21:$N$993,5,FALSE)),"")</f>
        <v/>
      </c>
    </row>
    <row r="64" spans="2:6" ht="15">
      <c r="B64" s="646" t="str">
        <f>'ORÇAMENTO '!F315</f>
        <v/>
      </c>
      <c r="C64" s="647">
        <f>IFERROR(IF(OR($B64="",$B64=0),'ORÇAMENTO '!I315,VLOOKUP($B64,'ORÇAMENTO '!$F$21:$N$450,4,FALSE)),"")</f>
        <v>0</v>
      </c>
      <c r="D64" s="648" t="str">
        <f ca="1">IFERROR(IF(VLOOKUP($B64,'ORÇAMENTO '!$F$21:$P$993,11,FALSE)=0,"",VLOOKUP($B64,'ORÇAMENTO '!$F$21:$P$993,11,FALSE)),"")</f>
        <v/>
      </c>
      <c r="E64" s="649" t="str">
        <f ca="1">IFERROR(IF(VLOOKUP($B64,'ORÇAMENTO '!$F$21:$N$993,6,FALSE)=0,"",VLOOKUP($B64,'ORÇAMENTO '!$F$21:$N$993,6,FALSE)),"")</f>
        <v/>
      </c>
      <c r="F64" s="649" t="str">
        <f ca="1">IFERROR(IF(VLOOKUP($B64,'ORÇAMENTO '!$F$21:$N$993,5,FALSE)=0,"",VLOOKUP($B64,'ORÇAMENTO '!$F$21:$N$993,5,FALSE)),"")</f>
        <v/>
      </c>
    </row>
    <row r="65" spans="2:6" ht="31.5" customHeight="1">
      <c r="B65" s="646" t="str">
        <f ca="1">'ORÇAMENTO '!F316</f>
        <v>17.0</v>
      </c>
      <c r="C65" s="2618" t="str">
        <f ca="1">IFERROR(IF(OR($B65="",$B65=0),'ORÇAMENTO '!I316,VLOOKUP($B65,'ORÇAMENTO '!$F$21:$N$450,4,FALSE)),"")</f>
        <v>U R B A N I Z A Ç Ã O   E   S E R V I Ç O S   E X T E R N O S</v>
      </c>
      <c r="D65" s="2618"/>
      <c r="E65" s="2618"/>
      <c r="F65" s="2618"/>
    </row>
    <row r="66" spans="2:6" ht="15.75">
      <c r="B66" s="646"/>
      <c r="C66" s="647" t="s">
        <v>13360</v>
      </c>
      <c r="D66" s="648"/>
      <c r="E66" s="649"/>
      <c r="F66" s="649"/>
    </row>
    <row r="67" spans="2:6" ht="15">
      <c r="B67" s="646" t="str">
        <f>'ORÇAMENTO '!F320</f>
        <v/>
      </c>
      <c r="C67" s="647">
        <f>IFERROR(IF(OR($B67="",$B67=0),'ORÇAMENTO '!I320,VLOOKUP($B67,'ORÇAMENTO '!$F$21:$N$450,4,FALSE)),"")</f>
        <v>0</v>
      </c>
      <c r="D67" s="648" t="str">
        <f ca="1">IFERROR(IF(VLOOKUP($B67,'ORÇAMENTO '!$F$21:$P$993,11,FALSE)=0,"",VLOOKUP($B67,'ORÇAMENTO '!$F$21:$P$993,11,FALSE)),"")</f>
        <v/>
      </c>
      <c r="E67" s="649" t="str">
        <f ca="1">IFERROR(IF(VLOOKUP($B67,'ORÇAMENTO '!$F$21:$N$993,6,FALSE)=0,"",VLOOKUP($B67,'ORÇAMENTO '!$F$21:$N$993,6,FALSE)),"")</f>
        <v/>
      </c>
      <c r="F67" s="649" t="str">
        <f ca="1">IFERROR(IF(VLOOKUP($B67,'ORÇAMENTO '!$F$21:$N$993,5,FALSE)=0,"",VLOOKUP($B67,'ORÇAMENTO '!$F$21:$N$993,5,FALSE)),"")</f>
        <v/>
      </c>
    </row>
    <row r="68" spans="2:6" ht="15.75">
      <c r="B68" s="646" t="str">
        <f ca="1">'ORÇAMENTO '!F321</f>
        <v>18.0</v>
      </c>
      <c r="C68" s="647" t="str">
        <f ca="1">IFERROR(IF(OR($B68="",$B68=0),'ORÇAMENTO '!I321,VLOOKUP($B68,'ORÇAMENTO '!$F$21:$N$450,4,FALSE)),"")</f>
        <v>P L A Y G R O U N D</v>
      </c>
      <c r="D68" s="648" t="str">
        <f ca="1">IFERROR(IF(VLOOKUP($B68,'ORÇAMENTO '!$F$21:$P$993,11,FALSE)=0,"",VLOOKUP($B68,'ORÇAMENTO '!$F$21:$P$993,11,FALSE)),"")</f>
        <v/>
      </c>
      <c r="E68" s="649" t="str">
        <f ca="1">IFERROR(IF(VLOOKUP($B68,'ORÇAMENTO '!$F$21:$N$993,6,FALSE)=0,"",VLOOKUP($B68,'ORÇAMENTO '!$F$21:$N$993,6,FALSE)),"")</f>
        <v/>
      </c>
      <c r="F68" s="649" t="str">
        <f ca="1">IFERROR(IF(VLOOKUP($B68,'ORÇAMENTO '!$F$21:$N$993,5,FALSE)=0,"",VLOOKUP($B68,'ORÇAMENTO '!$F$21:$N$993,5,FALSE)),"")</f>
        <v/>
      </c>
    </row>
    <row r="69" spans="2:6" ht="15.75">
      <c r="B69" s="646"/>
      <c r="C69" s="647" t="s">
        <v>13360</v>
      </c>
      <c r="D69" s="648"/>
      <c r="E69" s="649"/>
      <c r="F69" s="649"/>
    </row>
    <row r="70" spans="2:6" ht="15">
      <c r="B70" s="646" t="str">
        <f>'ORÇAMENTO '!F328</f>
        <v/>
      </c>
      <c r="C70" s="647">
        <f>IFERROR(IF(OR($B70="",$B70=0),'ORÇAMENTO '!I328,VLOOKUP($B70,'ORÇAMENTO '!$F$21:$N$450,4,FALSE)),"")</f>
        <v>0</v>
      </c>
      <c r="D70" s="648" t="str">
        <f ca="1">IFERROR(IF(VLOOKUP($B70,'ORÇAMENTO '!$F$21:$P$993,11,FALSE)=0,"",VLOOKUP($B70,'ORÇAMENTO '!$F$21:$P$993,11,FALSE)),"")</f>
        <v/>
      </c>
      <c r="E70" s="649" t="str">
        <f ca="1">IFERROR(IF(VLOOKUP($B70,'ORÇAMENTO '!$F$21:$N$993,6,FALSE)=0,"",VLOOKUP($B70,'ORÇAMENTO '!$F$21:$N$993,6,FALSE)),"")</f>
        <v/>
      </c>
      <c r="F70" s="649" t="str">
        <f ca="1">IFERROR(IF(VLOOKUP($B70,'ORÇAMENTO '!$F$21:$N$993,5,FALSE)=0,"",VLOOKUP($B70,'ORÇAMENTO '!$F$21:$N$993,5,FALSE)),"")</f>
        <v/>
      </c>
    </row>
    <row r="71" spans="2:6" ht="15.75">
      <c r="B71" s="646" t="str">
        <f ca="1">'ORÇAMENTO '!F329</f>
        <v>19.0</v>
      </c>
      <c r="C71" s="2618" t="str">
        <f ca="1">IFERROR(IF(OR($B71="",$B71=0),'ORÇAMENTO '!I329,VLOOKUP($B71,'ORÇAMENTO '!$F$21:$N$450,4,FALSE)),"")</f>
        <v xml:space="preserve">S E R V I Ç O S   C O M P L E M E N T A R E S </v>
      </c>
      <c r="D71" s="2618"/>
      <c r="E71" s="2618"/>
      <c r="F71" s="2618"/>
    </row>
    <row r="72" spans="2:6" ht="15.75">
      <c r="B72" s="646"/>
      <c r="C72" s="647" t="s">
        <v>13360</v>
      </c>
      <c r="D72" s="648"/>
      <c r="E72" s="649"/>
      <c r="F72" s="649"/>
    </row>
    <row r="73" spans="2:6" ht="15">
      <c r="B73" s="646">
        <f>'ORÇAMENTO '!F340</f>
        <v>0</v>
      </c>
      <c r="C73" s="647">
        <f>IFERROR(IF(OR($B73="",$B73=0),'ORÇAMENTO '!I340,VLOOKUP($B73,'ORÇAMENTO '!$F$21:$N$450,4,FALSE)),"")</f>
        <v>0</v>
      </c>
      <c r="D73" s="648" t="str">
        <f ca="1">IFERROR(IF(VLOOKUP($B73,'ORÇAMENTO '!$F$21:$P$993,11,FALSE)=0,"",VLOOKUP($B73,'ORÇAMENTO '!$F$21:$P$993,11,FALSE)),"")</f>
        <v/>
      </c>
      <c r="E73" s="649" t="str">
        <f ca="1">IFERROR(IF(VLOOKUP($B73,'ORÇAMENTO '!$F$21:$N$993,6,FALSE)=0,"",VLOOKUP($B73,'ORÇAMENTO '!$F$21:$N$993,6,FALSE)),"")</f>
        <v/>
      </c>
      <c r="F73" s="649" t="str">
        <f ca="1">IFERROR(IF(VLOOKUP($B73,'ORÇAMENTO '!$F$21:$N$993,5,FALSE)=0,"",VLOOKUP($B73,'ORÇAMENTO '!$F$21:$N$993,5,FALSE)),"")</f>
        <v/>
      </c>
    </row>
    <row r="74" spans="2:6" ht="15">
      <c r="B74" s="646">
        <f>'ORÇAMENTO '!F341</f>
        <v>0</v>
      </c>
      <c r="C74" s="647">
        <f>IFERROR(IF(OR($B74="",$B74=0),'ORÇAMENTO '!I341,VLOOKUP($B74,'ORÇAMENTO '!$F$21:$N$450,4,FALSE)),"")</f>
        <v>0</v>
      </c>
      <c r="D74" s="648" t="str">
        <f ca="1">IFERROR(IF(VLOOKUP($B74,'ORÇAMENTO '!$F$21:$P$993,11,FALSE)=0,"",VLOOKUP($B74,'ORÇAMENTO '!$F$21:$P$993,11,FALSE)),"")</f>
        <v/>
      </c>
      <c r="E74" s="649" t="str">
        <f ca="1">IFERROR(IF(VLOOKUP($B74,'ORÇAMENTO '!$F$21:$N$993,6,FALSE)=0,"",VLOOKUP($B74,'ORÇAMENTO '!$F$21:$N$993,6,FALSE)),"")</f>
        <v/>
      </c>
      <c r="F74" s="649" t="str">
        <f ca="1">IFERROR(IF(VLOOKUP($B74,'ORÇAMENTO '!$F$21:$N$993,5,FALSE)=0,"",VLOOKUP($B74,'ORÇAMENTO '!$F$21:$N$993,5,FALSE)),"")</f>
        <v/>
      </c>
    </row>
    <row r="75" spans="2:6" ht="15">
      <c r="B75" s="646">
        <f>'ORÇAMENTO '!F342</f>
        <v>0</v>
      </c>
      <c r="C75" s="647">
        <f>IFERROR(IF(OR($B75="",$B75=0),'ORÇAMENTO '!I342,VLOOKUP($B75,'ORÇAMENTO '!$F$21:$N$450,4,FALSE)),"")</f>
        <v>0</v>
      </c>
      <c r="D75" s="648" t="str">
        <f ca="1">IFERROR(IF(VLOOKUP($B75,'ORÇAMENTO '!$F$21:$P$993,11,FALSE)=0,"",VLOOKUP($B75,'ORÇAMENTO '!$F$21:$P$993,11,FALSE)),"")</f>
        <v/>
      </c>
      <c r="E75" s="649" t="str">
        <f ca="1">IFERROR(IF(VLOOKUP($B75,'ORÇAMENTO '!$F$21:$N$993,6,FALSE)=0,"",VLOOKUP($B75,'ORÇAMENTO '!$F$21:$N$993,6,FALSE)),"")</f>
        <v/>
      </c>
      <c r="F75" s="649" t="str">
        <f ca="1">IFERROR(IF(VLOOKUP($B75,'ORÇAMENTO '!$F$21:$N$993,5,FALSE)=0,"",VLOOKUP($B75,'ORÇAMENTO '!$F$21:$N$993,5,FALSE)),"")</f>
        <v/>
      </c>
    </row>
    <row r="76" spans="2:6" ht="105">
      <c r="B76" s="646" t="e">
        <f ca="1">'ORÇAMENTO '!F343</f>
        <v>#NAME?</v>
      </c>
      <c r="C76" s="647" t="str">
        <f ca="1">IFERROR(IF(OR($B76="",$B76=0),'ORÇAMENTO '!I343,VLOOKUP($B76,'ORÇAMENTO '!$F$21:$N$450,4,FALSE)),"")</f>
        <v/>
      </c>
      <c r="D76" s="648" t="str">
        <f ca="1">IFERROR(IF(VLOOKUP($B76,'ORÇAMENTO '!$F$21:$P$993,11,FALSE)=0,"",VLOOKUP($B76,'ORÇAMENTO '!$F$21:$P$993,11,FALSE)),"")</f>
        <v/>
      </c>
      <c r="E76" s="649" t="str">
        <f ca="1">IFERROR(IF(VLOOKUP($B76,'ORÇAMENTO '!$F$21:$N$993,6,FALSE)=0,"",VLOOKUP($B76,'ORÇAMENTO '!$F$21:$N$993,6,FALSE)),"")</f>
        <v/>
      </c>
      <c r="F76" s="649" t="str">
        <f ca="1">IFERROR(IF(VLOOKUP($B76,'ORÇAMENTO '!$F$21:$N$993,5,FALSE)=0,"",VLOOKUP($B76,'ORÇAMENTO '!$F$21:$N$993,5,FALSE)),"")</f>
        <v/>
      </c>
    </row>
    <row r="77" spans="2:6" ht="15">
      <c r="B77" s="646">
        <f>'ORÇAMENTO '!F344</f>
        <v>0</v>
      </c>
      <c r="C77" s="647">
        <f>IFERROR(IF(OR($B77="",$B77=0),'ORÇAMENTO '!I344,VLOOKUP($B77,'ORÇAMENTO '!$F$21:$N$450,4,FALSE)),"")</f>
        <v>0</v>
      </c>
      <c r="D77" s="648" t="str">
        <f ca="1">IFERROR(IF(VLOOKUP($B77,'ORÇAMENTO '!$F$21:$P$993,11,FALSE)=0,"",VLOOKUP($B77,'ORÇAMENTO '!$F$21:$P$993,11,FALSE)),"")</f>
        <v/>
      </c>
      <c r="E77" s="649" t="str">
        <f ca="1">IFERROR(IF(VLOOKUP($B77,'ORÇAMENTO '!$F$21:$N$993,6,FALSE)=0,"",VLOOKUP($B77,'ORÇAMENTO '!$F$21:$N$993,6,FALSE)),"")</f>
        <v/>
      </c>
      <c r="F77" s="649" t="str">
        <f ca="1">IFERROR(IF(VLOOKUP($B77,'ORÇAMENTO '!$F$21:$N$993,5,FALSE)=0,"",VLOOKUP($B77,'ORÇAMENTO '!$F$21:$N$993,5,FALSE)),"")</f>
        <v/>
      </c>
    </row>
    <row r="78" spans="2:6" ht="15">
      <c r="B78" s="646">
        <f>'ORÇAMENTO '!F345</f>
        <v>0</v>
      </c>
      <c r="C78" s="647">
        <f>IFERROR(IF(OR($B78="",$B78=0),'ORÇAMENTO '!I345,VLOOKUP($B78,'ORÇAMENTO '!$F$21:$N$450,4,FALSE)),"")</f>
        <v>0</v>
      </c>
      <c r="D78" s="648" t="str">
        <f ca="1">IFERROR(IF(VLOOKUP($B78,'ORÇAMENTO '!$F$21:$P$993,11,FALSE)=0,"",VLOOKUP($B78,'ORÇAMENTO '!$F$21:$P$993,11,FALSE)),"")</f>
        <v/>
      </c>
      <c r="E78" s="649" t="str">
        <f ca="1">IFERROR(IF(VLOOKUP($B78,'ORÇAMENTO '!$F$21:$N$993,6,FALSE)=0,"",VLOOKUP($B78,'ORÇAMENTO '!$F$21:$N$993,6,FALSE)),"")</f>
        <v/>
      </c>
      <c r="F78" s="649" t="str">
        <f ca="1">IFERROR(IF(VLOOKUP($B78,'ORÇAMENTO '!$F$21:$N$993,5,FALSE)=0,"",VLOOKUP($B78,'ORÇAMENTO '!$F$21:$N$993,5,FALSE)),"")</f>
        <v/>
      </c>
    </row>
    <row r="79" spans="2:6" ht="15">
      <c r="B79" s="646">
        <f>'ORÇAMENTO '!F346</f>
        <v>0</v>
      </c>
      <c r="C79" s="647">
        <f>IFERROR(IF(OR($B79="",$B79=0),'ORÇAMENTO '!I346,VLOOKUP($B79,'ORÇAMENTO '!$F$21:$N$450,4,FALSE)),"")</f>
        <v>0</v>
      </c>
      <c r="D79" s="648" t="str">
        <f ca="1">IFERROR(IF(VLOOKUP($B79,'ORÇAMENTO '!$F$21:$P$993,11,FALSE)=0,"",VLOOKUP($B79,'ORÇAMENTO '!$F$21:$P$993,11,FALSE)),"")</f>
        <v/>
      </c>
      <c r="E79" s="649" t="str">
        <f ca="1">IFERROR(IF(VLOOKUP($B79,'ORÇAMENTO '!$F$21:$N$993,6,FALSE)=0,"",VLOOKUP($B79,'ORÇAMENTO '!$F$21:$N$993,6,FALSE)),"")</f>
        <v/>
      </c>
      <c r="F79" s="649" t="str">
        <f ca="1">IFERROR(IF(VLOOKUP($B79,'ORÇAMENTO '!$F$21:$N$993,5,FALSE)=0,"",VLOOKUP($B79,'ORÇAMENTO '!$F$21:$N$993,5,FALSE)),"")</f>
        <v/>
      </c>
    </row>
    <row r="80" spans="2:6" ht="15">
      <c r="B80" s="646">
        <f>'ORÇAMENTO '!F347</f>
        <v>0</v>
      </c>
      <c r="C80" s="647">
        <f>IFERROR(IF(OR($B80="",$B80=0),'ORÇAMENTO '!I347,VLOOKUP($B80,'ORÇAMENTO '!$F$21:$N$450,4,FALSE)),"")</f>
        <v>0</v>
      </c>
      <c r="D80" s="648" t="str">
        <f ca="1">IFERROR(IF(VLOOKUP($B80,'ORÇAMENTO '!$F$21:$P$993,11,FALSE)=0,"",VLOOKUP($B80,'ORÇAMENTO '!$F$21:$P$993,11,FALSE)),"")</f>
        <v/>
      </c>
      <c r="E80" s="649" t="str">
        <f ca="1">IFERROR(IF(VLOOKUP($B80,'ORÇAMENTO '!$F$21:$N$993,6,FALSE)=0,"",VLOOKUP($B80,'ORÇAMENTO '!$F$21:$N$993,6,FALSE)),"")</f>
        <v/>
      </c>
      <c r="F80" s="649" t="str">
        <f ca="1">IFERROR(IF(VLOOKUP($B80,'ORÇAMENTO '!$F$21:$N$993,5,FALSE)=0,"",VLOOKUP($B80,'ORÇAMENTO '!$F$21:$N$993,5,FALSE)),"")</f>
        <v/>
      </c>
    </row>
    <row r="81" spans="2:6" ht="15">
      <c r="B81" s="646">
        <f>'ORÇAMENTO '!F348</f>
        <v>0</v>
      </c>
      <c r="C81" s="647">
        <f>IFERROR(IF(OR($B81="",$B81=0),'ORÇAMENTO '!I348,VLOOKUP($B81,'ORÇAMENTO '!$F$21:$N$450,4,FALSE)),"")</f>
        <v>0</v>
      </c>
      <c r="D81" s="648" t="str">
        <f ca="1">IFERROR(IF(VLOOKUP($B81,'ORÇAMENTO '!$F$21:$P$993,11,FALSE)=0,"",VLOOKUP($B81,'ORÇAMENTO '!$F$21:$P$993,11,FALSE)),"")</f>
        <v/>
      </c>
      <c r="E81" s="649" t="str">
        <f ca="1">IFERROR(IF(VLOOKUP($B81,'ORÇAMENTO '!$F$21:$N$993,6,FALSE)=0,"",VLOOKUP($B81,'ORÇAMENTO '!$F$21:$N$993,6,FALSE)),"")</f>
        <v/>
      </c>
      <c r="F81" s="649" t="str">
        <f ca="1">IFERROR(IF(VLOOKUP($B81,'ORÇAMENTO '!$F$21:$N$993,5,FALSE)=0,"",VLOOKUP($B81,'ORÇAMENTO '!$F$21:$N$993,5,FALSE)),"")</f>
        <v/>
      </c>
    </row>
    <row r="82" spans="2:6" ht="15">
      <c r="B82" s="646">
        <f>'ORÇAMENTO '!F349</f>
        <v>0</v>
      </c>
      <c r="C82" s="647">
        <f>IFERROR(IF(OR($B82="",$B82=0),'ORÇAMENTO '!I349,VLOOKUP($B82,'ORÇAMENTO '!$F$21:$N$450,4,FALSE)),"")</f>
        <v>0</v>
      </c>
      <c r="D82" s="648" t="str">
        <f ca="1">IFERROR(IF(VLOOKUP($B82,'ORÇAMENTO '!$F$21:$P$993,11,FALSE)=0,"",VLOOKUP($B82,'ORÇAMENTO '!$F$21:$P$993,11,FALSE)),"")</f>
        <v/>
      </c>
      <c r="E82" s="649" t="str">
        <f ca="1">IFERROR(IF(VLOOKUP($B82,'ORÇAMENTO '!$F$21:$N$993,6,FALSE)=0,"",VLOOKUP($B82,'ORÇAMENTO '!$F$21:$N$993,6,FALSE)),"")</f>
        <v/>
      </c>
      <c r="F82" s="649" t="str">
        <f ca="1">IFERROR(IF(VLOOKUP($B82,'ORÇAMENTO '!$F$21:$N$993,5,FALSE)=0,"",VLOOKUP($B82,'ORÇAMENTO '!$F$21:$N$993,5,FALSE)),"")</f>
        <v/>
      </c>
    </row>
    <row r="83" spans="2:6" ht="15">
      <c r="B83" s="646">
        <f>'ORÇAMENTO '!F350</f>
        <v>0</v>
      </c>
      <c r="C83" s="647">
        <f>IFERROR(IF(OR($B83="",$B83=0),'ORÇAMENTO '!I350,VLOOKUP($B83,'ORÇAMENTO '!$F$21:$N$450,4,FALSE)),"")</f>
        <v>0</v>
      </c>
      <c r="D83" s="648" t="str">
        <f ca="1">IFERROR(IF(VLOOKUP($B83,'ORÇAMENTO '!$F$21:$P$993,11,FALSE)=0,"",VLOOKUP($B83,'ORÇAMENTO '!$F$21:$P$993,11,FALSE)),"")</f>
        <v/>
      </c>
      <c r="E83" s="649" t="str">
        <f ca="1">IFERROR(IF(VLOOKUP($B83,'ORÇAMENTO '!$F$21:$N$993,6,FALSE)=0,"",VLOOKUP($B83,'ORÇAMENTO '!$F$21:$N$993,6,FALSE)),"")</f>
        <v/>
      </c>
      <c r="F83" s="649" t="str">
        <f ca="1">IFERROR(IF(VLOOKUP($B83,'ORÇAMENTO '!$F$21:$N$993,5,FALSE)=0,"",VLOOKUP($B83,'ORÇAMENTO '!$F$21:$N$993,5,FALSE)),"")</f>
        <v/>
      </c>
    </row>
    <row r="84" spans="2:6" ht="15">
      <c r="B84" s="646">
        <f>'ORÇAMENTO '!F351</f>
        <v>0</v>
      </c>
      <c r="C84" s="647">
        <f>IFERROR(IF(OR($B84="",$B84=0),'ORÇAMENTO '!I351,VLOOKUP($B84,'ORÇAMENTO '!$F$21:$N$450,4,FALSE)),"")</f>
        <v>0</v>
      </c>
      <c r="D84" s="648" t="str">
        <f ca="1">IFERROR(IF(VLOOKUP($B84,'ORÇAMENTO '!$F$21:$P$993,11,FALSE)=0,"",VLOOKUP($B84,'ORÇAMENTO '!$F$21:$P$993,11,FALSE)),"")</f>
        <v/>
      </c>
      <c r="E84" s="649" t="str">
        <f ca="1">IFERROR(IF(VLOOKUP($B84,'ORÇAMENTO '!$F$21:$N$993,6,FALSE)=0,"",VLOOKUP($B84,'ORÇAMENTO '!$F$21:$N$993,6,FALSE)),"")</f>
        <v/>
      </c>
      <c r="F84" s="649" t="str">
        <f ca="1">IFERROR(IF(VLOOKUP($B84,'ORÇAMENTO '!$F$21:$N$993,5,FALSE)=0,"",VLOOKUP($B84,'ORÇAMENTO '!$F$21:$N$993,5,FALSE)),"")</f>
        <v/>
      </c>
    </row>
    <row r="85" spans="2:6" ht="15">
      <c r="B85" s="646">
        <f>'ORÇAMENTO '!F352</f>
        <v>0</v>
      </c>
      <c r="C85" s="647">
        <f>IFERROR(IF(OR($B85="",$B85=0),'ORÇAMENTO '!I352,VLOOKUP($B85,'ORÇAMENTO '!$F$21:$N$450,4,FALSE)),"")</f>
        <v>0</v>
      </c>
      <c r="D85" s="648" t="str">
        <f ca="1">IFERROR(IF(VLOOKUP($B85,'ORÇAMENTO '!$F$21:$P$993,11,FALSE)=0,"",VLOOKUP($B85,'ORÇAMENTO '!$F$21:$P$993,11,FALSE)),"")</f>
        <v/>
      </c>
      <c r="E85" s="649" t="str">
        <f ca="1">IFERROR(IF(VLOOKUP($B85,'ORÇAMENTO '!$F$21:$N$993,6,FALSE)=0,"",VLOOKUP($B85,'ORÇAMENTO '!$F$21:$N$993,6,FALSE)),"")</f>
        <v/>
      </c>
      <c r="F85" s="649" t="str">
        <f ca="1">IFERROR(IF(VLOOKUP($B85,'ORÇAMENTO '!$F$21:$N$993,5,FALSE)=0,"",VLOOKUP($B85,'ORÇAMENTO '!$F$21:$N$993,5,FALSE)),"")</f>
        <v/>
      </c>
    </row>
    <row r="86" spans="2:6" ht="15">
      <c r="B86" s="646">
        <f>'ORÇAMENTO '!F353</f>
        <v>0</v>
      </c>
      <c r="C86" s="647">
        <f>IFERROR(IF(OR($B86="",$B86=0),'ORÇAMENTO '!I353,VLOOKUP($B86,'ORÇAMENTO '!$F$21:$N$450,4,FALSE)),"")</f>
        <v>0</v>
      </c>
      <c r="D86" s="648" t="str">
        <f ca="1">IFERROR(IF(VLOOKUP($B86,'ORÇAMENTO '!$F$21:$P$993,11,FALSE)=0,"",VLOOKUP($B86,'ORÇAMENTO '!$F$21:$P$993,11,FALSE)),"")</f>
        <v/>
      </c>
      <c r="E86" s="649" t="str">
        <f ca="1">IFERROR(IF(VLOOKUP($B86,'ORÇAMENTO '!$F$21:$N$993,6,FALSE)=0,"",VLOOKUP($B86,'ORÇAMENTO '!$F$21:$N$993,6,FALSE)),"")</f>
        <v/>
      </c>
      <c r="F86" s="649" t="str">
        <f ca="1">IFERROR(IF(VLOOKUP($B86,'ORÇAMENTO '!$F$21:$N$993,5,FALSE)=0,"",VLOOKUP($B86,'ORÇAMENTO '!$F$21:$N$993,5,FALSE)),"")</f>
        <v/>
      </c>
    </row>
    <row r="87" spans="2:6" ht="15">
      <c r="B87" s="646">
        <f>'ORÇAMENTO '!F354</f>
        <v>0</v>
      </c>
      <c r="C87" s="647">
        <f>IFERROR(IF(OR($B87="",$B87=0),'ORÇAMENTO '!I354,VLOOKUP($B87,'ORÇAMENTO '!$F$21:$N$450,4,FALSE)),"")</f>
        <v>0</v>
      </c>
      <c r="D87" s="648" t="str">
        <f ca="1">IFERROR(IF(VLOOKUP($B87,'ORÇAMENTO '!$F$21:$P$993,11,FALSE)=0,"",VLOOKUP($B87,'ORÇAMENTO '!$F$21:$P$993,11,FALSE)),"")</f>
        <v/>
      </c>
      <c r="E87" s="649" t="str">
        <f ca="1">IFERROR(IF(VLOOKUP($B87,'ORÇAMENTO '!$F$21:$N$993,6,FALSE)=0,"",VLOOKUP($B87,'ORÇAMENTO '!$F$21:$N$993,6,FALSE)),"")</f>
        <v/>
      </c>
      <c r="F87" s="649" t="str">
        <f ca="1">IFERROR(IF(VLOOKUP($B87,'ORÇAMENTO '!$F$21:$N$993,5,FALSE)=0,"",VLOOKUP($B87,'ORÇAMENTO '!$F$21:$N$993,5,FALSE)),"")</f>
        <v/>
      </c>
    </row>
    <row r="88" spans="2:6" ht="15">
      <c r="B88" s="646">
        <f>'ORÇAMENTO '!F355</f>
        <v>0</v>
      </c>
      <c r="C88" s="647">
        <f>IFERROR(IF(OR($B88="",$B88=0),'ORÇAMENTO '!I355,VLOOKUP($B88,'ORÇAMENTO '!$F$21:$N$450,4,FALSE)),"")</f>
        <v>0</v>
      </c>
      <c r="D88" s="648" t="str">
        <f ca="1">IFERROR(IF(VLOOKUP($B88,'ORÇAMENTO '!$F$21:$P$993,11,FALSE)=0,"",VLOOKUP($B88,'ORÇAMENTO '!$F$21:$P$993,11,FALSE)),"")</f>
        <v/>
      </c>
      <c r="E88" s="649" t="str">
        <f ca="1">IFERROR(IF(VLOOKUP($B88,'ORÇAMENTO '!$F$21:$N$993,6,FALSE)=0,"",VLOOKUP($B88,'ORÇAMENTO '!$F$21:$N$993,6,FALSE)),"")</f>
        <v/>
      </c>
      <c r="F88" s="649" t="str">
        <f ca="1">IFERROR(IF(VLOOKUP($B88,'ORÇAMENTO '!$F$21:$N$993,5,FALSE)=0,"",VLOOKUP($B88,'ORÇAMENTO '!$F$21:$N$993,5,FALSE)),"")</f>
        <v/>
      </c>
    </row>
    <row r="89" spans="2:6" ht="15">
      <c r="B89" s="646">
        <f>'ORÇAMENTO '!F356</f>
        <v>0</v>
      </c>
      <c r="C89" s="647">
        <f>IFERROR(IF(OR($B89="",$B89=0),'ORÇAMENTO '!I356,VLOOKUP($B89,'ORÇAMENTO '!$F$21:$N$450,4,FALSE)),"")</f>
        <v>0</v>
      </c>
      <c r="D89" s="648" t="str">
        <f ca="1">IFERROR(IF(VLOOKUP($B89,'ORÇAMENTO '!$F$21:$P$993,11,FALSE)=0,"",VLOOKUP($B89,'ORÇAMENTO '!$F$21:$P$993,11,FALSE)),"")</f>
        <v/>
      </c>
      <c r="E89" s="649" t="str">
        <f ca="1">IFERROR(IF(VLOOKUP($B89,'ORÇAMENTO '!$F$21:$N$993,6,FALSE)=0,"",VLOOKUP($B89,'ORÇAMENTO '!$F$21:$N$993,6,FALSE)),"")</f>
        <v/>
      </c>
      <c r="F89" s="649" t="str">
        <f ca="1">IFERROR(IF(VLOOKUP($B89,'ORÇAMENTO '!$F$21:$N$993,5,FALSE)=0,"",VLOOKUP($B89,'ORÇAMENTO '!$F$21:$N$993,5,FALSE)),"")</f>
        <v/>
      </c>
    </row>
    <row r="90" spans="2:6" ht="15">
      <c r="B90" s="646">
        <f>'ORÇAMENTO '!F357</f>
        <v>0</v>
      </c>
      <c r="C90" s="647">
        <f>IFERROR(IF(OR($B90="",$B90=0),'ORÇAMENTO '!I357,VLOOKUP($B90,'ORÇAMENTO '!$F$21:$N$450,4,FALSE)),"")</f>
        <v>0</v>
      </c>
      <c r="D90" s="648" t="str">
        <f ca="1">IFERROR(IF(VLOOKUP($B90,'ORÇAMENTO '!$F$21:$P$993,11,FALSE)=0,"",VLOOKUP($B90,'ORÇAMENTO '!$F$21:$P$993,11,FALSE)),"")</f>
        <v/>
      </c>
      <c r="E90" s="649" t="str">
        <f ca="1">IFERROR(IF(VLOOKUP($B90,'ORÇAMENTO '!$F$21:$N$993,6,FALSE)=0,"",VLOOKUP($B90,'ORÇAMENTO '!$F$21:$N$993,6,FALSE)),"")</f>
        <v/>
      </c>
      <c r="F90" s="649" t="str">
        <f ca="1">IFERROR(IF(VLOOKUP($B90,'ORÇAMENTO '!$F$21:$N$993,5,FALSE)=0,"",VLOOKUP($B90,'ORÇAMENTO '!$F$21:$N$993,5,FALSE)),"")</f>
        <v/>
      </c>
    </row>
    <row r="91" spans="2:6" ht="15">
      <c r="B91" s="646">
        <f>'ORÇAMENTO '!F358</f>
        <v>0</v>
      </c>
      <c r="C91" s="647">
        <f>IFERROR(IF(OR($B91="",$B91=0),'ORÇAMENTO '!I358,VLOOKUP($B91,'ORÇAMENTO '!$F$21:$N$450,4,FALSE)),"")</f>
        <v>0</v>
      </c>
      <c r="D91" s="648" t="str">
        <f ca="1">IFERROR(IF(VLOOKUP($B91,'ORÇAMENTO '!$F$21:$P$993,11,FALSE)=0,"",VLOOKUP($B91,'ORÇAMENTO '!$F$21:$P$993,11,FALSE)),"")</f>
        <v/>
      </c>
      <c r="E91" s="649" t="str">
        <f ca="1">IFERROR(IF(VLOOKUP($B91,'ORÇAMENTO '!$F$21:$N$993,6,FALSE)=0,"",VLOOKUP($B91,'ORÇAMENTO '!$F$21:$N$993,6,FALSE)),"")</f>
        <v/>
      </c>
      <c r="F91" s="649" t="str">
        <f ca="1">IFERROR(IF(VLOOKUP($B91,'ORÇAMENTO '!$F$21:$N$993,5,FALSE)=0,"",VLOOKUP($B91,'ORÇAMENTO '!$F$21:$N$993,5,FALSE)),"")</f>
        <v/>
      </c>
    </row>
    <row r="92" spans="2:6" ht="15">
      <c r="B92" s="646">
        <f>'ORÇAMENTO '!F359</f>
        <v>0</v>
      </c>
      <c r="C92" s="647">
        <f>IFERROR(IF(OR($B92="",$B92=0),'ORÇAMENTO '!I359,VLOOKUP($B92,'ORÇAMENTO '!$F$21:$N$450,4,FALSE)),"")</f>
        <v>0</v>
      </c>
      <c r="D92" s="648" t="str">
        <f ca="1">IFERROR(IF(VLOOKUP($B92,'ORÇAMENTO '!$F$21:$P$993,11,FALSE)=0,"",VLOOKUP($B92,'ORÇAMENTO '!$F$21:$P$993,11,FALSE)),"")</f>
        <v/>
      </c>
      <c r="E92" s="649" t="str">
        <f ca="1">IFERROR(IF(VLOOKUP($B92,'ORÇAMENTO '!$F$21:$N$993,6,FALSE)=0,"",VLOOKUP($B92,'ORÇAMENTO '!$F$21:$N$993,6,FALSE)),"")</f>
        <v/>
      </c>
      <c r="F92" s="649" t="str">
        <f ca="1">IFERROR(IF(VLOOKUP($B92,'ORÇAMENTO '!$F$21:$N$993,5,FALSE)=0,"",VLOOKUP($B92,'ORÇAMENTO '!$F$21:$N$993,5,FALSE)),"")</f>
        <v/>
      </c>
    </row>
    <row r="93" spans="2:6" ht="15">
      <c r="B93" s="646">
        <f>'ORÇAMENTO '!F360</f>
        <v>0</v>
      </c>
      <c r="C93" s="647">
        <f>IFERROR(IF(OR($B93="",$B93=0),'ORÇAMENTO '!I360,VLOOKUP($B93,'ORÇAMENTO '!$F$21:$N$450,4,FALSE)),"")</f>
        <v>0</v>
      </c>
      <c r="D93" s="648" t="str">
        <f ca="1">IFERROR(IF(VLOOKUP($B93,'ORÇAMENTO '!$F$21:$P$993,11,FALSE)=0,"",VLOOKUP($B93,'ORÇAMENTO '!$F$21:$P$993,11,FALSE)),"")</f>
        <v/>
      </c>
      <c r="E93" s="649" t="str">
        <f ca="1">IFERROR(IF(VLOOKUP($B93,'ORÇAMENTO '!$F$21:$N$993,6,FALSE)=0,"",VLOOKUP($B93,'ORÇAMENTO '!$F$21:$N$993,6,FALSE)),"")</f>
        <v/>
      </c>
      <c r="F93" s="649" t="str">
        <f ca="1">IFERROR(IF(VLOOKUP($B93,'ORÇAMENTO '!$F$21:$N$993,5,FALSE)=0,"",VLOOKUP($B93,'ORÇAMENTO '!$F$21:$N$993,5,FALSE)),"")</f>
        <v/>
      </c>
    </row>
    <row r="94" spans="2:6" ht="15">
      <c r="B94" s="646">
        <f>'ORÇAMENTO '!F361</f>
        <v>0</v>
      </c>
      <c r="C94" s="647">
        <f>IFERROR(IF(OR($B94="",$B94=0),'ORÇAMENTO '!I361,VLOOKUP($B94,'ORÇAMENTO '!$F$21:$N$450,4,FALSE)),"")</f>
        <v>0</v>
      </c>
      <c r="D94" s="648" t="str">
        <f ca="1">IFERROR(IF(VLOOKUP($B94,'ORÇAMENTO '!$F$21:$P$993,11,FALSE)=0,"",VLOOKUP($B94,'ORÇAMENTO '!$F$21:$P$993,11,FALSE)),"")</f>
        <v/>
      </c>
      <c r="E94" s="649" t="str">
        <f ca="1">IFERROR(IF(VLOOKUP($B94,'ORÇAMENTO '!$F$21:$N$993,6,FALSE)=0,"",VLOOKUP($B94,'ORÇAMENTO '!$F$21:$N$993,6,FALSE)),"")</f>
        <v/>
      </c>
      <c r="F94" s="649" t="str">
        <f ca="1">IFERROR(IF(VLOOKUP($B94,'ORÇAMENTO '!$F$21:$N$993,5,FALSE)=0,"",VLOOKUP($B94,'ORÇAMENTO '!$F$21:$N$993,5,FALSE)),"")</f>
        <v/>
      </c>
    </row>
    <row r="95" spans="2:6" ht="15">
      <c r="B95" s="646">
        <f>'ORÇAMENTO '!F362</f>
        <v>0</v>
      </c>
      <c r="C95" s="647">
        <f>IFERROR(IF(OR($B95="",$B95=0),'ORÇAMENTO '!I362,VLOOKUP($B95,'ORÇAMENTO '!$F$21:$N$450,4,FALSE)),"")</f>
        <v>0</v>
      </c>
      <c r="D95" s="648" t="str">
        <f ca="1">IFERROR(IF(VLOOKUP($B95,'ORÇAMENTO '!$F$21:$P$993,11,FALSE)=0,"",VLOOKUP($B95,'ORÇAMENTO '!$F$21:$P$993,11,FALSE)),"")</f>
        <v/>
      </c>
      <c r="E95" s="649" t="str">
        <f ca="1">IFERROR(IF(VLOOKUP($B95,'ORÇAMENTO '!$F$21:$N$993,6,FALSE)=0,"",VLOOKUP($B95,'ORÇAMENTO '!$F$21:$N$993,6,FALSE)),"")</f>
        <v/>
      </c>
      <c r="F95" s="649" t="str">
        <f ca="1">IFERROR(IF(VLOOKUP($B95,'ORÇAMENTO '!$F$21:$N$993,5,FALSE)=0,"",VLOOKUP($B95,'ORÇAMENTO '!$F$21:$N$993,5,FALSE)),"")</f>
        <v/>
      </c>
    </row>
    <row r="96" spans="2:6" ht="15">
      <c r="B96" s="646">
        <f>'ORÇAMENTO '!F363</f>
        <v>0</v>
      </c>
      <c r="C96" s="647">
        <f>IFERROR(IF(OR($B96="",$B96=0),'ORÇAMENTO '!I363,VLOOKUP($B96,'ORÇAMENTO '!$F$21:$N$450,4,FALSE)),"")</f>
        <v>0</v>
      </c>
      <c r="D96" s="648" t="str">
        <f ca="1">IFERROR(IF(VLOOKUP($B96,'ORÇAMENTO '!$F$21:$P$993,11,FALSE)=0,"",VLOOKUP($B96,'ORÇAMENTO '!$F$21:$P$993,11,FALSE)),"")</f>
        <v/>
      </c>
      <c r="E96" s="649" t="str">
        <f ca="1">IFERROR(IF(VLOOKUP($B96,'ORÇAMENTO '!$F$21:$N$993,6,FALSE)=0,"",VLOOKUP($B96,'ORÇAMENTO '!$F$21:$N$993,6,FALSE)),"")</f>
        <v/>
      </c>
      <c r="F96" s="649" t="str">
        <f ca="1">IFERROR(IF(VLOOKUP($B96,'ORÇAMENTO '!$F$21:$N$993,5,FALSE)=0,"",VLOOKUP($B96,'ORÇAMENTO '!$F$21:$N$993,5,FALSE)),"")</f>
        <v/>
      </c>
    </row>
    <row r="97" spans="2:6" ht="15">
      <c r="B97" s="646">
        <f>'ORÇAMENTO '!F364</f>
        <v>0</v>
      </c>
      <c r="C97" s="647">
        <f>IFERROR(IF(OR($B97="",$B97=0),'ORÇAMENTO '!I364,VLOOKUP($B97,'ORÇAMENTO '!$F$21:$N$450,4,FALSE)),"")</f>
        <v>0</v>
      </c>
      <c r="D97" s="648" t="str">
        <f ca="1">IFERROR(IF(VLOOKUP($B97,'ORÇAMENTO '!$F$21:$P$993,11,FALSE)=0,"",VLOOKUP($B97,'ORÇAMENTO '!$F$21:$P$993,11,FALSE)),"")</f>
        <v/>
      </c>
      <c r="E97" s="649" t="str">
        <f ca="1">IFERROR(IF(VLOOKUP($B97,'ORÇAMENTO '!$F$21:$N$993,6,FALSE)=0,"",VLOOKUP($B97,'ORÇAMENTO '!$F$21:$N$993,6,FALSE)),"")</f>
        <v/>
      </c>
      <c r="F97" s="649" t="str">
        <f ca="1">IFERROR(IF(VLOOKUP($B97,'ORÇAMENTO '!$F$21:$N$993,5,FALSE)=0,"",VLOOKUP($B97,'ORÇAMENTO '!$F$21:$N$993,5,FALSE)),"")</f>
        <v/>
      </c>
    </row>
    <row r="98" spans="2:6" ht="15">
      <c r="B98" s="646">
        <f>'ORÇAMENTO '!F365</f>
        <v>0</v>
      </c>
      <c r="C98" s="647">
        <f>IFERROR(IF(OR($B98="",$B98=0),'ORÇAMENTO '!I365,VLOOKUP($B98,'ORÇAMENTO '!$F$21:$N$450,4,FALSE)),"")</f>
        <v>0</v>
      </c>
      <c r="D98" s="648" t="str">
        <f ca="1">IFERROR(IF(VLOOKUP($B98,'ORÇAMENTO '!$F$21:$P$993,11,FALSE)=0,"",VLOOKUP($B98,'ORÇAMENTO '!$F$21:$P$993,11,FALSE)),"")</f>
        <v/>
      </c>
      <c r="E98" s="649" t="str">
        <f ca="1">IFERROR(IF(VLOOKUP($B98,'ORÇAMENTO '!$F$21:$N$993,6,FALSE)=0,"",VLOOKUP($B98,'ORÇAMENTO '!$F$21:$N$993,6,FALSE)),"")</f>
        <v/>
      </c>
      <c r="F98" s="649" t="str">
        <f ca="1">IFERROR(IF(VLOOKUP($B98,'ORÇAMENTO '!$F$21:$N$993,5,FALSE)=0,"",VLOOKUP($B98,'ORÇAMENTO '!$F$21:$N$993,5,FALSE)),"")</f>
        <v/>
      </c>
    </row>
    <row r="99" spans="2:6" ht="15">
      <c r="B99" s="646">
        <f>'ORÇAMENTO '!F366</f>
        <v>0</v>
      </c>
      <c r="C99" s="647">
        <f>IFERROR(IF(OR($B99="",$B99=0),'ORÇAMENTO '!I366,VLOOKUP($B99,'ORÇAMENTO '!$F$21:$N$450,4,FALSE)),"")</f>
        <v>0</v>
      </c>
      <c r="D99" s="648" t="str">
        <f ca="1">IFERROR(IF(VLOOKUP($B99,'ORÇAMENTO '!$F$21:$P$993,11,FALSE)=0,"",VLOOKUP($B99,'ORÇAMENTO '!$F$21:$P$993,11,FALSE)),"")</f>
        <v/>
      </c>
      <c r="E99" s="649" t="str">
        <f ca="1">IFERROR(IF(VLOOKUP($B99,'ORÇAMENTO '!$F$21:$N$993,6,FALSE)=0,"",VLOOKUP($B99,'ORÇAMENTO '!$F$21:$N$993,6,FALSE)),"")</f>
        <v/>
      </c>
      <c r="F99" s="649" t="str">
        <f ca="1">IFERROR(IF(VLOOKUP($B99,'ORÇAMENTO '!$F$21:$N$993,5,FALSE)=0,"",VLOOKUP($B99,'ORÇAMENTO '!$F$21:$N$993,5,FALSE)),"")</f>
        <v/>
      </c>
    </row>
    <row r="100" spans="2:6" ht="15">
      <c r="B100" s="646">
        <f>'ORÇAMENTO '!F367</f>
        <v>0</v>
      </c>
      <c r="C100" s="647">
        <f>IFERROR(IF(OR($B100="",$B100=0),'ORÇAMENTO '!I367,VLOOKUP($B100,'ORÇAMENTO '!$F$21:$N$450,4,FALSE)),"")</f>
        <v>0</v>
      </c>
      <c r="D100" s="648" t="str">
        <f ca="1">IFERROR(IF(VLOOKUP($B100,'ORÇAMENTO '!$F$21:$P$993,11,FALSE)=0,"",VLOOKUP($B100,'ORÇAMENTO '!$F$21:$P$993,11,FALSE)),"")</f>
        <v/>
      </c>
      <c r="E100" s="649" t="str">
        <f ca="1">IFERROR(IF(VLOOKUP($B100,'ORÇAMENTO '!$F$21:$N$993,6,FALSE)=0,"",VLOOKUP($B100,'ORÇAMENTO '!$F$21:$N$993,6,FALSE)),"")</f>
        <v/>
      </c>
      <c r="F100" s="649" t="str">
        <f ca="1">IFERROR(IF(VLOOKUP($B100,'ORÇAMENTO '!$F$21:$N$993,5,FALSE)=0,"",VLOOKUP($B100,'ORÇAMENTO '!$F$21:$N$993,5,FALSE)),"")</f>
        <v/>
      </c>
    </row>
    <row r="101" spans="2:6" ht="15">
      <c r="B101" s="646">
        <f>'ORÇAMENTO '!F368</f>
        <v>0</v>
      </c>
      <c r="C101" s="647">
        <f>IFERROR(IF(OR($B101="",$B101=0),'ORÇAMENTO '!I368,VLOOKUP($B101,'ORÇAMENTO '!$F$21:$N$450,4,FALSE)),"")</f>
        <v>0</v>
      </c>
      <c r="D101" s="648" t="str">
        <f ca="1">IFERROR(IF(VLOOKUP($B101,'ORÇAMENTO '!$F$21:$P$993,11,FALSE)=0,"",VLOOKUP($B101,'ORÇAMENTO '!$F$21:$P$993,11,FALSE)),"")</f>
        <v/>
      </c>
      <c r="E101" s="649" t="str">
        <f ca="1">IFERROR(IF(VLOOKUP($B101,'ORÇAMENTO '!$F$21:$N$993,6,FALSE)=0,"",VLOOKUP($B101,'ORÇAMENTO '!$F$21:$N$993,6,FALSE)),"")</f>
        <v/>
      </c>
      <c r="F101" s="649" t="str">
        <f ca="1">IFERROR(IF(VLOOKUP($B101,'ORÇAMENTO '!$F$21:$N$993,5,FALSE)=0,"",VLOOKUP($B101,'ORÇAMENTO '!$F$21:$N$993,5,FALSE)),"")</f>
        <v/>
      </c>
    </row>
    <row r="102" spans="2:6" ht="15">
      <c r="B102" s="646">
        <f>'ORÇAMENTO '!F369</f>
        <v>0</v>
      </c>
      <c r="C102" s="647">
        <f>IFERROR(IF(OR($B102="",$B102=0),'ORÇAMENTO '!I369,VLOOKUP($B102,'ORÇAMENTO '!$F$21:$N$450,4,FALSE)),"")</f>
        <v>0</v>
      </c>
      <c r="D102" s="648" t="str">
        <f ca="1">IFERROR(IF(VLOOKUP($B102,'ORÇAMENTO '!$F$21:$P$993,11,FALSE)=0,"",VLOOKUP($B102,'ORÇAMENTO '!$F$21:$P$993,11,FALSE)),"")</f>
        <v/>
      </c>
      <c r="E102" s="649" t="str">
        <f ca="1">IFERROR(IF(VLOOKUP($B102,'ORÇAMENTO '!$F$21:$N$993,6,FALSE)=0,"",VLOOKUP($B102,'ORÇAMENTO '!$F$21:$N$993,6,FALSE)),"")</f>
        <v/>
      </c>
      <c r="F102" s="649" t="str">
        <f ca="1">IFERROR(IF(VLOOKUP($B102,'ORÇAMENTO '!$F$21:$N$993,5,FALSE)=0,"",VLOOKUP($B102,'ORÇAMENTO '!$F$21:$N$993,5,FALSE)),"")</f>
        <v/>
      </c>
    </row>
    <row r="103" spans="2:6" ht="15">
      <c r="B103" s="646">
        <f>'ORÇAMENTO '!F370</f>
        <v>0</v>
      </c>
      <c r="C103" s="647">
        <f>IFERROR(IF(OR($B103="",$B103=0),'ORÇAMENTO '!I370,VLOOKUP($B103,'ORÇAMENTO '!$F$21:$N$450,4,FALSE)),"")</f>
        <v>0</v>
      </c>
      <c r="D103" s="648" t="str">
        <f ca="1">IFERROR(IF(VLOOKUP($B103,'ORÇAMENTO '!$F$21:$P$993,11,FALSE)=0,"",VLOOKUP($B103,'ORÇAMENTO '!$F$21:$P$993,11,FALSE)),"")</f>
        <v/>
      </c>
      <c r="E103" s="649" t="str">
        <f ca="1">IFERROR(IF(VLOOKUP($B103,'ORÇAMENTO '!$F$21:$N$993,6,FALSE)=0,"",VLOOKUP($B103,'ORÇAMENTO '!$F$21:$N$993,6,FALSE)),"")</f>
        <v/>
      </c>
      <c r="F103" s="649" t="str">
        <f ca="1">IFERROR(IF(VLOOKUP($B103,'ORÇAMENTO '!$F$21:$N$993,5,FALSE)=0,"",VLOOKUP($B103,'ORÇAMENTO '!$F$21:$N$993,5,FALSE)),"")</f>
        <v/>
      </c>
    </row>
    <row r="104" spans="2:6" ht="15">
      <c r="B104" s="646">
        <f>'ORÇAMENTO '!F371</f>
        <v>0</v>
      </c>
      <c r="C104" s="647">
        <f>IFERROR(IF(OR($B104="",$B104=0),'ORÇAMENTO '!I371,VLOOKUP($B104,'ORÇAMENTO '!$F$21:$N$450,4,FALSE)),"")</f>
        <v>0</v>
      </c>
      <c r="D104" s="648" t="str">
        <f ca="1">IFERROR(IF(VLOOKUP($B104,'ORÇAMENTO '!$F$21:$P$993,11,FALSE)=0,"",VLOOKUP($B104,'ORÇAMENTO '!$F$21:$P$993,11,FALSE)),"")</f>
        <v/>
      </c>
      <c r="E104" s="649" t="str">
        <f ca="1">IFERROR(IF(VLOOKUP($B104,'ORÇAMENTO '!$F$21:$N$993,6,FALSE)=0,"",VLOOKUP($B104,'ORÇAMENTO '!$F$21:$N$993,6,FALSE)),"")</f>
        <v/>
      </c>
      <c r="F104" s="649" t="str">
        <f ca="1">IFERROR(IF(VLOOKUP($B104,'ORÇAMENTO '!$F$21:$N$993,5,FALSE)=0,"",VLOOKUP($B104,'ORÇAMENTO '!$F$21:$N$993,5,FALSE)),"")</f>
        <v/>
      </c>
    </row>
    <row r="105" spans="2:6" ht="15">
      <c r="B105" s="646">
        <f>'ORÇAMENTO '!F372</f>
        <v>0</v>
      </c>
      <c r="C105" s="647">
        <f>IFERROR(IF(OR($B105="",$B105=0),'ORÇAMENTO '!I372,VLOOKUP($B105,'ORÇAMENTO '!$F$21:$N$450,4,FALSE)),"")</f>
        <v>0</v>
      </c>
      <c r="D105" s="648" t="str">
        <f ca="1">IFERROR(IF(VLOOKUP($B105,'ORÇAMENTO '!$F$21:$P$993,11,FALSE)=0,"",VLOOKUP($B105,'ORÇAMENTO '!$F$21:$P$993,11,FALSE)),"")</f>
        <v/>
      </c>
      <c r="E105" s="649" t="str">
        <f ca="1">IFERROR(IF(VLOOKUP($B105,'ORÇAMENTO '!$F$21:$N$993,6,FALSE)=0,"",VLOOKUP($B105,'ORÇAMENTO '!$F$21:$N$993,6,FALSE)),"")</f>
        <v/>
      </c>
      <c r="F105" s="649" t="str">
        <f ca="1">IFERROR(IF(VLOOKUP($B105,'ORÇAMENTO '!$F$21:$N$993,5,FALSE)=0,"",VLOOKUP($B105,'ORÇAMENTO '!$F$21:$N$993,5,FALSE)),"")</f>
        <v/>
      </c>
    </row>
    <row r="106" spans="2:6" ht="15">
      <c r="B106" s="646">
        <f>'ORÇAMENTO '!F373</f>
        <v>0</v>
      </c>
      <c r="C106" s="647">
        <f>IFERROR(IF(OR($B106="",$B106=0),'ORÇAMENTO '!I373,VLOOKUP($B106,'ORÇAMENTO '!$F$21:$N$450,4,FALSE)),"")</f>
        <v>0</v>
      </c>
      <c r="D106" s="648" t="str">
        <f ca="1">IFERROR(IF(VLOOKUP($B106,'ORÇAMENTO '!$F$21:$P$993,11,FALSE)=0,"",VLOOKUP($B106,'ORÇAMENTO '!$F$21:$P$993,11,FALSE)),"")</f>
        <v/>
      </c>
      <c r="E106" s="649" t="str">
        <f ca="1">IFERROR(IF(VLOOKUP($B106,'ORÇAMENTO '!$F$21:$N$993,6,FALSE)=0,"",VLOOKUP($B106,'ORÇAMENTO '!$F$21:$N$993,6,FALSE)),"")</f>
        <v/>
      </c>
      <c r="F106" s="649" t="str">
        <f ca="1">IFERROR(IF(VLOOKUP($B106,'ORÇAMENTO '!$F$21:$N$993,5,FALSE)=0,"",VLOOKUP($B106,'ORÇAMENTO '!$F$21:$N$993,5,FALSE)),"")</f>
        <v/>
      </c>
    </row>
    <row r="107" spans="2:6" ht="15">
      <c r="B107" s="646">
        <f>'ORÇAMENTO '!F374</f>
        <v>0</v>
      </c>
      <c r="C107" s="647">
        <f>IFERROR(IF(OR($B107="",$B107=0),'ORÇAMENTO '!I374,VLOOKUP($B107,'ORÇAMENTO '!$F$21:$N$450,4,FALSE)),"")</f>
        <v>0</v>
      </c>
      <c r="D107" s="648" t="str">
        <f ca="1">IFERROR(IF(VLOOKUP($B107,'ORÇAMENTO '!$F$21:$P$993,11,FALSE)=0,"",VLOOKUP($B107,'ORÇAMENTO '!$F$21:$P$993,11,FALSE)),"")</f>
        <v/>
      </c>
      <c r="E107" s="649" t="str">
        <f ca="1">IFERROR(IF(VLOOKUP($B107,'ORÇAMENTO '!$F$21:$N$993,6,FALSE)=0,"",VLOOKUP($B107,'ORÇAMENTO '!$F$21:$N$993,6,FALSE)),"")</f>
        <v/>
      </c>
      <c r="F107" s="649" t="str">
        <f ca="1">IFERROR(IF(VLOOKUP($B107,'ORÇAMENTO '!$F$21:$N$993,5,FALSE)=0,"",VLOOKUP($B107,'ORÇAMENTO '!$F$21:$N$993,5,FALSE)),"")</f>
        <v/>
      </c>
    </row>
    <row r="108" spans="2:6" ht="15">
      <c r="B108" s="646">
        <f>'ORÇAMENTO '!F375</f>
        <v>0</v>
      </c>
      <c r="C108" s="647">
        <f>IFERROR(IF(OR($B108="",$B108=0),'ORÇAMENTO '!I375,VLOOKUP($B108,'ORÇAMENTO '!$F$21:$N$450,4,FALSE)),"")</f>
        <v>0</v>
      </c>
      <c r="D108" s="648" t="str">
        <f ca="1">IFERROR(IF(VLOOKUP($B108,'ORÇAMENTO '!$F$21:$P$993,11,FALSE)=0,"",VLOOKUP($B108,'ORÇAMENTO '!$F$21:$P$993,11,FALSE)),"")</f>
        <v/>
      </c>
      <c r="E108" s="649" t="str">
        <f ca="1">IFERROR(IF(VLOOKUP($B108,'ORÇAMENTO '!$F$21:$N$993,6,FALSE)=0,"",VLOOKUP($B108,'ORÇAMENTO '!$F$21:$N$993,6,FALSE)),"")</f>
        <v/>
      </c>
      <c r="F108" s="649" t="str">
        <f ca="1">IFERROR(IF(VLOOKUP($B108,'ORÇAMENTO '!$F$21:$N$993,5,FALSE)=0,"",VLOOKUP($B108,'ORÇAMENTO '!$F$21:$N$993,5,FALSE)),"")</f>
        <v/>
      </c>
    </row>
    <row r="109" spans="2:6" ht="15">
      <c r="B109" s="646">
        <f>'ORÇAMENTO '!F376</f>
        <v>0</v>
      </c>
      <c r="C109" s="647">
        <f>IFERROR(IF(OR($B109="",$B109=0),'ORÇAMENTO '!I376,VLOOKUP($B109,'ORÇAMENTO '!$F$21:$N$450,4,FALSE)),"")</f>
        <v>0</v>
      </c>
      <c r="D109" s="648" t="str">
        <f ca="1">IFERROR(IF(VLOOKUP($B109,'ORÇAMENTO '!$F$21:$P$993,11,FALSE)=0,"",VLOOKUP($B109,'ORÇAMENTO '!$F$21:$P$993,11,FALSE)),"")</f>
        <v/>
      </c>
      <c r="E109" s="649" t="str">
        <f ca="1">IFERROR(IF(VLOOKUP($B109,'ORÇAMENTO '!$F$21:$N$993,6,FALSE)=0,"",VLOOKUP($B109,'ORÇAMENTO '!$F$21:$N$993,6,FALSE)),"")</f>
        <v/>
      </c>
      <c r="F109" s="649" t="str">
        <f ca="1">IFERROR(IF(VLOOKUP($B109,'ORÇAMENTO '!$F$21:$N$993,5,FALSE)=0,"",VLOOKUP($B109,'ORÇAMENTO '!$F$21:$N$993,5,FALSE)),"")</f>
        <v/>
      </c>
    </row>
    <row r="110" spans="2:6" ht="15">
      <c r="B110" s="646">
        <f>'ORÇAMENTO '!F377</f>
        <v>0</v>
      </c>
      <c r="C110" s="647">
        <f>IFERROR(IF(OR($B110="",$B110=0),'ORÇAMENTO '!I377,VLOOKUP($B110,'ORÇAMENTO '!$F$21:$N$450,4,FALSE)),"")</f>
        <v>0</v>
      </c>
      <c r="D110" s="648" t="str">
        <f ca="1">IFERROR(IF(VLOOKUP($B110,'ORÇAMENTO '!$F$21:$P$993,11,FALSE)=0,"",VLOOKUP($B110,'ORÇAMENTO '!$F$21:$P$993,11,FALSE)),"")</f>
        <v/>
      </c>
      <c r="E110" s="649" t="str">
        <f ca="1">IFERROR(IF(VLOOKUP($B110,'ORÇAMENTO '!$F$21:$N$993,6,FALSE)=0,"",VLOOKUP($B110,'ORÇAMENTO '!$F$21:$N$993,6,FALSE)),"")</f>
        <v/>
      </c>
      <c r="F110" s="649" t="str">
        <f ca="1">IFERROR(IF(VLOOKUP($B110,'ORÇAMENTO '!$F$21:$N$993,5,FALSE)=0,"",VLOOKUP($B110,'ORÇAMENTO '!$F$21:$N$993,5,FALSE)),"")</f>
        <v/>
      </c>
    </row>
    <row r="111" spans="2:6" ht="15">
      <c r="B111" s="646">
        <f>'ORÇAMENTO '!F378</f>
        <v>0</v>
      </c>
      <c r="C111" s="647">
        <f>IFERROR(IF(OR($B111="",$B111=0),'ORÇAMENTO '!I378,VLOOKUP($B111,'ORÇAMENTO '!$F$21:$N$450,4,FALSE)),"")</f>
        <v>0</v>
      </c>
      <c r="D111" s="648" t="str">
        <f ca="1">IFERROR(IF(VLOOKUP($B111,'ORÇAMENTO '!$F$21:$P$993,11,FALSE)=0,"",VLOOKUP($B111,'ORÇAMENTO '!$F$21:$P$993,11,FALSE)),"")</f>
        <v/>
      </c>
      <c r="E111" s="649" t="str">
        <f ca="1">IFERROR(IF(VLOOKUP($B111,'ORÇAMENTO '!$F$21:$N$993,6,FALSE)=0,"",VLOOKUP($B111,'ORÇAMENTO '!$F$21:$N$993,6,FALSE)),"")</f>
        <v/>
      </c>
      <c r="F111" s="649" t="str">
        <f ca="1">IFERROR(IF(VLOOKUP($B111,'ORÇAMENTO '!$F$21:$N$993,5,FALSE)=0,"",VLOOKUP($B111,'ORÇAMENTO '!$F$21:$N$993,5,FALSE)),"")</f>
        <v/>
      </c>
    </row>
    <row r="112" spans="2:6" ht="15">
      <c r="B112" s="646">
        <f>'ORÇAMENTO '!F379</f>
        <v>0</v>
      </c>
      <c r="C112" s="647">
        <f>IFERROR(IF(OR($B112="",$B112=0),'ORÇAMENTO '!I379,VLOOKUP($B112,'ORÇAMENTO '!$F$21:$N$450,4,FALSE)),"")</f>
        <v>0</v>
      </c>
      <c r="D112" s="648" t="str">
        <f ca="1">IFERROR(IF(VLOOKUP($B112,'ORÇAMENTO '!$F$21:$P$993,11,FALSE)=0,"",VLOOKUP($B112,'ORÇAMENTO '!$F$21:$P$993,11,FALSE)),"")</f>
        <v/>
      </c>
      <c r="E112" s="649" t="str">
        <f ca="1">IFERROR(IF(VLOOKUP($B112,'ORÇAMENTO '!$F$21:$N$993,6,FALSE)=0,"",VLOOKUP($B112,'ORÇAMENTO '!$F$21:$N$993,6,FALSE)),"")</f>
        <v/>
      </c>
      <c r="F112" s="649" t="str">
        <f ca="1">IFERROR(IF(VLOOKUP($B112,'ORÇAMENTO '!$F$21:$N$993,5,FALSE)=0,"",VLOOKUP($B112,'ORÇAMENTO '!$F$21:$N$993,5,FALSE)),"")</f>
        <v/>
      </c>
    </row>
    <row r="113" spans="2:6" ht="15">
      <c r="B113" s="646">
        <f>'ORÇAMENTO '!F380</f>
        <v>0</v>
      </c>
      <c r="C113" s="647">
        <f>IFERROR(IF(OR($B113="",$B113=0),'ORÇAMENTO '!I380,VLOOKUP($B113,'ORÇAMENTO '!$F$21:$N$450,4,FALSE)),"")</f>
        <v>0</v>
      </c>
      <c r="D113" s="648" t="str">
        <f ca="1">IFERROR(IF(VLOOKUP($B113,'ORÇAMENTO '!$F$21:$P$993,11,FALSE)=0,"",VLOOKUP($B113,'ORÇAMENTO '!$F$21:$P$993,11,FALSE)),"")</f>
        <v/>
      </c>
      <c r="E113" s="649" t="str">
        <f ca="1">IFERROR(IF(VLOOKUP($B113,'ORÇAMENTO '!$F$21:$N$993,6,FALSE)=0,"",VLOOKUP($B113,'ORÇAMENTO '!$F$21:$N$993,6,FALSE)),"")</f>
        <v/>
      </c>
      <c r="F113" s="649" t="str">
        <f ca="1">IFERROR(IF(VLOOKUP($B113,'ORÇAMENTO '!$F$21:$N$993,5,FALSE)=0,"",VLOOKUP($B113,'ORÇAMENTO '!$F$21:$N$993,5,FALSE)),"")</f>
        <v/>
      </c>
    </row>
    <row r="114" spans="2:6" ht="15">
      <c r="B114" s="646">
        <f>'ORÇAMENTO '!F381</f>
        <v>0</v>
      </c>
      <c r="C114" s="647">
        <f>IFERROR(IF(OR($B114="",$B114=0),'ORÇAMENTO '!I381,VLOOKUP($B114,'ORÇAMENTO '!$F$21:$N$450,4,FALSE)),"")</f>
        <v>0</v>
      </c>
      <c r="D114" s="648" t="str">
        <f ca="1">IFERROR(IF(VLOOKUP($B114,'ORÇAMENTO '!$F$21:$P$993,11,FALSE)=0,"",VLOOKUP($B114,'ORÇAMENTO '!$F$21:$P$993,11,FALSE)),"")</f>
        <v/>
      </c>
      <c r="E114" s="649" t="str">
        <f ca="1">IFERROR(IF(VLOOKUP($B114,'ORÇAMENTO '!$F$21:$N$993,6,FALSE)=0,"",VLOOKUP($B114,'ORÇAMENTO '!$F$21:$N$993,6,FALSE)),"")</f>
        <v/>
      </c>
      <c r="F114" s="649" t="str">
        <f ca="1">IFERROR(IF(VLOOKUP($B114,'ORÇAMENTO '!$F$21:$N$993,5,FALSE)=0,"",VLOOKUP($B114,'ORÇAMENTO '!$F$21:$N$993,5,FALSE)),"")</f>
        <v/>
      </c>
    </row>
    <row r="115" spans="2:6" ht="15">
      <c r="B115" s="646">
        <f>'ORÇAMENTO '!F382</f>
        <v>0</v>
      </c>
      <c r="C115" s="647">
        <f>IFERROR(IF(OR($B115="",$B115=0),'ORÇAMENTO '!I382,VLOOKUP($B115,'ORÇAMENTO '!$F$21:$N$450,4,FALSE)),"")</f>
        <v>0</v>
      </c>
      <c r="D115" s="648" t="str">
        <f ca="1">IFERROR(IF(VLOOKUP($B115,'ORÇAMENTO '!$F$21:$P$993,11,FALSE)=0,"",VLOOKUP($B115,'ORÇAMENTO '!$F$21:$P$993,11,FALSE)),"")</f>
        <v/>
      </c>
      <c r="E115" s="649" t="str">
        <f ca="1">IFERROR(IF(VLOOKUP($B115,'ORÇAMENTO '!$F$21:$N$993,6,FALSE)=0,"",VLOOKUP($B115,'ORÇAMENTO '!$F$21:$N$993,6,FALSE)),"")</f>
        <v/>
      </c>
      <c r="F115" s="649" t="str">
        <f ca="1">IFERROR(IF(VLOOKUP($B115,'ORÇAMENTO '!$F$21:$N$993,5,FALSE)=0,"",VLOOKUP($B115,'ORÇAMENTO '!$F$21:$N$993,5,FALSE)),"")</f>
        <v/>
      </c>
    </row>
    <row r="116" spans="2:6" ht="15">
      <c r="B116" s="646">
        <f>'ORÇAMENTO '!F383</f>
        <v>0</v>
      </c>
      <c r="C116" s="647">
        <f>IFERROR(IF(OR($B116="",$B116=0),'ORÇAMENTO '!I383,VLOOKUP($B116,'ORÇAMENTO '!$F$21:$N$450,4,FALSE)),"")</f>
        <v>0</v>
      </c>
      <c r="D116" s="648" t="str">
        <f ca="1">IFERROR(IF(VLOOKUP($B116,'ORÇAMENTO '!$F$21:$P$993,11,FALSE)=0,"",VLOOKUP($B116,'ORÇAMENTO '!$F$21:$P$993,11,FALSE)),"")</f>
        <v/>
      </c>
      <c r="E116" s="649" t="str">
        <f ca="1">IFERROR(IF(VLOOKUP($B116,'ORÇAMENTO '!$F$21:$N$993,6,FALSE)=0,"",VLOOKUP($B116,'ORÇAMENTO '!$F$21:$N$993,6,FALSE)),"")</f>
        <v/>
      </c>
      <c r="F116" s="649" t="str">
        <f ca="1">IFERROR(IF(VLOOKUP($B116,'ORÇAMENTO '!$F$21:$N$993,5,FALSE)=0,"",VLOOKUP($B116,'ORÇAMENTO '!$F$21:$N$993,5,FALSE)),"")</f>
        <v/>
      </c>
    </row>
    <row r="117" spans="2:6" ht="15">
      <c r="B117" s="646">
        <f>'ORÇAMENTO '!F384</f>
        <v>0</v>
      </c>
      <c r="C117" s="647">
        <f>IFERROR(IF(OR($B117="",$B117=0),'ORÇAMENTO '!I384,VLOOKUP($B117,'ORÇAMENTO '!$F$21:$N$450,4,FALSE)),"")</f>
        <v>0</v>
      </c>
      <c r="D117" s="648" t="str">
        <f ca="1">IFERROR(IF(VLOOKUP($B117,'ORÇAMENTO '!$F$21:$P$993,11,FALSE)=0,"",VLOOKUP($B117,'ORÇAMENTO '!$F$21:$P$993,11,FALSE)),"")</f>
        <v/>
      </c>
      <c r="E117" s="649" t="str">
        <f ca="1">IFERROR(IF(VLOOKUP($B117,'ORÇAMENTO '!$F$21:$N$993,6,FALSE)=0,"",VLOOKUP($B117,'ORÇAMENTO '!$F$21:$N$993,6,FALSE)),"")</f>
        <v/>
      </c>
      <c r="F117" s="649" t="str">
        <f ca="1">IFERROR(IF(VLOOKUP($B117,'ORÇAMENTO '!$F$21:$N$993,5,FALSE)=0,"",VLOOKUP($B117,'ORÇAMENTO '!$F$21:$N$993,5,FALSE)),"")</f>
        <v/>
      </c>
    </row>
    <row r="118" spans="2:6" ht="15">
      <c r="B118" s="646">
        <f>'ORÇAMENTO '!F385</f>
        <v>0</v>
      </c>
      <c r="C118" s="647">
        <f>IFERROR(IF(OR($B118="",$B118=0),'ORÇAMENTO '!I385,VLOOKUP($B118,'ORÇAMENTO '!$F$21:$N$450,4,FALSE)),"")</f>
        <v>0</v>
      </c>
      <c r="D118" s="648" t="str">
        <f ca="1">IFERROR(IF(VLOOKUP($B118,'ORÇAMENTO '!$F$21:$P$993,11,FALSE)=0,"",VLOOKUP($B118,'ORÇAMENTO '!$F$21:$P$993,11,FALSE)),"")</f>
        <v/>
      </c>
      <c r="E118" s="649" t="str">
        <f ca="1">IFERROR(IF(VLOOKUP($B118,'ORÇAMENTO '!$F$21:$N$993,6,FALSE)=0,"",VLOOKUP($B118,'ORÇAMENTO '!$F$21:$N$993,6,FALSE)),"")</f>
        <v/>
      </c>
      <c r="F118" s="649" t="str">
        <f ca="1">IFERROR(IF(VLOOKUP($B118,'ORÇAMENTO '!$F$21:$N$993,5,FALSE)=0,"",VLOOKUP($B118,'ORÇAMENTO '!$F$21:$N$993,5,FALSE)),"")</f>
        <v/>
      </c>
    </row>
    <row r="119" spans="2:6" ht="15">
      <c r="B119" s="646">
        <f>'ORÇAMENTO '!F386</f>
        <v>0</v>
      </c>
      <c r="C119" s="647">
        <f>IFERROR(IF(OR($B119="",$B119=0),'ORÇAMENTO '!I386,VLOOKUP($B119,'ORÇAMENTO '!$F$21:$N$450,4,FALSE)),"")</f>
        <v>0</v>
      </c>
      <c r="D119" s="648" t="str">
        <f ca="1">IFERROR(IF(VLOOKUP($B119,'ORÇAMENTO '!$F$21:$P$993,11,FALSE)=0,"",VLOOKUP($B119,'ORÇAMENTO '!$F$21:$P$993,11,FALSE)),"")</f>
        <v/>
      </c>
      <c r="E119" s="649" t="str">
        <f ca="1">IFERROR(IF(VLOOKUP($B119,'ORÇAMENTO '!$F$21:$N$993,6,FALSE)=0,"",VLOOKUP($B119,'ORÇAMENTO '!$F$21:$N$993,6,FALSE)),"")</f>
        <v/>
      </c>
      <c r="F119" s="649" t="str">
        <f ca="1">IFERROR(IF(VLOOKUP($B119,'ORÇAMENTO '!$F$21:$N$993,5,FALSE)=0,"",VLOOKUP($B119,'ORÇAMENTO '!$F$21:$N$993,5,FALSE)),"")</f>
        <v/>
      </c>
    </row>
    <row r="120" spans="2:6" ht="15">
      <c r="B120" s="646">
        <f>'ORÇAMENTO '!F387</f>
        <v>0</v>
      </c>
      <c r="C120" s="647">
        <f>IFERROR(IF(OR($B120="",$B120=0),'ORÇAMENTO '!I387,VLOOKUP($B120,'ORÇAMENTO '!$F$21:$N$450,4,FALSE)),"")</f>
        <v>0</v>
      </c>
      <c r="D120" s="648" t="str">
        <f ca="1">IFERROR(IF(VLOOKUP($B120,'ORÇAMENTO '!$F$21:$P$993,11,FALSE)=0,"",VLOOKUP($B120,'ORÇAMENTO '!$F$21:$P$993,11,FALSE)),"")</f>
        <v/>
      </c>
      <c r="E120" s="649" t="str">
        <f ca="1">IFERROR(IF(VLOOKUP($B120,'ORÇAMENTO '!$F$21:$N$993,6,FALSE)=0,"",VLOOKUP($B120,'ORÇAMENTO '!$F$21:$N$993,6,FALSE)),"")</f>
        <v/>
      </c>
      <c r="F120" s="649" t="str">
        <f ca="1">IFERROR(IF(VLOOKUP($B120,'ORÇAMENTO '!$F$21:$N$993,5,FALSE)=0,"",VLOOKUP($B120,'ORÇAMENTO '!$F$21:$N$993,5,FALSE)),"")</f>
        <v/>
      </c>
    </row>
    <row r="121" spans="2:6" ht="15">
      <c r="B121" s="646">
        <f>'ORÇAMENTO '!F388</f>
        <v>0</v>
      </c>
      <c r="C121" s="647">
        <f>IFERROR(IF(OR($B121="",$B121=0),'ORÇAMENTO '!I388,VLOOKUP($B121,'ORÇAMENTO '!$F$21:$N$450,4,FALSE)),"")</f>
        <v>0</v>
      </c>
      <c r="D121" s="648" t="str">
        <f ca="1">IFERROR(IF(VLOOKUP($B121,'ORÇAMENTO '!$F$21:$P$993,11,FALSE)=0,"",VLOOKUP($B121,'ORÇAMENTO '!$F$21:$P$993,11,FALSE)),"")</f>
        <v/>
      </c>
      <c r="E121" s="649" t="str">
        <f ca="1">IFERROR(IF(VLOOKUP($B121,'ORÇAMENTO '!$F$21:$N$993,6,FALSE)=0,"",VLOOKUP($B121,'ORÇAMENTO '!$F$21:$N$993,6,FALSE)),"")</f>
        <v/>
      </c>
      <c r="F121" s="649" t="str">
        <f ca="1">IFERROR(IF(VLOOKUP($B121,'ORÇAMENTO '!$F$21:$N$993,5,FALSE)=0,"",VLOOKUP($B121,'ORÇAMENTO '!$F$21:$N$993,5,FALSE)),"")</f>
        <v/>
      </c>
    </row>
    <row r="122" spans="2:6" ht="15">
      <c r="B122" s="646">
        <f>'ORÇAMENTO '!F389</f>
        <v>0</v>
      </c>
      <c r="C122" s="647">
        <f>IFERROR(IF(OR($B122="",$B122=0),'ORÇAMENTO '!I389,VLOOKUP($B122,'ORÇAMENTO '!$F$21:$N$450,4,FALSE)),"")</f>
        <v>0</v>
      </c>
      <c r="D122" s="648" t="str">
        <f ca="1">IFERROR(IF(VLOOKUP($B122,'ORÇAMENTO '!$F$21:$P$993,11,FALSE)=0,"",VLOOKUP($B122,'ORÇAMENTO '!$F$21:$P$993,11,FALSE)),"")</f>
        <v/>
      </c>
      <c r="E122" s="649" t="str">
        <f ca="1">IFERROR(IF(VLOOKUP($B122,'ORÇAMENTO '!$F$21:$N$993,6,FALSE)=0,"",VLOOKUP($B122,'ORÇAMENTO '!$F$21:$N$993,6,FALSE)),"")</f>
        <v/>
      </c>
      <c r="F122" s="649" t="str">
        <f ca="1">IFERROR(IF(VLOOKUP($B122,'ORÇAMENTO '!$F$21:$N$993,5,FALSE)=0,"",VLOOKUP($B122,'ORÇAMENTO '!$F$21:$N$993,5,FALSE)),"")</f>
        <v/>
      </c>
    </row>
    <row r="123" spans="2:6" ht="15">
      <c r="B123" s="646">
        <f>'ORÇAMENTO '!F390</f>
        <v>0</v>
      </c>
      <c r="C123" s="647">
        <f>IFERROR(IF(OR($B123="",$B123=0),'ORÇAMENTO '!I390,VLOOKUP($B123,'ORÇAMENTO '!$F$21:$N$450,4,FALSE)),"")</f>
        <v>0</v>
      </c>
      <c r="D123" s="648" t="str">
        <f ca="1">IFERROR(IF(VLOOKUP($B123,'ORÇAMENTO '!$F$21:$P$993,11,FALSE)=0,"",VLOOKUP($B123,'ORÇAMENTO '!$F$21:$P$993,11,FALSE)),"")</f>
        <v/>
      </c>
      <c r="E123" s="649" t="str">
        <f ca="1">IFERROR(IF(VLOOKUP($B123,'ORÇAMENTO '!$F$21:$N$993,6,FALSE)=0,"",VLOOKUP($B123,'ORÇAMENTO '!$F$21:$N$993,6,FALSE)),"")</f>
        <v/>
      </c>
      <c r="F123" s="649" t="str">
        <f ca="1">IFERROR(IF(VLOOKUP($B123,'ORÇAMENTO '!$F$21:$N$993,5,FALSE)=0,"",VLOOKUP($B123,'ORÇAMENTO '!$F$21:$N$993,5,FALSE)),"")</f>
        <v/>
      </c>
    </row>
    <row r="124" spans="2:6" ht="15">
      <c r="B124" s="646">
        <f>'ORÇAMENTO '!F391</f>
        <v>0</v>
      </c>
      <c r="C124" s="647">
        <f>IFERROR(IF(OR($B124="",$B124=0),'ORÇAMENTO '!I391,VLOOKUP($B124,'ORÇAMENTO '!$F$21:$N$450,4,FALSE)),"")</f>
        <v>0</v>
      </c>
      <c r="D124" s="648" t="str">
        <f ca="1">IFERROR(IF(VLOOKUP($B124,'ORÇAMENTO '!$F$21:$P$993,11,FALSE)=0,"",VLOOKUP($B124,'ORÇAMENTO '!$F$21:$P$993,11,FALSE)),"")</f>
        <v/>
      </c>
      <c r="E124" s="649" t="str">
        <f ca="1">IFERROR(IF(VLOOKUP($B124,'ORÇAMENTO '!$F$21:$N$993,6,FALSE)=0,"",VLOOKUP($B124,'ORÇAMENTO '!$F$21:$N$993,6,FALSE)),"")</f>
        <v/>
      </c>
      <c r="F124" s="649" t="str">
        <f ca="1">IFERROR(IF(VLOOKUP($B124,'ORÇAMENTO '!$F$21:$N$993,5,FALSE)=0,"",VLOOKUP($B124,'ORÇAMENTO '!$F$21:$N$993,5,FALSE)),"")</f>
        <v/>
      </c>
    </row>
    <row r="125" spans="2:6" ht="15">
      <c r="B125" s="646">
        <f>'ORÇAMENTO '!F392</f>
        <v>0</v>
      </c>
      <c r="C125" s="647">
        <f>IFERROR(IF(OR($B125="",$B125=0),'ORÇAMENTO '!I392,VLOOKUP($B125,'ORÇAMENTO '!$F$21:$N$450,4,FALSE)),"")</f>
        <v>0</v>
      </c>
      <c r="D125" s="648" t="str">
        <f ca="1">IFERROR(IF(VLOOKUP($B125,'ORÇAMENTO '!$F$21:$P$993,11,FALSE)=0,"",VLOOKUP($B125,'ORÇAMENTO '!$F$21:$P$993,11,FALSE)),"")</f>
        <v/>
      </c>
      <c r="E125" s="649" t="str">
        <f ca="1">IFERROR(IF(VLOOKUP($B125,'ORÇAMENTO '!$F$21:$N$993,6,FALSE)=0,"",VLOOKUP($B125,'ORÇAMENTO '!$F$21:$N$993,6,FALSE)),"")</f>
        <v/>
      </c>
      <c r="F125" s="649" t="str">
        <f ca="1">IFERROR(IF(VLOOKUP($B125,'ORÇAMENTO '!$F$21:$N$993,5,FALSE)=0,"",VLOOKUP($B125,'ORÇAMENTO '!$F$21:$N$993,5,FALSE)),"")</f>
        <v/>
      </c>
    </row>
    <row r="126" spans="2:6" ht="15">
      <c r="B126" s="646">
        <f>'ORÇAMENTO '!F393</f>
        <v>0</v>
      </c>
      <c r="C126" s="647">
        <f>IFERROR(IF(OR($B126="",$B126=0),'ORÇAMENTO '!I393,VLOOKUP($B126,'ORÇAMENTO '!$F$21:$N$450,4,FALSE)),"")</f>
        <v>0</v>
      </c>
      <c r="D126" s="648" t="str">
        <f ca="1">IFERROR(IF(VLOOKUP($B126,'ORÇAMENTO '!$F$21:$P$993,11,FALSE)=0,"",VLOOKUP($B126,'ORÇAMENTO '!$F$21:$P$993,11,FALSE)),"")</f>
        <v/>
      </c>
      <c r="E126" s="649" t="str">
        <f ca="1">IFERROR(IF(VLOOKUP($B126,'ORÇAMENTO '!$F$21:$N$993,6,FALSE)=0,"",VLOOKUP($B126,'ORÇAMENTO '!$F$21:$N$993,6,FALSE)),"")</f>
        <v/>
      </c>
      <c r="F126" s="649" t="str">
        <f ca="1">IFERROR(IF(VLOOKUP($B126,'ORÇAMENTO '!$F$21:$N$993,5,FALSE)=0,"",VLOOKUP($B126,'ORÇAMENTO '!$F$21:$N$993,5,FALSE)),"")</f>
        <v/>
      </c>
    </row>
    <row r="127" spans="2:6" ht="15">
      <c r="B127" s="646">
        <f>'ORÇAMENTO '!F394</f>
        <v>0</v>
      </c>
      <c r="C127" s="647">
        <f>IFERROR(IF(OR($B127="",$B127=0),'ORÇAMENTO '!I394,VLOOKUP($B127,'ORÇAMENTO '!$F$21:$N$450,4,FALSE)),"")</f>
        <v>0</v>
      </c>
      <c r="D127" s="648" t="str">
        <f ca="1">IFERROR(IF(VLOOKUP($B127,'ORÇAMENTO '!$F$21:$P$993,11,FALSE)=0,"",VLOOKUP($B127,'ORÇAMENTO '!$F$21:$P$993,11,FALSE)),"")</f>
        <v/>
      </c>
      <c r="E127" s="649" t="str">
        <f ca="1">IFERROR(IF(VLOOKUP($B127,'ORÇAMENTO '!$F$21:$N$993,6,FALSE)=0,"",VLOOKUP($B127,'ORÇAMENTO '!$F$21:$N$993,6,FALSE)),"")</f>
        <v/>
      </c>
      <c r="F127" s="649" t="str">
        <f ca="1">IFERROR(IF(VLOOKUP($B127,'ORÇAMENTO '!$F$21:$N$993,5,FALSE)=0,"",VLOOKUP($B127,'ORÇAMENTO '!$F$21:$N$993,5,FALSE)),"")</f>
        <v/>
      </c>
    </row>
    <row r="128" spans="2:6" ht="15">
      <c r="B128" s="646">
        <f>'ORÇAMENTO '!F395</f>
        <v>0</v>
      </c>
      <c r="C128" s="647">
        <f>IFERROR(IF(OR($B128="",$B128=0),'ORÇAMENTO '!I395,VLOOKUP($B128,'ORÇAMENTO '!$F$21:$N$450,4,FALSE)),"")</f>
        <v>0</v>
      </c>
      <c r="D128" s="648" t="str">
        <f ca="1">IFERROR(IF(VLOOKUP($B128,'ORÇAMENTO '!$F$21:$P$993,11,FALSE)=0,"",VLOOKUP($B128,'ORÇAMENTO '!$F$21:$P$993,11,FALSE)),"")</f>
        <v/>
      </c>
      <c r="E128" s="649" t="str">
        <f ca="1">IFERROR(IF(VLOOKUP($B128,'ORÇAMENTO '!$F$21:$N$993,6,FALSE)=0,"",VLOOKUP($B128,'ORÇAMENTO '!$F$21:$N$993,6,FALSE)),"")</f>
        <v/>
      </c>
      <c r="F128" s="649" t="str">
        <f ca="1">IFERROR(IF(VLOOKUP($B128,'ORÇAMENTO '!$F$21:$N$993,5,FALSE)=0,"",VLOOKUP($B128,'ORÇAMENTO '!$F$21:$N$993,5,FALSE)),"")</f>
        <v/>
      </c>
    </row>
    <row r="129" spans="2:6" ht="15">
      <c r="B129" s="646">
        <f>'ORÇAMENTO '!F396</f>
        <v>0</v>
      </c>
      <c r="C129" s="647">
        <f>IFERROR(IF(OR($B129="",$B129=0),'ORÇAMENTO '!I396,VLOOKUP($B129,'ORÇAMENTO '!$F$21:$N$450,4,FALSE)),"")</f>
        <v>0</v>
      </c>
      <c r="D129" s="648" t="str">
        <f ca="1">IFERROR(IF(VLOOKUP($B129,'ORÇAMENTO '!$F$21:$P$993,11,FALSE)=0,"",VLOOKUP($B129,'ORÇAMENTO '!$F$21:$P$993,11,FALSE)),"")</f>
        <v/>
      </c>
      <c r="E129" s="649" t="str">
        <f ca="1">IFERROR(IF(VLOOKUP($B129,'ORÇAMENTO '!$F$21:$N$993,6,FALSE)=0,"",VLOOKUP($B129,'ORÇAMENTO '!$F$21:$N$993,6,FALSE)),"")</f>
        <v/>
      </c>
      <c r="F129" s="649" t="str">
        <f ca="1">IFERROR(IF(VLOOKUP($B129,'ORÇAMENTO '!$F$21:$N$993,5,FALSE)=0,"",VLOOKUP($B129,'ORÇAMENTO '!$F$21:$N$993,5,FALSE)),"")</f>
        <v/>
      </c>
    </row>
    <row r="130" spans="2:6" ht="15">
      <c r="B130" s="646">
        <f>'ORÇAMENTO '!F397</f>
        <v>0</v>
      </c>
      <c r="C130" s="647">
        <f>IFERROR(IF(OR($B130="",$B130=0),'ORÇAMENTO '!I397,VLOOKUP($B130,'ORÇAMENTO '!$F$21:$N$450,4,FALSE)),"")</f>
        <v>0</v>
      </c>
      <c r="D130" s="648" t="str">
        <f ca="1">IFERROR(IF(VLOOKUP($B130,'ORÇAMENTO '!$F$21:$P$993,11,FALSE)=0,"",VLOOKUP($B130,'ORÇAMENTO '!$F$21:$P$993,11,FALSE)),"")</f>
        <v/>
      </c>
      <c r="E130" s="649" t="str">
        <f ca="1">IFERROR(IF(VLOOKUP($B130,'ORÇAMENTO '!$F$21:$N$993,6,FALSE)=0,"",VLOOKUP($B130,'ORÇAMENTO '!$F$21:$N$993,6,FALSE)),"")</f>
        <v/>
      </c>
      <c r="F130" s="649" t="str">
        <f ca="1">IFERROR(IF(VLOOKUP($B130,'ORÇAMENTO '!$F$21:$N$993,5,FALSE)=0,"",VLOOKUP($B130,'ORÇAMENTO '!$F$21:$N$993,5,FALSE)),"")</f>
        <v/>
      </c>
    </row>
    <row r="131" spans="2:6" ht="15">
      <c r="B131" s="646">
        <f>'ORÇAMENTO '!F398</f>
        <v>0</v>
      </c>
      <c r="C131" s="647">
        <f>IFERROR(IF(OR($B131="",$B131=0),'ORÇAMENTO '!I398,VLOOKUP($B131,'ORÇAMENTO '!$F$21:$N$450,4,FALSE)),"")</f>
        <v>0</v>
      </c>
      <c r="D131" s="648" t="str">
        <f ca="1">IFERROR(IF(VLOOKUP($B131,'ORÇAMENTO '!$F$21:$P$993,11,FALSE)=0,"",VLOOKUP($B131,'ORÇAMENTO '!$F$21:$P$993,11,FALSE)),"")</f>
        <v/>
      </c>
      <c r="E131" s="649" t="str">
        <f ca="1">IFERROR(IF(VLOOKUP($B131,'ORÇAMENTO '!$F$21:$N$993,6,FALSE)=0,"",VLOOKUP($B131,'ORÇAMENTO '!$F$21:$N$993,6,FALSE)),"")</f>
        <v/>
      </c>
      <c r="F131" s="649" t="str">
        <f ca="1">IFERROR(IF(VLOOKUP($B131,'ORÇAMENTO '!$F$21:$N$993,5,FALSE)=0,"",VLOOKUP($B131,'ORÇAMENTO '!$F$21:$N$993,5,FALSE)),"")</f>
        <v/>
      </c>
    </row>
    <row r="132" spans="2:6" ht="15">
      <c r="B132" s="646">
        <f>'ORÇAMENTO '!F399</f>
        <v>0</v>
      </c>
      <c r="C132" s="647">
        <f>IFERROR(IF(OR($B132="",$B132=0),'ORÇAMENTO '!I399,VLOOKUP($B132,'ORÇAMENTO '!$F$21:$N$450,4,FALSE)),"")</f>
        <v>0</v>
      </c>
      <c r="D132" s="648" t="str">
        <f ca="1">IFERROR(IF(VLOOKUP($B132,'ORÇAMENTO '!$F$21:$P$993,11,FALSE)=0,"",VLOOKUP($B132,'ORÇAMENTO '!$F$21:$P$993,11,FALSE)),"")</f>
        <v/>
      </c>
      <c r="E132" s="649" t="str">
        <f ca="1">IFERROR(IF(VLOOKUP($B132,'ORÇAMENTO '!$F$21:$N$993,6,FALSE)=0,"",VLOOKUP($B132,'ORÇAMENTO '!$F$21:$N$993,6,FALSE)),"")</f>
        <v/>
      </c>
      <c r="F132" s="649" t="str">
        <f ca="1">IFERROR(IF(VLOOKUP($B132,'ORÇAMENTO '!$F$21:$N$993,5,FALSE)=0,"",VLOOKUP($B132,'ORÇAMENTO '!$F$21:$N$993,5,FALSE)),"")</f>
        <v/>
      </c>
    </row>
    <row r="133" spans="2:6" ht="15">
      <c r="B133" s="646">
        <f>'ORÇAMENTO '!F400</f>
        <v>0</v>
      </c>
      <c r="C133" s="647">
        <f>IFERROR(IF(OR($B133="",$B133=0),'ORÇAMENTO '!I400,VLOOKUP($B133,'ORÇAMENTO '!$F$21:$N$450,4,FALSE)),"")</f>
        <v>0</v>
      </c>
      <c r="D133" s="648" t="str">
        <f ca="1">IFERROR(IF(VLOOKUP($B133,'ORÇAMENTO '!$F$21:$P$993,11,FALSE)=0,"",VLOOKUP($B133,'ORÇAMENTO '!$F$21:$P$993,11,FALSE)),"")</f>
        <v/>
      </c>
      <c r="E133" s="649" t="str">
        <f ca="1">IFERROR(IF(VLOOKUP($B133,'ORÇAMENTO '!$F$21:$N$993,6,FALSE)=0,"",VLOOKUP($B133,'ORÇAMENTO '!$F$21:$N$993,6,FALSE)),"")</f>
        <v/>
      </c>
      <c r="F133" s="649" t="str">
        <f ca="1">IFERROR(IF(VLOOKUP($B133,'ORÇAMENTO '!$F$21:$N$993,5,FALSE)=0,"",VLOOKUP($B133,'ORÇAMENTO '!$F$21:$N$993,5,FALSE)),"")</f>
        <v/>
      </c>
    </row>
    <row r="134" spans="2:6" ht="15">
      <c r="B134" s="646">
        <f>'ORÇAMENTO '!F401</f>
        <v>0</v>
      </c>
      <c r="C134" s="647">
        <f>IFERROR(IF(OR($B134="",$B134=0),'ORÇAMENTO '!I401,VLOOKUP($B134,'ORÇAMENTO '!$F$21:$N$450,4,FALSE)),"")</f>
        <v>0</v>
      </c>
      <c r="D134" s="648" t="str">
        <f ca="1">IFERROR(IF(VLOOKUP($B134,'ORÇAMENTO '!$F$21:$P$993,11,FALSE)=0,"",VLOOKUP($B134,'ORÇAMENTO '!$F$21:$P$993,11,FALSE)),"")</f>
        <v/>
      </c>
      <c r="E134" s="649" t="str">
        <f ca="1">IFERROR(IF(VLOOKUP($B134,'ORÇAMENTO '!$F$21:$N$993,6,FALSE)=0,"",VLOOKUP($B134,'ORÇAMENTO '!$F$21:$N$993,6,FALSE)),"")</f>
        <v/>
      </c>
      <c r="F134" s="649" t="str">
        <f ca="1">IFERROR(IF(VLOOKUP($B134,'ORÇAMENTO '!$F$21:$N$993,5,FALSE)=0,"",VLOOKUP($B134,'ORÇAMENTO '!$F$21:$N$993,5,FALSE)),"")</f>
        <v/>
      </c>
    </row>
    <row r="135" spans="2:6" ht="15">
      <c r="B135" s="646">
        <f>'ORÇAMENTO '!F402</f>
        <v>0</v>
      </c>
      <c r="C135" s="647">
        <f>IFERROR(IF(OR($B135="",$B135=0),'ORÇAMENTO '!I402,VLOOKUP($B135,'ORÇAMENTO '!$F$21:$N$450,4,FALSE)),"")</f>
        <v>0</v>
      </c>
      <c r="D135" s="648" t="str">
        <f ca="1">IFERROR(IF(VLOOKUP($B135,'ORÇAMENTO '!$F$21:$P$993,11,FALSE)=0,"",VLOOKUP($B135,'ORÇAMENTO '!$F$21:$P$993,11,FALSE)),"")</f>
        <v/>
      </c>
      <c r="E135" s="649" t="str">
        <f ca="1">IFERROR(IF(VLOOKUP($B135,'ORÇAMENTO '!$F$21:$N$993,6,FALSE)=0,"",VLOOKUP($B135,'ORÇAMENTO '!$F$21:$N$993,6,FALSE)),"")</f>
        <v/>
      </c>
      <c r="F135" s="649" t="str">
        <f ca="1">IFERROR(IF(VLOOKUP($B135,'ORÇAMENTO '!$F$21:$N$993,5,FALSE)=0,"",VLOOKUP($B135,'ORÇAMENTO '!$F$21:$N$993,5,FALSE)),"")</f>
        <v/>
      </c>
    </row>
    <row r="136" spans="2:6" ht="15">
      <c r="B136" s="646">
        <f>'ORÇAMENTO '!F403</f>
        <v>0</v>
      </c>
      <c r="C136" s="647">
        <f>IFERROR(IF(OR($B136="",$B136=0),'ORÇAMENTO '!I403,VLOOKUP($B136,'ORÇAMENTO '!$F$21:$N$450,4,FALSE)),"")</f>
        <v>0</v>
      </c>
      <c r="D136" s="648" t="str">
        <f ca="1">IFERROR(IF(VLOOKUP($B136,'ORÇAMENTO '!$F$21:$P$993,11,FALSE)=0,"",VLOOKUP($B136,'ORÇAMENTO '!$F$21:$P$993,11,FALSE)),"")</f>
        <v/>
      </c>
      <c r="E136" s="649" t="str">
        <f ca="1">IFERROR(IF(VLOOKUP($B136,'ORÇAMENTO '!$F$21:$N$993,6,FALSE)=0,"",VLOOKUP($B136,'ORÇAMENTO '!$F$21:$N$993,6,FALSE)),"")</f>
        <v/>
      </c>
      <c r="F136" s="649" t="str">
        <f ca="1">IFERROR(IF(VLOOKUP($B136,'ORÇAMENTO '!$F$21:$N$993,5,FALSE)=0,"",VLOOKUP($B136,'ORÇAMENTO '!$F$21:$N$993,5,FALSE)),"")</f>
        <v/>
      </c>
    </row>
    <row r="137" spans="2:6" ht="15">
      <c r="B137" s="646">
        <f>'ORÇAMENTO '!F404</f>
        <v>0</v>
      </c>
      <c r="C137" s="647">
        <f>IFERROR(IF(OR($B137="",$B137=0),'ORÇAMENTO '!I404,VLOOKUP($B137,'ORÇAMENTO '!$F$21:$N$450,4,FALSE)),"")</f>
        <v>0</v>
      </c>
      <c r="D137" s="648" t="str">
        <f ca="1">IFERROR(IF(VLOOKUP($B137,'ORÇAMENTO '!$F$21:$P$993,11,FALSE)=0,"",VLOOKUP($B137,'ORÇAMENTO '!$F$21:$P$993,11,FALSE)),"")</f>
        <v/>
      </c>
      <c r="E137" s="649" t="str">
        <f ca="1">IFERROR(IF(VLOOKUP($B137,'ORÇAMENTO '!$F$21:$N$993,6,FALSE)=0,"",VLOOKUP($B137,'ORÇAMENTO '!$F$21:$N$993,6,FALSE)),"")</f>
        <v/>
      </c>
      <c r="F137" s="649" t="str">
        <f ca="1">IFERROR(IF(VLOOKUP($B137,'ORÇAMENTO '!$F$21:$N$993,5,FALSE)=0,"",VLOOKUP($B137,'ORÇAMENTO '!$F$21:$N$993,5,FALSE)),"")</f>
        <v/>
      </c>
    </row>
    <row r="138" spans="2:6" ht="15">
      <c r="B138" s="646">
        <f>'ORÇAMENTO '!F405</f>
        <v>0</v>
      </c>
      <c r="C138" s="647">
        <f>IFERROR(IF(OR($B138="",$B138=0),'ORÇAMENTO '!I405,VLOOKUP($B138,'ORÇAMENTO '!$F$21:$N$450,4,FALSE)),"")</f>
        <v>0</v>
      </c>
      <c r="D138" s="648" t="str">
        <f ca="1">IFERROR(IF(VLOOKUP($B138,'ORÇAMENTO '!$F$21:$P$993,11,FALSE)=0,"",VLOOKUP($B138,'ORÇAMENTO '!$F$21:$P$993,11,FALSE)),"")</f>
        <v/>
      </c>
      <c r="E138" s="649" t="str">
        <f ca="1">IFERROR(IF(VLOOKUP($B138,'ORÇAMENTO '!$F$21:$N$993,6,FALSE)=0,"",VLOOKUP($B138,'ORÇAMENTO '!$F$21:$N$993,6,FALSE)),"")</f>
        <v/>
      </c>
      <c r="F138" s="649" t="str">
        <f ca="1">IFERROR(IF(VLOOKUP($B138,'ORÇAMENTO '!$F$21:$N$993,5,FALSE)=0,"",VLOOKUP($B138,'ORÇAMENTO '!$F$21:$N$993,5,FALSE)),"")</f>
        <v/>
      </c>
    </row>
    <row r="139" spans="2:6" ht="15">
      <c r="B139" s="646">
        <f>'ORÇAMENTO '!F406</f>
        <v>0</v>
      </c>
      <c r="C139" s="647">
        <f>IFERROR(IF(OR($B139="",$B139=0),'ORÇAMENTO '!I406,VLOOKUP($B139,'ORÇAMENTO '!$F$21:$N$450,4,FALSE)),"")</f>
        <v>0</v>
      </c>
      <c r="D139" s="648" t="str">
        <f ca="1">IFERROR(IF(VLOOKUP($B139,'ORÇAMENTO '!$F$21:$P$993,11,FALSE)=0,"",VLOOKUP($B139,'ORÇAMENTO '!$F$21:$P$993,11,FALSE)),"")</f>
        <v/>
      </c>
      <c r="E139" s="649" t="str">
        <f ca="1">IFERROR(IF(VLOOKUP($B139,'ORÇAMENTO '!$F$21:$N$993,6,FALSE)=0,"",VLOOKUP($B139,'ORÇAMENTO '!$F$21:$N$993,6,FALSE)),"")</f>
        <v/>
      </c>
      <c r="F139" s="649" t="str">
        <f ca="1">IFERROR(IF(VLOOKUP($B139,'ORÇAMENTO '!$F$21:$N$993,5,FALSE)=0,"",VLOOKUP($B139,'ORÇAMENTO '!$F$21:$N$993,5,FALSE)),"")</f>
        <v/>
      </c>
    </row>
    <row r="140" spans="2:6" ht="15">
      <c r="B140" s="646">
        <f>'ORÇAMENTO '!F407</f>
        <v>0</v>
      </c>
      <c r="C140" s="647">
        <f>IFERROR(IF(OR($B140="",$B140=0),'ORÇAMENTO '!I407,VLOOKUP($B140,'ORÇAMENTO '!$F$21:$N$450,4,FALSE)),"")</f>
        <v>0</v>
      </c>
      <c r="D140" s="648" t="str">
        <f ca="1">IFERROR(IF(VLOOKUP($B140,'ORÇAMENTO '!$F$21:$P$993,11,FALSE)=0,"",VLOOKUP($B140,'ORÇAMENTO '!$F$21:$P$993,11,FALSE)),"")</f>
        <v/>
      </c>
      <c r="E140" s="649" t="str">
        <f ca="1">IFERROR(IF(VLOOKUP($B140,'ORÇAMENTO '!$F$21:$N$993,6,FALSE)=0,"",VLOOKUP($B140,'ORÇAMENTO '!$F$21:$N$993,6,FALSE)),"")</f>
        <v/>
      </c>
      <c r="F140" s="649" t="str">
        <f ca="1">IFERROR(IF(VLOOKUP($B140,'ORÇAMENTO '!$F$21:$N$993,5,FALSE)=0,"",VLOOKUP($B140,'ORÇAMENTO '!$F$21:$N$993,5,FALSE)),"")</f>
        <v/>
      </c>
    </row>
    <row r="141" spans="2:6" ht="15">
      <c r="B141" s="646">
        <f>'ORÇAMENTO '!F408</f>
        <v>0</v>
      </c>
      <c r="C141" s="647">
        <f>IFERROR(IF(OR($B141="",$B141=0),'ORÇAMENTO '!I408,VLOOKUP($B141,'ORÇAMENTO '!$F$21:$N$450,4,FALSE)),"")</f>
        <v>0</v>
      </c>
      <c r="D141" s="648" t="str">
        <f ca="1">IFERROR(IF(VLOOKUP($B141,'ORÇAMENTO '!$F$21:$P$993,11,FALSE)=0,"",VLOOKUP($B141,'ORÇAMENTO '!$F$21:$P$993,11,FALSE)),"")</f>
        <v/>
      </c>
      <c r="E141" s="649" t="str">
        <f ca="1">IFERROR(IF(VLOOKUP($B141,'ORÇAMENTO '!$F$21:$N$993,6,FALSE)=0,"",VLOOKUP($B141,'ORÇAMENTO '!$F$21:$N$993,6,FALSE)),"")</f>
        <v/>
      </c>
      <c r="F141" s="649" t="str">
        <f ca="1">IFERROR(IF(VLOOKUP($B141,'ORÇAMENTO '!$F$21:$N$993,5,FALSE)=0,"",VLOOKUP($B141,'ORÇAMENTO '!$F$21:$N$993,5,FALSE)),"")</f>
        <v/>
      </c>
    </row>
    <row r="142" spans="2:6" ht="15">
      <c r="B142" s="646">
        <f>'ORÇAMENTO '!F409</f>
        <v>0</v>
      </c>
      <c r="C142" s="647">
        <f>IFERROR(IF(OR($B142="",$B142=0),'ORÇAMENTO '!I409,VLOOKUP($B142,'ORÇAMENTO '!$F$21:$N$450,4,FALSE)),"")</f>
        <v>0</v>
      </c>
      <c r="D142" s="648" t="str">
        <f ca="1">IFERROR(IF(VLOOKUP($B142,'ORÇAMENTO '!$F$21:$P$993,11,FALSE)=0,"",VLOOKUP($B142,'ORÇAMENTO '!$F$21:$P$993,11,FALSE)),"")</f>
        <v/>
      </c>
      <c r="E142" s="649" t="str">
        <f ca="1">IFERROR(IF(VLOOKUP($B142,'ORÇAMENTO '!$F$21:$N$993,6,FALSE)=0,"",VLOOKUP($B142,'ORÇAMENTO '!$F$21:$N$993,6,FALSE)),"")</f>
        <v/>
      </c>
      <c r="F142" s="649" t="str">
        <f ca="1">IFERROR(IF(VLOOKUP($B142,'ORÇAMENTO '!$F$21:$N$993,5,FALSE)=0,"",VLOOKUP($B142,'ORÇAMENTO '!$F$21:$N$993,5,FALSE)),"")</f>
        <v/>
      </c>
    </row>
    <row r="143" spans="2:6" ht="15">
      <c r="B143" s="646">
        <f>'ORÇAMENTO '!F410</f>
        <v>0</v>
      </c>
      <c r="C143" s="647">
        <f>IFERROR(IF(OR($B143="",$B143=0),'ORÇAMENTO '!I410,VLOOKUP($B143,'ORÇAMENTO '!$F$21:$N$450,4,FALSE)),"")</f>
        <v>0</v>
      </c>
      <c r="D143" s="648" t="str">
        <f ca="1">IFERROR(IF(VLOOKUP($B143,'ORÇAMENTO '!$F$21:$P$993,11,FALSE)=0,"",VLOOKUP($B143,'ORÇAMENTO '!$F$21:$P$993,11,FALSE)),"")</f>
        <v/>
      </c>
      <c r="E143" s="649" t="str">
        <f ca="1">IFERROR(IF(VLOOKUP($B143,'ORÇAMENTO '!$F$21:$N$993,6,FALSE)=0,"",VLOOKUP($B143,'ORÇAMENTO '!$F$21:$N$993,6,FALSE)),"")</f>
        <v/>
      </c>
      <c r="F143" s="649" t="str">
        <f ca="1">IFERROR(IF(VLOOKUP($B143,'ORÇAMENTO '!$F$21:$N$993,5,FALSE)=0,"",VLOOKUP($B143,'ORÇAMENTO '!$F$21:$N$993,5,FALSE)),"")</f>
        <v/>
      </c>
    </row>
    <row r="144" spans="2:6" ht="15">
      <c r="B144" s="646">
        <f>'ORÇAMENTO '!F411</f>
        <v>0</v>
      </c>
      <c r="C144" s="647">
        <f>IFERROR(IF(OR($B144="",$B144=0),'ORÇAMENTO '!I411,VLOOKUP($B144,'ORÇAMENTO '!$F$21:$N$450,4,FALSE)),"")</f>
        <v>0</v>
      </c>
      <c r="D144" s="648" t="str">
        <f ca="1">IFERROR(IF(VLOOKUP($B144,'ORÇAMENTO '!$F$21:$P$993,11,FALSE)=0,"",VLOOKUP($B144,'ORÇAMENTO '!$F$21:$P$993,11,FALSE)),"")</f>
        <v/>
      </c>
      <c r="E144" s="649" t="str">
        <f ca="1">IFERROR(IF(VLOOKUP($B144,'ORÇAMENTO '!$F$21:$N$993,6,FALSE)=0,"",VLOOKUP($B144,'ORÇAMENTO '!$F$21:$N$993,6,FALSE)),"")</f>
        <v/>
      </c>
      <c r="F144" s="649" t="str">
        <f ca="1">IFERROR(IF(VLOOKUP($B144,'ORÇAMENTO '!$F$21:$N$993,5,FALSE)=0,"",VLOOKUP($B144,'ORÇAMENTO '!$F$21:$N$993,5,FALSE)),"")</f>
        <v/>
      </c>
    </row>
    <row r="145" spans="2:6" ht="15">
      <c r="B145" s="646">
        <f>'ORÇAMENTO '!F412</f>
        <v>0</v>
      </c>
      <c r="C145" s="647">
        <f>IFERROR(IF(OR($B145="",$B145=0),'ORÇAMENTO '!I412,VLOOKUP($B145,'ORÇAMENTO '!$F$21:$N$450,4,FALSE)),"")</f>
        <v>0</v>
      </c>
      <c r="D145" s="648" t="str">
        <f ca="1">IFERROR(IF(VLOOKUP($B145,'ORÇAMENTO '!$F$21:$P$993,11,FALSE)=0,"",VLOOKUP($B145,'ORÇAMENTO '!$F$21:$P$993,11,FALSE)),"")</f>
        <v/>
      </c>
      <c r="E145" s="649" t="str">
        <f ca="1">IFERROR(IF(VLOOKUP($B145,'ORÇAMENTO '!$F$21:$N$993,6,FALSE)=0,"",VLOOKUP($B145,'ORÇAMENTO '!$F$21:$N$993,6,FALSE)),"")</f>
        <v/>
      </c>
      <c r="F145" s="649" t="str">
        <f ca="1">IFERROR(IF(VLOOKUP($B145,'ORÇAMENTO '!$F$21:$N$993,5,FALSE)=0,"",VLOOKUP($B145,'ORÇAMENTO '!$F$21:$N$993,5,FALSE)),"")</f>
        <v/>
      </c>
    </row>
    <row r="146" spans="2:6" ht="15">
      <c r="B146" s="646">
        <f>'ORÇAMENTO '!F413</f>
        <v>0</v>
      </c>
      <c r="C146" s="647">
        <f>IFERROR(IF(OR($B146="",$B146=0),'ORÇAMENTO '!I413,VLOOKUP($B146,'ORÇAMENTO '!$F$21:$N$450,4,FALSE)),"")</f>
        <v>0</v>
      </c>
      <c r="D146" s="648" t="str">
        <f ca="1">IFERROR(IF(VLOOKUP($B146,'ORÇAMENTO '!$F$21:$P$993,11,FALSE)=0,"",VLOOKUP($B146,'ORÇAMENTO '!$F$21:$P$993,11,FALSE)),"")</f>
        <v/>
      </c>
      <c r="E146" s="649" t="str">
        <f ca="1">IFERROR(IF(VLOOKUP($B146,'ORÇAMENTO '!$F$21:$N$993,6,FALSE)=0,"",VLOOKUP($B146,'ORÇAMENTO '!$F$21:$N$993,6,FALSE)),"")</f>
        <v/>
      </c>
      <c r="F146" s="649" t="str">
        <f ca="1">IFERROR(IF(VLOOKUP($B146,'ORÇAMENTO '!$F$21:$N$993,5,FALSE)=0,"",VLOOKUP($B146,'ORÇAMENTO '!$F$21:$N$993,5,FALSE)),"")</f>
        <v/>
      </c>
    </row>
    <row r="147" spans="2:6" ht="15">
      <c r="B147" s="646">
        <f>'ORÇAMENTO '!F414</f>
        <v>0</v>
      </c>
      <c r="C147" s="647">
        <f>IFERROR(IF(OR($B147="",$B147=0),'ORÇAMENTO '!I414,VLOOKUP($B147,'ORÇAMENTO '!$F$21:$N$450,4,FALSE)),"")</f>
        <v>0</v>
      </c>
      <c r="D147" s="648" t="str">
        <f ca="1">IFERROR(IF(VLOOKUP($B147,'ORÇAMENTO '!$F$21:$P$993,11,FALSE)=0,"",VLOOKUP($B147,'ORÇAMENTO '!$F$21:$P$993,11,FALSE)),"")</f>
        <v/>
      </c>
      <c r="E147" s="649" t="str">
        <f ca="1">IFERROR(IF(VLOOKUP($B147,'ORÇAMENTO '!$F$21:$N$993,6,FALSE)=0,"",VLOOKUP($B147,'ORÇAMENTO '!$F$21:$N$993,6,FALSE)),"")</f>
        <v/>
      </c>
      <c r="F147" s="649" t="str">
        <f ca="1">IFERROR(IF(VLOOKUP($B147,'ORÇAMENTO '!$F$21:$N$993,5,FALSE)=0,"",VLOOKUP($B147,'ORÇAMENTO '!$F$21:$N$993,5,FALSE)),"")</f>
        <v/>
      </c>
    </row>
    <row r="148" spans="2:6" ht="15">
      <c r="B148" s="646">
        <f>'ORÇAMENTO '!F415</f>
        <v>0</v>
      </c>
      <c r="C148" s="647">
        <f>IFERROR(IF(OR($B148="",$B148=0),'ORÇAMENTO '!I415,VLOOKUP($B148,'ORÇAMENTO '!$F$21:$N$450,4,FALSE)),"")</f>
        <v>0</v>
      </c>
      <c r="D148" s="648" t="str">
        <f ca="1">IFERROR(IF(VLOOKUP($B148,'ORÇAMENTO '!$F$21:$P$993,11,FALSE)=0,"",VLOOKUP($B148,'ORÇAMENTO '!$F$21:$P$993,11,FALSE)),"")</f>
        <v/>
      </c>
      <c r="E148" s="649" t="str">
        <f ca="1">IFERROR(IF(VLOOKUP($B148,'ORÇAMENTO '!$F$21:$N$993,6,FALSE)=0,"",VLOOKUP($B148,'ORÇAMENTO '!$F$21:$N$993,6,FALSE)),"")</f>
        <v/>
      </c>
      <c r="F148" s="649" t="str">
        <f ca="1">IFERROR(IF(VLOOKUP($B148,'ORÇAMENTO '!$F$21:$N$993,5,FALSE)=0,"",VLOOKUP($B148,'ORÇAMENTO '!$F$21:$N$993,5,FALSE)),"")</f>
        <v/>
      </c>
    </row>
    <row r="149" spans="2:6" ht="15">
      <c r="B149" s="646">
        <f>'ORÇAMENTO '!F416</f>
        <v>0</v>
      </c>
      <c r="C149" s="647">
        <f>IFERROR(IF(OR($B149="",$B149=0),'ORÇAMENTO '!I416,VLOOKUP($B149,'ORÇAMENTO '!$F$21:$N$450,4,FALSE)),"")</f>
        <v>0</v>
      </c>
      <c r="D149" s="648" t="str">
        <f ca="1">IFERROR(IF(VLOOKUP($B149,'ORÇAMENTO '!$F$21:$P$993,11,FALSE)=0,"",VLOOKUP($B149,'ORÇAMENTO '!$F$21:$P$993,11,FALSE)),"")</f>
        <v/>
      </c>
      <c r="E149" s="649" t="str">
        <f ca="1">IFERROR(IF(VLOOKUP($B149,'ORÇAMENTO '!$F$21:$N$993,6,FALSE)=0,"",VLOOKUP($B149,'ORÇAMENTO '!$F$21:$N$993,6,FALSE)),"")</f>
        <v/>
      </c>
      <c r="F149" s="649" t="str">
        <f ca="1">IFERROR(IF(VLOOKUP($B149,'ORÇAMENTO '!$F$21:$N$993,5,FALSE)=0,"",VLOOKUP($B149,'ORÇAMENTO '!$F$21:$N$993,5,FALSE)),"")</f>
        <v/>
      </c>
    </row>
    <row r="150" spans="2:6" ht="15">
      <c r="B150" s="646">
        <f>'ORÇAMENTO '!F417</f>
        <v>0</v>
      </c>
      <c r="C150" s="647">
        <f>IFERROR(IF(OR($B150="",$B150=0),'ORÇAMENTO '!I417,VLOOKUP($B150,'ORÇAMENTO '!$F$21:$N$450,4,FALSE)),"")</f>
        <v>0</v>
      </c>
      <c r="D150" s="648" t="str">
        <f ca="1">IFERROR(IF(VLOOKUP($B150,'ORÇAMENTO '!$F$21:$P$993,11,FALSE)=0,"",VLOOKUP($B150,'ORÇAMENTO '!$F$21:$P$993,11,FALSE)),"")</f>
        <v/>
      </c>
      <c r="E150" s="649" t="str">
        <f ca="1">IFERROR(IF(VLOOKUP($B150,'ORÇAMENTO '!$F$21:$N$993,6,FALSE)=0,"",VLOOKUP($B150,'ORÇAMENTO '!$F$21:$N$993,6,FALSE)),"")</f>
        <v/>
      </c>
      <c r="F150" s="649" t="str">
        <f ca="1">IFERROR(IF(VLOOKUP($B150,'ORÇAMENTO '!$F$21:$N$993,5,FALSE)=0,"",VLOOKUP($B150,'ORÇAMENTO '!$F$21:$N$993,5,FALSE)),"")</f>
        <v/>
      </c>
    </row>
    <row r="151" spans="2:6" ht="15">
      <c r="B151" s="646">
        <f>'ORÇAMENTO '!F418</f>
        <v>0</v>
      </c>
      <c r="C151" s="647">
        <f>IFERROR(IF(OR($B151="",$B151=0),'ORÇAMENTO '!I418,VLOOKUP($B151,'ORÇAMENTO '!$F$21:$N$450,4,FALSE)),"")</f>
        <v>0</v>
      </c>
      <c r="D151" s="648" t="str">
        <f ca="1">IFERROR(IF(VLOOKUP($B151,'ORÇAMENTO '!$F$21:$P$993,11,FALSE)=0,"",VLOOKUP($B151,'ORÇAMENTO '!$F$21:$P$993,11,FALSE)),"")</f>
        <v/>
      </c>
      <c r="E151" s="649" t="str">
        <f ca="1">IFERROR(IF(VLOOKUP($B151,'ORÇAMENTO '!$F$21:$N$993,6,FALSE)=0,"",VLOOKUP($B151,'ORÇAMENTO '!$F$21:$N$993,6,FALSE)),"")</f>
        <v/>
      </c>
      <c r="F151" s="649" t="str">
        <f ca="1">IFERROR(IF(VLOOKUP($B151,'ORÇAMENTO '!$F$21:$N$993,5,FALSE)=0,"",VLOOKUP($B151,'ORÇAMENTO '!$F$21:$N$993,5,FALSE)),"")</f>
        <v/>
      </c>
    </row>
    <row r="152" spans="2:6" ht="15">
      <c r="B152" s="646">
        <f>'ORÇAMENTO '!F419</f>
        <v>0</v>
      </c>
      <c r="C152" s="647">
        <f>IFERROR(IF(OR($B152="",$B152=0),'ORÇAMENTO '!I419,VLOOKUP($B152,'ORÇAMENTO '!$F$21:$N$450,4,FALSE)),"")</f>
        <v>0</v>
      </c>
      <c r="D152" s="648" t="str">
        <f ca="1">IFERROR(IF(VLOOKUP($B152,'ORÇAMENTO '!$F$21:$P$993,11,FALSE)=0,"",VLOOKUP($B152,'ORÇAMENTO '!$F$21:$P$993,11,FALSE)),"")</f>
        <v/>
      </c>
      <c r="E152" s="649" t="str">
        <f ca="1">IFERROR(IF(VLOOKUP($B152,'ORÇAMENTO '!$F$21:$N$993,6,FALSE)=0,"",VLOOKUP($B152,'ORÇAMENTO '!$F$21:$N$993,6,FALSE)),"")</f>
        <v/>
      </c>
      <c r="F152" s="649" t="str">
        <f ca="1">IFERROR(IF(VLOOKUP($B152,'ORÇAMENTO '!$F$21:$N$993,5,FALSE)=0,"",VLOOKUP($B152,'ORÇAMENTO '!$F$21:$N$993,5,FALSE)),"")</f>
        <v/>
      </c>
    </row>
    <row r="153" spans="2:6" ht="15">
      <c r="B153" s="646">
        <f>'ORÇAMENTO '!F420</f>
        <v>0</v>
      </c>
      <c r="C153" s="647">
        <f>IFERROR(IF(OR($B153="",$B153=0),'ORÇAMENTO '!I420,VLOOKUP($B153,'ORÇAMENTO '!$F$21:$N$450,4,FALSE)),"")</f>
        <v>0</v>
      </c>
      <c r="D153" s="648" t="str">
        <f ca="1">IFERROR(IF(VLOOKUP($B153,'ORÇAMENTO '!$F$21:$P$993,11,FALSE)=0,"",VLOOKUP($B153,'ORÇAMENTO '!$F$21:$P$993,11,FALSE)),"")</f>
        <v/>
      </c>
      <c r="E153" s="649" t="str">
        <f ca="1">IFERROR(IF(VLOOKUP($B153,'ORÇAMENTO '!$F$21:$N$993,6,FALSE)=0,"",VLOOKUP($B153,'ORÇAMENTO '!$F$21:$N$993,6,FALSE)),"")</f>
        <v/>
      </c>
      <c r="F153" s="649" t="str">
        <f ca="1">IFERROR(IF(VLOOKUP($B153,'ORÇAMENTO '!$F$21:$N$993,5,FALSE)=0,"",VLOOKUP($B153,'ORÇAMENTO '!$F$21:$N$993,5,FALSE)),"")</f>
        <v/>
      </c>
    </row>
    <row r="154" spans="2:6" ht="15">
      <c r="B154" s="646">
        <f>'ORÇAMENTO '!F421</f>
        <v>0</v>
      </c>
      <c r="C154" s="647">
        <f>IFERROR(IF(OR($B154="",$B154=0),'ORÇAMENTO '!I421,VLOOKUP($B154,'ORÇAMENTO '!$F$21:$N$450,4,FALSE)),"")</f>
        <v>0</v>
      </c>
      <c r="D154" s="648" t="str">
        <f ca="1">IFERROR(IF(VLOOKUP($B154,'ORÇAMENTO '!$F$21:$P$993,11,FALSE)=0,"",VLOOKUP($B154,'ORÇAMENTO '!$F$21:$P$993,11,FALSE)),"")</f>
        <v/>
      </c>
      <c r="E154" s="649" t="str">
        <f ca="1">IFERROR(IF(VLOOKUP($B154,'ORÇAMENTO '!$F$21:$N$993,6,FALSE)=0,"",VLOOKUP($B154,'ORÇAMENTO '!$F$21:$N$993,6,FALSE)),"")</f>
        <v/>
      </c>
      <c r="F154" s="649" t="str">
        <f ca="1">IFERROR(IF(VLOOKUP($B154,'ORÇAMENTO '!$F$21:$N$993,5,FALSE)=0,"",VLOOKUP($B154,'ORÇAMENTO '!$F$21:$N$993,5,FALSE)),"")</f>
        <v/>
      </c>
    </row>
    <row r="155" spans="2:6" ht="15">
      <c r="B155" s="646">
        <f>'ORÇAMENTO '!F422</f>
        <v>0</v>
      </c>
      <c r="C155" s="647">
        <f>IFERROR(IF(OR($B155="",$B155=0),'ORÇAMENTO '!I422,VLOOKUP($B155,'ORÇAMENTO '!$F$21:$N$450,4,FALSE)),"")</f>
        <v>0</v>
      </c>
      <c r="D155" s="648" t="str">
        <f ca="1">IFERROR(IF(VLOOKUP($B155,'ORÇAMENTO '!$F$21:$P$993,11,FALSE)=0,"",VLOOKUP($B155,'ORÇAMENTO '!$F$21:$P$993,11,FALSE)),"")</f>
        <v/>
      </c>
      <c r="E155" s="649" t="str">
        <f ca="1">IFERROR(IF(VLOOKUP($B155,'ORÇAMENTO '!$F$21:$N$993,6,FALSE)=0,"",VLOOKUP($B155,'ORÇAMENTO '!$F$21:$N$993,6,FALSE)),"")</f>
        <v/>
      </c>
      <c r="F155" s="649" t="str">
        <f ca="1">IFERROR(IF(VLOOKUP($B155,'ORÇAMENTO '!$F$21:$N$993,5,FALSE)=0,"",VLOOKUP($B155,'ORÇAMENTO '!$F$21:$N$993,5,FALSE)),"")</f>
        <v/>
      </c>
    </row>
    <row r="156" spans="2:6" ht="15">
      <c r="B156" s="646">
        <f>'ORÇAMENTO '!F423</f>
        <v>0</v>
      </c>
      <c r="C156" s="647">
        <f>IFERROR(IF(OR($B156="",$B156=0),'ORÇAMENTO '!I423,VLOOKUP($B156,'ORÇAMENTO '!$F$21:$N$450,4,FALSE)),"")</f>
        <v>0</v>
      </c>
      <c r="D156" s="648" t="str">
        <f ca="1">IFERROR(IF(VLOOKUP($B156,'ORÇAMENTO '!$F$21:$P$993,11,FALSE)=0,"",VLOOKUP($B156,'ORÇAMENTO '!$F$21:$P$993,11,FALSE)),"")</f>
        <v/>
      </c>
      <c r="E156" s="649" t="str">
        <f ca="1">IFERROR(IF(VLOOKUP($B156,'ORÇAMENTO '!$F$21:$N$993,6,FALSE)=0,"",VLOOKUP($B156,'ORÇAMENTO '!$F$21:$N$993,6,FALSE)),"")</f>
        <v/>
      </c>
      <c r="F156" s="649" t="str">
        <f ca="1">IFERROR(IF(VLOOKUP($B156,'ORÇAMENTO '!$F$21:$N$993,5,FALSE)=0,"",VLOOKUP($B156,'ORÇAMENTO '!$F$21:$N$993,5,FALSE)),"")</f>
        <v/>
      </c>
    </row>
    <row r="157" spans="2:6" ht="15">
      <c r="B157" s="646">
        <f>'ORÇAMENTO '!F424</f>
        <v>0</v>
      </c>
      <c r="C157" s="647">
        <f>IFERROR(IF(OR($B157="",$B157=0),'ORÇAMENTO '!I424,VLOOKUP($B157,'ORÇAMENTO '!$F$21:$N$450,4,FALSE)),"")</f>
        <v>0</v>
      </c>
      <c r="D157" s="648" t="str">
        <f ca="1">IFERROR(IF(VLOOKUP($B157,'ORÇAMENTO '!$F$21:$P$993,11,FALSE)=0,"",VLOOKUP($B157,'ORÇAMENTO '!$F$21:$P$993,11,FALSE)),"")</f>
        <v/>
      </c>
      <c r="E157" s="649" t="str">
        <f ca="1">IFERROR(IF(VLOOKUP($B157,'ORÇAMENTO '!$F$21:$N$993,6,FALSE)=0,"",VLOOKUP($B157,'ORÇAMENTO '!$F$21:$N$993,6,FALSE)),"")</f>
        <v/>
      </c>
      <c r="F157" s="649" t="str">
        <f ca="1">IFERROR(IF(VLOOKUP($B157,'ORÇAMENTO '!$F$21:$N$993,5,FALSE)=0,"",VLOOKUP($B157,'ORÇAMENTO '!$F$21:$N$993,5,FALSE)),"")</f>
        <v/>
      </c>
    </row>
    <row r="158" spans="2:6" ht="15">
      <c r="B158" s="646">
        <f>'ORÇAMENTO '!F425</f>
        <v>0</v>
      </c>
      <c r="C158" s="647">
        <f>IFERROR(IF(OR($B158="",$B158=0),'ORÇAMENTO '!I425,VLOOKUP($B158,'ORÇAMENTO '!$F$21:$N$450,4,FALSE)),"")</f>
        <v>0</v>
      </c>
      <c r="D158" s="648" t="str">
        <f ca="1">IFERROR(IF(VLOOKUP($B158,'ORÇAMENTO '!$F$21:$P$993,11,FALSE)=0,"",VLOOKUP($B158,'ORÇAMENTO '!$F$21:$P$993,11,FALSE)),"")</f>
        <v/>
      </c>
      <c r="E158" s="649" t="str">
        <f ca="1">IFERROR(IF(VLOOKUP($B158,'ORÇAMENTO '!$F$21:$N$993,6,FALSE)=0,"",VLOOKUP($B158,'ORÇAMENTO '!$F$21:$N$993,6,FALSE)),"")</f>
        <v/>
      </c>
      <c r="F158" s="649" t="str">
        <f ca="1">IFERROR(IF(VLOOKUP($B158,'ORÇAMENTO '!$F$21:$N$993,5,FALSE)=0,"",VLOOKUP($B158,'ORÇAMENTO '!$F$21:$N$993,5,FALSE)),"")</f>
        <v/>
      </c>
    </row>
    <row r="159" spans="2:6" ht="15">
      <c r="B159" s="646">
        <f>'ORÇAMENTO '!F426</f>
        <v>0</v>
      </c>
      <c r="C159" s="647">
        <f>IFERROR(IF(OR($B159="",$B159=0),'ORÇAMENTO '!I426,VLOOKUP($B159,'ORÇAMENTO '!$F$21:$N$450,4,FALSE)),"")</f>
        <v>0</v>
      </c>
      <c r="D159" s="648" t="str">
        <f ca="1">IFERROR(IF(VLOOKUP($B159,'ORÇAMENTO '!$F$21:$P$993,11,FALSE)=0,"",VLOOKUP($B159,'ORÇAMENTO '!$F$21:$P$993,11,FALSE)),"")</f>
        <v/>
      </c>
      <c r="E159" s="649" t="str">
        <f ca="1">IFERROR(IF(VLOOKUP($B159,'ORÇAMENTO '!$F$21:$N$993,6,FALSE)=0,"",VLOOKUP($B159,'ORÇAMENTO '!$F$21:$N$993,6,FALSE)),"")</f>
        <v/>
      </c>
      <c r="F159" s="649" t="str">
        <f ca="1">IFERROR(IF(VLOOKUP($B159,'ORÇAMENTO '!$F$21:$N$993,5,FALSE)=0,"",VLOOKUP($B159,'ORÇAMENTO '!$F$21:$N$993,5,FALSE)),"")</f>
        <v/>
      </c>
    </row>
    <row r="160" spans="2:6" ht="15">
      <c r="B160" s="646">
        <f>'ORÇAMENTO '!F427</f>
        <v>0</v>
      </c>
      <c r="C160" s="647">
        <f>IFERROR(IF(OR($B160="",$B160=0),'ORÇAMENTO '!I427,VLOOKUP($B160,'ORÇAMENTO '!$F$21:$N$450,4,FALSE)),"")</f>
        <v>0</v>
      </c>
      <c r="D160" s="648" t="str">
        <f ca="1">IFERROR(IF(VLOOKUP($B160,'ORÇAMENTO '!$F$21:$P$993,11,FALSE)=0,"",VLOOKUP($B160,'ORÇAMENTO '!$F$21:$P$993,11,FALSE)),"")</f>
        <v/>
      </c>
      <c r="E160" s="649" t="str">
        <f ca="1">IFERROR(IF(VLOOKUP($B160,'ORÇAMENTO '!$F$21:$N$993,6,FALSE)=0,"",VLOOKUP($B160,'ORÇAMENTO '!$F$21:$N$993,6,FALSE)),"")</f>
        <v/>
      </c>
      <c r="F160" s="649" t="str">
        <f ca="1">IFERROR(IF(VLOOKUP($B160,'ORÇAMENTO '!$F$21:$N$993,5,FALSE)=0,"",VLOOKUP($B160,'ORÇAMENTO '!$F$21:$N$993,5,FALSE)),"")</f>
        <v/>
      </c>
    </row>
    <row r="161" spans="2:6" ht="15">
      <c r="B161" s="646">
        <f>'ORÇAMENTO '!F428</f>
        <v>0</v>
      </c>
      <c r="C161" s="647">
        <f>IFERROR(IF(OR($B161="",$B161=0),'ORÇAMENTO '!I428,VLOOKUP($B161,'ORÇAMENTO '!$F$21:$N$450,4,FALSE)),"")</f>
        <v>0</v>
      </c>
      <c r="D161" s="648" t="str">
        <f ca="1">IFERROR(IF(VLOOKUP($B161,'ORÇAMENTO '!$F$21:$P$993,11,FALSE)=0,"",VLOOKUP($B161,'ORÇAMENTO '!$F$21:$P$993,11,FALSE)),"")</f>
        <v/>
      </c>
      <c r="E161" s="649" t="str">
        <f ca="1">IFERROR(IF(VLOOKUP($B161,'ORÇAMENTO '!$F$21:$N$993,6,FALSE)=0,"",VLOOKUP($B161,'ORÇAMENTO '!$F$21:$N$993,6,FALSE)),"")</f>
        <v/>
      </c>
      <c r="F161" s="649" t="str">
        <f ca="1">IFERROR(IF(VLOOKUP($B161,'ORÇAMENTO '!$F$21:$N$993,5,FALSE)=0,"",VLOOKUP($B161,'ORÇAMENTO '!$F$21:$N$993,5,FALSE)),"")</f>
        <v/>
      </c>
    </row>
    <row r="162" spans="2:6" ht="15">
      <c r="B162" s="646">
        <f>'ORÇAMENTO '!F429</f>
        <v>0</v>
      </c>
      <c r="C162" s="647">
        <f>IFERROR(IF(OR($B162="",$B162=0),'ORÇAMENTO '!I429,VLOOKUP($B162,'ORÇAMENTO '!$F$21:$N$450,4,FALSE)),"")</f>
        <v>0</v>
      </c>
      <c r="D162" s="648" t="str">
        <f ca="1">IFERROR(IF(VLOOKUP($B162,'ORÇAMENTO '!$F$21:$P$993,11,FALSE)=0,"",VLOOKUP($B162,'ORÇAMENTO '!$F$21:$P$993,11,FALSE)),"")</f>
        <v/>
      </c>
      <c r="E162" s="649" t="str">
        <f ca="1">IFERROR(IF(VLOOKUP($B162,'ORÇAMENTO '!$F$21:$N$993,6,FALSE)=0,"",VLOOKUP($B162,'ORÇAMENTO '!$F$21:$N$993,6,FALSE)),"")</f>
        <v/>
      </c>
      <c r="F162" s="649" t="str">
        <f ca="1">IFERROR(IF(VLOOKUP($B162,'ORÇAMENTO '!$F$21:$N$993,5,FALSE)=0,"",VLOOKUP($B162,'ORÇAMENTO '!$F$21:$N$993,5,FALSE)),"")</f>
        <v/>
      </c>
    </row>
    <row r="163" spans="2:6" ht="15">
      <c r="B163" s="646">
        <f>'ORÇAMENTO '!F430</f>
        <v>0</v>
      </c>
      <c r="C163" s="647">
        <f>IFERROR(IF(OR($B163="",$B163=0),'ORÇAMENTO '!I430,VLOOKUP($B163,'ORÇAMENTO '!$F$21:$N$450,4,FALSE)),"")</f>
        <v>0</v>
      </c>
      <c r="D163" s="648" t="str">
        <f ca="1">IFERROR(IF(VLOOKUP($B163,'ORÇAMENTO '!$F$21:$P$993,11,FALSE)=0,"",VLOOKUP($B163,'ORÇAMENTO '!$F$21:$P$993,11,FALSE)),"")</f>
        <v/>
      </c>
      <c r="E163" s="649" t="str">
        <f ca="1">IFERROR(IF(VLOOKUP($B163,'ORÇAMENTO '!$F$21:$N$993,6,FALSE)=0,"",VLOOKUP($B163,'ORÇAMENTO '!$F$21:$N$993,6,FALSE)),"")</f>
        <v/>
      </c>
      <c r="F163" s="649" t="str">
        <f ca="1">IFERROR(IF(VLOOKUP($B163,'ORÇAMENTO '!$F$21:$N$993,5,FALSE)=0,"",VLOOKUP($B163,'ORÇAMENTO '!$F$21:$N$993,5,FALSE)),"")</f>
        <v/>
      </c>
    </row>
    <row r="164" spans="2:6" ht="15">
      <c r="B164" s="646">
        <f>'ORÇAMENTO '!F431</f>
        <v>0</v>
      </c>
      <c r="C164" s="647">
        <f>IFERROR(IF(OR($B164="",$B164=0),'ORÇAMENTO '!I431,VLOOKUP($B164,'ORÇAMENTO '!$F$21:$N$450,4,FALSE)),"")</f>
        <v>0</v>
      </c>
      <c r="D164" s="648" t="str">
        <f ca="1">IFERROR(IF(VLOOKUP($B164,'ORÇAMENTO '!$F$21:$P$993,11,FALSE)=0,"",VLOOKUP($B164,'ORÇAMENTO '!$F$21:$P$993,11,FALSE)),"")</f>
        <v/>
      </c>
      <c r="E164" s="649" t="str">
        <f ca="1">IFERROR(IF(VLOOKUP($B164,'ORÇAMENTO '!$F$21:$N$993,6,FALSE)=0,"",VLOOKUP($B164,'ORÇAMENTO '!$F$21:$N$993,6,FALSE)),"")</f>
        <v/>
      </c>
      <c r="F164" s="649" t="str">
        <f ca="1">IFERROR(IF(VLOOKUP($B164,'ORÇAMENTO '!$F$21:$N$993,5,FALSE)=0,"",VLOOKUP($B164,'ORÇAMENTO '!$F$21:$N$993,5,FALSE)),"")</f>
        <v/>
      </c>
    </row>
    <row r="165" spans="2:6" ht="15">
      <c r="B165" s="646">
        <f>'ORÇAMENTO '!F432</f>
        <v>0</v>
      </c>
      <c r="C165" s="647">
        <f>IFERROR(IF(OR($B165="",$B165=0),'ORÇAMENTO '!I432,VLOOKUP($B165,'ORÇAMENTO '!$F$21:$N$450,4,FALSE)),"")</f>
        <v>0</v>
      </c>
      <c r="D165" s="648" t="str">
        <f ca="1">IFERROR(IF(VLOOKUP($B165,'ORÇAMENTO '!$F$21:$P$993,11,FALSE)=0,"",VLOOKUP($B165,'ORÇAMENTO '!$F$21:$P$993,11,FALSE)),"")</f>
        <v/>
      </c>
      <c r="E165" s="649" t="str">
        <f ca="1">IFERROR(IF(VLOOKUP($B165,'ORÇAMENTO '!$F$21:$N$993,6,FALSE)=0,"",VLOOKUP($B165,'ORÇAMENTO '!$F$21:$N$993,6,FALSE)),"")</f>
        <v/>
      </c>
      <c r="F165" s="649" t="str">
        <f ca="1">IFERROR(IF(VLOOKUP($B165,'ORÇAMENTO '!$F$21:$N$993,5,FALSE)=0,"",VLOOKUP($B165,'ORÇAMENTO '!$F$21:$N$993,5,FALSE)),"")</f>
        <v/>
      </c>
    </row>
    <row r="166" spans="2:6" ht="15">
      <c r="B166" s="646">
        <f>'ORÇAMENTO '!F433</f>
        <v>0</v>
      </c>
      <c r="C166" s="647">
        <f>IFERROR(IF(OR($B166="",$B166=0),'ORÇAMENTO '!I433,VLOOKUP($B166,'ORÇAMENTO '!$F$21:$N$450,4,FALSE)),"")</f>
        <v>0</v>
      </c>
      <c r="D166" s="648" t="str">
        <f ca="1">IFERROR(IF(VLOOKUP($B166,'ORÇAMENTO '!$F$21:$P$993,11,FALSE)=0,"",VLOOKUP($B166,'ORÇAMENTO '!$F$21:$P$993,11,FALSE)),"")</f>
        <v/>
      </c>
      <c r="E166" s="649" t="str">
        <f ca="1">IFERROR(IF(VLOOKUP($B166,'ORÇAMENTO '!$F$21:$N$993,6,FALSE)=0,"",VLOOKUP($B166,'ORÇAMENTO '!$F$21:$N$993,6,FALSE)),"")</f>
        <v/>
      </c>
      <c r="F166" s="649" t="str">
        <f ca="1">IFERROR(IF(VLOOKUP($B166,'ORÇAMENTO '!$F$21:$N$993,5,FALSE)=0,"",VLOOKUP($B166,'ORÇAMENTO '!$F$21:$N$993,5,FALSE)),"")</f>
        <v/>
      </c>
    </row>
    <row r="167" spans="2:6" ht="15">
      <c r="B167" s="646">
        <f>'ORÇAMENTO '!F434</f>
        <v>0</v>
      </c>
      <c r="C167" s="647">
        <f>IFERROR(IF(OR($B167="",$B167=0),'ORÇAMENTO '!I434,VLOOKUP($B167,'ORÇAMENTO '!$F$21:$N$450,4,FALSE)),"")</f>
        <v>0</v>
      </c>
      <c r="D167" s="648" t="str">
        <f ca="1">IFERROR(IF(VLOOKUP($B167,'ORÇAMENTO '!$F$21:$P$993,11,FALSE)=0,"",VLOOKUP($B167,'ORÇAMENTO '!$F$21:$P$993,11,FALSE)),"")</f>
        <v/>
      </c>
      <c r="E167" s="649" t="str">
        <f ca="1">IFERROR(IF(VLOOKUP($B167,'ORÇAMENTO '!$F$21:$N$993,6,FALSE)=0,"",VLOOKUP($B167,'ORÇAMENTO '!$F$21:$N$993,6,FALSE)),"")</f>
        <v/>
      </c>
      <c r="F167" s="649" t="str">
        <f ca="1">IFERROR(IF(VLOOKUP($B167,'ORÇAMENTO '!$F$21:$N$993,5,FALSE)=0,"",VLOOKUP($B167,'ORÇAMENTO '!$F$21:$N$993,5,FALSE)),"")</f>
        <v/>
      </c>
    </row>
    <row r="168" spans="2:6" ht="15">
      <c r="B168" s="646">
        <f>'ORÇAMENTO '!F435</f>
        <v>0</v>
      </c>
      <c r="C168" s="647">
        <f>IFERROR(IF(OR($B168="",$B168=0),'ORÇAMENTO '!I435,VLOOKUP($B168,'ORÇAMENTO '!$F$21:$N$450,4,FALSE)),"")</f>
        <v>0</v>
      </c>
      <c r="D168" s="648" t="str">
        <f ca="1">IFERROR(IF(VLOOKUP($B168,'ORÇAMENTO '!$F$21:$P$993,11,FALSE)=0,"",VLOOKUP($B168,'ORÇAMENTO '!$F$21:$P$993,11,FALSE)),"")</f>
        <v/>
      </c>
      <c r="E168" s="649" t="str">
        <f ca="1">IFERROR(IF(VLOOKUP($B168,'ORÇAMENTO '!$F$21:$N$993,6,FALSE)=0,"",VLOOKUP($B168,'ORÇAMENTO '!$F$21:$N$993,6,FALSE)),"")</f>
        <v/>
      </c>
      <c r="F168" s="649" t="str">
        <f ca="1">IFERROR(IF(VLOOKUP($B168,'ORÇAMENTO '!$F$21:$N$993,5,FALSE)=0,"",VLOOKUP($B168,'ORÇAMENTO '!$F$21:$N$993,5,FALSE)),"")</f>
        <v/>
      </c>
    </row>
    <row r="169" spans="2:6" ht="15">
      <c r="B169" s="646">
        <f>'ORÇAMENTO '!F436</f>
        <v>0</v>
      </c>
      <c r="C169" s="647">
        <f>IFERROR(IF(OR($B169="",$B169=0),'ORÇAMENTO '!I436,VLOOKUP($B169,'ORÇAMENTO '!$F$21:$N$450,4,FALSE)),"")</f>
        <v>0</v>
      </c>
      <c r="D169" s="648" t="str">
        <f ca="1">IFERROR(IF(VLOOKUP($B169,'ORÇAMENTO '!$F$21:$P$993,11,FALSE)=0,"",VLOOKUP($B169,'ORÇAMENTO '!$F$21:$P$993,11,FALSE)),"")</f>
        <v/>
      </c>
      <c r="E169" s="649" t="str">
        <f ca="1">IFERROR(IF(VLOOKUP($B169,'ORÇAMENTO '!$F$21:$N$993,6,FALSE)=0,"",VLOOKUP($B169,'ORÇAMENTO '!$F$21:$N$993,6,FALSE)),"")</f>
        <v/>
      </c>
      <c r="F169" s="649" t="str">
        <f ca="1">IFERROR(IF(VLOOKUP($B169,'ORÇAMENTO '!$F$21:$N$993,5,FALSE)=0,"",VLOOKUP($B169,'ORÇAMENTO '!$F$21:$N$993,5,FALSE)),"")</f>
        <v/>
      </c>
    </row>
    <row r="170" spans="2:6" ht="15">
      <c r="B170" s="646">
        <f>'ORÇAMENTO '!F437</f>
        <v>0</v>
      </c>
      <c r="C170" s="647">
        <f>IFERROR(IF(OR($B170="",$B170=0),'ORÇAMENTO '!I437,VLOOKUP($B170,'ORÇAMENTO '!$F$21:$N$450,4,FALSE)),"")</f>
        <v>0</v>
      </c>
      <c r="D170" s="648" t="str">
        <f ca="1">IFERROR(IF(VLOOKUP($B170,'ORÇAMENTO '!$F$21:$P$993,11,FALSE)=0,"",VLOOKUP($B170,'ORÇAMENTO '!$F$21:$P$993,11,FALSE)),"")</f>
        <v/>
      </c>
      <c r="E170" s="649" t="str">
        <f ca="1">IFERROR(IF(VLOOKUP($B170,'ORÇAMENTO '!$F$21:$N$993,6,FALSE)=0,"",VLOOKUP($B170,'ORÇAMENTO '!$F$21:$N$993,6,FALSE)),"")</f>
        <v/>
      </c>
      <c r="F170" s="649" t="str">
        <f ca="1">IFERROR(IF(VLOOKUP($B170,'ORÇAMENTO '!$F$21:$N$993,5,FALSE)=0,"",VLOOKUP($B170,'ORÇAMENTO '!$F$21:$N$993,5,FALSE)),"")</f>
        <v/>
      </c>
    </row>
    <row r="171" spans="2:6" ht="15">
      <c r="B171" s="646">
        <f>'ORÇAMENTO '!F438</f>
        <v>0</v>
      </c>
      <c r="C171" s="647">
        <f>IFERROR(IF(OR($B171="",$B171=0),'ORÇAMENTO '!I438,VLOOKUP($B171,'ORÇAMENTO '!$F$21:$N$450,4,FALSE)),"")</f>
        <v>0</v>
      </c>
      <c r="D171" s="648" t="str">
        <f ca="1">IFERROR(IF(VLOOKUP($B171,'ORÇAMENTO '!$F$21:$P$993,11,FALSE)=0,"",VLOOKUP($B171,'ORÇAMENTO '!$F$21:$P$993,11,FALSE)),"")</f>
        <v/>
      </c>
      <c r="E171" s="649" t="str">
        <f ca="1">IFERROR(IF(VLOOKUP($B171,'ORÇAMENTO '!$F$21:$N$993,6,FALSE)=0,"",VLOOKUP($B171,'ORÇAMENTO '!$F$21:$N$993,6,FALSE)),"")</f>
        <v/>
      </c>
      <c r="F171" s="649" t="str">
        <f ca="1">IFERROR(IF(VLOOKUP($B171,'ORÇAMENTO '!$F$21:$N$993,5,FALSE)=0,"",VLOOKUP($B171,'ORÇAMENTO '!$F$21:$N$993,5,FALSE)),"")</f>
        <v/>
      </c>
    </row>
    <row r="172" spans="2:6" ht="15">
      <c r="B172" s="646">
        <f>'ORÇAMENTO '!F439</f>
        <v>0</v>
      </c>
      <c r="C172" s="647">
        <f>IFERROR(IF(OR($B172="",$B172=0),'ORÇAMENTO '!I439,VLOOKUP($B172,'ORÇAMENTO '!$F$21:$N$450,4,FALSE)),"")</f>
        <v>0</v>
      </c>
      <c r="D172" s="648" t="str">
        <f ca="1">IFERROR(IF(VLOOKUP($B172,'ORÇAMENTO '!$F$21:$P$993,11,FALSE)=0,"",VLOOKUP($B172,'ORÇAMENTO '!$F$21:$P$993,11,FALSE)),"")</f>
        <v/>
      </c>
      <c r="E172" s="649" t="str">
        <f ca="1">IFERROR(IF(VLOOKUP($B172,'ORÇAMENTO '!$F$21:$N$993,6,FALSE)=0,"",VLOOKUP($B172,'ORÇAMENTO '!$F$21:$N$993,6,FALSE)),"")</f>
        <v/>
      </c>
      <c r="F172" s="649" t="str">
        <f ca="1">IFERROR(IF(VLOOKUP($B172,'ORÇAMENTO '!$F$21:$N$993,5,FALSE)=0,"",VLOOKUP($B172,'ORÇAMENTO '!$F$21:$N$993,5,FALSE)),"")</f>
        <v/>
      </c>
    </row>
    <row r="173" spans="2:6" ht="15">
      <c r="B173" s="646">
        <f>'ORÇAMENTO '!F440</f>
        <v>0</v>
      </c>
      <c r="C173" s="647">
        <f>IFERROR(IF(OR($B173="",$B173=0),'ORÇAMENTO '!I440,VLOOKUP($B173,'ORÇAMENTO '!$F$21:$N$450,4,FALSE)),"")</f>
        <v>0</v>
      </c>
      <c r="D173" s="648" t="str">
        <f ca="1">IFERROR(IF(VLOOKUP($B173,'ORÇAMENTO '!$F$21:$P$993,11,FALSE)=0,"",VLOOKUP($B173,'ORÇAMENTO '!$F$21:$P$993,11,FALSE)),"")</f>
        <v/>
      </c>
      <c r="E173" s="649" t="str">
        <f ca="1">IFERROR(IF(VLOOKUP($B173,'ORÇAMENTO '!$F$21:$N$993,6,FALSE)=0,"",VLOOKUP($B173,'ORÇAMENTO '!$F$21:$N$993,6,FALSE)),"")</f>
        <v/>
      </c>
      <c r="F173" s="649" t="str">
        <f ca="1">IFERROR(IF(VLOOKUP($B173,'ORÇAMENTO '!$F$21:$N$993,5,FALSE)=0,"",VLOOKUP($B173,'ORÇAMENTO '!$F$21:$N$993,5,FALSE)),"")</f>
        <v/>
      </c>
    </row>
    <row r="174" spans="2:6" ht="15">
      <c r="B174" s="646">
        <f>'ORÇAMENTO '!F441</f>
        <v>0</v>
      </c>
      <c r="C174" s="647">
        <f>IFERROR(IF(OR($B174="",$B174=0),'ORÇAMENTO '!I441,VLOOKUP($B174,'ORÇAMENTO '!$F$21:$N$450,4,FALSE)),"")</f>
        <v>0</v>
      </c>
      <c r="D174" s="648" t="str">
        <f ca="1">IFERROR(IF(VLOOKUP($B174,'ORÇAMENTO '!$F$21:$P$993,11,FALSE)=0,"",VLOOKUP($B174,'ORÇAMENTO '!$F$21:$P$993,11,FALSE)),"")</f>
        <v/>
      </c>
      <c r="E174" s="649" t="str">
        <f ca="1">IFERROR(IF(VLOOKUP($B174,'ORÇAMENTO '!$F$21:$N$993,6,FALSE)=0,"",VLOOKUP($B174,'ORÇAMENTO '!$F$21:$N$993,6,FALSE)),"")</f>
        <v/>
      </c>
      <c r="F174" s="649" t="str">
        <f ca="1">IFERROR(IF(VLOOKUP($B174,'ORÇAMENTO '!$F$21:$N$993,5,FALSE)=0,"",VLOOKUP($B174,'ORÇAMENTO '!$F$21:$N$993,5,FALSE)),"")</f>
        <v/>
      </c>
    </row>
    <row r="175" spans="2:6" ht="15">
      <c r="B175" s="646">
        <f>'ORÇAMENTO '!F442</f>
        <v>0</v>
      </c>
      <c r="C175" s="647">
        <f>IFERROR(IF(OR($B175="",$B175=0),'ORÇAMENTO '!I442,VLOOKUP($B175,'ORÇAMENTO '!$F$21:$N$450,4,FALSE)),"")</f>
        <v>0</v>
      </c>
      <c r="D175" s="648" t="str">
        <f ca="1">IFERROR(IF(VLOOKUP($B175,'ORÇAMENTO '!$F$21:$P$993,11,FALSE)=0,"",VLOOKUP($B175,'ORÇAMENTO '!$F$21:$P$993,11,FALSE)),"")</f>
        <v/>
      </c>
      <c r="E175" s="649" t="str">
        <f ca="1">IFERROR(IF(VLOOKUP($B175,'ORÇAMENTO '!$F$21:$N$993,6,FALSE)=0,"",VLOOKUP($B175,'ORÇAMENTO '!$F$21:$N$993,6,FALSE)),"")</f>
        <v/>
      </c>
      <c r="F175" s="649" t="str">
        <f ca="1">IFERROR(IF(VLOOKUP($B175,'ORÇAMENTO '!$F$21:$N$993,5,FALSE)=0,"",VLOOKUP($B175,'ORÇAMENTO '!$F$21:$N$993,5,FALSE)),"")</f>
        <v/>
      </c>
    </row>
    <row r="176" spans="2:6" ht="15">
      <c r="B176" s="646">
        <f>'ORÇAMENTO '!F443</f>
        <v>0</v>
      </c>
      <c r="C176" s="647">
        <f>IFERROR(IF(OR($B176="",$B176=0),'ORÇAMENTO '!I443,VLOOKUP($B176,'ORÇAMENTO '!$F$21:$N$450,4,FALSE)),"")</f>
        <v>0</v>
      </c>
      <c r="D176" s="648" t="str">
        <f ca="1">IFERROR(IF(VLOOKUP($B176,'ORÇAMENTO '!$F$21:$P$993,11,FALSE)=0,"",VLOOKUP($B176,'ORÇAMENTO '!$F$21:$P$993,11,FALSE)),"")</f>
        <v/>
      </c>
      <c r="E176" s="649" t="str">
        <f ca="1">IFERROR(IF(VLOOKUP($B176,'ORÇAMENTO '!$F$21:$N$993,6,FALSE)=0,"",VLOOKUP($B176,'ORÇAMENTO '!$F$21:$N$993,6,FALSE)),"")</f>
        <v/>
      </c>
      <c r="F176" s="649" t="str">
        <f ca="1">IFERROR(IF(VLOOKUP($B176,'ORÇAMENTO '!$F$21:$N$993,5,FALSE)=0,"",VLOOKUP($B176,'ORÇAMENTO '!$F$21:$N$993,5,FALSE)),"")</f>
        <v/>
      </c>
    </row>
    <row r="177" spans="2:6" ht="15">
      <c r="B177" s="646">
        <f>'ORÇAMENTO '!F444</f>
        <v>0</v>
      </c>
      <c r="C177" s="647">
        <f>IFERROR(IF(OR($B177="",$B177=0),'ORÇAMENTO '!I444,VLOOKUP($B177,'ORÇAMENTO '!$F$21:$N$450,4,FALSE)),"")</f>
        <v>0</v>
      </c>
      <c r="D177" s="648" t="str">
        <f ca="1">IFERROR(IF(VLOOKUP($B177,'ORÇAMENTO '!$F$21:$P$993,11,FALSE)=0,"",VLOOKUP($B177,'ORÇAMENTO '!$F$21:$P$993,11,FALSE)),"")</f>
        <v/>
      </c>
      <c r="E177" s="649" t="str">
        <f ca="1">IFERROR(IF(VLOOKUP($B177,'ORÇAMENTO '!$F$21:$N$993,6,FALSE)=0,"",VLOOKUP($B177,'ORÇAMENTO '!$F$21:$N$993,6,FALSE)),"")</f>
        <v/>
      </c>
      <c r="F177" s="649" t="str">
        <f ca="1">IFERROR(IF(VLOOKUP($B177,'ORÇAMENTO '!$F$21:$N$993,5,FALSE)=0,"",VLOOKUP($B177,'ORÇAMENTO '!$F$21:$N$993,5,FALSE)),"")</f>
        <v/>
      </c>
    </row>
    <row r="178" spans="2:6" ht="15">
      <c r="B178" s="646">
        <f>'ORÇAMENTO '!F445</f>
        <v>0</v>
      </c>
      <c r="C178" s="647">
        <f>IFERROR(IF(OR($B178="",$B178=0),'ORÇAMENTO '!I445,VLOOKUP($B178,'ORÇAMENTO '!$F$21:$N$450,4,FALSE)),"")</f>
        <v>0</v>
      </c>
      <c r="D178" s="648" t="str">
        <f ca="1">IFERROR(IF(VLOOKUP($B178,'ORÇAMENTO '!$F$21:$P$993,11,FALSE)=0,"",VLOOKUP($B178,'ORÇAMENTO '!$F$21:$P$993,11,FALSE)),"")</f>
        <v/>
      </c>
      <c r="E178" s="649" t="str">
        <f ca="1">IFERROR(IF(VLOOKUP($B178,'ORÇAMENTO '!$F$21:$N$993,6,FALSE)=0,"",VLOOKUP($B178,'ORÇAMENTO '!$F$21:$N$993,6,FALSE)),"")</f>
        <v/>
      </c>
      <c r="F178" s="649" t="str">
        <f ca="1">IFERROR(IF(VLOOKUP($B178,'ORÇAMENTO '!$F$21:$N$993,5,FALSE)=0,"",VLOOKUP($B178,'ORÇAMENTO '!$F$21:$N$993,5,FALSE)),"")</f>
        <v/>
      </c>
    </row>
    <row r="179" spans="2:6" ht="15">
      <c r="B179" s="646">
        <f>'ORÇAMENTO '!F446</f>
        <v>0</v>
      </c>
      <c r="C179" s="647">
        <f>IFERROR(IF(OR($B179="",$B179=0),'ORÇAMENTO '!I446,VLOOKUP($B179,'ORÇAMENTO '!$F$21:$N$450,4,FALSE)),"")</f>
        <v>0</v>
      </c>
      <c r="D179" s="648" t="str">
        <f ca="1">IFERROR(IF(VLOOKUP($B179,'ORÇAMENTO '!$F$21:$P$993,11,FALSE)=0,"",VLOOKUP($B179,'ORÇAMENTO '!$F$21:$P$993,11,FALSE)),"")</f>
        <v/>
      </c>
      <c r="E179" s="649" t="str">
        <f ca="1">IFERROR(IF(VLOOKUP($B179,'ORÇAMENTO '!$F$21:$N$993,6,FALSE)=0,"",VLOOKUP($B179,'ORÇAMENTO '!$F$21:$N$993,6,FALSE)),"")</f>
        <v/>
      </c>
      <c r="F179" s="649" t="str">
        <f ca="1">IFERROR(IF(VLOOKUP($B179,'ORÇAMENTO '!$F$21:$N$993,5,FALSE)=0,"",VLOOKUP($B179,'ORÇAMENTO '!$F$21:$N$993,5,FALSE)),"")</f>
        <v/>
      </c>
    </row>
    <row r="180" spans="2:6" ht="15">
      <c r="B180" s="646">
        <f>'ORÇAMENTO '!F447</f>
        <v>0</v>
      </c>
      <c r="C180" s="647">
        <f>IFERROR(IF(OR($B180="",$B180=0),'ORÇAMENTO '!I447,VLOOKUP($B180,'ORÇAMENTO '!$F$21:$N$450,4,FALSE)),"")</f>
        <v>0</v>
      </c>
      <c r="D180" s="648" t="str">
        <f ca="1">IFERROR(IF(VLOOKUP($B180,'ORÇAMENTO '!$F$21:$P$993,11,FALSE)=0,"",VLOOKUP($B180,'ORÇAMENTO '!$F$21:$P$993,11,FALSE)),"")</f>
        <v/>
      </c>
      <c r="E180" s="649" t="str">
        <f ca="1">IFERROR(IF(VLOOKUP($B180,'ORÇAMENTO '!$F$21:$N$993,6,FALSE)=0,"",VLOOKUP($B180,'ORÇAMENTO '!$F$21:$N$993,6,FALSE)),"")</f>
        <v/>
      </c>
      <c r="F180" s="649" t="str">
        <f ca="1">IFERROR(IF(VLOOKUP($B180,'ORÇAMENTO '!$F$21:$N$993,5,FALSE)=0,"",VLOOKUP($B180,'ORÇAMENTO '!$F$21:$N$993,5,FALSE)),"")</f>
        <v/>
      </c>
    </row>
    <row r="181" spans="2:6" ht="15">
      <c r="B181" s="646">
        <f>'ORÇAMENTO '!F448</f>
        <v>0</v>
      </c>
      <c r="C181" s="647">
        <f>IFERROR(IF(OR($B181="",$B181=0),'ORÇAMENTO '!I448,VLOOKUP($B181,'ORÇAMENTO '!$F$21:$N$450,4,FALSE)),"")</f>
        <v>0</v>
      </c>
      <c r="D181" s="648" t="str">
        <f ca="1">IFERROR(IF(VLOOKUP($B181,'ORÇAMENTO '!$F$21:$P$993,11,FALSE)=0,"",VLOOKUP($B181,'ORÇAMENTO '!$F$21:$P$993,11,FALSE)),"")</f>
        <v/>
      </c>
      <c r="E181" s="649" t="str">
        <f ca="1">IFERROR(IF(VLOOKUP($B181,'ORÇAMENTO '!$F$21:$N$993,6,FALSE)=0,"",VLOOKUP($B181,'ORÇAMENTO '!$F$21:$N$993,6,FALSE)),"")</f>
        <v/>
      </c>
      <c r="F181" s="649" t="str">
        <f ca="1">IFERROR(IF(VLOOKUP($B181,'ORÇAMENTO '!$F$21:$N$993,5,FALSE)=0,"",VLOOKUP($B181,'ORÇAMENTO '!$F$21:$N$993,5,FALSE)),"")</f>
        <v/>
      </c>
    </row>
    <row r="182" spans="2:6" ht="15">
      <c r="B182" s="646">
        <f>'ORÇAMENTO '!F449</f>
        <v>0</v>
      </c>
      <c r="C182" s="647">
        <f>IFERROR(IF(OR($B182="",$B182=0),'ORÇAMENTO '!I449,VLOOKUP($B182,'ORÇAMENTO '!$F$21:$N$450,4,FALSE)),"")</f>
        <v>0</v>
      </c>
      <c r="D182" s="648" t="str">
        <f ca="1">IFERROR(IF(VLOOKUP($B182,'ORÇAMENTO '!$F$21:$P$993,11,FALSE)=0,"",VLOOKUP($B182,'ORÇAMENTO '!$F$21:$P$993,11,FALSE)),"")</f>
        <v/>
      </c>
      <c r="E182" s="649" t="str">
        <f ca="1">IFERROR(IF(VLOOKUP($B182,'ORÇAMENTO '!$F$21:$N$993,6,FALSE)=0,"",VLOOKUP($B182,'ORÇAMENTO '!$F$21:$N$993,6,FALSE)),"")</f>
        <v/>
      </c>
      <c r="F182" s="649" t="str">
        <f ca="1">IFERROR(IF(VLOOKUP($B182,'ORÇAMENTO '!$F$21:$N$993,5,FALSE)=0,"",VLOOKUP($B182,'ORÇAMENTO '!$F$21:$N$993,5,FALSE)),"")</f>
        <v/>
      </c>
    </row>
    <row r="183" spans="2:6" ht="15">
      <c r="B183" s="646">
        <f>'ORÇAMENTO '!F450</f>
        <v>0</v>
      </c>
      <c r="C183" s="647">
        <f>IFERROR(IF(OR($B183="",$B183=0),'ORÇAMENTO '!I450,VLOOKUP($B183,'ORÇAMENTO '!$F$21:$N$450,4,FALSE)),"")</f>
        <v>0</v>
      </c>
      <c r="D183" s="648" t="str">
        <f ca="1">IFERROR(IF(VLOOKUP($B183,'ORÇAMENTO '!$F$21:$P$993,11,FALSE)=0,"",VLOOKUP($B183,'ORÇAMENTO '!$F$21:$P$993,11,FALSE)),"")</f>
        <v/>
      </c>
      <c r="E183" s="649" t="str">
        <f ca="1">IFERROR(IF(VLOOKUP($B183,'ORÇAMENTO '!$F$21:$N$993,6,FALSE)=0,"",VLOOKUP($B183,'ORÇAMENTO '!$F$21:$N$993,6,FALSE)),"")</f>
        <v/>
      </c>
      <c r="F183" s="649" t="str">
        <f ca="1">IFERROR(IF(VLOOKUP($B183,'ORÇAMENTO '!$F$21:$N$993,5,FALSE)=0,"",VLOOKUP($B183,'ORÇAMENTO '!$F$21:$N$993,5,FALSE)),"")</f>
        <v/>
      </c>
    </row>
    <row r="184" spans="2:6" ht="15">
      <c r="B184" s="646">
        <f>'ORÇAMENTO '!F451</f>
        <v>0</v>
      </c>
      <c r="C184" s="647">
        <f>IFERROR(IF(OR($B184="",$B184=0),'ORÇAMENTO '!I451,VLOOKUP($B184,'ORÇAMENTO '!$F$21:$N$450,4,FALSE)),"")</f>
        <v>0</v>
      </c>
      <c r="D184" s="648" t="str">
        <f ca="1">IFERROR(IF(VLOOKUP($B184,'ORÇAMENTO '!$F$21:$P$993,11,FALSE)=0,"",VLOOKUP($B184,'ORÇAMENTO '!$F$21:$P$993,11,FALSE)),"")</f>
        <v/>
      </c>
      <c r="E184" s="649" t="str">
        <f ca="1">IFERROR(IF(VLOOKUP($B184,'ORÇAMENTO '!$F$21:$N$993,6,FALSE)=0,"",VLOOKUP($B184,'ORÇAMENTO '!$F$21:$N$993,6,FALSE)),"")</f>
        <v/>
      </c>
      <c r="F184" s="649" t="str">
        <f ca="1">IFERROR(IF(VLOOKUP($B184,'ORÇAMENTO '!$F$21:$N$993,5,FALSE)=0,"",VLOOKUP($B184,'ORÇAMENTO '!$F$21:$N$993,5,FALSE)),"")</f>
        <v/>
      </c>
    </row>
    <row r="185" spans="2:6" ht="15">
      <c r="B185" s="646">
        <f>'ORÇAMENTO '!F452</f>
        <v>0</v>
      </c>
      <c r="C185" s="647">
        <f>IFERROR(IF(OR($B185="",$B185=0),'ORÇAMENTO '!I452,VLOOKUP($B185,'ORÇAMENTO '!$F$21:$N$450,4,FALSE)),"")</f>
        <v>0</v>
      </c>
      <c r="D185" s="648" t="str">
        <f ca="1">IFERROR(IF(VLOOKUP($B185,'ORÇAMENTO '!$F$21:$P$993,11,FALSE)=0,"",VLOOKUP($B185,'ORÇAMENTO '!$F$21:$P$993,11,FALSE)),"")</f>
        <v/>
      </c>
      <c r="E185" s="649" t="str">
        <f ca="1">IFERROR(IF(VLOOKUP($B185,'ORÇAMENTO '!$F$21:$N$993,6,FALSE)=0,"",VLOOKUP($B185,'ORÇAMENTO '!$F$21:$N$993,6,FALSE)),"")</f>
        <v/>
      </c>
      <c r="F185" s="649" t="str">
        <f ca="1">IFERROR(IF(VLOOKUP($B185,'ORÇAMENTO '!$F$21:$N$993,5,FALSE)=0,"",VLOOKUP($B185,'ORÇAMENTO '!$F$21:$N$993,5,FALSE)),"")</f>
        <v/>
      </c>
    </row>
    <row r="186" spans="2:6" ht="15">
      <c r="B186" s="646">
        <f>'ORÇAMENTO '!F453</f>
        <v>0</v>
      </c>
      <c r="C186" s="647">
        <f>IFERROR(IF(OR($B186="",$B186=0),'ORÇAMENTO '!I453,VLOOKUP($B186,'ORÇAMENTO '!$F$21:$N$450,4,FALSE)),"")</f>
        <v>0</v>
      </c>
      <c r="D186" s="648" t="str">
        <f ca="1">IFERROR(IF(VLOOKUP($B186,'ORÇAMENTO '!$F$21:$P$993,11,FALSE)=0,"",VLOOKUP($B186,'ORÇAMENTO '!$F$21:$P$993,11,FALSE)),"")</f>
        <v/>
      </c>
      <c r="E186" s="649" t="str">
        <f ca="1">IFERROR(IF(VLOOKUP($B186,'ORÇAMENTO '!$F$21:$N$993,6,FALSE)=0,"",VLOOKUP($B186,'ORÇAMENTO '!$F$21:$N$993,6,FALSE)),"")</f>
        <v/>
      </c>
      <c r="F186" s="649" t="str">
        <f ca="1">IFERROR(IF(VLOOKUP($B186,'ORÇAMENTO '!$F$21:$N$993,5,FALSE)=0,"",VLOOKUP($B186,'ORÇAMENTO '!$F$21:$N$993,5,FALSE)),"")</f>
        <v/>
      </c>
    </row>
    <row r="187" spans="2:6" ht="15">
      <c r="B187" s="646">
        <f>'ORÇAMENTO '!F454</f>
        <v>0</v>
      </c>
      <c r="C187" s="647">
        <f>IFERROR(IF(OR($B187="",$B187=0),'ORÇAMENTO '!I454,VLOOKUP($B187,'ORÇAMENTO '!$F$21:$N$450,4,FALSE)),"")</f>
        <v>0</v>
      </c>
      <c r="D187" s="648" t="str">
        <f ca="1">IFERROR(IF(VLOOKUP($B187,'ORÇAMENTO '!$F$21:$P$993,11,FALSE)=0,"",VLOOKUP($B187,'ORÇAMENTO '!$F$21:$P$993,11,FALSE)),"")</f>
        <v/>
      </c>
      <c r="E187" s="649" t="str">
        <f ca="1">IFERROR(IF(VLOOKUP($B187,'ORÇAMENTO '!$F$21:$N$993,6,FALSE)=0,"",VLOOKUP($B187,'ORÇAMENTO '!$F$21:$N$993,6,FALSE)),"")</f>
        <v/>
      </c>
      <c r="F187" s="649" t="str">
        <f ca="1">IFERROR(IF(VLOOKUP($B187,'ORÇAMENTO '!$F$21:$N$993,5,FALSE)=0,"",VLOOKUP($B187,'ORÇAMENTO '!$F$21:$N$993,5,FALSE)),"")</f>
        <v/>
      </c>
    </row>
    <row r="188" spans="2:6" ht="15">
      <c r="B188" s="646">
        <f>'ORÇAMENTO '!F455</f>
        <v>0</v>
      </c>
      <c r="C188" s="647">
        <f>IFERROR(IF(OR($B188="",$B188=0),'ORÇAMENTO '!I455,VLOOKUP($B188,'ORÇAMENTO '!$F$21:$N$450,4,FALSE)),"")</f>
        <v>0</v>
      </c>
      <c r="D188" s="648" t="str">
        <f ca="1">IFERROR(IF(VLOOKUP($B188,'ORÇAMENTO '!$F$21:$P$993,11,FALSE)=0,"",VLOOKUP($B188,'ORÇAMENTO '!$F$21:$P$993,11,FALSE)),"")</f>
        <v/>
      </c>
      <c r="E188" s="649" t="str">
        <f ca="1">IFERROR(IF(VLOOKUP($B188,'ORÇAMENTO '!$F$21:$N$993,6,FALSE)=0,"",VLOOKUP($B188,'ORÇAMENTO '!$F$21:$N$993,6,FALSE)),"")</f>
        <v/>
      </c>
      <c r="F188" s="649" t="str">
        <f ca="1">IFERROR(IF(VLOOKUP($B188,'ORÇAMENTO '!$F$21:$N$993,5,FALSE)=0,"",VLOOKUP($B188,'ORÇAMENTO '!$F$21:$N$993,5,FALSE)),"")</f>
        <v/>
      </c>
    </row>
    <row r="189" spans="2:6" ht="15">
      <c r="B189" s="646">
        <f>'ORÇAMENTO '!F456</f>
        <v>0</v>
      </c>
      <c r="C189" s="647">
        <f>IFERROR(IF(OR($B189="",$B189=0),'ORÇAMENTO '!I456,VLOOKUP($B189,'ORÇAMENTO '!$F$21:$N$450,4,FALSE)),"")</f>
        <v>0</v>
      </c>
      <c r="D189" s="648" t="str">
        <f ca="1">IFERROR(IF(VLOOKUP($B189,'ORÇAMENTO '!$F$21:$P$993,11,FALSE)=0,"",VLOOKUP($B189,'ORÇAMENTO '!$F$21:$P$993,11,FALSE)),"")</f>
        <v/>
      </c>
      <c r="E189" s="649" t="str">
        <f ca="1">IFERROR(IF(VLOOKUP($B189,'ORÇAMENTO '!$F$21:$N$993,6,FALSE)=0,"",VLOOKUP($B189,'ORÇAMENTO '!$F$21:$N$993,6,FALSE)),"")</f>
        <v/>
      </c>
      <c r="F189" s="649" t="str">
        <f ca="1">IFERROR(IF(VLOOKUP($B189,'ORÇAMENTO '!$F$21:$N$993,5,FALSE)=0,"",VLOOKUP($B189,'ORÇAMENTO '!$F$21:$N$993,5,FALSE)),"")</f>
        <v/>
      </c>
    </row>
    <row r="190" spans="2:6" ht="15">
      <c r="B190" s="646">
        <f>'ORÇAMENTO '!F457</f>
        <v>0</v>
      </c>
      <c r="C190" s="647">
        <f>IFERROR(IF(OR($B190="",$B190=0),'ORÇAMENTO '!I457,VLOOKUP($B190,'ORÇAMENTO '!$F$21:$N$450,4,FALSE)),"")</f>
        <v>0</v>
      </c>
      <c r="D190" s="648" t="str">
        <f ca="1">IFERROR(IF(VLOOKUP($B190,'ORÇAMENTO '!$F$21:$P$993,11,FALSE)=0,"",VLOOKUP($B190,'ORÇAMENTO '!$F$21:$P$993,11,FALSE)),"")</f>
        <v/>
      </c>
      <c r="E190" s="649" t="str">
        <f ca="1">IFERROR(IF(VLOOKUP($B190,'ORÇAMENTO '!$F$21:$N$993,6,FALSE)=0,"",VLOOKUP($B190,'ORÇAMENTO '!$F$21:$N$993,6,FALSE)),"")</f>
        <v/>
      </c>
      <c r="F190" s="649" t="str">
        <f ca="1">IFERROR(IF(VLOOKUP($B190,'ORÇAMENTO '!$F$21:$N$993,5,FALSE)=0,"",VLOOKUP($B190,'ORÇAMENTO '!$F$21:$N$993,5,FALSE)),"")</f>
        <v/>
      </c>
    </row>
    <row r="191" spans="2:6" ht="15">
      <c r="B191" s="646">
        <f>'ORÇAMENTO '!F458</f>
        <v>0</v>
      </c>
      <c r="C191" s="647">
        <f>IFERROR(IF(OR($B191="",$B191=0),'ORÇAMENTO '!I458,VLOOKUP($B191,'ORÇAMENTO '!$F$21:$N$450,4,FALSE)),"")</f>
        <v>0</v>
      </c>
      <c r="D191" s="648" t="str">
        <f ca="1">IFERROR(IF(VLOOKUP($B191,'ORÇAMENTO '!$F$21:$P$993,11,FALSE)=0,"",VLOOKUP($B191,'ORÇAMENTO '!$F$21:$P$993,11,FALSE)),"")</f>
        <v/>
      </c>
      <c r="E191" s="649" t="str">
        <f ca="1">IFERROR(IF(VLOOKUP($B191,'ORÇAMENTO '!$F$21:$N$993,6,FALSE)=0,"",VLOOKUP($B191,'ORÇAMENTO '!$F$21:$N$993,6,FALSE)),"")</f>
        <v/>
      </c>
      <c r="F191" s="649" t="str">
        <f ca="1">IFERROR(IF(VLOOKUP($B191,'ORÇAMENTO '!$F$21:$N$993,5,FALSE)=0,"",VLOOKUP($B191,'ORÇAMENTO '!$F$21:$N$993,5,FALSE)),"")</f>
        <v/>
      </c>
    </row>
    <row r="192" spans="2:6" ht="15">
      <c r="B192" s="646">
        <f>'ORÇAMENTO '!F459</f>
        <v>0</v>
      </c>
      <c r="C192" s="647">
        <f>IFERROR(IF(OR($B192="",$B192=0),'ORÇAMENTO '!I459,VLOOKUP($B192,'ORÇAMENTO '!$F$21:$N$450,4,FALSE)),"")</f>
        <v>0</v>
      </c>
      <c r="D192" s="648" t="str">
        <f ca="1">IFERROR(IF(VLOOKUP($B192,'ORÇAMENTO '!$F$21:$P$993,11,FALSE)=0,"",VLOOKUP($B192,'ORÇAMENTO '!$F$21:$P$993,11,FALSE)),"")</f>
        <v/>
      </c>
      <c r="E192" s="649" t="str">
        <f ca="1">IFERROR(IF(VLOOKUP($B192,'ORÇAMENTO '!$F$21:$N$993,6,FALSE)=0,"",VLOOKUP($B192,'ORÇAMENTO '!$F$21:$N$993,6,FALSE)),"")</f>
        <v/>
      </c>
      <c r="F192" s="649" t="str">
        <f ca="1">IFERROR(IF(VLOOKUP($B192,'ORÇAMENTO '!$F$21:$N$993,5,FALSE)=0,"",VLOOKUP($B192,'ORÇAMENTO '!$F$21:$N$993,5,FALSE)),"")</f>
        <v/>
      </c>
    </row>
    <row r="193" spans="2:6" ht="15">
      <c r="B193" s="646">
        <f>'ORÇAMENTO '!F460</f>
        <v>0</v>
      </c>
      <c r="C193" s="647">
        <f>IFERROR(IF(OR($B193="",$B193=0),'ORÇAMENTO '!I460,VLOOKUP($B193,'ORÇAMENTO '!$F$21:$N$450,4,FALSE)),"")</f>
        <v>0</v>
      </c>
      <c r="D193" s="648" t="str">
        <f ca="1">IFERROR(IF(VLOOKUP($B193,'ORÇAMENTO '!$F$21:$P$993,11,FALSE)=0,"",VLOOKUP($B193,'ORÇAMENTO '!$F$21:$P$993,11,FALSE)),"")</f>
        <v/>
      </c>
      <c r="E193" s="649" t="str">
        <f ca="1">IFERROR(IF(VLOOKUP($B193,'ORÇAMENTO '!$F$21:$N$993,6,FALSE)=0,"",VLOOKUP($B193,'ORÇAMENTO '!$F$21:$N$993,6,FALSE)),"")</f>
        <v/>
      </c>
      <c r="F193" s="649" t="str">
        <f ca="1">IFERROR(IF(VLOOKUP($B193,'ORÇAMENTO '!$F$21:$N$993,5,FALSE)=0,"",VLOOKUP($B193,'ORÇAMENTO '!$F$21:$N$993,5,FALSE)),"")</f>
        <v/>
      </c>
    </row>
    <row r="194" spans="2:6" ht="15">
      <c r="B194" s="646">
        <f>'ORÇAMENTO '!F461</f>
        <v>0</v>
      </c>
      <c r="C194" s="647">
        <f>IFERROR(IF(OR($B194="",$B194=0),'ORÇAMENTO '!I461,VLOOKUP($B194,'ORÇAMENTO '!$F$21:$N$450,4,FALSE)),"")</f>
        <v>0</v>
      </c>
      <c r="D194" s="648" t="str">
        <f ca="1">IFERROR(IF(VLOOKUP($B194,'ORÇAMENTO '!$F$21:$P$993,11,FALSE)=0,"",VLOOKUP($B194,'ORÇAMENTO '!$F$21:$P$993,11,FALSE)),"")</f>
        <v/>
      </c>
      <c r="E194" s="649" t="str">
        <f ca="1">IFERROR(IF(VLOOKUP($B194,'ORÇAMENTO '!$F$21:$N$993,6,FALSE)=0,"",VLOOKUP($B194,'ORÇAMENTO '!$F$21:$N$993,6,FALSE)),"")</f>
        <v/>
      </c>
      <c r="F194" s="649" t="str">
        <f ca="1">IFERROR(IF(VLOOKUP($B194,'ORÇAMENTO '!$F$21:$N$993,5,FALSE)=0,"",VLOOKUP($B194,'ORÇAMENTO '!$F$21:$N$993,5,FALSE)),"")</f>
        <v/>
      </c>
    </row>
    <row r="195" spans="2:6" ht="15">
      <c r="B195" s="646">
        <f>'ORÇAMENTO '!F462</f>
        <v>0</v>
      </c>
      <c r="C195" s="647">
        <f>IFERROR(IF(OR($B195="",$B195=0),'ORÇAMENTO '!I462,VLOOKUP($B195,'ORÇAMENTO '!$F$21:$N$450,4,FALSE)),"")</f>
        <v>0</v>
      </c>
      <c r="D195" s="648" t="str">
        <f ca="1">IFERROR(IF(VLOOKUP($B195,'ORÇAMENTO '!$F$21:$P$993,11,FALSE)=0,"",VLOOKUP($B195,'ORÇAMENTO '!$F$21:$P$993,11,FALSE)),"")</f>
        <v/>
      </c>
      <c r="E195" s="649" t="str">
        <f ca="1">IFERROR(IF(VLOOKUP($B195,'ORÇAMENTO '!$F$21:$N$993,6,FALSE)=0,"",VLOOKUP($B195,'ORÇAMENTO '!$F$21:$N$993,6,FALSE)),"")</f>
        <v/>
      </c>
      <c r="F195" s="649" t="str">
        <f ca="1">IFERROR(IF(VLOOKUP($B195,'ORÇAMENTO '!$F$21:$N$993,5,FALSE)=0,"",VLOOKUP($B195,'ORÇAMENTO '!$F$21:$N$993,5,FALSE)),"")</f>
        <v/>
      </c>
    </row>
    <row r="196" spans="2:6" ht="15">
      <c r="B196" s="646">
        <f>'ORÇAMENTO '!F463</f>
        <v>0</v>
      </c>
      <c r="C196" s="647">
        <f>IFERROR(IF(OR($B196="",$B196=0),'ORÇAMENTO '!I463,VLOOKUP($B196,'ORÇAMENTO '!$F$21:$N$450,4,FALSE)),"")</f>
        <v>0</v>
      </c>
      <c r="D196" s="648" t="str">
        <f ca="1">IFERROR(IF(VLOOKUP($B196,'ORÇAMENTO '!$F$21:$P$993,11,FALSE)=0,"",VLOOKUP($B196,'ORÇAMENTO '!$F$21:$P$993,11,FALSE)),"")</f>
        <v/>
      </c>
      <c r="E196" s="649" t="str">
        <f ca="1">IFERROR(IF(VLOOKUP($B196,'ORÇAMENTO '!$F$21:$N$993,6,FALSE)=0,"",VLOOKUP($B196,'ORÇAMENTO '!$F$21:$N$993,6,FALSE)),"")</f>
        <v/>
      </c>
      <c r="F196" s="649" t="str">
        <f ca="1">IFERROR(IF(VLOOKUP($B196,'ORÇAMENTO '!$F$21:$N$993,5,FALSE)=0,"",VLOOKUP($B196,'ORÇAMENTO '!$F$21:$N$993,5,FALSE)),"")</f>
        <v/>
      </c>
    </row>
    <row r="197" spans="2:6" ht="15">
      <c r="B197" s="646">
        <f>'ORÇAMENTO '!F464</f>
        <v>0</v>
      </c>
      <c r="C197" s="647">
        <f>IFERROR(IF(OR($B197="",$B197=0),'ORÇAMENTO '!I464,VLOOKUP($B197,'ORÇAMENTO '!$F$21:$N$450,4,FALSE)),"")</f>
        <v>0</v>
      </c>
      <c r="D197" s="648" t="str">
        <f ca="1">IFERROR(IF(VLOOKUP($B197,'ORÇAMENTO '!$F$21:$P$993,11,FALSE)=0,"",VLOOKUP($B197,'ORÇAMENTO '!$F$21:$P$993,11,FALSE)),"")</f>
        <v/>
      </c>
      <c r="E197" s="649" t="str">
        <f ca="1">IFERROR(IF(VLOOKUP($B197,'ORÇAMENTO '!$F$21:$N$993,6,FALSE)=0,"",VLOOKUP($B197,'ORÇAMENTO '!$F$21:$N$993,6,FALSE)),"")</f>
        <v/>
      </c>
      <c r="F197" s="649" t="str">
        <f ca="1">IFERROR(IF(VLOOKUP($B197,'ORÇAMENTO '!$F$21:$N$993,5,FALSE)=0,"",VLOOKUP($B197,'ORÇAMENTO '!$F$21:$N$993,5,FALSE)),"")</f>
        <v/>
      </c>
    </row>
    <row r="198" spans="2:6" ht="15">
      <c r="B198" s="646">
        <f>'ORÇAMENTO '!F465</f>
        <v>0</v>
      </c>
      <c r="C198" s="647">
        <f>IFERROR(IF(OR($B198="",$B198=0),'ORÇAMENTO '!I465,VLOOKUP($B198,'ORÇAMENTO '!$F$21:$N$450,4,FALSE)),"")</f>
        <v>0</v>
      </c>
      <c r="D198" s="648" t="str">
        <f ca="1">IFERROR(IF(VLOOKUP($B198,'ORÇAMENTO '!$F$21:$P$993,11,FALSE)=0,"",VLOOKUP($B198,'ORÇAMENTO '!$F$21:$P$993,11,FALSE)),"")</f>
        <v/>
      </c>
      <c r="E198" s="649" t="str">
        <f ca="1">IFERROR(IF(VLOOKUP($B198,'ORÇAMENTO '!$F$21:$N$993,6,FALSE)=0,"",VLOOKUP($B198,'ORÇAMENTO '!$F$21:$N$993,6,FALSE)),"")</f>
        <v/>
      </c>
      <c r="F198" s="649" t="str">
        <f ca="1">IFERROR(IF(VLOOKUP($B198,'ORÇAMENTO '!$F$21:$N$993,5,FALSE)=0,"",VLOOKUP($B198,'ORÇAMENTO '!$F$21:$N$993,5,FALSE)),"")</f>
        <v/>
      </c>
    </row>
    <row r="199" spans="2:6" ht="15">
      <c r="B199" s="646">
        <f>'ORÇAMENTO '!F466</f>
        <v>0</v>
      </c>
      <c r="C199" s="647">
        <f>IFERROR(IF(OR($B199="",$B199=0),'ORÇAMENTO '!I466,VLOOKUP($B199,'ORÇAMENTO '!$F$21:$N$450,4,FALSE)),"")</f>
        <v>0</v>
      </c>
      <c r="D199" s="648" t="str">
        <f ca="1">IFERROR(IF(VLOOKUP($B199,'ORÇAMENTO '!$F$21:$P$993,11,FALSE)=0,"",VLOOKUP($B199,'ORÇAMENTO '!$F$21:$P$993,11,FALSE)),"")</f>
        <v/>
      </c>
      <c r="E199" s="649" t="str">
        <f ca="1">IFERROR(IF(VLOOKUP($B199,'ORÇAMENTO '!$F$21:$N$993,6,FALSE)=0,"",VLOOKUP($B199,'ORÇAMENTO '!$F$21:$N$993,6,FALSE)),"")</f>
        <v/>
      </c>
      <c r="F199" s="649" t="str">
        <f ca="1">IFERROR(IF(VLOOKUP($B199,'ORÇAMENTO '!$F$21:$N$993,5,FALSE)=0,"",VLOOKUP($B199,'ORÇAMENTO '!$F$21:$N$993,5,FALSE)),"")</f>
        <v/>
      </c>
    </row>
    <row r="200" spans="2:6" ht="15">
      <c r="B200" s="646">
        <f>'ORÇAMENTO '!F467</f>
        <v>0</v>
      </c>
      <c r="C200" s="647">
        <f>IFERROR(IF(OR($B200="",$B200=0),'ORÇAMENTO '!I467,VLOOKUP($B200,'ORÇAMENTO '!$F$21:$N$450,4,FALSE)),"")</f>
        <v>0</v>
      </c>
      <c r="D200" s="648" t="str">
        <f ca="1">IFERROR(IF(VLOOKUP($B200,'ORÇAMENTO '!$F$21:$P$993,11,FALSE)=0,"",VLOOKUP($B200,'ORÇAMENTO '!$F$21:$P$993,11,FALSE)),"")</f>
        <v/>
      </c>
      <c r="E200" s="649" t="str">
        <f ca="1">IFERROR(IF(VLOOKUP($B200,'ORÇAMENTO '!$F$21:$N$993,6,FALSE)=0,"",VLOOKUP($B200,'ORÇAMENTO '!$F$21:$N$993,6,FALSE)),"")</f>
        <v/>
      </c>
      <c r="F200" s="649" t="str">
        <f ca="1">IFERROR(IF(VLOOKUP($B200,'ORÇAMENTO '!$F$21:$N$993,5,FALSE)=0,"",VLOOKUP($B200,'ORÇAMENTO '!$F$21:$N$993,5,FALSE)),"")</f>
        <v/>
      </c>
    </row>
    <row r="201" spans="2:6" ht="15">
      <c r="B201" s="646">
        <f>'ORÇAMENTO '!F468</f>
        <v>0</v>
      </c>
      <c r="C201" s="647">
        <f>IFERROR(IF(OR($B201="",$B201=0),'ORÇAMENTO '!I468,VLOOKUP($B201,'ORÇAMENTO '!$F$21:$N$450,4,FALSE)),"")</f>
        <v>0</v>
      </c>
      <c r="D201" s="648" t="str">
        <f ca="1">IFERROR(IF(VLOOKUP($B201,'ORÇAMENTO '!$F$21:$P$993,11,FALSE)=0,"",VLOOKUP($B201,'ORÇAMENTO '!$F$21:$P$993,11,FALSE)),"")</f>
        <v/>
      </c>
      <c r="E201" s="649" t="str">
        <f ca="1">IFERROR(IF(VLOOKUP($B201,'ORÇAMENTO '!$F$21:$N$993,6,FALSE)=0,"",VLOOKUP($B201,'ORÇAMENTO '!$F$21:$N$993,6,FALSE)),"")</f>
        <v/>
      </c>
      <c r="F201" s="649" t="str">
        <f ca="1">IFERROR(IF(VLOOKUP($B201,'ORÇAMENTO '!$F$21:$N$993,5,FALSE)=0,"",VLOOKUP($B201,'ORÇAMENTO '!$F$21:$N$993,5,FALSE)),"")</f>
        <v/>
      </c>
    </row>
    <row r="202" spans="2:6" ht="15">
      <c r="B202" s="646">
        <f>'ORÇAMENTO '!F469</f>
        <v>0</v>
      </c>
      <c r="C202" s="647">
        <f>IFERROR(IF(OR($B202="",$B202=0),'ORÇAMENTO '!I469,VLOOKUP($B202,'ORÇAMENTO '!$F$21:$N$450,4,FALSE)),"")</f>
        <v>0</v>
      </c>
      <c r="D202" s="648" t="str">
        <f ca="1">IFERROR(IF(VLOOKUP($B202,'ORÇAMENTO '!$F$21:$P$993,11,FALSE)=0,"",VLOOKUP($B202,'ORÇAMENTO '!$F$21:$P$993,11,FALSE)),"")</f>
        <v/>
      </c>
      <c r="E202" s="649" t="str">
        <f ca="1">IFERROR(IF(VLOOKUP($B202,'ORÇAMENTO '!$F$21:$N$993,6,FALSE)=0,"",VLOOKUP($B202,'ORÇAMENTO '!$F$21:$N$993,6,FALSE)),"")</f>
        <v/>
      </c>
      <c r="F202" s="649" t="str">
        <f ca="1">IFERROR(IF(VLOOKUP($B202,'ORÇAMENTO '!$F$21:$N$993,5,FALSE)=0,"",VLOOKUP($B202,'ORÇAMENTO '!$F$21:$N$993,5,FALSE)),"")</f>
        <v/>
      </c>
    </row>
    <row r="203" spans="2:6" ht="15">
      <c r="B203" s="646">
        <f>'ORÇAMENTO '!F470</f>
        <v>0</v>
      </c>
      <c r="C203" s="647">
        <f>IFERROR(IF(OR($B203="",$B203=0),'ORÇAMENTO '!I470,VLOOKUP($B203,'ORÇAMENTO '!$F$21:$N$450,4,FALSE)),"")</f>
        <v>0</v>
      </c>
      <c r="D203" s="648" t="str">
        <f ca="1">IFERROR(IF(VLOOKUP($B203,'ORÇAMENTO '!$F$21:$P$993,11,FALSE)=0,"",VLOOKUP($B203,'ORÇAMENTO '!$F$21:$P$993,11,FALSE)),"")</f>
        <v/>
      </c>
      <c r="E203" s="649" t="str">
        <f ca="1">IFERROR(IF(VLOOKUP($B203,'ORÇAMENTO '!$F$21:$N$993,6,FALSE)=0,"",VLOOKUP($B203,'ORÇAMENTO '!$F$21:$N$993,6,FALSE)),"")</f>
        <v/>
      </c>
      <c r="F203" s="649" t="str">
        <f ca="1">IFERROR(IF(VLOOKUP($B203,'ORÇAMENTO '!$F$21:$N$993,5,FALSE)=0,"",VLOOKUP($B203,'ORÇAMENTO '!$F$21:$N$993,5,FALSE)),"")</f>
        <v/>
      </c>
    </row>
    <row r="204" spans="2:6" ht="15">
      <c r="B204" s="646">
        <f>'ORÇAMENTO '!F471</f>
        <v>0</v>
      </c>
      <c r="C204" s="647">
        <f>IFERROR(IF(OR($B204="",$B204=0),'ORÇAMENTO '!I471,VLOOKUP($B204,'ORÇAMENTO '!$F$21:$N$450,4,FALSE)),"")</f>
        <v>0</v>
      </c>
      <c r="D204" s="648" t="str">
        <f ca="1">IFERROR(IF(VLOOKUP($B204,'ORÇAMENTO '!$F$21:$P$993,11,FALSE)=0,"",VLOOKUP($B204,'ORÇAMENTO '!$F$21:$P$993,11,FALSE)),"")</f>
        <v/>
      </c>
      <c r="E204" s="649" t="str">
        <f ca="1">IFERROR(IF(VLOOKUP($B204,'ORÇAMENTO '!$F$21:$N$993,6,FALSE)=0,"",VLOOKUP($B204,'ORÇAMENTO '!$F$21:$N$993,6,FALSE)),"")</f>
        <v/>
      </c>
      <c r="F204" s="649" t="str">
        <f ca="1">IFERROR(IF(VLOOKUP($B204,'ORÇAMENTO '!$F$21:$N$993,5,FALSE)=0,"",VLOOKUP($B204,'ORÇAMENTO '!$F$21:$N$993,5,FALSE)),"")</f>
        <v/>
      </c>
    </row>
    <row r="205" spans="2:6" ht="15">
      <c r="B205" s="646">
        <f>'ORÇAMENTO '!F472</f>
        <v>0</v>
      </c>
      <c r="C205" s="647">
        <f>IFERROR(IF(OR($B205="",$B205=0),'ORÇAMENTO '!I472,VLOOKUP($B205,'ORÇAMENTO '!$F$21:$N$450,4,FALSE)),"")</f>
        <v>0</v>
      </c>
      <c r="D205" s="648" t="str">
        <f ca="1">IFERROR(IF(VLOOKUP($B205,'ORÇAMENTO '!$F$21:$P$993,11,FALSE)=0,"",VLOOKUP($B205,'ORÇAMENTO '!$F$21:$P$993,11,FALSE)),"")</f>
        <v/>
      </c>
      <c r="E205" s="649" t="str">
        <f ca="1">IFERROR(IF(VLOOKUP($B205,'ORÇAMENTO '!$F$21:$N$993,6,FALSE)=0,"",VLOOKUP($B205,'ORÇAMENTO '!$F$21:$N$993,6,FALSE)),"")</f>
        <v/>
      </c>
      <c r="F205" s="649" t="str">
        <f ca="1">IFERROR(IF(VLOOKUP($B205,'ORÇAMENTO '!$F$21:$N$993,5,FALSE)=0,"",VLOOKUP($B205,'ORÇAMENTO '!$F$21:$N$993,5,FALSE)),"")</f>
        <v/>
      </c>
    </row>
    <row r="206" spans="2:6" ht="15">
      <c r="B206" s="646">
        <f>'ORÇAMENTO '!F473</f>
        <v>0</v>
      </c>
      <c r="C206" s="647">
        <f>IFERROR(IF(OR($B206="",$B206=0),'ORÇAMENTO '!I473,VLOOKUP($B206,'ORÇAMENTO '!$F$21:$N$450,4,FALSE)),"")</f>
        <v>0</v>
      </c>
      <c r="D206" s="648" t="str">
        <f ca="1">IFERROR(IF(VLOOKUP($B206,'ORÇAMENTO '!$F$21:$P$993,11,FALSE)=0,"",VLOOKUP($B206,'ORÇAMENTO '!$F$21:$P$993,11,FALSE)),"")</f>
        <v/>
      </c>
      <c r="E206" s="649" t="str">
        <f ca="1">IFERROR(IF(VLOOKUP($B206,'ORÇAMENTO '!$F$21:$N$993,6,FALSE)=0,"",VLOOKUP($B206,'ORÇAMENTO '!$F$21:$N$993,6,FALSE)),"")</f>
        <v/>
      </c>
      <c r="F206" s="649" t="str">
        <f ca="1">IFERROR(IF(VLOOKUP($B206,'ORÇAMENTO '!$F$21:$N$993,5,FALSE)=0,"",VLOOKUP($B206,'ORÇAMENTO '!$F$21:$N$993,5,FALSE)),"")</f>
        <v/>
      </c>
    </row>
    <row r="207" spans="2:6" ht="15">
      <c r="B207" s="646">
        <f>'ORÇAMENTO '!F474</f>
        <v>0</v>
      </c>
      <c r="C207" s="647">
        <f>IFERROR(IF(OR($B207="",$B207=0),'ORÇAMENTO '!I474,VLOOKUP($B207,'ORÇAMENTO '!$F$21:$N$450,4,FALSE)),"")</f>
        <v>0</v>
      </c>
      <c r="D207" s="648" t="str">
        <f ca="1">IFERROR(IF(VLOOKUP($B207,'ORÇAMENTO '!$F$21:$P$993,11,FALSE)=0,"",VLOOKUP($B207,'ORÇAMENTO '!$F$21:$P$993,11,FALSE)),"")</f>
        <v/>
      </c>
      <c r="E207" s="649" t="str">
        <f ca="1">IFERROR(IF(VLOOKUP($B207,'ORÇAMENTO '!$F$21:$N$993,6,FALSE)=0,"",VLOOKUP($B207,'ORÇAMENTO '!$F$21:$N$993,6,FALSE)),"")</f>
        <v/>
      </c>
      <c r="F207" s="649" t="str">
        <f ca="1">IFERROR(IF(VLOOKUP($B207,'ORÇAMENTO '!$F$21:$N$993,5,FALSE)=0,"",VLOOKUP($B207,'ORÇAMENTO '!$F$21:$N$993,5,FALSE)),"")</f>
        <v/>
      </c>
    </row>
    <row r="208" spans="2:6" ht="15">
      <c r="B208" s="646">
        <f>'ORÇAMENTO '!F475</f>
        <v>0</v>
      </c>
      <c r="C208" s="647">
        <f>IFERROR(IF(OR($B208="",$B208=0),'ORÇAMENTO '!I475,VLOOKUP($B208,'ORÇAMENTO '!$F$21:$N$450,4,FALSE)),"")</f>
        <v>0</v>
      </c>
      <c r="D208" s="648" t="str">
        <f ca="1">IFERROR(IF(VLOOKUP($B208,'ORÇAMENTO '!$F$21:$P$993,11,FALSE)=0,"",VLOOKUP($B208,'ORÇAMENTO '!$F$21:$P$993,11,FALSE)),"")</f>
        <v/>
      </c>
      <c r="E208" s="649" t="str">
        <f ca="1">IFERROR(IF(VLOOKUP($B208,'ORÇAMENTO '!$F$21:$N$993,6,FALSE)=0,"",VLOOKUP($B208,'ORÇAMENTO '!$F$21:$N$993,6,FALSE)),"")</f>
        <v/>
      </c>
      <c r="F208" s="649" t="str">
        <f ca="1">IFERROR(IF(VLOOKUP($B208,'ORÇAMENTO '!$F$21:$N$993,5,FALSE)=0,"",VLOOKUP($B208,'ORÇAMENTO '!$F$21:$N$993,5,FALSE)),"")</f>
        <v/>
      </c>
    </row>
    <row r="209" spans="2:6" ht="15">
      <c r="B209" s="646">
        <f>'ORÇAMENTO '!F476</f>
        <v>0</v>
      </c>
      <c r="C209" s="647">
        <f>IFERROR(IF(OR($B209="",$B209=0),'ORÇAMENTO '!I476,VLOOKUP($B209,'ORÇAMENTO '!$F$21:$N$450,4,FALSE)),"")</f>
        <v>0</v>
      </c>
      <c r="D209" s="648" t="str">
        <f ca="1">IFERROR(IF(VLOOKUP($B209,'ORÇAMENTO '!$F$21:$P$993,11,FALSE)=0,"",VLOOKUP($B209,'ORÇAMENTO '!$F$21:$P$993,11,FALSE)),"")</f>
        <v/>
      </c>
      <c r="E209" s="649" t="str">
        <f ca="1">IFERROR(IF(VLOOKUP($B209,'ORÇAMENTO '!$F$21:$N$993,6,FALSE)=0,"",VLOOKUP($B209,'ORÇAMENTO '!$F$21:$N$993,6,FALSE)),"")</f>
        <v/>
      </c>
      <c r="F209" s="649" t="str">
        <f ca="1">IFERROR(IF(VLOOKUP($B209,'ORÇAMENTO '!$F$21:$N$993,5,FALSE)=0,"",VLOOKUP($B209,'ORÇAMENTO '!$F$21:$N$993,5,FALSE)),"")</f>
        <v/>
      </c>
    </row>
    <row r="210" spans="2:6" ht="15">
      <c r="B210" s="646">
        <f>'ORÇAMENTO '!F477</f>
        <v>0</v>
      </c>
      <c r="C210" s="647">
        <f>IFERROR(IF(OR($B210="",$B210=0),'ORÇAMENTO '!I477,VLOOKUP($B210,'ORÇAMENTO '!$F$21:$N$450,4,FALSE)),"")</f>
        <v>0</v>
      </c>
      <c r="D210" s="648" t="str">
        <f ca="1">IFERROR(IF(VLOOKUP($B210,'ORÇAMENTO '!$F$21:$P$993,11,FALSE)=0,"",VLOOKUP($B210,'ORÇAMENTO '!$F$21:$P$993,11,FALSE)),"")</f>
        <v/>
      </c>
      <c r="E210" s="649" t="str">
        <f ca="1">IFERROR(IF(VLOOKUP($B210,'ORÇAMENTO '!$F$21:$N$993,6,FALSE)=0,"",VLOOKUP($B210,'ORÇAMENTO '!$F$21:$N$993,6,FALSE)),"")</f>
        <v/>
      </c>
      <c r="F210" s="649" t="str">
        <f ca="1">IFERROR(IF(VLOOKUP($B210,'ORÇAMENTO '!$F$21:$N$993,5,FALSE)=0,"",VLOOKUP($B210,'ORÇAMENTO '!$F$21:$N$993,5,FALSE)),"")</f>
        <v/>
      </c>
    </row>
    <row r="211" spans="2:6" ht="15">
      <c r="B211" s="646">
        <f>'ORÇAMENTO '!F478</f>
        <v>0</v>
      </c>
      <c r="C211" s="647">
        <f>IFERROR(IF(OR($B211="",$B211=0),'ORÇAMENTO '!I478,VLOOKUP($B211,'ORÇAMENTO '!$F$21:$N$450,4,FALSE)),"")</f>
        <v>0</v>
      </c>
      <c r="D211" s="648" t="str">
        <f ca="1">IFERROR(IF(VLOOKUP($B211,'ORÇAMENTO '!$F$21:$P$993,11,FALSE)=0,"",VLOOKUP($B211,'ORÇAMENTO '!$F$21:$P$993,11,FALSE)),"")</f>
        <v/>
      </c>
      <c r="E211" s="649" t="str">
        <f ca="1">IFERROR(IF(VLOOKUP($B211,'ORÇAMENTO '!$F$21:$N$993,6,FALSE)=0,"",VLOOKUP($B211,'ORÇAMENTO '!$F$21:$N$993,6,FALSE)),"")</f>
        <v/>
      </c>
      <c r="F211" s="649" t="str">
        <f ca="1">IFERROR(IF(VLOOKUP($B211,'ORÇAMENTO '!$F$21:$N$993,5,FALSE)=0,"",VLOOKUP($B211,'ORÇAMENTO '!$F$21:$N$993,5,FALSE)),"")</f>
        <v/>
      </c>
    </row>
    <row r="212" spans="2:6" ht="15">
      <c r="B212" s="646">
        <f>'ORÇAMENTO '!F479</f>
        <v>0</v>
      </c>
      <c r="C212" s="647">
        <f>IFERROR(IF(OR($B212="",$B212=0),'ORÇAMENTO '!I479,VLOOKUP($B212,'ORÇAMENTO '!$F$21:$N$450,4,FALSE)),"")</f>
        <v>0</v>
      </c>
      <c r="D212" s="648" t="str">
        <f ca="1">IFERROR(IF(VLOOKUP($B212,'ORÇAMENTO '!$F$21:$P$993,11,FALSE)=0,"",VLOOKUP($B212,'ORÇAMENTO '!$F$21:$P$993,11,FALSE)),"")</f>
        <v/>
      </c>
      <c r="E212" s="649" t="str">
        <f ca="1">IFERROR(IF(VLOOKUP($B212,'ORÇAMENTO '!$F$21:$N$993,6,FALSE)=0,"",VLOOKUP($B212,'ORÇAMENTO '!$F$21:$N$993,6,FALSE)),"")</f>
        <v/>
      </c>
      <c r="F212" s="649" t="str">
        <f ca="1">IFERROR(IF(VLOOKUP($B212,'ORÇAMENTO '!$F$21:$N$993,5,FALSE)=0,"",VLOOKUP($B212,'ORÇAMENTO '!$F$21:$N$993,5,FALSE)),"")</f>
        <v/>
      </c>
    </row>
    <row r="213" spans="2:6" ht="15">
      <c r="B213" s="646">
        <f>'ORÇAMENTO '!F480</f>
        <v>0</v>
      </c>
      <c r="C213" s="647">
        <f>IFERROR(IF(OR($B213="",$B213=0),'ORÇAMENTO '!I480,VLOOKUP($B213,'ORÇAMENTO '!$F$21:$N$450,4,FALSE)),"")</f>
        <v>0</v>
      </c>
      <c r="D213" s="648" t="str">
        <f ca="1">IFERROR(IF(VLOOKUP($B213,'ORÇAMENTO '!$F$21:$P$993,11,FALSE)=0,"",VLOOKUP($B213,'ORÇAMENTO '!$F$21:$P$993,11,FALSE)),"")</f>
        <v/>
      </c>
      <c r="E213" s="649" t="str">
        <f ca="1">IFERROR(IF(VLOOKUP($B213,'ORÇAMENTO '!$F$21:$N$993,6,FALSE)=0,"",VLOOKUP($B213,'ORÇAMENTO '!$F$21:$N$993,6,FALSE)),"")</f>
        <v/>
      </c>
      <c r="F213" s="649" t="str">
        <f ca="1">IFERROR(IF(VLOOKUP($B213,'ORÇAMENTO '!$F$21:$N$993,5,FALSE)=0,"",VLOOKUP($B213,'ORÇAMENTO '!$F$21:$N$993,5,FALSE)),"")</f>
        <v/>
      </c>
    </row>
    <row r="214" spans="2:6" ht="15">
      <c r="B214" s="646">
        <f>'ORÇAMENTO '!F481</f>
        <v>0</v>
      </c>
      <c r="C214" s="647">
        <f>IFERROR(IF(OR($B214="",$B214=0),'ORÇAMENTO '!I481,VLOOKUP($B214,'ORÇAMENTO '!$F$21:$N$450,4,FALSE)),"")</f>
        <v>0</v>
      </c>
      <c r="D214" s="648" t="str">
        <f ca="1">IFERROR(IF(VLOOKUP($B214,'ORÇAMENTO '!$F$21:$P$993,11,FALSE)=0,"",VLOOKUP($B214,'ORÇAMENTO '!$F$21:$P$993,11,FALSE)),"")</f>
        <v/>
      </c>
      <c r="E214" s="649" t="str">
        <f ca="1">IFERROR(IF(VLOOKUP($B214,'ORÇAMENTO '!$F$21:$N$993,6,FALSE)=0,"",VLOOKUP($B214,'ORÇAMENTO '!$F$21:$N$993,6,FALSE)),"")</f>
        <v/>
      </c>
      <c r="F214" s="649" t="str">
        <f ca="1">IFERROR(IF(VLOOKUP($B214,'ORÇAMENTO '!$F$21:$N$993,5,FALSE)=0,"",VLOOKUP($B214,'ORÇAMENTO '!$F$21:$N$993,5,FALSE)),"")</f>
        <v/>
      </c>
    </row>
    <row r="215" spans="2:6" ht="15">
      <c r="B215" s="646">
        <f>'ORÇAMENTO '!F482</f>
        <v>0</v>
      </c>
      <c r="C215" s="647">
        <f>IFERROR(IF(OR($B215="",$B215=0),'ORÇAMENTO '!I482,VLOOKUP($B215,'ORÇAMENTO '!$F$21:$N$450,4,FALSE)),"")</f>
        <v>0</v>
      </c>
      <c r="D215" s="648" t="str">
        <f ca="1">IFERROR(IF(VLOOKUP($B215,'ORÇAMENTO '!$F$21:$P$993,11,FALSE)=0,"",VLOOKUP($B215,'ORÇAMENTO '!$F$21:$P$993,11,FALSE)),"")</f>
        <v/>
      </c>
      <c r="E215" s="649" t="str">
        <f ca="1">IFERROR(IF(VLOOKUP($B215,'ORÇAMENTO '!$F$21:$N$993,6,FALSE)=0,"",VLOOKUP($B215,'ORÇAMENTO '!$F$21:$N$993,6,FALSE)),"")</f>
        <v/>
      </c>
      <c r="F215" s="649" t="str">
        <f ca="1">IFERROR(IF(VLOOKUP($B215,'ORÇAMENTO '!$F$21:$N$993,5,FALSE)=0,"",VLOOKUP($B215,'ORÇAMENTO '!$F$21:$N$993,5,FALSE)),"")</f>
        <v/>
      </c>
    </row>
    <row r="216" spans="2:6" ht="15">
      <c r="B216" s="646">
        <f>'ORÇAMENTO '!F483</f>
        <v>0</v>
      </c>
      <c r="C216" s="647">
        <f>IFERROR(IF(OR($B216="",$B216=0),'ORÇAMENTO '!I483,VLOOKUP($B216,'ORÇAMENTO '!$F$21:$N$450,4,FALSE)),"")</f>
        <v>0</v>
      </c>
      <c r="D216" s="648" t="str">
        <f ca="1">IFERROR(IF(VLOOKUP($B216,'ORÇAMENTO '!$F$21:$P$993,11,FALSE)=0,"",VLOOKUP($B216,'ORÇAMENTO '!$F$21:$P$993,11,FALSE)),"")</f>
        <v/>
      </c>
      <c r="E216" s="649" t="str">
        <f ca="1">IFERROR(IF(VLOOKUP($B216,'ORÇAMENTO '!$F$21:$N$993,6,FALSE)=0,"",VLOOKUP($B216,'ORÇAMENTO '!$F$21:$N$993,6,FALSE)),"")</f>
        <v/>
      </c>
      <c r="F216" s="649" t="str">
        <f ca="1">IFERROR(IF(VLOOKUP($B216,'ORÇAMENTO '!$F$21:$N$993,5,FALSE)=0,"",VLOOKUP($B216,'ORÇAMENTO '!$F$21:$N$993,5,FALSE)),"")</f>
        <v/>
      </c>
    </row>
    <row r="217" spans="2:6" ht="15">
      <c r="B217" s="646">
        <f>'ORÇAMENTO '!F484</f>
        <v>0</v>
      </c>
      <c r="C217" s="647">
        <f>IFERROR(IF(OR($B217="",$B217=0),'ORÇAMENTO '!I484,VLOOKUP($B217,'ORÇAMENTO '!$F$21:$N$450,4,FALSE)),"")</f>
        <v>0</v>
      </c>
      <c r="D217" s="648" t="str">
        <f ca="1">IFERROR(IF(VLOOKUP($B217,'ORÇAMENTO '!$F$21:$P$993,11,FALSE)=0,"",VLOOKUP($B217,'ORÇAMENTO '!$F$21:$P$993,11,FALSE)),"")</f>
        <v/>
      </c>
      <c r="E217" s="649" t="str">
        <f ca="1">IFERROR(IF(VLOOKUP($B217,'ORÇAMENTO '!$F$21:$N$993,6,FALSE)=0,"",VLOOKUP($B217,'ORÇAMENTO '!$F$21:$N$993,6,FALSE)),"")</f>
        <v/>
      </c>
      <c r="F217" s="649" t="str">
        <f ca="1">IFERROR(IF(VLOOKUP($B217,'ORÇAMENTO '!$F$21:$N$993,5,FALSE)=0,"",VLOOKUP($B217,'ORÇAMENTO '!$F$21:$N$993,5,FALSE)),"")</f>
        <v/>
      </c>
    </row>
    <row r="218" spans="2:6" ht="15">
      <c r="B218" s="646">
        <f>'ORÇAMENTO '!F485</f>
        <v>0</v>
      </c>
      <c r="C218" s="647">
        <f>IFERROR(IF(OR($B218="",$B218=0),'ORÇAMENTO '!I485,VLOOKUP($B218,'ORÇAMENTO '!$F$21:$N$450,4,FALSE)),"")</f>
        <v>0</v>
      </c>
      <c r="D218" s="648" t="str">
        <f ca="1">IFERROR(IF(VLOOKUP($B218,'ORÇAMENTO '!$F$21:$P$993,11,FALSE)=0,"",VLOOKUP($B218,'ORÇAMENTO '!$F$21:$P$993,11,FALSE)),"")</f>
        <v/>
      </c>
      <c r="E218" s="649" t="str">
        <f ca="1">IFERROR(IF(VLOOKUP($B218,'ORÇAMENTO '!$F$21:$N$993,6,FALSE)=0,"",VLOOKUP($B218,'ORÇAMENTO '!$F$21:$N$993,6,FALSE)),"")</f>
        <v/>
      </c>
      <c r="F218" s="649" t="str">
        <f ca="1">IFERROR(IF(VLOOKUP($B218,'ORÇAMENTO '!$F$21:$N$993,5,FALSE)=0,"",VLOOKUP($B218,'ORÇAMENTO '!$F$21:$N$993,5,FALSE)),"")</f>
        <v/>
      </c>
    </row>
    <row r="219" spans="2:6" ht="15">
      <c r="B219" s="646">
        <f>'ORÇAMENTO '!F486</f>
        <v>0</v>
      </c>
      <c r="C219" s="647">
        <f>IFERROR(IF(OR($B219="",$B219=0),'ORÇAMENTO '!I486,VLOOKUP($B219,'ORÇAMENTO '!$F$21:$N$450,4,FALSE)),"")</f>
        <v>0</v>
      </c>
      <c r="D219" s="648" t="str">
        <f ca="1">IFERROR(IF(VLOOKUP($B219,'ORÇAMENTO '!$F$21:$P$993,11,FALSE)=0,"",VLOOKUP($B219,'ORÇAMENTO '!$F$21:$P$993,11,FALSE)),"")</f>
        <v/>
      </c>
      <c r="E219" s="649" t="str">
        <f ca="1">IFERROR(IF(VLOOKUP($B219,'ORÇAMENTO '!$F$21:$N$993,6,FALSE)=0,"",VLOOKUP($B219,'ORÇAMENTO '!$F$21:$N$993,6,FALSE)),"")</f>
        <v/>
      </c>
      <c r="F219" s="649" t="str">
        <f ca="1">IFERROR(IF(VLOOKUP($B219,'ORÇAMENTO '!$F$21:$N$993,5,FALSE)=0,"",VLOOKUP($B219,'ORÇAMENTO '!$F$21:$N$993,5,FALSE)),"")</f>
        <v/>
      </c>
    </row>
    <row r="220" spans="2:6" ht="15">
      <c r="B220" s="646">
        <f>'ORÇAMENTO '!F487</f>
        <v>0</v>
      </c>
      <c r="C220" s="647">
        <f>IFERROR(IF(OR($B220="",$B220=0),'ORÇAMENTO '!I487,VLOOKUP($B220,'ORÇAMENTO '!$F$21:$N$450,4,FALSE)),"")</f>
        <v>0</v>
      </c>
      <c r="D220" s="648" t="str">
        <f ca="1">IFERROR(IF(VLOOKUP($B220,'ORÇAMENTO '!$F$21:$P$993,11,FALSE)=0,"",VLOOKUP($B220,'ORÇAMENTO '!$F$21:$P$993,11,FALSE)),"")</f>
        <v/>
      </c>
      <c r="E220" s="649" t="str">
        <f ca="1">IFERROR(IF(VLOOKUP($B220,'ORÇAMENTO '!$F$21:$N$993,6,FALSE)=0,"",VLOOKUP($B220,'ORÇAMENTO '!$F$21:$N$993,6,FALSE)),"")</f>
        <v/>
      </c>
      <c r="F220" s="649" t="str">
        <f ca="1">IFERROR(IF(VLOOKUP($B220,'ORÇAMENTO '!$F$21:$N$993,5,FALSE)=0,"",VLOOKUP($B220,'ORÇAMENTO '!$F$21:$N$993,5,FALSE)),"")</f>
        <v/>
      </c>
    </row>
    <row r="221" spans="2:6" ht="15">
      <c r="B221" s="646">
        <f>'ORÇAMENTO '!F488</f>
        <v>0</v>
      </c>
      <c r="C221" s="647">
        <f>IFERROR(IF(OR($B221="",$B221=0),'ORÇAMENTO '!I488,VLOOKUP($B221,'ORÇAMENTO '!$F$21:$N$450,4,FALSE)),"")</f>
        <v>0</v>
      </c>
      <c r="D221" s="648" t="str">
        <f ca="1">IFERROR(IF(VLOOKUP($B221,'ORÇAMENTO '!$F$21:$P$993,11,FALSE)=0,"",VLOOKUP($B221,'ORÇAMENTO '!$F$21:$P$993,11,FALSE)),"")</f>
        <v/>
      </c>
      <c r="E221" s="649" t="str">
        <f ca="1">IFERROR(IF(VLOOKUP($B221,'ORÇAMENTO '!$F$21:$N$993,6,FALSE)=0,"",VLOOKUP($B221,'ORÇAMENTO '!$F$21:$N$993,6,FALSE)),"")</f>
        <v/>
      </c>
      <c r="F221" s="649" t="str">
        <f ca="1">IFERROR(IF(VLOOKUP($B221,'ORÇAMENTO '!$F$21:$N$993,5,FALSE)=0,"",VLOOKUP($B221,'ORÇAMENTO '!$F$21:$N$993,5,FALSE)),"")</f>
        <v/>
      </c>
    </row>
    <row r="222" spans="2:6" ht="15">
      <c r="B222" s="646">
        <f>'ORÇAMENTO '!F489</f>
        <v>0</v>
      </c>
      <c r="C222" s="647">
        <f>IFERROR(IF(OR($B222="",$B222=0),'ORÇAMENTO '!I489,VLOOKUP($B222,'ORÇAMENTO '!$F$21:$N$450,4,FALSE)),"")</f>
        <v>0</v>
      </c>
      <c r="D222" s="648" t="str">
        <f ca="1">IFERROR(IF(VLOOKUP($B222,'ORÇAMENTO '!$F$21:$P$993,11,FALSE)=0,"",VLOOKUP($B222,'ORÇAMENTO '!$F$21:$P$993,11,FALSE)),"")</f>
        <v/>
      </c>
      <c r="E222" s="649" t="str">
        <f ca="1">IFERROR(IF(VLOOKUP($B222,'ORÇAMENTO '!$F$21:$N$993,6,FALSE)=0,"",VLOOKUP($B222,'ORÇAMENTO '!$F$21:$N$993,6,FALSE)),"")</f>
        <v/>
      </c>
      <c r="F222" s="649" t="str">
        <f ca="1">IFERROR(IF(VLOOKUP($B222,'ORÇAMENTO '!$F$21:$N$993,5,FALSE)=0,"",VLOOKUP($B222,'ORÇAMENTO '!$F$21:$N$993,5,FALSE)),"")</f>
        <v/>
      </c>
    </row>
    <row r="223" spans="2:6" ht="15">
      <c r="B223" s="646">
        <f>'ORÇAMENTO '!F490</f>
        <v>0</v>
      </c>
      <c r="C223" s="647">
        <f>IFERROR(IF(OR($B223="",$B223=0),'ORÇAMENTO '!I490,VLOOKUP($B223,'ORÇAMENTO '!$F$21:$N$450,4,FALSE)),"")</f>
        <v>0</v>
      </c>
      <c r="D223" s="648" t="str">
        <f ca="1">IFERROR(IF(VLOOKUP($B223,'ORÇAMENTO '!$F$21:$P$993,11,FALSE)=0,"",VLOOKUP($B223,'ORÇAMENTO '!$F$21:$P$993,11,FALSE)),"")</f>
        <v/>
      </c>
      <c r="E223" s="649" t="str">
        <f ca="1">IFERROR(IF(VLOOKUP($B223,'ORÇAMENTO '!$F$21:$N$993,6,FALSE)=0,"",VLOOKUP($B223,'ORÇAMENTO '!$F$21:$N$993,6,FALSE)),"")</f>
        <v/>
      </c>
      <c r="F223" s="649" t="str">
        <f ca="1">IFERROR(IF(VLOOKUP($B223,'ORÇAMENTO '!$F$21:$N$993,5,FALSE)=0,"",VLOOKUP($B223,'ORÇAMENTO '!$F$21:$N$993,5,FALSE)),"")</f>
        <v/>
      </c>
    </row>
    <row r="224" spans="2:6" ht="15">
      <c r="B224" s="646">
        <f>'ORÇAMENTO '!F491</f>
        <v>0</v>
      </c>
      <c r="C224" s="647">
        <f>IFERROR(IF(OR($B224="",$B224=0),'ORÇAMENTO '!I491,VLOOKUP($B224,'ORÇAMENTO '!$F$21:$N$450,4,FALSE)),"")</f>
        <v>0</v>
      </c>
      <c r="D224" s="648" t="str">
        <f ca="1">IFERROR(IF(VLOOKUP($B224,'ORÇAMENTO '!$F$21:$P$993,11,FALSE)=0,"",VLOOKUP($B224,'ORÇAMENTO '!$F$21:$P$993,11,FALSE)),"")</f>
        <v/>
      </c>
      <c r="E224" s="649" t="str">
        <f ca="1">IFERROR(IF(VLOOKUP($B224,'ORÇAMENTO '!$F$21:$N$993,6,FALSE)=0,"",VLOOKUP($B224,'ORÇAMENTO '!$F$21:$N$993,6,FALSE)),"")</f>
        <v/>
      </c>
      <c r="F224" s="649" t="str">
        <f ca="1">IFERROR(IF(VLOOKUP($B224,'ORÇAMENTO '!$F$21:$N$993,5,FALSE)=0,"",VLOOKUP($B224,'ORÇAMENTO '!$F$21:$N$993,5,FALSE)),"")</f>
        <v/>
      </c>
    </row>
    <row r="225" spans="2:6" ht="15">
      <c r="B225" s="646">
        <f>'ORÇAMENTO '!F492</f>
        <v>0</v>
      </c>
      <c r="C225" s="647">
        <f>IFERROR(IF(OR($B225="",$B225=0),'ORÇAMENTO '!I492,VLOOKUP($B225,'ORÇAMENTO '!$F$21:$N$450,4,FALSE)),"")</f>
        <v>0</v>
      </c>
      <c r="D225" s="648" t="str">
        <f ca="1">IFERROR(IF(VLOOKUP($B225,'ORÇAMENTO '!$F$21:$P$993,11,FALSE)=0,"",VLOOKUP($B225,'ORÇAMENTO '!$F$21:$P$993,11,FALSE)),"")</f>
        <v/>
      </c>
      <c r="E225" s="649" t="str">
        <f ca="1">IFERROR(IF(VLOOKUP($B225,'ORÇAMENTO '!$F$21:$N$993,6,FALSE)=0,"",VLOOKUP($B225,'ORÇAMENTO '!$F$21:$N$993,6,FALSE)),"")</f>
        <v/>
      </c>
      <c r="F225" s="649" t="str">
        <f ca="1">IFERROR(IF(VLOOKUP($B225,'ORÇAMENTO '!$F$21:$N$993,5,FALSE)=0,"",VLOOKUP($B225,'ORÇAMENTO '!$F$21:$N$993,5,FALSE)),"")</f>
        <v/>
      </c>
    </row>
    <row r="226" spans="2:6" ht="15">
      <c r="B226" s="646">
        <f>'ORÇAMENTO '!F493</f>
        <v>0</v>
      </c>
      <c r="C226" s="647">
        <f>IFERROR(IF(OR($B226="",$B226=0),'ORÇAMENTO '!I493,VLOOKUP($B226,'ORÇAMENTO '!$F$21:$N$450,4,FALSE)),"")</f>
        <v>0</v>
      </c>
      <c r="D226" s="648" t="str">
        <f ca="1">IFERROR(IF(VLOOKUP($B226,'ORÇAMENTO '!$F$21:$P$993,11,FALSE)=0,"",VLOOKUP($B226,'ORÇAMENTO '!$F$21:$P$993,11,FALSE)),"")</f>
        <v/>
      </c>
      <c r="E226" s="649" t="str">
        <f ca="1">IFERROR(IF(VLOOKUP($B226,'ORÇAMENTO '!$F$21:$N$993,6,FALSE)=0,"",VLOOKUP($B226,'ORÇAMENTO '!$F$21:$N$993,6,FALSE)),"")</f>
        <v/>
      </c>
      <c r="F226" s="649" t="str">
        <f ca="1">IFERROR(IF(VLOOKUP($B226,'ORÇAMENTO '!$F$21:$N$993,5,FALSE)=0,"",VLOOKUP($B226,'ORÇAMENTO '!$F$21:$N$993,5,FALSE)),"")</f>
        <v/>
      </c>
    </row>
    <row r="227" spans="2:6" ht="15">
      <c r="B227" s="646">
        <f>'ORÇAMENTO '!F494</f>
        <v>0</v>
      </c>
      <c r="C227" s="647">
        <f>IFERROR(IF(OR($B227="",$B227=0),'ORÇAMENTO '!I494,VLOOKUP($B227,'ORÇAMENTO '!$F$21:$N$450,4,FALSE)),"")</f>
        <v>0</v>
      </c>
      <c r="D227" s="648" t="str">
        <f ca="1">IFERROR(IF(VLOOKUP($B227,'ORÇAMENTO '!$F$21:$P$993,11,FALSE)=0,"",VLOOKUP($B227,'ORÇAMENTO '!$F$21:$P$993,11,FALSE)),"")</f>
        <v/>
      </c>
      <c r="E227" s="649" t="str">
        <f ca="1">IFERROR(IF(VLOOKUP($B227,'ORÇAMENTO '!$F$21:$N$993,6,FALSE)=0,"",VLOOKUP($B227,'ORÇAMENTO '!$F$21:$N$993,6,FALSE)),"")</f>
        <v/>
      </c>
      <c r="F227" s="649" t="str">
        <f ca="1">IFERROR(IF(VLOOKUP($B227,'ORÇAMENTO '!$F$21:$N$993,5,FALSE)=0,"",VLOOKUP($B227,'ORÇAMENTO '!$F$21:$N$993,5,FALSE)),"")</f>
        <v/>
      </c>
    </row>
    <row r="228" spans="2:6" ht="15">
      <c r="B228" s="646">
        <f>'ORÇAMENTO '!F495</f>
        <v>0</v>
      </c>
      <c r="C228" s="647">
        <f>IFERROR(IF(OR($B228="",$B228=0),'ORÇAMENTO '!I495,VLOOKUP($B228,'ORÇAMENTO '!$F$21:$N$450,4,FALSE)),"")</f>
        <v>0</v>
      </c>
      <c r="D228" s="648" t="str">
        <f ca="1">IFERROR(IF(VLOOKUP($B228,'ORÇAMENTO '!$F$21:$P$993,11,FALSE)=0,"",VLOOKUP($B228,'ORÇAMENTO '!$F$21:$P$993,11,FALSE)),"")</f>
        <v/>
      </c>
      <c r="E228" s="649" t="str">
        <f ca="1">IFERROR(IF(VLOOKUP($B228,'ORÇAMENTO '!$F$21:$N$993,6,FALSE)=0,"",VLOOKUP($B228,'ORÇAMENTO '!$F$21:$N$993,6,FALSE)),"")</f>
        <v/>
      </c>
      <c r="F228" s="649" t="str">
        <f ca="1">IFERROR(IF(VLOOKUP($B228,'ORÇAMENTO '!$F$21:$N$993,5,FALSE)=0,"",VLOOKUP($B228,'ORÇAMENTO '!$F$21:$N$993,5,FALSE)),"")</f>
        <v/>
      </c>
    </row>
    <row r="229" spans="2:6" ht="15">
      <c r="B229" s="646">
        <f>'ORÇAMENTO '!F496</f>
        <v>0</v>
      </c>
      <c r="C229" s="647">
        <f>IFERROR(IF(OR($B229="",$B229=0),'ORÇAMENTO '!I496,VLOOKUP($B229,'ORÇAMENTO '!$F$21:$N$450,4,FALSE)),"")</f>
        <v>0</v>
      </c>
      <c r="D229" s="648" t="str">
        <f ca="1">IFERROR(IF(VLOOKUP($B229,'ORÇAMENTO '!$F$21:$P$993,11,FALSE)=0,"",VLOOKUP($B229,'ORÇAMENTO '!$F$21:$P$993,11,FALSE)),"")</f>
        <v/>
      </c>
      <c r="E229" s="649" t="str">
        <f ca="1">IFERROR(IF(VLOOKUP($B229,'ORÇAMENTO '!$F$21:$N$993,6,FALSE)=0,"",VLOOKUP($B229,'ORÇAMENTO '!$F$21:$N$993,6,FALSE)),"")</f>
        <v/>
      </c>
      <c r="F229" s="649" t="str">
        <f ca="1">IFERROR(IF(VLOOKUP($B229,'ORÇAMENTO '!$F$21:$N$993,5,FALSE)=0,"",VLOOKUP($B229,'ORÇAMENTO '!$F$21:$N$993,5,FALSE)),"")</f>
        <v/>
      </c>
    </row>
    <row r="230" spans="2:6" ht="15">
      <c r="B230" s="646">
        <f>'ORÇAMENTO '!F497</f>
        <v>0</v>
      </c>
      <c r="C230" s="647">
        <f>IFERROR(IF(OR($B230="",$B230=0),'ORÇAMENTO '!I497,VLOOKUP($B230,'ORÇAMENTO '!$F$21:$N$450,4,FALSE)),"")</f>
        <v>0</v>
      </c>
      <c r="D230" s="648" t="str">
        <f ca="1">IFERROR(IF(VLOOKUP($B230,'ORÇAMENTO '!$F$21:$P$993,11,FALSE)=0,"",VLOOKUP($B230,'ORÇAMENTO '!$F$21:$P$993,11,FALSE)),"")</f>
        <v/>
      </c>
      <c r="E230" s="649" t="str">
        <f ca="1">IFERROR(IF(VLOOKUP($B230,'ORÇAMENTO '!$F$21:$N$993,6,FALSE)=0,"",VLOOKUP($B230,'ORÇAMENTO '!$F$21:$N$993,6,FALSE)),"")</f>
        <v/>
      </c>
      <c r="F230" s="649" t="str">
        <f ca="1">IFERROR(IF(VLOOKUP($B230,'ORÇAMENTO '!$F$21:$N$993,5,FALSE)=0,"",VLOOKUP($B230,'ORÇAMENTO '!$F$21:$N$993,5,FALSE)),"")</f>
        <v/>
      </c>
    </row>
    <row r="231" spans="2:6" ht="15">
      <c r="B231" s="646">
        <f>'ORÇAMENTO '!F498</f>
        <v>0</v>
      </c>
      <c r="C231" s="647">
        <f>IFERROR(IF(OR($B231="",$B231=0),'ORÇAMENTO '!I498,VLOOKUP($B231,'ORÇAMENTO '!$F$21:$N$450,4,FALSE)),"")</f>
        <v>0</v>
      </c>
      <c r="D231" s="648" t="str">
        <f ca="1">IFERROR(IF(VLOOKUP($B231,'ORÇAMENTO '!$F$21:$P$993,11,FALSE)=0,"",VLOOKUP($B231,'ORÇAMENTO '!$F$21:$P$993,11,FALSE)),"")</f>
        <v/>
      </c>
      <c r="E231" s="649" t="str">
        <f ca="1">IFERROR(IF(VLOOKUP($B231,'ORÇAMENTO '!$F$21:$N$993,6,FALSE)=0,"",VLOOKUP($B231,'ORÇAMENTO '!$F$21:$N$993,6,FALSE)),"")</f>
        <v/>
      </c>
      <c r="F231" s="649" t="str">
        <f ca="1">IFERROR(IF(VLOOKUP($B231,'ORÇAMENTO '!$F$21:$N$993,5,FALSE)=0,"",VLOOKUP($B231,'ORÇAMENTO '!$F$21:$N$993,5,FALSE)),"")</f>
        <v/>
      </c>
    </row>
    <row r="232" spans="2:6" ht="15">
      <c r="B232" s="646">
        <f>'ORÇAMENTO '!F499</f>
        <v>0</v>
      </c>
      <c r="C232" s="647">
        <f>IFERROR(IF(OR($B232="",$B232=0),'ORÇAMENTO '!I499,VLOOKUP($B232,'ORÇAMENTO '!$F$21:$N$450,4,FALSE)),"")</f>
        <v>0</v>
      </c>
      <c r="D232" s="648" t="str">
        <f ca="1">IFERROR(IF(VLOOKUP($B232,'ORÇAMENTO '!$F$21:$P$993,11,FALSE)=0,"",VLOOKUP($B232,'ORÇAMENTO '!$F$21:$P$993,11,FALSE)),"")</f>
        <v/>
      </c>
      <c r="E232" s="649" t="str">
        <f ca="1">IFERROR(IF(VLOOKUP($B232,'ORÇAMENTO '!$F$21:$N$993,6,FALSE)=0,"",VLOOKUP($B232,'ORÇAMENTO '!$F$21:$N$993,6,FALSE)),"")</f>
        <v/>
      </c>
      <c r="F232" s="649" t="str">
        <f ca="1">IFERROR(IF(VLOOKUP($B232,'ORÇAMENTO '!$F$21:$N$993,5,FALSE)=0,"",VLOOKUP($B232,'ORÇAMENTO '!$F$21:$N$993,5,FALSE)),"")</f>
        <v/>
      </c>
    </row>
    <row r="233" spans="2:6" ht="15">
      <c r="B233" s="646">
        <f>'ORÇAMENTO '!F500</f>
        <v>0</v>
      </c>
      <c r="C233" s="647">
        <f>IFERROR(IF(OR($B233="",$B233=0),'ORÇAMENTO '!I500,VLOOKUP($B233,'ORÇAMENTO '!$F$21:$N$450,4,FALSE)),"")</f>
        <v>0</v>
      </c>
      <c r="D233" s="648" t="str">
        <f ca="1">IFERROR(IF(VLOOKUP($B233,'ORÇAMENTO '!$F$21:$P$993,11,FALSE)=0,"",VLOOKUP($B233,'ORÇAMENTO '!$F$21:$P$993,11,FALSE)),"")</f>
        <v/>
      </c>
      <c r="E233" s="649" t="str">
        <f ca="1">IFERROR(IF(VLOOKUP($B233,'ORÇAMENTO '!$F$21:$N$993,6,FALSE)=0,"",VLOOKUP($B233,'ORÇAMENTO '!$F$21:$N$993,6,FALSE)),"")</f>
        <v/>
      </c>
      <c r="F233" s="649" t="str">
        <f ca="1">IFERROR(IF(VLOOKUP($B233,'ORÇAMENTO '!$F$21:$N$993,5,FALSE)=0,"",VLOOKUP($B233,'ORÇAMENTO '!$F$21:$N$993,5,FALSE)),"")</f>
        <v/>
      </c>
    </row>
    <row r="234" spans="2:6" ht="15">
      <c r="B234" s="646">
        <f>'ORÇAMENTO '!F501</f>
        <v>0</v>
      </c>
      <c r="C234" s="647">
        <f>IFERROR(IF(OR($B234="",$B234=0),'ORÇAMENTO '!I501,VLOOKUP($B234,'ORÇAMENTO '!$F$21:$N$450,4,FALSE)),"")</f>
        <v>0</v>
      </c>
      <c r="D234" s="648" t="str">
        <f ca="1">IFERROR(IF(VLOOKUP($B234,'ORÇAMENTO '!$F$21:$P$993,11,FALSE)=0,"",VLOOKUP($B234,'ORÇAMENTO '!$F$21:$P$993,11,FALSE)),"")</f>
        <v/>
      </c>
      <c r="E234" s="649" t="str">
        <f ca="1">IFERROR(IF(VLOOKUP($B234,'ORÇAMENTO '!$F$21:$N$993,6,FALSE)=0,"",VLOOKUP($B234,'ORÇAMENTO '!$F$21:$N$993,6,FALSE)),"")</f>
        <v/>
      </c>
      <c r="F234" s="649" t="str">
        <f ca="1">IFERROR(IF(VLOOKUP($B234,'ORÇAMENTO '!$F$21:$N$993,5,FALSE)=0,"",VLOOKUP($B234,'ORÇAMENTO '!$F$21:$N$993,5,FALSE)),"")</f>
        <v/>
      </c>
    </row>
    <row r="235" spans="2:6" ht="15">
      <c r="B235" s="646">
        <f>'ORÇAMENTO '!F502</f>
        <v>0</v>
      </c>
      <c r="C235" s="647">
        <f>IFERROR(IF(OR($B235="",$B235=0),'ORÇAMENTO '!I502,VLOOKUP($B235,'ORÇAMENTO '!$F$21:$N$450,4,FALSE)),"")</f>
        <v>0</v>
      </c>
      <c r="D235" s="648" t="str">
        <f ca="1">IFERROR(IF(VLOOKUP($B235,'ORÇAMENTO '!$F$21:$P$993,11,FALSE)=0,"",VLOOKUP($B235,'ORÇAMENTO '!$F$21:$P$993,11,FALSE)),"")</f>
        <v/>
      </c>
      <c r="E235" s="649" t="str">
        <f ca="1">IFERROR(IF(VLOOKUP($B235,'ORÇAMENTO '!$F$21:$N$993,6,FALSE)=0,"",VLOOKUP($B235,'ORÇAMENTO '!$F$21:$N$993,6,FALSE)),"")</f>
        <v/>
      </c>
      <c r="F235" s="649" t="str">
        <f ca="1">IFERROR(IF(VLOOKUP($B235,'ORÇAMENTO '!$F$21:$N$993,5,FALSE)=0,"",VLOOKUP($B235,'ORÇAMENTO '!$F$21:$N$993,5,FALSE)),"")</f>
        <v/>
      </c>
    </row>
    <row r="236" spans="2:6" ht="15">
      <c r="B236" s="646">
        <f>'ORÇAMENTO '!F503</f>
        <v>0</v>
      </c>
      <c r="C236" s="647">
        <f>IFERROR(IF(OR($B236="",$B236=0),'ORÇAMENTO '!I503,VLOOKUP($B236,'ORÇAMENTO '!$F$21:$N$450,4,FALSE)),"")</f>
        <v>0</v>
      </c>
      <c r="D236" s="648" t="str">
        <f ca="1">IFERROR(IF(VLOOKUP($B236,'ORÇAMENTO '!$F$21:$P$993,11,FALSE)=0,"",VLOOKUP($B236,'ORÇAMENTO '!$F$21:$P$993,11,FALSE)),"")</f>
        <v/>
      </c>
      <c r="E236" s="649" t="str">
        <f ca="1">IFERROR(IF(VLOOKUP($B236,'ORÇAMENTO '!$F$21:$N$993,6,FALSE)=0,"",VLOOKUP($B236,'ORÇAMENTO '!$F$21:$N$993,6,FALSE)),"")</f>
        <v/>
      </c>
      <c r="F236" s="649" t="str">
        <f ca="1">IFERROR(IF(VLOOKUP($B236,'ORÇAMENTO '!$F$21:$N$993,5,FALSE)=0,"",VLOOKUP($B236,'ORÇAMENTO '!$F$21:$N$993,5,FALSE)),"")</f>
        <v/>
      </c>
    </row>
    <row r="237" spans="2:6" ht="15">
      <c r="B237" s="646">
        <f>'ORÇAMENTO '!F504</f>
        <v>0</v>
      </c>
      <c r="C237" s="647">
        <f>IFERROR(IF(OR($B237="",$B237=0),'ORÇAMENTO '!I504,VLOOKUP($B237,'ORÇAMENTO '!$F$21:$N$450,4,FALSE)),"")</f>
        <v>0</v>
      </c>
      <c r="D237" s="648" t="str">
        <f ca="1">IFERROR(IF(VLOOKUP($B237,'ORÇAMENTO '!$F$21:$P$993,11,FALSE)=0,"",VLOOKUP($B237,'ORÇAMENTO '!$F$21:$P$993,11,FALSE)),"")</f>
        <v/>
      </c>
      <c r="E237" s="649" t="str">
        <f ca="1">IFERROR(IF(VLOOKUP($B237,'ORÇAMENTO '!$F$21:$N$993,6,FALSE)=0,"",VLOOKUP($B237,'ORÇAMENTO '!$F$21:$N$993,6,FALSE)),"")</f>
        <v/>
      </c>
      <c r="F237" s="649" t="str">
        <f ca="1">IFERROR(IF(VLOOKUP($B237,'ORÇAMENTO '!$F$21:$N$993,5,FALSE)=0,"",VLOOKUP($B237,'ORÇAMENTO '!$F$21:$N$993,5,FALSE)),"")</f>
        <v/>
      </c>
    </row>
    <row r="238" spans="2:6" ht="15">
      <c r="B238" s="646">
        <f>'ORÇAMENTO '!F505</f>
        <v>0</v>
      </c>
      <c r="C238" s="647">
        <f>IFERROR(IF(OR($B238="",$B238=0),'ORÇAMENTO '!I505,VLOOKUP($B238,'ORÇAMENTO '!$F$21:$N$450,4,FALSE)),"")</f>
        <v>0</v>
      </c>
      <c r="D238" s="648" t="str">
        <f ca="1">IFERROR(IF(VLOOKUP($B238,'ORÇAMENTO '!$F$21:$P$993,11,FALSE)=0,"",VLOOKUP($B238,'ORÇAMENTO '!$F$21:$P$993,11,FALSE)),"")</f>
        <v/>
      </c>
      <c r="E238" s="649" t="str">
        <f ca="1">IFERROR(IF(VLOOKUP($B238,'ORÇAMENTO '!$F$21:$N$993,6,FALSE)=0,"",VLOOKUP($B238,'ORÇAMENTO '!$F$21:$N$993,6,FALSE)),"")</f>
        <v/>
      </c>
      <c r="F238" s="649" t="str">
        <f ca="1">IFERROR(IF(VLOOKUP($B238,'ORÇAMENTO '!$F$21:$N$993,5,FALSE)=0,"",VLOOKUP($B238,'ORÇAMENTO '!$F$21:$N$993,5,FALSE)),"")</f>
        <v/>
      </c>
    </row>
    <row r="239" spans="2:6" ht="15">
      <c r="B239" s="646">
        <f>'ORÇAMENTO '!F506</f>
        <v>0</v>
      </c>
      <c r="C239" s="647">
        <f>IFERROR(IF(OR($B239="",$B239=0),'ORÇAMENTO '!I506,VLOOKUP($B239,'ORÇAMENTO '!$F$21:$N$450,4,FALSE)),"")</f>
        <v>0</v>
      </c>
      <c r="D239" s="648" t="str">
        <f ca="1">IFERROR(IF(VLOOKUP($B239,'ORÇAMENTO '!$F$21:$P$993,11,FALSE)=0,"",VLOOKUP($B239,'ORÇAMENTO '!$F$21:$P$993,11,FALSE)),"")</f>
        <v/>
      </c>
      <c r="E239" s="649" t="str">
        <f ca="1">IFERROR(IF(VLOOKUP($B239,'ORÇAMENTO '!$F$21:$N$993,6,FALSE)=0,"",VLOOKUP($B239,'ORÇAMENTO '!$F$21:$N$993,6,FALSE)),"")</f>
        <v/>
      </c>
      <c r="F239" s="649" t="str">
        <f ca="1">IFERROR(IF(VLOOKUP($B239,'ORÇAMENTO '!$F$21:$N$993,5,FALSE)=0,"",VLOOKUP($B239,'ORÇAMENTO '!$F$21:$N$993,5,FALSE)),"")</f>
        <v/>
      </c>
    </row>
    <row r="240" spans="2:6" ht="15">
      <c r="B240" s="646">
        <f>'ORÇAMENTO '!F507</f>
        <v>0</v>
      </c>
      <c r="C240" s="647">
        <f>IFERROR(IF(OR($B240="",$B240=0),'ORÇAMENTO '!I507,VLOOKUP($B240,'ORÇAMENTO '!$F$21:$N$450,4,FALSE)),"")</f>
        <v>0</v>
      </c>
      <c r="D240" s="648" t="str">
        <f ca="1">IFERROR(IF(VLOOKUP($B240,'ORÇAMENTO '!$F$21:$P$993,11,FALSE)=0,"",VLOOKUP($B240,'ORÇAMENTO '!$F$21:$P$993,11,FALSE)),"")</f>
        <v/>
      </c>
      <c r="E240" s="649" t="str">
        <f ca="1">IFERROR(IF(VLOOKUP($B240,'ORÇAMENTO '!$F$21:$N$993,6,FALSE)=0,"",VLOOKUP($B240,'ORÇAMENTO '!$F$21:$N$993,6,FALSE)),"")</f>
        <v/>
      </c>
      <c r="F240" s="649" t="str">
        <f ca="1">IFERROR(IF(VLOOKUP($B240,'ORÇAMENTO '!$F$21:$N$993,5,FALSE)=0,"",VLOOKUP($B240,'ORÇAMENTO '!$F$21:$N$993,5,FALSE)),"")</f>
        <v/>
      </c>
    </row>
    <row r="241" spans="2:6" ht="15">
      <c r="B241" s="646">
        <f>'ORÇAMENTO '!F508</f>
        <v>0</v>
      </c>
      <c r="C241" s="647">
        <f>IFERROR(IF(OR($B241="",$B241=0),'ORÇAMENTO '!I508,VLOOKUP($B241,'ORÇAMENTO '!$F$21:$N$450,4,FALSE)),"")</f>
        <v>0</v>
      </c>
      <c r="D241" s="648" t="str">
        <f ca="1">IFERROR(IF(VLOOKUP($B241,'ORÇAMENTO '!$F$21:$P$993,11,FALSE)=0,"",VLOOKUP($B241,'ORÇAMENTO '!$F$21:$P$993,11,FALSE)),"")</f>
        <v/>
      </c>
      <c r="E241" s="649" t="str">
        <f ca="1">IFERROR(IF(VLOOKUP($B241,'ORÇAMENTO '!$F$21:$N$993,6,FALSE)=0,"",VLOOKUP($B241,'ORÇAMENTO '!$F$21:$N$993,6,FALSE)),"")</f>
        <v/>
      </c>
      <c r="F241" s="649" t="str">
        <f ca="1">IFERROR(IF(VLOOKUP($B241,'ORÇAMENTO '!$F$21:$N$993,5,FALSE)=0,"",VLOOKUP($B241,'ORÇAMENTO '!$F$21:$N$993,5,FALSE)),"")</f>
        <v/>
      </c>
    </row>
    <row r="242" spans="2:6" ht="15">
      <c r="B242" s="646">
        <f>'ORÇAMENTO '!F509</f>
        <v>0</v>
      </c>
      <c r="C242" s="647">
        <f>IFERROR(IF(OR($B242="",$B242=0),'ORÇAMENTO '!I509,VLOOKUP($B242,'ORÇAMENTO '!$F$21:$N$450,4,FALSE)),"")</f>
        <v>0</v>
      </c>
      <c r="D242" s="648" t="str">
        <f ca="1">IFERROR(IF(VLOOKUP($B242,'ORÇAMENTO '!$F$21:$P$993,11,FALSE)=0,"",VLOOKUP($B242,'ORÇAMENTO '!$F$21:$P$993,11,FALSE)),"")</f>
        <v/>
      </c>
      <c r="E242" s="649" t="str">
        <f ca="1">IFERROR(IF(VLOOKUP($B242,'ORÇAMENTO '!$F$21:$N$993,6,FALSE)=0,"",VLOOKUP($B242,'ORÇAMENTO '!$F$21:$N$993,6,FALSE)),"")</f>
        <v/>
      </c>
      <c r="F242" s="649" t="str">
        <f ca="1">IFERROR(IF(VLOOKUP($B242,'ORÇAMENTO '!$F$21:$N$993,5,FALSE)=0,"",VLOOKUP($B242,'ORÇAMENTO '!$F$21:$N$993,5,FALSE)),"")</f>
        <v/>
      </c>
    </row>
    <row r="243" spans="2:6" ht="15">
      <c r="B243" s="646">
        <f>'ORÇAMENTO '!F510</f>
        <v>0</v>
      </c>
      <c r="C243" s="647">
        <f>IFERROR(IF(OR($B243="",$B243=0),'ORÇAMENTO '!I510,VLOOKUP($B243,'ORÇAMENTO '!$F$21:$N$450,4,FALSE)),"")</f>
        <v>0</v>
      </c>
      <c r="D243" s="648" t="str">
        <f ca="1">IFERROR(IF(VLOOKUP($B243,'ORÇAMENTO '!$F$21:$P$993,11,FALSE)=0,"",VLOOKUP($B243,'ORÇAMENTO '!$F$21:$P$993,11,FALSE)),"")</f>
        <v/>
      </c>
      <c r="E243" s="649" t="str">
        <f ca="1">IFERROR(IF(VLOOKUP($B243,'ORÇAMENTO '!$F$21:$N$993,6,FALSE)=0,"",VLOOKUP($B243,'ORÇAMENTO '!$F$21:$N$993,6,FALSE)),"")</f>
        <v/>
      </c>
      <c r="F243" s="649" t="str">
        <f ca="1">IFERROR(IF(VLOOKUP($B243,'ORÇAMENTO '!$F$21:$N$993,5,FALSE)=0,"",VLOOKUP($B243,'ORÇAMENTO '!$F$21:$N$993,5,FALSE)),"")</f>
        <v/>
      </c>
    </row>
    <row r="244" spans="2:6" ht="15">
      <c r="B244" s="646">
        <f>'ORÇAMENTO '!F511</f>
        <v>0</v>
      </c>
      <c r="C244" s="647">
        <f>IFERROR(IF(OR($B244="",$B244=0),'ORÇAMENTO '!I511,VLOOKUP($B244,'ORÇAMENTO '!$F$21:$N$450,4,FALSE)),"")</f>
        <v>0</v>
      </c>
      <c r="D244" s="648" t="str">
        <f ca="1">IFERROR(IF(VLOOKUP($B244,'ORÇAMENTO '!$F$21:$P$993,11,FALSE)=0,"",VLOOKUP($B244,'ORÇAMENTO '!$F$21:$P$993,11,FALSE)),"")</f>
        <v/>
      </c>
      <c r="E244" s="649" t="str">
        <f ca="1">IFERROR(IF(VLOOKUP($B244,'ORÇAMENTO '!$F$21:$N$993,6,FALSE)=0,"",VLOOKUP($B244,'ORÇAMENTO '!$F$21:$N$993,6,FALSE)),"")</f>
        <v/>
      </c>
      <c r="F244" s="649" t="str">
        <f ca="1">IFERROR(IF(VLOOKUP($B244,'ORÇAMENTO '!$F$21:$N$993,5,FALSE)=0,"",VLOOKUP($B244,'ORÇAMENTO '!$F$21:$N$993,5,FALSE)),"")</f>
        <v/>
      </c>
    </row>
    <row r="245" spans="2:6" ht="15">
      <c r="B245" s="646">
        <f>'ORÇAMENTO '!F512</f>
        <v>0</v>
      </c>
      <c r="C245" s="647">
        <f>IFERROR(IF(OR($B245="",$B245=0),'ORÇAMENTO '!I512,VLOOKUP($B245,'ORÇAMENTO '!$F$21:$N$450,4,FALSE)),"")</f>
        <v>0</v>
      </c>
      <c r="D245" s="648" t="str">
        <f ca="1">IFERROR(IF(VLOOKUP($B245,'ORÇAMENTO '!$F$21:$P$993,11,FALSE)=0,"",VLOOKUP($B245,'ORÇAMENTO '!$F$21:$P$993,11,FALSE)),"")</f>
        <v/>
      </c>
      <c r="E245" s="649" t="str">
        <f ca="1">IFERROR(IF(VLOOKUP($B245,'ORÇAMENTO '!$F$21:$N$993,6,FALSE)=0,"",VLOOKUP($B245,'ORÇAMENTO '!$F$21:$N$993,6,FALSE)),"")</f>
        <v/>
      </c>
      <c r="F245" s="649" t="str">
        <f ca="1">IFERROR(IF(VLOOKUP($B245,'ORÇAMENTO '!$F$21:$N$993,5,FALSE)=0,"",VLOOKUP($B245,'ORÇAMENTO '!$F$21:$N$993,5,FALSE)),"")</f>
        <v/>
      </c>
    </row>
    <row r="246" spans="2:6" ht="15">
      <c r="B246" s="646">
        <f>'ORÇAMENTO '!F513</f>
        <v>0</v>
      </c>
      <c r="C246" s="647">
        <f>IFERROR(IF(OR($B246="",$B246=0),'ORÇAMENTO '!I513,VLOOKUP($B246,'ORÇAMENTO '!$F$21:$N$450,4,FALSE)),"")</f>
        <v>0</v>
      </c>
      <c r="D246" s="648" t="str">
        <f ca="1">IFERROR(IF(VLOOKUP($B246,'ORÇAMENTO '!$F$21:$P$993,11,FALSE)=0,"",VLOOKUP($B246,'ORÇAMENTO '!$F$21:$P$993,11,FALSE)),"")</f>
        <v/>
      </c>
      <c r="E246" s="649" t="str">
        <f ca="1">IFERROR(IF(VLOOKUP($B246,'ORÇAMENTO '!$F$21:$N$993,6,FALSE)=0,"",VLOOKUP($B246,'ORÇAMENTO '!$F$21:$N$993,6,FALSE)),"")</f>
        <v/>
      </c>
      <c r="F246" s="649" t="str">
        <f ca="1">IFERROR(IF(VLOOKUP($B246,'ORÇAMENTO '!$F$21:$N$993,5,FALSE)=0,"",VLOOKUP($B246,'ORÇAMENTO '!$F$21:$N$993,5,FALSE)),"")</f>
        <v/>
      </c>
    </row>
    <row r="247" spans="2:6" ht="15">
      <c r="B247" s="646">
        <f>'ORÇAMENTO '!F514</f>
        <v>0</v>
      </c>
      <c r="C247" s="647">
        <f>IFERROR(IF(OR($B247="",$B247=0),'ORÇAMENTO '!I514,VLOOKUP($B247,'ORÇAMENTO '!$F$21:$N$450,4,FALSE)),"")</f>
        <v>0</v>
      </c>
      <c r="D247" s="648" t="str">
        <f ca="1">IFERROR(IF(VLOOKUP($B247,'ORÇAMENTO '!$F$21:$P$993,11,FALSE)=0,"",VLOOKUP($B247,'ORÇAMENTO '!$F$21:$P$993,11,FALSE)),"")</f>
        <v/>
      </c>
      <c r="E247" s="649" t="str">
        <f ca="1">IFERROR(IF(VLOOKUP($B247,'ORÇAMENTO '!$F$21:$N$993,6,FALSE)=0,"",VLOOKUP($B247,'ORÇAMENTO '!$F$21:$N$993,6,FALSE)),"")</f>
        <v/>
      </c>
      <c r="F247" s="649" t="str">
        <f ca="1">IFERROR(IF(VLOOKUP($B247,'ORÇAMENTO '!$F$21:$N$993,5,FALSE)=0,"",VLOOKUP($B247,'ORÇAMENTO '!$F$21:$N$993,5,FALSE)),"")</f>
        <v/>
      </c>
    </row>
    <row r="248" spans="2:6" ht="15">
      <c r="B248" s="646">
        <f>'ORÇAMENTO '!F515</f>
        <v>0</v>
      </c>
      <c r="C248" s="647">
        <f>IFERROR(IF(OR($B248="",$B248=0),'ORÇAMENTO '!I515,VLOOKUP($B248,'ORÇAMENTO '!$F$21:$N$450,4,FALSE)),"")</f>
        <v>0</v>
      </c>
      <c r="D248" s="648" t="str">
        <f ca="1">IFERROR(IF(VLOOKUP($B248,'ORÇAMENTO '!$F$21:$P$993,11,FALSE)=0,"",VLOOKUP($B248,'ORÇAMENTO '!$F$21:$P$993,11,FALSE)),"")</f>
        <v/>
      </c>
      <c r="E248" s="649" t="str">
        <f ca="1">IFERROR(IF(VLOOKUP($B248,'ORÇAMENTO '!$F$21:$N$993,6,FALSE)=0,"",VLOOKUP($B248,'ORÇAMENTO '!$F$21:$N$993,6,FALSE)),"")</f>
        <v/>
      </c>
      <c r="F248" s="649" t="str">
        <f ca="1">IFERROR(IF(VLOOKUP($B248,'ORÇAMENTO '!$F$21:$N$993,5,FALSE)=0,"",VLOOKUP($B248,'ORÇAMENTO '!$F$21:$N$993,5,FALSE)),"")</f>
        <v/>
      </c>
    </row>
    <row r="249" spans="2:6" ht="15">
      <c r="B249" s="646">
        <f>'ORÇAMENTO '!F516</f>
        <v>0</v>
      </c>
      <c r="C249" s="647">
        <f>IFERROR(IF(OR($B249="",$B249=0),'ORÇAMENTO '!I516,VLOOKUP($B249,'ORÇAMENTO '!$F$21:$N$450,4,FALSE)),"")</f>
        <v>0</v>
      </c>
      <c r="D249" s="648" t="str">
        <f ca="1">IFERROR(IF(VLOOKUP($B249,'ORÇAMENTO '!$F$21:$P$993,11,FALSE)=0,"",VLOOKUP($B249,'ORÇAMENTO '!$F$21:$P$993,11,FALSE)),"")</f>
        <v/>
      </c>
      <c r="E249" s="649" t="str">
        <f ca="1">IFERROR(IF(VLOOKUP($B249,'ORÇAMENTO '!$F$21:$N$993,6,FALSE)=0,"",VLOOKUP($B249,'ORÇAMENTO '!$F$21:$N$993,6,FALSE)),"")</f>
        <v/>
      </c>
      <c r="F249" s="649" t="str">
        <f ca="1">IFERROR(IF(VLOOKUP($B249,'ORÇAMENTO '!$F$21:$N$993,5,FALSE)=0,"",VLOOKUP($B249,'ORÇAMENTO '!$F$21:$N$993,5,FALSE)),"")</f>
        <v/>
      </c>
    </row>
    <row r="250" spans="2:6" ht="15">
      <c r="B250" s="646">
        <f>'ORÇAMENTO '!F517</f>
        <v>0</v>
      </c>
      <c r="C250" s="647">
        <f>IFERROR(IF(OR($B250="",$B250=0),'ORÇAMENTO '!I517,VLOOKUP($B250,'ORÇAMENTO '!$F$21:$N$450,4,FALSE)),"")</f>
        <v>0</v>
      </c>
      <c r="D250" s="648" t="str">
        <f ca="1">IFERROR(IF(VLOOKUP($B250,'ORÇAMENTO '!$F$21:$P$993,11,FALSE)=0,"",VLOOKUP($B250,'ORÇAMENTO '!$F$21:$P$993,11,FALSE)),"")</f>
        <v/>
      </c>
      <c r="E250" s="649" t="str">
        <f ca="1">IFERROR(IF(VLOOKUP($B250,'ORÇAMENTO '!$F$21:$N$993,6,FALSE)=0,"",VLOOKUP($B250,'ORÇAMENTO '!$F$21:$N$993,6,FALSE)),"")</f>
        <v/>
      </c>
      <c r="F250" s="649" t="str">
        <f ca="1">IFERROR(IF(VLOOKUP($B250,'ORÇAMENTO '!$F$21:$N$993,5,FALSE)=0,"",VLOOKUP($B250,'ORÇAMENTO '!$F$21:$N$993,5,FALSE)),"")</f>
        <v/>
      </c>
    </row>
    <row r="251" spans="2:6" ht="15">
      <c r="B251" s="646">
        <f>'ORÇAMENTO '!F518</f>
        <v>0</v>
      </c>
      <c r="C251" s="647">
        <f>IFERROR(IF(OR($B251="",$B251=0),'ORÇAMENTO '!I518,VLOOKUP($B251,'ORÇAMENTO '!$F$21:$N$450,4,FALSE)),"")</f>
        <v>0</v>
      </c>
      <c r="D251" s="648" t="str">
        <f ca="1">IFERROR(IF(VLOOKUP($B251,'ORÇAMENTO '!$F$21:$P$993,11,FALSE)=0,"",VLOOKUP($B251,'ORÇAMENTO '!$F$21:$P$993,11,FALSE)),"")</f>
        <v/>
      </c>
      <c r="E251" s="649" t="str">
        <f ca="1">IFERROR(IF(VLOOKUP($B251,'ORÇAMENTO '!$F$21:$N$993,6,FALSE)=0,"",VLOOKUP($B251,'ORÇAMENTO '!$F$21:$N$993,6,FALSE)),"")</f>
        <v/>
      </c>
      <c r="F251" s="649" t="str">
        <f ca="1">IFERROR(IF(VLOOKUP($B251,'ORÇAMENTO '!$F$21:$N$993,5,FALSE)=0,"",VLOOKUP($B251,'ORÇAMENTO '!$F$21:$N$993,5,FALSE)),"")</f>
        <v/>
      </c>
    </row>
    <row r="252" spans="2:6" ht="15">
      <c r="B252" s="646">
        <f>'ORÇAMENTO '!F519</f>
        <v>0</v>
      </c>
      <c r="C252" s="647">
        <f>IFERROR(IF(OR($B252="",$B252=0),'ORÇAMENTO '!I519,VLOOKUP($B252,'ORÇAMENTO '!$F$21:$N$450,4,FALSE)),"")</f>
        <v>0</v>
      </c>
      <c r="D252" s="648" t="str">
        <f ca="1">IFERROR(IF(VLOOKUP($B252,'ORÇAMENTO '!$F$21:$P$993,11,FALSE)=0,"",VLOOKUP($B252,'ORÇAMENTO '!$F$21:$P$993,11,FALSE)),"")</f>
        <v/>
      </c>
      <c r="E252" s="649" t="str">
        <f ca="1">IFERROR(IF(VLOOKUP($B252,'ORÇAMENTO '!$F$21:$N$993,6,FALSE)=0,"",VLOOKUP($B252,'ORÇAMENTO '!$F$21:$N$993,6,FALSE)),"")</f>
        <v/>
      </c>
      <c r="F252" s="649" t="str">
        <f ca="1">IFERROR(IF(VLOOKUP($B252,'ORÇAMENTO '!$F$21:$N$993,5,FALSE)=0,"",VLOOKUP($B252,'ORÇAMENTO '!$F$21:$N$993,5,FALSE)),"")</f>
        <v/>
      </c>
    </row>
    <row r="253" spans="2:6" ht="15">
      <c r="B253" s="646">
        <f>'ORÇAMENTO '!F520</f>
        <v>0</v>
      </c>
      <c r="C253" s="647">
        <f>IFERROR(IF(OR($B253="",$B253=0),'ORÇAMENTO '!I520,VLOOKUP($B253,'ORÇAMENTO '!$F$21:$N$450,4,FALSE)),"")</f>
        <v>0</v>
      </c>
      <c r="D253" s="648" t="str">
        <f ca="1">IFERROR(IF(VLOOKUP($B253,'ORÇAMENTO '!$F$21:$P$993,11,FALSE)=0,"",VLOOKUP($B253,'ORÇAMENTO '!$F$21:$P$993,11,FALSE)),"")</f>
        <v/>
      </c>
      <c r="E253" s="649" t="str">
        <f ca="1">IFERROR(IF(VLOOKUP($B253,'ORÇAMENTO '!$F$21:$N$993,6,FALSE)=0,"",VLOOKUP($B253,'ORÇAMENTO '!$F$21:$N$993,6,FALSE)),"")</f>
        <v/>
      </c>
      <c r="F253" s="649" t="str">
        <f ca="1">IFERROR(IF(VLOOKUP($B253,'ORÇAMENTO '!$F$21:$N$993,5,FALSE)=0,"",VLOOKUP($B253,'ORÇAMENTO '!$F$21:$N$993,5,FALSE)),"")</f>
        <v/>
      </c>
    </row>
    <row r="254" spans="2:6" ht="15">
      <c r="B254" s="646">
        <f>'ORÇAMENTO '!F521</f>
        <v>0</v>
      </c>
      <c r="C254" s="647">
        <f>IFERROR(IF(OR($B254="",$B254=0),'ORÇAMENTO '!I521,VLOOKUP($B254,'ORÇAMENTO '!$F$21:$N$450,4,FALSE)),"")</f>
        <v>0</v>
      </c>
      <c r="D254" s="648" t="str">
        <f ca="1">IFERROR(IF(VLOOKUP($B254,'ORÇAMENTO '!$F$21:$P$993,11,FALSE)=0,"",VLOOKUP($B254,'ORÇAMENTO '!$F$21:$P$993,11,FALSE)),"")</f>
        <v/>
      </c>
      <c r="E254" s="649" t="str">
        <f ca="1">IFERROR(IF(VLOOKUP($B254,'ORÇAMENTO '!$F$21:$N$993,6,FALSE)=0,"",VLOOKUP($B254,'ORÇAMENTO '!$F$21:$N$993,6,FALSE)),"")</f>
        <v/>
      </c>
      <c r="F254" s="649" t="str">
        <f ca="1">IFERROR(IF(VLOOKUP($B254,'ORÇAMENTO '!$F$21:$N$993,5,FALSE)=0,"",VLOOKUP($B254,'ORÇAMENTO '!$F$21:$N$993,5,FALSE)),"")</f>
        <v/>
      </c>
    </row>
    <row r="255" spans="2:6" ht="15">
      <c r="B255" s="646">
        <f>'ORÇAMENTO '!F522</f>
        <v>0</v>
      </c>
      <c r="C255" s="647">
        <f>IFERROR(IF(OR($B255="",$B255=0),'ORÇAMENTO '!I522,VLOOKUP($B255,'ORÇAMENTO '!$F$21:$N$450,4,FALSE)),"")</f>
        <v>0</v>
      </c>
      <c r="D255" s="648" t="str">
        <f ca="1">IFERROR(IF(VLOOKUP($B255,'ORÇAMENTO '!$F$21:$P$993,11,FALSE)=0,"",VLOOKUP($B255,'ORÇAMENTO '!$F$21:$P$993,11,FALSE)),"")</f>
        <v/>
      </c>
      <c r="E255" s="649" t="str">
        <f ca="1">IFERROR(IF(VLOOKUP($B255,'ORÇAMENTO '!$F$21:$N$993,6,FALSE)=0,"",VLOOKUP($B255,'ORÇAMENTO '!$F$21:$N$993,6,FALSE)),"")</f>
        <v/>
      </c>
      <c r="F255" s="649" t="str">
        <f ca="1">IFERROR(IF(VLOOKUP($B255,'ORÇAMENTO '!$F$21:$N$993,5,FALSE)=0,"",VLOOKUP($B255,'ORÇAMENTO '!$F$21:$N$993,5,FALSE)),"")</f>
        <v/>
      </c>
    </row>
    <row r="256" spans="2:6" ht="15">
      <c r="B256" s="646">
        <f>'ORÇAMENTO '!F523</f>
        <v>0</v>
      </c>
      <c r="C256" s="647">
        <f>IFERROR(IF(OR($B256="",$B256=0),'ORÇAMENTO '!I523,VLOOKUP($B256,'ORÇAMENTO '!$F$21:$N$450,4,FALSE)),"")</f>
        <v>0</v>
      </c>
      <c r="D256" s="648" t="str">
        <f ca="1">IFERROR(IF(VLOOKUP($B256,'ORÇAMENTO '!$F$21:$P$993,11,FALSE)=0,"",VLOOKUP($B256,'ORÇAMENTO '!$F$21:$P$993,11,FALSE)),"")</f>
        <v/>
      </c>
      <c r="E256" s="649" t="str">
        <f ca="1">IFERROR(IF(VLOOKUP($B256,'ORÇAMENTO '!$F$21:$N$993,6,FALSE)=0,"",VLOOKUP($B256,'ORÇAMENTO '!$F$21:$N$993,6,FALSE)),"")</f>
        <v/>
      </c>
      <c r="F256" s="649" t="str">
        <f ca="1">IFERROR(IF(VLOOKUP($B256,'ORÇAMENTO '!$F$21:$N$993,5,FALSE)=0,"",VLOOKUP($B256,'ORÇAMENTO '!$F$21:$N$993,5,FALSE)),"")</f>
        <v/>
      </c>
    </row>
    <row r="257" spans="2:6" ht="15">
      <c r="B257" s="646">
        <f>'ORÇAMENTO '!F524</f>
        <v>0</v>
      </c>
      <c r="C257" s="647">
        <f>IFERROR(IF(OR($B257="",$B257=0),'ORÇAMENTO '!I524,VLOOKUP($B257,'ORÇAMENTO '!$F$21:$N$450,4,FALSE)),"")</f>
        <v>0</v>
      </c>
      <c r="D257" s="648" t="str">
        <f ca="1">IFERROR(IF(VLOOKUP($B257,'ORÇAMENTO '!$F$21:$P$993,11,FALSE)=0,"",VLOOKUP($B257,'ORÇAMENTO '!$F$21:$P$993,11,FALSE)),"")</f>
        <v/>
      </c>
      <c r="E257" s="649" t="str">
        <f ca="1">IFERROR(IF(VLOOKUP($B257,'ORÇAMENTO '!$F$21:$N$993,6,FALSE)=0,"",VLOOKUP($B257,'ORÇAMENTO '!$F$21:$N$993,6,FALSE)),"")</f>
        <v/>
      </c>
      <c r="F257" s="649" t="str">
        <f ca="1">IFERROR(IF(VLOOKUP($B257,'ORÇAMENTO '!$F$21:$N$993,5,FALSE)=0,"",VLOOKUP($B257,'ORÇAMENTO '!$F$21:$N$993,5,FALSE)),"")</f>
        <v/>
      </c>
    </row>
    <row r="258" spans="2:6" ht="15">
      <c r="B258" s="646">
        <f>'ORÇAMENTO '!F525</f>
        <v>0</v>
      </c>
      <c r="C258" s="647">
        <f>IFERROR(IF(OR($B258="",$B258=0),'ORÇAMENTO '!I525,VLOOKUP($B258,'ORÇAMENTO '!$F$21:$N$450,4,FALSE)),"")</f>
        <v>0</v>
      </c>
      <c r="D258" s="648" t="str">
        <f ca="1">IFERROR(IF(VLOOKUP($B258,'ORÇAMENTO '!$F$21:$P$993,11,FALSE)=0,"",VLOOKUP($B258,'ORÇAMENTO '!$F$21:$P$993,11,FALSE)),"")</f>
        <v/>
      </c>
      <c r="E258" s="649" t="str">
        <f ca="1">IFERROR(IF(VLOOKUP($B258,'ORÇAMENTO '!$F$21:$N$993,6,FALSE)=0,"",VLOOKUP($B258,'ORÇAMENTO '!$F$21:$N$993,6,FALSE)),"")</f>
        <v/>
      </c>
      <c r="F258" s="649" t="str">
        <f ca="1">IFERROR(IF(VLOOKUP($B258,'ORÇAMENTO '!$F$21:$N$993,5,FALSE)=0,"",VLOOKUP($B258,'ORÇAMENTO '!$F$21:$N$993,5,FALSE)),"")</f>
        <v/>
      </c>
    </row>
    <row r="259" spans="2:6" ht="15">
      <c r="B259" s="646">
        <f>'ORÇAMENTO '!F526</f>
        <v>0</v>
      </c>
      <c r="C259" s="647">
        <f>IFERROR(IF(OR($B259="",$B259=0),'ORÇAMENTO '!I526,VLOOKUP($B259,'ORÇAMENTO '!$F$21:$N$450,4,FALSE)),"")</f>
        <v>0</v>
      </c>
      <c r="D259" s="648" t="str">
        <f ca="1">IFERROR(IF(VLOOKUP($B259,'ORÇAMENTO '!$F$21:$P$993,11,FALSE)=0,"",VLOOKUP($B259,'ORÇAMENTO '!$F$21:$P$993,11,FALSE)),"")</f>
        <v/>
      </c>
      <c r="E259" s="649" t="str">
        <f ca="1">IFERROR(IF(VLOOKUP($B259,'ORÇAMENTO '!$F$21:$N$993,6,FALSE)=0,"",VLOOKUP($B259,'ORÇAMENTO '!$F$21:$N$993,6,FALSE)),"")</f>
        <v/>
      </c>
      <c r="F259" s="649" t="str">
        <f ca="1">IFERROR(IF(VLOOKUP($B259,'ORÇAMENTO '!$F$21:$N$993,5,FALSE)=0,"",VLOOKUP($B259,'ORÇAMENTO '!$F$21:$N$993,5,FALSE)),"")</f>
        <v/>
      </c>
    </row>
    <row r="260" spans="2:6" ht="15">
      <c r="B260" s="646">
        <f>'ORÇAMENTO '!F527</f>
        <v>0</v>
      </c>
      <c r="C260" s="647">
        <f>IFERROR(IF(OR($B260="",$B260=0),'ORÇAMENTO '!I527,VLOOKUP($B260,'ORÇAMENTO '!$F$21:$N$450,4,FALSE)),"")</f>
        <v>0</v>
      </c>
      <c r="D260" s="648" t="str">
        <f ca="1">IFERROR(IF(VLOOKUP($B260,'ORÇAMENTO '!$F$21:$P$993,11,FALSE)=0,"",VLOOKUP($B260,'ORÇAMENTO '!$F$21:$P$993,11,FALSE)),"")</f>
        <v/>
      </c>
      <c r="E260" s="649" t="str">
        <f ca="1">IFERROR(IF(VLOOKUP($B260,'ORÇAMENTO '!$F$21:$N$993,6,FALSE)=0,"",VLOOKUP($B260,'ORÇAMENTO '!$F$21:$N$993,6,FALSE)),"")</f>
        <v/>
      </c>
      <c r="F260" s="649" t="str">
        <f ca="1">IFERROR(IF(VLOOKUP($B260,'ORÇAMENTO '!$F$21:$N$993,5,FALSE)=0,"",VLOOKUP($B260,'ORÇAMENTO '!$F$21:$N$993,5,FALSE)),"")</f>
        <v/>
      </c>
    </row>
    <row r="261" spans="2:6" ht="15">
      <c r="B261" s="646">
        <f>'ORÇAMENTO '!F528</f>
        <v>0</v>
      </c>
      <c r="C261" s="647">
        <f>IFERROR(IF(OR($B261="",$B261=0),'ORÇAMENTO '!I528,VLOOKUP($B261,'ORÇAMENTO '!$F$21:$N$450,4,FALSE)),"")</f>
        <v>0</v>
      </c>
      <c r="D261" s="648" t="str">
        <f ca="1">IFERROR(IF(VLOOKUP($B261,'ORÇAMENTO '!$F$21:$P$993,11,FALSE)=0,"",VLOOKUP($B261,'ORÇAMENTO '!$F$21:$P$993,11,FALSE)),"")</f>
        <v/>
      </c>
      <c r="E261" s="649" t="str">
        <f ca="1">IFERROR(IF(VLOOKUP($B261,'ORÇAMENTO '!$F$21:$N$993,6,FALSE)=0,"",VLOOKUP($B261,'ORÇAMENTO '!$F$21:$N$993,6,FALSE)),"")</f>
        <v/>
      </c>
      <c r="F261" s="649" t="str">
        <f ca="1">IFERROR(IF(VLOOKUP($B261,'ORÇAMENTO '!$F$21:$N$993,5,FALSE)=0,"",VLOOKUP($B261,'ORÇAMENTO '!$F$21:$N$993,5,FALSE)),"")</f>
        <v/>
      </c>
    </row>
    <row r="262" spans="2:6" ht="15">
      <c r="B262" s="646">
        <f>'ORÇAMENTO '!F529</f>
        <v>0</v>
      </c>
      <c r="C262" s="647">
        <f>IFERROR(IF(OR($B262="",$B262=0),'ORÇAMENTO '!I529,VLOOKUP($B262,'ORÇAMENTO '!$F$21:$N$450,4,FALSE)),"")</f>
        <v>0</v>
      </c>
      <c r="D262" s="648" t="str">
        <f ca="1">IFERROR(IF(VLOOKUP($B262,'ORÇAMENTO '!$F$21:$P$993,11,FALSE)=0,"",VLOOKUP($B262,'ORÇAMENTO '!$F$21:$P$993,11,FALSE)),"")</f>
        <v/>
      </c>
      <c r="E262" s="649" t="str">
        <f ca="1">IFERROR(IF(VLOOKUP($B262,'ORÇAMENTO '!$F$21:$N$993,6,FALSE)=0,"",VLOOKUP($B262,'ORÇAMENTO '!$F$21:$N$993,6,FALSE)),"")</f>
        <v/>
      </c>
      <c r="F262" s="649" t="str">
        <f ca="1">IFERROR(IF(VLOOKUP($B262,'ORÇAMENTO '!$F$21:$N$993,5,FALSE)=0,"",VLOOKUP($B262,'ORÇAMENTO '!$F$21:$N$993,5,FALSE)),"")</f>
        <v/>
      </c>
    </row>
    <row r="263" spans="2:6" ht="15">
      <c r="B263" s="646">
        <f>'ORÇAMENTO '!F530</f>
        <v>0</v>
      </c>
      <c r="C263" s="647">
        <f>IFERROR(IF(OR($B263="",$B263=0),'ORÇAMENTO '!I530,VLOOKUP($B263,'ORÇAMENTO '!$F$21:$N$450,4,FALSE)),"")</f>
        <v>0</v>
      </c>
      <c r="D263" s="648" t="str">
        <f ca="1">IFERROR(IF(VLOOKUP($B263,'ORÇAMENTO '!$F$21:$P$993,11,FALSE)=0,"",VLOOKUP($B263,'ORÇAMENTO '!$F$21:$P$993,11,FALSE)),"")</f>
        <v/>
      </c>
      <c r="E263" s="649" t="str">
        <f ca="1">IFERROR(IF(VLOOKUP($B263,'ORÇAMENTO '!$F$21:$N$993,6,FALSE)=0,"",VLOOKUP($B263,'ORÇAMENTO '!$F$21:$N$993,6,FALSE)),"")</f>
        <v/>
      </c>
      <c r="F263" s="649" t="str">
        <f ca="1">IFERROR(IF(VLOOKUP($B263,'ORÇAMENTO '!$F$21:$N$993,5,FALSE)=0,"",VLOOKUP($B263,'ORÇAMENTO '!$F$21:$N$993,5,FALSE)),"")</f>
        <v/>
      </c>
    </row>
    <row r="264" spans="2:6" ht="15">
      <c r="B264" s="646">
        <f>'ORÇAMENTO '!F531</f>
        <v>0</v>
      </c>
      <c r="C264" s="647">
        <f>IFERROR(IF(OR($B264="",$B264=0),'ORÇAMENTO '!I531,VLOOKUP($B264,'ORÇAMENTO '!$F$21:$N$450,4,FALSE)),"")</f>
        <v>0</v>
      </c>
      <c r="D264" s="648" t="str">
        <f ca="1">IFERROR(IF(VLOOKUP($B264,'ORÇAMENTO '!$F$21:$P$993,11,FALSE)=0,"",VLOOKUP($B264,'ORÇAMENTO '!$F$21:$P$993,11,FALSE)),"")</f>
        <v/>
      </c>
      <c r="E264" s="649" t="str">
        <f ca="1">IFERROR(IF(VLOOKUP($B264,'ORÇAMENTO '!$F$21:$N$993,6,FALSE)=0,"",VLOOKUP($B264,'ORÇAMENTO '!$F$21:$N$993,6,FALSE)),"")</f>
        <v/>
      </c>
      <c r="F264" s="649" t="str">
        <f ca="1">IFERROR(IF(VLOOKUP($B264,'ORÇAMENTO '!$F$21:$N$993,5,FALSE)=0,"",VLOOKUP($B264,'ORÇAMENTO '!$F$21:$N$993,5,FALSE)),"")</f>
        <v/>
      </c>
    </row>
    <row r="265" spans="2:6" ht="15">
      <c r="B265" s="646">
        <f>'ORÇAMENTO '!F532</f>
        <v>0</v>
      </c>
      <c r="C265" s="647">
        <f>IFERROR(IF(OR($B265="",$B265=0),'ORÇAMENTO '!I532,VLOOKUP($B265,'ORÇAMENTO '!$F$21:$N$450,4,FALSE)),"")</f>
        <v>0</v>
      </c>
      <c r="D265" s="648" t="str">
        <f ca="1">IFERROR(IF(VLOOKUP($B265,'ORÇAMENTO '!$F$21:$P$993,11,FALSE)=0,"",VLOOKUP($B265,'ORÇAMENTO '!$F$21:$P$993,11,FALSE)),"")</f>
        <v/>
      </c>
      <c r="E265" s="649" t="str">
        <f ca="1">IFERROR(IF(VLOOKUP($B265,'ORÇAMENTO '!$F$21:$N$993,6,FALSE)=0,"",VLOOKUP($B265,'ORÇAMENTO '!$F$21:$N$993,6,FALSE)),"")</f>
        <v/>
      </c>
      <c r="F265" s="649" t="str">
        <f ca="1">IFERROR(IF(VLOOKUP($B265,'ORÇAMENTO '!$F$21:$N$993,5,FALSE)=0,"",VLOOKUP($B265,'ORÇAMENTO '!$F$21:$N$993,5,FALSE)),"")</f>
        <v/>
      </c>
    </row>
    <row r="266" spans="2:6" ht="15">
      <c r="B266" s="646">
        <f>'ORÇAMENTO '!F533</f>
        <v>0</v>
      </c>
      <c r="C266" s="647">
        <f>IFERROR(IF(OR($B266="",$B266=0),'ORÇAMENTO '!I533,VLOOKUP($B266,'ORÇAMENTO '!$F$21:$N$450,4,FALSE)),"")</f>
        <v>0</v>
      </c>
      <c r="D266" s="648" t="str">
        <f ca="1">IFERROR(IF(VLOOKUP($B266,'ORÇAMENTO '!$F$21:$P$993,11,FALSE)=0,"",VLOOKUP($B266,'ORÇAMENTO '!$F$21:$P$993,11,FALSE)),"")</f>
        <v/>
      </c>
      <c r="E266" s="649" t="str">
        <f ca="1">IFERROR(IF(VLOOKUP($B266,'ORÇAMENTO '!$F$21:$N$993,6,FALSE)=0,"",VLOOKUP($B266,'ORÇAMENTO '!$F$21:$N$993,6,FALSE)),"")</f>
        <v/>
      </c>
      <c r="F266" s="649" t="str">
        <f ca="1">IFERROR(IF(VLOOKUP($B266,'ORÇAMENTO '!$F$21:$N$993,5,FALSE)=0,"",VLOOKUP($B266,'ORÇAMENTO '!$F$21:$N$993,5,FALSE)),"")</f>
        <v/>
      </c>
    </row>
    <row r="267" spans="2:6" ht="15">
      <c r="B267" s="646">
        <f>'ORÇAMENTO '!F534</f>
        <v>0</v>
      </c>
      <c r="C267" s="647">
        <f>IFERROR(IF(OR($B267="",$B267=0),'ORÇAMENTO '!I534,VLOOKUP($B267,'ORÇAMENTO '!$F$21:$N$450,4,FALSE)),"")</f>
        <v>0</v>
      </c>
      <c r="D267" s="648" t="str">
        <f ca="1">IFERROR(IF(VLOOKUP($B267,'ORÇAMENTO '!$F$21:$P$993,11,FALSE)=0,"",VLOOKUP($B267,'ORÇAMENTO '!$F$21:$P$993,11,FALSE)),"")</f>
        <v/>
      </c>
      <c r="E267" s="649" t="str">
        <f ca="1">IFERROR(IF(VLOOKUP($B267,'ORÇAMENTO '!$F$21:$N$993,6,FALSE)=0,"",VLOOKUP($B267,'ORÇAMENTO '!$F$21:$N$993,6,FALSE)),"")</f>
        <v/>
      </c>
      <c r="F267" s="649" t="str">
        <f ca="1">IFERROR(IF(VLOOKUP($B267,'ORÇAMENTO '!$F$21:$N$993,5,FALSE)=0,"",VLOOKUP($B267,'ORÇAMENTO '!$F$21:$N$993,5,FALSE)),"")</f>
        <v/>
      </c>
    </row>
    <row r="268" spans="2:6" ht="15">
      <c r="B268" s="646">
        <f>'ORÇAMENTO '!F535</f>
        <v>0</v>
      </c>
      <c r="C268" s="647">
        <f>IFERROR(IF(OR($B268="",$B268=0),'ORÇAMENTO '!I535,VLOOKUP($B268,'ORÇAMENTO '!$F$21:$N$450,4,FALSE)),"")</f>
        <v>0</v>
      </c>
      <c r="D268" s="648" t="str">
        <f ca="1">IFERROR(IF(VLOOKUP($B268,'ORÇAMENTO '!$F$21:$P$993,11,FALSE)=0,"",VLOOKUP($B268,'ORÇAMENTO '!$F$21:$P$993,11,FALSE)),"")</f>
        <v/>
      </c>
      <c r="E268" s="649" t="str">
        <f ca="1">IFERROR(IF(VLOOKUP($B268,'ORÇAMENTO '!$F$21:$N$993,6,FALSE)=0,"",VLOOKUP($B268,'ORÇAMENTO '!$F$21:$N$993,6,FALSE)),"")</f>
        <v/>
      </c>
      <c r="F268" s="649" t="str">
        <f ca="1">IFERROR(IF(VLOOKUP($B268,'ORÇAMENTO '!$F$21:$N$993,5,FALSE)=0,"",VLOOKUP($B268,'ORÇAMENTO '!$F$21:$N$993,5,FALSE)),"")</f>
        <v/>
      </c>
    </row>
    <row r="269" spans="2:6" ht="15">
      <c r="B269" s="646">
        <f>'ORÇAMENTO '!F536</f>
        <v>0</v>
      </c>
      <c r="C269" s="647">
        <f>IFERROR(IF(OR($B269="",$B269=0),'ORÇAMENTO '!I536,VLOOKUP($B269,'ORÇAMENTO '!$F$21:$N$450,4,FALSE)),"")</f>
        <v>0</v>
      </c>
      <c r="D269" s="648" t="str">
        <f ca="1">IFERROR(IF(VLOOKUP($B269,'ORÇAMENTO '!$F$21:$P$993,11,FALSE)=0,"",VLOOKUP($B269,'ORÇAMENTO '!$F$21:$P$993,11,FALSE)),"")</f>
        <v/>
      </c>
      <c r="E269" s="649" t="str">
        <f ca="1">IFERROR(IF(VLOOKUP($B269,'ORÇAMENTO '!$F$21:$N$993,6,FALSE)=0,"",VLOOKUP($B269,'ORÇAMENTO '!$F$21:$N$993,6,FALSE)),"")</f>
        <v/>
      </c>
      <c r="F269" s="649" t="str">
        <f ca="1">IFERROR(IF(VLOOKUP($B269,'ORÇAMENTO '!$F$21:$N$993,5,FALSE)=0,"",VLOOKUP($B269,'ORÇAMENTO '!$F$21:$N$993,5,FALSE)),"")</f>
        <v/>
      </c>
    </row>
    <row r="270" spans="2:6" ht="15">
      <c r="B270" s="646">
        <f>'ORÇAMENTO '!F537</f>
        <v>0</v>
      </c>
      <c r="C270" s="647">
        <f>IFERROR(IF(OR($B270="",$B270=0),'ORÇAMENTO '!I537,VLOOKUP($B270,'ORÇAMENTO '!$F$21:$N$450,4,FALSE)),"")</f>
        <v>0</v>
      </c>
      <c r="D270" s="648" t="str">
        <f ca="1">IFERROR(IF(VLOOKUP($B270,'ORÇAMENTO '!$F$21:$P$993,11,FALSE)=0,"",VLOOKUP($B270,'ORÇAMENTO '!$F$21:$P$993,11,FALSE)),"")</f>
        <v/>
      </c>
      <c r="E270" s="649" t="str">
        <f ca="1">IFERROR(IF(VLOOKUP($B270,'ORÇAMENTO '!$F$21:$N$993,6,FALSE)=0,"",VLOOKUP($B270,'ORÇAMENTO '!$F$21:$N$993,6,FALSE)),"")</f>
        <v/>
      </c>
      <c r="F270" s="649" t="str">
        <f ca="1">IFERROR(IF(VLOOKUP($B270,'ORÇAMENTO '!$F$21:$N$993,5,FALSE)=0,"",VLOOKUP($B270,'ORÇAMENTO '!$F$21:$N$993,5,FALSE)),"")</f>
        <v/>
      </c>
    </row>
    <row r="271" spans="2:6" ht="15">
      <c r="B271" s="646">
        <f>'ORÇAMENTO '!F538</f>
        <v>0</v>
      </c>
      <c r="C271" s="647">
        <f>IFERROR(IF(OR($B271="",$B271=0),'ORÇAMENTO '!I538,VLOOKUP($B271,'ORÇAMENTO '!$F$21:$N$450,4,FALSE)),"")</f>
        <v>0</v>
      </c>
      <c r="D271" s="648" t="str">
        <f ca="1">IFERROR(IF(VLOOKUP($B271,'ORÇAMENTO '!$F$21:$P$993,11,FALSE)=0,"",VLOOKUP($B271,'ORÇAMENTO '!$F$21:$P$993,11,FALSE)),"")</f>
        <v/>
      </c>
      <c r="E271" s="649" t="str">
        <f ca="1">IFERROR(IF(VLOOKUP($B271,'ORÇAMENTO '!$F$21:$N$993,6,FALSE)=0,"",VLOOKUP($B271,'ORÇAMENTO '!$F$21:$N$993,6,FALSE)),"")</f>
        <v/>
      </c>
      <c r="F271" s="649" t="str">
        <f ca="1">IFERROR(IF(VLOOKUP($B271,'ORÇAMENTO '!$F$21:$N$993,5,FALSE)=0,"",VLOOKUP($B271,'ORÇAMENTO '!$F$21:$N$993,5,FALSE)),"")</f>
        <v/>
      </c>
    </row>
    <row r="272" spans="2:6" ht="15">
      <c r="B272" s="646">
        <f>'ORÇAMENTO '!F539</f>
        <v>0</v>
      </c>
      <c r="C272" s="647">
        <f>IFERROR(IF(OR($B272="",$B272=0),'ORÇAMENTO '!I539,VLOOKUP($B272,'ORÇAMENTO '!$F$21:$N$450,4,FALSE)),"")</f>
        <v>0</v>
      </c>
      <c r="D272" s="648" t="str">
        <f ca="1">IFERROR(IF(VLOOKUP($B272,'ORÇAMENTO '!$F$21:$P$993,11,FALSE)=0,"",VLOOKUP($B272,'ORÇAMENTO '!$F$21:$P$993,11,FALSE)),"")</f>
        <v/>
      </c>
      <c r="E272" s="649" t="str">
        <f ca="1">IFERROR(IF(VLOOKUP($B272,'ORÇAMENTO '!$F$21:$N$993,6,FALSE)=0,"",VLOOKUP($B272,'ORÇAMENTO '!$F$21:$N$993,6,FALSE)),"")</f>
        <v/>
      </c>
      <c r="F272" s="649" t="str">
        <f ca="1">IFERROR(IF(VLOOKUP($B272,'ORÇAMENTO '!$F$21:$N$993,5,FALSE)=0,"",VLOOKUP($B272,'ORÇAMENTO '!$F$21:$N$993,5,FALSE)),"")</f>
        <v/>
      </c>
    </row>
    <row r="273" spans="2:6" ht="15">
      <c r="B273" s="646">
        <f>'ORÇAMENTO '!F540</f>
        <v>0</v>
      </c>
      <c r="C273" s="647">
        <f>IFERROR(IF(OR($B273="",$B273=0),'ORÇAMENTO '!I540,VLOOKUP($B273,'ORÇAMENTO '!$F$21:$N$450,4,FALSE)),"")</f>
        <v>0</v>
      </c>
      <c r="D273" s="648" t="str">
        <f ca="1">IFERROR(IF(VLOOKUP($B273,'ORÇAMENTO '!$F$21:$P$993,11,FALSE)=0,"",VLOOKUP($B273,'ORÇAMENTO '!$F$21:$P$993,11,FALSE)),"")</f>
        <v/>
      </c>
      <c r="E273" s="649" t="str">
        <f ca="1">IFERROR(IF(VLOOKUP($B273,'ORÇAMENTO '!$F$21:$N$993,6,FALSE)=0,"",VLOOKUP($B273,'ORÇAMENTO '!$F$21:$N$993,6,FALSE)),"")</f>
        <v/>
      </c>
      <c r="F273" s="649" t="str">
        <f ca="1">IFERROR(IF(VLOOKUP($B273,'ORÇAMENTO '!$F$21:$N$993,5,FALSE)=0,"",VLOOKUP($B273,'ORÇAMENTO '!$F$21:$N$993,5,FALSE)),"")</f>
        <v/>
      </c>
    </row>
    <row r="274" spans="2:6" ht="15">
      <c r="B274" s="646">
        <f>'ORÇAMENTO '!F541</f>
        <v>0</v>
      </c>
      <c r="C274" s="647">
        <f>IFERROR(IF(OR($B274="",$B274=0),'ORÇAMENTO '!I541,VLOOKUP($B274,'ORÇAMENTO '!$F$21:$N$450,4,FALSE)),"")</f>
        <v>0</v>
      </c>
      <c r="D274" s="648" t="str">
        <f ca="1">IFERROR(IF(VLOOKUP($B274,'ORÇAMENTO '!$F$21:$P$993,11,FALSE)=0,"",VLOOKUP($B274,'ORÇAMENTO '!$F$21:$P$993,11,FALSE)),"")</f>
        <v/>
      </c>
      <c r="E274" s="649" t="str">
        <f ca="1">IFERROR(IF(VLOOKUP($B274,'ORÇAMENTO '!$F$21:$N$993,6,FALSE)=0,"",VLOOKUP($B274,'ORÇAMENTO '!$F$21:$N$993,6,FALSE)),"")</f>
        <v/>
      </c>
      <c r="F274" s="649" t="str">
        <f ca="1">IFERROR(IF(VLOOKUP($B274,'ORÇAMENTO '!$F$21:$N$993,5,FALSE)=0,"",VLOOKUP($B274,'ORÇAMENTO '!$F$21:$N$993,5,FALSE)),"")</f>
        <v/>
      </c>
    </row>
    <row r="275" spans="2:6" ht="15">
      <c r="B275" s="646">
        <f>'ORÇAMENTO '!F542</f>
        <v>0</v>
      </c>
      <c r="C275" s="647">
        <f>IFERROR(IF(OR($B275="",$B275=0),'ORÇAMENTO '!I542,VLOOKUP($B275,'ORÇAMENTO '!$F$21:$N$450,4,FALSE)),"")</f>
        <v>0</v>
      </c>
      <c r="D275" s="648" t="str">
        <f ca="1">IFERROR(IF(VLOOKUP($B275,'ORÇAMENTO '!$F$21:$P$993,11,FALSE)=0,"",VLOOKUP($B275,'ORÇAMENTO '!$F$21:$P$993,11,FALSE)),"")</f>
        <v/>
      </c>
      <c r="E275" s="649" t="str">
        <f ca="1">IFERROR(IF(VLOOKUP($B275,'ORÇAMENTO '!$F$21:$N$993,6,FALSE)=0,"",VLOOKUP($B275,'ORÇAMENTO '!$F$21:$N$993,6,FALSE)),"")</f>
        <v/>
      </c>
      <c r="F275" s="649" t="str">
        <f ca="1">IFERROR(IF(VLOOKUP($B275,'ORÇAMENTO '!$F$21:$N$993,5,FALSE)=0,"",VLOOKUP($B275,'ORÇAMENTO '!$F$21:$N$993,5,FALSE)),"")</f>
        <v/>
      </c>
    </row>
    <row r="276" spans="2:6" ht="15">
      <c r="B276" s="646">
        <f>'ORÇAMENTO '!F543</f>
        <v>0</v>
      </c>
      <c r="C276" s="647">
        <f>IFERROR(IF(OR($B276="",$B276=0),'ORÇAMENTO '!I543,VLOOKUP($B276,'ORÇAMENTO '!$F$21:$N$450,4,FALSE)),"")</f>
        <v>0</v>
      </c>
      <c r="D276" s="648" t="str">
        <f ca="1">IFERROR(IF(VLOOKUP($B276,'ORÇAMENTO '!$F$21:$P$993,11,FALSE)=0,"",VLOOKUP($B276,'ORÇAMENTO '!$F$21:$P$993,11,FALSE)),"")</f>
        <v/>
      </c>
      <c r="E276" s="649" t="str">
        <f ca="1">IFERROR(IF(VLOOKUP($B276,'ORÇAMENTO '!$F$21:$N$993,6,FALSE)=0,"",VLOOKUP($B276,'ORÇAMENTO '!$F$21:$N$993,6,FALSE)),"")</f>
        <v/>
      </c>
      <c r="F276" s="649" t="str">
        <f ca="1">IFERROR(IF(VLOOKUP($B276,'ORÇAMENTO '!$F$21:$N$993,5,FALSE)=0,"",VLOOKUP($B276,'ORÇAMENTO '!$F$21:$N$993,5,FALSE)),"")</f>
        <v/>
      </c>
    </row>
    <row r="277" spans="2:6" ht="15">
      <c r="B277" s="646">
        <f>'ORÇAMENTO '!F544</f>
        <v>0</v>
      </c>
      <c r="C277" s="647">
        <f>IFERROR(IF(OR($B277="",$B277=0),'ORÇAMENTO '!I544,VLOOKUP($B277,'ORÇAMENTO '!$F$21:$N$450,4,FALSE)),"")</f>
        <v>0</v>
      </c>
      <c r="D277" s="648" t="str">
        <f ca="1">IFERROR(IF(VLOOKUP($B277,'ORÇAMENTO '!$F$21:$P$993,11,FALSE)=0,"",VLOOKUP($B277,'ORÇAMENTO '!$F$21:$P$993,11,FALSE)),"")</f>
        <v/>
      </c>
      <c r="E277" s="649" t="str">
        <f ca="1">IFERROR(IF(VLOOKUP($B277,'ORÇAMENTO '!$F$21:$N$993,6,FALSE)=0,"",VLOOKUP($B277,'ORÇAMENTO '!$F$21:$N$993,6,FALSE)),"")</f>
        <v/>
      </c>
      <c r="F277" s="649" t="str">
        <f ca="1">IFERROR(IF(VLOOKUP($B277,'ORÇAMENTO '!$F$21:$N$993,5,FALSE)=0,"",VLOOKUP($B277,'ORÇAMENTO '!$F$21:$N$993,5,FALSE)),"")</f>
        <v/>
      </c>
    </row>
    <row r="278" spans="2:6" ht="15">
      <c r="B278" s="646">
        <f>'ORÇAMENTO '!F545</f>
        <v>0</v>
      </c>
      <c r="C278" s="647">
        <f>IFERROR(IF(OR($B278="",$B278=0),'ORÇAMENTO '!I545,VLOOKUP($B278,'ORÇAMENTO '!$F$21:$N$450,4,FALSE)),"")</f>
        <v>0</v>
      </c>
      <c r="D278" s="648" t="str">
        <f ca="1">IFERROR(IF(VLOOKUP($B278,'ORÇAMENTO '!$F$21:$P$993,11,FALSE)=0,"",VLOOKUP($B278,'ORÇAMENTO '!$F$21:$P$993,11,FALSE)),"")</f>
        <v/>
      </c>
      <c r="E278" s="649" t="str">
        <f ca="1">IFERROR(IF(VLOOKUP($B278,'ORÇAMENTO '!$F$21:$N$993,6,FALSE)=0,"",VLOOKUP($B278,'ORÇAMENTO '!$F$21:$N$993,6,FALSE)),"")</f>
        <v/>
      </c>
      <c r="F278" s="649" t="str">
        <f ca="1">IFERROR(IF(VLOOKUP($B278,'ORÇAMENTO '!$F$21:$N$993,5,FALSE)=0,"",VLOOKUP($B278,'ORÇAMENTO '!$F$21:$N$993,5,FALSE)),"")</f>
        <v/>
      </c>
    </row>
    <row r="279" spans="2:6" ht="15">
      <c r="B279" s="646">
        <f>'ORÇAMENTO '!F546</f>
        <v>0</v>
      </c>
      <c r="C279" s="647">
        <f>IFERROR(IF(OR($B279="",$B279=0),'ORÇAMENTO '!I546,VLOOKUP($B279,'ORÇAMENTO '!$F$21:$N$450,4,FALSE)),"")</f>
        <v>0</v>
      </c>
      <c r="D279" s="648" t="str">
        <f ca="1">IFERROR(IF(VLOOKUP($B279,'ORÇAMENTO '!$F$21:$P$993,11,FALSE)=0,"",VLOOKUP($B279,'ORÇAMENTO '!$F$21:$P$993,11,FALSE)),"")</f>
        <v/>
      </c>
      <c r="E279" s="649" t="str">
        <f ca="1">IFERROR(IF(VLOOKUP($B279,'ORÇAMENTO '!$F$21:$N$993,6,FALSE)=0,"",VLOOKUP($B279,'ORÇAMENTO '!$F$21:$N$993,6,FALSE)),"")</f>
        <v/>
      </c>
      <c r="F279" s="649" t="str">
        <f ca="1">IFERROR(IF(VLOOKUP($B279,'ORÇAMENTO '!$F$21:$N$993,5,FALSE)=0,"",VLOOKUP($B279,'ORÇAMENTO '!$F$21:$N$993,5,FALSE)),"")</f>
        <v/>
      </c>
    </row>
    <row r="280" spans="2:6" ht="15">
      <c r="B280" s="646">
        <f>'ORÇAMENTO '!F547</f>
        <v>0</v>
      </c>
      <c r="C280" s="647">
        <f>IFERROR(IF(OR($B280="",$B280=0),'ORÇAMENTO '!I547,VLOOKUP($B280,'ORÇAMENTO '!$F$21:$N$450,4,FALSE)),"")</f>
        <v>0</v>
      </c>
      <c r="D280" s="648" t="str">
        <f ca="1">IFERROR(IF(VLOOKUP($B280,'ORÇAMENTO '!$F$21:$P$993,11,FALSE)=0,"",VLOOKUP($B280,'ORÇAMENTO '!$F$21:$P$993,11,FALSE)),"")</f>
        <v/>
      </c>
      <c r="E280" s="649" t="str">
        <f ca="1">IFERROR(IF(VLOOKUP($B280,'ORÇAMENTO '!$F$21:$N$993,6,FALSE)=0,"",VLOOKUP($B280,'ORÇAMENTO '!$F$21:$N$993,6,FALSE)),"")</f>
        <v/>
      </c>
      <c r="F280" s="649" t="str">
        <f ca="1">IFERROR(IF(VLOOKUP($B280,'ORÇAMENTO '!$F$21:$N$993,5,FALSE)=0,"",VLOOKUP($B280,'ORÇAMENTO '!$F$21:$N$993,5,FALSE)),"")</f>
        <v/>
      </c>
    </row>
    <row r="281" spans="2:6" ht="15">
      <c r="B281" s="646">
        <f>'ORÇAMENTO '!F548</f>
        <v>0</v>
      </c>
      <c r="C281" s="647">
        <f>IFERROR(IF(OR($B281="",$B281=0),'ORÇAMENTO '!I548,VLOOKUP($B281,'ORÇAMENTO '!$F$21:$N$450,4,FALSE)),"")</f>
        <v>0</v>
      </c>
      <c r="D281" s="648" t="str">
        <f ca="1">IFERROR(IF(VLOOKUP($B281,'ORÇAMENTO '!$F$21:$P$993,11,FALSE)=0,"",VLOOKUP($B281,'ORÇAMENTO '!$F$21:$P$993,11,FALSE)),"")</f>
        <v/>
      </c>
      <c r="E281" s="649" t="str">
        <f ca="1">IFERROR(IF(VLOOKUP($B281,'ORÇAMENTO '!$F$21:$N$993,6,FALSE)=0,"",VLOOKUP($B281,'ORÇAMENTO '!$F$21:$N$993,6,FALSE)),"")</f>
        <v/>
      </c>
      <c r="F281" s="649" t="str">
        <f ca="1">IFERROR(IF(VLOOKUP($B281,'ORÇAMENTO '!$F$21:$N$993,5,FALSE)=0,"",VLOOKUP($B281,'ORÇAMENTO '!$F$21:$N$993,5,FALSE)),"")</f>
        <v/>
      </c>
    </row>
    <row r="282" spans="2:6" ht="15">
      <c r="B282" s="646">
        <f>'ORÇAMENTO '!F549</f>
        <v>0</v>
      </c>
      <c r="C282" s="647">
        <f>IFERROR(IF(OR($B282="",$B282=0),'ORÇAMENTO '!I549,VLOOKUP($B282,'ORÇAMENTO '!$F$21:$N$450,4,FALSE)),"")</f>
        <v>0</v>
      </c>
      <c r="D282" s="648" t="str">
        <f ca="1">IFERROR(IF(VLOOKUP($B282,'ORÇAMENTO '!$F$21:$P$993,11,FALSE)=0,"",VLOOKUP($B282,'ORÇAMENTO '!$F$21:$P$993,11,FALSE)),"")</f>
        <v/>
      </c>
      <c r="E282" s="649" t="str">
        <f ca="1">IFERROR(IF(VLOOKUP($B282,'ORÇAMENTO '!$F$21:$N$993,6,FALSE)=0,"",VLOOKUP($B282,'ORÇAMENTO '!$F$21:$N$993,6,FALSE)),"")</f>
        <v/>
      </c>
      <c r="F282" s="649" t="str">
        <f ca="1">IFERROR(IF(VLOOKUP($B282,'ORÇAMENTO '!$F$21:$N$993,5,FALSE)=0,"",VLOOKUP($B282,'ORÇAMENTO '!$F$21:$N$993,5,FALSE)),"")</f>
        <v/>
      </c>
    </row>
    <row r="283" spans="2:6" ht="15">
      <c r="B283" s="646">
        <f>'ORÇAMENTO '!F550</f>
        <v>0</v>
      </c>
      <c r="C283" s="647">
        <f>IFERROR(IF(OR($B283="",$B283=0),'ORÇAMENTO '!I550,VLOOKUP($B283,'ORÇAMENTO '!$F$21:$N$450,4,FALSE)),"")</f>
        <v>0</v>
      </c>
      <c r="D283" s="648" t="str">
        <f ca="1">IFERROR(IF(VLOOKUP($B283,'ORÇAMENTO '!$F$21:$P$993,11,FALSE)=0,"",VLOOKUP($B283,'ORÇAMENTO '!$F$21:$P$993,11,FALSE)),"")</f>
        <v/>
      </c>
      <c r="E283" s="649" t="str">
        <f ca="1">IFERROR(IF(VLOOKUP($B283,'ORÇAMENTO '!$F$21:$N$993,6,FALSE)=0,"",VLOOKUP($B283,'ORÇAMENTO '!$F$21:$N$993,6,FALSE)),"")</f>
        <v/>
      </c>
      <c r="F283" s="649" t="str">
        <f ca="1">IFERROR(IF(VLOOKUP($B283,'ORÇAMENTO '!$F$21:$N$993,5,FALSE)=0,"",VLOOKUP($B283,'ORÇAMENTO '!$F$21:$N$993,5,FALSE)),"")</f>
        <v/>
      </c>
    </row>
    <row r="284" spans="2:6" ht="15">
      <c r="B284" s="646">
        <f>'ORÇAMENTO '!F551</f>
        <v>0</v>
      </c>
      <c r="C284" s="647">
        <f>IFERROR(IF(OR($B284="",$B284=0),'ORÇAMENTO '!I551,VLOOKUP($B284,'ORÇAMENTO '!$F$21:$N$450,4,FALSE)),"")</f>
        <v>0</v>
      </c>
      <c r="D284" s="648" t="str">
        <f ca="1">IFERROR(IF(VLOOKUP($B284,'ORÇAMENTO '!$F$21:$P$993,11,FALSE)=0,"",VLOOKUP($B284,'ORÇAMENTO '!$F$21:$P$993,11,FALSE)),"")</f>
        <v/>
      </c>
      <c r="E284" s="649" t="str">
        <f ca="1">IFERROR(IF(VLOOKUP($B284,'ORÇAMENTO '!$F$21:$N$993,6,FALSE)=0,"",VLOOKUP($B284,'ORÇAMENTO '!$F$21:$N$993,6,FALSE)),"")</f>
        <v/>
      </c>
      <c r="F284" s="649" t="str">
        <f ca="1">IFERROR(IF(VLOOKUP($B284,'ORÇAMENTO '!$F$21:$N$993,5,FALSE)=0,"",VLOOKUP($B284,'ORÇAMENTO '!$F$21:$N$993,5,FALSE)),"")</f>
        <v/>
      </c>
    </row>
    <row r="285" spans="2:6" ht="15">
      <c r="B285" s="646">
        <f>'ORÇAMENTO '!F552</f>
        <v>0</v>
      </c>
      <c r="C285" s="647">
        <f>IFERROR(IF(OR($B285="",$B285=0),'ORÇAMENTO '!I552,VLOOKUP($B285,'ORÇAMENTO '!$F$21:$N$450,4,FALSE)),"")</f>
        <v>0</v>
      </c>
      <c r="D285" s="648" t="str">
        <f ca="1">IFERROR(IF(VLOOKUP($B285,'ORÇAMENTO '!$F$21:$P$993,11,FALSE)=0,"",VLOOKUP($B285,'ORÇAMENTO '!$F$21:$P$993,11,FALSE)),"")</f>
        <v/>
      </c>
      <c r="E285" s="649" t="str">
        <f ca="1">IFERROR(IF(VLOOKUP($B285,'ORÇAMENTO '!$F$21:$N$993,6,FALSE)=0,"",VLOOKUP($B285,'ORÇAMENTO '!$F$21:$N$993,6,FALSE)),"")</f>
        <v/>
      </c>
      <c r="F285" s="649" t="str">
        <f ca="1">IFERROR(IF(VLOOKUP($B285,'ORÇAMENTO '!$F$21:$N$993,5,FALSE)=0,"",VLOOKUP($B285,'ORÇAMENTO '!$F$21:$N$993,5,FALSE)),"")</f>
        <v/>
      </c>
    </row>
    <row r="286" spans="2:6" ht="15">
      <c r="B286" s="646">
        <f>'ORÇAMENTO '!F553</f>
        <v>0</v>
      </c>
      <c r="C286" s="647">
        <f>IFERROR(IF(OR($B286="",$B286=0),'ORÇAMENTO '!I553,VLOOKUP($B286,'ORÇAMENTO '!$F$21:$N$450,4,FALSE)),"")</f>
        <v>0</v>
      </c>
      <c r="D286" s="648" t="str">
        <f ca="1">IFERROR(IF(VLOOKUP($B286,'ORÇAMENTO '!$F$21:$P$993,11,FALSE)=0,"",VLOOKUP($B286,'ORÇAMENTO '!$F$21:$P$993,11,FALSE)),"")</f>
        <v/>
      </c>
      <c r="E286" s="649" t="str">
        <f ca="1">IFERROR(IF(VLOOKUP($B286,'ORÇAMENTO '!$F$21:$N$993,6,FALSE)=0,"",VLOOKUP($B286,'ORÇAMENTO '!$F$21:$N$993,6,FALSE)),"")</f>
        <v/>
      </c>
      <c r="F286" s="649" t="str">
        <f ca="1">IFERROR(IF(VLOOKUP($B286,'ORÇAMENTO '!$F$21:$N$993,5,FALSE)=0,"",VLOOKUP($B286,'ORÇAMENTO '!$F$21:$N$993,5,FALSE)),"")</f>
        <v/>
      </c>
    </row>
    <row r="287" spans="2:6" ht="15">
      <c r="B287" s="646">
        <f>'ORÇAMENTO '!F554</f>
        <v>0</v>
      </c>
      <c r="C287" s="647">
        <f>IFERROR(IF(OR($B287="",$B287=0),'ORÇAMENTO '!I554,VLOOKUP($B287,'ORÇAMENTO '!$F$21:$N$450,4,FALSE)),"")</f>
        <v>0</v>
      </c>
      <c r="D287" s="648" t="str">
        <f ca="1">IFERROR(IF(VLOOKUP($B287,'ORÇAMENTO '!$F$21:$P$993,11,FALSE)=0,"",VLOOKUP($B287,'ORÇAMENTO '!$F$21:$P$993,11,FALSE)),"")</f>
        <v/>
      </c>
      <c r="E287" s="649" t="str">
        <f ca="1">IFERROR(IF(VLOOKUP($B287,'ORÇAMENTO '!$F$21:$N$993,6,FALSE)=0,"",VLOOKUP($B287,'ORÇAMENTO '!$F$21:$N$993,6,FALSE)),"")</f>
        <v/>
      </c>
      <c r="F287" s="649" t="str">
        <f ca="1">IFERROR(IF(VLOOKUP($B287,'ORÇAMENTO '!$F$21:$N$993,5,FALSE)=0,"",VLOOKUP($B287,'ORÇAMENTO '!$F$21:$N$993,5,FALSE)),"")</f>
        <v/>
      </c>
    </row>
    <row r="288" spans="2:6" ht="15">
      <c r="B288" s="646">
        <f>'ORÇAMENTO '!F555</f>
        <v>0</v>
      </c>
      <c r="C288" s="647">
        <f>IFERROR(IF(OR($B288="",$B288=0),'ORÇAMENTO '!I555,VLOOKUP($B288,'ORÇAMENTO '!$F$21:$N$450,4,FALSE)),"")</f>
        <v>0</v>
      </c>
      <c r="D288" s="648" t="str">
        <f ca="1">IFERROR(IF(VLOOKUP($B288,'ORÇAMENTO '!$F$21:$P$993,11,FALSE)=0,"",VLOOKUP($B288,'ORÇAMENTO '!$F$21:$P$993,11,FALSE)),"")</f>
        <v/>
      </c>
      <c r="E288" s="649" t="str">
        <f ca="1">IFERROR(IF(VLOOKUP($B288,'ORÇAMENTO '!$F$21:$N$993,6,FALSE)=0,"",VLOOKUP($B288,'ORÇAMENTO '!$F$21:$N$993,6,FALSE)),"")</f>
        <v/>
      </c>
      <c r="F288" s="649" t="str">
        <f ca="1">IFERROR(IF(VLOOKUP($B288,'ORÇAMENTO '!$F$21:$N$993,5,FALSE)=0,"",VLOOKUP($B288,'ORÇAMENTO '!$F$21:$N$993,5,FALSE)),"")</f>
        <v/>
      </c>
    </row>
    <row r="289" spans="2:6" ht="15">
      <c r="B289" s="646">
        <f>'ORÇAMENTO '!F556</f>
        <v>0</v>
      </c>
      <c r="C289" s="647">
        <f>IFERROR(IF(OR($B289="",$B289=0),'ORÇAMENTO '!I556,VLOOKUP($B289,'ORÇAMENTO '!$F$21:$N$450,4,FALSE)),"")</f>
        <v>0</v>
      </c>
      <c r="D289" s="648" t="str">
        <f ca="1">IFERROR(IF(VLOOKUP($B289,'ORÇAMENTO '!$F$21:$P$993,11,FALSE)=0,"",VLOOKUP($B289,'ORÇAMENTO '!$F$21:$P$993,11,FALSE)),"")</f>
        <v/>
      </c>
      <c r="E289" s="649" t="str">
        <f ca="1">IFERROR(IF(VLOOKUP($B289,'ORÇAMENTO '!$F$21:$N$993,6,FALSE)=0,"",VLOOKUP($B289,'ORÇAMENTO '!$F$21:$N$993,6,FALSE)),"")</f>
        <v/>
      </c>
      <c r="F289" s="649" t="str">
        <f ca="1">IFERROR(IF(VLOOKUP($B289,'ORÇAMENTO '!$F$21:$N$993,5,FALSE)=0,"",VLOOKUP($B289,'ORÇAMENTO '!$F$21:$N$993,5,FALSE)),"")</f>
        <v/>
      </c>
    </row>
    <row r="290" spans="2:6" ht="15">
      <c r="B290" s="646">
        <f>'ORÇAMENTO '!F557</f>
        <v>0</v>
      </c>
      <c r="C290" s="647">
        <f>IFERROR(IF(OR($B290="",$B290=0),'ORÇAMENTO '!I557,VLOOKUP($B290,'ORÇAMENTO '!$F$21:$N$450,4,FALSE)),"")</f>
        <v>0</v>
      </c>
      <c r="D290" s="648" t="str">
        <f ca="1">IFERROR(IF(VLOOKUP($B290,'ORÇAMENTO '!$F$21:$P$993,11,FALSE)=0,"",VLOOKUP($B290,'ORÇAMENTO '!$F$21:$P$993,11,FALSE)),"")</f>
        <v/>
      </c>
      <c r="E290" s="649" t="str">
        <f ca="1">IFERROR(IF(VLOOKUP($B290,'ORÇAMENTO '!$F$21:$N$993,6,FALSE)=0,"",VLOOKUP($B290,'ORÇAMENTO '!$F$21:$N$993,6,FALSE)),"")</f>
        <v/>
      </c>
      <c r="F290" s="649" t="str">
        <f ca="1">IFERROR(IF(VLOOKUP($B290,'ORÇAMENTO '!$F$21:$N$993,5,FALSE)=0,"",VLOOKUP($B290,'ORÇAMENTO '!$F$21:$N$993,5,FALSE)),"")</f>
        <v/>
      </c>
    </row>
    <row r="291" spans="2:6" ht="15">
      <c r="B291" s="646">
        <f>'ORÇAMENTO '!F558</f>
        <v>0</v>
      </c>
      <c r="C291" s="647">
        <f>IFERROR(IF(OR($B291="",$B291=0),'ORÇAMENTO '!I558,VLOOKUP($B291,'ORÇAMENTO '!$F$21:$N$450,4,FALSE)),"")</f>
        <v>0</v>
      </c>
      <c r="D291" s="648" t="str">
        <f ca="1">IFERROR(IF(VLOOKUP($B291,'ORÇAMENTO '!$F$21:$P$993,11,FALSE)=0,"",VLOOKUP($B291,'ORÇAMENTO '!$F$21:$P$993,11,FALSE)),"")</f>
        <v/>
      </c>
      <c r="E291" s="649" t="str">
        <f ca="1">IFERROR(IF(VLOOKUP($B291,'ORÇAMENTO '!$F$21:$N$993,6,FALSE)=0,"",VLOOKUP($B291,'ORÇAMENTO '!$F$21:$N$993,6,FALSE)),"")</f>
        <v/>
      </c>
      <c r="F291" s="649" t="str">
        <f ca="1">IFERROR(IF(VLOOKUP($B291,'ORÇAMENTO '!$F$21:$N$993,5,FALSE)=0,"",VLOOKUP($B291,'ORÇAMENTO '!$F$21:$N$993,5,FALSE)),"")</f>
        <v/>
      </c>
    </row>
    <row r="292" spans="2:6" ht="15">
      <c r="B292" s="646">
        <f>'ORÇAMENTO '!F559</f>
        <v>0</v>
      </c>
      <c r="C292" s="647">
        <f>IFERROR(IF(OR($B292="",$B292=0),'ORÇAMENTO '!I559,VLOOKUP($B292,'ORÇAMENTO '!$F$21:$N$450,4,FALSE)),"")</f>
        <v>0</v>
      </c>
      <c r="D292" s="648" t="str">
        <f ca="1">IFERROR(IF(VLOOKUP($B292,'ORÇAMENTO '!$F$21:$P$993,11,FALSE)=0,"",VLOOKUP($B292,'ORÇAMENTO '!$F$21:$P$993,11,FALSE)),"")</f>
        <v/>
      </c>
      <c r="E292" s="649" t="str">
        <f ca="1">IFERROR(IF(VLOOKUP($B292,'ORÇAMENTO '!$F$21:$N$993,6,FALSE)=0,"",VLOOKUP($B292,'ORÇAMENTO '!$F$21:$N$993,6,FALSE)),"")</f>
        <v/>
      </c>
      <c r="F292" s="649" t="str">
        <f ca="1">IFERROR(IF(VLOOKUP($B292,'ORÇAMENTO '!$F$21:$N$993,5,FALSE)=0,"",VLOOKUP($B292,'ORÇAMENTO '!$F$21:$N$993,5,FALSE)),"")</f>
        <v/>
      </c>
    </row>
    <row r="293" spans="2:6" ht="15">
      <c r="B293" s="646">
        <f>'ORÇAMENTO '!F560</f>
        <v>0</v>
      </c>
      <c r="C293" s="647">
        <f>IFERROR(IF(OR($B293="",$B293=0),'ORÇAMENTO '!I560,VLOOKUP($B293,'ORÇAMENTO '!$F$21:$N$450,4,FALSE)),"")</f>
        <v>0</v>
      </c>
      <c r="D293" s="648" t="str">
        <f ca="1">IFERROR(IF(VLOOKUP($B293,'ORÇAMENTO '!$F$21:$P$993,11,FALSE)=0,"",VLOOKUP($B293,'ORÇAMENTO '!$F$21:$P$993,11,FALSE)),"")</f>
        <v/>
      </c>
      <c r="E293" s="649" t="str">
        <f ca="1">IFERROR(IF(VLOOKUP($B293,'ORÇAMENTO '!$F$21:$N$993,6,FALSE)=0,"",VLOOKUP($B293,'ORÇAMENTO '!$F$21:$N$993,6,FALSE)),"")</f>
        <v/>
      </c>
      <c r="F293" s="649" t="str">
        <f ca="1">IFERROR(IF(VLOOKUP($B293,'ORÇAMENTO '!$F$21:$N$993,5,FALSE)=0,"",VLOOKUP($B293,'ORÇAMENTO '!$F$21:$N$993,5,FALSE)),"")</f>
        <v/>
      </c>
    </row>
    <row r="294" spans="2:6" ht="15">
      <c r="B294" s="646">
        <f>'ORÇAMENTO '!F561</f>
        <v>0</v>
      </c>
      <c r="C294" s="647">
        <f>IFERROR(IF(OR($B294="",$B294=0),'ORÇAMENTO '!I561,VLOOKUP($B294,'ORÇAMENTO '!$F$21:$N$450,4,FALSE)),"")</f>
        <v>0</v>
      </c>
      <c r="D294" s="648" t="str">
        <f ca="1">IFERROR(IF(VLOOKUP($B294,'ORÇAMENTO '!$F$21:$P$993,11,FALSE)=0,"",VLOOKUP($B294,'ORÇAMENTO '!$F$21:$P$993,11,FALSE)),"")</f>
        <v/>
      </c>
      <c r="E294" s="649" t="str">
        <f ca="1">IFERROR(IF(VLOOKUP($B294,'ORÇAMENTO '!$F$21:$N$993,6,FALSE)=0,"",VLOOKUP($B294,'ORÇAMENTO '!$F$21:$N$993,6,FALSE)),"")</f>
        <v/>
      </c>
      <c r="F294" s="649" t="str">
        <f ca="1">IFERROR(IF(VLOOKUP($B294,'ORÇAMENTO '!$F$21:$N$993,5,FALSE)=0,"",VLOOKUP($B294,'ORÇAMENTO '!$F$21:$N$993,5,FALSE)),"")</f>
        <v/>
      </c>
    </row>
    <row r="295" spans="2:6" ht="15">
      <c r="B295" s="646">
        <f>'ORÇAMENTO '!F562</f>
        <v>0</v>
      </c>
      <c r="C295" s="647">
        <f>IFERROR(IF(OR($B295="",$B295=0),'ORÇAMENTO '!I562,VLOOKUP($B295,'ORÇAMENTO '!$F$21:$N$450,4,FALSE)),"")</f>
        <v>0</v>
      </c>
      <c r="D295" s="648" t="str">
        <f ca="1">IFERROR(IF(VLOOKUP($B295,'ORÇAMENTO '!$F$21:$P$993,11,FALSE)=0,"",VLOOKUP($B295,'ORÇAMENTO '!$F$21:$P$993,11,FALSE)),"")</f>
        <v/>
      </c>
      <c r="E295" s="649" t="str">
        <f ca="1">IFERROR(IF(VLOOKUP($B295,'ORÇAMENTO '!$F$21:$N$993,6,FALSE)=0,"",VLOOKUP($B295,'ORÇAMENTO '!$F$21:$N$993,6,FALSE)),"")</f>
        <v/>
      </c>
      <c r="F295" s="649" t="str">
        <f ca="1">IFERROR(IF(VLOOKUP($B295,'ORÇAMENTO '!$F$21:$N$993,5,FALSE)=0,"",VLOOKUP($B295,'ORÇAMENTO '!$F$21:$N$993,5,FALSE)),"")</f>
        <v/>
      </c>
    </row>
    <row r="296" spans="2:6" ht="15">
      <c r="B296" s="646">
        <f>'ORÇAMENTO '!F563</f>
        <v>0</v>
      </c>
      <c r="C296" s="647">
        <f>IFERROR(IF(OR($B296="",$B296=0),'ORÇAMENTO '!I563,VLOOKUP($B296,'ORÇAMENTO '!$F$21:$N$450,4,FALSE)),"")</f>
        <v>0</v>
      </c>
      <c r="D296" s="648" t="str">
        <f ca="1">IFERROR(IF(VLOOKUP($B296,'ORÇAMENTO '!$F$21:$P$993,11,FALSE)=0,"",VLOOKUP($B296,'ORÇAMENTO '!$F$21:$P$993,11,FALSE)),"")</f>
        <v/>
      </c>
      <c r="E296" s="649" t="str">
        <f ca="1">IFERROR(IF(VLOOKUP($B296,'ORÇAMENTO '!$F$21:$N$993,6,FALSE)=0,"",VLOOKUP($B296,'ORÇAMENTO '!$F$21:$N$993,6,FALSE)),"")</f>
        <v/>
      </c>
      <c r="F296" s="649" t="str">
        <f ca="1">IFERROR(IF(VLOOKUP($B296,'ORÇAMENTO '!$F$21:$N$993,5,FALSE)=0,"",VLOOKUP($B296,'ORÇAMENTO '!$F$21:$N$993,5,FALSE)),"")</f>
        <v/>
      </c>
    </row>
    <row r="297" spans="2:6" ht="15">
      <c r="B297" s="646">
        <f>'ORÇAMENTO '!F564</f>
        <v>0</v>
      </c>
      <c r="C297" s="647">
        <f>IFERROR(IF(OR($B297="",$B297=0),'ORÇAMENTO '!I564,VLOOKUP($B297,'ORÇAMENTO '!$F$21:$N$450,4,FALSE)),"")</f>
        <v>0</v>
      </c>
      <c r="D297" s="648" t="str">
        <f ca="1">IFERROR(IF(VLOOKUP($B297,'ORÇAMENTO '!$F$21:$P$993,11,FALSE)=0,"",VLOOKUP($B297,'ORÇAMENTO '!$F$21:$P$993,11,FALSE)),"")</f>
        <v/>
      </c>
      <c r="E297" s="649" t="str">
        <f ca="1">IFERROR(IF(VLOOKUP($B297,'ORÇAMENTO '!$F$21:$N$993,6,FALSE)=0,"",VLOOKUP($B297,'ORÇAMENTO '!$F$21:$N$993,6,FALSE)),"")</f>
        <v/>
      </c>
      <c r="F297" s="649" t="str">
        <f ca="1">IFERROR(IF(VLOOKUP($B297,'ORÇAMENTO '!$F$21:$N$993,5,FALSE)=0,"",VLOOKUP($B297,'ORÇAMENTO '!$F$21:$N$993,5,FALSE)),"")</f>
        <v/>
      </c>
    </row>
    <row r="298" spans="2:6" ht="15">
      <c r="B298" s="646">
        <f>'ORÇAMENTO '!F565</f>
        <v>0</v>
      </c>
      <c r="C298" s="647">
        <f>IFERROR(IF(OR($B298="",$B298=0),'ORÇAMENTO '!I565,VLOOKUP($B298,'ORÇAMENTO '!$F$21:$N$450,4,FALSE)),"")</f>
        <v>0</v>
      </c>
      <c r="D298" s="648" t="str">
        <f ca="1">IFERROR(IF(VLOOKUP($B298,'ORÇAMENTO '!$F$21:$P$993,11,FALSE)=0,"",VLOOKUP($B298,'ORÇAMENTO '!$F$21:$P$993,11,FALSE)),"")</f>
        <v/>
      </c>
      <c r="E298" s="649" t="str">
        <f ca="1">IFERROR(IF(VLOOKUP($B298,'ORÇAMENTO '!$F$21:$N$993,6,FALSE)=0,"",VLOOKUP($B298,'ORÇAMENTO '!$F$21:$N$993,6,FALSE)),"")</f>
        <v/>
      </c>
      <c r="F298" s="649" t="str">
        <f ca="1">IFERROR(IF(VLOOKUP($B298,'ORÇAMENTO '!$F$21:$N$993,5,FALSE)=0,"",VLOOKUP($B298,'ORÇAMENTO '!$F$21:$N$993,5,FALSE)),"")</f>
        <v/>
      </c>
    </row>
    <row r="299" spans="2:6" ht="15">
      <c r="B299" s="646">
        <f>'ORÇAMENTO '!F566</f>
        <v>0</v>
      </c>
      <c r="C299" s="647">
        <f>IFERROR(IF(OR($B299="",$B299=0),'ORÇAMENTO '!I566,VLOOKUP($B299,'ORÇAMENTO '!$F$21:$N$450,4,FALSE)),"")</f>
        <v>0</v>
      </c>
      <c r="D299" s="648" t="str">
        <f ca="1">IFERROR(IF(VLOOKUP($B299,'ORÇAMENTO '!$F$21:$P$993,11,FALSE)=0,"",VLOOKUP($B299,'ORÇAMENTO '!$F$21:$P$993,11,FALSE)),"")</f>
        <v/>
      </c>
      <c r="E299" s="649" t="str">
        <f ca="1">IFERROR(IF(VLOOKUP($B299,'ORÇAMENTO '!$F$21:$N$993,6,FALSE)=0,"",VLOOKUP($B299,'ORÇAMENTO '!$F$21:$N$993,6,FALSE)),"")</f>
        <v/>
      </c>
      <c r="F299" s="649" t="str">
        <f ca="1">IFERROR(IF(VLOOKUP($B299,'ORÇAMENTO '!$F$21:$N$993,5,FALSE)=0,"",VLOOKUP($B299,'ORÇAMENTO '!$F$21:$N$993,5,FALSE)),"")</f>
        <v/>
      </c>
    </row>
    <row r="300" spans="2:6" ht="15">
      <c r="B300" s="646">
        <f>'ORÇAMENTO '!F567</f>
        <v>0</v>
      </c>
      <c r="C300" s="647">
        <f>IFERROR(IF(OR($B300="",$B300=0),'ORÇAMENTO '!I567,VLOOKUP($B300,'ORÇAMENTO '!$F$21:$N$450,4,FALSE)),"")</f>
        <v>0</v>
      </c>
      <c r="D300" s="648" t="str">
        <f ca="1">IFERROR(IF(VLOOKUP($B300,'ORÇAMENTO '!$F$21:$P$993,11,FALSE)=0,"",VLOOKUP($B300,'ORÇAMENTO '!$F$21:$P$993,11,FALSE)),"")</f>
        <v/>
      </c>
      <c r="E300" s="649" t="str">
        <f ca="1">IFERROR(IF(VLOOKUP($B300,'ORÇAMENTO '!$F$21:$N$993,6,FALSE)=0,"",VLOOKUP($B300,'ORÇAMENTO '!$F$21:$N$993,6,FALSE)),"")</f>
        <v/>
      </c>
      <c r="F300" s="649" t="str">
        <f ca="1">IFERROR(IF(VLOOKUP($B300,'ORÇAMENTO '!$F$21:$N$993,5,FALSE)=0,"",VLOOKUP($B300,'ORÇAMENTO '!$F$21:$N$993,5,FALSE)),"")</f>
        <v/>
      </c>
    </row>
    <row r="301" spans="2:6" ht="15">
      <c r="B301" s="646">
        <f>'ORÇAMENTO '!F568</f>
        <v>0</v>
      </c>
      <c r="C301" s="647">
        <f>IFERROR(IF(OR($B301="",$B301=0),'ORÇAMENTO '!I568,VLOOKUP($B301,'ORÇAMENTO '!$F$21:$N$450,4,FALSE)),"")</f>
        <v>0</v>
      </c>
      <c r="D301" s="648" t="str">
        <f ca="1">IFERROR(IF(VLOOKUP($B301,'ORÇAMENTO '!$F$21:$P$993,11,FALSE)=0,"",VLOOKUP($B301,'ORÇAMENTO '!$F$21:$P$993,11,FALSE)),"")</f>
        <v/>
      </c>
      <c r="E301" s="649" t="str">
        <f ca="1">IFERROR(IF(VLOOKUP($B301,'ORÇAMENTO '!$F$21:$N$993,6,FALSE)=0,"",VLOOKUP($B301,'ORÇAMENTO '!$F$21:$N$993,6,FALSE)),"")</f>
        <v/>
      </c>
      <c r="F301" s="649" t="str">
        <f ca="1">IFERROR(IF(VLOOKUP($B301,'ORÇAMENTO '!$F$21:$N$993,5,FALSE)=0,"",VLOOKUP($B301,'ORÇAMENTO '!$F$21:$N$993,5,FALSE)),"")</f>
        <v/>
      </c>
    </row>
    <row r="302" spans="2:6" ht="15">
      <c r="B302" s="646">
        <f>'ORÇAMENTO '!F569</f>
        <v>0</v>
      </c>
      <c r="C302" s="647">
        <f>IFERROR(IF(OR($B302="",$B302=0),'ORÇAMENTO '!I569,VLOOKUP($B302,'ORÇAMENTO '!$F$21:$N$450,4,FALSE)),"")</f>
        <v>0</v>
      </c>
      <c r="D302" s="648" t="str">
        <f ca="1">IFERROR(IF(VLOOKUP($B302,'ORÇAMENTO '!$F$21:$P$993,11,FALSE)=0,"",VLOOKUP($B302,'ORÇAMENTO '!$F$21:$P$993,11,FALSE)),"")</f>
        <v/>
      </c>
      <c r="E302" s="649" t="str">
        <f ca="1">IFERROR(IF(VLOOKUP($B302,'ORÇAMENTO '!$F$21:$N$993,6,FALSE)=0,"",VLOOKUP($B302,'ORÇAMENTO '!$F$21:$N$993,6,FALSE)),"")</f>
        <v/>
      </c>
      <c r="F302" s="649" t="str">
        <f ca="1">IFERROR(IF(VLOOKUP($B302,'ORÇAMENTO '!$F$21:$N$993,5,FALSE)=0,"",VLOOKUP($B302,'ORÇAMENTO '!$F$21:$N$993,5,FALSE)),"")</f>
        <v/>
      </c>
    </row>
    <row r="303" spans="2:6" ht="15">
      <c r="B303" s="646">
        <f>'ORÇAMENTO '!F570</f>
        <v>0</v>
      </c>
      <c r="C303" s="647">
        <f>IFERROR(IF(OR($B303="",$B303=0),'ORÇAMENTO '!I570,VLOOKUP($B303,'ORÇAMENTO '!$F$21:$N$450,4,FALSE)),"")</f>
        <v>0</v>
      </c>
      <c r="D303" s="648" t="str">
        <f ca="1">IFERROR(IF(VLOOKUP($B303,'ORÇAMENTO '!$F$21:$P$993,11,FALSE)=0,"",VLOOKUP($B303,'ORÇAMENTO '!$F$21:$P$993,11,FALSE)),"")</f>
        <v/>
      </c>
      <c r="E303" s="649" t="str">
        <f ca="1">IFERROR(IF(VLOOKUP($B303,'ORÇAMENTO '!$F$21:$N$993,6,FALSE)=0,"",VLOOKUP($B303,'ORÇAMENTO '!$F$21:$N$993,6,FALSE)),"")</f>
        <v/>
      </c>
      <c r="F303" s="649" t="str">
        <f ca="1">IFERROR(IF(VLOOKUP($B303,'ORÇAMENTO '!$F$21:$N$993,5,FALSE)=0,"",VLOOKUP($B303,'ORÇAMENTO '!$F$21:$N$993,5,FALSE)),"")</f>
        <v/>
      </c>
    </row>
    <row r="304" spans="2:6" ht="15">
      <c r="B304" s="646">
        <f>'ORÇAMENTO '!F571</f>
        <v>0</v>
      </c>
      <c r="C304" s="647">
        <f>IFERROR(IF(OR($B304="",$B304=0),'ORÇAMENTO '!I571,VLOOKUP($B304,'ORÇAMENTO '!$F$21:$N$450,4,FALSE)),"")</f>
        <v>0</v>
      </c>
      <c r="D304" s="648" t="str">
        <f ca="1">IFERROR(IF(VLOOKUP($B304,'ORÇAMENTO '!$F$21:$P$993,11,FALSE)=0,"",VLOOKUP($B304,'ORÇAMENTO '!$F$21:$P$993,11,FALSE)),"")</f>
        <v/>
      </c>
      <c r="E304" s="649" t="str">
        <f ca="1">IFERROR(IF(VLOOKUP($B304,'ORÇAMENTO '!$F$21:$N$993,6,FALSE)=0,"",VLOOKUP($B304,'ORÇAMENTO '!$F$21:$N$993,6,FALSE)),"")</f>
        <v/>
      </c>
      <c r="F304" s="649" t="str">
        <f ca="1">IFERROR(IF(VLOOKUP($B304,'ORÇAMENTO '!$F$21:$N$993,5,FALSE)=0,"",VLOOKUP($B304,'ORÇAMENTO '!$F$21:$N$993,5,FALSE)),"")</f>
        <v/>
      </c>
    </row>
    <row r="305" spans="2:6" ht="15">
      <c r="B305" s="646">
        <f>'ORÇAMENTO '!F572</f>
        <v>0</v>
      </c>
      <c r="C305" s="647">
        <f>IFERROR(IF(OR($B305="",$B305=0),'ORÇAMENTO '!I572,VLOOKUP($B305,'ORÇAMENTO '!$F$21:$N$450,4,FALSE)),"")</f>
        <v>0</v>
      </c>
      <c r="D305" s="648" t="str">
        <f ca="1">IFERROR(IF(VLOOKUP($B305,'ORÇAMENTO '!$F$21:$P$993,11,FALSE)=0,"",VLOOKUP($B305,'ORÇAMENTO '!$F$21:$P$993,11,FALSE)),"")</f>
        <v/>
      </c>
      <c r="E305" s="649" t="str">
        <f ca="1">IFERROR(IF(VLOOKUP($B305,'ORÇAMENTO '!$F$21:$N$993,6,FALSE)=0,"",VLOOKUP($B305,'ORÇAMENTO '!$F$21:$N$993,6,FALSE)),"")</f>
        <v/>
      </c>
      <c r="F305" s="649" t="str">
        <f ca="1">IFERROR(IF(VLOOKUP($B305,'ORÇAMENTO '!$F$21:$N$993,5,FALSE)=0,"",VLOOKUP($B305,'ORÇAMENTO '!$F$21:$N$993,5,FALSE)),"")</f>
        <v/>
      </c>
    </row>
    <row r="306" spans="2:6" ht="15">
      <c r="B306" s="646">
        <f>'ORÇAMENTO '!F573</f>
        <v>0</v>
      </c>
      <c r="C306" s="647">
        <f>IFERROR(IF(OR($B306="",$B306=0),'ORÇAMENTO '!I573,VLOOKUP($B306,'ORÇAMENTO '!$F$21:$N$450,4,FALSE)),"")</f>
        <v>0</v>
      </c>
      <c r="D306" s="648" t="str">
        <f ca="1">IFERROR(IF(VLOOKUP($B306,'ORÇAMENTO '!$F$21:$P$993,11,FALSE)=0,"",VLOOKUP($B306,'ORÇAMENTO '!$F$21:$P$993,11,FALSE)),"")</f>
        <v/>
      </c>
      <c r="E306" s="649" t="str">
        <f ca="1">IFERROR(IF(VLOOKUP($B306,'ORÇAMENTO '!$F$21:$N$993,6,FALSE)=0,"",VLOOKUP($B306,'ORÇAMENTO '!$F$21:$N$993,6,FALSE)),"")</f>
        <v/>
      </c>
      <c r="F306" s="649" t="str">
        <f ca="1">IFERROR(IF(VLOOKUP($B306,'ORÇAMENTO '!$F$21:$N$993,5,FALSE)=0,"",VLOOKUP($B306,'ORÇAMENTO '!$F$21:$N$993,5,FALSE)),"")</f>
        <v/>
      </c>
    </row>
    <row r="307" spans="2:6" ht="15">
      <c r="B307" s="646">
        <f>'ORÇAMENTO '!F574</f>
        <v>0</v>
      </c>
      <c r="C307" s="647">
        <f>IFERROR(IF(OR($B307="",$B307=0),'ORÇAMENTO '!I574,VLOOKUP($B307,'ORÇAMENTO '!$F$21:$N$450,4,FALSE)),"")</f>
        <v>0</v>
      </c>
      <c r="D307" s="648" t="str">
        <f ca="1">IFERROR(IF(VLOOKUP($B307,'ORÇAMENTO '!$F$21:$P$993,11,FALSE)=0,"",VLOOKUP($B307,'ORÇAMENTO '!$F$21:$P$993,11,FALSE)),"")</f>
        <v/>
      </c>
      <c r="E307" s="649" t="str">
        <f ca="1">IFERROR(IF(VLOOKUP($B307,'ORÇAMENTO '!$F$21:$N$993,6,FALSE)=0,"",VLOOKUP($B307,'ORÇAMENTO '!$F$21:$N$993,6,FALSE)),"")</f>
        <v/>
      </c>
      <c r="F307" s="649" t="str">
        <f ca="1">IFERROR(IF(VLOOKUP($B307,'ORÇAMENTO '!$F$21:$N$993,5,FALSE)=0,"",VLOOKUP($B307,'ORÇAMENTO '!$F$21:$N$993,5,FALSE)),"")</f>
        <v/>
      </c>
    </row>
    <row r="308" spans="2:6" ht="15">
      <c r="B308" s="646">
        <f>'ORÇAMENTO '!F575</f>
        <v>0</v>
      </c>
      <c r="C308" s="647">
        <f>IFERROR(IF(OR($B308="",$B308=0),'ORÇAMENTO '!I575,VLOOKUP($B308,'ORÇAMENTO '!$F$21:$N$450,4,FALSE)),"")</f>
        <v>0</v>
      </c>
      <c r="D308" s="648" t="str">
        <f ca="1">IFERROR(IF(VLOOKUP($B308,'ORÇAMENTO '!$F$21:$P$993,11,FALSE)=0,"",VLOOKUP($B308,'ORÇAMENTO '!$F$21:$P$993,11,FALSE)),"")</f>
        <v/>
      </c>
      <c r="E308" s="649" t="str">
        <f ca="1">IFERROR(IF(VLOOKUP($B308,'ORÇAMENTO '!$F$21:$N$993,6,FALSE)=0,"",VLOOKUP($B308,'ORÇAMENTO '!$F$21:$N$993,6,FALSE)),"")</f>
        <v/>
      </c>
      <c r="F308" s="649" t="str">
        <f ca="1">IFERROR(IF(VLOOKUP($B308,'ORÇAMENTO '!$F$21:$N$993,5,FALSE)=0,"",VLOOKUP($B308,'ORÇAMENTO '!$F$21:$N$993,5,FALSE)),"")</f>
        <v/>
      </c>
    </row>
    <row r="309" spans="2:6" ht="15">
      <c r="B309" s="646">
        <f>'ORÇAMENTO '!F576</f>
        <v>0</v>
      </c>
      <c r="C309" s="647">
        <f>IFERROR(IF(OR($B309="",$B309=0),'ORÇAMENTO '!I576,VLOOKUP($B309,'ORÇAMENTO '!$F$21:$N$450,4,FALSE)),"")</f>
        <v>0</v>
      </c>
      <c r="D309" s="648" t="str">
        <f ca="1">IFERROR(IF(VLOOKUP($B309,'ORÇAMENTO '!$F$21:$P$993,11,FALSE)=0,"",VLOOKUP($B309,'ORÇAMENTO '!$F$21:$P$993,11,FALSE)),"")</f>
        <v/>
      </c>
      <c r="E309" s="649" t="str">
        <f ca="1">IFERROR(IF(VLOOKUP($B309,'ORÇAMENTO '!$F$21:$N$993,6,FALSE)=0,"",VLOOKUP($B309,'ORÇAMENTO '!$F$21:$N$993,6,FALSE)),"")</f>
        <v/>
      </c>
      <c r="F309" s="649" t="str">
        <f ca="1">IFERROR(IF(VLOOKUP($B309,'ORÇAMENTO '!$F$21:$N$993,5,FALSE)=0,"",VLOOKUP($B309,'ORÇAMENTO '!$F$21:$N$993,5,FALSE)),"")</f>
        <v/>
      </c>
    </row>
    <row r="310" spans="2:6" ht="15">
      <c r="B310" s="646">
        <f>'ORÇAMENTO '!F577</f>
        <v>0</v>
      </c>
      <c r="C310" s="647">
        <f>IFERROR(IF(OR($B310="",$B310=0),'ORÇAMENTO '!I577,VLOOKUP($B310,'ORÇAMENTO '!$F$21:$N$450,4,FALSE)),"")</f>
        <v>0</v>
      </c>
      <c r="D310" s="648" t="str">
        <f ca="1">IFERROR(IF(VLOOKUP($B310,'ORÇAMENTO '!$F$21:$P$993,11,FALSE)=0,"",VLOOKUP($B310,'ORÇAMENTO '!$F$21:$P$993,11,FALSE)),"")</f>
        <v/>
      </c>
      <c r="E310" s="649" t="str">
        <f ca="1">IFERROR(IF(VLOOKUP($B310,'ORÇAMENTO '!$F$21:$N$993,6,FALSE)=0,"",VLOOKUP($B310,'ORÇAMENTO '!$F$21:$N$993,6,FALSE)),"")</f>
        <v/>
      </c>
      <c r="F310" s="649" t="str">
        <f ca="1">IFERROR(IF(VLOOKUP($B310,'ORÇAMENTO '!$F$21:$N$993,5,FALSE)=0,"",VLOOKUP($B310,'ORÇAMENTO '!$F$21:$N$993,5,FALSE)),"")</f>
        <v/>
      </c>
    </row>
    <row r="311" spans="2:6" ht="15">
      <c r="B311" s="646">
        <f>'ORÇAMENTO '!F578</f>
        <v>0</v>
      </c>
      <c r="C311" s="647">
        <f>IFERROR(IF(OR($B311="",$B311=0),'ORÇAMENTO '!I578,VLOOKUP($B311,'ORÇAMENTO '!$F$21:$N$450,4,FALSE)),"")</f>
        <v>0</v>
      </c>
      <c r="D311" s="648" t="str">
        <f ca="1">IFERROR(IF(VLOOKUP($B311,'ORÇAMENTO '!$F$21:$P$993,11,FALSE)=0,"",VLOOKUP($B311,'ORÇAMENTO '!$F$21:$P$993,11,FALSE)),"")</f>
        <v/>
      </c>
      <c r="E311" s="649" t="str">
        <f ca="1">IFERROR(IF(VLOOKUP($B311,'ORÇAMENTO '!$F$21:$N$993,6,FALSE)=0,"",VLOOKUP($B311,'ORÇAMENTO '!$F$21:$N$993,6,FALSE)),"")</f>
        <v/>
      </c>
      <c r="F311" s="649" t="str">
        <f ca="1">IFERROR(IF(VLOOKUP($B311,'ORÇAMENTO '!$F$21:$N$993,5,FALSE)=0,"",VLOOKUP($B311,'ORÇAMENTO '!$F$21:$N$993,5,FALSE)),"")</f>
        <v/>
      </c>
    </row>
    <row r="312" spans="2:6" ht="15">
      <c r="B312" s="646">
        <f>'ORÇAMENTO '!F579</f>
        <v>0</v>
      </c>
      <c r="C312" s="647">
        <f>IFERROR(IF(OR($B312="",$B312=0),'ORÇAMENTO '!I579,VLOOKUP($B312,'ORÇAMENTO '!$F$21:$N$450,4,FALSE)),"")</f>
        <v>0</v>
      </c>
      <c r="D312" s="648" t="str">
        <f ca="1">IFERROR(IF(VLOOKUP($B312,'ORÇAMENTO '!$F$21:$P$993,11,FALSE)=0,"",VLOOKUP($B312,'ORÇAMENTO '!$F$21:$P$993,11,FALSE)),"")</f>
        <v/>
      </c>
      <c r="E312" s="649" t="str">
        <f ca="1">IFERROR(IF(VLOOKUP($B312,'ORÇAMENTO '!$F$21:$N$993,6,FALSE)=0,"",VLOOKUP($B312,'ORÇAMENTO '!$F$21:$N$993,6,FALSE)),"")</f>
        <v/>
      </c>
      <c r="F312" s="649" t="str">
        <f ca="1">IFERROR(IF(VLOOKUP($B312,'ORÇAMENTO '!$F$21:$N$993,5,FALSE)=0,"",VLOOKUP($B312,'ORÇAMENTO '!$F$21:$N$993,5,FALSE)),"")</f>
        <v/>
      </c>
    </row>
    <row r="313" spans="2:6" ht="15">
      <c r="B313" s="646">
        <f>'ORÇAMENTO '!F580</f>
        <v>0</v>
      </c>
      <c r="C313" s="647">
        <f>IFERROR(IF(OR($B313="",$B313=0),'ORÇAMENTO '!I580,VLOOKUP($B313,'ORÇAMENTO '!$F$21:$N$450,4,FALSE)),"")</f>
        <v>0</v>
      </c>
      <c r="D313" s="648" t="str">
        <f ca="1">IFERROR(IF(VLOOKUP($B313,'ORÇAMENTO '!$F$21:$P$993,11,FALSE)=0,"",VLOOKUP($B313,'ORÇAMENTO '!$F$21:$P$993,11,FALSE)),"")</f>
        <v/>
      </c>
      <c r="E313" s="649" t="str">
        <f ca="1">IFERROR(IF(VLOOKUP($B313,'ORÇAMENTO '!$F$21:$N$993,6,FALSE)=0,"",VLOOKUP($B313,'ORÇAMENTO '!$F$21:$N$993,6,FALSE)),"")</f>
        <v/>
      </c>
      <c r="F313" s="649" t="str">
        <f ca="1">IFERROR(IF(VLOOKUP($B313,'ORÇAMENTO '!$F$21:$N$993,5,FALSE)=0,"",VLOOKUP($B313,'ORÇAMENTO '!$F$21:$N$993,5,FALSE)),"")</f>
        <v/>
      </c>
    </row>
    <row r="314" spans="2:6" ht="15">
      <c r="B314" s="646">
        <f>'ORÇAMENTO '!F581</f>
        <v>0</v>
      </c>
      <c r="C314" s="647">
        <f>IFERROR(IF(OR($B314="",$B314=0),'ORÇAMENTO '!I581,VLOOKUP($B314,'ORÇAMENTO '!$F$21:$N$450,4,FALSE)),"")</f>
        <v>0</v>
      </c>
      <c r="D314" s="648" t="str">
        <f ca="1">IFERROR(IF(VLOOKUP($B314,'ORÇAMENTO '!$F$21:$P$993,11,FALSE)=0,"",VLOOKUP($B314,'ORÇAMENTO '!$F$21:$P$993,11,FALSE)),"")</f>
        <v/>
      </c>
      <c r="E314" s="649" t="str">
        <f ca="1">IFERROR(IF(VLOOKUP($B314,'ORÇAMENTO '!$F$21:$N$993,6,FALSE)=0,"",VLOOKUP($B314,'ORÇAMENTO '!$F$21:$N$993,6,FALSE)),"")</f>
        <v/>
      </c>
      <c r="F314" s="649" t="str">
        <f ca="1">IFERROR(IF(VLOOKUP($B314,'ORÇAMENTO '!$F$21:$N$993,5,FALSE)=0,"",VLOOKUP($B314,'ORÇAMENTO '!$F$21:$N$993,5,FALSE)),"")</f>
        <v/>
      </c>
    </row>
    <row r="315" spans="2:6" ht="15">
      <c r="B315" s="646">
        <f>'ORÇAMENTO '!F582</f>
        <v>0</v>
      </c>
      <c r="C315" s="647">
        <f>IFERROR(IF(OR($B315="",$B315=0),'ORÇAMENTO '!I582,VLOOKUP($B315,'ORÇAMENTO '!$F$21:$N$450,4,FALSE)),"")</f>
        <v>0</v>
      </c>
      <c r="D315" s="648" t="str">
        <f ca="1">IFERROR(IF(VLOOKUP($B315,'ORÇAMENTO '!$F$21:$P$993,11,FALSE)=0,"",VLOOKUP($B315,'ORÇAMENTO '!$F$21:$P$993,11,FALSE)),"")</f>
        <v/>
      </c>
      <c r="E315" s="649" t="str">
        <f ca="1">IFERROR(IF(VLOOKUP($B315,'ORÇAMENTO '!$F$21:$N$993,6,FALSE)=0,"",VLOOKUP($B315,'ORÇAMENTO '!$F$21:$N$993,6,FALSE)),"")</f>
        <v/>
      </c>
      <c r="F315" s="649" t="str">
        <f ca="1">IFERROR(IF(VLOOKUP($B315,'ORÇAMENTO '!$F$21:$N$993,5,FALSE)=0,"",VLOOKUP($B315,'ORÇAMENTO '!$F$21:$N$993,5,FALSE)),"")</f>
        <v/>
      </c>
    </row>
    <row r="316" spans="2:6" ht="15">
      <c r="B316" s="646">
        <f>'ORÇAMENTO '!F583</f>
        <v>0</v>
      </c>
      <c r="C316" s="647">
        <f>IFERROR(IF(OR($B316="",$B316=0),'ORÇAMENTO '!I583,VLOOKUP($B316,'ORÇAMENTO '!$F$21:$N$450,4,FALSE)),"")</f>
        <v>0</v>
      </c>
      <c r="D316" s="648" t="str">
        <f ca="1">IFERROR(IF(VLOOKUP($B316,'ORÇAMENTO '!$F$21:$P$993,11,FALSE)=0,"",VLOOKUP($B316,'ORÇAMENTO '!$F$21:$P$993,11,FALSE)),"")</f>
        <v/>
      </c>
      <c r="E316" s="649" t="str">
        <f ca="1">IFERROR(IF(VLOOKUP($B316,'ORÇAMENTO '!$F$21:$N$993,6,FALSE)=0,"",VLOOKUP($B316,'ORÇAMENTO '!$F$21:$N$993,6,FALSE)),"")</f>
        <v/>
      </c>
      <c r="F316" s="649" t="str">
        <f ca="1">IFERROR(IF(VLOOKUP($B316,'ORÇAMENTO '!$F$21:$N$993,5,FALSE)=0,"",VLOOKUP($B316,'ORÇAMENTO '!$F$21:$N$993,5,FALSE)),"")</f>
        <v/>
      </c>
    </row>
    <row r="317" spans="2:6" ht="15">
      <c r="B317" s="646">
        <f>'ORÇAMENTO '!F584</f>
        <v>0</v>
      </c>
      <c r="C317" s="647">
        <f>IFERROR(IF(OR($B317="",$B317=0),'ORÇAMENTO '!I584,VLOOKUP($B317,'ORÇAMENTO '!$F$21:$N$450,4,FALSE)),"")</f>
        <v>0</v>
      </c>
      <c r="D317" s="648" t="str">
        <f ca="1">IFERROR(IF(VLOOKUP($B317,'ORÇAMENTO '!$F$21:$P$993,11,FALSE)=0,"",VLOOKUP($B317,'ORÇAMENTO '!$F$21:$P$993,11,FALSE)),"")</f>
        <v/>
      </c>
      <c r="E317" s="649" t="str">
        <f ca="1">IFERROR(IF(VLOOKUP($B317,'ORÇAMENTO '!$F$21:$N$993,6,FALSE)=0,"",VLOOKUP($B317,'ORÇAMENTO '!$F$21:$N$993,6,FALSE)),"")</f>
        <v/>
      </c>
      <c r="F317" s="649" t="str">
        <f ca="1">IFERROR(IF(VLOOKUP($B317,'ORÇAMENTO '!$F$21:$N$993,5,FALSE)=0,"",VLOOKUP($B317,'ORÇAMENTO '!$F$21:$N$993,5,FALSE)),"")</f>
        <v/>
      </c>
    </row>
    <row r="318" spans="2:6" ht="15">
      <c r="B318" s="646">
        <f>'ORÇAMENTO '!F585</f>
        <v>0</v>
      </c>
      <c r="C318" s="647">
        <f>IFERROR(IF(OR($B318="",$B318=0),'ORÇAMENTO '!I585,VLOOKUP($B318,'ORÇAMENTO '!$F$21:$N$450,4,FALSE)),"")</f>
        <v>0</v>
      </c>
      <c r="D318" s="648" t="str">
        <f ca="1">IFERROR(IF(VLOOKUP($B318,'ORÇAMENTO '!$F$21:$P$993,11,FALSE)=0,"",VLOOKUP($B318,'ORÇAMENTO '!$F$21:$P$993,11,FALSE)),"")</f>
        <v/>
      </c>
      <c r="E318" s="649" t="str">
        <f ca="1">IFERROR(IF(VLOOKUP($B318,'ORÇAMENTO '!$F$21:$N$993,6,FALSE)=0,"",VLOOKUP($B318,'ORÇAMENTO '!$F$21:$N$993,6,FALSE)),"")</f>
        <v/>
      </c>
      <c r="F318" s="649" t="str">
        <f ca="1">IFERROR(IF(VLOOKUP($B318,'ORÇAMENTO '!$F$21:$N$993,5,FALSE)=0,"",VLOOKUP($B318,'ORÇAMENTO '!$F$21:$N$993,5,FALSE)),"")</f>
        <v/>
      </c>
    </row>
    <row r="319" spans="2:6" ht="15">
      <c r="B319" s="646">
        <f>'ORÇAMENTO '!F586</f>
        <v>0</v>
      </c>
      <c r="C319" s="647">
        <f>IFERROR(IF(OR($B319="",$B319=0),'ORÇAMENTO '!I586,VLOOKUP($B319,'ORÇAMENTO '!$F$21:$N$450,4,FALSE)),"")</f>
        <v>0</v>
      </c>
      <c r="D319" s="648" t="str">
        <f ca="1">IFERROR(IF(VLOOKUP($B319,'ORÇAMENTO '!$F$21:$P$993,11,FALSE)=0,"",VLOOKUP($B319,'ORÇAMENTO '!$F$21:$P$993,11,FALSE)),"")</f>
        <v/>
      </c>
      <c r="E319" s="649" t="str">
        <f ca="1">IFERROR(IF(VLOOKUP($B319,'ORÇAMENTO '!$F$21:$N$993,6,FALSE)=0,"",VLOOKUP($B319,'ORÇAMENTO '!$F$21:$N$993,6,FALSE)),"")</f>
        <v/>
      </c>
      <c r="F319" s="649" t="str">
        <f ca="1">IFERROR(IF(VLOOKUP($B319,'ORÇAMENTO '!$F$21:$N$993,5,FALSE)=0,"",VLOOKUP($B319,'ORÇAMENTO '!$F$21:$N$993,5,FALSE)),"")</f>
        <v/>
      </c>
    </row>
    <row r="320" spans="2:6" ht="15">
      <c r="B320" s="646">
        <f>'ORÇAMENTO '!F587</f>
        <v>0</v>
      </c>
      <c r="C320" s="647">
        <f>IFERROR(IF(OR($B320="",$B320=0),'ORÇAMENTO '!I587,VLOOKUP($B320,'ORÇAMENTO '!$F$21:$N$450,4,FALSE)),"")</f>
        <v>0</v>
      </c>
      <c r="D320" s="648" t="str">
        <f ca="1">IFERROR(IF(VLOOKUP($B320,'ORÇAMENTO '!$F$21:$P$993,11,FALSE)=0,"",VLOOKUP($B320,'ORÇAMENTO '!$F$21:$P$993,11,FALSE)),"")</f>
        <v/>
      </c>
      <c r="E320" s="649" t="str">
        <f ca="1">IFERROR(IF(VLOOKUP($B320,'ORÇAMENTO '!$F$21:$N$993,6,FALSE)=0,"",VLOOKUP($B320,'ORÇAMENTO '!$F$21:$N$993,6,FALSE)),"")</f>
        <v/>
      </c>
      <c r="F320" s="649" t="str">
        <f ca="1">IFERROR(IF(VLOOKUP($B320,'ORÇAMENTO '!$F$21:$N$993,5,FALSE)=0,"",VLOOKUP($B320,'ORÇAMENTO '!$F$21:$N$993,5,FALSE)),"")</f>
        <v/>
      </c>
    </row>
    <row r="321" spans="2:6" ht="15">
      <c r="B321" s="646">
        <f>'ORÇAMENTO '!F588</f>
        <v>0</v>
      </c>
      <c r="C321" s="647">
        <f>IFERROR(IF(OR($B321="",$B321=0),'ORÇAMENTO '!I588,VLOOKUP($B321,'ORÇAMENTO '!$F$21:$N$450,4,FALSE)),"")</f>
        <v>0</v>
      </c>
      <c r="D321" s="648" t="str">
        <f ca="1">IFERROR(IF(VLOOKUP($B321,'ORÇAMENTO '!$F$21:$P$993,11,FALSE)=0,"",VLOOKUP($B321,'ORÇAMENTO '!$F$21:$P$993,11,FALSE)),"")</f>
        <v/>
      </c>
      <c r="E321" s="649" t="str">
        <f ca="1">IFERROR(IF(VLOOKUP($B321,'ORÇAMENTO '!$F$21:$N$993,6,FALSE)=0,"",VLOOKUP($B321,'ORÇAMENTO '!$F$21:$N$993,6,FALSE)),"")</f>
        <v/>
      </c>
      <c r="F321" s="649" t="str">
        <f ca="1">IFERROR(IF(VLOOKUP($B321,'ORÇAMENTO '!$F$21:$N$993,5,FALSE)=0,"",VLOOKUP($B321,'ORÇAMENTO '!$F$21:$N$993,5,FALSE)),"")</f>
        <v/>
      </c>
    </row>
    <row r="322" spans="2:6" ht="15">
      <c r="B322" s="646">
        <f>'ORÇAMENTO '!F589</f>
        <v>0</v>
      </c>
      <c r="C322" s="647">
        <f>IFERROR(IF(OR($B322="",$B322=0),'ORÇAMENTO '!I589,VLOOKUP($B322,'ORÇAMENTO '!$F$21:$N$450,4,FALSE)),"")</f>
        <v>0</v>
      </c>
      <c r="D322" s="648" t="str">
        <f ca="1">IFERROR(IF(VLOOKUP($B322,'ORÇAMENTO '!$F$21:$P$993,11,FALSE)=0,"",VLOOKUP($B322,'ORÇAMENTO '!$F$21:$P$993,11,FALSE)),"")</f>
        <v/>
      </c>
      <c r="E322" s="649" t="str">
        <f ca="1">IFERROR(IF(VLOOKUP($B322,'ORÇAMENTO '!$F$21:$N$993,6,FALSE)=0,"",VLOOKUP($B322,'ORÇAMENTO '!$F$21:$N$993,6,FALSE)),"")</f>
        <v/>
      </c>
      <c r="F322" s="649" t="str">
        <f ca="1">IFERROR(IF(VLOOKUP($B322,'ORÇAMENTO '!$F$21:$N$993,5,FALSE)=0,"",VLOOKUP($B322,'ORÇAMENTO '!$F$21:$N$993,5,FALSE)),"")</f>
        <v/>
      </c>
    </row>
    <row r="323" spans="2:6" ht="15">
      <c r="B323" s="646">
        <f>'ORÇAMENTO '!F590</f>
        <v>0</v>
      </c>
      <c r="C323" s="647">
        <f>IFERROR(IF(OR($B323="",$B323=0),'ORÇAMENTO '!I590,VLOOKUP($B323,'ORÇAMENTO '!$F$21:$N$450,4,FALSE)),"")</f>
        <v>0</v>
      </c>
      <c r="D323" s="648" t="str">
        <f ca="1">IFERROR(IF(VLOOKUP($B323,'ORÇAMENTO '!$F$21:$P$993,11,FALSE)=0,"",VLOOKUP($B323,'ORÇAMENTO '!$F$21:$P$993,11,FALSE)),"")</f>
        <v/>
      </c>
      <c r="E323" s="649" t="str">
        <f ca="1">IFERROR(IF(VLOOKUP($B323,'ORÇAMENTO '!$F$21:$N$993,6,FALSE)=0,"",VLOOKUP($B323,'ORÇAMENTO '!$F$21:$N$993,6,FALSE)),"")</f>
        <v/>
      </c>
      <c r="F323" s="649" t="str">
        <f ca="1">IFERROR(IF(VLOOKUP($B323,'ORÇAMENTO '!$F$21:$N$993,5,FALSE)=0,"",VLOOKUP($B323,'ORÇAMENTO '!$F$21:$N$993,5,FALSE)),"")</f>
        <v/>
      </c>
    </row>
    <row r="324" spans="2:6" ht="15">
      <c r="B324" s="646">
        <f>'ORÇAMENTO '!F591</f>
        <v>0</v>
      </c>
      <c r="C324" s="647">
        <f>IFERROR(IF(OR($B324="",$B324=0),'ORÇAMENTO '!I591,VLOOKUP($B324,'ORÇAMENTO '!$F$21:$N$450,4,FALSE)),"")</f>
        <v>0</v>
      </c>
      <c r="D324" s="648" t="str">
        <f ca="1">IFERROR(IF(VLOOKUP($B324,'ORÇAMENTO '!$F$21:$P$993,11,FALSE)=0,"",VLOOKUP($B324,'ORÇAMENTO '!$F$21:$P$993,11,FALSE)),"")</f>
        <v/>
      </c>
      <c r="E324" s="649" t="str">
        <f ca="1">IFERROR(IF(VLOOKUP($B324,'ORÇAMENTO '!$F$21:$N$993,6,FALSE)=0,"",VLOOKUP($B324,'ORÇAMENTO '!$F$21:$N$993,6,FALSE)),"")</f>
        <v/>
      </c>
      <c r="F324" s="649" t="str">
        <f ca="1">IFERROR(IF(VLOOKUP($B324,'ORÇAMENTO '!$F$21:$N$993,5,FALSE)=0,"",VLOOKUP($B324,'ORÇAMENTO '!$F$21:$N$993,5,FALSE)),"")</f>
        <v/>
      </c>
    </row>
    <row r="325" spans="2:6" ht="15">
      <c r="B325" s="646">
        <f>'ORÇAMENTO '!F592</f>
        <v>0</v>
      </c>
      <c r="C325" s="647">
        <f>IFERROR(IF(OR($B325="",$B325=0),'ORÇAMENTO '!I592,VLOOKUP($B325,'ORÇAMENTO '!$F$21:$N$450,4,FALSE)),"")</f>
        <v>0</v>
      </c>
      <c r="D325" s="648" t="str">
        <f ca="1">IFERROR(IF(VLOOKUP($B325,'ORÇAMENTO '!$F$21:$P$993,11,FALSE)=0,"",VLOOKUP($B325,'ORÇAMENTO '!$F$21:$P$993,11,FALSE)),"")</f>
        <v/>
      </c>
      <c r="E325" s="649" t="str">
        <f ca="1">IFERROR(IF(VLOOKUP($B325,'ORÇAMENTO '!$F$21:$N$993,6,FALSE)=0,"",VLOOKUP($B325,'ORÇAMENTO '!$F$21:$N$993,6,FALSE)),"")</f>
        <v/>
      </c>
      <c r="F325" s="649" t="str">
        <f ca="1">IFERROR(IF(VLOOKUP($B325,'ORÇAMENTO '!$F$21:$N$993,5,FALSE)=0,"",VLOOKUP($B325,'ORÇAMENTO '!$F$21:$N$993,5,FALSE)),"")</f>
        <v/>
      </c>
    </row>
    <row r="326" spans="2:6" ht="15">
      <c r="B326" s="646">
        <f>'ORÇAMENTO '!F593</f>
        <v>0</v>
      </c>
      <c r="C326" s="647">
        <f>IFERROR(IF(OR($B326="",$B326=0),'ORÇAMENTO '!I593,VLOOKUP($B326,'ORÇAMENTO '!$F$21:$N$450,4,FALSE)),"")</f>
        <v>0</v>
      </c>
      <c r="D326" s="648" t="str">
        <f ca="1">IFERROR(IF(VLOOKUP($B326,'ORÇAMENTO '!$F$21:$P$993,11,FALSE)=0,"",VLOOKUP($B326,'ORÇAMENTO '!$F$21:$P$993,11,FALSE)),"")</f>
        <v/>
      </c>
      <c r="E326" s="649" t="str">
        <f ca="1">IFERROR(IF(VLOOKUP($B326,'ORÇAMENTO '!$F$21:$N$993,6,FALSE)=0,"",VLOOKUP($B326,'ORÇAMENTO '!$F$21:$N$993,6,FALSE)),"")</f>
        <v/>
      </c>
      <c r="F326" s="649" t="str">
        <f ca="1">IFERROR(IF(VLOOKUP($B326,'ORÇAMENTO '!$F$21:$N$993,5,FALSE)=0,"",VLOOKUP($B326,'ORÇAMENTO '!$F$21:$N$993,5,FALSE)),"")</f>
        <v/>
      </c>
    </row>
    <row r="327" spans="2:6" ht="15">
      <c r="B327" s="646">
        <f>'ORÇAMENTO '!F594</f>
        <v>0</v>
      </c>
      <c r="C327" s="647">
        <f>IFERROR(IF(OR($B327="",$B327=0),'ORÇAMENTO '!I594,VLOOKUP($B327,'ORÇAMENTO '!$F$21:$N$450,4,FALSE)),"")</f>
        <v>0</v>
      </c>
      <c r="D327" s="648" t="str">
        <f ca="1">IFERROR(IF(VLOOKUP($B327,'ORÇAMENTO '!$F$21:$P$993,11,FALSE)=0,"",VLOOKUP($B327,'ORÇAMENTO '!$F$21:$P$993,11,FALSE)),"")</f>
        <v/>
      </c>
      <c r="E327" s="649" t="str">
        <f ca="1">IFERROR(IF(VLOOKUP($B327,'ORÇAMENTO '!$F$21:$N$993,6,FALSE)=0,"",VLOOKUP($B327,'ORÇAMENTO '!$F$21:$N$993,6,FALSE)),"")</f>
        <v/>
      </c>
      <c r="F327" s="649" t="str">
        <f ca="1">IFERROR(IF(VLOOKUP($B327,'ORÇAMENTO '!$F$21:$N$993,5,FALSE)=0,"",VLOOKUP($B327,'ORÇAMENTO '!$F$21:$N$993,5,FALSE)),"")</f>
        <v/>
      </c>
    </row>
    <row r="328" spans="2:6" ht="15">
      <c r="B328" s="646">
        <f>'ORÇAMENTO '!F595</f>
        <v>0</v>
      </c>
      <c r="C328" s="647">
        <f>IFERROR(IF(OR($B328="",$B328=0),'ORÇAMENTO '!I595,VLOOKUP($B328,'ORÇAMENTO '!$F$21:$N$450,4,FALSE)),"")</f>
        <v>0</v>
      </c>
      <c r="D328" s="648" t="str">
        <f ca="1">IFERROR(IF(VLOOKUP($B328,'ORÇAMENTO '!$F$21:$P$993,11,FALSE)=0,"",VLOOKUP($B328,'ORÇAMENTO '!$F$21:$P$993,11,FALSE)),"")</f>
        <v/>
      </c>
      <c r="E328" s="649" t="str">
        <f ca="1">IFERROR(IF(VLOOKUP($B328,'ORÇAMENTO '!$F$21:$N$993,6,FALSE)=0,"",VLOOKUP($B328,'ORÇAMENTO '!$F$21:$N$993,6,FALSE)),"")</f>
        <v/>
      </c>
      <c r="F328" s="649" t="str">
        <f ca="1">IFERROR(IF(VLOOKUP($B328,'ORÇAMENTO '!$F$21:$N$993,5,FALSE)=0,"",VLOOKUP($B328,'ORÇAMENTO '!$F$21:$N$993,5,FALSE)),"")</f>
        <v/>
      </c>
    </row>
    <row r="329" spans="2:6" ht="15">
      <c r="B329" s="646">
        <f>'ORÇAMENTO '!F596</f>
        <v>0</v>
      </c>
      <c r="C329" s="647">
        <f>IFERROR(IF(OR($B329="",$B329=0),'ORÇAMENTO '!I596,VLOOKUP($B329,'ORÇAMENTO '!$F$21:$N$450,4,FALSE)),"")</f>
        <v>0</v>
      </c>
      <c r="D329" s="648" t="str">
        <f ca="1">IFERROR(IF(VLOOKUP($B329,'ORÇAMENTO '!$F$21:$P$993,11,FALSE)=0,"",VLOOKUP($B329,'ORÇAMENTO '!$F$21:$P$993,11,FALSE)),"")</f>
        <v/>
      </c>
      <c r="E329" s="649" t="str">
        <f ca="1">IFERROR(IF(VLOOKUP($B329,'ORÇAMENTO '!$F$21:$N$993,6,FALSE)=0,"",VLOOKUP($B329,'ORÇAMENTO '!$F$21:$N$993,6,FALSE)),"")</f>
        <v/>
      </c>
      <c r="F329" s="649" t="str">
        <f ca="1">IFERROR(IF(VLOOKUP($B329,'ORÇAMENTO '!$F$21:$N$993,5,FALSE)=0,"",VLOOKUP($B329,'ORÇAMENTO '!$F$21:$N$993,5,FALSE)),"")</f>
        <v/>
      </c>
    </row>
    <row r="330" spans="2:6" ht="15">
      <c r="B330" s="646">
        <f>'ORÇAMENTO '!F597</f>
        <v>0</v>
      </c>
      <c r="C330" s="647">
        <f>IFERROR(IF(OR($B330="",$B330=0),'ORÇAMENTO '!I597,VLOOKUP($B330,'ORÇAMENTO '!$F$21:$N$450,4,FALSE)),"")</f>
        <v>0</v>
      </c>
      <c r="D330" s="648" t="str">
        <f ca="1">IFERROR(IF(VLOOKUP($B330,'ORÇAMENTO '!$F$21:$P$993,11,FALSE)=0,"",VLOOKUP($B330,'ORÇAMENTO '!$F$21:$P$993,11,FALSE)),"")</f>
        <v/>
      </c>
      <c r="E330" s="649" t="str">
        <f ca="1">IFERROR(IF(VLOOKUP($B330,'ORÇAMENTO '!$F$21:$N$993,6,FALSE)=0,"",VLOOKUP($B330,'ORÇAMENTO '!$F$21:$N$993,6,FALSE)),"")</f>
        <v/>
      </c>
      <c r="F330" s="649" t="str">
        <f ca="1">IFERROR(IF(VLOOKUP($B330,'ORÇAMENTO '!$F$21:$N$993,5,FALSE)=0,"",VLOOKUP($B330,'ORÇAMENTO '!$F$21:$N$993,5,FALSE)),"")</f>
        <v/>
      </c>
    </row>
    <row r="331" spans="2:6" ht="15">
      <c r="B331" s="646">
        <f>'ORÇAMENTO '!F598</f>
        <v>0</v>
      </c>
      <c r="C331" s="647">
        <f>IFERROR(IF(OR($B331="",$B331=0),'ORÇAMENTO '!I598,VLOOKUP($B331,'ORÇAMENTO '!$F$21:$N$450,4,FALSE)),"")</f>
        <v>0</v>
      </c>
      <c r="D331" s="648" t="str">
        <f ca="1">IFERROR(IF(VLOOKUP($B331,'ORÇAMENTO '!$F$21:$P$993,11,FALSE)=0,"",VLOOKUP($B331,'ORÇAMENTO '!$F$21:$P$993,11,FALSE)),"")</f>
        <v/>
      </c>
      <c r="E331" s="649" t="str">
        <f ca="1">IFERROR(IF(VLOOKUP($B331,'ORÇAMENTO '!$F$21:$N$993,6,FALSE)=0,"",VLOOKUP($B331,'ORÇAMENTO '!$F$21:$N$993,6,FALSE)),"")</f>
        <v/>
      </c>
      <c r="F331" s="649" t="str">
        <f ca="1">IFERROR(IF(VLOOKUP($B331,'ORÇAMENTO '!$F$21:$N$993,5,FALSE)=0,"",VLOOKUP($B331,'ORÇAMENTO '!$F$21:$N$993,5,FALSE)),"")</f>
        <v/>
      </c>
    </row>
    <row r="332" spans="2:6" ht="15">
      <c r="B332" s="646">
        <f>'ORÇAMENTO '!F599</f>
        <v>0</v>
      </c>
      <c r="C332" s="647">
        <f>IFERROR(IF(OR($B332="",$B332=0),'ORÇAMENTO '!I599,VLOOKUP($B332,'ORÇAMENTO '!$F$21:$N$450,4,FALSE)),"")</f>
        <v>0</v>
      </c>
      <c r="D332" s="648" t="str">
        <f ca="1">IFERROR(IF(VLOOKUP($B332,'ORÇAMENTO '!$F$21:$P$993,11,FALSE)=0,"",VLOOKUP($B332,'ORÇAMENTO '!$F$21:$P$993,11,FALSE)),"")</f>
        <v/>
      </c>
      <c r="E332" s="649" t="str">
        <f ca="1">IFERROR(IF(VLOOKUP($B332,'ORÇAMENTO '!$F$21:$N$993,6,FALSE)=0,"",VLOOKUP($B332,'ORÇAMENTO '!$F$21:$N$993,6,FALSE)),"")</f>
        <v/>
      </c>
      <c r="F332" s="649" t="str">
        <f ca="1">IFERROR(IF(VLOOKUP($B332,'ORÇAMENTO '!$F$21:$N$993,5,FALSE)=0,"",VLOOKUP($B332,'ORÇAMENTO '!$F$21:$N$993,5,FALSE)),"")</f>
        <v/>
      </c>
    </row>
    <row r="333" spans="2:6" ht="15">
      <c r="B333" s="646">
        <f>'ORÇAMENTO '!F600</f>
        <v>0</v>
      </c>
      <c r="C333" s="647">
        <f>IFERROR(IF(OR($B333="",$B333=0),'ORÇAMENTO '!I600,VLOOKUP($B333,'ORÇAMENTO '!$F$21:$N$450,4,FALSE)),"")</f>
        <v>0</v>
      </c>
      <c r="D333" s="648" t="str">
        <f ca="1">IFERROR(IF(VLOOKUP($B333,'ORÇAMENTO '!$F$21:$P$993,11,FALSE)=0,"",VLOOKUP($B333,'ORÇAMENTO '!$F$21:$P$993,11,FALSE)),"")</f>
        <v/>
      </c>
      <c r="E333" s="649" t="str">
        <f ca="1">IFERROR(IF(VLOOKUP($B333,'ORÇAMENTO '!$F$21:$N$993,6,FALSE)=0,"",VLOOKUP($B333,'ORÇAMENTO '!$F$21:$N$993,6,FALSE)),"")</f>
        <v/>
      </c>
      <c r="F333" s="649" t="str">
        <f ca="1">IFERROR(IF(VLOOKUP($B333,'ORÇAMENTO '!$F$21:$N$993,5,FALSE)=0,"",VLOOKUP($B333,'ORÇAMENTO '!$F$21:$N$993,5,FALSE)),"")</f>
        <v/>
      </c>
    </row>
    <row r="334" spans="2:6" ht="15">
      <c r="B334" s="646">
        <f>'ORÇAMENTO '!F601</f>
        <v>0</v>
      </c>
      <c r="C334" s="647">
        <f>IFERROR(IF(OR($B334="",$B334=0),'ORÇAMENTO '!I601,VLOOKUP($B334,'ORÇAMENTO '!$F$21:$N$450,4,FALSE)),"")</f>
        <v>0</v>
      </c>
      <c r="D334" s="648" t="str">
        <f ca="1">IFERROR(IF(VLOOKUP($B334,'ORÇAMENTO '!$F$21:$P$993,11,FALSE)=0,"",VLOOKUP($B334,'ORÇAMENTO '!$F$21:$P$993,11,FALSE)),"")</f>
        <v/>
      </c>
      <c r="E334" s="649" t="str">
        <f ca="1">IFERROR(IF(VLOOKUP($B334,'ORÇAMENTO '!$F$21:$N$993,6,FALSE)=0,"",VLOOKUP($B334,'ORÇAMENTO '!$F$21:$N$993,6,FALSE)),"")</f>
        <v/>
      </c>
      <c r="F334" s="649" t="str">
        <f ca="1">IFERROR(IF(VLOOKUP($B334,'ORÇAMENTO '!$F$21:$N$993,5,FALSE)=0,"",VLOOKUP($B334,'ORÇAMENTO '!$F$21:$N$993,5,FALSE)),"")</f>
        <v/>
      </c>
    </row>
    <row r="335" spans="2:6" ht="15">
      <c r="B335" s="646">
        <f>'ORÇAMENTO '!F602</f>
        <v>0</v>
      </c>
      <c r="C335" s="647">
        <f>IFERROR(IF(OR($B335="",$B335=0),'ORÇAMENTO '!I602,VLOOKUP($B335,'ORÇAMENTO '!$F$21:$N$450,4,FALSE)),"")</f>
        <v>0</v>
      </c>
      <c r="D335" s="648" t="str">
        <f ca="1">IFERROR(IF(VLOOKUP($B335,'ORÇAMENTO '!$F$21:$P$993,11,FALSE)=0,"",VLOOKUP($B335,'ORÇAMENTO '!$F$21:$P$993,11,FALSE)),"")</f>
        <v/>
      </c>
      <c r="E335" s="649" t="str">
        <f ca="1">IFERROR(IF(VLOOKUP($B335,'ORÇAMENTO '!$F$21:$N$993,6,FALSE)=0,"",VLOOKUP($B335,'ORÇAMENTO '!$F$21:$N$993,6,FALSE)),"")</f>
        <v/>
      </c>
      <c r="F335" s="649" t="str">
        <f ca="1">IFERROR(IF(VLOOKUP($B335,'ORÇAMENTO '!$F$21:$N$993,5,FALSE)=0,"",VLOOKUP($B335,'ORÇAMENTO '!$F$21:$N$993,5,FALSE)),"")</f>
        <v/>
      </c>
    </row>
    <row r="336" spans="2:6" ht="15">
      <c r="B336" s="646">
        <f>'ORÇAMENTO '!F603</f>
        <v>0</v>
      </c>
      <c r="C336" s="647">
        <f>IFERROR(IF(OR($B336="",$B336=0),'ORÇAMENTO '!I603,VLOOKUP($B336,'ORÇAMENTO '!$F$21:$N$450,4,FALSE)),"")</f>
        <v>0</v>
      </c>
      <c r="D336" s="648" t="str">
        <f ca="1">IFERROR(IF(VLOOKUP($B336,'ORÇAMENTO '!$F$21:$P$993,11,FALSE)=0,"",VLOOKUP($B336,'ORÇAMENTO '!$F$21:$P$993,11,FALSE)),"")</f>
        <v/>
      </c>
      <c r="E336" s="649" t="str">
        <f ca="1">IFERROR(IF(VLOOKUP($B336,'ORÇAMENTO '!$F$21:$N$993,6,FALSE)=0,"",VLOOKUP($B336,'ORÇAMENTO '!$F$21:$N$993,6,FALSE)),"")</f>
        <v/>
      </c>
      <c r="F336" s="649" t="str">
        <f ca="1">IFERROR(IF(VLOOKUP($B336,'ORÇAMENTO '!$F$21:$N$993,5,FALSE)=0,"",VLOOKUP($B336,'ORÇAMENTO '!$F$21:$N$993,5,FALSE)),"")</f>
        <v/>
      </c>
    </row>
    <row r="337" spans="2:6" ht="15">
      <c r="B337" s="646">
        <f>'ORÇAMENTO '!F604</f>
        <v>0</v>
      </c>
      <c r="C337" s="647">
        <f>IFERROR(IF(OR($B337="",$B337=0),'ORÇAMENTO '!I604,VLOOKUP($B337,'ORÇAMENTO '!$F$21:$N$450,4,FALSE)),"")</f>
        <v>0</v>
      </c>
      <c r="D337" s="648" t="str">
        <f ca="1">IFERROR(IF(VLOOKUP($B337,'ORÇAMENTO '!$F$21:$P$993,11,FALSE)=0,"",VLOOKUP($B337,'ORÇAMENTO '!$F$21:$P$993,11,FALSE)),"")</f>
        <v/>
      </c>
      <c r="E337" s="649" t="str">
        <f ca="1">IFERROR(IF(VLOOKUP($B337,'ORÇAMENTO '!$F$21:$N$993,6,FALSE)=0,"",VLOOKUP($B337,'ORÇAMENTO '!$F$21:$N$993,6,FALSE)),"")</f>
        <v/>
      </c>
      <c r="F337" s="649" t="str">
        <f ca="1">IFERROR(IF(VLOOKUP($B337,'ORÇAMENTO '!$F$21:$N$993,5,FALSE)=0,"",VLOOKUP($B337,'ORÇAMENTO '!$F$21:$N$993,5,FALSE)),"")</f>
        <v/>
      </c>
    </row>
    <row r="338" spans="2:6" ht="15">
      <c r="B338" s="646">
        <f>'ORÇAMENTO '!F605</f>
        <v>0</v>
      </c>
      <c r="C338" s="647">
        <f>IFERROR(IF(OR($B338="",$B338=0),'ORÇAMENTO '!I605,VLOOKUP($B338,'ORÇAMENTO '!$F$21:$N$450,4,FALSE)),"")</f>
        <v>0</v>
      </c>
      <c r="D338" s="648" t="str">
        <f ca="1">IFERROR(IF(VLOOKUP($B338,'ORÇAMENTO '!$F$21:$P$993,11,FALSE)=0,"",VLOOKUP($B338,'ORÇAMENTO '!$F$21:$P$993,11,FALSE)),"")</f>
        <v/>
      </c>
      <c r="E338" s="649" t="str">
        <f ca="1">IFERROR(IF(VLOOKUP($B338,'ORÇAMENTO '!$F$21:$N$993,6,FALSE)=0,"",VLOOKUP($B338,'ORÇAMENTO '!$F$21:$N$993,6,FALSE)),"")</f>
        <v/>
      </c>
      <c r="F338" s="649" t="str">
        <f ca="1">IFERROR(IF(VLOOKUP($B338,'ORÇAMENTO '!$F$21:$N$993,5,FALSE)=0,"",VLOOKUP($B338,'ORÇAMENTO '!$F$21:$N$993,5,FALSE)),"")</f>
        <v/>
      </c>
    </row>
    <row r="339" spans="2:6" ht="15">
      <c r="B339" s="646">
        <f>'ORÇAMENTO '!F606</f>
        <v>0</v>
      </c>
      <c r="C339" s="647">
        <f>IFERROR(IF(OR($B339="",$B339=0),'ORÇAMENTO '!I606,VLOOKUP($B339,'ORÇAMENTO '!$F$21:$N$450,4,FALSE)),"")</f>
        <v>0</v>
      </c>
      <c r="D339" s="648" t="str">
        <f ca="1">IFERROR(IF(VLOOKUP($B339,'ORÇAMENTO '!$F$21:$P$993,11,FALSE)=0,"",VLOOKUP($B339,'ORÇAMENTO '!$F$21:$P$993,11,FALSE)),"")</f>
        <v/>
      </c>
      <c r="E339" s="649" t="str">
        <f ca="1">IFERROR(IF(VLOOKUP($B339,'ORÇAMENTO '!$F$21:$N$993,6,FALSE)=0,"",VLOOKUP($B339,'ORÇAMENTO '!$F$21:$N$993,6,FALSE)),"")</f>
        <v/>
      </c>
      <c r="F339" s="649" t="str">
        <f ca="1">IFERROR(IF(VLOOKUP($B339,'ORÇAMENTO '!$F$21:$N$993,5,FALSE)=0,"",VLOOKUP($B339,'ORÇAMENTO '!$F$21:$N$993,5,FALSE)),"")</f>
        <v/>
      </c>
    </row>
    <row r="340" spans="2:6" ht="15">
      <c r="B340" s="646">
        <f>'ORÇAMENTO '!F607</f>
        <v>0</v>
      </c>
      <c r="C340" s="647">
        <f>IFERROR(IF(OR($B340="",$B340=0),'ORÇAMENTO '!I607,VLOOKUP($B340,'ORÇAMENTO '!$F$21:$N$450,4,FALSE)),"")</f>
        <v>0</v>
      </c>
      <c r="D340" s="648" t="str">
        <f ca="1">IFERROR(IF(VLOOKUP($B340,'ORÇAMENTO '!$F$21:$P$993,11,FALSE)=0,"",VLOOKUP($B340,'ORÇAMENTO '!$F$21:$P$993,11,FALSE)),"")</f>
        <v/>
      </c>
      <c r="E340" s="649" t="str">
        <f ca="1">IFERROR(IF(VLOOKUP($B340,'ORÇAMENTO '!$F$21:$N$993,6,FALSE)=0,"",VLOOKUP($B340,'ORÇAMENTO '!$F$21:$N$993,6,FALSE)),"")</f>
        <v/>
      </c>
      <c r="F340" s="649" t="str">
        <f ca="1">IFERROR(IF(VLOOKUP($B340,'ORÇAMENTO '!$F$21:$N$993,5,FALSE)=0,"",VLOOKUP($B340,'ORÇAMENTO '!$F$21:$N$993,5,FALSE)),"")</f>
        <v/>
      </c>
    </row>
    <row r="341" spans="2:6" ht="15">
      <c r="B341" s="646">
        <f>'ORÇAMENTO '!F608</f>
        <v>0</v>
      </c>
      <c r="C341" s="647">
        <f>IFERROR(IF(OR($B341="",$B341=0),'ORÇAMENTO '!I608,VLOOKUP($B341,'ORÇAMENTO '!$F$21:$N$450,4,FALSE)),"")</f>
        <v>0</v>
      </c>
      <c r="D341" s="648" t="str">
        <f ca="1">IFERROR(IF(VLOOKUP($B341,'ORÇAMENTO '!$F$21:$P$993,11,FALSE)=0,"",VLOOKUP($B341,'ORÇAMENTO '!$F$21:$P$993,11,FALSE)),"")</f>
        <v/>
      </c>
      <c r="E341" s="649" t="str">
        <f ca="1">IFERROR(IF(VLOOKUP($B341,'ORÇAMENTO '!$F$21:$N$993,6,FALSE)=0,"",VLOOKUP($B341,'ORÇAMENTO '!$F$21:$N$993,6,FALSE)),"")</f>
        <v/>
      </c>
      <c r="F341" s="649" t="str">
        <f ca="1">IFERROR(IF(VLOOKUP($B341,'ORÇAMENTO '!$F$21:$N$993,5,FALSE)=0,"",VLOOKUP($B341,'ORÇAMENTO '!$F$21:$N$993,5,FALSE)),"")</f>
        <v/>
      </c>
    </row>
    <row r="342" spans="2:6" ht="15">
      <c r="B342" s="646">
        <f>'ORÇAMENTO '!F609</f>
        <v>0</v>
      </c>
      <c r="C342" s="647">
        <f>IFERROR(IF(OR($B342="",$B342=0),'ORÇAMENTO '!I609,VLOOKUP($B342,'ORÇAMENTO '!$F$21:$N$450,4,FALSE)),"")</f>
        <v>0</v>
      </c>
      <c r="D342" s="648" t="str">
        <f ca="1">IFERROR(IF(VLOOKUP($B342,'ORÇAMENTO '!$F$21:$P$993,11,FALSE)=0,"",VLOOKUP($B342,'ORÇAMENTO '!$F$21:$P$993,11,FALSE)),"")</f>
        <v/>
      </c>
      <c r="E342" s="649" t="str">
        <f ca="1">IFERROR(IF(VLOOKUP($B342,'ORÇAMENTO '!$F$21:$N$993,6,FALSE)=0,"",VLOOKUP($B342,'ORÇAMENTO '!$F$21:$N$993,6,FALSE)),"")</f>
        <v/>
      </c>
      <c r="F342" s="649" t="str">
        <f ca="1">IFERROR(IF(VLOOKUP($B342,'ORÇAMENTO '!$F$21:$N$993,5,FALSE)=0,"",VLOOKUP($B342,'ORÇAMENTO '!$F$21:$N$993,5,FALSE)),"")</f>
        <v/>
      </c>
    </row>
    <row r="343" spans="2:6" ht="15">
      <c r="B343" s="646">
        <f>'ORÇAMENTO '!F610</f>
        <v>0</v>
      </c>
      <c r="C343" s="647">
        <f>IFERROR(IF(OR($B343="",$B343=0),'ORÇAMENTO '!I610,VLOOKUP($B343,'ORÇAMENTO '!$F$21:$N$450,4,FALSE)),"")</f>
        <v>0</v>
      </c>
      <c r="D343" s="648" t="str">
        <f ca="1">IFERROR(IF(VLOOKUP($B343,'ORÇAMENTO '!$F$21:$P$993,11,FALSE)=0,"",VLOOKUP($B343,'ORÇAMENTO '!$F$21:$P$993,11,FALSE)),"")</f>
        <v/>
      </c>
      <c r="E343" s="649" t="str">
        <f ca="1">IFERROR(IF(VLOOKUP($B343,'ORÇAMENTO '!$F$21:$N$993,6,FALSE)=0,"",VLOOKUP($B343,'ORÇAMENTO '!$F$21:$N$993,6,FALSE)),"")</f>
        <v/>
      </c>
      <c r="F343" s="649" t="str">
        <f ca="1">IFERROR(IF(VLOOKUP($B343,'ORÇAMENTO '!$F$21:$N$993,5,FALSE)=0,"",VLOOKUP($B343,'ORÇAMENTO '!$F$21:$N$993,5,FALSE)),"")</f>
        <v/>
      </c>
    </row>
    <row r="344" spans="2:6" ht="15">
      <c r="B344" s="646">
        <f>'ORÇAMENTO '!F611</f>
        <v>0</v>
      </c>
      <c r="C344" s="647">
        <f>IFERROR(IF(OR($B344="",$B344=0),'ORÇAMENTO '!I611,VLOOKUP($B344,'ORÇAMENTO '!$F$21:$N$450,4,FALSE)),"")</f>
        <v>0</v>
      </c>
      <c r="D344" s="648" t="str">
        <f ca="1">IFERROR(IF(VLOOKUP($B344,'ORÇAMENTO '!$F$21:$P$993,11,FALSE)=0,"",VLOOKUP($B344,'ORÇAMENTO '!$F$21:$P$993,11,FALSE)),"")</f>
        <v/>
      </c>
      <c r="E344" s="649" t="str">
        <f ca="1">IFERROR(IF(VLOOKUP($B344,'ORÇAMENTO '!$F$21:$N$993,6,FALSE)=0,"",VLOOKUP($B344,'ORÇAMENTO '!$F$21:$N$993,6,FALSE)),"")</f>
        <v/>
      </c>
      <c r="F344" s="649" t="str">
        <f ca="1">IFERROR(IF(VLOOKUP($B344,'ORÇAMENTO '!$F$21:$N$993,5,FALSE)=0,"",VLOOKUP($B344,'ORÇAMENTO '!$F$21:$N$993,5,FALSE)),"")</f>
        <v/>
      </c>
    </row>
    <row r="345" spans="2:6" ht="15">
      <c r="B345" s="646">
        <f>'ORÇAMENTO '!F612</f>
        <v>0</v>
      </c>
      <c r="C345" s="647">
        <f>IFERROR(IF(OR($B345="",$B345=0),'ORÇAMENTO '!I612,VLOOKUP($B345,'ORÇAMENTO '!$F$21:$N$450,4,FALSE)),"")</f>
        <v>0</v>
      </c>
      <c r="D345" s="648" t="str">
        <f ca="1">IFERROR(IF(VLOOKUP($B345,'ORÇAMENTO '!$F$21:$P$993,11,FALSE)=0,"",VLOOKUP($B345,'ORÇAMENTO '!$F$21:$P$993,11,FALSE)),"")</f>
        <v/>
      </c>
      <c r="E345" s="649" t="str">
        <f ca="1">IFERROR(IF(VLOOKUP($B345,'ORÇAMENTO '!$F$21:$N$993,6,FALSE)=0,"",VLOOKUP($B345,'ORÇAMENTO '!$F$21:$N$993,6,FALSE)),"")</f>
        <v/>
      </c>
      <c r="F345" s="649" t="str">
        <f ca="1">IFERROR(IF(VLOOKUP($B345,'ORÇAMENTO '!$F$21:$N$993,5,FALSE)=0,"",VLOOKUP($B345,'ORÇAMENTO '!$F$21:$N$993,5,FALSE)),"")</f>
        <v/>
      </c>
    </row>
    <row r="346" spans="2:6" ht="15">
      <c r="B346" s="646">
        <f>'ORÇAMENTO '!F613</f>
        <v>0</v>
      </c>
      <c r="C346" s="647">
        <f>IFERROR(IF(OR($B346="",$B346=0),'ORÇAMENTO '!I613,VLOOKUP($B346,'ORÇAMENTO '!$F$21:$N$450,4,FALSE)),"")</f>
        <v>0</v>
      </c>
      <c r="D346" s="648" t="str">
        <f ca="1">IFERROR(IF(VLOOKUP($B346,'ORÇAMENTO '!$F$21:$P$993,11,FALSE)=0,"",VLOOKUP($B346,'ORÇAMENTO '!$F$21:$P$993,11,FALSE)),"")</f>
        <v/>
      </c>
      <c r="E346" s="649" t="str">
        <f ca="1">IFERROR(IF(VLOOKUP($B346,'ORÇAMENTO '!$F$21:$N$993,6,FALSE)=0,"",VLOOKUP($B346,'ORÇAMENTO '!$F$21:$N$993,6,FALSE)),"")</f>
        <v/>
      </c>
      <c r="F346" s="649" t="str">
        <f ca="1">IFERROR(IF(VLOOKUP($B346,'ORÇAMENTO '!$F$21:$N$993,5,FALSE)=0,"",VLOOKUP($B346,'ORÇAMENTO '!$F$21:$N$993,5,FALSE)),"")</f>
        <v/>
      </c>
    </row>
    <row r="347" spans="2:6" ht="15">
      <c r="B347" s="646">
        <f>'ORÇAMENTO '!F614</f>
        <v>0</v>
      </c>
      <c r="C347" s="647">
        <f>IFERROR(IF(OR($B347="",$B347=0),'ORÇAMENTO '!I614,VLOOKUP($B347,'ORÇAMENTO '!$F$21:$N$450,4,FALSE)),"")</f>
        <v>0</v>
      </c>
      <c r="D347" s="648" t="str">
        <f ca="1">IFERROR(IF(VLOOKUP($B347,'ORÇAMENTO '!$F$21:$P$993,11,FALSE)=0,"",VLOOKUP($B347,'ORÇAMENTO '!$F$21:$P$993,11,FALSE)),"")</f>
        <v/>
      </c>
      <c r="E347" s="649" t="str">
        <f ca="1">IFERROR(IF(VLOOKUP($B347,'ORÇAMENTO '!$F$21:$N$993,6,FALSE)=0,"",VLOOKUP($B347,'ORÇAMENTO '!$F$21:$N$993,6,FALSE)),"")</f>
        <v/>
      </c>
      <c r="F347" s="649" t="str">
        <f ca="1">IFERROR(IF(VLOOKUP($B347,'ORÇAMENTO '!$F$21:$N$993,5,FALSE)=0,"",VLOOKUP($B347,'ORÇAMENTO '!$F$21:$N$993,5,FALSE)),"")</f>
        <v/>
      </c>
    </row>
    <row r="348" spans="2:6" ht="15">
      <c r="B348" s="646">
        <f>'ORÇAMENTO '!F615</f>
        <v>0</v>
      </c>
      <c r="C348" s="647">
        <f>IFERROR(IF(OR($B348="",$B348=0),'ORÇAMENTO '!I615,VLOOKUP($B348,'ORÇAMENTO '!$F$21:$N$450,4,FALSE)),"")</f>
        <v>0</v>
      </c>
      <c r="D348" s="648" t="str">
        <f ca="1">IFERROR(IF(VLOOKUP($B348,'ORÇAMENTO '!$F$21:$P$993,11,FALSE)=0,"",VLOOKUP($B348,'ORÇAMENTO '!$F$21:$P$993,11,FALSE)),"")</f>
        <v/>
      </c>
      <c r="E348" s="649" t="str">
        <f ca="1">IFERROR(IF(VLOOKUP($B348,'ORÇAMENTO '!$F$21:$N$993,6,FALSE)=0,"",VLOOKUP($B348,'ORÇAMENTO '!$F$21:$N$993,6,FALSE)),"")</f>
        <v/>
      </c>
      <c r="F348" s="649" t="str">
        <f ca="1">IFERROR(IF(VLOOKUP($B348,'ORÇAMENTO '!$F$21:$N$993,5,FALSE)=0,"",VLOOKUP($B348,'ORÇAMENTO '!$F$21:$N$993,5,FALSE)),"")</f>
        <v/>
      </c>
    </row>
    <row r="349" spans="2:6" ht="15">
      <c r="B349" s="646">
        <f>'ORÇAMENTO '!F616</f>
        <v>0</v>
      </c>
      <c r="C349" s="647">
        <f>IFERROR(IF(OR($B349="",$B349=0),'ORÇAMENTO '!I616,VLOOKUP($B349,'ORÇAMENTO '!$F$21:$N$450,4,FALSE)),"")</f>
        <v>0</v>
      </c>
      <c r="D349" s="648" t="str">
        <f ca="1">IFERROR(IF(VLOOKUP($B349,'ORÇAMENTO '!$F$21:$P$993,11,FALSE)=0,"",VLOOKUP($B349,'ORÇAMENTO '!$F$21:$P$993,11,FALSE)),"")</f>
        <v/>
      </c>
      <c r="E349" s="649" t="str">
        <f ca="1">IFERROR(IF(VLOOKUP($B349,'ORÇAMENTO '!$F$21:$N$993,6,FALSE)=0,"",VLOOKUP($B349,'ORÇAMENTO '!$F$21:$N$993,6,FALSE)),"")</f>
        <v/>
      </c>
      <c r="F349" s="649" t="str">
        <f ca="1">IFERROR(IF(VLOOKUP($B349,'ORÇAMENTO '!$F$21:$N$993,5,FALSE)=0,"",VLOOKUP($B349,'ORÇAMENTO '!$F$21:$N$993,5,FALSE)),"")</f>
        <v/>
      </c>
    </row>
    <row r="350" spans="2:6" ht="15">
      <c r="B350" s="646">
        <f>'ORÇAMENTO '!F617</f>
        <v>0</v>
      </c>
      <c r="C350" s="647">
        <f>IFERROR(IF(OR($B350="",$B350=0),'ORÇAMENTO '!I617,VLOOKUP($B350,'ORÇAMENTO '!$F$21:$N$450,4,FALSE)),"")</f>
        <v>0</v>
      </c>
      <c r="D350" s="648" t="str">
        <f ca="1">IFERROR(IF(VLOOKUP($B350,'ORÇAMENTO '!$F$21:$P$993,11,FALSE)=0,"",VLOOKUP($B350,'ORÇAMENTO '!$F$21:$P$993,11,FALSE)),"")</f>
        <v/>
      </c>
      <c r="E350" s="649" t="str">
        <f ca="1">IFERROR(IF(VLOOKUP($B350,'ORÇAMENTO '!$F$21:$N$993,6,FALSE)=0,"",VLOOKUP($B350,'ORÇAMENTO '!$F$21:$N$993,6,FALSE)),"")</f>
        <v/>
      </c>
      <c r="F350" s="649" t="str">
        <f ca="1">IFERROR(IF(VLOOKUP($B350,'ORÇAMENTO '!$F$21:$N$993,5,FALSE)=0,"",VLOOKUP($B350,'ORÇAMENTO '!$F$21:$N$993,5,FALSE)),"")</f>
        <v/>
      </c>
    </row>
    <row r="351" spans="2:6" ht="15">
      <c r="B351" s="646">
        <f>'ORÇAMENTO '!F618</f>
        <v>0</v>
      </c>
      <c r="C351" s="647">
        <f>IFERROR(IF(OR($B351="",$B351=0),'ORÇAMENTO '!I618,VLOOKUP($B351,'ORÇAMENTO '!$F$21:$N$450,4,FALSE)),"")</f>
        <v>0</v>
      </c>
      <c r="D351" s="648" t="str">
        <f ca="1">IFERROR(IF(VLOOKUP($B351,'ORÇAMENTO '!$F$21:$P$993,11,FALSE)=0,"",VLOOKUP($B351,'ORÇAMENTO '!$F$21:$P$993,11,FALSE)),"")</f>
        <v/>
      </c>
      <c r="E351" s="649" t="str">
        <f ca="1">IFERROR(IF(VLOOKUP($B351,'ORÇAMENTO '!$F$21:$N$993,6,FALSE)=0,"",VLOOKUP($B351,'ORÇAMENTO '!$F$21:$N$993,6,FALSE)),"")</f>
        <v/>
      </c>
      <c r="F351" s="649" t="str">
        <f ca="1">IFERROR(IF(VLOOKUP($B351,'ORÇAMENTO '!$F$21:$N$993,5,FALSE)=0,"",VLOOKUP($B351,'ORÇAMENTO '!$F$21:$N$993,5,FALSE)),"")</f>
        <v/>
      </c>
    </row>
    <row r="352" spans="2:6" ht="15">
      <c r="B352" s="646">
        <f>'ORÇAMENTO '!F619</f>
        <v>0</v>
      </c>
      <c r="C352" s="647">
        <f>IFERROR(IF(OR($B352="",$B352=0),'ORÇAMENTO '!I619,VLOOKUP($B352,'ORÇAMENTO '!$F$21:$N$450,4,FALSE)),"")</f>
        <v>0</v>
      </c>
      <c r="D352" s="648" t="str">
        <f ca="1">IFERROR(IF(VLOOKUP($B352,'ORÇAMENTO '!$F$21:$P$993,11,FALSE)=0,"",VLOOKUP($B352,'ORÇAMENTO '!$F$21:$P$993,11,FALSE)),"")</f>
        <v/>
      </c>
      <c r="E352" s="649" t="str">
        <f ca="1">IFERROR(IF(VLOOKUP($B352,'ORÇAMENTO '!$F$21:$N$993,6,FALSE)=0,"",VLOOKUP($B352,'ORÇAMENTO '!$F$21:$N$993,6,FALSE)),"")</f>
        <v/>
      </c>
      <c r="F352" s="649" t="str">
        <f ca="1">IFERROR(IF(VLOOKUP($B352,'ORÇAMENTO '!$F$21:$N$993,5,FALSE)=0,"",VLOOKUP($B352,'ORÇAMENTO '!$F$21:$N$993,5,FALSE)),"")</f>
        <v/>
      </c>
    </row>
    <row r="353" spans="2:6" ht="15">
      <c r="B353" s="646">
        <f>'ORÇAMENTO '!F620</f>
        <v>0</v>
      </c>
      <c r="C353" s="647">
        <f>IFERROR(IF(OR($B353="",$B353=0),'ORÇAMENTO '!I620,VLOOKUP($B353,'ORÇAMENTO '!$F$21:$N$450,4,FALSE)),"")</f>
        <v>0</v>
      </c>
      <c r="D353" s="648" t="str">
        <f ca="1">IFERROR(IF(VLOOKUP($B353,'ORÇAMENTO '!$F$21:$P$993,11,FALSE)=0,"",VLOOKUP($B353,'ORÇAMENTO '!$F$21:$P$993,11,FALSE)),"")</f>
        <v/>
      </c>
      <c r="E353" s="649" t="str">
        <f ca="1">IFERROR(IF(VLOOKUP($B353,'ORÇAMENTO '!$F$21:$N$993,6,FALSE)=0,"",VLOOKUP($B353,'ORÇAMENTO '!$F$21:$N$993,6,FALSE)),"")</f>
        <v/>
      </c>
      <c r="F353" s="649" t="str">
        <f ca="1">IFERROR(IF(VLOOKUP($B353,'ORÇAMENTO '!$F$21:$N$993,5,FALSE)=0,"",VLOOKUP($B353,'ORÇAMENTO '!$F$21:$N$993,5,FALSE)),"")</f>
        <v/>
      </c>
    </row>
    <row r="354" spans="2:6" ht="15">
      <c r="B354" s="646">
        <f>'ORÇAMENTO '!F621</f>
        <v>0</v>
      </c>
      <c r="C354" s="647">
        <f>IFERROR(IF(OR($B354="",$B354=0),'ORÇAMENTO '!I621,VLOOKUP($B354,'ORÇAMENTO '!$F$21:$N$450,4,FALSE)),"")</f>
        <v>0</v>
      </c>
      <c r="D354" s="648" t="str">
        <f ca="1">IFERROR(IF(VLOOKUP($B354,'ORÇAMENTO '!$F$21:$P$993,11,FALSE)=0,"",VLOOKUP($B354,'ORÇAMENTO '!$F$21:$P$993,11,FALSE)),"")</f>
        <v/>
      </c>
      <c r="E354" s="649" t="str">
        <f ca="1">IFERROR(IF(VLOOKUP($B354,'ORÇAMENTO '!$F$21:$N$993,6,FALSE)=0,"",VLOOKUP($B354,'ORÇAMENTO '!$F$21:$N$993,6,FALSE)),"")</f>
        <v/>
      </c>
      <c r="F354" s="649" t="str">
        <f ca="1">IFERROR(IF(VLOOKUP($B354,'ORÇAMENTO '!$F$21:$N$993,5,FALSE)=0,"",VLOOKUP($B354,'ORÇAMENTO '!$F$21:$N$993,5,FALSE)),"")</f>
        <v/>
      </c>
    </row>
    <row r="355" spans="2:6" ht="15">
      <c r="B355" s="646">
        <f>'ORÇAMENTO '!F622</f>
        <v>0</v>
      </c>
      <c r="C355" s="647">
        <f>IFERROR(IF(OR($B355="",$B355=0),'ORÇAMENTO '!I622,VLOOKUP($B355,'ORÇAMENTO '!$F$21:$N$450,4,FALSE)),"")</f>
        <v>0</v>
      </c>
      <c r="D355" s="648" t="str">
        <f ca="1">IFERROR(IF(VLOOKUP($B355,'ORÇAMENTO '!$F$21:$P$993,11,FALSE)=0,"",VLOOKUP($B355,'ORÇAMENTO '!$F$21:$P$993,11,FALSE)),"")</f>
        <v/>
      </c>
      <c r="E355" s="649" t="str">
        <f ca="1">IFERROR(IF(VLOOKUP($B355,'ORÇAMENTO '!$F$21:$N$993,6,FALSE)=0,"",VLOOKUP($B355,'ORÇAMENTO '!$F$21:$N$993,6,FALSE)),"")</f>
        <v/>
      </c>
      <c r="F355" s="649" t="str">
        <f ca="1">IFERROR(IF(VLOOKUP($B355,'ORÇAMENTO '!$F$21:$N$993,5,FALSE)=0,"",VLOOKUP($B355,'ORÇAMENTO '!$F$21:$N$993,5,FALSE)),"")</f>
        <v/>
      </c>
    </row>
    <row r="356" spans="2:6" ht="15">
      <c r="B356" s="646">
        <f>'ORÇAMENTO '!F623</f>
        <v>0</v>
      </c>
      <c r="C356" s="647">
        <f>IFERROR(IF(OR($B356="",$B356=0),'ORÇAMENTO '!I623,VLOOKUP($B356,'ORÇAMENTO '!$F$21:$N$450,4,FALSE)),"")</f>
        <v>0</v>
      </c>
      <c r="D356" s="648" t="str">
        <f ca="1">IFERROR(IF(VLOOKUP($B356,'ORÇAMENTO '!$F$21:$P$993,11,FALSE)=0,"",VLOOKUP($B356,'ORÇAMENTO '!$F$21:$P$993,11,FALSE)),"")</f>
        <v/>
      </c>
      <c r="E356" s="649" t="str">
        <f ca="1">IFERROR(IF(VLOOKUP($B356,'ORÇAMENTO '!$F$21:$N$993,6,FALSE)=0,"",VLOOKUP($B356,'ORÇAMENTO '!$F$21:$N$993,6,FALSE)),"")</f>
        <v/>
      </c>
      <c r="F356" s="649" t="str">
        <f ca="1">IFERROR(IF(VLOOKUP($B356,'ORÇAMENTO '!$F$21:$N$993,5,FALSE)=0,"",VLOOKUP($B356,'ORÇAMENTO '!$F$21:$N$993,5,FALSE)),"")</f>
        <v/>
      </c>
    </row>
    <row r="357" spans="2:6" ht="15">
      <c r="B357" s="646">
        <f>'ORÇAMENTO '!F624</f>
        <v>0</v>
      </c>
      <c r="C357" s="647">
        <f>IFERROR(IF(OR($B357="",$B357=0),'ORÇAMENTO '!I624,VLOOKUP($B357,'ORÇAMENTO '!$F$21:$N$450,4,FALSE)),"")</f>
        <v>0</v>
      </c>
      <c r="D357" s="648" t="str">
        <f ca="1">IFERROR(IF(VLOOKUP($B357,'ORÇAMENTO '!$F$21:$P$993,11,FALSE)=0,"",VLOOKUP($B357,'ORÇAMENTO '!$F$21:$P$993,11,FALSE)),"")</f>
        <v/>
      </c>
      <c r="E357" s="649" t="str">
        <f ca="1">IFERROR(IF(VLOOKUP($B357,'ORÇAMENTO '!$F$21:$N$993,6,FALSE)=0,"",VLOOKUP($B357,'ORÇAMENTO '!$F$21:$N$993,6,FALSE)),"")</f>
        <v/>
      </c>
      <c r="F357" s="649" t="str">
        <f ca="1">IFERROR(IF(VLOOKUP($B357,'ORÇAMENTO '!$F$21:$N$993,5,FALSE)=0,"",VLOOKUP($B357,'ORÇAMENTO '!$F$21:$N$993,5,FALSE)),"")</f>
        <v/>
      </c>
    </row>
    <row r="358" spans="2:6" ht="15">
      <c r="B358" s="646">
        <f>'ORÇAMENTO '!F625</f>
        <v>0</v>
      </c>
      <c r="C358" s="647">
        <f>IFERROR(IF(OR($B358="",$B358=0),'ORÇAMENTO '!I625,VLOOKUP($B358,'ORÇAMENTO '!$F$21:$N$450,4,FALSE)),"")</f>
        <v>0</v>
      </c>
      <c r="D358" s="648" t="str">
        <f ca="1">IFERROR(IF(VLOOKUP($B358,'ORÇAMENTO '!$F$21:$P$993,11,FALSE)=0,"",VLOOKUP($B358,'ORÇAMENTO '!$F$21:$P$993,11,FALSE)),"")</f>
        <v/>
      </c>
      <c r="E358" s="649" t="str">
        <f ca="1">IFERROR(IF(VLOOKUP($B358,'ORÇAMENTO '!$F$21:$N$993,6,FALSE)=0,"",VLOOKUP($B358,'ORÇAMENTO '!$F$21:$N$993,6,FALSE)),"")</f>
        <v/>
      </c>
      <c r="F358" s="649" t="str">
        <f ca="1">IFERROR(IF(VLOOKUP($B358,'ORÇAMENTO '!$F$21:$N$993,5,FALSE)=0,"",VLOOKUP($B358,'ORÇAMENTO '!$F$21:$N$993,5,FALSE)),"")</f>
        <v/>
      </c>
    </row>
    <row r="359" spans="2:6" ht="15">
      <c r="B359" s="646">
        <f>'ORÇAMENTO '!F626</f>
        <v>0</v>
      </c>
      <c r="C359" s="647">
        <f>IFERROR(IF(OR($B359="",$B359=0),'ORÇAMENTO '!I626,VLOOKUP($B359,'ORÇAMENTO '!$F$21:$N$450,4,FALSE)),"")</f>
        <v>0</v>
      </c>
      <c r="D359" s="648" t="str">
        <f ca="1">IFERROR(IF(VLOOKUP($B359,'ORÇAMENTO '!$F$21:$P$993,11,FALSE)=0,"",VLOOKUP($B359,'ORÇAMENTO '!$F$21:$P$993,11,FALSE)),"")</f>
        <v/>
      </c>
      <c r="E359" s="649" t="str">
        <f ca="1">IFERROR(IF(VLOOKUP($B359,'ORÇAMENTO '!$F$21:$N$993,6,FALSE)=0,"",VLOOKUP($B359,'ORÇAMENTO '!$F$21:$N$993,6,FALSE)),"")</f>
        <v/>
      </c>
      <c r="F359" s="649" t="str">
        <f ca="1">IFERROR(IF(VLOOKUP($B359,'ORÇAMENTO '!$F$21:$N$993,5,FALSE)=0,"",VLOOKUP($B359,'ORÇAMENTO '!$F$21:$N$993,5,FALSE)),"")</f>
        <v/>
      </c>
    </row>
    <row r="360" spans="2:6" ht="15">
      <c r="B360" s="646">
        <f>'ORÇAMENTO '!F627</f>
        <v>0</v>
      </c>
      <c r="C360" s="647">
        <f>IFERROR(IF(OR($B360="",$B360=0),'ORÇAMENTO '!I627,VLOOKUP($B360,'ORÇAMENTO '!$F$21:$N$450,4,FALSE)),"")</f>
        <v>0</v>
      </c>
      <c r="D360" s="648" t="str">
        <f ca="1">IFERROR(IF(VLOOKUP($B360,'ORÇAMENTO '!$F$21:$P$993,11,FALSE)=0,"",VLOOKUP($B360,'ORÇAMENTO '!$F$21:$P$993,11,FALSE)),"")</f>
        <v/>
      </c>
      <c r="E360" s="649" t="str">
        <f ca="1">IFERROR(IF(VLOOKUP($B360,'ORÇAMENTO '!$F$21:$N$993,6,FALSE)=0,"",VLOOKUP($B360,'ORÇAMENTO '!$F$21:$N$993,6,FALSE)),"")</f>
        <v/>
      </c>
      <c r="F360" s="649" t="str">
        <f ca="1">IFERROR(IF(VLOOKUP($B360,'ORÇAMENTO '!$F$21:$N$993,5,FALSE)=0,"",VLOOKUP($B360,'ORÇAMENTO '!$F$21:$N$993,5,FALSE)),"")</f>
        <v/>
      </c>
    </row>
    <row r="361" spans="2:6" ht="15">
      <c r="B361" s="646">
        <f>'ORÇAMENTO '!F628</f>
        <v>0</v>
      </c>
      <c r="C361" s="647">
        <f>IFERROR(IF(OR($B361="",$B361=0),'ORÇAMENTO '!I628,VLOOKUP($B361,'ORÇAMENTO '!$F$21:$N$450,4,FALSE)),"")</f>
        <v>0</v>
      </c>
      <c r="D361" s="648" t="str">
        <f ca="1">IFERROR(IF(VLOOKUP($B361,'ORÇAMENTO '!$F$21:$P$993,11,FALSE)=0,"",VLOOKUP($B361,'ORÇAMENTO '!$F$21:$P$993,11,FALSE)),"")</f>
        <v/>
      </c>
      <c r="E361" s="649" t="str">
        <f ca="1">IFERROR(IF(VLOOKUP($B361,'ORÇAMENTO '!$F$21:$N$993,6,FALSE)=0,"",VLOOKUP($B361,'ORÇAMENTO '!$F$21:$N$993,6,FALSE)),"")</f>
        <v/>
      </c>
      <c r="F361" s="649" t="str">
        <f ca="1">IFERROR(IF(VLOOKUP($B361,'ORÇAMENTO '!$F$21:$N$993,5,FALSE)=0,"",VLOOKUP($B361,'ORÇAMENTO '!$F$21:$N$993,5,FALSE)),"")</f>
        <v/>
      </c>
    </row>
    <row r="362" spans="2:6" ht="15">
      <c r="B362" s="646">
        <f>'ORÇAMENTO '!F629</f>
        <v>0</v>
      </c>
      <c r="C362" s="647">
        <f>IFERROR(IF(OR($B362="",$B362=0),'ORÇAMENTO '!I629,VLOOKUP($B362,'ORÇAMENTO '!$F$21:$N$450,4,FALSE)),"")</f>
        <v>0</v>
      </c>
      <c r="D362" s="648" t="str">
        <f ca="1">IFERROR(IF(VLOOKUP($B362,'ORÇAMENTO '!$F$21:$P$993,11,FALSE)=0,"",VLOOKUP($B362,'ORÇAMENTO '!$F$21:$P$993,11,FALSE)),"")</f>
        <v/>
      </c>
      <c r="E362" s="649" t="str">
        <f ca="1">IFERROR(IF(VLOOKUP($B362,'ORÇAMENTO '!$F$21:$N$993,6,FALSE)=0,"",VLOOKUP($B362,'ORÇAMENTO '!$F$21:$N$993,6,FALSE)),"")</f>
        <v/>
      </c>
      <c r="F362" s="649" t="str">
        <f ca="1">IFERROR(IF(VLOOKUP($B362,'ORÇAMENTO '!$F$21:$N$993,5,FALSE)=0,"",VLOOKUP($B362,'ORÇAMENTO '!$F$21:$N$993,5,FALSE)),"")</f>
        <v/>
      </c>
    </row>
    <row r="363" spans="2:6" ht="15">
      <c r="B363" s="646">
        <f>'ORÇAMENTO '!F630</f>
        <v>0</v>
      </c>
      <c r="C363" s="647">
        <f>IFERROR(IF(OR($B363="",$B363=0),'ORÇAMENTO '!I630,VLOOKUP($B363,'ORÇAMENTO '!$F$21:$N$450,4,FALSE)),"")</f>
        <v>0</v>
      </c>
      <c r="D363" s="648" t="str">
        <f ca="1">IFERROR(IF(VLOOKUP($B363,'ORÇAMENTO '!$F$21:$P$993,11,FALSE)=0,"",VLOOKUP($B363,'ORÇAMENTO '!$F$21:$P$993,11,FALSE)),"")</f>
        <v/>
      </c>
      <c r="E363" s="649" t="str">
        <f ca="1">IFERROR(IF(VLOOKUP($B363,'ORÇAMENTO '!$F$21:$N$993,6,FALSE)=0,"",VLOOKUP($B363,'ORÇAMENTO '!$F$21:$N$993,6,FALSE)),"")</f>
        <v/>
      </c>
      <c r="F363" s="649" t="str">
        <f ca="1">IFERROR(IF(VLOOKUP($B363,'ORÇAMENTO '!$F$21:$N$993,5,FALSE)=0,"",VLOOKUP($B363,'ORÇAMENTO '!$F$21:$N$993,5,FALSE)),"")</f>
        <v/>
      </c>
    </row>
    <row r="364" spans="2:6" ht="15">
      <c r="B364" s="646">
        <f>'ORÇAMENTO '!F631</f>
        <v>0</v>
      </c>
      <c r="C364" s="647">
        <f>IFERROR(IF(OR($B364="",$B364=0),'ORÇAMENTO '!I631,VLOOKUP($B364,'ORÇAMENTO '!$F$21:$N$450,4,FALSE)),"")</f>
        <v>0</v>
      </c>
      <c r="D364" s="648" t="str">
        <f ca="1">IFERROR(IF(VLOOKUP($B364,'ORÇAMENTO '!$F$21:$P$993,11,FALSE)=0,"",VLOOKUP($B364,'ORÇAMENTO '!$F$21:$P$993,11,FALSE)),"")</f>
        <v/>
      </c>
      <c r="E364" s="649" t="str">
        <f ca="1">IFERROR(IF(VLOOKUP($B364,'ORÇAMENTO '!$F$21:$N$993,6,FALSE)=0,"",VLOOKUP($B364,'ORÇAMENTO '!$F$21:$N$993,6,FALSE)),"")</f>
        <v/>
      </c>
      <c r="F364" s="649" t="str">
        <f ca="1">IFERROR(IF(VLOOKUP($B364,'ORÇAMENTO '!$F$21:$N$993,5,FALSE)=0,"",VLOOKUP($B364,'ORÇAMENTO '!$F$21:$N$993,5,FALSE)),"")</f>
        <v/>
      </c>
    </row>
    <row r="365" spans="2:6" ht="15">
      <c r="B365" s="646">
        <f>'ORÇAMENTO '!F632</f>
        <v>0</v>
      </c>
      <c r="C365" s="647">
        <f>IFERROR(IF(OR($B365="",$B365=0),'ORÇAMENTO '!I632,VLOOKUP($B365,'ORÇAMENTO '!$F$21:$N$450,4,FALSE)),"")</f>
        <v>0</v>
      </c>
      <c r="D365" s="648" t="str">
        <f ca="1">IFERROR(IF(VLOOKUP($B365,'ORÇAMENTO '!$F$21:$P$993,11,FALSE)=0,"",VLOOKUP($B365,'ORÇAMENTO '!$F$21:$P$993,11,FALSE)),"")</f>
        <v/>
      </c>
      <c r="E365" s="649" t="str">
        <f ca="1">IFERROR(IF(VLOOKUP($B365,'ORÇAMENTO '!$F$21:$N$993,6,FALSE)=0,"",VLOOKUP($B365,'ORÇAMENTO '!$F$21:$N$993,6,FALSE)),"")</f>
        <v/>
      </c>
      <c r="F365" s="649" t="str">
        <f ca="1">IFERROR(IF(VLOOKUP($B365,'ORÇAMENTO '!$F$21:$N$993,5,FALSE)=0,"",VLOOKUP($B365,'ORÇAMENTO '!$F$21:$N$993,5,FALSE)),"")</f>
        <v/>
      </c>
    </row>
    <row r="366" spans="2:6" ht="15">
      <c r="B366" s="646">
        <f>'ORÇAMENTO '!F633</f>
        <v>0</v>
      </c>
      <c r="C366" s="647">
        <f>IFERROR(IF(OR($B366="",$B366=0),'ORÇAMENTO '!I633,VLOOKUP($B366,'ORÇAMENTO '!$F$21:$N$450,4,FALSE)),"")</f>
        <v>0</v>
      </c>
      <c r="D366" s="648" t="str">
        <f ca="1">IFERROR(IF(VLOOKUP($B366,'ORÇAMENTO '!$F$21:$P$993,11,FALSE)=0,"",VLOOKUP($B366,'ORÇAMENTO '!$F$21:$P$993,11,FALSE)),"")</f>
        <v/>
      </c>
      <c r="E366" s="649" t="str">
        <f ca="1">IFERROR(IF(VLOOKUP($B366,'ORÇAMENTO '!$F$21:$N$993,6,FALSE)=0,"",VLOOKUP($B366,'ORÇAMENTO '!$F$21:$N$993,6,FALSE)),"")</f>
        <v/>
      </c>
      <c r="F366" s="649" t="str">
        <f ca="1">IFERROR(IF(VLOOKUP($B366,'ORÇAMENTO '!$F$21:$N$993,5,FALSE)=0,"",VLOOKUP($B366,'ORÇAMENTO '!$F$21:$N$993,5,FALSE)),"")</f>
        <v/>
      </c>
    </row>
    <row r="367" spans="2:6" ht="15">
      <c r="B367" s="646">
        <f>'ORÇAMENTO '!F634</f>
        <v>0</v>
      </c>
      <c r="C367" s="647">
        <f>IFERROR(IF(OR($B367="",$B367=0),'ORÇAMENTO '!I634,VLOOKUP($B367,'ORÇAMENTO '!$F$21:$N$450,4,FALSE)),"")</f>
        <v>0</v>
      </c>
      <c r="D367" s="648" t="str">
        <f ca="1">IFERROR(IF(VLOOKUP($B367,'ORÇAMENTO '!$F$21:$P$993,11,FALSE)=0,"",VLOOKUP($B367,'ORÇAMENTO '!$F$21:$P$993,11,FALSE)),"")</f>
        <v/>
      </c>
      <c r="E367" s="649" t="str">
        <f ca="1">IFERROR(IF(VLOOKUP($B367,'ORÇAMENTO '!$F$21:$N$993,6,FALSE)=0,"",VLOOKUP($B367,'ORÇAMENTO '!$F$21:$N$993,6,FALSE)),"")</f>
        <v/>
      </c>
      <c r="F367" s="649" t="str">
        <f ca="1">IFERROR(IF(VLOOKUP($B367,'ORÇAMENTO '!$F$21:$N$993,5,FALSE)=0,"",VLOOKUP($B367,'ORÇAMENTO '!$F$21:$N$993,5,FALSE)),"")</f>
        <v/>
      </c>
    </row>
    <row r="368" spans="2:6" ht="15">
      <c r="B368" s="646">
        <f>'ORÇAMENTO '!F635</f>
        <v>0</v>
      </c>
      <c r="C368" s="647">
        <f>IFERROR(IF(OR($B368="",$B368=0),'ORÇAMENTO '!I635,VLOOKUP($B368,'ORÇAMENTO '!$F$21:$N$450,4,FALSE)),"")</f>
        <v>0</v>
      </c>
      <c r="D368" s="648" t="str">
        <f ca="1">IFERROR(IF(VLOOKUP($B368,'ORÇAMENTO '!$F$21:$P$993,11,FALSE)=0,"",VLOOKUP($B368,'ORÇAMENTO '!$F$21:$P$993,11,FALSE)),"")</f>
        <v/>
      </c>
      <c r="E368" s="649" t="str">
        <f ca="1">IFERROR(IF(VLOOKUP($B368,'ORÇAMENTO '!$F$21:$N$993,6,FALSE)=0,"",VLOOKUP($B368,'ORÇAMENTO '!$F$21:$N$993,6,FALSE)),"")</f>
        <v/>
      </c>
      <c r="F368" s="649" t="str">
        <f ca="1">IFERROR(IF(VLOOKUP($B368,'ORÇAMENTO '!$F$21:$N$993,5,FALSE)=0,"",VLOOKUP($B368,'ORÇAMENTO '!$F$21:$N$993,5,FALSE)),"")</f>
        <v/>
      </c>
    </row>
    <row r="369" spans="2:6" ht="15">
      <c r="B369" s="646">
        <f>'ORÇAMENTO '!F636</f>
        <v>0</v>
      </c>
      <c r="C369" s="647">
        <f>IFERROR(IF(OR($B369="",$B369=0),'ORÇAMENTO '!I636,VLOOKUP($B369,'ORÇAMENTO '!$F$21:$N$450,4,FALSE)),"")</f>
        <v>0</v>
      </c>
      <c r="D369" s="648" t="str">
        <f ca="1">IFERROR(IF(VLOOKUP($B369,'ORÇAMENTO '!$F$21:$P$993,11,FALSE)=0,"",VLOOKUP($B369,'ORÇAMENTO '!$F$21:$P$993,11,FALSE)),"")</f>
        <v/>
      </c>
      <c r="E369" s="649" t="str">
        <f ca="1">IFERROR(IF(VLOOKUP($B369,'ORÇAMENTO '!$F$21:$N$993,6,FALSE)=0,"",VLOOKUP($B369,'ORÇAMENTO '!$F$21:$N$993,6,FALSE)),"")</f>
        <v/>
      </c>
      <c r="F369" s="649" t="str">
        <f ca="1">IFERROR(IF(VLOOKUP($B369,'ORÇAMENTO '!$F$21:$N$993,5,FALSE)=0,"",VLOOKUP($B369,'ORÇAMENTO '!$F$21:$N$993,5,FALSE)),"")</f>
        <v/>
      </c>
    </row>
    <row r="370" spans="2:6" ht="15">
      <c r="B370" s="646">
        <f>'ORÇAMENTO '!F637</f>
        <v>0</v>
      </c>
      <c r="C370" s="647">
        <f>IFERROR(IF(OR($B370="",$B370=0),'ORÇAMENTO '!I637,VLOOKUP($B370,'ORÇAMENTO '!$F$21:$N$450,4,FALSE)),"")</f>
        <v>0</v>
      </c>
      <c r="D370" s="648" t="str">
        <f ca="1">IFERROR(IF(VLOOKUP($B370,'ORÇAMENTO '!$F$21:$P$993,11,FALSE)=0,"",VLOOKUP($B370,'ORÇAMENTO '!$F$21:$P$993,11,FALSE)),"")</f>
        <v/>
      </c>
      <c r="E370" s="649" t="str">
        <f ca="1">IFERROR(IF(VLOOKUP($B370,'ORÇAMENTO '!$F$21:$N$993,6,FALSE)=0,"",VLOOKUP($B370,'ORÇAMENTO '!$F$21:$N$993,6,FALSE)),"")</f>
        <v/>
      </c>
      <c r="F370" s="649" t="str">
        <f ca="1">IFERROR(IF(VLOOKUP($B370,'ORÇAMENTO '!$F$21:$N$993,5,FALSE)=0,"",VLOOKUP($B370,'ORÇAMENTO '!$F$21:$N$993,5,FALSE)),"")</f>
        <v/>
      </c>
    </row>
    <row r="371" spans="2:6" ht="15">
      <c r="B371" s="646">
        <f>'ORÇAMENTO '!F638</f>
        <v>0</v>
      </c>
      <c r="C371" s="647">
        <f>IFERROR(IF(OR($B371="",$B371=0),'ORÇAMENTO '!I638,VLOOKUP($B371,'ORÇAMENTO '!$F$21:$N$450,4,FALSE)),"")</f>
        <v>0</v>
      </c>
      <c r="D371" s="648" t="str">
        <f ca="1">IFERROR(IF(VLOOKUP($B371,'ORÇAMENTO '!$F$21:$P$993,11,FALSE)=0,"",VLOOKUP($B371,'ORÇAMENTO '!$F$21:$P$993,11,FALSE)),"")</f>
        <v/>
      </c>
      <c r="E371" s="649" t="str">
        <f ca="1">IFERROR(IF(VLOOKUP($B371,'ORÇAMENTO '!$F$21:$N$993,6,FALSE)=0,"",VLOOKUP($B371,'ORÇAMENTO '!$F$21:$N$993,6,FALSE)),"")</f>
        <v/>
      </c>
      <c r="F371" s="649" t="str">
        <f ca="1">IFERROR(IF(VLOOKUP($B371,'ORÇAMENTO '!$F$21:$N$993,5,FALSE)=0,"",VLOOKUP($B371,'ORÇAMENTO '!$F$21:$N$993,5,FALSE)),"")</f>
        <v/>
      </c>
    </row>
    <row r="372" spans="2:6" ht="15">
      <c r="B372" s="646">
        <f>'ORÇAMENTO '!F639</f>
        <v>0</v>
      </c>
      <c r="C372" s="647">
        <f>IFERROR(IF(OR($B372="",$B372=0),'ORÇAMENTO '!I639,VLOOKUP($B372,'ORÇAMENTO '!$F$21:$N$450,4,FALSE)),"")</f>
        <v>0</v>
      </c>
      <c r="D372" s="648" t="str">
        <f ca="1">IFERROR(IF(VLOOKUP($B372,'ORÇAMENTO '!$F$21:$P$993,11,FALSE)=0,"",VLOOKUP($B372,'ORÇAMENTO '!$F$21:$P$993,11,FALSE)),"")</f>
        <v/>
      </c>
      <c r="E372" s="649" t="str">
        <f ca="1">IFERROR(IF(VLOOKUP($B372,'ORÇAMENTO '!$F$21:$N$993,6,FALSE)=0,"",VLOOKUP($B372,'ORÇAMENTO '!$F$21:$N$993,6,FALSE)),"")</f>
        <v/>
      </c>
      <c r="F372" s="649" t="str">
        <f ca="1">IFERROR(IF(VLOOKUP($B372,'ORÇAMENTO '!$F$21:$N$993,5,FALSE)=0,"",VLOOKUP($B372,'ORÇAMENTO '!$F$21:$N$993,5,FALSE)),"")</f>
        <v/>
      </c>
    </row>
    <row r="373" spans="2:6" ht="15">
      <c r="B373" s="646">
        <f>'ORÇAMENTO '!F640</f>
        <v>0</v>
      </c>
      <c r="C373" s="647">
        <f>IFERROR(IF(OR($B373="",$B373=0),'ORÇAMENTO '!I640,VLOOKUP($B373,'ORÇAMENTO '!$F$21:$N$450,4,FALSE)),"")</f>
        <v>0</v>
      </c>
      <c r="D373" s="648" t="str">
        <f ca="1">IFERROR(IF(VLOOKUP($B373,'ORÇAMENTO '!$F$21:$P$993,11,FALSE)=0,"",VLOOKUP($B373,'ORÇAMENTO '!$F$21:$P$993,11,FALSE)),"")</f>
        <v/>
      </c>
      <c r="E373" s="649" t="str">
        <f ca="1">IFERROR(IF(VLOOKUP($B373,'ORÇAMENTO '!$F$21:$N$993,6,FALSE)=0,"",VLOOKUP($B373,'ORÇAMENTO '!$F$21:$N$993,6,FALSE)),"")</f>
        <v/>
      </c>
      <c r="F373" s="649" t="str">
        <f ca="1">IFERROR(IF(VLOOKUP($B373,'ORÇAMENTO '!$F$21:$N$993,5,FALSE)=0,"",VLOOKUP($B373,'ORÇAMENTO '!$F$21:$N$993,5,FALSE)),"")</f>
        <v/>
      </c>
    </row>
    <row r="374" spans="2:6" ht="15">
      <c r="B374" s="646">
        <f>'ORÇAMENTO '!F641</f>
        <v>0</v>
      </c>
      <c r="C374" s="647">
        <f>IFERROR(IF(OR($B374="",$B374=0),'ORÇAMENTO '!I641,VLOOKUP($B374,'ORÇAMENTO '!$F$21:$N$450,4,FALSE)),"")</f>
        <v>0</v>
      </c>
      <c r="D374" s="648" t="str">
        <f ca="1">IFERROR(IF(VLOOKUP($B374,'ORÇAMENTO '!$F$21:$P$993,11,FALSE)=0,"",VLOOKUP($B374,'ORÇAMENTO '!$F$21:$P$993,11,FALSE)),"")</f>
        <v/>
      </c>
      <c r="E374" s="649" t="str">
        <f ca="1">IFERROR(IF(VLOOKUP($B374,'ORÇAMENTO '!$F$21:$N$993,6,FALSE)=0,"",VLOOKUP($B374,'ORÇAMENTO '!$F$21:$N$993,6,FALSE)),"")</f>
        <v/>
      </c>
      <c r="F374" s="649" t="str">
        <f ca="1">IFERROR(IF(VLOOKUP($B374,'ORÇAMENTO '!$F$21:$N$993,5,FALSE)=0,"",VLOOKUP($B374,'ORÇAMENTO '!$F$21:$N$993,5,FALSE)),"")</f>
        <v/>
      </c>
    </row>
    <row r="375" spans="2:6" ht="15">
      <c r="B375" s="646">
        <f>'ORÇAMENTO '!F642</f>
        <v>0</v>
      </c>
      <c r="C375" s="647">
        <f>IFERROR(IF(OR($B375="",$B375=0),'ORÇAMENTO '!I642,VLOOKUP($B375,'ORÇAMENTO '!$F$21:$N$450,4,FALSE)),"")</f>
        <v>0</v>
      </c>
      <c r="D375" s="648" t="str">
        <f ca="1">IFERROR(IF(VLOOKUP($B375,'ORÇAMENTO '!$F$21:$P$993,11,FALSE)=0,"",VLOOKUP($B375,'ORÇAMENTO '!$F$21:$P$993,11,FALSE)),"")</f>
        <v/>
      </c>
      <c r="E375" s="649" t="str">
        <f ca="1">IFERROR(IF(VLOOKUP($B375,'ORÇAMENTO '!$F$21:$N$993,6,FALSE)=0,"",VLOOKUP($B375,'ORÇAMENTO '!$F$21:$N$993,6,FALSE)),"")</f>
        <v/>
      </c>
      <c r="F375" s="649" t="str">
        <f ca="1">IFERROR(IF(VLOOKUP($B375,'ORÇAMENTO '!$F$21:$N$993,5,FALSE)=0,"",VLOOKUP($B375,'ORÇAMENTO '!$F$21:$N$993,5,FALSE)),"")</f>
        <v/>
      </c>
    </row>
    <row r="376" spans="2:6" ht="15">
      <c r="B376" s="646">
        <f>'ORÇAMENTO '!F643</f>
        <v>0</v>
      </c>
      <c r="C376" s="647">
        <f>IFERROR(IF(OR($B376="",$B376=0),'ORÇAMENTO '!I643,VLOOKUP($B376,'ORÇAMENTO '!$F$21:$N$450,4,FALSE)),"")</f>
        <v>0</v>
      </c>
      <c r="D376" s="648" t="str">
        <f ca="1">IFERROR(IF(VLOOKUP($B376,'ORÇAMENTO '!$F$21:$P$993,11,FALSE)=0,"",VLOOKUP($B376,'ORÇAMENTO '!$F$21:$P$993,11,FALSE)),"")</f>
        <v/>
      </c>
      <c r="E376" s="649" t="str">
        <f ca="1">IFERROR(IF(VLOOKUP($B376,'ORÇAMENTO '!$F$21:$N$993,6,FALSE)=0,"",VLOOKUP($B376,'ORÇAMENTO '!$F$21:$N$993,6,FALSE)),"")</f>
        <v/>
      </c>
      <c r="F376" s="649" t="str">
        <f ca="1">IFERROR(IF(VLOOKUP($B376,'ORÇAMENTO '!$F$21:$N$993,5,FALSE)=0,"",VLOOKUP($B376,'ORÇAMENTO '!$F$21:$N$993,5,FALSE)),"")</f>
        <v/>
      </c>
    </row>
    <row r="377" spans="2:6" ht="15">
      <c r="B377" s="646">
        <f>'ORÇAMENTO '!F644</f>
        <v>0</v>
      </c>
      <c r="C377" s="647">
        <f>IFERROR(IF(OR($B377="",$B377=0),'ORÇAMENTO '!I644,VLOOKUP($B377,'ORÇAMENTO '!$F$21:$N$450,4,FALSE)),"")</f>
        <v>0</v>
      </c>
      <c r="D377" s="648" t="str">
        <f ca="1">IFERROR(IF(VLOOKUP($B377,'ORÇAMENTO '!$F$21:$P$993,11,FALSE)=0,"",VLOOKUP($B377,'ORÇAMENTO '!$F$21:$P$993,11,FALSE)),"")</f>
        <v/>
      </c>
      <c r="E377" s="649" t="str">
        <f ca="1">IFERROR(IF(VLOOKUP($B377,'ORÇAMENTO '!$F$21:$N$993,6,FALSE)=0,"",VLOOKUP($B377,'ORÇAMENTO '!$F$21:$N$993,6,FALSE)),"")</f>
        <v/>
      </c>
      <c r="F377" s="649" t="str">
        <f ca="1">IFERROR(IF(VLOOKUP($B377,'ORÇAMENTO '!$F$21:$N$993,5,FALSE)=0,"",VLOOKUP($B377,'ORÇAMENTO '!$F$21:$N$993,5,FALSE)),"")</f>
        <v/>
      </c>
    </row>
    <row r="378" spans="2:6" ht="15">
      <c r="B378" s="646">
        <f>'ORÇAMENTO '!F645</f>
        <v>0</v>
      </c>
      <c r="C378" s="647">
        <f>IFERROR(IF(OR($B378="",$B378=0),'ORÇAMENTO '!I645,VLOOKUP($B378,'ORÇAMENTO '!$F$21:$N$450,4,FALSE)),"")</f>
        <v>0</v>
      </c>
      <c r="D378" s="648" t="str">
        <f ca="1">IFERROR(IF(VLOOKUP($B378,'ORÇAMENTO '!$F$21:$P$993,11,FALSE)=0,"",VLOOKUP($B378,'ORÇAMENTO '!$F$21:$P$993,11,FALSE)),"")</f>
        <v/>
      </c>
      <c r="E378" s="649" t="str">
        <f ca="1">IFERROR(IF(VLOOKUP($B378,'ORÇAMENTO '!$F$21:$N$993,6,FALSE)=0,"",VLOOKUP($B378,'ORÇAMENTO '!$F$21:$N$993,6,FALSE)),"")</f>
        <v/>
      </c>
      <c r="F378" s="649" t="str">
        <f ca="1">IFERROR(IF(VLOOKUP($B378,'ORÇAMENTO '!$F$21:$N$993,5,FALSE)=0,"",VLOOKUP($B378,'ORÇAMENTO '!$F$21:$N$993,5,FALSE)),"")</f>
        <v/>
      </c>
    </row>
    <row r="379" spans="2:6" ht="15">
      <c r="B379" s="646">
        <f>'ORÇAMENTO '!F646</f>
        <v>0</v>
      </c>
      <c r="C379" s="647">
        <f>IFERROR(IF(OR($B379="",$B379=0),'ORÇAMENTO '!I646,VLOOKUP($B379,'ORÇAMENTO '!$F$21:$N$450,4,FALSE)),"")</f>
        <v>0</v>
      </c>
      <c r="D379" s="648" t="str">
        <f ca="1">IFERROR(IF(VLOOKUP($B379,'ORÇAMENTO '!$F$21:$P$993,11,FALSE)=0,"",VLOOKUP($B379,'ORÇAMENTO '!$F$21:$P$993,11,FALSE)),"")</f>
        <v/>
      </c>
      <c r="E379" s="649" t="str">
        <f ca="1">IFERROR(IF(VLOOKUP($B379,'ORÇAMENTO '!$F$21:$N$993,6,FALSE)=0,"",VLOOKUP($B379,'ORÇAMENTO '!$F$21:$N$993,6,FALSE)),"")</f>
        <v/>
      </c>
      <c r="F379" s="649" t="str">
        <f ca="1">IFERROR(IF(VLOOKUP($B379,'ORÇAMENTO '!$F$21:$N$993,5,FALSE)=0,"",VLOOKUP($B379,'ORÇAMENTO '!$F$21:$N$993,5,FALSE)),"")</f>
        <v/>
      </c>
    </row>
    <row r="380" spans="2:6" ht="15">
      <c r="B380" s="646">
        <f>'ORÇAMENTO '!F647</f>
        <v>0</v>
      </c>
      <c r="C380" s="647">
        <f>IFERROR(IF(OR($B380="",$B380=0),'ORÇAMENTO '!I647,VLOOKUP($B380,'ORÇAMENTO '!$F$21:$N$450,4,FALSE)),"")</f>
        <v>0</v>
      </c>
      <c r="D380" s="648" t="str">
        <f ca="1">IFERROR(IF(VLOOKUP($B380,'ORÇAMENTO '!$F$21:$P$993,11,FALSE)=0,"",VLOOKUP($B380,'ORÇAMENTO '!$F$21:$P$993,11,FALSE)),"")</f>
        <v/>
      </c>
      <c r="E380" s="649" t="str">
        <f ca="1">IFERROR(IF(VLOOKUP($B380,'ORÇAMENTO '!$F$21:$N$993,6,FALSE)=0,"",VLOOKUP($B380,'ORÇAMENTO '!$F$21:$N$993,6,FALSE)),"")</f>
        <v/>
      </c>
      <c r="F380" s="649" t="str">
        <f ca="1">IFERROR(IF(VLOOKUP($B380,'ORÇAMENTO '!$F$21:$N$993,5,FALSE)=0,"",VLOOKUP($B380,'ORÇAMENTO '!$F$21:$N$993,5,FALSE)),"")</f>
        <v/>
      </c>
    </row>
    <row r="381" spans="2:6" ht="15">
      <c r="B381" s="646">
        <f>'ORÇAMENTO '!F648</f>
        <v>0</v>
      </c>
      <c r="C381" s="647">
        <f>IFERROR(IF(OR($B381="",$B381=0),'ORÇAMENTO '!I648,VLOOKUP($B381,'ORÇAMENTO '!$F$21:$N$450,4,FALSE)),"")</f>
        <v>0</v>
      </c>
      <c r="D381" s="648" t="str">
        <f ca="1">IFERROR(IF(VLOOKUP($B381,'ORÇAMENTO '!$F$21:$P$993,11,FALSE)=0,"",VLOOKUP($B381,'ORÇAMENTO '!$F$21:$P$993,11,FALSE)),"")</f>
        <v/>
      </c>
      <c r="E381" s="649" t="str">
        <f ca="1">IFERROR(IF(VLOOKUP($B381,'ORÇAMENTO '!$F$21:$N$993,6,FALSE)=0,"",VLOOKUP($B381,'ORÇAMENTO '!$F$21:$N$993,6,FALSE)),"")</f>
        <v/>
      </c>
      <c r="F381" s="649" t="str">
        <f ca="1">IFERROR(IF(VLOOKUP($B381,'ORÇAMENTO '!$F$21:$N$993,5,FALSE)=0,"",VLOOKUP($B381,'ORÇAMENTO '!$F$21:$N$993,5,FALSE)),"")</f>
        <v/>
      </c>
    </row>
    <row r="382" spans="2:6" ht="15">
      <c r="B382" s="646">
        <f>'ORÇAMENTO '!F649</f>
        <v>0</v>
      </c>
      <c r="C382" s="647">
        <f>IFERROR(IF(OR($B382="",$B382=0),'ORÇAMENTO '!I649,VLOOKUP($B382,'ORÇAMENTO '!$F$21:$N$450,4,FALSE)),"")</f>
        <v>0</v>
      </c>
      <c r="D382" s="648" t="str">
        <f ca="1">IFERROR(IF(VLOOKUP($B382,'ORÇAMENTO '!$F$21:$P$993,11,FALSE)=0,"",VLOOKUP($B382,'ORÇAMENTO '!$F$21:$P$993,11,FALSE)),"")</f>
        <v/>
      </c>
      <c r="E382" s="649" t="str">
        <f ca="1">IFERROR(IF(VLOOKUP($B382,'ORÇAMENTO '!$F$21:$N$993,6,FALSE)=0,"",VLOOKUP($B382,'ORÇAMENTO '!$F$21:$N$993,6,FALSE)),"")</f>
        <v/>
      </c>
      <c r="F382" s="649" t="str">
        <f ca="1">IFERROR(IF(VLOOKUP($B382,'ORÇAMENTO '!$F$21:$N$993,5,FALSE)=0,"",VLOOKUP($B382,'ORÇAMENTO '!$F$21:$N$993,5,FALSE)),"")</f>
        <v/>
      </c>
    </row>
    <row r="383" spans="2:6" ht="15">
      <c r="B383" s="646">
        <f>'ORÇAMENTO '!F650</f>
        <v>0</v>
      </c>
      <c r="C383" s="647">
        <f>IFERROR(IF(OR($B383="",$B383=0),'ORÇAMENTO '!I650,VLOOKUP($B383,'ORÇAMENTO '!$F$21:$N$450,4,FALSE)),"")</f>
        <v>0</v>
      </c>
      <c r="D383" s="648" t="str">
        <f ca="1">IFERROR(IF(VLOOKUP($B383,'ORÇAMENTO '!$F$21:$P$993,11,FALSE)=0,"",VLOOKUP($B383,'ORÇAMENTO '!$F$21:$P$993,11,FALSE)),"")</f>
        <v/>
      </c>
      <c r="E383" s="649" t="str">
        <f ca="1">IFERROR(IF(VLOOKUP($B383,'ORÇAMENTO '!$F$21:$N$993,6,FALSE)=0,"",VLOOKUP($B383,'ORÇAMENTO '!$F$21:$N$993,6,FALSE)),"")</f>
        <v/>
      </c>
      <c r="F383" s="649" t="str">
        <f ca="1">IFERROR(IF(VLOOKUP($B383,'ORÇAMENTO '!$F$21:$N$993,5,FALSE)=0,"",VLOOKUP($B383,'ORÇAMENTO '!$F$21:$N$993,5,FALSE)),"")</f>
        <v/>
      </c>
    </row>
    <row r="384" spans="2:6" ht="15">
      <c r="B384" s="646">
        <f>'ORÇAMENTO '!F651</f>
        <v>0</v>
      </c>
      <c r="C384" s="647">
        <f>IFERROR(IF(OR($B384="",$B384=0),'ORÇAMENTO '!I651,VLOOKUP($B384,'ORÇAMENTO '!$F$21:$N$450,4,FALSE)),"")</f>
        <v>0</v>
      </c>
      <c r="D384" s="648" t="str">
        <f ca="1">IFERROR(IF(VLOOKUP($B384,'ORÇAMENTO '!$F$21:$P$993,11,FALSE)=0,"",VLOOKUP($B384,'ORÇAMENTO '!$F$21:$P$993,11,FALSE)),"")</f>
        <v/>
      </c>
      <c r="E384" s="649" t="str">
        <f ca="1">IFERROR(IF(VLOOKUP($B384,'ORÇAMENTO '!$F$21:$N$993,6,FALSE)=0,"",VLOOKUP($B384,'ORÇAMENTO '!$F$21:$N$993,6,FALSE)),"")</f>
        <v/>
      </c>
      <c r="F384" s="649" t="str">
        <f ca="1">IFERROR(IF(VLOOKUP($B384,'ORÇAMENTO '!$F$21:$N$993,5,FALSE)=0,"",VLOOKUP($B384,'ORÇAMENTO '!$F$21:$N$993,5,FALSE)),"")</f>
        <v/>
      </c>
    </row>
    <row r="385" spans="2:6" ht="15">
      <c r="B385" s="646">
        <f>'ORÇAMENTO '!F652</f>
        <v>0</v>
      </c>
      <c r="C385" s="647">
        <f>IFERROR(IF(OR($B385="",$B385=0),'ORÇAMENTO '!I652,VLOOKUP($B385,'ORÇAMENTO '!$F$21:$N$450,4,FALSE)),"")</f>
        <v>0</v>
      </c>
      <c r="D385" s="648" t="str">
        <f ca="1">IFERROR(IF(VLOOKUP($B385,'ORÇAMENTO '!$F$21:$P$993,11,FALSE)=0,"",VLOOKUP($B385,'ORÇAMENTO '!$F$21:$P$993,11,FALSE)),"")</f>
        <v/>
      </c>
      <c r="E385" s="649" t="str">
        <f ca="1">IFERROR(IF(VLOOKUP($B385,'ORÇAMENTO '!$F$21:$N$993,6,FALSE)=0,"",VLOOKUP($B385,'ORÇAMENTO '!$F$21:$N$993,6,FALSE)),"")</f>
        <v/>
      </c>
      <c r="F385" s="649" t="str">
        <f ca="1">IFERROR(IF(VLOOKUP($B385,'ORÇAMENTO '!$F$21:$N$993,5,FALSE)=0,"",VLOOKUP($B385,'ORÇAMENTO '!$F$21:$N$993,5,FALSE)),"")</f>
        <v/>
      </c>
    </row>
    <row r="386" spans="2:6" ht="15">
      <c r="B386" s="646">
        <f>'ORÇAMENTO '!F653</f>
        <v>0</v>
      </c>
      <c r="C386" s="647">
        <f>IFERROR(IF(OR($B386="",$B386=0),'ORÇAMENTO '!I653,VLOOKUP($B386,'ORÇAMENTO '!$F$21:$N$450,4,FALSE)),"")</f>
        <v>0</v>
      </c>
      <c r="D386" s="648" t="str">
        <f ca="1">IFERROR(IF(VLOOKUP($B386,'ORÇAMENTO '!$F$21:$P$993,11,FALSE)=0,"",VLOOKUP($B386,'ORÇAMENTO '!$F$21:$P$993,11,FALSE)),"")</f>
        <v/>
      </c>
      <c r="E386" s="649" t="str">
        <f ca="1">IFERROR(IF(VLOOKUP($B386,'ORÇAMENTO '!$F$21:$N$993,6,FALSE)=0,"",VLOOKUP($B386,'ORÇAMENTO '!$F$21:$N$993,6,FALSE)),"")</f>
        <v/>
      </c>
      <c r="F386" s="649" t="str">
        <f ca="1">IFERROR(IF(VLOOKUP($B386,'ORÇAMENTO '!$F$21:$N$993,5,FALSE)=0,"",VLOOKUP($B386,'ORÇAMENTO '!$F$21:$N$993,5,FALSE)),"")</f>
        <v/>
      </c>
    </row>
    <row r="387" spans="2:6" ht="15">
      <c r="B387" s="646">
        <f>'ORÇAMENTO '!F654</f>
        <v>0</v>
      </c>
      <c r="C387" s="647">
        <f>IFERROR(IF(OR($B387="",$B387=0),'ORÇAMENTO '!I654,VLOOKUP($B387,'ORÇAMENTO '!$F$21:$N$450,4,FALSE)),"")</f>
        <v>0</v>
      </c>
      <c r="D387" s="648" t="str">
        <f ca="1">IFERROR(IF(VLOOKUP($B387,'ORÇAMENTO '!$F$21:$P$993,11,FALSE)=0,"",VLOOKUP($B387,'ORÇAMENTO '!$F$21:$P$993,11,FALSE)),"")</f>
        <v/>
      </c>
      <c r="E387" s="649" t="str">
        <f ca="1">IFERROR(IF(VLOOKUP($B387,'ORÇAMENTO '!$F$21:$N$993,6,FALSE)=0,"",VLOOKUP($B387,'ORÇAMENTO '!$F$21:$N$993,6,FALSE)),"")</f>
        <v/>
      </c>
      <c r="F387" s="649" t="str">
        <f ca="1">IFERROR(IF(VLOOKUP($B387,'ORÇAMENTO '!$F$21:$N$993,5,FALSE)=0,"",VLOOKUP($B387,'ORÇAMENTO '!$F$21:$N$993,5,FALSE)),"")</f>
        <v/>
      </c>
    </row>
    <row r="388" spans="2:6" ht="15">
      <c r="B388" s="646">
        <f>'ORÇAMENTO '!F655</f>
        <v>0</v>
      </c>
      <c r="C388" s="647">
        <f>IFERROR(IF(OR($B388="",$B388=0),'ORÇAMENTO '!I655,VLOOKUP($B388,'ORÇAMENTO '!$F$21:$N$450,4,FALSE)),"")</f>
        <v>0</v>
      </c>
      <c r="D388" s="648" t="str">
        <f ca="1">IFERROR(IF(VLOOKUP($B388,'ORÇAMENTO '!$F$21:$P$993,11,FALSE)=0,"",VLOOKUP($B388,'ORÇAMENTO '!$F$21:$P$993,11,FALSE)),"")</f>
        <v/>
      </c>
      <c r="E388" s="649" t="str">
        <f ca="1">IFERROR(IF(VLOOKUP($B388,'ORÇAMENTO '!$F$21:$N$993,6,FALSE)=0,"",VLOOKUP($B388,'ORÇAMENTO '!$F$21:$N$993,6,FALSE)),"")</f>
        <v/>
      </c>
      <c r="F388" s="649" t="str">
        <f ca="1">IFERROR(IF(VLOOKUP($B388,'ORÇAMENTO '!$F$21:$N$993,5,FALSE)=0,"",VLOOKUP($B388,'ORÇAMENTO '!$F$21:$N$993,5,FALSE)),"")</f>
        <v/>
      </c>
    </row>
    <row r="389" spans="2:6" ht="15">
      <c r="B389" s="646">
        <f>'ORÇAMENTO '!F656</f>
        <v>0</v>
      </c>
      <c r="C389" s="647">
        <f>IFERROR(IF(OR($B389="",$B389=0),'ORÇAMENTO '!I656,VLOOKUP($B389,'ORÇAMENTO '!$F$21:$N$450,4,FALSE)),"")</f>
        <v>0</v>
      </c>
      <c r="D389" s="648" t="str">
        <f ca="1">IFERROR(IF(VLOOKUP($B389,'ORÇAMENTO '!$F$21:$P$993,11,FALSE)=0,"",VLOOKUP($B389,'ORÇAMENTO '!$F$21:$P$993,11,FALSE)),"")</f>
        <v/>
      </c>
      <c r="E389" s="649" t="str">
        <f ca="1">IFERROR(IF(VLOOKUP($B389,'ORÇAMENTO '!$F$21:$N$993,6,FALSE)=0,"",VLOOKUP($B389,'ORÇAMENTO '!$F$21:$N$993,6,FALSE)),"")</f>
        <v/>
      </c>
      <c r="F389" s="649" t="str">
        <f ca="1">IFERROR(IF(VLOOKUP($B389,'ORÇAMENTO '!$F$21:$N$993,5,FALSE)=0,"",VLOOKUP($B389,'ORÇAMENTO '!$F$21:$N$993,5,FALSE)),"")</f>
        <v/>
      </c>
    </row>
    <row r="390" spans="2:6" ht="15">
      <c r="B390" s="646">
        <f>'ORÇAMENTO '!F657</f>
        <v>0</v>
      </c>
      <c r="C390" s="647">
        <f>IFERROR(IF(OR($B390="",$B390=0),'ORÇAMENTO '!I657,VLOOKUP($B390,'ORÇAMENTO '!$F$21:$N$450,4,FALSE)),"")</f>
        <v>0</v>
      </c>
      <c r="D390" s="648" t="str">
        <f ca="1">IFERROR(IF(VLOOKUP($B390,'ORÇAMENTO '!$F$21:$P$993,11,FALSE)=0,"",VLOOKUP($B390,'ORÇAMENTO '!$F$21:$P$993,11,FALSE)),"")</f>
        <v/>
      </c>
      <c r="E390" s="649" t="str">
        <f ca="1">IFERROR(IF(VLOOKUP($B390,'ORÇAMENTO '!$F$21:$N$993,6,FALSE)=0,"",VLOOKUP($B390,'ORÇAMENTO '!$F$21:$N$993,6,FALSE)),"")</f>
        <v/>
      </c>
      <c r="F390" s="649" t="str">
        <f ca="1">IFERROR(IF(VLOOKUP($B390,'ORÇAMENTO '!$F$21:$N$993,5,FALSE)=0,"",VLOOKUP($B390,'ORÇAMENTO '!$F$21:$N$993,5,FALSE)),"")</f>
        <v/>
      </c>
    </row>
    <row r="391" spans="2:6" ht="15">
      <c r="B391" s="646">
        <f>'ORÇAMENTO '!F658</f>
        <v>0</v>
      </c>
      <c r="C391" s="647">
        <f>IFERROR(IF(OR($B391="",$B391=0),'ORÇAMENTO '!I658,VLOOKUP($B391,'ORÇAMENTO '!$F$21:$N$450,4,FALSE)),"")</f>
        <v>0</v>
      </c>
      <c r="D391" s="648" t="str">
        <f ca="1">IFERROR(IF(VLOOKUP($B391,'ORÇAMENTO '!$F$21:$P$993,11,FALSE)=0,"",VLOOKUP($B391,'ORÇAMENTO '!$F$21:$P$993,11,FALSE)),"")</f>
        <v/>
      </c>
      <c r="E391" s="649" t="str">
        <f ca="1">IFERROR(IF(VLOOKUP($B391,'ORÇAMENTO '!$F$21:$N$993,6,FALSE)=0,"",VLOOKUP($B391,'ORÇAMENTO '!$F$21:$N$993,6,FALSE)),"")</f>
        <v/>
      </c>
      <c r="F391" s="649" t="str">
        <f ca="1">IFERROR(IF(VLOOKUP($B391,'ORÇAMENTO '!$F$21:$N$993,5,FALSE)=0,"",VLOOKUP($B391,'ORÇAMENTO '!$F$21:$N$993,5,FALSE)),"")</f>
        <v/>
      </c>
    </row>
    <row r="392" spans="2:6" ht="15">
      <c r="B392" s="646">
        <f>'ORÇAMENTO '!F659</f>
        <v>0</v>
      </c>
      <c r="C392" s="647">
        <f>IFERROR(IF(OR($B392="",$B392=0),'ORÇAMENTO '!I659,VLOOKUP($B392,'ORÇAMENTO '!$F$21:$N$450,4,FALSE)),"")</f>
        <v>0</v>
      </c>
      <c r="D392" s="648" t="str">
        <f ca="1">IFERROR(IF(VLOOKUP($B392,'ORÇAMENTO '!$F$21:$P$993,11,FALSE)=0,"",VLOOKUP($B392,'ORÇAMENTO '!$F$21:$P$993,11,FALSE)),"")</f>
        <v/>
      </c>
      <c r="E392" s="649" t="str">
        <f ca="1">IFERROR(IF(VLOOKUP($B392,'ORÇAMENTO '!$F$21:$N$993,6,FALSE)=0,"",VLOOKUP($B392,'ORÇAMENTO '!$F$21:$N$993,6,FALSE)),"")</f>
        <v/>
      </c>
      <c r="F392" s="649" t="str">
        <f ca="1">IFERROR(IF(VLOOKUP($B392,'ORÇAMENTO '!$F$21:$N$993,5,FALSE)=0,"",VLOOKUP($B392,'ORÇAMENTO '!$F$21:$N$993,5,FALSE)),"")</f>
        <v/>
      </c>
    </row>
    <row r="393" spans="2:6" ht="15">
      <c r="B393" s="646">
        <f>'ORÇAMENTO '!F660</f>
        <v>0</v>
      </c>
      <c r="C393" s="647">
        <f>IFERROR(IF(OR($B393="",$B393=0),'ORÇAMENTO '!I660,VLOOKUP($B393,'ORÇAMENTO '!$F$21:$N$450,4,FALSE)),"")</f>
        <v>0</v>
      </c>
      <c r="D393" s="648" t="str">
        <f ca="1">IFERROR(IF(VLOOKUP($B393,'ORÇAMENTO '!$F$21:$P$993,11,FALSE)=0,"",VLOOKUP($B393,'ORÇAMENTO '!$F$21:$P$993,11,FALSE)),"")</f>
        <v/>
      </c>
      <c r="E393" s="649" t="str">
        <f ca="1">IFERROR(IF(VLOOKUP($B393,'ORÇAMENTO '!$F$21:$N$993,6,FALSE)=0,"",VLOOKUP($B393,'ORÇAMENTO '!$F$21:$N$993,6,FALSE)),"")</f>
        <v/>
      </c>
      <c r="F393" s="649" t="str">
        <f ca="1">IFERROR(IF(VLOOKUP($B393,'ORÇAMENTO '!$F$21:$N$993,5,FALSE)=0,"",VLOOKUP($B393,'ORÇAMENTO '!$F$21:$N$993,5,FALSE)),"")</f>
        <v/>
      </c>
    </row>
    <row r="394" spans="2:6" ht="15">
      <c r="B394" s="646">
        <f>'ORÇAMENTO '!F661</f>
        <v>0</v>
      </c>
      <c r="C394" s="647">
        <f>IFERROR(IF(OR($B394="",$B394=0),'ORÇAMENTO '!I661,VLOOKUP($B394,'ORÇAMENTO '!$F$21:$N$450,4,FALSE)),"")</f>
        <v>0</v>
      </c>
      <c r="D394" s="648" t="str">
        <f ca="1">IFERROR(IF(VLOOKUP($B394,'ORÇAMENTO '!$F$21:$P$993,11,FALSE)=0,"",VLOOKUP($B394,'ORÇAMENTO '!$F$21:$P$993,11,FALSE)),"")</f>
        <v/>
      </c>
      <c r="E394" s="649" t="str">
        <f ca="1">IFERROR(IF(VLOOKUP($B394,'ORÇAMENTO '!$F$21:$N$993,6,FALSE)=0,"",VLOOKUP($B394,'ORÇAMENTO '!$F$21:$N$993,6,FALSE)),"")</f>
        <v/>
      </c>
      <c r="F394" s="649" t="str">
        <f ca="1">IFERROR(IF(VLOOKUP($B394,'ORÇAMENTO '!$F$21:$N$993,5,FALSE)=0,"",VLOOKUP($B394,'ORÇAMENTO '!$F$21:$N$993,5,FALSE)),"")</f>
        <v/>
      </c>
    </row>
    <row r="395" spans="2:6" ht="15">
      <c r="B395" s="646">
        <f>'ORÇAMENTO '!F662</f>
        <v>0</v>
      </c>
      <c r="C395" s="647">
        <f>IFERROR(IF(OR($B395="",$B395=0),'ORÇAMENTO '!I662,VLOOKUP($B395,'ORÇAMENTO '!$F$21:$N$450,4,FALSE)),"")</f>
        <v>0</v>
      </c>
      <c r="D395" s="648" t="str">
        <f ca="1">IFERROR(IF(VLOOKUP($B395,'ORÇAMENTO '!$F$21:$P$993,11,FALSE)=0,"",VLOOKUP($B395,'ORÇAMENTO '!$F$21:$P$993,11,FALSE)),"")</f>
        <v/>
      </c>
      <c r="E395" s="649" t="str">
        <f ca="1">IFERROR(IF(VLOOKUP($B395,'ORÇAMENTO '!$F$21:$N$993,6,FALSE)=0,"",VLOOKUP($B395,'ORÇAMENTO '!$F$21:$N$993,6,FALSE)),"")</f>
        <v/>
      </c>
      <c r="F395" s="649" t="str">
        <f ca="1">IFERROR(IF(VLOOKUP($B395,'ORÇAMENTO '!$F$21:$N$993,5,FALSE)=0,"",VLOOKUP($B395,'ORÇAMENTO '!$F$21:$N$993,5,FALSE)),"")</f>
        <v/>
      </c>
    </row>
    <row r="396" spans="2:6" ht="15">
      <c r="B396" s="646">
        <f>'ORÇAMENTO '!F663</f>
        <v>0</v>
      </c>
      <c r="C396" s="647">
        <f>IFERROR(IF(OR($B396="",$B396=0),'ORÇAMENTO '!I663,VLOOKUP($B396,'ORÇAMENTO '!$F$21:$N$450,4,FALSE)),"")</f>
        <v>0</v>
      </c>
      <c r="D396" s="648" t="str">
        <f ca="1">IFERROR(IF(VLOOKUP($B396,'ORÇAMENTO '!$F$21:$P$993,11,FALSE)=0,"",VLOOKUP($B396,'ORÇAMENTO '!$F$21:$P$993,11,FALSE)),"")</f>
        <v/>
      </c>
      <c r="E396" s="649" t="str">
        <f ca="1">IFERROR(IF(VLOOKUP($B396,'ORÇAMENTO '!$F$21:$N$993,6,FALSE)=0,"",VLOOKUP($B396,'ORÇAMENTO '!$F$21:$N$993,6,FALSE)),"")</f>
        <v/>
      </c>
      <c r="F396" s="649" t="str">
        <f ca="1">IFERROR(IF(VLOOKUP($B396,'ORÇAMENTO '!$F$21:$N$993,5,FALSE)=0,"",VLOOKUP($B396,'ORÇAMENTO '!$F$21:$N$993,5,FALSE)),"")</f>
        <v/>
      </c>
    </row>
    <row r="397" spans="2:6" ht="15">
      <c r="B397" s="646">
        <f>'ORÇAMENTO '!F664</f>
        <v>0</v>
      </c>
      <c r="C397" s="647">
        <f>IFERROR(IF(OR($B397="",$B397=0),'ORÇAMENTO '!I664,VLOOKUP($B397,'ORÇAMENTO '!$F$21:$N$450,4,FALSE)),"")</f>
        <v>0</v>
      </c>
      <c r="D397" s="648" t="str">
        <f ca="1">IFERROR(IF(VLOOKUP($B397,'ORÇAMENTO '!$F$21:$P$993,11,FALSE)=0,"",VLOOKUP($B397,'ORÇAMENTO '!$F$21:$P$993,11,FALSE)),"")</f>
        <v/>
      </c>
      <c r="E397" s="649" t="str">
        <f ca="1">IFERROR(IF(VLOOKUP($B397,'ORÇAMENTO '!$F$21:$N$993,6,FALSE)=0,"",VLOOKUP($B397,'ORÇAMENTO '!$F$21:$N$993,6,FALSE)),"")</f>
        <v/>
      </c>
      <c r="F397" s="649" t="str">
        <f ca="1">IFERROR(IF(VLOOKUP($B397,'ORÇAMENTO '!$F$21:$N$993,5,FALSE)=0,"",VLOOKUP($B397,'ORÇAMENTO '!$F$21:$N$993,5,FALSE)),"")</f>
        <v/>
      </c>
    </row>
    <row r="398" spans="2:6" ht="15">
      <c r="B398" s="646">
        <f>'ORÇAMENTO '!F665</f>
        <v>0</v>
      </c>
      <c r="C398" s="647">
        <f>IFERROR(IF(OR($B398="",$B398=0),'ORÇAMENTO '!I665,VLOOKUP($B398,'ORÇAMENTO '!$F$21:$N$450,4,FALSE)),"")</f>
        <v>0</v>
      </c>
      <c r="D398" s="648" t="str">
        <f ca="1">IFERROR(IF(VLOOKUP($B398,'ORÇAMENTO '!$F$21:$P$993,11,FALSE)=0,"",VLOOKUP($B398,'ORÇAMENTO '!$F$21:$P$993,11,FALSE)),"")</f>
        <v/>
      </c>
      <c r="E398" s="649" t="str">
        <f ca="1">IFERROR(IF(VLOOKUP($B398,'ORÇAMENTO '!$F$21:$N$993,6,FALSE)=0,"",VLOOKUP($B398,'ORÇAMENTO '!$F$21:$N$993,6,FALSE)),"")</f>
        <v/>
      </c>
      <c r="F398" s="649" t="str">
        <f ca="1">IFERROR(IF(VLOOKUP($B398,'ORÇAMENTO '!$F$21:$N$993,5,FALSE)=0,"",VLOOKUP($B398,'ORÇAMENTO '!$F$21:$N$993,5,FALSE)),"")</f>
        <v/>
      </c>
    </row>
    <row r="399" spans="2:6" ht="15">
      <c r="B399" s="646">
        <f>'ORÇAMENTO '!F666</f>
        <v>0</v>
      </c>
      <c r="C399" s="647">
        <f>IFERROR(IF(OR($B399="",$B399=0),'ORÇAMENTO '!I666,VLOOKUP($B399,'ORÇAMENTO '!$F$21:$N$450,4,FALSE)),"")</f>
        <v>0</v>
      </c>
      <c r="D399" s="648" t="str">
        <f ca="1">IFERROR(IF(VLOOKUP($B399,'ORÇAMENTO '!$F$21:$P$993,11,FALSE)=0,"",VLOOKUP($B399,'ORÇAMENTO '!$F$21:$P$993,11,FALSE)),"")</f>
        <v/>
      </c>
      <c r="E399" s="649" t="str">
        <f ca="1">IFERROR(IF(VLOOKUP($B399,'ORÇAMENTO '!$F$21:$N$993,6,FALSE)=0,"",VLOOKUP($B399,'ORÇAMENTO '!$F$21:$N$993,6,FALSE)),"")</f>
        <v/>
      </c>
      <c r="F399" s="649" t="str">
        <f ca="1">IFERROR(IF(VLOOKUP($B399,'ORÇAMENTO '!$F$21:$N$993,5,FALSE)=0,"",VLOOKUP($B399,'ORÇAMENTO '!$F$21:$N$993,5,FALSE)),"")</f>
        <v/>
      </c>
    </row>
    <row r="400" spans="2:6" ht="15">
      <c r="B400" s="646">
        <f>'ORÇAMENTO '!F667</f>
        <v>0</v>
      </c>
      <c r="C400" s="647">
        <f>IFERROR(IF(OR($B400="",$B400=0),'ORÇAMENTO '!I667,VLOOKUP($B400,'ORÇAMENTO '!$F$21:$N$450,4,FALSE)),"")</f>
        <v>0</v>
      </c>
      <c r="D400" s="648" t="str">
        <f ca="1">IFERROR(IF(VLOOKUP($B400,'ORÇAMENTO '!$F$21:$P$993,11,FALSE)=0,"",VLOOKUP($B400,'ORÇAMENTO '!$F$21:$P$993,11,FALSE)),"")</f>
        <v/>
      </c>
      <c r="E400" s="649" t="str">
        <f ca="1">IFERROR(IF(VLOOKUP($B400,'ORÇAMENTO '!$F$21:$N$993,6,FALSE)=0,"",VLOOKUP($B400,'ORÇAMENTO '!$F$21:$N$993,6,FALSE)),"")</f>
        <v/>
      </c>
      <c r="F400" s="649" t="str">
        <f ca="1">IFERROR(IF(VLOOKUP($B400,'ORÇAMENTO '!$F$21:$N$993,5,FALSE)=0,"",VLOOKUP($B400,'ORÇAMENTO '!$F$21:$N$993,5,FALSE)),"")</f>
        <v/>
      </c>
    </row>
    <row r="401" spans="2:6" ht="15">
      <c r="B401" s="646">
        <f>'ORÇAMENTO '!F668</f>
        <v>0</v>
      </c>
      <c r="C401" s="647">
        <f>IFERROR(IF(OR($B401="",$B401=0),'ORÇAMENTO '!I668,VLOOKUP($B401,'ORÇAMENTO '!$F$21:$N$450,4,FALSE)),"")</f>
        <v>0</v>
      </c>
      <c r="D401" s="648" t="str">
        <f ca="1">IFERROR(IF(VLOOKUP($B401,'ORÇAMENTO '!$F$21:$P$993,11,FALSE)=0,"",VLOOKUP($B401,'ORÇAMENTO '!$F$21:$P$993,11,FALSE)),"")</f>
        <v/>
      </c>
      <c r="E401" s="649" t="str">
        <f ca="1">IFERROR(IF(VLOOKUP($B401,'ORÇAMENTO '!$F$21:$N$993,6,FALSE)=0,"",VLOOKUP($B401,'ORÇAMENTO '!$F$21:$N$993,6,FALSE)),"")</f>
        <v/>
      </c>
      <c r="F401" s="649" t="str">
        <f ca="1">IFERROR(IF(VLOOKUP($B401,'ORÇAMENTO '!$F$21:$N$993,5,FALSE)=0,"",VLOOKUP($B401,'ORÇAMENTO '!$F$21:$N$993,5,FALSE)),"")</f>
        <v/>
      </c>
    </row>
    <row r="402" spans="2:6" ht="15">
      <c r="B402" s="646">
        <f>'ORÇAMENTO '!F669</f>
        <v>0</v>
      </c>
      <c r="C402" s="647">
        <f>IFERROR(IF(OR($B402="",$B402=0),'ORÇAMENTO '!I669,VLOOKUP($B402,'ORÇAMENTO '!$F$21:$N$450,4,FALSE)),"")</f>
        <v>0</v>
      </c>
      <c r="D402" s="648" t="str">
        <f ca="1">IFERROR(IF(VLOOKUP($B402,'ORÇAMENTO '!$F$21:$P$993,11,FALSE)=0,"",VLOOKUP($B402,'ORÇAMENTO '!$F$21:$P$993,11,FALSE)),"")</f>
        <v/>
      </c>
      <c r="E402" s="649" t="str">
        <f ca="1">IFERROR(IF(VLOOKUP($B402,'ORÇAMENTO '!$F$21:$N$993,6,FALSE)=0,"",VLOOKUP($B402,'ORÇAMENTO '!$F$21:$N$993,6,FALSE)),"")</f>
        <v/>
      </c>
      <c r="F402" s="649" t="str">
        <f ca="1">IFERROR(IF(VLOOKUP($B402,'ORÇAMENTO '!$F$21:$N$993,5,FALSE)=0,"",VLOOKUP($B402,'ORÇAMENTO '!$F$21:$N$993,5,FALSE)),"")</f>
        <v/>
      </c>
    </row>
    <row r="403" spans="2:6" ht="15">
      <c r="B403" s="646">
        <f>'ORÇAMENTO '!F670</f>
        <v>0</v>
      </c>
      <c r="C403" s="647">
        <f>IFERROR(IF(OR($B403="",$B403=0),'ORÇAMENTO '!I670,VLOOKUP($B403,'ORÇAMENTO '!$F$21:$N$450,4,FALSE)),"")</f>
        <v>0</v>
      </c>
      <c r="D403" s="648" t="str">
        <f ca="1">IFERROR(IF(VLOOKUP($B403,'ORÇAMENTO '!$F$21:$P$993,11,FALSE)=0,"",VLOOKUP($B403,'ORÇAMENTO '!$F$21:$P$993,11,FALSE)),"")</f>
        <v/>
      </c>
      <c r="E403" s="649" t="str">
        <f ca="1">IFERROR(IF(VLOOKUP($B403,'ORÇAMENTO '!$F$21:$N$993,6,FALSE)=0,"",VLOOKUP($B403,'ORÇAMENTO '!$F$21:$N$993,6,FALSE)),"")</f>
        <v/>
      </c>
      <c r="F403" s="649" t="str">
        <f ca="1">IFERROR(IF(VLOOKUP($B403,'ORÇAMENTO '!$F$21:$N$993,5,FALSE)=0,"",VLOOKUP($B403,'ORÇAMENTO '!$F$21:$N$993,5,FALSE)),"")</f>
        <v/>
      </c>
    </row>
    <row r="404" spans="2:6" ht="15">
      <c r="B404" s="646">
        <f>'ORÇAMENTO '!F671</f>
        <v>0</v>
      </c>
      <c r="C404" s="647">
        <f>IFERROR(IF(OR($B404="",$B404=0),'ORÇAMENTO '!I671,VLOOKUP($B404,'ORÇAMENTO '!$F$21:$N$450,4,FALSE)),"")</f>
        <v>0</v>
      </c>
      <c r="D404" s="648" t="str">
        <f ca="1">IFERROR(IF(VLOOKUP($B404,'ORÇAMENTO '!$F$21:$P$993,11,FALSE)=0,"",VLOOKUP($B404,'ORÇAMENTO '!$F$21:$P$993,11,FALSE)),"")</f>
        <v/>
      </c>
      <c r="E404" s="649" t="str">
        <f ca="1">IFERROR(IF(VLOOKUP($B404,'ORÇAMENTO '!$F$21:$N$993,6,FALSE)=0,"",VLOOKUP($B404,'ORÇAMENTO '!$F$21:$N$993,6,FALSE)),"")</f>
        <v/>
      </c>
      <c r="F404" s="649" t="str">
        <f ca="1">IFERROR(IF(VLOOKUP($B404,'ORÇAMENTO '!$F$21:$N$993,5,FALSE)=0,"",VLOOKUP($B404,'ORÇAMENTO '!$F$21:$N$993,5,FALSE)),"")</f>
        <v/>
      </c>
    </row>
    <row r="405" spans="2:6" ht="15">
      <c r="B405" s="646">
        <f>'ORÇAMENTO '!F672</f>
        <v>0</v>
      </c>
      <c r="C405" s="647">
        <f>IFERROR(IF(OR($B405="",$B405=0),'ORÇAMENTO '!I672,VLOOKUP($B405,'ORÇAMENTO '!$F$21:$N$450,4,FALSE)),"")</f>
        <v>0</v>
      </c>
      <c r="D405" s="648" t="str">
        <f ca="1">IFERROR(IF(VLOOKUP($B405,'ORÇAMENTO '!$F$21:$P$993,11,FALSE)=0,"",VLOOKUP($B405,'ORÇAMENTO '!$F$21:$P$993,11,FALSE)),"")</f>
        <v/>
      </c>
      <c r="E405" s="649" t="str">
        <f ca="1">IFERROR(IF(VLOOKUP($B405,'ORÇAMENTO '!$F$21:$N$993,6,FALSE)=0,"",VLOOKUP($B405,'ORÇAMENTO '!$F$21:$N$993,6,FALSE)),"")</f>
        <v/>
      </c>
      <c r="F405" s="649" t="str">
        <f ca="1">IFERROR(IF(VLOOKUP($B405,'ORÇAMENTO '!$F$21:$N$993,5,FALSE)=0,"",VLOOKUP($B405,'ORÇAMENTO '!$F$21:$N$993,5,FALSE)),"")</f>
        <v/>
      </c>
    </row>
    <row r="406" spans="2:6" ht="15">
      <c r="B406" s="646">
        <f>'ORÇAMENTO '!F673</f>
        <v>0</v>
      </c>
      <c r="C406" s="647">
        <f>IFERROR(IF(OR($B406="",$B406=0),'ORÇAMENTO '!I673,VLOOKUP($B406,'ORÇAMENTO '!$F$21:$N$450,4,FALSE)),"")</f>
        <v>0</v>
      </c>
      <c r="D406" s="648" t="str">
        <f ca="1">IFERROR(IF(VLOOKUP($B406,'ORÇAMENTO '!$F$21:$P$993,11,FALSE)=0,"",VLOOKUP($B406,'ORÇAMENTO '!$F$21:$P$993,11,FALSE)),"")</f>
        <v/>
      </c>
      <c r="E406" s="649" t="str">
        <f ca="1">IFERROR(IF(VLOOKUP($B406,'ORÇAMENTO '!$F$21:$N$993,6,FALSE)=0,"",VLOOKUP($B406,'ORÇAMENTO '!$F$21:$N$993,6,FALSE)),"")</f>
        <v/>
      </c>
      <c r="F406" s="649" t="str">
        <f ca="1">IFERROR(IF(VLOOKUP($B406,'ORÇAMENTO '!$F$21:$N$993,5,FALSE)=0,"",VLOOKUP($B406,'ORÇAMENTO '!$F$21:$N$993,5,FALSE)),"")</f>
        <v/>
      </c>
    </row>
    <row r="407" spans="2:6" ht="15">
      <c r="B407" s="646">
        <f>'ORÇAMENTO '!F674</f>
        <v>0</v>
      </c>
      <c r="C407" s="647">
        <f>IFERROR(IF(OR($B407="",$B407=0),'ORÇAMENTO '!I674,VLOOKUP($B407,'ORÇAMENTO '!$F$21:$N$450,4,FALSE)),"")</f>
        <v>0</v>
      </c>
      <c r="D407" s="648" t="str">
        <f ca="1">IFERROR(IF(VLOOKUP($B407,'ORÇAMENTO '!$F$21:$P$993,11,FALSE)=0,"",VLOOKUP($B407,'ORÇAMENTO '!$F$21:$P$993,11,FALSE)),"")</f>
        <v/>
      </c>
      <c r="E407" s="649" t="str">
        <f ca="1">IFERROR(IF(VLOOKUP($B407,'ORÇAMENTO '!$F$21:$N$993,6,FALSE)=0,"",VLOOKUP($B407,'ORÇAMENTO '!$F$21:$N$993,6,FALSE)),"")</f>
        <v/>
      </c>
      <c r="F407" s="649" t="str">
        <f ca="1">IFERROR(IF(VLOOKUP($B407,'ORÇAMENTO '!$F$21:$N$993,5,FALSE)=0,"",VLOOKUP($B407,'ORÇAMENTO '!$F$21:$N$993,5,FALSE)),"")</f>
        <v/>
      </c>
    </row>
    <row r="408" spans="2:6" ht="15">
      <c r="B408" s="646">
        <f>'ORÇAMENTO '!F675</f>
        <v>0</v>
      </c>
      <c r="C408" s="647">
        <f>IFERROR(IF(OR($B408="",$B408=0),'ORÇAMENTO '!I675,VLOOKUP($B408,'ORÇAMENTO '!$F$21:$N$450,4,FALSE)),"")</f>
        <v>0</v>
      </c>
      <c r="D408" s="648" t="str">
        <f ca="1">IFERROR(IF(VLOOKUP($B408,'ORÇAMENTO '!$F$21:$P$993,11,FALSE)=0,"",VLOOKUP($B408,'ORÇAMENTO '!$F$21:$P$993,11,FALSE)),"")</f>
        <v/>
      </c>
      <c r="E408" s="649" t="str">
        <f ca="1">IFERROR(IF(VLOOKUP($B408,'ORÇAMENTO '!$F$21:$N$993,6,FALSE)=0,"",VLOOKUP($B408,'ORÇAMENTO '!$F$21:$N$993,6,FALSE)),"")</f>
        <v/>
      </c>
      <c r="F408" s="649" t="str">
        <f ca="1">IFERROR(IF(VLOOKUP($B408,'ORÇAMENTO '!$F$21:$N$993,5,FALSE)=0,"",VLOOKUP($B408,'ORÇAMENTO '!$F$21:$N$993,5,FALSE)),"")</f>
        <v/>
      </c>
    </row>
    <row r="409" spans="2:6" ht="15">
      <c r="B409" s="646">
        <f>'ORÇAMENTO '!F676</f>
        <v>0</v>
      </c>
      <c r="C409" s="647">
        <f>IFERROR(IF(OR($B409="",$B409=0),'ORÇAMENTO '!I676,VLOOKUP($B409,'ORÇAMENTO '!$F$21:$N$450,4,FALSE)),"")</f>
        <v>0</v>
      </c>
      <c r="D409" s="648" t="str">
        <f ca="1">IFERROR(IF(VLOOKUP($B409,'ORÇAMENTO '!$F$21:$P$993,11,FALSE)=0,"",VLOOKUP($B409,'ORÇAMENTO '!$F$21:$P$993,11,FALSE)),"")</f>
        <v/>
      </c>
      <c r="E409" s="649" t="str">
        <f ca="1">IFERROR(IF(VLOOKUP($B409,'ORÇAMENTO '!$F$21:$N$993,6,FALSE)=0,"",VLOOKUP($B409,'ORÇAMENTO '!$F$21:$N$993,6,FALSE)),"")</f>
        <v/>
      </c>
      <c r="F409" s="649" t="str">
        <f ca="1">IFERROR(IF(VLOOKUP($B409,'ORÇAMENTO '!$F$21:$N$993,5,FALSE)=0,"",VLOOKUP($B409,'ORÇAMENTO '!$F$21:$N$993,5,FALSE)),"")</f>
        <v/>
      </c>
    </row>
    <row r="410" spans="2:6" ht="15">
      <c r="B410" s="646">
        <f>'ORÇAMENTO '!F677</f>
        <v>0</v>
      </c>
      <c r="C410" s="647">
        <f>IFERROR(IF(OR($B410="",$B410=0),'ORÇAMENTO '!I677,VLOOKUP($B410,'ORÇAMENTO '!$F$21:$N$450,4,FALSE)),"")</f>
        <v>0</v>
      </c>
      <c r="D410" s="648" t="str">
        <f ca="1">IFERROR(IF(VLOOKUP($B410,'ORÇAMENTO '!$F$21:$P$993,11,FALSE)=0,"",VLOOKUP($B410,'ORÇAMENTO '!$F$21:$P$993,11,FALSE)),"")</f>
        <v/>
      </c>
      <c r="E410" s="649" t="str">
        <f ca="1">IFERROR(IF(VLOOKUP($B410,'ORÇAMENTO '!$F$21:$N$993,6,FALSE)=0,"",VLOOKUP($B410,'ORÇAMENTO '!$F$21:$N$993,6,FALSE)),"")</f>
        <v/>
      </c>
      <c r="F410" s="649" t="str">
        <f ca="1">IFERROR(IF(VLOOKUP($B410,'ORÇAMENTO '!$F$21:$N$993,5,FALSE)=0,"",VLOOKUP($B410,'ORÇAMENTO '!$F$21:$N$993,5,FALSE)),"")</f>
        <v/>
      </c>
    </row>
    <row r="411" spans="2:6" ht="15">
      <c r="B411" s="646">
        <f>'ORÇAMENTO '!F678</f>
        <v>0</v>
      </c>
      <c r="C411" s="647">
        <f>IFERROR(IF(OR($B411="",$B411=0),'ORÇAMENTO '!I678,VLOOKUP($B411,'ORÇAMENTO '!$F$21:$N$450,4,FALSE)),"")</f>
        <v>0</v>
      </c>
      <c r="D411" s="648" t="str">
        <f ca="1">IFERROR(IF(VLOOKUP($B411,'ORÇAMENTO '!$F$21:$P$993,11,FALSE)=0,"",VLOOKUP($B411,'ORÇAMENTO '!$F$21:$P$993,11,FALSE)),"")</f>
        <v/>
      </c>
      <c r="E411" s="649" t="str">
        <f ca="1">IFERROR(IF(VLOOKUP($B411,'ORÇAMENTO '!$F$21:$N$993,6,FALSE)=0,"",VLOOKUP($B411,'ORÇAMENTO '!$F$21:$N$993,6,FALSE)),"")</f>
        <v/>
      </c>
      <c r="F411" s="649" t="str">
        <f ca="1">IFERROR(IF(VLOOKUP($B411,'ORÇAMENTO '!$F$21:$N$993,5,FALSE)=0,"",VLOOKUP($B411,'ORÇAMENTO '!$F$21:$N$993,5,FALSE)),"")</f>
        <v/>
      </c>
    </row>
    <row r="412" spans="2:6" ht="15">
      <c r="B412" s="646">
        <f>'ORÇAMENTO '!F679</f>
        <v>0</v>
      </c>
      <c r="C412" s="647">
        <f>IFERROR(IF(OR($B412="",$B412=0),'ORÇAMENTO '!I679,VLOOKUP($B412,'ORÇAMENTO '!$F$21:$N$450,4,FALSE)),"")</f>
        <v>0</v>
      </c>
      <c r="D412" s="648" t="str">
        <f ca="1">IFERROR(IF(VLOOKUP($B412,'ORÇAMENTO '!$F$21:$P$993,11,FALSE)=0,"",VLOOKUP($B412,'ORÇAMENTO '!$F$21:$P$993,11,FALSE)),"")</f>
        <v/>
      </c>
      <c r="E412" s="649" t="str">
        <f ca="1">IFERROR(IF(VLOOKUP($B412,'ORÇAMENTO '!$F$21:$N$993,6,FALSE)=0,"",VLOOKUP($B412,'ORÇAMENTO '!$F$21:$N$993,6,FALSE)),"")</f>
        <v/>
      </c>
      <c r="F412" s="649" t="str">
        <f ca="1">IFERROR(IF(VLOOKUP($B412,'ORÇAMENTO '!$F$21:$N$993,5,FALSE)=0,"",VLOOKUP($B412,'ORÇAMENTO '!$F$21:$N$993,5,FALSE)),"")</f>
        <v/>
      </c>
    </row>
    <row r="413" spans="2:6" ht="15">
      <c r="B413" s="646">
        <f>'ORÇAMENTO '!F680</f>
        <v>0</v>
      </c>
      <c r="C413" s="647">
        <f>IFERROR(IF(OR($B413="",$B413=0),'ORÇAMENTO '!I680,VLOOKUP($B413,'ORÇAMENTO '!$F$21:$N$450,4,FALSE)),"")</f>
        <v>0</v>
      </c>
      <c r="D413" s="648" t="str">
        <f ca="1">IFERROR(IF(VLOOKUP($B413,'ORÇAMENTO '!$F$21:$P$993,11,FALSE)=0,"",VLOOKUP($B413,'ORÇAMENTO '!$F$21:$P$993,11,FALSE)),"")</f>
        <v/>
      </c>
      <c r="E413" s="649" t="str">
        <f ca="1">IFERROR(IF(VLOOKUP($B413,'ORÇAMENTO '!$F$21:$N$993,6,FALSE)=0,"",VLOOKUP($B413,'ORÇAMENTO '!$F$21:$N$993,6,FALSE)),"")</f>
        <v/>
      </c>
      <c r="F413" s="649" t="str">
        <f ca="1">IFERROR(IF(VLOOKUP($B413,'ORÇAMENTO '!$F$21:$N$993,5,FALSE)=0,"",VLOOKUP($B413,'ORÇAMENTO '!$F$21:$N$993,5,FALSE)),"")</f>
        <v/>
      </c>
    </row>
    <row r="414" spans="2:6" ht="15">
      <c r="B414" s="646">
        <f>'ORÇAMENTO '!F681</f>
        <v>0</v>
      </c>
      <c r="C414" s="647">
        <f>IFERROR(IF(OR($B414="",$B414=0),'ORÇAMENTO '!I681,VLOOKUP($B414,'ORÇAMENTO '!$F$21:$N$450,4,FALSE)),"")</f>
        <v>0</v>
      </c>
      <c r="D414" s="648" t="str">
        <f ca="1">IFERROR(IF(VLOOKUP($B414,'ORÇAMENTO '!$F$21:$P$993,11,FALSE)=0,"",VLOOKUP($B414,'ORÇAMENTO '!$F$21:$P$993,11,FALSE)),"")</f>
        <v/>
      </c>
      <c r="E414" s="649" t="str">
        <f ca="1">IFERROR(IF(VLOOKUP($B414,'ORÇAMENTO '!$F$21:$N$993,6,FALSE)=0,"",VLOOKUP($B414,'ORÇAMENTO '!$F$21:$N$993,6,FALSE)),"")</f>
        <v/>
      </c>
      <c r="F414" s="649" t="str">
        <f ca="1">IFERROR(IF(VLOOKUP($B414,'ORÇAMENTO '!$F$21:$N$993,5,FALSE)=0,"",VLOOKUP($B414,'ORÇAMENTO '!$F$21:$N$993,5,FALSE)),"")</f>
        <v/>
      </c>
    </row>
    <row r="415" spans="2:6" ht="15">
      <c r="B415" s="646">
        <f>'ORÇAMENTO '!F682</f>
        <v>0</v>
      </c>
      <c r="C415" s="647">
        <f>IFERROR(IF(OR($B415="",$B415=0),'ORÇAMENTO '!I682,VLOOKUP($B415,'ORÇAMENTO '!$F$21:$N$450,4,FALSE)),"")</f>
        <v>0</v>
      </c>
      <c r="D415" s="648" t="str">
        <f ca="1">IFERROR(IF(VLOOKUP($B415,'ORÇAMENTO '!$F$21:$P$993,11,FALSE)=0,"",VLOOKUP($B415,'ORÇAMENTO '!$F$21:$P$993,11,FALSE)),"")</f>
        <v/>
      </c>
      <c r="E415" s="649" t="str">
        <f ca="1">IFERROR(IF(VLOOKUP($B415,'ORÇAMENTO '!$F$21:$N$993,6,FALSE)=0,"",VLOOKUP($B415,'ORÇAMENTO '!$F$21:$N$993,6,FALSE)),"")</f>
        <v/>
      </c>
      <c r="F415" s="649" t="str">
        <f ca="1">IFERROR(IF(VLOOKUP($B415,'ORÇAMENTO '!$F$21:$N$993,5,FALSE)=0,"",VLOOKUP($B415,'ORÇAMENTO '!$F$21:$N$993,5,FALSE)),"")</f>
        <v/>
      </c>
    </row>
    <row r="416" spans="2:6" ht="15">
      <c r="B416" s="646">
        <f>'ORÇAMENTO '!F683</f>
        <v>0</v>
      </c>
      <c r="C416" s="647">
        <f>IFERROR(IF(OR($B416="",$B416=0),'ORÇAMENTO '!I683,VLOOKUP($B416,'ORÇAMENTO '!$F$21:$N$450,4,FALSE)),"")</f>
        <v>0</v>
      </c>
      <c r="D416" s="648" t="str">
        <f ca="1">IFERROR(IF(VLOOKUP($B416,'ORÇAMENTO '!$F$21:$P$993,11,FALSE)=0,"",VLOOKUP($B416,'ORÇAMENTO '!$F$21:$P$993,11,FALSE)),"")</f>
        <v/>
      </c>
      <c r="E416" s="649" t="str">
        <f ca="1">IFERROR(IF(VLOOKUP($B416,'ORÇAMENTO '!$F$21:$N$993,6,FALSE)=0,"",VLOOKUP($B416,'ORÇAMENTO '!$F$21:$N$993,6,FALSE)),"")</f>
        <v/>
      </c>
      <c r="F416" s="649" t="str">
        <f ca="1">IFERROR(IF(VLOOKUP($B416,'ORÇAMENTO '!$F$21:$N$993,5,FALSE)=0,"",VLOOKUP($B416,'ORÇAMENTO '!$F$21:$N$993,5,FALSE)),"")</f>
        <v/>
      </c>
    </row>
    <row r="417" spans="2:6" ht="15">
      <c r="B417" s="646">
        <f>'ORÇAMENTO '!F684</f>
        <v>0</v>
      </c>
      <c r="C417" s="647">
        <f>IFERROR(IF(OR($B417="",$B417=0),'ORÇAMENTO '!I684,VLOOKUP($B417,'ORÇAMENTO '!$F$21:$N$450,4,FALSE)),"")</f>
        <v>0</v>
      </c>
      <c r="D417" s="648" t="str">
        <f ca="1">IFERROR(IF(VLOOKUP($B417,'ORÇAMENTO '!$F$21:$P$993,11,FALSE)=0,"",VLOOKUP($B417,'ORÇAMENTO '!$F$21:$P$993,11,FALSE)),"")</f>
        <v/>
      </c>
      <c r="E417" s="649" t="str">
        <f ca="1">IFERROR(IF(VLOOKUP($B417,'ORÇAMENTO '!$F$21:$N$993,6,FALSE)=0,"",VLOOKUP($B417,'ORÇAMENTO '!$F$21:$N$993,6,FALSE)),"")</f>
        <v/>
      </c>
      <c r="F417" s="649" t="str">
        <f ca="1">IFERROR(IF(VLOOKUP($B417,'ORÇAMENTO '!$F$21:$N$993,5,FALSE)=0,"",VLOOKUP($B417,'ORÇAMENTO '!$F$21:$N$993,5,FALSE)),"")</f>
        <v/>
      </c>
    </row>
    <row r="418" spans="2:6" ht="15">
      <c r="B418" s="646">
        <f>'ORÇAMENTO '!F685</f>
        <v>0</v>
      </c>
      <c r="C418" s="647">
        <f>IFERROR(IF(OR($B418="",$B418=0),'ORÇAMENTO '!I685,VLOOKUP($B418,'ORÇAMENTO '!$F$21:$N$450,4,FALSE)),"")</f>
        <v>0</v>
      </c>
      <c r="D418" s="648" t="str">
        <f ca="1">IFERROR(IF(VLOOKUP($B418,'ORÇAMENTO '!$F$21:$P$993,11,FALSE)=0,"",VLOOKUP($B418,'ORÇAMENTO '!$F$21:$P$993,11,FALSE)),"")</f>
        <v/>
      </c>
      <c r="E418" s="649" t="str">
        <f ca="1">IFERROR(IF(VLOOKUP($B418,'ORÇAMENTO '!$F$21:$N$993,6,FALSE)=0,"",VLOOKUP($B418,'ORÇAMENTO '!$F$21:$N$993,6,FALSE)),"")</f>
        <v/>
      </c>
      <c r="F418" s="649" t="str">
        <f ca="1">IFERROR(IF(VLOOKUP($B418,'ORÇAMENTO '!$F$21:$N$993,5,FALSE)=0,"",VLOOKUP($B418,'ORÇAMENTO '!$F$21:$N$993,5,FALSE)),"")</f>
        <v/>
      </c>
    </row>
    <row r="419" spans="2:6" ht="15">
      <c r="B419" s="646">
        <f>'ORÇAMENTO '!F686</f>
        <v>0</v>
      </c>
      <c r="C419" s="647">
        <f>IFERROR(IF(OR($B419="",$B419=0),'ORÇAMENTO '!I686,VLOOKUP($B419,'ORÇAMENTO '!$F$21:$N$450,4,FALSE)),"")</f>
        <v>0</v>
      </c>
      <c r="D419" s="648" t="str">
        <f ca="1">IFERROR(IF(VLOOKUP($B419,'ORÇAMENTO '!$F$21:$P$993,11,FALSE)=0,"",VLOOKUP($B419,'ORÇAMENTO '!$F$21:$P$993,11,FALSE)),"")</f>
        <v/>
      </c>
      <c r="E419" s="649" t="str">
        <f ca="1">IFERROR(IF(VLOOKUP($B419,'ORÇAMENTO '!$F$21:$N$993,6,FALSE)=0,"",VLOOKUP($B419,'ORÇAMENTO '!$F$21:$N$993,6,FALSE)),"")</f>
        <v/>
      </c>
      <c r="F419" s="649" t="str">
        <f ca="1">IFERROR(IF(VLOOKUP($B419,'ORÇAMENTO '!$F$21:$N$993,5,FALSE)=0,"",VLOOKUP($B419,'ORÇAMENTO '!$F$21:$N$993,5,FALSE)),"")</f>
        <v/>
      </c>
    </row>
    <row r="420" spans="2:6" ht="15">
      <c r="B420" s="646">
        <f>'ORÇAMENTO '!F687</f>
        <v>0</v>
      </c>
      <c r="C420" s="647">
        <f>IFERROR(IF(OR($B420="",$B420=0),'ORÇAMENTO '!I687,VLOOKUP($B420,'ORÇAMENTO '!$F$21:$N$450,4,FALSE)),"")</f>
        <v>0</v>
      </c>
      <c r="D420" s="648" t="str">
        <f ca="1">IFERROR(IF(VLOOKUP($B420,'ORÇAMENTO '!$F$21:$P$993,11,FALSE)=0,"",VLOOKUP($B420,'ORÇAMENTO '!$F$21:$P$993,11,FALSE)),"")</f>
        <v/>
      </c>
      <c r="E420" s="649" t="str">
        <f ca="1">IFERROR(IF(VLOOKUP($B420,'ORÇAMENTO '!$F$21:$N$993,6,FALSE)=0,"",VLOOKUP($B420,'ORÇAMENTO '!$F$21:$N$993,6,FALSE)),"")</f>
        <v/>
      </c>
      <c r="F420" s="649" t="str">
        <f ca="1">IFERROR(IF(VLOOKUP($B420,'ORÇAMENTO '!$F$21:$N$993,5,FALSE)=0,"",VLOOKUP($B420,'ORÇAMENTO '!$F$21:$N$993,5,FALSE)),"")</f>
        <v/>
      </c>
    </row>
    <row r="421" spans="2:6" ht="15">
      <c r="B421" s="646">
        <f>'ORÇAMENTO '!F688</f>
        <v>0</v>
      </c>
      <c r="C421" s="647">
        <f>IFERROR(IF(OR($B421="",$B421=0),'ORÇAMENTO '!I688,VLOOKUP($B421,'ORÇAMENTO '!$F$21:$N$450,4,FALSE)),"")</f>
        <v>0</v>
      </c>
      <c r="D421" s="648" t="str">
        <f ca="1">IFERROR(IF(VLOOKUP($B421,'ORÇAMENTO '!$F$21:$P$993,11,FALSE)=0,"",VLOOKUP($B421,'ORÇAMENTO '!$F$21:$P$993,11,FALSE)),"")</f>
        <v/>
      </c>
      <c r="E421" s="649" t="str">
        <f ca="1">IFERROR(IF(VLOOKUP($B421,'ORÇAMENTO '!$F$21:$N$993,6,FALSE)=0,"",VLOOKUP($B421,'ORÇAMENTO '!$F$21:$N$993,6,FALSE)),"")</f>
        <v/>
      </c>
      <c r="F421" s="649" t="str">
        <f ca="1">IFERROR(IF(VLOOKUP($B421,'ORÇAMENTO '!$F$21:$N$993,5,FALSE)=0,"",VLOOKUP($B421,'ORÇAMENTO '!$F$21:$N$993,5,FALSE)),"")</f>
        <v/>
      </c>
    </row>
    <row r="422" spans="2:6" ht="15">
      <c r="B422" s="646">
        <f>'ORÇAMENTO '!F689</f>
        <v>0</v>
      </c>
      <c r="C422" s="647">
        <f>IFERROR(IF(OR($B422="",$B422=0),'ORÇAMENTO '!I689,VLOOKUP($B422,'ORÇAMENTO '!$F$21:$N$450,4,FALSE)),"")</f>
        <v>0</v>
      </c>
      <c r="D422" s="648" t="str">
        <f ca="1">IFERROR(IF(VLOOKUP($B422,'ORÇAMENTO '!$F$21:$P$993,11,FALSE)=0,"",VLOOKUP($B422,'ORÇAMENTO '!$F$21:$P$993,11,FALSE)),"")</f>
        <v/>
      </c>
      <c r="E422" s="649" t="str">
        <f ca="1">IFERROR(IF(VLOOKUP($B422,'ORÇAMENTO '!$F$21:$N$993,6,FALSE)=0,"",VLOOKUP($B422,'ORÇAMENTO '!$F$21:$N$993,6,FALSE)),"")</f>
        <v/>
      </c>
      <c r="F422" s="649" t="str">
        <f ca="1">IFERROR(IF(VLOOKUP($B422,'ORÇAMENTO '!$F$21:$N$993,5,FALSE)=0,"",VLOOKUP($B422,'ORÇAMENTO '!$F$21:$N$993,5,FALSE)),"")</f>
        <v/>
      </c>
    </row>
    <row r="423" spans="2:6" ht="15">
      <c r="B423" s="646">
        <f>'ORÇAMENTO '!F690</f>
        <v>0</v>
      </c>
      <c r="C423" s="647">
        <f>IFERROR(IF(OR($B423="",$B423=0),'ORÇAMENTO '!I690,VLOOKUP($B423,'ORÇAMENTO '!$F$21:$N$450,4,FALSE)),"")</f>
        <v>0</v>
      </c>
      <c r="D423" s="648" t="str">
        <f ca="1">IFERROR(IF(VLOOKUP($B423,'ORÇAMENTO '!$F$21:$P$993,11,FALSE)=0,"",VLOOKUP($B423,'ORÇAMENTO '!$F$21:$P$993,11,FALSE)),"")</f>
        <v/>
      </c>
      <c r="E423" s="649" t="str">
        <f ca="1">IFERROR(IF(VLOOKUP($B423,'ORÇAMENTO '!$F$21:$N$993,6,FALSE)=0,"",VLOOKUP($B423,'ORÇAMENTO '!$F$21:$N$993,6,FALSE)),"")</f>
        <v/>
      </c>
      <c r="F423" s="649" t="str">
        <f ca="1">IFERROR(IF(VLOOKUP($B423,'ORÇAMENTO '!$F$21:$N$993,5,FALSE)=0,"",VLOOKUP($B423,'ORÇAMENTO '!$F$21:$N$993,5,FALSE)),"")</f>
        <v/>
      </c>
    </row>
    <row r="424" spans="2:6" ht="15">
      <c r="B424" s="646">
        <f>'ORÇAMENTO '!F691</f>
        <v>0</v>
      </c>
      <c r="C424" s="647">
        <f>IFERROR(IF(OR($B424="",$B424=0),'ORÇAMENTO '!I691,VLOOKUP($B424,'ORÇAMENTO '!$F$21:$N$450,4,FALSE)),"")</f>
        <v>0</v>
      </c>
      <c r="D424" s="648" t="str">
        <f ca="1">IFERROR(IF(VLOOKUP($B424,'ORÇAMENTO '!$F$21:$P$993,11,FALSE)=0,"",VLOOKUP($B424,'ORÇAMENTO '!$F$21:$P$993,11,FALSE)),"")</f>
        <v/>
      </c>
      <c r="E424" s="649" t="str">
        <f ca="1">IFERROR(IF(VLOOKUP($B424,'ORÇAMENTO '!$F$21:$N$993,6,FALSE)=0,"",VLOOKUP($B424,'ORÇAMENTO '!$F$21:$N$993,6,FALSE)),"")</f>
        <v/>
      </c>
      <c r="F424" s="649" t="str">
        <f ca="1">IFERROR(IF(VLOOKUP($B424,'ORÇAMENTO '!$F$21:$N$993,5,FALSE)=0,"",VLOOKUP($B424,'ORÇAMENTO '!$F$21:$N$993,5,FALSE)),"")</f>
        <v/>
      </c>
    </row>
    <row r="425" spans="2:6" ht="15">
      <c r="B425" s="646">
        <f>'ORÇAMENTO '!F692</f>
        <v>0</v>
      </c>
      <c r="C425" s="647">
        <f>IFERROR(IF(OR($B425="",$B425=0),'ORÇAMENTO '!I692,VLOOKUP($B425,'ORÇAMENTO '!$F$21:$N$450,4,FALSE)),"")</f>
        <v>0</v>
      </c>
      <c r="D425" s="648" t="str">
        <f ca="1">IFERROR(IF(VLOOKUP($B425,'ORÇAMENTO '!$F$21:$P$993,11,FALSE)=0,"",VLOOKUP($B425,'ORÇAMENTO '!$F$21:$P$993,11,FALSE)),"")</f>
        <v/>
      </c>
      <c r="E425" s="649" t="str">
        <f ca="1">IFERROR(IF(VLOOKUP($B425,'ORÇAMENTO '!$F$21:$N$993,6,FALSE)=0,"",VLOOKUP($B425,'ORÇAMENTO '!$F$21:$N$993,6,FALSE)),"")</f>
        <v/>
      </c>
      <c r="F425" s="649" t="str">
        <f ca="1">IFERROR(IF(VLOOKUP($B425,'ORÇAMENTO '!$F$21:$N$993,5,FALSE)=0,"",VLOOKUP($B425,'ORÇAMENTO '!$F$21:$N$993,5,FALSE)),"")</f>
        <v/>
      </c>
    </row>
    <row r="426" spans="2:6" ht="15">
      <c r="B426" s="646">
        <f>'ORÇAMENTO '!F693</f>
        <v>0</v>
      </c>
      <c r="C426" s="647">
        <f>IFERROR(IF(OR($B426="",$B426=0),'ORÇAMENTO '!I693,VLOOKUP($B426,'ORÇAMENTO '!$F$21:$N$450,4,FALSE)),"")</f>
        <v>0</v>
      </c>
      <c r="D426" s="648" t="str">
        <f ca="1">IFERROR(IF(VLOOKUP($B426,'ORÇAMENTO '!$F$21:$P$993,11,FALSE)=0,"",VLOOKUP($B426,'ORÇAMENTO '!$F$21:$P$993,11,FALSE)),"")</f>
        <v/>
      </c>
      <c r="E426" s="649" t="str">
        <f ca="1">IFERROR(IF(VLOOKUP($B426,'ORÇAMENTO '!$F$21:$N$993,6,FALSE)=0,"",VLOOKUP($B426,'ORÇAMENTO '!$F$21:$N$993,6,FALSE)),"")</f>
        <v/>
      </c>
      <c r="F426" s="649" t="str">
        <f ca="1">IFERROR(IF(VLOOKUP($B426,'ORÇAMENTO '!$F$21:$N$993,5,FALSE)=0,"",VLOOKUP($B426,'ORÇAMENTO '!$F$21:$N$993,5,FALSE)),"")</f>
        <v/>
      </c>
    </row>
    <row r="427" spans="2:6" ht="15">
      <c r="B427" s="646">
        <f>'ORÇAMENTO '!F694</f>
        <v>0</v>
      </c>
      <c r="C427" s="647">
        <f>IFERROR(IF(OR($B427="",$B427=0),'ORÇAMENTO '!I694,VLOOKUP($B427,'ORÇAMENTO '!$F$21:$N$450,4,FALSE)),"")</f>
        <v>0</v>
      </c>
      <c r="D427" s="648" t="str">
        <f ca="1">IFERROR(IF(VLOOKUP($B427,'ORÇAMENTO '!$F$21:$P$993,11,FALSE)=0,"",VLOOKUP($B427,'ORÇAMENTO '!$F$21:$P$993,11,FALSE)),"")</f>
        <v/>
      </c>
      <c r="E427" s="649" t="str">
        <f ca="1">IFERROR(IF(VLOOKUP($B427,'ORÇAMENTO '!$F$21:$N$993,6,FALSE)=0,"",VLOOKUP($B427,'ORÇAMENTO '!$F$21:$N$993,6,FALSE)),"")</f>
        <v/>
      </c>
      <c r="F427" s="649" t="str">
        <f ca="1">IFERROR(IF(VLOOKUP($B427,'ORÇAMENTO '!$F$21:$N$993,5,FALSE)=0,"",VLOOKUP($B427,'ORÇAMENTO '!$F$21:$N$993,5,FALSE)),"")</f>
        <v/>
      </c>
    </row>
    <row r="428" spans="2:6" ht="15">
      <c r="B428" s="646">
        <f>'ORÇAMENTO '!F695</f>
        <v>0</v>
      </c>
      <c r="C428" s="647">
        <f>IFERROR(IF(OR($B428="",$B428=0),'ORÇAMENTO '!I695,VLOOKUP($B428,'ORÇAMENTO '!$F$21:$N$450,4,FALSE)),"")</f>
        <v>0</v>
      </c>
      <c r="D428" s="648" t="str">
        <f ca="1">IFERROR(IF(VLOOKUP($B428,'ORÇAMENTO '!$F$21:$P$993,11,FALSE)=0,"",VLOOKUP($B428,'ORÇAMENTO '!$F$21:$P$993,11,FALSE)),"")</f>
        <v/>
      </c>
      <c r="E428" s="649" t="str">
        <f ca="1">IFERROR(IF(VLOOKUP($B428,'ORÇAMENTO '!$F$21:$N$993,6,FALSE)=0,"",VLOOKUP($B428,'ORÇAMENTO '!$F$21:$N$993,6,FALSE)),"")</f>
        <v/>
      </c>
      <c r="F428" s="649" t="str">
        <f ca="1">IFERROR(IF(VLOOKUP($B428,'ORÇAMENTO '!$F$21:$N$993,5,FALSE)=0,"",VLOOKUP($B428,'ORÇAMENTO '!$F$21:$N$993,5,FALSE)),"")</f>
        <v/>
      </c>
    </row>
    <row r="429" spans="2:6" ht="15">
      <c r="B429" s="646">
        <f>'ORÇAMENTO '!F696</f>
        <v>0</v>
      </c>
      <c r="C429" s="647">
        <f>IFERROR(IF(OR($B429="",$B429=0),'ORÇAMENTO '!I696,VLOOKUP($B429,'ORÇAMENTO '!$F$21:$N$450,4,FALSE)),"")</f>
        <v>0</v>
      </c>
      <c r="D429" s="648" t="str">
        <f ca="1">IFERROR(IF(VLOOKUP($B429,'ORÇAMENTO '!$F$21:$P$993,11,FALSE)=0,"",VLOOKUP($B429,'ORÇAMENTO '!$F$21:$P$993,11,FALSE)),"")</f>
        <v/>
      </c>
      <c r="E429" s="649" t="str">
        <f ca="1">IFERROR(IF(VLOOKUP($B429,'ORÇAMENTO '!$F$21:$N$993,6,FALSE)=0,"",VLOOKUP($B429,'ORÇAMENTO '!$F$21:$N$993,6,FALSE)),"")</f>
        <v/>
      </c>
      <c r="F429" s="649" t="str">
        <f ca="1">IFERROR(IF(VLOOKUP($B429,'ORÇAMENTO '!$F$21:$N$993,5,FALSE)=0,"",VLOOKUP($B429,'ORÇAMENTO '!$F$21:$N$993,5,FALSE)),"")</f>
        <v/>
      </c>
    </row>
    <row r="430" spans="2:6" ht="15">
      <c r="B430" s="646">
        <f>'ORÇAMENTO '!F697</f>
        <v>0</v>
      </c>
      <c r="C430" s="647">
        <f>IFERROR(IF(OR($B430="",$B430=0),'ORÇAMENTO '!I697,VLOOKUP($B430,'ORÇAMENTO '!$F$21:$N$450,4,FALSE)),"")</f>
        <v>0</v>
      </c>
      <c r="D430" s="648" t="str">
        <f ca="1">IFERROR(IF(VLOOKUP($B430,'ORÇAMENTO '!$F$21:$P$993,11,FALSE)=0,"",VLOOKUP($B430,'ORÇAMENTO '!$F$21:$P$993,11,FALSE)),"")</f>
        <v/>
      </c>
      <c r="E430" s="649" t="str">
        <f ca="1">IFERROR(IF(VLOOKUP($B430,'ORÇAMENTO '!$F$21:$N$993,6,FALSE)=0,"",VLOOKUP($B430,'ORÇAMENTO '!$F$21:$N$993,6,FALSE)),"")</f>
        <v/>
      </c>
      <c r="F430" s="649" t="str">
        <f ca="1">IFERROR(IF(VLOOKUP($B430,'ORÇAMENTO '!$F$21:$N$993,5,FALSE)=0,"",VLOOKUP($B430,'ORÇAMENTO '!$F$21:$N$993,5,FALSE)),"")</f>
        <v/>
      </c>
    </row>
    <row r="431" spans="2:6" ht="15">
      <c r="B431" s="646">
        <f>'ORÇAMENTO '!F698</f>
        <v>0</v>
      </c>
      <c r="C431" s="647">
        <f>IFERROR(IF(OR($B431="",$B431=0),'ORÇAMENTO '!I698,VLOOKUP($B431,'ORÇAMENTO '!$F$21:$N$450,4,FALSE)),"")</f>
        <v>0</v>
      </c>
      <c r="D431" s="648" t="str">
        <f ca="1">IFERROR(IF(VLOOKUP($B431,'ORÇAMENTO '!$F$21:$P$993,11,FALSE)=0,"",VLOOKUP($B431,'ORÇAMENTO '!$F$21:$P$993,11,FALSE)),"")</f>
        <v/>
      </c>
      <c r="E431" s="649" t="str">
        <f ca="1">IFERROR(IF(VLOOKUP($B431,'ORÇAMENTO '!$F$21:$N$993,6,FALSE)=0,"",VLOOKUP($B431,'ORÇAMENTO '!$F$21:$N$993,6,FALSE)),"")</f>
        <v/>
      </c>
      <c r="F431" s="649" t="str">
        <f ca="1">IFERROR(IF(VLOOKUP($B431,'ORÇAMENTO '!$F$21:$N$993,5,FALSE)=0,"",VLOOKUP($B431,'ORÇAMENTO '!$F$21:$N$993,5,FALSE)),"")</f>
        <v/>
      </c>
    </row>
    <row r="432" spans="2:6" ht="15">
      <c r="B432" s="646">
        <f>'ORÇAMENTO '!F699</f>
        <v>0</v>
      </c>
      <c r="C432" s="647">
        <f>IFERROR(IF(OR($B432="",$B432=0),'ORÇAMENTO '!I699,VLOOKUP($B432,'ORÇAMENTO '!$F$21:$N$450,4,FALSE)),"")</f>
        <v>0</v>
      </c>
      <c r="D432" s="648" t="str">
        <f ca="1">IFERROR(IF(VLOOKUP($B432,'ORÇAMENTO '!$F$21:$P$993,11,FALSE)=0,"",VLOOKUP($B432,'ORÇAMENTO '!$F$21:$P$993,11,FALSE)),"")</f>
        <v/>
      </c>
      <c r="E432" s="649" t="str">
        <f ca="1">IFERROR(IF(VLOOKUP($B432,'ORÇAMENTO '!$F$21:$N$993,6,FALSE)=0,"",VLOOKUP($B432,'ORÇAMENTO '!$F$21:$N$993,6,FALSE)),"")</f>
        <v/>
      </c>
      <c r="F432" s="649" t="str">
        <f ca="1">IFERROR(IF(VLOOKUP($B432,'ORÇAMENTO '!$F$21:$N$993,5,FALSE)=0,"",VLOOKUP($B432,'ORÇAMENTO '!$F$21:$N$993,5,FALSE)),"")</f>
        <v/>
      </c>
    </row>
    <row r="433" spans="2:6" ht="15">
      <c r="B433" s="646">
        <f>'ORÇAMENTO '!F700</f>
        <v>0</v>
      </c>
      <c r="C433" s="647">
        <f>IFERROR(IF(OR($B433="",$B433=0),'ORÇAMENTO '!I700,VLOOKUP($B433,'ORÇAMENTO '!$F$21:$N$450,4,FALSE)),"")</f>
        <v>0</v>
      </c>
      <c r="D433" s="648" t="str">
        <f ca="1">IFERROR(IF(VLOOKUP($B433,'ORÇAMENTO '!$F$21:$P$993,11,FALSE)=0,"",VLOOKUP($B433,'ORÇAMENTO '!$F$21:$P$993,11,FALSE)),"")</f>
        <v/>
      </c>
      <c r="E433" s="649" t="str">
        <f ca="1">IFERROR(IF(VLOOKUP($B433,'ORÇAMENTO '!$F$21:$N$993,6,FALSE)=0,"",VLOOKUP($B433,'ORÇAMENTO '!$F$21:$N$993,6,FALSE)),"")</f>
        <v/>
      </c>
      <c r="F433" s="649" t="str">
        <f ca="1">IFERROR(IF(VLOOKUP($B433,'ORÇAMENTO '!$F$21:$N$993,5,FALSE)=0,"",VLOOKUP($B433,'ORÇAMENTO '!$F$21:$N$993,5,FALSE)),"")</f>
        <v/>
      </c>
    </row>
    <row r="434" spans="2:6" ht="15">
      <c r="B434" s="646">
        <f>'ORÇAMENTO '!F701</f>
        <v>0</v>
      </c>
      <c r="C434" s="647">
        <f>IFERROR(IF(OR($B434="",$B434=0),'ORÇAMENTO '!I701,VLOOKUP($B434,'ORÇAMENTO '!$F$21:$N$450,4,FALSE)),"")</f>
        <v>0</v>
      </c>
      <c r="D434" s="648" t="str">
        <f ca="1">IFERROR(IF(VLOOKUP($B434,'ORÇAMENTO '!$F$21:$P$993,11,FALSE)=0,"",VLOOKUP($B434,'ORÇAMENTO '!$F$21:$P$993,11,FALSE)),"")</f>
        <v/>
      </c>
      <c r="E434" s="649" t="str">
        <f ca="1">IFERROR(IF(VLOOKUP($B434,'ORÇAMENTO '!$F$21:$N$993,6,FALSE)=0,"",VLOOKUP($B434,'ORÇAMENTO '!$F$21:$N$993,6,FALSE)),"")</f>
        <v/>
      </c>
      <c r="F434" s="649" t="str">
        <f ca="1">IFERROR(IF(VLOOKUP($B434,'ORÇAMENTO '!$F$21:$N$993,5,FALSE)=0,"",VLOOKUP($B434,'ORÇAMENTO '!$F$21:$N$993,5,FALSE)),"")</f>
        <v/>
      </c>
    </row>
    <row r="435" spans="2:6" ht="15">
      <c r="B435" s="646">
        <f>'ORÇAMENTO '!F702</f>
        <v>0</v>
      </c>
      <c r="C435" s="647">
        <f>IFERROR(IF(OR($B435="",$B435=0),'ORÇAMENTO '!I702,VLOOKUP($B435,'ORÇAMENTO '!$F$21:$N$450,4,FALSE)),"")</f>
        <v>0</v>
      </c>
      <c r="D435" s="648" t="str">
        <f ca="1">IFERROR(IF(VLOOKUP($B435,'ORÇAMENTO '!$F$21:$P$993,11,FALSE)=0,"",VLOOKUP($B435,'ORÇAMENTO '!$F$21:$P$993,11,FALSE)),"")</f>
        <v/>
      </c>
      <c r="E435" s="649" t="str">
        <f ca="1">IFERROR(IF(VLOOKUP($B435,'ORÇAMENTO '!$F$21:$N$993,6,FALSE)=0,"",VLOOKUP($B435,'ORÇAMENTO '!$F$21:$N$993,6,FALSE)),"")</f>
        <v/>
      </c>
      <c r="F435" s="649" t="str">
        <f ca="1">IFERROR(IF(VLOOKUP($B435,'ORÇAMENTO '!$F$21:$N$993,5,FALSE)=0,"",VLOOKUP($B435,'ORÇAMENTO '!$F$21:$N$993,5,FALSE)),"")</f>
        <v/>
      </c>
    </row>
    <row r="436" spans="2:6" ht="15">
      <c r="B436" s="646">
        <f>'ORÇAMENTO '!F703</f>
        <v>0</v>
      </c>
      <c r="C436" s="647">
        <f>IFERROR(IF(OR($B436="",$B436=0),'ORÇAMENTO '!I703,VLOOKUP($B436,'ORÇAMENTO '!$F$21:$N$450,4,FALSE)),"")</f>
        <v>0</v>
      </c>
      <c r="D436" s="648" t="str">
        <f ca="1">IFERROR(IF(VLOOKUP($B436,'ORÇAMENTO '!$F$21:$P$993,11,FALSE)=0,"",VLOOKUP($B436,'ORÇAMENTO '!$F$21:$P$993,11,FALSE)),"")</f>
        <v/>
      </c>
      <c r="E436" s="649" t="str">
        <f ca="1">IFERROR(IF(VLOOKUP($B436,'ORÇAMENTO '!$F$21:$N$993,6,FALSE)=0,"",VLOOKUP($B436,'ORÇAMENTO '!$F$21:$N$993,6,FALSE)),"")</f>
        <v/>
      </c>
      <c r="F436" s="649" t="str">
        <f ca="1">IFERROR(IF(VLOOKUP($B436,'ORÇAMENTO '!$F$21:$N$993,5,FALSE)=0,"",VLOOKUP($B436,'ORÇAMENTO '!$F$21:$N$993,5,FALSE)),"")</f>
        <v/>
      </c>
    </row>
    <row r="437" spans="2:6" ht="15">
      <c r="B437" s="646">
        <f>'ORÇAMENTO '!F704</f>
        <v>0</v>
      </c>
      <c r="C437" s="647">
        <f>IFERROR(IF(OR($B437="",$B437=0),'ORÇAMENTO '!I704,VLOOKUP($B437,'ORÇAMENTO '!$F$21:$N$450,4,FALSE)),"")</f>
        <v>0</v>
      </c>
      <c r="D437" s="648" t="str">
        <f ca="1">IFERROR(IF(VLOOKUP($B437,'ORÇAMENTO '!$F$21:$P$993,11,FALSE)=0,"",VLOOKUP($B437,'ORÇAMENTO '!$F$21:$P$993,11,FALSE)),"")</f>
        <v/>
      </c>
      <c r="E437" s="649" t="str">
        <f ca="1">IFERROR(IF(VLOOKUP($B437,'ORÇAMENTO '!$F$21:$N$993,6,FALSE)=0,"",VLOOKUP($B437,'ORÇAMENTO '!$F$21:$N$993,6,FALSE)),"")</f>
        <v/>
      </c>
      <c r="F437" s="649" t="str">
        <f ca="1">IFERROR(IF(VLOOKUP($B437,'ORÇAMENTO '!$F$21:$N$993,5,FALSE)=0,"",VLOOKUP($B437,'ORÇAMENTO '!$F$21:$N$993,5,FALSE)),"")</f>
        <v/>
      </c>
    </row>
    <row r="438" spans="2:6" ht="15">
      <c r="B438" s="646">
        <f>'ORÇAMENTO '!F705</f>
        <v>0</v>
      </c>
      <c r="C438" s="647">
        <f>IFERROR(IF(OR($B438="",$B438=0),'ORÇAMENTO '!I705,VLOOKUP($B438,'ORÇAMENTO '!$F$21:$N$450,4,FALSE)),"")</f>
        <v>0</v>
      </c>
      <c r="D438" s="648" t="str">
        <f ca="1">IFERROR(IF(VLOOKUP($B438,'ORÇAMENTO '!$F$21:$P$993,11,FALSE)=0,"",VLOOKUP($B438,'ORÇAMENTO '!$F$21:$P$993,11,FALSE)),"")</f>
        <v/>
      </c>
      <c r="E438" s="649" t="str">
        <f ca="1">IFERROR(IF(VLOOKUP($B438,'ORÇAMENTO '!$F$21:$N$993,6,FALSE)=0,"",VLOOKUP($B438,'ORÇAMENTO '!$F$21:$N$993,6,FALSE)),"")</f>
        <v/>
      </c>
      <c r="F438" s="649" t="str">
        <f ca="1">IFERROR(IF(VLOOKUP($B438,'ORÇAMENTO '!$F$21:$N$993,5,FALSE)=0,"",VLOOKUP($B438,'ORÇAMENTO '!$F$21:$N$993,5,FALSE)),"")</f>
        <v/>
      </c>
    </row>
    <row r="439" spans="2:6" ht="15">
      <c r="B439" s="646">
        <f>'ORÇAMENTO '!F706</f>
        <v>0</v>
      </c>
      <c r="C439" s="647">
        <f>IFERROR(IF(OR($B439="",$B439=0),'ORÇAMENTO '!I706,VLOOKUP($B439,'ORÇAMENTO '!$F$21:$N$450,4,FALSE)),"")</f>
        <v>0</v>
      </c>
      <c r="D439" s="648" t="str">
        <f ca="1">IFERROR(IF(VLOOKUP($B439,'ORÇAMENTO '!$F$21:$P$993,11,FALSE)=0,"",VLOOKUP($B439,'ORÇAMENTO '!$F$21:$P$993,11,FALSE)),"")</f>
        <v/>
      </c>
      <c r="E439" s="649" t="str">
        <f ca="1">IFERROR(IF(VLOOKUP($B439,'ORÇAMENTO '!$F$21:$N$993,6,FALSE)=0,"",VLOOKUP($B439,'ORÇAMENTO '!$F$21:$N$993,6,FALSE)),"")</f>
        <v/>
      </c>
      <c r="F439" s="649" t="str">
        <f ca="1">IFERROR(IF(VLOOKUP($B439,'ORÇAMENTO '!$F$21:$N$993,5,FALSE)=0,"",VLOOKUP($B439,'ORÇAMENTO '!$F$21:$N$993,5,FALSE)),"")</f>
        <v/>
      </c>
    </row>
    <row r="440" spans="2:6" ht="15">
      <c r="B440" s="646">
        <f>'ORÇAMENTO '!F707</f>
        <v>0</v>
      </c>
      <c r="C440" s="647">
        <f>IFERROR(IF(OR($B440="",$B440=0),'ORÇAMENTO '!I707,VLOOKUP($B440,'ORÇAMENTO '!$F$21:$N$450,4,FALSE)),"")</f>
        <v>0</v>
      </c>
      <c r="D440" s="648" t="str">
        <f ca="1">IFERROR(IF(VLOOKUP($B440,'ORÇAMENTO '!$F$21:$P$993,11,FALSE)=0,"",VLOOKUP($B440,'ORÇAMENTO '!$F$21:$P$993,11,FALSE)),"")</f>
        <v/>
      </c>
      <c r="E440" s="649" t="str">
        <f ca="1">IFERROR(IF(VLOOKUP($B440,'ORÇAMENTO '!$F$21:$N$993,6,FALSE)=0,"",VLOOKUP($B440,'ORÇAMENTO '!$F$21:$N$993,6,FALSE)),"")</f>
        <v/>
      </c>
      <c r="F440" s="649" t="str">
        <f ca="1">IFERROR(IF(VLOOKUP($B440,'ORÇAMENTO '!$F$21:$N$993,5,FALSE)=0,"",VLOOKUP($B440,'ORÇAMENTO '!$F$21:$N$993,5,FALSE)),"")</f>
        <v/>
      </c>
    </row>
    <row r="441" spans="2:6" ht="15">
      <c r="B441" s="646">
        <f>'ORÇAMENTO '!F708</f>
        <v>0</v>
      </c>
      <c r="C441" s="647">
        <f>IFERROR(IF(OR($B441="",$B441=0),'ORÇAMENTO '!I708,VLOOKUP($B441,'ORÇAMENTO '!$F$21:$N$450,4,FALSE)),"")</f>
        <v>0</v>
      </c>
      <c r="D441" s="648" t="str">
        <f ca="1">IFERROR(IF(VLOOKUP($B441,'ORÇAMENTO '!$F$21:$P$993,11,FALSE)=0,"",VLOOKUP($B441,'ORÇAMENTO '!$F$21:$P$993,11,FALSE)),"")</f>
        <v/>
      </c>
      <c r="E441" s="649" t="str">
        <f ca="1">IFERROR(IF(VLOOKUP($B441,'ORÇAMENTO '!$F$21:$N$993,6,FALSE)=0,"",VLOOKUP($B441,'ORÇAMENTO '!$F$21:$N$993,6,FALSE)),"")</f>
        <v/>
      </c>
      <c r="F441" s="649" t="str">
        <f ca="1">IFERROR(IF(VLOOKUP($B441,'ORÇAMENTO '!$F$21:$N$993,5,FALSE)=0,"",VLOOKUP($B441,'ORÇAMENTO '!$F$21:$N$993,5,FALSE)),"")</f>
        <v/>
      </c>
    </row>
    <row r="442" spans="2:6" ht="15">
      <c r="B442" s="646">
        <f>'ORÇAMENTO '!F709</f>
        <v>0</v>
      </c>
      <c r="C442" s="647">
        <f>IFERROR(IF(OR($B442="",$B442=0),'ORÇAMENTO '!I709,VLOOKUP($B442,'ORÇAMENTO '!$F$21:$N$450,4,FALSE)),"")</f>
        <v>0</v>
      </c>
      <c r="D442" s="648" t="str">
        <f ca="1">IFERROR(IF(VLOOKUP($B442,'ORÇAMENTO '!$F$21:$P$993,11,FALSE)=0,"",VLOOKUP($B442,'ORÇAMENTO '!$F$21:$P$993,11,FALSE)),"")</f>
        <v/>
      </c>
      <c r="E442" s="649" t="str">
        <f ca="1">IFERROR(IF(VLOOKUP($B442,'ORÇAMENTO '!$F$21:$N$993,6,FALSE)=0,"",VLOOKUP($B442,'ORÇAMENTO '!$F$21:$N$993,6,FALSE)),"")</f>
        <v/>
      </c>
      <c r="F442" s="649" t="str">
        <f ca="1">IFERROR(IF(VLOOKUP($B442,'ORÇAMENTO '!$F$21:$N$993,5,FALSE)=0,"",VLOOKUP($B442,'ORÇAMENTO '!$F$21:$N$993,5,FALSE)),"")</f>
        <v/>
      </c>
    </row>
    <row r="443" spans="2:6" ht="15">
      <c r="B443" s="646">
        <f>'ORÇAMENTO '!F710</f>
        <v>0</v>
      </c>
      <c r="C443" s="647">
        <f>IFERROR(IF(OR($B443="",$B443=0),'ORÇAMENTO '!I710,VLOOKUP($B443,'ORÇAMENTO '!$F$21:$N$450,4,FALSE)),"")</f>
        <v>0</v>
      </c>
      <c r="D443" s="648" t="str">
        <f ca="1">IFERROR(IF(VLOOKUP($B443,'ORÇAMENTO '!$F$21:$P$993,11,FALSE)=0,"",VLOOKUP($B443,'ORÇAMENTO '!$F$21:$P$993,11,FALSE)),"")</f>
        <v/>
      </c>
      <c r="E443" s="649" t="str">
        <f ca="1">IFERROR(IF(VLOOKUP($B443,'ORÇAMENTO '!$F$21:$N$993,6,FALSE)=0,"",VLOOKUP($B443,'ORÇAMENTO '!$F$21:$N$993,6,FALSE)),"")</f>
        <v/>
      </c>
      <c r="F443" s="649" t="str">
        <f ca="1">IFERROR(IF(VLOOKUP($B443,'ORÇAMENTO '!$F$21:$N$993,5,FALSE)=0,"",VLOOKUP($B443,'ORÇAMENTO '!$F$21:$N$993,5,FALSE)),"")</f>
        <v/>
      </c>
    </row>
    <row r="444" spans="2:6" ht="15">
      <c r="B444" s="646">
        <f>'ORÇAMENTO '!F711</f>
        <v>0</v>
      </c>
      <c r="C444" s="647">
        <f>IFERROR(IF(OR($B444="",$B444=0),'ORÇAMENTO '!I711,VLOOKUP($B444,'ORÇAMENTO '!$F$21:$N$450,4,FALSE)),"")</f>
        <v>0</v>
      </c>
      <c r="D444" s="648" t="str">
        <f ca="1">IFERROR(IF(VLOOKUP($B444,'ORÇAMENTO '!$F$21:$P$993,11,FALSE)=0,"",VLOOKUP($B444,'ORÇAMENTO '!$F$21:$P$993,11,FALSE)),"")</f>
        <v/>
      </c>
      <c r="E444" s="649" t="str">
        <f ca="1">IFERROR(IF(VLOOKUP($B444,'ORÇAMENTO '!$F$21:$N$993,6,FALSE)=0,"",VLOOKUP($B444,'ORÇAMENTO '!$F$21:$N$993,6,FALSE)),"")</f>
        <v/>
      </c>
      <c r="F444" s="649" t="str">
        <f ca="1">IFERROR(IF(VLOOKUP($B444,'ORÇAMENTO '!$F$21:$N$993,5,FALSE)=0,"",VLOOKUP($B444,'ORÇAMENTO '!$F$21:$N$993,5,FALSE)),"")</f>
        <v/>
      </c>
    </row>
    <row r="445" spans="2:6" ht="15">
      <c r="B445" s="646">
        <f>'ORÇAMENTO '!F712</f>
        <v>0</v>
      </c>
      <c r="C445" s="647">
        <f>IFERROR(IF(OR($B445="",$B445=0),'ORÇAMENTO '!I712,VLOOKUP($B445,'ORÇAMENTO '!$F$21:$N$450,4,FALSE)),"")</f>
        <v>0</v>
      </c>
      <c r="D445" s="648" t="str">
        <f ca="1">IFERROR(IF(VLOOKUP($B445,'ORÇAMENTO '!$F$21:$P$993,11,FALSE)=0,"",VLOOKUP($B445,'ORÇAMENTO '!$F$21:$P$993,11,FALSE)),"")</f>
        <v/>
      </c>
      <c r="E445" s="649" t="str">
        <f ca="1">IFERROR(IF(VLOOKUP($B445,'ORÇAMENTO '!$F$21:$N$993,6,FALSE)=0,"",VLOOKUP($B445,'ORÇAMENTO '!$F$21:$N$993,6,FALSE)),"")</f>
        <v/>
      </c>
      <c r="F445" s="649" t="str">
        <f ca="1">IFERROR(IF(VLOOKUP($B445,'ORÇAMENTO '!$F$21:$N$993,5,FALSE)=0,"",VLOOKUP($B445,'ORÇAMENTO '!$F$21:$N$993,5,FALSE)),"")</f>
        <v/>
      </c>
    </row>
    <row r="446" spans="2:6" ht="15">
      <c r="B446" s="646">
        <f>'ORÇAMENTO '!F713</f>
        <v>0</v>
      </c>
      <c r="C446" s="647">
        <f>IFERROR(IF(OR($B446="",$B446=0),'ORÇAMENTO '!I713,VLOOKUP($B446,'ORÇAMENTO '!$F$21:$N$450,4,FALSE)),"")</f>
        <v>0</v>
      </c>
      <c r="D446" s="648" t="str">
        <f ca="1">IFERROR(IF(VLOOKUP($B446,'ORÇAMENTO '!$F$21:$P$993,11,FALSE)=0,"",VLOOKUP($B446,'ORÇAMENTO '!$F$21:$P$993,11,FALSE)),"")</f>
        <v/>
      </c>
      <c r="E446" s="649" t="str">
        <f ca="1">IFERROR(IF(VLOOKUP($B446,'ORÇAMENTO '!$F$21:$N$993,6,FALSE)=0,"",VLOOKUP($B446,'ORÇAMENTO '!$F$21:$N$993,6,FALSE)),"")</f>
        <v/>
      </c>
      <c r="F446" s="649" t="str">
        <f ca="1">IFERROR(IF(VLOOKUP($B446,'ORÇAMENTO '!$F$21:$N$993,5,FALSE)=0,"",VLOOKUP($B446,'ORÇAMENTO '!$F$21:$N$993,5,FALSE)),"")</f>
        <v/>
      </c>
    </row>
    <row r="447" spans="2:6" ht="15">
      <c r="B447" s="646">
        <f>'ORÇAMENTO '!F714</f>
        <v>0</v>
      </c>
      <c r="C447" s="647">
        <f>IFERROR(IF(OR($B447="",$B447=0),'ORÇAMENTO '!I714,VLOOKUP($B447,'ORÇAMENTO '!$F$21:$N$450,4,FALSE)),"")</f>
        <v>0</v>
      </c>
      <c r="D447" s="648" t="str">
        <f ca="1">IFERROR(IF(VLOOKUP($B447,'ORÇAMENTO '!$F$21:$P$993,11,FALSE)=0,"",VLOOKUP($B447,'ORÇAMENTO '!$F$21:$P$993,11,FALSE)),"")</f>
        <v/>
      </c>
      <c r="E447" s="649" t="str">
        <f ca="1">IFERROR(IF(VLOOKUP($B447,'ORÇAMENTO '!$F$21:$N$993,6,FALSE)=0,"",VLOOKUP($B447,'ORÇAMENTO '!$F$21:$N$993,6,FALSE)),"")</f>
        <v/>
      </c>
      <c r="F447" s="649" t="str">
        <f ca="1">IFERROR(IF(VLOOKUP($B447,'ORÇAMENTO '!$F$21:$N$993,5,FALSE)=0,"",VLOOKUP($B447,'ORÇAMENTO '!$F$21:$N$993,5,FALSE)),"")</f>
        <v/>
      </c>
    </row>
    <row r="448" spans="2:6" ht="15">
      <c r="B448" s="646">
        <f>'ORÇAMENTO '!F715</f>
        <v>0</v>
      </c>
      <c r="C448" s="647">
        <f>IFERROR(IF(OR($B448="",$B448=0),'ORÇAMENTO '!I715,VLOOKUP($B448,'ORÇAMENTO '!$F$21:$N$450,4,FALSE)),"")</f>
        <v>0</v>
      </c>
      <c r="D448" s="648" t="str">
        <f ca="1">IFERROR(IF(VLOOKUP($B448,'ORÇAMENTO '!$F$21:$P$993,11,FALSE)=0,"",VLOOKUP($B448,'ORÇAMENTO '!$F$21:$P$993,11,FALSE)),"")</f>
        <v/>
      </c>
      <c r="E448" s="649" t="str">
        <f ca="1">IFERROR(IF(VLOOKUP($B448,'ORÇAMENTO '!$F$21:$N$993,6,FALSE)=0,"",VLOOKUP($B448,'ORÇAMENTO '!$F$21:$N$993,6,FALSE)),"")</f>
        <v/>
      </c>
      <c r="F448" s="649" t="str">
        <f ca="1">IFERROR(IF(VLOOKUP($B448,'ORÇAMENTO '!$F$21:$N$993,5,FALSE)=0,"",VLOOKUP($B448,'ORÇAMENTO '!$F$21:$N$993,5,FALSE)),"")</f>
        <v/>
      </c>
    </row>
    <row r="449" spans="2:6" ht="15">
      <c r="B449" s="646">
        <f>'ORÇAMENTO '!F716</f>
        <v>0</v>
      </c>
      <c r="C449" s="647">
        <f>IFERROR(IF(OR($B449="",$B449=0),'ORÇAMENTO '!I716,VLOOKUP($B449,'ORÇAMENTO '!$F$21:$N$450,4,FALSE)),"")</f>
        <v>0</v>
      </c>
      <c r="D449" s="648" t="str">
        <f ca="1">IFERROR(IF(VLOOKUP($B449,'ORÇAMENTO '!$F$21:$P$993,11,FALSE)=0,"",VLOOKUP($B449,'ORÇAMENTO '!$F$21:$P$993,11,FALSE)),"")</f>
        <v/>
      </c>
      <c r="E449" s="649" t="str">
        <f ca="1">IFERROR(IF(VLOOKUP($B449,'ORÇAMENTO '!$F$21:$N$993,6,FALSE)=0,"",VLOOKUP($B449,'ORÇAMENTO '!$F$21:$N$993,6,FALSE)),"")</f>
        <v/>
      </c>
      <c r="F449" s="649" t="str">
        <f ca="1">IFERROR(IF(VLOOKUP($B449,'ORÇAMENTO '!$F$21:$N$993,5,FALSE)=0,"",VLOOKUP($B449,'ORÇAMENTO '!$F$21:$N$993,5,FALSE)),"")</f>
        <v/>
      </c>
    </row>
    <row r="450" spans="2:6" ht="15">
      <c r="B450" s="646">
        <f>'ORÇAMENTO '!F717</f>
        <v>0</v>
      </c>
      <c r="C450" s="647">
        <f>IFERROR(IF(OR($B450="",$B450=0),'ORÇAMENTO '!I717,VLOOKUP($B450,'ORÇAMENTO '!$F$21:$N$450,4,FALSE)),"")</f>
        <v>0</v>
      </c>
      <c r="D450" s="648" t="str">
        <f ca="1">IFERROR(IF(VLOOKUP($B450,'ORÇAMENTO '!$F$21:$P$993,11,FALSE)=0,"",VLOOKUP($B450,'ORÇAMENTO '!$F$21:$P$993,11,FALSE)),"")</f>
        <v/>
      </c>
      <c r="E450" s="649" t="str">
        <f ca="1">IFERROR(IF(VLOOKUP($B450,'ORÇAMENTO '!$F$21:$N$993,6,FALSE)=0,"",VLOOKUP($B450,'ORÇAMENTO '!$F$21:$N$993,6,FALSE)),"")</f>
        <v/>
      </c>
      <c r="F450" s="649" t="str">
        <f ca="1">IFERROR(IF(VLOOKUP($B450,'ORÇAMENTO '!$F$21:$N$993,5,FALSE)=0,"",VLOOKUP($B450,'ORÇAMENTO '!$F$21:$N$993,5,FALSE)),"")</f>
        <v/>
      </c>
    </row>
    <row r="451" spans="2:6" ht="15">
      <c r="B451" s="646">
        <f>'ORÇAMENTO '!F718</f>
        <v>0</v>
      </c>
      <c r="C451" s="647">
        <f>IFERROR(IF(OR($B451="",$B451=0),'ORÇAMENTO '!I718,VLOOKUP($B451,'ORÇAMENTO '!$F$21:$N$450,4,FALSE)),"")</f>
        <v>0</v>
      </c>
      <c r="D451" s="648" t="str">
        <f ca="1">IFERROR(IF(VLOOKUP($B451,'ORÇAMENTO '!$F$21:$P$993,11,FALSE)=0,"",VLOOKUP($B451,'ORÇAMENTO '!$F$21:$P$993,11,FALSE)),"")</f>
        <v/>
      </c>
      <c r="E451" s="649" t="str">
        <f ca="1">IFERROR(IF(VLOOKUP($B451,'ORÇAMENTO '!$F$21:$N$993,6,FALSE)=0,"",VLOOKUP($B451,'ORÇAMENTO '!$F$21:$N$993,6,FALSE)),"")</f>
        <v/>
      </c>
      <c r="F451" s="649" t="str">
        <f ca="1">IFERROR(IF(VLOOKUP($B451,'ORÇAMENTO '!$F$21:$N$993,5,FALSE)=0,"",VLOOKUP($B451,'ORÇAMENTO '!$F$21:$N$993,5,FALSE)),"")</f>
        <v/>
      </c>
    </row>
    <row r="452" spans="2:6" ht="15">
      <c r="B452" s="646">
        <f>'ORÇAMENTO '!F719</f>
        <v>0</v>
      </c>
      <c r="C452" s="647">
        <f>IFERROR(IF(OR($B452="",$B452=0),'ORÇAMENTO '!I719,VLOOKUP($B452,'ORÇAMENTO '!$F$21:$N$450,4,FALSE)),"")</f>
        <v>0</v>
      </c>
      <c r="D452" s="648" t="str">
        <f ca="1">IFERROR(IF(VLOOKUP($B452,'ORÇAMENTO '!$F$21:$P$993,11,FALSE)=0,"",VLOOKUP($B452,'ORÇAMENTO '!$F$21:$P$993,11,FALSE)),"")</f>
        <v/>
      </c>
      <c r="E452" s="649" t="str">
        <f ca="1">IFERROR(IF(VLOOKUP($B452,'ORÇAMENTO '!$F$21:$N$993,6,FALSE)=0,"",VLOOKUP($B452,'ORÇAMENTO '!$F$21:$N$993,6,FALSE)),"")</f>
        <v/>
      </c>
      <c r="F452" s="649" t="str">
        <f ca="1">IFERROR(IF(VLOOKUP($B452,'ORÇAMENTO '!$F$21:$N$993,5,FALSE)=0,"",VLOOKUP($B452,'ORÇAMENTO '!$F$21:$N$993,5,FALSE)),"")</f>
        <v/>
      </c>
    </row>
    <row r="453" spans="2:6" ht="15">
      <c r="B453" s="646">
        <f>'ORÇAMENTO '!F720</f>
        <v>0</v>
      </c>
      <c r="C453" s="647">
        <f>IFERROR(IF(OR($B453="",$B453=0),'ORÇAMENTO '!I720,VLOOKUP($B453,'ORÇAMENTO '!$F$21:$N$450,4,FALSE)),"")</f>
        <v>0</v>
      </c>
      <c r="D453" s="648" t="str">
        <f ca="1">IFERROR(IF(VLOOKUP($B453,'ORÇAMENTO '!$F$21:$P$993,11,FALSE)=0,"",VLOOKUP($B453,'ORÇAMENTO '!$F$21:$P$993,11,FALSE)),"")</f>
        <v/>
      </c>
      <c r="E453" s="649" t="str">
        <f ca="1">IFERROR(IF(VLOOKUP($B453,'ORÇAMENTO '!$F$21:$N$993,6,FALSE)=0,"",VLOOKUP($B453,'ORÇAMENTO '!$F$21:$N$993,6,FALSE)),"")</f>
        <v/>
      </c>
      <c r="F453" s="649" t="str">
        <f ca="1">IFERROR(IF(VLOOKUP($B453,'ORÇAMENTO '!$F$21:$N$993,5,FALSE)=0,"",VLOOKUP($B453,'ORÇAMENTO '!$F$21:$N$993,5,FALSE)),"")</f>
        <v/>
      </c>
    </row>
    <row r="454" spans="2:6" ht="15">
      <c r="B454" s="646">
        <f>'ORÇAMENTO '!F721</f>
        <v>0</v>
      </c>
      <c r="C454" s="647">
        <f>IFERROR(IF(OR($B454="",$B454=0),'ORÇAMENTO '!I721,VLOOKUP($B454,'ORÇAMENTO '!$F$21:$N$450,4,FALSE)),"")</f>
        <v>0</v>
      </c>
      <c r="D454" s="648" t="str">
        <f ca="1">IFERROR(IF(VLOOKUP($B454,'ORÇAMENTO '!$F$21:$P$993,11,FALSE)=0,"",VLOOKUP($B454,'ORÇAMENTO '!$F$21:$P$993,11,FALSE)),"")</f>
        <v/>
      </c>
      <c r="E454" s="649" t="str">
        <f ca="1">IFERROR(IF(VLOOKUP($B454,'ORÇAMENTO '!$F$21:$N$993,6,FALSE)=0,"",VLOOKUP($B454,'ORÇAMENTO '!$F$21:$N$993,6,FALSE)),"")</f>
        <v/>
      </c>
      <c r="F454" s="649" t="str">
        <f ca="1">IFERROR(IF(VLOOKUP($B454,'ORÇAMENTO '!$F$21:$N$993,5,FALSE)=0,"",VLOOKUP($B454,'ORÇAMENTO '!$F$21:$N$993,5,FALSE)),"")</f>
        <v/>
      </c>
    </row>
    <row r="455" spans="2:6" ht="15">
      <c r="B455" s="646">
        <f>'ORÇAMENTO '!F722</f>
        <v>0</v>
      </c>
      <c r="C455" s="647">
        <f>IFERROR(IF(OR($B455="",$B455=0),'ORÇAMENTO '!I722,VLOOKUP($B455,'ORÇAMENTO '!$F$21:$N$450,4,FALSE)),"")</f>
        <v>0</v>
      </c>
      <c r="D455" s="648" t="str">
        <f ca="1">IFERROR(IF(VLOOKUP($B455,'ORÇAMENTO '!$F$21:$P$993,11,FALSE)=0,"",VLOOKUP($B455,'ORÇAMENTO '!$F$21:$P$993,11,FALSE)),"")</f>
        <v/>
      </c>
      <c r="E455" s="649" t="str">
        <f ca="1">IFERROR(IF(VLOOKUP($B455,'ORÇAMENTO '!$F$21:$N$993,6,FALSE)=0,"",VLOOKUP($B455,'ORÇAMENTO '!$F$21:$N$993,6,FALSE)),"")</f>
        <v/>
      </c>
      <c r="F455" s="649" t="str">
        <f ca="1">IFERROR(IF(VLOOKUP($B455,'ORÇAMENTO '!$F$21:$N$993,5,FALSE)=0,"",VLOOKUP($B455,'ORÇAMENTO '!$F$21:$N$993,5,FALSE)),"")</f>
        <v/>
      </c>
    </row>
    <row r="456" spans="2:6" ht="15">
      <c r="B456" s="646">
        <f>'ORÇAMENTO '!F723</f>
        <v>0</v>
      </c>
      <c r="C456" s="647">
        <f>IFERROR(IF(OR($B456="",$B456=0),'ORÇAMENTO '!I723,VLOOKUP($B456,'ORÇAMENTO '!$F$21:$N$450,4,FALSE)),"")</f>
        <v>0</v>
      </c>
      <c r="D456" s="648" t="str">
        <f ca="1">IFERROR(IF(VLOOKUP($B456,'ORÇAMENTO '!$F$21:$P$993,11,FALSE)=0,"",VLOOKUP($B456,'ORÇAMENTO '!$F$21:$P$993,11,FALSE)),"")</f>
        <v/>
      </c>
      <c r="E456" s="649" t="str">
        <f ca="1">IFERROR(IF(VLOOKUP($B456,'ORÇAMENTO '!$F$21:$N$993,6,FALSE)=0,"",VLOOKUP($B456,'ORÇAMENTO '!$F$21:$N$993,6,FALSE)),"")</f>
        <v/>
      </c>
      <c r="F456" s="649" t="str">
        <f ca="1">IFERROR(IF(VLOOKUP($B456,'ORÇAMENTO '!$F$21:$N$993,5,FALSE)=0,"",VLOOKUP($B456,'ORÇAMENTO '!$F$21:$N$993,5,FALSE)),"")</f>
        <v/>
      </c>
    </row>
    <row r="457" spans="2:6" ht="15">
      <c r="B457" s="646">
        <f>'ORÇAMENTO '!F724</f>
        <v>0</v>
      </c>
      <c r="C457" s="647">
        <f>IFERROR(IF(OR($B457="",$B457=0),'ORÇAMENTO '!I724,VLOOKUP($B457,'ORÇAMENTO '!$F$21:$N$450,4,FALSE)),"")</f>
        <v>0</v>
      </c>
      <c r="D457" s="648" t="str">
        <f ca="1">IFERROR(IF(VLOOKUP($B457,'ORÇAMENTO '!$F$21:$P$993,11,FALSE)=0,"",VLOOKUP($B457,'ORÇAMENTO '!$F$21:$P$993,11,FALSE)),"")</f>
        <v/>
      </c>
      <c r="E457" s="649" t="str">
        <f ca="1">IFERROR(IF(VLOOKUP($B457,'ORÇAMENTO '!$F$21:$N$993,6,FALSE)=0,"",VLOOKUP($B457,'ORÇAMENTO '!$F$21:$N$993,6,FALSE)),"")</f>
        <v/>
      </c>
      <c r="F457" s="649" t="str">
        <f ca="1">IFERROR(IF(VLOOKUP($B457,'ORÇAMENTO '!$F$21:$N$993,5,FALSE)=0,"",VLOOKUP($B457,'ORÇAMENTO '!$F$21:$N$993,5,FALSE)),"")</f>
        <v/>
      </c>
    </row>
    <row r="458" spans="2:6" ht="15">
      <c r="B458" s="646">
        <f>'ORÇAMENTO '!F725</f>
        <v>0</v>
      </c>
      <c r="C458" s="647">
        <f>IFERROR(IF(OR($B458="",$B458=0),'ORÇAMENTO '!I725,VLOOKUP($B458,'ORÇAMENTO '!$F$21:$N$450,4,FALSE)),"")</f>
        <v>0</v>
      </c>
      <c r="D458" s="648" t="str">
        <f ca="1">IFERROR(IF(VLOOKUP($B458,'ORÇAMENTO '!$F$21:$P$993,11,FALSE)=0,"",VLOOKUP($B458,'ORÇAMENTO '!$F$21:$P$993,11,FALSE)),"")</f>
        <v/>
      </c>
      <c r="E458" s="649" t="str">
        <f ca="1">IFERROR(IF(VLOOKUP($B458,'ORÇAMENTO '!$F$21:$N$993,6,FALSE)=0,"",VLOOKUP($B458,'ORÇAMENTO '!$F$21:$N$993,6,FALSE)),"")</f>
        <v/>
      </c>
      <c r="F458" s="649" t="str">
        <f ca="1">IFERROR(IF(VLOOKUP($B458,'ORÇAMENTO '!$F$21:$N$993,5,FALSE)=0,"",VLOOKUP($B458,'ORÇAMENTO '!$F$21:$N$993,5,FALSE)),"")</f>
        <v/>
      </c>
    </row>
    <row r="459" spans="2:6" ht="15">
      <c r="B459" s="646">
        <f>'ORÇAMENTO '!F726</f>
        <v>0</v>
      </c>
      <c r="C459" s="647">
        <f>IFERROR(IF(OR($B459="",$B459=0),'ORÇAMENTO '!I726,VLOOKUP($B459,'ORÇAMENTO '!$F$21:$N$450,4,FALSE)),"")</f>
        <v>0</v>
      </c>
      <c r="D459" s="648" t="str">
        <f ca="1">IFERROR(IF(VLOOKUP($B459,'ORÇAMENTO '!$F$21:$P$993,11,FALSE)=0,"",VLOOKUP($B459,'ORÇAMENTO '!$F$21:$P$993,11,FALSE)),"")</f>
        <v/>
      </c>
      <c r="E459" s="649" t="str">
        <f ca="1">IFERROR(IF(VLOOKUP($B459,'ORÇAMENTO '!$F$21:$N$993,6,FALSE)=0,"",VLOOKUP($B459,'ORÇAMENTO '!$F$21:$N$993,6,FALSE)),"")</f>
        <v/>
      </c>
      <c r="F459" s="649" t="str">
        <f ca="1">IFERROR(IF(VLOOKUP($B459,'ORÇAMENTO '!$F$21:$N$993,5,FALSE)=0,"",VLOOKUP($B459,'ORÇAMENTO '!$F$21:$N$993,5,FALSE)),"")</f>
        <v/>
      </c>
    </row>
    <row r="460" spans="2:6" ht="15">
      <c r="B460" s="646">
        <f>'ORÇAMENTO '!F727</f>
        <v>0</v>
      </c>
      <c r="C460" s="647">
        <f>IFERROR(IF(OR($B460="",$B460=0),'ORÇAMENTO '!I727,VLOOKUP($B460,'ORÇAMENTO '!$F$21:$N$450,4,FALSE)),"")</f>
        <v>0</v>
      </c>
      <c r="D460" s="648" t="str">
        <f ca="1">IFERROR(IF(VLOOKUP($B460,'ORÇAMENTO '!$F$21:$P$993,11,FALSE)=0,"",VLOOKUP($B460,'ORÇAMENTO '!$F$21:$P$993,11,FALSE)),"")</f>
        <v/>
      </c>
      <c r="E460" s="649" t="str">
        <f ca="1">IFERROR(IF(VLOOKUP($B460,'ORÇAMENTO '!$F$21:$N$993,6,FALSE)=0,"",VLOOKUP($B460,'ORÇAMENTO '!$F$21:$N$993,6,FALSE)),"")</f>
        <v/>
      </c>
      <c r="F460" s="649" t="str">
        <f ca="1">IFERROR(IF(VLOOKUP($B460,'ORÇAMENTO '!$F$21:$N$993,5,FALSE)=0,"",VLOOKUP($B460,'ORÇAMENTO '!$F$21:$N$993,5,FALSE)),"")</f>
        <v/>
      </c>
    </row>
    <row r="461" spans="2:6" ht="15">
      <c r="B461" s="646">
        <f>'ORÇAMENTO '!F728</f>
        <v>0</v>
      </c>
      <c r="C461" s="647">
        <f>IFERROR(IF(OR($B461="",$B461=0),'ORÇAMENTO '!I728,VLOOKUP($B461,'ORÇAMENTO '!$F$21:$N$450,4,FALSE)),"")</f>
        <v>0</v>
      </c>
      <c r="D461" s="648" t="str">
        <f ca="1">IFERROR(IF(VLOOKUP($B461,'ORÇAMENTO '!$F$21:$P$993,11,FALSE)=0,"",VLOOKUP($B461,'ORÇAMENTO '!$F$21:$P$993,11,FALSE)),"")</f>
        <v/>
      </c>
      <c r="E461" s="649" t="str">
        <f ca="1">IFERROR(IF(VLOOKUP($B461,'ORÇAMENTO '!$F$21:$N$993,6,FALSE)=0,"",VLOOKUP($B461,'ORÇAMENTO '!$F$21:$N$993,6,FALSE)),"")</f>
        <v/>
      </c>
      <c r="F461" s="649" t="str">
        <f ca="1">IFERROR(IF(VLOOKUP($B461,'ORÇAMENTO '!$F$21:$N$993,5,FALSE)=0,"",VLOOKUP($B461,'ORÇAMENTO '!$F$21:$N$993,5,FALSE)),"")</f>
        <v/>
      </c>
    </row>
    <row r="462" spans="2:6" ht="15">
      <c r="B462" s="646">
        <f>'ORÇAMENTO '!F729</f>
        <v>0</v>
      </c>
      <c r="C462" s="647">
        <f>IFERROR(IF(OR($B462="",$B462=0),'ORÇAMENTO '!I729,VLOOKUP($B462,'ORÇAMENTO '!$F$21:$N$450,4,FALSE)),"")</f>
        <v>0</v>
      </c>
      <c r="D462" s="648" t="str">
        <f ca="1">IFERROR(IF(VLOOKUP($B462,'ORÇAMENTO '!$F$21:$P$993,11,FALSE)=0,"",VLOOKUP($B462,'ORÇAMENTO '!$F$21:$P$993,11,FALSE)),"")</f>
        <v/>
      </c>
      <c r="E462" s="649" t="str">
        <f ca="1">IFERROR(IF(VLOOKUP($B462,'ORÇAMENTO '!$F$21:$N$993,6,FALSE)=0,"",VLOOKUP($B462,'ORÇAMENTO '!$F$21:$N$993,6,FALSE)),"")</f>
        <v/>
      </c>
      <c r="F462" s="649" t="str">
        <f ca="1">IFERROR(IF(VLOOKUP($B462,'ORÇAMENTO '!$F$21:$N$993,5,FALSE)=0,"",VLOOKUP($B462,'ORÇAMENTO '!$F$21:$N$993,5,FALSE)),"")</f>
        <v/>
      </c>
    </row>
    <row r="463" spans="2:6" ht="15">
      <c r="B463" s="646">
        <f>'ORÇAMENTO '!F730</f>
        <v>0</v>
      </c>
      <c r="C463" s="647">
        <f>IFERROR(IF(OR($B463="",$B463=0),'ORÇAMENTO '!I730,VLOOKUP($B463,'ORÇAMENTO '!$F$21:$N$450,4,FALSE)),"")</f>
        <v>0</v>
      </c>
      <c r="D463" s="648" t="str">
        <f ca="1">IFERROR(IF(VLOOKUP($B463,'ORÇAMENTO '!$F$21:$P$993,11,FALSE)=0,"",VLOOKUP($B463,'ORÇAMENTO '!$F$21:$P$993,11,FALSE)),"")</f>
        <v/>
      </c>
      <c r="E463" s="649" t="str">
        <f ca="1">IFERROR(IF(VLOOKUP($B463,'ORÇAMENTO '!$F$21:$N$993,6,FALSE)=0,"",VLOOKUP($B463,'ORÇAMENTO '!$F$21:$N$993,6,FALSE)),"")</f>
        <v/>
      </c>
      <c r="F463" s="649" t="str">
        <f ca="1">IFERROR(IF(VLOOKUP($B463,'ORÇAMENTO '!$F$21:$N$993,5,FALSE)=0,"",VLOOKUP($B463,'ORÇAMENTO '!$F$21:$N$993,5,FALSE)),"")</f>
        <v/>
      </c>
    </row>
    <row r="464" spans="2:6" ht="15">
      <c r="B464" s="646">
        <f>'ORÇAMENTO '!F731</f>
        <v>0</v>
      </c>
      <c r="C464" s="647">
        <f>IFERROR(IF(OR($B464="",$B464=0),'ORÇAMENTO '!I731,VLOOKUP($B464,'ORÇAMENTO '!$F$21:$N$450,4,FALSE)),"")</f>
        <v>0</v>
      </c>
      <c r="D464" s="648" t="str">
        <f ca="1">IFERROR(IF(VLOOKUP($B464,'ORÇAMENTO '!$F$21:$P$993,11,FALSE)=0,"",VLOOKUP($B464,'ORÇAMENTO '!$F$21:$P$993,11,FALSE)),"")</f>
        <v/>
      </c>
      <c r="E464" s="649" t="str">
        <f ca="1">IFERROR(IF(VLOOKUP($B464,'ORÇAMENTO '!$F$21:$N$993,6,FALSE)=0,"",VLOOKUP($B464,'ORÇAMENTO '!$F$21:$N$993,6,FALSE)),"")</f>
        <v/>
      </c>
      <c r="F464" s="649" t="str">
        <f ca="1">IFERROR(IF(VLOOKUP($B464,'ORÇAMENTO '!$F$21:$N$993,5,FALSE)=0,"",VLOOKUP($B464,'ORÇAMENTO '!$F$21:$N$993,5,FALSE)),"")</f>
        <v/>
      </c>
    </row>
    <row r="465" spans="2:6" ht="15">
      <c r="B465" s="646">
        <f>'ORÇAMENTO '!F732</f>
        <v>0</v>
      </c>
      <c r="C465" s="647">
        <f>IFERROR(IF(OR($B465="",$B465=0),'ORÇAMENTO '!I732,VLOOKUP($B465,'ORÇAMENTO '!$F$21:$N$450,4,FALSE)),"")</f>
        <v>0</v>
      </c>
      <c r="D465" s="648" t="str">
        <f ca="1">IFERROR(IF(VLOOKUP($B465,'ORÇAMENTO '!$F$21:$P$993,11,FALSE)=0,"",VLOOKUP($B465,'ORÇAMENTO '!$F$21:$P$993,11,FALSE)),"")</f>
        <v/>
      </c>
      <c r="E465" s="649" t="str">
        <f ca="1">IFERROR(IF(VLOOKUP($B465,'ORÇAMENTO '!$F$21:$N$993,6,FALSE)=0,"",VLOOKUP($B465,'ORÇAMENTO '!$F$21:$N$993,6,FALSE)),"")</f>
        <v/>
      </c>
      <c r="F465" s="649" t="str">
        <f ca="1">IFERROR(IF(VLOOKUP($B465,'ORÇAMENTO '!$F$21:$N$993,5,FALSE)=0,"",VLOOKUP($B465,'ORÇAMENTO '!$F$21:$N$993,5,FALSE)),"")</f>
        <v/>
      </c>
    </row>
    <row r="466" spans="2:6" ht="15">
      <c r="B466" s="646">
        <f>'ORÇAMENTO '!F733</f>
        <v>0</v>
      </c>
      <c r="C466" s="647">
        <f>IFERROR(IF(OR($B466="",$B466=0),'ORÇAMENTO '!I733,VLOOKUP($B466,'ORÇAMENTO '!$F$21:$N$450,4,FALSE)),"")</f>
        <v>0</v>
      </c>
      <c r="D466" s="648" t="str">
        <f ca="1">IFERROR(IF(VLOOKUP($B466,'ORÇAMENTO '!$F$21:$P$993,11,FALSE)=0,"",VLOOKUP($B466,'ORÇAMENTO '!$F$21:$P$993,11,FALSE)),"")</f>
        <v/>
      </c>
      <c r="E466" s="649" t="str">
        <f ca="1">IFERROR(IF(VLOOKUP($B466,'ORÇAMENTO '!$F$21:$N$993,6,FALSE)=0,"",VLOOKUP($B466,'ORÇAMENTO '!$F$21:$N$993,6,FALSE)),"")</f>
        <v/>
      </c>
      <c r="F466" s="649" t="str">
        <f ca="1">IFERROR(IF(VLOOKUP($B466,'ORÇAMENTO '!$F$21:$N$993,5,FALSE)=0,"",VLOOKUP($B466,'ORÇAMENTO '!$F$21:$N$993,5,FALSE)),"")</f>
        <v/>
      </c>
    </row>
    <row r="467" spans="2:6" ht="15">
      <c r="B467" s="646">
        <f>'ORÇAMENTO '!F734</f>
        <v>0</v>
      </c>
      <c r="C467" s="647">
        <f>IFERROR(IF(OR($B467="",$B467=0),'ORÇAMENTO '!I734,VLOOKUP($B467,'ORÇAMENTO '!$F$21:$N$450,4,FALSE)),"")</f>
        <v>0</v>
      </c>
      <c r="D467" s="648" t="str">
        <f ca="1">IFERROR(IF(VLOOKUP($B467,'ORÇAMENTO '!$F$21:$P$993,11,FALSE)=0,"",VLOOKUP($B467,'ORÇAMENTO '!$F$21:$P$993,11,FALSE)),"")</f>
        <v/>
      </c>
      <c r="E467" s="649" t="str">
        <f ca="1">IFERROR(IF(VLOOKUP($B467,'ORÇAMENTO '!$F$21:$N$993,6,FALSE)=0,"",VLOOKUP($B467,'ORÇAMENTO '!$F$21:$N$993,6,FALSE)),"")</f>
        <v/>
      </c>
      <c r="F467" s="649" t="str">
        <f ca="1">IFERROR(IF(VLOOKUP($B467,'ORÇAMENTO '!$F$21:$N$993,5,FALSE)=0,"",VLOOKUP($B467,'ORÇAMENTO '!$F$21:$N$993,5,FALSE)),"")</f>
        <v/>
      </c>
    </row>
    <row r="468" spans="2:6" ht="15">
      <c r="B468" s="646">
        <f>'ORÇAMENTO '!F735</f>
        <v>0</v>
      </c>
      <c r="C468" s="647">
        <f>IFERROR(IF(OR($B468="",$B468=0),'ORÇAMENTO '!I735,VLOOKUP($B468,'ORÇAMENTO '!$F$21:$N$450,4,FALSE)),"")</f>
        <v>0</v>
      </c>
      <c r="D468" s="648" t="str">
        <f ca="1">IFERROR(IF(VLOOKUP($B468,'ORÇAMENTO '!$F$21:$P$993,11,FALSE)=0,"",VLOOKUP($B468,'ORÇAMENTO '!$F$21:$P$993,11,FALSE)),"")</f>
        <v/>
      </c>
      <c r="E468" s="649" t="str">
        <f ca="1">IFERROR(IF(VLOOKUP($B468,'ORÇAMENTO '!$F$21:$N$993,6,FALSE)=0,"",VLOOKUP($B468,'ORÇAMENTO '!$F$21:$N$993,6,FALSE)),"")</f>
        <v/>
      </c>
      <c r="F468" s="649" t="str">
        <f ca="1">IFERROR(IF(VLOOKUP($B468,'ORÇAMENTO '!$F$21:$N$993,5,FALSE)=0,"",VLOOKUP($B468,'ORÇAMENTO '!$F$21:$N$993,5,FALSE)),"")</f>
        <v/>
      </c>
    </row>
    <row r="469" spans="2:6" ht="15">
      <c r="B469" s="646">
        <f>'ORÇAMENTO '!F736</f>
        <v>0</v>
      </c>
      <c r="C469" s="647">
        <f>IFERROR(IF(OR($B469="",$B469=0),'ORÇAMENTO '!I736,VLOOKUP($B469,'ORÇAMENTO '!$F$21:$N$450,4,FALSE)),"")</f>
        <v>0</v>
      </c>
      <c r="D469" s="648" t="str">
        <f ca="1">IFERROR(IF(VLOOKUP($B469,'ORÇAMENTO '!$F$21:$P$993,11,FALSE)=0,"",VLOOKUP($B469,'ORÇAMENTO '!$F$21:$P$993,11,FALSE)),"")</f>
        <v/>
      </c>
      <c r="E469" s="649" t="str">
        <f ca="1">IFERROR(IF(VLOOKUP($B469,'ORÇAMENTO '!$F$21:$N$993,6,FALSE)=0,"",VLOOKUP($B469,'ORÇAMENTO '!$F$21:$N$993,6,FALSE)),"")</f>
        <v/>
      </c>
      <c r="F469" s="649" t="str">
        <f ca="1">IFERROR(IF(VLOOKUP($B469,'ORÇAMENTO '!$F$21:$N$993,5,FALSE)=0,"",VLOOKUP($B469,'ORÇAMENTO '!$F$21:$N$993,5,FALSE)),"")</f>
        <v/>
      </c>
    </row>
    <row r="470" spans="2:6" ht="15">
      <c r="B470" s="646">
        <f>'ORÇAMENTO '!F737</f>
        <v>0</v>
      </c>
      <c r="C470" s="647">
        <f>IFERROR(IF(OR($B470="",$B470=0),'ORÇAMENTO '!I737,VLOOKUP($B470,'ORÇAMENTO '!$F$21:$N$450,4,FALSE)),"")</f>
        <v>0</v>
      </c>
      <c r="D470" s="648" t="str">
        <f ca="1">IFERROR(IF(VLOOKUP($B470,'ORÇAMENTO '!$F$21:$P$993,11,FALSE)=0,"",VLOOKUP($B470,'ORÇAMENTO '!$F$21:$P$993,11,FALSE)),"")</f>
        <v/>
      </c>
      <c r="E470" s="649" t="str">
        <f ca="1">IFERROR(IF(VLOOKUP($B470,'ORÇAMENTO '!$F$21:$N$993,6,FALSE)=0,"",VLOOKUP($B470,'ORÇAMENTO '!$F$21:$N$993,6,FALSE)),"")</f>
        <v/>
      </c>
      <c r="F470" s="649" t="str">
        <f ca="1">IFERROR(IF(VLOOKUP($B470,'ORÇAMENTO '!$F$21:$N$993,5,FALSE)=0,"",VLOOKUP($B470,'ORÇAMENTO '!$F$21:$N$993,5,FALSE)),"")</f>
        <v/>
      </c>
    </row>
    <row r="471" spans="2:6" ht="15">
      <c r="B471" s="646">
        <f>'ORÇAMENTO '!F738</f>
        <v>0</v>
      </c>
      <c r="C471" s="647">
        <f>IFERROR(IF(OR($B471="",$B471=0),'ORÇAMENTO '!I738,VLOOKUP($B471,'ORÇAMENTO '!$F$21:$N$450,4,FALSE)),"")</f>
        <v>0</v>
      </c>
      <c r="D471" s="648" t="str">
        <f ca="1">IFERROR(IF(VLOOKUP($B471,'ORÇAMENTO '!$F$21:$P$993,11,FALSE)=0,"",VLOOKUP($B471,'ORÇAMENTO '!$F$21:$P$993,11,FALSE)),"")</f>
        <v/>
      </c>
      <c r="E471" s="649" t="str">
        <f ca="1">IFERROR(IF(VLOOKUP($B471,'ORÇAMENTO '!$F$21:$N$993,6,FALSE)=0,"",VLOOKUP($B471,'ORÇAMENTO '!$F$21:$N$993,6,FALSE)),"")</f>
        <v/>
      </c>
      <c r="F471" s="649" t="str">
        <f ca="1">IFERROR(IF(VLOOKUP($B471,'ORÇAMENTO '!$F$21:$N$993,5,FALSE)=0,"",VLOOKUP($B471,'ORÇAMENTO '!$F$21:$N$993,5,FALSE)),"")</f>
        <v/>
      </c>
    </row>
    <row r="472" spans="2:6" ht="15">
      <c r="B472" s="646">
        <f>'ORÇAMENTO '!F739</f>
        <v>0</v>
      </c>
      <c r="C472" s="647">
        <f>IFERROR(IF(OR($B472="",$B472=0),'ORÇAMENTO '!I739,VLOOKUP($B472,'ORÇAMENTO '!$F$21:$N$450,4,FALSE)),"")</f>
        <v>0</v>
      </c>
      <c r="D472" s="648" t="str">
        <f ca="1">IFERROR(IF(VLOOKUP($B472,'ORÇAMENTO '!$F$21:$P$993,11,FALSE)=0,"",VLOOKUP($B472,'ORÇAMENTO '!$F$21:$P$993,11,FALSE)),"")</f>
        <v/>
      </c>
      <c r="E472" s="649" t="str">
        <f ca="1">IFERROR(IF(VLOOKUP($B472,'ORÇAMENTO '!$F$21:$N$993,6,FALSE)=0,"",VLOOKUP($B472,'ORÇAMENTO '!$F$21:$N$993,6,FALSE)),"")</f>
        <v/>
      </c>
      <c r="F472" s="649" t="str">
        <f ca="1">IFERROR(IF(VLOOKUP($B472,'ORÇAMENTO '!$F$21:$N$993,5,FALSE)=0,"",VLOOKUP($B472,'ORÇAMENTO '!$F$21:$N$993,5,FALSE)),"")</f>
        <v/>
      </c>
    </row>
    <row r="473" spans="2:6" ht="15">
      <c r="B473" s="646">
        <f>'ORÇAMENTO '!F740</f>
        <v>0</v>
      </c>
      <c r="C473" s="647">
        <f>IFERROR(IF(OR($B473="",$B473=0),'ORÇAMENTO '!I740,VLOOKUP($B473,'ORÇAMENTO '!$F$21:$N$450,4,FALSE)),"")</f>
        <v>0</v>
      </c>
      <c r="D473" s="648" t="str">
        <f ca="1">IFERROR(IF(VLOOKUP($B473,'ORÇAMENTO '!$F$21:$P$993,11,FALSE)=0,"",VLOOKUP($B473,'ORÇAMENTO '!$F$21:$P$993,11,FALSE)),"")</f>
        <v/>
      </c>
      <c r="E473" s="649" t="str">
        <f ca="1">IFERROR(IF(VLOOKUP($B473,'ORÇAMENTO '!$F$21:$N$993,6,FALSE)=0,"",VLOOKUP($B473,'ORÇAMENTO '!$F$21:$N$993,6,FALSE)),"")</f>
        <v/>
      </c>
      <c r="F473" s="649" t="str">
        <f ca="1">IFERROR(IF(VLOOKUP($B473,'ORÇAMENTO '!$F$21:$N$993,5,FALSE)=0,"",VLOOKUP($B473,'ORÇAMENTO '!$F$21:$N$993,5,FALSE)),"")</f>
        <v/>
      </c>
    </row>
    <row r="474" spans="2:6" ht="15">
      <c r="B474" s="646">
        <f>'ORÇAMENTO '!F741</f>
        <v>0</v>
      </c>
      <c r="C474" s="647">
        <f>IFERROR(IF(OR($B474="",$B474=0),'ORÇAMENTO '!I741,VLOOKUP($B474,'ORÇAMENTO '!$F$21:$N$450,4,FALSE)),"")</f>
        <v>0</v>
      </c>
      <c r="D474" s="648" t="str">
        <f ca="1">IFERROR(IF(VLOOKUP($B474,'ORÇAMENTO '!$F$21:$P$993,11,FALSE)=0,"",VLOOKUP($B474,'ORÇAMENTO '!$F$21:$P$993,11,FALSE)),"")</f>
        <v/>
      </c>
      <c r="E474" s="649" t="str">
        <f ca="1">IFERROR(IF(VLOOKUP($B474,'ORÇAMENTO '!$F$21:$N$993,6,FALSE)=0,"",VLOOKUP($B474,'ORÇAMENTO '!$F$21:$N$993,6,FALSE)),"")</f>
        <v/>
      </c>
      <c r="F474" s="649" t="str">
        <f ca="1">IFERROR(IF(VLOOKUP($B474,'ORÇAMENTO '!$F$21:$N$993,5,FALSE)=0,"",VLOOKUP($B474,'ORÇAMENTO '!$F$21:$N$993,5,FALSE)),"")</f>
        <v/>
      </c>
    </row>
    <row r="475" spans="2:6" ht="15">
      <c r="B475" s="646">
        <f>'ORÇAMENTO '!F742</f>
        <v>0</v>
      </c>
      <c r="C475" s="647">
        <f>IFERROR(IF(OR($B475="",$B475=0),'ORÇAMENTO '!I742,VLOOKUP($B475,'ORÇAMENTO '!$F$21:$N$450,4,FALSE)),"")</f>
        <v>0</v>
      </c>
      <c r="D475" s="648" t="str">
        <f ca="1">IFERROR(IF(VLOOKUP($B475,'ORÇAMENTO '!$F$21:$P$993,11,FALSE)=0,"",VLOOKUP($B475,'ORÇAMENTO '!$F$21:$P$993,11,FALSE)),"")</f>
        <v/>
      </c>
      <c r="E475" s="649" t="str">
        <f ca="1">IFERROR(IF(VLOOKUP($B475,'ORÇAMENTO '!$F$21:$N$993,6,FALSE)=0,"",VLOOKUP($B475,'ORÇAMENTO '!$F$21:$N$993,6,FALSE)),"")</f>
        <v/>
      </c>
      <c r="F475" s="649" t="str">
        <f ca="1">IFERROR(IF(VLOOKUP($B475,'ORÇAMENTO '!$F$21:$N$993,5,FALSE)=0,"",VLOOKUP($B475,'ORÇAMENTO '!$F$21:$N$993,5,FALSE)),"")</f>
        <v/>
      </c>
    </row>
    <row r="476" spans="2:6" ht="15">
      <c r="B476" s="646">
        <f>'ORÇAMENTO '!F743</f>
        <v>0</v>
      </c>
      <c r="C476" s="647">
        <f>IFERROR(IF(OR($B476="",$B476=0),'ORÇAMENTO '!I743,VLOOKUP($B476,'ORÇAMENTO '!$F$21:$N$450,4,FALSE)),"")</f>
        <v>0</v>
      </c>
      <c r="D476" s="648" t="str">
        <f ca="1">IFERROR(IF(VLOOKUP($B476,'ORÇAMENTO '!$F$21:$P$993,11,FALSE)=0,"",VLOOKUP($B476,'ORÇAMENTO '!$F$21:$P$993,11,FALSE)),"")</f>
        <v/>
      </c>
      <c r="E476" s="649" t="str">
        <f ca="1">IFERROR(IF(VLOOKUP($B476,'ORÇAMENTO '!$F$21:$N$993,6,FALSE)=0,"",VLOOKUP($B476,'ORÇAMENTO '!$F$21:$N$993,6,FALSE)),"")</f>
        <v/>
      </c>
      <c r="F476" s="649" t="str">
        <f ca="1">IFERROR(IF(VLOOKUP($B476,'ORÇAMENTO '!$F$21:$N$993,5,FALSE)=0,"",VLOOKUP($B476,'ORÇAMENTO '!$F$21:$N$993,5,FALSE)),"")</f>
        <v/>
      </c>
    </row>
    <row r="477" spans="2:6" ht="15">
      <c r="B477" s="646">
        <f>'ORÇAMENTO '!F744</f>
        <v>0</v>
      </c>
      <c r="C477" s="647">
        <f>IFERROR(IF(OR($B477="",$B477=0),'ORÇAMENTO '!I744,VLOOKUP($B477,'ORÇAMENTO '!$F$21:$N$450,4,FALSE)),"")</f>
        <v>0</v>
      </c>
      <c r="D477" s="648" t="str">
        <f ca="1">IFERROR(IF(VLOOKUP($B477,'ORÇAMENTO '!$F$21:$P$993,11,FALSE)=0,"",VLOOKUP($B477,'ORÇAMENTO '!$F$21:$P$993,11,FALSE)),"")</f>
        <v/>
      </c>
      <c r="E477" s="649" t="str">
        <f ca="1">IFERROR(IF(VLOOKUP($B477,'ORÇAMENTO '!$F$21:$N$993,6,FALSE)=0,"",VLOOKUP($B477,'ORÇAMENTO '!$F$21:$N$993,6,FALSE)),"")</f>
        <v/>
      </c>
      <c r="F477" s="649" t="str">
        <f ca="1">IFERROR(IF(VLOOKUP($B477,'ORÇAMENTO '!$F$21:$N$993,5,FALSE)=0,"",VLOOKUP($B477,'ORÇAMENTO '!$F$21:$N$993,5,FALSE)),"")</f>
        <v/>
      </c>
    </row>
    <row r="478" spans="2:6" ht="15">
      <c r="B478" s="646">
        <f>'ORÇAMENTO '!F745</f>
        <v>0</v>
      </c>
      <c r="C478" s="647">
        <f>IFERROR(IF(OR($B478="",$B478=0),'ORÇAMENTO '!I745,VLOOKUP($B478,'ORÇAMENTO '!$F$21:$N$450,4,FALSE)),"")</f>
        <v>0</v>
      </c>
      <c r="D478" s="648" t="str">
        <f ca="1">IFERROR(IF(VLOOKUP($B478,'ORÇAMENTO '!$F$21:$P$993,11,FALSE)=0,"",VLOOKUP($B478,'ORÇAMENTO '!$F$21:$P$993,11,FALSE)),"")</f>
        <v/>
      </c>
      <c r="E478" s="649" t="str">
        <f ca="1">IFERROR(IF(VLOOKUP($B478,'ORÇAMENTO '!$F$21:$N$993,6,FALSE)=0,"",VLOOKUP($B478,'ORÇAMENTO '!$F$21:$N$993,6,FALSE)),"")</f>
        <v/>
      </c>
      <c r="F478" s="649" t="str">
        <f ca="1">IFERROR(IF(VLOOKUP($B478,'ORÇAMENTO '!$F$21:$N$993,5,FALSE)=0,"",VLOOKUP($B478,'ORÇAMENTO '!$F$21:$N$993,5,FALSE)),"")</f>
        <v/>
      </c>
    </row>
    <row r="479" spans="2:6" ht="15">
      <c r="B479" s="646">
        <f>'ORÇAMENTO '!F746</f>
        <v>0</v>
      </c>
      <c r="C479" s="647">
        <f>IFERROR(IF(OR($B479="",$B479=0),'ORÇAMENTO '!I746,VLOOKUP($B479,'ORÇAMENTO '!$F$21:$N$450,4,FALSE)),"")</f>
        <v>0</v>
      </c>
      <c r="D479" s="648" t="str">
        <f ca="1">IFERROR(IF(VLOOKUP($B479,'ORÇAMENTO '!$F$21:$P$993,11,FALSE)=0,"",VLOOKUP($B479,'ORÇAMENTO '!$F$21:$P$993,11,FALSE)),"")</f>
        <v/>
      </c>
      <c r="E479" s="649" t="str">
        <f ca="1">IFERROR(IF(VLOOKUP($B479,'ORÇAMENTO '!$F$21:$N$993,6,FALSE)=0,"",VLOOKUP($B479,'ORÇAMENTO '!$F$21:$N$993,6,FALSE)),"")</f>
        <v/>
      </c>
      <c r="F479" s="649" t="str">
        <f ca="1">IFERROR(IF(VLOOKUP($B479,'ORÇAMENTO '!$F$21:$N$993,5,FALSE)=0,"",VLOOKUP($B479,'ORÇAMENTO '!$F$21:$N$993,5,FALSE)),"")</f>
        <v/>
      </c>
    </row>
    <row r="480" spans="2:6" ht="15">
      <c r="B480" s="646">
        <f>'ORÇAMENTO '!F747</f>
        <v>0</v>
      </c>
      <c r="C480" s="647">
        <f>IFERROR(IF(OR($B480="",$B480=0),'ORÇAMENTO '!I747,VLOOKUP($B480,'ORÇAMENTO '!$F$21:$N$450,4,FALSE)),"")</f>
        <v>0</v>
      </c>
      <c r="D480" s="648" t="str">
        <f ca="1">IFERROR(IF(VLOOKUP($B480,'ORÇAMENTO '!$F$21:$P$993,11,FALSE)=0,"",VLOOKUP($B480,'ORÇAMENTO '!$F$21:$P$993,11,FALSE)),"")</f>
        <v/>
      </c>
      <c r="E480" s="649" t="str">
        <f ca="1">IFERROR(IF(VLOOKUP($B480,'ORÇAMENTO '!$F$21:$N$993,6,FALSE)=0,"",VLOOKUP($B480,'ORÇAMENTO '!$F$21:$N$993,6,FALSE)),"")</f>
        <v/>
      </c>
      <c r="F480" s="649" t="str">
        <f ca="1">IFERROR(IF(VLOOKUP($B480,'ORÇAMENTO '!$F$21:$N$993,5,FALSE)=0,"",VLOOKUP($B480,'ORÇAMENTO '!$F$21:$N$993,5,FALSE)),"")</f>
        <v/>
      </c>
    </row>
    <row r="481" spans="2:6" ht="15">
      <c r="B481" s="646">
        <f>'ORÇAMENTO '!F748</f>
        <v>0</v>
      </c>
      <c r="C481" s="647">
        <f>IFERROR(IF(OR($B481="",$B481=0),'ORÇAMENTO '!I748,VLOOKUP($B481,'ORÇAMENTO '!$F$21:$N$450,4,FALSE)),"")</f>
        <v>0</v>
      </c>
      <c r="D481" s="648" t="str">
        <f ca="1">IFERROR(IF(VLOOKUP($B481,'ORÇAMENTO '!$F$21:$P$993,11,FALSE)=0,"",VLOOKUP($B481,'ORÇAMENTO '!$F$21:$P$993,11,FALSE)),"")</f>
        <v/>
      </c>
      <c r="E481" s="649" t="str">
        <f ca="1">IFERROR(IF(VLOOKUP($B481,'ORÇAMENTO '!$F$21:$N$993,6,FALSE)=0,"",VLOOKUP($B481,'ORÇAMENTO '!$F$21:$N$993,6,FALSE)),"")</f>
        <v/>
      </c>
      <c r="F481" s="649" t="str">
        <f ca="1">IFERROR(IF(VLOOKUP($B481,'ORÇAMENTO '!$F$21:$N$993,5,FALSE)=0,"",VLOOKUP($B481,'ORÇAMENTO '!$F$21:$N$993,5,FALSE)),"")</f>
        <v/>
      </c>
    </row>
    <row r="482" spans="2:6" ht="15">
      <c r="B482" s="646">
        <f>'ORÇAMENTO '!F749</f>
        <v>0</v>
      </c>
      <c r="C482" s="647">
        <f>IFERROR(IF(OR($B482="",$B482=0),'ORÇAMENTO '!I749,VLOOKUP($B482,'ORÇAMENTO '!$F$21:$N$450,4,FALSE)),"")</f>
        <v>0</v>
      </c>
      <c r="D482" s="648" t="str">
        <f ca="1">IFERROR(IF(VLOOKUP($B482,'ORÇAMENTO '!$F$21:$P$993,11,FALSE)=0,"",VLOOKUP($B482,'ORÇAMENTO '!$F$21:$P$993,11,FALSE)),"")</f>
        <v/>
      </c>
      <c r="E482" s="649" t="str">
        <f ca="1">IFERROR(IF(VLOOKUP($B482,'ORÇAMENTO '!$F$21:$N$993,6,FALSE)=0,"",VLOOKUP($B482,'ORÇAMENTO '!$F$21:$N$993,6,FALSE)),"")</f>
        <v/>
      </c>
      <c r="F482" s="649" t="str">
        <f ca="1">IFERROR(IF(VLOOKUP($B482,'ORÇAMENTO '!$F$21:$N$993,5,FALSE)=0,"",VLOOKUP($B482,'ORÇAMENTO '!$F$21:$N$993,5,FALSE)),"")</f>
        <v/>
      </c>
    </row>
    <row r="483" spans="2:6" ht="15">
      <c r="B483" s="646">
        <f>'ORÇAMENTO '!F750</f>
        <v>0</v>
      </c>
      <c r="C483" s="647">
        <f>IFERROR(IF(OR($B483="",$B483=0),'ORÇAMENTO '!I750,VLOOKUP($B483,'ORÇAMENTO '!$F$21:$N$450,4,FALSE)),"")</f>
        <v>0</v>
      </c>
      <c r="D483" s="648" t="str">
        <f ca="1">IFERROR(IF(VLOOKUP($B483,'ORÇAMENTO '!$F$21:$P$993,11,FALSE)=0,"",VLOOKUP($B483,'ORÇAMENTO '!$F$21:$P$993,11,FALSE)),"")</f>
        <v/>
      </c>
      <c r="E483" s="649" t="str">
        <f ca="1">IFERROR(IF(VLOOKUP($B483,'ORÇAMENTO '!$F$21:$N$993,6,FALSE)=0,"",VLOOKUP($B483,'ORÇAMENTO '!$F$21:$N$993,6,FALSE)),"")</f>
        <v/>
      </c>
      <c r="F483" s="649" t="str">
        <f ca="1">IFERROR(IF(VLOOKUP($B483,'ORÇAMENTO '!$F$21:$N$993,5,FALSE)=0,"",VLOOKUP($B483,'ORÇAMENTO '!$F$21:$N$993,5,FALSE)),"")</f>
        <v/>
      </c>
    </row>
    <row r="484" spans="2:6" ht="15">
      <c r="B484" s="646">
        <f>'ORÇAMENTO '!F751</f>
        <v>0</v>
      </c>
      <c r="C484" s="647">
        <f>IFERROR(IF(OR($B484="",$B484=0),'ORÇAMENTO '!I751,VLOOKUP($B484,'ORÇAMENTO '!$F$21:$N$450,4,FALSE)),"")</f>
        <v>0</v>
      </c>
      <c r="D484" s="648" t="str">
        <f ca="1">IFERROR(IF(VLOOKUP($B484,'ORÇAMENTO '!$F$21:$P$993,11,FALSE)=0,"",VLOOKUP($B484,'ORÇAMENTO '!$F$21:$P$993,11,FALSE)),"")</f>
        <v/>
      </c>
      <c r="E484" s="649" t="str">
        <f ca="1">IFERROR(IF(VLOOKUP($B484,'ORÇAMENTO '!$F$21:$N$993,6,FALSE)=0,"",VLOOKUP($B484,'ORÇAMENTO '!$F$21:$N$993,6,FALSE)),"")</f>
        <v/>
      </c>
      <c r="F484" s="649" t="str">
        <f ca="1">IFERROR(IF(VLOOKUP($B484,'ORÇAMENTO '!$F$21:$N$993,5,FALSE)=0,"",VLOOKUP($B484,'ORÇAMENTO '!$F$21:$N$993,5,FALSE)),"")</f>
        <v/>
      </c>
    </row>
    <row r="485" spans="2:6" ht="15">
      <c r="B485" s="646">
        <f>'ORÇAMENTO '!F752</f>
        <v>0</v>
      </c>
      <c r="C485" s="647">
        <f>IFERROR(IF(OR($B485="",$B485=0),'ORÇAMENTO '!I752,VLOOKUP($B485,'ORÇAMENTO '!$F$21:$N$450,4,FALSE)),"")</f>
        <v>0</v>
      </c>
      <c r="D485" s="648" t="str">
        <f ca="1">IFERROR(IF(VLOOKUP($B485,'ORÇAMENTO '!$F$21:$P$993,11,FALSE)=0,"",VLOOKUP($B485,'ORÇAMENTO '!$F$21:$P$993,11,FALSE)),"")</f>
        <v/>
      </c>
      <c r="E485" s="649" t="str">
        <f ca="1">IFERROR(IF(VLOOKUP($B485,'ORÇAMENTO '!$F$21:$N$993,6,FALSE)=0,"",VLOOKUP($B485,'ORÇAMENTO '!$F$21:$N$993,6,FALSE)),"")</f>
        <v/>
      </c>
      <c r="F485" s="649" t="str">
        <f ca="1">IFERROR(IF(VLOOKUP($B485,'ORÇAMENTO '!$F$21:$N$993,5,FALSE)=0,"",VLOOKUP($B485,'ORÇAMENTO '!$F$21:$N$993,5,FALSE)),"")</f>
        <v/>
      </c>
    </row>
    <row r="486" spans="2:6" ht="15">
      <c r="B486" s="646">
        <f>'ORÇAMENTO '!F753</f>
        <v>0</v>
      </c>
      <c r="C486" s="647">
        <f>IFERROR(IF(OR($B486="",$B486=0),'ORÇAMENTO '!I753,VLOOKUP($B486,'ORÇAMENTO '!$F$21:$N$450,4,FALSE)),"")</f>
        <v>0</v>
      </c>
      <c r="D486" s="648" t="str">
        <f ca="1">IFERROR(IF(VLOOKUP($B486,'ORÇAMENTO '!$F$21:$P$993,11,FALSE)=0,"",VLOOKUP($B486,'ORÇAMENTO '!$F$21:$P$993,11,FALSE)),"")</f>
        <v/>
      </c>
      <c r="E486" s="649" t="str">
        <f ca="1">IFERROR(IF(VLOOKUP($B486,'ORÇAMENTO '!$F$21:$N$993,6,FALSE)=0,"",VLOOKUP($B486,'ORÇAMENTO '!$F$21:$N$993,6,FALSE)),"")</f>
        <v/>
      </c>
      <c r="F486" s="649" t="str">
        <f ca="1">IFERROR(IF(VLOOKUP($B486,'ORÇAMENTO '!$F$21:$N$993,5,FALSE)=0,"",VLOOKUP($B486,'ORÇAMENTO '!$F$21:$N$993,5,FALSE)),"")</f>
        <v/>
      </c>
    </row>
    <row r="487" spans="2:6" ht="15">
      <c r="B487" s="646">
        <f>'ORÇAMENTO '!F754</f>
        <v>0</v>
      </c>
      <c r="C487" s="647">
        <f>IFERROR(IF(OR($B487="",$B487=0),'ORÇAMENTO '!I754,VLOOKUP($B487,'ORÇAMENTO '!$F$21:$N$450,4,FALSE)),"")</f>
        <v>0</v>
      </c>
      <c r="D487" s="648" t="str">
        <f ca="1">IFERROR(IF(VLOOKUP($B487,'ORÇAMENTO '!$F$21:$P$993,11,FALSE)=0,"",VLOOKUP($B487,'ORÇAMENTO '!$F$21:$P$993,11,FALSE)),"")</f>
        <v/>
      </c>
      <c r="E487" s="649" t="str">
        <f ca="1">IFERROR(IF(VLOOKUP($B487,'ORÇAMENTO '!$F$21:$N$993,6,FALSE)=0,"",VLOOKUP($B487,'ORÇAMENTO '!$F$21:$N$993,6,FALSE)),"")</f>
        <v/>
      </c>
      <c r="F487" s="649" t="str">
        <f ca="1">IFERROR(IF(VLOOKUP($B487,'ORÇAMENTO '!$F$21:$N$993,5,FALSE)=0,"",VLOOKUP($B487,'ORÇAMENTO '!$F$21:$N$993,5,FALSE)),"")</f>
        <v/>
      </c>
    </row>
    <row r="488" spans="2:6" ht="15">
      <c r="B488" s="646">
        <f>'ORÇAMENTO '!F755</f>
        <v>0</v>
      </c>
      <c r="C488" s="647">
        <f>IFERROR(IF(OR($B488="",$B488=0),'ORÇAMENTO '!I755,VLOOKUP($B488,'ORÇAMENTO '!$F$21:$N$450,4,FALSE)),"")</f>
        <v>0</v>
      </c>
      <c r="D488" s="648" t="str">
        <f ca="1">IFERROR(IF(VLOOKUP($B488,'ORÇAMENTO '!$F$21:$P$993,11,FALSE)=0,"",VLOOKUP($B488,'ORÇAMENTO '!$F$21:$P$993,11,FALSE)),"")</f>
        <v/>
      </c>
      <c r="E488" s="649" t="str">
        <f ca="1">IFERROR(IF(VLOOKUP($B488,'ORÇAMENTO '!$F$21:$N$993,6,FALSE)=0,"",VLOOKUP($B488,'ORÇAMENTO '!$F$21:$N$993,6,FALSE)),"")</f>
        <v/>
      </c>
      <c r="F488" s="649" t="str">
        <f ca="1">IFERROR(IF(VLOOKUP($B488,'ORÇAMENTO '!$F$21:$N$993,5,FALSE)=0,"",VLOOKUP($B488,'ORÇAMENTO '!$F$21:$N$993,5,FALSE)),"")</f>
        <v/>
      </c>
    </row>
    <row r="489" spans="2:6" ht="15">
      <c r="B489" s="646">
        <f>'ORÇAMENTO '!F756</f>
        <v>0</v>
      </c>
      <c r="C489" s="647">
        <f>IFERROR(IF(OR($B489="",$B489=0),'ORÇAMENTO '!I756,VLOOKUP($B489,'ORÇAMENTO '!$F$21:$N$450,4,FALSE)),"")</f>
        <v>0</v>
      </c>
      <c r="D489" s="648" t="str">
        <f ca="1">IFERROR(IF(VLOOKUP($B489,'ORÇAMENTO '!$F$21:$P$993,11,FALSE)=0,"",VLOOKUP($B489,'ORÇAMENTO '!$F$21:$P$993,11,FALSE)),"")</f>
        <v/>
      </c>
      <c r="E489" s="649" t="str">
        <f ca="1">IFERROR(IF(VLOOKUP($B489,'ORÇAMENTO '!$F$21:$N$993,6,FALSE)=0,"",VLOOKUP($B489,'ORÇAMENTO '!$F$21:$N$993,6,FALSE)),"")</f>
        <v/>
      </c>
      <c r="F489" s="649" t="str">
        <f ca="1">IFERROR(IF(VLOOKUP($B489,'ORÇAMENTO '!$F$21:$N$993,5,FALSE)=0,"",VLOOKUP($B489,'ORÇAMENTO '!$F$21:$N$993,5,FALSE)),"")</f>
        <v/>
      </c>
    </row>
    <row r="490" spans="2:6" ht="15">
      <c r="B490" s="646">
        <f>'ORÇAMENTO '!F757</f>
        <v>0</v>
      </c>
      <c r="C490" s="647">
        <f>IFERROR(IF(OR($B490="",$B490=0),'ORÇAMENTO '!I757,VLOOKUP($B490,'ORÇAMENTO '!$F$21:$N$450,4,FALSE)),"")</f>
        <v>0</v>
      </c>
      <c r="D490" s="648" t="str">
        <f ca="1">IFERROR(IF(VLOOKUP($B490,'ORÇAMENTO '!$F$21:$P$993,11,FALSE)=0,"",VLOOKUP($B490,'ORÇAMENTO '!$F$21:$P$993,11,FALSE)),"")</f>
        <v/>
      </c>
      <c r="E490" s="649" t="str">
        <f ca="1">IFERROR(IF(VLOOKUP($B490,'ORÇAMENTO '!$F$21:$N$993,6,FALSE)=0,"",VLOOKUP($B490,'ORÇAMENTO '!$F$21:$N$993,6,FALSE)),"")</f>
        <v/>
      </c>
      <c r="F490" s="649" t="str">
        <f ca="1">IFERROR(IF(VLOOKUP($B490,'ORÇAMENTO '!$F$21:$N$993,5,FALSE)=0,"",VLOOKUP($B490,'ORÇAMENTO '!$F$21:$N$993,5,FALSE)),"")</f>
        <v/>
      </c>
    </row>
    <row r="491" spans="2:6" ht="15">
      <c r="B491" s="646">
        <f>'ORÇAMENTO '!F758</f>
        <v>0</v>
      </c>
      <c r="C491" s="647">
        <f>IFERROR(IF(OR($B491="",$B491=0),'ORÇAMENTO '!I758,VLOOKUP($B491,'ORÇAMENTO '!$F$21:$N$450,4,FALSE)),"")</f>
        <v>0</v>
      </c>
      <c r="D491" s="648" t="str">
        <f ca="1">IFERROR(IF(VLOOKUP($B491,'ORÇAMENTO '!$F$21:$P$993,11,FALSE)=0,"",VLOOKUP($B491,'ORÇAMENTO '!$F$21:$P$993,11,FALSE)),"")</f>
        <v/>
      </c>
      <c r="E491" s="649" t="str">
        <f ca="1">IFERROR(IF(VLOOKUP($B491,'ORÇAMENTO '!$F$21:$N$993,6,FALSE)=0,"",VLOOKUP($B491,'ORÇAMENTO '!$F$21:$N$993,6,FALSE)),"")</f>
        <v/>
      </c>
      <c r="F491" s="649" t="str">
        <f ca="1">IFERROR(IF(VLOOKUP($B491,'ORÇAMENTO '!$F$21:$N$993,5,FALSE)=0,"",VLOOKUP($B491,'ORÇAMENTO '!$F$21:$N$993,5,FALSE)),"")</f>
        <v/>
      </c>
    </row>
    <row r="492" spans="2:6" ht="15">
      <c r="B492" s="646">
        <f>'ORÇAMENTO '!F759</f>
        <v>0</v>
      </c>
      <c r="C492" s="647">
        <f>IFERROR(IF(OR($B492="",$B492=0),'ORÇAMENTO '!I759,VLOOKUP($B492,'ORÇAMENTO '!$F$21:$N$450,4,FALSE)),"")</f>
        <v>0</v>
      </c>
      <c r="D492" s="648" t="str">
        <f ca="1">IFERROR(IF(VLOOKUP($B492,'ORÇAMENTO '!$F$21:$P$993,11,FALSE)=0,"",VLOOKUP($B492,'ORÇAMENTO '!$F$21:$P$993,11,FALSE)),"")</f>
        <v/>
      </c>
      <c r="E492" s="649" t="str">
        <f ca="1">IFERROR(IF(VLOOKUP($B492,'ORÇAMENTO '!$F$21:$N$993,6,FALSE)=0,"",VLOOKUP($B492,'ORÇAMENTO '!$F$21:$N$993,6,FALSE)),"")</f>
        <v/>
      </c>
      <c r="F492" s="649" t="str">
        <f ca="1">IFERROR(IF(VLOOKUP($B492,'ORÇAMENTO '!$F$21:$N$993,5,FALSE)=0,"",VLOOKUP($B492,'ORÇAMENTO '!$F$21:$N$993,5,FALSE)),"")</f>
        <v/>
      </c>
    </row>
    <row r="493" spans="2:6" ht="15">
      <c r="B493" s="646">
        <f>'ORÇAMENTO '!F760</f>
        <v>0</v>
      </c>
      <c r="C493" s="647">
        <f>IFERROR(IF(OR($B493="",$B493=0),'ORÇAMENTO '!I760,VLOOKUP($B493,'ORÇAMENTO '!$F$21:$N$450,4,FALSE)),"")</f>
        <v>0</v>
      </c>
      <c r="D493" s="648" t="str">
        <f ca="1">IFERROR(IF(VLOOKUP($B493,'ORÇAMENTO '!$F$21:$P$993,11,FALSE)=0,"",VLOOKUP($B493,'ORÇAMENTO '!$F$21:$P$993,11,FALSE)),"")</f>
        <v/>
      </c>
      <c r="E493" s="649" t="str">
        <f ca="1">IFERROR(IF(VLOOKUP($B493,'ORÇAMENTO '!$F$21:$N$993,6,FALSE)=0,"",VLOOKUP($B493,'ORÇAMENTO '!$F$21:$N$993,6,FALSE)),"")</f>
        <v/>
      </c>
      <c r="F493" s="649" t="str">
        <f ca="1">IFERROR(IF(VLOOKUP($B493,'ORÇAMENTO '!$F$21:$N$993,5,FALSE)=0,"",VLOOKUP($B493,'ORÇAMENTO '!$F$21:$N$993,5,FALSE)),"")</f>
        <v/>
      </c>
    </row>
    <row r="494" spans="2:6" ht="15">
      <c r="B494" s="646">
        <f>'ORÇAMENTO '!F761</f>
        <v>0</v>
      </c>
      <c r="C494" s="647">
        <f>IFERROR(IF(OR($B494="",$B494=0),'ORÇAMENTO '!I761,VLOOKUP($B494,'ORÇAMENTO '!$F$21:$N$450,4,FALSE)),"")</f>
        <v>0</v>
      </c>
      <c r="D494" s="648" t="str">
        <f ca="1">IFERROR(IF(VLOOKUP($B494,'ORÇAMENTO '!$F$21:$P$993,11,FALSE)=0,"",VLOOKUP($B494,'ORÇAMENTO '!$F$21:$P$993,11,FALSE)),"")</f>
        <v/>
      </c>
      <c r="E494" s="649" t="str">
        <f ca="1">IFERROR(IF(VLOOKUP($B494,'ORÇAMENTO '!$F$21:$N$993,6,FALSE)=0,"",VLOOKUP($B494,'ORÇAMENTO '!$F$21:$N$993,6,FALSE)),"")</f>
        <v/>
      </c>
      <c r="F494" s="649" t="str">
        <f ca="1">IFERROR(IF(VLOOKUP($B494,'ORÇAMENTO '!$F$21:$N$993,5,FALSE)=0,"",VLOOKUP($B494,'ORÇAMENTO '!$F$21:$N$993,5,FALSE)),"")</f>
        <v/>
      </c>
    </row>
    <row r="495" spans="2:6" ht="15">
      <c r="B495" s="646">
        <f>'ORÇAMENTO '!F762</f>
        <v>0</v>
      </c>
      <c r="C495" s="647">
        <f>IFERROR(IF(OR($B495="",$B495=0),'ORÇAMENTO '!I762,VLOOKUP($B495,'ORÇAMENTO '!$F$21:$N$450,4,FALSE)),"")</f>
        <v>0</v>
      </c>
      <c r="D495" s="648" t="str">
        <f ca="1">IFERROR(IF(VLOOKUP($B495,'ORÇAMENTO '!$F$21:$P$993,11,FALSE)=0,"",VLOOKUP($B495,'ORÇAMENTO '!$F$21:$P$993,11,FALSE)),"")</f>
        <v/>
      </c>
      <c r="E495" s="649" t="str">
        <f ca="1">IFERROR(IF(VLOOKUP($B495,'ORÇAMENTO '!$F$21:$N$993,6,FALSE)=0,"",VLOOKUP($B495,'ORÇAMENTO '!$F$21:$N$993,6,FALSE)),"")</f>
        <v/>
      </c>
      <c r="F495" s="649" t="str">
        <f ca="1">IFERROR(IF(VLOOKUP($B495,'ORÇAMENTO '!$F$21:$N$993,5,FALSE)=0,"",VLOOKUP($B495,'ORÇAMENTO '!$F$21:$N$993,5,FALSE)),"")</f>
        <v/>
      </c>
    </row>
    <row r="496" spans="2:6" ht="15">
      <c r="B496" s="646">
        <f>'ORÇAMENTO '!F763</f>
        <v>0</v>
      </c>
      <c r="C496" s="647">
        <f>IFERROR(IF(OR($B496="",$B496=0),'ORÇAMENTO '!I763,VLOOKUP($B496,'ORÇAMENTO '!$F$21:$N$450,4,FALSE)),"")</f>
        <v>0</v>
      </c>
      <c r="D496" s="648" t="str">
        <f ca="1">IFERROR(IF(VLOOKUP($B496,'ORÇAMENTO '!$F$21:$P$993,11,FALSE)=0,"",VLOOKUP($B496,'ORÇAMENTO '!$F$21:$P$993,11,FALSE)),"")</f>
        <v/>
      </c>
      <c r="E496" s="649" t="str">
        <f ca="1">IFERROR(IF(VLOOKUP($B496,'ORÇAMENTO '!$F$21:$N$993,6,FALSE)=0,"",VLOOKUP($B496,'ORÇAMENTO '!$F$21:$N$993,6,FALSE)),"")</f>
        <v/>
      </c>
      <c r="F496" s="649" t="str">
        <f ca="1">IFERROR(IF(VLOOKUP($B496,'ORÇAMENTO '!$F$21:$N$993,5,FALSE)=0,"",VLOOKUP($B496,'ORÇAMENTO '!$F$21:$N$993,5,FALSE)),"")</f>
        <v/>
      </c>
    </row>
    <row r="497" spans="2:6" ht="15">
      <c r="B497" s="646">
        <f>'ORÇAMENTO '!F764</f>
        <v>0</v>
      </c>
      <c r="C497" s="647">
        <f>IFERROR(IF(OR($B497="",$B497=0),'ORÇAMENTO '!I764,VLOOKUP($B497,'ORÇAMENTO '!$F$21:$N$450,4,FALSE)),"")</f>
        <v>0</v>
      </c>
      <c r="D497" s="648" t="str">
        <f ca="1">IFERROR(IF(VLOOKUP($B497,'ORÇAMENTO '!$F$21:$P$993,11,FALSE)=0,"",VLOOKUP($B497,'ORÇAMENTO '!$F$21:$P$993,11,FALSE)),"")</f>
        <v/>
      </c>
      <c r="E497" s="649" t="str">
        <f ca="1">IFERROR(IF(VLOOKUP($B497,'ORÇAMENTO '!$F$21:$N$993,6,FALSE)=0,"",VLOOKUP($B497,'ORÇAMENTO '!$F$21:$N$993,6,FALSE)),"")</f>
        <v/>
      </c>
      <c r="F497" s="649" t="str">
        <f ca="1">IFERROR(IF(VLOOKUP($B497,'ORÇAMENTO '!$F$21:$N$993,5,FALSE)=0,"",VLOOKUP($B497,'ORÇAMENTO '!$F$21:$N$993,5,FALSE)),"")</f>
        <v/>
      </c>
    </row>
    <row r="498" spans="2:6" ht="15">
      <c r="B498" s="646">
        <f>'ORÇAMENTO '!F765</f>
        <v>0</v>
      </c>
      <c r="C498" s="647">
        <f>IFERROR(IF(OR($B498="",$B498=0),'ORÇAMENTO '!I765,VLOOKUP($B498,'ORÇAMENTO '!$F$21:$N$450,4,FALSE)),"")</f>
        <v>0</v>
      </c>
      <c r="D498" s="648" t="str">
        <f ca="1">IFERROR(IF(VLOOKUP($B498,'ORÇAMENTO '!$F$21:$P$993,11,FALSE)=0,"",VLOOKUP($B498,'ORÇAMENTO '!$F$21:$P$993,11,FALSE)),"")</f>
        <v/>
      </c>
      <c r="E498" s="649" t="str">
        <f ca="1">IFERROR(IF(VLOOKUP($B498,'ORÇAMENTO '!$F$21:$N$993,6,FALSE)=0,"",VLOOKUP($B498,'ORÇAMENTO '!$F$21:$N$993,6,FALSE)),"")</f>
        <v/>
      </c>
      <c r="F498" s="649" t="str">
        <f ca="1">IFERROR(IF(VLOOKUP($B498,'ORÇAMENTO '!$F$21:$N$993,5,FALSE)=0,"",VLOOKUP($B498,'ORÇAMENTO '!$F$21:$N$993,5,FALSE)),"")</f>
        <v/>
      </c>
    </row>
    <row r="499" spans="2:6" ht="15">
      <c r="B499" s="646">
        <f>'ORÇAMENTO '!F766</f>
        <v>0</v>
      </c>
      <c r="C499" s="647">
        <f>IFERROR(IF(OR($B499="",$B499=0),'ORÇAMENTO '!I766,VLOOKUP($B499,'ORÇAMENTO '!$F$21:$N$450,4,FALSE)),"")</f>
        <v>0</v>
      </c>
      <c r="D499" s="648" t="str">
        <f ca="1">IFERROR(IF(VLOOKUP($B499,'ORÇAMENTO '!$F$21:$P$993,11,FALSE)=0,"",VLOOKUP($B499,'ORÇAMENTO '!$F$21:$P$993,11,FALSE)),"")</f>
        <v/>
      </c>
      <c r="E499" s="649" t="str">
        <f ca="1">IFERROR(IF(VLOOKUP($B499,'ORÇAMENTO '!$F$21:$N$993,6,FALSE)=0,"",VLOOKUP($B499,'ORÇAMENTO '!$F$21:$N$993,6,FALSE)),"")</f>
        <v/>
      </c>
      <c r="F499" s="649" t="str">
        <f ca="1">IFERROR(IF(VLOOKUP($B499,'ORÇAMENTO '!$F$21:$N$993,5,FALSE)=0,"",VLOOKUP($B499,'ORÇAMENTO '!$F$21:$N$993,5,FALSE)),"")</f>
        <v/>
      </c>
    </row>
    <row r="500" spans="2:6" ht="15">
      <c r="B500" s="646">
        <f>'ORÇAMENTO '!F767</f>
        <v>0</v>
      </c>
      <c r="C500" s="647">
        <f>IFERROR(IF(OR($B500="",$B500=0),'ORÇAMENTO '!I767,VLOOKUP($B500,'ORÇAMENTO '!$F$21:$N$450,4,FALSE)),"")</f>
        <v>0</v>
      </c>
      <c r="D500" s="648" t="str">
        <f ca="1">IFERROR(IF(VLOOKUP($B500,'ORÇAMENTO '!$F$21:$P$993,11,FALSE)=0,"",VLOOKUP($B500,'ORÇAMENTO '!$F$21:$P$993,11,FALSE)),"")</f>
        <v/>
      </c>
      <c r="E500" s="649" t="str">
        <f ca="1">IFERROR(IF(VLOOKUP($B500,'ORÇAMENTO '!$F$21:$N$993,6,FALSE)=0,"",VLOOKUP($B500,'ORÇAMENTO '!$F$21:$N$993,6,FALSE)),"")</f>
        <v/>
      </c>
      <c r="F500" s="649" t="str">
        <f ca="1">IFERROR(IF(VLOOKUP($B500,'ORÇAMENTO '!$F$21:$N$993,5,FALSE)=0,"",VLOOKUP($B500,'ORÇAMENTO '!$F$21:$N$993,5,FALSE)),"")</f>
        <v/>
      </c>
    </row>
    <row r="501" spans="2:6" ht="15">
      <c r="B501" s="646">
        <f>'ORÇAMENTO '!F768</f>
        <v>0</v>
      </c>
      <c r="C501" s="647">
        <f>IFERROR(IF(OR($B501="",$B501=0),'ORÇAMENTO '!I768,VLOOKUP($B501,'ORÇAMENTO '!$F$21:$N$450,4,FALSE)),"")</f>
        <v>0</v>
      </c>
      <c r="D501" s="648" t="str">
        <f ca="1">IFERROR(IF(VLOOKUP($B501,'ORÇAMENTO '!$F$21:$P$993,11,FALSE)=0,"",VLOOKUP($B501,'ORÇAMENTO '!$F$21:$P$993,11,FALSE)),"")</f>
        <v/>
      </c>
      <c r="E501" s="649" t="str">
        <f ca="1">IFERROR(IF(VLOOKUP($B501,'ORÇAMENTO '!$F$21:$N$993,6,FALSE)=0,"",VLOOKUP($B501,'ORÇAMENTO '!$F$21:$N$993,6,FALSE)),"")</f>
        <v/>
      </c>
      <c r="F501" s="649" t="str">
        <f ca="1">IFERROR(IF(VLOOKUP($B501,'ORÇAMENTO '!$F$21:$N$993,5,FALSE)=0,"",VLOOKUP($B501,'ORÇAMENTO '!$F$21:$N$993,5,FALSE)),"")</f>
        <v/>
      </c>
    </row>
    <row r="502" spans="2:6" ht="15">
      <c r="B502" s="646">
        <f>'ORÇAMENTO '!F769</f>
        <v>0</v>
      </c>
      <c r="C502" s="647">
        <f>IFERROR(IF(OR($B502="",$B502=0),'ORÇAMENTO '!I769,VLOOKUP($B502,'ORÇAMENTO '!$F$21:$N$450,4,FALSE)),"")</f>
        <v>0</v>
      </c>
      <c r="D502" s="648" t="str">
        <f ca="1">IFERROR(IF(VLOOKUP($B502,'ORÇAMENTO '!$F$21:$P$993,11,FALSE)=0,"",VLOOKUP($B502,'ORÇAMENTO '!$F$21:$P$993,11,FALSE)),"")</f>
        <v/>
      </c>
      <c r="E502" s="649" t="str">
        <f ca="1">IFERROR(IF(VLOOKUP($B502,'ORÇAMENTO '!$F$21:$N$993,6,FALSE)=0,"",VLOOKUP($B502,'ORÇAMENTO '!$F$21:$N$993,6,FALSE)),"")</f>
        <v/>
      </c>
      <c r="F502" s="649" t="str">
        <f ca="1">IFERROR(IF(VLOOKUP($B502,'ORÇAMENTO '!$F$21:$N$993,5,FALSE)=0,"",VLOOKUP($B502,'ORÇAMENTO '!$F$21:$N$993,5,FALSE)),"")</f>
        <v/>
      </c>
    </row>
    <row r="503" spans="2:6" ht="15">
      <c r="B503" s="646">
        <f>'ORÇAMENTO '!F770</f>
        <v>0</v>
      </c>
      <c r="C503" s="647">
        <f>IFERROR(IF(OR($B503="",$B503=0),'ORÇAMENTO '!I770,VLOOKUP($B503,'ORÇAMENTO '!$F$21:$N$450,4,FALSE)),"")</f>
        <v>0</v>
      </c>
      <c r="D503" s="648" t="str">
        <f ca="1">IFERROR(IF(VLOOKUP($B503,'ORÇAMENTO '!$F$21:$P$993,11,FALSE)=0,"",VLOOKUP($B503,'ORÇAMENTO '!$F$21:$P$993,11,FALSE)),"")</f>
        <v/>
      </c>
      <c r="E503" s="649" t="str">
        <f ca="1">IFERROR(IF(VLOOKUP($B503,'ORÇAMENTO '!$F$21:$N$993,6,FALSE)=0,"",VLOOKUP($B503,'ORÇAMENTO '!$F$21:$N$993,6,FALSE)),"")</f>
        <v/>
      </c>
      <c r="F503" s="649" t="str">
        <f ca="1">IFERROR(IF(VLOOKUP($B503,'ORÇAMENTO '!$F$21:$N$993,5,FALSE)=0,"",VLOOKUP($B503,'ORÇAMENTO '!$F$21:$N$993,5,FALSE)),"")</f>
        <v/>
      </c>
    </row>
    <row r="504" spans="2:6" ht="15">
      <c r="B504" s="646">
        <f>'ORÇAMENTO '!F771</f>
        <v>0</v>
      </c>
      <c r="C504" s="647">
        <f>IFERROR(IF(OR($B504="",$B504=0),'ORÇAMENTO '!I771,VLOOKUP($B504,'ORÇAMENTO '!$F$21:$N$450,4,FALSE)),"")</f>
        <v>0</v>
      </c>
      <c r="D504" s="648" t="str">
        <f ca="1">IFERROR(IF(VLOOKUP($B504,'ORÇAMENTO '!$F$21:$P$993,11,FALSE)=0,"",VLOOKUP($B504,'ORÇAMENTO '!$F$21:$P$993,11,FALSE)),"")</f>
        <v/>
      </c>
      <c r="E504" s="649" t="str">
        <f ca="1">IFERROR(IF(VLOOKUP($B504,'ORÇAMENTO '!$F$21:$N$993,6,FALSE)=0,"",VLOOKUP($B504,'ORÇAMENTO '!$F$21:$N$993,6,FALSE)),"")</f>
        <v/>
      </c>
      <c r="F504" s="649" t="str">
        <f ca="1">IFERROR(IF(VLOOKUP($B504,'ORÇAMENTO '!$F$21:$N$993,5,FALSE)=0,"",VLOOKUP($B504,'ORÇAMENTO '!$F$21:$N$993,5,FALSE)),"")</f>
        <v/>
      </c>
    </row>
    <row r="505" spans="2:6" ht="15">
      <c r="B505" s="646">
        <f>'ORÇAMENTO '!F772</f>
        <v>0</v>
      </c>
      <c r="C505" s="647">
        <f>IFERROR(IF(OR($B505="",$B505=0),'ORÇAMENTO '!I772,VLOOKUP($B505,'ORÇAMENTO '!$F$21:$N$450,4,FALSE)),"")</f>
        <v>0</v>
      </c>
      <c r="D505" s="648" t="str">
        <f ca="1">IFERROR(IF(VLOOKUP($B505,'ORÇAMENTO '!$F$21:$P$993,11,FALSE)=0,"",VLOOKUP($B505,'ORÇAMENTO '!$F$21:$P$993,11,FALSE)),"")</f>
        <v/>
      </c>
      <c r="E505" s="649" t="str">
        <f ca="1">IFERROR(IF(VLOOKUP($B505,'ORÇAMENTO '!$F$21:$N$993,6,FALSE)=0,"",VLOOKUP($B505,'ORÇAMENTO '!$F$21:$N$993,6,FALSE)),"")</f>
        <v/>
      </c>
      <c r="F505" s="649" t="str">
        <f ca="1">IFERROR(IF(VLOOKUP($B505,'ORÇAMENTO '!$F$21:$N$993,5,FALSE)=0,"",VLOOKUP($B505,'ORÇAMENTO '!$F$21:$N$993,5,FALSE)),"")</f>
        <v/>
      </c>
    </row>
    <row r="506" spans="2:6" ht="15">
      <c r="B506" s="646">
        <f>'ORÇAMENTO '!F773</f>
        <v>0</v>
      </c>
      <c r="C506" s="647">
        <f>IFERROR(IF(OR($B506="",$B506=0),'ORÇAMENTO '!I773,VLOOKUP($B506,'ORÇAMENTO '!$F$21:$N$450,4,FALSE)),"")</f>
        <v>0</v>
      </c>
      <c r="D506" s="648" t="str">
        <f ca="1">IFERROR(IF(VLOOKUP($B506,'ORÇAMENTO '!$F$21:$P$993,11,FALSE)=0,"",VLOOKUP($B506,'ORÇAMENTO '!$F$21:$P$993,11,FALSE)),"")</f>
        <v/>
      </c>
      <c r="E506" s="649" t="str">
        <f ca="1">IFERROR(IF(VLOOKUP($B506,'ORÇAMENTO '!$F$21:$N$993,6,FALSE)=0,"",VLOOKUP($B506,'ORÇAMENTO '!$F$21:$N$993,6,FALSE)),"")</f>
        <v/>
      </c>
      <c r="F506" s="649" t="str">
        <f ca="1">IFERROR(IF(VLOOKUP($B506,'ORÇAMENTO '!$F$21:$N$993,5,FALSE)=0,"",VLOOKUP($B506,'ORÇAMENTO '!$F$21:$N$993,5,FALSE)),"")</f>
        <v/>
      </c>
    </row>
    <row r="507" spans="2:6" ht="15">
      <c r="B507" s="646">
        <f>'ORÇAMENTO '!F774</f>
        <v>0</v>
      </c>
      <c r="C507" s="647">
        <f>IFERROR(IF(OR($B507="",$B507=0),'ORÇAMENTO '!I774,VLOOKUP($B507,'ORÇAMENTO '!$F$21:$N$450,4,FALSE)),"")</f>
        <v>0</v>
      </c>
      <c r="D507" s="648" t="str">
        <f ca="1">IFERROR(IF(VLOOKUP($B507,'ORÇAMENTO '!$F$21:$P$993,11,FALSE)=0,"",VLOOKUP($B507,'ORÇAMENTO '!$F$21:$P$993,11,FALSE)),"")</f>
        <v/>
      </c>
      <c r="E507" s="649" t="str">
        <f ca="1">IFERROR(IF(VLOOKUP($B507,'ORÇAMENTO '!$F$21:$N$993,6,FALSE)=0,"",VLOOKUP($B507,'ORÇAMENTO '!$F$21:$N$993,6,FALSE)),"")</f>
        <v/>
      </c>
      <c r="F507" s="649" t="str">
        <f ca="1">IFERROR(IF(VLOOKUP($B507,'ORÇAMENTO '!$F$21:$N$993,5,FALSE)=0,"",VLOOKUP($B507,'ORÇAMENTO '!$F$21:$N$993,5,FALSE)),"")</f>
        <v/>
      </c>
    </row>
    <row r="508" spans="2:6" ht="15">
      <c r="B508" s="646">
        <f>'ORÇAMENTO '!F775</f>
        <v>0</v>
      </c>
      <c r="C508" s="647">
        <f>IFERROR(IF(OR($B508="",$B508=0),'ORÇAMENTO '!I775,VLOOKUP($B508,'ORÇAMENTO '!$F$21:$N$450,4,FALSE)),"")</f>
        <v>0</v>
      </c>
      <c r="D508" s="648" t="str">
        <f ca="1">IFERROR(IF(VLOOKUP($B508,'ORÇAMENTO '!$F$21:$P$993,11,FALSE)=0,"",VLOOKUP($B508,'ORÇAMENTO '!$F$21:$P$993,11,FALSE)),"")</f>
        <v/>
      </c>
      <c r="E508" s="649" t="str">
        <f ca="1">IFERROR(IF(VLOOKUP($B508,'ORÇAMENTO '!$F$21:$N$993,6,FALSE)=0,"",VLOOKUP($B508,'ORÇAMENTO '!$F$21:$N$993,6,FALSE)),"")</f>
        <v/>
      </c>
      <c r="F508" s="649" t="str">
        <f ca="1">IFERROR(IF(VLOOKUP($B508,'ORÇAMENTO '!$F$21:$N$993,5,FALSE)=0,"",VLOOKUP($B508,'ORÇAMENTO '!$F$21:$N$993,5,FALSE)),"")</f>
        <v/>
      </c>
    </row>
    <row r="509" spans="2:6" ht="15">
      <c r="B509" s="646">
        <f>'ORÇAMENTO '!F776</f>
        <v>0</v>
      </c>
      <c r="C509" s="647">
        <f>IFERROR(IF(OR($B509="",$B509=0),'ORÇAMENTO '!I776,VLOOKUP($B509,'ORÇAMENTO '!$F$21:$N$450,4,FALSE)),"")</f>
        <v>0</v>
      </c>
      <c r="D509" s="648" t="str">
        <f ca="1">IFERROR(IF(VLOOKUP($B509,'ORÇAMENTO '!$F$21:$P$993,11,FALSE)=0,"",VLOOKUP($B509,'ORÇAMENTO '!$F$21:$P$993,11,FALSE)),"")</f>
        <v/>
      </c>
      <c r="E509" s="649" t="str">
        <f ca="1">IFERROR(IF(VLOOKUP($B509,'ORÇAMENTO '!$F$21:$N$993,6,FALSE)=0,"",VLOOKUP($B509,'ORÇAMENTO '!$F$21:$N$993,6,FALSE)),"")</f>
        <v/>
      </c>
      <c r="F509" s="649" t="str">
        <f ca="1">IFERROR(IF(VLOOKUP($B509,'ORÇAMENTO '!$F$21:$N$993,5,FALSE)=0,"",VLOOKUP($B509,'ORÇAMENTO '!$F$21:$N$993,5,FALSE)),"")</f>
        <v/>
      </c>
    </row>
    <row r="510" spans="2:6" ht="15">
      <c r="B510" s="646">
        <f>'ORÇAMENTO '!F777</f>
        <v>0</v>
      </c>
      <c r="C510" s="647">
        <f>IFERROR(IF(OR($B510="",$B510=0),'ORÇAMENTO '!I777,VLOOKUP($B510,'ORÇAMENTO '!$F$21:$N$450,4,FALSE)),"")</f>
        <v>0</v>
      </c>
      <c r="D510" s="648" t="str">
        <f ca="1">IFERROR(IF(VLOOKUP($B510,'ORÇAMENTO '!$F$21:$P$993,11,FALSE)=0,"",VLOOKUP($B510,'ORÇAMENTO '!$F$21:$P$993,11,FALSE)),"")</f>
        <v/>
      </c>
      <c r="E510" s="649" t="str">
        <f ca="1">IFERROR(IF(VLOOKUP($B510,'ORÇAMENTO '!$F$21:$N$993,6,FALSE)=0,"",VLOOKUP($B510,'ORÇAMENTO '!$F$21:$N$993,6,FALSE)),"")</f>
        <v/>
      </c>
      <c r="F510" s="649" t="str">
        <f ca="1">IFERROR(IF(VLOOKUP($B510,'ORÇAMENTO '!$F$21:$N$993,5,FALSE)=0,"",VLOOKUP($B510,'ORÇAMENTO '!$F$21:$N$993,5,FALSE)),"")</f>
        <v/>
      </c>
    </row>
    <row r="511" spans="2:6" ht="15">
      <c r="B511" s="646">
        <f>'ORÇAMENTO '!F778</f>
        <v>0</v>
      </c>
      <c r="C511" s="647">
        <f>IFERROR(IF(OR($B511="",$B511=0),'ORÇAMENTO '!I778,VLOOKUP($B511,'ORÇAMENTO '!$F$21:$N$450,4,FALSE)),"")</f>
        <v>0</v>
      </c>
      <c r="D511" s="648" t="str">
        <f ca="1">IFERROR(IF(VLOOKUP($B511,'ORÇAMENTO '!$F$21:$P$993,11,FALSE)=0,"",VLOOKUP($B511,'ORÇAMENTO '!$F$21:$P$993,11,FALSE)),"")</f>
        <v/>
      </c>
      <c r="E511" s="649" t="str">
        <f ca="1">IFERROR(IF(VLOOKUP($B511,'ORÇAMENTO '!$F$21:$N$993,6,FALSE)=0,"",VLOOKUP($B511,'ORÇAMENTO '!$F$21:$N$993,6,FALSE)),"")</f>
        <v/>
      </c>
      <c r="F511" s="649" t="str">
        <f ca="1">IFERROR(IF(VLOOKUP($B511,'ORÇAMENTO '!$F$21:$N$993,5,FALSE)=0,"",VLOOKUP($B511,'ORÇAMENTO '!$F$21:$N$993,5,FALSE)),"")</f>
        <v/>
      </c>
    </row>
    <row r="512" spans="2:6" ht="15">
      <c r="B512" s="646">
        <f>'ORÇAMENTO '!F779</f>
        <v>0</v>
      </c>
      <c r="C512" s="647">
        <f>IFERROR(IF(OR($B512="",$B512=0),'ORÇAMENTO '!I779,VLOOKUP($B512,'ORÇAMENTO '!$F$21:$N$450,4,FALSE)),"")</f>
        <v>0</v>
      </c>
      <c r="D512" s="648" t="str">
        <f ca="1">IFERROR(IF(VLOOKUP($B512,'ORÇAMENTO '!$F$21:$P$993,11,FALSE)=0,"",VLOOKUP($B512,'ORÇAMENTO '!$F$21:$P$993,11,FALSE)),"")</f>
        <v/>
      </c>
      <c r="E512" s="649" t="str">
        <f ca="1">IFERROR(IF(VLOOKUP($B512,'ORÇAMENTO '!$F$21:$N$993,6,FALSE)=0,"",VLOOKUP($B512,'ORÇAMENTO '!$F$21:$N$993,6,FALSE)),"")</f>
        <v/>
      </c>
      <c r="F512" s="649" t="str">
        <f ca="1">IFERROR(IF(VLOOKUP($B512,'ORÇAMENTO '!$F$21:$N$993,5,FALSE)=0,"",VLOOKUP($B512,'ORÇAMENTO '!$F$21:$N$993,5,FALSE)),"")</f>
        <v/>
      </c>
    </row>
    <row r="513" spans="2:6" ht="15">
      <c r="B513" s="646">
        <f>'ORÇAMENTO '!F780</f>
        <v>0</v>
      </c>
      <c r="C513" s="647">
        <f>IFERROR(IF(OR($B513="",$B513=0),'ORÇAMENTO '!I780,VLOOKUP($B513,'ORÇAMENTO '!$F$21:$N$450,4,FALSE)),"")</f>
        <v>0</v>
      </c>
      <c r="D513" s="648" t="str">
        <f ca="1">IFERROR(IF(VLOOKUP($B513,'ORÇAMENTO '!$F$21:$P$993,11,FALSE)=0,"",VLOOKUP($B513,'ORÇAMENTO '!$F$21:$P$993,11,FALSE)),"")</f>
        <v/>
      </c>
      <c r="E513" s="649" t="str">
        <f ca="1">IFERROR(IF(VLOOKUP($B513,'ORÇAMENTO '!$F$21:$N$993,6,FALSE)=0,"",VLOOKUP($B513,'ORÇAMENTO '!$F$21:$N$993,6,FALSE)),"")</f>
        <v/>
      </c>
      <c r="F513" s="649" t="str">
        <f ca="1">IFERROR(IF(VLOOKUP($B513,'ORÇAMENTO '!$F$21:$N$993,5,FALSE)=0,"",VLOOKUP($B513,'ORÇAMENTO '!$F$21:$N$993,5,FALSE)),"")</f>
        <v/>
      </c>
    </row>
    <row r="514" spans="2:6" ht="15">
      <c r="B514" s="646">
        <f>'ORÇAMENTO '!F781</f>
        <v>0</v>
      </c>
      <c r="C514" s="647">
        <f>IFERROR(IF(OR($B514="",$B514=0),'ORÇAMENTO '!I781,VLOOKUP($B514,'ORÇAMENTO '!$F$21:$N$450,4,FALSE)),"")</f>
        <v>0</v>
      </c>
      <c r="D514" s="648" t="str">
        <f ca="1">IFERROR(IF(VLOOKUP($B514,'ORÇAMENTO '!$F$21:$P$993,11,FALSE)=0,"",VLOOKUP($B514,'ORÇAMENTO '!$F$21:$P$993,11,FALSE)),"")</f>
        <v/>
      </c>
      <c r="E514" s="649" t="str">
        <f ca="1">IFERROR(IF(VLOOKUP($B514,'ORÇAMENTO '!$F$21:$N$993,6,FALSE)=0,"",VLOOKUP($B514,'ORÇAMENTO '!$F$21:$N$993,6,FALSE)),"")</f>
        <v/>
      </c>
      <c r="F514" s="649" t="str">
        <f ca="1">IFERROR(IF(VLOOKUP($B514,'ORÇAMENTO '!$F$21:$N$993,5,FALSE)=0,"",VLOOKUP($B514,'ORÇAMENTO '!$F$21:$N$993,5,FALSE)),"")</f>
        <v/>
      </c>
    </row>
    <row r="515" spans="2:6" ht="15">
      <c r="B515" s="646">
        <f>'ORÇAMENTO '!F782</f>
        <v>0</v>
      </c>
      <c r="C515" s="647">
        <f>IFERROR(IF(OR($B515="",$B515=0),'ORÇAMENTO '!I782,VLOOKUP($B515,'ORÇAMENTO '!$F$21:$N$450,4,FALSE)),"")</f>
        <v>0</v>
      </c>
      <c r="D515" s="648" t="str">
        <f ca="1">IFERROR(IF(VLOOKUP($B515,'ORÇAMENTO '!$F$21:$P$993,11,FALSE)=0,"",VLOOKUP($B515,'ORÇAMENTO '!$F$21:$P$993,11,FALSE)),"")</f>
        <v/>
      </c>
      <c r="E515" s="649" t="str">
        <f ca="1">IFERROR(IF(VLOOKUP($B515,'ORÇAMENTO '!$F$21:$N$993,6,FALSE)=0,"",VLOOKUP($B515,'ORÇAMENTO '!$F$21:$N$993,6,FALSE)),"")</f>
        <v/>
      </c>
      <c r="F515" s="649" t="str">
        <f ca="1">IFERROR(IF(VLOOKUP($B515,'ORÇAMENTO '!$F$21:$N$993,5,FALSE)=0,"",VLOOKUP($B515,'ORÇAMENTO '!$F$21:$N$993,5,FALSE)),"")</f>
        <v/>
      </c>
    </row>
    <row r="516" spans="2:6" ht="15">
      <c r="B516" s="646">
        <f>'ORÇAMENTO '!F783</f>
        <v>0</v>
      </c>
      <c r="C516" s="647">
        <f>IFERROR(IF(OR($B516="",$B516=0),'ORÇAMENTO '!I783,VLOOKUP($B516,'ORÇAMENTO '!$F$21:$N$450,4,FALSE)),"")</f>
        <v>0</v>
      </c>
      <c r="D516" s="648" t="str">
        <f ca="1">IFERROR(IF(VLOOKUP($B516,'ORÇAMENTO '!$F$21:$P$993,11,FALSE)=0,"",VLOOKUP($B516,'ORÇAMENTO '!$F$21:$P$993,11,FALSE)),"")</f>
        <v/>
      </c>
      <c r="E516" s="649" t="str">
        <f ca="1">IFERROR(IF(VLOOKUP($B516,'ORÇAMENTO '!$F$21:$N$993,6,FALSE)=0,"",VLOOKUP($B516,'ORÇAMENTO '!$F$21:$N$993,6,FALSE)),"")</f>
        <v/>
      </c>
      <c r="F516" s="649" t="str">
        <f ca="1">IFERROR(IF(VLOOKUP($B516,'ORÇAMENTO '!$F$21:$N$993,5,FALSE)=0,"",VLOOKUP($B516,'ORÇAMENTO '!$F$21:$N$993,5,FALSE)),"")</f>
        <v/>
      </c>
    </row>
    <row r="517" spans="2:6" ht="15">
      <c r="B517" s="646">
        <f>'ORÇAMENTO '!F784</f>
        <v>0</v>
      </c>
      <c r="C517" s="647">
        <f>IFERROR(IF(OR($B517="",$B517=0),'ORÇAMENTO '!I784,VLOOKUP($B517,'ORÇAMENTO '!$F$21:$N$450,4,FALSE)),"")</f>
        <v>0</v>
      </c>
      <c r="D517" s="648" t="str">
        <f ca="1">IFERROR(IF(VLOOKUP($B517,'ORÇAMENTO '!$F$21:$P$993,11,FALSE)=0,"",VLOOKUP($B517,'ORÇAMENTO '!$F$21:$P$993,11,FALSE)),"")</f>
        <v/>
      </c>
      <c r="E517" s="649" t="str">
        <f ca="1">IFERROR(IF(VLOOKUP($B517,'ORÇAMENTO '!$F$21:$N$993,6,FALSE)=0,"",VLOOKUP($B517,'ORÇAMENTO '!$F$21:$N$993,6,FALSE)),"")</f>
        <v/>
      </c>
      <c r="F517" s="649" t="str">
        <f ca="1">IFERROR(IF(VLOOKUP($B517,'ORÇAMENTO '!$F$21:$N$993,5,FALSE)=0,"",VLOOKUP($B517,'ORÇAMENTO '!$F$21:$N$993,5,FALSE)),"")</f>
        <v/>
      </c>
    </row>
    <row r="518" spans="2:6" ht="15">
      <c r="B518" s="646">
        <f>'ORÇAMENTO '!F785</f>
        <v>0</v>
      </c>
      <c r="C518" s="647">
        <f>IFERROR(IF(OR($B518="",$B518=0),'ORÇAMENTO '!I785,VLOOKUP($B518,'ORÇAMENTO '!$F$21:$N$450,4,FALSE)),"")</f>
        <v>0</v>
      </c>
      <c r="D518" s="648" t="str">
        <f ca="1">IFERROR(IF(VLOOKUP($B518,'ORÇAMENTO '!$F$21:$P$993,11,FALSE)=0,"",VLOOKUP($B518,'ORÇAMENTO '!$F$21:$P$993,11,FALSE)),"")</f>
        <v/>
      </c>
      <c r="E518" s="649" t="str">
        <f ca="1">IFERROR(IF(VLOOKUP($B518,'ORÇAMENTO '!$F$21:$N$993,6,FALSE)=0,"",VLOOKUP($B518,'ORÇAMENTO '!$F$21:$N$993,6,FALSE)),"")</f>
        <v/>
      </c>
      <c r="F518" s="649" t="str">
        <f ca="1">IFERROR(IF(VLOOKUP($B518,'ORÇAMENTO '!$F$21:$N$993,5,FALSE)=0,"",VLOOKUP($B518,'ORÇAMENTO '!$F$21:$N$993,5,FALSE)),"")</f>
        <v/>
      </c>
    </row>
    <row r="519" spans="2:6" ht="15">
      <c r="B519" s="646">
        <f>'ORÇAMENTO '!F786</f>
        <v>0</v>
      </c>
      <c r="C519" s="647">
        <f>IFERROR(IF(OR($B519="",$B519=0),'ORÇAMENTO '!I786,VLOOKUP($B519,'ORÇAMENTO '!$F$21:$N$450,4,FALSE)),"")</f>
        <v>0</v>
      </c>
      <c r="D519" s="648" t="str">
        <f ca="1">IFERROR(IF(VLOOKUP($B519,'ORÇAMENTO '!$F$21:$P$993,11,FALSE)=0,"",VLOOKUP($B519,'ORÇAMENTO '!$F$21:$P$993,11,FALSE)),"")</f>
        <v/>
      </c>
      <c r="E519" s="649" t="str">
        <f ca="1">IFERROR(IF(VLOOKUP($B519,'ORÇAMENTO '!$F$21:$N$993,6,FALSE)=0,"",VLOOKUP($B519,'ORÇAMENTO '!$F$21:$N$993,6,FALSE)),"")</f>
        <v/>
      </c>
      <c r="F519" s="649" t="str">
        <f ca="1">IFERROR(IF(VLOOKUP($B519,'ORÇAMENTO '!$F$21:$N$993,5,FALSE)=0,"",VLOOKUP($B519,'ORÇAMENTO '!$F$21:$N$993,5,FALSE)),"")</f>
        <v/>
      </c>
    </row>
    <row r="520" spans="2:6" ht="15">
      <c r="B520" s="646">
        <f>'ORÇAMENTO '!F787</f>
        <v>0</v>
      </c>
      <c r="C520" s="647">
        <f>IFERROR(IF(OR($B520="",$B520=0),'ORÇAMENTO '!I787,VLOOKUP($B520,'ORÇAMENTO '!$F$21:$N$450,4,FALSE)),"")</f>
        <v>0</v>
      </c>
      <c r="D520" s="648" t="str">
        <f ca="1">IFERROR(IF(VLOOKUP($B520,'ORÇAMENTO '!$F$21:$P$993,11,FALSE)=0,"",VLOOKUP($B520,'ORÇAMENTO '!$F$21:$P$993,11,FALSE)),"")</f>
        <v/>
      </c>
      <c r="E520" s="649" t="str">
        <f ca="1">IFERROR(IF(VLOOKUP($B520,'ORÇAMENTO '!$F$21:$N$993,6,FALSE)=0,"",VLOOKUP($B520,'ORÇAMENTO '!$F$21:$N$993,6,FALSE)),"")</f>
        <v/>
      </c>
      <c r="F520" s="649" t="str">
        <f ca="1">IFERROR(IF(VLOOKUP($B520,'ORÇAMENTO '!$F$21:$N$993,5,FALSE)=0,"",VLOOKUP($B520,'ORÇAMENTO '!$F$21:$N$993,5,FALSE)),"")</f>
        <v/>
      </c>
    </row>
    <row r="521" spans="2:6" ht="15">
      <c r="B521" s="646">
        <f>'ORÇAMENTO '!F788</f>
        <v>0</v>
      </c>
      <c r="C521" s="647">
        <f>IFERROR(IF(OR($B521="",$B521=0),'ORÇAMENTO '!I788,VLOOKUP($B521,'ORÇAMENTO '!$F$21:$N$450,4,FALSE)),"")</f>
        <v>0</v>
      </c>
      <c r="D521" s="648" t="str">
        <f ca="1">IFERROR(IF(VLOOKUP($B521,'ORÇAMENTO '!$F$21:$P$993,11,FALSE)=0,"",VLOOKUP($B521,'ORÇAMENTO '!$F$21:$P$993,11,FALSE)),"")</f>
        <v/>
      </c>
      <c r="E521" s="649" t="str">
        <f ca="1">IFERROR(IF(VLOOKUP($B521,'ORÇAMENTO '!$F$21:$N$993,6,FALSE)=0,"",VLOOKUP($B521,'ORÇAMENTO '!$F$21:$N$993,6,FALSE)),"")</f>
        <v/>
      </c>
      <c r="F521" s="649" t="str">
        <f ca="1">IFERROR(IF(VLOOKUP($B521,'ORÇAMENTO '!$F$21:$N$993,5,FALSE)=0,"",VLOOKUP($B521,'ORÇAMENTO '!$F$21:$N$993,5,FALSE)),"")</f>
        <v/>
      </c>
    </row>
    <row r="522" spans="2:6" ht="15">
      <c r="B522" s="646">
        <f>'ORÇAMENTO '!F789</f>
        <v>0</v>
      </c>
      <c r="C522" s="647">
        <f>IFERROR(IF(OR($B522="",$B522=0),'ORÇAMENTO '!I789,VLOOKUP($B522,'ORÇAMENTO '!$F$21:$N$450,4,FALSE)),"")</f>
        <v>0</v>
      </c>
      <c r="D522" s="648" t="str">
        <f ca="1">IFERROR(IF(VLOOKUP($B522,'ORÇAMENTO '!$F$21:$P$993,11,FALSE)=0,"",VLOOKUP($B522,'ORÇAMENTO '!$F$21:$P$993,11,FALSE)),"")</f>
        <v/>
      </c>
      <c r="E522" s="649" t="str">
        <f ca="1">IFERROR(IF(VLOOKUP($B522,'ORÇAMENTO '!$F$21:$N$993,6,FALSE)=0,"",VLOOKUP($B522,'ORÇAMENTO '!$F$21:$N$993,6,FALSE)),"")</f>
        <v/>
      </c>
      <c r="F522" s="649" t="str">
        <f ca="1">IFERROR(IF(VLOOKUP($B522,'ORÇAMENTO '!$F$21:$N$993,5,FALSE)=0,"",VLOOKUP($B522,'ORÇAMENTO '!$F$21:$N$993,5,FALSE)),"")</f>
        <v/>
      </c>
    </row>
    <row r="523" spans="2:6" ht="15">
      <c r="B523" s="646">
        <f>'ORÇAMENTO '!F790</f>
        <v>0</v>
      </c>
      <c r="C523" s="647">
        <f>IFERROR(IF(OR($B523="",$B523=0),'ORÇAMENTO '!I790,VLOOKUP($B523,'ORÇAMENTO '!$F$21:$N$450,4,FALSE)),"")</f>
        <v>0</v>
      </c>
      <c r="D523" s="648" t="str">
        <f ca="1">IFERROR(IF(VLOOKUP($B523,'ORÇAMENTO '!$F$21:$P$993,11,FALSE)=0,"",VLOOKUP($B523,'ORÇAMENTO '!$F$21:$P$993,11,FALSE)),"")</f>
        <v/>
      </c>
      <c r="E523" s="649" t="str">
        <f ca="1">IFERROR(IF(VLOOKUP($B523,'ORÇAMENTO '!$F$21:$N$993,6,FALSE)=0,"",VLOOKUP($B523,'ORÇAMENTO '!$F$21:$N$993,6,FALSE)),"")</f>
        <v/>
      </c>
      <c r="F523" s="649" t="str">
        <f ca="1">IFERROR(IF(VLOOKUP($B523,'ORÇAMENTO '!$F$21:$N$993,5,FALSE)=0,"",VLOOKUP($B523,'ORÇAMENTO '!$F$21:$N$993,5,FALSE)),"")</f>
        <v/>
      </c>
    </row>
    <row r="524" spans="2:6" ht="15">
      <c r="B524" s="646">
        <f>'ORÇAMENTO '!F791</f>
        <v>0</v>
      </c>
      <c r="C524" s="647">
        <f>IFERROR(IF(OR($B524="",$B524=0),'ORÇAMENTO '!I791,VLOOKUP($B524,'ORÇAMENTO '!$F$21:$N$450,4,FALSE)),"")</f>
        <v>0</v>
      </c>
      <c r="D524" s="648" t="str">
        <f ca="1">IFERROR(IF(VLOOKUP($B524,'ORÇAMENTO '!$F$21:$P$993,11,FALSE)=0,"",VLOOKUP($B524,'ORÇAMENTO '!$F$21:$P$993,11,FALSE)),"")</f>
        <v/>
      </c>
      <c r="E524" s="649" t="str">
        <f ca="1">IFERROR(IF(VLOOKUP($B524,'ORÇAMENTO '!$F$21:$N$993,6,FALSE)=0,"",VLOOKUP($B524,'ORÇAMENTO '!$F$21:$N$993,6,FALSE)),"")</f>
        <v/>
      </c>
      <c r="F524" s="649" t="str">
        <f ca="1">IFERROR(IF(VLOOKUP($B524,'ORÇAMENTO '!$F$21:$N$993,5,FALSE)=0,"",VLOOKUP($B524,'ORÇAMENTO '!$F$21:$N$993,5,FALSE)),"")</f>
        <v/>
      </c>
    </row>
    <row r="525" spans="2:6" ht="15">
      <c r="B525" s="646">
        <f>'ORÇAMENTO '!F792</f>
        <v>0</v>
      </c>
      <c r="C525" s="647">
        <f>IFERROR(IF(OR($B525="",$B525=0),'ORÇAMENTO '!I792,VLOOKUP($B525,'ORÇAMENTO '!$F$21:$N$450,4,FALSE)),"")</f>
        <v>0</v>
      </c>
      <c r="D525" s="648" t="str">
        <f ca="1">IFERROR(IF(VLOOKUP($B525,'ORÇAMENTO '!$F$21:$P$993,11,FALSE)=0,"",VLOOKUP($B525,'ORÇAMENTO '!$F$21:$P$993,11,FALSE)),"")</f>
        <v/>
      </c>
      <c r="E525" s="649" t="str">
        <f ca="1">IFERROR(IF(VLOOKUP($B525,'ORÇAMENTO '!$F$21:$N$993,6,FALSE)=0,"",VLOOKUP($B525,'ORÇAMENTO '!$F$21:$N$993,6,FALSE)),"")</f>
        <v/>
      </c>
      <c r="F525" s="649" t="str">
        <f ca="1">IFERROR(IF(VLOOKUP($B525,'ORÇAMENTO '!$F$21:$N$993,5,FALSE)=0,"",VLOOKUP($B525,'ORÇAMENTO '!$F$21:$N$993,5,FALSE)),"")</f>
        <v/>
      </c>
    </row>
    <row r="526" spans="2:6" ht="15">
      <c r="B526" s="646">
        <f>'ORÇAMENTO '!F793</f>
        <v>0</v>
      </c>
      <c r="C526" s="647">
        <f>IFERROR(IF(OR($B526="",$B526=0),'ORÇAMENTO '!I793,VLOOKUP($B526,'ORÇAMENTO '!$F$21:$N$450,4,FALSE)),"")</f>
        <v>0</v>
      </c>
      <c r="D526" s="648" t="str">
        <f ca="1">IFERROR(IF(VLOOKUP($B526,'ORÇAMENTO '!$F$21:$P$993,11,FALSE)=0,"",VLOOKUP($B526,'ORÇAMENTO '!$F$21:$P$993,11,FALSE)),"")</f>
        <v/>
      </c>
      <c r="E526" s="649" t="str">
        <f ca="1">IFERROR(IF(VLOOKUP($B526,'ORÇAMENTO '!$F$21:$N$993,6,FALSE)=0,"",VLOOKUP($B526,'ORÇAMENTO '!$F$21:$N$993,6,FALSE)),"")</f>
        <v/>
      </c>
      <c r="F526" s="649" t="str">
        <f ca="1">IFERROR(IF(VLOOKUP($B526,'ORÇAMENTO '!$F$21:$N$993,5,FALSE)=0,"",VLOOKUP($B526,'ORÇAMENTO '!$F$21:$N$993,5,FALSE)),"")</f>
        <v/>
      </c>
    </row>
    <row r="527" spans="2:6" ht="15">
      <c r="B527" s="646">
        <f>'ORÇAMENTO '!F794</f>
        <v>0</v>
      </c>
      <c r="C527" s="647">
        <f>IFERROR(IF(OR($B527="",$B527=0),'ORÇAMENTO '!I794,VLOOKUP($B527,'ORÇAMENTO '!$F$21:$N$450,4,FALSE)),"")</f>
        <v>0</v>
      </c>
      <c r="D527" s="648" t="str">
        <f ca="1">IFERROR(IF(VLOOKUP($B527,'ORÇAMENTO '!$F$21:$P$993,11,FALSE)=0,"",VLOOKUP($B527,'ORÇAMENTO '!$F$21:$P$993,11,FALSE)),"")</f>
        <v/>
      </c>
      <c r="E527" s="649" t="str">
        <f ca="1">IFERROR(IF(VLOOKUP($B527,'ORÇAMENTO '!$F$21:$N$993,6,FALSE)=0,"",VLOOKUP($B527,'ORÇAMENTO '!$F$21:$N$993,6,FALSE)),"")</f>
        <v/>
      </c>
      <c r="F527" s="649" t="str">
        <f ca="1">IFERROR(IF(VLOOKUP($B527,'ORÇAMENTO '!$F$21:$N$993,5,FALSE)=0,"",VLOOKUP($B527,'ORÇAMENTO '!$F$21:$N$993,5,FALSE)),"")</f>
        <v/>
      </c>
    </row>
    <row r="528" spans="2:6" ht="15">
      <c r="B528" s="646">
        <f>'ORÇAMENTO '!F795</f>
        <v>0</v>
      </c>
      <c r="C528" s="647">
        <f>IFERROR(IF(OR($B528="",$B528=0),'ORÇAMENTO '!I795,VLOOKUP($B528,'ORÇAMENTO '!$F$21:$N$450,4,FALSE)),"")</f>
        <v>0</v>
      </c>
      <c r="D528" s="648" t="str">
        <f ca="1">IFERROR(IF(VLOOKUP($B528,'ORÇAMENTO '!$F$21:$P$993,11,FALSE)=0,"",VLOOKUP($B528,'ORÇAMENTO '!$F$21:$P$993,11,FALSE)),"")</f>
        <v/>
      </c>
      <c r="E528" s="649" t="str">
        <f ca="1">IFERROR(IF(VLOOKUP($B528,'ORÇAMENTO '!$F$21:$N$993,6,FALSE)=0,"",VLOOKUP($B528,'ORÇAMENTO '!$F$21:$N$993,6,FALSE)),"")</f>
        <v/>
      </c>
      <c r="F528" s="649" t="str">
        <f ca="1">IFERROR(IF(VLOOKUP($B528,'ORÇAMENTO '!$F$21:$N$993,5,FALSE)=0,"",VLOOKUP($B528,'ORÇAMENTO '!$F$21:$N$993,5,FALSE)),"")</f>
        <v/>
      </c>
    </row>
    <row r="529" spans="2:6" ht="15">
      <c r="B529" s="646">
        <f>'ORÇAMENTO '!F796</f>
        <v>0</v>
      </c>
      <c r="C529" s="647">
        <f>IFERROR(IF(OR($B529="",$B529=0),'ORÇAMENTO '!I796,VLOOKUP($B529,'ORÇAMENTO '!$F$21:$N$450,4,FALSE)),"")</f>
        <v>0</v>
      </c>
      <c r="D529" s="648" t="str">
        <f ca="1">IFERROR(IF(VLOOKUP($B529,'ORÇAMENTO '!$F$21:$P$993,11,FALSE)=0,"",VLOOKUP($B529,'ORÇAMENTO '!$F$21:$P$993,11,FALSE)),"")</f>
        <v/>
      </c>
      <c r="E529" s="649" t="str">
        <f ca="1">IFERROR(IF(VLOOKUP($B529,'ORÇAMENTO '!$F$21:$N$993,6,FALSE)=0,"",VLOOKUP($B529,'ORÇAMENTO '!$F$21:$N$993,6,FALSE)),"")</f>
        <v/>
      </c>
      <c r="F529" s="649" t="str">
        <f ca="1">IFERROR(IF(VLOOKUP($B529,'ORÇAMENTO '!$F$21:$N$993,5,FALSE)=0,"",VLOOKUP($B529,'ORÇAMENTO '!$F$21:$N$993,5,FALSE)),"")</f>
        <v/>
      </c>
    </row>
    <row r="530" spans="2:6" ht="15">
      <c r="B530" s="646">
        <f>'ORÇAMENTO '!F797</f>
        <v>0</v>
      </c>
      <c r="C530" s="647">
        <f>IFERROR(IF(OR($B530="",$B530=0),'ORÇAMENTO '!I797,VLOOKUP($B530,'ORÇAMENTO '!$F$21:$N$450,4,FALSE)),"")</f>
        <v>0</v>
      </c>
      <c r="D530" s="648" t="str">
        <f ca="1">IFERROR(IF(VLOOKUP($B530,'ORÇAMENTO '!$F$21:$P$993,11,FALSE)=0,"",VLOOKUP($B530,'ORÇAMENTO '!$F$21:$P$993,11,FALSE)),"")</f>
        <v/>
      </c>
      <c r="E530" s="649" t="str">
        <f ca="1">IFERROR(IF(VLOOKUP($B530,'ORÇAMENTO '!$F$21:$N$993,6,FALSE)=0,"",VLOOKUP($B530,'ORÇAMENTO '!$F$21:$N$993,6,FALSE)),"")</f>
        <v/>
      </c>
      <c r="F530" s="649" t="str">
        <f ca="1">IFERROR(IF(VLOOKUP($B530,'ORÇAMENTO '!$F$21:$N$993,5,FALSE)=0,"",VLOOKUP($B530,'ORÇAMENTO '!$F$21:$N$993,5,FALSE)),"")</f>
        <v/>
      </c>
    </row>
    <row r="531" spans="2:6" ht="15">
      <c r="B531" s="646">
        <f>'ORÇAMENTO '!F798</f>
        <v>0</v>
      </c>
      <c r="C531" s="647">
        <f>IFERROR(IF(OR($B531="",$B531=0),'ORÇAMENTO '!I798,VLOOKUP($B531,'ORÇAMENTO '!$F$21:$N$450,4,FALSE)),"")</f>
        <v>0</v>
      </c>
      <c r="D531" s="648" t="str">
        <f ca="1">IFERROR(IF(VLOOKUP($B531,'ORÇAMENTO '!$F$21:$P$993,11,FALSE)=0,"",VLOOKUP($B531,'ORÇAMENTO '!$F$21:$P$993,11,FALSE)),"")</f>
        <v/>
      </c>
      <c r="E531" s="649" t="str">
        <f ca="1">IFERROR(IF(VLOOKUP($B531,'ORÇAMENTO '!$F$21:$N$993,6,FALSE)=0,"",VLOOKUP($B531,'ORÇAMENTO '!$F$21:$N$993,6,FALSE)),"")</f>
        <v/>
      </c>
      <c r="F531" s="649" t="str">
        <f ca="1">IFERROR(IF(VLOOKUP($B531,'ORÇAMENTO '!$F$21:$N$993,5,FALSE)=0,"",VLOOKUP($B531,'ORÇAMENTO '!$F$21:$N$993,5,FALSE)),"")</f>
        <v/>
      </c>
    </row>
    <row r="532" spans="2:6" ht="15">
      <c r="B532" s="646">
        <f>'ORÇAMENTO '!F799</f>
        <v>0</v>
      </c>
      <c r="C532" s="647">
        <f>IFERROR(IF(OR($B532="",$B532=0),'ORÇAMENTO '!I799,VLOOKUP($B532,'ORÇAMENTO '!$F$21:$N$450,4,FALSE)),"")</f>
        <v>0</v>
      </c>
      <c r="D532" s="648" t="str">
        <f ca="1">IFERROR(IF(VLOOKUP($B532,'ORÇAMENTO '!$F$21:$P$993,11,FALSE)=0,"",VLOOKUP($B532,'ORÇAMENTO '!$F$21:$P$993,11,FALSE)),"")</f>
        <v/>
      </c>
      <c r="E532" s="649" t="str">
        <f ca="1">IFERROR(IF(VLOOKUP($B532,'ORÇAMENTO '!$F$21:$N$993,6,FALSE)=0,"",VLOOKUP($B532,'ORÇAMENTO '!$F$21:$N$993,6,FALSE)),"")</f>
        <v/>
      </c>
      <c r="F532" s="649" t="str">
        <f ca="1">IFERROR(IF(VLOOKUP($B532,'ORÇAMENTO '!$F$21:$N$993,5,FALSE)=0,"",VLOOKUP($B532,'ORÇAMENTO '!$F$21:$N$993,5,FALSE)),"")</f>
        <v/>
      </c>
    </row>
    <row r="533" spans="2:6" ht="15">
      <c r="B533" s="646">
        <f>'ORÇAMENTO '!F800</f>
        <v>0</v>
      </c>
      <c r="C533" s="647">
        <f>IFERROR(IF(OR($B533="",$B533=0),'ORÇAMENTO '!I800,VLOOKUP($B533,'ORÇAMENTO '!$F$21:$N$450,4,FALSE)),"")</f>
        <v>0</v>
      </c>
      <c r="D533" s="648" t="str">
        <f ca="1">IFERROR(IF(VLOOKUP($B533,'ORÇAMENTO '!$F$21:$P$993,11,FALSE)=0,"",VLOOKUP($B533,'ORÇAMENTO '!$F$21:$P$993,11,FALSE)),"")</f>
        <v/>
      </c>
      <c r="E533" s="649" t="str">
        <f ca="1">IFERROR(IF(VLOOKUP($B533,'ORÇAMENTO '!$F$21:$N$993,6,FALSE)=0,"",VLOOKUP($B533,'ORÇAMENTO '!$F$21:$N$993,6,FALSE)),"")</f>
        <v/>
      </c>
      <c r="F533" s="649" t="str">
        <f ca="1">IFERROR(IF(VLOOKUP($B533,'ORÇAMENTO '!$F$21:$N$993,5,FALSE)=0,"",VLOOKUP($B533,'ORÇAMENTO '!$F$21:$N$993,5,FALSE)),"")</f>
        <v/>
      </c>
    </row>
    <row r="534" spans="2:6" ht="15">
      <c r="B534" s="646">
        <f>'ORÇAMENTO '!F801</f>
        <v>0</v>
      </c>
      <c r="C534" s="647">
        <f>IFERROR(IF(OR($B534="",$B534=0),'ORÇAMENTO '!I801,VLOOKUP($B534,'ORÇAMENTO '!$F$21:$N$450,4,FALSE)),"")</f>
        <v>0</v>
      </c>
      <c r="D534" s="648" t="str">
        <f ca="1">IFERROR(IF(VLOOKUP($B534,'ORÇAMENTO '!$F$21:$P$993,11,FALSE)=0,"",VLOOKUP($B534,'ORÇAMENTO '!$F$21:$P$993,11,FALSE)),"")</f>
        <v/>
      </c>
      <c r="E534" s="649" t="str">
        <f ca="1">IFERROR(IF(VLOOKUP($B534,'ORÇAMENTO '!$F$21:$N$993,6,FALSE)=0,"",VLOOKUP($B534,'ORÇAMENTO '!$F$21:$N$993,6,FALSE)),"")</f>
        <v/>
      </c>
      <c r="F534" s="649" t="str">
        <f ca="1">IFERROR(IF(VLOOKUP($B534,'ORÇAMENTO '!$F$21:$N$993,5,FALSE)=0,"",VLOOKUP($B534,'ORÇAMENTO '!$F$21:$N$993,5,FALSE)),"")</f>
        <v/>
      </c>
    </row>
    <row r="535" spans="2:6" ht="15">
      <c r="B535" s="646">
        <f>'ORÇAMENTO '!F802</f>
        <v>0</v>
      </c>
      <c r="C535" s="647">
        <f>IFERROR(IF(OR($B535="",$B535=0),'ORÇAMENTO '!I802,VLOOKUP($B535,'ORÇAMENTO '!$F$21:$N$450,4,FALSE)),"")</f>
        <v>0</v>
      </c>
      <c r="D535" s="648" t="str">
        <f ca="1">IFERROR(IF(VLOOKUP($B535,'ORÇAMENTO '!$F$21:$P$993,11,FALSE)=0,"",VLOOKUP($B535,'ORÇAMENTO '!$F$21:$P$993,11,FALSE)),"")</f>
        <v/>
      </c>
      <c r="E535" s="649" t="str">
        <f ca="1">IFERROR(IF(VLOOKUP($B535,'ORÇAMENTO '!$F$21:$N$993,6,FALSE)=0,"",VLOOKUP($B535,'ORÇAMENTO '!$F$21:$N$993,6,FALSE)),"")</f>
        <v/>
      </c>
      <c r="F535" s="649" t="str">
        <f ca="1">IFERROR(IF(VLOOKUP($B535,'ORÇAMENTO '!$F$21:$N$993,5,FALSE)=0,"",VLOOKUP($B535,'ORÇAMENTO '!$F$21:$N$993,5,FALSE)),"")</f>
        <v/>
      </c>
    </row>
    <row r="536" spans="2:6" ht="15">
      <c r="B536" s="646">
        <f>'ORÇAMENTO '!F803</f>
        <v>0</v>
      </c>
      <c r="C536" s="647">
        <f>IFERROR(IF(OR($B536="",$B536=0),'ORÇAMENTO '!I803,VLOOKUP($B536,'ORÇAMENTO '!$F$21:$N$450,4,FALSE)),"")</f>
        <v>0</v>
      </c>
      <c r="D536" s="648" t="str">
        <f ca="1">IFERROR(IF(VLOOKUP($B536,'ORÇAMENTO '!$F$21:$P$993,11,FALSE)=0,"",VLOOKUP($B536,'ORÇAMENTO '!$F$21:$P$993,11,FALSE)),"")</f>
        <v/>
      </c>
      <c r="E536" s="649" t="str">
        <f ca="1">IFERROR(IF(VLOOKUP($B536,'ORÇAMENTO '!$F$21:$N$993,6,FALSE)=0,"",VLOOKUP($B536,'ORÇAMENTO '!$F$21:$N$993,6,FALSE)),"")</f>
        <v/>
      </c>
      <c r="F536" s="649" t="str">
        <f ca="1">IFERROR(IF(VLOOKUP($B536,'ORÇAMENTO '!$F$21:$N$993,5,FALSE)=0,"",VLOOKUP($B536,'ORÇAMENTO '!$F$21:$N$993,5,FALSE)),"")</f>
        <v/>
      </c>
    </row>
    <row r="537" spans="2:6" ht="15">
      <c r="B537" s="646">
        <f>'ORÇAMENTO '!F804</f>
        <v>0</v>
      </c>
      <c r="C537" s="647">
        <f>IFERROR(IF(OR($B537="",$B537=0),'ORÇAMENTO '!I804,VLOOKUP($B537,'ORÇAMENTO '!$F$21:$N$450,4,FALSE)),"")</f>
        <v>0</v>
      </c>
      <c r="D537" s="648" t="str">
        <f ca="1">IFERROR(IF(VLOOKUP($B537,'ORÇAMENTO '!$F$21:$P$993,11,FALSE)=0,"",VLOOKUP($B537,'ORÇAMENTO '!$F$21:$P$993,11,FALSE)),"")</f>
        <v/>
      </c>
      <c r="E537" s="649" t="str">
        <f ca="1">IFERROR(IF(VLOOKUP($B537,'ORÇAMENTO '!$F$21:$N$993,6,FALSE)=0,"",VLOOKUP($B537,'ORÇAMENTO '!$F$21:$N$993,6,FALSE)),"")</f>
        <v/>
      </c>
      <c r="F537" s="649" t="str">
        <f ca="1">IFERROR(IF(VLOOKUP($B537,'ORÇAMENTO '!$F$21:$N$993,5,FALSE)=0,"",VLOOKUP($B537,'ORÇAMENTO '!$F$21:$N$993,5,FALSE)),"")</f>
        <v/>
      </c>
    </row>
    <row r="538" spans="2:6" ht="15">
      <c r="B538" s="646">
        <f>'ORÇAMENTO '!F805</f>
        <v>0</v>
      </c>
      <c r="C538" s="647">
        <f>IFERROR(IF(OR($B538="",$B538=0),'ORÇAMENTO '!I805,VLOOKUP($B538,'ORÇAMENTO '!$F$21:$N$450,4,FALSE)),"")</f>
        <v>0</v>
      </c>
      <c r="D538" s="648" t="str">
        <f ca="1">IFERROR(IF(VLOOKUP($B538,'ORÇAMENTO '!$F$21:$P$993,11,FALSE)=0,"",VLOOKUP($B538,'ORÇAMENTO '!$F$21:$P$993,11,FALSE)),"")</f>
        <v/>
      </c>
      <c r="E538" s="649" t="str">
        <f ca="1">IFERROR(IF(VLOOKUP($B538,'ORÇAMENTO '!$F$21:$N$993,6,FALSE)=0,"",VLOOKUP($B538,'ORÇAMENTO '!$F$21:$N$993,6,FALSE)),"")</f>
        <v/>
      </c>
      <c r="F538" s="649" t="str">
        <f ca="1">IFERROR(IF(VLOOKUP($B538,'ORÇAMENTO '!$F$21:$N$993,5,FALSE)=0,"",VLOOKUP($B538,'ORÇAMENTO '!$F$21:$N$993,5,FALSE)),"")</f>
        <v/>
      </c>
    </row>
    <row r="539" spans="2:6" ht="15">
      <c r="B539" s="646">
        <f>'ORÇAMENTO '!F806</f>
        <v>0</v>
      </c>
      <c r="C539" s="647">
        <f>IFERROR(IF(OR($B539="",$B539=0),'ORÇAMENTO '!I806,VLOOKUP($B539,'ORÇAMENTO '!$F$21:$N$450,4,FALSE)),"")</f>
        <v>0</v>
      </c>
      <c r="D539" s="648" t="str">
        <f ca="1">IFERROR(IF(VLOOKUP($B539,'ORÇAMENTO '!$F$21:$P$993,11,FALSE)=0,"",VLOOKUP($B539,'ORÇAMENTO '!$F$21:$P$993,11,FALSE)),"")</f>
        <v/>
      </c>
      <c r="E539" s="649" t="str">
        <f ca="1">IFERROR(IF(VLOOKUP($B539,'ORÇAMENTO '!$F$21:$N$993,6,FALSE)=0,"",VLOOKUP($B539,'ORÇAMENTO '!$F$21:$N$993,6,FALSE)),"")</f>
        <v/>
      </c>
      <c r="F539" s="649" t="str">
        <f ca="1">IFERROR(IF(VLOOKUP($B539,'ORÇAMENTO '!$F$21:$N$993,5,FALSE)=0,"",VLOOKUP($B539,'ORÇAMENTO '!$F$21:$N$993,5,FALSE)),"")</f>
        <v/>
      </c>
    </row>
    <row r="540" spans="2:6" ht="15">
      <c r="B540" s="646">
        <f>'ORÇAMENTO '!F807</f>
        <v>0</v>
      </c>
      <c r="C540" s="647">
        <f>IFERROR(IF(OR($B540="",$B540=0),'ORÇAMENTO '!I807,VLOOKUP($B540,'ORÇAMENTO '!$F$21:$N$450,4,FALSE)),"")</f>
        <v>0</v>
      </c>
      <c r="D540" s="648" t="str">
        <f ca="1">IFERROR(IF(VLOOKUP($B540,'ORÇAMENTO '!$F$21:$P$993,11,FALSE)=0,"",VLOOKUP($B540,'ORÇAMENTO '!$F$21:$P$993,11,FALSE)),"")</f>
        <v/>
      </c>
      <c r="E540" s="649" t="str">
        <f ca="1">IFERROR(IF(VLOOKUP($B540,'ORÇAMENTO '!$F$21:$N$993,6,FALSE)=0,"",VLOOKUP($B540,'ORÇAMENTO '!$F$21:$N$993,6,FALSE)),"")</f>
        <v/>
      </c>
      <c r="F540" s="649" t="str">
        <f ca="1">IFERROR(IF(VLOOKUP($B540,'ORÇAMENTO '!$F$21:$N$993,5,FALSE)=0,"",VLOOKUP($B540,'ORÇAMENTO '!$F$21:$N$993,5,FALSE)),"")</f>
        <v/>
      </c>
    </row>
    <row r="541" spans="2:6" ht="15">
      <c r="B541" s="646">
        <f>'ORÇAMENTO '!F808</f>
        <v>0</v>
      </c>
      <c r="C541" s="647">
        <f>IFERROR(IF(OR($B541="",$B541=0),'ORÇAMENTO '!I808,VLOOKUP($B541,'ORÇAMENTO '!$F$21:$N$450,4,FALSE)),"")</f>
        <v>0</v>
      </c>
      <c r="D541" s="648" t="str">
        <f ca="1">IFERROR(IF(VLOOKUP($B541,'ORÇAMENTO '!$F$21:$P$993,11,FALSE)=0,"",VLOOKUP($B541,'ORÇAMENTO '!$F$21:$P$993,11,FALSE)),"")</f>
        <v/>
      </c>
      <c r="E541" s="649" t="str">
        <f ca="1">IFERROR(IF(VLOOKUP($B541,'ORÇAMENTO '!$F$21:$N$993,6,FALSE)=0,"",VLOOKUP($B541,'ORÇAMENTO '!$F$21:$N$993,6,FALSE)),"")</f>
        <v/>
      </c>
      <c r="F541" s="649" t="str">
        <f ca="1">IFERROR(IF(VLOOKUP($B541,'ORÇAMENTO '!$F$21:$N$993,5,FALSE)=0,"",VLOOKUP($B541,'ORÇAMENTO '!$F$21:$N$993,5,FALSE)),"")</f>
        <v/>
      </c>
    </row>
    <row r="542" spans="2:6" ht="15">
      <c r="B542" s="646">
        <f>'ORÇAMENTO '!F809</f>
        <v>0</v>
      </c>
      <c r="C542" s="647">
        <f>IFERROR(IF(OR($B542="",$B542=0),'ORÇAMENTO '!I809,VLOOKUP($B542,'ORÇAMENTO '!$F$21:$N$450,4,FALSE)),"")</f>
        <v>0</v>
      </c>
      <c r="D542" s="648" t="str">
        <f ca="1">IFERROR(IF(VLOOKUP($B542,'ORÇAMENTO '!$F$21:$P$993,11,FALSE)=0,"",VLOOKUP($B542,'ORÇAMENTO '!$F$21:$P$993,11,FALSE)),"")</f>
        <v/>
      </c>
      <c r="E542" s="649" t="str">
        <f ca="1">IFERROR(IF(VLOOKUP($B542,'ORÇAMENTO '!$F$21:$N$993,6,FALSE)=0,"",VLOOKUP($B542,'ORÇAMENTO '!$F$21:$N$993,6,FALSE)),"")</f>
        <v/>
      </c>
      <c r="F542" s="649" t="str">
        <f ca="1">IFERROR(IF(VLOOKUP($B542,'ORÇAMENTO '!$F$21:$N$993,5,FALSE)=0,"",VLOOKUP($B542,'ORÇAMENTO '!$F$21:$N$993,5,FALSE)),"")</f>
        <v/>
      </c>
    </row>
    <row r="543" spans="2:6" ht="15">
      <c r="B543" s="646">
        <f>'ORÇAMENTO '!F810</f>
        <v>0</v>
      </c>
      <c r="C543" s="647">
        <f>IFERROR(IF(OR($B543="",$B543=0),'ORÇAMENTO '!I810,VLOOKUP($B543,'ORÇAMENTO '!$F$21:$N$450,4,FALSE)),"")</f>
        <v>0</v>
      </c>
      <c r="D543" s="648" t="str">
        <f ca="1">IFERROR(IF(VLOOKUP($B543,'ORÇAMENTO '!$F$21:$P$993,11,FALSE)=0,"",VLOOKUP($B543,'ORÇAMENTO '!$F$21:$P$993,11,FALSE)),"")</f>
        <v/>
      </c>
      <c r="E543" s="649" t="str">
        <f ca="1">IFERROR(IF(VLOOKUP($B543,'ORÇAMENTO '!$F$21:$N$993,6,FALSE)=0,"",VLOOKUP($B543,'ORÇAMENTO '!$F$21:$N$993,6,FALSE)),"")</f>
        <v/>
      </c>
      <c r="F543" s="649" t="str">
        <f ca="1">IFERROR(IF(VLOOKUP($B543,'ORÇAMENTO '!$F$21:$N$993,5,FALSE)=0,"",VLOOKUP($B543,'ORÇAMENTO '!$F$21:$N$993,5,FALSE)),"")</f>
        <v/>
      </c>
    </row>
    <row r="544" spans="2:6" ht="15">
      <c r="B544" s="646">
        <f>'ORÇAMENTO '!F811</f>
        <v>0</v>
      </c>
      <c r="C544" s="647">
        <f>IFERROR(IF(OR($B544="",$B544=0),'ORÇAMENTO '!I811,VLOOKUP($B544,'ORÇAMENTO '!$F$21:$N$450,4,FALSE)),"")</f>
        <v>0</v>
      </c>
      <c r="D544" s="648" t="str">
        <f ca="1">IFERROR(IF(VLOOKUP($B544,'ORÇAMENTO '!$F$21:$P$993,11,FALSE)=0,"",VLOOKUP($B544,'ORÇAMENTO '!$F$21:$P$993,11,FALSE)),"")</f>
        <v/>
      </c>
      <c r="E544" s="649" t="str">
        <f ca="1">IFERROR(IF(VLOOKUP($B544,'ORÇAMENTO '!$F$21:$N$993,6,FALSE)=0,"",VLOOKUP($B544,'ORÇAMENTO '!$F$21:$N$993,6,FALSE)),"")</f>
        <v/>
      </c>
      <c r="F544" s="649" t="str">
        <f ca="1">IFERROR(IF(VLOOKUP($B544,'ORÇAMENTO '!$F$21:$N$993,5,FALSE)=0,"",VLOOKUP($B544,'ORÇAMENTO '!$F$21:$N$993,5,FALSE)),"")</f>
        <v/>
      </c>
    </row>
    <row r="545" spans="2:6" ht="15">
      <c r="B545" s="646">
        <f>'ORÇAMENTO '!F812</f>
        <v>0</v>
      </c>
      <c r="C545" s="647">
        <f>IFERROR(IF(OR($B545="",$B545=0),'ORÇAMENTO '!I812,VLOOKUP($B545,'ORÇAMENTO '!$F$21:$N$450,4,FALSE)),"")</f>
        <v>0</v>
      </c>
      <c r="D545" s="648" t="str">
        <f ca="1">IFERROR(IF(VLOOKUP($B545,'ORÇAMENTO '!$F$21:$P$993,11,FALSE)=0,"",VLOOKUP($B545,'ORÇAMENTO '!$F$21:$P$993,11,FALSE)),"")</f>
        <v/>
      </c>
      <c r="E545" s="649" t="str">
        <f ca="1">IFERROR(IF(VLOOKUP($B545,'ORÇAMENTO '!$F$21:$N$993,6,FALSE)=0,"",VLOOKUP($B545,'ORÇAMENTO '!$F$21:$N$993,6,FALSE)),"")</f>
        <v/>
      </c>
      <c r="F545" s="649" t="str">
        <f ca="1">IFERROR(IF(VLOOKUP($B545,'ORÇAMENTO '!$F$21:$N$993,5,FALSE)=0,"",VLOOKUP($B545,'ORÇAMENTO '!$F$21:$N$993,5,FALSE)),"")</f>
        <v/>
      </c>
    </row>
    <row r="546" spans="2:6" ht="15">
      <c r="B546" s="646">
        <f>'ORÇAMENTO '!F813</f>
        <v>0</v>
      </c>
      <c r="C546" s="647">
        <f>IFERROR(IF(OR($B546="",$B546=0),'ORÇAMENTO '!I813,VLOOKUP($B546,'ORÇAMENTO '!$F$21:$N$450,4,FALSE)),"")</f>
        <v>0</v>
      </c>
      <c r="D546" s="648" t="str">
        <f ca="1">IFERROR(IF(VLOOKUP($B546,'ORÇAMENTO '!$F$21:$P$993,11,FALSE)=0,"",VLOOKUP($B546,'ORÇAMENTO '!$F$21:$P$993,11,FALSE)),"")</f>
        <v/>
      </c>
      <c r="E546" s="649" t="str">
        <f ca="1">IFERROR(IF(VLOOKUP($B546,'ORÇAMENTO '!$F$21:$N$993,6,FALSE)=0,"",VLOOKUP($B546,'ORÇAMENTO '!$F$21:$N$993,6,FALSE)),"")</f>
        <v/>
      </c>
      <c r="F546" s="649" t="str">
        <f ca="1">IFERROR(IF(VLOOKUP($B546,'ORÇAMENTO '!$F$21:$N$993,5,FALSE)=0,"",VLOOKUP($B546,'ORÇAMENTO '!$F$21:$N$993,5,FALSE)),"")</f>
        <v/>
      </c>
    </row>
    <row r="547" spans="2:6" ht="15">
      <c r="B547" s="646">
        <f>'ORÇAMENTO '!F814</f>
        <v>0</v>
      </c>
      <c r="C547" s="647">
        <f>IFERROR(IF(OR($B547="",$B547=0),'ORÇAMENTO '!I814,VLOOKUP($B547,'ORÇAMENTO '!$F$21:$N$450,4,FALSE)),"")</f>
        <v>0</v>
      </c>
      <c r="D547" s="648" t="str">
        <f ca="1">IFERROR(IF(VLOOKUP($B547,'ORÇAMENTO '!$F$21:$P$993,11,FALSE)=0,"",VLOOKUP($B547,'ORÇAMENTO '!$F$21:$P$993,11,FALSE)),"")</f>
        <v/>
      </c>
      <c r="E547" s="649" t="str">
        <f ca="1">IFERROR(IF(VLOOKUP($B547,'ORÇAMENTO '!$F$21:$N$993,6,FALSE)=0,"",VLOOKUP($B547,'ORÇAMENTO '!$F$21:$N$993,6,FALSE)),"")</f>
        <v/>
      </c>
      <c r="F547" s="649" t="str">
        <f ca="1">IFERROR(IF(VLOOKUP($B547,'ORÇAMENTO '!$F$21:$N$993,5,FALSE)=0,"",VLOOKUP($B547,'ORÇAMENTO '!$F$21:$N$993,5,FALSE)),"")</f>
        <v/>
      </c>
    </row>
    <row r="548" spans="2:6" ht="15">
      <c r="B548" s="646">
        <f>'ORÇAMENTO '!F815</f>
        <v>0</v>
      </c>
      <c r="C548" s="647">
        <f>IFERROR(IF(OR($B548="",$B548=0),'ORÇAMENTO '!I815,VLOOKUP($B548,'ORÇAMENTO '!$F$21:$N$450,4,FALSE)),"")</f>
        <v>0</v>
      </c>
      <c r="D548" s="648" t="str">
        <f ca="1">IFERROR(IF(VLOOKUP($B548,'ORÇAMENTO '!$F$21:$P$993,11,FALSE)=0,"",VLOOKUP($B548,'ORÇAMENTO '!$F$21:$P$993,11,FALSE)),"")</f>
        <v/>
      </c>
      <c r="E548" s="649" t="str">
        <f ca="1">IFERROR(IF(VLOOKUP($B548,'ORÇAMENTO '!$F$21:$N$993,6,FALSE)=0,"",VLOOKUP($B548,'ORÇAMENTO '!$F$21:$N$993,6,FALSE)),"")</f>
        <v/>
      </c>
      <c r="F548" s="649" t="str">
        <f ca="1">IFERROR(IF(VLOOKUP($B548,'ORÇAMENTO '!$F$21:$N$993,5,FALSE)=0,"",VLOOKUP($B548,'ORÇAMENTO '!$F$21:$N$993,5,FALSE)),"")</f>
        <v/>
      </c>
    </row>
    <row r="549" spans="2:6" ht="15">
      <c r="B549" s="646">
        <f>'ORÇAMENTO '!F816</f>
        <v>0</v>
      </c>
      <c r="C549" s="647">
        <f>IFERROR(IF(OR($B549="",$B549=0),'ORÇAMENTO '!I816,VLOOKUP($B549,'ORÇAMENTO '!$F$21:$N$450,4,FALSE)),"")</f>
        <v>0</v>
      </c>
      <c r="D549" s="648" t="str">
        <f ca="1">IFERROR(IF(VLOOKUP($B549,'ORÇAMENTO '!$F$21:$P$993,11,FALSE)=0,"",VLOOKUP($B549,'ORÇAMENTO '!$F$21:$P$993,11,FALSE)),"")</f>
        <v/>
      </c>
      <c r="E549" s="649" t="str">
        <f ca="1">IFERROR(IF(VLOOKUP($B549,'ORÇAMENTO '!$F$21:$N$993,6,FALSE)=0,"",VLOOKUP($B549,'ORÇAMENTO '!$F$21:$N$993,6,FALSE)),"")</f>
        <v/>
      </c>
      <c r="F549" s="649" t="str">
        <f ca="1">IFERROR(IF(VLOOKUP($B549,'ORÇAMENTO '!$F$21:$N$993,5,FALSE)=0,"",VLOOKUP($B549,'ORÇAMENTO '!$F$21:$N$993,5,FALSE)),"")</f>
        <v/>
      </c>
    </row>
    <row r="550" spans="2:6" ht="15">
      <c r="B550" s="646">
        <f>'ORÇAMENTO '!F817</f>
        <v>0</v>
      </c>
      <c r="C550" s="647">
        <f>IFERROR(IF(OR($B550="",$B550=0),'ORÇAMENTO '!I817,VLOOKUP($B550,'ORÇAMENTO '!$F$21:$N$450,4,FALSE)),"")</f>
        <v>0</v>
      </c>
      <c r="D550" s="648" t="str">
        <f ca="1">IFERROR(IF(VLOOKUP($B550,'ORÇAMENTO '!$F$21:$P$993,11,FALSE)=0,"",VLOOKUP($B550,'ORÇAMENTO '!$F$21:$P$993,11,FALSE)),"")</f>
        <v/>
      </c>
      <c r="E550" s="649" t="str">
        <f ca="1">IFERROR(IF(VLOOKUP($B550,'ORÇAMENTO '!$F$21:$N$993,6,FALSE)=0,"",VLOOKUP($B550,'ORÇAMENTO '!$F$21:$N$993,6,FALSE)),"")</f>
        <v/>
      </c>
      <c r="F550" s="649" t="str">
        <f ca="1">IFERROR(IF(VLOOKUP($B550,'ORÇAMENTO '!$F$21:$N$993,5,FALSE)=0,"",VLOOKUP($B550,'ORÇAMENTO '!$F$21:$N$993,5,FALSE)),"")</f>
        <v/>
      </c>
    </row>
    <row r="551" spans="2:6" ht="15">
      <c r="B551" s="646">
        <f>'ORÇAMENTO '!F818</f>
        <v>0</v>
      </c>
      <c r="C551" s="647">
        <f>IFERROR(IF(OR($B551="",$B551=0),'ORÇAMENTO '!I818,VLOOKUP($B551,'ORÇAMENTO '!$F$21:$N$450,4,FALSE)),"")</f>
        <v>0</v>
      </c>
      <c r="D551" s="648" t="str">
        <f ca="1">IFERROR(IF(VLOOKUP($B551,'ORÇAMENTO '!$F$21:$P$993,11,FALSE)=0,"",VLOOKUP($B551,'ORÇAMENTO '!$F$21:$P$993,11,FALSE)),"")</f>
        <v/>
      </c>
      <c r="E551" s="649" t="str">
        <f ca="1">IFERROR(IF(VLOOKUP($B551,'ORÇAMENTO '!$F$21:$N$993,6,FALSE)=0,"",VLOOKUP($B551,'ORÇAMENTO '!$F$21:$N$993,6,FALSE)),"")</f>
        <v/>
      </c>
      <c r="F551" s="649" t="str">
        <f ca="1">IFERROR(IF(VLOOKUP($B551,'ORÇAMENTO '!$F$21:$N$993,5,FALSE)=0,"",VLOOKUP($B551,'ORÇAMENTO '!$F$21:$N$993,5,FALSE)),"")</f>
        <v/>
      </c>
    </row>
    <row r="552" spans="2:6" ht="15">
      <c r="B552" s="646">
        <f>'ORÇAMENTO '!F819</f>
        <v>0</v>
      </c>
      <c r="C552" s="647">
        <f>IFERROR(IF(OR($B552="",$B552=0),'ORÇAMENTO '!I819,VLOOKUP($B552,'ORÇAMENTO '!$F$21:$N$450,4,FALSE)),"")</f>
        <v>0</v>
      </c>
      <c r="D552" s="648" t="str">
        <f ca="1">IFERROR(IF(VLOOKUP($B552,'ORÇAMENTO '!$F$21:$P$993,11,FALSE)=0,"",VLOOKUP($B552,'ORÇAMENTO '!$F$21:$P$993,11,FALSE)),"")</f>
        <v/>
      </c>
      <c r="E552" s="649" t="str">
        <f ca="1">IFERROR(IF(VLOOKUP($B552,'ORÇAMENTO '!$F$21:$N$993,6,FALSE)=0,"",VLOOKUP($B552,'ORÇAMENTO '!$F$21:$N$993,6,FALSE)),"")</f>
        <v/>
      </c>
      <c r="F552" s="649" t="str">
        <f ca="1">IFERROR(IF(VLOOKUP($B552,'ORÇAMENTO '!$F$21:$N$993,5,FALSE)=0,"",VLOOKUP($B552,'ORÇAMENTO '!$F$21:$N$993,5,FALSE)),"")</f>
        <v/>
      </c>
    </row>
    <row r="553" spans="2:6" ht="15">
      <c r="B553" s="646">
        <f>'ORÇAMENTO '!F820</f>
        <v>0</v>
      </c>
      <c r="C553" s="647">
        <f>IFERROR(IF(OR($B553="",$B553=0),'ORÇAMENTO '!I820,VLOOKUP($B553,'ORÇAMENTO '!$F$21:$N$450,4,FALSE)),"")</f>
        <v>0</v>
      </c>
      <c r="D553" s="648" t="str">
        <f ca="1">IFERROR(IF(VLOOKUP($B553,'ORÇAMENTO '!$F$21:$P$993,11,FALSE)=0,"",VLOOKUP($B553,'ORÇAMENTO '!$F$21:$P$993,11,FALSE)),"")</f>
        <v/>
      </c>
      <c r="E553" s="649" t="str">
        <f ca="1">IFERROR(IF(VLOOKUP($B553,'ORÇAMENTO '!$F$21:$N$993,6,FALSE)=0,"",VLOOKUP($B553,'ORÇAMENTO '!$F$21:$N$993,6,FALSE)),"")</f>
        <v/>
      </c>
      <c r="F553" s="649" t="str">
        <f ca="1">IFERROR(IF(VLOOKUP($B553,'ORÇAMENTO '!$F$21:$N$993,5,FALSE)=0,"",VLOOKUP($B553,'ORÇAMENTO '!$F$21:$N$993,5,FALSE)),"")</f>
        <v/>
      </c>
    </row>
    <row r="554" spans="2:6" ht="15">
      <c r="B554" s="646">
        <f>'ORÇAMENTO '!F821</f>
        <v>0</v>
      </c>
      <c r="C554" s="647">
        <f>IFERROR(IF(OR($B554="",$B554=0),'ORÇAMENTO '!I821,VLOOKUP($B554,'ORÇAMENTO '!$F$21:$N$450,4,FALSE)),"")</f>
        <v>0</v>
      </c>
      <c r="D554" s="648" t="str">
        <f ca="1">IFERROR(IF(VLOOKUP($B554,'ORÇAMENTO '!$F$21:$P$993,11,FALSE)=0,"",VLOOKUP($B554,'ORÇAMENTO '!$F$21:$P$993,11,FALSE)),"")</f>
        <v/>
      </c>
      <c r="E554" s="649" t="str">
        <f ca="1">IFERROR(IF(VLOOKUP($B554,'ORÇAMENTO '!$F$21:$N$993,6,FALSE)=0,"",VLOOKUP($B554,'ORÇAMENTO '!$F$21:$N$993,6,FALSE)),"")</f>
        <v/>
      </c>
      <c r="F554" s="649" t="str">
        <f ca="1">IFERROR(IF(VLOOKUP($B554,'ORÇAMENTO '!$F$21:$N$993,5,FALSE)=0,"",VLOOKUP($B554,'ORÇAMENTO '!$F$21:$N$993,5,FALSE)),"")</f>
        <v/>
      </c>
    </row>
    <row r="555" spans="2:6" ht="15">
      <c r="B555" s="646">
        <f>'ORÇAMENTO '!F822</f>
        <v>0</v>
      </c>
      <c r="C555" s="647">
        <f>IFERROR(IF(OR($B555="",$B555=0),'ORÇAMENTO '!I822,VLOOKUP($B555,'ORÇAMENTO '!$F$21:$N$450,4,FALSE)),"")</f>
        <v>0</v>
      </c>
      <c r="D555" s="648" t="str">
        <f ca="1">IFERROR(IF(VLOOKUP($B555,'ORÇAMENTO '!$F$21:$P$993,11,FALSE)=0,"",VLOOKUP($B555,'ORÇAMENTO '!$F$21:$P$993,11,FALSE)),"")</f>
        <v/>
      </c>
      <c r="E555" s="649" t="str">
        <f ca="1">IFERROR(IF(VLOOKUP($B555,'ORÇAMENTO '!$F$21:$N$993,6,FALSE)=0,"",VLOOKUP($B555,'ORÇAMENTO '!$F$21:$N$993,6,FALSE)),"")</f>
        <v/>
      </c>
      <c r="F555" s="649" t="str">
        <f ca="1">IFERROR(IF(VLOOKUP($B555,'ORÇAMENTO '!$F$21:$N$993,5,FALSE)=0,"",VLOOKUP($B555,'ORÇAMENTO '!$F$21:$N$993,5,FALSE)),"")</f>
        <v/>
      </c>
    </row>
    <row r="556" spans="2:6" ht="15">
      <c r="B556" s="646">
        <f>'ORÇAMENTO '!F823</f>
        <v>0</v>
      </c>
      <c r="C556" s="647">
        <f>IFERROR(IF(OR($B556="",$B556=0),'ORÇAMENTO '!I823,VLOOKUP($B556,'ORÇAMENTO '!$F$21:$N$450,4,FALSE)),"")</f>
        <v>0</v>
      </c>
      <c r="D556" s="648" t="str">
        <f ca="1">IFERROR(IF(VLOOKUP($B556,'ORÇAMENTO '!$F$21:$P$993,11,FALSE)=0,"",VLOOKUP($B556,'ORÇAMENTO '!$F$21:$P$993,11,FALSE)),"")</f>
        <v/>
      </c>
      <c r="E556" s="649" t="str">
        <f ca="1">IFERROR(IF(VLOOKUP($B556,'ORÇAMENTO '!$F$21:$N$993,6,FALSE)=0,"",VLOOKUP($B556,'ORÇAMENTO '!$F$21:$N$993,6,FALSE)),"")</f>
        <v/>
      </c>
      <c r="F556" s="649" t="str">
        <f ca="1">IFERROR(IF(VLOOKUP($B556,'ORÇAMENTO '!$F$21:$N$993,5,FALSE)=0,"",VLOOKUP($B556,'ORÇAMENTO '!$F$21:$N$993,5,FALSE)),"")</f>
        <v/>
      </c>
    </row>
    <row r="557" spans="2:6" ht="15">
      <c r="B557" s="646">
        <f>'ORÇAMENTO '!F824</f>
        <v>0</v>
      </c>
      <c r="C557" s="647">
        <f>IFERROR(IF(OR($B557="",$B557=0),'ORÇAMENTO '!I824,VLOOKUP($B557,'ORÇAMENTO '!$F$21:$N$450,4,FALSE)),"")</f>
        <v>0</v>
      </c>
      <c r="D557" s="648" t="str">
        <f ca="1">IFERROR(IF(VLOOKUP($B557,'ORÇAMENTO '!$F$21:$P$993,11,FALSE)=0,"",VLOOKUP($B557,'ORÇAMENTO '!$F$21:$P$993,11,FALSE)),"")</f>
        <v/>
      </c>
      <c r="E557" s="649" t="str">
        <f ca="1">IFERROR(IF(VLOOKUP($B557,'ORÇAMENTO '!$F$21:$N$993,6,FALSE)=0,"",VLOOKUP($B557,'ORÇAMENTO '!$F$21:$N$993,6,FALSE)),"")</f>
        <v/>
      </c>
      <c r="F557" s="649" t="str">
        <f ca="1">IFERROR(IF(VLOOKUP($B557,'ORÇAMENTO '!$F$21:$N$993,5,FALSE)=0,"",VLOOKUP($B557,'ORÇAMENTO '!$F$21:$N$993,5,FALSE)),"")</f>
        <v/>
      </c>
    </row>
    <row r="558" spans="2:6" ht="15">
      <c r="B558" s="646">
        <f>'ORÇAMENTO '!F825</f>
        <v>0</v>
      </c>
      <c r="C558" s="647">
        <f>IFERROR(IF(OR($B558="",$B558=0),'ORÇAMENTO '!I825,VLOOKUP($B558,'ORÇAMENTO '!$F$21:$N$450,4,FALSE)),"")</f>
        <v>0</v>
      </c>
      <c r="D558" s="648" t="str">
        <f ca="1">IFERROR(IF(VLOOKUP($B558,'ORÇAMENTO '!$F$21:$P$993,11,FALSE)=0,"",VLOOKUP($B558,'ORÇAMENTO '!$F$21:$P$993,11,FALSE)),"")</f>
        <v/>
      </c>
      <c r="E558" s="649" t="str">
        <f ca="1">IFERROR(IF(VLOOKUP($B558,'ORÇAMENTO '!$F$21:$N$993,6,FALSE)=0,"",VLOOKUP($B558,'ORÇAMENTO '!$F$21:$N$993,6,FALSE)),"")</f>
        <v/>
      </c>
      <c r="F558" s="649" t="str">
        <f ca="1">IFERROR(IF(VLOOKUP($B558,'ORÇAMENTO '!$F$21:$N$993,5,FALSE)=0,"",VLOOKUP($B558,'ORÇAMENTO '!$F$21:$N$993,5,FALSE)),"")</f>
        <v/>
      </c>
    </row>
    <row r="559" spans="2:6" ht="15">
      <c r="B559" s="646">
        <f>'ORÇAMENTO '!F826</f>
        <v>0</v>
      </c>
      <c r="C559" s="647">
        <f>IFERROR(IF(OR($B559="",$B559=0),'ORÇAMENTO '!I826,VLOOKUP($B559,'ORÇAMENTO '!$F$21:$N$450,4,FALSE)),"")</f>
        <v>0</v>
      </c>
      <c r="D559" s="648" t="str">
        <f ca="1">IFERROR(IF(VLOOKUP($B559,'ORÇAMENTO '!$F$21:$P$993,11,FALSE)=0,"",VLOOKUP($B559,'ORÇAMENTO '!$F$21:$P$993,11,FALSE)),"")</f>
        <v/>
      </c>
      <c r="E559" s="649" t="str">
        <f ca="1">IFERROR(IF(VLOOKUP($B559,'ORÇAMENTO '!$F$21:$N$993,6,FALSE)=0,"",VLOOKUP($B559,'ORÇAMENTO '!$F$21:$N$993,6,FALSE)),"")</f>
        <v/>
      </c>
      <c r="F559" s="649" t="str">
        <f ca="1">IFERROR(IF(VLOOKUP($B559,'ORÇAMENTO '!$F$21:$N$993,5,FALSE)=0,"",VLOOKUP($B559,'ORÇAMENTO '!$F$21:$N$993,5,FALSE)),"")</f>
        <v/>
      </c>
    </row>
    <row r="560" spans="2:6" ht="15">
      <c r="B560" s="646">
        <f>'ORÇAMENTO '!F827</f>
        <v>0</v>
      </c>
      <c r="C560" s="647">
        <f>IFERROR(IF(OR($B560="",$B560=0),'ORÇAMENTO '!I827,VLOOKUP($B560,'ORÇAMENTO '!$F$21:$N$450,4,FALSE)),"")</f>
        <v>0</v>
      </c>
      <c r="D560" s="648" t="str">
        <f ca="1">IFERROR(IF(VLOOKUP($B560,'ORÇAMENTO '!$F$21:$P$993,11,FALSE)=0,"",VLOOKUP($B560,'ORÇAMENTO '!$F$21:$P$993,11,FALSE)),"")</f>
        <v/>
      </c>
      <c r="E560" s="649" t="str">
        <f ca="1">IFERROR(IF(VLOOKUP($B560,'ORÇAMENTO '!$F$21:$N$993,6,FALSE)=0,"",VLOOKUP($B560,'ORÇAMENTO '!$F$21:$N$993,6,FALSE)),"")</f>
        <v/>
      </c>
      <c r="F560" s="649" t="str">
        <f ca="1">IFERROR(IF(VLOOKUP($B560,'ORÇAMENTO '!$F$21:$N$993,5,FALSE)=0,"",VLOOKUP($B560,'ORÇAMENTO '!$F$21:$N$993,5,FALSE)),"")</f>
        <v/>
      </c>
    </row>
    <row r="561" spans="2:6" ht="15">
      <c r="B561" s="646">
        <f>'ORÇAMENTO '!F828</f>
        <v>0</v>
      </c>
      <c r="C561" s="647">
        <f>IFERROR(IF(OR($B561="",$B561=0),'ORÇAMENTO '!I828,VLOOKUP($B561,'ORÇAMENTO '!$F$21:$N$450,4,FALSE)),"")</f>
        <v>0</v>
      </c>
      <c r="D561" s="648" t="str">
        <f ca="1">IFERROR(IF(VLOOKUP($B561,'ORÇAMENTO '!$F$21:$P$993,11,FALSE)=0,"",VLOOKUP($B561,'ORÇAMENTO '!$F$21:$P$993,11,FALSE)),"")</f>
        <v/>
      </c>
      <c r="E561" s="649" t="str">
        <f ca="1">IFERROR(IF(VLOOKUP($B561,'ORÇAMENTO '!$F$21:$N$993,6,FALSE)=0,"",VLOOKUP($B561,'ORÇAMENTO '!$F$21:$N$993,6,FALSE)),"")</f>
        <v/>
      </c>
      <c r="F561" s="649" t="str">
        <f ca="1">IFERROR(IF(VLOOKUP($B561,'ORÇAMENTO '!$F$21:$N$993,5,FALSE)=0,"",VLOOKUP($B561,'ORÇAMENTO '!$F$21:$N$993,5,FALSE)),"")</f>
        <v/>
      </c>
    </row>
    <row r="562" spans="2:6" ht="15">
      <c r="B562" s="646">
        <f>'ORÇAMENTO '!F829</f>
        <v>0</v>
      </c>
      <c r="C562" s="647">
        <f>IFERROR(IF(OR($B562="",$B562=0),'ORÇAMENTO '!I829,VLOOKUP($B562,'ORÇAMENTO '!$F$21:$N$450,4,FALSE)),"")</f>
        <v>0</v>
      </c>
      <c r="D562" s="648" t="str">
        <f ca="1">IFERROR(IF(VLOOKUP($B562,'ORÇAMENTO '!$F$21:$P$993,11,FALSE)=0,"",VLOOKUP($B562,'ORÇAMENTO '!$F$21:$P$993,11,FALSE)),"")</f>
        <v/>
      </c>
      <c r="E562" s="649" t="str">
        <f ca="1">IFERROR(IF(VLOOKUP($B562,'ORÇAMENTO '!$F$21:$N$993,6,FALSE)=0,"",VLOOKUP($B562,'ORÇAMENTO '!$F$21:$N$993,6,FALSE)),"")</f>
        <v/>
      </c>
      <c r="F562" s="649" t="str">
        <f ca="1">IFERROR(IF(VLOOKUP($B562,'ORÇAMENTO '!$F$21:$N$993,5,FALSE)=0,"",VLOOKUP($B562,'ORÇAMENTO '!$F$21:$N$993,5,FALSE)),"")</f>
        <v/>
      </c>
    </row>
    <row r="563" spans="2:6" ht="15">
      <c r="B563" s="646">
        <f>'ORÇAMENTO '!F830</f>
        <v>0</v>
      </c>
      <c r="C563" s="647">
        <f>IFERROR(IF(OR($B563="",$B563=0),'ORÇAMENTO '!I830,VLOOKUP($B563,'ORÇAMENTO '!$F$21:$N$450,4,FALSE)),"")</f>
        <v>0</v>
      </c>
      <c r="D563" s="648" t="str">
        <f ca="1">IFERROR(IF(VLOOKUP($B563,'ORÇAMENTO '!$F$21:$P$993,11,FALSE)=0,"",VLOOKUP($B563,'ORÇAMENTO '!$F$21:$P$993,11,FALSE)),"")</f>
        <v/>
      </c>
      <c r="E563" s="649" t="str">
        <f ca="1">IFERROR(IF(VLOOKUP($B563,'ORÇAMENTO '!$F$21:$N$993,6,FALSE)=0,"",VLOOKUP($B563,'ORÇAMENTO '!$F$21:$N$993,6,FALSE)),"")</f>
        <v/>
      </c>
      <c r="F563" s="649" t="str">
        <f ca="1">IFERROR(IF(VLOOKUP($B563,'ORÇAMENTO '!$F$21:$N$993,5,FALSE)=0,"",VLOOKUP($B563,'ORÇAMENTO '!$F$21:$N$993,5,FALSE)),"")</f>
        <v/>
      </c>
    </row>
    <row r="564" spans="2:6" ht="15">
      <c r="B564" s="646">
        <f>'ORÇAMENTO '!F831</f>
        <v>0</v>
      </c>
      <c r="C564" s="647">
        <f>IFERROR(IF(OR($B564="",$B564=0),'ORÇAMENTO '!I831,VLOOKUP($B564,'ORÇAMENTO '!$F$21:$N$450,4,FALSE)),"")</f>
        <v>0</v>
      </c>
      <c r="D564" s="648" t="str">
        <f ca="1">IFERROR(IF(VLOOKUP($B564,'ORÇAMENTO '!$F$21:$P$993,11,FALSE)=0,"",VLOOKUP($B564,'ORÇAMENTO '!$F$21:$P$993,11,FALSE)),"")</f>
        <v/>
      </c>
      <c r="E564" s="649" t="str">
        <f ca="1">IFERROR(IF(VLOOKUP($B564,'ORÇAMENTO '!$F$21:$N$993,6,FALSE)=0,"",VLOOKUP($B564,'ORÇAMENTO '!$F$21:$N$993,6,FALSE)),"")</f>
        <v/>
      </c>
      <c r="F564" s="649" t="str">
        <f ca="1">IFERROR(IF(VLOOKUP($B564,'ORÇAMENTO '!$F$21:$N$993,5,FALSE)=0,"",VLOOKUP($B564,'ORÇAMENTO '!$F$21:$N$993,5,FALSE)),"")</f>
        <v/>
      </c>
    </row>
    <row r="565" spans="2:6" ht="15">
      <c r="B565" s="646">
        <f>'ORÇAMENTO '!F832</f>
        <v>0</v>
      </c>
      <c r="C565" s="647">
        <f>IFERROR(IF(OR($B565="",$B565=0),'ORÇAMENTO '!I832,VLOOKUP($B565,'ORÇAMENTO '!$F$21:$N$450,4,FALSE)),"")</f>
        <v>0</v>
      </c>
      <c r="D565" s="648" t="str">
        <f ca="1">IFERROR(IF(VLOOKUP($B565,'ORÇAMENTO '!$F$21:$P$993,11,FALSE)=0,"",VLOOKUP($B565,'ORÇAMENTO '!$F$21:$P$993,11,FALSE)),"")</f>
        <v/>
      </c>
      <c r="E565" s="649" t="str">
        <f ca="1">IFERROR(IF(VLOOKUP($B565,'ORÇAMENTO '!$F$21:$N$993,6,FALSE)=0,"",VLOOKUP($B565,'ORÇAMENTO '!$F$21:$N$993,6,FALSE)),"")</f>
        <v/>
      </c>
      <c r="F565" s="649" t="str">
        <f ca="1">IFERROR(IF(VLOOKUP($B565,'ORÇAMENTO '!$F$21:$N$993,5,FALSE)=0,"",VLOOKUP($B565,'ORÇAMENTO '!$F$21:$N$993,5,FALSE)),"")</f>
        <v/>
      </c>
    </row>
    <row r="566" spans="2:6" ht="15">
      <c r="B566" s="646">
        <f>'ORÇAMENTO '!F833</f>
        <v>0</v>
      </c>
      <c r="C566" s="647">
        <f>IFERROR(IF(OR($B566="",$B566=0),'ORÇAMENTO '!I833,VLOOKUP($B566,'ORÇAMENTO '!$F$21:$N$450,4,FALSE)),"")</f>
        <v>0</v>
      </c>
      <c r="D566" s="648" t="str">
        <f ca="1">IFERROR(IF(VLOOKUP($B566,'ORÇAMENTO '!$F$21:$P$993,11,FALSE)=0,"",VLOOKUP($B566,'ORÇAMENTO '!$F$21:$P$993,11,FALSE)),"")</f>
        <v/>
      </c>
      <c r="E566" s="649" t="str">
        <f ca="1">IFERROR(IF(VLOOKUP($B566,'ORÇAMENTO '!$F$21:$N$993,6,FALSE)=0,"",VLOOKUP($B566,'ORÇAMENTO '!$F$21:$N$993,6,FALSE)),"")</f>
        <v/>
      </c>
      <c r="F566" s="649" t="str">
        <f ca="1">IFERROR(IF(VLOOKUP($B566,'ORÇAMENTO '!$F$21:$N$993,5,FALSE)=0,"",VLOOKUP($B566,'ORÇAMENTO '!$F$21:$N$993,5,FALSE)),"")</f>
        <v/>
      </c>
    </row>
    <row r="567" spans="2:6" ht="15">
      <c r="B567" s="646">
        <f>'ORÇAMENTO '!F834</f>
        <v>0</v>
      </c>
      <c r="C567" s="647">
        <f>IFERROR(IF(OR($B567="",$B567=0),'ORÇAMENTO '!I834,VLOOKUP($B567,'ORÇAMENTO '!$F$21:$N$450,4,FALSE)),"")</f>
        <v>0</v>
      </c>
      <c r="D567" s="648" t="str">
        <f ca="1">IFERROR(IF(VLOOKUP($B567,'ORÇAMENTO '!$F$21:$P$993,11,FALSE)=0,"",VLOOKUP($B567,'ORÇAMENTO '!$F$21:$P$993,11,FALSE)),"")</f>
        <v/>
      </c>
      <c r="E567" s="649" t="str">
        <f ca="1">IFERROR(IF(VLOOKUP($B567,'ORÇAMENTO '!$F$21:$N$993,6,FALSE)=0,"",VLOOKUP($B567,'ORÇAMENTO '!$F$21:$N$993,6,FALSE)),"")</f>
        <v/>
      </c>
      <c r="F567" s="649" t="str">
        <f ca="1">IFERROR(IF(VLOOKUP($B567,'ORÇAMENTO '!$F$21:$N$993,5,FALSE)=0,"",VLOOKUP($B567,'ORÇAMENTO '!$F$21:$N$993,5,FALSE)),"")</f>
        <v/>
      </c>
    </row>
    <row r="568" spans="2:6" ht="15">
      <c r="B568" s="646">
        <f>'ORÇAMENTO '!F835</f>
        <v>0</v>
      </c>
      <c r="C568" s="647">
        <f>IFERROR(IF(OR($B568="",$B568=0),'ORÇAMENTO '!I835,VLOOKUP($B568,'ORÇAMENTO '!$F$21:$N$450,4,FALSE)),"")</f>
        <v>0</v>
      </c>
      <c r="D568" s="648" t="str">
        <f ca="1">IFERROR(IF(VLOOKUP($B568,'ORÇAMENTO '!$F$21:$P$993,11,FALSE)=0,"",VLOOKUP($B568,'ORÇAMENTO '!$F$21:$P$993,11,FALSE)),"")</f>
        <v/>
      </c>
      <c r="E568" s="649" t="str">
        <f ca="1">IFERROR(IF(VLOOKUP($B568,'ORÇAMENTO '!$F$21:$N$993,6,FALSE)=0,"",VLOOKUP($B568,'ORÇAMENTO '!$F$21:$N$993,6,FALSE)),"")</f>
        <v/>
      </c>
      <c r="F568" s="649" t="str">
        <f ca="1">IFERROR(IF(VLOOKUP($B568,'ORÇAMENTO '!$F$21:$N$993,5,FALSE)=0,"",VLOOKUP($B568,'ORÇAMENTO '!$F$21:$N$993,5,FALSE)),"")</f>
        <v/>
      </c>
    </row>
    <row r="569" spans="2:6" ht="15">
      <c r="B569" s="646">
        <f>'ORÇAMENTO '!F836</f>
        <v>0</v>
      </c>
      <c r="C569" s="647">
        <f>IFERROR(IF(OR($B569="",$B569=0),'ORÇAMENTO '!I836,VLOOKUP($B569,'ORÇAMENTO '!$F$21:$N$450,4,FALSE)),"")</f>
        <v>0</v>
      </c>
      <c r="D569" s="648" t="str">
        <f ca="1">IFERROR(IF(VLOOKUP($B569,'ORÇAMENTO '!$F$21:$P$993,11,FALSE)=0,"",VLOOKUP($B569,'ORÇAMENTO '!$F$21:$P$993,11,FALSE)),"")</f>
        <v/>
      </c>
      <c r="E569" s="649" t="str">
        <f ca="1">IFERROR(IF(VLOOKUP($B569,'ORÇAMENTO '!$F$21:$N$993,6,FALSE)=0,"",VLOOKUP($B569,'ORÇAMENTO '!$F$21:$N$993,6,FALSE)),"")</f>
        <v/>
      </c>
      <c r="F569" s="649" t="str">
        <f ca="1">IFERROR(IF(VLOOKUP($B569,'ORÇAMENTO '!$F$21:$N$993,5,FALSE)=0,"",VLOOKUP($B569,'ORÇAMENTO '!$F$21:$N$993,5,FALSE)),"")</f>
        <v/>
      </c>
    </row>
    <row r="570" spans="2:6" ht="15">
      <c r="B570" s="646">
        <f>'ORÇAMENTO '!F837</f>
        <v>0</v>
      </c>
      <c r="C570" s="647">
        <f>IFERROR(IF(OR($B570="",$B570=0),'ORÇAMENTO '!I837,VLOOKUP($B570,'ORÇAMENTO '!$F$21:$N$450,4,FALSE)),"")</f>
        <v>0</v>
      </c>
      <c r="D570" s="648" t="str">
        <f ca="1">IFERROR(IF(VLOOKUP($B570,'ORÇAMENTO '!$F$21:$P$993,11,FALSE)=0,"",VLOOKUP($B570,'ORÇAMENTO '!$F$21:$P$993,11,FALSE)),"")</f>
        <v/>
      </c>
      <c r="E570" s="649" t="str">
        <f ca="1">IFERROR(IF(VLOOKUP($B570,'ORÇAMENTO '!$F$21:$N$993,6,FALSE)=0,"",VLOOKUP($B570,'ORÇAMENTO '!$F$21:$N$993,6,FALSE)),"")</f>
        <v/>
      </c>
      <c r="F570" s="649" t="str">
        <f ca="1">IFERROR(IF(VLOOKUP($B570,'ORÇAMENTO '!$F$21:$N$993,5,FALSE)=0,"",VLOOKUP($B570,'ORÇAMENTO '!$F$21:$N$993,5,FALSE)),"")</f>
        <v/>
      </c>
    </row>
    <row r="571" spans="2:6" ht="15">
      <c r="B571" s="646">
        <f>'ORÇAMENTO '!F838</f>
        <v>0</v>
      </c>
      <c r="C571" s="647">
        <f>IFERROR(IF(OR($B571="",$B571=0),'ORÇAMENTO '!I838,VLOOKUP($B571,'ORÇAMENTO '!$F$21:$N$450,4,FALSE)),"")</f>
        <v>0</v>
      </c>
      <c r="D571" s="648" t="str">
        <f ca="1">IFERROR(IF(VLOOKUP($B571,'ORÇAMENTO '!$F$21:$P$993,11,FALSE)=0,"",VLOOKUP($B571,'ORÇAMENTO '!$F$21:$P$993,11,FALSE)),"")</f>
        <v/>
      </c>
      <c r="E571" s="649" t="str">
        <f ca="1">IFERROR(IF(VLOOKUP($B571,'ORÇAMENTO '!$F$21:$N$993,6,FALSE)=0,"",VLOOKUP($B571,'ORÇAMENTO '!$F$21:$N$993,6,FALSE)),"")</f>
        <v/>
      </c>
      <c r="F571" s="649" t="str">
        <f ca="1">IFERROR(IF(VLOOKUP($B571,'ORÇAMENTO '!$F$21:$N$993,5,FALSE)=0,"",VLOOKUP($B571,'ORÇAMENTO '!$F$21:$N$993,5,FALSE)),"")</f>
        <v/>
      </c>
    </row>
    <row r="572" spans="2:6" ht="15">
      <c r="B572" s="646">
        <f>'ORÇAMENTO '!F839</f>
        <v>0</v>
      </c>
      <c r="C572" s="647">
        <f>IFERROR(IF(OR($B572="",$B572=0),'ORÇAMENTO '!I839,VLOOKUP($B572,'ORÇAMENTO '!$F$21:$N$450,4,FALSE)),"")</f>
        <v>0</v>
      </c>
      <c r="D572" s="648" t="str">
        <f ca="1">IFERROR(IF(VLOOKUP($B572,'ORÇAMENTO '!$F$21:$P$993,11,FALSE)=0,"",VLOOKUP($B572,'ORÇAMENTO '!$F$21:$P$993,11,FALSE)),"")</f>
        <v/>
      </c>
      <c r="E572" s="649" t="str">
        <f ca="1">IFERROR(IF(VLOOKUP($B572,'ORÇAMENTO '!$F$21:$N$993,6,FALSE)=0,"",VLOOKUP($B572,'ORÇAMENTO '!$F$21:$N$993,6,FALSE)),"")</f>
        <v/>
      </c>
      <c r="F572" s="649" t="str">
        <f ca="1">IFERROR(IF(VLOOKUP($B572,'ORÇAMENTO '!$F$21:$N$993,5,FALSE)=0,"",VLOOKUP($B572,'ORÇAMENTO '!$F$21:$N$993,5,FALSE)),"")</f>
        <v/>
      </c>
    </row>
    <row r="573" spans="2:6" ht="15">
      <c r="B573" s="646">
        <f>'ORÇAMENTO '!F840</f>
        <v>0</v>
      </c>
      <c r="C573" s="647">
        <f>IFERROR(IF(OR($B573="",$B573=0),'ORÇAMENTO '!I840,VLOOKUP($B573,'ORÇAMENTO '!$F$21:$N$450,4,FALSE)),"")</f>
        <v>0</v>
      </c>
      <c r="D573" s="648" t="str">
        <f ca="1">IFERROR(IF(VLOOKUP($B573,'ORÇAMENTO '!$F$21:$P$993,11,FALSE)=0,"",VLOOKUP($B573,'ORÇAMENTO '!$F$21:$P$993,11,FALSE)),"")</f>
        <v/>
      </c>
      <c r="E573" s="649" t="str">
        <f ca="1">IFERROR(IF(VLOOKUP($B573,'ORÇAMENTO '!$F$21:$N$993,6,FALSE)=0,"",VLOOKUP($B573,'ORÇAMENTO '!$F$21:$N$993,6,FALSE)),"")</f>
        <v/>
      </c>
      <c r="F573" s="649" t="str">
        <f ca="1">IFERROR(IF(VLOOKUP($B573,'ORÇAMENTO '!$F$21:$N$993,5,FALSE)=0,"",VLOOKUP($B573,'ORÇAMENTO '!$F$21:$N$993,5,FALSE)),"")</f>
        <v/>
      </c>
    </row>
    <row r="574" spans="2:6" ht="15">
      <c r="B574" s="646">
        <f>'ORÇAMENTO '!F841</f>
        <v>0</v>
      </c>
      <c r="C574" s="647">
        <f>IFERROR(IF(OR($B574="",$B574=0),'ORÇAMENTO '!I841,VLOOKUP($B574,'ORÇAMENTO '!$F$21:$N$450,4,FALSE)),"")</f>
        <v>0</v>
      </c>
      <c r="D574" s="648" t="str">
        <f ca="1">IFERROR(IF(VLOOKUP($B574,'ORÇAMENTO '!$F$21:$P$993,11,FALSE)=0,"",VLOOKUP($B574,'ORÇAMENTO '!$F$21:$P$993,11,FALSE)),"")</f>
        <v/>
      </c>
      <c r="E574" s="649" t="str">
        <f ca="1">IFERROR(IF(VLOOKUP($B574,'ORÇAMENTO '!$F$21:$N$993,6,FALSE)=0,"",VLOOKUP($B574,'ORÇAMENTO '!$F$21:$N$993,6,FALSE)),"")</f>
        <v/>
      </c>
      <c r="F574" s="649" t="str">
        <f ca="1">IFERROR(IF(VLOOKUP($B574,'ORÇAMENTO '!$F$21:$N$993,5,FALSE)=0,"",VLOOKUP($B574,'ORÇAMENTO '!$F$21:$N$993,5,FALSE)),"")</f>
        <v/>
      </c>
    </row>
    <row r="575" spans="2:6" ht="15">
      <c r="B575" s="646">
        <f>'ORÇAMENTO '!F842</f>
        <v>0</v>
      </c>
      <c r="C575" s="647">
        <f>IFERROR(IF(OR($B575="",$B575=0),'ORÇAMENTO '!I842,VLOOKUP($B575,'ORÇAMENTO '!$F$21:$N$450,4,FALSE)),"")</f>
        <v>0</v>
      </c>
      <c r="D575" s="648" t="str">
        <f ca="1">IFERROR(IF(VLOOKUP($B575,'ORÇAMENTO '!$F$21:$P$993,11,FALSE)=0,"",VLOOKUP($B575,'ORÇAMENTO '!$F$21:$P$993,11,FALSE)),"")</f>
        <v/>
      </c>
      <c r="E575" s="649" t="str">
        <f ca="1">IFERROR(IF(VLOOKUP($B575,'ORÇAMENTO '!$F$21:$N$993,6,FALSE)=0,"",VLOOKUP($B575,'ORÇAMENTO '!$F$21:$N$993,6,FALSE)),"")</f>
        <v/>
      </c>
      <c r="F575" s="649" t="str">
        <f ca="1">IFERROR(IF(VLOOKUP($B575,'ORÇAMENTO '!$F$21:$N$993,5,FALSE)=0,"",VLOOKUP($B575,'ORÇAMENTO '!$F$21:$N$993,5,FALSE)),"")</f>
        <v/>
      </c>
    </row>
    <row r="576" spans="2:6" ht="15">
      <c r="B576" s="646">
        <f>'ORÇAMENTO '!F843</f>
        <v>0</v>
      </c>
      <c r="C576" s="647">
        <f>IFERROR(IF(OR($B576="",$B576=0),'ORÇAMENTO '!I843,VLOOKUP($B576,'ORÇAMENTO '!$F$21:$N$450,4,FALSE)),"")</f>
        <v>0</v>
      </c>
      <c r="D576" s="648" t="str">
        <f ca="1">IFERROR(IF(VLOOKUP($B576,'ORÇAMENTO '!$F$21:$P$993,11,FALSE)=0,"",VLOOKUP($B576,'ORÇAMENTO '!$F$21:$P$993,11,FALSE)),"")</f>
        <v/>
      </c>
      <c r="E576" s="649" t="str">
        <f ca="1">IFERROR(IF(VLOOKUP($B576,'ORÇAMENTO '!$F$21:$N$993,6,FALSE)=0,"",VLOOKUP($B576,'ORÇAMENTO '!$F$21:$N$993,6,FALSE)),"")</f>
        <v/>
      </c>
      <c r="F576" s="649" t="str">
        <f ca="1">IFERROR(IF(VLOOKUP($B576,'ORÇAMENTO '!$F$21:$N$993,5,FALSE)=0,"",VLOOKUP($B576,'ORÇAMENTO '!$F$21:$N$993,5,FALSE)),"")</f>
        <v/>
      </c>
    </row>
    <row r="577" spans="2:6" ht="15">
      <c r="B577" s="646">
        <f>'ORÇAMENTO '!F844</f>
        <v>0</v>
      </c>
      <c r="C577" s="647">
        <f>IFERROR(IF(OR($B577="",$B577=0),'ORÇAMENTO '!I844,VLOOKUP($B577,'ORÇAMENTO '!$F$21:$N$450,4,FALSE)),"")</f>
        <v>0</v>
      </c>
      <c r="D577" s="648" t="str">
        <f ca="1">IFERROR(IF(VLOOKUP($B577,'ORÇAMENTO '!$F$21:$P$993,11,FALSE)=0,"",VLOOKUP($B577,'ORÇAMENTO '!$F$21:$P$993,11,FALSE)),"")</f>
        <v/>
      </c>
      <c r="E577" s="649" t="str">
        <f ca="1">IFERROR(IF(VLOOKUP($B577,'ORÇAMENTO '!$F$21:$N$993,6,FALSE)=0,"",VLOOKUP($B577,'ORÇAMENTO '!$F$21:$N$993,6,FALSE)),"")</f>
        <v/>
      </c>
      <c r="F577" s="649" t="str">
        <f ca="1">IFERROR(IF(VLOOKUP($B577,'ORÇAMENTO '!$F$21:$N$993,5,FALSE)=0,"",VLOOKUP($B577,'ORÇAMENTO '!$F$21:$N$993,5,FALSE)),"")</f>
        <v/>
      </c>
    </row>
    <row r="578" spans="2:6" ht="15">
      <c r="B578" s="646">
        <f>'ORÇAMENTO '!F845</f>
        <v>0</v>
      </c>
      <c r="C578" s="647">
        <f>IFERROR(IF(OR($B578="",$B578=0),'ORÇAMENTO '!I845,VLOOKUP($B578,'ORÇAMENTO '!$F$21:$N$450,4,FALSE)),"")</f>
        <v>0</v>
      </c>
      <c r="D578" s="648" t="str">
        <f ca="1">IFERROR(IF(VLOOKUP($B578,'ORÇAMENTO '!$F$21:$P$993,11,FALSE)=0,"",VLOOKUP($B578,'ORÇAMENTO '!$F$21:$P$993,11,FALSE)),"")</f>
        <v/>
      </c>
      <c r="E578" s="649" t="str">
        <f ca="1">IFERROR(IF(VLOOKUP($B578,'ORÇAMENTO '!$F$21:$N$993,6,FALSE)=0,"",VLOOKUP($B578,'ORÇAMENTO '!$F$21:$N$993,6,FALSE)),"")</f>
        <v/>
      </c>
      <c r="F578" s="649" t="str">
        <f ca="1">IFERROR(IF(VLOOKUP($B578,'ORÇAMENTO '!$F$21:$N$993,5,FALSE)=0,"",VLOOKUP($B578,'ORÇAMENTO '!$F$21:$N$993,5,FALSE)),"")</f>
        <v/>
      </c>
    </row>
    <row r="579" spans="2:6" ht="15">
      <c r="B579" s="646">
        <f>'ORÇAMENTO '!F846</f>
        <v>0</v>
      </c>
      <c r="C579" s="647">
        <f>IFERROR(IF(OR($B579="",$B579=0),'ORÇAMENTO '!I846,VLOOKUP($B579,'ORÇAMENTO '!$F$21:$N$450,4,FALSE)),"")</f>
        <v>0</v>
      </c>
      <c r="D579" s="648" t="str">
        <f ca="1">IFERROR(IF(VLOOKUP($B579,'ORÇAMENTO '!$F$21:$P$993,11,FALSE)=0,"",VLOOKUP($B579,'ORÇAMENTO '!$F$21:$P$993,11,FALSE)),"")</f>
        <v/>
      </c>
      <c r="E579" s="649" t="str">
        <f ca="1">IFERROR(IF(VLOOKUP($B579,'ORÇAMENTO '!$F$21:$N$993,6,FALSE)=0,"",VLOOKUP($B579,'ORÇAMENTO '!$F$21:$N$993,6,FALSE)),"")</f>
        <v/>
      </c>
      <c r="F579" s="649" t="str">
        <f ca="1">IFERROR(IF(VLOOKUP($B579,'ORÇAMENTO '!$F$21:$N$993,5,FALSE)=0,"",VLOOKUP($B579,'ORÇAMENTO '!$F$21:$N$993,5,FALSE)),"")</f>
        <v/>
      </c>
    </row>
    <row r="580" spans="2:6" ht="15">
      <c r="B580" s="646">
        <f>'ORÇAMENTO '!F847</f>
        <v>0</v>
      </c>
      <c r="C580" s="647">
        <f>IFERROR(IF(OR($B580="",$B580=0),'ORÇAMENTO '!I847,VLOOKUP($B580,'ORÇAMENTO '!$F$21:$N$450,4,FALSE)),"")</f>
        <v>0</v>
      </c>
      <c r="D580" s="648" t="str">
        <f ca="1">IFERROR(IF(VLOOKUP($B580,'ORÇAMENTO '!$F$21:$P$993,11,FALSE)=0,"",VLOOKUP($B580,'ORÇAMENTO '!$F$21:$P$993,11,FALSE)),"")</f>
        <v/>
      </c>
      <c r="E580" s="649" t="str">
        <f ca="1">IFERROR(IF(VLOOKUP($B580,'ORÇAMENTO '!$F$21:$N$993,6,FALSE)=0,"",VLOOKUP($B580,'ORÇAMENTO '!$F$21:$N$993,6,FALSE)),"")</f>
        <v/>
      </c>
      <c r="F580" s="649" t="str">
        <f ca="1">IFERROR(IF(VLOOKUP($B580,'ORÇAMENTO '!$F$21:$N$993,5,FALSE)=0,"",VLOOKUP($B580,'ORÇAMENTO '!$F$21:$N$993,5,FALSE)),"")</f>
        <v/>
      </c>
    </row>
    <row r="581" spans="2:6" ht="15">
      <c r="B581" s="646">
        <f>'ORÇAMENTO '!F848</f>
        <v>0</v>
      </c>
      <c r="C581" s="647">
        <f>IFERROR(IF(OR($B581="",$B581=0),'ORÇAMENTO '!I848,VLOOKUP($B581,'ORÇAMENTO '!$F$21:$N$450,4,FALSE)),"")</f>
        <v>0</v>
      </c>
      <c r="D581" s="648" t="str">
        <f ca="1">IFERROR(IF(VLOOKUP($B581,'ORÇAMENTO '!$F$21:$P$993,11,FALSE)=0,"",VLOOKUP($B581,'ORÇAMENTO '!$F$21:$P$993,11,FALSE)),"")</f>
        <v/>
      </c>
      <c r="E581" s="649" t="str">
        <f ca="1">IFERROR(IF(VLOOKUP($B581,'ORÇAMENTO '!$F$21:$N$993,6,FALSE)=0,"",VLOOKUP($B581,'ORÇAMENTO '!$F$21:$N$993,6,FALSE)),"")</f>
        <v/>
      </c>
      <c r="F581" s="649" t="str">
        <f ca="1">IFERROR(IF(VLOOKUP($B581,'ORÇAMENTO '!$F$21:$N$993,5,FALSE)=0,"",VLOOKUP($B581,'ORÇAMENTO '!$F$21:$N$993,5,FALSE)),"")</f>
        <v/>
      </c>
    </row>
    <row r="582" spans="2:6" ht="15">
      <c r="B582" s="646">
        <f>'ORÇAMENTO '!F849</f>
        <v>0</v>
      </c>
      <c r="C582" s="647">
        <f>IFERROR(IF(OR($B582="",$B582=0),'ORÇAMENTO '!I849,VLOOKUP($B582,'ORÇAMENTO '!$F$21:$N$450,4,FALSE)),"")</f>
        <v>0</v>
      </c>
      <c r="D582" s="648" t="str">
        <f ca="1">IFERROR(IF(VLOOKUP($B582,'ORÇAMENTO '!$F$21:$P$993,11,FALSE)=0,"",VLOOKUP($B582,'ORÇAMENTO '!$F$21:$P$993,11,FALSE)),"")</f>
        <v/>
      </c>
      <c r="E582" s="649" t="str">
        <f ca="1">IFERROR(IF(VLOOKUP($B582,'ORÇAMENTO '!$F$21:$N$993,6,FALSE)=0,"",VLOOKUP($B582,'ORÇAMENTO '!$F$21:$N$993,6,FALSE)),"")</f>
        <v/>
      </c>
      <c r="F582" s="649" t="str">
        <f ca="1">IFERROR(IF(VLOOKUP($B582,'ORÇAMENTO '!$F$21:$N$993,5,FALSE)=0,"",VLOOKUP($B582,'ORÇAMENTO '!$F$21:$N$993,5,FALSE)),"")</f>
        <v/>
      </c>
    </row>
    <row r="583" spans="2:6" ht="15">
      <c r="B583" s="646">
        <f>'ORÇAMENTO '!F850</f>
        <v>0</v>
      </c>
      <c r="C583" s="647">
        <f>IFERROR(IF(OR($B583="",$B583=0),'ORÇAMENTO '!I850,VLOOKUP($B583,'ORÇAMENTO '!$F$21:$N$450,4,FALSE)),"")</f>
        <v>0</v>
      </c>
      <c r="D583" s="648" t="str">
        <f ca="1">IFERROR(IF(VLOOKUP($B583,'ORÇAMENTO '!$F$21:$P$993,11,FALSE)=0,"",VLOOKUP($B583,'ORÇAMENTO '!$F$21:$P$993,11,FALSE)),"")</f>
        <v/>
      </c>
      <c r="E583" s="649" t="str">
        <f ca="1">IFERROR(IF(VLOOKUP($B583,'ORÇAMENTO '!$F$21:$N$993,6,FALSE)=0,"",VLOOKUP($B583,'ORÇAMENTO '!$F$21:$N$993,6,FALSE)),"")</f>
        <v/>
      </c>
      <c r="F583" s="649" t="str">
        <f ca="1">IFERROR(IF(VLOOKUP($B583,'ORÇAMENTO '!$F$21:$N$993,5,FALSE)=0,"",VLOOKUP($B583,'ORÇAMENTO '!$F$21:$N$993,5,FALSE)),"")</f>
        <v/>
      </c>
    </row>
    <row r="584" spans="2:6" ht="15">
      <c r="B584" s="646">
        <f>'ORÇAMENTO '!F851</f>
        <v>0</v>
      </c>
      <c r="C584" s="647">
        <f>IFERROR(IF(OR($B584="",$B584=0),'ORÇAMENTO '!I851,VLOOKUP($B584,'ORÇAMENTO '!$F$21:$N$450,4,FALSE)),"")</f>
        <v>0</v>
      </c>
      <c r="D584" s="648" t="str">
        <f ca="1">IFERROR(IF(VLOOKUP($B584,'ORÇAMENTO '!$F$21:$P$993,11,FALSE)=0,"",VLOOKUP($B584,'ORÇAMENTO '!$F$21:$P$993,11,FALSE)),"")</f>
        <v/>
      </c>
      <c r="E584" s="649" t="str">
        <f ca="1">IFERROR(IF(VLOOKUP($B584,'ORÇAMENTO '!$F$21:$N$993,6,FALSE)=0,"",VLOOKUP($B584,'ORÇAMENTO '!$F$21:$N$993,6,FALSE)),"")</f>
        <v/>
      </c>
      <c r="F584" s="649" t="str">
        <f ca="1">IFERROR(IF(VLOOKUP($B584,'ORÇAMENTO '!$F$21:$N$993,5,FALSE)=0,"",VLOOKUP($B584,'ORÇAMENTO '!$F$21:$N$993,5,FALSE)),"")</f>
        <v/>
      </c>
    </row>
    <row r="585" spans="2:6" ht="15">
      <c r="B585" s="646">
        <f>'ORÇAMENTO '!F852</f>
        <v>0</v>
      </c>
      <c r="C585" s="647">
        <f>IFERROR(IF(OR($B585="",$B585=0),'ORÇAMENTO '!I852,VLOOKUP($B585,'ORÇAMENTO '!$F$21:$N$450,4,FALSE)),"")</f>
        <v>0</v>
      </c>
      <c r="D585" s="648" t="str">
        <f ca="1">IFERROR(IF(VLOOKUP($B585,'ORÇAMENTO '!$F$21:$P$993,11,FALSE)=0,"",VLOOKUP($B585,'ORÇAMENTO '!$F$21:$P$993,11,FALSE)),"")</f>
        <v/>
      </c>
      <c r="E585" s="649" t="str">
        <f ca="1">IFERROR(IF(VLOOKUP($B585,'ORÇAMENTO '!$F$21:$N$993,6,FALSE)=0,"",VLOOKUP($B585,'ORÇAMENTO '!$F$21:$N$993,6,FALSE)),"")</f>
        <v/>
      </c>
      <c r="F585" s="649" t="str">
        <f ca="1">IFERROR(IF(VLOOKUP($B585,'ORÇAMENTO '!$F$21:$N$993,5,FALSE)=0,"",VLOOKUP($B585,'ORÇAMENTO '!$F$21:$N$993,5,FALSE)),"")</f>
        <v/>
      </c>
    </row>
    <row r="586" spans="2:6" ht="15">
      <c r="B586" s="646">
        <f>'ORÇAMENTO '!F853</f>
        <v>0</v>
      </c>
      <c r="C586" s="647">
        <f>IFERROR(IF(OR($B586="",$B586=0),'ORÇAMENTO '!I853,VLOOKUP($B586,'ORÇAMENTO '!$F$21:$N$450,4,FALSE)),"")</f>
        <v>0</v>
      </c>
      <c r="D586" s="648" t="str">
        <f ca="1">IFERROR(IF(VLOOKUP($B586,'ORÇAMENTO '!$F$21:$P$993,11,FALSE)=0,"",VLOOKUP($B586,'ORÇAMENTO '!$F$21:$P$993,11,FALSE)),"")</f>
        <v/>
      </c>
      <c r="E586" s="649" t="str">
        <f ca="1">IFERROR(IF(VLOOKUP($B586,'ORÇAMENTO '!$F$21:$N$993,6,FALSE)=0,"",VLOOKUP($B586,'ORÇAMENTO '!$F$21:$N$993,6,FALSE)),"")</f>
        <v/>
      </c>
      <c r="F586" s="649" t="str">
        <f ca="1">IFERROR(IF(VLOOKUP($B586,'ORÇAMENTO '!$F$21:$N$993,5,FALSE)=0,"",VLOOKUP($B586,'ORÇAMENTO '!$F$21:$N$993,5,FALSE)),"")</f>
        <v/>
      </c>
    </row>
    <row r="587" spans="2:6" ht="15">
      <c r="B587" s="646">
        <f>'ORÇAMENTO '!F854</f>
        <v>0</v>
      </c>
      <c r="C587" s="647">
        <f>IFERROR(IF(OR($B587="",$B587=0),'ORÇAMENTO '!I854,VLOOKUP($B587,'ORÇAMENTO '!$F$21:$N$450,4,FALSE)),"")</f>
        <v>0</v>
      </c>
      <c r="D587" s="648" t="str">
        <f ca="1">IFERROR(IF(VLOOKUP($B587,'ORÇAMENTO '!$F$21:$P$993,11,FALSE)=0,"",VLOOKUP($B587,'ORÇAMENTO '!$F$21:$P$993,11,FALSE)),"")</f>
        <v/>
      </c>
      <c r="E587" s="649" t="str">
        <f ca="1">IFERROR(IF(VLOOKUP($B587,'ORÇAMENTO '!$F$21:$N$993,6,FALSE)=0,"",VLOOKUP($B587,'ORÇAMENTO '!$F$21:$N$993,6,FALSE)),"")</f>
        <v/>
      </c>
      <c r="F587" s="649" t="str">
        <f ca="1">IFERROR(IF(VLOOKUP($B587,'ORÇAMENTO '!$F$21:$N$993,5,FALSE)=0,"",VLOOKUP($B587,'ORÇAMENTO '!$F$21:$N$993,5,FALSE)),"")</f>
        <v/>
      </c>
    </row>
    <row r="588" spans="2:6" ht="15">
      <c r="B588" s="646">
        <f>'ORÇAMENTO '!F855</f>
        <v>0</v>
      </c>
      <c r="C588" s="647">
        <f>IFERROR(IF(OR($B588="",$B588=0),'ORÇAMENTO '!I855,VLOOKUP($B588,'ORÇAMENTO '!$F$21:$N$450,4,FALSE)),"")</f>
        <v>0</v>
      </c>
      <c r="D588" s="648" t="str">
        <f ca="1">IFERROR(IF(VLOOKUP($B588,'ORÇAMENTO '!$F$21:$P$993,11,FALSE)=0,"",VLOOKUP($B588,'ORÇAMENTO '!$F$21:$P$993,11,FALSE)),"")</f>
        <v/>
      </c>
      <c r="E588" s="649" t="str">
        <f ca="1">IFERROR(IF(VLOOKUP($B588,'ORÇAMENTO '!$F$21:$N$993,6,FALSE)=0,"",VLOOKUP($B588,'ORÇAMENTO '!$F$21:$N$993,6,FALSE)),"")</f>
        <v/>
      </c>
      <c r="F588" s="649" t="str">
        <f ca="1">IFERROR(IF(VLOOKUP($B588,'ORÇAMENTO '!$F$21:$N$993,5,FALSE)=0,"",VLOOKUP($B588,'ORÇAMENTO '!$F$21:$N$993,5,FALSE)),"")</f>
        <v/>
      </c>
    </row>
    <row r="589" spans="2:6" ht="15">
      <c r="B589" s="646">
        <f>'ORÇAMENTO '!F856</f>
        <v>0</v>
      </c>
      <c r="C589" s="647">
        <f>IFERROR(IF(OR($B589="",$B589=0),'ORÇAMENTO '!I856,VLOOKUP($B589,'ORÇAMENTO '!$F$21:$N$450,4,FALSE)),"")</f>
        <v>0</v>
      </c>
      <c r="D589" s="648" t="str">
        <f ca="1">IFERROR(IF(VLOOKUP($B589,'ORÇAMENTO '!$F$21:$P$993,11,FALSE)=0,"",VLOOKUP($B589,'ORÇAMENTO '!$F$21:$P$993,11,FALSE)),"")</f>
        <v/>
      </c>
      <c r="E589" s="649" t="str">
        <f ca="1">IFERROR(IF(VLOOKUP($B589,'ORÇAMENTO '!$F$21:$N$993,6,FALSE)=0,"",VLOOKUP($B589,'ORÇAMENTO '!$F$21:$N$993,6,FALSE)),"")</f>
        <v/>
      </c>
      <c r="F589" s="649" t="str">
        <f ca="1">IFERROR(IF(VLOOKUP($B589,'ORÇAMENTO '!$F$21:$N$993,5,FALSE)=0,"",VLOOKUP($B589,'ORÇAMENTO '!$F$21:$N$993,5,FALSE)),"")</f>
        <v/>
      </c>
    </row>
    <row r="590" spans="2:6" ht="15">
      <c r="B590" s="646">
        <f>'ORÇAMENTO '!F857</f>
        <v>0</v>
      </c>
      <c r="C590" s="647">
        <f>IFERROR(IF(OR($B590="",$B590=0),'ORÇAMENTO '!I857,VLOOKUP($B590,'ORÇAMENTO '!$F$21:$N$450,4,FALSE)),"")</f>
        <v>0</v>
      </c>
      <c r="D590" s="648" t="str">
        <f ca="1">IFERROR(IF(VLOOKUP($B590,'ORÇAMENTO '!$F$21:$P$993,11,FALSE)=0,"",VLOOKUP($B590,'ORÇAMENTO '!$F$21:$P$993,11,FALSE)),"")</f>
        <v/>
      </c>
      <c r="E590" s="649" t="str">
        <f ca="1">IFERROR(IF(VLOOKUP($B590,'ORÇAMENTO '!$F$21:$N$993,6,FALSE)=0,"",VLOOKUP($B590,'ORÇAMENTO '!$F$21:$N$993,6,FALSE)),"")</f>
        <v/>
      </c>
      <c r="F590" s="649" t="str">
        <f ca="1">IFERROR(IF(VLOOKUP($B590,'ORÇAMENTO '!$F$21:$N$993,5,FALSE)=0,"",VLOOKUP($B590,'ORÇAMENTO '!$F$21:$N$993,5,FALSE)),"")</f>
        <v/>
      </c>
    </row>
    <row r="591" spans="2:6" ht="15">
      <c r="B591" s="646">
        <f>'ORÇAMENTO '!F858</f>
        <v>0</v>
      </c>
      <c r="C591" s="647">
        <f>IFERROR(IF(OR($B591="",$B591=0),'ORÇAMENTO '!I858,VLOOKUP($B591,'ORÇAMENTO '!$F$21:$N$450,4,FALSE)),"")</f>
        <v>0</v>
      </c>
      <c r="D591" s="648" t="str">
        <f ca="1">IFERROR(IF(VLOOKUP($B591,'ORÇAMENTO '!$F$21:$P$993,11,FALSE)=0,"",VLOOKUP($B591,'ORÇAMENTO '!$F$21:$P$993,11,FALSE)),"")</f>
        <v/>
      </c>
      <c r="E591" s="649" t="str">
        <f ca="1">IFERROR(IF(VLOOKUP($B591,'ORÇAMENTO '!$F$21:$N$993,6,FALSE)=0,"",VLOOKUP($B591,'ORÇAMENTO '!$F$21:$N$993,6,FALSE)),"")</f>
        <v/>
      </c>
      <c r="F591" s="649" t="str">
        <f ca="1">IFERROR(IF(VLOOKUP($B591,'ORÇAMENTO '!$F$21:$N$993,5,FALSE)=0,"",VLOOKUP($B591,'ORÇAMENTO '!$F$21:$N$993,5,FALSE)),"")</f>
        <v/>
      </c>
    </row>
    <row r="592" spans="2:6" ht="15">
      <c r="B592" s="646">
        <f>'ORÇAMENTO '!F859</f>
        <v>0</v>
      </c>
      <c r="C592" s="647">
        <f>IFERROR(IF(OR($B592="",$B592=0),'ORÇAMENTO '!I859,VLOOKUP($B592,'ORÇAMENTO '!$F$21:$N$450,4,FALSE)),"")</f>
        <v>0</v>
      </c>
      <c r="D592" s="648" t="str">
        <f ca="1">IFERROR(IF(VLOOKUP($B592,'ORÇAMENTO '!$F$21:$P$993,11,FALSE)=0,"",VLOOKUP($B592,'ORÇAMENTO '!$F$21:$P$993,11,FALSE)),"")</f>
        <v/>
      </c>
      <c r="E592" s="649" t="str">
        <f ca="1">IFERROR(IF(VLOOKUP($B592,'ORÇAMENTO '!$F$21:$N$993,6,FALSE)=0,"",VLOOKUP($B592,'ORÇAMENTO '!$F$21:$N$993,6,FALSE)),"")</f>
        <v/>
      </c>
      <c r="F592" s="649" t="str">
        <f ca="1">IFERROR(IF(VLOOKUP($B592,'ORÇAMENTO '!$F$21:$N$993,5,FALSE)=0,"",VLOOKUP($B592,'ORÇAMENTO '!$F$21:$N$993,5,FALSE)),"")</f>
        <v/>
      </c>
    </row>
    <row r="593" spans="2:6" ht="15">
      <c r="B593" s="646">
        <f>'ORÇAMENTO '!F860</f>
        <v>0</v>
      </c>
      <c r="C593" s="647">
        <f>IFERROR(IF(OR($B593="",$B593=0),'ORÇAMENTO '!I860,VLOOKUP($B593,'ORÇAMENTO '!$F$21:$N$450,4,FALSE)),"")</f>
        <v>0</v>
      </c>
      <c r="D593" s="648" t="str">
        <f ca="1">IFERROR(IF(VLOOKUP($B593,'ORÇAMENTO '!$F$21:$P$993,11,FALSE)=0,"",VLOOKUP($B593,'ORÇAMENTO '!$F$21:$P$993,11,FALSE)),"")</f>
        <v/>
      </c>
      <c r="E593" s="649" t="str">
        <f ca="1">IFERROR(IF(VLOOKUP($B593,'ORÇAMENTO '!$F$21:$N$993,6,FALSE)=0,"",VLOOKUP($B593,'ORÇAMENTO '!$F$21:$N$993,6,FALSE)),"")</f>
        <v/>
      </c>
      <c r="F593" s="649" t="str">
        <f ca="1">IFERROR(IF(VLOOKUP($B593,'ORÇAMENTO '!$F$21:$N$993,5,FALSE)=0,"",VLOOKUP($B593,'ORÇAMENTO '!$F$21:$N$993,5,FALSE)),"")</f>
        <v/>
      </c>
    </row>
    <row r="594" spans="2:6" ht="15">
      <c r="B594" s="646">
        <f>'ORÇAMENTO '!F861</f>
        <v>0</v>
      </c>
      <c r="C594" s="647">
        <f>IFERROR(IF(OR($B594="",$B594=0),'ORÇAMENTO '!I861,VLOOKUP($B594,'ORÇAMENTO '!$F$21:$N$450,4,FALSE)),"")</f>
        <v>0</v>
      </c>
      <c r="D594" s="648" t="str">
        <f ca="1">IFERROR(IF(VLOOKUP($B594,'ORÇAMENTO '!$F$21:$P$993,11,FALSE)=0,"",VLOOKUP($B594,'ORÇAMENTO '!$F$21:$P$993,11,FALSE)),"")</f>
        <v/>
      </c>
      <c r="E594" s="649" t="str">
        <f ca="1">IFERROR(IF(VLOOKUP($B594,'ORÇAMENTO '!$F$21:$N$993,6,FALSE)=0,"",VLOOKUP($B594,'ORÇAMENTO '!$F$21:$N$993,6,FALSE)),"")</f>
        <v/>
      </c>
      <c r="F594" s="649" t="str">
        <f ca="1">IFERROR(IF(VLOOKUP($B594,'ORÇAMENTO '!$F$21:$N$993,5,FALSE)=0,"",VLOOKUP($B594,'ORÇAMENTO '!$F$21:$N$993,5,FALSE)),"")</f>
        <v/>
      </c>
    </row>
    <row r="595" spans="2:6" ht="15">
      <c r="B595" s="646">
        <f>'ORÇAMENTO '!F862</f>
        <v>0</v>
      </c>
      <c r="C595" s="647">
        <f>IFERROR(IF(OR($B595="",$B595=0),'ORÇAMENTO '!I862,VLOOKUP($B595,'ORÇAMENTO '!$F$21:$N$450,4,FALSE)),"")</f>
        <v>0</v>
      </c>
      <c r="D595" s="648" t="str">
        <f ca="1">IFERROR(IF(VLOOKUP($B595,'ORÇAMENTO '!$F$21:$P$993,11,FALSE)=0,"",VLOOKUP($B595,'ORÇAMENTO '!$F$21:$P$993,11,FALSE)),"")</f>
        <v/>
      </c>
      <c r="E595" s="649" t="str">
        <f ca="1">IFERROR(IF(VLOOKUP($B595,'ORÇAMENTO '!$F$21:$N$993,6,FALSE)=0,"",VLOOKUP($B595,'ORÇAMENTO '!$F$21:$N$993,6,FALSE)),"")</f>
        <v/>
      </c>
      <c r="F595" s="649" t="str">
        <f ca="1">IFERROR(IF(VLOOKUP($B595,'ORÇAMENTO '!$F$21:$N$993,5,FALSE)=0,"",VLOOKUP($B595,'ORÇAMENTO '!$F$21:$N$993,5,FALSE)),"")</f>
        <v/>
      </c>
    </row>
    <row r="596" spans="2:6" ht="15">
      <c r="B596" s="646">
        <f>'ORÇAMENTO '!F863</f>
        <v>0</v>
      </c>
      <c r="C596" s="647">
        <f>IFERROR(IF(OR($B596="",$B596=0),'ORÇAMENTO '!I863,VLOOKUP($B596,'ORÇAMENTO '!$F$21:$N$450,4,FALSE)),"")</f>
        <v>0</v>
      </c>
      <c r="D596" s="648" t="str">
        <f ca="1">IFERROR(IF(VLOOKUP($B596,'ORÇAMENTO '!$F$21:$P$993,11,FALSE)=0,"",VLOOKUP($B596,'ORÇAMENTO '!$F$21:$P$993,11,FALSE)),"")</f>
        <v/>
      </c>
      <c r="E596" s="649" t="str">
        <f ca="1">IFERROR(IF(VLOOKUP($B596,'ORÇAMENTO '!$F$21:$N$993,6,FALSE)=0,"",VLOOKUP($B596,'ORÇAMENTO '!$F$21:$N$993,6,FALSE)),"")</f>
        <v/>
      </c>
      <c r="F596" s="649" t="str">
        <f ca="1">IFERROR(IF(VLOOKUP($B596,'ORÇAMENTO '!$F$21:$N$993,5,FALSE)=0,"",VLOOKUP($B596,'ORÇAMENTO '!$F$21:$N$993,5,FALSE)),"")</f>
        <v/>
      </c>
    </row>
    <row r="597" spans="2:6" ht="15">
      <c r="B597" s="646">
        <f>'ORÇAMENTO '!F864</f>
        <v>0</v>
      </c>
      <c r="C597" s="647">
        <f>IFERROR(IF(OR($B597="",$B597=0),'ORÇAMENTO '!I864,VLOOKUP($B597,'ORÇAMENTO '!$F$21:$N$450,4,FALSE)),"")</f>
        <v>0</v>
      </c>
      <c r="D597" s="648" t="str">
        <f ca="1">IFERROR(IF(VLOOKUP($B597,'ORÇAMENTO '!$F$21:$P$993,11,FALSE)=0,"",VLOOKUP($B597,'ORÇAMENTO '!$F$21:$P$993,11,FALSE)),"")</f>
        <v/>
      </c>
      <c r="E597" s="649" t="str">
        <f ca="1">IFERROR(IF(VLOOKUP($B597,'ORÇAMENTO '!$F$21:$N$993,6,FALSE)=0,"",VLOOKUP($B597,'ORÇAMENTO '!$F$21:$N$993,6,FALSE)),"")</f>
        <v/>
      </c>
      <c r="F597" s="649" t="str">
        <f ca="1">IFERROR(IF(VLOOKUP($B597,'ORÇAMENTO '!$F$21:$N$993,5,FALSE)=0,"",VLOOKUP($B597,'ORÇAMENTO '!$F$21:$N$993,5,FALSE)),"")</f>
        <v/>
      </c>
    </row>
    <row r="598" spans="2:6" ht="15">
      <c r="B598" s="646">
        <f>'ORÇAMENTO '!F865</f>
        <v>0</v>
      </c>
      <c r="C598" s="647">
        <f>IFERROR(IF(OR($B598="",$B598=0),'ORÇAMENTO '!I865,VLOOKUP($B598,'ORÇAMENTO '!$F$21:$N$450,4,FALSE)),"")</f>
        <v>0</v>
      </c>
      <c r="D598" s="648" t="str">
        <f ca="1">IFERROR(IF(VLOOKUP($B598,'ORÇAMENTO '!$F$21:$P$993,11,FALSE)=0,"",VLOOKUP($B598,'ORÇAMENTO '!$F$21:$P$993,11,FALSE)),"")</f>
        <v/>
      </c>
      <c r="E598" s="649" t="str">
        <f ca="1">IFERROR(IF(VLOOKUP($B598,'ORÇAMENTO '!$F$21:$N$993,6,FALSE)=0,"",VLOOKUP($B598,'ORÇAMENTO '!$F$21:$N$993,6,FALSE)),"")</f>
        <v/>
      </c>
      <c r="F598" s="649" t="str">
        <f ca="1">IFERROR(IF(VLOOKUP($B598,'ORÇAMENTO '!$F$21:$N$993,5,FALSE)=0,"",VLOOKUP($B598,'ORÇAMENTO '!$F$21:$N$993,5,FALSE)),"")</f>
        <v/>
      </c>
    </row>
    <row r="599" spans="2:6" ht="15">
      <c r="B599" s="646">
        <f>'ORÇAMENTO '!F866</f>
        <v>0</v>
      </c>
      <c r="C599" s="647">
        <f>IFERROR(IF(OR($B599="",$B599=0),'ORÇAMENTO '!I866,VLOOKUP($B599,'ORÇAMENTO '!$F$21:$N$450,4,FALSE)),"")</f>
        <v>0</v>
      </c>
      <c r="D599" s="648" t="str">
        <f ca="1">IFERROR(IF(VLOOKUP($B599,'ORÇAMENTO '!$F$21:$P$993,11,FALSE)=0,"",VLOOKUP($B599,'ORÇAMENTO '!$F$21:$P$993,11,FALSE)),"")</f>
        <v/>
      </c>
      <c r="E599" s="649" t="str">
        <f ca="1">IFERROR(IF(VLOOKUP($B599,'ORÇAMENTO '!$F$21:$N$993,6,FALSE)=0,"",VLOOKUP($B599,'ORÇAMENTO '!$F$21:$N$993,6,FALSE)),"")</f>
        <v/>
      </c>
      <c r="F599" s="649" t="str">
        <f ca="1">IFERROR(IF(VLOOKUP($B599,'ORÇAMENTO '!$F$21:$N$993,5,FALSE)=0,"",VLOOKUP($B599,'ORÇAMENTO '!$F$21:$N$993,5,FALSE)),"")</f>
        <v/>
      </c>
    </row>
    <row r="600" spans="2:6" ht="15">
      <c r="B600" s="646">
        <f>'ORÇAMENTO '!F867</f>
        <v>0</v>
      </c>
      <c r="C600" s="647">
        <f>IFERROR(IF(OR($B600="",$B600=0),'ORÇAMENTO '!I867,VLOOKUP($B600,'ORÇAMENTO '!$F$21:$N$450,4,FALSE)),"")</f>
        <v>0</v>
      </c>
      <c r="D600" s="648" t="str">
        <f ca="1">IFERROR(IF(VLOOKUP($B600,'ORÇAMENTO '!$F$21:$P$993,11,FALSE)=0,"",VLOOKUP($B600,'ORÇAMENTO '!$F$21:$P$993,11,FALSE)),"")</f>
        <v/>
      </c>
      <c r="E600" s="649" t="str">
        <f ca="1">IFERROR(IF(VLOOKUP($B600,'ORÇAMENTO '!$F$21:$N$993,6,FALSE)=0,"",VLOOKUP($B600,'ORÇAMENTO '!$F$21:$N$993,6,FALSE)),"")</f>
        <v/>
      </c>
      <c r="F600" s="649" t="str">
        <f ca="1">IFERROR(IF(VLOOKUP($B600,'ORÇAMENTO '!$F$21:$N$993,5,FALSE)=0,"",VLOOKUP($B600,'ORÇAMENTO '!$F$21:$N$993,5,FALSE)),"")</f>
        <v/>
      </c>
    </row>
    <row r="601" spans="2:6" ht="15">
      <c r="B601" s="637"/>
      <c r="C601" s="638"/>
      <c r="D601" s="639"/>
      <c r="E601" s="640"/>
      <c r="F601" s="640"/>
    </row>
    <row r="602" spans="2:6" ht="15">
      <c r="B602" s="637"/>
      <c r="C602" s="638"/>
      <c r="D602" s="639"/>
      <c r="E602" s="640"/>
      <c r="F602" s="640"/>
    </row>
    <row r="603" spans="2:6" ht="15">
      <c r="B603" s="637"/>
      <c r="C603" s="638"/>
      <c r="D603" s="639"/>
      <c r="E603" s="640"/>
      <c r="F603" s="640"/>
    </row>
    <row r="604" spans="2:6" ht="15">
      <c r="B604" s="637"/>
      <c r="C604" s="638"/>
      <c r="D604" s="639"/>
      <c r="E604" s="640"/>
      <c r="F604" s="640"/>
    </row>
    <row r="605" spans="2:6" ht="15">
      <c r="B605" s="637"/>
      <c r="C605" s="638"/>
      <c r="D605" s="639"/>
      <c r="E605" s="640"/>
      <c r="F605" s="640"/>
    </row>
    <row r="606" spans="2:6" ht="15">
      <c r="B606" s="637"/>
      <c r="C606" s="638"/>
      <c r="D606" s="639"/>
      <c r="E606" s="640"/>
      <c r="F606" s="640"/>
    </row>
    <row r="607" spans="2:6" ht="15">
      <c r="B607" s="637"/>
      <c r="C607" s="638"/>
      <c r="D607" s="639"/>
      <c r="E607" s="640"/>
      <c r="F607" s="640"/>
    </row>
    <row r="608" spans="2:6" ht="15">
      <c r="B608" s="637"/>
      <c r="C608" s="638"/>
      <c r="D608" s="639"/>
      <c r="E608" s="640"/>
      <c r="F608" s="640"/>
    </row>
    <row r="609" spans="2:6" ht="15">
      <c r="B609" s="637"/>
      <c r="C609" s="638"/>
      <c r="D609" s="639"/>
      <c r="E609" s="640"/>
      <c r="F609" s="640"/>
    </row>
    <row r="610" spans="2:6" ht="15">
      <c r="B610" s="637"/>
      <c r="C610" s="638"/>
      <c r="D610" s="639"/>
      <c r="E610" s="640"/>
      <c r="F610" s="640"/>
    </row>
    <row r="611" spans="2:6" ht="15">
      <c r="B611" s="637"/>
      <c r="C611" s="638"/>
      <c r="D611" s="639"/>
      <c r="E611" s="640"/>
      <c r="F611" s="640"/>
    </row>
    <row r="612" spans="2:6" ht="15">
      <c r="B612" s="637"/>
      <c r="C612" s="638"/>
      <c r="D612" s="639"/>
      <c r="E612" s="640"/>
      <c r="F612" s="640"/>
    </row>
    <row r="613" spans="2:6" ht="15">
      <c r="B613" s="637"/>
      <c r="C613" s="638"/>
      <c r="D613" s="639"/>
      <c r="E613" s="640"/>
      <c r="F613" s="640"/>
    </row>
    <row r="614" spans="2:6" ht="15">
      <c r="B614" s="637"/>
      <c r="C614" s="638"/>
      <c r="D614" s="639"/>
      <c r="E614" s="640"/>
      <c r="F614" s="640"/>
    </row>
    <row r="615" spans="2:6" ht="15">
      <c r="B615" s="637"/>
      <c r="C615" s="638"/>
      <c r="D615" s="639"/>
      <c r="E615" s="640"/>
      <c r="F615" s="640"/>
    </row>
    <row r="616" spans="2:6" ht="15">
      <c r="B616" s="637"/>
      <c r="C616" s="638"/>
      <c r="D616" s="639"/>
      <c r="E616" s="640"/>
      <c r="F616" s="640"/>
    </row>
    <row r="617" spans="2:6" ht="15">
      <c r="B617" s="637"/>
      <c r="C617" s="638"/>
      <c r="D617" s="639"/>
      <c r="E617" s="640"/>
      <c r="F617" s="640"/>
    </row>
    <row r="618" spans="2:6" ht="15">
      <c r="B618" s="637"/>
      <c r="C618" s="638"/>
      <c r="D618" s="639"/>
      <c r="E618" s="640"/>
      <c r="F618" s="640"/>
    </row>
    <row r="619" spans="2:6" ht="15">
      <c r="B619" s="637"/>
      <c r="C619" s="638"/>
      <c r="D619" s="639"/>
      <c r="E619" s="640"/>
      <c r="F619" s="640"/>
    </row>
    <row r="620" spans="2:6" ht="15">
      <c r="B620" s="637"/>
      <c r="C620" s="638"/>
      <c r="D620" s="639"/>
      <c r="E620" s="640"/>
      <c r="F620" s="640"/>
    </row>
    <row r="621" spans="2:6" ht="15">
      <c r="B621" s="637"/>
      <c r="C621" s="638"/>
      <c r="D621" s="639"/>
      <c r="E621" s="640"/>
      <c r="F621" s="640"/>
    </row>
    <row r="622" spans="2:6" ht="15">
      <c r="B622" s="637"/>
      <c r="C622" s="638"/>
      <c r="D622" s="639"/>
      <c r="E622" s="640"/>
      <c r="F622" s="640"/>
    </row>
    <row r="623" spans="2:6" ht="15">
      <c r="B623" s="637"/>
      <c r="C623" s="638"/>
      <c r="D623" s="639"/>
      <c r="E623" s="640"/>
      <c r="F623" s="640"/>
    </row>
    <row r="624" spans="2:6" ht="15">
      <c r="B624" s="637"/>
      <c r="C624" s="638"/>
      <c r="D624" s="639"/>
      <c r="E624" s="640"/>
      <c r="F624" s="640"/>
    </row>
    <row r="625" spans="2:6" ht="15">
      <c r="B625" s="637"/>
      <c r="C625" s="638"/>
      <c r="D625" s="639"/>
      <c r="E625" s="640"/>
      <c r="F625" s="640"/>
    </row>
    <row r="626" spans="2:6" ht="15">
      <c r="B626" s="637"/>
      <c r="C626" s="638"/>
      <c r="D626" s="639"/>
      <c r="E626" s="640"/>
      <c r="F626" s="640"/>
    </row>
    <row r="627" spans="2:6" ht="15">
      <c r="B627" s="637"/>
      <c r="C627" s="638"/>
      <c r="D627" s="639"/>
      <c r="E627" s="640"/>
      <c r="F627" s="640"/>
    </row>
    <row r="628" spans="2:6" ht="15">
      <c r="B628" s="637"/>
      <c r="C628" s="638"/>
      <c r="D628" s="639"/>
      <c r="E628" s="640"/>
      <c r="F628" s="640"/>
    </row>
    <row r="629" spans="2:6" ht="15">
      <c r="B629" s="637"/>
      <c r="C629" s="638"/>
      <c r="D629" s="639"/>
      <c r="E629" s="640"/>
      <c r="F629" s="640"/>
    </row>
    <row r="630" spans="2:6" ht="15">
      <c r="B630" s="637"/>
      <c r="C630" s="638"/>
      <c r="D630" s="639"/>
      <c r="E630" s="640"/>
      <c r="F630" s="640"/>
    </row>
    <row r="631" spans="2:6" ht="15">
      <c r="B631" s="637"/>
      <c r="C631" s="638"/>
      <c r="D631" s="639"/>
      <c r="E631" s="640"/>
      <c r="F631" s="640"/>
    </row>
    <row r="632" spans="2:6" ht="15">
      <c r="B632" s="637"/>
      <c r="C632" s="638"/>
      <c r="D632" s="639"/>
      <c r="E632" s="640"/>
      <c r="F632" s="640"/>
    </row>
    <row r="633" spans="2:6" ht="15">
      <c r="B633" s="637"/>
      <c r="C633" s="638"/>
      <c r="D633" s="639"/>
      <c r="E633" s="640"/>
      <c r="F633" s="640"/>
    </row>
    <row r="634" spans="2:6" ht="15">
      <c r="B634" s="637"/>
      <c r="C634" s="638"/>
      <c r="D634" s="639"/>
      <c r="E634" s="640"/>
      <c r="F634" s="640"/>
    </row>
    <row r="635" spans="2:6" ht="15">
      <c r="B635" s="637"/>
      <c r="C635" s="638"/>
      <c r="D635" s="639"/>
      <c r="E635" s="640"/>
      <c r="F635" s="640"/>
    </row>
    <row r="636" spans="2:6" ht="15">
      <c r="B636" s="637"/>
      <c r="C636" s="638"/>
      <c r="D636" s="639"/>
      <c r="E636" s="640"/>
      <c r="F636" s="640"/>
    </row>
    <row r="637" spans="2:6" ht="15">
      <c r="B637" s="637"/>
      <c r="C637" s="638"/>
      <c r="D637" s="639"/>
      <c r="E637" s="640"/>
      <c r="F637" s="640"/>
    </row>
    <row r="638" spans="2:6" ht="15">
      <c r="B638" s="637"/>
      <c r="C638" s="638"/>
      <c r="D638" s="639"/>
      <c r="E638" s="640"/>
      <c r="F638" s="640"/>
    </row>
    <row r="639" spans="2:6" ht="15">
      <c r="B639" s="637"/>
      <c r="C639" s="638"/>
      <c r="D639" s="639"/>
      <c r="E639" s="640"/>
      <c r="F639" s="640"/>
    </row>
    <row r="640" spans="2:6" ht="15">
      <c r="B640" s="637"/>
      <c r="C640" s="638"/>
      <c r="D640" s="639"/>
      <c r="E640" s="640"/>
      <c r="F640" s="640"/>
    </row>
    <row r="641" spans="2:6" ht="15">
      <c r="B641" s="637"/>
      <c r="C641" s="638"/>
      <c r="D641" s="639"/>
      <c r="E641" s="640"/>
      <c r="F641" s="640"/>
    </row>
    <row r="642" spans="2:6" ht="15">
      <c r="B642" s="637"/>
      <c r="C642" s="638"/>
      <c r="D642" s="639"/>
      <c r="E642" s="640"/>
      <c r="F642" s="640"/>
    </row>
    <row r="643" spans="2:6" ht="15">
      <c r="B643" s="637"/>
      <c r="C643" s="638"/>
      <c r="D643" s="639"/>
      <c r="E643" s="640"/>
      <c r="F643" s="640"/>
    </row>
    <row r="644" spans="2:6" ht="15">
      <c r="B644" s="637"/>
      <c r="C644" s="638"/>
      <c r="D644" s="639"/>
      <c r="E644" s="640"/>
      <c r="F644" s="640"/>
    </row>
    <row r="645" spans="2:6" ht="15">
      <c r="B645" s="637"/>
      <c r="C645" s="638"/>
      <c r="D645" s="639"/>
      <c r="E645" s="640"/>
      <c r="F645" s="640"/>
    </row>
    <row r="646" spans="2:6" ht="15">
      <c r="B646" s="637"/>
      <c r="C646" s="638"/>
      <c r="D646" s="639"/>
      <c r="E646" s="640"/>
      <c r="F646" s="640"/>
    </row>
    <row r="647" spans="2:6" ht="15">
      <c r="B647" s="637"/>
      <c r="C647" s="638"/>
      <c r="D647" s="639"/>
      <c r="E647" s="640"/>
      <c r="F647" s="640"/>
    </row>
    <row r="648" spans="2:6" ht="15">
      <c r="B648" s="637"/>
      <c r="C648" s="638"/>
      <c r="D648" s="639"/>
      <c r="E648" s="640"/>
      <c r="F648" s="640"/>
    </row>
    <row r="649" spans="2:6" ht="15">
      <c r="B649" s="637"/>
      <c r="C649" s="638"/>
      <c r="D649" s="639"/>
      <c r="E649" s="640"/>
      <c r="F649" s="640"/>
    </row>
    <row r="650" spans="2:6" ht="15">
      <c r="B650" s="637"/>
      <c r="C650" s="638"/>
      <c r="D650" s="639"/>
      <c r="E650" s="640"/>
      <c r="F650" s="640"/>
    </row>
    <row r="651" spans="2:6" ht="15">
      <c r="B651" s="637"/>
      <c r="C651" s="638"/>
      <c r="D651" s="639"/>
      <c r="E651" s="640"/>
      <c r="F651" s="640"/>
    </row>
    <row r="652" spans="2:6" ht="15">
      <c r="B652" s="637"/>
      <c r="C652" s="638"/>
      <c r="D652" s="639"/>
      <c r="E652" s="640"/>
      <c r="F652" s="640"/>
    </row>
    <row r="653" spans="2:6" ht="15">
      <c r="B653" s="637"/>
      <c r="C653" s="638"/>
      <c r="D653" s="639"/>
      <c r="E653" s="640"/>
      <c r="F653" s="640"/>
    </row>
    <row r="654" spans="2:6" ht="15">
      <c r="B654" s="637"/>
      <c r="C654" s="638"/>
      <c r="D654" s="639"/>
      <c r="E654" s="640"/>
      <c r="F654" s="640"/>
    </row>
  </sheetData>
  <mergeCells count="13">
    <mergeCell ref="C35:F35"/>
    <mergeCell ref="C47:F47"/>
    <mergeCell ref="C59:F59"/>
    <mergeCell ref="C65:F65"/>
    <mergeCell ref="C71:F71"/>
    <mergeCell ref="B3:B7"/>
    <mergeCell ref="B13:F13"/>
    <mergeCell ref="E3:F7"/>
    <mergeCell ref="C9:F9"/>
    <mergeCell ref="C10:F10"/>
    <mergeCell ref="C11:F11"/>
    <mergeCell ref="C5:D7"/>
    <mergeCell ref="C3:D4"/>
  </mergeCells>
  <conditionalFormatting sqref="B15:F34 B35:C35 B36:F46 B47:C47 B48:F58 B59:C59 B60:F64 B65:C65 B66:F70 B71:C71 B72:F654">
    <cfRule type="expression" dxfId="3" priority="1">
      <formula>AND($B15&lt;&gt;"",$D15&lt;&gt;"",$F15&lt;&gt;"")</formula>
    </cfRule>
    <cfRule type="expression" dxfId="2" priority="2">
      <formula>CONCATENATE($C15,$D15,$E15,$F15)=""</formula>
    </cfRule>
    <cfRule type="expression" dxfId="1" priority="3">
      <formula>AND(CONCATENATE($D15,$E15,$F15)="",LEN($C15)&gt;2)</formula>
    </cfRule>
    <cfRule type="expression" dxfId="0" priority="4">
      <formula>RIGHT($B15,2)=".0"</formula>
    </cfRule>
  </conditionalFormatting>
  <pageMargins left="0.511811024" right="0.511811024" top="0.78740157499999996" bottom="0.78740157499999996" header="0.31496062000000002" footer="0.31496062000000002"/>
  <pageSetup paperSize="9" scale="57"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19">
    <tabColor theme="3" tint="0.79998168889431442"/>
    <pageSetUpPr fitToPage="1"/>
  </sheetPr>
  <dimension ref="B2:IW68"/>
  <sheetViews>
    <sheetView view="pageBreakPreview" zoomScale="70" zoomScaleNormal="100" zoomScaleSheetLayoutView="70" workbookViewId="0">
      <selection activeCell="C6" sqref="C6:AD7"/>
    </sheetView>
  </sheetViews>
  <sheetFormatPr defaultRowHeight="12.75"/>
  <cols>
    <col min="1" max="1" width="9.140625" style="761"/>
    <col min="2" max="2" width="4" style="761" customWidth="1"/>
    <col min="3" max="3" width="11" style="761" customWidth="1"/>
    <col min="4" max="4" width="72" style="761" bestFit="1" customWidth="1"/>
    <col min="5" max="5" width="12.85546875" style="761" bestFit="1" customWidth="1"/>
    <col min="6" max="6" width="11" style="761" bestFit="1" customWidth="1"/>
    <col min="7" max="7" width="12.85546875" style="761" bestFit="1" customWidth="1"/>
    <col min="8" max="8" width="11" style="761" bestFit="1" customWidth="1"/>
    <col min="9" max="9" width="12.85546875" style="761" bestFit="1" customWidth="1"/>
    <col min="10" max="10" width="11" style="761" bestFit="1" customWidth="1"/>
    <col min="11" max="11" width="13.85546875" style="761" bestFit="1" customWidth="1"/>
    <col min="12" max="12" width="11" style="761" bestFit="1" customWidth="1"/>
    <col min="13" max="13" width="13.85546875" style="761" bestFit="1" customWidth="1"/>
    <col min="14" max="14" width="11" style="761" bestFit="1" customWidth="1"/>
    <col min="15" max="15" width="13.85546875" style="761" bestFit="1" customWidth="1"/>
    <col min="16" max="16" width="11" style="761" bestFit="1" customWidth="1"/>
    <col min="17" max="17" width="13.85546875" style="761" bestFit="1" customWidth="1"/>
    <col min="18" max="18" width="11" style="761" bestFit="1" customWidth="1"/>
    <col min="19" max="19" width="14.42578125" style="761" bestFit="1" customWidth="1"/>
    <col min="20" max="20" width="11" style="761" bestFit="1" customWidth="1"/>
    <col min="21" max="21" width="14.42578125" style="761" bestFit="1" customWidth="1"/>
    <col min="22" max="22" width="11" style="761" bestFit="1" customWidth="1"/>
    <col min="23" max="23" width="14.42578125" style="761" bestFit="1" customWidth="1"/>
    <col min="24" max="24" width="11" style="761" bestFit="1" customWidth="1"/>
    <col min="25" max="25" width="14.42578125" style="761" bestFit="1" customWidth="1"/>
    <col min="26" max="26" width="11" style="761" bestFit="1" customWidth="1"/>
    <col min="27" max="27" width="14.42578125" style="761" bestFit="1" customWidth="1"/>
    <col min="28" max="28" width="8.7109375" style="761" bestFit="1" customWidth="1"/>
    <col min="29" max="29" width="17.85546875" style="761" bestFit="1" customWidth="1"/>
    <col min="30" max="30" width="11.42578125" style="761" customWidth="1"/>
    <col min="31" max="31" width="9.140625" style="761"/>
    <col min="32" max="32" width="10" style="761" bestFit="1" customWidth="1"/>
    <col min="33" max="258" width="9.140625" style="761"/>
    <col min="259" max="259" width="4" style="761" customWidth="1"/>
    <col min="260" max="260" width="34.5703125" style="761" customWidth="1"/>
    <col min="261" max="261" width="11.85546875" style="761" bestFit="1" customWidth="1"/>
    <col min="262" max="262" width="8.140625" style="761" customWidth="1"/>
    <col min="263" max="263" width="13.85546875" style="761" bestFit="1" customWidth="1"/>
    <col min="264" max="264" width="8.140625" style="761" customWidth="1"/>
    <col min="265" max="265" width="13.85546875" style="761" bestFit="1" customWidth="1"/>
    <col min="266" max="266" width="8.7109375" style="761" customWidth="1"/>
    <col min="267" max="267" width="13.5703125" style="761" bestFit="1" customWidth="1"/>
    <col min="268" max="268" width="9" style="761" customWidth="1"/>
    <col min="269" max="269" width="13.5703125" style="761" bestFit="1" customWidth="1"/>
    <col min="270" max="270" width="9" style="761" bestFit="1" customWidth="1"/>
    <col min="271" max="271" width="13.5703125" style="761" bestFit="1" customWidth="1"/>
    <col min="272" max="272" width="9" style="761" bestFit="1" customWidth="1"/>
    <col min="273" max="273" width="13.85546875" style="761" bestFit="1" customWidth="1"/>
    <col min="274" max="274" width="8.7109375" style="761" bestFit="1" customWidth="1"/>
    <col min="275" max="275" width="13.85546875" style="761" bestFit="1" customWidth="1"/>
    <col min="276" max="276" width="8.7109375" style="761" bestFit="1" customWidth="1"/>
    <col min="277" max="277" width="13.85546875" style="761" bestFit="1" customWidth="1"/>
    <col min="278" max="278" width="8.7109375" style="761" bestFit="1" customWidth="1"/>
    <col min="279" max="279" width="13.85546875" style="761" bestFit="1" customWidth="1"/>
    <col min="280" max="280" width="8.7109375" style="761" bestFit="1" customWidth="1"/>
    <col min="281" max="281" width="13.85546875" style="761" bestFit="1" customWidth="1"/>
    <col min="282" max="282" width="8.7109375" style="761" bestFit="1" customWidth="1"/>
    <col min="283" max="283" width="13.85546875" style="761" bestFit="1" customWidth="1"/>
    <col min="284" max="284" width="8.7109375" style="761" bestFit="1" customWidth="1"/>
    <col min="285" max="285" width="17.85546875" style="761" bestFit="1" customWidth="1"/>
    <col min="286" max="287" width="9.140625" style="761"/>
    <col min="288" max="288" width="10" style="761" bestFit="1" customWidth="1"/>
    <col min="289" max="514" width="9.140625" style="761"/>
    <col min="515" max="515" width="4" style="761" customWidth="1"/>
    <col min="516" max="516" width="34.5703125" style="761" customWidth="1"/>
    <col min="517" max="517" width="11.85546875" style="761" bestFit="1" customWidth="1"/>
    <col min="518" max="518" width="8.140625" style="761" customWidth="1"/>
    <col min="519" max="519" width="13.85546875" style="761" bestFit="1" customWidth="1"/>
    <col min="520" max="520" width="8.140625" style="761" customWidth="1"/>
    <col min="521" max="521" width="13.85546875" style="761" bestFit="1" customWidth="1"/>
    <col min="522" max="522" width="8.7109375" style="761" customWidth="1"/>
    <col min="523" max="523" width="13.5703125" style="761" bestFit="1" customWidth="1"/>
    <col min="524" max="524" width="9" style="761" customWidth="1"/>
    <col min="525" max="525" width="13.5703125" style="761" bestFit="1" customWidth="1"/>
    <col min="526" max="526" width="9" style="761" bestFit="1" customWidth="1"/>
    <col min="527" max="527" width="13.5703125" style="761" bestFit="1" customWidth="1"/>
    <col min="528" max="528" width="9" style="761" bestFit="1" customWidth="1"/>
    <col min="529" max="529" width="13.85546875" style="761" bestFit="1" customWidth="1"/>
    <col min="530" max="530" width="8.7109375" style="761" bestFit="1" customWidth="1"/>
    <col min="531" max="531" width="13.85546875" style="761" bestFit="1" customWidth="1"/>
    <col min="532" max="532" width="8.7109375" style="761" bestFit="1" customWidth="1"/>
    <col min="533" max="533" width="13.85546875" style="761" bestFit="1" customWidth="1"/>
    <col min="534" max="534" width="8.7109375" style="761" bestFit="1" customWidth="1"/>
    <col min="535" max="535" width="13.85546875" style="761" bestFit="1" customWidth="1"/>
    <col min="536" max="536" width="8.7109375" style="761" bestFit="1" customWidth="1"/>
    <col min="537" max="537" width="13.85546875" style="761" bestFit="1" customWidth="1"/>
    <col min="538" max="538" width="8.7109375" style="761" bestFit="1" customWidth="1"/>
    <col min="539" max="539" width="13.85546875" style="761" bestFit="1" customWidth="1"/>
    <col min="540" max="540" width="8.7109375" style="761" bestFit="1" customWidth="1"/>
    <col min="541" max="541" width="17.85546875" style="761" bestFit="1" customWidth="1"/>
    <col min="542" max="543" width="9.140625" style="761"/>
    <col min="544" max="544" width="10" style="761" bestFit="1" customWidth="1"/>
    <col min="545" max="770" width="9.140625" style="761"/>
    <col min="771" max="771" width="4" style="761" customWidth="1"/>
    <col min="772" max="772" width="34.5703125" style="761" customWidth="1"/>
    <col min="773" max="773" width="11.85546875" style="761" bestFit="1" customWidth="1"/>
    <col min="774" max="774" width="8.140625" style="761" customWidth="1"/>
    <col min="775" max="775" width="13.85546875" style="761" bestFit="1" customWidth="1"/>
    <col min="776" max="776" width="8.140625" style="761" customWidth="1"/>
    <col min="777" max="777" width="13.85546875" style="761" bestFit="1" customWidth="1"/>
    <col min="778" max="778" width="8.7109375" style="761" customWidth="1"/>
    <col min="779" max="779" width="13.5703125" style="761" bestFit="1" customWidth="1"/>
    <col min="780" max="780" width="9" style="761" customWidth="1"/>
    <col min="781" max="781" width="13.5703125" style="761" bestFit="1" customWidth="1"/>
    <col min="782" max="782" width="9" style="761" bestFit="1" customWidth="1"/>
    <col min="783" max="783" width="13.5703125" style="761" bestFit="1" customWidth="1"/>
    <col min="784" max="784" width="9" style="761" bestFit="1" customWidth="1"/>
    <col min="785" max="785" width="13.85546875" style="761" bestFit="1" customWidth="1"/>
    <col min="786" max="786" width="8.7109375" style="761" bestFit="1" customWidth="1"/>
    <col min="787" max="787" width="13.85546875" style="761" bestFit="1" customWidth="1"/>
    <col min="788" max="788" width="8.7109375" style="761" bestFit="1" customWidth="1"/>
    <col min="789" max="789" width="13.85546875" style="761" bestFit="1" customWidth="1"/>
    <col min="790" max="790" width="8.7109375" style="761" bestFit="1" customWidth="1"/>
    <col min="791" max="791" width="13.85546875" style="761" bestFit="1" customWidth="1"/>
    <col min="792" max="792" width="8.7109375" style="761" bestFit="1" customWidth="1"/>
    <col min="793" max="793" width="13.85546875" style="761" bestFit="1" customWidth="1"/>
    <col min="794" max="794" width="8.7109375" style="761" bestFit="1" customWidth="1"/>
    <col min="795" max="795" width="13.85546875" style="761" bestFit="1" customWidth="1"/>
    <col min="796" max="796" width="8.7109375" style="761" bestFit="1" customWidth="1"/>
    <col min="797" max="797" width="17.85546875" style="761" bestFit="1" customWidth="1"/>
    <col min="798" max="799" width="9.140625" style="761"/>
    <col min="800" max="800" width="10" style="761" bestFit="1" customWidth="1"/>
    <col min="801" max="1026" width="9.140625" style="761"/>
    <col min="1027" max="1027" width="4" style="761" customWidth="1"/>
    <col min="1028" max="1028" width="34.5703125" style="761" customWidth="1"/>
    <col min="1029" max="1029" width="11.85546875" style="761" bestFit="1" customWidth="1"/>
    <col min="1030" max="1030" width="8.140625" style="761" customWidth="1"/>
    <col min="1031" max="1031" width="13.85546875" style="761" bestFit="1" customWidth="1"/>
    <col min="1032" max="1032" width="8.140625" style="761" customWidth="1"/>
    <col min="1033" max="1033" width="13.85546875" style="761" bestFit="1" customWidth="1"/>
    <col min="1034" max="1034" width="8.7109375" style="761" customWidth="1"/>
    <col min="1035" max="1035" width="13.5703125" style="761" bestFit="1" customWidth="1"/>
    <col min="1036" max="1036" width="9" style="761" customWidth="1"/>
    <col min="1037" max="1037" width="13.5703125" style="761" bestFit="1" customWidth="1"/>
    <col min="1038" max="1038" width="9" style="761" bestFit="1" customWidth="1"/>
    <col min="1039" max="1039" width="13.5703125" style="761" bestFit="1" customWidth="1"/>
    <col min="1040" max="1040" width="9" style="761" bestFit="1" customWidth="1"/>
    <col min="1041" max="1041" width="13.85546875" style="761" bestFit="1" customWidth="1"/>
    <col min="1042" max="1042" width="8.7109375" style="761" bestFit="1" customWidth="1"/>
    <col min="1043" max="1043" width="13.85546875" style="761" bestFit="1" customWidth="1"/>
    <col min="1044" max="1044" width="8.7109375" style="761" bestFit="1" customWidth="1"/>
    <col min="1045" max="1045" width="13.85546875" style="761" bestFit="1" customWidth="1"/>
    <col min="1046" max="1046" width="8.7109375" style="761" bestFit="1" customWidth="1"/>
    <col min="1047" max="1047" width="13.85546875" style="761" bestFit="1" customWidth="1"/>
    <col min="1048" max="1048" width="8.7109375" style="761" bestFit="1" customWidth="1"/>
    <col min="1049" max="1049" width="13.85546875" style="761" bestFit="1" customWidth="1"/>
    <col min="1050" max="1050" width="8.7109375" style="761" bestFit="1" customWidth="1"/>
    <col min="1051" max="1051" width="13.85546875" style="761" bestFit="1" customWidth="1"/>
    <col min="1052" max="1052" width="8.7109375" style="761" bestFit="1" customWidth="1"/>
    <col min="1053" max="1053" width="17.85546875" style="761" bestFit="1" customWidth="1"/>
    <col min="1054" max="1055" width="9.140625" style="761"/>
    <col min="1056" max="1056" width="10" style="761" bestFit="1" customWidth="1"/>
    <col min="1057" max="1282" width="9.140625" style="761"/>
    <col min="1283" max="1283" width="4" style="761" customWidth="1"/>
    <col min="1284" max="1284" width="34.5703125" style="761" customWidth="1"/>
    <col min="1285" max="1285" width="11.85546875" style="761" bestFit="1" customWidth="1"/>
    <col min="1286" max="1286" width="8.140625" style="761" customWidth="1"/>
    <col min="1287" max="1287" width="13.85546875" style="761" bestFit="1" customWidth="1"/>
    <col min="1288" max="1288" width="8.140625" style="761" customWidth="1"/>
    <col min="1289" max="1289" width="13.85546875" style="761" bestFit="1" customWidth="1"/>
    <col min="1290" max="1290" width="8.7109375" style="761" customWidth="1"/>
    <col min="1291" max="1291" width="13.5703125" style="761" bestFit="1" customWidth="1"/>
    <col min="1292" max="1292" width="9" style="761" customWidth="1"/>
    <col min="1293" max="1293" width="13.5703125" style="761" bestFit="1" customWidth="1"/>
    <col min="1294" max="1294" width="9" style="761" bestFit="1" customWidth="1"/>
    <col min="1295" max="1295" width="13.5703125" style="761" bestFit="1" customWidth="1"/>
    <col min="1296" max="1296" width="9" style="761" bestFit="1" customWidth="1"/>
    <col min="1297" max="1297" width="13.85546875" style="761" bestFit="1" customWidth="1"/>
    <col min="1298" max="1298" width="8.7109375" style="761" bestFit="1" customWidth="1"/>
    <col min="1299" max="1299" width="13.85546875" style="761" bestFit="1" customWidth="1"/>
    <col min="1300" max="1300" width="8.7109375" style="761" bestFit="1" customWidth="1"/>
    <col min="1301" max="1301" width="13.85546875" style="761" bestFit="1" customWidth="1"/>
    <col min="1302" max="1302" width="8.7109375" style="761" bestFit="1" customWidth="1"/>
    <col min="1303" max="1303" width="13.85546875" style="761" bestFit="1" customWidth="1"/>
    <col min="1304" max="1304" width="8.7109375" style="761" bestFit="1" customWidth="1"/>
    <col min="1305" max="1305" width="13.85546875" style="761" bestFit="1" customWidth="1"/>
    <col min="1306" max="1306" width="8.7109375" style="761" bestFit="1" customWidth="1"/>
    <col min="1307" max="1307" width="13.85546875" style="761" bestFit="1" customWidth="1"/>
    <col min="1308" max="1308" width="8.7109375" style="761" bestFit="1" customWidth="1"/>
    <col min="1309" max="1309" width="17.85546875" style="761" bestFit="1" customWidth="1"/>
    <col min="1310" max="1311" width="9.140625" style="761"/>
    <col min="1312" max="1312" width="10" style="761" bestFit="1" customWidth="1"/>
    <col min="1313" max="1538" width="9.140625" style="761"/>
    <col min="1539" max="1539" width="4" style="761" customWidth="1"/>
    <col min="1540" max="1540" width="34.5703125" style="761" customWidth="1"/>
    <col min="1541" max="1541" width="11.85546875" style="761" bestFit="1" customWidth="1"/>
    <col min="1542" max="1542" width="8.140625" style="761" customWidth="1"/>
    <col min="1543" max="1543" width="13.85546875" style="761" bestFit="1" customWidth="1"/>
    <col min="1544" max="1544" width="8.140625" style="761" customWidth="1"/>
    <col min="1545" max="1545" width="13.85546875" style="761" bestFit="1" customWidth="1"/>
    <col min="1546" max="1546" width="8.7109375" style="761" customWidth="1"/>
    <col min="1547" max="1547" width="13.5703125" style="761" bestFit="1" customWidth="1"/>
    <col min="1548" max="1548" width="9" style="761" customWidth="1"/>
    <col min="1549" max="1549" width="13.5703125" style="761" bestFit="1" customWidth="1"/>
    <col min="1550" max="1550" width="9" style="761" bestFit="1" customWidth="1"/>
    <col min="1551" max="1551" width="13.5703125" style="761" bestFit="1" customWidth="1"/>
    <col min="1552" max="1552" width="9" style="761" bestFit="1" customWidth="1"/>
    <col min="1553" max="1553" width="13.85546875" style="761" bestFit="1" customWidth="1"/>
    <col min="1554" max="1554" width="8.7109375" style="761" bestFit="1" customWidth="1"/>
    <col min="1555" max="1555" width="13.85546875" style="761" bestFit="1" customWidth="1"/>
    <col min="1556" max="1556" width="8.7109375" style="761" bestFit="1" customWidth="1"/>
    <col min="1557" max="1557" width="13.85546875" style="761" bestFit="1" customWidth="1"/>
    <col min="1558" max="1558" width="8.7109375" style="761" bestFit="1" customWidth="1"/>
    <col min="1559" max="1559" width="13.85546875" style="761" bestFit="1" customWidth="1"/>
    <col min="1560" max="1560" width="8.7109375" style="761" bestFit="1" customWidth="1"/>
    <col min="1561" max="1561" width="13.85546875" style="761" bestFit="1" customWidth="1"/>
    <col min="1562" max="1562" width="8.7109375" style="761" bestFit="1" customWidth="1"/>
    <col min="1563" max="1563" width="13.85546875" style="761" bestFit="1" customWidth="1"/>
    <col min="1564" max="1564" width="8.7109375" style="761" bestFit="1" customWidth="1"/>
    <col min="1565" max="1565" width="17.85546875" style="761" bestFit="1" customWidth="1"/>
    <col min="1566" max="1567" width="9.140625" style="761"/>
    <col min="1568" max="1568" width="10" style="761" bestFit="1" customWidth="1"/>
    <col min="1569" max="1794" width="9.140625" style="761"/>
    <col min="1795" max="1795" width="4" style="761" customWidth="1"/>
    <col min="1796" max="1796" width="34.5703125" style="761" customWidth="1"/>
    <col min="1797" max="1797" width="11.85546875" style="761" bestFit="1" customWidth="1"/>
    <col min="1798" max="1798" width="8.140625" style="761" customWidth="1"/>
    <col min="1799" max="1799" width="13.85546875" style="761" bestFit="1" customWidth="1"/>
    <col min="1800" max="1800" width="8.140625" style="761" customWidth="1"/>
    <col min="1801" max="1801" width="13.85546875" style="761" bestFit="1" customWidth="1"/>
    <col min="1802" max="1802" width="8.7109375" style="761" customWidth="1"/>
    <col min="1803" max="1803" width="13.5703125" style="761" bestFit="1" customWidth="1"/>
    <col min="1804" max="1804" width="9" style="761" customWidth="1"/>
    <col min="1805" max="1805" width="13.5703125" style="761" bestFit="1" customWidth="1"/>
    <col min="1806" max="1806" width="9" style="761" bestFit="1" customWidth="1"/>
    <col min="1807" max="1807" width="13.5703125" style="761" bestFit="1" customWidth="1"/>
    <col min="1808" max="1808" width="9" style="761" bestFit="1" customWidth="1"/>
    <col min="1809" max="1809" width="13.85546875" style="761" bestFit="1" customWidth="1"/>
    <col min="1810" max="1810" width="8.7109375" style="761" bestFit="1" customWidth="1"/>
    <col min="1811" max="1811" width="13.85546875" style="761" bestFit="1" customWidth="1"/>
    <col min="1812" max="1812" width="8.7109375" style="761" bestFit="1" customWidth="1"/>
    <col min="1813" max="1813" width="13.85546875" style="761" bestFit="1" customWidth="1"/>
    <col min="1814" max="1814" width="8.7109375" style="761" bestFit="1" customWidth="1"/>
    <col min="1815" max="1815" width="13.85546875" style="761" bestFit="1" customWidth="1"/>
    <col min="1816" max="1816" width="8.7109375" style="761" bestFit="1" customWidth="1"/>
    <col min="1817" max="1817" width="13.85546875" style="761" bestFit="1" customWidth="1"/>
    <col min="1818" max="1818" width="8.7109375" style="761" bestFit="1" customWidth="1"/>
    <col min="1819" max="1819" width="13.85546875" style="761" bestFit="1" customWidth="1"/>
    <col min="1820" max="1820" width="8.7109375" style="761" bestFit="1" customWidth="1"/>
    <col min="1821" max="1821" width="17.85546875" style="761" bestFit="1" customWidth="1"/>
    <col min="1822" max="1823" width="9.140625" style="761"/>
    <col min="1824" max="1824" width="10" style="761" bestFit="1" customWidth="1"/>
    <col min="1825" max="2050" width="9.140625" style="761"/>
    <col min="2051" max="2051" width="4" style="761" customWidth="1"/>
    <col min="2052" max="2052" width="34.5703125" style="761" customWidth="1"/>
    <col min="2053" max="2053" width="11.85546875" style="761" bestFit="1" customWidth="1"/>
    <col min="2054" max="2054" width="8.140625" style="761" customWidth="1"/>
    <col min="2055" max="2055" width="13.85546875" style="761" bestFit="1" customWidth="1"/>
    <col min="2056" max="2056" width="8.140625" style="761" customWidth="1"/>
    <col min="2057" max="2057" width="13.85546875" style="761" bestFit="1" customWidth="1"/>
    <col min="2058" max="2058" width="8.7109375" style="761" customWidth="1"/>
    <col min="2059" max="2059" width="13.5703125" style="761" bestFit="1" customWidth="1"/>
    <col min="2060" max="2060" width="9" style="761" customWidth="1"/>
    <col min="2061" max="2061" width="13.5703125" style="761" bestFit="1" customWidth="1"/>
    <col min="2062" max="2062" width="9" style="761" bestFit="1" customWidth="1"/>
    <col min="2063" max="2063" width="13.5703125" style="761" bestFit="1" customWidth="1"/>
    <col min="2064" max="2064" width="9" style="761" bestFit="1" customWidth="1"/>
    <col min="2065" max="2065" width="13.85546875" style="761" bestFit="1" customWidth="1"/>
    <col min="2066" max="2066" width="8.7109375" style="761" bestFit="1" customWidth="1"/>
    <col min="2067" max="2067" width="13.85546875" style="761" bestFit="1" customWidth="1"/>
    <col min="2068" max="2068" width="8.7109375" style="761" bestFit="1" customWidth="1"/>
    <col min="2069" max="2069" width="13.85546875" style="761" bestFit="1" customWidth="1"/>
    <col min="2070" max="2070" width="8.7109375" style="761" bestFit="1" customWidth="1"/>
    <col min="2071" max="2071" width="13.85546875" style="761" bestFit="1" customWidth="1"/>
    <col min="2072" max="2072" width="8.7109375" style="761" bestFit="1" customWidth="1"/>
    <col min="2073" max="2073" width="13.85546875" style="761" bestFit="1" customWidth="1"/>
    <col min="2074" max="2074" width="8.7109375" style="761" bestFit="1" customWidth="1"/>
    <col min="2075" max="2075" width="13.85546875" style="761" bestFit="1" customWidth="1"/>
    <col min="2076" max="2076" width="8.7109375" style="761" bestFit="1" customWidth="1"/>
    <col min="2077" max="2077" width="17.85546875" style="761" bestFit="1" customWidth="1"/>
    <col min="2078" max="2079" width="9.140625" style="761"/>
    <col min="2080" max="2080" width="10" style="761" bestFit="1" customWidth="1"/>
    <col min="2081" max="2306" width="9.140625" style="761"/>
    <col min="2307" max="2307" width="4" style="761" customWidth="1"/>
    <col min="2308" max="2308" width="34.5703125" style="761" customWidth="1"/>
    <col min="2309" max="2309" width="11.85546875" style="761" bestFit="1" customWidth="1"/>
    <col min="2310" max="2310" width="8.140625" style="761" customWidth="1"/>
    <col min="2311" max="2311" width="13.85546875" style="761" bestFit="1" customWidth="1"/>
    <col min="2312" max="2312" width="8.140625" style="761" customWidth="1"/>
    <col min="2313" max="2313" width="13.85546875" style="761" bestFit="1" customWidth="1"/>
    <col min="2314" max="2314" width="8.7109375" style="761" customWidth="1"/>
    <col min="2315" max="2315" width="13.5703125" style="761" bestFit="1" customWidth="1"/>
    <col min="2316" max="2316" width="9" style="761" customWidth="1"/>
    <col min="2317" max="2317" width="13.5703125" style="761" bestFit="1" customWidth="1"/>
    <col min="2318" max="2318" width="9" style="761" bestFit="1" customWidth="1"/>
    <col min="2319" max="2319" width="13.5703125" style="761" bestFit="1" customWidth="1"/>
    <col min="2320" max="2320" width="9" style="761" bestFit="1" customWidth="1"/>
    <col min="2321" max="2321" width="13.85546875" style="761" bestFit="1" customWidth="1"/>
    <col min="2322" max="2322" width="8.7109375" style="761" bestFit="1" customWidth="1"/>
    <col min="2323" max="2323" width="13.85546875" style="761" bestFit="1" customWidth="1"/>
    <col min="2324" max="2324" width="8.7109375" style="761" bestFit="1" customWidth="1"/>
    <col min="2325" max="2325" width="13.85546875" style="761" bestFit="1" customWidth="1"/>
    <col min="2326" max="2326" width="8.7109375" style="761" bestFit="1" customWidth="1"/>
    <col min="2327" max="2327" width="13.85546875" style="761" bestFit="1" customWidth="1"/>
    <col min="2328" max="2328" width="8.7109375" style="761" bestFit="1" customWidth="1"/>
    <col min="2329" max="2329" width="13.85546875" style="761" bestFit="1" customWidth="1"/>
    <col min="2330" max="2330" width="8.7109375" style="761" bestFit="1" customWidth="1"/>
    <col min="2331" max="2331" width="13.85546875" style="761" bestFit="1" customWidth="1"/>
    <col min="2332" max="2332" width="8.7109375" style="761" bestFit="1" customWidth="1"/>
    <col min="2333" max="2333" width="17.85546875" style="761" bestFit="1" customWidth="1"/>
    <col min="2334" max="2335" width="9.140625" style="761"/>
    <col min="2336" max="2336" width="10" style="761" bestFit="1" customWidth="1"/>
    <col min="2337" max="2562" width="9.140625" style="761"/>
    <col min="2563" max="2563" width="4" style="761" customWidth="1"/>
    <col min="2564" max="2564" width="34.5703125" style="761" customWidth="1"/>
    <col min="2565" max="2565" width="11.85546875" style="761" bestFit="1" customWidth="1"/>
    <col min="2566" max="2566" width="8.140625" style="761" customWidth="1"/>
    <col min="2567" max="2567" width="13.85546875" style="761" bestFit="1" customWidth="1"/>
    <col min="2568" max="2568" width="8.140625" style="761" customWidth="1"/>
    <col min="2569" max="2569" width="13.85546875" style="761" bestFit="1" customWidth="1"/>
    <col min="2570" max="2570" width="8.7109375" style="761" customWidth="1"/>
    <col min="2571" max="2571" width="13.5703125" style="761" bestFit="1" customWidth="1"/>
    <col min="2572" max="2572" width="9" style="761" customWidth="1"/>
    <col min="2573" max="2573" width="13.5703125" style="761" bestFit="1" customWidth="1"/>
    <col min="2574" max="2574" width="9" style="761" bestFit="1" customWidth="1"/>
    <col min="2575" max="2575" width="13.5703125" style="761" bestFit="1" customWidth="1"/>
    <col min="2576" max="2576" width="9" style="761" bestFit="1" customWidth="1"/>
    <col min="2577" max="2577" width="13.85546875" style="761" bestFit="1" customWidth="1"/>
    <col min="2578" max="2578" width="8.7109375" style="761" bestFit="1" customWidth="1"/>
    <col min="2579" max="2579" width="13.85546875" style="761" bestFit="1" customWidth="1"/>
    <col min="2580" max="2580" width="8.7109375" style="761" bestFit="1" customWidth="1"/>
    <col min="2581" max="2581" width="13.85546875" style="761" bestFit="1" customWidth="1"/>
    <col min="2582" max="2582" width="8.7109375" style="761" bestFit="1" customWidth="1"/>
    <col min="2583" max="2583" width="13.85546875" style="761" bestFit="1" customWidth="1"/>
    <col min="2584" max="2584" width="8.7109375" style="761" bestFit="1" customWidth="1"/>
    <col min="2585" max="2585" width="13.85546875" style="761" bestFit="1" customWidth="1"/>
    <col min="2586" max="2586" width="8.7109375" style="761" bestFit="1" customWidth="1"/>
    <col min="2587" max="2587" width="13.85546875" style="761" bestFit="1" customWidth="1"/>
    <col min="2588" max="2588" width="8.7109375" style="761" bestFit="1" customWidth="1"/>
    <col min="2589" max="2589" width="17.85546875" style="761" bestFit="1" customWidth="1"/>
    <col min="2590" max="2591" width="9.140625" style="761"/>
    <col min="2592" max="2592" width="10" style="761" bestFit="1" customWidth="1"/>
    <col min="2593" max="2818" width="9.140625" style="761"/>
    <col min="2819" max="2819" width="4" style="761" customWidth="1"/>
    <col min="2820" max="2820" width="34.5703125" style="761" customWidth="1"/>
    <col min="2821" max="2821" width="11.85546875" style="761" bestFit="1" customWidth="1"/>
    <col min="2822" max="2822" width="8.140625" style="761" customWidth="1"/>
    <col min="2823" max="2823" width="13.85546875" style="761" bestFit="1" customWidth="1"/>
    <col min="2824" max="2824" width="8.140625" style="761" customWidth="1"/>
    <col min="2825" max="2825" width="13.85546875" style="761" bestFit="1" customWidth="1"/>
    <col min="2826" max="2826" width="8.7109375" style="761" customWidth="1"/>
    <col min="2827" max="2827" width="13.5703125" style="761" bestFit="1" customWidth="1"/>
    <col min="2828" max="2828" width="9" style="761" customWidth="1"/>
    <col min="2829" max="2829" width="13.5703125" style="761" bestFit="1" customWidth="1"/>
    <col min="2830" max="2830" width="9" style="761" bestFit="1" customWidth="1"/>
    <col min="2831" max="2831" width="13.5703125" style="761" bestFit="1" customWidth="1"/>
    <col min="2832" max="2832" width="9" style="761" bestFit="1" customWidth="1"/>
    <col min="2833" max="2833" width="13.85546875" style="761" bestFit="1" customWidth="1"/>
    <col min="2834" max="2834" width="8.7109375" style="761" bestFit="1" customWidth="1"/>
    <col min="2835" max="2835" width="13.85546875" style="761" bestFit="1" customWidth="1"/>
    <col min="2836" max="2836" width="8.7109375" style="761" bestFit="1" customWidth="1"/>
    <col min="2837" max="2837" width="13.85546875" style="761" bestFit="1" customWidth="1"/>
    <col min="2838" max="2838" width="8.7109375" style="761" bestFit="1" customWidth="1"/>
    <col min="2839" max="2839" width="13.85546875" style="761" bestFit="1" customWidth="1"/>
    <col min="2840" max="2840" width="8.7109375" style="761" bestFit="1" customWidth="1"/>
    <col min="2841" max="2841" width="13.85546875" style="761" bestFit="1" customWidth="1"/>
    <col min="2842" max="2842" width="8.7109375" style="761" bestFit="1" customWidth="1"/>
    <col min="2843" max="2843" width="13.85546875" style="761" bestFit="1" customWidth="1"/>
    <col min="2844" max="2844" width="8.7109375" style="761" bestFit="1" customWidth="1"/>
    <col min="2845" max="2845" width="17.85546875" style="761" bestFit="1" customWidth="1"/>
    <col min="2846" max="2847" width="9.140625" style="761"/>
    <col min="2848" max="2848" width="10" style="761" bestFit="1" customWidth="1"/>
    <col min="2849" max="3074" width="9.140625" style="761"/>
    <col min="3075" max="3075" width="4" style="761" customWidth="1"/>
    <col min="3076" max="3076" width="34.5703125" style="761" customWidth="1"/>
    <col min="3077" max="3077" width="11.85546875" style="761" bestFit="1" customWidth="1"/>
    <col min="3078" max="3078" width="8.140625" style="761" customWidth="1"/>
    <col min="3079" max="3079" width="13.85546875" style="761" bestFit="1" customWidth="1"/>
    <col min="3080" max="3080" width="8.140625" style="761" customWidth="1"/>
    <col min="3081" max="3081" width="13.85546875" style="761" bestFit="1" customWidth="1"/>
    <col min="3082" max="3082" width="8.7109375" style="761" customWidth="1"/>
    <col min="3083" max="3083" width="13.5703125" style="761" bestFit="1" customWidth="1"/>
    <col min="3084" max="3084" width="9" style="761" customWidth="1"/>
    <col min="3085" max="3085" width="13.5703125" style="761" bestFit="1" customWidth="1"/>
    <col min="3086" max="3086" width="9" style="761" bestFit="1" customWidth="1"/>
    <col min="3087" max="3087" width="13.5703125" style="761" bestFit="1" customWidth="1"/>
    <col min="3088" max="3088" width="9" style="761" bestFit="1" customWidth="1"/>
    <col min="3089" max="3089" width="13.85546875" style="761" bestFit="1" customWidth="1"/>
    <col min="3090" max="3090" width="8.7109375" style="761" bestFit="1" customWidth="1"/>
    <col min="3091" max="3091" width="13.85546875" style="761" bestFit="1" customWidth="1"/>
    <col min="3092" max="3092" width="8.7109375" style="761" bestFit="1" customWidth="1"/>
    <col min="3093" max="3093" width="13.85546875" style="761" bestFit="1" customWidth="1"/>
    <col min="3094" max="3094" width="8.7109375" style="761" bestFit="1" customWidth="1"/>
    <col min="3095" max="3095" width="13.85546875" style="761" bestFit="1" customWidth="1"/>
    <col min="3096" max="3096" width="8.7109375" style="761" bestFit="1" customWidth="1"/>
    <col min="3097" max="3097" width="13.85546875" style="761" bestFit="1" customWidth="1"/>
    <col min="3098" max="3098" width="8.7109375" style="761" bestFit="1" customWidth="1"/>
    <col min="3099" max="3099" width="13.85546875" style="761" bestFit="1" customWidth="1"/>
    <col min="3100" max="3100" width="8.7109375" style="761" bestFit="1" customWidth="1"/>
    <col min="3101" max="3101" width="17.85546875" style="761" bestFit="1" customWidth="1"/>
    <col min="3102" max="3103" width="9.140625" style="761"/>
    <col min="3104" max="3104" width="10" style="761" bestFit="1" customWidth="1"/>
    <col min="3105" max="3330" width="9.140625" style="761"/>
    <col min="3331" max="3331" width="4" style="761" customWidth="1"/>
    <col min="3332" max="3332" width="34.5703125" style="761" customWidth="1"/>
    <col min="3333" max="3333" width="11.85546875" style="761" bestFit="1" customWidth="1"/>
    <col min="3334" max="3334" width="8.140625" style="761" customWidth="1"/>
    <col min="3335" max="3335" width="13.85546875" style="761" bestFit="1" customWidth="1"/>
    <col min="3336" max="3336" width="8.140625" style="761" customWidth="1"/>
    <col min="3337" max="3337" width="13.85546875" style="761" bestFit="1" customWidth="1"/>
    <col min="3338" max="3338" width="8.7109375" style="761" customWidth="1"/>
    <col min="3339" max="3339" width="13.5703125" style="761" bestFit="1" customWidth="1"/>
    <col min="3340" max="3340" width="9" style="761" customWidth="1"/>
    <col min="3341" max="3341" width="13.5703125" style="761" bestFit="1" customWidth="1"/>
    <col min="3342" max="3342" width="9" style="761" bestFit="1" customWidth="1"/>
    <col min="3343" max="3343" width="13.5703125" style="761" bestFit="1" customWidth="1"/>
    <col min="3344" max="3344" width="9" style="761" bestFit="1" customWidth="1"/>
    <col min="3345" max="3345" width="13.85546875" style="761" bestFit="1" customWidth="1"/>
    <col min="3346" max="3346" width="8.7109375" style="761" bestFit="1" customWidth="1"/>
    <col min="3347" max="3347" width="13.85546875" style="761" bestFit="1" customWidth="1"/>
    <col min="3348" max="3348" width="8.7109375" style="761" bestFit="1" customWidth="1"/>
    <col min="3349" max="3349" width="13.85546875" style="761" bestFit="1" customWidth="1"/>
    <col min="3350" max="3350" width="8.7109375" style="761" bestFit="1" customWidth="1"/>
    <col min="3351" max="3351" width="13.85546875" style="761" bestFit="1" customWidth="1"/>
    <col min="3352" max="3352" width="8.7109375" style="761" bestFit="1" customWidth="1"/>
    <col min="3353" max="3353" width="13.85546875" style="761" bestFit="1" customWidth="1"/>
    <col min="3354" max="3354" width="8.7109375" style="761" bestFit="1" customWidth="1"/>
    <col min="3355" max="3355" width="13.85546875" style="761" bestFit="1" customWidth="1"/>
    <col min="3356" max="3356" width="8.7109375" style="761" bestFit="1" customWidth="1"/>
    <col min="3357" max="3357" width="17.85546875" style="761" bestFit="1" customWidth="1"/>
    <col min="3358" max="3359" width="9.140625" style="761"/>
    <col min="3360" max="3360" width="10" style="761" bestFit="1" customWidth="1"/>
    <col min="3361" max="3586" width="9.140625" style="761"/>
    <col min="3587" max="3587" width="4" style="761" customWidth="1"/>
    <col min="3588" max="3588" width="34.5703125" style="761" customWidth="1"/>
    <col min="3589" max="3589" width="11.85546875" style="761" bestFit="1" customWidth="1"/>
    <col min="3590" max="3590" width="8.140625" style="761" customWidth="1"/>
    <col min="3591" max="3591" width="13.85546875" style="761" bestFit="1" customWidth="1"/>
    <col min="3592" max="3592" width="8.140625" style="761" customWidth="1"/>
    <col min="3593" max="3593" width="13.85546875" style="761" bestFit="1" customWidth="1"/>
    <col min="3594" max="3594" width="8.7109375" style="761" customWidth="1"/>
    <col min="3595" max="3595" width="13.5703125" style="761" bestFit="1" customWidth="1"/>
    <col min="3596" max="3596" width="9" style="761" customWidth="1"/>
    <col min="3597" max="3597" width="13.5703125" style="761" bestFit="1" customWidth="1"/>
    <col min="3598" max="3598" width="9" style="761" bestFit="1" customWidth="1"/>
    <col min="3599" max="3599" width="13.5703125" style="761" bestFit="1" customWidth="1"/>
    <col min="3600" max="3600" width="9" style="761" bestFit="1" customWidth="1"/>
    <col min="3601" max="3601" width="13.85546875" style="761" bestFit="1" customWidth="1"/>
    <col min="3602" max="3602" width="8.7109375" style="761" bestFit="1" customWidth="1"/>
    <col min="3603" max="3603" width="13.85546875" style="761" bestFit="1" customWidth="1"/>
    <col min="3604" max="3604" width="8.7109375" style="761" bestFit="1" customWidth="1"/>
    <col min="3605" max="3605" width="13.85546875" style="761" bestFit="1" customWidth="1"/>
    <col min="3606" max="3606" width="8.7109375" style="761" bestFit="1" customWidth="1"/>
    <col min="3607" max="3607" width="13.85546875" style="761" bestFit="1" customWidth="1"/>
    <col min="3608" max="3608" width="8.7109375" style="761" bestFit="1" customWidth="1"/>
    <col min="3609" max="3609" width="13.85546875" style="761" bestFit="1" customWidth="1"/>
    <col min="3610" max="3610" width="8.7109375" style="761" bestFit="1" customWidth="1"/>
    <col min="3611" max="3611" width="13.85546875" style="761" bestFit="1" customWidth="1"/>
    <col min="3612" max="3612" width="8.7109375" style="761" bestFit="1" customWidth="1"/>
    <col min="3613" max="3613" width="17.85546875" style="761" bestFit="1" customWidth="1"/>
    <col min="3614" max="3615" width="9.140625" style="761"/>
    <col min="3616" max="3616" width="10" style="761" bestFit="1" customWidth="1"/>
    <col min="3617" max="3842" width="9.140625" style="761"/>
    <col min="3843" max="3843" width="4" style="761" customWidth="1"/>
    <col min="3844" max="3844" width="34.5703125" style="761" customWidth="1"/>
    <col min="3845" max="3845" width="11.85546875" style="761" bestFit="1" customWidth="1"/>
    <col min="3846" max="3846" width="8.140625" style="761" customWidth="1"/>
    <col min="3847" max="3847" width="13.85546875" style="761" bestFit="1" customWidth="1"/>
    <col min="3848" max="3848" width="8.140625" style="761" customWidth="1"/>
    <col min="3849" max="3849" width="13.85546875" style="761" bestFit="1" customWidth="1"/>
    <col min="3850" max="3850" width="8.7109375" style="761" customWidth="1"/>
    <col min="3851" max="3851" width="13.5703125" style="761" bestFit="1" customWidth="1"/>
    <col min="3852" max="3852" width="9" style="761" customWidth="1"/>
    <col min="3853" max="3853" width="13.5703125" style="761" bestFit="1" customWidth="1"/>
    <col min="3854" max="3854" width="9" style="761" bestFit="1" customWidth="1"/>
    <col min="3855" max="3855" width="13.5703125" style="761" bestFit="1" customWidth="1"/>
    <col min="3856" max="3856" width="9" style="761" bestFit="1" customWidth="1"/>
    <col min="3857" max="3857" width="13.85546875" style="761" bestFit="1" customWidth="1"/>
    <col min="3858" max="3858" width="8.7109375" style="761" bestFit="1" customWidth="1"/>
    <col min="3859" max="3859" width="13.85546875" style="761" bestFit="1" customWidth="1"/>
    <col min="3860" max="3860" width="8.7109375" style="761" bestFit="1" customWidth="1"/>
    <col min="3861" max="3861" width="13.85546875" style="761" bestFit="1" customWidth="1"/>
    <col min="3862" max="3862" width="8.7109375" style="761" bestFit="1" customWidth="1"/>
    <col min="3863" max="3863" width="13.85546875" style="761" bestFit="1" customWidth="1"/>
    <col min="3864" max="3864" width="8.7109375" style="761" bestFit="1" customWidth="1"/>
    <col min="3865" max="3865" width="13.85546875" style="761" bestFit="1" customWidth="1"/>
    <col min="3866" max="3866" width="8.7109375" style="761" bestFit="1" customWidth="1"/>
    <col min="3867" max="3867" width="13.85546875" style="761" bestFit="1" customWidth="1"/>
    <col min="3868" max="3868" width="8.7109375" style="761" bestFit="1" customWidth="1"/>
    <col min="3869" max="3869" width="17.85546875" style="761" bestFit="1" customWidth="1"/>
    <col min="3870" max="3871" width="9.140625" style="761"/>
    <col min="3872" max="3872" width="10" style="761" bestFit="1" customWidth="1"/>
    <col min="3873" max="4098" width="9.140625" style="761"/>
    <col min="4099" max="4099" width="4" style="761" customWidth="1"/>
    <col min="4100" max="4100" width="34.5703125" style="761" customWidth="1"/>
    <col min="4101" max="4101" width="11.85546875" style="761" bestFit="1" customWidth="1"/>
    <col min="4102" max="4102" width="8.140625" style="761" customWidth="1"/>
    <col min="4103" max="4103" width="13.85546875" style="761" bestFit="1" customWidth="1"/>
    <col min="4104" max="4104" width="8.140625" style="761" customWidth="1"/>
    <col min="4105" max="4105" width="13.85546875" style="761" bestFit="1" customWidth="1"/>
    <col min="4106" max="4106" width="8.7109375" style="761" customWidth="1"/>
    <col min="4107" max="4107" width="13.5703125" style="761" bestFit="1" customWidth="1"/>
    <col min="4108" max="4108" width="9" style="761" customWidth="1"/>
    <col min="4109" max="4109" width="13.5703125" style="761" bestFit="1" customWidth="1"/>
    <col min="4110" max="4110" width="9" style="761" bestFit="1" customWidth="1"/>
    <col min="4111" max="4111" width="13.5703125" style="761" bestFit="1" customWidth="1"/>
    <col min="4112" max="4112" width="9" style="761" bestFit="1" customWidth="1"/>
    <col min="4113" max="4113" width="13.85546875" style="761" bestFit="1" customWidth="1"/>
    <col min="4114" max="4114" width="8.7109375" style="761" bestFit="1" customWidth="1"/>
    <col min="4115" max="4115" width="13.85546875" style="761" bestFit="1" customWidth="1"/>
    <col min="4116" max="4116" width="8.7109375" style="761" bestFit="1" customWidth="1"/>
    <col min="4117" max="4117" width="13.85546875" style="761" bestFit="1" customWidth="1"/>
    <col min="4118" max="4118" width="8.7109375" style="761" bestFit="1" customWidth="1"/>
    <col min="4119" max="4119" width="13.85546875" style="761" bestFit="1" customWidth="1"/>
    <col min="4120" max="4120" width="8.7109375" style="761" bestFit="1" customWidth="1"/>
    <col min="4121" max="4121" width="13.85546875" style="761" bestFit="1" customWidth="1"/>
    <col min="4122" max="4122" width="8.7109375" style="761" bestFit="1" customWidth="1"/>
    <col min="4123" max="4123" width="13.85546875" style="761" bestFit="1" customWidth="1"/>
    <col min="4124" max="4124" width="8.7109375" style="761" bestFit="1" customWidth="1"/>
    <col min="4125" max="4125" width="17.85546875" style="761" bestFit="1" customWidth="1"/>
    <col min="4126" max="4127" width="9.140625" style="761"/>
    <col min="4128" max="4128" width="10" style="761" bestFit="1" customWidth="1"/>
    <col min="4129" max="4354" width="9.140625" style="761"/>
    <col min="4355" max="4355" width="4" style="761" customWidth="1"/>
    <col min="4356" max="4356" width="34.5703125" style="761" customWidth="1"/>
    <col min="4357" max="4357" width="11.85546875" style="761" bestFit="1" customWidth="1"/>
    <col min="4358" max="4358" width="8.140625" style="761" customWidth="1"/>
    <col min="4359" max="4359" width="13.85546875" style="761" bestFit="1" customWidth="1"/>
    <col min="4360" max="4360" width="8.140625" style="761" customWidth="1"/>
    <col min="4361" max="4361" width="13.85546875" style="761" bestFit="1" customWidth="1"/>
    <col min="4362" max="4362" width="8.7109375" style="761" customWidth="1"/>
    <col min="4363" max="4363" width="13.5703125" style="761" bestFit="1" customWidth="1"/>
    <col min="4364" max="4364" width="9" style="761" customWidth="1"/>
    <col min="4365" max="4365" width="13.5703125" style="761" bestFit="1" customWidth="1"/>
    <col min="4366" max="4366" width="9" style="761" bestFit="1" customWidth="1"/>
    <col min="4367" max="4367" width="13.5703125" style="761" bestFit="1" customWidth="1"/>
    <col min="4368" max="4368" width="9" style="761" bestFit="1" customWidth="1"/>
    <col min="4369" max="4369" width="13.85546875" style="761" bestFit="1" customWidth="1"/>
    <col min="4370" max="4370" width="8.7109375" style="761" bestFit="1" customWidth="1"/>
    <col min="4371" max="4371" width="13.85546875" style="761" bestFit="1" customWidth="1"/>
    <col min="4372" max="4372" width="8.7109375" style="761" bestFit="1" customWidth="1"/>
    <col min="4373" max="4373" width="13.85546875" style="761" bestFit="1" customWidth="1"/>
    <col min="4374" max="4374" width="8.7109375" style="761" bestFit="1" customWidth="1"/>
    <col min="4375" max="4375" width="13.85546875" style="761" bestFit="1" customWidth="1"/>
    <col min="4376" max="4376" width="8.7109375" style="761" bestFit="1" customWidth="1"/>
    <col min="4377" max="4377" width="13.85546875" style="761" bestFit="1" customWidth="1"/>
    <col min="4378" max="4378" width="8.7109375" style="761" bestFit="1" customWidth="1"/>
    <col min="4379" max="4379" width="13.85546875" style="761" bestFit="1" customWidth="1"/>
    <col min="4380" max="4380" width="8.7109375" style="761" bestFit="1" customWidth="1"/>
    <col min="4381" max="4381" width="17.85546875" style="761" bestFit="1" customWidth="1"/>
    <col min="4382" max="4383" width="9.140625" style="761"/>
    <col min="4384" max="4384" width="10" style="761" bestFit="1" customWidth="1"/>
    <col min="4385" max="4610" width="9.140625" style="761"/>
    <col min="4611" max="4611" width="4" style="761" customWidth="1"/>
    <col min="4612" max="4612" width="34.5703125" style="761" customWidth="1"/>
    <col min="4613" max="4613" width="11.85546875" style="761" bestFit="1" customWidth="1"/>
    <col min="4614" max="4614" width="8.140625" style="761" customWidth="1"/>
    <col min="4615" max="4615" width="13.85546875" style="761" bestFit="1" customWidth="1"/>
    <col min="4616" max="4616" width="8.140625" style="761" customWidth="1"/>
    <col min="4617" max="4617" width="13.85546875" style="761" bestFit="1" customWidth="1"/>
    <col min="4618" max="4618" width="8.7109375" style="761" customWidth="1"/>
    <col min="4619" max="4619" width="13.5703125" style="761" bestFit="1" customWidth="1"/>
    <col min="4620" max="4620" width="9" style="761" customWidth="1"/>
    <col min="4621" max="4621" width="13.5703125" style="761" bestFit="1" customWidth="1"/>
    <col min="4622" max="4622" width="9" style="761" bestFit="1" customWidth="1"/>
    <col min="4623" max="4623" width="13.5703125" style="761" bestFit="1" customWidth="1"/>
    <col min="4624" max="4624" width="9" style="761" bestFit="1" customWidth="1"/>
    <col min="4625" max="4625" width="13.85546875" style="761" bestFit="1" customWidth="1"/>
    <col min="4626" max="4626" width="8.7109375" style="761" bestFit="1" customWidth="1"/>
    <col min="4627" max="4627" width="13.85546875" style="761" bestFit="1" customWidth="1"/>
    <col min="4628" max="4628" width="8.7109375" style="761" bestFit="1" customWidth="1"/>
    <col min="4629" max="4629" width="13.85546875" style="761" bestFit="1" customWidth="1"/>
    <col min="4630" max="4630" width="8.7109375" style="761" bestFit="1" customWidth="1"/>
    <col min="4631" max="4631" width="13.85546875" style="761" bestFit="1" customWidth="1"/>
    <col min="4632" max="4632" width="8.7109375" style="761" bestFit="1" customWidth="1"/>
    <col min="4633" max="4633" width="13.85546875" style="761" bestFit="1" customWidth="1"/>
    <col min="4634" max="4634" width="8.7109375" style="761" bestFit="1" customWidth="1"/>
    <col min="4635" max="4635" width="13.85546875" style="761" bestFit="1" customWidth="1"/>
    <col min="4636" max="4636" width="8.7109375" style="761" bestFit="1" customWidth="1"/>
    <col min="4637" max="4637" width="17.85546875" style="761" bestFit="1" customWidth="1"/>
    <col min="4638" max="4639" width="9.140625" style="761"/>
    <col min="4640" max="4640" width="10" style="761" bestFit="1" customWidth="1"/>
    <col min="4641" max="4866" width="9.140625" style="761"/>
    <col min="4867" max="4867" width="4" style="761" customWidth="1"/>
    <col min="4868" max="4868" width="34.5703125" style="761" customWidth="1"/>
    <col min="4869" max="4869" width="11.85546875" style="761" bestFit="1" customWidth="1"/>
    <col min="4870" max="4870" width="8.140625" style="761" customWidth="1"/>
    <col min="4871" max="4871" width="13.85546875" style="761" bestFit="1" customWidth="1"/>
    <col min="4872" max="4872" width="8.140625" style="761" customWidth="1"/>
    <col min="4873" max="4873" width="13.85546875" style="761" bestFit="1" customWidth="1"/>
    <col min="4874" max="4874" width="8.7109375" style="761" customWidth="1"/>
    <col min="4875" max="4875" width="13.5703125" style="761" bestFit="1" customWidth="1"/>
    <col min="4876" max="4876" width="9" style="761" customWidth="1"/>
    <col min="4877" max="4877" width="13.5703125" style="761" bestFit="1" customWidth="1"/>
    <col min="4878" max="4878" width="9" style="761" bestFit="1" customWidth="1"/>
    <col min="4879" max="4879" width="13.5703125" style="761" bestFit="1" customWidth="1"/>
    <col min="4880" max="4880" width="9" style="761" bestFit="1" customWidth="1"/>
    <col min="4881" max="4881" width="13.85546875" style="761" bestFit="1" customWidth="1"/>
    <col min="4882" max="4882" width="8.7109375" style="761" bestFit="1" customWidth="1"/>
    <col min="4883" max="4883" width="13.85546875" style="761" bestFit="1" customWidth="1"/>
    <col min="4884" max="4884" width="8.7109375" style="761" bestFit="1" customWidth="1"/>
    <col min="4885" max="4885" width="13.85546875" style="761" bestFit="1" customWidth="1"/>
    <col min="4886" max="4886" width="8.7109375" style="761" bestFit="1" customWidth="1"/>
    <col min="4887" max="4887" width="13.85546875" style="761" bestFit="1" customWidth="1"/>
    <col min="4888" max="4888" width="8.7109375" style="761" bestFit="1" customWidth="1"/>
    <col min="4889" max="4889" width="13.85546875" style="761" bestFit="1" customWidth="1"/>
    <col min="4890" max="4890" width="8.7109375" style="761" bestFit="1" customWidth="1"/>
    <col min="4891" max="4891" width="13.85546875" style="761" bestFit="1" customWidth="1"/>
    <col min="4892" max="4892" width="8.7109375" style="761" bestFit="1" customWidth="1"/>
    <col min="4893" max="4893" width="17.85546875" style="761" bestFit="1" customWidth="1"/>
    <col min="4894" max="4895" width="9.140625" style="761"/>
    <col min="4896" max="4896" width="10" style="761" bestFit="1" customWidth="1"/>
    <col min="4897" max="5122" width="9.140625" style="761"/>
    <col min="5123" max="5123" width="4" style="761" customWidth="1"/>
    <col min="5124" max="5124" width="34.5703125" style="761" customWidth="1"/>
    <col min="5125" max="5125" width="11.85546875" style="761" bestFit="1" customWidth="1"/>
    <col min="5126" max="5126" width="8.140625" style="761" customWidth="1"/>
    <col min="5127" max="5127" width="13.85546875" style="761" bestFit="1" customWidth="1"/>
    <col min="5128" max="5128" width="8.140625" style="761" customWidth="1"/>
    <col min="5129" max="5129" width="13.85546875" style="761" bestFit="1" customWidth="1"/>
    <col min="5130" max="5130" width="8.7109375" style="761" customWidth="1"/>
    <col min="5131" max="5131" width="13.5703125" style="761" bestFit="1" customWidth="1"/>
    <col min="5132" max="5132" width="9" style="761" customWidth="1"/>
    <col min="5133" max="5133" width="13.5703125" style="761" bestFit="1" customWidth="1"/>
    <col min="5134" max="5134" width="9" style="761" bestFit="1" customWidth="1"/>
    <col min="5135" max="5135" width="13.5703125" style="761" bestFit="1" customWidth="1"/>
    <col min="5136" max="5136" width="9" style="761" bestFit="1" customWidth="1"/>
    <col min="5137" max="5137" width="13.85546875" style="761" bestFit="1" customWidth="1"/>
    <col min="5138" max="5138" width="8.7109375" style="761" bestFit="1" customWidth="1"/>
    <col min="5139" max="5139" width="13.85546875" style="761" bestFit="1" customWidth="1"/>
    <col min="5140" max="5140" width="8.7109375" style="761" bestFit="1" customWidth="1"/>
    <col min="5141" max="5141" width="13.85546875" style="761" bestFit="1" customWidth="1"/>
    <col min="5142" max="5142" width="8.7109375" style="761" bestFit="1" customWidth="1"/>
    <col min="5143" max="5143" width="13.85546875" style="761" bestFit="1" customWidth="1"/>
    <col min="5144" max="5144" width="8.7109375" style="761" bestFit="1" customWidth="1"/>
    <col min="5145" max="5145" width="13.85546875" style="761" bestFit="1" customWidth="1"/>
    <col min="5146" max="5146" width="8.7109375" style="761" bestFit="1" customWidth="1"/>
    <col min="5147" max="5147" width="13.85546875" style="761" bestFit="1" customWidth="1"/>
    <col min="5148" max="5148" width="8.7109375" style="761" bestFit="1" customWidth="1"/>
    <col min="5149" max="5149" width="17.85546875" style="761" bestFit="1" customWidth="1"/>
    <col min="5150" max="5151" width="9.140625" style="761"/>
    <col min="5152" max="5152" width="10" style="761" bestFit="1" customWidth="1"/>
    <col min="5153" max="5378" width="9.140625" style="761"/>
    <col min="5379" max="5379" width="4" style="761" customWidth="1"/>
    <col min="5380" max="5380" width="34.5703125" style="761" customWidth="1"/>
    <col min="5381" max="5381" width="11.85546875" style="761" bestFit="1" customWidth="1"/>
    <col min="5382" max="5382" width="8.140625" style="761" customWidth="1"/>
    <col min="5383" max="5383" width="13.85546875" style="761" bestFit="1" customWidth="1"/>
    <col min="5384" max="5384" width="8.140625" style="761" customWidth="1"/>
    <col min="5385" max="5385" width="13.85546875" style="761" bestFit="1" customWidth="1"/>
    <col min="5386" max="5386" width="8.7109375" style="761" customWidth="1"/>
    <col min="5387" max="5387" width="13.5703125" style="761" bestFit="1" customWidth="1"/>
    <col min="5388" max="5388" width="9" style="761" customWidth="1"/>
    <col min="5389" max="5389" width="13.5703125" style="761" bestFit="1" customWidth="1"/>
    <col min="5390" max="5390" width="9" style="761" bestFit="1" customWidth="1"/>
    <col min="5391" max="5391" width="13.5703125" style="761" bestFit="1" customWidth="1"/>
    <col min="5392" max="5392" width="9" style="761" bestFit="1" customWidth="1"/>
    <col min="5393" max="5393" width="13.85546875" style="761" bestFit="1" customWidth="1"/>
    <col min="5394" max="5394" width="8.7109375" style="761" bestFit="1" customWidth="1"/>
    <col min="5395" max="5395" width="13.85546875" style="761" bestFit="1" customWidth="1"/>
    <col min="5396" max="5396" width="8.7109375" style="761" bestFit="1" customWidth="1"/>
    <col min="5397" max="5397" width="13.85546875" style="761" bestFit="1" customWidth="1"/>
    <col min="5398" max="5398" width="8.7109375" style="761" bestFit="1" customWidth="1"/>
    <col min="5399" max="5399" width="13.85546875" style="761" bestFit="1" customWidth="1"/>
    <col min="5400" max="5400" width="8.7109375" style="761" bestFit="1" customWidth="1"/>
    <col min="5401" max="5401" width="13.85546875" style="761" bestFit="1" customWidth="1"/>
    <col min="5402" max="5402" width="8.7109375" style="761" bestFit="1" customWidth="1"/>
    <col min="5403" max="5403" width="13.85546875" style="761" bestFit="1" customWidth="1"/>
    <col min="5404" max="5404" width="8.7109375" style="761" bestFit="1" customWidth="1"/>
    <col min="5405" max="5405" width="17.85546875" style="761" bestFit="1" customWidth="1"/>
    <col min="5406" max="5407" width="9.140625" style="761"/>
    <col min="5408" max="5408" width="10" style="761" bestFit="1" customWidth="1"/>
    <col min="5409" max="5634" width="9.140625" style="761"/>
    <col min="5635" max="5635" width="4" style="761" customWidth="1"/>
    <col min="5636" max="5636" width="34.5703125" style="761" customWidth="1"/>
    <col min="5637" max="5637" width="11.85546875" style="761" bestFit="1" customWidth="1"/>
    <col min="5638" max="5638" width="8.140625" style="761" customWidth="1"/>
    <col min="5639" max="5639" width="13.85546875" style="761" bestFit="1" customWidth="1"/>
    <col min="5640" max="5640" width="8.140625" style="761" customWidth="1"/>
    <col min="5641" max="5641" width="13.85546875" style="761" bestFit="1" customWidth="1"/>
    <col min="5642" max="5642" width="8.7109375" style="761" customWidth="1"/>
    <col min="5643" max="5643" width="13.5703125" style="761" bestFit="1" customWidth="1"/>
    <col min="5644" max="5644" width="9" style="761" customWidth="1"/>
    <col min="5645" max="5645" width="13.5703125" style="761" bestFit="1" customWidth="1"/>
    <col min="5646" max="5646" width="9" style="761" bestFit="1" customWidth="1"/>
    <col min="5647" max="5647" width="13.5703125" style="761" bestFit="1" customWidth="1"/>
    <col min="5648" max="5648" width="9" style="761" bestFit="1" customWidth="1"/>
    <col min="5649" max="5649" width="13.85546875" style="761" bestFit="1" customWidth="1"/>
    <col min="5650" max="5650" width="8.7109375" style="761" bestFit="1" customWidth="1"/>
    <col min="5651" max="5651" width="13.85546875" style="761" bestFit="1" customWidth="1"/>
    <col min="5652" max="5652" width="8.7109375" style="761" bestFit="1" customWidth="1"/>
    <col min="5653" max="5653" width="13.85546875" style="761" bestFit="1" customWidth="1"/>
    <col min="5654" max="5654" width="8.7109375" style="761" bestFit="1" customWidth="1"/>
    <col min="5655" max="5655" width="13.85546875" style="761" bestFit="1" customWidth="1"/>
    <col min="5656" max="5656" width="8.7109375" style="761" bestFit="1" customWidth="1"/>
    <col min="5657" max="5657" width="13.85546875" style="761" bestFit="1" customWidth="1"/>
    <col min="5658" max="5658" width="8.7109375" style="761" bestFit="1" customWidth="1"/>
    <col min="5659" max="5659" width="13.85546875" style="761" bestFit="1" customWidth="1"/>
    <col min="5660" max="5660" width="8.7109375" style="761" bestFit="1" customWidth="1"/>
    <col min="5661" max="5661" width="17.85546875" style="761" bestFit="1" customWidth="1"/>
    <col min="5662" max="5663" width="9.140625" style="761"/>
    <col min="5664" max="5664" width="10" style="761" bestFit="1" customWidth="1"/>
    <col min="5665" max="5890" width="9.140625" style="761"/>
    <col min="5891" max="5891" width="4" style="761" customWidth="1"/>
    <col min="5892" max="5892" width="34.5703125" style="761" customWidth="1"/>
    <col min="5893" max="5893" width="11.85546875" style="761" bestFit="1" customWidth="1"/>
    <col min="5894" max="5894" width="8.140625" style="761" customWidth="1"/>
    <col min="5895" max="5895" width="13.85546875" style="761" bestFit="1" customWidth="1"/>
    <col min="5896" max="5896" width="8.140625" style="761" customWidth="1"/>
    <col min="5897" max="5897" width="13.85546875" style="761" bestFit="1" customWidth="1"/>
    <col min="5898" max="5898" width="8.7109375" style="761" customWidth="1"/>
    <col min="5899" max="5899" width="13.5703125" style="761" bestFit="1" customWidth="1"/>
    <col min="5900" max="5900" width="9" style="761" customWidth="1"/>
    <col min="5901" max="5901" width="13.5703125" style="761" bestFit="1" customWidth="1"/>
    <col min="5902" max="5902" width="9" style="761" bestFit="1" customWidth="1"/>
    <col min="5903" max="5903" width="13.5703125" style="761" bestFit="1" customWidth="1"/>
    <col min="5904" max="5904" width="9" style="761" bestFit="1" customWidth="1"/>
    <col min="5905" max="5905" width="13.85546875" style="761" bestFit="1" customWidth="1"/>
    <col min="5906" max="5906" width="8.7109375" style="761" bestFit="1" customWidth="1"/>
    <col min="5907" max="5907" width="13.85546875" style="761" bestFit="1" customWidth="1"/>
    <col min="5908" max="5908" width="8.7109375" style="761" bestFit="1" customWidth="1"/>
    <col min="5909" max="5909" width="13.85546875" style="761" bestFit="1" customWidth="1"/>
    <col min="5910" max="5910" width="8.7109375" style="761" bestFit="1" customWidth="1"/>
    <col min="5911" max="5911" width="13.85546875" style="761" bestFit="1" customWidth="1"/>
    <col min="5912" max="5912" width="8.7109375" style="761" bestFit="1" customWidth="1"/>
    <col min="5913" max="5913" width="13.85546875" style="761" bestFit="1" customWidth="1"/>
    <col min="5914" max="5914" width="8.7109375" style="761" bestFit="1" customWidth="1"/>
    <col min="5915" max="5915" width="13.85546875" style="761" bestFit="1" customWidth="1"/>
    <col min="5916" max="5916" width="8.7109375" style="761" bestFit="1" customWidth="1"/>
    <col min="5917" max="5917" width="17.85546875" style="761" bestFit="1" customWidth="1"/>
    <col min="5918" max="5919" width="9.140625" style="761"/>
    <col min="5920" max="5920" width="10" style="761" bestFit="1" customWidth="1"/>
    <col min="5921" max="6146" width="9.140625" style="761"/>
    <col min="6147" max="6147" width="4" style="761" customWidth="1"/>
    <col min="6148" max="6148" width="34.5703125" style="761" customWidth="1"/>
    <col min="6149" max="6149" width="11.85546875" style="761" bestFit="1" customWidth="1"/>
    <col min="6150" max="6150" width="8.140625" style="761" customWidth="1"/>
    <col min="6151" max="6151" width="13.85546875" style="761" bestFit="1" customWidth="1"/>
    <col min="6152" max="6152" width="8.140625" style="761" customWidth="1"/>
    <col min="6153" max="6153" width="13.85546875" style="761" bestFit="1" customWidth="1"/>
    <col min="6154" max="6154" width="8.7109375" style="761" customWidth="1"/>
    <col min="6155" max="6155" width="13.5703125" style="761" bestFit="1" customWidth="1"/>
    <col min="6156" max="6156" width="9" style="761" customWidth="1"/>
    <col min="6157" max="6157" width="13.5703125" style="761" bestFit="1" customWidth="1"/>
    <col min="6158" max="6158" width="9" style="761" bestFit="1" customWidth="1"/>
    <col min="6159" max="6159" width="13.5703125" style="761" bestFit="1" customWidth="1"/>
    <col min="6160" max="6160" width="9" style="761" bestFit="1" customWidth="1"/>
    <col min="6161" max="6161" width="13.85546875" style="761" bestFit="1" customWidth="1"/>
    <col min="6162" max="6162" width="8.7109375" style="761" bestFit="1" customWidth="1"/>
    <col min="6163" max="6163" width="13.85546875" style="761" bestFit="1" customWidth="1"/>
    <col min="6164" max="6164" width="8.7109375" style="761" bestFit="1" customWidth="1"/>
    <col min="6165" max="6165" width="13.85546875" style="761" bestFit="1" customWidth="1"/>
    <col min="6166" max="6166" width="8.7109375" style="761" bestFit="1" customWidth="1"/>
    <col min="6167" max="6167" width="13.85546875" style="761" bestFit="1" customWidth="1"/>
    <col min="6168" max="6168" width="8.7109375" style="761" bestFit="1" customWidth="1"/>
    <col min="6169" max="6169" width="13.85546875" style="761" bestFit="1" customWidth="1"/>
    <col min="6170" max="6170" width="8.7109375" style="761" bestFit="1" customWidth="1"/>
    <col min="6171" max="6171" width="13.85546875" style="761" bestFit="1" customWidth="1"/>
    <col min="6172" max="6172" width="8.7109375" style="761" bestFit="1" customWidth="1"/>
    <col min="6173" max="6173" width="17.85546875" style="761" bestFit="1" customWidth="1"/>
    <col min="6174" max="6175" width="9.140625" style="761"/>
    <col min="6176" max="6176" width="10" style="761" bestFit="1" customWidth="1"/>
    <col min="6177" max="6402" width="9.140625" style="761"/>
    <col min="6403" max="6403" width="4" style="761" customWidth="1"/>
    <col min="6404" max="6404" width="34.5703125" style="761" customWidth="1"/>
    <col min="6405" max="6405" width="11.85546875" style="761" bestFit="1" customWidth="1"/>
    <col min="6406" max="6406" width="8.140625" style="761" customWidth="1"/>
    <col min="6407" max="6407" width="13.85546875" style="761" bestFit="1" customWidth="1"/>
    <col min="6408" max="6408" width="8.140625" style="761" customWidth="1"/>
    <col min="6409" max="6409" width="13.85546875" style="761" bestFit="1" customWidth="1"/>
    <col min="6410" max="6410" width="8.7109375" style="761" customWidth="1"/>
    <col min="6411" max="6411" width="13.5703125" style="761" bestFit="1" customWidth="1"/>
    <col min="6412" max="6412" width="9" style="761" customWidth="1"/>
    <col min="6413" max="6413" width="13.5703125" style="761" bestFit="1" customWidth="1"/>
    <col min="6414" max="6414" width="9" style="761" bestFit="1" customWidth="1"/>
    <col min="6415" max="6415" width="13.5703125" style="761" bestFit="1" customWidth="1"/>
    <col min="6416" max="6416" width="9" style="761" bestFit="1" customWidth="1"/>
    <col min="6417" max="6417" width="13.85546875" style="761" bestFit="1" customWidth="1"/>
    <col min="6418" max="6418" width="8.7109375" style="761" bestFit="1" customWidth="1"/>
    <col min="6419" max="6419" width="13.85546875" style="761" bestFit="1" customWidth="1"/>
    <col min="6420" max="6420" width="8.7109375" style="761" bestFit="1" customWidth="1"/>
    <col min="6421" max="6421" width="13.85546875" style="761" bestFit="1" customWidth="1"/>
    <col min="6422" max="6422" width="8.7109375" style="761" bestFit="1" customWidth="1"/>
    <col min="6423" max="6423" width="13.85546875" style="761" bestFit="1" customWidth="1"/>
    <col min="6424" max="6424" width="8.7109375" style="761" bestFit="1" customWidth="1"/>
    <col min="6425" max="6425" width="13.85546875" style="761" bestFit="1" customWidth="1"/>
    <col min="6426" max="6426" width="8.7109375" style="761" bestFit="1" customWidth="1"/>
    <col min="6427" max="6427" width="13.85546875" style="761" bestFit="1" customWidth="1"/>
    <col min="6428" max="6428" width="8.7109375" style="761" bestFit="1" customWidth="1"/>
    <col min="6429" max="6429" width="17.85546875" style="761" bestFit="1" customWidth="1"/>
    <col min="6430" max="6431" width="9.140625" style="761"/>
    <col min="6432" max="6432" width="10" style="761" bestFit="1" customWidth="1"/>
    <col min="6433" max="6658" width="9.140625" style="761"/>
    <col min="6659" max="6659" width="4" style="761" customWidth="1"/>
    <col min="6660" max="6660" width="34.5703125" style="761" customWidth="1"/>
    <col min="6661" max="6661" width="11.85546875" style="761" bestFit="1" customWidth="1"/>
    <col min="6662" max="6662" width="8.140625" style="761" customWidth="1"/>
    <col min="6663" max="6663" width="13.85546875" style="761" bestFit="1" customWidth="1"/>
    <col min="6664" max="6664" width="8.140625" style="761" customWidth="1"/>
    <col min="6665" max="6665" width="13.85546875" style="761" bestFit="1" customWidth="1"/>
    <col min="6666" max="6666" width="8.7109375" style="761" customWidth="1"/>
    <col min="6667" max="6667" width="13.5703125" style="761" bestFit="1" customWidth="1"/>
    <col min="6668" max="6668" width="9" style="761" customWidth="1"/>
    <col min="6669" max="6669" width="13.5703125" style="761" bestFit="1" customWidth="1"/>
    <col min="6670" max="6670" width="9" style="761" bestFit="1" customWidth="1"/>
    <col min="6671" max="6671" width="13.5703125" style="761" bestFit="1" customWidth="1"/>
    <col min="6672" max="6672" width="9" style="761" bestFit="1" customWidth="1"/>
    <col min="6673" max="6673" width="13.85546875" style="761" bestFit="1" customWidth="1"/>
    <col min="6674" max="6674" width="8.7109375" style="761" bestFit="1" customWidth="1"/>
    <col min="6675" max="6675" width="13.85546875" style="761" bestFit="1" customWidth="1"/>
    <col min="6676" max="6676" width="8.7109375" style="761" bestFit="1" customWidth="1"/>
    <col min="6677" max="6677" width="13.85546875" style="761" bestFit="1" customWidth="1"/>
    <col min="6678" max="6678" width="8.7109375" style="761" bestFit="1" customWidth="1"/>
    <col min="6679" max="6679" width="13.85546875" style="761" bestFit="1" customWidth="1"/>
    <col min="6680" max="6680" width="8.7109375" style="761" bestFit="1" customWidth="1"/>
    <col min="6681" max="6681" width="13.85546875" style="761" bestFit="1" customWidth="1"/>
    <col min="6682" max="6682" width="8.7109375" style="761" bestFit="1" customWidth="1"/>
    <col min="6683" max="6683" width="13.85546875" style="761" bestFit="1" customWidth="1"/>
    <col min="6684" max="6684" width="8.7109375" style="761" bestFit="1" customWidth="1"/>
    <col min="6685" max="6685" width="17.85546875" style="761" bestFit="1" customWidth="1"/>
    <col min="6686" max="6687" width="9.140625" style="761"/>
    <col min="6688" max="6688" width="10" style="761" bestFit="1" customWidth="1"/>
    <col min="6689" max="6914" width="9.140625" style="761"/>
    <col min="6915" max="6915" width="4" style="761" customWidth="1"/>
    <col min="6916" max="6916" width="34.5703125" style="761" customWidth="1"/>
    <col min="6917" max="6917" width="11.85546875" style="761" bestFit="1" customWidth="1"/>
    <col min="6918" max="6918" width="8.140625" style="761" customWidth="1"/>
    <col min="6919" max="6919" width="13.85546875" style="761" bestFit="1" customWidth="1"/>
    <col min="6920" max="6920" width="8.140625" style="761" customWidth="1"/>
    <col min="6921" max="6921" width="13.85546875" style="761" bestFit="1" customWidth="1"/>
    <col min="6922" max="6922" width="8.7109375" style="761" customWidth="1"/>
    <col min="6923" max="6923" width="13.5703125" style="761" bestFit="1" customWidth="1"/>
    <col min="6924" max="6924" width="9" style="761" customWidth="1"/>
    <col min="6925" max="6925" width="13.5703125" style="761" bestFit="1" customWidth="1"/>
    <col min="6926" max="6926" width="9" style="761" bestFit="1" customWidth="1"/>
    <col min="6927" max="6927" width="13.5703125" style="761" bestFit="1" customWidth="1"/>
    <col min="6928" max="6928" width="9" style="761" bestFit="1" customWidth="1"/>
    <col min="6929" max="6929" width="13.85546875" style="761" bestFit="1" customWidth="1"/>
    <col min="6930" max="6930" width="8.7109375" style="761" bestFit="1" customWidth="1"/>
    <col min="6931" max="6931" width="13.85546875" style="761" bestFit="1" customWidth="1"/>
    <col min="6932" max="6932" width="8.7109375" style="761" bestFit="1" customWidth="1"/>
    <col min="6933" max="6933" width="13.85546875" style="761" bestFit="1" customWidth="1"/>
    <col min="6934" max="6934" width="8.7109375" style="761" bestFit="1" customWidth="1"/>
    <col min="6935" max="6935" width="13.85546875" style="761" bestFit="1" customWidth="1"/>
    <col min="6936" max="6936" width="8.7109375" style="761" bestFit="1" customWidth="1"/>
    <col min="6937" max="6937" width="13.85546875" style="761" bestFit="1" customWidth="1"/>
    <col min="6938" max="6938" width="8.7109375" style="761" bestFit="1" customWidth="1"/>
    <col min="6939" max="6939" width="13.85546875" style="761" bestFit="1" customWidth="1"/>
    <col min="6940" max="6940" width="8.7109375" style="761" bestFit="1" customWidth="1"/>
    <col min="6941" max="6941" width="17.85546875" style="761" bestFit="1" customWidth="1"/>
    <col min="6942" max="6943" width="9.140625" style="761"/>
    <col min="6944" max="6944" width="10" style="761" bestFit="1" customWidth="1"/>
    <col min="6945" max="7170" width="9.140625" style="761"/>
    <col min="7171" max="7171" width="4" style="761" customWidth="1"/>
    <col min="7172" max="7172" width="34.5703125" style="761" customWidth="1"/>
    <col min="7173" max="7173" width="11.85546875" style="761" bestFit="1" customWidth="1"/>
    <col min="7174" max="7174" width="8.140625" style="761" customWidth="1"/>
    <col min="7175" max="7175" width="13.85546875" style="761" bestFit="1" customWidth="1"/>
    <col min="7176" max="7176" width="8.140625" style="761" customWidth="1"/>
    <col min="7177" max="7177" width="13.85546875" style="761" bestFit="1" customWidth="1"/>
    <col min="7178" max="7178" width="8.7109375" style="761" customWidth="1"/>
    <col min="7179" max="7179" width="13.5703125" style="761" bestFit="1" customWidth="1"/>
    <col min="7180" max="7180" width="9" style="761" customWidth="1"/>
    <col min="7181" max="7181" width="13.5703125" style="761" bestFit="1" customWidth="1"/>
    <col min="7182" max="7182" width="9" style="761" bestFit="1" customWidth="1"/>
    <col min="7183" max="7183" width="13.5703125" style="761" bestFit="1" customWidth="1"/>
    <col min="7184" max="7184" width="9" style="761" bestFit="1" customWidth="1"/>
    <col min="7185" max="7185" width="13.85546875" style="761" bestFit="1" customWidth="1"/>
    <col min="7186" max="7186" width="8.7109375" style="761" bestFit="1" customWidth="1"/>
    <col min="7187" max="7187" width="13.85546875" style="761" bestFit="1" customWidth="1"/>
    <col min="7188" max="7188" width="8.7109375" style="761" bestFit="1" customWidth="1"/>
    <col min="7189" max="7189" width="13.85546875" style="761" bestFit="1" customWidth="1"/>
    <col min="7190" max="7190" width="8.7109375" style="761" bestFit="1" customWidth="1"/>
    <col min="7191" max="7191" width="13.85546875" style="761" bestFit="1" customWidth="1"/>
    <col min="7192" max="7192" width="8.7109375" style="761" bestFit="1" customWidth="1"/>
    <col min="7193" max="7193" width="13.85546875" style="761" bestFit="1" customWidth="1"/>
    <col min="7194" max="7194" width="8.7109375" style="761" bestFit="1" customWidth="1"/>
    <col min="7195" max="7195" width="13.85546875" style="761" bestFit="1" customWidth="1"/>
    <col min="7196" max="7196" width="8.7109375" style="761" bestFit="1" customWidth="1"/>
    <col min="7197" max="7197" width="17.85546875" style="761" bestFit="1" customWidth="1"/>
    <col min="7198" max="7199" width="9.140625" style="761"/>
    <col min="7200" max="7200" width="10" style="761" bestFit="1" customWidth="1"/>
    <col min="7201" max="7426" width="9.140625" style="761"/>
    <col min="7427" max="7427" width="4" style="761" customWidth="1"/>
    <col min="7428" max="7428" width="34.5703125" style="761" customWidth="1"/>
    <col min="7429" max="7429" width="11.85546875" style="761" bestFit="1" customWidth="1"/>
    <col min="7430" max="7430" width="8.140625" style="761" customWidth="1"/>
    <col min="7431" max="7431" width="13.85546875" style="761" bestFit="1" customWidth="1"/>
    <col min="7432" max="7432" width="8.140625" style="761" customWidth="1"/>
    <col min="7433" max="7433" width="13.85546875" style="761" bestFit="1" customWidth="1"/>
    <col min="7434" max="7434" width="8.7109375" style="761" customWidth="1"/>
    <col min="7435" max="7435" width="13.5703125" style="761" bestFit="1" customWidth="1"/>
    <col min="7436" max="7436" width="9" style="761" customWidth="1"/>
    <col min="7437" max="7437" width="13.5703125" style="761" bestFit="1" customWidth="1"/>
    <col min="7438" max="7438" width="9" style="761" bestFit="1" customWidth="1"/>
    <col min="7439" max="7439" width="13.5703125" style="761" bestFit="1" customWidth="1"/>
    <col min="7440" max="7440" width="9" style="761" bestFit="1" customWidth="1"/>
    <col min="7441" max="7441" width="13.85546875" style="761" bestFit="1" customWidth="1"/>
    <col min="7442" max="7442" width="8.7109375" style="761" bestFit="1" customWidth="1"/>
    <col min="7443" max="7443" width="13.85546875" style="761" bestFit="1" customWidth="1"/>
    <col min="7444" max="7444" width="8.7109375" style="761" bestFit="1" customWidth="1"/>
    <col min="7445" max="7445" width="13.85546875" style="761" bestFit="1" customWidth="1"/>
    <col min="7446" max="7446" width="8.7109375" style="761" bestFit="1" customWidth="1"/>
    <col min="7447" max="7447" width="13.85546875" style="761" bestFit="1" customWidth="1"/>
    <col min="7448" max="7448" width="8.7109375" style="761" bestFit="1" customWidth="1"/>
    <col min="7449" max="7449" width="13.85546875" style="761" bestFit="1" customWidth="1"/>
    <col min="7450" max="7450" width="8.7109375" style="761" bestFit="1" customWidth="1"/>
    <col min="7451" max="7451" width="13.85546875" style="761" bestFit="1" customWidth="1"/>
    <col min="7452" max="7452" width="8.7109375" style="761" bestFit="1" customWidth="1"/>
    <col min="7453" max="7453" width="17.85546875" style="761" bestFit="1" customWidth="1"/>
    <col min="7454" max="7455" width="9.140625" style="761"/>
    <col min="7456" max="7456" width="10" style="761" bestFit="1" customWidth="1"/>
    <col min="7457" max="7682" width="9.140625" style="761"/>
    <col min="7683" max="7683" width="4" style="761" customWidth="1"/>
    <col min="7684" max="7684" width="34.5703125" style="761" customWidth="1"/>
    <col min="7685" max="7685" width="11.85546875" style="761" bestFit="1" customWidth="1"/>
    <col min="7686" max="7686" width="8.140625" style="761" customWidth="1"/>
    <col min="7687" max="7687" width="13.85546875" style="761" bestFit="1" customWidth="1"/>
    <col min="7688" max="7688" width="8.140625" style="761" customWidth="1"/>
    <col min="7689" max="7689" width="13.85546875" style="761" bestFit="1" customWidth="1"/>
    <col min="7690" max="7690" width="8.7109375" style="761" customWidth="1"/>
    <col min="7691" max="7691" width="13.5703125" style="761" bestFit="1" customWidth="1"/>
    <col min="7692" max="7692" width="9" style="761" customWidth="1"/>
    <col min="7693" max="7693" width="13.5703125" style="761" bestFit="1" customWidth="1"/>
    <col min="7694" max="7694" width="9" style="761" bestFit="1" customWidth="1"/>
    <col min="7695" max="7695" width="13.5703125" style="761" bestFit="1" customWidth="1"/>
    <col min="7696" max="7696" width="9" style="761" bestFit="1" customWidth="1"/>
    <col min="7697" max="7697" width="13.85546875" style="761" bestFit="1" customWidth="1"/>
    <col min="7698" max="7698" width="8.7109375" style="761" bestFit="1" customWidth="1"/>
    <col min="7699" max="7699" width="13.85546875" style="761" bestFit="1" customWidth="1"/>
    <col min="7700" max="7700" width="8.7109375" style="761" bestFit="1" customWidth="1"/>
    <col min="7701" max="7701" width="13.85546875" style="761" bestFit="1" customWidth="1"/>
    <col min="7702" max="7702" width="8.7109375" style="761" bestFit="1" customWidth="1"/>
    <col min="7703" max="7703" width="13.85546875" style="761" bestFit="1" customWidth="1"/>
    <col min="7704" max="7704" width="8.7109375" style="761" bestFit="1" customWidth="1"/>
    <col min="7705" max="7705" width="13.85546875" style="761" bestFit="1" customWidth="1"/>
    <col min="7706" max="7706" width="8.7109375" style="761" bestFit="1" customWidth="1"/>
    <col min="7707" max="7707" width="13.85546875" style="761" bestFit="1" customWidth="1"/>
    <col min="7708" max="7708" width="8.7109375" style="761" bestFit="1" customWidth="1"/>
    <col min="7709" max="7709" width="17.85546875" style="761" bestFit="1" customWidth="1"/>
    <col min="7710" max="7711" width="9.140625" style="761"/>
    <col min="7712" max="7712" width="10" style="761" bestFit="1" customWidth="1"/>
    <col min="7713" max="7938" width="9.140625" style="761"/>
    <col min="7939" max="7939" width="4" style="761" customWidth="1"/>
    <col min="7940" max="7940" width="34.5703125" style="761" customWidth="1"/>
    <col min="7941" max="7941" width="11.85546875" style="761" bestFit="1" customWidth="1"/>
    <col min="7942" max="7942" width="8.140625" style="761" customWidth="1"/>
    <col min="7943" max="7943" width="13.85546875" style="761" bestFit="1" customWidth="1"/>
    <col min="7944" max="7944" width="8.140625" style="761" customWidth="1"/>
    <col min="7945" max="7945" width="13.85546875" style="761" bestFit="1" customWidth="1"/>
    <col min="7946" max="7946" width="8.7109375" style="761" customWidth="1"/>
    <col min="7947" max="7947" width="13.5703125" style="761" bestFit="1" customWidth="1"/>
    <col min="7948" max="7948" width="9" style="761" customWidth="1"/>
    <col min="7949" max="7949" width="13.5703125" style="761" bestFit="1" customWidth="1"/>
    <col min="7950" max="7950" width="9" style="761" bestFit="1" customWidth="1"/>
    <col min="7951" max="7951" width="13.5703125" style="761" bestFit="1" customWidth="1"/>
    <col min="7952" max="7952" width="9" style="761" bestFit="1" customWidth="1"/>
    <col min="7953" max="7953" width="13.85546875" style="761" bestFit="1" customWidth="1"/>
    <col min="7954" max="7954" width="8.7109375" style="761" bestFit="1" customWidth="1"/>
    <col min="7955" max="7955" width="13.85546875" style="761" bestFit="1" customWidth="1"/>
    <col min="7956" max="7956" width="8.7109375" style="761" bestFit="1" customWidth="1"/>
    <col min="7957" max="7957" width="13.85546875" style="761" bestFit="1" customWidth="1"/>
    <col min="7958" max="7958" width="8.7109375" style="761" bestFit="1" customWidth="1"/>
    <col min="7959" max="7959" width="13.85546875" style="761" bestFit="1" customWidth="1"/>
    <col min="7960" max="7960" width="8.7109375" style="761" bestFit="1" customWidth="1"/>
    <col min="7961" max="7961" width="13.85546875" style="761" bestFit="1" customWidth="1"/>
    <col min="7962" max="7962" width="8.7109375" style="761" bestFit="1" customWidth="1"/>
    <col min="7963" max="7963" width="13.85546875" style="761" bestFit="1" customWidth="1"/>
    <col min="7964" max="7964" width="8.7109375" style="761" bestFit="1" customWidth="1"/>
    <col min="7965" max="7965" width="17.85546875" style="761" bestFit="1" customWidth="1"/>
    <col min="7966" max="7967" width="9.140625" style="761"/>
    <col min="7968" max="7968" width="10" style="761" bestFit="1" customWidth="1"/>
    <col min="7969" max="8194" width="9.140625" style="761"/>
    <col min="8195" max="8195" width="4" style="761" customWidth="1"/>
    <col min="8196" max="8196" width="34.5703125" style="761" customWidth="1"/>
    <col min="8197" max="8197" width="11.85546875" style="761" bestFit="1" customWidth="1"/>
    <col min="8198" max="8198" width="8.140625" style="761" customWidth="1"/>
    <col min="8199" max="8199" width="13.85546875" style="761" bestFit="1" customWidth="1"/>
    <col min="8200" max="8200" width="8.140625" style="761" customWidth="1"/>
    <col min="8201" max="8201" width="13.85546875" style="761" bestFit="1" customWidth="1"/>
    <col min="8202" max="8202" width="8.7109375" style="761" customWidth="1"/>
    <col min="8203" max="8203" width="13.5703125" style="761" bestFit="1" customWidth="1"/>
    <col min="8204" max="8204" width="9" style="761" customWidth="1"/>
    <col min="8205" max="8205" width="13.5703125" style="761" bestFit="1" customWidth="1"/>
    <col min="8206" max="8206" width="9" style="761" bestFit="1" customWidth="1"/>
    <col min="8207" max="8207" width="13.5703125" style="761" bestFit="1" customWidth="1"/>
    <col min="8208" max="8208" width="9" style="761" bestFit="1" customWidth="1"/>
    <col min="8209" max="8209" width="13.85546875" style="761" bestFit="1" customWidth="1"/>
    <col min="8210" max="8210" width="8.7109375" style="761" bestFit="1" customWidth="1"/>
    <col min="8211" max="8211" width="13.85546875" style="761" bestFit="1" customWidth="1"/>
    <col min="8212" max="8212" width="8.7109375" style="761" bestFit="1" customWidth="1"/>
    <col min="8213" max="8213" width="13.85546875" style="761" bestFit="1" customWidth="1"/>
    <col min="8214" max="8214" width="8.7109375" style="761" bestFit="1" customWidth="1"/>
    <col min="8215" max="8215" width="13.85546875" style="761" bestFit="1" customWidth="1"/>
    <col min="8216" max="8216" width="8.7109375" style="761" bestFit="1" customWidth="1"/>
    <col min="8217" max="8217" width="13.85546875" style="761" bestFit="1" customWidth="1"/>
    <col min="8218" max="8218" width="8.7109375" style="761" bestFit="1" customWidth="1"/>
    <col min="8219" max="8219" width="13.85546875" style="761" bestFit="1" customWidth="1"/>
    <col min="8220" max="8220" width="8.7109375" style="761" bestFit="1" customWidth="1"/>
    <col min="8221" max="8221" width="17.85546875" style="761" bestFit="1" customWidth="1"/>
    <col min="8222" max="8223" width="9.140625" style="761"/>
    <col min="8224" max="8224" width="10" style="761" bestFit="1" customWidth="1"/>
    <col min="8225" max="8450" width="9.140625" style="761"/>
    <col min="8451" max="8451" width="4" style="761" customWidth="1"/>
    <col min="8452" max="8452" width="34.5703125" style="761" customWidth="1"/>
    <col min="8453" max="8453" width="11.85546875" style="761" bestFit="1" customWidth="1"/>
    <col min="8454" max="8454" width="8.140625" style="761" customWidth="1"/>
    <col min="8455" max="8455" width="13.85546875" style="761" bestFit="1" customWidth="1"/>
    <col min="8456" max="8456" width="8.140625" style="761" customWidth="1"/>
    <col min="8457" max="8457" width="13.85546875" style="761" bestFit="1" customWidth="1"/>
    <col min="8458" max="8458" width="8.7109375" style="761" customWidth="1"/>
    <col min="8459" max="8459" width="13.5703125" style="761" bestFit="1" customWidth="1"/>
    <col min="8460" max="8460" width="9" style="761" customWidth="1"/>
    <col min="8461" max="8461" width="13.5703125" style="761" bestFit="1" customWidth="1"/>
    <col min="8462" max="8462" width="9" style="761" bestFit="1" customWidth="1"/>
    <col min="8463" max="8463" width="13.5703125" style="761" bestFit="1" customWidth="1"/>
    <col min="8464" max="8464" width="9" style="761" bestFit="1" customWidth="1"/>
    <col min="8465" max="8465" width="13.85546875" style="761" bestFit="1" customWidth="1"/>
    <col min="8466" max="8466" width="8.7109375" style="761" bestFit="1" customWidth="1"/>
    <col min="8467" max="8467" width="13.85546875" style="761" bestFit="1" customWidth="1"/>
    <col min="8468" max="8468" width="8.7109375" style="761" bestFit="1" customWidth="1"/>
    <col min="8469" max="8469" width="13.85546875" style="761" bestFit="1" customWidth="1"/>
    <col min="8470" max="8470" width="8.7109375" style="761" bestFit="1" customWidth="1"/>
    <col min="8471" max="8471" width="13.85546875" style="761" bestFit="1" customWidth="1"/>
    <col min="8472" max="8472" width="8.7109375" style="761" bestFit="1" customWidth="1"/>
    <col min="8473" max="8473" width="13.85546875" style="761" bestFit="1" customWidth="1"/>
    <col min="8474" max="8474" width="8.7109375" style="761" bestFit="1" customWidth="1"/>
    <col min="8475" max="8475" width="13.85546875" style="761" bestFit="1" customWidth="1"/>
    <col min="8476" max="8476" width="8.7109375" style="761" bestFit="1" customWidth="1"/>
    <col min="8477" max="8477" width="17.85546875" style="761" bestFit="1" customWidth="1"/>
    <col min="8478" max="8479" width="9.140625" style="761"/>
    <col min="8480" max="8480" width="10" style="761" bestFit="1" customWidth="1"/>
    <col min="8481" max="8706" width="9.140625" style="761"/>
    <col min="8707" max="8707" width="4" style="761" customWidth="1"/>
    <col min="8708" max="8708" width="34.5703125" style="761" customWidth="1"/>
    <col min="8709" max="8709" width="11.85546875" style="761" bestFit="1" customWidth="1"/>
    <col min="8710" max="8710" width="8.140625" style="761" customWidth="1"/>
    <col min="8711" max="8711" width="13.85546875" style="761" bestFit="1" customWidth="1"/>
    <col min="8712" max="8712" width="8.140625" style="761" customWidth="1"/>
    <col min="8713" max="8713" width="13.85546875" style="761" bestFit="1" customWidth="1"/>
    <col min="8714" max="8714" width="8.7109375" style="761" customWidth="1"/>
    <col min="8715" max="8715" width="13.5703125" style="761" bestFit="1" customWidth="1"/>
    <col min="8716" max="8716" width="9" style="761" customWidth="1"/>
    <col min="8717" max="8717" width="13.5703125" style="761" bestFit="1" customWidth="1"/>
    <col min="8718" max="8718" width="9" style="761" bestFit="1" customWidth="1"/>
    <col min="8719" max="8719" width="13.5703125" style="761" bestFit="1" customWidth="1"/>
    <col min="8720" max="8720" width="9" style="761" bestFit="1" customWidth="1"/>
    <col min="8721" max="8721" width="13.85546875" style="761" bestFit="1" customWidth="1"/>
    <col min="8722" max="8722" width="8.7109375" style="761" bestFit="1" customWidth="1"/>
    <col min="8723" max="8723" width="13.85546875" style="761" bestFit="1" customWidth="1"/>
    <col min="8724" max="8724" width="8.7109375" style="761" bestFit="1" customWidth="1"/>
    <col min="8725" max="8725" width="13.85546875" style="761" bestFit="1" customWidth="1"/>
    <col min="8726" max="8726" width="8.7109375" style="761" bestFit="1" customWidth="1"/>
    <col min="8727" max="8727" width="13.85546875" style="761" bestFit="1" customWidth="1"/>
    <col min="8728" max="8728" width="8.7109375" style="761" bestFit="1" customWidth="1"/>
    <col min="8729" max="8729" width="13.85546875" style="761" bestFit="1" customWidth="1"/>
    <col min="8730" max="8730" width="8.7109375" style="761" bestFit="1" customWidth="1"/>
    <col min="8731" max="8731" width="13.85546875" style="761" bestFit="1" customWidth="1"/>
    <col min="8732" max="8732" width="8.7109375" style="761" bestFit="1" customWidth="1"/>
    <col min="8733" max="8733" width="17.85546875" style="761" bestFit="1" customWidth="1"/>
    <col min="8734" max="8735" width="9.140625" style="761"/>
    <col min="8736" max="8736" width="10" style="761" bestFit="1" customWidth="1"/>
    <col min="8737" max="8962" width="9.140625" style="761"/>
    <col min="8963" max="8963" width="4" style="761" customWidth="1"/>
    <col min="8964" max="8964" width="34.5703125" style="761" customWidth="1"/>
    <col min="8965" max="8965" width="11.85546875" style="761" bestFit="1" customWidth="1"/>
    <col min="8966" max="8966" width="8.140625" style="761" customWidth="1"/>
    <col min="8967" max="8967" width="13.85546875" style="761" bestFit="1" customWidth="1"/>
    <col min="8968" max="8968" width="8.140625" style="761" customWidth="1"/>
    <col min="8969" max="8969" width="13.85546875" style="761" bestFit="1" customWidth="1"/>
    <col min="8970" max="8970" width="8.7109375" style="761" customWidth="1"/>
    <col min="8971" max="8971" width="13.5703125" style="761" bestFit="1" customWidth="1"/>
    <col min="8972" max="8972" width="9" style="761" customWidth="1"/>
    <col min="8973" max="8973" width="13.5703125" style="761" bestFit="1" customWidth="1"/>
    <col min="8974" max="8974" width="9" style="761" bestFit="1" customWidth="1"/>
    <col min="8975" max="8975" width="13.5703125" style="761" bestFit="1" customWidth="1"/>
    <col min="8976" max="8976" width="9" style="761" bestFit="1" customWidth="1"/>
    <col min="8977" max="8977" width="13.85546875" style="761" bestFit="1" customWidth="1"/>
    <col min="8978" max="8978" width="8.7109375" style="761" bestFit="1" customWidth="1"/>
    <col min="8979" max="8979" width="13.85546875" style="761" bestFit="1" customWidth="1"/>
    <col min="8980" max="8980" width="8.7109375" style="761" bestFit="1" customWidth="1"/>
    <col min="8981" max="8981" width="13.85546875" style="761" bestFit="1" customWidth="1"/>
    <col min="8982" max="8982" width="8.7109375" style="761" bestFit="1" customWidth="1"/>
    <col min="8983" max="8983" width="13.85546875" style="761" bestFit="1" customWidth="1"/>
    <col min="8984" max="8984" width="8.7109375" style="761" bestFit="1" customWidth="1"/>
    <col min="8985" max="8985" width="13.85546875" style="761" bestFit="1" customWidth="1"/>
    <col min="8986" max="8986" width="8.7109375" style="761" bestFit="1" customWidth="1"/>
    <col min="8987" max="8987" width="13.85546875" style="761" bestFit="1" customWidth="1"/>
    <col min="8988" max="8988" width="8.7109375" style="761" bestFit="1" customWidth="1"/>
    <col min="8989" max="8989" width="17.85546875" style="761" bestFit="1" customWidth="1"/>
    <col min="8990" max="8991" width="9.140625" style="761"/>
    <col min="8992" max="8992" width="10" style="761" bestFit="1" customWidth="1"/>
    <col min="8993" max="9218" width="9.140625" style="761"/>
    <col min="9219" max="9219" width="4" style="761" customWidth="1"/>
    <col min="9220" max="9220" width="34.5703125" style="761" customWidth="1"/>
    <col min="9221" max="9221" width="11.85546875" style="761" bestFit="1" customWidth="1"/>
    <col min="9222" max="9222" width="8.140625" style="761" customWidth="1"/>
    <col min="9223" max="9223" width="13.85546875" style="761" bestFit="1" customWidth="1"/>
    <col min="9224" max="9224" width="8.140625" style="761" customWidth="1"/>
    <col min="9225" max="9225" width="13.85546875" style="761" bestFit="1" customWidth="1"/>
    <col min="9226" max="9226" width="8.7109375" style="761" customWidth="1"/>
    <col min="9227" max="9227" width="13.5703125" style="761" bestFit="1" customWidth="1"/>
    <col min="9228" max="9228" width="9" style="761" customWidth="1"/>
    <col min="9229" max="9229" width="13.5703125" style="761" bestFit="1" customWidth="1"/>
    <col min="9230" max="9230" width="9" style="761" bestFit="1" customWidth="1"/>
    <col min="9231" max="9231" width="13.5703125" style="761" bestFit="1" customWidth="1"/>
    <col min="9232" max="9232" width="9" style="761" bestFit="1" customWidth="1"/>
    <col min="9233" max="9233" width="13.85546875" style="761" bestFit="1" customWidth="1"/>
    <col min="9234" max="9234" width="8.7109375" style="761" bestFit="1" customWidth="1"/>
    <col min="9235" max="9235" width="13.85546875" style="761" bestFit="1" customWidth="1"/>
    <col min="9236" max="9236" width="8.7109375" style="761" bestFit="1" customWidth="1"/>
    <col min="9237" max="9237" width="13.85546875" style="761" bestFit="1" customWidth="1"/>
    <col min="9238" max="9238" width="8.7109375" style="761" bestFit="1" customWidth="1"/>
    <col min="9239" max="9239" width="13.85546875" style="761" bestFit="1" customWidth="1"/>
    <col min="9240" max="9240" width="8.7109375" style="761" bestFit="1" customWidth="1"/>
    <col min="9241" max="9241" width="13.85546875" style="761" bestFit="1" customWidth="1"/>
    <col min="9242" max="9242" width="8.7109375" style="761" bestFit="1" customWidth="1"/>
    <col min="9243" max="9243" width="13.85546875" style="761" bestFit="1" customWidth="1"/>
    <col min="9244" max="9244" width="8.7109375" style="761" bestFit="1" customWidth="1"/>
    <col min="9245" max="9245" width="17.85546875" style="761" bestFit="1" customWidth="1"/>
    <col min="9246" max="9247" width="9.140625" style="761"/>
    <col min="9248" max="9248" width="10" style="761" bestFit="1" customWidth="1"/>
    <col min="9249" max="9474" width="9.140625" style="761"/>
    <col min="9475" max="9475" width="4" style="761" customWidth="1"/>
    <col min="9476" max="9476" width="34.5703125" style="761" customWidth="1"/>
    <col min="9477" max="9477" width="11.85546875" style="761" bestFit="1" customWidth="1"/>
    <col min="9478" max="9478" width="8.140625" style="761" customWidth="1"/>
    <col min="9479" max="9479" width="13.85546875" style="761" bestFit="1" customWidth="1"/>
    <col min="9480" max="9480" width="8.140625" style="761" customWidth="1"/>
    <col min="9481" max="9481" width="13.85546875" style="761" bestFit="1" customWidth="1"/>
    <col min="9482" max="9482" width="8.7109375" style="761" customWidth="1"/>
    <col min="9483" max="9483" width="13.5703125" style="761" bestFit="1" customWidth="1"/>
    <col min="9484" max="9484" width="9" style="761" customWidth="1"/>
    <col min="9485" max="9485" width="13.5703125" style="761" bestFit="1" customWidth="1"/>
    <col min="9486" max="9486" width="9" style="761" bestFit="1" customWidth="1"/>
    <col min="9487" max="9487" width="13.5703125" style="761" bestFit="1" customWidth="1"/>
    <col min="9488" max="9488" width="9" style="761" bestFit="1" customWidth="1"/>
    <col min="9489" max="9489" width="13.85546875" style="761" bestFit="1" customWidth="1"/>
    <col min="9490" max="9490" width="8.7109375" style="761" bestFit="1" customWidth="1"/>
    <col min="9491" max="9491" width="13.85546875" style="761" bestFit="1" customWidth="1"/>
    <col min="9492" max="9492" width="8.7109375" style="761" bestFit="1" customWidth="1"/>
    <col min="9493" max="9493" width="13.85546875" style="761" bestFit="1" customWidth="1"/>
    <col min="9494" max="9494" width="8.7109375" style="761" bestFit="1" customWidth="1"/>
    <col min="9495" max="9495" width="13.85546875" style="761" bestFit="1" customWidth="1"/>
    <col min="9496" max="9496" width="8.7109375" style="761" bestFit="1" customWidth="1"/>
    <col min="9497" max="9497" width="13.85546875" style="761" bestFit="1" customWidth="1"/>
    <col min="9498" max="9498" width="8.7109375" style="761" bestFit="1" customWidth="1"/>
    <col min="9499" max="9499" width="13.85546875" style="761" bestFit="1" customWidth="1"/>
    <col min="9500" max="9500" width="8.7109375" style="761" bestFit="1" customWidth="1"/>
    <col min="9501" max="9501" width="17.85546875" style="761" bestFit="1" customWidth="1"/>
    <col min="9502" max="9503" width="9.140625" style="761"/>
    <col min="9504" max="9504" width="10" style="761" bestFit="1" customWidth="1"/>
    <col min="9505" max="9730" width="9.140625" style="761"/>
    <col min="9731" max="9731" width="4" style="761" customWidth="1"/>
    <col min="9732" max="9732" width="34.5703125" style="761" customWidth="1"/>
    <col min="9733" max="9733" width="11.85546875" style="761" bestFit="1" customWidth="1"/>
    <col min="9734" max="9734" width="8.140625" style="761" customWidth="1"/>
    <col min="9735" max="9735" width="13.85546875" style="761" bestFit="1" customWidth="1"/>
    <col min="9736" max="9736" width="8.140625" style="761" customWidth="1"/>
    <col min="9737" max="9737" width="13.85546875" style="761" bestFit="1" customWidth="1"/>
    <col min="9738" max="9738" width="8.7109375" style="761" customWidth="1"/>
    <col min="9739" max="9739" width="13.5703125" style="761" bestFit="1" customWidth="1"/>
    <col min="9740" max="9740" width="9" style="761" customWidth="1"/>
    <col min="9741" max="9741" width="13.5703125" style="761" bestFit="1" customWidth="1"/>
    <col min="9742" max="9742" width="9" style="761" bestFit="1" customWidth="1"/>
    <col min="9743" max="9743" width="13.5703125" style="761" bestFit="1" customWidth="1"/>
    <col min="9744" max="9744" width="9" style="761" bestFit="1" customWidth="1"/>
    <col min="9745" max="9745" width="13.85546875" style="761" bestFit="1" customWidth="1"/>
    <col min="9746" max="9746" width="8.7109375" style="761" bestFit="1" customWidth="1"/>
    <col min="9747" max="9747" width="13.85546875" style="761" bestFit="1" customWidth="1"/>
    <col min="9748" max="9748" width="8.7109375" style="761" bestFit="1" customWidth="1"/>
    <col min="9749" max="9749" width="13.85546875" style="761" bestFit="1" customWidth="1"/>
    <col min="9750" max="9750" width="8.7109375" style="761" bestFit="1" customWidth="1"/>
    <col min="9751" max="9751" width="13.85546875" style="761" bestFit="1" customWidth="1"/>
    <col min="9752" max="9752" width="8.7109375" style="761" bestFit="1" customWidth="1"/>
    <col min="9753" max="9753" width="13.85546875" style="761" bestFit="1" customWidth="1"/>
    <col min="9754" max="9754" width="8.7109375" style="761" bestFit="1" customWidth="1"/>
    <col min="9755" max="9755" width="13.85546875" style="761" bestFit="1" customWidth="1"/>
    <col min="9756" max="9756" width="8.7109375" style="761" bestFit="1" customWidth="1"/>
    <col min="9757" max="9757" width="17.85546875" style="761" bestFit="1" customWidth="1"/>
    <col min="9758" max="9759" width="9.140625" style="761"/>
    <col min="9760" max="9760" width="10" style="761" bestFit="1" customWidth="1"/>
    <col min="9761" max="9986" width="9.140625" style="761"/>
    <col min="9987" max="9987" width="4" style="761" customWidth="1"/>
    <col min="9988" max="9988" width="34.5703125" style="761" customWidth="1"/>
    <col min="9989" max="9989" width="11.85546875" style="761" bestFit="1" customWidth="1"/>
    <col min="9990" max="9990" width="8.140625" style="761" customWidth="1"/>
    <col min="9991" max="9991" width="13.85546875" style="761" bestFit="1" customWidth="1"/>
    <col min="9992" max="9992" width="8.140625" style="761" customWidth="1"/>
    <col min="9993" max="9993" width="13.85546875" style="761" bestFit="1" customWidth="1"/>
    <col min="9994" max="9994" width="8.7109375" style="761" customWidth="1"/>
    <col min="9995" max="9995" width="13.5703125" style="761" bestFit="1" customWidth="1"/>
    <col min="9996" max="9996" width="9" style="761" customWidth="1"/>
    <col min="9997" max="9997" width="13.5703125" style="761" bestFit="1" customWidth="1"/>
    <col min="9998" max="9998" width="9" style="761" bestFit="1" customWidth="1"/>
    <col min="9999" max="9999" width="13.5703125" style="761" bestFit="1" customWidth="1"/>
    <col min="10000" max="10000" width="9" style="761" bestFit="1" customWidth="1"/>
    <col min="10001" max="10001" width="13.85546875" style="761" bestFit="1" customWidth="1"/>
    <col min="10002" max="10002" width="8.7109375" style="761" bestFit="1" customWidth="1"/>
    <col min="10003" max="10003" width="13.85546875" style="761" bestFit="1" customWidth="1"/>
    <col min="10004" max="10004" width="8.7109375" style="761" bestFit="1" customWidth="1"/>
    <col min="10005" max="10005" width="13.85546875" style="761" bestFit="1" customWidth="1"/>
    <col min="10006" max="10006" width="8.7109375" style="761" bestFit="1" customWidth="1"/>
    <col min="10007" max="10007" width="13.85546875" style="761" bestFit="1" customWidth="1"/>
    <col min="10008" max="10008" width="8.7109375" style="761" bestFit="1" customWidth="1"/>
    <col min="10009" max="10009" width="13.85546875" style="761" bestFit="1" customWidth="1"/>
    <col min="10010" max="10010" width="8.7109375" style="761" bestFit="1" customWidth="1"/>
    <col min="10011" max="10011" width="13.85546875" style="761" bestFit="1" customWidth="1"/>
    <col min="10012" max="10012" width="8.7109375" style="761" bestFit="1" customWidth="1"/>
    <col min="10013" max="10013" width="17.85546875" style="761" bestFit="1" customWidth="1"/>
    <col min="10014" max="10015" width="9.140625" style="761"/>
    <col min="10016" max="10016" width="10" style="761" bestFit="1" customWidth="1"/>
    <col min="10017" max="10242" width="9.140625" style="761"/>
    <col min="10243" max="10243" width="4" style="761" customWidth="1"/>
    <col min="10244" max="10244" width="34.5703125" style="761" customWidth="1"/>
    <col min="10245" max="10245" width="11.85546875" style="761" bestFit="1" customWidth="1"/>
    <col min="10246" max="10246" width="8.140625" style="761" customWidth="1"/>
    <col min="10247" max="10247" width="13.85546875" style="761" bestFit="1" customWidth="1"/>
    <col min="10248" max="10248" width="8.140625" style="761" customWidth="1"/>
    <col min="10249" max="10249" width="13.85546875" style="761" bestFit="1" customWidth="1"/>
    <col min="10250" max="10250" width="8.7109375" style="761" customWidth="1"/>
    <col min="10251" max="10251" width="13.5703125" style="761" bestFit="1" customWidth="1"/>
    <col min="10252" max="10252" width="9" style="761" customWidth="1"/>
    <col min="10253" max="10253" width="13.5703125" style="761" bestFit="1" customWidth="1"/>
    <col min="10254" max="10254" width="9" style="761" bestFit="1" customWidth="1"/>
    <col min="10255" max="10255" width="13.5703125" style="761" bestFit="1" customWidth="1"/>
    <col min="10256" max="10256" width="9" style="761" bestFit="1" customWidth="1"/>
    <col min="10257" max="10257" width="13.85546875" style="761" bestFit="1" customWidth="1"/>
    <col min="10258" max="10258" width="8.7109375" style="761" bestFit="1" customWidth="1"/>
    <col min="10259" max="10259" width="13.85546875" style="761" bestFit="1" customWidth="1"/>
    <col min="10260" max="10260" width="8.7109375" style="761" bestFit="1" customWidth="1"/>
    <col min="10261" max="10261" width="13.85546875" style="761" bestFit="1" customWidth="1"/>
    <col min="10262" max="10262" width="8.7109375" style="761" bestFit="1" customWidth="1"/>
    <col min="10263" max="10263" width="13.85546875" style="761" bestFit="1" customWidth="1"/>
    <col min="10264" max="10264" width="8.7109375" style="761" bestFit="1" customWidth="1"/>
    <col min="10265" max="10265" width="13.85546875" style="761" bestFit="1" customWidth="1"/>
    <col min="10266" max="10266" width="8.7109375" style="761" bestFit="1" customWidth="1"/>
    <col min="10267" max="10267" width="13.85546875" style="761" bestFit="1" customWidth="1"/>
    <col min="10268" max="10268" width="8.7109375" style="761" bestFit="1" customWidth="1"/>
    <col min="10269" max="10269" width="17.85546875" style="761" bestFit="1" customWidth="1"/>
    <col min="10270" max="10271" width="9.140625" style="761"/>
    <col min="10272" max="10272" width="10" style="761" bestFit="1" customWidth="1"/>
    <col min="10273" max="10498" width="9.140625" style="761"/>
    <col min="10499" max="10499" width="4" style="761" customWidth="1"/>
    <col min="10500" max="10500" width="34.5703125" style="761" customWidth="1"/>
    <col min="10501" max="10501" width="11.85546875" style="761" bestFit="1" customWidth="1"/>
    <col min="10502" max="10502" width="8.140625" style="761" customWidth="1"/>
    <col min="10503" max="10503" width="13.85546875" style="761" bestFit="1" customWidth="1"/>
    <col min="10504" max="10504" width="8.140625" style="761" customWidth="1"/>
    <col min="10505" max="10505" width="13.85546875" style="761" bestFit="1" customWidth="1"/>
    <col min="10506" max="10506" width="8.7109375" style="761" customWidth="1"/>
    <col min="10507" max="10507" width="13.5703125" style="761" bestFit="1" customWidth="1"/>
    <col min="10508" max="10508" width="9" style="761" customWidth="1"/>
    <col min="10509" max="10509" width="13.5703125" style="761" bestFit="1" customWidth="1"/>
    <col min="10510" max="10510" width="9" style="761" bestFit="1" customWidth="1"/>
    <col min="10511" max="10511" width="13.5703125" style="761" bestFit="1" customWidth="1"/>
    <col min="10512" max="10512" width="9" style="761" bestFit="1" customWidth="1"/>
    <col min="10513" max="10513" width="13.85546875" style="761" bestFit="1" customWidth="1"/>
    <col min="10514" max="10514" width="8.7109375" style="761" bestFit="1" customWidth="1"/>
    <col min="10515" max="10515" width="13.85546875" style="761" bestFit="1" customWidth="1"/>
    <col min="10516" max="10516" width="8.7109375" style="761" bestFit="1" customWidth="1"/>
    <col min="10517" max="10517" width="13.85546875" style="761" bestFit="1" customWidth="1"/>
    <col min="10518" max="10518" width="8.7109375" style="761" bestFit="1" customWidth="1"/>
    <col min="10519" max="10519" width="13.85546875" style="761" bestFit="1" customWidth="1"/>
    <col min="10520" max="10520" width="8.7109375" style="761" bestFit="1" customWidth="1"/>
    <col min="10521" max="10521" width="13.85546875" style="761" bestFit="1" customWidth="1"/>
    <col min="10522" max="10522" width="8.7109375" style="761" bestFit="1" customWidth="1"/>
    <col min="10523" max="10523" width="13.85546875" style="761" bestFit="1" customWidth="1"/>
    <col min="10524" max="10524" width="8.7109375" style="761" bestFit="1" customWidth="1"/>
    <col min="10525" max="10525" width="17.85546875" style="761" bestFit="1" customWidth="1"/>
    <col min="10526" max="10527" width="9.140625" style="761"/>
    <col min="10528" max="10528" width="10" style="761" bestFit="1" customWidth="1"/>
    <col min="10529" max="10754" width="9.140625" style="761"/>
    <col min="10755" max="10755" width="4" style="761" customWidth="1"/>
    <col min="10756" max="10756" width="34.5703125" style="761" customWidth="1"/>
    <col min="10757" max="10757" width="11.85546875" style="761" bestFit="1" customWidth="1"/>
    <col min="10758" max="10758" width="8.140625" style="761" customWidth="1"/>
    <col min="10759" max="10759" width="13.85546875" style="761" bestFit="1" customWidth="1"/>
    <col min="10760" max="10760" width="8.140625" style="761" customWidth="1"/>
    <col min="10761" max="10761" width="13.85546875" style="761" bestFit="1" customWidth="1"/>
    <col min="10762" max="10762" width="8.7109375" style="761" customWidth="1"/>
    <col min="10763" max="10763" width="13.5703125" style="761" bestFit="1" customWidth="1"/>
    <col min="10764" max="10764" width="9" style="761" customWidth="1"/>
    <col min="10765" max="10765" width="13.5703125" style="761" bestFit="1" customWidth="1"/>
    <col min="10766" max="10766" width="9" style="761" bestFit="1" customWidth="1"/>
    <col min="10767" max="10767" width="13.5703125" style="761" bestFit="1" customWidth="1"/>
    <col min="10768" max="10768" width="9" style="761" bestFit="1" customWidth="1"/>
    <col min="10769" max="10769" width="13.85546875" style="761" bestFit="1" customWidth="1"/>
    <col min="10770" max="10770" width="8.7109375" style="761" bestFit="1" customWidth="1"/>
    <col min="10771" max="10771" width="13.85546875" style="761" bestFit="1" customWidth="1"/>
    <col min="10772" max="10772" width="8.7109375" style="761" bestFit="1" customWidth="1"/>
    <col min="10773" max="10773" width="13.85546875" style="761" bestFit="1" customWidth="1"/>
    <col min="10774" max="10774" width="8.7109375" style="761" bestFit="1" customWidth="1"/>
    <col min="10775" max="10775" width="13.85546875" style="761" bestFit="1" customWidth="1"/>
    <col min="10776" max="10776" width="8.7109375" style="761" bestFit="1" customWidth="1"/>
    <col min="10777" max="10777" width="13.85546875" style="761" bestFit="1" customWidth="1"/>
    <col min="10778" max="10778" width="8.7109375" style="761" bestFit="1" customWidth="1"/>
    <col min="10779" max="10779" width="13.85546875" style="761" bestFit="1" customWidth="1"/>
    <col min="10780" max="10780" width="8.7109375" style="761" bestFit="1" customWidth="1"/>
    <col min="10781" max="10781" width="17.85546875" style="761" bestFit="1" customWidth="1"/>
    <col min="10782" max="10783" width="9.140625" style="761"/>
    <col min="10784" max="10784" width="10" style="761" bestFit="1" customWidth="1"/>
    <col min="10785" max="11010" width="9.140625" style="761"/>
    <col min="11011" max="11011" width="4" style="761" customWidth="1"/>
    <col min="11012" max="11012" width="34.5703125" style="761" customWidth="1"/>
    <col min="11013" max="11013" width="11.85546875" style="761" bestFit="1" customWidth="1"/>
    <col min="11014" max="11014" width="8.140625" style="761" customWidth="1"/>
    <col min="11015" max="11015" width="13.85546875" style="761" bestFit="1" customWidth="1"/>
    <col min="11016" max="11016" width="8.140625" style="761" customWidth="1"/>
    <col min="11017" max="11017" width="13.85546875" style="761" bestFit="1" customWidth="1"/>
    <col min="11018" max="11018" width="8.7109375" style="761" customWidth="1"/>
    <col min="11019" max="11019" width="13.5703125" style="761" bestFit="1" customWidth="1"/>
    <col min="11020" max="11020" width="9" style="761" customWidth="1"/>
    <col min="11021" max="11021" width="13.5703125" style="761" bestFit="1" customWidth="1"/>
    <col min="11022" max="11022" width="9" style="761" bestFit="1" customWidth="1"/>
    <col min="11023" max="11023" width="13.5703125" style="761" bestFit="1" customWidth="1"/>
    <col min="11024" max="11024" width="9" style="761" bestFit="1" customWidth="1"/>
    <col min="11025" max="11025" width="13.85546875" style="761" bestFit="1" customWidth="1"/>
    <col min="11026" max="11026" width="8.7109375" style="761" bestFit="1" customWidth="1"/>
    <col min="11027" max="11027" width="13.85546875" style="761" bestFit="1" customWidth="1"/>
    <col min="11028" max="11028" width="8.7109375" style="761" bestFit="1" customWidth="1"/>
    <col min="11029" max="11029" width="13.85546875" style="761" bestFit="1" customWidth="1"/>
    <col min="11030" max="11030" width="8.7109375" style="761" bestFit="1" customWidth="1"/>
    <col min="11031" max="11031" width="13.85546875" style="761" bestFit="1" customWidth="1"/>
    <col min="11032" max="11032" width="8.7109375" style="761" bestFit="1" customWidth="1"/>
    <col min="11033" max="11033" width="13.85546875" style="761" bestFit="1" customWidth="1"/>
    <col min="11034" max="11034" width="8.7109375" style="761" bestFit="1" customWidth="1"/>
    <col min="11035" max="11035" width="13.85546875" style="761" bestFit="1" customWidth="1"/>
    <col min="11036" max="11036" width="8.7109375" style="761" bestFit="1" customWidth="1"/>
    <col min="11037" max="11037" width="17.85546875" style="761" bestFit="1" customWidth="1"/>
    <col min="11038" max="11039" width="9.140625" style="761"/>
    <col min="11040" max="11040" width="10" style="761" bestFit="1" customWidth="1"/>
    <col min="11041" max="11266" width="9.140625" style="761"/>
    <col min="11267" max="11267" width="4" style="761" customWidth="1"/>
    <col min="11268" max="11268" width="34.5703125" style="761" customWidth="1"/>
    <col min="11269" max="11269" width="11.85546875" style="761" bestFit="1" customWidth="1"/>
    <col min="11270" max="11270" width="8.140625" style="761" customWidth="1"/>
    <col min="11271" max="11271" width="13.85546875" style="761" bestFit="1" customWidth="1"/>
    <col min="11272" max="11272" width="8.140625" style="761" customWidth="1"/>
    <col min="11273" max="11273" width="13.85546875" style="761" bestFit="1" customWidth="1"/>
    <col min="11274" max="11274" width="8.7109375" style="761" customWidth="1"/>
    <col min="11275" max="11275" width="13.5703125" style="761" bestFit="1" customWidth="1"/>
    <col min="11276" max="11276" width="9" style="761" customWidth="1"/>
    <col min="11277" max="11277" width="13.5703125" style="761" bestFit="1" customWidth="1"/>
    <col min="11278" max="11278" width="9" style="761" bestFit="1" customWidth="1"/>
    <col min="11279" max="11279" width="13.5703125" style="761" bestFit="1" customWidth="1"/>
    <col min="11280" max="11280" width="9" style="761" bestFit="1" customWidth="1"/>
    <col min="11281" max="11281" width="13.85546875" style="761" bestFit="1" customWidth="1"/>
    <col min="11282" max="11282" width="8.7109375" style="761" bestFit="1" customWidth="1"/>
    <col min="11283" max="11283" width="13.85546875" style="761" bestFit="1" customWidth="1"/>
    <col min="11284" max="11284" width="8.7109375" style="761" bestFit="1" customWidth="1"/>
    <col min="11285" max="11285" width="13.85546875" style="761" bestFit="1" customWidth="1"/>
    <col min="11286" max="11286" width="8.7109375" style="761" bestFit="1" customWidth="1"/>
    <col min="11287" max="11287" width="13.85546875" style="761" bestFit="1" customWidth="1"/>
    <col min="11288" max="11288" width="8.7109375" style="761" bestFit="1" customWidth="1"/>
    <col min="11289" max="11289" width="13.85546875" style="761" bestFit="1" customWidth="1"/>
    <col min="11290" max="11290" width="8.7109375" style="761" bestFit="1" customWidth="1"/>
    <col min="11291" max="11291" width="13.85546875" style="761" bestFit="1" customWidth="1"/>
    <col min="11292" max="11292" width="8.7109375" style="761" bestFit="1" customWidth="1"/>
    <col min="11293" max="11293" width="17.85546875" style="761" bestFit="1" customWidth="1"/>
    <col min="11294" max="11295" width="9.140625" style="761"/>
    <col min="11296" max="11296" width="10" style="761" bestFit="1" customWidth="1"/>
    <col min="11297" max="11522" width="9.140625" style="761"/>
    <col min="11523" max="11523" width="4" style="761" customWidth="1"/>
    <col min="11524" max="11524" width="34.5703125" style="761" customWidth="1"/>
    <col min="11525" max="11525" width="11.85546875" style="761" bestFit="1" customWidth="1"/>
    <col min="11526" max="11526" width="8.140625" style="761" customWidth="1"/>
    <col min="11527" max="11527" width="13.85546875" style="761" bestFit="1" customWidth="1"/>
    <col min="11528" max="11528" width="8.140625" style="761" customWidth="1"/>
    <col min="11529" max="11529" width="13.85546875" style="761" bestFit="1" customWidth="1"/>
    <col min="11530" max="11530" width="8.7109375" style="761" customWidth="1"/>
    <col min="11531" max="11531" width="13.5703125" style="761" bestFit="1" customWidth="1"/>
    <col min="11532" max="11532" width="9" style="761" customWidth="1"/>
    <col min="11533" max="11533" width="13.5703125" style="761" bestFit="1" customWidth="1"/>
    <col min="11534" max="11534" width="9" style="761" bestFit="1" customWidth="1"/>
    <col min="11535" max="11535" width="13.5703125" style="761" bestFit="1" customWidth="1"/>
    <col min="11536" max="11536" width="9" style="761" bestFit="1" customWidth="1"/>
    <col min="11537" max="11537" width="13.85546875" style="761" bestFit="1" customWidth="1"/>
    <col min="11538" max="11538" width="8.7109375" style="761" bestFit="1" customWidth="1"/>
    <col min="11539" max="11539" width="13.85546875" style="761" bestFit="1" customWidth="1"/>
    <col min="11540" max="11540" width="8.7109375" style="761" bestFit="1" customWidth="1"/>
    <col min="11541" max="11541" width="13.85546875" style="761" bestFit="1" customWidth="1"/>
    <col min="11542" max="11542" width="8.7109375" style="761" bestFit="1" customWidth="1"/>
    <col min="11543" max="11543" width="13.85546875" style="761" bestFit="1" customWidth="1"/>
    <col min="11544" max="11544" width="8.7109375" style="761" bestFit="1" customWidth="1"/>
    <col min="11545" max="11545" width="13.85546875" style="761" bestFit="1" customWidth="1"/>
    <col min="11546" max="11546" width="8.7109375" style="761" bestFit="1" customWidth="1"/>
    <col min="11547" max="11547" width="13.85546875" style="761" bestFit="1" customWidth="1"/>
    <col min="11548" max="11548" width="8.7109375" style="761" bestFit="1" customWidth="1"/>
    <col min="11549" max="11549" width="17.85546875" style="761" bestFit="1" customWidth="1"/>
    <col min="11550" max="11551" width="9.140625" style="761"/>
    <col min="11552" max="11552" width="10" style="761" bestFit="1" customWidth="1"/>
    <col min="11553" max="11778" width="9.140625" style="761"/>
    <col min="11779" max="11779" width="4" style="761" customWidth="1"/>
    <col min="11780" max="11780" width="34.5703125" style="761" customWidth="1"/>
    <col min="11781" max="11781" width="11.85546875" style="761" bestFit="1" customWidth="1"/>
    <col min="11782" max="11782" width="8.140625" style="761" customWidth="1"/>
    <col min="11783" max="11783" width="13.85546875" style="761" bestFit="1" customWidth="1"/>
    <col min="11784" max="11784" width="8.140625" style="761" customWidth="1"/>
    <col min="11785" max="11785" width="13.85546875" style="761" bestFit="1" customWidth="1"/>
    <col min="11786" max="11786" width="8.7109375" style="761" customWidth="1"/>
    <col min="11787" max="11787" width="13.5703125" style="761" bestFit="1" customWidth="1"/>
    <col min="11788" max="11788" width="9" style="761" customWidth="1"/>
    <col min="11789" max="11789" width="13.5703125" style="761" bestFit="1" customWidth="1"/>
    <col min="11790" max="11790" width="9" style="761" bestFit="1" customWidth="1"/>
    <col min="11791" max="11791" width="13.5703125" style="761" bestFit="1" customWidth="1"/>
    <col min="11792" max="11792" width="9" style="761" bestFit="1" customWidth="1"/>
    <col min="11793" max="11793" width="13.85546875" style="761" bestFit="1" customWidth="1"/>
    <col min="11794" max="11794" width="8.7109375" style="761" bestFit="1" customWidth="1"/>
    <col min="11795" max="11795" width="13.85546875" style="761" bestFit="1" customWidth="1"/>
    <col min="11796" max="11796" width="8.7109375" style="761" bestFit="1" customWidth="1"/>
    <col min="11797" max="11797" width="13.85546875" style="761" bestFit="1" customWidth="1"/>
    <col min="11798" max="11798" width="8.7109375" style="761" bestFit="1" customWidth="1"/>
    <col min="11799" max="11799" width="13.85546875" style="761" bestFit="1" customWidth="1"/>
    <col min="11800" max="11800" width="8.7109375" style="761" bestFit="1" customWidth="1"/>
    <col min="11801" max="11801" width="13.85546875" style="761" bestFit="1" customWidth="1"/>
    <col min="11802" max="11802" width="8.7109375" style="761" bestFit="1" customWidth="1"/>
    <col min="11803" max="11803" width="13.85546875" style="761" bestFit="1" customWidth="1"/>
    <col min="11804" max="11804" width="8.7109375" style="761" bestFit="1" customWidth="1"/>
    <col min="11805" max="11805" width="17.85546875" style="761" bestFit="1" customWidth="1"/>
    <col min="11806" max="11807" width="9.140625" style="761"/>
    <col min="11808" max="11808" width="10" style="761" bestFit="1" customWidth="1"/>
    <col min="11809" max="12034" width="9.140625" style="761"/>
    <col min="12035" max="12035" width="4" style="761" customWidth="1"/>
    <col min="12036" max="12036" width="34.5703125" style="761" customWidth="1"/>
    <col min="12037" max="12037" width="11.85546875" style="761" bestFit="1" customWidth="1"/>
    <col min="12038" max="12038" width="8.140625" style="761" customWidth="1"/>
    <col min="12039" max="12039" width="13.85546875" style="761" bestFit="1" customWidth="1"/>
    <col min="12040" max="12040" width="8.140625" style="761" customWidth="1"/>
    <col min="12041" max="12041" width="13.85546875" style="761" bestFit="1" customWidth="1"/>
    <col min="12042" max="12042" width="8.7109375" style="761" customWidth="1"/>
    <col min="12043" max="12043" width="13.5703125" style="761" bestFit="1" customWidth="1"/>
    <col min="12044" max="12044" width="9" style="761" customWidth="1"/>
    <col min="12045" max="12045" width="13.5703125" style="761" bestFit="1" customWidth="1"/>
    <col min="12046" max="12046" width="9" style="761" bestFit="1" customWidth="1"/>
    <col min="12047" max="12047" width="13.5703125" style="761" bestFit="1" customWidth="1"/>
    <col min="12048" max="12048" width="9" style="761" bestFit="1" customWidth="1"/>
    <col min="12049" max="12049" width="13.85546875" style="761" bestFit="1" customWidth="1"/>
    <col min="12050" max="12050" width="8.7109375" style="761" bestFit="1" customWidth="1"/>
    <col min="12051" max="12051" width="13.85546875" style="761" bestFit="1" customWidth="1"/>
    <col min="12052" max="12052" width="8.7109375" style="761" bestFit="1" customWidth="1"/>
    <col min="12053" max="12053" width="13.85546875" style="761" bestFit="1" customWidth="1"/>
    <col min="12054" max="12054" width="8.7109375" style="761" bestFit="1" customWidth="1"/>
    <col min="12055" max="12055" width="13.85546875" style="761" bestFit="1" customWidth="1"/>
    <col min="12056" max="12056" width="8.7109375" style="761" bestFit="1" customWidth="1"/>
    <col min="12057" max="12057" width="13.85546875" style="761" bestFit="1" customWidth="1"/>
    <col min="12058" max="12058" width="8.7109375" style="761" bestFit="1" customWidth="1"/>
    <col min="12059" max="12059" width="13.85546875" style="761" bestFit="1" customWidth="1"/>
    <col min="12060" max="12060" width="8.7109375" style="761" bestFit="1" customWidth="1"/>
    <col min="12061" max="12061" width="17.85546875" style="761" bestFit="1" customWidth="1"/>
    <col min="12062" max="12063" width="9.140625" style="761"/>
    <col min="12064" max="12064" width="10" style="761" bestFit="1" customWidth="1"/>
    <col min="12065" max="12290" width="9.140625" style="761"/>
    <col min="12291" max="12291" width="4" style="761" customWidth="1"/>
    <col min="12292" max="12292" width="34.5703125" style="761" customWidth="1"/>
    <col min="12293" max="12293" width="11.85546875" style="761" bestFit="1" customWidth="1"/>
    <col min="12294" max="12294" width="8.140625" style="761" customWidth="1"/>
    <col min="12295" max="12295" width="13.85546875" style="761" bestFit="1" customWidth="1"/>
    <col min="12296" max="12296" width="8.140625" style="761" customWidth="1"/>
    <col min="12297" max="12297" width="13.85546875" style="761" bestFit="1" customWidth="1"/>
    <col min="12298" max="12298" width="8.7109375" style="761" customWidth="1"/>
    <col min="12299" max="12299" width="13.5703125" style="761" bestFit="1" customWidth="1"/>
    <col min="12300" max="12300" width="9" style="761" customWidth="1"/>
    <col min="12301" max="12301" width="13.5703125" style="761" bestFit="1" customWidth="1"/>
    <col min="12302" max="12302" width="9" style="761" bestFit="1" customWidth="1"/>
    <col min="12303" max="12303" width="13.5703125" style="761" bestFit="1" customWidth="1"/>
    <col min="12304" max="12304" width="9" style="761" bestFit="1" customWidth="1"/>
    <col min="12305" max="12305" width="13.85546875" style="761" bestFit="1" customWidth="1"/>
    <col min="12306" max="12306" width="8.7109375" style="761" bestFit="1" customWidth="1"/>
    <col min="12307" max="12307" width="13.85546875" style="761" bestFit="1" customWidth="1"/>
    <col min="12308" max="12308" width="8.7109375" style="761" bestFit="1" customWidth="1"/>
    <col min="12309" max="12309" width="13.85546875" style="761" bestFit="1" customWidth="1"/>
    <col min="12310" max="12310" width="8.7109375" style="761" bestFit="1" customWidth="1"/>
    <col min="12311" max="12311" width="13.85546875" style="761" bestFit="1" customWidth="1"/>
    <col min="12312" max="12312" width="8.7109375" style="761" bestFit="1" customWidth="1"/>
    <col min="12313" max="12313" width="13.85546875" style="761" bestFit="1" customWidth="1"/>
    <col min="12314" max="12314" width="8.7109375" style="761" bestFit="1" customWidth="1"/>
    <col min="12315" max="12315" width="13.85546875" style="761" bestFit="1" customWidth="1"/>
    <col min="12316" max="12316" width="8.7109375" style="761" bestFit="1" customWidth="1"/>
    <col min="12317" max="12317" width="17.85546875" style="761" bestFit="1" customWidth="1"/>
    <col min="12318" max="12319" width="9.140625" style="761"/>
    <col min="12320" max="12320" width="10" style="761" bestFit="1" customWidth="1"/>
    <col min="12321" max="12546" width="9.140625" style="761"/>
    <col min="12547" max="12547" width="4" style="761" customWidth="1"/>
    <col min="12548" max="12548" width="34.5703125" style="761" customWidth="1"/>
    <col min="12549" max="12549" width="11.85546875" style="761" bestFit="1" customWidth="1"/>
    <col min="12550" max="12550" width="8.140625" style="761" customWidth="1"/>
    <col min="12551" max="12551" width="13.85546875" style="761" bestFit="1" customWidth="1"/>
    <col min="12552" max="12552" width="8.140625" style="761" customWidth="1"/>
    <col min="12553" max="12553" width="13.85546875" style="761" bestFit="1" customWidth="1"/>
    <col min="12554" max="12554" width="8.7109375" style="761" customWidth="1"/>
    <col min="12555" max="12555" width="13.5703125" style="761" bestFit="1" customWidth="1"/>
    <col min="12556" max="12556" width="9" style="761" customWidth="1"/>
    <col min="12557" max="12557" width="13.5703125" style="761" bestFit="1" customWidth="1"/>
    <col min="12558" max="12558" width="9" style="761" bestFit="1" customWidth="1"/>
    <col min="12559" max="12559" width="13.5703125" style="761" bestFit="1" customWidth="1"/>
    <col min="12560" max="12560" width="9" style="761" bestFit="1" customWidth="1"/>
    <col min="12561" max="12561" width="13.85546875" style="761" bestFit="1" customWidth="1"/>
    <col min="12562" max="12562" width="8.7109375" style="761" bestFit="1" customWidth="1"/>
    <col min="12563" max="12563" width="13.85546875" style="761" bestFit="1" customWidth="1"/>
    <col min="12564" max="12564" width="8.7109375" style="761" bestFit="1" customWidth="1"/>
    <col min="12565" max="12565" width="13.85546875" style="761" bestFit="1" customWidth="1"/>
    <col min="12566" max="12566" width="8.7109375" style="761" bestFit="1" customWidth="1"/>
    <col min="12567" max="12567" width="13.85546875" style="761" bestFit="1" customWidth="1"/>
    <col min="12568" max="12568" width="8.7109375" style="761" bestFit="1" customWidth="1"/>
    <col min="12569" max="12569" width="13.85546875" style="761" bestFit="1" customWidth="1"/>
    <col min="12570" max="12570" width="8.7109375" style="761" bestFit="1" customWidth="1"/>
    <col min="12571" max="12571" width="13.85546875" style="761" bestFit="1" customWidth="1"/>
    <col min="12572" max="12572" width="8.7109375" style="761" bestFit="1" customWidth="1"/>
    <col min="12573" max="12573" width="17.85546875" style="761" bestFit="1" customWidth="1"/>
    <col min="12574" max="12575" width="9.140625" style="761"/>
    <col min="12576" max="12576" width="10" style="761" bestFit="1" customWidth="1"/>
    <col min="12577" max="12802" width="9.140625" style="761"/>
    <col min="12803" max="12803" width="4" style="761" customWidth="1"/>
    <col min="12804" max="12804" width="34.5703125" style="761" customWidth="1"/>
    <col min="12805" max="12805" width="11.85546875" style="761" bestFit="1" customWidth="1"/>
    <col min="12806" max="12806" width="8.140625" style="761" customWidth="1"/>
    <col min="12807" max="12807" width="13.85546875" style="761" bestFit="1" customWidth="1"/>
    <col min="12808" max="12808" width="8.140625" style="761" customWidth="1"/>
    <col min="12809" max="12809" width="13.85546875" style="761" bestFit="1" customWidth="1"/>
    <col min="12810" max="12810" width="8.7109375" style="761" customWidth="1"/>
    <col min="12811" max="12811" width="13.5703125" style="761" bestFit="1" customWidth="1"/>
    <col min="12812" max="12812" width="9" style="761" customWidth="1"/>
    <col min="12813" max="12813" width="13.5703125" style="761" bestFit="1" customWidth="1"/>
    <col min="12814" max="12814" width="9" style="761" bestFit="1" customWidth="1"/>
    <col min="12815" max="12815" width="13.5703125" style="761" bestFit="1" customWidth="1"/>
    <col min="12816" max="12816" width="9" style="761" bestFit="1" customWidth="1"/>
    <col min="12817" max="12817" width="13.85546875" style="761" bestFit="1" customWidth="1"/>
    <col min="12818" max="12818" width="8.7109375" style="761" bestFit="1" customWidth="1"/>
    <col min="12819" max="12819" width="13.85546875" style="761" bestFit="1" customWidth="1"/>
    <col min="12820" max="12820" width="8.7109375" style="761" bestFit="1" customWidth="1"/>
    <col min="12821" max="12821" width="13.85546875" style="761" bestFit="1" customWidth="1"/>
    <col min="12822" max="12822" width="8.7109375" style="761" bestFit="1" customWidth="1"/>
    <col min="12823" max="12823" width="13.85546875" style="761" bestFit="1" customWidth="1"/>
    <col min="12824" max="12824" width="8.7109375" style="761" bestFit="1" customWidth="1"/>
    <col min="12825" max="12825" width="13.85546875" style="761" bestFit="1" customWidth="1"/>
    <col min="12826" max="12826" width="8.7109375" style="761" bestFit="1" customWidth="1"/>
    <col min="12827" max="12827" width="13.85546875" style="761" bestFit="1" customWidth="1"/>
    <col min="12828" max="12828" width="8.7109375" style="761" bestFit="1" customWidth="1"/>
    <col min="12829" max="12829" width="17.85546875" style="761" bestFit="1" customWidth="1"/>
    <col min="12830" max="12831" width="9.140625" style="761"/>
    <col min="12832" max="12832" width="10" style="761" bestFit="1" customWidth="1"/>
    <col min="12833" max="13058" width="9.140625" style="761"/>
    <col min="13059" max="13059" width="4" style="761" customWidth="1"/>
    <col min="13060" max="13060" width="34.5703125" style="761" customWidth="1"/>
    <col min="13061" max="13061" width="11.85546875" style="761" bestFit="1" customWidth="1"/>
    <col min="13062" max="13062" width="8.140625" style="761" customWidth="1"/>
    <col min="13063" max="13063" width="13.85546875" style="761" bestFit="1" customWidth="1"/>
    <col min="13064" max="13064" width="8.140625" style="761" customWidth="1"/>
    <col min="13065" max="13065" width="13.85546875" style="761" bestFit="1" customWidth="1"/>
    <col min="13066" max="13066" width="8.7109375" style="761" customWidth="1"/>
    <col min="13067" max="13067" width="13.5703125" style="761" bestFit="1" customWidth="1"/>
    <col min="13068" max="13068" width="9" style="761" customWidth="1"/>
    <col min="13069" max="13069" width="13.5703125" style="761" bestFit="1" customWidth="1"/>
    <col min="13070" max="13070" width="9" style="761" bestFit="1" customWidth="1"/>
    <col min="13071" max="13071" width="13.5703125" style="761" bestFit="1" customWidth="1"/>
    <col min="13072" max="13072" width="9" style="761" bestFit="1" customWidth="1"/>
    <col min="13073" max="13073" width="13.85546875" style="761" bestFit="1" customWidth="1"/>
    <col min="13074" max="13074" width="8.7109375" style="761" bestFit="1" customWidth="1"/>
    <col min="13075" max="13075" width="13.85546875" style="761" bestFit="1" customWidth="1"/>
    <col min="13076" max="13076" width="8.7109375" style="761" bestFit="1" customWidth="1"/>
    <col min="13077" max="13077" width="13.85546875" style="761" bestFit="1" customWidth="1"/>
    <col min="13078" max="13078" width="8.7109375" style="761" bestFit="1" customWidth="1"/>
    <col min="13079" max="13079" width="13.85546875" style="761" bestFit="1" customWidth="1"/>
    <col min="13080" max="13080" width="8.7109375" style="761" bestFit="1" customWidth="1"/>
    <col min="13081" max="13081" width="13.85546875" style="761" bestFit="1" customWidth="1"/>
    <col min="13082" max="13082" width="8.7109375" style="761" bestFit="1" customWidth="1"/>
    <col min="13083" max="13083" width="13.85546875" style="761" bestFit="1" customWidth="1"/>
    <col min="13084" max="13084" width="8.7109375" style="761" bestFit="1" customWidth="1"/>
    <col min="13085" max="13085" width="17.85546875" style="761" bestFit="1" customWidth="1"/>
    <col min="13086" max="13087" width="9.140625" style="761"/>
    <col min="13088" max="13088" width="10" style="761" bestFit="1" customWidth="1"/>
    <col min="13089" max="13314" width="9.140625" style="761"/>
    <col min="13315" max="13315" width="4" style="761" customWidth="1"/>
    <col min="13316" max="13316" width="34.5703125" style="761" customWidth="1"/>
    <col min="13317" max="13317" width="11.85546875" style="761" bestFit="1" customWidth="1"/>
    <col min="13318" max="13318" width="8.140625" style="761" customWidth="1"/>
    <col min="13319" max="13319" width="13.85546875" style="761" bestFit="1" customWidth="1"/>
    <col min="13320" max="13320" width="8.140625" style="761" customWidth="1"/>
    <col min="13321" max="13321" width="13.85546875" style="761" bestFit="1" customWidth="1"/>
    <col min="13322" max="13322" width="8.7109375" style="761" customWidth="1"/>
    <col min="13323" max="13323" width="13.5703125" style="761" bestFit="1" customWidth="1"/>
    <col min="13324" max="13324" width="9" style="761" customWidth="1"/>
    <col min="13325" max="13325" width="13.5703125" style="761" bestFit="1" customWidth="1"/>
    <col min="13326" max="13326" width="9" style="761" bestFit="1" customWidth="1"/>
    <col min="13327" max="13327" width="13.5703125" style="761" bestFit="1" customWidth="1"/>
    <col min="13328" max="13328" width="9" style="761" bestFit="1" customWidth="1"/>
    <col min="13329" max="13329" width="13.85546875" style="761" bestFit="1" customWidth="1"/>
    <col min="13330" max="13330" width="8.7109375" style="761" bestFit="1" customWidth="1"/>
    <col min="13331" max="13331" width="13.85546875" style="761" bestFit="1" customWidth="1"/>
    <col min="13332" max="13332" width="8.7109375" style="761" bestFit="1" customWidth="1"/>
    <col min="13333" max="13333" width="13.85546875" style="761" bestFit="1" customWidth="1"/>
    <col min="13334" max="13334" width="8.7109375" style="761" bestFit="1" customWidth="1"/>
    <col min="13335" max="13335" width="13.85546875" style="761" bestFit="1" customWidth="1"/>
    <col min="13336" max="13336" width="8.7109375" style="761" bestFit="1" customWidth="1"/>
    <col min="13337" max="13337" width="13.85546875" style="761" bestFit="1" customWidth="1"/>
    <col min="13338" max="13338" width="8.7109375" style="761" bestFit="1" customWidth="1"/>
    <col min="13339" max="13339" width="13.85546875" style="761" bestFit="1" customWidth="1"/>
    <col min="13340" max="13340" width="8.7109375" style="761" bestFit="1" customWidth="1"/>
    <col min="13341" max="13341" width="17.85546875" style="761" bestFit="1" customWidth="1"/>
    <col min="13342" max="13343" width="9.140625" style="761"/>
    <col min="13344" max="13344" width="10" style="761" bestFit="1" customWidth="1"/>
    <col min="13345" max="13570" width="9.140625" style="761"/>
    <col min="13571" max="13571" width="4" style="761" customWidth="1"/>
    <col min="13572" max="13572" width="34.5703125" style="761" customWidth="1"/>
    <col min="13573" max="13573" width="11.85546875" style="761" bestFit="1" customWidth="1"/>
    <col min="13574" max="13574" width="8.140625" style="761" customWidth="1"/>
    <col min="13575" max="13575" width="13.85546875" style="761" bestFit="1" customWidth="1"/>
    <col min="13576" max="13576" width="8.140625" style="761" customWidth="1"/>
    <col min="13577" max="13577" width="13.85546875" style="761" bestFit="1" customWidth="1"/>
    <col min="13578" max="13578" width="8.7109375" style="761" customWidth="1"/>
    <col min="13579" max="13579" width="13.5703125" style="761" bestFit="1" customWidth="1"/>
    <col min="13580" max="13580" width="9" style="761" customWidth="1"/>
    <col min="13581" max="13581" width="13.5703125" style="761" bestFit="1" customWidth="1"/>
    <col min="13582" max="13582" width="9" style="761" bestFit="1" customWidth="1"/>
    <col min="13583" max="13583" width="13.5703125" style="761" bestFit="1" customWidth="1"/>
    <col min="13584" max="13584" width="9" style="761" bestFit="1" customWidth="1"/>
    <col min="13585" max="13585" width="13.85546875" style="761" bestFit="1" customWidth="1"/>
    <col min="13586" max="13586" width="8.7109375" style="761" bestFit="1" customWidth="1"/>
    <col min="13587" max="13587" width="13.85546875" style="761" bestFit="1" customWidth="1"/>
    <col min="13588" max="13588" width="8.7109375" style="761" bestFit="1" customWidth="1"/>
    <col min="13589" max="13589" width="13.85546875" style="761" bestFit="1" customWidth="1"/>
    <col min="13590" max="13590" width="8.7109375" style="761" bestFit="1" customWidth="1"/>
    <col min="13591" max="13591" width="13.85546875" style="761" bestFit="1" customWidth="1"/>
    <col min="13592" max="13592" width="8.7109375" style="761" bestFit="1" customWidth="1"/>
    <col min="13593" max="13593" width="13.85546875" style="761" bestFit="1" customWidth="1"/>
    <col min="13594" max="13594" width="8.7109375" style="761" bestFit="1" customWidth="1"/>
    <col min="13595" max="13595" width="13.85546875" style="761" bestFit="1" customWidth="1"/>
    <col min="13596" max="13596" width="8.7109375" style="761" bestFit="1" customWidth="1"/>
    <col min="13597" max="13597" width="17.85546875" style="761" bestFit="1" customWidth="1"/>
    <col min="13598" max="13599" width="9.140625" style="761"/>
    <col min="13600" max="13600" width="10" style="761" bestFit="1" customWidth="1"/>
    <col min="13601" max="13826" width="9.140625" style="761"/>
    <col min="13827" max="13827" width="4" style="761" customWidth="1"/>
    <col min="13828" max="13828" width="34.5703125" style="761" customWidth="1"/>
    <col min="13829" max="13829" width="11.85546875" style="761" bestFit="1" customWidth="1"/>
    <col min="13830" max="13830" width="8.140625" style="761" customWidth="1"/>
    <col min="13831" max="13831" width="13.85546875" style="761" bestFit="1" customWidth="1"/>
    <col min="13832" max="13832" width="8.140625" style="761" customWidth="1"/>
    <col min="13833" max="13833" width="13.85546875" style="761" bestFit="1" customWidth="1"/>
    <col min="13834" max="13834" width="8.7109375" style="761" customWidth="1"/>
    <col min="13835" max="13835" width="13.5703125" style="761" bestFit="1" customWidth="1"/>
    <col min="13836" max="13836" width="9" style="761" customWidth="1"/>
    <col min="13837" max="13837" width="13.5703125" style="761" bestFit="1" customWidth="1"/>
    <col min="13838" max="13838" width="9" style="761" bestFit="1" customWidth="1"/>
    <col min="13839" max="13839" width="13.5703125" style="761" bestFit="1" customWidth="1"/>
    <col min="13840" max="13840" width="9" style="761" bestFit="1" customWidth="1"/>
    <col min="13841" max="13841" width="13.85546875" style="761" bestFit="1" customWidth="1"/>
    <col min="13842" max="13842" width="8.7109375" style="761" bestFit="1" customWidth="1"/>
    <col min="13843" max="13843" width="13.85546875" style="761" bestFit="1" customWidth="1"/>
    <col min="13844" max="13844" width="8.7109375" style="761" bestFit="1" customWidth="1"/>
    <col min="13845" max="13845" width="13.85546875" style="761" bestFit="1" customWidth="1"/>
    <col min="13846" max="13846" width="8.7109375" style="761" bestFit="1" customWidth="1"/>
    <col min="13847" max="13847" width="13.85546875" style="761" bestFit="1" customWidth="1"/>
    <col min="13848" max="13848" width="8.7109375" style="761" bestFit="1" customWidth="1"/>
    <col min="13849" max="13849" width="13.85546875" style="761" bestFit="1" customWidth="1"/>
    <col min="13850" max="13850" width="8.7109375" style="761" bestFit="1" customWidth="1"/>
    <col min="13851" max="13851" width="13.85546875" style="761" bestFit="1" customWidth="1"/>
    <col min="13852" max="13852" width="8.7109375" style="761" bestFit="1" customWidth="1"/>
    <col min="13853" max="13853" width="17.85546875" style="761" bestFit="1" customWidth="1"/>
    <col min="13854" max="13855" width="9.140625" style="761"/>
    <col min="13856" max="13856" width="10" style="761" bestFit="1" customWidth="1"/>
    <col min="13857" max="14082" width="9.140625" style="761"/>
    <col min="14083" max="14083" width="4" style="761" customWidth="1"/>
    <col min="14084" max="14084" width="34.5703125" style="761" customWidth="1"/>
    <col min="14085" max="14085" width="11.85546875" style="761" bestFit="1" customWidth="1"/>
    <col min="14086" max="14086" width="8.140625" style="761" customWidth="1"/>
    <col min="14087" max="14087" width="13.85546875" style="761" bestFit="1" customWidth="1"/>
    <col min="14088" max="14088" width="8.140625" style="761" customWidth="1"/>
    <col min="14089" max="14089" width="13.85546875" style="761" bestFit="1" customWidth="1"/>
    <col min="14090" max="14090" width="8.7109375" style="761" customWidth="1"/>
    <col min="14091" max="14091" width="13.5703125" style="761" bestFit="1" customWidth="1"/>
    <col min="14092" max="14092" width="9" style="761" customWidth="1"/>
    <col min="14093" max="14093" width="13.5703125" style="761" bestFit="1" customWidth="1"/>
    <col min="14094" max="14094" width="9" style="761" bestFit="1" customWidth="1"/>
    <col min="14095" max="14095" width="13.5703125" style="761" bestFit="1" customWidth="1"/>
    <col min="14096" max="14096" width="9" style="761" bestFit="1" customWidth="1"/>
    <col min="14097" max="14097" width="13.85546875" style="761" bestFit="1" customWidth="1"/>
    <col min="14098" max="14098" width="8.7109375" style="761" bestFit="1" customWidth="1"/>
    <col min="14099" max="14099" width="13.85546875" style="761" bestFit="1" customWidth="1"/>
    <col min="14100" max="14100" width="8.7109375" style="761" bestFit="1" customWidth="1"/>
    <col min="14101" max="14101" width="13.85546875" style="761" bestFit="1" customWidth="1"/>
    <col min="14102" max="14102" width="8.7109375" style="761" bestFit="1" customWidth="1"/>
    <col min="14103" max="14103" width="13.85546875" style="761" bestFit="1" customWidth="1"/>
    <col min="14104" max="14104" width="8.7109375" style="761" bestFit="1" customWidth="1"/>
    <col min="14105" max="14105" width="13.85546875" style="761" bestFit="1" customWidth="1"/>
    <col min="14106" max="14106" width="8.7109375" style="761" bestFit="1" customWidth="1"/>
    <col min="14107" max="14107" width="13.85546875" style="761" bestFit="1" customWidth="1"/>
    <col min="14108" max="14108" width="8.7109375" style="761" bestFit="1" customWidth="1"/>
    <col min="14109" max="14109" width="17.85546875" style="761" bestFit="1" customWidth="1"/>
    <col min="14110" max="14111" width="9.140625" style="761"/>
    <col min="14112" max="14112" width="10" style="761" bestFit="1" customWidth="1"/>
    <col min="14113" max="14338" width="9.140625" style="761"/>
    <col min="14339" max="14339" width="4" style="761" customWidth="1"/>
    <col min="14340" max="14340" width="34.5703125" style="761" customWidth="1"/>
    <col min="14341" max="14341" width="11.85546875" style="761" bestFit="1" customWidth="1"/>
    <col min="14342" max="14342" width="8.140625" style="761" customWidth="1"/>
    <col min="14343" max="14343" width="13.85546875" style="761" bestFit="1" customWidth="1"/>
    <col min="14344" max="14344" width="8.140625" style="761" customWidth="1"/>
    <col min="14345" max="14345" width="13.85546875" style="761" bestFit="1" customWidth="1"/>
    <col min="14346" max="14346" width="8.7109375" style="761" customWidth="1"/>
    <col min="14347" max="14347" width="13.5703125" style="761" bestFit="1" customWidth="1"/>
    <col min="14348" max="14348" width="9" style="761" customWidth="1"/>
    <col min="14349" max="14349" width="13.5703125" style="761" bestFit="1" customWidth="1"/>
    <col min="14350" max="14350" width="9" style="761" bestFit="1" customWidth="1"/>
    <col min="14351" max="14351" width="13.5703125" style="761" bestFit="1" customWidth="1"/>
    <col min="14352" max="14352" width="9" style="761" bestFit="1" customWidth="1"/>
    <col min="14353" max="14353" width="13.85546875" style="761" bestFit="1" customWidth="1"/>
    <col min="14354" max="14354" width="8.7109375" style="761" bestFit="1" customWidth="1"/>
    <col min="14355" max="14355" width="13.85546875" style="761" bestFit="1" customWidth="1"/>
    <col min="14356" max="14356" width="8.7109375" style="761" bestFit="1" customWidth="1"/>
    <col min="14357" max="14357" width="13.85546875" style="761" bestFit="1" customWidth="1"/>
    <col min="14358" max="14358" width="8.7109375" style="761" bestFit="1" customWidth="1"/>
    <col min="14359" max="14359" width="13.85546875" style="761" bestFit="1" customWidth="1"/>
    <col min="14360" max="14360" width="8.7109375" style="761" bestFit="1" customWidth="1"/>
    <col min="14361" max="14361" width="13.85546875" style="761" bestFit="1" customWidth="1"/>
    <col min="14362" max="14362" width="8.7109375" style="761" bestFit="1" customWidth="1"/>
    <col min="14363" max="14363" width="13.85546875" style="761" bestFit="1" customWidth="1"/>
    <col min="14364" max="14364" width="8.7109375" style="761" bestFit="1" customWidth="1"/>
    <col min="14365" max="14365" width="17.85546875" style="761" bestFit="1" customWidth="1"/>
    <col min="14366" max="14367" width="9.140625" style="761"/>
    <col min="14368" max="14368" width="10" style="761" bestFit="1" customWidth="1"/>
    <col min="14369" max="14594" width="9.140625" style="761"/>
    <col min="14595" max="14595" width="4" style="761" customWidth="1"/>
    <col min="14596" max="14596" width="34.5703125" style="761" customWidth="1"/>
    <col min="14597" max="14597" width="11.85546875" style="761" bestFit="1" customWidth="1"/>
    <col min="14598" max="14598" width="8.140625" style="761" customWidth="1"/>
    <col min="14599" max="14599" width="13.85546875" style="761" bestFit="1" customWidth="1"/>
    <col min="14600" max="14600" width="8.140625" style="761" customWidth="1"/>
    <col min="14601" max="14601" width="13.85546875" style="761" bestFit="1" customWidth="1"/>
    <col min="14602" max="14602" width="8.7109375" style="761" customWidth="1"/>
    <col min="14603" max="14603" width="13.5703125" style="761" bestFit="1" customWidth="1"/>
    <col min="14604" max="14604" width="9" style="761" customWidth="1"/>
    <col min="14605" max="14605" width="13.5703125" style="761" bestFit="1" customWidth="1"/>
    <col min="14606" max="14606" width="9" style="761" bestFit="1" customWidth="1"/>
    <col min="14607" max="14607" width="13.5703125" style="761" bestFit="1" customWidth="1"/>
    <col min="14608" max="14608" width="9" style="761" bestFit="1" customWidth="1"/>
    <col min="14609" max="14609" width="13.85546875" style="761" bestFit="1" customWidth="1"/>
    <col min="14610" max="14610" width="8.7109375" style="761" bestFit="1" customWidth="1"/>
    <col min="14611" max="14611" width="13.85546875" style="761" bestFit="1" customWidth="1"/>
    <col min="14612" max="14612" width="8.7109375" style="761" bestFit="1" customWidth="1"/>
    <col min="14613" max="14613" width="13.85546875" style="761" bestFit="1" customWidth="1"/>
    <col min="14614" max="14614" width="8.7109375" style="761" bestFit="1" customWidth="1"/>
    <col min="14615" max="14615" width="13.85546875" style="761" bestFit="1" customWidth="1"/>
    <col min="14616" max="14616" width="8.7109375" style="761" bestFit="1" customWidth="1"/>
    <col min="14617" max="14617" width="13.85546875" style="761" bestFit="1" customWidth="1"/>
    <col min="14618" max="14618" width="8.7109375" style="761" bestFit="1" customWidth="1"/>
    <col min="14619" max="14619" width="13.85546875" style="761" bestFit="1" customWidth="1"/>
    <col min="14620" max="14620" width="8.7109375" style="761" bestFit="1" customWidth="1"/>
    <col min="14621" max="14621" width="17.85546875" style="761" bestFit="1" customWidth="1"/>
    <col min="14622" max="14623" width="9.140625" style="761"/>
    <col min="14624" max="14624" width="10" style="761" bestFit="1" customWidth="1"/>
    <col min="14625" max="14850" width="9.140625" style="761"/>
    <col min="14851" max="14851" width="4" style="761" customWidth="1"/>
    <col min="14852" max="14852" width="34.5703125" style="761" customWidth="1"/>
    <col min="14853" max="14853" width="11.85546875" style="761" bestFit="1" customWidth="1"/>
    <col min="14854" max="14854" width="8.140625" style="761" customWidth="1"/>
    <col min="14855" max="14855" width="13.85546875" style="761" bestFit="1" customWidth="1"/>
    <col min="14856" max="14856" width="8.140625" style="761" customWidth="1"/>
    <col min="14857" max="14857" width="13.85546875" style="761" bestFit="1" customWidth="1"/>
    <col min="14858" max="14858" width="8.7109375" style="761" customWidth="1"/>
    <col min="14859" max="14859" width="13.5703125" style="761" bestFit="1" customWidth="1"/>
    <col min="14860" max="14860" width="9" style="761" customWidth="1"/>
    <col min="14861" max="14861" width="13.5703125" style="761" bestFit="1" customWidth="1"/>
    <col min="14862" max="14862" width="9" style="761" bestFit="1" customWidth="1"/>
    <col min="14863" max="14863" width="13.5703125" style="761" bestFit="1" customWidth="1"/>
    <col min="14864" max="14864" width="9" style="761" bestFit="1" customWidth="1"/>
    <col min="14865" max="14865" width="13.85546875" style="761" bestFit="1" customWidth="1"/>
    <col min="14866" max="14866" width="8.7109375" style="761" bestFit="1" customWidth="1"/>
    <col min="14867" max="14867" width="13.85546875" style="761" bestFit="1" customWidth="1"/>
    <col min="14868" max="14868" width="8.7109375" style="761" bestFit="1" customWidth="1"/>
    <col min="14869" max="14869" width="13.85546875" style="761" bestFit="1" customWidth="1"/>
    <col min="14870" max="14870" width="8.7109375" style="761" bestFit="1" customWidth="1"/>
    <col min="14871" max="14871" width="13.85546875" style="761" bestFit="1" customWidth="1"/>
    <col min="14872" max="14872" width="8.7109375" style="761" bestFit="1" customWidth="1"/>
    <col min="14873" max="14873" width="13.85546875" style="761" bestFit="1" customWidth="1"/>
    <col min="14874" max="14874" width="8.7109375" style="761" bestFit="1" customWidth="1"/>
    <col min="14875" max="14875" width="13.85546875" style="761" bestFit="1" customWidth="1"/>
    <col min="14876" max="14876" width="8.7109375" style="761" bestFit="1" customWidth="1"/>
    <col min="14877" max="14877" width="17.85546875" style="761" bestFit="1" customWidth="1"/>
    <col min="14878" max="14879" width="9.140625" style="761"/>
    <col min="14880" max="14880" width="10" style="761" bestFit="1" customWidth="1"/>
    <col min="14881" max="15106" width="9.140625" style="761"/>
    <col min="15107" max="15107" width="4" style="761" customWidth="1"/>
    <col min="15108" max="15108" width="34.5703125" style="761" customWidth="1"/>
    <col min="15109" max="15109" width="11.85546875" style="761" bestFit="1" customWidth="1"/>
    <col min="15110" max="15110" width="8.140625" style="761" customWidth="1"/>
    <col min="15111" max="15111" width="13.85546875" style="761" bestFit="1" customWidth="1"/>
    <col min="15112" max="15112" width="8.140625" style="761" customWidth="1"/>
    <col min="15113" max="15113" width="13.85546875" style="761" bestFit="1" customWidth="1"/>
    <col min="15114" max="15114" width="8.7109375" style="761" customWidth="1"/>
    <col min="15115" max="15115" width="13.5703125" style="761" bestFit="1" customWidth="1"/>
    <col min="15116" max="15116" width="9" style="761" customWidth="1"/>
    <col min="15117" max="15117" width="13.5703125" style="761" bestFit="1" customWidth="1"/>
    <col min="15118" max="15118" width="9" style="761" bestFit="1" customWidth="1"/>
    <col min="15119" max="15119" width="13.5703125" style="761" bestFit="1" customWidth="1"/>
    <col min="15120" max="15120" width="9" style="761" bestFit="1" customWidth="1"/>
    <col min="15121" max="15121" width="13.85546875" style="761" bestFit="1" customWidth="1"/>
    <col min="15122" max="15122" width="8.7109375" style="761" bestFit="1" customWidth="1"/>
    <col min="15123" max="15123" width="13.85546875" style="761" bestFit="1" customWidth="1"/>
    <col min="15124" max="15124" width="8.7109375" style="761" bestFit="1" customWidth="1"/>
    <col min="15125" max="15125" width="13.85546875" style="761" bestFit="1" customWidth="1"/>
    <col min="15126" max="15126" width="8.7109375" style="761" bestFit="1" customWidth="1"/>
    <col min="15127" max="15127" width="13.85546875" style="761" bestFit="1" customWidth="1"/>
    <col min="15128" max="15128" width="8.7109375" style="761" bestFit="1" customWidth="1"/>
    <col min="15129" max="15129" width="13.85546875" style="761" bestFit="1" customWidth="1"/>
    <col min="15130" max="15130" width="8.7109375" style="761" bestFit="1" customWidth="1"/>
    <col min="15131" max="15131" width="13.85546875" style="761" bestFit="1" customWidth="1"/>
    <col min="15132" max="15132" width="8.7109375" style="761" bestFit="1" customWidth="1"/>
    <col min="15133" max="15133" width="17.85546875" style="761" bestFit="1" customWidth="1"/>
    <col min="15134" max="15135" width="9.140625" style="761"/>
    <col min="15136" max="15136" width="10" style="761" bestFit="1" customWidth="1"/>
    <col min="15137" max="15362" width="9.140625" style="761"/>
    <col min="15363" max="15363" width="4" style="761" customWidth="1"/>
    <col min="15364" max="15364" width="34.5703125" style="761" customWidth="1"/>
    <col min="15365" max="15365" width="11.85546875" style="761" bestFit="1" customWidth="1"/>
    <col min="15366" max="15366" width="8.140625" style="761" customWidth="1"/>
    <col min="15367" max="15367" width="13.85546875" style="761" bestFit="1" customWidth="1"/>
    <col min="15368" max="15368" width="8.140625" style="761" customWidth="1"/>
    <col min="15369" max="15369" width="13.85546875" style="761" bestFit="1" customWidth="1"/>
    <col min="15370" max="15370" width="8.7109375" style="761" customWidth="1"/>
    <col min="15371" max="15371" width="13.5703125" style="761" bestFit="1" customWidth="1"/>
    <col min="15372" max="15372" width="9" style="761" customWidth="1"/>
    <col min="15373" max="15373" width="13.5703125" style="761" bestFit="1" customWidth="1"/>
    <col min="15374" max="15374" width="9" style="761" bestFit="1" customWidth="1"/>
    <col min="15375" max="15375" width="13.5703125" style="761" bestFit="1" customWidth="1"/>
    <col min="15376" max="15376" width="9" style="761" bestFit="1" customWidth="1"/>
    <col min="15377" max="15377" width="13.85546875" style="761" bestFit="1" customWidth="1"/>
    <col min="15378" max="15378" width="8.7109375" style="761" bestFit="1" customWidth="1"/>
    <col min="15379" max="15379" width="13.85546875" style="761" bestFit="1" customWidth="1"/>
    <col min="15380" max="15380" width="8.7109375" style="761" bestFit="1" customWidth="1"/>
    <col min="15381" max="15381" width="13.85546875" style="761" bestFit="1" customWidth="1"/>
    <col min="15382" max="15382" width="8.7109375" style="761" bestFit="1" customWidth="1"/>
    <col min="15383" max="15383" width="13.85546875" style="761" bestFit="1" customWidth="1"/>
    <col min="15384" max="15384" width="8.7109375" style="761" bestFit="1" customWidth="1"/>
    <col min="15385" max="15385" width="13.85546875" style="761" bestFit="1" customWidth="1"/>
    <col min="15386" max="15386" width="8.7109375" style="761" bestFit="1" customWidth="1"/>
    <col min="15387" max="15387" width="13.85546875" style="761" bestFit="1" customWidth="1"/>
    <col min="15388" max="15388" width="8.7109375" style="761" bestFit="1" customWidth="1"/>
    <col min="15389" max="15389" width="17.85546875" style="761" bestFit="1" customWidth="1"/>
    <col min="15390" max="15391" width="9.140625" style="761"/>
    <col min="15392" max="15392" width="10" style="761" bestFit="1" customWidth="1"/>
    <col min="15393" max="15618" width="9.140625" style="761"/>
    <col min="15619" max="15619" width="4" style="761" customWidth="1"/>
    <col min="15620" max="15620" width="34.5703125" style="761" customWidth="1"/>
    <col min="15621" max="15621" width="11.85546875" style="761" bestFit="1" customWidth="1"/>
    <col min="15622" max="15622" width="8.140625" style="761" customWidth="1"/>
    <col min="15623" max="15623" width="13.85546875" style="761" bestFit="1" customWidth="1"/>
    <col min="15624" max="15624" width="8.140625" style="761" customWidth="1"/>
    <col min="15625" max="15625" width="13.85546875" style="761" bestFit="1" customWidth="1"/>
    <col min="15626" max="15626" width="8.7109375" style="761" customWidth="1"/>
    <col min="15627" max="15627" width="13.5703125" style="761" bestFit="1" customWidth="1"/>
    <col min="15628" max="15628" width="9" style="761" customWidth="1"/>
    <col min="15629" max="15629" width="13.5703125" style="761" bestFit="1" customWidth="1"/>
    <col min="15630" max="15630" width="9" style="761" bestFit="1" customWidth="1"/>
    <col min="15631" max="15631" width="13.5703125" style="761" bestFit="1" customWidth="1"/>
    <col min="15632" max="15632" width="9" style="761" bestFit="1" customWidth="1"/>
    <col min="15633" max="15633" width="13.85546875" style="761" bestFit="1" customWidth="1"/>
    <col min="15634" max="15634" width="8.7109375" style="761" bestFit="1" customWidth="1"/>
    <col min="15635" max="15635" width="13.85546875" style="761" bestFit="1" customWidth="1"/>
    <col min="15636" max="15636" width="8.7109375" style="761" bestFit="1" customWidth="1"/>
    <col min="15637" max="15637" width="13.85546875" style="761" bestFit="1" customWidth="1"/>
    <col min="15638" max="15638" width="8.7109375" style="761" bestFit="1" customWidth="1"/>
    <col min="15639" max="15639" width="13.85546875" style="761" bestFit="1" customWidth="1"/>
    <col min="15640" max="15640" width="8.7109375" style="761" bestFit="1" customWidth="1"/>
    <col min="15641" max="15641" width="13.85546875" style="761" bestFit="1" customWidth="1"/>
    <col min="15642" max="15642" width="8.7109375" style="761" bestFit="1" customWidth="1"/>
    <col min="15643" max="15643" width="13.85546875" style="761" bestFit="1" customWidth="1"/>
    <col min="15644" max="15644" width="8.7109375" style="761" bestFit="1" customWidth="1"/>
    <col min="15645" max="15645" width="17.85546875" style="761" bestFit="1" customWidth="1"/>
    <col min="15646" max="15647" width="9.140625" style="761"/>
    <col min="15648" max="15648" width="10" style="761" bestFit="1" customWidth="1"/>
    <col min="15649" max="15874" width="9.140625" style="761"/>
    <col min="15875" max="15875" width="4" style="761" customWidth="1"/>
    <col min="15876" max="15876" width="34.5703125" style="761" customWidth="1"/>
    <col min="15877" max="15877" width="11.85546875" style="761" bestFit="1" customWidth="1"/>
    <col min="15878" max="15878" width="8.140625" style="761" customWidth="1"/>
    <col min="15879" max="15879" width="13.85546875" style="761" bestFit="1" customWidth="1"/>
    <col min="15880" max="15880" width="8.140625" style="761" customWidth="1"/>
    <col min="15881" max="15881" width="13.85546875" style="761" bestFit="1" customWidth="1"/>
    <col min="15882" max="15882" width="8.7109375" style="761" customWidth="1"/>
    <col min="15883" max="15883" width="13.5703125" style="761" bestFit="1" customWidth="1"/>
    <col min="15884" max="15884" width="9" style="761" customWidth="1"/>
    <col min="15885" max="15885" width="13.5703125" style="761" bestFit="1" customWidth="1"/>
    <col min="15886" max="15886" width="9" style="761" bestFit="1" customWidth="1"/>
    <col min="15887" max="15887" width="13.5703125" style="761" bestFit="1" customWidth="1"/>
    <col min="15888" max="15888" width="9" style="761" bestFit="1" customWidth="1"/>
    <col min="15889" max="15889" width="13.85546875" style="761" bestFit="1" customWidth="1"/>
    <col min="15890" max="15890" width="8.7109375" style="761" bestFit="1" customWidth="1"/>
    <col min="15891" max="15891" width="13.85546875" style="761" bestFit="1" customWidth="1"/>
    <col min="15892" max="15892" width="8.7109375" style="761" bestFit="1" customWidth="1"/>
    <col min="15893" max="15893" width="13.85546875" style="761" bestFit="1" customWidth="1"/>
    <col min="15894" max="15894" width="8.7109375" style="761" bestFit="1" customWidth="1"/>
    <col min="15895" max="15895" width="13.85546875" style="761" bestFit="1" customWidth="1"/>
    <col min="15896" max="15896" width="8.7109375" style="761" bestFit="1" customWidth="1"/>
    <col min="15897" max="15897" width="13.85546875" style="761" bestFit="1" customWidth="1"/>
    <col min="15898" max="15898" width="8.7109375" style="761" bestFit="1" customWidth="1"/>
    <col min="15899" max="15899" width="13.85546875" style="761" bestFit="1" customWidth="1"/>
    <col min="15900" max="15900" width="8.7109375" style="761" bestFit="1" customWidth="1"/>
    <col min="15901" max="15901" width="17.85546875" style="761" bestFit="1" customWidth="1"/>
    <col min="15902" max="15903" width="9.140625" style="761"/>
    <col min="15904" max="15904" width="10" style="761" bestFit="1" customWidth="1"/>
    <col min="15905" max="16130" width="9.140625" style="761"/>
    <col min="16131" max="16131" width="4" style="761" customWidth="1"/>
    <col min="16132" max="16132" width="34.5703125" style="761" customWidth="1"/>
    <col min="16133" max="16133" width="11.85546875" style="761" bestFit="1" customWidth="1"/>
    <col min="16134" max="16134" width="8.140625" style="761" customWidth="1"/>
    <col min="16135" max="16135" width="13.85546875" style="761" bestFit="1" customWidth="1"/>
    <col min="16136" max="16136" width="8.140625" style="761" customWidth="1"/>
    <col min="16137" max="16137" width="13.85546875" style="761" bestFit="1" customWidth="1"/>
    <col min="16138" max="16138" width="8.7109375" style="761" customWidth="1"/>
    <col min="16139" max="16139" width="13.5703125" style="761" bestFit="1" customWidth="1"/>
    <col min="16140" max="16140" width="9" style="761" customWidth="1"/>
    <col min="16141" max="16141" width="13.5703125" style="761" bestFit="1" customWidth="1"/>
    <col min="16142" max="16142" width="9" style="761" bestFit="1" customWidth="1"/>
    <col min="16143" max="16143" width="13.5703125" style="761" bestFit="1" customWidth="1"/>
    <col min="16144" max="16144" width="9" style="761" bestFit="1" customWidth="1"/>
    <col min="16145" max="16145" width="13.85546875" style="761" bestFit="1" customWidth="1"/>
    <col min="16146" max="16146" width="8.7109375" style="761" bestFit="1" customWidth="1"/>
    <col min="16147" max="16147" width="13.85546875" style="761" bestFit="1" customWidth="1"/>
    <col min="16148" max="16148" width="8.7109375" style="761" bestFit="1" customWidth="1"/>
    <col min="16149" max="16149" width="13.85546875" style="761" bestFit="1" customWidth="1"/>
    <col min="16150" max="16150" width="8.7109375" style="761" bestFit="1" customWidth="1"/>
    <col min="16151" max="16151" width="13.85546875" style="761" bestFit="1" customWidth="1"/>
    <col min="16152" max="16152" width="8.7109375" style="761" bestFit="1" customWidth="1"/>
    <col min="16153" max="16153" width="13.85546875" style="761" bestFit="1" customWidth="1"/>
    <col min="16154" max="16154" width="8.7109375" style="761" bestFit="1" customWidth="1"/>
    <col min="16155" max="16155" width="13.85546875" style="761" bestFit="1" customWidth="1"/>
    <col min="16156" max="16156" width="8.7109375" style="761" bestFit="1" customWidth="1"/>
    <col min="16157" max="16157" width="17.85546875" style="761" bestFit="1" customWidth="1"/>
    <col min="16158" max="16159" width="9.140625" style="761"/>
    <col min="16160" max="16160" width="10" style="761" bestFit="1" customWidth="1"/>
    <col min="16161" max="16384" width="9.140625" style="761"/>
  </cols>
  <sheetData>
    <row r="2" spans="2:257" s="762" customFormat="1" ht="6.75" thickBot="1">
      <c r="B2" s="763"/>
      <c r="C2" s="942"/>
      <c r="D2" s="942"/>
      <c r="E2" s="942"/>
      <c r="F2" s="943"/>
      <c r="G2" s="942"/>
      <c r="H2" s="944"/>
      <c r="I2" s="944"/>
      <c r="J2" s="944"/>
      <c r="K2" s="944"/>
      <c r="L2" s="944"/>
      <c r="M2" s="944"/>
      <c r="N2" s="944"/>
      <c r="O2" s="944"/>
      <c r="P2" s="944"/>
      <c r="Q2" s="944"/>
      <c r="R2" s="944"/>
      <c r="S2" s="944"/>
      <c r="T2" s="944"/>
      <c r="U2" s="944"/>
      <c r="V2" s="944"/>
      <c r="W2" s="944"/>
      <c r="X2" s="944"/>
      <c r="Y2" s="944"/>
      <c r="Z2" s="944"/>
      <c r="AA2" s="944"/>
      <c r="AB2" s="944"/>
      <c r="AC2" s="944"/>
      <c r="AD2" s="944"/>
    </row>
    <row r="3" spans="2:257" ht="30" customHeight="1">
      <c r="C3" s="2619" t="str">
        <f>'ORÇAMENTO '!H5</f>
        <v xml:space="preserve">META                                                                Projetos e Administração de Obras </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1"/>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c r="FL3" s="259"/>
      <c r="FM3" s="259"/>
      <c r="FN3" s="259"/>
      <c r="FO3" s="259"/>
      <c r="FP3" s="259"/>
      <c r="FQ3" s="259"/>
      <c r="FR3" s="259"/>
      <c r="FS3" s="259"/>
      <c r="FT3" s="259"/>
      <c r="FU3" s="259"/>
      <c r="FV3" s="259"/>
      <c r="FW3" s="259"/>
      <c r="FX3" s="259"/>
      <c r="FY3" s="259"/>
      <c r="FZ3" s="259"/>
      <c r="GA3" s="259"/>
      <c r="GB3" s="259"/>
      <c r="GC3" s="259"/>
      <c r="GD3" s="259"/>
      <c r="GE3" s="259"/>
      <c r="GF3" s="259"/>
      <c r="GG3" s="259"/>
      <c r="GH3" s="259"/>
      <c r="GI3" s="259"/>
      <c r="GJ3" s="259"/>
      <c r="GK3" s="259"/>
      <c r="GL3" s="259"/>
      <c r="GM3" s="259"/>
      <c r="GN3" s="259"/>
      <c r="GO3" s="259"/>
      <c r="GP3" s="259"/>
      <c r="GQ3" s="259"/>
      <c r="GR3" s="259"/>
      <c r="GS3" s="259"/>
      <c r="GT3" s="259"/>
      <c r="GU3" s="259"/>
      <c r="GV3" s="259"/>
      <c r="GW3" s="259"/>
      <c r="GX3" s="259"/>
      <c r="GY3" s="259"/>
      <c r="GZ3" s="259"/>
      <c r="HA3" s="259"/>
      <c r="HB3" s="259"/>
      <c r="HC3" s="259"/>
      <c r="HD3" s="259"/>
      <c r="HE3" s="259"/>
      <c r="HF3" s="259"/>
      <c r="HG3" s="259"/>
      <c r="HH3" s="259"/>
      <c r="HI3" s="259"/>
      <c r="HJ3" s="259"/>
      <c r="HK3" s="259"/>
      <c r="HL3" s="259"/>
      <c r="HM3" s="259"/>
      <c r="HN3" s="259"/>
      <c r="HO3" s="259"/>
      <c r="HP3" s="259"/>
      <c r="HQ3" s="259"/>
      <c r="HR3" s="259"/>
      <c r="HS3" s="259"/>
      <c r="HT3" s="259"/>
      <c r="HU3" s="259"/>
      <c r="HV3" s="259"/>
      <c r="HW3" s="259"/>
      <c r="HX3" s="259"/>
      <c r="HY3" s="259"/>
      <c r="HZ3" s="259"/>
      <c r="IA3" s="259"/>
      <c r="IB3" s="259"/>
      <c r="IC3" s="259"/>
      <c r="ID3" s="259"/>
      <c r="IE3" s="259"/>
      <c r="IF3" s="259"/>
      <c r="IG3" s="259"/>
      <c r="IH3" s="259"/>
      <c r="II3" s="259"/>
      <c r="IJ3" s="259"/>
      <c r="IK3" s="259"/>
      <c r="IL3" s="259"/>
      <c r="IM3" s="259"/>
      <c r="IN3" s="259"/>
      <c r="IO3" s="259"/>
      <c r="IP3" s="259"/>
      <c r="IQ3" s="259"/>
      <c r="IR3" s="259"/>
      <c r="IS3" s="259"/>
      <c r="IT3" s="259"/>
      <c r="IU3" s="259"/>
      <c r="IV3" s="259"/>
      <c r="IW3" s="259"/>
    </row>
    <row r="4" spans="2:257" ht="30" customHeight="1">
      <c r="C4" s="2622"/>
      <c r="D4" s="2623"/>
      <c r="E4" s="2623"/>
      <c r="F4" s="2623"/>
      <c r="G4" s="2623"/>
      <c r="H4" s="2623"/>
      <c r="I4" s="2623"/>
      <c r="J4" s="2623"/>
      <c r="K4" s="2623"/>
      <c r="L4" s="2623"/>
      <c r="M4" s="2623"/>
      <c r="N4" s="2623"/>
      <c r="O4" s="2623"/>
      <c r="P4" s="2623"/>
      <c r="Q4" s="2623"/>
      <c r="R4" s="2623"/>
      <c r="S4" s="2623"/>
      <c r="T4" s="2623"/>
      <c r="U4" s="2623"/>
      <c r="V4" s="2623"/>
      <c r="W4" s="2623"/>
      <c r="X4" s="2623"/>
      <c r="Y4" s="2623"/>
      <c r="Z4" s="2623"/>
      <c r="AA4" s="2623"/>
      <c r="AB4" s="2623"/>
      <c r="AC4" s="2623"/>
      <c r="AD4" s="2624"/>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259"/>
      <c r="EQ4" s="259"/>
      <c r="ER4" s="259"/>
      <c r="ES4" s="259"/>
      <c r="ET4" s="259"/>
      <c r="EU4" s="259"/>
      <c r="EV4" s="259"/>
      <c r="EW4" s="259"/>
      <c r="EX4" s="259"/>
      <c r="EY4" s="259"/>
      <c r="EZ4" s="259"/>
      <c r="FA4" s="259"/>
      <c r="FB4" s="259"/>
      <c r="FC4" s="259"/>
      <c r="FD4" s="259"/>
      <c r="FE4" s="259"/>
      <c r="FF4" s="259"/>
      <c r="FG4" s="259"/>
      <c r="FH4" s="259"/>
      <c r="FI4" s="259"/>
      <c r="FJ4" s="259"/>
      <c r="FK4" s="259"/>
      <c r="FL4" s="259"/>
      <c r="FM4" s="259"/>
      <c r="FN4" s="259"/>
      <c r="FO4" s="259"/>
      <c r="FP4" s="259"/>
      <c r="FQ4" s="259"/>
      <c r="FR4" s="259"/>
      <c r="FS4" s="259"/>
      <c r="FT4" s="259"/>
      <c r="FU4" s="259"/>
      <c r="FV4" s="259"/>
      <c r="FW4" s="259"/>
      <c r="FX4" s="259"/>
      <c r="FY4" s="259"/>
      <c r="FZ4" s="259"/>
      <c r="GA4" s="259"/>
      <c r="GB4" s="259"/>
      <c r="GC4" s="259"/>
      <c r="GD4" s="259"/>
      <c r="GE4" s="259"/>
      <c r="GF4" s="259"/>
      <c r="GG4" s="259"/>
      <c r="GH4" s="259"/>
      <c r="GI4" s="259"/>
      <c r="GJ4" s="259"/>
      <c r="GK4" s="259"/>
      <c r="GL4" s="259"/>
      <c r="GM4" s="259"/>
      <c r="GN4" s="259"/>
      <c r="GO4" s="259"/>
      <c r="GP4" s="259"/>
      <c r="GQ4" s="259"/>
      <c r="GR4" s="259"/>
      <c r="GS4" s="259"/>
      <c r="GT4" s="259"/>
      <c r="GU4" s="259"/>
      <c r="GV4" s="259"/>
      <c r="GW4" s="259"/>
      <c r="GX4" s="259"/>
      <c r="GY4" s="259"/>
      <c r="GZ4" s="259"/>
      <c r="HA4" s="259"/>
      <c r="HB4" s="259"/>
      <c r="HC4" s="259"/>
      <c r="HD4" s="259"/>
      <c r="HE4" s="259"/>
      <c r="HF4" s="259"/>
      <c r="HG4" s="259"/>
      <c r="HH4" s="259"/>
      <c r="HI4" s="259"/>
      <c r="HJ4" s="259"/>
      <c r="HK4" s="259"/>
      <c r="HL4" s="259"/>
      <c r="HM4" s="259"/>
      <c r="HN4" s="259"/>
      <c r="HO4" s="259"/>
      <c r="HP4" s="259"/>
      <c r="HQ4" s="259"/>
      <c r="HR4" s="259"/>
      <c r="HS4" s="259"/>
      <c r="HT4" s="259"/>
      <c r="HU4" s="259"/>
      <c r="HV4" s="259"/>
      <c r="HW4" s="259"/>
      <c r="HX4" s="259"/>
      <c r="HY4" s="259"/>
      <c r="HZ4" s="259"/>
      <c r="IA4" s="259"/>
      <c r="IB4" s="259"/>
      <c r="IC4" s="259"/>
      <c r="ID4" s="259"/>
      <c r="IE4" s="259"/>
      <c r="IF4" s="259"/>
      <c r="IG4" s="259"/>
      <c r="IH4" s="259"/>
      <c r="II4" s="259"/>
      <c r="IJ4" s="259"/>
      <c r="IK4" s="259"/>
      <c r="IL4" s="259"/>
      <c r="IM4" s="259"/>
      <c r="IN4" s="259"/>
      <c r="IO4" s="259"/>
      <c r="IP4" s="259"/>
      <c r="IQ4" s="259"/>
      <c r="IR4" s="259"/>
      <c r="IS4" s="259"/>
      <c r="IT4" s="259"/>
      <c r="IU4" s="259"/>
      <c r="IV4" s="259"/>
      <c r="IW4" s="259"/>
    </row>
    <row r="5" spans="2:257" ht="30" customHeight="1">
      <c r="C5" s="2622"/>
      <c r="D5" s="2623"/>
      <c r="E5" s="2623"/>
      <c r="F5" s="2623"/>
      <c r="G5" s="2623"/>
      <c r="H5" s="2623"/>
      <c r="I5" s="2623"/>
      <c r="J5" s="2623"/>
      <c r="K5" s="2623"/>
      <c r="L5" s="2623"/>
      <c r="M5" s="2623"/>
      <c r="N5" s="2623"/>
      <c r="O5" s="2623"/>
      <c r="P5" s="2623"/>
      <c r="Q5" s="2623"/>
      <c r="R5" s="2623"/>
      <c r="S5" s="2623"/>
      <c r="T5" s="2623"/>
      <c r="U5" s="2623"/>
      <c r="V5" s="2623"/>
      <c r="W5" s="2623"/>
      <c r="X5" s="2623"/>
      <c r="Y5" s="2623"/>
      <c r="Z5" s="2623"/>
      <c r="AA5" s="2623"/>
      <c r="AB5" s="2623"/>
      <c r="AC5" s="2623"/>
      <c r="AD5" s="2624"/>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CY5" s="259"/>
      <c r="CZ5" s="259"/>
      <c r="DA5" s="259"/>
      <c r="DB5" s="259"/>
      <c r="DC5" s="259"/>
      <c r="DD5" s="259"/>
      <c r="DE5" s="259"/>
      <c r="DF5" s="259"/>
      <c r="DG5" s="259"/>
      <c r="DH5" s="259"/>
      <c r="DI5" s="259"/>
      <c r="DJ5" s="259"/>
      <c r="DK5" s="259"/>
      <c r="DL5" s="259"/>
      <c r="DM5" s="259"/>
      <c r="DN5" s="259"/>
      <c r="DO5" s="259"/>
      <c r="DP5" s="259"/>
      <c r="DQ5" s="259"/>
      <c r="DR5" s="259"/>
      <c r="DS5" s="259"/>
      <c r="DT5" s="259"/>
      <c r="DU5" s="259"/>
      <c r="DV5" s="259"/>
      <c r="DW5" s="259"/>
      <c r="DX5" s="259"/>
      <c r="DY5" s="259"/>
      <c r="DZ5" s="259"/>
      <c r="EA5" s="259"/>
      <c r="EB5" s="259"/>
      <c r="EC5" s="259"/>
      <c r="ED5" s="259"/>
      <c r="EE5" s="259"/>
      <c r="EF5" s="259"/>
      <c r="EG5" s="259"/>
      <c r="EH5" s="259"/>
      <c r="EI5" s="259"/>
      <c r="EJ5" s="259"/>
      <c r="EK5" s="259"/>
      <c r="EL5" s="259"/>
      <c r="EM5" s="259"/>
      <c r="EN5" s="259"/>
      <c r="EO5" s="259"/>
      <c r="EP5" s="259"/>
      <c r="EQ5" s="259"/>
      <c r="ER5" s="259"/>
      <c r="ES5" s="259"/>
      <c r="ET5" s="259"/>
      <c r="EU5" s="259"/>
      <c r="EV5" s="259"/>
      <c r="EW5" s="259"/>
      <c r="EX5" s="259"/>
      <c r="EY5" s="259"/>
      <c r="EZ5" s="259"/>
      <c r="FA5" s="259"/>
      <c r="FB5" s="259"/>
      <c r="FC5" s="259"/>
      <c r="FD5" s="259"/>
      <c r="FE5" s="259"/>
      <c r="FF5" s="259"/>
      <c r="FG5" s="259"/>
      <c r="FH5" s="259"/>
      <c r="FI5" s="259"/>
      <c r="FJ5" s="259"/>
      <c r="FK5" s="259"/>
      <c r="FL5" s="259"/>
      <c r="FM5" s="259"/>
      <c r="FN5" s="259"/>
      <c r="FO5" s="259"/>
      <c r="FP5" s="259"/>
      <c r="FQ5" s="259"/>
      <c r="FR5" s="259"/>
      <c r="FS5" s="259"/>
      <c r="FT5" s="259"/>
      <c r="FU5" s="259"/>
      <c r="FV5" s="259"/>
      <c r="FW5" s="259"/>
      <c r="FX5" s="259"/>
      <c r="FY5" s="259"/>
      <c r="FZ5" s="259"/>
      <c r="GA5" s="259"/>
      <c r="GB5" s="259"/>
      <c r="GC5" s="259"/>
      <c r="GD5" s="259"/>
      <c r="GE5" s="259"/>
      <c r="GF5" s="259"/>
      <c r="GG5" s="259"/>
      <c r="GH5" s="259"/>
      <c r="GI5" s="259"/>
      <c r="GJ5" s="259"/>
      <c r="GK5" s="259"/>
      <c r="GL5" s="259"/>
      <c r="GM5" s="259"/>
      <c r="GN5" s="259"/>
      <c r="GO5" s="259"/>
      <c r="GP5" s="259"/>
      <c r="GQ5" s="259"/>
      <c r="GR5" s="259"/>
      <c r="GS5" s="259"/>
      <c r="GT5" s="259"/>
      <c r="GU5" s="259"/>
      <c r="GV5" s="259"/>
      <c r="GW5" s="259"/>
      <c r="GX5" s="259"/>
      <c r="GY5" s="259"/>
      <c r="GZ5" s="259"/>
      <c r="HA5" s="259"/>
      <c r="HB5" s="259"/>
      <c r="HC5" s="259"/>
      <c r="HD5" s="259"/>
      <c r="HE5" s="259"/>
      <c r="HF5" s="259"/>
      <c r="HG5" s="259"/>
      <c r="HH5" s="259"/>
      <c r="HI5" s="259"/>
      <c r="HJ5" s="259"/>
      <c r="HK5" s="259"/>
      <c r="HL5" s="259"/>
      <c r="HM5" s="259"/>
      <c r="HN5" s="259"/>
      <c r="HO5" s="259"/>
      <c r="HP5" s="259"/>
      <c r="HQ5" s="259"/>
      <c r="HR5" s="259"/>
      <c r="HS5" s="259"/>
      <c r="HT5" s="259"/>
      <c r="HU5" s="259"/>
      <c r="HV5" s="259"/>
      <c r="HW5" s="259"/>
      <c r="HX5" s="259"/>
      <c r="HY5" s="259"/>
      <c r="HZ5" s="259"/>
      <c r="IA5" s="259"/>
      <c r="IB5" s="259"/>
      <c r="IC5" s="259"/>
      <c r="ID5" s="259"/>
      <c r="IE5" s="259"/>
      <c r="IF5" s="259"/>
      <c r="IG5" s="259"/>
      <c r="IH5" s="259"/>
      <c r="II5" s="259"/>
      <c r="IJ5" s="259"/>
      <c r="IK5" s="259"/>
      <c r="IL5" s="259"/>
      <c r="IM5" s="259"/>
      <c r="IN5" s="259"/>
      <c r="IO5" s="259"/>
      <c r="IP5" s="259"/>
      <c r="IQ5" s="259"/>
      <c r="IR5" s="259"/>
      <c r="IS5" s="259"/>
      <c r="IT5" s="259"/>
      <c r="IU5" s="259"/>
      <c r="IV5" s="259"/>
      <c r="IW5" s="259"/>
    </row>
    <row r="6" spans="2:257" ht="35.1" customHeight="1">
      <c r="C6" s="2625"/>
      <c r="D6" s="2626"/>
      <c r="E6" s="2626"/>
      <c r="F6" s="2626"/>
      <c r="G6" s="2626"/>
      <c r="H6" s="2626"/>
      <c r="I6" s="2626"/>
      <c r="J6" s="2626"/>
      <c r="K6" s="2626"/>
      <c r="L6" s="2626"/>
      <c r="M6" s="2626"/>
      <c r="N6" s="2626"/>
      <c r="O6" s="2626"/>
      <c r="P6" s="2626"/>
      <c r="Q6" s="2626"/>
      <c r="R6" s="2626"/>
      <c r="S6" s="2626"/>
      <c r="T6" s="2626"/>
      <c r="U6" s="2626"/>
      <c r="V6" s="2626"/>
      <c r="W6" s="2626"/>
      <c r="X6" s="2626"/>
      <c r="Y6" s="2626"/>
      <c r="Z6" s="2626"/>
      <c r="AA6" s="2626"/>
      <c r="AB6" s="2626"/>
      <c r="AC6" s="2626"/>
      <c r="AD6" s="2627"/>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c r="DM6" s="259"/>
      <c r="DN6" s="259"/>
      <c r="DO6" s="259"/>
      <c r="DP6" s="259"/>
      <c r="DQ6" s="259"/>
      <c r="DR6" s="259"/>
      <c r="DS6" s="259"/>
      <c r="DT6" s="259"/>
      <c r="DU6" s="259"/>
      <c r="DV6" s="259"/>
      <c r="DW6" s="259"/>
      <c r="DX6" s="259"/>
      <c r="DY6" s="259"/>
      <c r="DZ6" s="259"/>
      <c r="EA6" s="259"/>
      <c r="EB6" s="259"/>
      <c r="EC6" s="259"/>
      <c r="ED6" s="259"/>
      <c r="EE6" s="259"/>
      <c r="EF6" s="259"/>
      <c r="EG6" s="259"/>
      <c r="EH6" s="259"/>
      <c r="EI6" s="259"/>
      <c r="EJ6" s="259"/>
      <c r="EK6" s="259"/>
      <c r="EL6" s="259"/>
      <c r="EM6" s="259"/>
      <c r="EN6" s="259"/>
      <c r="EO6" s="259"/>
      <c r="EP6" s="259"/>
      <c r="EQ6" s="259"/>
      <c r="ER6" s="259"/>
      <c r="ES6" s="259"/>
      <c r="ET6" s="259"/>
      <c r="EU6" s="259"/>
      <c r="EV6" s="259"/>
      <c r="EW6" s="259"/>
      <c r="EX6" s="259"/>
      <c r="EY6" s="259"/>
      <c r="EZ6" s="259"/>
      <c r="FA6" s="259"/>
      <c r="FB6" s="259"/>
      <c r="FC6" s="259"/>
      <c r="FD6" s="259"/>
      <c r="FE6" s="259"/>
      <c r="FF6" s="259"/>
      <c r="FG6" s="259"/>
      <c r="FH6" s="259"/>
      <c r="FI6" s="259"/>
      <c r="FJ6" s="259"/>
      <c r="FK6" s="259"/>
      <c r="FL6" s="259"/>
      <c r="FM6" s="259"/>
      <c r="FN6" s="259"/>
      <c r="FO6" s="259"/>
      <c r="FP6" s="259"/>
      <c r="FQ6" s="259"/>
      <c r="FR6" s="259"/>
      <c r="FS6" s="259"/>
      <c r="FT6" s="259"/>
      <c r="FU6" s="259"/>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c r="GW6" s="259"/>
      <c r="GX6" s="259"/>
      <c r="GY6" s="259"/>
      <c r="GZ6" s="259"/>
      <c r="HA6" s="259"/>
      <c r="HB6" s="259"/>
      <c r="HC6" s="259"/>
      <c r="HD6" s="259"/>
      <c r="HE6" s="259"/>
      <c r="HF6" s="259"/>
      <c r="HG6" s="259"/>
      <c r="HH6" s="259"/>
      <c r="HI6" s="259"/>
      <c r="HJ6" s="259"/>
      <c r="HK6" s="259"/>
      <c r="HL6" s="259"/>
      <c r="HM6" s="259"/>
      <c r="HN6" s="259"/>
      <c r="HO6" s="259"/>
      <c r="HP6" s="259"/>
      <c r="HQ6" s="259"/>
      <c r="HR6" s="259"/>
      <c r="HS6" s="259"/>
      <c r="HT6" s="259"/>
      <c r="HU6" s="259"/>
      <c r="HV6" s="259"/>
      <c r="HW6" s="259"/>
      <c r="HX6" s="259"/>
      <c r="HY6" s="259"/>
      <c r="HZ6" s="259"/>
      <c r="IA6" s="259"/>
      <c r="IB6" s="259"/>
      <c r="IC6" s="259"/>
      <c r="ID6" s="259"/>
      <c r="IE6" s="259"/>
      <c r="IF6" s="259"/>
      <c r="IG6" s="259"/>
      <c r="IH6" s="259"/>
      <c r="II6" s="259"/>
      <c r="IJ6" s="259"/>
      <c r="IK6" s="259"/>
      <c r="IL6" s="259"/>
      <c r="IM6" s="259"/>
      <c r="IN6" s="259"/>
      <c r="IO6" s="259"/>
      <c r="IP6" s="259"/>
      <c r="IQ6" s="259"/>
      <c r="IR6" s="259"/>
      <c r="IS6" s="259"/>
      <c r="IT6" s="259"/>
      <c r="IU6" s="259"/>
      <c r="IV6" s="259"/>
      <c r="IW6" s="259"/>
    </row>
    <row r="7" spans="2:257" ht="35.1" customHeight="1" thickBot="1">
      <c r="C7" s="2628"/>
      <c r="D7" s="2629"/>
      <c r="E7" s="2629"/>
      <c r="F7" s="2629"/>
      <c r="G7" s="2629"/>
      <c r="H7" s="2629"/>
      <c r="I7" s="2629"/>
      <c r="J7" s="2629"/>
      <c r="K7" s="2629"/>
      <c r="L7" s="2629"/>
      <c r="M7" s="2629"/>
      <c r="N7" s="2629"/>
      <c r="O7" s="2629"/>
      <c r="P7" s="2629"/>
      <c r="Q7" s="2629"/>
      <c r="R7" s="2629"/>
      <c r="S7" s="2629"/>
      <c r="T7" s="2629"/>
      <c r="U7" s="2629"/>
      <c r="V7" s="2629"/>
      <c r="W7" s="2629"/>
      <c r="X7" s="2629"/>
      <c r="Y7" s="2629"/>
      <c r="Z7" s="2629"/>
      <c r="AA7" s="2629"/>
      <c r="AB7" s="2629"/>
      <c r="AC7" s="2629"/>
      <c r="AD7" s="2630"/>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c r="FL7" s="259"/>
      <c r="FM7" s="259"/>
      <c r="FN7" s="259"/>
      <c r="FO7" s="259"/>
      <c r="FP7" s="259"/>
      <c r="FQ7" s="259"/>
      <c r="FR7" s="259"/>
      <c r="FS7" s="259"/>
      <c r="FT7" s="259"/>
      <c r="FU7" s="259"/>
      <c r="FV7" s="259"/>
      <c r="FW7" s="259"/>
      <c r="FX7" s="259"/>
      <c r="FY7" s="259"/>
      <c r="FZ7" s="259"/>
      <c r="GA7" s="259"/>
      <c r="GB7" s="259"/>
      <c r="GC7" s="259"/>
      <c r="GD7" s="259"/>
      <c r="GE7" s="259"/>
      <c r="GF7" s="259"/>
      <c r="GG7" s="259"/>
      <c r="GH7" s="259"/>
      <c r="GI7" s="259"/>
      <c r="GJ7" s="259"/>
      <c r="GK7" s="259"/>
      <c r="GL7" s="259"/>
      <c r="GM7" s="259"/>
      <c r="GN7" s="259"/>
      <c r="GO7" s="259"/>
      <c r="GP7" s="259"/>
      <c r="GQ7" s="259"/>
      <c r="GR7" s="259"/>
      <c r="GS7" s="259"/>
      <c r="GT7" s="259"/>
      <c r="GU7" s="259"/>
      <c r="GV7" s="259"/>
      <c r="GW7" s="259"/>
      <c r="GX7" s="259"/>
      <c r="GY7" s="259"/>
      <c r="GZ7" s="259"/>
      <c r="HA7" s="259"/>
      <c r="HB7" s="259"/>
      <c r="HC7" s="259"/>
      <c r="HD7" s="259"/>
      <c r="HE7" s="259"/>
      <c r="HF7" s="259"/>
      <c r="HG7" s="259"/>
      <c r="HH7" s="259"/>
      <c r="HI7" s="259"/>
      <c r="HJ7" s="259"/>
      <c r="HK7" s="259"/>
      <c r="HL7" s="259"/>
      <c r="HM7" s="259"/>
      <c r="HN7" s="259"/>
      <c r="HO7" s="259"/>
      <c r="HP7" s="259"/>
      <c r="HQ7" s="259"/>
      <c r="HR7" s="259"/>
      <c r="HS7" s="259"/>
      <c r="HT7" s="259"/>
      <c r="HU7" s="259"/>
      <c r="HV7" s="259"/>
      <c r="HW7" s="259"/>
      <c r="HX7" s="259"/>
      <c r="HY7" s="259"/>
      <c r="HZ7" s="259"/>
      <c r="IA7" s="259"/>
      <c r="IB7" s="259"/>
      <c r="IC7" s="259"/>
      <c r="ID7" s="259"/>
      <c r="IE7" s="259"/>
      <c r="IF7" s="259"/>
      <c r="IG7" s="259"/>
      <c r="IH7" s="259"/>
      <c r="II7" s="259"/>
      <c r="IJ7" s="259"/>
      <c r="IK7" s="259"/>
      <c r="IL7" s="259"/>
      <c r="IM7" s="259"/>
      <c r="IN7" s="259"/>
      <c r="IO7" s="259"/>
      <c r="IP7" s="259"/>
      <c r="IQ7" s="259"/>
      <c r="IR7" s="259"/>
      <c r="IS7" s="259"/>
      <c r="IT7" s="259"/>
      <c r="IU7" s="259"/>
      <c r="IV7" s="259"/>
      <c r="IW7" s="259"/>
    </row>
    <row r="8" spans="2:257" ht="22.5" customHeight="1">
      <c r="C8" s="953" t="s">
        <v>5</v>
      </c>
      <c r="D8" s="2635" t="str">
        <f>'ORÇAMENTO '!G11</f>
        <v xml:space="preserve">ESCOLA MUNICIPAL DOMINGOS AZZOLINI </v>
      </c>
      <c r="E8" s="2635"/>
      <c r="F8" s="2635"/>
      <c r="G8" s="2635"/>
      <c r="H8" s="2635"/>
      <c r="I8" s="2635"/>
      <c r="J8" s="2635"/>
      <c r="K8" s="2635"/>
      <c r="L8" s="2635"/>
      <c r="M8" s="2635"/>
      <c r="N8" s="2635"/>
      <c r="O8" s="2635"/>
      <c r="P8" s="2635"/>
      <c r="Q8" s="2635"/>
      <c r="R8" s="2635"/>
      <c r="S8" s="2635"/>
      <c r="T8" s="2635"/>
      <c r="U8" s="2635"/>
      <c r="V8" s="2635"/>
      <c r="W8" s="2635"/>
      <c r="X8" s="2635"/>
      <c r="Y8" s="2635"/>
      <c r="Z8" s="2635"/>
      <c r="AA8" s="2635"/>
      <c r="AB8" s="2635"/>
      <c r="AC8" s="2635"/>
      <c r="AD8" s="2636"/>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c r="DM8" s="259"/>
      <c r="DN8" s="259"/>
      <c r="DO8" s="259"/>
      <c r="DP8" s="259"/>
      <c r="DQ8" s="259"/>
      <c r="DR8" s="259"/>
      <c r="DS8" s="259"/>
      <c r="DT8" s="259"/>
      <c r="DU8" s="259"/>
      <c r="DV8" s="259"/>
      <c r="DW8" s="259"/>
      <c r="DX8" s="259"/>
      <c r="DY8" s="259"/>
      <c r="DZ8" s="259"/>
      <c r="EA8" s="259"/>
      <c r="EB8" s="259"/>
      <c r="EC8" s="259"/>
      <c r="ED8" s="259"/>
      <c r="EE8" s="259"/>
      <c r="EF8" s="259"/>
      <c r="EG8" s="259"/>
      <c r="EH8" s="259"/>
      <c r="EI8" s="259"/>
      <c r="EJ8" s="259"/>
      <c r="EK8" s="259"/>
      <c r="EL8" s="259"/>
      <c r="EM8" s="259"/>
      <c r="EN8" s="259"/>
      <c r="EO8" s="259"/>
      <c r="EP8" s="259"/>
      <c r="EQ8" s="259"/>
      <c r="ER8" s="259"/>
      <c r="ES8" s="259"/>
      <c r="ET8" s="259"/>
      <c r="EU8" s="259"/>
      <c r="EV8" s="259"/>
      <c r="EW8" s="259"/>
      <c r="EX8" s="259"/>
      <c r="EY8" s="259"/>
      <c r="EZ8" s="259"/>
      <c r="FA8" s="259"/>
      <c r="FB8" s="259"/>
      <c r="FC8" s="259"/>
      <c r="FD8" s="259"/>
      <c r="FE8" s="259"/>
      <c r="FF8" s="259"/>
      <c r="FG8" s="259"/>
      <c r="FH8" s="259"/>
      <c r="FI8" s="259"/>
      <c r="FJ8" s="259"/>
      <c r="FK8" s="259"/>
      <c r="FL8" s="259"/>
      <c r="FM8" s="259"/>
      <c r="FN8" s="259"/>
      <c r="FO8" s="259"/>
      <c r="FP8" s="259"/>
      <c r="FQ8" s="259"/>
      <c r="FR8" s="259"/>
      <c r="FS8" s="259"/>
      <c r="FT8" s="259"/>
      <c r="FU8" s="259"/>
      <c r="FV8" s="259"/>
      <c r="FW8" s="259"/>
      <c r="FX8" s="259"/>
      <c r="FY8" s="259"/>
      <c r="FZ8" s="259"/>
      <c r="GA8" s="259"/>
      <c r="GB8" s="259"/>
      <c r="GC8" s="259"/>
      <c r="GD8" s="259"/>
      <c r="GE8" s="259"/>
      <c r="GF8" s="259"/>
      <c r="GG8" s="259"/>
      <c r="GH8" s="259"/>
      <c r="GI8" s="259"/>
      <c r="GJ8" s="259"/>
      <c r="GK8" s="259"/>
      <c r="GL8" s="259"/>
      <c r="GM8" s="259"/>
      <c r="GN8" s="259"/>
      <c r="GO8" s="259"/>
      <c r="GP8" s="259"/>
      <c r="GQ8" s="259"/>
      <c r="GR8" s="259"/>
      <c r="GS8" s="259"/>
      <c r="GT8" s="259"/>
      <c r="GU8" s="259"/>
      <c r="GV8" s="259"/>
      <c r="GW8" s="259"/>
      <c r="GX8" s="259"/>
      <c r="GY8" s="259"/>
      <c r="GZ8" s="259"/>
      <c r="HA8" s="259"/>
      <c r="HB8" s="259"/>
      <c r="HC8" s="259"/>
      <c r="HD8" s="259"/>
      <c r="HE8" s="259"/>
      <c r="HF8" s="259"/>
      <c r="HG8" s="259"/>
      <c r="HH8" s="259"/>
      <c r="HI8" s="259"/>
      <c r="HJ8" s="259"/>
      <c r="HK8" s="259"/>
      <c r="HL8" s="259"/>
      <c r="HM8" s="259"/>
      <c r="HN8" s="259"/>
      <c r="HO8" s="259"/>
      <c r="HP8" s="259"/>
      <c r="HQ8" s="259"/>
      <c r="HR8" s="259"/>
      <c r="HS8" s="259"/>
      <c r="HT8" s="259"/>
      <c r="HU8" s="259"/>
      <c r="HV8" s="259"/>
      <c r="HW8" s="259"/>
      <c r="HX8" s="259"/>
      <c r="HY8" s="259"/>
      <c r="HZ8" s="259"/>
      <c r="IA8" s="259"/>
      <c r="IB8" s="259"/>
      <c r="IC8" s="259"/>
      <c r="ID8" s="259"/>
      <c r="IE8" s="259"/>
      <c r="IF8" s="259"/>
      <c r="IG8" s="259"/>
      <c r="IH8" s="259"/>
      <c r="II8" s="259"/>
      <c r="IJ8" s="259"/>
      <c r="IK8" s="259"/>
      <c r="IL8" s="259"/>
      <c r="IM8" s="259"/>
      <c r="IN8" s="259"/>
      <c r="IO8" s="259"/>
      <c r="IP8" s="259"/>
      <c r="IQ8" s="259"/>
      <c r="IR8" s="259"/>
      <c r="IS8" s="259"/>
      <c r="IT8" s="259"/>
      <c r="IU8" s="259"/>
      <c r="IV8" s="259"/>
      <c r="IW8" s="259"/>
    </row>
    <row r="9" spans="2:257" ht="16.5" customHeight="1">
      <c r="C9" s="953" t="s">
        <v>7</v>
      </c>
      <c r="D9" s="2635" t="str">
        <f>'ORÇAMENTO '!G12</f>
        <v>SANTO ANTONIO DO LESTE</v>
      </c>
      <c r="E9" s="2635"/>
      <c r="F9" s="2635"/>
      <c r="G9" s="2635"/>
      <c r="H9" s="2635"/>
      <c r="I9" s="2635"/>
      <c r="J9" s="2635"/>
      <c r="K9" s="2635"/>
      <c r="L9" s="2635"/>
      <c r="M9" s="2635"/>
      <c r="N9" s="2635"/>
      <c r="O9" s="2635"/>
      <c r="P9" s="2635"/>
      <c r="Q9" s="2635"/>
      <c r="R9" s="2635"/>
      <c r="S9" s="2635"/>
      <c r="T9" s="2635"/>
      <c r="U9" s="2635"/>
      <c r="V9" s="2635"/>
      <c r="W9" s="2635"/>
      <c r="X9" s="2635"/>
      <c r="Y9" s="2635"/>
      <c r="Z9" s="2635"/>
      <c r="AA9" s="2635"/>
      <c r="AB9" s="2635"/>
      <c r="AC9" s="2635"/>
      <c r="AD9" s="2636"/>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c r="CG9" s="259"/>
      <c r="CH9" s="259"/>
      <c r="CI9" s="259"/>
      <c r="CJ9" s="259"/>
      <c r="CK9" s="259"/>
      <c r="CL9" s="259"/>
      <c r="CM9" s="259"/>
      <c r="CN9" s="259"/>
      <c r="CO9" s="259"/>
      <c r="CP9" s="259"/>
      <c r="CQ9" s="259"/>
      <c r="CR9" s="259"/>
      <c r="CS9" s="259"/>
      <c r="CT9" s="259"/>
      <c r="CU9" s="259"/>
      <c r="CV9" s="259"/>
      <c r="CW9" s="259"/>
      <c r="CX9" s="259"/>
      <c r="CY9" s="259"/>
      <c r="CZ9" s="259"/>
      <c r="DA9" s="259"/>
      <c r="DB9" s="259"/>
      <c r="DC9" s="259"/>
      <c r="DD9" s="259"/>
      <c r="DE9" s="259"/>
      <c r="DF9" s="259"/>
      <c r="DG9" s="259"/>
      <c r="DH9" s="259"/>
      <c r="DI9" s="259"/>
      <c r="DJ9" s="259"/>
      <c r="DK9" s="259"/>
      <c r="DL9" s="259"/>
      <c r="DM9" s="259"/>
      <c r="DN9" s="259"/>
      <c r="DO9" s="259"/>
      <c r="DP9" s="259"/>
      <c r="DQ9" s="259"/>
      <c r="DR9" s="259"/>
      <c r="DS9" s="259"/>
      <c r="DT9" s="259"/>
      <c r="DU9" s="259"/>
      <c r="DV9" s="259"/>
      <c r="DW9" s="259"/>
      <c r="DX9" s="259"/>
      <c r="DY9" s="259"/>
      <c r="DZ9" s="259"/>
      <c r="EA9" s="259"/>
      <c r="EB9" s="259"/>
      <c r="EC9" s="259"/>
      <c r="ED9" s="259"/>
      <c r="EE9" s="259"/>
      <c r="EF9" s="259"/>
      <c r="EG9" s="259"/>
      <c r="EH9" s="259"/>
      <c r="EI9" s="259"/>
      <c r="EJ9" s="259"/>
      <c r="EK9" s="259"/>
      <c r="EL9" s="259"/>
      <c r="EM9" s="259"/>
      <c r="EN9" s="259"/>
      <c r="EO9" s="259"/>
      <c r="EP9" s="259"/>
      <c r="EQ9" s="259"/>
      <c r="ER9" s="259"/>
      <c r="ES9" s="259"/>
      <c r="ET9" s="259"/>
      <c r="EU9" s="259"/>
      <c r="EV9" s="259"/>
      <c r="EW9" s="259"/>
      <c r="EX9" s="259"/>
      <c r="EY9" s="259"/>
      <c r="EZ9" s="259"/>
      <c r="FA9" s="259"/>
      <c r="FB9" s="259"/>
      <c r="FC9" s="259"/>
      <c r="FD9" s="259"/>
      <c r="FE9" s="259"/>
      <c r="FF9" s="259"/>
      <c r="FG9" s="259"/>
      <c r="FH9" s="259"/>
      <c r="FI9" s="259"/>
      <c r="FJ9" s="259"/>
      <c r="FK9" s="259"/>
      <c r="FL9" s="259"/>
      <c r="FM9" s="259"/>
      <c r="FN9" s="259"/>
      <c r="FO9" s="259"/>
      <c r="FP9" s="259"/>
      <c r="FQ9" s="259"/>
      <c r="FR9" s="259"/>
      <c r="FS9" s="259"/>
      <c r="FT9" s="259"/>
      <c r="FU9" s="259"/>
      <c r="FV9" s="259"/>
      <c r="FW9" s="259"/>
      <c r="FX9" s="259"/>
      <c r="FY9" s="259"/>
      <c r="FZ9" s="259"/>
      <c r="GA9" s="259"/>
      <c r="GB9" s="259"/>
      <c r="GC9" s="259"/>
      <c r="GD9" s="259"/>
      <c r="GE9" s="259"/>
      <c r="GF9" s="259"/>
      <c r="GG9" s="259"/>
      <c r="GH9" s="259"/>
      <c r="GI9" s="259"/>
      <c r="GJ9" s="259"/>
      <c r="GK9" s="259"/>
      <c r="GL9" s="259"/>
      <c r="GM9" s="259"/>
      <c r="GN9" s="259"/>
      <c r="GO9" s="259"/>
      <c r="GP9" s="259"/>
      <c r="GQ9" s="259"/>
      <c r="GR9" s="259"/>
      <c r="GS9" s="259"/>
      <c r="GT9" s="259"/>
      <c r="GU9" s="259"/>
      <c r="GV9" s="259"/>
      <c r="GW9" s="259"/>
      <c r="GX9" s="259"/>
      <c r="GY9" s="259"/>
      <c r="GZ9" s="259"/>
      <c r="HA9" s="259"/>
      <c r="HB9" s="259"/>
      <c r="HC9" s="259"/>
      <c r="HD9" s="259"/>
      <c r="HE9" s="259"/>
      <c r="HF9" s="259"/>
      <c r="HG9" s="259"/>
      <c r="HH9" s="259"/>
      <c r="HI9" s="259"/>
      <c r="HJ9" s="259"/>
      <c r="HK9" s="259"/>
      <c r="HL9" s="259"/>
      <c r="HM9" s="259"/>
      <c r="HN9" s="259"/>
      <c r="HO9" s="259"/>
      <c r="HP9" s="259"/>
      <c r="HQ9" s="259"/>
      <c r="HR9" s="259"/>
      <c r="HS9" s="259"/>
      <c r="HT9" s="259"/>
      <c r="HU9" s="259"/>
      <c r="HV9" s="259"/>
      <c r="HW9" s="259"/>
      <c r="HX9" s="259"/>
      <c r="HY9" s="259"/>
      <c r="HZ9" s="259"/>
      <c r="IA9" s="259"/>
      <c r="IB9" s="259"/>
      <c r="IC9" s="259"/>
      <c r="ID9" s="259"/>
      <c r="IE9" s="259"/>
      <c r="IF9" s="259"/>
      <c r="IG9" s="259"/>
      <c r="IH9" s="259"/>
      <c r="II9" s="259"/>
      <c r="IJ9" s="259"/>
      <c r="IK9" s="259"/>
      <c r="IL9" s="259"/>
      <c r="IM9" s="259"/>
      <c r="IN9" s="259"/>
      <c r="IO9" s="259"/>
      <c r="IP9" s="259"/>
      <c r="IQ9" s="259"/>
      <c r="IR9" s="259"/>
      <c r="IS9" s="259"/>
      <c r="IT9" s="259"/>
      <c r="IU9" s="259"/>
      <c r="IV9" s="259"/>
      <c r="IW9" s="259"/>
    </row>
    <row r="10" spans="2:257" ht="15.75" customHeight="1" thickBot="1">
      <c r="C10" s="954" t="s">
        <v>6</v>
      </c>
      <c r="D10" s="2637">
        <f>'ORÇAMENTO '!N11</f>
        <v>45366</v>
      </c>
      <c r="E10" s="2637"/>
      <c r="F10" s="2637"/>
      <c r="G10" s="2637"/>
      <c r="H10" s="2637"/>
      <c r="I10" s="2637"/>
      <c r="J10" s="2637"/>
      <c r="K10" s="2637"/>
      <c r="L10" s="2637"/>
      <c r="M10" s="2637"/>
      <c r="N10" s="2637"/>
      <c r="O10" s="2637"/>
      <c r="P10" s="2637"/>
      <c r="Q10" s="2637"/>
      <c r="R10" s="2637"/>
      <c r="S10" s="2637"/>
      <c r="T10" s="2637"/>
      <c r="U10" s="2637"/>
      <c r="V10" s="2637"/>
      <c r="W10" s="2637"/>
      <c r="X10" s="2637"/>
      <c r="Y10" s="2637"/>
      <c r="Z10" s="2637"/>
      <c r="AA10" s="2637"/>
      <c r="AB10" s="2637"/>
      <c r="AC10" s="2637"/>
      <c r="AD10" s="2638"/>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c r="CG10" s="259"/>
      <c r="CH10" s="259"/>
      <c r="CI10" s="259"/>
      <c r="CJ10" s="259"/>
      <c r="CK10" s="259"/>
      <c r="CL10" s="259"/>
      <c r="CM10" s="259"/>
      <c r="CN10" s="259"/>
      <c r="CO10" s="259"/>
      <c r="CP10" s="259"/>
      <c r="CQ10" s="259"/>
      <c r="CR10" s="259"/>
      <c r="CS10" s="259"/>
      <c r="CT10" s="259"/>
      <c r="CU10" s="259"/>
      <c r="CV10" s="259"/>
      <c r="CW10" s="259"/>
      <c r="CX10" s="259"/>
      <c r="CY10" s="259"/>
      <c r="CZ10" s="259"/>
      <c r="DA10" s="259"/>
      <c r="DB10" s="259"/>
      <c r="DC10" s="259"/>
      <c r="DD10" s="259"/>
      <c r="DE10" s="259"/>
      <c r="DF10" s="259"/>
      <c r="DG10" s="259"/>
      <c r="DH10" s="259"/>
      <c r="DI10" s="259"/>
      <c r="DJ10" s="259"/>
      <c r="DK10" s="259"/>
      <c r="DL10" s="259"/>
      <c r="DM10" s="259"/>
      <c r="DN10" s="259"/>
      <c r="DO10" s="259"/>
      <c r="DP10" s="259"/>
      <c r="DQ10" s="259"/>
      <c r="DR10" s="259"/>
      <c r="DS10" s="259"/>
      <c r="DT10" s="259"/>
      <c r="DU10" s="259"/>
      <c r="DV10" s="259"/>
      <c r="DW10" s="259"/>
      <c r="DX10" s="259"/>
      <c r="DY10" s="259"/>
      <c r="DZ10" s="259"/>
      <c r="EA10" s="259"/>
      <c r="EB10" s="259"/>
      <c r="EC10" s="259"/>
      <c r="ED10" s="259"/>
      <c r="EE10" s="259"/>
      <c r="EF10" s="259"/>
      <c r="EG10" s="259"/>
      <c r="EH10" s="259"/>
      <c r="EI10" s="259"/>
      <c r="EJ10" s="259"/>
      <c r="EK10" s="259"/>
      <c r="EL10" s="259"/>
      <c r="EM10" s="259"/>
      <c r="EN10" s="259"/>
      <c r="EO10" s="259"/>
      <c r="EP10" s="259"/>
      <c r="EQ10" s="259"/>
      <c r="ER10" s="259"/>
      <c r="ES10" s="259"/>
      <c r="ET10" s="259"/>
      <c r="EU10" s="259"/>
      <c r="EV10" s="259"/>
      <c r="EW10" s="259"/>
      <c r="EX10" s="259"/>
      <c r="EY10" s="259"/>
      <c r="EZ10" s="259"/>
      <c r="FA10" s="259"/>
      <c r="FB10" s="259"/>
      <c r="FC10" s="259"/>
      <c r="FD10" s="259"/>
      <c r="FE10" s="259"/>
      <c r="FF10" s="259"/>
      <c r="FG10" s="259"/>
      <c r="FH10" s="259"/>
      <c r="FI10" s="259"/>
      <c r="FJ10" s="259"/>
      <c r="FK10" s="259"/>
      <c r="FL10" s="259"/>
      <c r="FM10" s="259"/>
      <c r="FN10" s="259"/>
      <c r="FO10" s="259"/>
      <c r="FP10" s="259"/>
      <c r="FQ10" s="259"/>
      <c r="FR10" s="259"/>
      <c r="FS10" s="259"/>
      <c r="FT10" s="259"/>
      <c r="FU10" s="259"/>
      <c r="FV10" s="259"/>
      <c r="FW10" s="259"/>
      <c r="FX10" s="259"/>
      <c r="FY10" s="259"/>
      <c r="FZ10" s="259"/>
      <c r="GA10" s="259"/>
      <c r="GB10" s="259"/>
      <c r="GC10" s="259"/>
      <c r="GD10" s="259"/>
      <c r="GE10" s="259"/>
      <c r="GF10" s="259"/>
      <c r="GG10" s="259"/>
      <c r="GH10" s="259"/>
      <c r="GI10" s="259"/>
      <c r="GJ10" s="259"/>
      <c r="GK10" s="259"/>
      <c r="GL10" s="259"/>
      <c r="GM10" s="259"/>
      <c r="GN10" s="259"/>
      <c r="GO10" s="259"/>
      <c r="GP10" s="259"/>
      <c r="GQ10" s="259"/>
      <c r="GR10" s="259"/>
      <c r="GS10" s="259"/>
      <c r="GT10" s="259"/>
      <c r="GU10" s="259"/>
      <c r="GV10" s="259"/>
      <c r="GW10" s="259"/>
      <c r="GX10" s="259"/>
      <c r="GY10" s="259"/>
      <c r="GZ10" s="259"/>
      <c r="HA10" s="259"/>
      <c r="HB10" s="259"/>
      <c r="HC10" s="259"/>
      <c r="HD10" s="259"/>
      <c r="HE10" s="259"/>
      <c r="HF10" s="259"/>
      <c r="HG10" s="259"/>
      <c r="HH10" s="259"/>
      <c r="HI10" s="259"/>
      <c r="HJ10" s="259"/>
      <c r="HK10" s="259"/>
      <c r="HL10" s="259"/>
      <c r="HM10" s="259"/>
      <c r="HN10" s="259"/>
      <c r="HO10" s="259"/>
      <c r="HP10" s="259"/>
      <c r="HQ10" s="259"/>
      <c r="HR10" s="259"/>
      <c r="HS10" s="259"/>
      <c r="HT10" s="259"/>
      <c r="HU10" s="259"/>
      <c r="HV10" s="259"/>
      <c r="HW10" s="259"/>
      <c r="HX10" s="259"/>
      <c r="HY10" s="259"/>
      <c r="HZ10" s="259"/>
      <c r="IA10" s="259"/>
      <c r="IB10" s="259"/>
      <c r="IC10" s="259"/>
      <c r="ID10" s="259"/>
      <c r="IE10" s="259"/>
      <c r="IF10" s="259"/>
      <c r="IG10" s="259"/>
      <c r="IH10" s="259"/>
      <c r="II10" s="259"/>
      <c r="IJ10" s="259"/>
      <c r="IK10" s="259"/>
      <c r="IL10" s="259"/>
      <c r="IM10" s="259"/>
      <c r="IN10" s="259"/>
      <c r="IO10" s="259"/>
      <c r="IP10" s="259"/>
      <c r="IQ10" s="259"/>
      <c r="IR10" s="259"/>
      <c r="IS10" s="259"/>
      <c r="IT10" s="259"/>
      <c r="IU10" s="259"/>
      <c r="IV10" s="259"/>
      <c r="IW10" s="259"/>
    </row>
    <row r="11" spans="2:257" s="764" customFormat="1" ht="24" thickBot="1">
      <c r="B11" s="765"/>
      <c r="C11" s="2632" t="s">
        <v>2181</v>
      </c>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4"/>
    </row>
    <row r="12" spans="2:257" s="766" customFormat="1" ht="5.25">
      <c r="B12" s="767"/>
      <c r="C12" s="945"/>
      <c r="D12" s="946"/>
      <c r="E12" s="946"/>
      <c r="F12" s="946"/>
      <c r="G12" s="946"/>
      <c r="H12" s="946"/>
      <c r="I12" s="946"/>
      <c r="J12" s="946"/>
      <c r="K12" s="946"/>
      <c r="L12" s="947"/>
      <c r="M12" s="948"/>
      <c r="N12" s="948"/>
      <c r="O12" s="948"/>
      <c r="P12" s="948"/>
      <c r="Q12" s="948"/>
      <c r="R12" s="948"/>
      <c r="S12" s="948"/>
      <c r="T12" s="948"/>
      <c r="U12" s="948"/>
      <c r="V12" s="948"/>
      <c r="W12" s="948"/>
      <c r="X12" s="948"/>
      <c r="Y12" s="948"/>
      <c r="Z12" s="948"/>
      <c r="AA12" s="948"/>
      <c r="AB12" s="948"/>
      <c r="AC12" s="948"/>
      <c r="AD12" s="949"/>
    </row>
    <row r="13" spans="2:257" ht="15.75">
      <c r="C13" s="950" t="s">
        <v>10</v>
      </c>
      <c r="D13" s="951" t="s">
        <v>12</v>
      </c>
      <c r="E13" s="951" t="s">
        <v>331</v>
      </c>
      <c r="F13" s="951" t="s">
        <v>332</v>
      </c>
      <c r="G13" s="951" t="s">
        <v>333</v>
      </c>
      <c r="H13" s="951" t="s">
        <v>332</v>
      </c>
      <c r="I13" s="951" t="s">
        <v>334</v>
      </c>
      <c r="J13" s="951" t="s">
        <v>332</v>
      </c>
      <c r="K13" s="951" t="s">
        <v>335</v>
      </c>
      <c r="L13" s="951" t="s">
        <v>332</v>
      </c>
      <c r="M13" s="951" t="s">
        <v>336</v>
      </c>
      <c r="N13" s="951" t="s">
        <v>332</v>
      </c>
      <c r="O13" s="951" t="s">
        <v>337</v>
      </c>
      <c r="P13" s="951" t="s">
        <v>332</v>
      </c>
      <c r="Q13" s="951" t="s">
        <v>338</v>
      </c>
      <c r="R13" s="951" t="s">
        <v>332</v>
      </c>
      <c r="S13" s="951" t="s">
        <v>339</v>
      </c>
      <c r="T13" s="951" t="s">
        <v>332</v>
      </c>
      <c r="U13" s="951" t="s">
        <v>340</v>
      </c>
      <c r="V13" s="951" t="s">
        <v>332</v>
      </c>
      <c r="W13" s="951" t="s">
        <v>341</v>
      </c>
      <c r="X13" s="951" t="s">
        <v>332</v>
      </c>
      <c r="Y13" s="951" t="s">
        <v>342</v>
      </c>
      <c r="Z13" s="951" t="s">
        <v>332</v>
      </c>
      <c r="AA13" s="951" t="s">
        <v>343</v>
      </c>
      <c r="AB13" s="951" t="s">
        <v>332</v>
      </c>
      <c r="AC13" s="951" t="s">
        <v>167</v>
      </c>
      <c r="AD13" s="951" t="s">
        <v>332</v>
      </c>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c r="CG13" s="259"/>
      <c r="CH13" s="259"/>
      <c r="CI13" s="259"/>
      <c r="CJ13" s="259"/>
      <c r="CK13" s="259"/>
      <c r="CL13" s="259"/>
      <c r="CM13" s="259"/>
      <c r="CN13" s="259"/>
      <c r="CO13" s="259"/>
      <c r="CP13" s="259"/>
      <c r="CQ13" s="259"/>
      <c r="CR13" s="259"/>
      <c r="CS13" s="259"/>
      <c r="CT13" s="259"/>
      <c r="CU13" s="259"/>
      <c r="CV13" s="259"/>
      <c r="CW13" s="259"/>
      <c r="CX13" s="259"/>
      <c r="CY13" s="259"/>
      <c r="CZ13" s="259"/>
      <c r="DA13" s="259"/>
      <c r="DB13" s="259"/>
      <c r="DC13" s="259"/>
      <c r="DD13" s="259"/>
      <c r="DE13" s="259"/>
      <c r="DF13" s="259"/>
      <c r="DG13" s="259"/>
      <c r="DH13" s="259"/>
      <c r="DI13" s="259"/>
      <c r="DJ13" s="259"/>
      <c r="DK13" s="259"/>
      <c r="DL13" s="259"/>
      <c r="DM13" s="259"/>
      <c r="DN13" s="259"/>
      <c r="DO13" s="259"/>
      <c r="DP13" s="259"/>
      <c r="DQ13" s="259"/>
      <c r="DR13" s="259"/>
      <c r="DS13" s="259"/>
      <c r="DT13" s="259"/>
      <c r="DU13" s="259"/>
      <c r="DV13" s="259"/>
      <c r="DW13" s="259"/>
      <c r="DX13" s="259"/>
      <c r="DY13" s="259"/>
      <c r="DZ13" s="259"/>
      <c r="EA13" s="259"/>
      <c r="EB13" s="259"/>
      <c r="EC13" s="259"/>
      <c r="ED13" s="259"/>
      <c r="EE13" s="259"/>
      <c r="EF13" s="259"/>
      <c r="EG13" s="259"/>
      <c r="EH13" s="259"/>
      <c r="EI13" s="259"/>
      <c r="EJ13" s="259"/>
      <c r="EK13" s="259"/>
      <c r="EL13" s="259"/>
      <c r="EM13" s="259"/>
      <c r="EN13" s="259"/>
      <c r="EO13" s="259"/>
      <c r="EP13" s="259"/>
      <c r="EQ13" s="259"/>
      <c r="ER13" s="259"/>
      <c r="ES13" s="259"/>
      <c r="ET13" s="259"/>
      <c r="EU13" s="259"/>
      <c r="EV13" s="259"/>
      <c r="EW13" s="259"/>
      <c r="EX13" s="259"/>
      <c r="EY13" s="259"/>
      <c r="EZ13" s="259"/>
      <c r="FA13" s="259"/>
      <c r="FB13" s="259"/>
      <c r="FC13" s="259"/>
      <c r="FD13" s="259"/>
      <c r="FE13" s="259"/>
      <c r="FF13" s="259"/>
      <c r="FG13" s="259"/>
      <c r="FH13" s="259"/>
      <c r="FI13" s="259"/>
      <c r="FJ13" s="259"/>
      <c r="FK13" s="259"/>
      <c r="FL13" s="259"/>
      <c r="FM13" s="259"/>
      <c r="FN13" s="259"/>
      <c r="FO13" s="259"/>
      <c r="FP13" s="259"/>
      <c r="FQ13" s="259"/>
      <c r="FR13" s="259"/>
      <c r="FS13" s="259"/>
      <c r="FT13" s="259"/>
      <c r="FU13" s="259"/>
      <c r="FV13" s="259"/>
      <c r="FW13" s="259"/>
      <c r="FX13" s="259"/>
      <c r="FY13" s="259"/>
      <c r="FZ13" s="259"/>
      <c r="GA13" s="259"/>
      <c r="GB13" s="259"/>
      <c r="GC13" s="259"/>
      <c r="GD13" s="259"/>
      <c r="GE13" s="259"/>
      <c r="GF13" s="259"/>
      <c r="GG13" s="259"/>
      <c r="GH13" s="259"/>
      <c r="GI13" s="259"/>
      <c r="GJ13" s="259"/>
      <c r="GK13" s="259"/>
      <c r="GL13" s="259"/>
      <c r="GM13" s="259"/>
      <c r="GN13" s="259"/>
      <c r="GO13" s="259"/>
      <c r="GP13" s="259"/>
      <c r="GQ13" s="259"/>
      <c r="GR13" s="259"/>
      <c r="GS13" s="259"/>
      <c r="GT13" s="259"/>
      <c r="GU13" s="259"/>
      <c r="GV13" s="259"/>
      <c r="GW13" s="259"/>
      <c r="GX13" s="259"/>
      <c r="GY13" s="259"/>
      <c r="GZ13" s="259"/>
      <c r="HA13" s="259"/>
      <c r="HB13" s="259"/>
      <c r="HC13" s="259"/>
      <c r="HD13" s="259"/>
      <c r="HE13" s="259"/>
      <c r="HF13" s="259"/>
      <c r="HG13" s="259"/>
      <c r="HH13" s="259"/>
      <c r="HI13" s="259"/>
      <c r="HJ13" s="259"/>
      <c r="HK13" s="259"/>
      <c r="HL13" s="259"/>
      <c r="HM13" s="259"/>
      <c r="HN13" s="259"/>
      <c r="HO13" s="259"/>
      <c r="HP13" s="259"/>
      <c r="HQ13" s="259"/>
      <c r="HR13" s="259"/>
      <c r="HS13" s="259"/>
      <c r="HT13" s="259"/>
      <c r="HU13" s="259"/>
      <c r="HV13" s="259"/>
      <c r="HW13" s="259"/>
      <c r="HX13" s="259"/>
      <c r="HY13" s="259"/>
      <c r="HZ13" s="259"/>
      <c r="IA13" s="259"/>
      <c r="IB13" s="259"/>
      <c r="IC13" s="259"/>
      <c r="ID13" s="259"/>
      <c r="IE13" s="259"/>
      <c r="IF13" s="259"/>
      <c r="IG13" s="259"/>
      <c r="IH13" s="259"/>
      <c r="II13" s="259"/>
      <c r="IJ13" s="259"/>
      <c r="IK13" s="259"/>
      <c r="IL13" s="259"/>
      <c r="IM13" s="259"/>
      <c r="IN13" s="259"/>
      <c r="IO13" s="259"/>
      <c r="IP13" s="259"/>
      <c r="IQ13" s="259"/>
      <c r="IR13" s="259"/>
      <c r="IS13" s="259"/>
      <c r="IT13" s="259"/>
      <c r="IU13" s="259"/>
      <c r="IV13" s="259"/>
      <c r="IW13" s="259"/>
    </row>
    <row r="14" spans="2:257" s="768" customFormat="1" ht="6" customHeight="1">
      <c r="C14" s="937"/>
      <c r="D14" s="935"/>
      <c r="E14" s="769"/>
      <c r="F14" s="769"/>
      <c r="G14" s="769"/>
      <c r="H14" s="769"/>
      <c r="I14" s="769"/>
      <c r="J14" s="769"/>
      <c r="K14" s="769"/>
      <c r="L14" s="769"/>
      <c r="M14" s="769"/>
      <c r="N14" s="769"/>
      <c r="O14" s="769"/>
      <c r="P14" s="769"/>
      <c r="Q14" s="769"/>
      <c r="R14" s="769"/>
      <c r="S14" s="769"/>
      <c r="T14" s="769"/>
      <c r="U14" s="769"/>
      <c r="V14" s="769"/>
      <c r="W14" s="769"/>
      <c r="X14" s="769"/>
      <c r="Y14" s="769"/>
      <c r="Z14" s="769"/>
      <c r="AA14" s="769"/>
      <c r="AB14" s="769"/>
      <c r="AC14" s="769"/>
      <c r="AD14" s="936"/>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3"/>
      <c r="BW14" s="563"/>
      <c r="BX14" s="563"/>
      <c r="BY14" s="563"/>
      <c r="BZ14" s="563"/>
      <c r="CA14" s="563"/>
      <c r="CB14" s="563"/>
      <c r="CC14" s="563"/>
      <c r="CD14" s="563"/>
      <c r="CE14" s="563"/>
      <c r="CF14" s="563"/>
      <c r="CG14" s="563"/>
      <c r="CH14" s="563"/>
      <c r="CI14" s="563"/>
      <c r="CJ14" s="563"/>
      <c r="CK14" s="563"/>
      <c r="CL14" s="563"/>
      <c r="CM14" s="563"/>
      <c r="CN14" s="563"/>
      <c r="CO14" s="563"/>
      <c r="CP14" s="563"/>
      <c r="CQ14" s="563"/>
      <c r="CR14" s="563"/>
      <c r="CS14" s="563"/>
      <c r="CT14" s="563"/>
      <c r="CU14" s="563"/>
      <c r="CV14" s="563"/>
      <c r="CW14" s="563"/>
      <c r="CX14" s="563"/>
      <c r="CY14" s="563"/>
      <c r="CZ14" s="563"/>
      <c r="DA14" s="563"/>
      <c r="DB14" s="563"/>
      <c r="DC14" s="563"/>
      <c r="DD14" s="563"/>
      <c r="DE14" s="563"/>
      <c r="DF14" s="563"/>
      <c r="DG14" s="563"/>
      <c r="DH14" s="563"/>
      <c r="DI14" s="563"/>
      <c r="DJ14" s="563"/>
      <c r="DK14" s="563"/>
      <c r="DL14" s="563"/>
      <c r="DM14" s="563"/>
      <c r="DN14" s="563"/>
      <c r="DO14" s="563"/>
      <c r="DP14" s="563"/>
      <c r="DQ14" s="563"/>
      <c r="DR14" s="563"/>
      <c r="DS14" s="563"/>
      <c r="DT14" s="563"/>
      <c r="DU14" s="563"/>
      <c r="DV14" s="563"/>
      <c r="DW14" s="563"/>
      <c r="DX14" s="563"/>
      <c r="DY14" s="563"/>
      <c r="DZ14" s="563"/>
      <c r="EA14" s="563"/>
      <c r="EB14" s="563"/>
      <c r="EC14" s="563"/>
      <c r="ED14" s="563"/>
      <c r="EE14" s="563"/>
      <c r="EF14" s="563"/>
      <c r="EG14" s="563"/>
      <c r="EH14" s="563"/>
      <c r="EI14" s="563"/>
      <c r="EJ14" s="563"/>
      <c r="EK14" s="563"/>
      <c r="EL14" s="563"/>
      <c r="EM14" s="563"/>
      <c r="EN14" s="563"/>
      <c r="EO14" s="563"/>
      <c r="EP14" s="563"/>
      <c r="EQ14" s="563"/>
      <c r="ER14" s="563"/>
      <c r="ES14" s="563"/>
      <c r="ET14" s="563"/>
      <c r="EU14" s="563"/>
      <c r="EV14" s="563"/>
      <c r="EW14" s="563"/>
      <c r="EX14" s="563"/>
      <c r="EY14" s="563"/>
      <c r="EZ14" s="563"/>
      <c r="FA14" s="563"/>
      <c r="FB14" s="563"/>
      <c r="FC14" s="563"/>
      <c r="FD14" s="563"/>
      <c r="FE14" s="563"/>
      <c r="FF14" s="563"/>
      <c r="FG14" s="563"/>
      <c r="FH14" s="563"/>
      <c r="FI14" s="563"/>
      <c r="FJ14" s="563"/>
      <c r="FK14" s="563"/>
      <c r="FL14" s="563"/>
      <c r="FM14" s="563"/>
      <c r="FN14" s="563"/>
      <c r="FO14" s="563"/>
      <c r="FP14" s="563"/>
      <c r="FQ14" s="563"/>
      <c r="FR14" s="563"/>
      <c r="FS14" s="563"/>
      <c r="FT14" s="563"/>
      <c r="FU14" s="563"/>
      <c r="FV14" s="563"/>
      <c r="FW14" s="563"/>
      <c r="FX14" s="563"/>
      <c r="FY14" s="563"/>
      <c r="FZ14" s="563"/>
      <c r="GA14" s="563"/>
      <c r="GB14" s="563"/>
      <c r="GC14" s="563"/>
      <c r="GD14" s="563"/>
      <c r="GE14" s="563"/>
      <c r="GF14" s="563"/>
      <c r="GG14" s="563"/>
      <c r="GH14" s="563"/>
      <c r="GI14" s="563"/>
      <c r="GJ14" s="563"/>
      <c r="GK14" s="563"/>
      <c r="GL14" s="563"/>
      <c r="GM14" s="563"/>
      <c r="GN14" s="563"/>
      <c r="GO14" s="563"/>
      <c r="GP14" s="563"/>
      <c r="GQ14" s="563"/>
      <c r="GR14" s="563"/>
      <c r="GS14" s="563"/>
      <c r="GT14" s="563"/>
      <c r="GU14" s="563"/>
      <c r="GV14" s="563"/>
      <c r="GW14" s="563"/>
      <c r="GX14" s="563"/>
      <c r="GY14" s="563"/>
      <c r="GZ14" s="563"/>
      <c r="HA14" s="563"/>
      <c r="HB14" s="563"/>
      <c r="HC14" s="563"/>
      <c r="HD14" s="563"/>
      <c r="HE14" s="563"/>
      <c r="HF14" s="563"/>
      <c r="HG14" s="563"/>
      <c r="HH14" s="563"/>
      <c r="HI14" s="563"/>
      <c r="HJ14" s="563"/>
      <c r="HK14" s="563"/>
      <c r="HL14" s="563"/>
      <c r="HM14" s="563"/>
      <c r="HN14" s="563"/>
      <c r="HO14" s="563"/>
      <c r="HP14" s="563"/>
      <c r="HQ14" s="563"/>
      <c r="HR14" s="563"/>
      <c r="HS14" s="563"/>
      <c r="HT14" s="563"/>
      <c r="HU14" s="563"/>
      <c r="HV14" s="563"/>
      <c r="HW14" s="563"/>
      <c r="HX14" s="563"/>
      <c r="HY14" s="563"/>
      <c r="HZ14" s="563"/>
      <c r="IA14" s="563"/>
      <c r="IB14" s="563"/>
      <c r="IC14" s="563"/>
      <c r="ID14" s="563"/>
      <c r="IE14" s="563"/>
      <c r="IF14" s="563"/>
      <c r="IG14" s="563"/>
      <c r="IH14" s="563"/>
      <c r="II14" s="563"/>
      <c r="IJ14" s="563"/>
      <c r="IK14" s="563"/>
      <c r="IL14" s="563"/>
      <c r="IM14" s="563"/>
      <c r="IN14" s="563"/>
      <c r="IO14" s="563"/>
      <c r="IP14" s="563"/>
      <c r="IQ14" s="563"/>
      <c r="IR14" s="563"/>
      <c r="IS14" s="563"/>
      <c r="IT14" s="563"/>
      <c r="IU14" s="563"/>
      <c r="IV14" s="563"/>
      <c r="IW14" s="563"/>
    </row>
    <row r="15" spans="2:257" ht="20.100000000000001" customHeight="1">
      <c r="B15" s="771">
        <v>1</v>
      </c>
      <c r="C15" s="168" t="str">
        <f>SUM($A$14:B15)&amp;".0"</f>
        <v>1.0</v>
      </c>
      <c r="D15" s="933" t="str">
        <f ca="1">VLOOKUP(C15,RESUMO!$B$16:$I$54,3,0)</f>
        <v>A D M I N I S T R A Ç Ã O  O B R A</v>
      </c>
      <c r="E15" s="772">
        <f>E60-SUM(E17:E55)</f>
        <v>0</v>
      </c>
      <c r="F15" s="934">
        <f ca="1">IF($AC15=0,0,ROUND(100*E15/$AC15,2))</f>
        <v>0</v>
      </c>
      <c r="G15" s="772">
        <f>G60-SUM(G17:G55)</f>
        <v>0</v>
      </c>
      <c r="H15" s="934">
        <f ca="1">IF($AC15=0,0,ROUND(100*G15/$AC15,2))</f>
        <v>0</v>
      </c>
      <c r="I15" s="772">
        <f>I60-SUM(I17:I55)</f>
        <v>0</v>
      </c>
      <c r="J15" s="934">
        <f ca="1">IF($AC15=0,0,ROUND(100*I15/$AC15,2))</f>
        <v>0</v>
      </c>
      <c r="K15" s="772">
        <f>K60-SUM(K17:K55)</f>
        <v>0</v>
      </c>
      <c r="L15" s="934">
        <f ca="1">IF($AC15=0,0,ROUND(100*K15/$AC15,2))</f>
        <v>0</v>
      </c>
      <c r="M15" s="772">
        <f>M60-SUM(M17:M55)</f>
        <v>0</v>
      </c>
      <c r="N15" s="934">
        <f ca="1">IF($AC15=0,0,ROUND(100*M15/$AC15,2))</f>
        <v>0</v>
      </c>
      <c r="O15" s="772">
        <f>O60-SUM(O17:O55)</f>
        <v>0</v>
      </c>
      <c r="P15" s="934">
        <f ca="1">IF($AC15=0,0,ROUND(100*O15/$AC15,2))</f>
        <v>0</v>
      </c>
      <c r="Q15" s="772">
        <f>Q60-SUM(Q17:Q55)</f>
        <v>0</v>
      </c>
      <c r="R15" s="934">
        <f ca="1">IF($AC15=0,0,ROUND(100*Q15/$AC15,2))</f>
        <v>0</v>
      </c>
      <c r="S15" s="772">
        <f>S60-SUM(S17:S55)</f>
        <v>0</v>
      </c>
      <c r="T15" s="934">
        <f ca="1">IF($AC15=0,0,ROUND(100*S15/$AC15,2))</f>
        <v>0</v>
      </c>
      <c r="U15" s="772">
        <f>U60-SUM(U17:U55)</f>
        <v>0</v>
      </c>
      <c r="V15" s="934">
        <f ca="1">IF($AC15=0,0,ROUND(100*U15/$AC15,2))</f>
        <v>0</v>
      </c>
      <c r="W15" s="772">
        <f>W60-SUM(W17:W55)</f>
        <v>0</v>
      </c>
      <c r="X15" s="934">
        <f ca="1">IF($AC15=0,0,ROUND(100*W15/$AC15,2))</f>
        <v>0</v>
      </c>
      <c r="Y15" s="772">
        <f>Y60-SUM(Y17:Y55)</f>
        <v>0</v>
      </c>
      <c r="Z15" s="934">
        <f ca="1">IF($AC15=0,0,ROUND(100*Y15/$AC15,2))</f>
        <v>0</v>
      </c>
      <c r="AA15" s="772">
        <f>AA60-SUM(AA17:AA55)</f>
        <v>0</v>
      </c>
      <c r="AB15" s="934">
        <f ca="1">IF($AC15=0,0,ROUND(100*AA15/$AC15,2))</f>
        <v>0</v>
      </c>
      <c r="AC15" s="772">
        <f ca="1">VLOOKUP(C15,RESUMO!$B$16:$I$54,8,0)</f>
        <v>203996.41</v>
      </c>
      <c r="AD15" s="934" t="e">
        <f ca="1">AC15/$AC$57*100</f>
        <v>#N/A</v>
      </c>
      <c r="AE15" s="259"/>
      <c r="AF15" s="770">
        <f ca="1">F15+H15+J15+P15+L15+N15+R15+T15+V15+X15+Z15+AB15</f>
        <v>0</v>
      </c>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c r="CG15" s="259"/>
      <c r="CH15" s="259"/>
      <c r="CI15" s="259"/>
      <c r="CJ15" s="259"/>
      <c r="CK15" s="259"/>
      <c r="CL15" s="259"/>
      <c r="CM15" s="259"/>
      <c r="CN15" s="259"/>
      <c r="CO15" s="259"/>
      <c r="CP15" s="259"/>
      <c r="CQ15" s="259"/>
      <c r="CR15" s="259"/>
      <c r="CS15" s="259"/>
      <c r="CT15" s="259"/>
      <c r="CU15" s="259"/>
      <c r="CV15" s="259"/>
      <c r="CW15" s="259"/>
      <c r="CX15" s="259"/>
      <c r="CY15" s="259"/>
      <c r="CZ15" s="259"/>
      <c r="DA15" s="259"/>
      <c r="DB15" s="259"/>
      <c r="DC15" s="259"/>
      <c r="DD15" s="259"/>
      <c r="DE15" s="259"/>
      <c r="DF15" s="259"/>
      <c r="DG15" s="259"/>
      <c r="DH15" s="259"/>
      <c r="DI15" s="259"/>
      <c r="DJ15" s="259"/>
      <c r="DK15" s="259"/>
      <c r="DL15" s="259"/>
      <c r="DM15" s="259"/>
      <c r="DN15" s="259"/>
      <c r="DO15" s="259"/>
      <c r="DP15" s="259"/>
      <c r="DQ15" s="259"/>
      <c r="DR15" s="259"/>
      <c r="DS15" s="259"/>
      <c r="DT15" s="259"/>
      <c r="DU15" s="259"/>
      <c r="DV15" s="259"/>
      <c r="DW15" s="259"/>
      <c r="DX15" s="259"/>
      <c r="DY15" s="259"/>
      <c r="DZ15" s="259"/>
      <c r="EA15" s="259"/>
      <c r="EB15" s="259"/>
      <c r="EC15" s="259"/>
      <c r="ED15" s="259"/>
      <c r="EE15" s="259"/>
      <c r="EF15" s="259"/>
      <c r="EG15" s="259"/>
      <c r="EH15" s="259"/>
      <c r="EI15" s="259"/>
      <c r="EJ15" s="259"/>
      <c r="EK15" s="259"/>
      <c r="EL15" s="259"/>
      <c r="EM15" s="259"/>
      <c r="EN15" s="259"/>
      <c r="EO15" s="259"/>
      <c r="EP15" s="259"/>
      <c r="EQ15" s="259"/>
      <c r="ER15" s="259"/>
      <c r="ES15" s="259"/>
      <c r="ET15" s="259"/>
      <c r="EU15" s="259"/>
      <c r="EV15" s="259"/>
      <c r="EW15" s="259"/>
      <c r="EX15" s="259"/>
      <c r="EY15" s="259"/>
      <c r="EZ15" s="259"/>
      <c r="FA15" s="259"/>
      <c r="FB15" s="259"/>
      <c r="FC15" s="259"/>
      <c r="FD15" s="259"/>
      <c r="FE15" s="259"/>
      <c r="FF15" s="259"/>
      <c r="FG15" s="259"/>
      <c r="FH15" s="259"/>
      <c r="FI15" s="259"/>
      <c r="FJ15" s="259"/>
      <c r="FK15" s="259"/>
      <c r="FL15" s="259"/>
      <c r="FM15" s="259"/>
      <c r="FN15" s="259"/>
      <c r="FO15" s="259"/>
      <c r="FP15" s="259"/>
      <c r="FQ15" s="259"/>
      <c r="FR15" s="259"/>
      <c r="FS15" s="259"/>
      <c r="FT15" s="259"/>
      <c r="FU15" s="259"/>
      <c r="FV15" s="259"/>
      <c r="FW15" s="259"/>
      <c r="FX15" s="259"/>
      <c r="FY15" s="259"/>
      <c r="FZ15" s="259"/>
      <c r="GA15" s="259"/>
      <c r="GB15" s="259"/>
      <c r="GC15" s="259"/>
      <c r="GD15" s="259"/>
      <c r="GE15" s="259"/>
      <c r="GF15" s="259"/>
      <c r="GG15" s="259"/>
      <c r="GH15" s="259"/>
      <c r="GI15" s="259"/>
      <c r="GJ15" s="259"/>
      <c r="GK15" s="259"/>
      <c r="GL15" s="259"/>
      <c r="GM15" s="259"/>
      <c r="GN15" s="259"/>
      <c r="GO15" s="259"/>
      <c r="GP15" s="259"/>
      <c r="GQ15" s="259"/>
      <c r="GR15" s="259"/>
      <c r="GS15" s="259"/>
      <c r="GT15" s="259"/>
      <c r="GU15" s="259"/>
      <c r="GV15" s="259"/>
      <c r="GW15" s="259"/>
      <c r="GX15" s="259"/>
      <c r="GY15" s="259"/>
      <c r="GZ15" s="259"/>
      <c r="HA15" s="259"/>
      <c r="HB15" s="259"/>
      <c r="HC15" s="259"/>
      <c r="HD15" s="259"/>
      <c r="HE15" s="259"/>
      <c r="HF15" s="259"/>
      <c r="HG15" s="259"/>
      <c r="HH15" s="259"/>
      <c r="HI15" s="259"/>
      <c r="HJ15" s="259"/>
      <c r="HK15" s="259"/>
      <c r="HL15" s="259"/>
      <c r="HM15" s="259"/>
      <c r="HN15" s="259"/>
      <c r="HO15" s="259"/>
      <c r="HP15" s="259"/>
      <c r="HQ15" s="259"/>
      <c r="HR15" s="259"/>
      <c r="HS15" s="259"/>
      <c r="HT15" s="259"/>
      <c r="HU15" s="259"/>
      <c r="HV15" s="259"/>
      <c r="HW15" s="259"/>
      <c r="HX15" s="259"/>
      <c r="HY15" s="259"/>
      <c r="HZ15" s="259"/>
      <c r="IA15" s="259"/>
      <c r="IB15" s="259"/>
      <c r="IC15" s="259"/>
      <c r="ID15" s="259"/>
      <c r="IE15" s="259"/>
      <c r="IF15" s="259"/>
      <c r="IG15" s="259"/>
      <c r="IH15" s="259"/>
      <c r="II15" s="259"/>
      <c r="IJ15" s="259"/>
      <c r="IK15" s="259"/>
      <c r="IL15" s="259"/>
      <c r="IM15" s="259"/>
      <c r="IN15" s="259"/>
      <c r="IO15" s="259"/>
      <c r="IP15" s="259"/>
      <c r="IQ15" s="259"/>
      <c r="IR15" s="259"/>
      <c r="IS15" s="259"/>
      <c r="IT15" s="259"/>
      <c r="IU15" s="259"/>
      <c r="IV15" s="259"/>
      <c r="IW15" s="259"/>
    </row>
    <row r="16" spans="2:257" s="768" customFormat="1" ht="6" customHeight="1">
      <c r="C16" s="938"/>
      <c r="D16" s="935"/>
      <c r="E16" s="769"/>
      <c r="F16" s="769"/>
      <c r="G16" s="769"/>
      <c r="H16" s="769"/>
      <c r="I16" s="769"/>
      <c r="J16" s="769"/>
      <c r="K16" s="769"/>
      <c r="L16" s="769"/>
      <c r="M16" s="769"/>
      <c r="N16" s="769"/>
      <c r="O16" s="769"/>
      <c r="P16" s="769"/>
      <c r="Q16" s="769"/>
      <c r="R16" s="769"/>
      <c r="S16" s="769"/>
      <c r="T16" s="769"/>
      <c r="U16" s="769"/>
      <c r="V16" s="769"/>
      <c r="W16" s="769"/>
      <c r="X16" s="769"/>
      <c r="Y16" s="769"/>
      <c r="Z16" s="769"/>
      <c r="AA16" s="769"/>
      <c r="AB16" s="769"/>
      <c r="AC16" s="769"/>
      <c r="AD16" s="936"/>
      <c r="AE16" s="563"/>
      <c r="AF16" s="770"/>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3"/>
      <c r="CD16" s="563"/>
      <c r="CE16" s="563"/>
      <c r="CF16" s="563"/>
      <c r="CG16" s="563"/>
      <c r="CH16" s="563"/>
      <c r="CI16" s="563"/>
      <c r="CJ16" s="563"/>
      <c r="CK16" s="563"/>
      <c r="CL16" s="563"/>
      <c r="CM16" s="563"/>
      <c r="CN16" s="563"/>
      <c r="CO16" s="563"/>
      <c r="CP16" s="563"/>
      <c r="CQ16" s="563"/>
      <c r="CR16" s="563"/>
      <c r="CS16" s="563"/>
      <c r="CT16" s="563"/>
      <c r="CU16" s="563"/>
      <c r="CV16" s="563"/>
      <c r="CW16" s="563"/>
      <c r="CX16" s="563"/>
      <c r="CY16" s="563"/>
      <c r="CZ16" s="563"/>
      <c r="DA16" s="563"/>
      <c r="DB16" s="563"/>
      <c r="DC16" s="563"/>
      <c r="DD16" s="563"/>
      <c r="DE16" s="563"/>
      <c r="DF16" s="563"/>
      <c r="DG16" s="563"/>
      <c r="DH16" s="563"/>
      <c r="DI16" s="563"/>
      <c r="DJ16" s="563"/>
      <c r="DK16" s="563"/>
      <c r="DL16" s="563"/>
      <c r="DM16" s="563"/>
      <c r="DN16" s="563"/>
      <c r="DO16" s="563"/>
      <c r="DP16" s="563"/>
      <c r="DQ16" s="563"/>
      <c r="DR16" s="563"/>
      <c r="DS16" s="563"/>
      <c r="DT16" s="563"/>
      <c r="DU16" s="563"/>
      <c r="DV16" s="563"/>
      <c r="DW16" s="563"/>
      <c r="DX16" s="563"/>
      <c r="DY16" s="563"/>
      <c r="DZ16" s="563"/>
      <c r="EA16" s="563"/>
      <c r="EB16" s="563"/>
      <c r="EC16" s="563"/>
      <c r="ED16" s="563"/>
      <c r="EE16" s="563"/>
      <c r="EF16" s="563"/>
      <c r="EG16" s="563"/>
      <c r="EH16" s="563"/>
      <c r="EI16" s="563"/>
      <c r="EJ16" s="563"/>
      <c r="EK16" s="563"/>
      <c r="EL16" s="563"/>
      <c r="EM16" s="563"/>
      <c r="EN16" s="563"/>
      <c r="EO16" s="563"/>
      <c r="EP16" s="563"/>
      <c r="EQ16" s="563"/>
      <c r="ER16" s="563"/>
      <c r="ES16" s="563"/>
      <c r="ET16" s="563"/>
      <c r="EU16" s="563"/>
      <c r="EV16" s="563"/>
      <c r="EW16" s="563"/>
      <c r="EX16" s="563"/>
      <c r="EY16" s="563"/>
      <c r="EZ16" s="563"/>
      <c r="FA16" s="563"/>
      <c r="FB16" s="563"/>
      <c r="FC16" s="563"/>
      <c r="FD16" s="563"/>
      <c r="FE16" s="563"/>
      <c r="FF16" s="563"/>
      <c r="FG16" s="563"/>
      <c r="FH16" s="563"/>
      <c r="FI16" s="563"/>
      <c r="FJ16" s="563"/>
      <c r="FK16" s="563"/>
      <c r="FL16" s="563"/>
      <c r="FM16" s="563"/>
      <c r="FN16" s="563"/>
      <c r="FO16" s="563"/>
      <c r="FP16" s="563"/>
      <c r="FQ16" s="563"/>
      <c r="FR16" s="563"/>
      <c r="FS16" s="563"/>
      <c r="FT16" s="563"/>
      <c r="FU16" s="563"/>
      <c r="FV16" s="563"/>
      <c r="FW16" s="563"/>
      <c r="FX16" s="563"/>
      <c r="FY16" s="563"/>
      <c r="FZ16" s="563"/>
      <c r="GA16" s="563"/>
      <c r="GB16" s="563"/>
      <c r="GC16" s="563"/>
      <c r="GD16" s="563"/>
      <c r="GE16" s="563"/>
      <c r="GF16" s="563"/>
      <c r="GG16" s="563"/>
      <c r="GH16" s="563"/>
      <c r="GI16" s="563"/>
      <c r="GJ16" s="563"/>
      <c r="GK16" s="563"/>
      <c r="GL16" s="563"/>
      <c r="GM16" s="563"/>
      <c r="GN16" s="563"/>
      <c r="GO16" s="563"/>
      <c r="GP16" s="563"/>
      <c r="GQ16" s="563"/>
      <c r="GR16" s="563"/>
      <c r="GS16" s="563"/>
      <c r="GT16" s="563"/>
      <c r="GU16" s="563"/>
      <c r="GV16" s="563"/>
      <c r="GW16" s="563"/>
      <c r="GX16" s="563"/>
      <c r="GY16" s="563"/>
      <c r="GZ16" s="563"/>
      <c r="HA16" s="563"/>
      <c r="HB16" s="563"/>
      <c r="HC16" s="563"/>
      <c r="HD16" s="563"/>
      <c r="HE16" s="563"/>
      <c r="HF16" s="563"/>
      <c r="HG16" s="563"/>
      <c r="HH16" s="563"/>
      <c r="HI16" s="563"/>
      <c r="HJ16" s="563"/>
      <c r="HK16" s="563"/>
      <c r="HL16" s="563"/>
      <c r="HM16" s="563"/>
      <c r="HN16" s="563"/>
      <c r="HO16" s="563"/>
      <c r="HP16" s="563"/>
      <c r="HQ16" s="563"/>
      <c r="HR16" s="563"/>
      <c r="HS16" s="563"/>
      <c r="HT16" s="563"/>
      <c r="HU16" s="563"/>
      <c r="HV16" s="563"/>
      <c r="HW16" s="563"/>
      <c r="HX16" s="563"/>
      <c r="HY16" s="563"/>
      <c r="HZ16" s="563"/>
      <c r="IA16" s="563"/>
      <c r="IB16" s="563"/>
      <c r="IC16" s="563"/>
      <c r="ID16" s="563"/>
      <c r="IE16" s="563"/>
      <c r="IF16" s="563"/>
      <c r="IG16" s="563"/>
      <c r="IH16" s="563"/>
      <c r="II16" s="563"/>
      <c r="IJ16" s="563"/>
      <c r="IK16" s="563"/>
      <c r="IL16" s="563"/>
      <c r="IM16" s="563"/>
      <c r="IN16" s="563"/>
      <c r="IO16" s="563"/>
      <c r="IP16" s="563"/>
      <c r="IQ16" s="563"/>
      <c r="IR16" s="563"/>
      <c r="IS16" s="563"/>
      <c r="IT16" s="563"/>
      <c r="IU16" s="563"/>
      <c r="IV16" s="563"/>
      <c r="IW16" s="563"/>
    </row>
    <row r="17" spans="2:257" ht="20.100000000000001" customHeight="1">
      <c r="B17" s="771">
        <v>1</v>
      </c>
      <c r="C17" s="168" t="str">
        <f>SUM($A$14:B17)&amp;".0"</f>
        <v>2.0</v>
      </c>
      <c r="D17" s="933" t="str">
        <f ca="1">VLOOKUP(C17,RESUMO!$B$16:$I$54,3,0)</f>
        <v>S E R V I Ç O S   I N I C I A I S</v>
      </c>
      <c r="E17" s="772"/>
      <c r="F17" s="934">
        <f ca="1">IF($AC17=0,0,ROUND(100*E17/$AC17,2))</f>
        <v>0</v>
      </c>
      <c r="G17" s="772"/>
      <c r="H17" s="934">
        <f ca="1">IF($AC17=0,0,ROUND(100*G17/$AC17,2))</f>
        <v>0</v>
      </c>
      <c r="I17" s="772"/>
      <c r="J17" s="934">
        <f ca="1">IF($AC17=0,0,ROUND(100*I17/$AC17,2))</f>
        <v>0</v>
      </c>
      <c r="K17" s="772"/>
      <c r="L17" s="934">
        <f ca="1">IF($AC17=0,0,ROUND(100*K17/$AC17,2))</f>
        <v>0</v>
      </c>
      <c r="M17" s="772"/>
      <c r="N17" s="934">
        <f ca="1">IF($AC17=0,0,ROUND(100*M17/$AC17,2))</f>
        <v>0</v>
      </c>
      <c r="O17" s="772"/>
      <c r="P17" s="934">
        <f ca="1">IF($AC17=0,0,ROUND(100*O17/$AC17,2))</f>
        <v>0</v>
      </c>
      <c r="Q17" s="772"/>
      <c r="R17" s="934">
        <f ca="1">IF($AC17=0,0,ROUND(100*Q17/$AC17,2))</f>
        <v>0</v>
      </c>
      <c r="S17" s="772"/>
      <c r="T17" s="934">
        <f ca="1">IF($AC17=0,0,ROUND(100*S17/$AC17,2))</f>
        <v>0</v>
      </c>
      <c r="U17" s="772"/>
      <c r="V17" s="934">
        <f ca="1">IF($AC17=0,0,ROUND(100*U17/$AC17,2))</f>
        <v>0</v>
      </c>
      <c r="W17" s="772"/>
      <c r="X17" s="934">
        <f ca="1">IF($AC17=0,0,ROUND(100*W17/$AC17,2))</f>
        <v>0</v>
      </c>
      <c r="Y17" s="772"/>
      <c r="Z17" s="934">
        <f ca="1">IF($AC17=0,0,ROUND(100*Y17/$AC17,2))</f>
        <v>0</v>
      </c>
      <c r="AA17" s="772"/>
      <c r="AB17" s="934">
        <f ca="1">IF($AC17=0,0,ROUND(100*AA17/$AC17,2))</f>
        <v>0</v>
      </c>
      <c r="AC17" s="772">
        <f ca="1">VLOOKUP(C17,RESUMO!$B$16:$I$54,8,0)</f>
        <v>8122.8899999999994</v>
      </c>
      <c r="AD17" s="934" t="e">
        <f ca="1">AC17/$AC$57*100</f>
        <v>#N/A</v>
      </c>
      <c r="AE17" s="259"/>
      <c r="AF17" s="770">
        <f ca="1">F17+H17+J17+P17+L17+N17+R17+T17+V17+X17+Z17+AB17</f>
        <v>0</v>
      </c>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9"/>
      <c r="CN17" s="259"/>
      <c r="CO17" s="259"/>
      <c r="CP17" s="259"/>
      <c r="CQ17" s="259"/>
      <c r="CR17" s="259"/>
      <c r="CS17" s="259"/>
      <c r="CT17" s="259"/>
      <c r="CU17" s="259"/>
      <c r="CV17" s="259"/>
      <c r="CW17" s="259"/>
      <c r="CX17" s="259"/>
      <c r="CY17" s="259"/>
      <c r="CZ17" s="259"/>
      <c r="DA17" s="259"/>
      <c r="DB17" s="259"/>
      <c r="DC17" s="259"/>
      <c r="DD17" s="259"/>
      <c r="DE17" s="259"/>
      <c r="DF17" s="259"/>
      <c r="DG17" s="259"/>
      <c r="DH17" s="259"/>
      <c r="DI17" s="259"/>
      <c r="DJ17" s="259"/>
      <c r="DK17" s="259"/>
      <c r="DL17" s="259"/>
      <c r="DM17" s="259"/>
      <c r="DN17" s="259"/>
      <c r="DO17" s="259"/>
      <c r="DP17" s="259"/>
      <c r="DQ17" s="259"/>
      <c r="DR17" s="259"/>
      <c r="DS17" s="259"/>
      <c r="DT17" s="259"/>
      <c r="DU17" s="259"/>
      <c r="DV17" s="259"/>
      <c r="DW17" s="259"/>
      <c r="DX17" s="259"/>
      <c r="DY17" s="259"/>
      <c r="DZ17" s="259"/>
      <c r="EA17" s="259"/>
      <c r="EB17" s="259"/>
      <c r="EC17" s="259"/>
      <c r="ED17" s="259"/>
      <c r="EE17" s="259"/>
      <c r="EF17" s="259"/>
      <c r="EG17" s="259"/>
      <c r="EH17" s="259"/>
      <c r="EI17" s="259"/>
      <c r="EJ17" s="259"/>
      <c r="EK17" s="259"/>
      <c r="EL17" s="259"/>
      <c r="EM17" s="259"/>
      <c r="EN17" s="259"/>
      <c r="EO17" s="259"/>
      <c r="EP17" s="259"/>
      <c r="EQ17" s="259"/>
      <c r="ER17" s="259"/>
      <c r="ES17" s="259"/>
      <c r="ET17" s="259"/>
      <c r="EU17" s="259"/>
      <c r="EV17" s="259"/>
      <c r="EW17" s="259"/>
      <c r="EX17" s="259"/>
      <c r="EY17" s="259"/>
      <c r="EZ17" s="259"/>
      <c r="FA17" s="259"/>
      <c r="FB17" s="259"/>
      <c r="FC17" s="259"/>
      <c r="FD17" s="259"/>
      <c r="FE17" s="259"/>
      <c r="FF17" s="259"/>
      <c r="FG17" s="259"/>
      <c r="FH17" s="259"/>
      <c r="FI17" s="259"/>
      <c r="FJ17" s="259"/>
      <c r="FK17" s="259"/>
      <c r="FL17" s="259"/>
      <c r="FM17" s="259"/>
      <c r="FN17" s="259"/>
      <c r="FO17" s="259"/>
      <c r="FP17" s="259"/>
      <c r="FQ17" s="259"/>
      <c r="FR17" s="259"/>
      <c r="FS17" s="259"/>
      <c r="FT17" s="259"/>
      <c r="FU17" s="259"/>
      <c r="FV17" s="259"/>
      <c r="FW17" s="259"/>
      <c r="FX17" s="259"/>
      <c r="FY17" s="259"/>
      <c r="FZ17" s="259"/>
      <c r="GA17" s="259"/>
      <c r="GB17" s="259"/>
      <c r="GC17" s="259"/>
      <c r="GD17" s="259"/>
      <c r="GE17" s="259"/>
      <c r="GF17" s="259"/>
      <c r="GG17" s="259"/>
      <c r="GH17" s="259"/>
      <c r="GI17" s="259"/>
      <c r="GJ17" s="259"/>
      <c r="GK17" s="259"/>
      <c r="GL17" s="259"/>
      <c r="GM17" s="259"/>
      <c r="GN17" s="259"/>
      <c r="GO17" s="259"/>
      <c r="GP17" s="259"/>
      <c r="GQ17" s="259"/>
      <c r="GR17" s="259"/>
      <c r="GS17" s="259"/>
      <c r="GT17" s="259"/>
      <c r="GU17" s="259"/>
      <c r="GV17" s="259"/>
      <c r="GW17" s="259"/>
      <c r="GX17" s="259"/>
      <c r="GY17" s="259"/>
      <c r="GZ17" s="259"/>
      <c r="HA17" s="259"/>
      <c r="HB17" s="259"/>
      <c r="HC17" s="259"/>
      <c r="HD17" s="259"/>
      <c r="HE17" s="259"/>
      <c r="HF17" s="259"/>
      <c r="HG17" s="259"/>
      <c r="HH17" s="259"/>
      <c r="HI17" s="259"/>
      <c r="HJ17" s="259"/>
      <c r="HK17" s="259"/>
      <c r="HL17" s="259"/>
      <c r="HM17" s="259"/>
      <c r="HN17" s="259"/>
      <c r="HO17" s="259"/>
      <c r="HP17" s="259"/>
      <c r="HQ17" s="259"/>
      <c r="HR17" s="259"/>
      <c r="HS17" s="259"/>
      <c r="HT17" s="259"/>
      <c r="HU17" s="259"/>
      <c r="HV17" s="259"/>
      <c r="HW17" s="259"/>
      <c r="HX17" s="259"/>
      <c r="HY17" s="259"/>
      <c r="HZ17" s="259"/>
      <c r="IA17" s="259"/>
      <c r="IB17" s="259"/>
      <c r="IC17" s="259"/>
      <c r="ID17" s="259"/>
      <c r="IE17" s="259"/>
      <c r="IF17" s="259"/>
      <c r="IG17" s="259"/>
      <c r="IH17" s="259"/>
      <c r="II17" s="259"/>
      <c r="IJ17" s="259"/>
      <c r="IK17" s="259"/>
      <c r="IL17" s="259"/>
      <c r="IM17" s="259"/>
      <c r="IN17" s="259"/>
      <c r="IO17" s="259"/>
      <c r="IP17" s="259"/>
      <c r="IQ17" s="259"/>
      <c r="IR17" s="259"/>
      <c r="IS17" s="259"/>
      <c r="IT17" s="259"/>
      <c r="IU17" s="259"/>
      <c r="IV17" s="259"/>
      <c r="IW17" s="259"/>
    </row>
    <row r="18" spans="2:257" s="768" customFormat="1" ht="6" customHeight="1">
      <c r="C18" s="938"/>
      <c r="D18" s="935"/>
      <c r="E18" s="769"/>
      <c r="F18" s="769"/>
      <c r="G18" s="769"/>
      <c r="H18" s="769"/>
      <c r="I18" s="769"/>
      <c r="J18" s="769"/>
      <c r="K18" s="769"/>
      <c r="L18" s="769"/>
      <c r="M18" s="769"/>
      <c r="N18" s="769"/>
      <c r="O18" s="769"/>
      <c r="P18" s="769"/>
      <c r="Q18" s="769"/>
      <c r="R18" s="769"/>
      <c r="S18" s="769"/>
      <c r="T18" s="769"/>
      <c r="U18" s="769"/>
      <c r="V18" s="769"/>
      <c r="W18" s="769"/>
      <c r="X18" s="769"/>
      <c r="Y18" s="769"/>
      <c r="Z18" s="769"/>
      <c r="AA18" s="769"/>
      <c r="AB18" s="769"/>
      <c r="AC18" s="769"/>
      <c r="AD18" s="936"/>
      <c r="AE18" s="563"/>
      <c r="AF18" s="770"/>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c r="EB18" s="563"/>
      <c r="EC18" s="563"/>
      <c r="ED18" s="563"/>
      <c r="EE18" s="563"/>
      <c r="EF18" s="563"/>
      <c r="EG18" s="563"/>
      <c r="EH18" s="563"/>
      <c r="EI18" s="563"/>
      <c r="EJ18" s="563"/>
      <c r="EK18" s="563"/>
      <c r="EL18" s="563"/>
      <c r="EM18" s="563"/>
      <c r="EN18" s="563"/>
      <c r="EO18" s="563"/>
      <c r="EP18" s="563"/>
      <c r="EQ18" s="563"/>
      <c r="ER18" s="563"/>
      <c r="ES18" s="563"/>
      <c r="ET18" s="563"/>
      <c r="EU18" s="563"/>
      <c r="EV18" s="563"/>
      <c r="EW18" s="563"/>
      <c r="EX18" s="563"/>
      <c r="EY18" s="563"/>
      <c r="EZ18" s="563"/>
      <c r="FA18" s="563"/>
      <c r="FB18" s="563"/>
      <c r="FC18" s="563"/>
      <c r="FD18" s="563"/>
      <c r="FE18" s="563"/>
      <c r="FF18" s="563"/>
      <c r="FG18" s="563"/>
      <c r="FH18" s="563"/>
      <c r="FI18" s="563"/>
      <c r="FJ18" s="563"/>
      <c r="FK18" s="563"/>
      <c r="FL18" s="563"/>
      <c r="FM18" s="563"/>
      <c r="FN18" s="563"/>
      <c r="FO18" s="563"/>
      <c r="FP18" s="563"/>
      <c r="FQ18" s="563"/>
      <c r="FR18" s="563"/>
      <c r="FS18" s="563"/>
      <c r="FT18" s="563"/>
      <c r="FU18" s="563"/>
      <c r="FV18" s="563"/>
      <c r="FW18" s="563"/>
      <c r="FX18" s="563"/>
      <c r="FY18" s="563"/>
      <c r="FZ18" s="563"/>
      <c r="GA18" s="563"/>
      <c r="GB18" s="563"/>
      <c r="GC18" s="563"/>
      <c r="GD18" s="563"/>
      <c r="GE18" s="563"/>
      <c r="GF18" s="563"/>
      <c r="GG18" s="563"/>
      <c r="GH18" s="563"/>
      <c r="GI18" s="563"/>
      <c r="GJ18" s="563"/>
      <c r="GK18" s="563"/>
      <c r="GL18" s="563"/>
      <c r="GM18" s="563"/>
      <c r="GN18" s="563"/>
      <c r="GO18" s="563"/>
      <c r="GP18" s="563"/>
      <c r="GQ18" s="563"/>
      <c r="GR18" s="563"/>
      <c r="GS18" s="563"/>
      <c r="GT18" s="563"/>
      <c r="GU18" s="563"/>
      <c r="GV18" s="563"/>
      <c r="GW18" s="563"/>
      <c r="GX18" s="563"/>
      <c r="GY18" s="563"/>
      <c r="GZ18" s="563"/>
      <c r="HA18" s="563"/>
      <c r="HB18" s="563"/>
      <c r="HC18" s="563"/>
      <c r="HD18" s="563"/>
      <c r="HE18" s="563"/>
      <c r="HF18" s="563"/>
      <c r="HG18" s="563"/>
      <c r="HH18" s="563"/>
      <c r="HI18" s="563"/>
      <c r="HJ18" s="563"/>
      <c r="HK18" s="563"/>
      <c r="HL18" s="563"/>
      <c r="HM18" s="563"/>
      <c r="HN18" s="563"/>
      <c r="HO18" s="563"/>
      <c r="HP18" s="563"/>
      <c r="HQ18" s="563"/>
      <c r="HR18" s="563"/>
      <c r="HS18" s="563"/>
      <c r="HT18" s="563"/>
      <c r="HU18" s="563"/>
      <c r="HV18" s="563"/>
      <c r="HW18" s="563"/>
      <c r="HX18" s="563"/>
      <c r="HY18" s="563"/>
      <c r="HZ18" s="563"/>
      <c r="IA18" s="563"/>
      <c r="IB18" s="563"/>
      <c r="IC18" s="563"/>
      <c r="ID18" s="563"/>
      <c r="IE18" s="563"/>
      <c r="IF18" s="563"/>
      <c r="IG18" s="563"/>
      <c r="IH18" s="563"/>
      <c r="II18" s="563"/>
      <c r="IJ18" s="563"/>
      <c r="IK18" s="563"/>
      <c r="IL18" s="563"/>
      <c r="IM18" s="563"/>
      <c r="IN18" s="563"/>
      <c r="IO18" s="563"/>
      <c r="IP18" s="563"/>
      <c r="IQ18" s="563"/>
      <c r="IR18" s="563"/>
      <c r="IS18" s="563"/>
      <c r="IT18" s="563"/>
      <c r="IU18" s="563"/>
      <c r="IV18" s="563"/>
      <c r="IW18" s="563"/>
    </row>
    <row r="19" spans="2:257" ht="20.100000000000001" customHeight="1">
      <c r="B19" s="771">
        <v>1</v>
      </c>
      <c r="C19" s="168" t="str">
        <f>SUM($A$14:B19)&amp;".0"</f>
        <v>3.0</v>
      </c>
      <c r="D19" s="933" t="str">
        <f ca="1">VLOOKUP(C19,RESUMO!$B$16:$I$54,3,0)</f>
        <v xml:space="preserve">D E M O L I Ç Ã O   E   R E T I R A D A S </v>
      </c>
      <c r="E19" s="772"/>
      <c r="F19" s="934">
        <f ca="1">IF($AC19=0,0,ROUND(100*E19/$AC19,2))</f>
        <v>0</v>
      </c>
      <c r="G19" s="772"/>
      <c r="H19" s="934">
        <f ca="1">IF($AC19=0,0,ROUND(100*G19/$AC19,2))</f>
        <v>0</v>
      </c>
      <c r="I19" s="772"/>
      <c r="J19" s="934">
        <f ca="1">IF($AC19=0,0,ROUND(100*I19/$AC19,2))</f>
        <v>0</v>
      </c>
      <c r="K19" s="772"/>
      <c r="L19" s="934">
        <f ca="1">IF($AC19=0,0,ROUND(100*K19/$AC19,2))</f>
        <v>0</v>
      </c>
      <c r="M19" s="772"/>
      <c r="N19" s="934">
        <f ca="1">IF($AC19=0,0,ROUND(100*M19/$AC19,2))</f>
        <v>0</v>
      </c>
      <c r="O19" s="772"/>
      <c r="P19" s="934">
        <f ca="1">IF($AC19=0,0,ROUND(100*O19/$AC19,2))</f>
        <v>0</v>
      </c>
      <c r="Q19" s="772"/>
      <c r="R19" s="934">
        <f ca="1">IF($AC19=0,0,ROUND(100*Q19/$AC19,2))</f>
        <v>0</v>
      </c>
      <c r="S19" s="772"/>
      <c r="T19" s="934">
        <f ca="1">IF($AC19=0,0,ROUND(100*S19/$AC19,2))</f>
        <v>0</v>
      </c>
      <c r="U19" s="772"/>
      <c r="V19" s="934">
        <f ca="1">IF($AC19=0,0,ROUND(100*U19/$AC19,2))</f>
        <v>0</v>
      </c>
      <c r="W19" s="772"/>
      <c r="X19" s="934">
        <f ca="1">IF($AC19=0,0,ROUND(100*W19/$AC19,2))</f>
        <v>0</v>
      </c>
      <c r="Y19" s="772"/>
      <c r="Z19" s="934">
        <f ca="1">IF($AC19=0,0,ROUND(100*Y19/$AC19,2))</f>
        <v>0</v>
      </c>
      <c r="AA19" s="772"/>
      <c r="AB19" s="934">
        <f ca="1">IF($AC19=0,0,ROUND(100*AA19/$AC19,2))</f>
        <v>0</v>
      </c>
      <c r="AC19" s="772">
        <f ca="1">VLOOKUP(C19,RESUMO!$B$16:$I$54,8,0)</f>
        <v>63199.950000000004</v>
      </c>
      <c r="AD19" s="934" t="e">
        <f ca="1">AC19/$AC$57*100</f>
        <v>#N/A</v>
      </c>
      <c r="AE19" s="259"/>
      <c r="AF19" s="770">
        <f ca="1">F19+H19+J19+P19+L19+N19+R19+T19+V19+X19+Z19+AB19</f>
        <v>0</v>
      </c>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c r="CM19" s="259"/>
      <c r="CN19" s="259"/>
      <c r="CO19" s="259"/>
      <c r="CP19" s="259"/>
      <c r="CQ19" s="259"/>
      <c r="CR19" s="259"/>
      <c r="CS19" s="259"/>
      <c r="CT19" s="259"/>
      <c r="CU19" s="259"/>
      <c r="CV19" s="259"/>
      <c r="CW19" s="259"/>
      <c r="CX19" s="259"/>
      <c r="CY19" s="259"/>
      <c r="CZ19" s="259"/>
      <c r="DA19" s="259"/>
      <c r="DB19" s="259"/>
      <c r="DC19" s="259"/>
      <c r="DD19" s="259"/>
      <c r="DE19" s="259"/>
      <c r="DF19" s="259"/>
      <c r="DG19" s="259"/>
      <c r="DH19" s="259"/>
      <c r="DI19" s="259"/>
      <c r="DJ19" s="259"/>
      <c r="DK19" s="259"/>
      <c r="DL19" s="259"/>
      <c r="DM19" s="259"/>
      <c r="DN19" s="259"/>
      <c r="DO19" s="259"/>
      <c r="DP19" s="259"/>
      <c r="DQ19" s="259"/>
      <c r="DR19" s="259"/>
      <c r="DS19" s="259"/>
      <c r="DT19" s="259"/>
      <c r="DU19" s="259"/>
      <c r="DV19" s="259"/>
      <c r="DW19" s="259"/>
      <c r="DX19" s="259"/>
      <c r="DY19" s="259"/>
      <c r="DZ19" s="259"/>
      <c r="EA19" s="259"/>
      <c r="EB19" s="259"/>
      <c r="EC19" s="259"/>
      <c r="ED19" s="259"/>
      <c r="EE19" s="259"/>
      <c r="EF19" s="259"/>
      <c r="EG19" s="259"/>
      <c r="EH19" s="259"/>
      <c r="EI19" s="259"/>
      <c r="EJ19" s="259"/>
      <c r="EK19" s="259"/>
      <c r="EL19" s="259"/>
      <c r="EM19" s="259"/>
      <c r="EN19" s="259"/>
      <c r="EO19" s="259"/>
      <c r="EP19" s="259"/>
      <c r="EQ19" s="259"/>
      <c r="ER19" s="259"/>
      <c r="ES19" s="259"/>
      <c r="ET19" s="259"/>
      <c r="EU19" s="259"/>
      <c r="EV19" s="259"/>
      <c r="EW19" s="259"/>
      <c r="EX19" s="259"/>
      <c r="EY19" s="259"/>
      <c r="EZ19" s="259"/>
      <c r="FA19" s="259"/>
      <c r="FB19" s="259"/>
      <c r="FC19" s="259"/>
      <c r="FD19" s="259"/>
      <c r="FE19" s="259"/>
      <c r="FF19" s="259"/>
      <c r="FG19" s="259"/>
      <c r="FH19" s="259"/>
      <c r="FI19" s="259"/>
      <c r="FJ19" s="259"/>
      <c r="FK19" s="259"/>
      <c r="FL19" s="259"/>
      <c r="FM19" s="259"/>
      <c r="FN19" s="259"/>
      <c r="FO19" s="259"/>
      <c r="FP19" s="259"/>
      <c r="FQ19" s="259"/>
      <c r="FR19" s="259"/>
      <c r="FS19" s="259"/>
      <c r="FT19" s="259"/>
      <c r="FU19" s="259"/>
      <c r="FV19" s="259"/>
      <c r="FW19" s="259"/>
      <c r="FX19" s="259"/>
      <c r="FY19" s="259"/>
      <c r="FZ19" s="259"/>
      <c r="GA19" s="259"/>
      <c r="GB19" s="259"/>
      <c r="GC19" s="259"/>
      <c r="GD19" s="259"/>
      <c r="GE19" s="259"/>
      <c r="GF19" s="259"/>
      <c r="GG19" s="259"/>
      <c r="GH19" s="259"/>
      <c r="GI19" s="259"/>
      <c r="GJ19" s="259"/>
      <c r="GK19" s="259"/>
      <c r="GL19" s="259"/>
      <c r="GM19" s="259"/>
      <c r="GN19" s="259"/>
      <c r="GO19" s="259"/>
      <c r="GP19" s="259"/>
      <c r="GQ19" s="259"/>
      <c r="GR19" s="259"/>
      <c r="GS19" s="259"/>
      <c r="GT19" s="259"/>
      <c r="GU19" s="259"/>
      <c r="GV19" s="259"/>
      <c r="GW19" s="259"/>
      <c r="GX19" s="259"/>
      <c r="GY19" s="259"/>
      <c r="GZ19" s="259"/>
      <c r="HA19" s="259"/>
      <c r="HB19" s="259"/>
      <c r="HC19" s="259"/>
      <c r="HD19" s="259"/>
      <c r="HE19" s="259"/>
      <c r="HF19" s="259"/>
      <c r="HG19" s="259"/>
      <c r="HH19" s="259"/>
      <c r="HI19" s="259"/>
      <c r="HJ19" s="259"/>
      <c r="HK19" s="259"/>
      <c r="HL19" s="259"/>
      <c r="HM19" s="259"/>
      <c r="HN19" s="259"/>
      <c r="HO19" s="259"/>
      <c r="HP19" s="259"/>
      <c r="HQ19" s="259"/>
      <c r="HR19" s="259"/>
      <c r="HS19" s="259"/>
      <c r="HT19" s="259"/>
      <c r="HU19" s="259"/>
      <c r="HV19" s="259"/>
      <c r="HW19" s="259"/>
      <c r="HX19" s="259"/>
      <c r="HY19" s="259"/>
      <c r="HZ19" s="259"/>
      <c r="IA19" s="259"/>
      <c r="IB19" s="259"/>
      <c r="IC19" s="259"/>
      <c r="ID19" s="259"/>
      <c r="IE19" s="259"/>
      <c r="IF19" s="259"/>
      <c r="IG19" s="259"/>
      <c r="IH19" s="259"/>
      <c r="II19" s="259"/>
      <c r="IJ19" s="259"/>
      <c r="IK19" s="259"/>
      <c r="IL19" s="259"/>
      <c r="IM19" s="259"/>
      <c r="IN19" s="259"/>
      <c r="IO19" s="259"/>
      <c r="IP19" s="259"/>
      <c r="IQ19" s="259"/>
      <c r="IR19" s="259"/>
      <c r="IS19" s="259"/>
      <c r="IT19" s="259"/>
      <c r="IU19" s="259"/>
      <c r="IV19" s="259"/>
      <c r="IW19" s="259"/>
    </row>
    <row r="20" spans="2:257" s="768" customFormat="1" ht="6" customHeight="1">
      <c r="C20" s="938"/>
      <c r="D20" s="935"/>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936"/>
      <c r="AE20" s="563"/>
      <c r="AF20" s="770"/>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c r="EB20" s="563"/>
      <c r="EC20" s="563"/>
      <c r="ED20" s="563"/>
      <c r="EE20" s="563"/>
      <c r="EF20" s="563"/>
      <c r="EG20" s="563"/>
      <c r="EH20" s="563"/>
      <c r="EI20" s="563"/>
      <c r="EJ20" s="563"/>
      <c r="EK20" s="563"/>
      <c r="EL20" s="563"/>
      <c r="EM20" s="563"/>
      <c r="EN20" s="563"/>
      <c r="EO20" s="563"/>
      <c r="EP20" s="563"/>
      <c r="EQ20" s="563"/>
      <c r="ER20" s="563"/>
      <c r="ES20" s="563"/>
      <c r="ET20" s="563"/>
      <c r="EU20" s="563"/>
      <c r="EV20" s="563"/>
      <c r="EW20" s="563"/>
      <c r="EX20" s="563"/>
      <c r="EY20" s="563"/>
      <c r="EZ20" s="563"/>
      <c r="FA20" s="563"/>
      <c r="FB20" s="563"/>
      <c r="FC20" s="563"/>
      <c r="FD20" s="563"/>
      <c r="FE20" s="563"/>
      <c r="FF20" s="563"/>
      <c r="FG20" s="563"/>
      <c r="FH20" s="563"/>
      <c r="FI20" s="563"/>
      <c r="FJ20" s="563"/>
      <c r="FK20" s="563"/>
      <c r="FL20" s="563"/>
      <c r="FM20" s="563"/>
      <c r="FN20" s="563"/>
      <c r="FO20" s="563"/>
      <c r="FP20" s="563"/>
      <c r="FQ20" s="563"/>
      <c r="FR20" s="563"/>
      <c r="FS20" s="563"/>
      <c r="FT20" s="563"/>
      <c r="FU20" s="563"/>
      <c r="FV20" s="563"/>
      <c r="FW20" s="563"/>
      <c r="FX20" s="563"/>
      <c r="FY20" s="563"/>
      <c r="FZ20" s="563"/>
      <c r="GA20" s="563"/>
      <c r="GB20" s="563"/>
      <c r="GC20" s="563"/>
      <c r="GD20" s="563"/>
      <c r="GE20" s="563"/>
      <c r="GF20" s="563"/>
      <c r="GG20" s="563"/>
      <c r="GH20" s="563"/>
      <c r="GI20" s="563"/>
      <c r="GJ20" s="563"/>
      <c r="GK20" s="563"/>
      <c r="GL20" s="563"/>
      <c r="GM20" s="563"/>
      <c r="GN20" s="563"/>
      <c r="GO20" s="563"/>
      <c r="GP20" s="563"/>
      <c r="GQ20" s="563"/>
      <c r="GR20" s="563"/>
      <c r="GS20" s="563"/>
      <c r="GT20" s="563"/>
      <c r="GU20" s="563"/>
      <c r="GV20" s="563"/>
      <c r="GW20" s="563"/>
      <c r="GX20" s="563"/>
      <c r="GY20" s="563"/>
      <c r="GZ20" s="563"/>
      <c r="HA20" s="563"/>
      <c r="HB20" s="563"/>
      <c r="HC20" s="563"/>
      <c r="HD20" s="563"/>
      <c r="HE20" s="563"/>
      <c r="HF20" s="563"/>
      <c r="HG20" s="563"/>
      <c r="HH20" s="563"/>
      <c r="HI20" s="563"/>
      <c r="HJ20" s="563"/>
      <c r="HK20" s="563"/>
      <c r="HL20" s="563"/>
      <c r="HM20" s="563"/>
      <c r="HN20" s="563"/>
      <c r="HO20" s="563"/>
      <c r="HP20" s="563"/>
      <c r="HQ20" s="563"/>
      <c r="HR20" s="563"/>
      <c r="HS20" s="563"/>
      <c r="HT20" s="563"/>
      <c r="HU20" s="563"/>
      <c r="HV20" s="563"/>
      <c r="HW20" s="563"/>
      <c r="HX20" s="563"/>
      <c r="HY20" s="563"/>
      <c r="HZ20" s="563"/>
      <c r="IA20" s="563"/>
      <c r="IB20" s="563"/>
      <c r="IC20" s="563"/>
      <c r="ID20" s="563"/>
      <c r="IE20" s="563"/>
      <c r="IF20" s="563"/>
      <c r="IG20" s="563"/>
      <c r="IH20" s="563"/>
      <c r="II20" s="563"/>
      <c r="IJ20" s="563"/>
      <c r="IK20" s="563"/>
      <c r="IL20" s="563"/>
      <c r="IM20" s="563"/>
      <c r="IN20" s="563"/>
      <c r="IO20" s="563"/>
      <c r="IP20" s="563"/>
      <c r="IQ20" s="563"/>
      <c r="IR20" s="563"/>
      <c r="IS20" s="563"/>
      <c r="IT20" s="563"/>
      <c r="IU20" s="563"/>
      <c r="IV20" s="563"/>
      <c r="IW20" s="563"/>
    </row>
    <row r="21" spans="2:257" ht="20.100000000000001" customHeight="1">
      <c r="B21" s="771">
        <v>1</v>
      </c>
      <c r="C21" s="168" t="str">
        <f>SUM($A$14:B21)&amp;".0"</f>
        <v>4.0</v>
      </c>
      <c r="D21" s="933" t="str">
        <f ca="1">VLOOKUP(C21,RESUMO!$B$16:$I$54,3,0)</f>
        <v>M O V I M E N T O  D E   T E R R A</v>
      </c>
      <c r="E21" s="772"/>
      <c r="F21" s="934">
        <f ca="1">IF($AC21=0,0,ROUND(100*E21/$AC21,2))</f>
        <v>0</v>
      </c>
      <c r="G21" s="772"/>
      <c r="H21" s="934">
        <f ca="1">IF($AC21=0,0,ROUND(100*G21/$AC21,2))</f>
        <v>0</v>
      </c>
      <c r="I21" s="772"/>
      <c r="J21" s="934">
        <f ca="1">IF($AC21=0,0,ROUND(100*I21/$AC21,2))</f>
        <v>0</v>
      </c>
      <c r="K21" s="772"/>
      <c r="L21" s="934">
        <f ca="1">IF($AC21=0,0,ROUND(100*K21/$AC21,2))</f>
        <v>0</v>
      </c>
      <c r="M21" s="772"/>
      <c r="N21" s="934">
        <f ca="1">IF($AC21=0,0,ROUND(100*M21/$AC21,2))</f>
        <v>0</v>
      </c>
      <c r="O21" s="772"/>
      <c r="P21" s="934">
        <f ca="1">IF($AC21=0,0,ROUND(100*O21/$AC21,2))</f>
        <v>0</v>
      </c>
      <c r="Q21" s="772"/>
      <c r="R21" s="934">
        <f ca="1">IF($AC21=0,0,ROUND(100*Q21/$AC21,2))</f>
        <v>0</v>
      </c>
      <c r="S21" s="772"/>
      <c r="T21" s="934">
        <f ca="1">IF($AC21=0,0,ROUND(100*S21/$AC21,2))</f>
        <v>0</v>
      </c>
      <c r="U21" s="772"/>
      <c r="V21" s="934">
        <f ca="1">IF($AC21=0,0,ROUND(100*U21/$AC21,2))</f>
        <v>0</v>
      </c>
      <c r="W21" s="772"/>
      <c r="X21" s="934">
        <f ca="1">IF($AC21=0,0,ROUND(100*W21/$AC21,2))</f>
        <v>0</v>
      </c>
      <c r="Y21" s="772"/>
      <c r="Z21" s="934">
        <f ca="1">IF($AC21=0,0,ROUND(100*Y21/$AC21,2))</f>
        <v>0</v>
      </c>
      <c r="AA21" s="772"/>
      <c r="AB21" s="934">
        <f ca="1">IF($AC21=0,0,ROUND(100*AA21/$AC21,2))</f>
        <v>0</v>
      </c>
      <c r="AC21" s="772">
        <f ca="1">VLOOKUP(C21,RESUMO!$B$16:$I$54,8,0)</f>
        <v>4610.12</v>
      </c>
      <c r="AD21" s="934" t="e">
        <f ca="1">AC21/$AC$57*100</f>
        <v>#N/A</v>
      </c>
      <c r="AE21" s="259"/>
      <c r="AF21" s="770">
        <f ca="1">F21+H21+J21+P21+L21+N21+R21+T21+V21+X21+Z21+AB21</f>
        <v>0</v>
      </c>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c r="DD21" s="259"/>
      <c r="DE21" s="259"/>
      <c r="DF21" s="259"/>
      <c r="DG21" s="259"/>
      <c r="DH21" s="259"/>
      <c r="DI21" s="259"/>
      <c r="DJ21" s="259"/>
      <c r="DK21" s="259"/>
      <c r="DL21" s="259"/>
      <c r="DM21" s="259"/>
      <c r="DN21" s="259"/>
      <c r="DO21" s="259"/>
      <c r="DP21" s="259"/>
      <c r="DQ21" s="259"/>
      <c r="DR21" s="259"/>
      <c r="DS21" s="259"/>
      <c r="DT21" s="259"/>
      <c r="DU21" s="259"/>
      <c r="DV21" s="259"/>
      <c r="DW21" s="259"/>
      <c r="DX21" s="259"/>
      <c r="DY21" s="259"/>
      <c r="DZ21" s="259"/>
      <c r="EA21" s="259"/>
      <c r="EB21" s="259"/>
      <c r="EC21" s="259"/>
      <c r="ED21" s="259"/>
      <c r="EE21" s="259"/>
      <c r="EF21" s="259"/>
      <c r="EG21" s="259"/>
      <c r="EH21" s="259"/>
      <c r="EI21" s="259"/>
      <c r="EJ21" s="259"/>
      <c r="EK21" s="259"/>
      <c r="EL21" s="259"/>
      <c r="EM21" s="259"/>
      <c r="EN21" s="259"/>
      <c r="EO21" s="259"/>
      <c r="EP21" s="259"/>
      <c r="EQ21" s="259"/>
      <c r="ER21" s="259"/>
      <c r="ES21" s="259"/>
      <c r="ET21" s="259"/>
      <c r="EU21" s="259"/>
      <c r="EV21" s="259"/>
      <c r="EW21" s="259"/>
      <c r="EX21" s="259"/>
      <c r="EY21" s="259"/>
      <c r="EZ21" s="259"/>
      <c r="FA21" s="259"/>
      <c r="FB21" s="259"/>
      <c r="FC21" s="259"/>
      <c r="FD21" s="259"/>
      <c r="FE21" s="259"/>
      <c r="FF21" s="259"/>
      <c r="FG21" s="259"/>
      <c r="FH21" s="259"/>
      <c r="FI21" s="259"/>
      <c r="FJ21" s="259"/>
      <c r="FK21" s="259"/>
      <c r="FL21" s="259"/>
      <c r="FM21" s="259"/>
      <c r="FN21" s="259"/>
      <c r="FO21" s="259"/>
      <c r="FP21" s="259"/>
      <c r="FQ21" s="259"/>
      <c r="FR21" s="259"/>
      <c r="FS21" s="259"/>
      <c r="FT21" s="259"/>
      <c r="FU21" s="259"/>
      <c r="FV21" s="259"/>
      <c r="FW21" s="259"/>
      <c r="FX21" s="259"/>
      <c r="FY21" s="259"/>
      <c r="FZ21" s="259"/>
      <c r="GA21" s="259"/>
      <c r="GB21" s="259"/>
      <c r="GC21" s="259"/>
      <c r="GD21" s="259"/>
      <c r="GE21" s="259"/>
      <c r="GF21" s="259"/>
      <c r="GG21" s="259"/>
      <c r="GH21" s="259"/>
      <c r="GI21" s="259"/>
      <c r="GJ21" s="259"/>
      <c r="GK21" s="259"/>
      <c r="GL21" s="259"/>
      <c r="GM21" s="259"/>
      <c r="GN21" s="259"/>
      <c r="GO21" s="259"/>
      <c r="GP21" s="259"/>
      <c r="GQ21" s="259"/>
      <c r="GR21" s="259"/>
      <c r="GS21" s="259"/>
      <c r="GT21" s="259"/>
      <c r="GU21" s="259"/>
      <c r="GV21" s="259"/>
      <c r="GW21" s="259"/>
      <c r="GX21" s="259"/>
      <c r="GY21" s="259"/>
      <c r="GZ21" s="259"/>
      <c r="HA21" s="259"/>
      <c r="HB21" s="259"/>
      <c r="HC21" s="259"/>
      <c r="HD21" s="259"/>
      <c r="HE21" s="259"/>
      <c r="HF21" s="259"/>
      <c r="HG21" s="259"/>
      <c r="HH21" s="259"/>
      <c r="HI21" s="259"/>
      <c r="HJ21" s="259"/>
      <c r="HK21" s="259"/>
      <c r="HL21" s="259"/>
      <c r="HM21" s="259"/>
      <c r="HN21" s="259"/>
      <c r="HO21" s="259"/>
      <c r="HP21" s="259"/>
      <c r="HQ21" s="259"/>
      <c r="HR21" s="259"/>
      <c r="HS21" s="259"/>
      <c r="HT21" s="259"/>
      <c r="HU21" s="259"/>
      <c r="HV21" s="259"/>
      <c r="HW21" s="259"/>
      <c r="HX21" s="259"/>
      <c r="HY21" s="259"/>
      <c r="HZ21" s="259"/>
      <c r="IA21" s="259"/>
      <c r="IB21" s="259"/>
      <c r="IC21" s="259"/>
      <c r="ID21" s="259"/>
      <c r="IE21" s="259"/>
      <c r="IF21" s="259"/>
      <c r="IG21" s="259"/>
      <c r="IH21" s="259"/>
      <c r="II21" s="259"/>
      <c r="IJ21" s="259"/>
      <c r="IK21" s="259"/>
      <c r="IL21" s="259"/>
      <c r="IM21" s="259"/>
      <c r="IN21" s="259"/>
      <c r="IO21" s="259"/>
      <c r="IP21" s="259"/>
      <c r="IQ21" s="259"/>
      <c r="IR21" s="259"/>
      <c r="IS21" s="259"/>
      <c r="IT21" s="259"/>
      <c r="IU21" s="259"/>
      <c r="IV21" s="259"/>
      <c r="IW21" s="259"/>
    </row>
    <row r="22" spans="2:257" s="768" customFormat="1" ht="6" customHeight="1">
      <c r="C22" s="938"/>
      <c r="D22" s="935"/>
      <c r="E22" s="769"/>
      <c r="F22" s="769"/>
      <c r="G22" s="769"/>
      <c r="H22" s="769"/>
      <c r="I22" s="769"/>
      <c r="J22" s="769"/>
      <c r="K22" s="769"/>
      <c r="L22" s="769"/>
      <c r="M22" s="769"/>
      <c r="N22" s="769"/>
      <c r="O22" s="769"/>
      <c r="P22" s="769"/>
      <c r="Q22" s="769"/>
      <c r="R22" s="769"/>
      <c r="S22" s="769"/>
      <c r="T22" s="769"/>
      <c r="U22" s="769"/>
      <c r="V22" s="769"/>
      <c r="W22" s="769"/>
      <c r="X22" s="769"/>
      <c r="Y22" s="769"/>
      <c r="Z22" s="769"/>
      <c r="AA22" s="769"/>
      <c r="AB22" s="769"/>
      <c r="AC22" s="769"/>
      <c r="AD22" s="936"/>
      <c r="AE22" s="563"/>
      <c r="AF22" s="770"/>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c r="EL22" s="563"/>
      <c r="EM22" s="563"/>
      <c r="EN22" s="563"/>
      <c r="EO22" s="563"/>
      <c r="EP22" s="563"/>
      <c r="EQ22" s="563"/>
      <c r="ER22" s="563"/>
      <c r="ES22" s="563"/>
      <c r="ET22" s="563"/>
      <c r="EU22" s="563"/>
      <c r="EV22" s="563"/>
      <c r="EW22" s="563"/>
      <c r="EX22" s="563"/>
      <c r="EY22" s="563"/>
      <c r="EZ22" s="563"/>
      <c r="FA22" s="563"/>
      <c r="FB22" s="563"/>
      <c r="FC22" s="563"/>
      <c r="FD22" s="563"/>
      <c r="FE22" s="563"/>
      <c r="FF22" s="563"/>
      <c r="FG22" s="563"/>
      <c r="FH22" s="563"/>
      <c r="FI22" s="563"/>
      <c r="FJ22" s="563"/>
      <c r="FK22" s="563"/>
      <c r="FL22" s="563"/>
      <c r="FM22" s="563"/>
      <c r="FN22" s="563"/>
      <c r="FO22" s="563"/>
      <c r="FP22" s="563"/>
      <c r="FQ22" s="563"/>
      <c r="FR22" s="563"/>
      <c r="FS22" s="563"/>
      <c r="FT22" s="563"/>
      <c r="FU22" s="563"/>
      <c r="FV22" s="563"/>
      <c r="FW22" s="563"/>
      <c r="FX22" s="563"/>
      <c r="FY22" s="563"/>
      <c r="FZ22" s="563"/>
      <c r="GA22" s="563"/>
      <c r="GB22" s="563"/>
      <c r="GC22" s="563"/>
      <c r="GD22" s="563"/>
      <c r="GE22" s="563"/>
      <c r="GF22" s="563"/>
      <c r="GG22" s="563"/>
      <c r="GH22" s="563"/>
      <c r="GI22" s="563"/>
      <c r="GJ22" s="563"/>
      <c r="GK22" s="563"/>
      <c r="GL22" s="563"/>
      <c r="GM22" s="563"/>
      <c r="GN22" s="563"/>
      <c r="GO22" s="563"/>
      <c r="GP22" s="563"/>
      <c r="GQ22" s="563"/>
      <c r="GR22" s="563"/>
      <c r="GS22" s="563"/>
      <c r="GT22" s="563"/>
      <c r="GU22" s="563"/>
      <c r="GV22" s="563"/>
      <c r="GW22" s="563"/>
      <c r="GX22" s="563"/>
      <c r="GY22" s="563"/>
      <c r="GZ22" s="563"/>
      <c r="HA22" s="563"/>
      <c r="HB22" s="563"/>
      <c r="HC22" s="563"/>
      <c r="HD22" s="563"/>
      <c r="HE22" s="563"/>
      <c r="HF22" s="563"/>
      <c r="HG22" s="563"/>
      <c r="HH22" s="563"/>
      <c r="HI22" s="563"/>
      <c r="HJ22" s="563"/>
      <c r="HK22" s="563"/>
      <c r="HL22" s="563"/>
      <c r="HM22" s="563"/>
      <c r="HN22" s="563"/>
      <c r="HO22" s="563"/>
      <c r="HP22" s="563"/>
      <c r="HQ22" s="563"/>
      <c r="HR22" s="563"/>
      <c r="HS22" s="563"/>
      <c r="HT22" s="563"/>
      <c r="HU22" s="563"/>
      <c r="HV22" s="563"/>
      <c r="HW22" s="563"/>
      <c r="HX22" s="563"/>
      <c r="HY22" s="563"/>
      <c r="HZ22" s="563"/>
      <c r="IA22" s="563"/>
      <c r="IB22" s="563"/>
      <c r="IC22" s="563"/>
      <c r="ID22" s="563"/>
      <c r="IE22" s="563"/>
      <c r="IF22" s="563"/>
      <c r="IG22" s="563"/>
      <c r="IH22" s="563"/>
      <c r="II22" s="563"/>
      <c r="IJ22" s="563"/>
      <c r="IK22" s="563"/>
      <c r="IL22" s="563"/>
      <c r="IM22" s="563"/>
      <c r="IN22" s="563"/>
      <c r="IO22" s="563"/>
      <c r="IP22" s="563"/>
      <c r="IQ22" s="563"/>
      <c r="IR22" s="563"/>
      <c r="IS22" s="563"/>
      <c r="IT22" s="563"/>
      <c r="IU22" s="563"/>
      <c r="IV22" s="563"/>
      <c r="IW22" s="563"/>
    </row>
    <row r="23" spans="2:257" ht="20.100000000000001" customHeight="1">
      <c r="B23" s="771">
        <v>1</v>
      </c>
      <c r="C23" s="168" t="str">
        <f>SUM($A$14:B23)&amp;".0"</f>
        <v>5.0</v>
      </c>
      <c r="D23" s="933" t="str">
        <f ca="1">VLOOKUP(C23,RESUMO!$B$16:$I$54,3,0)</f>
        <v>F U N D A Ç Ã O</v>
      </c>
      <c r="E23" s="772"/>
      <c r="F23" s="934">
        <f ca="1">IF($AC23=0,0,ROUND(100*E23/$AC23,2))</f>
        <v>0</v>
      </c>
      <c r="G23" s="772"/>
      <c r="H23" s="934">
        <f ca="1">IF($AC23=0,0,ROUND(100*G23/$AC23,2))</f>
        <v>0</v>
      </c>
      <c r="I23" s="772"/>
      <c r="J23" s="934">
        <f ca="1">IF($AC23=0,0,ROUND(100*I23/$AC23,2))</f>
        <v>0</v>
      </c>
      <c r="K23" s="772"/>
      <c r="L23" s="934">
        <f ca="1">IF($AC23=0,0,ROUND(100*K23/$AC23,2))</f>
        <v>0</v>
      </c>
      <c r="M23" s="772"/>
      <c r="N23" s="934">
        <f ca="1">IF($AC23=0,0,ROUND(100*M23/$AC23,2))</f>
        <v>0</v>
      </c>
      <c r="O23" s="772"/>
      <c r="P23" s="934">
        <f ca="1">IF($AC23=0,0,ROUND(100*O23/$AC23,2))</f>
        <v>0</v>
      </c>
      <c r="Q23" s="772"/>
      <c r="R23" s="934">
        <f ca="1">IF($AC23=0,0,ROUND(100*Q23/$AC23,2))</f>
        <v>0</v>
      </c>
      <c r="S23" s="772"/>
      <c r="T23" s="934">
        <f ca="1">IF($AC23=0,0,ROUND(100*S23/$AC23,2))</f>
        <v>0</v>
      </c>
      <c r="U23" s="772"/>
      <c r="V23" s="934">
        <f ca="1">IF($AC23=0,0,ROUND(100*U23/$AC23,2))</f>
        <v>0</v>
      </c>
      <c r="W23" s="772"/>
      <c r="X23" s="934">
        <f ca="1">IF($AC23=0,0,ROUND(100*W23/$AC23,2))</f>
        <v>0</v>
      </c>
      <c r="Y23" s="772"/>
      <c r="Z23" s="934">
        <f ca="1">IF($AC23=0,0,ROUND(100*Y23/$AC23,2))</f>
        <v>0</v>
      </c>
      <c r="AA23" s="772"/>
      <c r="AB23" s="934">
        <f ca="1">IF($AC23=0,0,ROUND(100*AA23/$AC23,2))</f>
        <v>0</v>
      </c>
      <c r="AC23" s="772">
        <f ca="1">VLOOKUP(C23,RESUMO!$B$16:$I$54,8,0)</f>
        <v>54004.26</v>
      </c>
      <c r="AD23" s="934" t="e">
        <f ca="1">AC23/$AC$57*100</f>
        <v>#N/A</v>
      </c>
      <c r="AE23" s="259"/>
      <c r="AF23" s="770">
        <f ca="1">F23+H23+J23+P23+L23+N23+R23+T23+V23+X23+Z23+AB23</f>
        <v>0</v>
      </c>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c r="DM23" s="259"/>
      <c r="DN23" s="259"/>
      <c r="DO23" s="259"/>
      <c r="DP23" s="259"/>
      <c r="DQ23" s="259"/>
      <c r="DR23" s="259"/>
      <c r="DS23" s="259"/>
      <c r="DT23" s="259"/>
      <c r="DU23" s="259"/>
      <c r="DV23" s="259"/>
      <c r="DW23" s="259"/>
      <c r="DX23" s="259"/>
      <c r="DY23" s="259"/>
      <c r="DZ23" s="259"/>
      <c r="EA23" s="259"/>
      <c r="EB23" s="259"/>
      <c r="EC23" s="259"/>
      <c r="ED23" s="259"/>
      <c r="EE23" s="259"/>
      <c r="EF23" s="259"/>
      <c r="EG23" s="259"/>
      <c r="EH23" s="259"/>
      <c r="EI23" s="259"/>
      <c r="EJ23" s="259"/>
      <c r="EK23" s="259"/>
      <c r="EL23" s="259"/>
      <c r="EM23" s="259"/>
      <c r="EN23" s="259"/>
      <c r="EO23" s="259"/>
      <c r="EP23" s="259"/>
      <c r="EQ23" s="259"/>
      <c r="ER23" s="259"/>
      <c r="ES23" s="259"/>
      <c r="ET23" s="259"/>
      <c r="EU23" s="259"/>
      <c r="EV23" s="259"/>
      <c r="EW23" s="259"/>
      <c r="EX23" s="259"/>
      <c r="EY23" s="259"/>
      <c r="EZ23" s="259"/>
      <c r="FA23" s="259"/>
      <c r="FB23" s="259"/>
      <c r="FC23" s="259"/>
      <c r="FD23" s="259"/>
      <c r="FE23" s="259"/>
      <c r="FF23" s="259"/>
      <c r="FG23" s="259"/>
      <c r="FH23" s="259"/>
      <c r="FI23" s="259"/>
      <c r="FJ23" s="259"/>
      <c r="FK23" s="259"/>
      <c r="FL23" s="259"/>
      <c r="FM23" s="259"/>
      <c r="FN23" s="259"/>
      <c r="FO23" s="259"/>
      <c r="FP23" s="259"/>
      <c r="FQ23" s="259"/>
      <c r="FR23" s="259"/>
      <c r="FS23" s="259"/>
      <c r="FT23" s="259"/>
      <c r="FU23" s="259"/>
      <c r="FV23" s="259"/>
      <c r="FW23" s="259"/>
      <c r="FX23" s="259"/>
      <c r="FY23" s="259"/>
      <c r="FZ23" s="259"/>
      <c r="GA23" s="259"/>
      <c r="GB23" s="259"/>
      <c r="GC23" s="259"/>
      <c r="GD23" s="259"/>
      <c r="GE23" s="259"/>
      <c r="GF23" s="259"/>
      <c r="GG23" s="259"/>
      <c r="GH23" s="259"/>
      <c r="GI23" s="259"/>
      <c r="GJ23" s="259"/>
      <c r="GK23" s="259"/>
      <c r="GL23" s="259"/>
      <c r="GM23" s="259"/>
      <c r="GN23" s="259"/>
      <c r="GO23" s="259"/>
      <c r="GP23" s="259"/>
      <c r="GQ23" s="259"/>
      <c r="GR23" s="259"/>
      <c r="GS23" s="259"/>
      <c r="GT23" s="259"/>
      <c r="GU23" s="259"/>
      <c r="GV23" s="259"/>
      <c r="GW23" s="259"/>
      <c r="GX23" s="259"/>
      <c r="GY23" s="259"/>
      <c r="GZ23" s="259"/>
      <c r="HA23" s="259"/>
      <c r="HB23" s="259"/>
      <c r="HC23" s="259"/>
      <c r="HD23" s="259"/>
      <c r="HE23" s="259"/>
      <c r="HF23" s="259"/>
      <c r="HG23" s="259"/>
      <c r="HH23" s="259"/>
      <c r="HI23" s="259"/>
      <c r="HJ23" s="259"/>
      <c r="HK23" s="259"/>
      <c r="HL23" s="259"/>
      <c r="HM23" s="259"/>
      <c r="HN23" s="259"/>
      <c r="HO23" s="259"/>
      <c r="HP23" s="259"/>
      <c r="HQ23" s="259"/>
      <c r="HR23" s="259"/>
      <c r="HS23" s="259"/>
      <c r="HT23" s="259"/>
      <c r="HU23" s="259"/>
      <c r="HV23" s="259"/>
      <c r="HW23" s="259"/>
      <c r="HX23" s="259"/>
      <c r="HY23" s="259"/>
      <c r="HZ23" s="259"/>
      <c r="IA23" s="259"/>
      <c r="IB23" s="259"/>
      <c r="IC23" s="259"/>
      <c r="ID23" s="259"/>
      <c r="IE23" s="259"/>
      <c r="IF23" s="259"/>
      <c r="IG23" s="259"/>
      <c r="IH23" s="259"/>
      <c r="II23" s="259"/>
      <c r="IJ23" s="259"/>
      <c r="IK23" s="259"/>
      <c r="IL23" s="259"/>
      <c r="IM23" s="259"/>
      <c r="IN23" s="259"/>
      <c r="IO23" s="259"/>
      <c r="IP23" s="259"/>
      <c r="IQ23" s="259"/>
      <c r="IR23" s="259"/>
      <c r="IS23" s="259"/>
      <c r="IT23" s="259"/>
      <c r="IU23" s="259"/>
      <c r="IV23" s="259"/>
      <c r="IW23" s="259"/>
    </row>
    <row r="24" spans="2:257" s="768" customFormat="1" ht="6" customHeight="1">
      <c r="C24" s="938"/>
      <c r="D24" s="935"/>
      <c r="E24" s="769"/>
      <c r="F24" s="769"/>
      <c r="G24" s="769"/>
      <c r="H24" s="769"/>
      <c r="I24" s="769"/>
      <c r="J24" s="769"/>
      <c r="K24" s="769"/>
      <c r="L24" s="769"/>
      <c r="M24" s="769"/>
      <c r="N24" s="769"/>
      <c r="O24" s="769"/>
      <c r="P24" s="769"/>
      <c r="Q24" s="769"/>
      <c r="R24" s="769"/>
      <c r="S24" s="769"/>
      <c r="T24" s="769"/>
      <c r="U24" s="769"/>
      <c r="V24" s="769"/>
      <c r="W24" s="769"/>
      <c r="X24" s="769"/>
      <c r="Y24" s="769"/>
      <c r="Z24" s="769"/>
      <c r="AA24" s="769"/>
      <c r="AB24" s="769"/>
      <c r="AC24" s="769"/>
      <c r="AD24" s="936"/>
      <c r="AE24" s="563"/>
      <c r="AF24" s="770"/>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3"/>
      <c r="EC24" s="563"/>
      <c r="ED24" s="563"/>
      <c r="EE24" s="563"/>
      <c r="EF24" s="563"/>
      <c r="EG24" s="563"/>
      <c r="EH24" s="563"/>
      <c r="EI24" s="563"/>
      <c r="EJ24" s="563"/>
      <c r="EK24" s="563"/>
      <c r="EL24" s="563"/>
      <c r="EM24" s="563"/>
      <c r="EN24" s="563"/>
      <c r="EO24" s="563"/>
      <c r="EP24" s="563"/>
      <c r="EQ24" s="563"/>
      <c r="ER24" s="563"/>
      <c r="ES24" s="563"/>
      <c r="ET24" s="563"/>
      <c r="EU24" s="563"/>
      <c r="EV24" s="563"/>
      <c r="EW24" s="563"/>
      <c r="EX24" s="563"/>
      <c r="EY24" s="563"/>
      <c r="EZ24" s="563"/>
      <c r="FA24" s="563"/>
      <c r="FB24" s="563"/>
      <c r="FC24" s="563"/>
      <c r="FD24" s="563"/>
      <c r="FE24" s="563"/>
      <c r="FF24" s="563"/>
      <c r="FG24" s="563"/>
      <c r="FH24" s="563"/>
      <c r="FI24" s="563"/>
      <c r="FJ24" s="563"/>
      <c r="FK24" s="563"/>
      <c r="FL24" s="563"/>
      <c r="FM24" s="563"/>
      <c r="FN24" s="563"/>
      <c r="FO24" s="563"/>
      <c r="FP24" s="563"/>
      <c r="FQ24" s="563"/>
      <c r="FR24" s="563"/>
      <c r="FS24" s="563"/>
      <c r="FT24" s="563"/>
      <c r="FU24" s="563"/>
      <c r="FV24" s="563"/>
      <c r="FW24" s="563"/>
      <c r="FX24" s="563"/>
      <c r="FY24" s="563"/>
      <c r="FZ24" s="563"/>
      <c r="GA24" s="563"/>
      <c r="GB24" s="563"/>
      <c r="GC24" s="563"/>
      <c r="GD24" s="563"/>
      <c r="GE24" s="563"/>
      <c r="GF24" s="563"/>
      <c r="GG24" s="563"/>
      <c r="GH24" s="563"/>
      <c r="GI24" s="563"/>
      <c r="GJ24" s="563"/>
      <c r="GK24" s="563"/>
      <c r="GL24" s="563"/>
      <c r="GM24" s="563"/>
      <c r="GN24" s="563"/>
      <c r="GO24" s="563"/>
      <c r="GP24" s="563"/>
      <c r="GQ24" s="563"/>
      <c r="GR24" s="563"/>
      <c r="GS24" s="563"/>
      <c r="GT24" s="563"/>
      <c r="GU24" s="563"/>
      <c r="GV24" s="563"/>
      <c r="GW24" s="563"/>
      <c r="GX24" s="563"/>
      <c r="GY24" s="563"/>
      <c r="GZ24" s="563"/>
      <c r="HA24" s="563"/>
      <c r="HB24" s="563"/>
      <c r="HC24" s="563"/>
      <c r="HD24" s="563"/>
      <c r="HE24" s="563"/>
      <c r="HF24" s="563"/>
      <c r="HG24" s="563"/>
      <c r="HH24" s="563"/>
      <c r="HI24" s="563"/>
      <c r="HJ24" s="563"/>
      <c r="HK24" s="563"/>
      <c r="HL24" s="563"/>
      <c r="HM24" s="563"/>
      <c r="HN24" s="563"/>
      <c r="HO24" s="563"/>
      <c r="HP24" s="563"/>
      <c r="HQ24" s="563"/>
      <c r="HR24" s="563"/>
      <c r="HS24" s="563"/>
      <c r="HT24" s="563"/>
      <c r="HU24" s="563"/>
      <c r="HV24" s="563"/>
      <c r="HW24" s="563"/>
      <c r="HX24" s="563"/>
      <c r="HY24" s="563"/>
      <c r="HZ24" s="563"/>
      <c r="IA24" s="563"/>
      <c r="IB24" s="563"/>
      <c r="IC24" s="563"/>
      <c r="ID24" s="563"/>
      <c r="IE24" s="563"/>
      <c r="IF24" s="563"/>
      <c r="IG24" s="563"/>
      <c r="IH24" s="563"/>
      <c r="II24" s="563"/>
      <c r="IJ24" s="563"/>
      <c r="IK24" s="563"/>
      <c r="IL24" s="563"/>
      <c r="IM24" s="563"/>
      <c r="IN24" s="563"/>
      <c r="IO24" s="563"/>
      <c r="IP24" s="563"/>
      <c r="IQ24" s="563"/>
      <c r="IR24" s="563"/>
      <c r="IS24" s="563"/>
      <c r="IT24" s="563"/>
      <c r="IU24" s="563"/>
      <c r="IV24" s="563"/>
      <c r="IW24" s="563"/>
    </row>
    <row r="25" spans="2:257" ht="20.100000000000001" customHeight="1">
      <c r="B25" s="771">
        <v>1</v>
      </c>
      <c r="C25" s="168" t="str">
        <f>SUM($A$14:B25)&amp;".0"</f>
        <v>6.0</v>
      </c>
      <c r="D25" s="933" t="str">
        <f ca="1">VLOOKUP(C25,RESUMO!$B$16:$I$54,3,0)</f>
        <v>E S T R U T U R A  - M E T Á L I C O</v>
      </c>
      <c r="E25" s="772"/>
      <c r="F25" s="934">
        <f ca="1">IF($AC25=0,0,ROUND(100*E25/$AC25,2))</f>
        <v>0</v>
      </c>
      <c r="G25" s="772"/>
      <c r="H25" s="934">
        <f ca="1">IF($AC25=0,0,ROUND(100*G25/$AC25,2))</f>
        <v>0</v>
      </c>
      <c r="I25" s="772"/>
      <c r="J25" s="934">
        <f ca="1">IF($AC25=0,0,ROUND(100*I25/$AC25,2))</f>
        <v>0</v>
      </c>
      <c r="K25" s="772"/>
      <c r="L25" s="934">
        <f ca="1">IF($AC25=0,0,ROUND(100*K25/$AC25,2))</f>
        <v>0</v>
      </c>
      <c r="M25" s="772"/>
      <c r="N25" s="934">
        <f ca="1">IF($AC25=0,0,ROUND(100*M25/$AC25,2))</f>
        <v>0</v>
      </c>
      <c r="O25" s="772"/>
      <c r="P25" s="934">
        <f ca="1">IF($AC25=0,0,ROUND(100*O25/$AC25,2))</f>
        <v>0</v>
      </c>
      <c r="Q25" s="772"/>
      <c r="R25" s="934">
        <f ca="1">IF($AC25=0,0,ROUND(100*Q25/$AC25,2))</f>
        <v>0</v>
      </c>
      <c r="S25" s="772"/>
      <c r="T25" s="934">
        <f ca="1">IF($AC25=0,0,ROUND(100*S25/$AC25,2))</f>
        <v>0</v>
      </c>
      <c r="U25" s="772"/>
      <c r="V25" s="934">
        <f ca="1">IF($AC25=0,0,ROUND(100*U25/$AC25,2))</f>
        <v>0</v>
      </c>
      <c r="W25" s="772"/>
      <c r="X25" s="934">
        <f ca="1">IF($AC25=0,0,ROUND(100*W25/$AC25,2))</f>
        <v>0</v>
      </c>
      <c r="Y25" s="772"/>
      <c r="Z25" s="934">
        <f ca="1">IF($AC25=0,0,ROUND(100*Y25/$AC25,2))</f>
        <v>0</v>
      </c>
      <c r="AA25" s="772"/>
      <c r="AB25" s="934">
        <f ca="1">IF($AC25=0,0,ROUND(100*AA25/$AC25,2))</f>
        <v>0</v>
      </c>
      <c r="AC25" s="772">
        <f ca="1">VLOOKUP(C25,RESUMO!$B$16:$I$54,8,0)</f>
        <v>675933.44000000006</v>
      </c>
      <c r="AD25" s="934" t="e">
        <f ca="1">AC25/$AC$57*100</f>
        <v>#N/A</v>
      </c>
      <c r="AE25" s="259"/>
      <c r="AF25" s="770">
        <f ca="1">F25+H25+J25+P25+L25+N25+R25+T25+V25+X25+Z25+AB25</f>
        <v>0</v>
      </c>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c r="DD25" s="259"/>
      <c r="DE25" s="259"/>
      <c r="DF25" s="259"/>
      <c r="DG25" s="259"/>
      <c r="DH25" s="259"/>
      <c r="DI25" s="259"/>
      <c r="DJ25" s="259"/>
      <c r="DK25" s="259"/>
      <c r="DL25" s="259"/>
      <c r="DM25" s="259"/>
      <c r="DN25" s="259"/>
      <c r="DO25" s="259"/>
      <c r="DP25" s="259"/>
      <c r="DQ25" s="259"/>
      <c r="DR25" s="259"/>
      <c r="DS25" s="259"/>
      <c r="DT25" s="259"/>
      <c r="DU25" s="259"/>
      <c r="DV25" s="259"/>
      <c r="DW25" s="259"/>
      <c r="DX25" s="259"/>
      <c r="DY25" s="259"/>
      <c r="DZ25" s="259"/>
      <c r="EA25" s="259"/>
      <c r="EB25" s="259"/>
      <c r="EC25" s="259"/>
      <c r="ED25" s="259"/>
      <c r="EE25" s="259"/>
      <c r="EF25" s="259"/>
      <c r="EG25" s="259"/>
      <c r="EH25" s="259"/>
      <c r="EI25" s="259"/>
      <c r="EJ25" s="259"/>
      <c r="EK25" s="259"/>
      <c r="EL25" s="259"/>
      <c r="EM25" s="259"/>
      <c r="EN25" s="259"/>
      <c r="EO25" s="259"/>
      <c r="EP25" s="259"/>
      <c r="EQ25" s="259"/>
      <c r="ER25" s="259"/>
      <c r="ES25" s="259"/>
      <c r="ET25" s="259"/>
      <c r="EU25" s="259"/>
      <c r="EV25" s="259"/>
      <c r="EW25" s="259"/>
      <c r="EX25" s="259"/>
      <c r="EY25" s="259"/>
      <c r="EZ25" s="259"/>
      <c r="FA25" s="259"/>
      <c r="FB25" s="259"/>
      <c r="FC25" s="259"/>
      <c r="FD25" s="259"/>
      <c r="FE25" s="259"/>
      <c r="FF25" s="259"/>
      <c r="FG25" s="259"/>
      <c r="FH25" s="259"/>
      <c r="FI25" s="259"/>
      <c r="FJ25" s="259"/>
      <c r="FK25" s="259"/>
      <c r="FL25" s="259"/>
      <c r="FM25" s="259"/>
      <c r="FN25" s="259"/>
      <c r="FO25" s="259"/>
      <c r="FP25" s="259"/>
      <c r="FQ25" s="259"/>
      <c r="FR25" s="259"/>
      <c r="FS25" s="259"/>
      <c r="FT25" s="259"/>
      <c r="FU25" s="259"/>
      <c r="FV25" s="259"/>
      <c r="FW25" s="259"/>
      <c r="FX25" s="259"/>
      <c r="FY25" s="259"/>
      <c r="FZ25" s="259"/>
      <c r="GA25" s="259"/>
      <c r="GB25" s="259"/>
      <c r="GC25" s="259"/>
      <c r="GD25" s="259"/>
      <c r="GE25" s="259"/>
      <c r="GF25" s="259"/>
      <c r="GG25" s="259"/>
      <c r="GH25" s="259"/>
      <c r="GI25" s="259"/>
      <c r="GJ25" s="259"/>
      <c r="GK25" s="259"/>
      <c r="GL25" s="259"/>
      <c r="GM25" s="259"/>
      <c r="GN25" s="259"/>
      <c r="GO25" s="259"/>
      <c r="GP25" s="259"/>
      <c r="GQ25" s="259"/>
      <c r="GR25" s="259"/>
      <c r="GS25" s="259"/>
      <c r="GT25" s="259"/>
      <c r="GU25" s="259"/>
      <c r="GV25" s="259"/>
      <c r="GW25" s="259"/>
      <c r="GX25" s="259"/>
      <c r="GY25" s="259"/>
      <c r="GZ25" s="259"/>
      <c r="HA25" s="259"/>
      <c r="HB25" s="259"/>
      <c r="HC25" s="259"/>
      <c r="HD25" s="259"/>
      <c r="HE25" s="259"/>
      <c r="HF25" s="259"/>
      <c r="HG25" s="259"/>
      <c r="HH25" s="259"/>
      <c r="HI25" s="259"/>
      <c r="HJ25" s="259"/>
      <c r="HK25" s="259"/>
      <c r="HL25" s="259"/>
      <c r="HM25" s="259"/>
      <c r="HN25" s="259"/>
      <c r="HO25" s="259"/>
      <c r="HP25" s="259"/>
      <c r="HQ25" s="259"/>
      <c r="HR25" s="259"/>
      <c r="HS25" s="259"/>
      <c r="HT25" s="259"/>
      <c r="HU25" s="259"/>
      <c r="HV25" s="259"/>
      <c r="HW25" s="259"/>
      <c r="HX25" s="259"/>
      <c r="HY25" s="259"/>
      <c r="HZ25" s="259"/>
      <c r="IA25" s="259"/>
      <c r="IB25" s="259"/>
      <c r="IC25" s="259"/>
      <c r="ID25" s="259"/>
      <c r="IE25" s="259"/>
      <c r="IF25" s="259"/>
      <c r="IG25" s="259"/>
      <c r="IH25" s="259"/>
      <c r="II25" s="259"/>
      <c r="IJ25" s="259"/>
      <c r="IK25" s="259"/>
      <c r="IL25" s="259"/>
      <c r="IM25" s="259"/>
      <c r="IN25" s="259"/>
      <c r="IO25" s="259"/>
      <c r="IP25" s="259"/>
      <c r="IQ25" s="259"/>
      <c r="IR25" s="259"/>
      <c r="IS25" s="259"/>
      <c r="IT25" s="259"/>
      <c r="IU25" s="259"/>
      <c r="IV25" s="259"/>
      <c r="IW25" s="259"/>
    </row>
    <row r="26" spans="2:257" s="768" customFormat="1" ht="6" customHeight="1">
      <c r="C26" s="938"/>
      <c r="D26" s="935"/>
      <c r="E26" s="769"/>
      <c r="F26" s="769"/>
      <c r="G26" s="769"/>
      <c r="H26" s="769"/>
      <c r="I26" s="769"/>
      <c r="J26" s="769"/>
      <c r="K26" s="769"/>
      <c r="L26" s="769"/>
      <c r="M26" s="769"/>
      <c r="N26" s="769"/>
      <c r="O26" s="769"/>
      <c r="P26" s="769"/>
      <c r="Q26" s="769"/>
      <c r="R26" s="769"/>
      <c r="S26" s="769"/>
      <c r="T26" s="769"/>
      <c r="U26" s="769"/>
      <c r="V26" s="769"/>
      <c r="W26" s="769"/>
      <c r="X26" s="769"/>
      <c r="Y26" s="769"/>
      <c r="Z26" s="769"/>
      <c r="AA26" s="769"/>
      <c r="AB26" s="769"/>
      <c r="AC26" s="769"/>
      <c r="AD26" s="936"/>
      <c r="AE26" s="563"/>
      <c r="AF26" s="770"/>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c r="EB26" s="563"/>
      <c r="EC26" s="563"/>
      <c r="ED26" s="563"/>
      <c r="EE26" s="563"/>
      <c r="EF26" s="563"/>
      <c r="EG26" s="563"/>
      <c r="EH26" s="563"/>
      <c r="EI26" s="563"/>
      <c r="EJ26" s="563"/>
      <c r="EK26" s="563"/>
      <c r="EL26" s="563"/>
      <c r="EM26" s="563"/>
      <c r="EN26" s="563"/>
      <c r="EO26" s="563"/>
      <c r="EP26" s="563"/>
      <c r="EQ26" s="563"/>
      <c r="ER26" s="563"/>
      <c r="ES26" s="563"/>
      <c r="ET26" s="563"/>
      <c r="EU26" s="563"/>
      <c r="EV26" s="563"/>
      <c r="EW26" s="563"/>
      <c r="EX26" s="563"/>
      <c r="EY26" s="563"/>
      <c r="EZ26" s="563"/>
      <c r="FA26" s="563"/>
      <c r="FB26" s="563"/>
      <c r="FC26" s="563"/>
      <c r="FD26" s="563"/>
      <c r="FE26" s="563"/>
      <c r="FF26" s="563"/>
      <c r="FG26" s="563"/>
      <c r="FH26" s="563"/>
      <c r="FI26" s="563"/>
      <c r="FJ26" s="563"/>
      <c r="FK26" s="563"/>
      <c r="FL26" s="563"/>
      <c r="FM26" s="563"/>
      <c r="FN26" s="563"/>
      <c r="FO26" s="563"/>
      <c r="FP26" s="563"/>
      <c r="FQ26" s="563"/>
      <c r="FR26" s="563"/>
      <c r="FS26" s="563"/>
      <c r="FT26" s="563"/>
      <c r="FU26" s="563"/>
      <c r="FV26" s="563"/>
      <c r="FW26" s="563"/>
      <c r="FX26" s="563"/>
      <c r="FY26" s="563"/>
      <c r="FZ26" s="563"/>
      <c r="GA26" s="563"/>
      <c r="GB26" s="563"/>
      <c r="GC26" s="563"/>
      <c r="GD26" s="563"/>
      <c r="GE26" s="563"/>
      <c r="GF26" s="563"/>
      <c r="GG26" s="563"/>
      <c r="GH26" s="563"/>
      <c r="GI26" s="563"/>
      <c r="GJ26" s="563"/>
      <c r="GK26" s="563"/>
      <c r="GL26" s="563"/>
      <c r="GM26" s="563"/>
      <c r="GN26" s="563"/>
      <c r="GO26" s="563"/>
      <c r="GP26" s="563"/>
      <c r="GQ26" s="563"/>
      <c r="GR26" s="563"/>
      <c r="GS26" s="563"/>
      <c r="GT26" s="563"/>
      <c r="GU26" s="563"/>
      <c r="GV26" s="563"/>
      <c r="GW26" s="563"/>
      <c r="GX26" s="563"/>
      <c r="GY26" s="563"/>
      <c r="GZ26" s="563"/>
      <c r="HA26" s="563"/>
      <c r="HB26" s="563"/>
      <c r="HC26" s="563"/>
      <c r="HD26" s="563"/>
      <c r="HE26" s="563"/>
      <c r="HF26" s="563"/>
      <c r="HG26" s="563"/>
      <c r="HH26" s="563"/>
      <c r="HI26" s="563"/>
      <c r="HJ26" s="563"/>
      <c r="HK26" s="563"/>
      <c r="HL26" s="563"/>
      <c r="HM26" s="563"/>
      <c r="HN26" s="563"/>
      <c r="HO26" s="563"/>
      <c r="HP26" s="563"/>
      <c r="HQ26" s="563"/>
      <c r="HR26" s="563"/>
      <c r="HS26" s="563"/>
      <c r="HT26" s="563"/>
      <c r="HU26" s="563"/>
      <c r="HV26" s="563"/>
      <c r="HW26" s="563"/>
      <c r="HX26" s="563"/>
      <c r="HY26" s="563"/>
      <c r="HZ26" s="563"/>
      <c r="IA26" s="563"/>
      <c r="IB26" s="563"/>
      <c r="IC26" s="563"/>
      <c r="ID26" s="563"/>
      <c r="IE26" s="563"/>
      <c r="IF26" s="563"/>
      <c r="IG26" s="563"/>
      <c r="IH26" s="563"/>
      <c r="II26" s="563"/>
      <c r="IJ26" s="563"/>
      <c r="IK26" s="563"/>
      <c r="IL26" s="563"/>
      <c r="IM26" s="563"/>
      <c r="IN26" s="563"/>
      <c r="IO26" s="563"/>
      <c r="IP26" s="563"/>
      <c r="IQ26" s="563"/>
      <c r="IR26" s="563"/>
      <c r="IS26" s="563"/>
      <c r="IT26" s="563"/>
      <c r="IU26" s="563"/>
      <c r="IV26" s="563"/>
      <c r="IW26" s="563"/>
    </row>
    <row r="27" spans="2:257" ht="20.100000000000001" customHeight="1">
      <c r="B27" s="771">
        <v>1</v>
      </c>
      <c r="C27" s="168" t="str">
        <f>SUM($A$14:B27)&amp;".0"</f>
        <v>7.0</v>
      </c>
      <c r="D27" s="933" t="str">
        <f ca="1">VLOOKUP(C27,RESUMO!$B$16:$I$54,3,0)</f>
        <v>A L V E N A R I A S ,   F E C H A M E N T O S   E   D I V I S Ó R I A S</v>
      </c>
      <c r="E27" s="772"/>
      <c r="F27" s="934">
        <f ca="1">IF($AC27=0,0,ROUND(100*E27/$AC27,2))</f>
        <v>0</v>
      </c>
      <c r="G27" s="772"/>
      <c r="H27" s="934">
        <f ca="1">IF($AC27=0,0,ROUND(100*G27/$AC27,2))</f>
        <v>0</v>
      </c>
      <c r="I27" s="772"/>
      <c r="J27" s="934">
        <f ca="1">IF($AC27=0,0,ROUND(100*I27/$AC27,2))</f>
        <v>0</v>
      </c>
      <c r="K27" s="772"/>
      <c r="L27" s="934">
        <f ca="1">IF($AC27=0,0,ROUND(100*K27/$AC27,2))</f>
        <v>0</v>
      </c>
      <c r="M27" s="772"/>
      <c r="N27" s="934">
        <f ca="1">IF($AC27=0,0,ROUND(100*M27/$AC27,2))</f>
        <v>0</v>
      </c>
      <c r="O27" s="772"/>
      <c r="P27" s="934">
        <f ca="1">IF($AC27=0,0,ROUND(100*O27/$AC27,2))</f>
        <v>0</v>
      </c>
      <c r="Q27" s="772"/>
      <c r="R27" s="934">
        <f ca="1">IF($AC27=0,0,ROUND(100*Q27/$AC27,2))</f>
        <v>0</v>
      </c>
      <c r="S27" s="772"/>
      <c r="T27" s="934">
        <f ca="1">IF($AC27=0,0,ROUND(100*S27/$AC27,2))</f>
        <v>0</v>
      </c>
      <c r="U27" s="772"/>
      <c r="V27" s="934">
        <f ca="1">IF($AC27=0,0,ROUND(100*U27/$AC27,2))</f>
        <v>0</v>
      </c>
      <c r="W27" s="772"/>
      <c r="X27" s="934">
        <f ca="1">IF($AC27=0,0,ROUND(100*W27/$AC27,2))</f>
        <v>0</v>
      </c>
      <c r="Y27" s="772"/>
      <c r="Z27" s="934">
        <f ca="1">IF($AC27=0,0,ROUND(100*Y27/$AC27,2))</f>
        <v>0</v>
      </c>
      <c r="AA27" s="772"/>
      <c r="AB27" s="934">
        <f ca="1">IF($AC27=0,0,ROUND(100*AA27/$AC27,2))</f>
        <v>0</v>
      </c>
      <c r="AC27" s="772">
        <f ca="1">VLOOKUP(C27,RESUMO!$B$16:$I$54,8,0)</f>
        <v>35649.85</v>
      </c>
      <c r="AD27" s="934" t="e">
        <f ca="1">AC27/$AC$57*100</f>
        <v>#N/A</v>
      </c>
      <c r="AE27" s="259"/>
      <c r="AF27" s="770">
        <f ca="1">F27+H27+J27+P27+L27+N27+R27+T27+V27+X27+Z27+AB27</f>
        <v>0</v>
      </c>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K27" s="259"/>
      <c r="DL27" s="259"/>
      <c r="DM27" s="259"/>
      <c r="DN27" s="259"/>
      <c r="DO27" s="259"/>
      <c r="DP27" s="259"/>
      <c r="DQ27" s="259"/>
      <c r="DR27" s="259"/>
      <c r="DS27" s="259"/>
      <c r="DT27" s="259"/>
      <c r="DU27" s="259"/>
      <c r="DV27" s="259"/>
      <c r="DW27" s="259"/>
      <c r="DX27" s="259"/>
      <c r="DY27" s="259"/>
      <c r="DZ27" s="259"/>
      <c r="EA27" s="259"/>
      <c r="EB27" s="259"/>
      <c r="EC27" s="259"/>
      <c r="ED27" s="259"/>
      <c r="EE27" s="259"/>
      <c r="EF27" s="259"/>
      <c r="EG27" s="259"/>
      <c r="EH27" s="259"/>
      <c r="EI27" s="259"/>
      <c r="EJ27" s="259"/>
      <c r="EK27" s="259"/>
      <c r="EL27" s="259"/>
      <c r="EM27" s="259"/>
      <c r="EN27" s="259"/>
      <c r="EO27" s="259"/>
      <c r="EP27" s="259"/>
      <c r="EQ27" s="259"/>
      <c r="ER27" s="259"/>
      <c r="ES27" s="259"/>
      <c r="ET27" s="259"/>
      <c r="EU27" s="259"/>
      <c r="EV27" s="259"/>
      <c r="EW27" s="259"/>
      <c r="EX27" s="259"/>
      <c r="EY27" s="259"/>
      <c r="EZ27" s="259"/>
      <c r="FA27" s="259"/>
      <c r="FB27" s="259"/>
      <c r="FC27" s="259"/>
      <c r="FD27" s="259"/>
      <c r="FE27" s="259"/>
      <c r="FF27" s="259"/>
      <c r="FG27" s="259"/>
      <c r="FH27" s="259"/>
      <c r="FI27" s="259"/>
      <c r="FJ27" s="259"/>
      <c r="FK27" s="259"/>
      <c r="FL27" s="259"/>
      <c r="FM27" s="259"/>
      <c r="FN27" s="259"/>
      <c r="FO27" s="259"/>
      <c r="FP27" s="259"/>
      <c r="FQ27" s="259"/>
      <c r="FR27" s="259"/>
      <c r="FS27" s="259"/>
      <c r="FT27" s="259"/>
      <c r="FU27" s="259"/>
      <c r="FV27" s="259"/>
      <c r="FW27" s="259"/>
      <c r="FX27" s="259"/>
      <c r="FY27" s="259"/>
      <c r="FZ27" s="259"/>
      <c r="GA27" s="259"/>
      <c r="GB27" s="259"/>
      <c r="GC27" s="259"/>
      <c r="GD27" s="259"/>
      <c r="GE27" s="259"/>
      <c r="GF27" s="259"/>
      <c r="GG27" s="259"/>
      <c r="GH27" s="259"/>
      <c r="GI27" s="259"/>
      <c r="GJ27" s="259"/>
      <c r="GK27" s="259"/>
      <c r="GL27" s="259"/>
      <c r="GM27" s="259"/>
      <c r="GN27" s="259"/>
      <c r="GO27" s="259"/>
      <c r="GP27" s="259"/>
      <c r="GQ27" s="259"/>
      <c r="GR27" s="259"/>
      <c r="GS27" s="259"/>
      <c r="GT27" s="259"/>
      <c r="GU27" s="259"/>
      <c r="GV27" s="259"/>
      <c r="GW27" s="259"/>
      <c r="GX27" s="259"/>
      <c r="GY27" s="259"/>
      <c r="GZ27" s="259"/>
      <c r="HA27" s="259"/>
      <c r="HB27" s="259"/>
      <c r="HC27" s="259"/>
      <c r="HD27" s="259"/>
      <c r="HE27" s="259"/>
      <c r="HF27" s="259"/>
      <c r="HG27" s="259"/>
      <c r="HH27" s="259"/>
      <c r="HI27" s="259"/>
      <c r="HJ27" s="259"/>
      <c r="HK27" s="259"/>
      <c r="HL27" s="259"/>
      <c r="HM27" s="259"/>
      <c r="HN27" s="259"/>
      <c r="HO27" s="259"/>
      <c r="HP27" s="259"/>
      <c r="HQ27" s="259"/>
      <c r="HR27" s="259"/>
      <c r="HS27" s="259"/>
      <c r="HT27" s="259"/>
      <c r="HU27" s="259"/>
      <c r="HV27" s="259"/>
      <c r="HW27" s="259"/>
      <c r="HX27" s="259"/>
      <c r="HY27" s="259"/>
      <c r="HZ27" s="259"/>
      <c r="IA27" s="259"/>
      <c r="IB27" s="259"/>
      <c r="IC27" s="259"/>
      <c r="ID27" s="259"/>
      <c r="IE27" s="259"/>
      <c r="IF27" s="259"/>
      <c r="IG27" s="259"/>
      <c r="IH27" s="259"/>
      <c r="II27" s="259"/>
      <c r="IJ27" s="259"/>
      <c r="IK27" s="259"/>
      <c r="IL27" s="259"/>
      <c r="IM27" s="259"/>
      <c r="IN27" s="259"/>
      <c r="IO27" s="259"/>
      <c r="IP27" s="259"/>
      <c r="IQ27" s="259"/>
      <c r="IR27" s="259"/>
      <c r="IS27" s="259"/>
      <c r="IT27" s="259"/>
      <c r="IU27" s="259"/>
      <c r="IV27" s="259"/>
      <c r="IW27" s="259"/>
    </row>
    <row r="28" spans="2:257" s="768" customFormat="1" ht="6" customHeight="1">
      <c r="C28" s="938"/>
      <c r="D28" s="935"/>
      <c r="E28" s="769"/>
      <c r="F28" s="769"/>
      <c r="G28" s="769"/>
      <c r="H28" s="769"/>
      <c r="I28" s="769"/>
      <c r="J28" s="769"/>
      <c r="K28" s="769"/>
      <c r="L28" s="769"/>
      <c r="M28" s="769"/>
      <c r="N28" s="769"/>
      <c r="O28" s="769"/>
      <c r="P28" s="769"/>
      <c r="Q28" s="769"/>
      <c r="R28" s="769"/>
      <c r="S28" s="769"/>
      <c r="T28" s="769"/>
      <c r="U28" s="769"/>
      <c r="V28" s="769"/>
      <c r="W28" s="769"/>
      <c r="X28" s="769"/>
      <c r="Y28" s="769"/>
      <c r="Z28" s="769"/>
      <c r="AA28" s="769"/>
      <c r="AB28" s="769"/>
      <c r="AC28" s="769"/>
      <c r="AD28" s="936"/>
      <c r="AE28" s="563"/>
      <c r="AF28" s="770"/>
      <c r="AG28" s="563"/>
      <c r="AH28" s="563"/>
      <c r="AI28" s="563"/>
      <c r="AJ28" s="563"/>
      <c r="AK28" s="563"/>
      <c r="AL28" s="563"/>
      <c r="AM28" s="563"/>
      <c r="AN28" s="563"/>
      <c r="AO28" s="563"/>
      <c r="AP28" s="563"/>
      <c r="AQ28" s="563"/>
      <c r="AR28" s="563"/>
      <c r="AS28" s="563"/>
      <c r="AT28" s="563"/>
      <c r="AU28" s="563"/>
      <c r="AV28" s="563"/>
      <c r="AW28" s="563"/>
      <c r="AX28" s="563"/>
      <c r="AY28" s="563"/>
      <c r="AZ28" s="563"/>
      <c r="BA28" s="563"/>
      <c r="BB28" s="563"/>
      <c r="BC28" s="563"/>
      <c r="BD28" s="563"/>
      <c r="BE28" s="563"/>
      <c r="BF28" s="563"/>
      <c r="BG28" s="563"/>
      <c r="BH28" s="563"/>
      <c r="BI28" s="563"/>
      <c r="BJ28" s="563"/>
      <c r="BK28" s="563"/>
      <c r="BL28" s="563"/>
      <c r="BM28" s="563"/>
      <c r="BN28" s="563"/>
      <c r="BO28" s="563"/>
      <c r="BP28" s="563"/>
      <c r="BQ28" s="563"/>
      <c r="BR28" s="563"/>
      <c r="BS28" s="563"/>
      <c r="BT28" s="563"/>
      <c r="BU28" s="563"/>
      <c r="BV28" s="563"/>
      <c r="BW28" s="563"/>
      <c r="BX28" s="563"/>
      <c r="BY28" s="563"/>
      <c r="BZ28" s="563"/>
      <c r="CA28" s="563"/>
      <c r="CB28" s="563"/>
      <c r="CC28" s="563"/>
      <c r="CD28" s="563"/>
      <c r="CE28" s="563"/>
      <c r="CF28" s="563"/>
      <c r="CG28" s="563"/>
      <c r="CH28" s="563"/>
      <c r="CI28" s="563"/>
      <c r="CJ28" s="563"/>
      <c r="CK28" s="563"/>
      <c r="CL28" s="563"/>
      <c r="CM28" s="563"/>
      <c r="CN28" s="563"/>
      <c r="CO28" s="563"/>
      <c r="CP28" s="563"/>
      <c r="CQ28" s="563"/>
      <c r="CR28" s="563"/>
      <c r="CS28" s="563"/>
      <c r="CT28" s="563"/>
      <c r="CU28" s="563"/>
      <c r="CV28" s="563"/>
      <c r="CW28" s="563"/>
      <c r="CX28" s="563"/>
      <c r="CY28" s="563"/>
      <c r="CZ28" s="563"/>
      <c r="DA28" s="563"/>
      <c r="DB28" s="563"/>
      <c r="DC28" s="563"/>
      <c r="DD28" s="563"/>
      <c r="DE28" s="563"/>
      <c r="DF28" s="563"/>
      <c r="DG28" s="563"/>
      <c r="DH28" s="563"/>
      <c r="DI28" s="563"/>
      <c r="DJ28" s="563"/>
      <c r="DK28" s="563"/>
      <c r="DL28" s="563"/>
      <c r="DM28" s="563"/>
      <c r="DN28" s="563"/>
      <c r="DO28" s="563"/>
      <c r="DP28" s="563"/>
      <c r="DQ28" s="563"/>
      <c r="DR28" s="563"/>
      <c r="DS28" s="563"/>
      <c r="DT28" s="563"/>
      <c r="DU28" s="563"/>
      <c r="DV28" s="563"/>
      <c r="DW28" s="563"/>
      <c r="DX28" s="563"/>
      <c r="DY28" s="563"/>
      <c r="DZ28" s="563"/>
      <c r="EA28" s="563"/>
      <c r="EB28" s="563"/>
      <c r="EC28" s="563"/>
      <c r="ED28" s="563"/>
      <c r="EE28" s="563"/>
      <c r="EF28" s="563"/>
      <c r="EG28" s="563"/>
      <c r="EH28" s="563"/>
      <c r="EI28" s="563"/>
      <c r="EJ28" s="563"/>
      <c r="EK28" s="563"/>
      <c r="EL28" s="563"/>
      <c r="EM28" s="563"/>
      <c r="EN28" s="563"/>
      <c r="EO28" s="563"/>
      <c r="EP28" s="563"/>
      <c r="EQ28" s="563"/>
      <c r="ER28" s="563"/>
      <c r="ES28" s="563"/>
      <c r="ET28" s="563"/>
      <c r="EU28" s="563"/>
      <c r="EV28" s="563"/>
      <c r="EW28" s="563"/>
      <c r="EX28" s="563"/>
      <c r="EY28" s="563"/>
      <c r="EZ28" s="563"/>
      <c r="FA28" s="563"/>
      <c r="FB28" s="563"/>
      <c r="FC28" s="563"/>
      <c r="FD28" s="563"/>
      <c r="FE28" s="563"/>
      <c r="FF28" s="563"/>
      <c r="FG28" s="563"/>
      <c r="FH28" s="563"/>
      <c r="FI28" s="563"/>
      <c r="FJ28" s="563"/>
      <c r="FK28" s="563"/>
      <c r="FL28" s="563"/>
      <c r="FM28" s="563"/>
      <c r="FN28" s="563"/>
      <c r="FO28" s="563"/>
      <c r="FP28" s="563"/>
      <c r="FQ28" s="563"/>
      <c r="FR28" s="563"/>
      <c r="FS28" s="563"/>
      <c r="FT28" s="563"/>
      <c r="FU28" s="563"/>
      <c r="FV28" s="563"/>
      <c r="FW28" s="563"/>
      <c r="FX28" s="563"/>
      <c r="FY28" s="563"/>
      <c r="FZ28" s="563"/>
      <c r="GA28" s="563"/>
      <c r="GB28" s="563"/>
      <c r="GC28" s="563"/>
      <c r="GD28" s="563"/>
      <c r="GE28" s="563"/>
      <c r="GF28" s="563"/>
      <c r="GG28" s="563"/>
      <c r="GH28" s="563"/>
      <c r="GI28" s="563"/>
      <c r="GJ28" s="563"/>
      <c r="GK28" s="563"/>
      <c r="GL28" s="563"/>
      <c r="GM28" s="563"/>
      <c r="GN28" s="563"/>
      <c r="GO28" s="563"/>
      <c r="GP28" s="563"/>
      <c r="GQ28" s="563"/>
      <c r="GR28" s="563"/>
      <c r="GS28" s="563"/>
      <c r="GT28" s="563"/>
      <c r="GU28" s="563"/>
      <c r="GV28" s="563"/>
      <c r="GW28" s="563"/>
      <c r="GX28" s="563"/>
      <c r="GY28" s="563"/>
      <c r="GZ28" s="563"/>
      <c r="HA28" s="563"/>
      <c r="HB28" s="563"/>
      <c r="HC28" s="563"/>
      <c r="HD28" s="563"/>
      <c r="HE28" s="563"/>
      <c r="HF28" s="563"/>
      <c r="HG28" s="563"/>
      <c r="HH28" s="563"/>
      <c r="HI28" s="563"/>
      <c r="HJ28" s="563"/>
      <c r="HK28" s="563"/>
      <c r="HL28" s="563"/>
      <c r="HM28" s="563"/>
      <c r="HN28" s="563"/>
      <c r="HO28" s="563"/>
      <c r="HP28" s="563"/>
      <c r="HQ28" s="563"/>
      <c r="HR28" s="563"/>
      <c r="HS28" s="563"/>
      <c r="HT28" s="563"/>
      <c r="HU28" s="563"/>
      <c r="HV28" s="563"/>
      <c r="HW28" s="563"/>
      <c r="HX28" s="563"/>
      <c r="HY28" s="563"/>
      <c r="HZ28" s="563"/>
      <c r="IA28" s="563"/>
      <c r="IB28" s="563"/>
      <c r="IC28" s="563"/>
      <c r="ID28" s="563"/>
      <c r="IE28" s="563"/>
      <c r="IF28" s="563"/>
      <c r="IG28" s="563"/>
      <c r="IH28" s="563"/>
      <c r="II28" s="563"/>
      <c r="IJ28" s="563"/>
      <c r="IK28" s="563"/>
      <c r="IL28" s="563"/>
      <c r="IM28" s="563"/>
      <c r="IN28" s="563"/>
      <c r="IO28" s="563"/>
      <c r="IP28" s="563"/>
      <c r="IQ28" s="563"/>
      <c r="IR28" s="563"/>
      <c r="IS28" s="563"/>
      <c r="IT28" s="563"/>
      <c r="IU28" s="563"/>
      <c r="IV28" s="563"/>
      <c r="IW28" s="563"/>
    </row>
    <row r="29" spans="2:257" ht="20.100000000000001" customHeight="1">
      <c r="B29" s="771">
        <v>1</v>
      </c>
      <c r="C29" s="168" t="str">
        <f>SUM($A$14:B29)&amp;".0"</f>
        <v>8.0</v>
      </c>
      <c r="D29" s="933" t="str">
        <f ca="1">VLOOKUP(C29,RESUMO!$B$16:$I$54,3,0)</f>
        <v>E S Q U A D R I A S</v>
      </c>
      <c r="E29" s="772"/>
      <c r="F29" s="934">
        <f ca="1">IF($AC29=0,0,ROUND(100*E29/$AC29,2))</f>
        <v>0</v>
      </c>
      <c r="G29" s="772"/>
      <c r="H29" s="934">
        <f ca="1">IF($AC29=0,0,ROUND(100*G29/$AC29,2))</f>
        <v>0</v>
      </c>
      <c r="I29" s="772"/>
      <c r="J29" s="934">
        <f ca="1">IF($AC29=0,0,ROUND(100*I29/$AC29,2))</f>
        <v>0</v>
      </c>
      <c r="K29" s="772"/>
      <c r="L29" s="934">
        <f ca="1">IF($AC29=0,0,ROUND(100*K29/$AC29,2))</f>
        <v>0</v>
      </c>
      <c r="M29" s="772"/>
      <c r="N29" s="934">
        <f ca="1">IF($AC29=0,0,ROUND(100*M29/$AC29,2))</f>
        <v>0</v>
      </c>
      <c r="O29" s="772"/>
      <c r="P29" s="934">
        <f ca="1">IF($AC29=0,0,ROUND(100*O29/$AC29,2))</f>
        <v>0</v>
      </c>
      <c r="Q29" s="772"/>
      <c r="R29" s="934">
        <f ca="1">IF($AC29=0,0,ROUND(100*Q29/$AC29,2))</f>
        <v>0</v>
      </c>
      <c r="S29" s="772"/>
      <c r="T29" s="934">
        <f ca="1">IF($AC29=0,0,ROUND(100*S29/$AC29,2))</f>
        <v>0</v>
      </c>
      <c r="U29" s="772"/>
      <c r="V29" s="934">
        <f ca="1">IF($AC29=0,0,ROUND(100*U29/$AC29,2))</f>
        <v>0</v>
      </c>
      <c r="W29" s="772"/>
      <c r="X29" s="934">
        <f ca="1">IF($AC29=0,0,ROUND(100*W29/$AC29,2))</f>
        <v>0</v>
      </c>
      <c r="Y29" s="772"/>
      <c r="Z29" s="934">
        <f ca="1">IF($AC29=0,0,ROUND(100*Y29/$AC29,2))</f>
        <v>0</v>
      </c>
      <c r="AA29" s="772"/>
      <c r="AB29" s="934">
        <f ca="1">IF($AC29=0,0,ROUND(100*AA29/$AC29,2))</f>
        <v>0</v>
      </c>
      <c r="AC29" s="772">
        <f ca="1">VLOOKUP(C29,RESUMO!$B$16:$I$54,8,0)</f>
        <v>153995.4</v>
      </c>
      <c r="AD29" s="934" t="e">
        <f ca="1">AC29/$AC$57*100</f>
        <v>#N/A</v>
      </c>
      <c r="AE29" s="259"/>
      <c r="AF29" s="770">
        <f ca="1">F29+H29+J29+P29+L29+N29+R29+T29+V29+X29+Z29+AB29</f>
        <v>0</v>
      </c>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259"/>
      <c r="DW29" s="259"/>
      <c r="DX29" s="259"/>
      <c r="DY29" s="259"/>
      <c r="DZ29" s="259"/>
      <c r="EA29" s="259"/>
      <c r="EB29" s="25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c r="FB29" s="259"/>
      <c r="FC29" s="259"/>
      <c r="FD29" s="259"/>
      <c r="FE29" s="259"/>
      <c r="FF29" s="259"/>
      <c r="FG29" s="259"/>
      <c r="FH29" s="259"/>
      <c r="FI29" s="259"/>
      <c r="FJ29" s="259"/>
      <c r="FK29" s="259"/>
      <c r="FL29" s="259"/>
      <c r="FM29" s="259"/>
      <c r="FN29" s="259"/>
      <c r="FO29" s="259"/>
      <c r="FP29" s="259"/>
      <c r="FQ29" s="259"/>
      <c r="FR29" s="259"/>
      <c r="FS29" s="259"/>
      <c r="FT29" s="259"/>
      <c r="FU29" s="259"/>
      <c r="FV29" s="259"/>
      <c r="FW29" s="259"/>
      <c r="FX29" s="259"/>
      <c r="FY29" s="259"/>
      <c r="FZ29" s="259"/>
      <c r="GA29" s="259"/>
      <c r="GB29" s="259"/>
      <c r="GC29" s="259"/>
      <c r="GD29" s="259"/>
      <c r="GE29" s="259"/>
      <c r="GF29" s="259"/>
      <c r="GG29" s="259"/>
      <c r="GH29" s="259"/>
      <c r="GI29" s="259"/>
      <c r="GJ29" s="259"/>
      <c r="GK29" s="259"/>
      <c r="GL29" s="259"/>
      <c r="GM29" s="259"/>
      <c r="GN29" s="259"/>
      <c r="GO29" s="259"/>
      <c r="GP29" s="259"/>
      <c r="GQ29" s="259"/>
      <c r="GR29" s="259"/>
      <c r="GS29" s="259"/>
      <c r="GT29" s="259"/>
      <c r="GU29" s="259"/>
      <c r="GV29" s="259"/>
      <c r="GW29" s="259"/>
      <c r="GX29" s="259"/>
      <c r="GY29" s="259"/>
      <c r="GZ29" s="259"/>
      <c r="HA29" s="259"/>
      <c r="HB29" s="259"/>
      <c r="HC29" s="259"/>
      <c r="HD29" s="259"/>
      <c r="HE29" s="259"/>
      <c r="HF29" s="259"/>
      <c r="HG29" s="259"/>
      <c r="HH29" s="259"/>
      <c r="HI29" s="259"/>
      <c r="HJ29" s="259"/>
      <c r="HK29" s="259"/>
      <c r="HL29" s="259"/>
      <c r="HM29" s="259"/>
      <c r="HN29" s="259"/>
      <c r="HO29" s="259"/>
      <c r="HP29" s="259"/>
      <c r="HQ29" s="259"/>
      <c r="HR29" s="259"/>
      <c r="HS29" s="259"/>
      <c r="HT29" s="259"/>
      <c r="HU29" s="259"/>
      <c r="HV29" s="259"/>
      <c r="HW29" s="259"/>
      <c r="HX29" s="259"/>
      <c r="HY29" s="259"/>
      <c r="HZ29" s="259"/>
      <c r="IA29" s="259"/>
      <c r="IB29" s="259"/>
      <c r="IC29" s="259"/>
      <c r="ID29" s="259"/>
      <c r="IE29" s="259"/>
      <c r="IF29" s="259"/>
      <c r="IG29" s="259"/>
      <c r="IH29" s="259"/>
      <c r="II29" s="259"/>
      <c r="IJ29" s="259"/>
      <c r="IK29" s="259"/>
      <c r="IL29" s="259"/>
      <c r="IM29" s="259"/>
      <c r="IN29" s="259"/>
      <c r="IO29" s="259"/>
      <c r="IP29" s="259"/>
      <c r="IQ29" s="259"/>
      <c r="IR29" s="259"/>
      <c r="IS29" s="259"/>
      <c r="IT29" s="259"/>
      <c r="IU29" s="259"/>
      <c r="IV29" s="259"/>
      <c r="IW29" s="259"/>
    </row>
    <row r="30" spans="2:257" s="768" customFormat="1" ht="6" customHeight="1">
      <c r="C30" s="938"/>
      <c r="D30" s="935"/>
      <c r="E30" s="769"/>
      <c r="F30" s="769"/>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936"/>
      <c r="AE30" s="563"/>
      <c r="AF30" s="770"/>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c r="EB30" s="563"/>
      <c r="EC30" s="563"/>
      <c r="ED30" s="563"/>
      <c r="EE30" s="563"/>
      <c r="EF30" s="563"/>
      <c r="EG30" s="563"/>
      <c r="EH30" s="563"/>
      <c r="EI30" s="563"/>
      <c r="EJ30" s="563"/>
      <c r="EK30" s="563"/>
      <c r="EL30" s="563"/>
      <c r="EM30" s="563"/>
      <c r="EN30" s="563"/>
      <c r="EO30" s="563"/>
      <c r="EP30" s="563"/>
      <c r="EQ30" s="563"/>
      <c r="ER30" s="563"/>
      <c r="ES30" s="563"/>
      <c r="ET30" s="563"/>
      <c r="EU30" s="563"/>
      <c r="EV30" s="563"/>
      <c r="EW30" s="563"/>
      <c r="EX30" s="563"/>
      <c r="EY30" s="563"/>
      <c r="EZ30" s="563"/>
      <c r="FA30" s="563"/>
      <c r="FB30" s="563"/>
      <c r="FC30" s="563"/>
      <c r="FD30" s="563"/>
      <c r="FE30" s="563"/>
      <c r="FF30" s="563"/>
      <c r="FG30" s="563"/>
      <c r="FH30" s="563"/>
      <c r="FI30" s="563"/>
      <c r="FJ30" s="563"/>
      <c r="FK30" s="563"/>
      <c r="FL30" s="563"/>
      <c r="FM30" s="563"/>
      <c r="FN30" s="563"/>
      <c r="FO30" s="563"/>
      <c r="FP30" s="563"/>
      <c r="FQ30" s="563"/>
      <c r="FR30" s="563"/>
      <c r="FS30" s="563"/>
      <c r="FT30" s="563"/>
      <c r="FU30" s="563"/>
      <c r="FV30" s="563"/>
      <c r="FW30" s="563"/>
      <c r="FX30" s="563"/>
      <c r="FY30" s="563"/>
      <c r="FZ30" s="563"/>
      <c r="GA30" s="563"/>
      <c r="GB30" s="563"/>
      <c r="GC30" s="563"/>
      <c r="GD30" s="563"/>
      <c r="GE30" s="563"/>
      <c r="GF30" s="563"/>
      <c r="GG30" s="563"/>
      <c r="GH30" s="563"/>
      <c r="GI30" s="563"/>
      <c r="GJ30" s="563"/>
      <c r="GK30" s="563"/>
      <c r="GL30" s="563"/>
      <c r="GM30" s="563"/>
      <c r="GN30" s="563"/>
      <c r="GO30" s="563"/>
      <c r="GP30" s="563"/>
      <c r="GQ30" s="563"/>
      <c r="GR30" s="563"/>
      <c r="GS30" s="563"/>
      <c r="GT30" s="563"/>
      <c r="GU30" s="563"/>
      <c r="GV30" s="563"/>
      <c r="GW30" s="563"/>
      <c r="GX30" s="563"/>
      <c r="GY30" s="563"/>
      <c r="GZ30" s="563"/>
      <c r="HA30" s="563"/>
      <c r="HB30" s="563"/>
      <c r="HC30" s="563"/>
      <c r="HD30" s="563"/>
      <c r="HE30" s="563"/>
      <c r="HF30" s="563"/>
      <c r="HG30" s="563"/>
      <c r="HH30" s="563"/>
      <c r="HI30" s="563"/>
      <c r="HJ30" s="563"/>
      <c r="HK30" s="563"/>
      <c r="HL30" s="563"/>
      <c r="HM30" s="563"/>
      <c r="HN30" s="563"/>
      <c r="HO30" s="563"/>
      <c r="HP30" s="563"/>
      <c r="HQ30" s="563"/>
      <c r="HR30" s="563"/>
      <c r="HS30" s="563"/>
      <c r="HT30" s="563"/>
      <c r="HU30" s="563"/>
      <c r="HV30" s="563"/>
      <c r="HW30" s="563"/>
      <c r="HX30" s="563"/>
      <c r="HY30" s="563"/>
      <c r="HZ30" s="563"/>
      <c r="IA30" s="563"/>
      <c r="IB30" s="563"/>
      <c r="IC30" s="563"/>
      <c r="ID30" s="563"/>
      <c r="IE30" s="563"/>
      <c r="IF30" s="563"/>
      <c r="IG30" s="563"/>
      <c r="IH30" s="563"/>
      <c r="II30" s="563"/>
      <c r="IJ30" s="563"/>
      <c r="IK30" s="563"/>
      <c r="IL30" s="563"/>
      <c r="IM30" s="563"/>
      <c r="IN30" s="563"/>
      <c r="IO30" s="563"/>
      <c r="IP30" s="563"/>
      <c r="IQ30" s="563"/>
      <c r="IR30" s="563"/>
      <c r="IS30" s="563"/>
      <c r="IT30" s="563"/>
      <c r="IU30" s="563"/>
      <c r="IV30" s="563"/>
      <c r="IW30" s="563"/>
    </row>
    <row r="31" spans="2:257" ht="20.100000000000001" customHeight="1">
      <c r="B31" s="771">
        <v>1</v>
      </c>
      <c r="C31" s="168" t="str">
        <f>SUM($A$14:B31)&amp;".0"</f>
        <v>9.0</v>
      </c>
      <c r="D31" s="933" t="str">
        <f ca="1">VLOOKUP(C31,RESUMO!$B$16:$I$54,3,0)</f>
        <v>C O B E R T U R A S</v>
      </c>
      <c r="E31" s="772"/>
      <c r="F31" s="934">
        <f ca="1">IF($AC31=0,0,ROUND(100*E31/$AC31,2))</f>
        <v>0</v>
      </c>
      <c r="G31" s="772"/>
      <c r="H31" s="934">
        <f ca="1">IF($AC31=0,0,ROUND(100*G31/$AC31,2))</f>
        <v>0</v>
      </c>
      <c r="I31" s="772"/>
      <c r="J31" s="934">
        <f ca="1">IF($AC31=0,0,ROUND(100*I31/$AC31,2))</f>
        <v>0</v>
      </c>
      <c r="K31" s="772"/>
      <c r="L31" s="934">
        <f ca="1">IF($AC31=0,0,ROUND(100*K31/$AC31,2))</f>
        <v>0</v>
      </c>
      <c r="M31" s="772"/>
      <c r="N31" s="934">
        <f ca="1">IF($AC31=0,0,ROUND(100*M31/$AC31,2))</f>
        <v>0</v>
      </c>
      <c r="O31" s="772"/>
      <c r="P31" s="934">
        <f ca="1">IF($AC31=0,0,ROUND(100*O31/$AC31,2))</f>
        <v>0</v>
      </c>
      <c r="Q31" s="772"/>
      <c r="R31" s="934">
        <f ca="1">IF($AC31=0,0,ROUND(100*Q31/$AC31,2))</f>
        <v>0</v>
      </c>
      <c r="S31" s="772"/>
      <c r="T31" s="934">
        <f ca="1">IF($AC31=0,0,ROUND(100*S31/$AC31,2))</f>
        <v>0</v>
      </c>
      <c r="U31" s="772"/>
      <c r="V31" s="934">
        <f ca="1">IF($AC31=0,0,ROUND(100*U31/$AC31,2))</f>
        <v>0</v>
      </c>
      <c r="W31" s="772"/>
      <c r="X31" s="934">
        <f ca="1">IF($AC31=0,0,ROUND(100*W31/$AC31,2))</f>
        <v>0</v>
      </c>
      <c r="Y31" s="772"/>
      <c r="Z31" s="934">
        <f ca="1">IF($AC31=0,0,ROUND(100*Y31/$AC31,2))</f>
        <v>0</v>
      </c>
      <c r="AA31" s="772"/>
      <c r="AB31" s="934">
        <f ca="1">IF($AC31=0,0,ROUND(100*AA31/$AC31,2))</f>
        <v>0</v>
      </c>
      <c r="AC31" s="772">
        <f ca="1">VLOOKUP(C31,RESUMO!$B$16:$I$54,8,0)</f>
        <v>885946.45999999985</v>
      </c>
      <c r="AD31" s="934" t="e">
        <f ca="1">AC31/$AC$57*100</f>
        <v>#N/A</v>
      </c>
      <c r="AE31" s="259"/>
      <c r="AF31" s="770">
        <f ca="1">F31+H31+J31+P31+L31+N31+R31+T31+V31+X31+Z31+AB31</f>
        <v>0</v>
      </c>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59"/>
      <c r="GM31" s="259"/>
      <c r="GN31" s="259"/>
      <c r="GO31" s="259"/>
      <c r="GP31" s="259"/>
      <c r="GQ31" s="259"/>
      <c r="GR31" s="259"/>
      <c r="GS31" s="259"/>
      <c r="GT31" s="259"/>
      <c r="GU31" s="259"/>
      <c r="GV31" s="259"/>
      <c r="GW31" s="259"/>
      <c r="GX31" s="259"/>
      <c r="GY31" s="259"/>
      <c r="GZ31" s="259"/>
      <c r="HA31" s="259"/>
      <c r="HB31" s="259"/>
      <c r="HC31" s="259"/>
      <c r="HD31" s="259"/>
      <c r="HE31" s="259"/>
      <c r="HF31" s="259"/>
      <c r="HG31" s="259"/>
      <c r="HH31" s="259"/>
      <c r="HI31" s="259"/>
      <c r="HJ31" s="259"/>
      <c r="HK31" s="259"/>
      <c r="HL31" s="259"/>
      <c r="HM31" s="259"/>
      <c r="HN31" s="259"/>
      <c r="HO31" s="259"/>
      <c r="HP31" s="259"/>
      <c r="HQ31" s="259"/>
      <c r="HR31" s="259"/>
      <c r="HS31" s="259"/>
      <c r="HT31" s="259"/>
      <c r="HU31" s="259"/>
      <c r="HV31" s="259"/>
      <c r="HW31" s="259"/>
      <c r="HX31" s="259"/>
      <c r="HY31" s="259"/>
      <c r="HZ31" s="259"/>
      <c r="IA31" s="259"/>
      <c r="IB31" s="259"/>
      <c r="IC31" s="259"/>
      <c r="ID31" s="259"/>
      <c r="IE31" s="259"/>
      <c r="IF31" s="259"/>
      <c r="IG31" s="259"/>
      <c r="IH31" s="259"/>
      <c r="II31" s="259"/>
      <c r="IJ31" s="259"/>
      <c r="IK31" s="259"/>
      <c r="IL31" s="259"/>
      <c r="IM31" s="259"/>
      <c r="IN31" s="259"/>
      <c r="IO31" s="259"/>
      <c r="IP31" s="259"/>
      <c r="IQ31" s="259"/>
      <c r="IR31" s="259"/>
      <c r="IS31" s="259"/>
      <c r="IT31" s="259"/>
      <c r="IU31" s="259"/>
      <c r="IV31" s="259"/>
      <c r="IW31" s="259"/>
    </row>
    <row r="32" spans="2:257" s="768" customFormat="1" ht="6" customHeight="1">
      <c r="C32" s="938"/>
      <c r="D32" s="935"/>
      <c r="E32" s="769"/>
      <c r="F32" s="769"/>
      <c r="G32" s="769"/>
      <c r="H32" s="769"/>
      <c r="I32" s="769"/>
      <c r="J32" s="769"/>
      <c r="K32" s="769"/>
      <c r="L32" s="769"/>
      <c r="M32" s="769"/>
      <c r="N32" s="769"/>
      <c r="O32" s="769"/>
      <c r="P32" s="769"/>
      <c r="Q32" s="769"/>
      <c r="R32" s="769"/>
      <c r="S32" s="769"/>
      <c r="T32" s="769"/>
      <c r="U32" s="769"/>
      <c r="V32" s="769"/>
      <c r="W32" s="769"/>
      <c r="X32" s="769"/>
      <c r="Y32" s="769"/>
      <c r="Z32" s="769"/>
      <c r="AA32" s="769"/>
      <c r="AB32" s="769"/>
      <c r="AC32" s="769"/>
      <c r="AD32" s="936"/>
      <c r="AE32" s="563"/>
      <c r="AF32" s="770"/>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c r="EB32" s="563"/>
      <c r="EC32" s="563"/>
      <c r="ED32" s="563"/>
      <c r="EE32" s="563"/>
      <c r="EF32" s="563"/>
      <c r="EG32" s="563"/>
      <c r="EH32" s="563"/>
      <c r="EI32" s="563"/>
      <c r="EJ32" s="563"/>
      <c r="EK32" s="563"/>
      <c r="EL32" s="563"/>
      <c r="EM32" s="563"/>
      <c r="EN32" s="563"/>
      <c r="EO32" s="563"/>
      <c r="EP32" s="563"/>
      <c r="EQ32" s="563"/>
      <c r="ER32" s="563"/>
      <c r="ES32" s="563"/>
      <c r="ET32" s="563"/>
      <c r="EU32" s="563"/>
      <c r="EV32" s="563"/>
      <c r="EW32" s="563"/>
      <c r="EX32" s="563"/>
      <c r="EY32" s="563"/>
      <c r="EZ32" s="563"/>
      <c r="FA32" s="563"/>
      <c r="FB32" s="563"/>
      <c r="FC32" s="563"/>
      <c r="FD32" s="563"/>
      <c r="FE32" s="563"/>
      <c r="FF32" s="563"/>
      <c r="FG32" s="563"/>
      <c r="FH32" s="563"/>
      <c r="FI32" s="563"/>
      <c r="FJ32" s="563"/>
      <c r="FK32" s="563"/>
      <c r="FL32" s="563"/>
      <c r="FM32" s="563"/>
      <c r="FN32" s="563"/>
      <c r="FO32" s="563"/>
      <c r="FP32" s="563"/>
      <c r="FQ32" s="563"/>
      <c r="FR32" s="563"/>
      <c r="FS32" s="563"/>
      <c r="FT32" s="563"/>
      <c r="FU32" s="563"/>
      <c r="FV32" s="563"/>
      <c r="FW32" s="563"/>
      <c r="FX32" s="563"/>
      <c r="FY32" s="563"/>
      <c r="FZ32" s="563"/>
      <c r="GA32" s="563"/>
      <c r="GB32" s="563"/>
      <c r="GC32" s="563"/>
      <c r="GD32" s="563"/>
      <c r="GE32" s="563"/>
      <c r="GF32" s="563"/>
      <c r="GG32" s="563"/>
      <c r="GH32" s="563"/>
      <c r="GI32" s="563"/>
      <c r="GJ32" s="563"/>
      <c r="GK32" s="563"/>
      <c r="GL32" s="563"/>
      <c r="GM32" s="563"/>
      <c r="GN32" s="563"/>
      <c r="GO32" s="563"/>
      <c r="GP32" s="563"/>
      <c r="GQ32" s="563"/>
      <c r="GR32" s="563"/>
      <c r="GS32" s="563"/>
      <c r="GT32" s="563"/>
      <c r="GU32" s="563"/>
      <c r="GV32" s="563"/>
      <c r="GW32" s="563"/>
      <c r="GX32" s="563"/>
      <c r="GY32" s="563"/>
      <c r="GZ32" s="563"/>
      <c r="HA32" s="563"/>
      <c r="HB32" s="563"/>
      <c r="HC32" s="563"/>
      <c r="HD32" s="563"/>
      <c r="HE32" s="563"/>
      <c r="HF32" s="563"/>
      <c r="HG32" s="563"/>
      <c r="HH32" s="563"/>
      <c r="HI32" s="563"/>
      <c r="HJ32" s="563"/>
      <c r="HK32" s="563"/>
      <c r="HL32" s="563"/>
      <c r="HM32" s="563"/>
      <c r="HN32" s="563"/>
      <c r="HO32" s="563"/>
      <c r="HP32" s="563"/>
      <c r="HQ32" s="563"/>
      <c r="HR32" s="563"/>
      <c r="HS32" s="563"/>
      <c r="HT32" s="563"/>
      <c r="HU32" s="563"/>
      <c r="HV32" s="563"/>
      <c r="HW32" s="563"/>
      <c r="HX32" s="563"/>
      <c r="HY32" s="563"/>
      <c r="HZ32" s="563"/>
      <c r="IA32" s="563"/>
      <c r="IB32" s="563"/>
      <c r="IC32" s="563"/>
      <c r="ID32" s="563"/>
      <c r="IE32" s="563"/>
      <c r="IF32" s="563"/>
      <c r="IG32" s="563"/>
      <c r="IH32" s="563"/>
      <c r="II32" s="563"/>
      <c r="IJ32" s="563"/>
      <c r="IK32" s="563"/>
      <c r="IL32" s="563"/>
      <c r="IM32" s="563"/>
      <c r="IN32" s="563"/>
      <c r="IO32" s="563"/>
      <c r="IP32" s="563"/>
      <c r="IQ32" s="563"/>
      <c r="IR32" s="563"/>
      <c r="IS32" s="563"/>
      <c r="IT32" s="563"/>
      <c r="IU32" s="563"/>
      <c r="IV32" s="563"/>
      <c r="IW32" s="563"/>
    </row>
    <row r="33" spans="2:257" ht="20.100000000000001" customHeight="1">
      <c r="B33" s="771">
        <v>1</v>
      </c>
      <c r="C33" s="168" t="str">
        <f>SUM($A$14:B33)&amp;".0"</f>
        <v>10.0</v>
      </c>
      <c r="D33" s="933" t="str">
        <f ca="1">VLOOKUP(C33,RESUMO!$B$16:$I$54,3,0)</f>
        <v>P I S O S</v>
      </c>
      <c r="E33" s="772"/>
      <c r="F33" s="934">
        <f ca="1">IF($AC33=0,0,ROUND(100*E33/$AC33,2))</f>
        <v>0</v>
      </c>
      <c r="G33" s="772"/>
      <c r="H33" s="934">
        <f ca="1">IF($AC33=0,0,ROUND(100*G33/$AC33,2))</f>
        <v>0</v>
      </c>
      <c r="I33" s="772"/>
      <c r="J33" s="934">
        <f ca="1">IF($AC33=0,0,ROUND(100*I33/$AC33,2))</f>
        <v>0</v>
      </c>
      <c r="K33" s="772"/>
      <c r="L33" s="934">
        <f ca="1">IF($AC33=0,0,ROUND(100*K33/$AC33,2))</f>
        <v>0</v>
      </c>
      <c r="M33" s="772"/>
      <c r="N33" s="934">
        <f ca="1">IF($AC33=0,0,ROUND(100*M33/$AC33,2))</f>
        <v>0</v>
      </c>
      <c r="O33" s="772"/>
      <c r="P33" s="934">
        <f ca="1">IF($AC33=0,0,ROUND(100*O33/$AC33,2))</f>
        <v>0</v>
      </c>
      <c r="Q33" s="772"/>
      <c r="R33" s="934">
        <f ca="1">IF($AC33=0,0,ROUND(100*Q33/$AC33,2))</f>
        <v>0</v>
      </c>
      <c r="S33" s="772"/>
      <c r="T33" s="934">
        <f ca="1">IF($AC33=0,0,ROUND(100*S33/$AC33,2))</f>
        <v>0</v>
      </c>
      <c r="U33" s="772"/>
      <c r="V33" s="934">
        <f ca="1">IF($AC33=0,0,ROUND(100*U33/$AC33,2))</f>
        <v>0</v>
      </c>
      <c r="W33" s="772"/>
      <c r="X33" s="934">
        <f ca="1">IF($AC33=0,0,ROUND(100*W33/$AC33,2))</f>
        <v>0</v>
      </c>
      <c r="Y33" s="772"/>
      <c r="Z33" s="934">
        <f ca="1">IF($AC33=0,0,ROUND(100*Y33/$AC33,2))</f>
        <v>0</v>
      </c>
      <c r="AA33" s="772"/>
      <c r="AB33" s="934">
        <f ca="1">IF($AC33=0,0,ROUND(100*AA33/$AC33,2))</f>
        <v>0</v>
      </c>
      <c r="AC33" s="772">
        <f ca="1">VLOOKUP(C33,RESUMO!$B$16:$I$54,8,0)</f>
        <v>511040.43999999994</v>
      </c>
      <c r="AD33" s="934" t="e">
        <f ca="1">AC33/$AC$57*100</f>
        <v>#N/A</v>
      </c>
      <c r="AE33" s="259"/>
      <c r="AF33" s="770">
        <f ca="1">F33+H33+J33+P33+L33+N33+R33+T33+V33+X33+Z33+AB33</f>
        <v>0</v>
      </c>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259"/>
      <c r="DW33" s="259"/>
      <c r="DX33" s="259"/>
      <c r="DY33" s="259"/>
      <c r="DZ33" s="259"/>
      <c r="EA33" s="259"/>
      <c r="EB33" s="25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c r="FB33" s="259"/>
      <c r="FC33" s="259"/>
      <c r="FD33" s="259"/>
      <c r="FE33" s="259"/>
      <c r="FF33" s="259"/>
      <c r="FG33" s="259"/>
      <c r="FH33" s="259"/>
      <c r="FI33" s="259"/>
      <c r="FJ33" s="259"/>
      <c r="FK33" s="259"/>
      <c r="FL33" s="259"/>
      <c r="FM33" s="259"/>
      <c r="FN33" s="259"/>
      <c r="FO33" s="259"/>
      <c r="FP33" s="259"/>
      <c r="FQ33" s="259"/>
      <c r="FR33" s="259"/>
      <c r="FS33" s="259"/>
      <c r="FT33" s="259"/>
      <c r="FU33" s="259"/>
      <c r="FV33" s="259"/>
      <c r="FW33" s="259"/>
      <c r="FX33" s="259"/>
      <c r="FY33" s="259"/>
      <c r="FZ33" s="259"/>
      <c r="GA33" s="259"/>
      <c r="GB33" s="259"/>
      <c r="GC33" s="259"/>
      <c r="GD33" s="259"/>
      <c r="GE33" s="259"/>
      <c r="GF33" s="259"/>
      <c r="GG33" s="259"/>
      <c r="GH33" s="259"/>
      <c r="GI33" s="259"/>
      <c r="GJ33" s="259"/>
      <c r="GK33" s="259"/>
      <c r="GL33" s="259"/>
      <c r="GM33" s="259"/>
      <c r="GN33" s="259"/>
      <c r="GO33" s="259"/>
      <c r="GP33" s="259"/>
      <c r="GQ33" s="259"/>
      <c r="GR33" s="259"/>
      <c r="GS33" s="259"/>
      <c r="GT33" s="259"/>
      <c r="GU33" s="259"/>
      <c r="GV33" s="259"/>
      <c r="GW33" s="259"/>
      <c r="GX33" s="259"/>
      <c r="GY33" s="259"/>
      <c r="GZ33" s="259"/>
      <c r="HA33" s="259"/>
      <c r="HB33" s="259"/>
      <c r="HC33" s="259"/>
      <c r="HD33" s="259"/>
      <c r="HE33" s="259"/>
      <c r="HF33" s="259"/>
      <c r="HG33" s="259"/>
      <c r="HH33" s="259"/>
      <c r="HI33" s="259"/>
      <c r="HJ33" s="259"/>
      <c r="HK33" s="259"/>
      <c r="HL33" s="259"/>
      <c r="HM33" s="259"/>
      <c r="HN33" s="259"/>
      <c r="HO33" s="259"/>
      <c r="HP33" s="259"/>
      <c r="HQ33" s="259"/>
      <c r="HR33" s="259"/>
      <c r="HS33" s="259"/>
      <c r="HT33" s="259"/>
      <c r="HU33" s="259"/>
      <c r="HV33" s="259"/>
      <c r="HW33" s="259"/>
      <c r="HX33" s="259"/>
      <c r="HY33" s="259"/>
      <c r="HZ33" s="259"/>
      <c r="IA33" s="259"/>
      <c r="IB33" s="259"/>
      <c r="IC33" s="259"/>
      <c r="ID33" s="259"/>
      <c r="IE33" s="259"/>
      <c r="IF33" s="259"/>
      <c r="IG33" s="259"/>
      <c r="IH33" s="259"/>
      <c r="II33" s="259"/>
      <c r="IJ33" s="259"/>
      <c r="IK33" s="259"/>
      <c r="IL33" s="259"/>
      <c r="IM33" s="259"/>
      <c r="IN33" s="259"/>
      <c r="IO33" s="259"/>
      <c r="IP33" s="259"/>
      <c r="IQ33" s="259"/>
      <c r="IR33" s="259"/>
      <c r="IS33" s="259"/>
      <c r="IT33" s="259"/>
      <c r="IU33" s="259"/>
      <c r="IV33" s="259"/>
      <c r="IW33" s="259"/>
    </row>
    <row r="34" spans="2:257" s="768" customFormat="1" ht="6" customHeight="1">
      <c r="C34" s="938"/>
      <c r="D34" s="935"/>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936"/>
      <c r="AE34" s="563"/>
      <c r="AF34" s="770"/>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3"/>
      <c r="CJ34" s="563"/>
      <c r="CK34" s="563"/>
      <c r="CL34" s="563"/>
      <c r="CM34" s="563"/>
      <c r="CN34" s="563"/>
      <c r="CO34" s="563"/>
      <c r="CP34" s="563"/>
      <c r="CQ34" s="563"/>
      <c r="CR34" s="563"/>
      <c r="CS34" s="563"/>
      <c r="CT34" s="563"/>
      <c r="CU34" s="563"/>
      <c r="CV34" s="563"/>
      <c r="CW34" s="563"/>
      <c r="CX34" s="563"/>
      <c r="CY34" s="563"/>
      <c r="CZ34" s="563"/>
      <c r="DA34" s="563"/>
      <c r="DB34" s="563"/>
      <c r="DC34" s="563"/>
      <c r="DD34" s="563"/>
      <c r="DE34" s="563"/>
      <c r="DF34" s="563"/>
      <c r="DG34" s="563"/>
      <c r="DH34" s="563"/>
      <c r="DI34" s="563"/>
      <c r="DJ34" s="563"/>
      <c r="DK34" s="563"/>
      <c r="DL34" s="563"/>
      <c r="DM34" s="563"/>
      <c r="DN34" s="563"/>
      <c r="DO34" s="563"/>
      <c r="DP34" s="563"/>
      <c r="DQ34" s="563"/>
      <c r="DR34" s="563"/>
      <c r="DS34" s="563"/>
      <c r="DT34" s="563"/>
      <c r="DU34" s="563"/>
      <c r="DV34" s="563"/>
      <c r="DW34" s="563"/>
      <c r="DX34" s="563"/>
      <c r="DY34" s="563"/>
      <c r="DZ34" s="563"/>
      <c r="EA34" s="563"/>
      <c r="EB34" s="563"/>
      <c r="EC34" s="563"/>
      <c r="ED34" s="563"/>
      <c r="EE34" s="563"/>
      <c r="EF34" s="563"/>
      <c r="EG34" s="563"/>
      <c r="EH34" s="563"/>
      <c r="EI34" s="563"/>
      <c r="EJ34" s="563"/>
      <c r="EK34" s="563"/>
      <c r="EL34" s="563"/>
      <c r="EM34" s="563"/>
      <c r="EN34" s="563"/>
      <c r="EO34" s="563"/>
      <c r="EP34" s="563"/>
      <c r="EQ34" s="563"/>
      <c r="ER34" s="563"/>
      <c r="ES34" s="563"/>
      <c r="ET34" s="563"/>
      <c r="EU34" s="563"/>
      <c r="EV34" s="563"/>
      <c r="EW34" s="563"/>
      <c r="EX34" s="563"/>
      <c r="EY34" s="563"/>
      <c r="EZ34" s="563"/>
      <c r="FA34" s="563"/>
      <c r="FB34" s="563"/>
      <c r="FC34" s="563"/>
      <c r="FD34" s="563"/>
      <c r="FE34" s="563"/>
      <c r="FF34" s="563"/>
      <c r="FG34" s="563"/>
      <c r="FH34" s="563"/>
      <c r="FI34" s="563"/>
      <c r="FJ34" s="563"/>
      <c r="FK34" s="563"/>
      <c r="FL34" s="563"/>
      <c r="FM34" s="563"/>
      <c r="FN34" s="563"/>
      <c r="FO34" s="563"/>
      <c r="FP34" s="563"/>
      <c r="FQ34" s="563"/>
      <c r="FR34" s="563"/>
      <c r="FS34" s="563"/>
      <c r="FT34" s="563"/>
      <c r="FU34" s="563"/>
      <c r="FV34" s="563"/>
      <c r="FW34" s="563"/>
      <c r="FX34" s="563"/>
      <c r="FY34" s="563"/>
      <c r="FZ34" s="563"/>
      <c r="GA34" s="563"/>
      <c r="GB34" s="563"/>
      <c r="GC34" s="563"/>
      <c r="GD34" s="563"/>
      <c r="GE34" s="563"/>
      <c r="GF34" s="563"/>
      <c r="GG34" s="563"/>
      <c r="GH34" s="563"/>
      <c r="GI34" s="563"/>
      <c r="GJ34" s="563"/>
      <c r="GK34" s="563"/>
      <c r="GL34" s="563"/>
      <c r="GM34" s="563"/>
      <c r="GN34" s="563"/>
      <c r="GO34" s="563"/>
      <c r="GP34" s="563"/>
      <c r="GQ34" s="563"/>
      <c r="GR34" s="563"/>
      <c r="GS34" s="563"/>
      <c r="GT34" s="563"/>
      <c r="GU34" s="563"/>
      <c r="GV34" s="563"/>
      <c r="GW34" s="563"/>
      <c r="GX34" s="563"/>
      <c r="GY34" s="563"/>
      <c r="GZ34" s="563"/>
      <c r="HA34" s="563"/>
      <c r="HB34" s="563"/>
      <c r="HC34" s="563"/>
      <c r="HD34" s="563"/>
      <c r="HE34" s="563"/>
      <c r="HF34" s="563"/>
      <c r="HG34" s="563"/>
      <c r="HH34" s="563"/>
      <c r="HI34" s="563"/>
      <c r="HJ34" s="563"/>
      <c r="HK34" s="563"/>
      <c r="HL34" s="563"/>
      <c r="HM34" s="563"/>
      <c r="HN34" s="563"/>
      <c r="HO34" s="563"/>
      <c r="HP34" s="563"/>
      <c r="HQ34" s="563"/>
      <c r="HR34" s="563"/>
      <c r="HS34" s="563"/>
      <c r="HT34" s="563"/>
      <c r="HU34" s="563"/>
      <c r="HV34" s="563"/>
      <c r="HW34" s="563"/>
      <c r="HX34" s="563"/>
      <c r="HY34" s="563"/>
      <c r="HZ34" s="563"/>
      <c r="IA34" s="563"/>
      <c r="IB34" s="563"/>
      <c r="IC34" s="563"/>
      <c r="ID34" s="563"/>
      <c r="IE34" s="563"/>
      <c r="IF34" s="563"/>
      <c r="IG34" s="563"/>
      <c r="IH34" s="563"/>
      <c r="II34" s="563"/>
      <c r="IJ34" s="563"/>
      <c r="IK34" s="563"/>
      <c r="IL34" s="563"/>
      <c r="IM34" s="563"/>
      <c r="IN34" s="563"/>
      <c r="IO34" s="563"/>
      <c r="IP34" s="563"/>
      <c r="IQ34" s="563"/>
      <c r="IR34" s="563"/>
      <c r="IS34" s="563"/>
      <c r="IT34" s="563"/>
      <c r="IU34" s="563"/>
      <c r="IV34" s="563"/>
      <c r="IW34" s="563"/>
    </row>
    <row r="35" spans="2:257" ht="20.100000000000001" customHeight="1">
      <c r="B35" s="771">
        <v>1</v>
      </c>
      <c r="C35" s="168" t="str">
        <f>SUM($A$14:B35)&amp;".0"</f>
        <v>11.0</v>
      </c>
      <c r="D35" s="933" t="str">
        <f ca="1">VLOOKUP(C35,RESUMO!$B$16:$I$54,3,0)</f>
        <v xml:space="preserve">I N S T A L A Ç Õ E S   H I D R O S S A N I T Á R I A S </v>
      </c>
      <c r="E35" s="772"/>
      <c r="F35" s="934">
        <f ca="1">IF($AC35=0,0,ROUND(100*E35/$AC35,2))</f>
        <v>0</v>
      </c>
      <c r="G35" s="772"/>
      <c r="H35" s="934">
        <f ca="1">IF($AC35=0,0,ROUND(100*G35/$AC35,2))</f>
        <v>0</v>
      </c>
      <c r="I35" s="772"/>
      <c r="J35" s="934">
        <f ca="1">IF($AC35=0,0,ROUND(100*I35/$AC35,2))</f>
        <v>0</v>
      </c>
      <c r="K35" s="772"/>
      <c r="L35" s="934">
        <f ca="1">IF($AC35=0,0,ROUND(100*K35/$AC35,2))</f>
        <v>0</v>
      </c>
      <c r="M35" s="772"/>
      <c r="N35" s="934">
        <f ca="1">IF($AC35=0,0,ROUND(100*M35/$AC35,2))</f>
        <v>0</v>
      </c>
      <c r="O35" s="772"/>
      <c r="P35" s="934">
        <f ca="1">IF($AC35=0,0,ROUND(100*O35/$AC35,2))</f>
        <v>0</v>
      </c>
      <c r="Q35" s="772"/>
      <c r="R35" s="934">
        <f ca="1">IF($AC35=0,0,ROUND(100*Q35/$AC35,2))</f>
        <v>0</v>
      </c>
      <c r="S35" s="772"/>
      <c r="T35" s="934">
        <f ca="1">IF($AC35=0,0,ROUND(100*S35/$AC35,2))</f>
        <v>0</v>
      </c>
      <c r="U35" s="772"/>
      <c r="V35" s="934">
        <f ca="1">IF($AC35=0,0,ROUND(100*U35/$AC35,2))</f>
        <v>0</v>
      </c>
      <c r="W35" s="772"/>
      <c r="X35" s="934">
        <f ca="1">IF($AC35=0,0,ROUND(100*W35/$AC35,2))</f>
        <v>0</v>
      </c>
      <c r="Y35" s="772"/>
      <c r="Z35" s="934">
        <f ca="1">IF($AC35=0,0,ROUND(100*Y35/$AC35,2))</f>
        <v>0</v>
      </c>
      <c r="AA35" s="772"/>
      <c r="AB35" s="934">
        <f ca="1">IF($AC35=0,0,ROUND(100*AA35/$AC35,2))</f>
        <v>0</v>
      </c>
      <c r="AC35" s="772">
        <f ca="1">VLOOKUP(C35,RESUMO!$B$16:$I$54,8,0)</f>
        <v>136405.20000000001</v>
      </c>
      <c r="AD35" s="934" t="e">
        <f ca="1">AC35/$AC$57*100</f>
        <v>#N/A</v>
      </c>
      <c r="AE35" s="259"/>
      <c r="AF35" s="770">
        <f ca="1">F35+H35+J35+P35+L35+N35+R35+T35+V35+X35+Z35+AB35</f>
        <v>0</v>
      </c>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c r="FB35" s="259"/>
      <c r="FC35" s="259"/>
      <c r="FD35" s="259"/>
      <c r="FE35" s="259"/>
      <c r="FF35" s="259"/>
      <c r="FG35" s="259"/>
      <c r="FH35" s="259"/>
      <c r="FI35" s="259"/>
      <c r="FJ35" s="259"/>
      <c r="FK35" s="259"/>
      <c r="FL35" s="259"/>
      <c r="FM35" s="259"/>
      <c r="FN35" s="259"/>
      <c r="FO35" s="259"/>
      <c r="FP35" s="259"/>
      <c r="FQ35" s="259"/>
      <c r="FR35" s="259"/>
      <c r="FS35" s="259"/>
      <c r="FT35" s="259"/>
      <c r="FU35" s="259"/>
      <c r="FV35" s="259"/>
      <c r="FW35" s="259"/>
      <c r="FX35" s="259"/>
      <c r="FY35" s="259"/>
      <c r="FZ35" s="259"/>
      <c r="GA35" s="259"/>
      <c r="GB35" s="259"/>
      <c r="GC35" s="259"/>
      <c r="GD35" s="259"/>
      <c r="GE35" s="259"/>
      <c r="GF35" s="259"/>
      <c r="GG35" s="259"/>
      <c r="GH35" s="259"/>
      <c r="GI35" s="259"/>
      <c r="GJ35" s="259"/>
      <c r="GK35" s="259"/>
      <c r="GL35" s="259"/>
      <c r="GM35" s="259"/>
      <c r="GN35" s="259"/>
      <c r="GO35" s="259"/>
      <c r="GP35" s="259"/>
      <c r="GQ35" s="259"/>
      <c r="GR35" s="259"/>
      <c r="GS35" s="259"/>
      <c r="GT35" s="259"/>
      <c r="GU35" s="259"/>
      <c r="GV35" s="259"/>
      <c r="GW35" s="259"/>
      <c r="GX35" s="259"/>
      <c r="GY35" s="259"/>
      <c r="GZ35" s="259"/>
      <c r="HA35" s="259"/>
      <c r="HB35" s="259"/>
      <c r="HC35" s="259"/>
      <c r="HD35" s="259"/>
      <c r="HE35" s="259"/>
      <c r="HF35" s="259"/>
      <c r="HG35" s="259"/>
      <c r="HH35" s="259"/>
      <c r="HI35" s="259"/>
      <c r="HJ35" s="259"/>
      <c r="HK35" s="259"/>
      <c r="HL35" s="259"/>
      <c r="HM35" s="259"/>
      <c r="HN35" s="259"/>
      <c r="HO35" s="259"/>
      <c r="HP35" s="259"/>
      <c r="HQ35" s="259"/>
      <c r="HR35" s="259"/>
      <c r="HS35" s="259"/>
      <c r="HT35" s="259"/>
      <c r="HU35" s="259"/>
      <c r="HV35" s="259"/>
      <c r="HW35" s="259"/>
      <c r="HX35" s="259"/>
      <c r="HY35" s="259"/>
      <c r="HZ35" s="259"/>
      <c r="IA35" s="259"/>
      <c r="IB35" s="259"/>
      <c r="IC35" s="259"/>
      <c r="ID35" s="259"/>
      <c r="IE35" s="259"/>
      <c r="IF35" s="259"/>
      <c r="IG35" s="259"/>
      <c r="IH35" s="259"/>
      <c r="II35" s="259"/>
      <c r="IJ35" s="259"/>
      <c r="IK35" s="259"/>
      <c r="IL35" s="259"/>
      <c r="IM35" s="259"/>
      <c r="IN35" s="259"/>
      <c r="IO35" s="259"/>
      <c r="IP35" s="259"/>
      <c r="IQ35" s="259"/>
      <c r="IR35" s="259"/>
      <c r="IS35" s="259"/>
      <c r="IT35" s="259"/>
      <c r="IU35" s="259"/>
      <c r="IV35" s="259"/>
      <c r="IW35" s="259"/>
    </row>
    <row r="36" spans="2:257" s="768" customFormat="1" ht="6" customHeight="1">
      <c r="C36" s="938"/>
      <c r="D36" s="935"/>
      <c r="E36" s="769"/>
      <c r="F36" s="769"/>
      <c r="G36" s="769"/>
      <c r="H36" s="769"/>
      <c r="I36" s="769"/>
      <c r="J36" s="769"/>
      <c r="K36" s="769"/>
      <c r="L36" s="769"/>
      <c r="M36" s="769"/>
      <c r="N36" s="769"/>
      <c r="O36" s="769"/>
      <c r="P36" s="769"/>
      <c r="Q36" s="769"/>
      <c r="R36" s="769"/>
      <c r="S36" s="769"/>
      <c r="T36" s="769"/>
      <c r="U36" s="769"/>
      <c r="V36" s="769"/>
      <c r="W36" s="769"/>
      <c r="X36" s="769"/>
      <c r="Y36" s="769"/>
      <c r="Z36" s="769"/>
      <c r="AA36" s="769"/>
      <c r="AB36" s="769"/>
      <c r="AC36" s="769"/>
      <c r="AD36" s="936"/>
      <c r="AE36" s="563"/>
      <c r="AF36" s="770"/>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c r="BP36" s="563"/>
      <c r="BQ36" s="563"/>
      <c r="BR36" s="563"/>
      <c r="BS36" s="563"/>
      <c r="BT36" s="563"/>
      <c r="BU36" s="563"/>
      <c r="BV36" s="563"/>
      <c r="BW36" s="563"/>
      <c r="BX36" s="563"/>
      <c r="BY36" s="563"/>
      <c r="BZ36" s="563"/>
      <c r="CA36" s="563"/>
      <c r="CB36" s="563"/>
      <c r="CC36" s="563"/>
      <c r="CD36" s="563"/>
      <c r="CE36" s="563"/>
      <c r="CF36" s="563"/>
      <c r="CG36" s="563"/>
      <c r="CH36" s="563"/>
      <c r="CI36" s="563"/>
      <c r="CJ36" s="563"/>
      <c r="CK36" s="563"/>
      <c r="CL36" s="563"/>
      <c r="CM36" s="563"/>
      <c r="CN36" s="563"/>
      <c r="CO36" s="563"/>
      <c r="CP36" s="563"/>
      <c r="CQ36" s="563"/>
      <c r="CR36" s="563"/>
      <c r="CS36" s="563"/>
      <c r="CT36" s="563"/>
      <c r="CU36" s="563"/>
      <c r="CV36" s="563"/>
      <c r="CW36" s="563"/>
      <c r="CX36" s="563"/>
      <c r="CY36" s="563"/>
      <c r="CZ36" s="563"/>
      <c r="DA36" s="563"/>
      <c r="DB36" s="563"/>
      <c r="DC36" s="563"/>
      <c r="DD36" s="563"/>
      <c r="DE36" s="563"/>
      <c r="DF36" s="563"/>
      <c r="DG36" s="563"/>
      <c r="DH36" s="563"/>
      <c r="DI36" s="563"/>
      <c r="DJ36" s="563"/>
      <c r="DK36" s="563"/>
      <c r="DL36" s="563"/>
      <c r="DM36" s="563"/>
      <c r="DN36" s="563"/>
      <c r="DO36" s="563"/>
      <c r="DP36" s="563"/>
      <c r="DQ36" s="563"/>
      <c r="DR36" s="563"/>
      <c r="DS36" s="563"/>
      <c r="DT36" s="563"/>
      <c r="DU36" s="563"/>
      <c r="DV36" s="563"/>
      <c r="DW36" s="563"/>
      <c r="DX36" s="563"/>
      <c r="DY36" s="563"/>
      <c r="DZ36" s="563"/>
      <c r="EA36" s="563"/>
      <c r="EB36" s="563"/>
      <c r="EC36" s="563"/>
      <c r="ED36" s="563"/>
      <c r="EE36" s="563"/>
      <c r="EF36" s="563"/>
      <c r="EG36" s="563"/>
      <c r="EH36" s="563"/>
      <c r="EI36" s="563"/>
      <c r="EJ36" s="563"/>
      <c r="EK36" s="563"/>
      <c r="EL36" s="563"/>
      <c r="EM36" s="563"/>
      <c r="EN36" s="563"/>
      <c r="EO36" s="563"/>
      <c r="EP36" s="563"/>
      <c r="EQ36" s="563"/>
      <c r="ER36" s="563"/>
      <c r="ES36" s="563"/>
      <c r="ET36" s="563"/>
      <c r="EU36" s="563"/>
      <c r="EV36" s="563"/>
      <c r="EW36" s="563"/>
      <c r="EX36" s="563"/>
      <c r="EY36" s="563"/>
      <c r="EZ36" s="563"/>
      <c r="FA36" s="563"/>
      <c r="FB36" s="563"/>
      <c r="FC36" s="563"/>
      <c r="FD36" s="563"/>
      <c r="FE36" s="563"/>
      <c r="FF36" s="563"/>
      <c r="FG36" s="563"/>
      <c r="FH36" s="563"/>
      <c r="FI36" s="563"/>
      <c r="FJ36" s="563"/>
      <c r="FK36" s="563"/>
      <c r="FL36" s="563"/>
      <c r="FM36" s="563"/>
      <c r="FN36" s="563"/>
      <c r="FO36" s="563"/>
      <c r="FP36" s="563"/>
      <c r="FQ36" s="563"/>
      <c r="FR36" s="563"/>
      <c r="FS36" s="563"/>
      <c r="FT36" s="563"/>
      <c r="FU36" s="563"/>
      <c r="FV36" s="563"/>
      <c r="FW36" s="563"/>
      <c r="FX36" s="563"/>
      <c r="FY36" s="563"/>
      <c r="FZ36" s="563"/>
      <c r="GA36" s="563"/>
      <c r="GB36" s="563"/>
      <c r="GC36" s="563"/>
      <c r="GD36" s="563"/>
      <c r="GE36" s="563"/>
      <c r="GF36" s="563"/>
      <c r="GG36" s="563"/>
      <c r="GH36" s="563"/>
      <c r="GI36" s="563"/>
      <c r="GJ36" s="563"/>
      <c r="GK36" s="563"/>
      <c r="GL36" s="563"/>
      <c r="GM36" s="563"/>
      <c r="GN36" s="563"/>
      <c r="GO36" s="563"/>
      <c r="GP36" s="563"/>
      <c r="GQ36" s="563"/>
      <c r="GR36" s="563"/>
      <c r="GS36" s="563"/>
      <c r="GT36" s="563"/>
      <c r="GU36" s="563"/>
      <c r="GV36" s="563"/>
      <c r="GW36" s="563"/>
      <c r="GX36" s="563"/>
      <c r="GY36" s="563"/>
      <c r="GZ36" s="563"/>
      <c r="HA36" s="563"/>
      <c r="HB36" s="563"/>
      <c r="HC36" s="563"/>
      <c r="HD36" s="563"/>
      <c r="HE36" s="563"/>
      <c r="HF36" s="563"/>
      <c r="HG36" s="563"/>
      <c r="HH36" s="563"/>
      <c r="HI36" s="563"/>
      <c r="HJ36" s="563"/>
      <c r="HK36" s="563"/>
      <c r="HL36" s="563"/>
      <c r="HM36" s="563"/>
      <c r="HN36" s="563"/>
      <c r="HO36" s="563"/>
      <c r="HP36" s="563"/>
      <c r="HQ36" s="563"/>
      <c r="HR36" s="563"/>
      <c r="HS36" s="563"/>
      <c r="HT36" s="563"/>
      <c r="HU36" s="563"/>
      <c r="HV36" s="563"/>
      <c r="HW36" s="563"/>
      <c r="HX36" s="563"/>
      <c r="HY36" s="563"/>
      <c r="HZ36" s="563"/>
      <c r="IA36" s="563"/>
      <c r="IB36" s="563"/>
      <c r="IC36" s="563"/>
      <c r="ID36" s="563"/>
      <c r="IE36" s="563"/>
      <c r="IF36" s="563"/>
      <c r="IG36" s="563"/>
      <c r="IH36" s="563"/>
      <c r="II36" s="563"/>
      <c r="IJ36" s="563"/>
      <c r="IK36" s="563"/>
      <c r="IL36" s="563"/>
      <c r="IM36" s="563"/>
      <c r="IN36" s="563"/>
      <c r="IO36" s="563"/>
      <c r="IP36" s="563"/>
      <c r="IQ36" s="563"/>
      <c r="IR36" s="563"/>
      <c r="IS36" s="563"/>
      <c r="IT36" s="563"/>
      <c r="IU36" s="563"/>
      <c r="IV36" s="563"/>
      <c r="IW36" s="563"/>
    </row>
    <row r="37" spans="2:257" ht="20.100000000000001" customHeight="1">
      <c r="B37" s="771">
        <v>1</v>
      </c>
      <c r="C37" s="168" t="str">
        <f>SUM($A$14:B37)&amp;".0"</f>
        <v>12.0</v>
      </c>
      <c r="D37" s="933" t="str">
        <f ca="1">VLOOKUP(C37,RESUMO!$B$16:$I$54,3,0)</f>
        <v xml:space="preserve">I N S T A L A Ç Õ E S   E L É T R I C A S </v>
      </c>
      <c r="E37" s="772"/>
      <c r="F37" s="934">
        <f ca="1">IF($AC37=0,0,ROUND(100*E37/$AC37,2))</f>
        <v>0</v>
      </c>
      <c r="G37" s="772"/>
      <c r="H37" s="934">
        <f ca="1">IF($AC37=0,0,ROUND(100*G37/$AC37,2))</f>
        <v>0</v>
      </c>
      <c r="I37" s="772"/>
      <c r="J37" s="934">
        <f ca="1">IF($AC37=0,0,ROUND(100*I37/$AC37,2))</f>
        <v>0</v>
      </c>
      <c r="K37" s="772"/>
      <c r="L37" s="934">
        <f ca="1">IF($AC37=0,0,ROUND(100*K37/$AC37,2))</f>
        <v>0</v>
      </c>
      <c r="M37" s="772"/>
      <c r="N37" s="934">
        <f ca="1">IF($AC37=0,0,ROUND(100*M37/$AC37,2))</f>
        <v>0</v>
      </c>
      <c r="O37" s="772"/>
      <c r="P37" s="934">
        <f ca="1">IF($AC37=0,0,ROUND(100*O37/$AC37,2))</f>
        <v>0</v>
      </c>
      <c r="Q37" s="772"/>
      <c r="R37" s="934">
        <f ca="1">IF($AC37=0,0,ROUND(100*Q37/$AC37,2))</f>
        <v>0</v>
      </c>
      <c r="S37" s="772"/>
      <c r="T37" s="934">
        <f ca="1">IF($AC37=0,0,ROUND(100*S37/$AC37,2))</f>
        <v>0</v>
      </c>
      <c r="U37" s="772"/>
      <c r="V37" s="934">
        <f ca="1">IF($AC37=0,0,ROUND(100*U37/$AC37,2))</f>
        <v>0</v>
      </c>
      <c r="W37" s="772"/>
      <c r="X37" s="934">
        <f ca="1">IF($AC37=0,0,ROUND(100*W37/$AC37,2))</f>
        <v>0</v>
      </c>
      <c r="Y37" s="772"/>
      <c r="Z37" s="934">
        <f ca="1">IF($AC37=0,0,ROUND(100*Y37/$AC37,2))</f>
        <v>0</v>
      </c>
      <c r="AA37" s="772"/>
      <c r="AB37" s="934">
        <f ca="1">IF($AC37=0,0,ROUND(100*AA37/$AC37,2))</f>
        <v>0</v>
      </c>
      <c r="AC37" s="772">
        <f ca="1">VLOOKUP(C37,RESUMO!$B$16:$I$54,8,0)</f>
        <v>273183.97000000003</v>
      </c>
      <c r="AD37" s="934" t="e">
        <f ca="1">AC37/$AC$57*100</f>
        <v>#N/A</v>
      </c>
      <c r="AE37" s="259"/>
      <c r="AF37" s="770">
        <f ca="1">F37+H37+J37+P37+L37+N37+R37+T37+V37+X37+Z37+AB37</f>
        <v>0</v>
      </c>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c r="DD37" s="259"/>
      <c r="DE37" s="259"/>
      <c r="DF37" s="259"/>
      <c r="DG37" s="259"/>
      <c r="DH37" s="259"/>
      <c r="DI37" s="259"/>
      <c r="DJ37" s="259"/>
      <c r="DK37" s="259"/>
      <c r="DL37" s="259"/>
      <c r="DM37" s="259"/>
      <c r="DN37" s="259"/>
      <c r="DO37" s="259"/>
      <c r="DP37" s="259"/>
      <c r="DQ37" s="259"/>
      <c r="DR37" s="259"/>
      <c r="DS37" s="259"/>
      <c r="DT37" s="259"/>
      <c r="DU37" s="259"/>
      <c r="DV37" s="259"/>
      <c r="DW37" s="259"/>
      <c r="DX37" s="259"/>
      <c r="DY37" s="259"/>
      <c r="DZ37" s="259"/>
      <c r="EA37" s="259"/>
      <c r="EB37" s="259"/>
      <c r="EC37" s="259"/>
      <c r="ED37" s="259"/>
      <c r="EE37" s="259"/>
      <c r="EF37" s="259"/>
      <c r="EG37" s="259"/>
      <c r="EH37" s="259"/>
      <c r="EI37" s="259"/>
      <c r="EJ37" s="259"/>
      <c r="EK37" s="259"/>
      <c r="EL37" s="259"/>
      <c r="EM37" s="259"/>
      <c r="EN37" s="259"/>
      <c r="EO37" s="259"/>
      <c r="EP37" s="259"/>
      <c r="EQ37" s="259"/>
      <c r="ER37" s="259"/>
      <c r="ES37" s="259"/>
      <c r="ET37" s="259"/>
      <c r="EU37" s="259"/>
      <c r="EV37" s="259"/>
      <c r="EW37" s="259"/>
      <c r="EX37" s="259"/>
      <c r="EY37" s="259"/>
      <c r="EZ37" s="259"/>
      <c r="FA37" s="259"/>
      <c r="FB37" s="259"/>
      <c r="FC37" s="259"/>
      <c r="FD37" s="259"/>
      <c r="FE37" s="259"/>
      <c r="FF37" s="259"/>
      <c r="FG37" s="259"/>
      <c r="FH37" s="259"/>
      <c r="FI37" s="259"/>
      <c r="FJ37" s="259"/>
      <c r="FK37" s="259"/>
      <c r="FL37" s="259"/>
      <c r="FM37" s="259"/>
      <c r="FN37" s="259"/>
      <c r="FO37" s="259"/>
      <c r="FP37" s="259"/>
      <c r="FQ37" s="259"/>
      <c r="FR37" s="259"/>
      <c r="FS37" s="259"/>
      <c r="FT37" s="259"/>
      <c r="FU37" s="259"/>
      <c r="FV37" s="259"/>
      <c r="FW37" s="259"/>
      <c r="FX37" s="259"/>
      <c r="FY37" s="259"/>
      <c r="FZ37" s="259"/>
      <c r="GA37" s="259"/>
      <c r="GB37" s="259"/>
      <c r="GC37" s="259"/>
      <c r="GD37" s="259"/>
      <c r="GE37" s="259"/>
      <c r="GF37" s="259"/>
      <c r="GG37" s="259"/>
      <c r="GH37" s="259"/>
      <c r="GI37" s="259"/>
      <c r="GJ37" s="259"/>
      <c r="GK37" s="259"/>
      <c r="GL37" s="259"/>
      <c r="GM37" s="259"/>
      <c r="GN37" s="259"/>
      <c r="GO37" s="259"/>
      <c r="GP37" s="259"/>
      <c r="GQ37" s="259"/>
      <c r="GR37" s="259"/>
      <c r="GS37" s="259"/>
      <c r="GT37" s="259"/>
      <c r="GU37" s="259"/>
      <c r="GV37" s="259"/>
      <c r="GW37" s="259"/>
      <c r="GX37" s="259"/>
      <c r="GY37" s="259"/>
      <c r="GZ37" s="259"/>
      <c r="HA37" s="259"/>
      <c r="HB37" s="259"/>
      <c r="HC37" s="259"/>
      <c r="HD37" s="259"/>
      <c r="HE37" s="259"/>
      <c r="HF37" s="259"/>
      <c r="HG37" s="259"/>
      <c r="HH37" s="259"/>
      <c r="HI37" s="259"/>
      <c r="HJ37" s="259"/>
      <c r="HK37" s="259"/>
      <c r="HL37" s="259"/>
      <c r="HM37" s="259"/>
      <c r="HN37" s="259"/>
      <c r="HO37" s="259"/>
      <c r="HP37" s="259"/>
      <c r="HQ37" s="259"/>
      <c r="HR37" s="259"/>
      <c r="HS37" s="259"/>
      <c r="HT37" s="259"/>
      <c r="HU37" s="259"/>
      <c r="HV37" s="259"/>
      <c r="HW37" s="259"/>
      <c r="HX37" s="259"/>
      <c r="HY37" s="259"/>
      <c r="HZ37" s="259"/>
      <c r="IA37" s="259"/>
      <c r="IB37" s="259"/>
      <c r="IC37" s="259"/>
      <c r="ID37" s="259"/>
      <c r="IE37" s="259"/>
      <c r="IF37" s="259"/>
      <c r="IG37" s="259"/>
      <c r="IH37" s="259"/>
      <c r="II37" s="259"/>
      <c r="IJ37" s="259"/>
      <c r="IK37" s="259"/>
      <c r="IL37" s="259"/>
      <c r="IM37" s="259"/>
      <c r="IN37" s="259"/>
      <c r="IO37" s="259"/>
      <c r="IP37" s="259"/>
      <c r="IQ37" s="259"/>
      <c r="IR37" s="259"/>
      <c r="IS37" s="259"/>
      <c r="IT37" s="259"/>
      <c r="IU37" s="259"/>
      <c r="IV37" s="259"/>
      <c r="IW37" s="259"/>
    </row>
    <row r="38" spans="2:257" s="768" customFormat="1" ht="6" customHeight="1">
      <c r="C38" s="938"/>
      <c r="D38" s="935"/>
      <c r="E38" s="769"/>
      <c r="F38" s="769"/>
      <c r="G38" s="769"/>
      <c r="H38" s="769"/>
      <c r="I38" s="769"/>
      <c r="J38" s="769"/>
      <c r="K38" s="769"/>
      <c r="L38" s="769"/>
      <c r="M38" s="769"/>
      <c r="N38" s="769"/>
      <c r="O38" s="769"/>
      <c r="P38" s="769"/>
      <c r="Q38" s="769"/>
      <c r="R38" s="769"/>
      <c r="S38" s="769"/>
      <c r="T38" s="769"/>
      <c r="U38" s="769"/>
      <c r="V38" s="769"/>
      <c r="W38" s="769"/>
      <c r="X38" s="769"/>
      <c r="Y38" s="769"/>
      <c r="Z38" s="769"/>
      <c r="AA38" s="769"/>
      <c r="AB38" s="769"/>
      <c r="AC38" s="769"/>
      <c r="AD38" s="936"/>
      <c r="AE38" s="563"/>
      <c r="AF38" s="770"/>
      <c r="AG38" s="563"/>
      <c r="AH38" s="563"/>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563"/>
      <c r="BL38" s="563"/>
      <c r="BM38" s="563"/>
      <c r="BN38" s="563"/>
      <c r="BO38" s="563"/>
      <c r="BP38" s="563"/>
      <c r="BQ38" s="563"/>
      <c r="BR38" s="563"/>
      <c r="BS38" s="563"/>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563"/>
      <c r="DI38" s="563"/>
      <c r="DJ38" s="563"/>
      <c r="DK38" s="563"/>
      <c r="DL38" s="563"/>
      <c r="DM38" s="563"/>
      <c r="DN38" s="563"/>
      <c r="DO38" s="563"/>
      <c r="DP38" s="563"/>
      <c r="DQ38" s="563"/>
      <c r="DR38" s="563"/>
      <c r="DS38" s="563"/>
      <c r="DT38" s="563"/>
      <c r="DU38" s="563"/>
      <c r="DV38" s="563"/>
      <c r="DW38" s="563"/>
      <c r="DX38" s="563"/>
      <c r="DY38" s="563"/>
      <c r="DZ38" s="563"/>
      <c r="EA38" s="563"/>
      <c r="EB38" s="563"/>
      <c r="EC38" s="563"/>
      <c r="ED38" s="563"/>
      <c r="EE38" s="563"/>
      <c r="EF38" s="563"/>
      <c r="EG38" s="563"/>
      <c r="EH38" s="563"/>
      <c r="EI38" s="563"/>
      <c r="EJ38" s="563"/>
      <c r="EK38" s="563"/>
      <c r="EL38" s="563"/>
      <c r="EM38" s="563"/>
      <c r="EN38" s="563"/>
      <c r="EO38" s="563"/>
      <c r="EP38" s="563"/>
      <c r="EQ38" s="563"/>
      <c r="ER38" s="563"/>
      <c r="ES38" s="563"/>
      <c r="ET38" s="563"/>
      <c r="EU38" s="563"/>
      <c r="EV38" s="563"/>
      <c r="EW38" s="563"/>
      <c r="EX38" s="563"/>
      <c r="EY38" s="563"/>
      <c r="EZ38" s="563"/>
      <c r="FA38" s="563"/>
      <c r="FB38" s="563"/>
      <c r="FC38" s="563"/>
      <c r="FD38" s="563"/>
      <c r="FE38" s="563"/>
      <c r="FF38" s="563"/>
      <c r="FG38" s="563"/>
      <c r="FH38" s="563"/>
      <c r="FI38" s="563"/>
      <c r="FJ38" s="563"/>
      <c r="FK38" s="563"/>
      <c r="FL38" s="563"/>
      <c r="FM38" s="563"/>
      <c r="FN38" s="563"/>
      <c r="FO38" s="563"/>
      <c r="FP38" s="563"/>
      <c r="FQ38" s="563"/>
      <c r="FR38" s="563"/>
      <c r="FS38" s="563"/>
      <c r="FT38" s="563"/>
      <c r="FU38" s="563"/>
      <c r="FV38" s="563"/>
      <c r="FW38" s="563"/>
      <c r="FX38" s="563"/>
      <c r="FY38" s="563"/>
      <c r="FZ38" s="563"/>
      <c r="GA38" s="563"/>
      <c r="GB38" s="563"/>
      <c r="GC38" s="563"/>
      <c r="GD38" s="563"/>
      <c r="GE38" s="563"/>
      <c r="GF38" s="563"/>
      <c r="GG38" s="563"/>
      <c r="GH38" s="563"/>
      <c r="GI38" s="563"/>
      <c r="GJ38" s="563"/>
      <c r="GK38" s="563"/>
      <c r="GL38" s="563"/>
      <c r="GM38" s="563"/>
      <c r="GN38" s="563"/>
      <c r="GO38" s="563"/>
      <c r="GP38" s="563"/>
      <c r="GQ38" s="563"/>
      <c r="GR38" s="563"/>
      <c r="GS38" s="563"/>
      <c r="GT38" s="563"/>
      <c r="GU38" s="563"/>
      <c r="GV38" s="563"/>
      <c r="GW38" s="563"/>
      <c r="GX38" s="563"/>
      <c r="GY38" s="563"/>
      <c r="GZ38" s="563"/>
      <c r="HA38" s="563"/>
      <c r="HB38" s="563"/>
      <c r="HC38" s="563"/>
      <c r="HD38" s="563"/>
      <c r="HE38" s="563"/>
      <c r="HF38" s="563"/>
      <c r="HG38" s="563"/>
      <c r="HH38" s="563"/>
      <c r="HI38" s="563"/>
      <c r="HJ38" s="563"/>
      <c r="HK38" s="563"/>
      <c r="HL38" s="563"/>
      <c r="HM38" s="563"/>
      <c r="HN38" s="563"/>
      <c r="HO38" s="563"/>
      <c r="HP38" s="563"/>
      <c r="HQ38" s="563"/>
      <c r="HR38" s="563"/>
      <c r="HS38" s="563"/>
      <c r="HT38" s="563"/>
      <c r="HU38" s="563"/>
      <c r="HV38" s="563"/>
      <c r="HW38" s="563"/>
      <c r="HX38" s="563"/>
      <c r="HY38" s="563"/>
      <c r="HZ38" s="563"/>
      <c r="IA38" s="563"/>
      <c r="IB38" s="563"/>
      <c r="IC38" s="563"/>
      <c r="ID38" s="563"/>
      <c r="IE38" s="563"/>
      <c r="IF38" s="563"/>
      <c r="IG38" s="563"/>
      <c r="IH38" s="563"/>
      <c r="II38" s="563"/>
      <c r="IJ38" s="563"/>
      <c r="IK38" s="563"/>
      <c r="IL38" s="563"/>
      <c r="IM38" s="563"/>
      <c r="IN38" s="563"/>
      <c r="IO38" s="563"/>
      <c r="IP38" s="563"/>
      <c r="IQ38" s="563"/>
      <c r="IR38" s="563"/>
      <c r="IS38" s="563"/>
      <c r="IT38" s="563"/>
      <c r="IU38" s="563"/>
      <c r="IV38" s="563"/>
      <c r="IW38" s="563"/>
    </row>
    <row r="39" spans="2:257" ht="20.100000000000001" customHeight="1">
      <c r="B39" s="771">
        <v>1</v>
      </c>
      <c r="C39" s="168" t="str">
        <f>SUM($A$14:B39)&amp;".0"</f>
        <v>13.0</v>
      </c>
      <c r="D39" s="933" t="str">
        <f ca="1">VLOOKUP(C39,RESUMO!$B$16:$I$54,3,0)</f>
        <v>S P D A</v>
      </c>
      <c r="E39" s="772"/>
      <c r="F39" s="934">
        <f ca="1">IF($AC39=0,0,ROUND(100*E39/$AC39,2))</f>
        <v>0</v>
      </c>
      <c r="G39" s="772"/>
      <c r="H39" s="934">
        <f ca="1">IF($AC39=0,0,ROUND(100*G39/$AC39,2))</f>
        <v>0</v>
      </c>
      <c r="I39" s="772"/>
      <c r="J39" s="934">
        <f ca="1">IF($AC39=0,0,ROUND(100*I39/$AC39,2))</f>
        <v>0</v>
      </c>
      <c r="K39" s="772"/>
      <c r="L39" s="934">
        <f ca="1">IF($AC39=0,0,ROUND(100*K39/$AC39,2))</f>
        <v>0</v>
      </c>
      <c r="M39" s="772"/>
      <c r="N39" s="934">
        <f ca="1">IF($AC39=0,0,ROUND(100*M39/$AC39,2))</f>
        <v>0</v>
      </c>
      <c r="O39" s="772"/>
      <c r="P39" s="934">
        <f ca="1">IF($AC39=0,0,ROUND(100*O39/$AC39,2))</f>
        <v>0</v>
      </c>
      <c r="Q39" s="772"/>
      <c r="R39" s="934">
        <f ca="1">IF($AC39=0,0,ROUND(100*Q39/$AC39,2))</f>
        <v>0</v>
      </c>
      <c r="S39" s="772"/>
      <c r="T39" s="934">
        <f ca="1">IF($AC39=0,0,ROUND(100*S39/$AC39,2))</f>
        <v>0</v>
      </c>
      <c r="U39" s="772"/>
      <c r="V39" s="934">
        <f ca="1">IF($AC39=0,0,ROUND(100*U39/$AC39,2))</f>
        <v>0</v>
      </c>
      <c r="W39" s="772"/>
      <c r="X39" s="934">
        <f ca="1">IF($AC39=0,0,ROUND(100*W39/$AC39,2))</f>
        <v>0</v>
      </c>
      <c r="Y39" s="772"/>
      <c r="Z39" s="934">
        <f ca="1">IF($AC39=0,0,ROUND(100*Y39/$AC39,2))</f>
        <v>0</v>
      </c>
      <c r="AA39" s="772"/>
      <c r="AB39" s="934">
        <f ca="1">IF($AC39=0,0,ROUND(100*AA39/$AC39,2))</f>
        <v>0</v>
      </c>
      <c r="AC39" s="772">
        <f ca="1">VLOOKUP(C39,RESUMO!$B$16:$I$54,8,0)</f>
        <v>198814.01</v>
      </c>
      <c r="AD39" s="934" t="e">
        <f ca="1">AC39/$AC$57*100</f>
        <v>#N/A</v>
      </c>
      <c r="AE39" s="259"/>
      <c r="AF39" s="770">
        <f ca="1">F39+H39+J39+P39+L39+N39+R39+T39+V39+X39+Z39+AB39</f>
        <v>0</v>
      </c>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c r="CT39" s="259"/>
      <c r="CU39" s="259"/>
      <c r="CV39" s="259"/>
      <c r="CW39" s="259"/>
      <c r="CX39" s="259"/>
      <c r="CY39" s="259"/>
      <c r="CZ39" s="259"/>
      <c r="DA39" s="259"/>
      <c r="DB39" s="259"/>
      <c r="DC39" s="259"/>
      <c r="DD39" s="259"/>
      <c r="DE39" s="259"/>
      <c r="DF39" s="259"/>
      <c r="DG39" s="259"/>
      <c r="DH39" s="259"/>
      <c r="DI39" s="259"/>
      <c r="DJ39" s="259"/>
      <c r="DK39" s="259"/>
      <c r="DL39" s="259"/>
      <c r="DM39" s="259"/>
      <c r="DN39" s="259"/>
      <c r="DO39" s="259"/>
      <c r="DP39" s="259"/>
      <c r="DQ39" s="259"/>
      <c r="DR39" s="259"/>
      <c r="DS39" s="259"/>
      <c r="DT39" s="259"/>
      <c r="DU39" s="259"/>
      <c r="DV39" s="259"/>
      <c r="DW39" s="259"/>
      <c r="DX39" s="259"/>
      <c r="DY39" s="259"/>
      <c r="DZ39" s="259"/>
      <c r="EA39" s="259"/>
      <c r="EB39" s="259"/>
      <c r="EC39" s="259"/>
      <c r="ED39" s="259"/>
      <c r="EE39" s="259"/>
      <c r="EF39" s="259"/>
      <c r="EG39" s="259"/>
      <c r="EH39" s="259"/>
      <c r="EI39" s="259"/>
      <c r="EJ39" s="259"/>
      <c r="EK39" s="259"/>
      <c r="EL39" s="259"/>
      <c r="EM39" s="259"/>
      <c r="EN39" s="259"/>
      <c r="EO39" s="259"/>
      <c r="EP39" s="259"/>
      <c r="EQ39" s="259"/>
      <c r="ER39" s="259"/>
      <c r="ES39" s="259"/>
      <c r="ET39" s="259"/>
      <c r="EU39" s="259"/>
      <c r="EV39" s="259"/>
      <c r="EW39" s="259"/>
      <c r="EX39" s="259"/>
      <c r="EY39" s="259"/>
      <c r="EZ39" s="259"/>
      <c r="FA39" s="259"/>
      <c r="FB39" s="259"/>
      <c r="FC39" s="259"/>
      <c r="FD39" s="259"/>
      <c r="FE39" s="259"/>
      <c r="FF39" s="259"/>
      <c r="FG39" s="259"/>
      <c r="FH39" s="259"/>
      <c r="FI39" s="259"/>
      <c r="FJ39" s="259"/>
      <c r="FK39" s="259"/>
      <c r="FL39" s="259"/>
      <c r="FM39" s="259"/>
      <c r="FN39" s="259"/>
      <c r="FO39" s="259"/>
      <c r="FP39" s="259"/>
      <c r="FQ39" s="259"/>
      <c r="FR39" s="259"/>
      <c r="FS39" s="259"/>
      <c r="FT39" s="259"/>
      <c r="FU39" s="259"/>
      <c r="FV39" s="259"/>
      <c r="FW39" s="259"/>
      <c r="FX39" s="259"/>
      <c r="FY39" s="259"/>
      <c r="FZ39" s="259"/>
      <c r="GA39" s="259"/>
      <c r="GB39" s="259"/>
      <c r="GC39" s="259"/>
      <c r="GD39" s="259"/>
      <c r="GE39" s="259"/>
      <c r="GF39" s="259"/>
      <c r="GG39" s="259"/>
      <c r="GH39" s="259"/>
      <c r="GI39" s="259"/>
      <c r="GJ39" s="259"/>
      <c r="GK39" s="259"/>
      <c r="GL39" s="259"/>
      <c r="GM39" s="259"/>
      <c r="GN39" s="259"/>
      <c r="GO39" s="259"/>
      <c r="GP39" s="259"/>
      <c r="GQ39" s="259"/>
      <c r="GR39" s="259"/>
      <c r="GS39" s="259"/>
      <c r="GT39" s="259"/>
      <c r="GU39" s="259"/>
      <c r="GV39" s="259"/>
      <c r="GW39" s="259"/>
      <c r="GX39" s="259"/>
      <c r="GY39" s="259"/>
      <c r="GZ39" s="259"/>
      <c r="HA39" s="259"/>
      <c r="HB39" s="259"/>
      <c r="HC39" s="259"/>
      <c r="HD39" s="259"/>
      <c r="HE39" s="259"/>
      <c r="HF39" s="259"/>
      <c r="HG39" s="259"/>
      <c r="HH39" s="259"/>
      <c r="HI39" s="259"/>
      <c r="HJ39" s="259"/>
      <c r="HK39" s="259"/>
      <c r="HL39" s="259"/>
      <c r="HM39" s="259"/>
      <c r="HN39" s="259"/>
      <c r="HO39" s="259"/>
      <c r="HP39" s="259"/>
      <c r="HQ39" s="259"/>
      <c r="HR39" s="259"/>
      <c r="HS39" s="259"/>
      <c r="HT39" s="259"/>
      <c r="HU39" s="259"/>
      <c r="HV39" s="259"/>
      <c r="HW39" s="259"/>
      <c r="HX39" s="259"/>
      <c r="HY39" s="259"/>
      <c r="HZ39" s="259"/>
      <c r="IA39" s="259"/>
      <c r="IB39" s="259"/>
      <c r="IC39" s="259"/>
      <c r="ID39" s="259"/>
      <c r="IE39" s="259"/>
      <c r="IF39" s="259"/>
      <c r="IG39" s="259"/>
      <c r="IH39" s="259"/>
      <c r="II39" s="259"/>
      <c r="IJ39" s="259"/>
      <c r="IK39" s="259"/>
      <c r="IL39" s="259"/>
      <c r="IM39" s="259"/>
      <c r="IN39" s="259"/>
      <c r="IO39" s="259"/>
      <c r="IP39" s="259"/>
      <c r="IQ39" s="259"/>
      <c r="IR39" s="259"/>
      <c r="IS39" s="259"/>
      <c r="IT39" s="259"/>
      <c r="IU39" s="259"/>
      <c r="IV39" s="259"/>
      <c r="IW39" s="259"/>
    </row>
    <row r="40" spans="2:257" s="768" customFormat="1" ht="6" customHeight="1">
      <c r="C40" s="938"/>
      <c r="D40" s="935"/>
      <c r="E40" s="769"/>
      <c r="F40" s="769"/>
      <c r="G40" s="769"/>
      <c r="H40" s="769"/>
      <c r="I40" s="769"/>
      <c r="J40" s="769"/>
      <c r="K40" s="769"/>
      <c r="L40" s="769"/>
      <c r="M40" s="769"/>
      <c r="N40" s="769"/>
      <c r="O40" s="769"/>
      <c r="P40" s="769"/>
      <c r="Q40" s="769"/>
      <c r="R40" s="769"/>
      <c r="S40" s="769"/>
      <c r="T40" s="769"/>
      <c r="U40" s="769"/>
      <c r="V40" s="769"/>
      <c r="W40" s="769"/>
      <c r="X40" s="769"/>
      <c r="Y40" s="769"/>
      <c r="Z40" s="769"/>
      <c r="AA40" s="769"/>
      <c r="AB40" s="769"/>
      <c r="AC40" s="769"/>
      <c r="AD40" s="936"/>
      <c r="AE40" s="563"/>
      <c r="AF40" s="770"/>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c r="BP40" s="563"/>
      <c r="BQ40" s="563"/>
      <c r="BR40" s="563"/>
      <c r="BS40" s="563"/>
      <c r="BT40" s="563"/>
      <c r="BU40" s="563"/>
      <c r="BV40" s="563"/>
      <c r="BW40" s="563"/>
      <c r="BX40" s="563"/>
      <c r="BY40" s="563"/>
      <c r="BZ40" s="563"/>
      <c r="CA40" s="563"/>
      <c r="CB40" s="563"/>
      <c r="CC40" s="563"/>
      <c r="CD40" s="563"/>
      <c r="CE40" s="563"/>
      <c r="CF40" s="563"/>
      <c r="CG40" s="563"/>
      <c r="CH40" s="563"/>
      <c r="CI40" s="563"/>
      <c r="CJ40" s="563"/>
      <c r="CK40" s="563"/>
      <c r="CL40" s="563"/>
      <c r="CM40" s="563"/>
      <c r="CN40" s="563"/>
      <c r="CO40" s="563"/>
      <c r="CP40" s="563"/>
      <c r="CQ40" s="563"/>
      <c r="CR40" s="563"/>
      <c r="CS40" s="563"/>
      <c r="CT40" s="563"/>
      <c r="CU40" s="563"/>
      <c r="CV40" s="563"/>
      <c r="CW40" s="563"/>
      <c r="CX40" s="563"/>
      <c r="CY40" s="563"/>
      <c r="CZ40" s="563"/>
      <c r="DA40" s="563"/>
      <c r="DB40" s="563"/>
      <c r="DC40" s="563"/>
      <c r="DD40" s="563"/>
      <c r="DE40" s="563"/>
      <c r="DF40" s="563"/>
      <c r="DG40" s="563"/>
      <c r="DH40" s="563"/>
      <c r="DI40" s="563"/>
      <c r="DJ40" s="563"/>
      <c r="DK40" s="563"/>
      <c r="DL40" s="563"/>
      <c r="DM40" s="563"/>
      <c r="DN40" s="563"/>
      <c r="DO40" s="563"/>
      <c r="DP40" s="563"/>
      <c r="DQ40" s="563"/>
      <c r="DR40" s="563"/>
      <c r="DS40" s="563"/>
      <c r="DT40" s="563"/>
      <c r="DU40" s="563"/>
      <c r="DV40" s="563"/>
      <c r="DW40" s="563"/>
      <c r="DX40" s="563"/>
      <c r="DY40" s="563"/>
      <c r="DZ40" s="563"/>
      <c r="EA40" s="563"/>
      <c r="EB40" s="563"/>
      <c r="EC40" s="563"/>
      <c r="ED40" s="563"/>
      <c r="EE40" s="563"/>
      <c r="EF40" s="563"/>
      <c r="EG40" s="563"/>
      <c r="EH40" s="563"/>
      <c r="EI40" s="563"/>
      <c r="EJ40" s="563"/>
      <c r="EK40" s="563"/>
      <c r="EL40" s="563"/>
      <c r="EM40" s="563"/>
      <c r="EN40" s="563"/>
      <c r="EO40" s="563"/>
      <c r="EP40" s="563"/>
      <c r="EQ40" s="563"/>
      <c r="ER40" s="563"/>
      <c r="ES40" s="563"/>
      <c r="ET40" s="563"/>
      <c r="EU40" s="563"/>
      <c r="EV40" s="563"/>
      <c r="EW40" s="563"/>
      <c r="EX40" s="563"/>
      <c r="EY40" s="563"/>
      <c r="EZ40" s="563"/>
      <c r="FA40" s="563"/>
      <c r="FB40" s="563"/>
      <c r="FC40" s="563"/>
      <c r="FD40" s="563"/>
      <c r="FE40" s="563"/>
      <c r="FF40" s="563"/>
      <c r="FG40" s="563"/>
      <c r="FH40" s="563"/>
      <c r="FI40" s="563"/>
      <c r="FJ40" s="563"/>
      <c r="FK40" s="563"/>
      <c r="FL40" s="563"/>
      <c r="FM40" s="563"/>
      <c r="FN40" s="563"/>
      <c r="FO40" s="563"/>
      <c r="FP40" s="563"/>
      <c r="FQ40" s="563"/>
      <c r="FR40" s="563"/>
      <c r="FS40" s="563"/>
      <c r="FT40" s="563"/>
      <c r="FU40" s="563"/>
      <c r="FV40" s="563"/>
      <c r="FW40" s="563"/>
      <c r="FX40" s="563"/>
      <c r="FY40" s="563"/>
      <c r="FZ40" s="563"/>
      <c r="GA40" s="563"/>
      <c r="GB40" s="563"/>
      <c r="GC40" s="563"/>
      <c r="GD40" s="563"/>
      <c r="GE40" s="563"/>
      <c r="GF40" s="563"/>
      <c r="GG40" s="563"/>
      <c r="GH40" s="563"/>
      <c r="GI40" s="563"/>
      <c r="GJ40" s="563"/>
      <c r="GK40" s="563"/>
      <c r="GL40" s="563"/>
      <c r="GM40" s="563"/>
      <c r="GN40" s="563"/>
      <c r="GO40" s="563"/>
      <c r="GP40" s="563"/>
      <c r="GQ40" s="563"/>
      <c r="GR40" s="563"/>
      <c r="GS40" s="563"/>
      <c r="GT40" s="563"/>
      <c r="GU40" s="563"/>
      <c r="GV40" s="563"/>
      <c r="GW40" s="563"/>
      <c r="GX40" s="563"/>
      <c r="GY40" s="563"/>
      <c r="GZ40" s="563"/>
      <c r="HA40" s="563"/>
      <c r="HB40" s="563"/>
      <c r="HC40" s="563"/>
      <c r="HD40" s="563"/>
      <c r="HE40" s="563"/>
      <c r="HF40" s="563"/>
      <c r="HG40" s="563"/>
      <c r="HH40" s="563"/>
      <c r="HI40" s="563"/>
      <c r="HJ40" s="563"/>
      <c r="HK40" s="563"/>
      <c r="HL40" s="563"/>
      <c r="HM40" s="563"/>
      <c r="HN40" s="563"/>
      <c r="HO40" s="563"/>
      <c r="HP40" s="563"/>
      <c r="HQ40" s="563"/>
      <c r="HR40" s="563"/>
      <c r="HS40" s="563"/>
      <c r="HT40" s="563"/>
      <c r="HU40" s="563"/>
      <c r="HV40" s="563"/>
      <c r="HW40" s="563"/>
      <c r="HX40" s="563"/>
      <c r="HY40" s="563"/>
      <c r="HZ40" s="563"/>
      <c r="IA40" s="563"/>
      <c r="IB40" s="563"/>
      <c r="IC40" s="563"/>
      <c r="ID40" s="563"/>
      <c r="IE40" s="563"/>
      <c r="IF40" s="563"/>
      <c r="IG40" s="563"/>
      <c r="IH40" s="563"/>
      <c r="II40" s="563"/>
      <c r="IJ40" s="563"/>
      <c r="IK40" s="563"/>
      <c r="IL40" s="563"/>
      <c r="IM40" s="563"/>
      <c r="IN40" s="563"/>
      <c r="IO40" s="563"/>
      <c r="IP40" s="563"/>
      <c r="IQ40" s="563"/>
      <c r="IR40" s="563"/>
      <c r="IS40" s="563"/>
      <c r="IT40" s="563"/>
      <c r="IU40" s="563"/>
      <c r="IV40" s="563"/>
      <c r="IW40" s="563"/>
    </row>
    <row r="41" spans="2:257" ht="20.100000000000001" customHeight="1">
      <c r="B41" s="771">
        <v>1</v>
      </c>
      <c r="C41" s="168" t="str">
        <f>SUM($A$14:B41)&amp;".0"</f>
        <v>14.0</v>
      </c>
      <c r="D41" s="933" t="str">
        <f ca="1">VLOOKUP(C41,RESUMO!$B$16:$I$54,3,0)</f>
        <v>G L P</v>
      </c>
      <c r="E41" s="772"/>
      <c r="F41" s="934">
        <f ca="1">IF($AC41=0,0,ROUND(100*E41/$AC41,2))</f>
        <v>0</v>
      </c>
      <c r="G41" s="772"/>
      <c r="H41" s="934">
        <f ca="1">IF($AC41=0,0,ROUND(100*G41/$AC41,2))</f>
        <v>0</v>
      </c>
      <c r="I41" s="772"/>
      <c r="J41" s="934">
        <f ca="1">IF($AC41=0,0,ROUND(100*I41/$AC41,2))</f>
        <v>0</v>
      </c>
      <c r="K41" s="772"/>
      <c r="L41" s="934">
        <f ca="1">IF($AC41=0,0,ROUND(100*K41/$AC41,2))</f>
        <v>0</v>
      </c>
      <c r="M41" s="772"/>
      <c r="N41" s="934">
        <f ca="1">IF($AC41=0,0,ROUND(100*M41/$AC41,2))</f>
        <v>0</v>
      </c>
      <c r="O41" s="772"/>
      <c r="P41" s="934">
        <f ca="1">IF($AC41=0,0,ROUND(100*O41/$AC41,2))</f>
        <v>0</v>
      </c>
      <c r="Q41" s="772"/>
      <c r="R41" s="934">
        <f ca="1">IF($AC41=0,0,ROUND(100*Q41/$AC41,2))</f>
        <v>0</v>
      </c>
      <c r="S41" s="772"/>
      <c r="T41" s="934">
        <f ca="1">IF($AC41=0,0,ROUND(100*S41/$AC41,2))</f>
        <v>0</v>
      </c>
      <c r="U41" s="772"/>
      <c r="V41" s="934">
        <f ca="1">IF($AC41=0,0,ROUND(100*U41/$AC41,2))</f>
        <v>0</v>
      </c>
      <c r="W41" s="772"/>
      <c r="X41" s="934">
        <f ca="1">IF($AC41=0,0,ROUND(100*W41/$AC41,2))</f>
        <v>0</v>
      </c>
      <c r="Y41" s="772"/>
      <c r="Z41" s="934">
        <f ca="1">IF($AC41=0,0,ROUND(100*Y41/$AC41,2))</f>
        <v>0</v>
      </c>
      <c r="AA41" s="772"/>
      <c r="AB41" s="934">
        <f ca="1">IF($AC41=0,0,ROUND(100*AA41/$AC41,2))</f>
        <v>0</v>
      </c>
      <c r="AC41" s="772">
        <f ca="1">VLOOKUP(C41,RESUMO!$B$16:$I$54,8,0)</f>
        <v>1382.4099999999999</v>
      </c>
      <c r="AD41" s="934" t="e">
        <f ca="1">AC41/$AC$57*100</f>
        <v>#N/A</v>
      </c>
      <c r="AE41" s="259"/>
      <c r="AF41" s="770">
        <f ca="1">F41+H41+J41+P41+L41+N41+R41+T41+V41+X41+Z41+AB41</f>
        <v>0</v>
      </c>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c r="CI41" s="259"/>
      <c r="CJ41" s="259"/>
      <c r="CK41" s="259"/>
      <c r="CL41" s="259"/>
      <c r="CM41" s="259"/>
      <c r="CN41" s="259"/>
      <c r="CO41" s="259"/>
      <c r="CP41" s="259"/>
      <c r="CQ41" s="259"/>
      <c r="CR41" s="259"/>
      <c r="CS41" s="259"/>
      <c r="CT41" s="259"/>
      <c r="CU41" s="259"/>
      <c r="CV41" s="259"/>
      <c r="CW41" s="259"/>
      <c r="CX41" s="259"/>
      <c r="CY41" s="259"/>
      <c r="CZ41" s="259"/>
      <c r="DA41" s="259"/>
      <c r="DB41" s="259"/>
      <c r="DC41" s="259"/>
      <c r="DD41" s="259"/>
      <c r="DE41" s="259"/>
      <c r="DF41" s="259"/>
      <c r="DG41" s="259"/>
      <c r="DH41" s="259"/>
      <c r="DI41" s="259"/>
      <c r="DJ41" s="259"/>
      <c r="DK41" s="259"/>
      <c r="DL41" s="259"/>
      <c r="DM41" s="259"/>
      <c r="DN41" s="259"/>
      <c r="DO41" s="259"/>
      <c r="DP41" s="259"/>
      <c r="DQ41" s="259"/>
      <c r="DR41" s="259"/>
      <c r="DS41" s="259"/>
      <c r="DT41" s="259"/>
      <c r="DU41" s="259"/>
      <c r="DV41" s="259"/>
      <c r="DW41" s="259"/>
      <c r="DX41" s="259"/>
      <c r="DY41" s="259"/>
      <c r="DZ41" s="259"/>
      <c r="EA41" s="259"/>
      <c r="EB41" s="259"/>
      <c r="EC41" s="259"/>
      <c r="ED41" s="259"/>
      <c r="EE41" s="259"/>
      <c r="EF41" s="259"/>
      <c r="EG41" s="259"/>
      <c r="EH41" s="259"/>
      <c r="EI41" s="259"/>
      <c r="EJ41" s="259"/>
      <c r="EK41" s="259"/>
      <c r="EL41" s="259"/>
      <c r="EM41" s="259"/>
      <c r="EN41" s="259"/>
      <c r="EO41" s="259"/>
      <c r="EP41" s="259"/>
      <c r="EQ41" s="259"/>
      <c r="ER41" s="259"/>
      <c r="ES41" s="259"/>
      <c r="ET41" s="259"/>
      <c r="EU41" s="259"/>
      <c r="EV41" s="259"/>
      <c r="EW41" s="259"/>
      <c r="EX41" s="259"/>
      <c r="EY41" s="259"/>
      <c r="EZ41" s="259"/>
      <c r="FA41" s="259"/>
      <c r="FB41" s="259"/>
      <c r="FC41" s="259"/>
      <c r="FD41" s="259"/>
      <c r="FE41" s="259"/>
      <c r="FF41" s="259"/>
      <c r="FG41" s="259"/>
      <c r="FH41" s="259"/>
      <c r="FI41" s="259"/>
      <c r="FJ41" s="259"/>
      <c r="FK41" s="259"/>
      <c r="FL41" s="259"/>
      <c r="FM41" s="259"/>
      <c r="FN41" s="259"/>
      <c r="FO41" s="259"/>
      <c r="FP41" s="259"/>
      <c r="FQ41" s="259"/>
      <c r="FR41" s="259"/>
      <c r="FS41" s="259"/>
      <c r="FT41" s="259"/>
      <c r="FU41" s="259"/>
      <c r="FV41" s="259"/>
      <c r="FW41" s="259"/>
      <c r="FX41" s="259"/>
      <c r="FY41" s="259"/>
      <c r="FZ41" s="259"/>
      <c r="GA41" s="259"/>
      <c r="GB41" s="259"/>
      <c r="GC41" s="259"/>
      <c r="GD41" s="259"/>
      <c r="GE41" s="259"/>
      <c r="GF41" s="259"/>
      <c r="GG41" s="259"/>
      <c r="GH41" s="259"/>
      <c r="GI41" s="259"/>
      <c r="GJ41" s="259"/>
      <c r="GK41" s="259"/>
      <c r="GL41" s="259"/>
      <c r="GM41" s="259"/>
      <c r="GN41" s="259"/>
      <c r="GO41" s="259"/>
      <c r="GP41" s="259"/>
      <c r="GQ41" s="259"/>
      <c r="GR41" s="259"/>
      <c r="GS41" s="259"/>
      <c r="GT41" s="259"/>
      <c r="GU41" s="259"/>
      <c r="GV41" s="259"/>
      <c r="GW41" s="259"/>
      <c r="GX41" s="259"/>
      <c r="GY41" s="259"/>
      <c r="GZ41" s="259"/>
      <c r="HA41" s="259"/>
      <c r="HB41" s="259"/>
      <c r="HC41" s="259"/>
      <c r="HD41" s="259"/>
      <c r="HE41" s="259"/>
      <c r="HF41" s="259"/>
      <c r="HG41" s="259"/>
      <c r="HH41" s="259"/>
      <c r="HI41" s="259"/>
      <c r="HJ41" s="259"/>
      <c r="HK41" s="259"/>
      <c r="HL41" s="259"/>
      <c r="HM41" s="259"/>
      <c r="HN41" s="259"/>
      <c r="HO41" s="259"/>
      <c r="HP41" s="259"/>
      <c r="HQ41" s="259"/>
      <c r="HR41" s="259"/>
      <c r="HS41" s="259"/>
      <c r="HT41" s="259"/>
      <c r="HU41" s="259"/>
      <c r="HV41" s="259"/>
      <c r="HW41" s="259"/>
      <c r="HX41" s="259"/>
      <c r="HY41" s="259"/>
      <c r="HZ41" s="259"/>
      <c r="IA41" s="259"/>
      <c r="IB41" s="259"/>
      <c r="IC41" s="259"/>
      <c r="ID41" s="259"/>
      <c r="IE41" s="259"/>
      <c r="IF41" s="259"/>
      <c r="IG41" s="259"/>
      <c r="IH41" s="259"/>
      <c r="II41" s="259"/>
      <c r="IJ41" s="259"/>
      <c r="IK41" s="259"/>
      <c r="IL41" s="259"/>
      <c r="IM41" s="259"/>
      <c r="IN41" s="259"/>
      <c r="IO41" s="259"/>
      <c r="IP41" s="259"/>
      <c r="IQ41" s="259"/>
      <c r="IR41" s="259"/>
      <c r="IS41" s="259"/>
      <c r="IT41" s="259"/>
      <c r="IU41" s="259"/>
      <c r="IV41" s="259"/>
      <c r="IW41" s="259"/>
    </row>
    <row r="42" spans="2:257" s="768" customFormat="1" ht="6" customHeight="1">
      <c r="C42" s="938"/>
      <c r="D42" s="935"/>
      <c r="E42" s="769"/>
      <c r="F42" s="769"/>
      <c r="G42" s="769"/>
      <c r="H42" s="769"/>
      <c r="I42" s="769"/>
      <c r="J42" s="769"/>
      <c r="K42" s="769"/>
      <c r="L42" s="769"/>
      <c r="M42" s="769"/>
      <c r="N42" s="769"/>
      <c r="O42" s="769"/>
      <c r="P42" s="769"/>
      <c r="Q42" s="769"/>
      <c r="R42" s="769"/>
      <c r="S42" s="769"/>
      <c r="T42" s="769"/>
      <c r="U42" s="769"/>
      <c r="V42" s="769"/>
      <c r="W42" s="769"/>
      <c r="X42" s="769"/>
      <c r="Y42" s="769"/>
      <c r="Z42" s="769"/>
      <c r="AA42" s="769"/>
      <c r="AB42" s="769"/>
      <c r="AC42" s="769"/>
      <c r="AD42" s="936"/>
      <c r="AE42" s="563"/>
      <c r="AF42" s="770"/>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563"/>
      <c r="DI42" s="563"/>
      <c r="DJ42" s="563"/>
      <c r="DK42" s="563"/>
      <c r="DL42" s="563"/>
      <c r="DM42" s="563"/>
      <c r="DN42" s="563"/>
      <c r="DO42" s="563"/>
      <c r="DP42" s="563"/>
      <c r="DQ42" s="563"/>
      <c r="DR42" s="563"/>
      <c r="DS42" s="563"/>
      <c r="DT42" s="563"/>
      <c r="DU42" s="563"/>
      <c r="DV42" s="563"/>
      <c r="DW42" s="563"/>
      <c r="DX42" s="563"/>
      <c r="DY42" s="563"/>
      <c r="DZ42" s="563"/>
      <c r="EA42" s="563"/>
      <c r="EB42" s="563"/>
      <c r="EC42" s="563"/>
      <c r="ED42" s="563"/>
      <c r="EE42" s="563"/>
      <c r="EF42" s="563"/>
      <c r="EG42" s="563"/>
      <c r="EH42" s="563"/>
      <c r="EI42" s="563"/>
      <c r="EJ42" s="563"/>
      <c r="EK42" s="563"/>
      <c r="EL42" s="563"/>
      <c r="EM42" s="563"/>
      <c r="EN42" s="563"/>
      <c r="EO42" s="563"/>
      <c r="EP42" s="563"/>
      <c r="EQ42" s="563"/>
      <c r="ER42" s="563"/>
      <c r="ES42" s="563"/>
      <c r="ET42" s="563"/>
      <c r="EU42" s="563"/>
      <c r="EV42" s="563"/>
      <c r="EW42" s="563"/>
      <c r="EX42" s="563"/>
      <c r="EY42" s="563"/>
      <c r="EZ42" s="563"/>
      <c r="FA42" s="563"/>
      <c r="FB42" s="563"/>
      <c r="FC42" s="563"/>
      <c r="FD42" s="563"/>
      <c r="FE42" s="563"/>
      <c r="FF42" s="563"/>
      <c r="FG42" s="563"/>
      <c r="FH42" s="563"/>
      <c r="FI42" s="563"/>
      <c r="FJ42" s="563"/>
      <c r="FK42" s="563"/>
      <c r="FL42" s="563"/>
      <c r="FM42" s="563"/>
      <c r="FN42" s="563"/>
      <c r="FO42" s="563"/>
      <c r="FP42" s="563"/>
      <c r="FQ42" s="563"/>
      <c r="FR42" s="563"/>
      <c r="FS42" s="563"/>
      <c r="FT42" s="563"/>
      <c r="FU42" s="563"/>
      <c r="FV42" s="563"/>
      <c r="FW42" s="563"/>
      <c r="FX42" s="563"/>
      <c r="FY42" s="563"/>
      <c r="FZ42" s="563"/>
      <c r="GA42" s="563"/>
      <c r="GB42" s="563"/>
      <c r="GC42" s="563"/>
      <c r="GD42" s="563"/>
      <c r="GE42" s="563"/>
      <c r="GF42" s="563"/>
      <c r="GG42" s="563"/>
      <c r="GH42" s="563"/>
      <c r="GI42" s="563"/>
      <c r="GJ42" s="563"/>
      <c r="GK42" s="563"/>
      <c r="GL42" s="563"/>
      <c r="GM42" s="563"/>
      <c r="GN42" s="563"/>
      <c r="GO42" s="563"/>
      <c r="GP42" s="563"/>
      <c r="GQ42" s="563"/>
      <c r="GR42" s="563"/>
      <c r="GS42" s="563"/>
      <c r="GT42" s="563"/>
      <c r="GU42" s="563"/>
      <c r="GV42" s="563"/>
      <c r="GW42" s="563"/>
      <c r="GX42" s="563"/>
      <c r="GY42" s="563"/>
      <c r="GZ42" s="563"/>
      <c r="HA42" s="563"/>
      <c r="HB42" s="563"/>
      <c r="HC42" s="563"/>
      <c r="HD42" s="563"/>
      <c r="HE42" s="563"/>
      <c r="HF42" s="563"/>
      <c r="HG42" s="563"/>
      <c r="HH42" s="563"/>
      <c r="HI42" s="563"/>
      <c r="HJ42" s="563"/>
      <c r="HK42" s="563"/>
      <c r="HL42" s="563"/>
      <c r="HM42" s="563"/>
      <c r="HN42" s="563"/>
      <c r="HO42" s="563"/>
      <c r="HP42" s="563"/>
      <c r="HQ42" s="563"/>
      <c r="HR42" s="563"/>
      <c r="HS42" s="563"/>
      <c r="HT42" s="563"/>
      <c r="HU42" s="563"/>
      <c r="HV42" s="563"/>
      <c r="HW42" s="563"/>
      <c r="HX42" s="563"/>
      <c r="HY42" s="563"/>
      <c r="HZ42" s="563"/>
      <c r="IA42" s="563"/>
      <c r="IB42" s="563"/>
      <c r="IC42" s="563"/>
      <c r="ID42" s="563"/>
      <c r="IE42" s="563"/>
      <c r="IF42" s="563"/>
      <c r="IG42" s="563"/>
      <c r="IH42" s="563"/>
      <c r="II42" s="563"/>
      <c r="IJ42" s="563"/>
      <c r="IK42" s="563"/>
      <c r="IL42" s="563"/>
      <c r="IM42" s="563"/>
      <c r="IN42" s="563"/>
      <c r="IO42" s="563"/>
      <c r="IP42" s="563"/>
      <c r="IQ42" s="563"/>
      <c r="IR42" s="563"/>
      <c r="IS42" s="563"/>
      <c r="IT42" s="563"/>
      <c r="IU42" s="563"/>
      <c r="IV42" s="563"/>
      <c r="IW42" s="563"/>
    </row>
    <row r="43" spans="2:257" ht="20.100000000000001" customHeight="1">
      <c r="B43" s="771">
        <v>1</v>
      </c>
      <c r="C43" s="168" t="str">
        <f>SUM($A$14:B43)&amp;".0"</f>
        <v>15.0</v>
      </c>
      <c r="D43" s="933" t="str">
        <f ca="1">VLOOKUP(C43,RESUMO!$B$16:$I$54,3,0)</f>
        <v>P R E V E N Ç Ã O   E   C O M B A T E   A   I N C Ê N D I O</v>
      </c>
      <c r="E43" s="772"/>
      <c r="F43" s="934">
        <f ca="1">IF($AC43=0,0,ROUND(100*E43/$AC43,2))</f>
        <v>0</v>
      </c>
      <c r="G43" s="772"/>
      <c r="H43" s="934">
        <f ca="1">IF($AC43=0,0,ROUND(100*G43/$AC43,2))</f>
        <v>0</v>
      </c>
      <c r="I43" s="772"/>
      <c r="J43" s="934">
        <f ca="1">IF($AC43=0,0,ROUND(100*I43/$AC43,2))</f>
        <v>0</v>
      </c>
      <c r="K43" s="772"/>
      <c r="L43" s="934">
        <f ca="1">IF($AC43=0,0,ROUND(100*K43/$AC43,2))</f>
        <v>0</v>
      </c>
      <c r="M43" s="772"/>
      <c r="N43" s="934">
        <f ca="1">IF($AC43=0,0,ROUND(100*M43/$AC43,2))</f>
        <v>0</v>
      </c>
      <c r="O43" s="772"/>
      <c r="P43" s="934">
        <f ca="1">IF($AC43=0,0,ROUND(100*O43/$AC43,2))</f>
        <v>0</v>
      </c>
      <c r="Q43" s="772"/>
      <c r="R43" s="934">
        <f ca="1">IF($AC43=0,0,ROUND(100*Q43/$AC43,2))</f>
        <v>0</v>
      </c>
      <c r="S43" s="772"/>
      <c r="T43" s="934">
        <f ca="1">IF($AC43=0,0,ROUND(100*S43/$AC43,2))</f>
        <v>0</v>
      </c>
      <c r="U43" s="772"/>
      <c r="V43" s="934">
        <f ca="1">IF($AC43=0,0,ROUND(100*U43/$AC43,2))</f>
        <v>0</v>
      </c>
      <c r="W43" s="772"/>
      <c r="X43" s="934">
        <f ca="1">IF($AC43=0,0,ROUND(100*W43/$AC43,2))</f>
        <v>0</v>
      </c>
      <c r="Y43" s="772"/>
      <c r="Z43" s="934">
        <f ca="1">IF($AC43=0,0,ROUND(100*Y43/$AC43,2))</f>
        <v>0</v>
      </c>
      <c r="AA43" s="772"/>
      <c r="AB43" s="934">
        <f ca="1">IF($AC43=0,0,ROUND(100*AA43/$AC43,2))</f>
        <v>0</v>
      </c>
      <c r="AC43" s="772">
        <f ca="1">VLOOKUP(C43,RESUMO!$B$16:$I$54,8,0)</f>
        <v>48437.880000000012</v>
      </c>
      <c r="AD43" s="934" t="e">
        <f ca="1">AC43/$AC$57*100</f>
        <v>#N/A</v>
      </c>
      <c r="AE43" s="259"/>
      <c r="AF43" s="770">
        <f ca="1">F43+H43+J43+P43+L43+N43+R43+T43+V43+X43+Z43+AB43</f>
        <v>0</v>
      </c>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c r="DD43" s="259"/>
      <c r="DE43" s="259"/>
      <c r="DF43" s="259"/>
      <c r="DG43" s="259"/>
      <c r="DH43" s="259"/>
      <c r="DI43" s="259"/>
      <c r="DJ43" s="259"/>
      <c r="DK43" s="259"/>
      <c r="DL43" s="259"/>
      <c r="DM43" s="259"/>
      <c r="DN43" s="259"/>
      <c r="DO43" s="259"/>
      <c r="DP43" s="259"/>
      <c r="DQ43" s="259"/>
      <c r="DR43" s="259"/>
      <c r="DS43" s="259"/>
      <c r="DT43" s="259"/>
      <c r="DU43" s="259"/>
      <c r="DV43" s="259"/>
      <c r="DW43" s="259"/>
      <c r="DX43" s="259"/>
      <c r="DY43" s="259"/>
      <c r="DZ43" s="259"/>
      <c r="EA43" s="259"/>
      <c r="EB43" s="259"/>
      <c r="EC43" s="259"/>
      <c r="ED43" s="259"/>
      <c r="EE43" s="259"/>
      <c r="EF43" s="259"/>
      <c r="EG43" s="259"/>
      <c r="EH43" s="259"/>
      <c r="EI43" s="259"/>
      <c r="EJ43" s="259"/>
      <c r="EK43" s="259"/>
      <c r="EL43" s="259"/>
      <c r="EM43" s="259"/>
      <c r="EN43" s="259"/>
      <c r="EO43" s="259"/>
      <c r="EP43" s="259"/>
      <c r="EQ43" s="259"/>
      <c r="ER43" s="259"/>
      <c r="ES43" s="259"/>
      <c r="ET43" s="259"/>
      <c r="EU43" s="259"/>
      <c r="EV43" s="259"/>
      <c r="EW43" s="259"/>
      <c r="EX43" s="259"/>
      <c r="EY43" s="259"/>
      <c r="EZ43" s="259"/>
      <c r="FA43" s="259"/>
      <c r="FB43" s="259"/>
      <c r="FC43" s="259"/>
      <c r="FD43" s="259"/>
      <c r="FE43" s="259"/>
      <c r="FF43" s="259"/>
      <c r="FG43" s="259"/>
      <c r="FH43" s="259"/>
      <c r="FI43" s="259"/>
      <c r="FJ43" s="259"/>
      <c r="FK43" s="259"/>
      <c r="FL43" s="259"/>
      <c r="FM43" s="259"/>
      <c r="FN43" s="259"/>
      <c r="FO43" s="259"/>
      <c r="FP43" s="259"/>
      <c r="FQ43" s="259"/>
      <c r="FR43" s="259"/>
      <c r="FS43" s="259"/>
      <c r="FT43" s="259"/>
      <c r="FU43" s="259"/>
      <c r="FV43" s="259"/>
      <c r="FW43" s="259"/>
      <c r="FX43" s="259"/>
      <c r="FY43" s="259"/>
      <c r="FZ43" s="259"/>
      <c r="GA43" s="259"/>
      <c r="GB43" s="259"/>
      <c r="GC43" s="259"/>
      <c r="GD43" s="259"/>
      <c r="GE43" s="259"/>
      <c r="GF43" s="259"/>
      <c r="GG43" s="259"/>
      <c r="GH43" s="259"/>
      <c r="GI43" s="259"/>
      <c r="GJ43" s="259"/>
      <c r="GK43" s="259"/>
      <c r="GL43" s="259"/>
      <c r="GM43" s="259"/>
      <c r="GN43" s="259"/>
      <c r="GO43" s="259"/>
      <c r="GP43" s="259"/>
      <c r="GQ43" s="259"/>
      <c r="GR43" s="259"/>
      <c r="GS43" s="259"/>
      <c r="GT43" s="259"/>
      <c r="GU43" s="259"/>
      <c r="GV43" s="259"/>
      <c r="GW43" s="259"/>
      <c r="GX43" s="259"/>
      <c r="GY43" s="259"/>
      <c r="GZ43" s="259"/>
      <c r="HA43" s="259"/>
      <c r="HB43" s="259"/>
      <c r="HC43" s="259"/>
      <c r="HD43" s="259"/>
      <c r="HE43" s="259"/>
      <c r="HF43" s="259"/>
      <c r="HG43" s="259"/>
      <c r="HH43" s="259"/>
      <c r="HI43" s="259"/>
      <c r="HJ43" s="259"/>
      <c r="HK43" s="259"/>
      <c r="HL43" s="259"/>
      <c r="HM43" s="259"/>
      <c r="HN43" s="259"/>
      <c r="HO43" s="259"/>
      <c r="HP43" s="259"/>
      <c r="HQ43" s="259"/>
      <c r="HR43" s="259"/>
      <c r="HS43" s="259"/>
      <c r="HT43" s="259"/>
      <c r="HU43" s="259"/>
      <c r="HV43" s="259"/>
      <c r="HW43" s="259"/>
      <c r="HX43" s="259"/>
      <c r="HY43" s="259"/>
      <c r="HZ43" s="259"/>
      <c r="IA43" s="259"/>
      <c r="IB43" s="259"/>
      <c r="IC43" s="259"/>
      <c r="ID43" s="259"/>
      <c r="IE43" s="259"/>
      <c r="IF43" s="259"/>
      <c r="IG43" s="259"/>
      <c r="IH43" s="259"/>
      <c r="II43" s="259"/>
      <c r="IJ43" s="259"/>
      <c r="IK43" s="259"/>
      <c r="IL43" s="259"/>
      <c r="IM43" s="259"/>
      <c r="IN43" s="259"/>
      <c r="IO43" s="259"/>
      <c r="IP43" s="259"/>
      <c r="IQ43" s="259"/>
      <c r="IR43" s="259"/>
      <c r="IS43" s="259"/>
      <c r="IT43" s="259"/>
      <c r="IU43" s="259"/>
      <c r="IV43" s="259"/>
      <c r="IW43" s="259"/>
    </row>
    <row r="44" spans="2:257" s="768" customFormat="1" ht="6" customHeight="1">
      <c r="C44" s="938"/>
      <c r="D44" s="935"/>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936"/>
      <c r="AE44" s="563"/>
      <c r="AF44" s="770"/>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c r="BP44" s="563"/>
      <c r="BQ44" s="563"/>
      <c r="BR44" s="563"/>
      <c r="BS44" s="563"/>
      <c r="BT44" s="563"/>
      <c r="BU44" s="563"/>
      <c r="BV44" s="563"/>
      <c r="BW44" s="563"/>
      <c r="BX44" s="563"/>
      <c r="BY44" s="563"/>
      <c r="BZ44" s="563"/>
      <c r="CA44" s="563"/>
      <c r="CB44" s="563"/>
      <c r="CC44" s="563"/>
      <c r="CD44" s="563"/>
      <c r="CE44" s="563"/>
      <c r="CF44" s="563"/>
      <c r="CG44" s="563"/>
      <c r="CH44" s="563"/>
      <c r="CI44" s="563"/>
      <c r="CJ44" s="563"/>
      <c r="CK44" s="563"/>
      <c r="CL44" s="563"/>
      <c r="CM44" s="563"/>
      <c r="CN44" s="563"/>
      <c r="CO44" s="563"/>
      <c r="CP44" s="563"/>
      <c r="CQ44" s="563"/>
      <c r="CR44" s="563"/>
      <c r="CS44" s="563"/>
      <c r="CT44" s="563"/>
      <c r="CU44" s="563"/>
      <c r="CV44" s="563"/>
      <c r="CW44" s="563"/>
      <c r="CX44" s="563"/>
      <c r="CY44" s="563"/>
      <c r="CZ44" s="563"/>
      <c r="DA44" s="563"/>
      <c r="DB44" s="563"/>
      <c r="DC44" s="563"/>
      <c r="DD44" s="563"/>
      <c r="DE44" s="563"/>
      <c r="DF44" s="563"/>
      <c r="DG44" s="563"/>
      <c r="DH44" s="563"/>
      <c r="DI44" s="563"/>
      <c r="DJ44" s="563"/>
      <c r="DK44" s="563"/>
      <c r="DL44" s="563"/>
      <c r="DM44" s="563"/>
      <c r="DN44" s="563"/>
      <c r="DO44" s="563"/>
      <c r="DP44" s="563"/>
      <c r="DQ44" s="563"/>
      <c r="DR44" s="563"/>
      <c r="DS44" s="563"/>
      <c r="DT44" s="563"/>
      <c r="DU44" s="563"/>
      <c r="DV44" s="563"/>
      <c r="DW44" s="563"/>
      <c r="DX44" s="563"/>
      <c r="DY44" s="563"/>
      <c r="DZ44" s="563"/>
      <c r="EA44" s="563"/>
      <c r="EB44" s="563"/>
      <c r="EC44" s="563"/>
      <c r="ED44" s="563"/>
      <c r="EE44" s="563"/>
      <c r="EF44" s="563"/>
      <c r="EG44" s="563"/>
      <c r="EH44" s="563"/>
      <c r="EI44" s="563"/>
      <c r="EJ44" s="563"/>
      <c r="EK44" s="563"/>
      <c r="EL44" s="563"/>
      <c r="EM44" s="563"/>
      <c r="EN44" s="563"/>
      <c r="EO44" s="563"/>
      <c r="EP44" s="563"/>
      <c r="EQ44" s="563"/>
      <c r="ER44" s="563"/>
      <c r="ES44" s="563"/>
      <c r="ET44" s="563"/>
      <c r="EU44" s="563"/>
      <c r="EV44" s="563"/>
      <c r="EW44" s="563"/>
      <c r="EX44" s="563"/>
      <c r="EY44" s="563"/>
      <c r="EZ44" s="563"/>
      <c r="FA44" s="563"/>
      <c r="FB44" s="563"/>
      <c r="FC44" s="563"/>
      <c r="FD44" s="563"/>
      <c r="FE44" s="563"/>
      <c r="FF44" s="563"/>
      <c r="FG44" s="563"/>
      <c r="FH44" s="563"/>
      <c r="FI44" s="563"/>
      <c r="FJ44" s="563"/>
      <c r="FK44" s="563"/>
      <c r="FL44" s="563"/>
      <c r="FM44" s="563"/>
      <c r="FN44" s="563"/>
      <c r="FO44" s="563"/>
      <c r="FP44" s="563"/>
      <c r="FQ44" s="563"/>
      <c r="FR44" s="563"/>
      <c r="FS44" s="563"/>
      <c r="FT44" s="563"/>
      <c r="FU44" s="563"/>
      <c r="FV44" s="563"/>
      <c r="FW44" s="563"/>
      <c r="FX44" s="563"/>
      <c r="FY44" s="563"/>
      <c r="FZ44" s="563"/>
      <c r="GA44" s="563"/>
      <c r="GB44" s="563"/>
      <c r="GC44" s="563"/>
      <c r="GD44" s="563"/>
      <c r="GE44" s="563"/>
      <c r="GF44" s="563"/>
      <c r="GG44" s="563"/>
      <c r="GH44" s="563"/>
      <c r="GI44" s="563"/>
      <c r="GJ44" s="563"/>
      <c r="GK44" s="563"/>
      <c r="GL44" s="563"/>
      <c r="GM44" s="563"/>
      <c r="GN44" s="563"/>
      <c r="GO44" s="563"/>
      <c r="GP44" s="563"/>
      <c r="GQ44" s="563"/>
      <c r="GR44" s="563"/>
      <c r="GS44" s="563"/>
      <c r="GT44" s="563"/>
      <c r="GU44" s="563"/>
      <c r="GV44" s="563"/>
      <c r="GW44" s="563"/>
      <c r="GX44" s="563"/>
      <c r="GY44" s="563"/>
      <c r="GZ44" s="563"/>
      <c r="HA44" s="563"/>
      <c r="HB44" s="563"/>
      <c r="HC44" s="563"/>
      <c r="HD44" s="563"/>
      <c r="HE44" s="563"/>
      <c r="HF44" s="563"/>
      <c r="HG44" s="563"/>
      <c r="HH44" s="563"/>
      <c r="HI44" s="563"/>
      <c r="HJ44" s="563"/>
      <c r="HK44" s="563"/>
      <c r="HL44" s="563"/>
      <c r="HM44" s="563"/>
      <c r="HN44" s="563"/>
      <c r="HO44" s="563"/>
      <c r="HP44" s="563"/>
      <c r="HQ44" s="563"/>
      <c r="HR44" s="563"/>
      <c r="HS44" s="563"/>
      <c r="HT44" s="563"/>
      <c r="HU44" s="563"/>
      <c r="HV44" s="563"/>
      <c r="HW44" s="563"/>
      <c r="HX44" s="563"/>
      <c r="HY44" s="563"/>
      <c r="HZ44" s="563"/>
      <c r="IA44" s="563"/>
      <c r="IB44" s="563"/>
      <c r="IC44" s="563"/>
      <c r="ID44" s="563"/>
      <c r="IE44" s="563"/>
      <c r="IF44" s="563"/>
      <c r="IG44" s="563"/>
      <c r="IH44" s="563"/>
      <c r="II44" s="563"/>
      <c r="IJ44" s="563"/>
      <c r="IK44" s="563"/>
      <c r="IL44" s="563"/>
      <c r="IM44" s="563"/>
      <c r="IN44" s="563"/>
      <c r="IO44" s="563"/>
      <c r="IP44" s="563"/>
      <c r="IQ44" s="563"/>
      <c r="IR44" s="563"/>
      <c r="IS44" s="563"/>
      <c r="IT44" s="563"/>
      <c r="IU44" s="563"/>
      <c r="IV44" s="563"/>
      <c r="IW44" s="563"/>
    </row>
    <row r="45" spans="2:257" ht="20.100000000000001" customHeight="1">
      <c r="B45" s="771">
        <v>1</v>
      </c>
      <c r="C45" s="168" t="str">
        <f>SUM($A$14:B45)&amp;".0"</f>
        <v>16.0</v>
      </c>
      <c r="D45" s="933" t="str">
        <f ca="1">VLOOKUP(C45,RESUMO!$B$16:$I$54,3,0)</f>
        <v>P I N T U R A S</v>
      </c>
      <c r="E45" s="772"/>
      <c r="F45" s="934">
        <f ca="1">IF($AC45=0,0,ROUND(100*E45/$AC45,2))</f>
        <v>0</v>
      </c>
      <c r="G45" s="772"/>
      <c r="H45" s="934">
        <f ca="1">IF($AC45=0,0,ROUND(100*G45/$AC45,2))</f>
        <v>0</v>
      </c>
      <c r="I45" s="772"/>
      <c r="J45" s="934">
        <f ca="1">IF($AC45=0,0,ROUND(100*I45/$AC45,2))</f>
        <v>0</v>
      </c>
      <c r="K45" s="772"/>
      <c r="L45" s="934">
        <f ca="1">IF($AC45=0,0,ROUND(100*K45/$AC45,2))</f>
        <v>0</v>
      </c>
      <c r="M45" s="772"/>
      <c r="N45" s="934">
        <f ca="1">IF($AC45=0,0,ROUND(100*M45/$AC45,2))</f>
        <v>0</v>
      </c>
      <c r="O45" s="772"/>
      <c r="P45" s="934">
        <f ca="1">IF($AC45=0,0,ROUND(100*O45/$AC45,2))</f>
        <v>0</v>
      </c>
      <c r="Q45" s="772"/>
      <c r="R45" s="934">
        <f ca="1">IF($AC45=0,0,ROUND(100*Q45/$AC45,2))</f>
        <v>0</v>
      </c>
      <c r="S45" s="772"/>
      <c r="T45" s="934">
        <f ca="1">IF($AC45=0,0,ROUND(100*S45/$AC45,2))</f>
        <v>0</v>
      </c>
      <c r="U45" s="772"/>
      <c r="V45" s="934">
        <f ca="1">IF($AC45=0,0,ROUND(100*U45/$AC45,2))</f>
        <v>0</v>
      </c>
      <c r="W45" s="772"/>
      <c r="X45" s="934">
        <f ca="1">IF($AC45=0,0,ROUND(100*W45/$AC45,2))</f>
        <v>0</v>
      </c>
      <c r="Y45" s="772"/>
      <c r="Z45" s="934">
        <f ca="1">IF($AC45=0,0,ROUND(100*Y45/$AC45,2))</f>
        <v>0</v>
      </c>
      <c r="AA45" s="772"/>
      <c r="AB45" s="934">
        <f ca="1">IF($AC45=0,0,ROUND(100*AA45/$AC45,2))</f>
        <v>0</v>
      </c>
      <c r="AC45" s="772">
        <f ca="1">VLOOKUP(C45,RESUMO!$B$16:$I$54,8,0)</f>
        <v>158950.32</v>
      </c>
      <c r="AD45" s="934" t="e">
        <f ca="1">AC45/$AC$57*100</f>
        <v>#N/A</v>
      </c>
      <c r="AE45" s="259"/>
      <c r="AF45" s="770">
        <f ca="1">F45+H45+J45+P45+L45+N45+R45+T45+V45+X45+Z45+AB45</f>
        <v>0</v>
      </c>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c r="CG45" s="259"/>
      <c r="CH45" s="259"/>
      <c r="CI45" s="259"/>
      <c r="CJ45" s="259"/>
      <c r="CK45" s="259"/>
      <c r="CL45" s="259"/>
      <c r="CM45" s="259"/>
      <c r="CN45" s="259"/>
      <c r="CO45" s="259"/>
      <c r="CP45" s="259"/>
      <c r="CQ45" s="259"/>
      <c r="CR45" s="259"/>
      <c r="CS45" s="259"/>
      <c r="CT45" s="259"/>
      <c r="CU45" s="259"/>
      <c r="CV45" s="259"/>
      <c r="CW45" s="259"/>
      <c r="CX45" s="259"/>
      <c r="CY45" s="259"/>
      <c r="CZ45" s="259"/>
      <c r="DA45" s="259"/>
      <c r="DB45" s="259"/>
      <c r="DC45" s="259"/>
      <c r="DD45" s="259"/>
      <c r="DE45" s="259"/>
      <c r="DF45" s="259"/>
      <c r="DG45" s="259"/>
      <c r="DH45" s="259"/>
      <c r="DI45" s="259"/>
      <c r="DJ45" s="259"/>
      <c r="DK45" s="259"/>
      <c r="DL45" s="259"/>
      <c r="DM45" s="259"/>
      <c r="DN45" s="259"/>
      <c r="DO45" s="259"/>
      <c r="DP45" s="259"/>
      <c r="DQ45" s="259"/>
      <c r="DR45" s="259"/>
      <c r="DS45" s="259"/>
      <c r="DT45" s="259"/>
      <c r="DU45" s="259"/>
      <c r="DV45" s="259"/>
      <c r="DW45" s="259"/>
      <c r="DX45" s="259"/>
      <c r="DY45" s="259"/>
      <c r="DZ45" s="259"/>
      <c r="EA45" s="259"/>
      <c r="EB45" s="259"/>
      <c r="EC45" s="259"/>
      <c r="ED45" s="259"/>
      <c r="EE45" s="259"/>
      <c r="EF45" s="259"/>
      <c r="EG45" s="259"/>
      <c r="EH45" s="259"/>
      <c r="EI45" s="259"/>
      <c r="EJ45" s="259"/>
      <c r="EK45" s="259"/>
      <c r="EL45" s="259"/>
      <c r="EM45" s="259"/>
      <c r="EN45" s="259"/>
      <c r="EO45" s="259"/>
      <c r="EP45" s="259"/>
      <c r="EQ45" s="259"/>
      <c r="ER45" s="259"/>
      <c r="ES45" s="259"/>
      <c r="ET45" s="259"/>
      <c r="EU45" s="259"/>
      <c r="EV45" s="259"/>
      <c r="EW45" s="259"/>
      <c r="EX45" s="259"/>
      <c r="EY45" s="259"/>
      <c r="EZ45" s="259"/>
      <c r="FA45" s="259"/>
      <c r="FB45" s="259"/>
      <c r="FC45" s="259"/>
      <c r="FD45" s="259"/>
      <c r="FE45" s="259"/>
      <c r="FF45" s="259"/>
      <c r="FG45" s="259"/>
      <c r="FH45" s="259"/>
      <c r="FI45" s="259"/>
      <c r="FJ45" s="259"/>
      <c r="FK45" s="259"/>
      <c r="FL45" s="259"/>
      <c r="FM45" s="259"/>
      <c r="FN45" s="259"/>
      <c r="FO45" s="259"/>
      <c r="FP45" s="259"/>
      <c r="FQ45" s="259"/>
      <c r="FR45" s="259"/>
      <c r="FS45" s="259"/>
      <c r="FT45" s="259"/>
      <c r="FU45" s="259"/>
      <c r="FV45" s="259"/>
      <c r="FW45" s="259"/>
      <c r="FX45" s="259"/>
      <c r="FY45" s="259"/>
      <c r="FZ45" s="259"/>
      <c r="GA45" s="259"/>
      <c r="GB45" s="259"/>
      <c r="GC45" s="259"/>
      <c r="GD45" s="259"/>
      <c r="GE45" s="259"/>
      <c r="GF45" s="259"/>
      <c r="GG45" s="259"/>
      <c r="GH45" s="259"/>
      <c r="GI45" s="259"/>
      <c r="GJ45" s="259"/>
      <c r="GK45" s="259"/>
      <c r="GL45" s="259"/>
      <c r="GM45" s="259"/>
      <c r="GN45" s="259"/>
      <c r="GO45" s="259"/>
      <c r="GP45" s="259"/>
      <c r="GQ45" s="259"/>
      <c r="GR45" s="259"/>
      <c r="GS45" s="259"/>
      <c r="GT45" s="259"/>
      <c r="GU45" s="259"/>
      <c r="GV45" s="259"/>
      <c r="GW45" s="259"/>
      <c r="GX45" s="259"/>
      <c r="GY45" s="259"/>
      <c r="GZ45" s="259"/>
      <c r="HA45" s="259"/>
      <c r="HB45" s="259"/>
      <c r="HC45" s="259"/>
      <c r="HD45" s="259"/>
      <c r="HE45" s="259"/>
      <c r="HF45" s="259"/>
      <c r="HG45" s="259"/>
      <c r="HH45" s="259"/>
      <c r="HI45" s="259"/>
      <c r="HJ45" s="259"/>
      <c r="HK45" s="259"/>
      <c r="HL45" s="259"/>
      <c r="HM45" s="259"/>
      <c r="HN45" s="259"/>
      <c r="HO45" s="259"/>
      <c r="HP45" s="259"/>
      <c r="HQ45" s="259"/>
      <c r="HR45" s="259"/>
      <c r="HS45" s="259"/>
      <c r="HT45" s="259"/>
      <c r="HU45" s="259"/>
      <c r="HV45" s="259"/>
      <c r="HW45" s="259"/>
      <c r="HX45" s="259"/>
      <c r="HY45" s="259"/>
      <c r="HZ45" s="259"/>
      <c r="IA45" s="259"/>
      <c r="IB45" s="259"/>
      <c r="IC45" s="259"/>
      <c r="ID45" s="259"/>
      <c r="IE45" s="259"/>
      <c r="IF45" s="259"/>
      <c r="IG45" s="259"/>
      <c r="IH45" s="259"/>
      <c r="II45" s="259"/>
      <c r="IJ45" s="259"/>
      <c r="IK45" s="259"/>
      <c r="IL45" s="259"/>
      <c r="IM45" s="259"/>
      <c r="IN45" s="259"/>
      <c r="IO45" s="259"/>
      <c r="IP45" s="259"/>
      <c r="IQ45" s="259"/>
      <c r="IR45" s="259"/>
      <c r="IS45" s="259"/>
      <c r="IT45" s="259"/>
      <c r="IU45" s="259"/>
      <c r="IV45" s="259"/>
      <c r="IW45" s="259"/>
    </row>
    <row r="46" spans="2:257" s="768" customFormat="1" ht="6" customHeight="1">
      <c r="C46" s="938"/>
      <c r="D46" s="935"/>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936"/>
      <c r="AE46" s="563"/>
      <c r="AF46" s="770"/>
      <c r="AG46" s="563"/>
      <c r="AH46" s="563"/>
      <c r="AI46" s="563"/>
      <c r="AJ46" s="563"/>
      <c r="AK46" s="563"/>
      <c r="AL46" s="563"/>
      <c r="AM46" s="563"/>
      <c r="AN46" s="563"/>
      <c r="AO46" s="563"/>
      <c r="AP46" s="563"/>
      <c r="AQ46" s="563"/>
      <c r="AR46" s="563"/>
      <c r="AS46" s="563"/>
      <c r="AT46" s="563"/>
      <c r="AU46" s="563"/>
      <c r="AV46" s="563"/>
      <c r="AW46" s="563"/>
      <c r="AX46" s="563"/>
      <c r="AY46" s="563"/>
      <c r="AZ46" s="563"/>
      <c r="BA46" s="563"/>
      <c r="BB46" s="563"/>
      <c r="BC46" s="563"/>
      <c r="BD46" s="563"/>
      <c r="BE46" s="563"/>
      <c r="BF46" s="563"/>
      <c r="BG46" s="563"/>
      <c r="BH46" s="563"/>
      <c r="BI46" s="563"/>
      <c r="BJ46" s="563"/>
      <c r="BK46" s="563"/>
      <c r="BL46" s="563"/>
      <c r="BM46" s="563"/>
      <c r="BN46" s="563"/>
      <c r="BO46" s="563"/>
      <c r="BP46" s="563"/>
      <c r="BQ46" s="563"/>
      <c r="BR46" s="563"/>
      <c r="BS46" s="563"/>
      <c r="BT46" s="563"/>
      <c r="BU46" s="563"/>
      <c r="BV46" s="563"/>
      <c r="BW46" s="563"/>
      <c r="BX46" s="563"/>
      <c r="BY46" s="563"/>
      <c r="BZ46" s="563"/>
      <c r="CA46" s="563"/>
      <c r="CB46" s="563"/>
      <c r="CC46" s="563"/>
      <c r="CD46" s="563"/>
      <c r="CE46" s="563"/>
      <c r="CF46" s="563"/>
      <c r="CG46" s="563"/>
      <c r="CH46" s="563"/>
      <c r="CI46" s="563"/>
      <c r="CJ46" s="563"/>
      <c r="CK46" s="563"/>
      <c r="CL46" s="563"/>
      <c r="CM46" s="563"/>
      <c r="CN46" s="563"/>
      <c r="CO46" s="563"/>
      <c r="CP46" s="563"/>
      <c r="CQ46" s="563"/>
      <c r="CR46" s="563"/>
      <c r="CS46" s="563"/>
      <c r="CT46" s="563"/>
      <c r="CU46" s="563"/>
      <c r="CV46" s="563"/>
      <c r="CW46" s="563"/>
      <c r="CX46" s="563"/>
      <c r="CY46" s="563"/>
      <c r="CZ46" s="563"/>
      <c r="DA46" s="563"/>
      <c r="DB46" s="563"/>
      <c r="DC46" s="563"/>
      <c r="DD46" s="563"/>
      <c r="DE46" s="563"/>
      <c r="DF46" s="563"/>
      <c r="DG46" s="563"/>
      <c r="DH46" s="563"/>
      <c r="DI46" s="563"/>
      <c r="DJ46" s="563"/>
      <c r="DK46" s="563"/>
      <c r="DL46" s="563"/>
      <c r="DM46" s="563"/>
      <c r="DN46" s="563"/>
      <c r="DO46" s="563"/>
      <c r="DP46" s="563"/>
      <c r="DQ46" s="563"/>
      <c r="DR46" s="563"/>
      <c r="DS46" s="563"/>
      <c r="DT46" s="563"/>
      <c r="DU46" s="563"/>
      <c r="DV46" s="563"/>
      <c r="DW46" s="563"/>
      <c r="DX46" s="563"/>
      <c r="DY46" s="563"/>
      <c r="DZ46" s="563"/>
      <c r="EA46" s="563"/>
      <c r="EB46" s="563"/>
      <c r="EC46" s="563"/>
      <c r="ED46" s="563"/>
      <c r="EE46" s="563"/>
      <c r="EF46" s="563"/>
      <c r="EG46" s="563"/>
      <c r="EH46" s="563"/>
      <c r="EI46" s="563"/>
      <c r="EJ46" s="563"/>
      <c r="EK46" s="563"/>
      <c r="EL46" s="563"/>
      <c r="EM46" s="563"/>
      <c r="EN46" s="563"/>
      <c r="EO46" s="563"/>
      <c r="EP46" s="563"/>
      <c r="EQ46" s="563"/>
      <c r="ER46" s="563"/>
      <c r="ES46" s="563"/>
      <c r="ET46" s="563"/>
      <c r="EU46" s="563"/>
      <c r="EV46" s="563"/>
      <c r="EW46" s="563"/>
      <c r="EX46" s="563"/>
      <c r="EY46" s="563"/>
      <c r="EZ46" s="563"/>
      <c r="FA46" s="563"/>
      <c r="FB46" s="563"/>
      <c r="FC46" s="563"/>
      <c r="FD46" s="563"/>
      <c r="FE46" s="563"/>
      <c r="FF46" s="563"/>
      <c r="FG46" s="563"/>
      <c r="FH46" s="563"/>
      <c r="FI46" s="563"/>
      <c r="FJ46" s="563"/>
      <c r="FK46" s="563"/>
      <c r="FL46" s="563"/>
      <c r="FM46" s="563"/>
      <c r="FN46" s="563"/>
      <c r="FO46" s="563"/>
      <c r="FP46" s="563"/>
      <c r="FQ46" s="563"/>
      <c r="FR46" s="563"/>
      <c r="FS46" s="563"/>
      <c r="FT46" s="563"/>
      <c r="FU46" s="563"/>
      <c r="FV46" s="563"/>
      <c r="FW46" s="563"/>
      <c r="FX46" s="563"/>
      <c r="FY46" s="563"/>
      <c r="FZ46" s="563"/>
      <c r="GA46" s="563"/>
      <c r="GB46" s="563"/>
      <c r="GC46" s="563"/>
      <c r="GD46" s="563"/>
      <c r="GE46" s="563"/>
      <c r="GF46" s="563"/>
      <c r="GG46" s="563"/>
      <c r="GH46" s="563"/>
      <c r="GI46" s="563"/>
      <c r="GJ46" s="563"/>
      <c r="GK46" s="563"/>
      <c r="GL46" s="563"/>
      <c r="GM46" s="563"/>
      <c r="GN46" s="563"/>
      <c r="GO46" s="563"/>
      <c r="GP46" s="563"/>
      <c r="GQ46" s="563"/>
      <c r="GR46" s="563"/>
      <c r="GS46" s="563"/>
      <c r="GT46" s="563"/>
      <c r="GU46" s="563"/>
      <c r="GV46" s="563"/>
      <c r="GW46" s="563"/>
      <c r="GX46" s="563"/>
      <c r="GY46" s="563"/>
      <c r="GZ46" s="563"/>
      <c r="HA46" s="563"/>
      <c r="HB46" s="563"/>
      <c r="HC46" s="563"/>
      <c r="HD46" s="563"/>
      <c r="HE46" s="563"/>
      <c r="HF46" s="563"/>
      <c r="HG46" s="563"/>
      <c r="HH46" s="563"/>
      <c r="HI46" s="563"/>
      <c r="HJ46" s="563"/>
      <c r="HK46" s="563"/>
      <c r="HL46" s="563"/>
      <c r="HM46" s="563"/>
      <c r="HN46" s="563"/>
      <c r="HO46" s="563"/>
      <c r="HP46" s="563"/>
      <c r="HQ46" s="563"/>
      <c r="HR46" s="563"/>
      <c r="HS46" s="563"/>
      <c r="HT46" s="563"/>
      <c r="HU46" s="563"/>
      <c r="HV46" s="563"/>
      <c r="HW46" s="563"/>
      <c r="HX46" s="563"/>
      <c r="HY46" s="563"/>
      <c r="HZ46" s="563"/>
      <c r="IA46" s="563"/>
      <c r="IB46" s="563"/>
      <c r="IC46" s="563"/>
      <c r="ID46" s="563"/>
      <c r="IE46" s="563"/>
      <c r="IF46" s="563"/>
      <c r="IG46" s="563"/>
      <c r="IH46" s="563"/>
      <c r="II46" s="563"/>
      <c r="IJ46" s="563"/>
      <c r="IK46" s="563"/>
      <c r="IL46" s="563"/>
      <c r="IM46" s="563"/>
      <c r="IN46" s="563"/>
      <c r="IO46" s="563"/>
      <c r="IP46" s="563"/>
      <c r="IQ46" s="563"/>
      <c r="IR46" s="563"/>
      <c r="IS46" s="563"/>
      <c r="IT46" s="563"/>
      <c r="IU46" s="563"/>
      <c r="IV46" s="563"/>
      <c r="IW46" s="563"/>
    </row>
    <row r="47" spans="2:257" ht="20.100000000000001" customHeight="1">
      <c r="B47" s="771">
        <v>1</v>
      </c>
      <c r="C47" s="168" t="str">
        <f>SUM($A$14:B47)&amp;".0"</f>
        <v>17.0</v>
      </c>
      <c r="D47" s="933" t="str">
        <f ca="1">VLOOKUP(C47,RESUMO!$B$16:$I$54,3,0)</f>
        <v>U R B A N I Z A Ç Ã O   E   S E R V I Ç O S   E X T E R N O S</v>
      </c>
      <c r="E47" s="772"/>
      <c r="F47" s="934">
        <f ca="1">IF($AC47=0,0,ROUND(100*E47/$AC47,2))</f>
        <v>0</v>
      </c>
      <c r="G47" s="772"/>
      <c r="H47" s="934">
        <f ca="1">IF($AC47=0,0,ROUND(100*G47/$AC47,2))</f>
        <v>0</v>
      </c>
      <c r="I47" s="772"/>
      <c r="J47" s="934">
        <f ca="1">IF($AC47=0,0,ROUND(100*I47/$AC47,2))</f>
        <v>0</v>
      </c>
      <c r="K47" s="772"/>
      <c r="L47" s="934">
        <f ca="1">IF($AC47=0,0,ROUND(100*K47/$AC47,2))</f>
        <v>0</v>
      </c>
      <c r="M47" s="772"/>
      <c r="N47" s="934">
        <f ca="1">IF($AC47=0,0,ROUND(100*M47/$AC47,2))</f>
        <v>0</v>
      </c>
      <c r="O47" s="772"/>
      <c r="P47" s="934">
        <f ca="1">IF($AC47=0,0,ROUND(100*O47/$AC47,2))</f>
        <v>0</v>
      </c>
      <c r="Q47" s="772"/>
      <c r="R47" s="934">
        <f ca="1">IF($AC47=0,0,ROUND(100*Q47/$AC47,2))</f>
        <v>0</v>
      </c>
      <c r="S47" s="772"/>
      <c r="T47" s="934">
        <f ca="1">IF($AC47=0,0,ROUND(100*S47/$AC47,2))</f>
        <v>0</v>
      </c>
      <c r="U47" s="772"/>
      <c r="V47" s="934">
        <f ca="1">IF($AC47=0,0,ROUND(100*U47/$AC47,2))</f>
        <v>0</v>
      </c>
      <c r="W47" s="772"/>
      <c r="X47" s="934">
        <f ca="1">IF($AC47=0,0,ROUND(100*W47/$AC47,2))</f>
        <v>0</v>
      </c>
      <c r="Y47" s="772"/>
      <c r="Z47" s="934">
        <f ca="1">IF($AC47=0,0,ROUND(100*Y47/$AC47,2))</f>
        <v>0</v>
      </c>
      <c r="AA47" s="772"/>
      <c r="AB47" s="934">
        <f ca="1">IF($AC47=0,0,ROUND(100*AA47/$AC47,2))</f>
        <v>0</v>
      </c>
      <c r="AC47" s="772">
        <f ca="1">VLOOKUP(C47,RESUMO!$B$16:$I$54,8,0)</f>
        <v>83099.08</v>
      </c>
      <c r="AD47" s="934" t="e">
        <f ca="1">AC47/$AC$57*100</f>
        <v>#N/A</v>
      </c>
      <c r="AE47" s="259"/>
      <c r="AF47" s="770">
        <f ca="1">F47+H47+J47+P47+L47+N47+R47+T47+V47+X47+Z47+AB47</f>
        <v>0</v>
      </c>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c r="CG47" s="259"/>
      <c r="CH47" s="259"/>
      <c r="CI47" s="259"/>
      <c r="CJ47" s="259"/>
      <c r="CK47" s="259"/>
      <c r="CL47" s="259"/>
      <c r="CM47" s="259"/>
      <c r="CN47" s="259"/>
      <c r="CO47" s="259"/>
      <c r="CP47" s="259"/>
      <c r="CQ47" s="259"/>
      <c r="CR47" s="259"/>
      <c r="CS47" s="259"/>
      <c r="CT47" s="259"/>
      <c r="CU47" s="259"/>
      <c r="CV47" s="259"/>
      <c r="CW47" s="259"/>
      <c r="CX47" s="259"/>
      <c r="CY47" s="259"/>
      <c r="CZ47" s="259"/>
      <c r="DA47" s="259"/>
      <c r="DB47" s="259"/>
      <c r="DC47" s="259"/>
      <c r="DD47" s="259"/>
      <c r="DE47" s="259"/>
      <c r="DF47" s="259"/>
      <c r="DG47" s="259"/>
      <c r="DH47" s="259"/>
      <c r="DI47" s="259"/>
      <c r="DJ47" s="259"/>
      <c r="DK47" s="259"/>
      <c r="DL47" s="259"/>
      <c r="DM47" s="259"/>
      <c r="DN47" s="259"/>
      <c r="DO47" s="259"/>
      <c r="DP47" s="259"/>
      <c r="DQ47" s="259"/>
      <c r="DR47" s="259"/>
      <c r="DS47" s="259"/>
      <c r="DT47" s="259"/>
      <c r="DU47" s="259"/>
      <c r="DV47" s="259"/>
      <c r="DW47" s="259"/>
      <c r="DX47" s="259"/>
      <c r="DY47" s="259"/>
      <c r="DZ47" s="259"/>
      <c r="EA47" s="259"/>
      <c r="EB47" s="259"/>
      <c r="EC47" s="259"/>
      <c r="ED47" s="259"/>
      <c r="EE47" s="259"/>
      <c r="EF47" s="259"/>
      <c r="EG47" s="259"/>
      <c r="EH47" s="259"/>
      <c r="EI47" s="259"/>
      <c r="EJ47" s="259"/>
      <c r="EK47" s="259"/>
      <c r="EL47" s="259"/>
      <c r="EM47" s="259"/>
      <c r="EN47" s="259"/>
      <c r="EO47" s="259"/>
      <c r="EP47" s="259"/>
      <c r="EQ47" s="259"/>
      <c r="ER47" s="259"/>
      <c r="ES47" s="259"/>
      <c r="ET47" s="259"/>
      <c r="EU47" s="259"/>
      <c r="EV47" s="259"/>
      <c r="EW47" s="259"/>
      <c r="EX47" s="259"/>
      <c r="EY47" s="259"/>
      <c r="EZ47" s="259"/>
      <c r="FA47" s="259"/>
      <c r="FB47" s="259"/>
      <c r="FC47" s="259"/>
      <c r="FD47" s="259"/>
      <c r="FE47" s="259"/>
      <c r="FF47" s="259"/>
      <c r="FG47" s="259"/>
      <c r="FH47" s="259"/>
      <c r="FI47" s="259"/>
      <c r="FJ47" s="259"/>
      <c r="FK47" s="259"/>
      <c r="FL47" s="259"/>
      <c r="FM47" s="259"/>
      <c r="FN47" s="259"/>
      <c r="FO47" s="259"/>
      <c r="FP47" s="259"/>
      <c r="FQ47" s="259"/>
      <c r="FR47" s="259"/>
      <c r="FS47" s="259"/>
      <c r="FT47" s="259"/>
      <c r="FU47" s="259"/>
      <c r="FV47" s="259"/>
      <c r="FW47" s="259"/>
      <c r="FX47" s="259"/>
      <c r="FY47" s="259"/>
      <c r="FZ47" s="259"/>
      <c r="GA47" s="259"/>
      <c r="GB47" s="259"/>
      <c r="GC47" s="259"/>
      <c r="GD47" s="259"/>
      <c r="GE47" s="259"/>
      <c r="GF47" s="259"/>
      <c r="GG47" s="259"/>
      <c r="GH47" s="259"/>
      <c r="GI47" s="259"/>
      <c r="GJ47" s="259"/>
      <c r="GK47" s="259"/>
      <c r="GL47" s="259"/>
      <c r="GM47" s="259"/>
      <c r="GN47" s="259"/>
      <c r="GO47" s="259"/>
      <c r="GP47" s="259"/>
      <c r="GQ47" s="259"/>
      <c r="GR47" s="259"/>
      <c r="GS47" s="259"/>
      <c r="GT47" s="259"/>
      <c r="GU47" s="259"/>
      <c r="GV47" s="259"/>
      <c r="GW47" s="259"/>
      <c r="GX47" s="259"/>
      <c r="GY47" s="259"/>
      <c r="GZ47" s="259"/>
      <c r="HA47" s="259"/>
      <c r="HB47" s="259"/>
      <c r="HC47" s="259"/>
      <c r="HD47" s="259"/>
      <c r="HE47" s="259"/>
      <c r="HF47" s="259"/>
      <c r="HG47" s="259"/>
      <c r="HH47" s="259"/>
      <c r="HI47" s="259"/>
      <c r="HJ47" s="259"/>
      <c r="HK47" s="259"/>
      <c r="HL47" s="259"/>
      <c r="HM47" s="259"/>
      <c r="HN47" s="259"/>
      <c r="HO47" s="259"/>
      <c r="HP47" s="259"/>
      <c r="HQ47" s="259"/>
      <c r="HR47" s="259"/>
      <c r="HS47" s="259"/>
      <c r="HT47" s="259"/>
      <c r="HU47" s="259"/>
      <c r="HV47" s="259"/>
      <c r="HW47" s="259"/>
      <c r="HX47" s="259"/>
      <c r="HY47" s="259"/>
      <c r="HZ47" s="259"/>
      <c r="IA47" s="259"/>
      <c r="IB47" s="259"/>
      <c r="IC47" s="259"/>
      <c r="ID47" s="259"/>
      <c r="IE47" s="259"/>
      <c r="IF47" s="259"/>
      <c r="IG47" s="259"/>
      <c r="IH47" s="259"/>
      <c r="II47" s="259"/>
      <c r="IJ47" s="259"/>
      <c r="IK47" s="259"/>
      <c r="IL47" s="259"/>
      <c r="IM47" s="259"/>
      <c r="IN47" s="259"/>
      <c r="IO47" s="259"/>
      <c r="IP47" s="259"/>
      <c r="IQ47" s="259"/>
      <c r="IR47" s="259"/>
      <c r="IS47" s="259"/>
      <c r="IT47" s="259"/>
      <c r="IU47" s="259"/>
      <c r="IV47" s="259"/>
      <c r="IW47" s="259"/>
    </row>
    <row r="48" spans="2:257" s="768" customFormat="1" ht="6" customHeight="1">
      <c r="C48" s="938"/>
      <c r="D48" s="935"/>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936"/>
      <c r="AE48" s="563"/>
      <c r="AF48" s="770"/>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563"/>
      <c r="BV48" s="563"/>
      <c r="BW48" s="563"/>
      <c r="BX48" s="563"/>
      <c r="BY48" s="563"/>
      <c r="BZ48" s="563"/>
      <c r="CA48" s="563"/>
      <c r="CB48" s="563"/>
      <c r="CC48" s="563"/>
      <c r="CD48" s="563"/>
      <c r="CE48" s="563"/>
      <c r="CF48" s="563"/>
      <c r="CG48" s="563"/>
      <c r="CH48" s="563"/>
      <c r="CI48" s="563"/>
      <c r="CJ48" s="563"/>
      <c r="CK48" s="563"/>
      <c r="CL48" s="563"/>
      <c r="CM48" s="563"/>
      <c r="CN48" s="563"/>
      <c r="CO48" s="563"/>
      <c r="CP48" s="563"/>
      <c r="CQ48" s="563"/>
      <c r="CR48" s="563"/>
      <c r="CS48" s="563"/>
      <c r="CT48" s="563"/>
      <c r="CU48" s="563"/>
      <c r="CV48" s="563"/>
      <c r="CW48" s="563"/>
      <c r="CX48" s="563"/>
      <c r="CY48" s="563"/>
      <c r="CZ48" s="563"/>
      <c r="DA48" s="563"/>
      <c r="DB48" s="563"/>
      <c r="DC48" s="563"/>
      <c r="DD48" s="563"/>
      <c r="DE48" s="563"/>
      <c r="DF48" s="563"/>
      <c r="DG48" s="563"/>
      <c r="DH48" s="563"/>
      <c r="DI48" s="563"/>
      <c r="DJ48" s="563"/>
      <c r="DK48" s="563"/>
      <c r="DL48" s="563"/>
      <c r="DM48" s="563"/>
      <c r="DN48" s="563"/>
      <c r="DO48" s="563"/>
      <c r="DP48" s="563"/>
      <c r="DQ48" s="563"/>
      <c r="DR48" s="563"/>
      <c r="DS48" s="563"/>
      <c r="DT48" s="563"/>
      <c r="DU48" s="563"/>
      <c r="DV48" s="563"/>
      <c r="DW48" s="563"/>
      <c r="DX48" s="563"/>
      <c r="DY48" s="563"/>
      <c r="DZ48" s="563"/>
      <c r="EA48" s="563"/>
      <c r="EB48" s="563"/>
      <c r="EC48" s="563"/>
      <c r="ED48" s="563"/>
      <c r="EE48" s="563"/>
      <c r="EF48" s="563"/>
      <c r="EG48" s="563"/>
      <c r="EH48" s="563"/>
      <c r="EI48" s="563"/>
      <c r="EJ48" s="563"/>
      <c r="EK48" s="563"/>
      <c r="EL48" s="563"/>
      <c r="EM48" s="563"/>
      <c r="EN48" s="563"/>
      <c r="EO48" s="563"/>
      <c r="EP48" s="563"/>
      <c r="EQ48" s="563"/>
      <c r="ER48" s="563"/>
      <c r="ES48" s="563"/>
      <c r="ET48" s="563"/>
      <c r="EU48" s="563"/>
      <c r="EV48" s="563"/>
      <c r="EW48" s="563"/>
      <c r="EX48" s="563"/>
      <c r="EY48" s="563"/>
      <c r="EZ48" s="563"/>
      <c r="FA48" s="563"/>
      <c r="FB48" s="563"/>
      <c r="FC48" s="563"/>
      <c r="FD48" s="563"/>
      <c r="FE48" s="563"/>
      <c r="FF48" s="563"/>
      <c r="FG48" s="563"/>
      <c r="FH48" s="563"/>
      <c r="FI48" s="563"/>
      <c r="FJ48" s="563"/>
      <c r="FK48" s="563"/>
      <c r="FL48" s="563"/>
      <c r="FM48" s="563"/>
      <c r="FN48" s="563"/>
      <c r="FO48" s="563"/>
      <c r="FP48" s="563"/>
      <c r="FQ48" s="563"/>
      <c r="FR48" s="563"/>
      <c r="FS48" s="563"/>
      <c r="FT48" s="563"/>
      <c r="FU48" s="563"/>
      <c r="FV48" s="563"/>
      <c r="FW48" s="563"/>
      <c r="FX48" s="563"/>
      <c r="FY48" s="563"/>
      <c r="FZ48" s="563"/>
      <c r="GA48" s="563"/>
      <c r="GB48" s="563"/>
      <c r="GC48" s="563"/>
      <c r="GD48" s="563"/>
      <c r="GE48" s="563"/>
      <c r="GF48" s="563"/>
      <c r="GG48" s="563"/>
      <c r="GH48" s="563"/>
      <c r="GI48" s="563"/>
      <c r="GJ48" s="563"/>
      <c r="GK48" s="563"/>
      <c r="GL48" s="563"/>
      <c r="GM48" s="563"/>
      <c r="GN48" s="563"/>
      <c r="GO48" s="563"/>
      <c r="GP48" s="563"/>
      <c r="GQ48" s="563"/>
      <c r="GR48" s="563"/>
      <c r="GS48" s="563"/>
      <c r="GT48" s="563"/>
      <c r="GU48" s="563"/>
      <c r="GV48" s="563"/>
      <c r="GW48" s="563"/>
      <c r="GX48" s="563"/>
      <c r="GY48" s="563"/>
      <c r="GZ48" s="563"/>
      <c r="HA48" s="563"/>
      <c r="HB48" s="563"/>
      <c r="HC48" s="563"/>
      <c r="HD48" s="563"/>
      <c r="HE48" s="563"/>
      <c r="HF48" s="563"/>
      <c r="HG48" s="563"/>
      <c r="HH48" s="563"/>
      <c r="HI48" s="563"/>
      <c r="HJ48" s="563"/>
      <c r="HK48" s="563"/>
      <c r="HL48" s="563"/>
      <c r="HM48" s="563"/>
      <c r="HN48" s="563"/>
      <c r="HO48" s="563"/>
      <c r="HP48" s="563"/>
      <c r="HQ48" s="563"/>
      <c r="HR48" s="563"/>
      <c r="HS48" s="563"/>
      <c r="HT48" s="563"/>
      <c r="HU48" s="563"/>
      <c r="HV48" s="563"/>
      <c r="HW48" s="563"/>
      <c r="HX48" s="563"/>
      <c r="HY48" s="563"/>
      <c r="HZ48" s="563"/>
      <c r="IA48" s="563"/>
      <c r="IB48" s="563"/>
      <c r="IC48" s="563"/>
      <c r="ID48" s="563"/>
      <c r="IE48" s="563"/>
      <c r="IF48" s="563"/>
      <c r="IG48" s="563"/>
      <c r="IH48" s="563"/>
      <c r="II48" s="563"/>
      <c r="IJ48" s="563"/>
      <c r="IK48" s="563"/>
      <c r="IL48" s="563"/>
      <c r="IM48" s="563"/>
      <c r="IN48" s="563"/>
      <c r="IO48" s="563"/>
      <c r="IP48" s="563"/>
      <c r="IQ48" s="563"/>
      <c r="IR48" s="563"/>
      <c r="IS48" s="563"/>
      <c r="IT48" s="563"/>
      <c r="IU48" s="563"/>
      <c r="IV48" s="563"/>
      <c r="IW48" s="563"/>
    </row>
    <row r="49" spans="2:257" ht="20.100000000000001" customHeight="1">
      <c r="B49" s="771">
        <v>1</v>
      </c>
      <c r="C49" s="168" t="str">
        <f>SUM($A$14:B49)&amp;".0"</f>
        <v>18.0</v>
      </c>
      <c r="D49" s="933" t="str">
        <f ca="1">VLOOKUP(C49,RESUMO!$B$16:$I$54,3,0)</f>
        <v>P L A Y G R O U N D</v>
      </c>
      <c r="E49" s="772"/>
      <c r="F49" s="934">
        <f ca="1">IF($AC49=0,0,ROUND(100*E49/$AC49,2))</f>
        <v>0</v>
      </c>
      <c r="G49" s="772"/>
      <c r="H49" s="934">
        <f ca="1">IF($AC49=0,0,ROUND(100*G49/$AC49,2))</f>
        <v>0</v>
      </c>
      <c r="I49" s="772"/>
      <c r="J49" s="934">
        <f ca="1">IF($AC49=0,0,ROUND(100*I49/$AC49,2))</f>
        <v>0</v>
      </c>
      <c r="K49" s="772"/>
      <c r="L49" s="934">
        <f ca="1">IF($AC49=0,0,ROUND(100*K49/$AC49,2))</f>
        <v>0</v>
      </c>
      <c r="M49" s="772"/>
      <c r="N49" s="934">
        <f ca="1">IF($AC49=0,0,ROUND(100*M49/$AC49,2))</f>
        <v>0</v>
      </c>
      <c r="O49" s="772"/>
      <c r="P49" s="934">
        <f ca="1">IF($AC49=0,0,ROUND(100*O49/$AC49,2))</f>
        <v>0</v>
      </c>
      <c r="Q49" s="772"/>
      <c r="R49" s="934">
        <f ca="1">IF($AC49=0,0,ROUND(100*Q49/$AC49,2))</f>
        <v>0</v>
      </c>
      <c r="S49" s="772"/>
      <c r="T49" s="934">
        <f ca="1">IF($AC49=0,0,ROUND(100*S49/$AC49,2))</f>
        <v>0</v>
      </c>
      <c r="U49" s="772"/>
      <c r="V49" s="934">
        <f ca="1">IF($AC49=0,0,ROUND(100*U49/$AC49,2))</f>
        <v>0</v>
      </c>
      <c r="W49" s="772"/>
      <c r="X49" s="934">
        <f ca="1">IF($AC49=0,0,ROUND(100*W49/$AC49,2))</f>
        <v>0</v>
      </c>
      <c r="Y49" s="772"/>
      <c r="Z49" s="934">
        <f ca="1">IF($AC49=0,0,ROUND(100*Y49/$AC49,2))</f>
        <v>0</v>
      </c>
      <c r="AA49" s="772"/>
      <c r="AB49" s="934">
        <f ca="1">IF($AC49=0,0,ROUND(100*AA49/$AC49,2))</f>
        <v>0</v>
      </c>
      <c r="AC49" s="772">
        <f ca="1">VLOOKUP(C49,RESUMO!$B$16:$I$54,8,0)</f>
        <v>27324.329999999994</v>
      </c>
      <c r="AD49" s="934" t="e">
        <f ca="1">AC49/$AC$57*100</f>
        <v>#N/A</v>
      </c>
      <c r="AE49" s="259"/>
      <c r="AF49" s="770">
        <f ca="1">F49+H49+J49+P49+L49+N49+R49+T49+V49+X49+Z49+AB49</f>
        <v>0</v>
      </c>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c r="CG49" s="259"/>
      <c r="CH49" s="259"/>
      <c r="CI49" s="259"/>
      <c r="CJ49" s="259"/>
      <c r="CK49" s="259"/>
      <c r="CL49" s="259"/>
      <c r="CM49" s="259"/>
      <c r="CN49" s="259"/>
      <c r="CO49" s="259"/>
      <c r="CP49" s="259"/>
      <c r="CQ49" s="259"/>
      <c r="CR49" s="259"/>
      <c r="CS49" s="259"/>
      <c r="CT49" s="259"/>
      <c r="CU49" s="259"/>
      <c r="CV49" s="259"/>
      <c r="CW49" s="259"/>
      <c r="CX49" s="259"/>
      <c r="CY49" s="259"/>
      <c r="CZ49" s="259"/>
      <c r="DA49" s="259"/>
      <c r="DB49" s="259"/>
      <c r="DC49" s="259"/>
      <c r="DD49" s="259"/>
      <c r="DE49" s="259"/>
      <c r="DF49" s="259"/>
      <c r="DG49" s="259"/>
      <c r="DH49" s="259"/>
      <c r="DI49" s="259"/>
      <c r="DJ49" s="259"/>
      <c r="DK49" s="259"/>
      <c r="DL49" s="259"/>
      <c r="DM49" s="259"/>
      <c r="DN49" s="259"/>
      <c r="DO49" s="259"/>
      <c r="DP49" s="259"/>
      <c r="DQ49" s="259"/>
      <c r="DR49" s="259"/>
      <c r="DS49" s="259"/>
      <c r="DT49" s="259"/>
      <c r="DU49" s="259"/>
      <c r="DV49" s="259"/>
      <c r="DW49" s="259"/>
      <c r="DX49" s="259"/>
      <c r="DY49" s="259"/>
      <c r="DZ49" s="259"/>
      <c r="EA49" s="259"/>
      <c r="EB49" s="259"/>
      <c r="EC49" s="259"/>
      <c r="ED49" s="259"/>
      <c r="EE49" s="259"/>
      <c r="EF49" s="259"/>
      <c r="EG49" s="259"/>
      <c r="EH49" s="259"/>
      <c r="EI49" s="259"/>
      <c r="EJ49" s="259"/>
      <c r="EK49" s="259"/>
      <c r="EL49" s="259"/>
      <c r="EM49" s="259"/>
      <c r="EN49" s="259"/>
      <c r="EO49" s="259"/>
      <c r="EP49" s="259"/>
      <c r="EQ49" s="259"/>
      <c r="ER49" s="259"/>
      <c r="ES49" s="259"/>
      <c r="ET49" s="259"/>
      <c r="EU49" s="259"/>
      <c r="EV49" s="259"/>
      <c r="EW49" s="259"/>
      <c r="EX49" s="259"/>
      <c r="EY49" s="259"/>
      <c r="EZ49" s="259"/>
      <c r="FA49" s="259"/>
      <c r="FB49" s="259"/>
      <c r="FC49" s="259"/>
      <c r="FD49" s="259"/>
      <c r="FE49" s="259"/>
      <c r="FF49" s="259"/>
      <c r="FG49" s="259"/>
      <c r="FH49" s="259"/>
      <c r="FI49" s="259"/>
      <c r="FJ49" s="259"/>
      <c r="FK49" s="259"/>
      <c r="FL49" s="259"/>
      <c r="FM49" s="259"/>
      <c r="FN49" s="259"/>
      <c r="FO49" s="259"/>
      <c r="FP49" s="259"/>
      <c r="FQ49" s="259"/>
      <c r="FR49" s="259"/>
      <c r="FS49" s="259"/>
      <c r="FT49" s="259"/>
      <c r="FU49" s="259"/>
      <c r="FV49" s="259"/>
      <c r="FW49" s="259"/>
      <c r="FX49" s="259"/>
      <c r="FY49" s="259"/>
      <c r="FZ49" s="259"/>
      <c r="GA49" s="259"/>
      <c r="GB49" s="259"/>
      <c r="GC49" s="259"/>
      <c r="GD49" s="259"/>
      <c r="GE49" s="259"/>
      <c r="GF49" s="259"/>
      <c r="GG49" s="259"/>
      <c r="GH49" s="259"/>
      <c r="GI49" s="259"/>
      <c r="GJ49" s="259"/>
      <c r="GK49" s="259"/>
      <c r="GL49" s="259"/>
      <c r="GM49" s="259"/>
      <c r="GN49" s="259"/>
      <c r="GO49" s="259"/>
      <c r="GP49" s="259"/>
      <c r="GQ49" s="259"/>
      <c r="GR49" s="259"/>
      <c r="GS49" s="259"/>
      <c r="GT49" s="259"/>
      <c r="GU49" s="259"/>
      <c r="GV49" s="259"/>
      <c r="GW49" s="259"/>
      <c r="GX49" s="259"/>
      <c r="GY49" s="259"/>
      <c r="GZ49" s="259"/>
      <c r="HA49" s="259"/>
      <c r="HB49" s="259"/>
      <c r="HC49" s="259"/>
      <c r="HD49" s="259"/>
      <c r="HE49" s="259"/>
      <c r="HF49" s="259"/>
      <c r="HG49" s="259"/>
      <c r="HH49" s="259"/>
      <c r="HI49" s="259"/>
      <c r="HJ49" s="259"/>
      <c r="HK49" s="259"/>
      <c r="HL49" s="259"/>
      <c r="HM49" s="259"/>
      <c r="HN49" s="259"/>
      <c r="HO49" s="259"/>
      <c r="HP49" s="259"/>
      <c r="HQ49" s="259"/>
      <c r="HR49" s="259"/>
      <c r="HS49" s="259"/>
      <c r="HT49" s="259"/>
      <c r="HU49" s="259"/>
      <c r="HV49" s="259"/>
      <c r="HW49" s="259"/>
      <c r="HX49" s="259"/>
      <c r="HY49" s="259"/>
      <c r="HZ49" s="259"/>
      <c r="IA49" s="259"/>
      <c r="IB49" s="259"/>
      <c r="IC49" s="259"/>
      <c r="ID49" s="259"/>
      <c r="IE49" s="259"/>
      <c r="IF49" s="259"/>
      <c r="IG49" s="259"/>
      <c r="IH49" s="259"/>
      <c r="II49" s="259"/>
      <c r="IJ49" s="259"/>
      <c r="IK49" s="259"/>
      <c r="IL49" s="259"/>
      <c r="IM49" s="259"/>
      <c r="IN49" s="259"/>
      <c r="IO49" s="259"/>
      <c r="IP49" s="259"/>
      <c r="IQ49" s="259"/>
      <c r="IR49" s="259"/>
      <c r="IS49" s="259"/>
      <c r="IT49" s="259"/>
      <c r="IU49" s="259"/>
      <c r="IV49" s="259"/>
      <c r="IW49" s="259"/>
    </row>
    <row r="50" spans="2:257" s="768" customFormat="1" ht="6" customHeight="1">
      <c r="C50" s="938"/>
      <c r="D50" s="935"/>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936"/>
      <c r="AE50" s="563"/>
      <c r="AF50" s="770"/>
      <c r="AG50" s="563"/>
      <c r="AH50" s="563"/>
      <c r="AI50" s="563"/>
      <c r="AJ50" s="563"/>
      <c r="AK50" s="563"/>
      <c r="AL50" s="563"/>
      <c r="AM50" s="563"/>
      <c r="AN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c r="DB50" s="563"/>
      <c r="DC50" s="563"/>
      <c r="DD50" s="563"/>
      <c r="DE50" s="563"/>
      <c r="DF50" s="563"/>
      <c r="DG50" s="563"/>
      <c r="DH50" s="563"/>
      <c r="DI50" s="563"/>
      <c r="DJ50" s="563"/>
      <c r="DK50" s="563"/>
      <c r="DL50" s="563"/>
      <c r="DM50" s="563"/>
      <c r="DN50" s="563"/>
      <c r="DO50" s="563"/>
      <c r="DP50" s="563"/>
      <c r="DQ50" s="563"/>
      <c r="DR50" s="563"/>
      <c r="DS50" s="563"/>
      <c r="DT50" s="563"/>
      <c r="DU50" s="563"/>
      <c r="DV50" s="563"/>
      <c r="DW50" s="563"/>
      <c r="DX50" s="563"/>
      <c r="DY50" s="563"/>
      <c r="DZ50" s="563"/>
      <c r="EA50" s="563"/>
      <c r="EB50" s="563"/>
      <c r="EC50" s="563"/>
      <c r="ED50" s="563"/>
      <c r="EE50" s="563"/>
      <c r="EF50" s="563"/>
      <c r="EG50" s="563"/>
      <c r="EH50" s="563"/>
      <c r="EI50" s="563"/>
      <c r="EJ50" s="563"/>
      <c r="EK50" s="563"/>
      <c r="EL50" s="563"/>
      <c r="EM50" s="563"/>
      <c r="EN50" s="563"/>
      <c r="EO50" s="563"/>
      <c r="EP50" s="563"/>
      <c r="EQ50" s="563"/>
      <c r="ER50" s="563"/>
      <c r="ES50" s="563"/>
      <c r="ET50" s="563"/>
      <c r="EU50" s="563"/>
      <c r="EV50" s="563"/>
      <c r="EW50" s="563"/>
      <c r="EX50" s="563"/>
      <c r="EY50" s="563"/>
      <c r="EZ50" s="563"/>
      <c r="FA50" s="563"/>
      <c r="FB50" s="563"/>
      <c r="FC50" s="563"/>
      <c r="FD50" s="563"/>
      <c r="FE50" s="563"/>
      <c r="FF50" s="563"/>
      <c r="FG50" s="563"/>
      <c r="FH50" s="563"/>
      <c r="FI50" s="563"/>
      <c r="FJ50" s="563"/>
      <c r="FK50" s="563"/>
      <c r="FL50" s="563"/>
      <c r="FM50" s="563"/>
      <c r="FN50" s="563"/>
      <c r="FO50" s="563"/>
      <c r="FP50" s="563"/>
      <c r="FQ50" s="563"/>
      <c r="FR50" s="563"/>
      <c r="FS50" s="563"/>
      <c r="FT50" s="563"/>
      <c r="FU50" s="563"/>
      <c r="FV50" s="563"/>
      <c r="FW50" s="563"/>
      <c r="FX50" s="563"/>
      <c r="FY50" s="563"/>
      <c r="FZ50" s="563"/>
      <c r="GA50" s="563"/>
      <c r="GB50" s="563"/>
      <c r="GC50" s="563"/>
      <c r="GD50" s="563"/>
      <c r="GE50" s="563"/>
      <c r="GF50" s="563"/>
      <c r="GG50" s="563"/>
      <c r="GH50" s="563"/>
      <c r="GI50" s="563"/>
      <c r="GJ50" s="563"/>
      <c r="GK50" s="563"/>
      <c r="GL50" s="563"/>
      <c r="GM50" s="563"/>
      <c r="GN50" s="563"/>
      <c r="GO50" s="563"/>
      <c r="GP50" s="563"/>
      <c r="GQ50" s="563"/>
      <c r="GR50" s="563"/>
      <c r="GS50" s="563"/>
      <c r="GT50" s="563"/>
      <c r="GU50" s="563"/>
      <c r="GV50" s="563"/>
      <c r="GW50" s="563"/>
      <c r="GX50" s="563"/>
      <c r="GY50" s="563"/>
      <c r="GZ50" s="563"/>
      <c r="HA50" s="563"/>
      <c r="HB50" s="563"/>
      <c r="HC50" s="563"/>
      <c r="HD50" s="563"/>
      <c r="HE50" s="563"/>
      <c r="HF50" s="563"/>
      <c r="HG50" s="563"/>
      <c r="HH50" s="563"/>
      <c r="HI50" s="563"/>
      <c r="HJ50" s="563"/>
      <c r="HK50" s="563"/>
      <c r="HL50" s="563"/>
      <c r="HM50" s="563"/>
      <c r="HN50" s="563"/>
      <c r="HO50" s="563"/>
      <c r="HP50" s="563"/>
      <c r="HQ50" s="563"/>
      <c r="HR50" s="563"/>
      <c r="HS50" s="563"/>
      <c r="HT50" s="563"/>
      <c r="HU50" s="563"/>
      <c r="HV50" s="563"/>
      <c r="HW50" s="563"/>
      <c r="HX50" s="563"/>
      <c r="HY50" s="563"/>
      <c r="HZ50" s="563"/>
      <c r="IA50" s="563"/>
      <c r="IB50" s="563"/>
      <c r="IC50" s="563"/>
      <c r="ID50" s="563"/>
      <c r="IE50" s="563"/>
      <c r="IF50" s="563"/>
      <c r="IG50" s="563"/>
      <c r="IH50" s="563"/>
      <c r="II50" s="563"/>
      <c r="IJ50" s="563"/>
      <c r="IK50" s="563"/>
      <c r="IL50" s="563"/>
      <c r="IM50" s="563"/>
      <c r="IN50" s="563"/>
      <c r="IO50" s="563"/>
      <c r="IP50" s="563"/>
      <c r="IQ50" s="563"/>
      <c r="IR50" s="563"/>
      <c r="IS50" s="563"/>
      <c r="IT50" s="563"/>
      <c r="IU50" s="563"/>
      <c r="IV50" s="563"/>
      <c r="IW50" s="563"/>
    </row>
    <row r="51" spans="2:257" ht="20.100000000000001" customHeight="1">
      <c r="B51" s="771">
        <v>1</v>
      </c>
      <c r="C51" s="168" t="str">
        <f>SUM($A$14:B51)&amp;".0"</f>
        <v>19.0</v>
      </c>
      <c r="D51" s="933" t="str">
        <f ca="1">VLOOKUP(C51,RESUMO!$B$16:$I$54,3,0)</f>
        <v xml:space="preserve">S E R V I Ç O S   C O M P L E M E N T A R E S </v>
      </c>
      <c r="E51" s="772"/>
      <c r="F51" s="934">
        <f ca="1">IF($AC51=0,0,ROUND(100*E51/$AC51,2))</f>
        <v>0</v>
      </c>
      <c r="G51" s="772"/>
      <c r="H51" s="934">
        <f ca="1">IF($AC51=0,0,ROUND(100*G51/$AC51,2))</f>
        <v>0</v>
      </c>
      <c r="I51" s="772"/>
      <c r="J51" s="934">
        <f ca="1">IF($AC51=0,0,ROUND(100*I51/$AC51,2))</f>
        <v>0</v>
      </c>
      <c r="K51" s="772"/>
      <c r="L51" s="934">
        <f ca="1">IF($AC51=0,0,ROUND(100*K51/$AC51,2))</f>
        <v>0</v>
      </c>
      <c r="M51" s="772"/>
      <c r="N51" s="934">
        <f ca="1">IF($AC51=0,0,ROUND(100*M51/$AC51,2))</f>
        <v>0</v>
      </c>
      <c r="O51" s="772"/>
      <c r="P51" s="934">
        <f ca="1">IF($AC51=0,0,ROUND(100*O51/$AC51,2))</f>
        <v>0</v>
      </c>
      <c r="Q51" s="772"/>
      <c r="R51" s="934">
        <f ca="1">IF($AC51=0,0,ROUND(100*Q51/$AC51,2))</f>
        <v>0</v>
      </c>
      <c r="S51" s="772"/>
      <c r="T51" s="934">
        <f ca="1">IF($AC51=0,0,ROUND(100*S51/$AC51,2))</f>
        <v>0</v>
      </c>
      <c r="U51" s="772"/>
      <c r="V51" s="934">
        <f ca="1">IF($AC51=0,0,ROUND(100*U51/$AC51,2))</f>
        <v>0</v>
      </c>
      <c r="W51" s="772"/>
      <c r="X51" s="934">
        <f ca="1">IF($AC51=0,0,ROUND(100*W51/$AC51,2))</f>
        <v>0</v>
      </c>
      <c r="Y51" s="772"/>
      <c r="Z51" s="934">
        <f ca="1">IF($AC51=0,0,ROUND(100*Y51/$AC51,2))</f>
        <v>0</v>
      </c>
      <c r="AA51" s="772"/>
      <c r="AB51" s="934">
        <f ca="1">IF($AC51=0,0,ROUND(100*AA51/$AC51,2))</f>
        <v>0</v>
      </c>
      <c r="AC51" s="772">
        <f ca="1">VLOOKUP(C51,RESUMO!$B$16:$I$54,8,0)</f>
        <v>248001.31</v>
      </c>
      <c r="AD51" s="934" t="e">
        <f ca="1">AC51/$AC$57*100</f>
        <v>#N/A</v>
      </c>
      <c r="AE51" s="259"/>
      <c r="AF51" s="770">
        <f ca="1">F51+H51+J51+P51+L51+N51+R51+T51+V51+X51+Z51+AB51</f>
        <v>0</v>
      </c>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c r="CG51" s="259"/>
      <c r="CH51" s="259"/>
      <c r="CI51" s="259"/>
      <c r="CJ51" s="259"/>
      <c r="CK51" s="259"/>
      <c r="CL51" s="259"/>
      <c r="CM51" s="259"/>
      <c r="CN51" s="259"/>
      <c r="CO51" s="259"/>
      <c r="CP51" s="259"/>
      <c r="CQ51" s="259"/>
      <c r="CR51" s="259"/>
      <c r="CS51" s="259"/>
      <c r="CT51" s="259"/>
      <c r="CU51" s="259"/>
      <c r="CV51" s="259"/>
      <c r="CW51" s="259"/>
      <c r="CX51" s="259"/>
      <c r="CY51" s="259"/>
      <c r="CZ51" s="259"/>
      <c r="DA51" s="259"/>
      <c r="DB51" s="259"/>
      <c r="DC51" s="259"/>
      <c r="DD51" s="259"/>
      <c r="DE51" s="259"/>
      <c r="DF51" s="259"/>
      <c r="DG51" s="259"/>
      <c r="DH51" s="259"/>
      <c r="DI51" s="259"/>
      <c r="DJ51" s="259"/>
      <c r="DK51" s="259"/>
      <c r="DL51" s="259"/>
      <c r="DM51" s="259"/>
      <c r="DN51" s="259"/>
      <c r="DO51" s="259"/>
      <c r="DP51" s="259"/>
      <c r="DQ51" s="259"/>
      <c r="DR51" s="259"/>
      <c r="DS51" s="259"/>
      <c r="DT51" s="259"/>
      <c r="DU51" s="259"/>
      <c r="DV51" s="259"/>
      <c r="DW51" s="259"/>
      <c r="DX51" s="259"/>
      <c r="DY51" s="259"/>
      <c r="DZ51" s="259"/>
      <c r="EA51" s="259"/>
      <c r="EB51" s="259"/>
      <c r="EC51" s="259"/>
      <c r="ED51" s="259"/>
      <c r="EE51" s="259"/>
      <c r="EF51" s="259"/>
      <c r="EG51" s="259"/>
      <c r="EH51" s="259"/>
      <c r="EI51" s="259"/>
      <c r="EJ51" s="259"/>
      <c r="EK51" s="259"/>
      <c r="EL51" s="259"/>
      <c r="EM51" s="259"/>
      <c r="EN51" s="259"/>
      <c r="EO51" s="259"/>
      <c r="EP51" s="259"/>
      <c r="EQ51" s="259"/>
      <c r="ER51" s="259"/>
      <c r="ES51" s="259"/>
      <c r="ET51" s="259"/>
      <c r="EU51" s="259"/>
      <c r="EV51" s="259"/>
      <c r="EW51" s="259"/>
      <c r="EX51" s="259"/>
      <c r="EY51" s="259"/>
      <c r="EZ51" s="259"/>
      <c r="FA51" s="259"/>
      <c r="FB51" s="259"/>
      <c r="FC51" s="259"/>
      <c r="FD51" s="259"/>
      <c r="FE51" s="259"/>
      <c r="FF51" s="259"/>
      <c r="FG51" s="259"/>
      <c r="FH51" s="259"/>
      <c r="FI51" s="259"/>
      <c r="FJ51" s="259"/>
      <c r="FK51" s="259"/>
      <c r="FL51" s="259"/>
      <c r="FM51" s="259"/>
      <c r="FN51" s="259"/>
      <c r="FO51" s="259"/>
      <c r="FP51" s="259"/>
      <c r="FQ51" s="259"/>
      <c r="FR51" s="259"/>
      <c r="FS51" s="259"/>
      <c r="FT51" s="259"/>
      <c r="FU51" s="259"/>
      <c r="FV51" s="259"/>
      <c r="FW51" s="259"/>
      <c r="FX51" s="259"/>
      <c r="FY51" s="259"/>
      <c r="FZ51" s="259"/>
      <c r="GA51" s="259"/>
      <c r="GB51" s="259"/>
      <c r="GC51" s="259"/>
      <c r="GD51" s="259"/>
      <c r="GE51" s="259"/>
      <c r="GF51" s="259"/>
      <c r="GG51" s="259"/>
      <c r="GH51" s="259"/>
      <c r="GI51" s="259"/>
      <c r="GJ51" s="259"/>
      <c r="GK51" s="259"/>
      <c r="GL51" s="259"/>
      <c r="GM51" s="259"/>
      <c r="GN51" s="259"/>
      <c r="GO51" s="259"/>
      <c r="GP51" s="259"/>
      <c r="GQ51" s="259"/>
      <c r="GR51" s="259"/>
      <c r="GS51" s="259"/>
      <c r="GT51" s="259"/>
      <c r="GU51" s="259"/>
      <c r="GV51" s="259"/>
      <c r="GW51" s="259"/>
      <c r="GX51" s="259"/>
      <c r="GY51" s="259"/>
      <c r="GZ51" s="259"/>
      <c r="HA51" s="259"/>
      <c r="HB51" s="259"/>
      <c r="HC51" s="259"/>
      <c r="HD51" s="259"/>
      <c r="HE51" s="259"/>
      <c r="HF51" s="259"/>
      <c r="HG51" s="259"/>
      <c r="HH51" s="259"/>
      <c r="HI51" s="259"/>
      <c r="HJ51" s="259"/>
      <c r="HK51" s="259"/>
      <c r="HL51" s="259"/>
      <c r="HM51" s="259"/>
      <c r="HN51" s="259"/>
      <c r="HO51" s="259"/>
      <c r="HP51" s="259"/>
      <c r="HQ51" s="259"/>
      <c r="HR51" s="259"/>
      <c r="HS51" s="259"/>
      <c r="HT51" s="259"/>
      <c r="HU51" s="259"/>
      <c r="HV51" s="259"/>
      <c r="HW51" s="259"/>
      <c r="HX51" s="259"/>
      <c r="HY51" s="259"/>
      <c r="HZ51" s="259"/>
      <c r="IA51" s="259"/>
      <c r="IB51" s="259"/>
      <c r="IC51" s="259"/>
      <c r="ID51" s="259"/>
      <c r="IE51" s="259"/>
      <c r="IF51" s="259"/>
      <c r="IG51" s="259"/>
      <c r="IH51" s="259"/>
      <c r="II51" s="259"/>
      <c r="IJ51" s="259"/>
      <c r="IK51" s="259"/>
      <c r="IL51" s="259"/>
      <c r="IM51" s="259"/>
      <c r="IN51" s="259"/>
      <c r="IO51" s="259"/>
      <c r="IP51" s="259"/>
      <c r="IQ51" s="259"/>
      <c r="IR51" s="259"/>
      <c r="IS51" s="259"/>
      <c r="IT51" s="259"/>
      <c r="IU51" s="259"/>
      <c r="IV51" s="259"/>
      <c r="IW51" s="259"/>
    </row>
    <row r="52" spans="2:257" s="768" customFormat="1" ht="6" customHeight="1">
      <c r="C52" s="938"/>
      <c r="D52" s="935"/>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936"/>
      <c r="AE52" s="563"/>
      <c r="AF52" s="770"/>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c r="BP52" s="563"/>
      <c r="BQ52" s="563"/>
      <c r="BR52" s="563"/>
      <c r="BS52" s="563"/>
      <c r="BT52" s="563"/>
      <c r="BU52" s="563"/>
      <c r="BV52" s="563"/>
      <c r="BW52" s="563"/>
      <c r="BX52" s="563"/>
      <c r="BY52" s="563"/>
      <c r="BZ52" s="563"/>
      <c r="CA52" s="563"/>
      <c r="CB52" s="563"/>
      <c r="CC52" s="563"/>
      <c r="CD52" s="563"/>
      <c r="CE52" s="563"/>
      <c r="CF52" s="563"/>
      <c r="CG52" s="563"/>
      <c r="CH52" s="563"/>
      <c r="CI52" s="563"/>
      <c r="CJ52" s="563"/>
      <c r="CK52" s="563"/>
      <c r="CL52" s="563"/>
      <c r="CM52" s="563"/>
      <c r="CN52" s="563"/>
      <c r="CO52" s="563"/>
      <c r="CP52" s="563"/>
      <c r="CQ52" s="563"/>
      <c r="CR52" s="563"/>
      <c r="CS52" s="563"/>
      <c r="CT52" s="563"/>
      <c r="CU52" s="563"/>
      <c r="CV52" s="563"/>
      <c r="CW52" s="563"/>
      <c r="CX52" s="563"/>
      <c r="CY52" s="563"/>
      <c r="CZ52" s="563"/>
      <c r="DA52" s="563"/>
      <c r="DB52" s="563"/>
      <c r="DC52" s="563"/>
      <c r="DD52" s="563"/>
      <c r="DE52" s="563"/>
      <c r="DF52" s="563"/>
      <c r="DG52" s="563"/>
      <c r="DH52" s="563"/>
      <c r="DI52" s="563"/>
      <c r="DJ52" s="563"/>
      <c r="DK52" s="563"/>
      <c r="DL52" s="563"/>
      <c r="DM52" s="563"/>
      <c r="DN52" s="563"/>
      <c r="DO52" s="563"/>
      <c r="DP52" s="563"/>
      <c r="DQ52" s="563"/>
      <c r="DR52" s="563"/>
      <c r="DS52" s="563"/>
      <c r="DT52" s="563"/>
      <c r="DU52" s="563"/>
      <c r="DV52" s="563"/>
      <c r="DW52" s="563"/>
      <c r="DX52" s="563"/>
      <c r="DY52" s="563"/>
      <c r="DZ52" s="563"/>
      <c r="EA52" s="563"/>
      <c r="EB52" s="563"/>
      <c r="EC52" s="563"/>
      <c r="ED52" s="563"/>
      <c r="EE52" s="563"/>
      <c r="EF52" s="563"/>
      <c r="EG52" s="563"/>
      <c r="EH52" s="563"/>
      <c r="EI52" s="563"/>
      <c r="EJ52" s="563"/>
      <c r="EK52" s="563"/>
      <c r="EL52" s="563"/>
      <c r="EM52" s="563"/>
      <c r="EN52" s="563"/>
      <c r="EO52" s="563"/>
      <c r="EP52" s="563"/>
      <c r="EQ52" s="563"/>
      <c r="ER52" s="563"/>
      <c r="ES52" s="563"/>
      <c r="ET52" s="563"/>
      <c r="EU52" s="563"/>
      <c r="EV52" s="563"/>
      <c r="EW52" s="563"/>
      <c r="EX52" s="563"/>
      <c r="EY52" s="563"/>
      <c r="EZ52" s="563"/>
      <c r="FA52" s="563"/>
      <c r="FB52" s="563"/>
      <c r="FC52" s="563"/>
      <c r="FD52" s="563"/>
      <c r="FE52" s="563"/>
      <c r="FF52" s="563"/>
      <c r="FG52" s="563"/>
      <c r="FH52" s="563"/>
      <c r="FI52" s="563"/>
      <c r="FJ52" s="563"/>
      <c r="FK52" s="563"/>
      <c r="FL52" s="563"/>
      <c r="FM52" s="563"/>
      <c r="FN52" s="563"/>
      <c r="FO52" s="563"/>
      <c r="FP52" s="563"/>
      <c r="FQ52" s="563"/>
      <c r="FR52" s="563"/>
      <c r="FS52" s="563"/>
      <c r="FT52" s="563"/>
      <c r="FU52" s="563"/>
      <c r="FV52" s="563"/>
      <c r="FW52" s="563"/>
      <c r="FX52" s="563"/>
      <c r="FY52" s="563"/>
      <c r="FZ52" s="563"/>
      <c r="GA52" s="563"/>
      <c r="GB52" s="563"/>
      <c r="GC52" s="563"/>
      <c r="GD52" s="563"/>
      <c r="GE52" s="563"/>
      <c r="GF52" s="563"/>
      <c r="GG52" s="563"/>
      <c r="GH52" s="563"/>
      <c r="GI52" s="563"/>
      <c r="GJ52" s="563"/>
      <c r="GK52" s="563"/>
      <c r="GL52" s="563"/>
      <c r="GM52" s="563"/>
      <c r="GN52" s="563"/>
      <c r="GO52" s="563"/>
      <c r="GP52" s="563"/>
      <c r="GQ52" s="563"/>
      <c r="GR52" s="563"/>
      <c r="GS52" s="563"/>
      <c r="GT52" s="563"/>
      <c r="GU52" s="563"/>
      <c r="GV52" s="563"/>
      <c r="GW52" s="563"/>
      <c r="GX52" s="563"/>
      <c r="GY52" s="563"/>
      <c r="GZ52" s="563"/>
      <c r="HA52" s="563"/>
      <c r="HB52" s="563"/>
      <c r="HC52" s="563"/>
      <c r="HD52" s="563"/>
      <c r="HE52" s="563"/>
      <c r="HF52" s="563"/>
      <c r="HG52" s="563"/>
      <c r="HH52" s="563"/>
      <c r="HI52" s="563"/>
      <c r="HJ52" s="563"/>
      <c r="HK52" s="563"/>
      <c r="HL52" s="563"/>
      <c r="HM52" s="563"/>
      <c r="HN52" s="563"/>
      <c r="HO52" s="563"/>
      <c r="HP52" s="563"/>
      <c r="HQ52" s="563"/>
      <c r="HR52" s="563"/>
      <c r="HS52" s="563"/>
      <c r="HT52" s="563"/>
      <c r="HU52" s="563"/>
      <c r="HV52" s="563"/>
      <c r="HW52" s="563"/>
      <c r="HX52" s="563"/>
      <c r="HY52" s="563"/>
      <c r="HZ52" s="563"/>
      <c r="IA52" s="563"/>
      <c r="IB52" s="563"/>
      <c r="IC52" s="563"/>
      <c r="ID52" s="563"/>
      <c r="IE52" s="563"/>
      <c r="IF52" s="563"/>
      <c r="IG52" s="563"/>
      <c r="IH52" s="563"/>
      <c r="II52" s="563"/>
      <c r="IJ52" s="563"/>
      <c r="IK52" s="563"/>
      <c r="IL52" s="563"/>
      <c r="IM52" s="563"/>
      <c r="IN52" s="563"/>
      <c r="IO52" s="563"/>
      <c r="IP52" s="563"/>
      <c r="IQ52" s="563"/>
      <c r="IR52" s="563"/>
      <c r="IS52" s="563"/>
      <c r="IT52" s="563"/>
      <c r="IU52" s="563"/>
      <c r="IV52" s="563"/>
      <c r="IW52" s="563"/>
    </row>
    <row r="53" spans="2:257" ht="20.100000000000001" customHeight="1">
      <c r="B53" s="771">
        <v>1</v>
      </c>
      <c r="C53" s="168" t="str">
        <f>SUM($A$14:B53)&amp;".0"</f>
        <v>20.0</v>
      </c>
      <c r="D53" s="933" t="e">
        <f>VLOOKUP(C53,RESUMO!$B$16:$I$54,3,0)</f>
        <v>#N/A</v>
      </c>
      <c r="E53" s="772"/>
      <c r="F53" s="934" t="e">
        <f>IF($AC53=0,0,ROUND(100*E53/$AC53,2))</f>
        <v>#N/A</v>
      </c>
      <c r="G53" s="772"/>
      <c r="H53" s="934" t="e">
        <f>IF($AC53=0,0,ROUND(100*G53/$AC53,2))</f>
        <v>#N/A</v>
      </c>
      <c r="I53" s="772"/>
      <c r="J53" s="934" t="e">
        <f>IF($AC53=0,0,ROUND(100*I53/$AC53,2))</f>
        <v>#N/A</v>
      </c>
      <c r="K53" s="772"/>
      <c r="L53" s="934" t="e">
        <f>IF($AC53=0,0,ROUND(100*K53/$AC53,2))</f>
        <v>#N/A</v>
      </c>
      <c r="M53" s="772"/>
      <c r="N53" s="934" t="e">
        <f>IF($AC53=0,0,ROUND(100*M53/$AC53,2))</f>
        <v>#N/A</v>
      </c>
      <c r="O53" s="772"/>
      <c r="P53" s="934" t="e">
        <f>IF($AC53=0,0,ROUND(100*O53/$AC53,2))</f>
        <v>#N/A</v>
      </c>
      <c r="Q53" s="772"/>
      <c r="R53" s="934" t="e">
        <f>IF($AC53=0,0,ROUND(100*Q53/$AC53,2))</f>
        <v>#N/A</v>
      </c>
      <c r="S53" s="772"/>
      <c r="T53" s="934" t="e">
        <f>IF($AC53=0,0,ROUND(100*S53/$AC53,2))</f>
        <v>#N/A</v>
      </c>
      <c r="U53" s="772"/>
      <c r="V53" s="934" t="e">
        <f>IF($AC53=0,0,ROUND(100*U53/$AC53,2))</f>
        <v>#N/A</v>
      </c>
      <c r="W53" s="772"/>
      <c r="X53" s="934" t="e">
        <f>IF($AC53=0,0,ROUND(100*W53/$AC53,2))</f>
        <v>#N/A</v>
      </c>
      <c r="Y53" s="772"/>
      <c r="Z53" s="934" t="e">
        <f>IF($AC53=0,0,ROUND(100*Y53/$AC53,2))</f>
        <v>#N/A</v>
      </c>
      <c r="AA53" s="772"/>
      <c r="AB53" s="934" t="e">
        <f>IF($AC53=0,0,ROUND(100*AA53/$AC53,2))</f>
        <v>#N/A</v>
      </c>
      <c r="AC53" s="772" t="e">
        <f>VLOOKUP(C53,RESUMO!$B$16:$I$54,8,0)</f>
        <v>#N/A</v>
      </c>
      <c r="AD53" s="934" t="e">
        <f ca="1">AC53/$AC$57*100</f>
        <v>#N/A</v>
      </c>
      <c r="AE53" s="259"/>
      <c r="AF53" s="770" t="e">
        <f>F53+H53+J53+P53+L53+N53+R53+T53+V53+X53+Z53+AB53</f>
        <v>#N/A</v>
      </c>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c r="CG53" s="259"/>
      <c r="CH53" s="259"/>
      <c r="CI53" s="259"/>
      <c r="CJ53" s="259"/>
      <c r="CK53" s="259"/>
      <c r="CL53" s="259"/>
      <c r="CM53" s="259"/>
      <c r="CN53" s="259"/>
      <c r="CO53" s="259"/>
      <c r="CP53" s="259"/>
      <c r="CQ53" s="259"/>
      <c r="CR53" s="259"/>
      <c r="CS53" s="259"/>
      <c r="CT53" s="259"/>
      <c r="CU53" s="259"/>
      <c r="CV53" s="259"/>
      <c r="CW53" s="259"/>
      <c r="CX53" s="259"/>
      <c r="CY53" s="259"/>
      <c r="CZ53" s="259"/>
      <c r="DA53" s="259"/>
      <c r="DB53" s="259"/>
      <c r="DC53" s="259"/>
      <c r="DD53" s="259"/>
      <c r="DE53" s="259"/>
      <c r="DF53" s="259"/>
      <c r="DG53" s="259"/>
      <c r="DH53" s="259"/>
      <c r="DI53" s="259"/>
      <c r="DJ53" s="259"/>
      <c r="DK53" s="259"/>
      <c r="DL53" s="259"/>
      <c r="DM53" s="259"/>
      <c r="DN53" s="259"/>
      <c r="DO53" s="259"/>
      <c r="DP53" s="259"/>
      <c r="DQ53" s="259"/>
      <c r="DR53" s="259"/>
      <c r="DS53" s="259"/>
      <c r="DT53" s="259"/>
      <c r="DU53" s="259"/>
      <c r="DV53" s="259"/>
      <c r="DW53" s="259"/>
      <c r="DX53" s="259"/>
      <c r="DY53" s="259"/>
      <c r="DZ53" s="259"/>
      <c r="EA53" s="259"/>
      <c r="EB53" s="259"/>
      <c r="EC53" s="259"/>
      <c r="ED53" s="259"/>
      <c r="EE53" s="259"/>
      <c r="EF53" s="259"/>
      <c r="EG53" s="259"/>
      <c r="EH53" s="259"/>
      <c r="EI53" s="259"/>
      <c r="EJ53" s="259"/>
      <c r="EK53" s="259"/>
      <c r="EL53" s="259"/>
      <c r="EM53" s="259"/>
      <c r="EN53" s="259"/>
      <c r="EO53" s="259"/>
      <c r="EP53" s="259"/>
      <c r="EQ53" s="259"/>
      <c r="ER53" s="259"/>
      <c r="ES53" s="259"/>
      <c r="ET53" s="259"/>
      <c r="EU53" s="259"/>
      <c r="EV53" s="259"/>
      <c r="EW53" s="259"/>
      <c r="EX53" s="259"/>
      <c r="EY53" s="259"/>
      <c r="EZ53" s="259"/>
      <c r="FA53" s="259"/>
      <c r="FB53" s="259"/>
      <c r="FC53" s="259"/>
      <c r="FD53" s="259"/>
      <c r="FE53" s="259"/>
      <c r="FF53" s="259"/>
      <c r="FG53" s="259"/>
      <c r="FH53" s="259"/>
      <c r="FI53" s="259"/>
      <c r="FJ53" s="259"/>
      <c r="FK53" s="259"/>
      <c r="FL53" s="259"/>
      <c r="FM53" s="259"/>
      <c r="FN53" s="259"/>
      <c r="FO53" s="259"/>
      <c r="FP53" s="259"/>
      <c r="FQ53" s="259"/>
      <c r="FR53" s="259"/>
      <c r="FS53" s="259"/>
      <c r="FT53" s="259"/>
      <c r="FU53" s="259"/>
      <c r="FV53" s="259"/>
      <c r="FW53" s="259"/>
      <c r="FX53" s="259"/>
      <c r="FY53" s="259"/>
      <c r="FZ53" s="259"/>
      <c r="GA53" s="259"/>
      <c r="GB53" s="259"/>
      <c r="GC53" s="259"/>
      <c r="GD53" s="259"/>
      <c r="GE53" s="259"/>
      <c r="GF53" s="259"/>
      <c r="GG53" s="259"/>
      <c r="GH53" s="259"/>
      <c r="GI53" s="259"/>
      <c r="GJ53" s="259"/>
      <c r="GK53" s="259"/>
      <c r="GL53" s="259"/>
      <c r="GM53" s="259"/>
      <c r="GN53" s="259"/>
      <c r="GO53" s="259"/>
      <c r="GP53" s="259"/>
      <c r="GQ53" s="259"/>
      <c r="GR53" s="259"/>
      <c r="GS53" s="259"/>
      <c r="GT53" s="259"/>
      <c r="GU53" s="259"/>
      <c r="GV53" s="259"/>
      <c r="GW53" s="259"/>
      <c r="GX53" s="259"/>
      <c r="GY53" s="259"/>
      <c r="GZ53" s="259"/>
      <c r="HA53" s="259"/>
      <c r="HB53" s="259"/>
      <c r="HC53" s="259"/>
      <c r="HD53" s="259"/>
      <c r="HE53" s="259"/>
      <c r="HF53" s="259"/>
      <c r="HG53" s="259"/>
      <c r="HH53" s="259"/>
      <c r="HI53" s="259"/>
      <c r="HJ53" s="259"/>
      <c r="HK53" s="259"/>
      <c r="HL53" s="259"/>
      <c r="HM53" s="259"/>
      <c r="HN53" s="259"/>
      <c r="HO53" s="259"/>
      <c r="HP53" s="259"/>
      <c r="HQ53" s="259"/>
      <c r="HR53" s="259"/>
      <c r="HS53" s="259"/>
      <c r="HT53" s="259"/>
      <c r="HU53" s="259"/>
      <c r="HV53" s="259"/>
      <c r="HW53" s="259"/>
      <c r="HX53" s="259"/>
      <c r="HY53" s="259"/>
      <c r="HZ53" s="259"/>
      <c r="IA53" s="259"/>
      <c r="IB53" s="259"/>
      <c r="IC53" s="259"/>
      <c r="ID53" s="259"/>
      <c r="IE53" s="259"/>
      <c r="IF53" s="259"/>
      <c r="IG53" s="259"/>
      <c r="IH53" s="259"/>
      <c r="II53" s="259"/>
      <c r="IJ53" s="259"/>
      <c r="IK53" s="259"/>
      <c r="IL53" s="259"/>
      <c r="IM53" s="259"/>
      <c r="IN53" s="259"/>
      <c r="IO53" s="259"/>
      <c r="IP53" s="259"/>
      <c r="IQ53" s="259"/>
      <c r="IR53" s="259"/>
      <c r="IS53" s="259"/>
      <c r="IT53" s="259"/>
      <c r="IU53" s="259"/>
      <c r="IV53" s="259"/>
      <c r="IW53" s="259"/>
    </row>
    <row r="54" spans="2:257" s="768" customFormat="1" ht="6" customHeight="1">
      <c r="C54" s="938"/>
      <c r="D54" s="935"/>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936"/>
      <c r="AE54" s="563"/>
      <c r="AF54" s="770"/>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563"/>
      <c r="BF54" s="563"/>
      <c r="BG54" s="563"/>
      <c r="BH54" s="563"/>
      <c r="BI54" s="563"/>
      <c r="BJ54" s="563"/>
      <c r="BK54" s="563"/>
      <c r="BL54" s="563"/>
      <c r="BM54" s="56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c r="CU54" s="563"/>
      <c r="CV54" s="563"/>
      <c r="CW54" s="563"/>
      <c r="CX54" s="563"/>
      <c r="CY54" s="563"/>
      <c r="CZ54" s="563"/>
      <c r="DA54" s="563"/>
      <c r="DB54" s="563"/>
      <c r="DC54" s="563"/>
      <c r="DD54" s="563"/>
      <c r="DE54" s="563"/>
      <c r="DF54" s="563"/>
      <c r="DG54" s="563"/>
      <c r="DH54" s="563"/>
      <c r="DI54" s="563"/>
      <c r="DJ54" s="563"/>
      <c r="DK54" s="563"/>
      <c r="DL54" s="563"/>
      <c r="DM54" s="563"/>
      <c r="DN54" s="563"/>
      <c r="DO54" s="563"/>
      <c r="DP54" s="563"/>
      <c r="DQ54" s="563"/>
      <c r="DR54" s="563"/>
      <c r="DS54" s="563"/>
      <c r="DT54" s="563"/>
      <c r="DU54" s="563"/>
      <c r="DV54" s="563"/>
      <c r="DW54" s="563"/>
      <c r="DX54" s="563"/>
      <c r="DY54" s="563"/>
      <c r="DZ54" s="563"/>
      <c r="EA54" s="563"/>
      <c r="EB54" s="563"/>
      <c r="EC54" s="563"/>
      <c r="ED54" s="563"/>
      <c r="EE54" s="563"/>
      <c r="EF54" s="563"/>
      <c r="EG54" s="563"/>
      <c r="EH54" s="563"/>
      <c r="EI54" s="563"/>
      <c r="EJ54" s="563"/>
      <c r="EK54" s="563"/>
      <c r="EL54" s="563"/>
      <c r="EM54" s="563"/>
      <c r="EN54" s="563"/>
      <c r="EO54" s="563"/>
      <c r="EP54" s="563"/>
      <c r="EQ54" s="563"/>
      <c r="ER54" s="563"/>
      <c r="ES54" s="563"/>
      <c r="ET54" s="563"/>
      <c r="EU54" s="563"/>
      <c r="EV54" s="563"/>
      <c r="EW54" s="563"/>
      <c r="EX54" s="563"/>
      <c r="EY54" s="563"/>
      <c r="EZ54" s="563"/>
      <c r="FA54" s="563"/>
      <c r="FB54" s="563"/>
      <c r="FC54" s="563"/>
      <c r="FD54" s="563"/>
      <c r="FE54" s="563"/>
      <c r="FF54" s="563"/>
      <c r="FG54" s="563"/>
      <c r="FH54" s="563"/>
      <c r="FI54" s="563"/>
      <c r="FJ54" s="563"/>
      <c r="FK54" s="563"/>
      <c r="FL54" s="563"/>
      <c r="FM54" s="563"/>
      <c r="FN54" s="563"/>
      <c r="FO54" s="563"/>
      <c r="FP54" s="563"/>
      <c r="FQ54" s="563"/>
      <c r="FR54" s="563"/>
      <c r="FS54" s="563"/>
      <c r="FT54" s="563"/>
      <c r="FU54" s="563"/>
      <c r="FV54" s="563"/>
      <c r="FW54" s="563"/>
      <c r="FX54" s="563"/>
      <c r="FY54" s="563"/>
      <c r="FZ54" s="563"/>
      <c r="GA54" s="563"/>
      <c r="GB54" s="563"/>
      <c r="GC54" s="563"/>
      <c r="GD54" s="563"/>
      <c r="GE54" s="563"/>
      <c r="GF54" s="563"/>
      <c r="GG54" s="563"/>
      <c r="GH54" s="563"/>
      <c r="GI54" s="563"/>
      <c r="GJ54" s="563"/>
      <c r="GK54" s="563"/>
      <c r="GL54" s="563"/>
      <c r="GM54" s="563"/>
      <c r="GN54" s="563"/>
      <c r="GO54" s="563"/>
      <c r="GP54" s="563"/>
      <c r="GQ54" s="563"/>
      <c r="GR54" s="563"/>
      <c r="GS54" s="563"/>
      <c r="GT54" s="563"/>
      <c r="GU54" s="563"/>
      <c r="GV54" s="563"/>
      <c r="GW54" s="563"/>
      <c r="GX54" s="563"/>
      <c r="GY54" s="563"/>
      <c r="GZ54" s="563"/>
      <c r="HA54" s="563"/>
      <c r="HB54" s="563"/>
      <c r="HC54" s="563"/>
      <c r="HD54" s="563"/>
      <c r="HE54" s="563"/>
      <c r="HF54" s="563"/>
      <c r="HG54" s="563"/>
      <c r="HH54" s="563"/>
      <c r="HI54" s="563"/>
      <c r="HJ54" s="563"/>
      <c r="HK54" s="563"/>
      <c r="HL54" s="563"/>
      <c r="HM54" s="563"/>
      <c r="HN54" s="563"/>
      <c r="HO54" s="563"/>
      <c r="HP54" s="563"/>
      <c r="HQ54" s="563"/>
      <c r="HR54" s="563"/>
      <c r="HS54" s="563"/>
      <c r="HT54" s="563"/>
      <c r="HU54" s="563"/>
      <c r="HV54" s="563"/>
      <c r="HW54" s="563"/>
      <c r="HX54" s="563"/>
      <c r="HY54" s="563"/>
      <c r="HZ54" s="563"/>
      <c r="IA54" s="563"/>
      <c r="IB54" s="563"/>
      <c r="IC54" s="563"/>
      <c r="ID54" s="563"/>
      <c r="IE54" s="563"/>
      <c r="IF54" s="563"/>
      <c r="IG54" s="563"/>
      <c r="IH54" s="563"/>
      <c r="II54" s="563"/>
      <c r="IJ54" s="563"/>
      <c r="IK54" s="563"/>
      <c r="IL54" s="563"/>
      <c r="IM54" s="563"/>
      <c r="IN54" s="563"/>
      <c r="IO54" s="563"/>
      <c r="IP54" s="563"/>
      <c r="IQ54" s="563"/>
      <c r="IR54" s="563"/>
      <c r="IS54" s="563"/>
      <c r="IT54" s="563"/>
      <c r="IU54" s="563"/>
      <c r="IV54" s="563"/>
      <c r="IW54" s="563"/>
    </row>
    <row r="55" spans="2:257" ht="20.100000000000001" customHeight="1">
      <c r="B55" s="771">
        <v>1</v>
      </c>
      <c r="C55" s="168" t="str">
        <f>SUM($A$14:B55)&amp;".0"</f>
        <v>21.0</v>
      </c>
      <c r="D55" s="933" t="e">
        <f>VLOOKUP(C55,RESUMO!$B$16:$I$54,3,0)</f>
        <v>#N/A</v>
      </c>
      <c r="E55" s="772"/>
      <c r="F55" s="934" t="e">
        <f>IF($AC55=0,0,ROUND(100*E55/$AC55,2))</f>
        <v>#N/A</v>
      </c>
      <c r="G55" s="772"/>
      <c r="H55" s="934" t="e">
        <f>IF($AC55=0,0,ROUND(100*G55/$AC55,2))</f>
        <v>#N/A</v>
      </c>
      <c r="I55" s="772"/>
      <c r="J55" s="934" t="e">
        <f>IF($AC55=0,0,ROUND(100*I55/$AC55,2))</f>
        <v>#N/A</v>
      </c>
      <c r="K55" s="772"/>
      <c r="L55" s="934" t="e">
        <f>IF($AC55=0,0,ROUND(100*K55/$AC55,2))</f>
        <v>#N/A</v>
      </c>
      <c r="M55" s="772"/>
      <c r="N55" s="934" t="e">
        <f>IF($AC55=0,0,ROUND(100*M55/$AC55,2))</f>
        <v>#N/A</v>
      </c>
      <c r="O55" s="772"/>
      <c r="P55" s="934" t="e">
        <f>IF($AC55=0,0,ROUND(100*O55/$AC55,2))</f>
        <v>#N/A</v>
      </c>
      <c r="Q55" s="772"/>
      <c r="R55" s="934" t="e">
        <f>IF($AC55=0,0,ROUND(100*Q55/$AC55,2))</f>
        <v>#N/A</v>
      </c>
      <c r="S55" s="772"/>
      <c r="T55" s="934" t="e">
        <f>IF($AC55=0,0,ROUND(100*S55/$AC55,2))</f>
        <v>#N/A</v>
      </c>
      <c r="U55" s="772"/>
      <c r="V55" s="934" t="e">
        <f>IF($AC55=0,0,ROUND(100*U55/$AC55,2))</f>
        <v>#N/A</v>
      </c>
      <c r="W55" s="772"/>
      <c r="X55" s="934" t="e">
        <f>IF($AC55=0,0,ROUND(100*W55/$AC55,2))</f>
        <v>#N/A</v>
      </c>
      <c r="Y55" s="772"/>
      <c r="Z55" s="934" t="e">
        <f>IF($AC55=0,0,ROUND(100*Y55/$AC55,2))</f>
        <v>#N/A</v>
      </c>
      <c r="AA55" s="772"/>
      <c r="AB55" s="934" t="e">
        <f>IF($AC55=0,0,ROUND(100*AA55/$AC55,2))</f>
        <v>#N/A</v>
      </c>
      <c r="AC55" s="772" t="e">
        <f>VLOOKUP(C55,RESUMO!$B$16:$I$54,8,0)</f>
        <v>#N/A</v>
      </c>
      <c r="AD55" s="934" t="e">
        <f ca="1">AC55/$AC$57*100</f>
        <v>#N/A</v>
      </c>
      <c r="AE55" s="259"/>
      <c r="AF55" s="770" t="e">
        <f>F55+H55+J55+P55+L55+N55+R55+T55+V55+X55+Z55+AB55</f>
        <v>#N/A</v>
      </c>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c r="CG55" s="259"/>
      <c r="CH55" s="259"/>
      <c r="CI55" s="259"/>
      <c r="CJ55" s="259"/>
      <c r="CK55" s="259"/>
      <c r="CL55" s="259"/>
      <c r="CM55" s="259"/>
      <c r="CN55" s="259"/>
      <c r="CO55" s="259"/>
      <c r="CP55" s="259"/>
      <c r="CQ55" s="259"/>
      <c r="CR55" s="259"/>
      <c r="CS55" s="259"/>
      <c r="CT55" s="259"/>
      <c r="CU55" s="259"/>
      <c r="CV55" s="259"/>
      <c r="CW55" s="259"/>
      <c r="CX55" s="259"/>
      <c r="CY55" s="259"/>
      <c r="CZ55" s="259"/>
      <c r="DA55" s="259"/>
      <c r="DB55" s="259"/>
      <c r="DC55" s="259"/>
      <c r="DD55" s="259"/>
      <c r="DE55" s="259"/>
      <c r="DF55" s="259"/>
      <c r="DG55" s="259"/>
      <c r="DH55" s="259"/>
      <c r="DI55" s="259"/>
      <c r="DJ55" s="259"/>
      <c r="DK55" s="259"/>
      <c r="DL55" s="259"/>
      <c r="DM55" s="259"/>
      <c r="DN55" s="259"/>
      <c r="DO55" s="259"/>
      <c r="DP55" s="259"/>
      <c r="DQ55" s="259"/>
      <c r="DR55" s="259"/>
      <c r="DS55" s="259"/>
      <c r="DT55" s="259"/>
      <c r="DU55" s="259"/>
      <c r="DV55" s="259"/>
      <c r="DW55" s="259"/>
      <c r="DX55" s="259"/>
      <c r="DY55" s="259"/>
      <c r="DZ55" s="259"/>
      <c r="EA55" s="259"/>
      <c r="EB55" s="259"/>
      <c r="EC55" s="259"/>
      <c r="ED55" s="259"/>
      <c r="EE55" s="259"/>
      <c r="EF55" s="259"/>
      <c r="EG55" s="259"/>
      <c r="EH55" s="259"/>
      <c r="EI55" s="259"/>
      <c r="EJ55" s="259"/>
      <c r="EK55" s="259"/>
      <c r="EL55" s="259"/>
      <c r="EM55" s="259"/>
      <c r="EN55" s="259"/>
      <c r="EO55" s="259"/>
      <c r="EP55" s="259"/>
      <c r="EQ55" s="259"/>
      <c r="ER55" s="259"/>
      <c r="ES55" s="259"/>
      <c r="ET55" s="259"/>
      <c r="EU55" s="259"/>
      <c r="EV55" s="259"/>
      <c r="EW55" s="259"/>
      <c r="EX55" s="259"/>
      <c r="EY55" s="259"/>
      <c r="EZ55" s="259"/>
      <c r="FA55" s="259"/>
      <c r="FB55" s="259"/>
      <c r="FC55" s="259"/>
      <c r="FD55" s="259"/>
      <c r="FE55" s="259"/>
      <c r="FF55" s="259"/>
      <c r="FG55" s="259"/>
      <c r="FH55" s="259"/>
      <c r="FI55" s="259"/>
      <c r="FJ55" s="259"/>
      <c r="FK55" s="259"/>
      <c r="FL55" s="259"/>
      <c r="FM55" s="259"/>
      <c r="FN55" s="259"/>
      <c r="FO55" s="259"/>
      <c r="FP55" s="259"/>
      <c r="FQ55" s="259"/>
      <c r="FR55" s="259"/>
      <c r="FS55" s="259"/>
      <c r="FT55" s="259"/>
      <c r="FU55" s="259"/>
      <c r="FV55" s="259"/>
      <c r="FW55" s="259"/>
      <c r="FX55" s="259"/>
      <c r="FY55" s="259"/>
      <c r="FZ55" s="259"/>
      <c r="GA55" s="259"/>
      <c r="GB55" s="259"/>
      <c r="GC55" s="259"/>
      <c r="GD55" s="259"/>
      <c r="GE55" s="259"/>
      <c r="GF55" s="259"/>
      <c r="GG55" s="259"/>
      <c r="GH55" s="259"/>
      <c r="GI55" s="259"/>
      <c r="GJ55" s="259"/>
      <c r="GK55" s="259"/>
      <c r="GL55" s="259"/>
      <c r="GM55" s="259"/>
      <c r="GN55" s="259"/>
      <c r="GO55" s="259"/>
      <c r="GP55" s="259"/>
      <c r="GQ55" s="259"/>
      <c r="GR55" s="259"/>
      <c r="GS55" s="259"/>
      <c r="GT55" s="259"/>
      <c r="GU55" s="259"/>
      <c r="GV55" s="259"/>
      <c r="GW55" s="259"/>
      <c r="GX55" s="259"/>
      <c r="GY55" s="259"/>
      <c r="GZ55" s="259"/>
      <c r="HA55" s="259"/>
      <c r="HB55" s="259"/>
      <c r="HC55" s="259"/>
      <c r="HD55" s="259"/>
      <c r="HE55" s="259"/>
      <c r="HF55" s="259"/>
      <c r="HG55" s="259"/>
      <c r="HH55" s="259"/>
      <c r="HI55" s="259"/>
      <c r="HJ55" s="259"/>
      <c r="HK55" s="259"/>
      <c r="HL55" s="259"/>
      <c r="HM55" s="259"/>
      <c r="HN55" s="259"/>
      <c r="HO55" s="259"/>
      <c r="HP55" s="259"/>
      <c r="HQ55" s="259"/>
      <c r="HR55" s="259"/>
      <c r="HS55" s="259"/>
      <c r="HT55" s="259"/>
      <c r="HU55" s="259"/>
      <c r="HV55" s="259"/>
      <c r="HW55" s="259"/>
      <c r="HX55" s="259"/>
      <c r="HY55" s="259"/>
      <c r="HZ55" s="259"/>
      <c r="IA55" s="259"/>
      <c r="IB55" s="259"/>
      <c r="IC55" s="259"/>
      <c r="ID55" s="259"/>
      <c r="IE55" s="259"/>
      <c r="IF55" s="259"/>
      <c r="IG55" s="259"/>
      <c r="IH55" s="259"/>
      <c r="II55" s="259"/>
      <c r="IJ55" s="259"/>
      <c r="IK55" s="259"/>
      <c r="IL55" s="259"/>
      <c r="IM55" s="259"/>
      <c r="IN55" s="259"/>
      <c r="IO55" s="259"/>
      <c r="IP55" s="259"/>
      <c r="IQ55" s="259"/>
      <c r="IR55" s="259"/>
      <c r="IS55" s="259"/>
      <c r="IT55" s="259"/>
      <c r="IU55" s="259"/>
      <c r="IV55" s="259"/>
      <c r="IW55" s="259"/>
    </row>
    <row r="56" spans="2:257" s="768" customFormat="1" ht="6" customHeight="1">
      <c r="C56" s="939"/>
      <c r="D56" s="940"/>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41"/>
      <c r="AE56" s="563"/>
      <c r="AF56" s="770">
        <f>F56+H56+J56+L56+N56+P56+R56+T56+V56+X56+Z56+AB56</f>
        <v>0</v>
      </c>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563"/>
      <c r="BF56" s="563"/>
      <c r="BG56" s="563"/>
      <c r="BH56" s="563"/>
      <c r="BI56" s="563"/>
      <c r="BJ56" s="563"/>
      <c r="BK56" s="563"/>
      <c r="BL56" s="563"/>
      <c r="BM56" s="563"/>
      <c r="BN56" s="563"/>
      <c r="BO56" s="563"/>
      <c r="BP56" s="563"/>
      <c r="BQ56" s="563"/>
      <c r="BR56" s="563"/>
      <c r="BS56" s="563"/>
      <c r="BT56" s="563"/>
      <c r="BU56" s="563"/>
      <c r="BV56" s="563"/>
      <c r="BW56" s="563"/>
      <c r="BX56" s="563"/>
      <c r="BY56" s="563"/>
      <c r="BZ56" s="563"/>
      <c r="CA56" s="563"/>
      <c r="CB56" s="563"/>
      <c r="CC56" s="563"/>
      <c r="CD56" s="563"/>
      <c r="CE56" s="563"/>
      <c r="CF56" s="563"/>
      <c r="CG56" s="563"/>
      <c r="CH56" s="563"/>
      <c r="CI56" s="563"/>
      <c r="CJ56" s="563"/>
      <c r="CK56" s="563"/>
      <c r="CL56" s="563"/>
      <c r="CM56" s="563"/>
      <c r="CN56" s="563"/>
      <c r="CO56" s="563"/>
      <c r="CP56" s="563"/>
      <c r="CQ56" s="563"/>
      <c r="CR56" s="563"/>
      <c r="CS56" s="563"/>
      <c r="CT56" s="563"/>
      <c r="CU56" s="563"/>
      <c r="CV56" s="563"/>
      <c r="CW56" s="563"/>
      <c r="CX56" s="563"/>
      <c r="CY56" s="563"/>
      <c r="CZ56" s="563"/>
      <c r="DA56" s="563"/>
      <c r="DB56" s="563"/>
      <c r="DC56" s="563"/>
      <c r="DD56" s="563"/>
      <c r="DE56" s="563"/>
      <c r="DF56" s="563"/>
      <c r="DG56" s="563"/>
      <c r="DH56" s="563"/>
      <c r="DI56" s="563"/>
      <c r="DJ56" s="563"/>
      <c r="DK56" s="563"/>
      <c r="DL56" s="563"/>
      <c r="DM56" s="563"/>
      <c r="DN56" s="563"/>
      <c r="DO56" s="563"/>
      <c r="DP56" s="563"/>
      <c r="DQ56" s="563"/>
      <c r="DR56" s="563"/>
      <c r="DS56" s="563"/>
      <c r="DT56" s="563"/>
      <c r="DU56" s="563"/>
      <c r="DV56" s="563"/>
      <c r="DW56" s="563"/>
      <c r="DX56" s="563"/>
      <c r="DY56" s="563"/>
      <c r="DZ56" s="563"/>
      <c r="EA56" s="563"/>
      <c r="EB56" s="563"/>
      <c r="EC56" s="563"/>
      <c r="ED56" s="563"/>
      <c r="EE56" s="563"/>
      <c r="EF56" s="563"/>
      <c r="EG56" s="563"/>
      <c r="EH56" s="563"/>
      <c r="EI56" s="563"/>
      <c r="EJ56" s="563"/>
      <c r="EK56" s="563"/>
      <c r="EL56" s="563"/>
      <c r="EM56" s="563"/>
      <c r="EN56" s="563"/>
      <c r="EO56" s="563"/>
      <c r="EP56" s="563"/>
      <c r="EQ56" s="563"/>
      <c r="ER56" s="563"/>
      <c r="ES56" s="563"/>
      <c r="ET56" s="563"/>
      <c r="EU56" s="563"/>
      <c r="EV56" s="563"/>
      <c r="EW56" s="563"/>
      <c r="EX56" s="563"/>
      <c r="EY56" s="563"/>
      <c r="EZ56" s="563"/>
      <c r="FA56" s="563"/>
      <c r="FB56" s="563"/>
      <c r="FC56" s="563"/>
      <c r="FD56" s="563"/>
      <c r="FE56" s="563"/>
      <c r="FF56" s="563"/>
      <c r="FG56" s="563"/>
      <c r="FH56" s="563"/>
      <c r="FI56" s="563"/>
      <c r="FJ56" s="563"/>
      <c r="FK56" s="563"/>
      <c r="FL56" s="563"/>
      <c r="FM56" s="563"/>
      <c r="FN56" s="563"/>
      <c r="FO56" s="563"/>
      <c r="FP56" s="563"/>
      <c r="FQ56" s="563"/>
      <c r="FR56" s="563"/>
      <c r="FS56" s="563"/>
      <c r="FT56" s="563"/>
      <c r="FU56" s="563"/>
      <c r="FV56" s="563"/>
      <c r="FW56" s="563"/>
      <c r="FX56" s="563"/>
      <c r="FY56" s="563"/>
      <c r="FZ56" s="563"/>
      <c r="GA56" s="563"/>
      <c r="GB56" s="563"/>
      <c r="GC56" s="563"/>
      <c r="GD56" s="563"/>
      <c r="GE56" s="563"/>
      <c r="GF56" s="563"/>
      <c r="GG56" s="563"/>
      <c r="GH56" s="563"/>
      <c r="GI56" s="563"/>
      <c r="GJ56" s="563"/>
      <c r="GK56" s="563"/>
      <c r="GL56" s="563"/>
      <c r="GM56" s="563"/>
      <c r="GN56" s="563"/>
      <c r="GO56" s="563"/>
      <c r="GP56" s="563"/>
      <c r="GQ56" s="563"/>
      <c r="GR56" s="563"/>
      <c r="GS56" s="563"/>
      <c r="GT56" s="563"/>
      <c r="GU56" s="563"/>
      <c r="GV56" s="563"/>
      <c r="GW56" s="563"/>
      <c r="GX56" s="563"/>
      <c r="GY56" s="563"/>
      <c r="GZ56" s="563"/>
      <c r="HA56" s="563"/>
      <c r="HB56" s="563"/>
      <c r="HC56" s="563"/>
      <c r="HD56" s="563"/>
      <c r="HE56" s="563"/>
      <c r="HF56" s="563"/>
      <c r="HG56" s="563"/>
      <c r="HH56" s="563"/>
      <c r="HI56" s="563"/>
      <c r="HJ56" s="563"/>
      <c r="HK56" s="563"/>
      <c r="HL56" s="563"/>
      <c r="HM56" s="563"/>
      <c r="HN56" s="563"/>
      <c r="HO56" s="563"/>
      <c r="HP56" s="563"/>
      <c r="HQ56" s="563"/>
      <c r="HR56" s="563"/>
      <c r="HS56" s="563"/>
      <c r="HT56" s="563"/>
      <c r="HU56" s="563"/>
      <c r="HV56" s="563"/>
      <c r="HW56" s="563"/>
      <c r="HX56" s="563"/>
      <c r="HY56" s="563"/>
      <c r="HZ56" s="563"/>
      <c r="IA56" s="563"/>
      <c r="IB56" s="563"/>
      <c r="IC56" s="563"/>
      <c r="ID56" s="563"/>
      <c r="IE56" s="563"/>
      <c r="IF56" s="563"/>
      <c r="IG56" s="563"/>
      <c r="IH56" s="563"/>
      <c r="II56" s="563"/>
      <c r="IJ56" s="563"/>
      <c r="IK56" s="563"/>
      <c r="IL56" s="563"/>
      <c r="IM56" s="563"/>
      <c r="IN56" s="563"/>
      <c r="IO56" s="563"/>
      <c r="IP56" s="563"/>
      <c r="IQ56" s="563"/>
      <c r="IR56" s="563"/>
      <c r="IS56" s="563"/>
      <c r="IT56" s="563"/>
      <c r="IU56" s="563"/>
      <c r="IV56" s="563"/>
      <c r="IW56" s="563"/>
    </row>
    <row r="57" spans="2:257" ht="20.100000000000001" customHeight="1">
      <c r="C57" s="2631" t="s">
        <v>344</v>
      </c>
      <c r="D57" s="2631"/>
      <c r="E57" s="952">
        <f>SUM(E14:E56)</f>
        <v>0</v>
      </c>
      <c r="F57" s="952" t="e">
        <f ca="1">E57/AC57*100</f>
        <v>#N/A</v>
      </c>
      <c r="G57" s="952">
        <f>SUM(G14:G56)</f>
        <v>0</v>
      </c>
      <c r="H57" s="952" t="e">
        <f ca="1">G57/AC57*100</f>
        <v>#N/A</v>
      </c>
      <c r="I57" s="952">
        <f>SUM(I14:I56)</f>
        <v>0</v>
      </c>
      <c r="J57" s="952" t="e">
        <f ca="1">I57/AC57*100</f>
        <v>#N/A</v>
      </c>
      <c r="K57" s="952">
        <f>SUM(K14:K56)</f>
        <v>0</v>
      </c>
      <c r="L57" s="952" t="e">
        <f ca="1">K57/AC57*100</f>
        <v>#N/A</v>
      </c>
      <c r="M57" s="952">
        <f>SUM(M14:M56)</f>
        <v>0</v>
      </c>
      <c r="N57" s="952" t="e">
        <f ca="1">M57/AC57*100</f>
        <v>#N/A</v>
      </c>
      <c r="O57" s="952">
        <f>SUM(O14:O56)</f>
        <v>0</v>
      </c>
      <c r="P57" s="952" t="e">
        <f ca="1">O57/AC57*100</f>
        <v>#N/A</v>
      </c>
      <c r="Q57" s="952">
        <f>SUM(Q14:Q56)</f>
        <v>0</v>
      </c>
      <c r="R57" s="952" t="e">
        <f ca="1">Q57/AC57*100</f>
        <v>#N/A</v>
      </c>
      <c r="S57" s="952">
        <f>SUM(S14:S56)</f>
        <v>0</v>
      </c>
      <c r="T57" s="952" t="e">
        <f ca="1">S57/AC57*100</f>
        <v>#N/A</v>
      </c>
      <c r="U57" s="952">
        <f>SUM(U14:U56)</f>
        <v>0</v>
      </c>
      <c r="V57" s="952" t="e">
        <f ca="1">U57/AC57*100</f>
        <v>#N/A</v>
      </c>
      <c r="W57" s="952">
        <f>SUM(W14:W56)</f>
        <v>0</v>
      </c>
      <c r="X57" s="952" t="e">
        <f ca="1">W57/AC57*100</f>
        <v>#N/A</v>
      </c>
      <c r="Y57" s="952">
        <f>SUM(Y14:Y56)</f>
        <v>0</v>
      </c>
      <c r="Z57" s="952" t="e">
        <f ca="1">Y57/AC57*100</f>
        <v>#N/A</v>
      </c>
      <c r="AA57" s="952">
        <f>SUM(AA14:AA56)</f>
        <v>0</v>
      </c>
      <c r="AB57" s="952" t="e">
        <f ca="1">AA57/AC57*100</f>
        <v>#N/A</v>
      </c>
      <c r="AC57" s="952" t="e">
        <f ca="1">SUM(AC14:AC56)</f>
        <v>#N/A</v>
      </c>
      <c r="AD57" s="952" t="e">
        <f ca="1">SUM(AD15:AD56)</f>
        <v>#N/A</v>
      </c>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c r="CG57" s="259"/>
      <c r="CH57" s="259"/>
      <c r="CI57" s="259"/>
      <c r="CJ57" s="259"/>
      <c r="CK57" s="259"/>
      <c r="CL57" s="259"/>
      <c r="CM57" s="259"/>
      <c r="CN57" s="259"/>
      <c r="CO57" s="259"/>
      <c r="CP57" s="259"/>
      <c r="CQ57" s="259"/>
      <c r="CR57" s="259"/>
      <c r="CS57" s="259"/>
      <c r="CT57" s="259"/>
      <c r="CU57" s="259"/>
      <c r="CV57" s="259"/>
      <c r="CW57" s="259"/>
      <c r="CX57" s="259"/>
      <c r="CY57" s="259"/>
      <c r="CZ57" s="259"/>
      <c r="DA57" s="259"/>
      <c r="DB57" s="259"/>
      <c r="DC57" s="259"/>
      <c r="DD57" s="259"/>
      <c r="DE57" s="259"/>
      <c r="DF57" s="259"/>
      <c r="DG57" s="259"/>
      <c r="DH57" s="259"/>
      <c r="DI57" s="259"/>
      <c r="DJ57" s="259"/>
      <c r="DK57" s="259"/>
      <c r="DL57" s="259"/>
      <c r="DM57" s="259"/>
      <c r="DN57" s="259"/>
      <c r="DO57" s="259"/>
      <c r="DP57" s="259"/>
      <c r="DQ57" s="259"/>
      <c r="DR57" s="259"/>
      <c r="DS57" s="259"/>
      <c r="DT57" s="259"/>
      <c r="DU57" s="259"/>
      <c r="DV57" s="259"/>
      <c r="DW57" s="259"/>
      <c r="DX57" s="259"/>
      <c r="DY57" s="259"/>
      <c r="DZ57" s="259"/>
      <c r="EA57" s="259"/>
      <c r="EB57" s="259"/>
      <c r="EC57" s="259"/>
      <c r="ED57" s="259"/>
      <c r="EE57" s="259"/>
      <c r="EF57" s="259"/>
      <c r="EG57" s="259"/>
      <c r="EH57" s="259"/>
      <c r="EI57" s="259"/>
      <c r="EJ57" s="259"/>
      <c r="EK57" s="259"/>
      <c r="EL57" s="259"/>
      <c r="EM57" s="259"/>
      <c r="EN57" s="259"/>
      <c r="EO57" s="259"/>
      <c r="EP57" s="259"/>
      <c r="EQ57" s="259"/>
      <c r="ER57" s="259"/>
      <c r="ES57" s="259"/>
      <c r="ET57" s="259"/>
      <c r="EU57" s="259"/>
      <c r="EV57" s="259"/>
      <c r="EW57" s="259"/>
      <c r="EX57" s="259"/>
      <c r="EY57" s="259"/>
      <c r="EZ57" s="259"/>
      <c r="FA57" s="259"/>
      <c r="FB57" s="259"/>
      <c r="FC57" s="259"/>
      <c r="FD57" s="259"/>
      <c r="FE57" s="259"/>
      <c r="FF57" s="259"/>
      <c r="FG57" s="259"/>
      <c r="FH57" s="259"/>
      <c r="FI57" s="259"/>
      <c r="FJ57" s="259"/>
      <c r="FK57" s="259"/>
      <c r="FL57" s="259"/>
      <c r="FM57" s="259"/>
      <c r="FN57" s="259"/>
      <c r="FO57" s="259"/>
      <c r="FP57" s="259"/>
      <c r="FQ57" s="259"/>
      <c r="FR57" s="259"/>
      <c r="FS57" s="259"/>
      <c r="FT57" s="259"/>
      <c r="FU57" s="259"/>
      <c r="FV57" s="259"/>
      <c r="FW57" s="259"/>
      <c r="FX57" s="259"/>
      <c r="FY57" s="259"/>
      <c r="FZ57" s="259"/>
      <c r="GA57" s="259"/>
      <c r="GB57" s="259"/>
      <c r="GC57" s="259"/>
      <c r="GD57" s="259"/>
      <c r="GE57" s="259"/>
      <c r="GF57" s="259"/>
      <c r="GG57" s="259"/>
      <c r="GH57" s="259"/>
      <c r="GI57" s="259"/>
      <c r="GJ57" s="259"/>
      <c r="GK57" s="259"/>
      <c r="GL57" s="259"/>
      <c r="GM57" s="259"/>
      <c r="GN57" s="259"/>
      <c r="GO57" s="259"/>
      <c r="GP57" s="259"/>
      <c r="GQ57" s="259"/>
      <c r="GR57" s="259"/>
      <c r="GS57" s="259"/>
      <c r="GT57" s="259"/>
      <c r="GU57" s="259"/>
      <c r="GV57" s="259"/>
      <c r="GW57" s="259"/>
      <c r="GX57" s="259"/>
      <c r="GY57" s="259"/>
      <c r="GZ57" s="259"/>
      <c r="HA57" s="259"/>
      <c r="HB57" s="259"/>
      <c r="HC57" s="259"/>
      <c r="HD57" s="259"/>
      <c r="HE57" s="259"/>
      <c r="HF57" s="259"/>
      <c r="HG57" s="259"/>
      <c r="HH57" s="259"/>
      <c r="HI57" s="259"/>
      <c r="HJ57" s="259"/>
      <c r="HK57" s="259"/>
      <c r="HL57" s="259"/>
      <c r="HM57" s="259"/>
      <c r="HN57" s="259"/>
      <c r="HO57" s="259"/>
      <c r="HP57" s="259"/>
      <c r="HQ57" s="259"/>
      <c r="HR57" s="259"/>
      <c r="HS57" s="259"/>
      <c r="HT57" s="259"/>
      <c r="HU57" s="259"/>
      <c r="HV57" s="259"/>
      <c r="HW57" s="259"/>
      <c r="HX57" s="259"/>
      <c r="HY57" s="259"/>
      <c r="HZ57" s="259"/>
      <c r="IA57" s="259"/>
      <c r="IB57" s="259"/>
      <c r="IC57" s="259"/>
      <c r="ID57" s="259"/>
      <c r="IE57" s="259"/>
      <c r="IF57" s="259"/>
      <c r="IG57" s="259"/>
      <c r="IH57" s="259"/>
      <c r="II57" s="259"/>
      <c r="IJ57" s="259"/>
      <c r="IK57" s="259"/>
      <c r="IL57" s="259"/>
      <c r="IM57" s="259"/>
      <c r="IN57" s="259"/>
      <c r="IO57" s="259"/>
      <c r="IP57" s="259"/>
      <c r="IQ57" s="259"/>
      <c r="IR57" s="259"/>
      <c r="IS57" s="259"/>
      <c r="IT57" s="259"/>
      <c r="IU57" s="259"/>
      <c r="IV57" s="259"/>
      <c r="IW57" s="259"/>
    </row>
    <row r="58" spans="2:257" ht="20.100000000000001" customHeight="1">
      <c r="C58" s="2631" t="s">
        <v>345</v>
      </c>
      <c r="D58" s="2631"/>
      <c r="E58" s="952">
        <f>E57</f>
        <v>0</v>
      </c>
      <c r="F58" s="952" t="e">
        <f ca="1">F57</f>
        <v>#N/A</v>
      </c>
      <c r="G58" s="952">
        <f>E57+G57</f>
        <v>0</v>
      </c>
      <c r="H58" s="952" t="e">
        <f ca="1">G58/AC57*100</f>
        <v>#N/A</v>
      </c>
      <c r="I58" s="952">
        <f>I57+G58</f>
        <v>0</v>
      </c>
      <c r="J58" s="952" t="e">
        <f ca="1">I58/AC57*100</f>
        <v>#N/A</v>
      </c>
      <c r="K58" s="952">
        <f>K57+I58</f>
        <v>0</v>
      </c>
      <c r="L58" s="952" t="e">
        <f ca="1">K58/AC57*100</f>
        <v>#N/A</v>
      </c>
      <c r="M58" s="952">
        <f>K58+M57</f>
        <v>0</v>
      </c>
      <c r="N58" s="952" t="e">
        <f ca="1">M58/AC57*100</f>
        <v>#N/A</v>
      </c>
      <c r="O58" s="952">
        <f>O57+M58</f>
        <v>0</v>
      </c>
      <c r="P58" s="952" t="e">
        <f ca="1">O58/AC57*100</f>
        <v>#N/A</v>
      </c>
      <c r="Q58" s="952">
        <f>Q57+O58</f>
        <v>0</v>
      </c>
      <c r="R58" s="952" t="e">
        <f ca="1">Q58/AC57*100</f>
        <v>#N/A</v>
      </c>
      <c r="S58" s="952">
        <f>S57+Q58</f>
        <v>0</v>
      </c>
      <c r="T58" s="952" t="e">
        <f ca="1">S58/AC57*100</f>
        <v>#N/A</v>
      </c>
      <c r="U58" s="952">
        <f>U57+S58</f>
        <v>0</v>
      </c>
      <c r="V58" s="952" t="e">
        <f ca="1">U58/AC57*100</f>
        <v>#N/A</v>
      </c>
      <c r="W58" s="952">
        <f>W57+U58</f>
        <v>0</v>
      </c>
      <c r="X58" s="952" t="e">
        <f ca="1">W58/AC57*100</f>
        <v>#N/A</v>
      </c>
      <c r="Y58" s="952">
        <f>Y57+W58</f>
        <v>0</v>
      </c>
      <c r="Z58" s="952" t="e">
        <f ca="1">Y58/AC57*100</f>
        <v>#N/A</v>
      </c>
      <c r="AA58" s="952">
        <f>AA57+Y58</f>
        <v>0</v>
      </c>
      <c r="AB58" s="952" t="e">
        <f ca="1">AA58/AC57*100</f>
        <v>#N/A</v>
      </c>
      <c r="AC58" s="952" t="e">
        <f ca="1">AC57</f>
        <v>#N/A</v>
      </c>
      <c r="AD58" s="952" t="e">
        <f ca="1">AD57</f>
        <v>#N/A</v>
      </c>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c r="CG58" s="259"/>
      <c r="CH58" s="259"/>
      <c r="CI58" s="259"/>
      <c r="CJ58" s="259"/>
      <c r="CK58" s="259"/>
      <c r="CL58" s="259"/>
      <c r="CM58" s="259"/>
      <c r="CN58" s="259"/>
      <c r="CO58" s="259"/>
      <c r="CP58" s="259"/>
      <c r="CQ58" s="259"/>
      <c r="CR58" s="259"/>
      <c r="CS58" s="259"/>
      <c r="CT58" s="259"/>
      <c r="CU58" s="259"/>
      <c r="CV58" s="259"/>
      <c r="CW58" s="259"/>
      <c r="CX58" s="259"/>
      <c r="CY58" s="259"/>
      <c r="CZ58" s="259"/>
      <c r="DA58" s="259"/>
      <c r="DB58" s="259"/>
      <c r="DC58" s="259"/>
      <c r="DD58" s="259"/>
      <c r="DE58" s="259"/>
      <c r="DF58" s="259"/>
      <c r="DG58" s="259"/>
      <c r="DH58" s="259"/>
      <c r="DI58" s="259"/>
      <c r="DJ58" s="259"/>
      <c r="DK58" s="259"/>
      <c r="DL58" s="259"/>
      <c r="DM58" s="259"/>
      <c r="DN58" s="259"/>
      <c r="DO58" s="259"/>
      <c r="DP58" s="259"/>
      <c r="DQ58" s="259"/>
      <c r="DR58" s="259"/>
      <c r="DS58" s="259"/>
      <c r="DT58" s="259"/>
      <c r="DU58" s="259"/>
      <c r="DV58" s="259"/>
      <c r="DW58" s="259"/>
      <c r="DX58" s="259"/>
      <c r="DY58" s="259"/>
      <c r="DZ58" s="259"/>
      <c r="EA58" s="259"/>
      <c r="EB58" s="259"/>
      <c r="EC58" s="259"/>
      <c r="ED58" s="259"/>
      <c r="EE58" s="259"/>
      <c r="EF58" s="259"/>
      <c r="EG58" s="259"/>
      <c r="EH58" s="259"/>
      <c r="EI58" s="259"/>
      <c r="EJ58" s="259"/>
      <c r="EK58" s="259"/>
      <c r="EL58" s="259"/>
      <c r="EM58" s="259"/>
      <c r="EN58" s="259"/>
      <c r="EO58" s="259"/>
      <c r="EP58" s="259"/>
      <c r="EQ58" s="259"/>
      <c r="ER58" s="259"/>
      <c r="ES58" s="259"/>
      <c r="ET58" s="259"/>
      <c r="EU58" s="259"/>
      <c r="EV58" s="259"/>
      <c r="EW58" s="259"/>
      <c r="EX58" s="259"/>
      <c r="EY58" s="259"/>
      <c r="EZ58" s="259"/>
      <c r="FA58" s="259"/>
      <c r="FB58" s="259"/>
      <c r="FC58" s="259"/>
      <c r="FD58" s="259"/>
      <c r="FE58" s="259"/>
      <c r="FF58" s="259"/>
      <c r="FG58" s="259"/>
      <c r="FH58" s="259"/>
      <c r="FI58" s="259"/>
      <c r="FJ58" s="259"/>
      <c r="FK58" s="259"/>
      <c r="FL58" s="259"/>
      <c r="FM58" s="259"/>
      <c r="FN58" s="259"/>
      <c r="FO58" s="259"/>
      <c r="FP58" s="259"/>
      <c r="FQ58" s="259"/>
      <c r="FR58" s="259"/>
      <c r="FS58" s="259"/>
      <c r="FT58" s="259"/>
      <c r="FU58" s="259"/>
      <c r="FV58" s="259"/>
      <c r="FW58" s="259"/>
      <c r="FX58" s="259"/>
      <c r="FY58" s="259"/>
      <c r="FZ58" s="259"/>
      <c r="GA58" s="259"/>
      <c r="GB58" s="259"/>
      <c r="GC58" s="259"/>
      <c r="GD58" s="259"/>
      <c r="GE58" s="259"/>
      <c r="GF58" s="259"/>
      <c r="GG58" s="259"/>
      <c r="GH58" s="259"/>
      <c r="GI58" s="259"/>
      <c r="GJ58" s="259"/>
      <c r="GK58" s="259"/>
      <c r="GL58" s="259"/>
      <c r="GM58" s="259"/>
      <c r="GN58" s="259"/>
      <c r="GO58" s="259"/>
      <c r="GP58" s="259"/>
      <c r="GQ58" s="259"/>
      <c r="GR58" s="259"/>
      <c r="GS58" s="259"/>
      <c r="GT58" s="259"/>
      <c r="GU58" s="259"/>
      <c r="GV58" s="259"/>
      <c r="GW58" s="259"/>
      <c r="GX58" s="259"/>
      <c r="GY58" s="259"/>
      <c r="GZ58" s="259"/>
      <c r="HA58" s="259"/>
      <c r="HB58" s="259"/>
      <c r="HC58" s="259"/>
      <c r="HD58" s="259"/>
      <c r="HE58" s="259"/>
      <c r="HF58" s="259"/>
      <c r="HG58" s="259"/>
      <c r="HH58" s="259"/>
      <c r="HI58" s="259"/>
      <c r="HJ58" s="259"/>
      <c r="HK58" s="259"/>
      <c r="HL58" s="259"/>
      <c r="HM58" s="259"/>
      <c r="HN58" s="259"/>
      <c r="HO58" s="259"/>
      <c r="HP58" s="259"/>
      <c r="HQ58" s="259"/>
      <c r="HR58" s="259"/>
      <c r="HS58" s="259"/>
      <c r="HT58" s="259"/>
      <c r="HU58" s="259"/>
      <c r="HV58" s="259"/>
      <c r="HW58" s="259"/>
      <c r="HX58" s="259"/>
      <c r="HY58" s="259"/>
      <c r="HZ58" s="259"/>
      <c r="IA58" s="259"/>
      <c r="IB58" s="259"/>
      <c r="IC58" s="259"/>
      <c r="ID58" s="259"/>
      <c r="IE58" s="259"/>
      <c r="IF58" s="259"/>
      <c r="IG58" s="259"/>
      <c r="IH58" s="259"/>
      <c r="II58" s="259"/>
      <c r="IJ58" s="259"/>
      <c r="IK58" s="259"/>
      <c r="IL58" s="259"/>
      <c r="IM58" s="259"/>
      <c r="IN58" s="259"/>
      <c r="IO58" s="259"/>
      <c r="IP58" s="259"/>
      <c r="IQ58" s="259"/>
      <c r="IR58" s="259"/>
      <c r="IS58" s="259"/>
      <c r="IT58" s="259"/>
      <c r="IU58" s="259"/>
      <c r="IV58" s="259"/>
      <c r="IW58" s="259"/>
    </row>
    <row r="59" spans="2:257" ht="13.5" thickBot="1"/>
    <row r="60" spans="2:257" s="1128" customFormat="1" ht="27" customHeight="1" thickBot="1">
      <c r="C60" s="1129" t="s">
        <v>2558</v>
      </c>
      <c r="D60" s="1130"/>
      <c r="E60" s="1133">
        <v>0</v>
      </c>
      <c r="F60" s="1131"/>
      <c r="G60" s="1133">
        <v>0</v>
      </c>
      <c r="H60" s="1131"/>
      <c r="I60" s="1133">
        <v>0</v>
      </c>
      <c r="J60" s="1131"/>
      <c r="K60" s="1133">
        <v>0</v>
      </c>
      <c r="L60" s="1131"/>
      <c r="M60" s="1133">
        <v>0</v>
      </c>
      <c r="N60" s="1131"/>
      <c r="O60" s="1133">
        <v>0</v>
      </c>
      <c r="P60" s="1131"/>
      <c r="Q60" s="1133">
        <v>0</v>
      </c>
      <c r="R60" s="1131"/>
      <c r="S60" s="1133">
        <v>0</v>
      </c>
      <c r="T60" s="1131"/>
      <c r="U60" s="1133">
        <v>0</v>
      </c>
      <c r="V60" s="1131"/>
      <c r="W60" s="1133">
        <v>0</v>
      </c>
      <c r="X60" s="1131"/>
      <c r="Y60" s="1133">
        <v>0</v>
      </c>
      <c r="Z60" s="1131"/>
      <c r="AA60" s="1133">
        <v>0</v>
      </c>
      <c r="AB60" s="1132"/>
      <c r="AC60" s="1127"/>
      <c r="AD60" s="1127"/>
    </row>
    <row r="68" spans="11:11">
      <c r="K68" s="761" t="s">
        <v>13361</v>
      </c>
    </row>
  </sheetData>
  <mergeCells count="8">
    <mergeCell ref="C3:AD5"/>
    <mergeCell ref="C6:AD7"/>
    <mergeCell ref="C57:D57"/>
    <mergeCell ref="C58:D58"/>
    <mergeCell ref="C11:AD11"/>
    <mergeCell ref="D8:AD8"/>
    <mergeCell ref="D9:AD9"/>
    <mergeCell ref="D10:AD10"/>
  </mergeCells>
  <printOptions horizontalCentered="1"/>
  <pageMargins left="0.19685039370078741" right="0.19685039370078741" top="0.78740157480314965" bottom="0.78740157480314965" header="0.19685039370078741" footer="0.19685039370078741"/>
  <pageSetup paperSize="9" scale="35" fitToHeight="100" orientation="landscape" r:id="rId1"/>
  <headerFooter scaleWithDoc="0" alignWithMargins="0">
    <oddHeader>&amp;RPágina &amp;P de &amp;N</oddHeader>
  </headerFooter>
  <ignoredErrors>
    <ignoredError sqref="F15"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4">
    <tabColor theme="3" tint="0.79998168889431442"/>
    <pageSetUpPr fitToPage="1"/>
  </sheetPr>
  <dimension ref="B2:AE54"/>
  <sheetViews>
    <sheetView view="pageBreakPreview" zoomScale="40" zoomScaleNormal="55" zoomScaleSheetLayoutView="40" workbookViewId="0">
      <selection activeCell="AG38" sqref="AG38"/>
    </sheetView>
  </sheetViews>
  <sheetFormatPr defaultRowHeight="12.75"/>
  <cols>
    <col min="1" max="1" width="9.140625" style="761"/>
    <col min="2" max="2" width="4" style="761" customWidth="1"/>
    <col min="3" max="3" width="11" style="761" customWidth="1"/>
    <col min="4" max="4" width="72" style="761" customWidth="1"/>
    <col min="5" max="30" width="20.7109375" style="761" customWidth="1"/>
    <col min="31" max="33" width="9.140625" style="761"/>
    <col min="34" max="34" width="4" style="761" customWidth="1"/>
    <col min="35" max="35" width="34.5703125" style="761" customWidth="1"/>
    <col min="36" max="36" width="11.85546875" style="761" bestFit="1" customWidth="1"/>
    <col min="37" max="37" width="8.140625" style="761" customWidth="1"/>
    <col min="38" max="38" width="13.85546875" style="761" bestFit="1" customWidth="1"/>
    <col min="39" max="39" width="8.140625" style="761" customWidth="1"/>
    <col min="40" max="40" width="13.85546875" style="761" bestFit="1" customWidth="1"/>
    <col min="41" max="41" width="8.7109375" style="761" customWidth="1"/>
    <col min="42" max="42" width="13.5703125" style="761" bestFit="1" customWidth="1"/>
    <col min="43" max="43" width="9" style="761" customWidth="1"/>
    <col min="44" max="44" width="13.5703125" style="761" bestFit="1" customWidth="1"/>
    <col min="45" max="45" width="9" style="761" bestFit="1" customWidth="1"/>
    <col min="46" max="46" width="13.5703125" style="761" bestFit="1" customWidth="1"/>
    <col min="47" max="47" width="9" style="761" bestFit="1" customWidth="1"/>
    <col min="48" max="48" width="13.85546875" style="761" bestFit="1" customWidth="1"/>
    <col min="49" max="49" width="8.7109375" style="761" bestFit="1" customWidth="1"/>
    <col min="50" max="50" width="13.85546875" style="761" bestFit="1" customWidth="1"/>
    <col min="51" max="51" width="8.7109375" style="761" bestFit="1" customWidth="1"/>
    <col min="52" max="52" width="13.85546875" style="761" bestFit="1" customWidth="1"/>
    <col min="53" max="53" width="8.7109375" style="761" bestFit="1" customWidth="1"/>
    <col min="54" max="54" width="13.85546875" style="761" bestFit="1" customWidth="1"/>
    <col min="55" max="55" width="8.7109375" style="761" bestFit="1" customWidth="1"/>
    <col min="56" max="56" width="13.85546875" style="761" bestFit="1" customWidth="1"/>
    <col min="57" max="57" width="8.7109375" style="761" bestFit="1" customWidth="1"/>
    <col min="58" max="58" width="13.85546875" style="761" bestFit="1" customWidth="1"/>
    <col min="59" max="59" width="8.7109375" style="761" bestFit="1" customWidth="1"/>
    <col min="60" max="60" width="17.85546875" style="761" bestFit="1" customWidth="1"/>
    <col min="61" max="62" width="9.140625" style="761"/>
    <col min="63" max="63" width="10" style="761" bestFit="1" customWidth="1"/>
    <col min="64" max="289" width="9.140625" style="761"/>
    <col min="290" max="290" width="4" style="761" customWidth="1"/>
    <col min="291" max="291" width="34.5703125" style="761" customWidth="1"/>
    <col min="292" max="292" width="11.85546875" style="761" bestFit="1" customWidth="1"/>
    <col min="293" max="293" width="8.140625" style="761" customWidth="1"/>
    <col min="294" max="294" width="13.85546875" style="761" bestFit="1" customWidth="1"/>
    <col min="295" max="295" width="8.140625" style="761" customWidth="1"/>
    <col min="296" max="296" width="13.85546875" style="761" bestFit="1" customWidth="1"/>
    <col min="297" max="297" width="8.7109375" style="761" customWidth="1"/>
    <col min="298" max="298" width="13.5703125" style="761" bestFit="1" customWidth="1"/>
    <col min="299" max="299" width="9" style="761" customWidth="1"/>
    <col min="300" max="300" width="13.5703125" style="761" bestFit="1" customWidth="1"/>
    <col min="301" max="301" width="9" style="761" bestFit="1" customWidth="1"/>
    <col min="302" max="302" width="13.5703125" style="761" bestFit="1" customWidth="1"/>
    <col min="303" max="303" width="9" style="761" bestFit="1" customWidth="1"/>
    <col min="304" max="304" width="13.85546875" style="761" bestFit="1" customWidth="1"/>
    <col min="305" max="305" width="8.7109375" style="761" bestFit="1" customWidth="1"/>
    <col min="306" max="306" width="13.85546875" style="761" bestFit="1" customWidth="1"/>
    <col min="307" max="307" width="8.7109375" style="761" bestFit="1" customWidth="1"/>
    <col min="308" max="308" width="13.85546875" style="761" bestFit="1" customWidth="1"/>
    <col min="309" max="309" width="8.7109375" style="761" bestFit="1" customWidth="1"/>
    <col min="310" max="310" width="13.85546875" style="761" bestFit="1" customWidth="1"/>
    <col min="311" max="311" width="8.7109375" style="761" bestFit="1" customWidth="1"/>
    <col min="312" max="312" width="13.85546875" style="761" bestFit="1" customWidth="1"/>
    <col min="313" max="313" width="8.7109375" style="761" bestFit="1" customWidth="1"/>
    <col min="314" max="314" width="13.85546875" style="761" bestFit="1" customWidth="1"/>
    <col min="315" max="315" width="8.7109375" style="761" bestFit="1" customWidth="1"/>
    <col min="316" max="316" width="17.85546875" style="761" bestFit="1" customWidth="1"/>
    <col min="317" max="318" width="9.140625" style="761"/>
    <col min="319" max="319" width="10" style="761" bestFit="1" customWidth="1"/>
    <col min="320" max="545" width="9.140625" style="761"/>
    <col min="546" max="546" width="4" style="761" customWidth="1"/>
    <col min="547" max="547" width="34.5703125" style="761" customWidth="1"/>
    <col min="548" max="548" width="11.85546875" style="761" bestFit="1" customWidth="1"/>
    <col min="549" max="549" width="8.140625" style="761" customWidth="1"/>
    <col min="550" max="550" width="13.85546875" style="761" bestFit="1" customWidth="1"/>
    <col min="551" max="551" width="8.140625" style="761" customWidth="1"/>
    <col min="552" max="552" width="13.85546875" style="761" bestFit="1" customWidth="1"/>
    <col min="553" max="553" width="8.7109375" style="761" customWidth="1"/>
    <col min="554" max="554" width="13.5703125" style="761" bestFit="1" customWidth="1"/>
    <col min="555" max="555" width="9" style="761" customWidth="1"/>
    <col min="556" max="556" width="13.5703125" style="761" bestFit="1" customWidth="1"/>
    <col min="557" max="557" width="9" style="761" bestFit="1" customWidth="1"/>
    <col min="558" max="558" width="13.5703125" style="761" bestFit="1" customWidth="1"/>
    <col min="559" max="559" width="9" style="761" bestFit="1" customWidth="1"/>
    <col min="560" max="560" width="13.85546875" style="761" bestFit="1" customWidth="1"/>
    <col min="561" max="561" width="8.7109375" style="761" bestFit="1" customWidth="1"/>
    <col min="562" max="562" width="13.85546875" style="761" bestFit="1" customWidth="1"/>
    <col min="563" max="563" width="8.7109375" style="761" bestFit="1" customWidth="1"/>
    <col min="564" max="564" width="13.85546875" style="761" bestFit="1" customWidth="1"/>
    <col min="565" max="565" width="8.7109375" style="761" bestFit="1" customWidth="1"/>
    <col min="566" max="566" width="13.85546875" style="761" bestFit="1" customWidth="1"/>
    <col min="567" max="567" width="8.7109375" style="761" bestFit="1" customWidth="1"/>
    <col min="568" max="568" width="13.85546875" style="761" bestFit="1" customWidth="1"/>
    <col min="569" max="569" width="8.7109375" style="761" bestFit="1" customWidth="1"/>
    <col min="570" max="570" width="13.85546875" style="761" bestFit="1" customWidth="1"/>
    <col min="571" max="571" width="8.7109375" style="761" bestFit="1" customWidth="1"/>
    <col min="572" max="572" width="17.85546875" style="761" bestFit="1" customWidth="1"/>
    <col min="573" max="574" width="9.140625" style="761"/>
    <col min="575" max="575" width="10" style="761" bestFit="1" customWidth="1"/>
    <col min="576" max="801" width="9.140625" style="761"/>
    <col min="802" max="802" width="4" style="761" customWidth="1"/>
    <col min="803" max="803" width="34.5703125" style="761" customWidth="1"/>
    <col min="804" max="804" width="11.85546875" style="761" bestFit="1" customWidth="1"/>
    <col min="805" max="805" width="8.140625" style="761" customWidth="1"/>
    <col min="806" max="806" width="13.85546875" style="761" bestFit="1" customWidth="1"/>
    <col min="807" max="807" width="8.140625" style="761" customWidth="1"/>
    <col min="808" max="808" width="13.85546875" style="761" bestFit="1" customWidth="1"/>
    <col min="809" max="809" width="8.7109375" style="761" customWidth="1"/>
    <col min="810" max="810" width="13.5703125" style="761" bestFit="1" customWidth="1"/>
    <col min="811" max="811" width="9" style="761" customWidth="1"/>
    <col min="812" max="812" width="13.5703125" style="761" bestFit="1" customWidth="1"/>
    <col min="813" max="813" width="9" style="761" bestFit="1" customWidth="1"/>
    <col min="814" max="814" width="13.5703125" style="761" bestFit="1" customWidth="1"/>
    <col min="815" max="815" width="9" style="761" bestFit="1" customWidth="1"/>
    <col min="816" max="816" width="13.85546875" style="761" bestFit="1" customWidth="1"/>
    <col min="817" max="817" width="8.7109375" style="761" bestFit="1" customWidth="1"/>
    <col min="818" max="818" width="13.85546875" style="761" bestFit="1" customWidth="1"/>
    <col min="819" max="819" width="8.7109375" style="761" bestFit="1" customWidth="1"/>
    <col min="820" max="820" width="13.85546875" style="761" bestFit="1" customWidth="1"/>
    <col min="821" max="821" width="8.7109375" style="761" bestFit="1" customWidth="1"/>
    <col min="822" max="822" width="13.85546875" style="761" bestFit="1" customWidth="1"/>
    <col min="823" max="823" width="8.7109375" style="761" bestFit="1" customWidth="1"/>
    <col min="824" max="824" width="13.85546875" style="761" bestFit="1" customWidth="1"/>
    <col min="825" max="825" width="8.7109375" style="761" bestFit="1" customWidth="1"/>
    <col min="826" max="826" width="13.85546875" style="761" bestFit="1" customWidth="1"/>
    <col min="827" max="827" width="8.7109375" style="761" bestFit="1" customWidth="1"/>
    <col min="828" max="828" width="17.85546875" style="761" bestFit="1" customWidth="1"/>
    <col min="829" max="830" width="9.140625" style="761"/>
    <col min="831" max="831" width="10" style="761" bestFit="1" customWidth="1"/>
    <col min="832" max="1057" width="9.140625" style="761"/>
    <col min="1058" max="1058" width="4" style="761" customWidth="1"/>
    <col min="1059" max="1059" width="34.5703125" style="761" customWidth="1"/>
    <col min="1060" max="1060" width="11.85546875" style="761" bestFit="1" customWidth="1"/>
    <col min="1061" max="1061" width="8.140625" style="761" customWidth="1"/>
    <col min="1062" max="1062" width="13.85546875" style="761" bestFit="1" customWidth="1"/>
    <col min="1063" max="1063" width="8.140625" style="761" customWidth="1"/>
    <col min="1064" max="1064" width="13.85546875" style="761" bestFit="1" customWidth="1"/>
    <col min="1065" max="1065" width="8.7109375" style="761" customWidth="1"/>
    <col min="1066" max="1066" width="13.5703125" style="761" bestFit="1" customWidth="1"/>
    <col min="1067" max="1067" width="9" style="761" customWidth="1"/>
    <col min="1068" max="1068" width="13.5703125" style="761" bestFit="1" customWidth="1"/>
    <col min="1069" max="1069" width="9" style="761" bestFit="1" customWidth="1"/>
    <col min="1070" max="1070" width="13.5703125" style="761" bestFit="1" customWidth="1"/>
    <col min="1071" max="1071" width="9" style="761" bestFit="1" customWidth="1"/>
    <col min="1072" max="1072" width="13.85546875" style="761" bestFit="1" customWidth="1"/>
    <col min="1073" max="1073" width="8.7109375" style="761" bestFit="1" customWidth="1"/>
    <col min="1074" max="1074" width="13.85546875" style="761" bestFit="1" customWidth="1"/>
    <col min="1075" max="1075" width="8.7109375" style="761" bestFit="1" customWidth="1"/>
    <col min="1076" max="1076" width="13.85546875" style="761" bestFit="1" customWidth="1"/>
    <col min="1077" max="1077" width="8.7109375" style="761" bestFit="1" customWidth="1"/>
    <col min="1078" max="1078" width="13.85546875" style="761" bestFit="1" customWidth="1"/>
    <col min="1079" max="1079" width="8.7109375" style="761" bestFit="1" customWidth="1"/>
    <col min="1080" max="1080" width="13.85546875" style="761" bestFit="1" customWidth="1"/>
    <col min="1081" max="1081" width="8.7109375" style="761" bestFit="1" customWidth="1"/>
    <col min="1082" max="1082" width="13.85546875" style="761" bestFit="1" customWidth="1"/>
    <col min="1083" max="1083" width="8.7109375" style="761" bestFit="1" customWidth="1"/>
    <col min="1084" max="1084" width="17.85546875" style="761" bestFit="1" customWidth="1"/>
    <col min="1085" max="1086" width="9.140625" style="761"/>
    <col min="1087" max="1087" width="10" style="761" bestFit="1" customWidth="1"/>
    <col min="1088" max="1313" width="9.140625" style="761"/>
    <col min="1314" max="1314" width="4" style="761" customWidth="1"/>
    <col min="1315" max="1315" width="34.5703125" style="761" customWidth="1"/>
    <col min="1316" max="1316" width="11.85546875" style="761" bestFit="1" customWidth="1"/>
    <col min="1317" max="1317" width="8.140625" style="761" customWidth="1"/>
    <col min="1318" max="1318" width="13.85546875" style="761" bestFit="1" customWidth="1"/>
    <col min="1319" max="1319" width="8.140625" style="761" customWidth="1"/>
    <col min="1320" max="1320" width="13.85546875" style="761" bestFit="1" customWidth="1"/>
    <col min="1321" max="1321" width="8.7109375" style="761" customWidth="1"/>
    <col min="1322" max="1322" width="13.5703125" style="761" bestFit="1" customWidth="1"/>
    <col min="1323" max="1323" width="9" style="761" customWidth="1"/>
    <col min="1324" max="1324" width="13.5703125" style="761" bestFit="1" customWidth="1"/>
    <col min="1325" max="1325" width="9" style="761" bestFit="1" customWidth="1"/>
    <col min="1326" max="1326" width="13.5703125" style="761" bestFit="1" customWidth="1"/>
    <col min="1327" max="1327" width="9" style="761" bestFit="1" customWidth="1"/>
    <col min="1328" max="1328" width="13.85546875" style="761" bestFit="1" customWidth="1"/>
    <col min="1329" max="1329" width="8.7109375" style="761" bestFit="1" customWidth="1"/>
    <col min="1330" max="1330" width="13.85546875" style="761" bestFit="1" customWidth="1"/>
    <col min="1331" max="1331" width="8.7109375" style="761" bestFit="1" customWidth="1"/>
    <col min="1332" max="1332" width="13.85546875" style="761" bestFit="1" customWidth="1"/>
    <col min="1333" max="1333" width="8.7109375" style="761" bestFit="1" customWidth="1"/>
    <col min="1334" max="1334" width="13.85546875" style="761" bestFit="1" customWidth="1"/>
    <col min="1335" max="1335" width="8.7109375" style="761" bestFit="1" customWidth="1"/>
    <col min="1336" max="1336" width="13.85546875" style="761" bestFit="1" customWidth="1"/>
    <col min="1337" max="1337" width="8.7109375" style="761" bestFit="1" customWidth="1"/>
    <col min="1338" max="1338" width="13.85546875" style="761" bestFit="1" customWidth="1"/>
    <col min="1339" max="1339" width="8.7109375" style="761" bestFit="1" customWidth="1"/>
    <col min="1340" max="1340" width="17.85546875" style="761" bestFit="1" customWidth="1"/>
    <col min="1341" max="1342" width="9.140625" style="761"/>
    <col min="1343" max="1343" width="10" style="761" bestFit="1" customWidth="1"/>
    <col min="1344" max="1569" width="9.140625" style="761"/>
    <col min="1570" max="1570" width="4" style="761" customWidth="1"/>
    <col min="1571" max="1571" width="34.5703125" style="761" customWidth="1"/>
    <col min="1572" max="1572" width="11.85546875" style="761" bestFit="1" customWidth="1"/>
    <col min="1573" max="1573" width="8.140625" style="761" customWidth="1"/>
    <col min="1574" max="1574" width="13.85546875" style="761" bestFit="1" customWidth="1"/>
    <col min="1575" max="1575" width="8.140625" style="761" customWidth="1"/>
    <col min="1576" max="1576" width="13.85546875" style="761" bestFit="1" customWidth="1"/>
    <col min="1577" max="1577" width="8.7109375" style="761" customWidth="1"/>
    <col min="1578" max="1578" width="13.5703125" style="761" bestFit="1" customWidth="1"/>
    <col min="1579" max="1579" width="9" style="761" customWidth="1"/>
    <col min="1580" max="1580" width="13.5703125" style="761" bestFit="1" customWidth="1"/>
    <col min="1581" max="1581" width="9" style="761" bestFit="1" customWidth="1"/>
    <col min="1582" max="1582" width="13.5703125" style="761" bestFit="1" customWidth="1"/>
    <col min="1583" max="1583" width="9" style="761" bestFit="1" customWidth="1"/>
    <col min="1584" max="1584" width="13.85546875" style="761" bestFit="1" customWidth="1"/>
    <col min="1585" max="1585" width="8.7109375" style="761" bestFit="1" customWidth="1"/>
    <col min="1586" max="1586" width="13.85546875" style="761" bestFit="1" customWidth="1"/>
    <col min="1587" max="1587" width="8.7109375" style="761" bestFit="1" customWidth="1"/>
    <col min="1588" max="1588" width="13.85546875" style="761" bestFit="1" customWidth="1"/>
    <col min="1589" max="1589" width="8.7109375" style="761" bestFit="1" customWidth="1"/>
    <col min="1590" max="1590" width="13.85546875" style="761" bestFit="1" customWidth="1"/>
    <col min="1591" max="1591" width="8.7109375" style="761" bestFit="1" customWidth="1"/>
    <col min="1592" max="1592" width="13.85546875" style="761" bestFit="1" customWidth="1"/>
    <col min="1593" max="1593" width="8.7109375" style="761" bestFit="1" customWidth="1"/>
    <col min="1594" max="1594" width="13.85546875" style="761" bestFit="1" customWidth="1"/>
    <col min="1595" max="1595" width="8.7109375" style="761" bestFit="1" customWidth="1"/>
    <col min="1596" max="1596" width="17.85546875" style="761" bestFit="1" customWidth="1"/>
    <col min="1597" max="1598" width="9.140625" style="761"/>
    <col min="1599" max="1599" width="10" style="761" bestFit="1" customWidth="1"/>
    <col min="1600" max="1825" width="9.140625" style="761"/>
    <col min="1826" max="1826" width="4" style="761" customWidth="1"/>
    <col min="1827" max="1827" width="34.5703125" style="761" customWidth="1"/>
    <col min="1828" max="1828" width="11.85546875" style="761" bestFit="1" customWidth="1"/>
    <col min="1829" max="1829" width="8.140625" style="761" customWidth="1"/>
    <col min="1830" max="1830" width="13.85546875" style="761" bestFit="1" customWidth="1"/>
    <col min="1831" max="1831" width="8.140625" style="761" customWidth="1"/>
    <col min="1832" max="1832" width="13.85546875" style="761" bestFit="1" customWidth="1"/>
    <col min="1833" max="1833" width="8.7109375" style="761" customWidth="1"/>
    <col min="1834" max="1834" width="13.5703125" style="761" bestFit="1" customWidth="1"/>
    <col min="1835" max="1835" width="9" style="761" customWidth="1"/>
    <col min="1836" max="1836" width="13.5703125" style="761" bestFit="1" customWidth="1"/>
    <col min="1837" max="1837" width="9" style="761" bestFit="1" customWidth="1"/>
    <col min="1838" max="1838" width="13.5703125" style="761" bestFit="1" customWidth="1"/>
    <col min="1839" max="1839" width="9" style="761" bestFit="1" customWidth="1"/>
    <col min="1840" max="1840" width="13.85546875" style="761" bestFit="1" customWidth="1"/>
    <col min="1841" max="1841" width="8.7109375" style="761" bestFit="1" customWidth="1"/>
    <col min="1842" max="1842" width="13.85546875" style="761" bestFit="1" customWidth="1"/>
    <col min="1843" max="1843" width="8.7109375" style="761" bestFit="1" customWidth="1"/>
    <col min="1844" max="1844" width="13.85546875" style="761" bestFit="1" customWidth="1"/>
    <col min="1845" max="1845" width="8.7109375" style="761" bestFit="1" customWidth="1"/>
    <col min="1846" max="1846" width="13.85546875" style="761" bestFit="1" customWidth="1"/>
    <col min="1847" max="1847" width="8.7109375" style="761" bestFit="1" customWidth="1"/>
    <col min="1848" max="1848" width="13.85546875" style="761" bestFit="1" customWidth="1"/>
    <col min="1849" max="1849" width="8.7109375" style="761" bestFit="1" customWidth="1"/>
    <col min="1850" max="1850" width="13.85546875" style="761" bestFit="1" customWidth="1"/>
    <col min="1851" max="1851" width="8.7109375" style="761" bestFit="1" customWidth="1"/>
    <col min="1852" max="1852" width="17.85546875" style="761" bestFit="1" customWidth="1"/>
    <col min="1853" max="1854" width="9.140625" style="761"/>
    <col min="1855" max="1855" width="10" style="761" bestFit="1" customWidth="1"/>
    <col min="1856" max="2081" width="9.140625" style="761"/>
    <col min="2082" max="2082" width="4" style="761" customWidth="1"/>
    <col min="2083" max="2083" width="34.5703125" style="761" customWidth="1"/>
    <col min="2084" max="2084" width="11.85546875" style="761" bestFit="1" customWidth="1"/>
    <col min="2085" max="2085" width="8.140625" style="761" customWidth="1"/>
    <col min="2086" max="2086" width="13.85546875" style="761" bestFit="1" customWidth="1"/>
    <col min="2087" max="2087" width="8.140625" style="761" customWidth="1"/>
    <col min="2088" max="2088" width="13.85546875" style="761" bestFit="1" customWidth="1"/>
    <col min="2089" max="2089" width="8.7109375" style="761" customWidth="1"/>
    <col min="2090" max="2090" width="13.5703125" style="761" bestFit="1" customWidth="1"/>
    <col min="2091" max="2091" width="9" style="761" customWidth="1"/>
    <col min="2092" max="2092" width="13.5703125" style="761" bestFit="1" customWidth="1"/>
    <col min="2093" max="2093" width="9" style="761" bestFit="1" customWidth="1"/>
    <col min="2094" max="2094" width="13.5703125" style="761" bestFit="1" customWidth="1"/>
    <col min="2095" max="2095" width="9" style="761" bestFit="1" customWidth="1"/>
    <col min="2096" max="2096" width="13.85546875" style="761" bestFit="1" customWidth="1"/>
    <col min="2097" max="2097" width="8.7109375" style="761" bestFit="1" customWidth="1"/>
    <col min="2098" max="2098" width="13.85546875" style="761" bestFit="1" customWidth="1"/>
    <col min="2099" max="2099" width="8.7109375" style="761" bestFit="1" customWidth="1"/>
    <col min="2100" max="2100" width="13.85546875" style="761" bestFit="1" customWidth="1"/>
    <col min="2101" max="2101" width="8.7109375" style="761" bestFit="1" customWidth="1"/>
    <col min="2102" max="2102" width="13.85546875" style="761" bestFit="1" customWidth="1"/>
    <col min="2103" max="2103" width="8.7109375" style="761" bestFit="1" customWidth="1"/>
    <col min="2104" max="2104" width="13.85546875" style="761" bestFit="1" customWidth="1"/>
    <col min="2105" max="2105" width="8.7109375" style="761" bestFit="1" customWidth="1"/>
    <col min="2106" max="2106" width="13.85546875" style="761" bestFit="1" customWidth="1"/>
    <col min="2107" max="2107" width="8.7109375" style="761" bestFit="1" customWidth="1"/>
    <col min="2108" max="2108" width="17.85546875" style="761" bestFit="1" customWidth="1"/>
    <col min="2109" max="2110" width="9.140625" style="761"/>
    <col min="2111" max="2111" width="10" style="761" bestFit="1" customWidth="1"/>
    <col min="2112" max="2337" width="9.140625" style="761"/>
    <col min="2338" max="2338" width="4" style="761" customWidth="1"/>
    <col min="2339" max="2339" width="34.5703125" style="761" customWidth="1"/>
    <col min="2340" max="2340" width="11.85546875" style="761" bestFit="1" customWidth="1"/>
    <col min="2341" max="2341" width="8.140625" style="761" customWidth="1"/>
    <col min="2342" max="2342" width="13.85546875" style="761" bestFit="1" customWidth="1"/>
    <col min="2343" max="2343" width="8.140625" style="761" customWidth="1"/>
    <col min="2344" max="2344" width="13.85546875" style="761" bestFit="1" customWidth="1"/>
    <col min="2345" max="2345" width="8.7109375" style="761" customWidth="1"/>
    <col min="2346" max="2346" width="13.5703125" style="761" bestFit="1" customWidth="1"/>
    <col min="2347" max="2347" width="9" style="761" customWidth="1"/>
    <col min="2348" max="2348" width="13.5703125" style="761" bestFit="1" customWidth="1"/>
    <col min="2349" max="2349" width="9" style="761" bestFit="1" customWidth="1"/>
    <col min="2350" max="2350" width="13.5703125" style="761" bestFit="1" customWidth="1"/>
    <col min="2351" max="2351" width="9" style="761" bestFit="1" customWidth="1"/>
    <col min="2352" max="2352" width="13.85546875" style="761" bestFit="1" customWidth="1"/>
    <col min="2353" max="2353" width="8.7109375" style="761" bestFit="1" customWidth="1"/>
    <col min="2354" max="2354" width="13.85546875" style="761" bestFit="1" customWidth="1"/>
    <col min="2355" max="2355" width="8.7109375" style="761" bestFit="1" customWidth="1"/>
    <col min="2356" max="2356" width="13.85546875" style="761" bestFit="1" customWidth="1"/>
    <col min="2357" max="2357" width="8.7109375" style="761" bestFit="1" customWidth="1"/>
    <col min="2358" max="2358" width="13.85546875" style="761" bestFit="1" customWidth="1"/>
    <col min="2359" max="2359" width="8.7109375" style="761" bestFit="1" customWidth="1"/>
    <col min="2360" max="2360" width="13.85546875" style="761" bestFit="1" customWidth="1"/>
    <col min="2361" max="2361" width="8.7109375" style="761" bestFit="1" customWidth="1"/>
    <col min="2362" max="2362" width="13.85546875" style="761" bestFit="1" customWidth="1"/>
    <col min="2363" max="2363" width="8.7109375" style="761" bestFit="1" customWidth="1"/>
    <col min="2364" max="2364" width="17.85546875" style="761" bestFit="1" customWidth="1"/>
    <col min="2365" max="2366" width="9.140625" style="761"/>
    <col min="2367" max="2367" width="10" style="761" bestFit="1" customWidth="1"/>
    <col min="2368" max="2593" width="9.140625" style="761"/>
    <col min="2594" max="2594" width="4" style="761" customWidth="1"/>
    <col min="2595" max="2595" width="34.5703125" style="761" customWidth="1"/>
    <col min="2596" max="2596" width="11.85546875" style="761" bestFit="1" customWidth="1"/>
    <col min="2597" max="2597" width="8.140625" style="761" customWidth="1"/>
    <col min="2598" max="2598" width="13.85546875" style="761" bestFit="1" customWidth="1"/>
    <col min="2599" max="2599" width="8.140625" style="761" customWidth="1"/>
    <col min="2600" max="2600" width="13.85546875" style="761" bestFit="1" customWidth="1"/>
    <col min="2601" max="2601" width="8.7109375" style="761" customWidth="1"/>
    <col min="2602" max="2602" width="13.5703125" style="761" bestFit="1" customWidth="1"/>
    <col min="2603" max="2603" width="9" style="761" customWidth="1"/>
    <col min="2604" max="2604" width="13.5703125" style="761" bestFit="1" customWidth="1"/>
    <col min="2605" max="2605" width="9" style="761" bestFit="1" customWidth="1"/>
    <col min="2606" max="2606" width="13.5703125" style="761" bestFit="1" customWidth="1"/>
    <col min="2607" max="2607" width="9" style="761" bestFit="1" customWidth="1"/>
    <col min="2608" max="2608" width="13.85546875" style="761" bestFit="1" customWidth="1"/>
    <col min="2609" max="2609" width="8.7109375" style="761" bestFit="1" customWidth="1"/>
    <col min="2610" max="2610" width="13.85546875" style="761" bestFit="1" customWidth="1"/>
    <col min="2611" max="2611" width="8.7109375" style="761" bestFit="1" customWidth="1"/>
    <col min="2612" max="2612" width="13.85546875" style="761" bestFit="1" customWidth="1"/>
    <col min="2613" max="2613" width="8.7109375" style="761" bestFit="1" customWidth="1"/>
    <col min="2614" max="2614" width="13.85546875" style="761" bestFit="1" customWidth="1"/>
    <col min="2615" max="2615" width="8.7109375" style="761" bestFit="1" customWidth="1"/>
    <col min="2616" max="2616" width="13.85546875" style="761" bestFit="1" customWidth="1"/>
    <col min="2617" max="2617" width="8.7109375" style="761" bestFit="1" customWidth="1"/>
    <col min="2618" max="2618" width="13.85546875" style="761" bestFit="1" customWidth="1"/>
    <col min="2619" max="2619" width="8.7109375" style="761" bestFit="1" customWidth="1"/>
    <col min="2620" max="2620" width="17.85546875" style="761" bestFit="1" customWidth="1"/>
    <col min="2621" max="2622" width="9.140625" style="761"/>
    <col min="2623" max="2623" width="10" style="761" bestFit="1" customWidth="1"/>
    <col min="2624" max="2849" width="9.140625" style="761"/>
    <col min="2850" max="2850" width="4" style="761" customWidth="1"/>
    <col min="2851" max="2851" width="34.5703125" style="761" customWidth="1"/>
    <col min="2852" max="2852" width="11.85546875" style="761" bestFit="1" customWidth="1"/>
    <col min="2853" max="2853" width="8.140625" style="761" customWidth="1"/>
    <col min="2854" max="2854" width="13.85546875" style="761" bestFit="1" customWidth="1"/>
    <col min="2855" max="2855" width="8.140625" style="761" customWidth="1"/>
    <col min="2856" max="2856" width="13.85546875" style="761" bestFit="1" customWidth="1"/>
    <col min="2857" max="2857" width="8.7109375" style="761" customWidth="1"/>
    <col min="2858" max="2858" width="13.5703125" style="761" bestFit="1" customWidth="1"/>
    <col min="2859" max="2859" width="9" style="761" customWidth="1"/>
    <col min="2860" max="2860" width="13.5703125" style="761" bestFit="1" customWidth="1"/>
    <col min="2861" max="2861" width="9" style="761" bestFit="1" customWidth="1"/>
    <col min="2862" max="2862" width="13.5703125" style="761" bestFit="1" customWidth="1"/>
    <col min="2863" max="2863" width="9" style="761" bestFit="1" customWidth="1"/>
    <col min="2864" max="2864" width="13.85546875" style="761" bestFit="1" customWidth="1"/>
    <col min="2865" max="2865" width="8.7109375" style="761" bestFit="1" customWidth="1"/>
    <col min="2866" max="2866" width="13.85546875" style="761" bestFit="1" customWidth="1"/>
    <col min="2867" max="2867" width="8.7109375" style="761" bestFit="1" customWidth="1"/>
    <col min="2868" max="2868" width="13.85546875" style="761" bestFit="1" customWidth="1"/>
    <col min="2869" max="2869" width="8.7109375" style="761" bestFit="1" customWidth="1"/>
    <col min="2870" max="2870" width="13.85546875" style="761" bestFit="1" customWidth="1"/>
    <col min="2871" max="2871" width="8.7109375" style="761" bestFit="1" customWidth="1"/>
    <col min="2872" max="2872" width="13.85546875" style="761" bestFit="1" customWidth="1"/>
    <col min="2873" max="2873" width="8.7109375" style="761" bestFit="1" customWidth="1"/>
    <col min="2874" max="2874" width="13.85546875" style="761" bestFit="1" customWidth="1"/>
    <col min="2875" max="2875" width="8.7109375" style="761" bestFit="1" customWidth="1"/>
    <col min="2876" max="2876" width="17.85546875" style="761" bestFit="1" customWidth="1"/>
    <col min="2877" max="2878" width="9.140625" style="761"/>
    <col min="2879" max="2879" width="10" style="761" bestFit="1" customWidth="1"/>
    <col min="2880" max="3105" width="9.140625" style="761"/>
    <col min="3106" max="3106" width="4" style="761" customWidth="1"/>
    <col min="3107" max="3107" width="34.5703125" style="761" customWidth="1"/>
    <col min="3108" max="3108" width="11.85546875" style="761" bestFit="1" customWidth="1"/>
    <col min="3109" max="3109" width="8.140625" style="761" customWidth="1"/>
    <col min="3110" max="3110" width="13.85546875" style="761" bestFit="1" customWidth="1"/>
    <col min="3111" max="3111" width="8.140625" style="761" customWidth="1"/>
    <col min="3112" max="3112" width="13.85546875" style="761" bestFit="1" customWidth="1"/>
    <col min="3113" max="3113" width="8.7109375" style="761" customWidth="1"/>
    <col min="3114" max="3114" width="13.5703125" style="761" bestFit="1" customWidth="1"/>
    <col min="3115" max="3115" width="9" style="761" customWidth="1"/>
    <col min="3116" max="3116" width="13.5703125" style="761" bestFit="1" customWidth="1"/>
    <col min="3117" max="3117" width="9" style="761" bestFit="1" customWidth="1"/>
    <col min="3118" max="3118" width="13.5703125" style="761" bestFit="1" customWidth="1"/>
    <col min="3119" max="3119" width="9" style="761" bestFit="1" customWidth="1"/>
    <col min="3120" max="3120" width="13.85546875" style="761" bestFit="1" customWidth="1"/>
    <col min="3121" max="3121" width="8.7109375" style="761" bestFit="1" customWidth="1"/>
    <col min="3122" max="3122" width="13.85546875" style="761" bestFit="1" customWidth="1"/>
    <col min="3123" max="3123" width="8.7109375" style="761" bestFit="1" customWidth="1"/>
    <col min="3124" max="3124" width="13.85546875" style="761" bestFit="1" customWidth="1"/>
    <col min="3125" max="3125" width="8.7109375" style="761" bestFit="1" customWidth="1"/>
    <col min="3126" max="3126" width="13.85546875" style="761" bestFit="1" customWidth="1"/>
    <col min="3127" max="3127" width="8.7109375" style="761" bestFit="1" customWidth="1"/>
    <col min="3128" max="3128" width="13.85546875" style="761" bestFit="1" customWidth="1"/>
    <col min="3129" max="3129" width="8.7109375" style="761" bestFit="1" customWidth="1"/>
    <col min="3130" max="3130" width="13.85546875" style="761" bestFit="1" customWidth="1"/>
    <col min="3131" max="3131" width="8.7109375" style="761" bestFit="1" customWidth="1"/>
    <col min="3132" max="3132" width="17.85546875" style="761" bestFit="1" customWidth="1"/>
    <col min="3133" max="3134" width="9.140625" style="761"/>
    <col min="3135" max="3135" width="10" style="761" bestFit="1" customWidth="1"/>
    <col min="3136" max="3361" width="9.140625" style="761"/>
    <col min="3362" max="3362" width="4" style="761" customWidth="1"/>
    <col min="3363" max="3363" width="34.5703125" style="761" customWidth="1"/>
    <col min="3364" max="3364" width="11.85546875" style="761" bestFit="1" customWidth="1"/>
    <col min="3365" max="3365" width="8.140625" style="761" customWidth="1"/>
    <col min="3366" max="3366" width="13.85546875" style="761" bestFit="1" customWidth="1"/>
    <col min="3367" max="3367" width="8.140625" style="761" customWidth="1"/>
    <col min="3368" max="3368" width="13.85546875" style="761" bestFit="1" customWidth="1"/>
    <col min="3369" max="3369" width="8.7109375" style="761" customWidth="1"/>
    <col min="3370" max="3370" width="13.5703125" style="761" bestFit="1" customWidth="1"/>
    <col min="3371" max="3371" width="9" style="761" customWidth="1"/>
    <col min="3372" max="3372" width="13.5703125" style="761" bestFit="1" customWidth="1"/>
    <col min="3373" max="3373" width="9" style="761" bestFit="1" customWidth="1"/>
    <col min="3374" max="3374" width="13.5703125" style="761" bestFit="1" customWidth="1"/>
    <col min="3375" max="3375" width="9" style="761" bestFit="1" customWidth="1"/>
    <col min="3376" max="3376" width="13.85546875" style="761" bestFit="1" customWidth="1"/>
    <col min="3377" max="3377" width="8.7109375" style="761" bestFit="1" customWidth="1"/>
    <col min="3378" max="3378" width="13.85546875" style="761" bestFit="1" customWidth="1"/>
    <col min="3379" max="3379" width="8.7109375" style="761" bestFit="1" customWidth="1"/>
    <col min="3380" max="3380" width="13.85546875" style="761" bestFit="1" customWidth="1"/>
    <col min="3381" max="3381" width="8.7109375" style="761" bestFit="1" customWidth="1"/>
    <col min="3382" max="3382" width="13.85546875" style="761" bestFit="1" customWidth="1"/>
    <col min="3383" max="3383" width="8.7109375" style="761" bestFit="1" customWidth="1"/>
    <col min="3384" max="3384" width="13.85546875" style="761" bestFit="1" customWidth="1"/>
    <col min="3385" max="3385" width="8.7109375" style="761" bestFit="1" customWidth="1"/>
    <col min="3386" max="3386" width="13.85546875" style="761" bestFit="1" customWidth="1"/>
    <col min="3387" max="3387" width="8.7109375" style="761" bestFit="1" customWidth="1"/>
    <col min="3388" max="3388" width="17.85546875" style="761" bestFit="1" customWidth="1"/>
    <col min="3389" max="3390" width="9.140625" style="761"/>
    <col min="3391" max="3391" width="10" style="761" bestFit="1" customWidth="1"/>
    <col min="3392" max="3617" width="9.140625" style="761"/>
    <col min="3618" max="3618" width="4" style="761" customWidth="1"/>
    <col min="3619" max="3619" width="34.5703125" style="761" customWidth="1"/>
    <col min="3620" max="3620" width="11.85546875" style="761" bestFit="1" customWidth="1"/>
    <col min="3621" max="3621" width="8.140625" style="761" customWidth="1"/>
    <col min="3622" max="3622" width="13.85546875" style="761" bestFit="1" customWidth="1"/>
    <col min="3623" max="3623" width="8.140625" style="761" customWidth="1"/>
    <col min="3624" max="3624" width="13.85546875" style="761" bestFit="1" customWidth="1"/>
    <col min="3625" max="3625" width="8.7109375" style="761" customWidth="1"/>
    <col min="3626" max="3626" width="13.5703125" style="761" bestFit="1" customWidth="1"/>
    <col min="3627" max="3627" width="9" style="761" customWidth="1"/>
    <col min="3628" max="3628" width="13.5703125" style="761" bestFit="1" customWidth="1"/>
    <col min="3629" max="3629" width="9" style="761" bestFit="1" customWidth="1"/>
    <col min="3630" max="3630" width="13.5703125" style="761" bestFit="1" customWidth="1"/>
    <col min="3631" max="3631" width="9" style="761" bestFit="1" customWidth="1"/>
    <col min="3632" max="3632" width="13.85546875" style="761" bestFit="1" customWidth="1"/>
    <col min="3633" max="3633" width="8.7109375" style="761" bestFit="1" customWidth="1"/>
    <col min="3634" max="3634" width="13.85546875" style="761" bestFit="1" customWidth="1"/>
    <col min="3635" max="3635" width="8.7109375" style="761" bestFit="1" customWidth="1"/>
    <col min="3636" max="3636" width="13.85546875" style="761" bestFit="1" customWidth="1"/>
    <col min="3637" max="3637" width="8.7109375" style="761" bestFit="1" customWidth="1"/>
    <col min="3638" max="3638" width="13.85546875" style="761" bestFit="1" customWidth="1"/>
    <col min="3639" max="3639" width="8.7109375" style="761" bestFit="1" customWidth="1"/>
    <col min="3640" max="3640" width="13.85546875" style="761" bestFit="1" customWidth="1"/>
    <col min="3641" max="3641" width="8.7109375" style="761" bestFit="1" customWidth="1"/>
    <col min="3642" max="3642" width="13.85546875" style="761" bestFit="1" customWidth="1"/>
    <col min="3643" max="3643" width="8.7109375" style="761" bestFit="1" customWidth="1"/>
    <col min="3644" max="3644" width="17.85546875" style="761" bestFit="1" customWidth="1"/>
    <col min="3645" max="3646" width="9.140625" style="761"/>
    <col min="3647" max="3647" width="10" style="761" bestFit="1" customWidth="1"/>
    <col min="3648" max="3873" width="9.140625" style="761"/>
    <col min="3874" max="3874" width="4" style="761" customWidth="1"/>
    <col min="3875" max="3875" width="34.5703125" style="761" customWidth="1"/>
    <col min="3876" max="3876" width="11.85546875" style="761" bestFit="1" customWidth="1"/>
    <col min="3877" max="3877" width="8.140625" style="761" customWidth="1"/>
    <col min="3878" max="3878" width="13.85546875" style="761" bestFit="1" customWidth="1"/>
    <col min="3879" max="3879" width="8.140625" style="761" customWidth="1"/>
    <col min="3880" max="3880" width="13.85546875" style="761" bestFit="1" customWidth="1"/>
    <col min="3881" max="3881" width="8.7109375" style="761" customWidth="1"/>
    <col min="3882" max="3882" width="13.5703125" style="761" bestFit="1" customWidth="1"/>
    <col min="3883" max="3883" width="9" style="761" customWidth="1"/>
    <col min="3884" max="3884" width="13.5703125" style="761" bestFit="1" customWidth="1"/>
    <col min="3885" max="3885" width="9" style="761" bestFit="1" customWidth="1"/>
    <col min="3886" max="3886" width="13.5703125" style="761" bestFit="1" customWidth="1"/>
    <col min="3887" max="3887" width="9" style="761" bestFit="1" customWidth="1"/>
    <col min="3888" max="3888" width="13.85546875" style="761" bestFit="1" customWidth="1"/>
    <col min="3889" max="3889" width="8.7109375" style="761" bestFit="1" customWidth="1"/>
    <col min="3890" max="3890" width="13.85546875" style="761" bestFit="1" customWidth="1"/>
    <col min="3891" max="3891" width="8.7109375" style="761" bestFit="1" customWidth="1"/>
    <col min="3892" max="3892" width="13.85546875" style="761" bestFit="1" customWidth="1"/>
    <col min="3893" max="3893" width="8.7109375" style="761" bestFit="1" customWidth="1"/>
    <col min="3894" max="3894" width="13.85546875" style="761" bestFit="1" customWidth="1"/>
    <col min="3895" max="3895" width="8.7109375" style="761" bestFit="1" customWidth="1"/>
    <col min="3896" max="3896" width="13.85546875" style="761" bestFit="1" customWidth="1"/>
    <col min="3897" max="3897" width="8.7109375" style="761" bestFit="1" customWidth="1"/>
    <col min="3898" max="3898" width="13.85546875" style="761" bestFit="1" customWidth="1"/>
    <col min="3899" max="3899" width="8.7109375" style="761" bestFit="1" customWidth="1"/>
    <col min="3900" max="3900" width="17.85546875" style="761" bestFit="1" customWidth="1"/>
    <col min="3901" max="3902" width="9.140625" style="761"/>
    <col min="3903" max="3903" width="10" style="761" bestFit="1" customWidth="1"/>
    <col min="3904" max="4129" width="9.140625" style="761"/>
    <col min="4130" max="4130" width="4" style="761" customWidth="1"/>
    <col min="4131" max="4131" width="34.5703125" style="761" customWidth="1"/>
    <col min="4132" max="4132" width="11.85546875" style="761" bestFit="1" customWidth="1"/>
    <col min="4133" max="4133" width="8.140625" style="761" customWidth="1"/>
    <col min="4134" max="4134" width="13.85546875" style="761" bestFit="1" customWidth="1"/>
    <col min="4135" max="4135" width="8.140625" style="761" customWidth="1"/>
    <col min="4136" max="4136" width="13.85546875" style="761" bestFit="1" customWidth="1"/>
    <col min="4137" max="4137" width="8.7109375" style="761" customWidth="1"/>
    <col min="4138" max="4138" width="13.5703125" style="761" bestFit="1" customWidth="1"/>
    <col min="4139" max="4139" width="9" style="761" customWidth="1"/>
    <col min="4140" max="4140" width="13.5703125" style="761" bestFit="1" customWidth="1"/>
    <col min="4141" max="4141" width="9" style="761" bestFit="1" customWidth="1"/>
    <col min="4142" max="4142" width="13.5703125" style="761" bestFit="1" customWidth="1"/>
    <col min="4143" max="4143" width="9" style="761" bestFit="1" customWidth="1"/>
    <col min="4144" max="4144" width="13.85546875" style="761" bestFit="1" customWidth="1"/>
    <col min="4145" max="4145" width="8.7109375" style="761" bestFit="1" customWidth="1"/>
    <col min="4146" max="4146" width="13.85546875" style="761" bestFit="1" customWidth="1"/>
    <col min="4147" max="4147" width="8.7109375" style="761" bestFit="1" customWidth="1"/>
    <col min="4148" max="4148" width="13.85546875" style="761" bestFit="1" customWidth="1"/>
    <col min="4149" max="4149" width="8.7109375" style="761" bestFit="1" customWidth="1"/>
    <col min="4150" max="4150" width="13.85546875" style="761" bestFit="1" customWidth="1"/>
    <col min="4151" max="4151" width="8.7109375" style="761" bestFit="1" customWidth="1"/>
    <col min="4152" max="4152" width="13.85546875" style="761" bestFit="1" customWidth="1"/>
    <col min="4153" max="4153" width="8.7109375" style="761" bestFit="1" customWidth="1"/>
    <col min="4154" max="4154" width="13.85546875" style="761" bestFit="1" customWidth="1"/>
    <col min="4155" max="4155" width="8.7109375" style="761" bestFit="1" customWidth="1"/>
    <col min="4156" max="4156" width="17.85546875" style="761" bestFit="1" customWidth="1"/>
    <col min="4157" max="4158" width="9.140625" style="761"/>
    <col min="4159" max="4159" width="10" style="761" bestFit="1" customWidth="1"/>
    <col min="4160" max="4385" width="9.140625" style="761"/>
    <col min="4386" max="4386" width="4" style="761" customWidth="1"/>
    <col min="4387" max="4387" width="34.5703125" style="761" customWidth="1"/>
    <col min="4388" max="4388" width="11.85546875" style="761" bestFit="1" customWidth="1"/>
    <col min="4389" max="4389" width="8.140625" style="761" customWidth="1"/>
    <col min="4390" max="4390" width="13.85546875" style="761" bestFit="1" customWidth="1"/>
    <col min="4391" max="4391" width="8.140625" style="761" customWidth="1"/>
    <col min="4392" max="4392" width="13.85546875" style="761" bestFit="1" customWidth="1"/>
    <col min="4393" max="4393" width="8.7109375" style="761" customWidth="1"/>
    <col min="4394" max="4394" width="13.5703125" style="761" bestFit="1" customWidth="1"/>
    <col min="4395" max="4395" width="9" style="761" customWidth="1"/>
    <col min="4396" max="4396" width="13.5703125" style="761" bestFit="1" customWidth="1"/>
    <col min="4397" max="4397" width="9" style="761" bestFit="1" customWidth="1"/>
    <col min="4398" max="4398" width="13.5703125" style="761" bestFit="1" customWidth="1"/>
    <col min="4399" max="4399" width="9" style="761" bestFit="1" customWidth="1"/>
    <col min="4400" max="4400" width="13.85546875" style="761" bestFit="1" customWidth="1"/>
    <col min="4401" max="4401" width="8.7109375" style="761" bestFit="1" customWidth="1"/>
    <col min="4402" max="4402" width="13.85546875" style="761" bestFit="1" customWidth="1"/>
    <col min="4403" max="4403" width="8.7109375" style="761" bestFit="1" customWidth="1"/>
    <col min="4404" max="4404" width="13.85546875" style="761" bestFit="1" customWidth="1"/>
    <col min="4405" max="4405" width="8.7109375" style="761" bestFit="1" customWidth="1"/>
    <col min="4406" max="4406" width="13.85546875" style="761" bestFit="1" customWidth="1"/>
    <col min="4407" max="4407" width="8.7109375" style="761" bestFit="1" customWidth="1"/>
    <col min="4408" max="4408" width="13.85546875" style="761" bestFit="1" customWidth="1"/>
    <col min="4409" max="4409" width="8.7109375" style="761" bestFit="1" customWidth="1"/>
    <col min="4410" max="4410" width="13.85546875" style="761" bestFit="1" customWidth="1"/>
    <col min="4411" max="4411" width="8.7109375" style="761" bestFit="1" customWidth="1"/>
    <col min="4412" max="4412" width="17.85546875" style="761" bestFit="1" customWidth="1"/>
    <col min="4413" max="4414" width="9.140625" style="761"/>
    <col min="4415" max="4415" width="10" style="761" bestFit="1" customWidth="1"/>
    <col min="4416" max="4641" width="9.140625" style="761"/>
    <col min="4642" max="4642" width="4" style="761" customWidth="1"/>
    <col min="4643" max="4643" width="34.5703125" style="761" customWidth="1"/>
    <col min="4644" max="4644" width="11.85546875" style="761" bestFit="1" customWidth="1"/>
    <col min="4645" max="4645" width="8.140625" style="761" customWidth="1"/>
    <col min="4646" max="4646" width="13.85546875" style="761" bestFit="1" customWidth="1"/>
    <col min="4647" max="4647" width="8.140625" style="761" customWidth="1"/>
    <col min="4648" max="4648" width="13.85546875" style="761" bestFit="1" customWidth="1"/>
    <col min="4649" max="4649" width="8.7109375" style="761" customWidth="1"/>
    <col min="4650" max="4650" width="13.5703125" style="761" bestFit="1" customWidth="1"/>
    <col min="4651" max="4651" width="9" style="761" customWidth="1"/>
    <col min="4652" max="4652" width="13.5703125" style="761" bestFit="1" customWidth="1"/>
    <col min="4653" max="4653" width="9" style="761" bestFit="1" customWidth="1"/>
    <col min="4654" max="4654" width="13.5703125" style="761" bestFit="1" customWidth="1"/>
    <col min="4655" max="4655" width="9" style="761" bestFit="1" customWidth="1"/>
    <col min="4656" max="4656" width="13.85546875" style="761" bestFit="1" customWidth="1"/>
    <col min="4657" max="4657" width="8.7109375" style="761" bestFit="1" customWidth="1"/>
    <col min="4658" max="4658" width="13.85546875" style="761" bestFit="1" customWidth="1"/>
    <col min="4659" max="4659" width="8.7109375" style="761" bestFit="1" customWidth="1"/>
    <col min="4660" max="4660" width="13.85546875" style="761" bestFit="1" customWidth="1"/>
    <col min="4661" max="4661" width="8.7109375" style="761" bestFit="1" customWidth="1"/>
    <col min="4662" max="4662" width="13.85546875" style="761" bestFit="1" customWidth="1"/>
    <col min="4663" max="4663" width="8.7109375" style="761" bestFit="1" customWidth="1"/>
    <col min="4664" max="4664" width="13.85546875" style="761" bestFit="1" customWidth="1"/>
    <col min="4665" max="4665" width="8.7109375" style="761" bestFit="1" customWidth="1"/>
    <col min="4666" max="4666" width="13.85546875" style="761" bestFit="1" customWidth="1"/>
    <col min="4667" max="4667" width="8.7109375" style="761" bestFit="1" customWidth="1"/>
    <col min="4668" max="4668" width="17.85546875" style="761" bestFit="1" customWidth="1"/>
    <col min="4669" max="4670" width="9.140625" style="761"/>
    <col min="4671" max="4671" width="10" style="761" bestFit="1" customWidth="1"/>
    <col min="4672" max="4897" width="9.140625" style="761"/>
    <col min="4898" max="4898" width="4" style="761" customWidth="1"/>
    <col min="4899" max="4899" width="34.5703125" style="761" customWidth="1"/>
    <col min="4900" max="4900" width="11.85546875" style="761" bestFit="1" customWidth="1"/>
    <col min="4901" max="4901" width="8.140625" style="761" customWidth="1"/>
    <col min="4902" max="4902" width="13.85546875" style="761" bestFit="1" customWidth="1"/>
    <col min="4903" max="4903" width="8.140625" style="761" customWidth="1"/>
    <col min="4904" max="4904" width="13.85546875" style="761" bestFit="1" customWidth="1"/>
    <col min="4905" max="4905" width="8.7109375" style="761" customWidth="1"/>
    <col min="4906" max="4906" width="13.5703125" style="761" bestFit="1" customWidth="1"/>
    <col min="4907" max="4907" width="9" style="761" customWidth="1"/>
    <col min="4908" max="4908" width="13.5703125" style="761" bestFit="1" customWidth="1"/>
    <col min="4909" max="4909" width="9" style="761" bestFit="1" customWidth="1"/>
    <col min="4910" max="4910" width="13.5703125" style="761" bestFit="1" customWidth="1"/>
    <col min="4911" max="4911" width="9" style="761" bestFit="1" customWidth="1"/>
    <col min="4912" max="4912" width="13.85546875" style="761" bestFit="1" customWidth="1"/>
    <col min="4913" max="4913" width="8.7109375" style="761" bestFit="1" customWidth="1"/>
    <col min="4914" max="4914" width="13.85546875" style="761" bestFit="1" customWidth="1"/>
    <col min="4915" max="4915" width="8.7109375" style="761" bestFit="1" customWidth="1"/>
    <col min="4916" max="4916" width="13.85546875" style="761" bestFit="1" customWidth="1"/>
    <col min="4917" max="4917" width="8.7109375" style="761" bestFit="1" customWidth="1"/>
    <col min="4918" max="4918" width="13.85546875" style="761" bestFit="1" customWidth="1"/>
    <col min="4919" max="4919" width="8.7109375" style="761" bestFit="1" customWidth="1"/>
    <col min="4920" max="4920" width="13.85546875" style="761" bestFit="1" customWidth="1"/>
    <col min="4921" max="4921" width="8.7109375" style="761" bestFit="1" customWidth="1"/>
    <col min="4922" max="4922" width="13.85546875" style="761" bestFit="1" customWidth="1"/>
    <col min="4923" max="4923" width="8.7109375" style="761" bestFit="1" customWidth="1"/>
    <col min="4924" max="4924" width="17.85546875" style="761" bestFit="1" customWidth="1"/>
    <col min="4925" max="4926" width="9.140625" style="761"/>
    <col min="4927" max="4927" width="10" style="761" bestFit="1" customWidth="1"/>
    <col min="4928" max="5153" width="9.140625" style="761"/>
    <col min="5154" max="5154" width="4" style="761" customWidth="1"/>
    <col min="5155" max="5155" width="34.5703125" style="761" customWidth="1"/>
    <col min="5156" max="5156" width="11.85546875" style="761" bestFit="1" customWidth="1"/>
    <col min="5157" max="5157" width="8.140625" style="761" customWidth="1"/>
    <col min="5158" max="5158" width="13.85546875" style="761" bestFit="1" customWidth="1"/>
    <col min="5159" max="5159" width="8.140625" style="761" customWidth="1"/>
    <col min="5160" max="5160" width="13.85546875" style="761" bestFit="1" customWidth="1"/>
    <col min="5161" max="5161" width="8.7109375" style="761" customWidth="1"/>
    <col min="5162" max="5162" width="13.5703125" style="761" bestFit="1" customWidth="1"/>
    <col min="5163" max="5163" width="9" style="761" customWidth="1"/>
    <col min="5164" max="5164" width="13.5703125" style="761" bestFit="1" customWidth="1"/>
    <col min="5165" max="5165" width="9" style="761" bestFit="1" customWidth="1"/>
    <col min="5166" max="5166" width="13.5703125" style="761" bestFit="1" customWidth="1"/>
    <col min="5167" max="5167" width="9" style="761" bestFit="1" customWidth="1"/>
    <col min="5168" max="5168" width="13.85546875" style="761" bestFit="1" customWidth="1"/>
    <col min="5169" max="5169" width="8.7109375" style="761" bestFit="1" customWidth="1"/>
    <col min="5170" max="5170" width="13.85546875" style="761" bestFit="1" customWidth="1"/>
    <col min="5171" max="5171" width="8.7109375" style="761" bestFit="1" customWidth="1"/>
    <col min="5172" max="5172" width="13.85546875" style="761" bestFit="1" customWidth="1"/>
    <col min="5173" max="5173" width="8.7109375" style="761" bestFit="1" customWidth="1"/>
    <col min="5174" max="5174" width="13.85546875" style="761" bestFit="1" customWidth="1"/>
    <col min="5175" max="5175" width="8.7109375" style="761" bestFit="1" customWidth="1"/>
    <col min="5176" max="5176" width="13.85546875" style="761" bestFit="1" customWidth="1"/>
    <col min="5177" max="5177" width="8.7109375" style="761" bestFit="1" customWidth="1"/>
    <col min="5178" max="5178" width="13.85546875" style="761" bestFit="1" customWidth="1"/>
    <col min="5179" max="5179" width="8.7109375" style="761" bestFit="1" customWidth="1"/>
    <col min="5180" max="5180" width="17.85546875" style="761" bestFit="1" customWidth="1"/>
    <col min="5181" max="5182" width="9.140625" style="761"/>
    <col min="5183" max="5183" width="10" style="761" bestFit="1" customWidth="1"/>
    <col min="5184" max="5409" width="9.140625" style="761"/>
    <col min="5410" max="5410" width="4" style="761" customWidth="1"/>
    <col min="5411" max="5411" width="34.5703125" style="761" customWidth="1"/>
    <col min="5412" max="5412" width="11.85546875" style="761" bestFit="1" customWidth="1"/>
    <col min="5413" max="5413" width="8.140625" style="761" customWidth="1"/>
    <col min="5414" max="5414" width="13.85546875" style="761" bestFit="1" customWidth="1"/>
    <col min="5415" max="5415" width="8.140625" style="761" customWidth="1"/>
    <col min="5416" max="5416" width="13.85546875" style="761" bestFit="1" customWidth="1"/>
    <col min="5417" max="5417" width="8.7109375" style="761" customWidth="1"/>
    <col min="5418" max="5418" width="13.5703125" style="761" bestFit="1" customWidth="1"/>
    <col min="5419" max="5419" width="9" style="761" customWidth="1"/>
    <col min="5420" max="5420" width="13.5703125" style="761" bestFit="1" customWidth="1"/>
    <col min="5421" max="5421" width="9" style="761" bestFit="1" customWidth="1"/>
    <col min="5422" max="5422" width="13.5703125" style="761" bestFit="1" customWidth="1"/>
    <col min="5423" max="5423" width="9" style="761" bestFit="1" customWidth="1"/>
    <col min="5424" max="5424" width="13.85546875" style="761" bestFit="1" customWidth="1"/>
    <col min="5425" max="5425" width="8.7109375" style="761" bestFit="1" customWidth="1"/>
    <col min="5426" max="5426" width="13.85546875" style="761" bestFit="1" customWidth="1"/>
    <col min="5427" max="5427" width="8.7109375" style="761" bestFit="1" customWidth="1"/>
    <col min="5428" max="5428" width="13.85546875" style="761" bestFit="1" customWidth="1"/>
    <col min="5429" max="5429" width="8.7109375" style="761" bestFit="1" customWidth="1"/>
    <col min="5430" max="5430" width="13.85546875" style="761" bestFit="1" customWidth="1"/>
    <col min="5431" max="5431" width="8.7109375" style="761" bestFit="1" customWidth="1"/>
    <col min="5432" max="5432" width="13.85546875" style="761" bestFit="1" customWidth="1"/>
    <col min="5433" max="5433" width="8.7109375" style="761" bestFit="1" customWidth="1"/>
    <col min="5434" max="5434" width="13.85546875" style="761" bestFit="1" customWidth="1"/>
    <col min="5435" max="5435" width="8.7109375" style="761" bestFit="1" customWidth="1"/>
    <col min="5436" max="5436" width="17.85546875" style="761" bestFit="1" customWidth="1"/>
    <col min="5437" max="5438" width="9.140625" style="761"/>
    <col min="5439" max="5439" width="10" style="761" bestFit="1" customWidth="1"/>
    <col min="5440" max="5665" width="9.140625" style="761"/>
    <col min="5666" max="5666" width="4" style="761" customWidth="1"/>
    <col min="5667" max="5667" width="34.5703125" style="761" customWidth="1"/>
    <col min="5668" max="5668" width="11.85546875" style="761" bestFit="1" customWidth="1"/>
    <col min="5669" max="5669" width="8.140625" style="761" customWidth="1"/>
    <col min="5670" max="5670" width="13.85546875" style="761" bestFit="1" customWidth="1"/>
    <col min="5671" max="5671" width="8.140625" style="761" customWidth="1"/>
    <col min="5672" max="5672" width="13.85546875" style="761" bestFit="1" customWidth="1"/>
    <col min="5673" max="5673" width="8.7109375" style="761" customWidth="1"/>
    <col min="5674" max="5674" width="13.5703125" style="761" bestFit="1" customWidth="1"/>
    <col min="5675" max="5675" width="9" style="761" customWidth="1"/>
    <col min="5676" max="5676" width="13.5703125" style="761" bestFit="1" customWidth="1"/>
    <col min="5677" max="5677" width="9" style="761" bestFit="1" customWidth="1"/>
    <col min="5678" max="5678" width="13.5703125" style="761" bestFit="1" customWidth="1"/>
    <col min="5679" max="5679" width="9" style="761" bestFit="1" customWidth="1"/>
    <col min="5680" max="5680" width="13.85546875" style="761" bestFit="1" customWidth="1"/>
    <col min="5681" max="5681" width="8.7109375" style="761" bestFit="1" customWidth="1"/>
    <col min="5682" max="5682" width="13.85546875" style="761" bestFit="1" customWidth="1"/>
    <col min="5683" max="5683" width="8.7109375" style="761" bestFit="1" customWidth="1"/>
    <col min="5684" max="5684" width="13.85546875" style="761" bestFit="1" customWidth="1"/>
    <col min="5685" max="5685" width="8.7109375" style="761" bestFit="1" customWidth="1"/>
    <col min="5686" max="5686" width="13.85546875" style="761" bestFit="1" customWidth="1"/>
    <col min="5687" max="5687" width="8.7109375" style="761" bestFit="1" customWidth="1"/>
    <col min="5688" max="5688" width="13.85546875" style="761" bestFit="1" customWidth="1"/>
    <col min="5689" max="5689" width="8.7109375" style="761" bestFit="1" customWidth="1"/>
    <col min="5690" max="5690" width="13.85546875" style="761" bestFit="1" customWidth="1"/>
    <col min="5691" max="5691" width="8.7109375" style="761" bestFit="1" customWidth="1"/>
    <col min="5692" max="5692" width="17.85546875" style="761" bestFit="1" customWidth="1"/>
    <col min="5693" max="5694" width="9.140625" style="761"/>
    <col min="5695" max="5695" width="10" style="761" bestFit="1" customWidth="1"/>
    <col min="5696" max="5921" width="9.140625" style="761"/>
    <col min="5922" max="5922" width="4" style="761" customWidth="1"/>
    <col min="5923" max="5923" width="34.5703125" style="761" customWidth="1"/>
    <col min="5924" max="5924" width="11.85546875" style="761" bestFit="1" customWidth="1"/>
    <col min="5925" max="5925" width="8.140625" style="761" customWidth="1"/>
    <col min="5926" max="5926" width="13.85546875" style="761" bestFit="1" customWidth="1"/>
    <col min="5927" max="5927" width="8.140625" style="761" customWidth="1"/>
    <col min="5928" max="5928" width="13.85546875" style="761" bestFit="1" customWidth="1"/>
    <col min="5929" max="5929" width="8.7109375" style="761" customWidth="1"/>
    <col min="5930" max="5930" width="13.5703125" style="761" bestFit="1" customWidth="1"/>
    <col min="5931" max="5931" width="9" style="761" customWidth="1"/>
    <col min="5932" max="5932" width="13.5703125" style="761" bestFit="1" customWidth="1"/>
    <col min="5933" max="5933" width="9" style="761" bestFit="1" customWidth="1"/>
    <col min="5934" max="5934" width="13.5703125" style="761" bestFit="1" customWidth="1"/>
    <col min="5935" max="5935" width="9" style="761" bestFit="1" customWidth="1"/>
    <col min="5936" max="5936" width="13.85546875" style="761" bestFit="1" customWidth="1"/>
    <col min="5937" max="5937" width="8.7109375" style="761" bestFit="1" customWidth="1"/>
    <col min="5938" max="5938" width="13.85546875" style="761" bestFit="1" customWidth="1"/>
    <col min="5939" max="5939" width="8.7109375" style="761" bestFit="1" customWidth="1"/>
    <col min="5940" max="5940" width="13.85546875" style="761" bestFit="1" customWidth="1"/>
    <col min="5941" max="5941" width="8.7109375" style="761" bestFit="1" customWidth="1"/>
    <col min="5942" max="5942" width="13.85546875" style="761" bestFit="1" customWidth="1"/>
    <col min="5943" max="5943" width="8.7109375" style="761" bestFit="1" customWidth="1"/>
    <col min="5944" max="5944" width="13.85546875" style="761" bestFit="1" customWidth="1"/>
    <col min="5945" max="5945" width="8.7109375" style="761" bestFit="1" customWidth="1"/>
    <col min="5946" max="5946" width="13.85546875" style="761" bestFit="1" customWidth="1"/>
    <col min="5947" max="5947" width="8.7109375" style="761" bestFit="1" customWidth="1"/>
    <col min="5948" max="5948" width="17.85546875" style="761" bestFit="1" customWidth="1"/>
    <col min="5949" max="5950" width="9.140625" style="761"/>
    <col min="5951" max="5951" width="10" style="761" bestFit="1" customWidth="1"/>
    <col min="5952" max="6177" width="9.140625" style="761"/>
    <col min="6178" max="6178" width="4" style="761" customWidth="1"/>
    <col min="6179" max="6179" width="34.5703125" style="761" customWidth="1"/>
    <col min="6180" max="6180" width="11.85546875" style="761" bestFit="1" customWidth="1"/>
    <col min="6181" max="6181" width="8.140625" style="761" customWidth="1"/>
    <col min="6182" max="6182" width="13.85546875" style="761" bestFit="1" customWidth="1"/>
    <col min="6183" max="6183" width="8.140625" style="761" customWidth="1"/>
    <col min="6184" max="6184" width="13.85546875" style="761" bestFit="1" customWidth="1"/>
    <col min="6185" max="6185" width="8.7109375" style="761" customWidth="1"/>
    <col min="6186" max="6186" width="13.5703125" style="761" bestFit="1" customWidth="1"/>
    <col min="6187" max="6187" width="9" style="761" customWidth="1"/>
    <col min="6188" max="6188" width="13.5703125" style="761" bestFit="1" customWidth="1"/>
    <col min="6189" max="6189" width="9" style="761" bestFit="1" customWidth="1"/>
    <col min="6190" max="6190" width="13.5703125" style="761" bestFit="1" customWidth="1"/>
    <col min="6191" max="6191" width="9" style="761" bestFit="1" customWidth="1"/>
    <col min="6192" max="6192" width="13.85546875" style="761" bestFit="1" customWidth="1"/>
    <col min="6193" max="6193" width="8.7109375" style="761" bestFit="1" customWidth="1"/>
    <col min="6194" max="6194" width="13.85546875" style="761" bestFit="1" customWidth="1"/>
    <col min="6195" max="6195" width="8.7109375" style="761" bestFit="1" customWidth="1"/>
    <col min="6196" max="6196" width="13.85546875" style="761" bestFit="1" customWidth="1"/>
    <col min="6197" max="6197" width="8.7109375" style="761" bestFit="1" customWidth="1"/>
    <col min="6198" max="6198" width="13.85546875" style="761" bestFit="1" customWidth="1"/>
    <col min="6199" max="6199" width="8.7109375" style="761" bestFit="1" customWidth="1"/>
    <col min="6200" max="6200" width="13.85546875" style="761" bestFit="1" customWidth="1"/>
    <col min="6201" max="6201" width="8.7109375" style="761" bestFit="1" customWidth="1"/>
    <col min="6202" max="6202" width="13.85546875" style="761" bestFit="1" customWidth="1"/>
    <col min="6203" max="6203" width="8.7109375" style="761" bestFit="1" customWidth="1"/>
    <col min="6204" max="6204" width="17.85546875" style="761" bestFit="1" customWidth="1"/>
    <col min="6205" max="6206" width="9.140625" style="761"/>
    <col min="6207" max="6207" width="10" style="761" bestFit="1" customWidth="1"/>
    <col min="6208" max="6433" width="9.140625" style="761"/>
    <col min="6434" max="6434" width="4" style="761" customWidth="1"/>
    <col min="6435" max="6435" width="34.5703125" style="761" customWidth="1"/>
    <col min="6436" max="6436" width="11.85546875" style="761" bestFit="1" customWidth="1"/>
    <col min="6437" max="6437" width="8.140625" style="761" customWidth="1"/>
    <col min="6438" max="6438" width="13.85546875" style="761" bestFit="1" customWidth="1"/>
    <col min="6439" max="6439" width="8.140625" style="761" customWidth="1"/>
    <col min="6440" max="6440" width="13.85546875" style="761" bestFit="1" customWidth="1"/>
    <col min="6441" max="6441" width="8.7109375" style="761" customWidth="1"/>
    <col min="6442" max="6442" width="13.5703125" style="761" bestFit="1" customWidth="1"/>
    <col min="6443" max="6443" width="9" style="761" customWidth="1"/>
    <col min="6444" max="6444" width="13.5703125" style="761" bestFit="1" customWidth="1"/>
    <col min="6445" max="6445" width="9" style="761" bestFit="1" customWidth="1"/>
    <col min="6446" max="6446" width="13.5703125" style="761" bestFit="1" customWidth="1"/>
    <col min="6447" max="6447" width="9" style="761" bestFit="1" customWidth="1"/>
    <col min="6448" max="6448" width="13.85546875" style="761" bestFit="1" customWidth="1"/>
    <col min="6449" max="6449" width="8.7109375" style="761" bestFit="1" customWidth="1"/>
    <col min="6450" max="6450" width="13.85546875" style="761" bestFit="1" customWidth="1"/>
    <col min="6451" max="6451" width="8.7109375" style="761" bestFit="1" customWidth="1"/>
    <col min="6452" max="6452" width="13.85546875" style="761" bestFit="1" customWidth="1"/>
    <col min="6453" max="6453" width="8.7109375" style="761" bestFit="1" customWidth="1"/>
    <col min="6454" max="6454" width="13.85546875" style="761" bestFit="1" customWidth="1"/>
    <col min="6455" max="6455" width="8.7109375" style="761" bestFit="1" customWidth="1"/>
    <col min="6456" max="6456" width="13.85546875" style="761" bestFit="1" customWidth="1"/>
    <col min="6457" max="6457" width="8.7109375" style="761" bestFit="1" customWidth="1"/>
    <col min="6458" max="6458" width="13.85546875" style="761" bestFit="1" customWidth="1"/>
    <col min="6459" max="6459" width="8.7109375" style="761" bestFit="1" customWidth="1"/>
    <col min="6460" max="6460" width="17.85546875" style="761" bestFit="1" customWidth="1"/>
    <col min="6461" max="6462" width="9.140625" style="761"/>
    <col min="6463" max="6463" width="10" style="761" bestFit="1" customWidth="1"/>
    <col min="6464" max="6689" width="9.140625" style="761"/>
    <col min="6690" max="6690" width="4" style="761" customWidth="1"/>
    <col min="6691" max="6691" width="34.5703125" style="761" customWidth="1"/>
    <col min="6692" max="6692" width="11.85546875" style="761" bestFit="1" customWidth="1"/>
    <col min="6693" max="6693" width="8.140625" style="761" customWidth="1"/>
    <col min="6694" max="6694" width="13.85546875" style="761" bestFit="1" customWidth="1"/>
    <col min="6695" max="6695" width="8.140625" style="761" customWidth="1"/>
    <col min="6696" max="6696" width="13.85546875" style="761" bestFit="1" customWidth="1"/>
    <col min="6697" max="6697" width="8.7109375" style="761" customWidth="1"/>
    <col min="6698" max="6698" width="13.5703125" style="761" bestFit="1" customWidth="1"/>
    <col min="6699" max="6699" width="9" style="761" customWidth="1"/>
    <col min="6700" max="6700" width="13.5703125" style="761" bestFit="1" customWidth="1"/>
    <col min="6701" max="6701" width="9" style="761" bestFit="1" customWidth="1"/>
    <col min="6702" max="6702" width="13.5703125" style="761" bestFit="1" customWidth="1"/>
    <col min="6703" max="6703" width="9" style="761" bestFit="1" customWidth="1"/>
    <col min="6704" max="6704" width="13.85546875" style="761" bestFit="1" customWidth="1"/>
    <col min="6705" max="6705" width="8.7109375" style="761" bestFit="1" customWidth="1"/>
    <col min="6706" max="6706" width="13.85546875" style="761" bestFit="1" customWidth="1"/>
    <col min="6707" max="6707" width="8.7109375" style="761" bestFit="1" customWidth="1"/>
    <col min="6708" max="6708" width="13.85546875" style="761" bestFit="1" customWidth="1"/>
    <col min="6709" max="6709" width="8.7109375" style="761" bestFit="1" customWidth="1"/>
    <col min="6710" max="6710" width="13.85546875" style="761" bestFit="1" customWidth="1"/>
    <col min="6711" max="6711" width="8.7109375" style="761" bestFit="1" customWidth="1"/>
    <col min="6712" max="6712" width="13.85546875" style="761" bestFit="1" customWidth="1"/>
    <col min="6713" max="6713" width="8.7109375" style="761" bestFit="1" customWidth="1"/>
    <col min="6714" max="6714" width="13.85546875" style="761" bestFit="1" customWidth="1"/>
    <col min="6715" max="6715" width="8.7109375" style="761" bestFit="1" customWidth="1"/>
    <col min="6716" max="6716" width="17.85546875" style="761" bestFit="1" customWidth="1"/>
    <col min="6717" max="6718" width="9.140625" style="761"/>
    <col min="6719" max="6719" width="10" style="761" bestFit="1" customWidth="1"/>
    <col min="6720" max="6945" width="9.140625" style="761"/>
    <col min="6946" max="6946" width="4" style="761" customWidth="1"/>
    <col min="6947" max="6947" width="34.5703125" style="761" customWidth="1"/>
    <col min="6948" max="6948" width="11.85546875" style="761" bestFit="1" customWidth="1"/>
    <col min="6949" max="6949" width="8.140625" style="761" customWidth="1"/>
    <col min="6950" max="6950" width="13.85546875" style="761" bestFit="1" customWidth="1"/>
    <col min="6951" max="6951" width="8.140625" style="761" customWidth="1"/>
    <col min="6952" max="6952" width="13.85546875" style="761" bestFit="1" customWidth="1"/>
    <col min="6953" max="6953" width="8.7109375" style="761" customWidth="1"/>
    <col min="6954" max="6954" width="13.5703125" style="761" bestFit="1" customWidth="1"/>
    <col min="6955" max="6955" width="9" style="761" customWidth="1"/>
    <col min="6956" max="6956" width="13.5703125" style="761" bestFit="1" customWidth="1"/>
    <col min="6957" max="6957" width="9" style="761" bestFit="1" customWidth="1"/>
    <col min="6958" max="6958" width="13.5703125" style="761" bestFit="1" customWidth="1"/>
    <col min="6959" max="6959" width="9" style="761" bestFit="1" customWidth="1"/>
    <col min="6960" max="6960" width="13.85546875" style="761" bestFit="1" customWidth="1"/>
    <col min="6961" max="6961" width="8.7109375" style="761" bestFit="1" customWidth="1"/>
    <col min="6962" max="6962" width="13.85546875" style="761" bestFit="1" customWidth="1"/>
    <col min="6963" max="6963" width="8.7109375" style="761" bestFit="1" customWidth="1"/>
    <col min="6964" max="6964" width="13.85546875" style="761" bestFit="1" customWidth="1"/>
    <col min="6965" max="6965" width="8.7109375" style="761" bestFit="1" customWidth="1"/>
    <col min="6966" max="6966" width="13.85546875" style="761" bestFit="1" customWidth="1"/>
    <col min="6967" max="6967" width="8.7109375" style="761" bestFit="1" customWidth="1"/>
    <col min="6968" max="6968" width="13.85546875" style="761" bestFit="1" customWidth="1"/>
    <col min="6969" max="6969" width="8.7109375" style="761" bestFit="1" customWidth="1"/>
    <col min="6970" max="6970" width="13.85546875" style="761" bestFit="1" customWidth="1"/>
    <col min="6971" max="6971" width="8.7109375" style="761" bestFit="1" customWidth="1"/>
    <col min="6972" max="6972" width="17.85546875" style="761" bestFit="1" customWidth="1"/>
    <col min="6973" max="6974" width="9.140625" style="761"/>
    <col min="6975" max="6975" width="10" style="761" bestFit="1" customWidth="1"/>
    <col min="6976" max="7201" width="9.140625" style="761"/>
    <col min="7202" max="7202" width="4" style="761" customWidth="1"/>
    <col min="7203" max="7203" width="34.5703125" style="761" customWidth="1"/>
    <col min="7204" max="7204" width="11.85546875" style="761" bestFit="1" customWidth="1"/>
    <col min="7205" max="7205" width="8.140625" style="761" customWidth="1"/>
    <col min="7206" max="7206" width="13.85546875" style="761" bestFit="1" customWidth="1"/>
    <col min="7207" max="7207" width="8.140625" style="761" customWidth="1"/>
    <col min="7208" max="7208" width="13.85546875" style="761" bestFit="1" customWidth="1"/>
    <col min="7209" max="7209" width="8.7109375" style="761" customWidth="1"/>
    <col min="7210" max="7210" width="13.5703125" style="761" bestFit="1" customWidth="1"/>
    <col min="7211" max="7211" width="9" style="761" customWidth="1"/>
    <col min="7212" max="7212" width="13.5703125" style="761" bestFit="1" customWidth="1"/>
    <col min="7213" max="7213" width="9" style="761" bestFit="1" customWidth="1"/>
    <col min="7214" max="7214" width="13.5703125" style="761" bestFit="1" customWidth="1"/>
    <col min="7215" max="7215" width="9" style="761" bestFit="1" customWidth="1"/>
    <col min="7216" max="7216" width="13.85546875" style="761" bestFit="1" customWidth="1"/>
    <col min="7217" max="7217" width="8.7109375" style="761" bestFit="1" customWidth="1"/>
    <col min="7218" max="7218" width="13.85546875" style="761" bestFit="1" customWidth="1"/>
    <col min="7219" max="7219" width="8.7109375" style="761" bestFit="1" customWidth="1"/>
    <col min="7220" max="7220" width="13.85546875" style="761" bestFit="1" customWidth="1"/>
    <col min="7221" max="7221" width="8.7109375" style="761" bestFit="1" customWidth="1"/>
    <col min="7222" max="7222" width="13.85546875" style="761" bestFit="1" customWidth="1"/>
    <col min="7223" max="7223" width="8.7109375" style="761" bestFit="1" customWidth="1"/>
    <col min="7224" max="7224" width="13.85546875" style="761" bestFit="1" customWidth="1"/>
    <col min="7225" max="7225" width="8.7109375" style="761" bestFit="1" customWidth="1"/>
    <col min="7226" max="7226" width="13.85546875" style="761" bestFit="1" customWidth="1"/>
    <col min="7227" max="7227" width="8.7109375" style="761" bestFit="1" customWidth="1"/>
    <col min="7228" max="7228" width="17.85546875" style="761" bestFit="1" customWidth="1"/>
    <col min="7229" max="7230" width="9.140625" style="761"/>
    <col min="7231" max="7231" width="10" style="761" bestFit="1" customWidth="1"/>
    <col min="7232" max="7457" width="9.140625" style="761"/>
    <col min="7458" max="7458" width="4" style="761" customWidth="1"/>
    <col min="7459" max="7459" width="34.5703125" style="761" customWidth="1"/>
    <col min="7460" max="7460" width="11.85546875" style="761" bestFit="1" customWidth="1"/>
    <col min="7461" max="7461" width="8.140625" style="761" customWidth="1"/>
    <col min="7462" max="7462" width="13.85546875" style="761" bestFit="1" customWidth="1"/>
    <col min="7463" max="7463" width="8.140625" style="761" customWidth="1"/>
    <col min="7464" max="7464" width="13.85546875" style="761" bestFit="1" customWidth="1"/>
    <col min="7465" max="7465" width="8.7109375" style="761" customWidth="1"/>
    <col min="7466" max="7466" width="13.5703125" style="761" bestFit="1" customWidth="1"/>
    <col min="7467" max="7467" width="9" style="761" customWidth="1"/>
    <col min="7468" max="7468" width="13.5703125" style="761" bestFit="1" customWidth="1"/>
    <col min="7469" max="7469" width="9" style="761" bestFit="1" customWidth="1"/>
    <col min="7470" max="7470" width="13.5703125" style="761" bestFit="1" customWidth="1"/>
    <col min="7471" max="7471" width="9" style="761" bestFit="1" customWidth="1"/>
    <col min="7472" max="7472" width="13.85546875" style="761" bestFit="1" customWidth="1"/>
    <col min="7473" max="7473" width="8.7109375" style="761" bestFit="1" customWidth="1"/>
    <col min="7474" max="7474" width="13.85546875" style="761" bestFit="1" customWidth="1"/>
    <col min="7475" max="7475" width="8.7109375" style="761" bestFit="1" customWidth="1"/>
    <col min="7476" max="7476" width="13.85546875" style="761" bestFit="1" customWidth="1"/>
    <col min="7477" max="7477" width="8.7109375" style="761" bestFit="1" customWidth="1"/>
    <col min="7478" max="7478" width="13.85546875" style="761" bestFit="1" customWidth="1"/>
    <col min="7479" max="7479" width="8.7109375" style="761" bestFit="1" customWidth="1"/>
    <col min="7480" max="7480" width="13.85546875" style="761" bestFit="1" customWidth="1"/>
    <col min="7481" max="7481" width="8.7109375" style="761" bestFit="1" customWidth="1"/>
    <col min="7482" max="7482" width="13.85546875" style="761" bestFit="1" customWidth="1"/>
    <col min="7483" max="7483" width="8.7109375" style="761" bestFit="1" customWidth="1"/>
    <col min="7484" max="7484" width="17.85546875" style="761" bestFit="1" customWidth="1"/>
    <col min="7485" max="7486" width="9.140625" style="761"/>
    <col min="7487" max="7487" width="10" style="761" bestFit="1" customWidth="1"/>
    <col min="7488" max="7713" width="9.140625" style="761"/>
    <col min="7714" max="7714" width="4" style="761" customWidth="1"/>
    <col min="7715" max="7715" width="34.5703125" style="761" customWidth="1"/>
    <col min="7716" max="7716" width="11.85546875" style="761" bestFit="1" customWidth="1"/>
    <col min="7717" max="7717" width="8.140625" style="761" customWidth="1"/>
    <col min="7718" max="7718" width="13.85546875" style="761" bestFit="1" customWidth="1"/>
    <col min="7719" max="7719" width="8.140625" style="761" customWidth="1"/>
    <col min="7720" max="7720" width="13.85546875" style="761" bestFit="1" customWidth="1"/>
    <col min="7721" max="7721" width="8.7109375" style="761" customWidth="1"/>
    <col min="7722" max="7722" width="13.5703125" style="761" bestFit="1" customWidth="1"/>
    <col min="7723" max="7723" width="9" style="761" customWidth="1"/>
    <col min="7724" max="7724" width="13.5703125" style="761" bestFit="1" customWidth="1"/>
    <col min="7725" max="7725" width="9" style="761" bestFit="1" customWidth="1"/>
    <col min="7726" max="7726" width="13.5703125" style="761" bestFit="1" customWidth="1"/>
    <col min="7727" max="7727" width="9" style="761" bestFit="1" customWidth="1"/>
    <col min="7728" max="7728" width="13.85546875" style="761" bestFit="1" customWidth="1"/>
    <col min="7729" max="7729" width="8.7109375" style="761" bestFit="1" customWidth="1"/>
    <col min="7730" max="7730" width="13.85546875" style="761" bestFit="1" customWidth="1"/>
    <col min="7731" max="7731" width="8.7109375" style="761" bestFit="1" customWidth="1"/>
    <col min="7732" max="7732" width="13.85546875" style="761" bestFit="1" customWidth="1"/>
    <col min="7733" max="7733" width="8.7109375" style="761" bestFit="1" customWidth="1"/>
    <col min="7734" max="7734" width="13.85546875" style="761" bestFit="1" customWidth="1"/>
    <col min="7735" max="7735" width="8.7109375" style="761" bestFit="1" customWidth="1"/>
    <col min="7736" max="7736" width="13.85546875" style="761" bestFit="1" customWidth="1"/>
    <col min="7737" max="7737" width="8.7109375" style="761" bestFit="1" customWidth="1"/>
    <col min="7738" max="7738" width="13.85546875" style="761" bestFit="1" customWidth="1"/>
    <col min="7739" max="7739" width="8.7109375" style="761" bestFit="1" customWidth="1"/>
    <col min="7740" max="7740" width="17.85546875" style="761" bestFit="1" customWidth="1"/>
    <col min="7741" max="7742" width="9.140625" style="761"/>
    <col min="7743" max="7743" width="10" style="761" bestFit="1" customWidth="1"/>
    <col min="7744" max="7969" width="9.140625" style="761"/>
    <col min="7970" max="7970" width="4" style="761" customWidth="1"/>
    <col min="7971" max="7971" width="34.5703125" style="761" customWidth="1"/>
    <col min="7972" max="7972" width="11.85546875" style="761" bestFit="1" customWidth="1"/>
    <col min="7973" max="7973" width="8.140625" style="761" customWidth="1"/>
    <col min="7974" max="7974" width="13.85546875" style="761" bestFit="1" customWidth="1"/>
    <col min="7975" max="7975" width="8.140625" style="761" customWidth="1"/>
    <col min="7976" max="7976" width="13.85546875" style="761" bestFit="1" customWidth="1"/>
    <col min="7977" max="7977" width="8.7109375" style="761" customWidth="1"/>
    <col min="7978" max="7978" width="13.5703125" style="761" bestFit="1" customWidth="1"/>
    <col min="7979" max="7979" width="9" style="761" customWidth="1"/>
    <col min="7980" max="7980" width="13.5703125" style="761" bestFit="1" customWidth="1"/>
    <col min="7981" max="7981" width="9" style="761" bestFit="1" customWidth="1"/>
    <col min="7982" max="7982" width="13.5703125" style="761" bestFit="1" customWidth="1"/>
    <col min="7983" max="7983" width="9" style="761" bestFit="1" customWidth="1"/>
    <col min="7984" max="7984" width="13.85546875" style="761" bestFit="1" customWidth="1"/>
    <col min="7985" max="7985" width="8.7109375" style="761" bestFit="1" customWidth="1"/>
    <col min="7986" max="7986" width="13.85546875" style="761" bestFit="1" customWidth="1"/>
    <col min="7987" max="7987" width="8.7109375" style="761" bestFit="1" customWidth="1"/>
    <col min="7988" max="7988" width="13.85546875" style="761" bestFit="1" customWidth="1"/>
    <col min="7989" max="7989" width="8.7109375" style="761" bestFit="1" customWidth="1"/>
    <col min="7990" max="7990" width="13.85546875" style="761" bestFit="1" customWidth="1"/>
    <col min="7991" max="7991" width="8.7109375" style="761" bestFit="1" customWidth="1"/>
    <col min="7992" max="7992" width="13.85546875" style="761" bestFit="1" customWidth="1"/>
    <col min="7993" max="7993" width="8.7109375" style="761" bestFit="1" customWidth="1"/>
    <col min="7994" max="7994" width="13.85546875" style="761" bestFit="1" customWidth="1"/>
    <col min="7995" max="7995" width="8.7109375" style="761" bestFit="1" customWidth="1"/>
    <col min="7996" max="7996" width="17.85546875" style="761" bestFit="1" customWidth="1"/>
    <col min="7997" max="7998" width="9.140625" style="761"/>
    <col min="7999" max="7999" width="10" style="761" bestFit="1" customWidth="1"/>
    <col min="8000" max="8225" width="9.140625" style="761"/>
    <col min="8226" max="8226" width="4" style="761" customWidth="1"/>
    <col min="8227" max="8227" width="34.5703125" style="761" customWidth="1"/>
    <col min="8228" max="8228" width="11.85546875" style="761" bestFit="1" customWidth="1"/>
    <col min="8229" max="8229" width="8.140625" style="761" customWidth="1"/>
    <col min="8230" max="8230" width="13.85546875" style="761" bestFit="1" customWidth="1"/>
    <col min="8231" max="8231" width="8.140625" style="761" customWidth="1"/>
    <col min="8232" max="8232" width="13.85546875" style="761" bestFit="1" customWidth="1"/>
    <col min="8233" max="8233" width="8.7109375" style="761" customWidth="1"/>
    <col min="8234" max="8234" width="13.5703125" style="761" bestFit="1" customWidth="1"/>
    <col min="8235" max="8235" width="9" style="761" customWidth="1"/>
    <col min="8236" max="8236" width="13.5703125" style="761" bestFit="1" customWidth="1"/>
    <col min="8237" max="8237" width="9" style="761" bestFit="1" customWidth="1"/>
    <col min="8238" max="8238" width="13.5703125" style="761" bestFit="1" customWidth="1"/>
    <col min="8239" max="8239" width="9" style="761" bestFit="1" customWidth="1"/>
    <col min="8240" max="8240" width="13.85546875" style="761" bestFit="1" customWidth="1"/>
    <col min="8241" max="8241" width="8.7109375" style="761" bestFit="1" customWidth="1"/>
    <col min="8242" max="8242" width="13.85546875" style="761" bestFit="1" customWidth="1"/>
    <col min="8243" max="8243" width="8.7109375" style="761" bestFit="1" customWidth="1"/>
    <col min="8244" max="8244" width="13.85546875" style="761" bestFit="1" customWidth="1"/>
    <col min="8245" max="8245" width="8.7109375" style="761" bestFit="1" customWidth="1"/>
    <col min="8246" max="8246" width="13.85546875" style="761" bestFit="1" customWidth="1"/>
    <col min="8247" max="8247" width="8.7109375" style="761" bestFit="1" customWidth="1"/>
    <col min="8248" max="8248" width="13.85546875" style="761" bestFit="1" customWidth="1"/>
    <col min="8249" max="8249" width="8.7109375" style="761" bestFit="1" customWidth="1"/>
    <col min="8250" max="8250" width="13.85546875" style="761" bestFit="1" customWidth="1"/>
    <col min="8251" max="8251" width="8.7109375" style="761" bestFit="1" customWidth="1"/>
    <col min="8252" max="8252" width="17.85546875" style="761" bestFit="1" customWidth="1"/>
    <col min="8253" max="8254" width="9.140625" style="761"/>
    <col min="8255" max="8255" width="10" style="761" bestFit="1" customWidth="1"/>
    <col min="8256" max="8481" width="9.140625" style="761"/>
    <col min="8482" max="8482" width="4" style="761" customWidth="1"/>
    <col min="8483" max="8483" width="34.5703125" style="761" customWidth="1"/>
    <col min="8484" max="8484" width="11.85546875" style="761" bestFit="1" customWidth="1"/>
    <col min="8485" max="8485" width="8.140625" style="761" customWidth="1"/>
    <col min="8486" max="8486" width="13.85546875" style="761" bestFit="1" customWidth="1"/>
    <col min="8487" max="8487" width="8.140625" style="761" customWidth="1"/>
    <col min="8488" max="8488" width="13.85546875" style="761" bestFit="1" customWidth="1"/>
    <col min="8489" max="8489" width="8.7109375" style="761" customWidth="1"/>
    <col min="8490" max="8490" width="13.5703125" style="761" bestFit="1" customWidth="1"/>
    <col min="8491" max="8491" width="9" style="761" customWidth="1"/>
    <col min="8492" max="8492" width="13.5703125" style="761" bestFit="1" customWidth="1"/>
    <col min="8493" max="8493" width="9" style="761" bestFit="1" customWidth="1"/>
    <col min="8494" max="8494" width="13.5703125" style="761" bestFit="1" customWidth="1"/>
    <col min="8495" max="8495" width="9" style="761" bestFit="1" customWidth="1"/>
    <col min="8496" max="8496" width="13.85546875" style="761" bestFit="1" customWidth="1"/>
    <col min="8497" max="8497" width="8.7109375" style="761" bestFit="1" customWidth="1"/>
    <col min="8498" max="8498" width="13.85546875" style="761" bestFit="1" customWidth="1"/>
    <col min="8499" max="8499" width="8.7109375" style="761" bestFit="1" customWidth="1"/>
    <col min="8500" max="8500" width="13.85546875" style="761" bestFit="1" customWidth="1"/>
    <col min="8501" max="8501" width="8.7109375" style="761" bestFit="1" customWidth="1"/>
    <col min="8502" max="8502" width="13.85546875" style="761" bestFit="1" customWidth="1"/>
    <col min="8503" max="8503" width="8.7109375" style="761" bestFit="1" customWidth="1"/>
    <col min="8504" max="8504" width="13.85546875" style="761" bestFit="1" customWidth="1"/>
    <col min="8505" max="8505" width="8.7109375" style="761" bestFit="1" customWidth="1"/>
    <col min="8506" max="8506" width="13.85546875" style="761" bestFit="1" customWidth="1"/>
    <col min="8507" max="8507" width="8.7109375" style="761" bestFit="1" customWidth="1"/>
    <col min="8508" max="8508" width="17.85546875" style="761" bestFit="1" customWidth="1"/>
    <col min="8509" max="8510" width="9.140625" style="761"/>
    <col min="8511" max="8511" width="10" style="761" bestFit="1" customWidth="1"/>
    <col min="8512" max="8737" width="9.140625" style="761"/>
    <col min="8738" max="8738" width="4" style="761" customWidth="1"/>
    <col min="8739" max="8739" width="34.5703125" style="761" customWidth="1"/>
    <col min="8740" max="8740" width="11.85546875" style="761" bestFit="1" customWidth="1"/>
    <col min="8741" max="8741" width="8.140625" style="761" customWidth="1"/>
    <col min="8742" max="8742" width="13.85546875" style="761" bestFit="1" customWidth="1"/>
    <col min="8743" max="8743" width="8.140625" style="761" customWidth="1"/>
    <col min="8744" max="8744" width="13.85546875" style="761" bestFit="1" customWidth="1"/>
    <col min="8745" max="8745" width="8.7109375" style="761" customWidth="1"/>
    <col min="8746" max="8746" width="13.5703125" style="761" bestFit="1" customWidth="1"/>
    <col min="8747" max="8747" width="9" style="761" customWidth="1"/>
    <col min="8748" max="8748" width="13.5703125" style="761" bestFit="1" customWidth="1"/>
    <col min="8749" max="8749" width="9" style="761" bestFit="1" customWidth="1"/>
    <col min="8750" max="8750" width="13.5703125" style="761" bestFit="1" customWidth="1"/>
    <col min="8751" max="8751" width="9" style="761" bestFit="1" customWidth="1"/>
    <col min="8752" max="8752" width="13.85546875" style="761" bestFit="1" customWidth="1"/>
    <col min="8753" max="8753" width="8.7109375" style="761" bestFit="1" customWidth="1"/>
    <col min="8754" max="8754" width="13.85546875" style="761" bestFit="1" customWidth="1"/>
    <col min="8755" max="8755" width="8.7109375" style="761" bestFit="1" customWidth="1"/>
    <col min="8756" max="8756" width="13.85546875" style="761" bestFit="1" customWidth="1"/>
    <col min="8757" max="8757" width="8.7109375" style="761" bestFit="1" customWidth="1"/>
    <col min="8758" max="8758" width="13.85546875" style="761" bestFit="1" customWidth="1"/>
    <col min="8759" max="8759" width="8.7109375" style="761" bestFit="1" customWidth="1"/>
    <col min="8760" max="8760" width="13.85546875" style="761" bestFit="1" customWidth="1"/>
    <col min="8761" max="8761" width="8.7109375" style="761" bestFit="1" customWidth="1"/>
    <col min="8762" max="8762" width="13.85546875" style="761" bestFit="1" customWidth="1"/>
    <col min="8763" max="8763" width="8.7109375" style="761" bestFit="1" customWidth="1"/>
    <col min="8764" max="8764" width="17.85546875" style="761" bestFit="1" customWidth="1"/>
    <col min="8765" max="8766" width="9.140625" style="761"/>
    <col min="8767" max="8767" width="10" style="761" bestFit="1" customWidth="1"/>
    <col min="8768" max="8993" width="9.140625" style="761"/>
    <col min="8994" max="8994" width="4" style="761" customWidth="1"/>
    <col min="8995" max="8995" width="34.5703125" style="761" customWidth="1"/>
    <col min="8996" max="8996" width="11.85546875" style="761" bestFit="1" customWidth="1"/>
    <col min="8997" max="8997" width="8.140625" style="761" customWidth="1"/>
    <col min="8998" max="8998" width="13.85546875" style="761" bestFit="1" customWidth="1"/>
    <col min="8999" max="8999" width="8.140625" style="761" customWidth="1"/>
    <col min="9000" max="9000" width="13.85546875" style="761" bestFit="1" customWidth="1"/>
    <col min="9001" max="9001" width="8.7109375" style="761" customWidth="1"/>
    <col min="9002" max="9002" width="13.5703125" style="761" bestFit="1" customWidth="1"/>
    <col min="9003" max="9003" width="9" style="761" customWidth="1"/>
    <col min="9004" max="9004" width="13.5703125" style="761" bestFit="1" customWidth="1"/>
    <col min="9005" max="9005" width="9" style="761" bestFit="1" customWidth="1"/>
    <col min="9006" max="9006" width="13.5703125" style="761" bestFit="1" customWidth="1"/>
    <col min="9007" max="9007" width="9" style="761" bestFit="1" customWidth="1"/>
    <col min="9008" max="9008" width="13.85546875" style="761" bestFit="1" customWidth="1"/>
    <col min="9009" max="9009" width="8.7109375" style="761" bestFit="1" customWidth="1"/>
    <col min="9010" max="9010" width="13.85546875" style="761" bestFit="1" customWidth="1"/>
    <col min="9011" max="9011" width="8.7109375" style="761" bestFit="1" customWidth="1"/>
    <col min="9012" max="9012" width="13.85546875" style="761" bestFit="1" customWidth="1"/>
    <col min="9013" max="9013" width="8.7109375" style="761" bestFit="1" customWidth="1"/>
    <col min="9014" max="9014" width="13.85546875" style="761" bestFit="1" customWidth="1"/>
    <col min="9015" max="9015" width="8.7109375" style="761" bestFit="1" customWidth="1"/>
    <col min="9016" max="9016" width="13.85546875" style="761" bestFit="1" customWidth="1"/>
    <col min="9017" max="9017" width="8.7109375" style="761" bestFit="1" customWidth="1"/>
    <col min="9018" max="9018" width="13.85546875" style="761" bestFit="1" customWidth="1"/>
    <col min="9019" max="9019" width="8.7109375" style="761" bestFit="1" customWidth="1"/>
    <col min="9020" max="9020" width="17.85546875" style="761" bestFit="1" customWidth="1"/>
    <col min="9021" max="9022" width="9.140625" style="761"/>
    <col min="9023" max="9023" width="10" style="761" bestFit="1" customWidth="1"/>
    <col min="9024" max="9249" width="9.140625" style="761"/>
    <col min="9250" max="9250" width="4" style="761" customWidth="1"/>
    <col min="9251" max="9251" width="34.5703125" style="761" customWidth="1"/>
    <col min="9252" max="9252" width="11.85546875" style="761" bestFit="1" customWidth="1"/>
    <col min="9253" max="9253" width="8.140625" style="761" customWidth="1"/>
    <col min="9254" max="9254" width="13.85546875" style="761" bestFit="1" customWidth="1"/>
    <col min="9255" max="9255" width="8.140625" style="761" customWidth="1"/>
    <col min="9256" max="9256" width="13.85546875" style="761" bestFit="1" customWidth="1"/>
    <col min="9257" max="9257" width="8.7109375" style="761" customWidth="1"/>
    <col min="9258" max="9258" width="13.5703125" style="761" bestFit="1" customWidth="1"/>
    <col min="9259" max="9259" width="9" style="761" customWidth="1"/>
    <col min="9260" max="9260" width="13.5703125" style="761" bestFit="1" customWidth="1"/>
    <col min="9261" max="9261" width="9" style="761" bestFit="1" customWidth="1"/>
    <col min="9262" max="9262" width="13.5703125" style="761" bestFit="1" customWidth="1"/>
    <col min="9263" max="9263" width="9" style="761" bestFit="1" customWidth="1"/>
    <col min="9264" max="9264" width="13.85546875" style="761" bestFit="1" customWidth="1"/>
    <col min="9265" max="9265" width="8.7109375" style="761" bestFit="1" customWidth="1"/>
    <col min="9266" max="9266" width="13.85546875" style="761" bestFit="1" customWidth="1"/>
    <col min="9267" max="9267" width="8.7109375" style="761" bestFit="1" customWidth="1"/>
    <col min="9268" max="9268" width="13.85546875" style="761" bestFit="1" customWidth="1"/>
    <col min="9269" max="9269" width="8.7109375" style="761" bestFit="1" customWidth="1"/>
    <col min="9270" max="9270" width="13.85546875" style="761" bestFit="1" customWidth="1"/>
    <col min="9271" max="9271" width="8.7109375" style="761" bestFit="1" customWidth="1"/>
    <col min="9272" max="9272" width="13.85546875" style="761" bestFit="1" customWidth="1"/>
    <col min="9273" max="9273" width="8.7109375" style="761" bestFit="1" customWidth="1"/>
    <col min="9274" max="9274" width="13.85546875" style="761" bestFit="1" customWidth="1"/>
    <col min="9275" max="9275" width="8.7109375" style="761" bestFit="1" customWidth="1"/>
    <col min="9276" max="9276" width="17.85546875" style="761" bestFit="1" customWidth="1"/>
    <col min="9277" max="9278" width="9.140625" style="761"/>
    <col min="9279" max="9279" width="10" style="761" bestFit="1" customWidth="1"/>
    <col min="9280" max="9505" width="9.140625" style="761"/>
    <col min="9506" max="9506" width="4" style="761" customWidth="1"/>
    <col min="9507" max="9507" width="34.5703125" style="761" customWidth="1"/>
    <col min="9508" max="9508" width="11.85546875" style="761" bestFit="1" customWidth="1"/>
    <col min="9509" max="9509" width="8.140625" style="761" customWidth="1"/>
    <col min="9510" max="9510" width="13.85546875" style="761" bestFit="1" customWidth="1"/>
    <col min="9511" max="9511" width="8.140625" style="761" customWidth="1"/>
    <col min="9512" max="9512" width="13.85546875" style="761" bestFit="1" customWidth="1"/>
    <col min="9513" max="9513" width="8.7109375" style="761" customWidth="1"/>
    <col min="9514" max="9514" width="13.5703125" style="761" bestFit="1" customWidth="1"/>
    <col min="9515" max="9515" width="9" style="761" customWidth="1"/>
    <col min="9516" max="9516" width="13.5703125" style="761" bestFit="1" customWidth="1"/>
    <col min="9517" max="9517" width="9" style="761" bestFit="1" customWidth="1"/>
    <col min="9518" max="9518" width="13.5703125" style="761" bestFit="1" customWidth="1"/>
    <col min="9519" max="9519" width="9" style="761" bestFit="1" customWidth="1"/>
    <col min="9520" max="9520" width="13.85546875" style="761" bestFit="1" customWidth="1"/>
    <col min="9521" max="9521" width="8.7109375" style="761" bestFit="1" customWidth="1"/>
    <col min="9522" max="9522" width="13.85546875" style="761" bestFit="1" customWidth="1"/>
    <col min="9523" max="9523" width="8.7109375" style="761" bestFit="1" customWidth="1"/>
    <col min="9524" max="9524" width="13.85546875" style="761" bestFit="1" customWidth="1"/>
    <col min="9525" max="9525" width="8.7109375" style="761" bestFit="1" customWidth="1"/>
    <col min="9526" max="9526" width="13.85546875" style="761" bestFit="1" customWidth="1"/>
    <col min="9527" max="9527" width="8.7109375" style="761" bestFit="1" customWidth="1"/>
    <col min="9528" max="9528" width="13.85546875" style="761" bestFit="1" customWidth="1"/>
    <col min="9529" max="9529" width="8.7109375" style="761" bestFit="1" customWidth="1"/>
    <col min="9530" max="9530" width="13.85546875" style="761" bestFit="1" customWidth="1"/>
    <col min="9531" max="9531" width="8.7109375" style="761" bestFit="1" customWidth="1"/>
    <col min="9532" max="9532" width="17.85546875" style="761" bestFit="1" customWidth="1"/>
    <col min="9533" max="9534" width="9.140625" style="761"/>
    <col min="9535" max="9535" width="10" style="761" bestFit="1" customWidth="1"/>
    <col min="9536" max="9761" width="9.140625" style="761"/>
    <col min="9762" max="9762" width="4" style="761" customWidth="1"/>
    <col min="9763" max="9763" width="34.5703125" style="761" customWidth="1"/>
    <col min="9764" max="9764" width="11.85546875" style="761" bestFit="1" customWidth="1"/>
    <col min="9765" max="9765" width="8.140625" style="761" customWidth="1"/>
    <col min="9766" max="9766" width="13.85546875" style="761" bestFit="1" customWidth="1"/>
    <col min="9767" max="9767" width="8.140625" style="761" customWidth="1"/>
    <col min="9768" max="9768" width="13.85546875" style="761" bestFit="1" customWidth="1"/>
    <col min="9769" max="9769" width="8.7109375" style="761" customWidth="1"/>
    <col min="9770" max="9770" width="13.5703125" style="761" bestFit="1" customWidth="1"/>
    <col min="9771" max="9771" width="9" style="761" customWidth="1"/>
    <col min="9772" max="9772" width="13.5703125" style="761" bestFit="1" customWidth="1"/>
    <col min="9773" max="9773" width="9" style="761" bestFit="1" customWidth="1"/>
    <col min="9774" max="9774" width="13.5703125" style="761" bestFit="1" customWidth="1"/>
    <col min="9775" max="9775" width="9" style="761" bestFit="1" customWidth="1"/>
    <col min="9776" max="9776" width="13.85546875" style="761" bestFit="1" customWidth="1"/>
    <col min="9777" max="9777" width="8.7109375" style="761" bestFit="1" customWidth="1"/>
    <col min="9778" max="9778" width="13.85546875" style="761" bestFit="1" customWidth="1"/>
    <col min="9779" max="9779" width="8.7109375" style="761" bestFit="1" customWidth="1"/>
    <col min="9780" max="9780" width="13.85546875" style="761" bestFit="1" customWidth="1"/>
    <col min="9781" max="9781" width="8.7109375" style="761" bestFit="1" customWidth="1"/>
    <col min="9782" max="9782" width="13.85546875" style="761" bestFit="1" customWidth="1"/>
    <col min="9783" max="9783" width="8.7109375" style="761" bestFit="1" customWidth="1"/>
    <col min="9784" max="9784" width="13.85546875" style="761" bestFit="1" customWidth="1"/>
    <col min="9785" max="9785" width="8.7109375" style="761" bestFit="1" customWidth="1"/>
    <col min="9786" max="9786" width="13.85546875" style="761" bestFit="1" customWidth="1"/>
    <col min="9787" max="9787" width="8.7109375" style="761" bestFit="1" customWidth="1"/>
    <col min="9788" max="9788" width="17.85546875" style="761" bestFit="1" customWidth="1"/>
    <col min="9789" max="9790" width="9.140625" style="761"/>
    <col min="9791" max="9791" width="10" style="761" bestFit="1" customWidth="1"/>
    <col min="9792" max="10017" width="9.140625" style="761"/>
    <col min="10018" max="10018" width="4" style="761" customWidth="1"/>
    <col min="10019" max="10019" width="34.5703125" style="761" customWidth="1"/>
    <col min="10020" max="10020" width="11.85546875" style="761" bestFit="1" customWidth="1"/>
    <col min="10021" max="10021" width="8.140625" style="761" customWidth="1"/>
    <col min="10022" max="10022" width="13.85546875" style="761" bestFit="1" customWidth="1"/>
    <col min="10023" max="10023" width="8.140625" style="761" customWidth="1"/>
    <col min="10024" max="10024" width="13.85546875" style="761" bestFit="1" customWidth="1"/>
    <col min="10025" max="10025" width="8.7109375" style="761" customWidth="1"/>
    <col min="10026" max="10026" width="13.5703125" style="761" bestFit="1" customWidth="1"/>
    <col min="10027" max="10027" width="9" style="761" customWidth="1"/>
    <col min="10028" max="10028" width="13.5703125" style="761" bestFit="1" customWidth="1"/>
    <col min="10029" max="10029" width="9" style="761" bestFit="1" customWidth="1"/>
    <col min="10030" max="10030" width="13.5703125" style="761" bestFit="1" customWidth="1"/>
    <col min="10031" max="10031" width="9" style="761" bestFit="1" customWidth="1"/>
    <col min="10032" max="10032" width="13.85546875" style="761" bestFit="1" customWidth="1"/>
    <col min="10033" max="10033" width="8.7109375" style="761" bestFit="1" customWidth="1"/>
    <col min="10034" max="10034" width="13.85546875" style="761" bestFit="1" customWidth="1"/>
    <col min="10035" max="10035" width="8.7109375" style="761" bestFit="1" customWidth="1"/>
    <col min="10036" max="10036" width="13.85546875" style="761" bestFit="1" customWidth="1"/>
    <col min="10037" max="10037" width="8.7109375" style="761" bestFit="1" customWidth="1"/>
    <col min="10038" max="10038" width="13.85546875" style="761" bestFit="1" customWidth="1"/>
    <col min="10039" max="10039" width="8.7109375" style="761" bestFit="1" customWidth="1"/>
    <col min="10040" max="10040" width="13.85546875" style="761" bestFit="1" customWidth="1"/>
    <col min="10041" max="10041" width="8.7109375" style="761" bestFit="1" customWidth="1"/>
    <col min="10042" max="10042" width="13.85546875" style="761" bestFit="1" customWidth="1"/>
    <col min="10043" max="10043" width="8.7109375" style="761" bestFit="1" customWidth="1"/>
    <col min="10044" max="10044" width="17.85546875" style="761" bestFit="1" customWidth="1"/>
    <col min="10045" max="10046" width="9.140625" style="761"/>
    <col min="10047" max="10047" width="10" style="761" bestFit="1" customWidth="1"/>
    <col min="10048" max="10273" width="9.140625" style="761"/>
    <col min="10274" max="10274" width="4" style="761" customWidth="1"/>
    <col min="10275" max="10275" width="34.5703125" style="761" customWidth="1"/>
    <col min="10276" max="10276" width="11.85546875" style="761" bestFit="1" customWidth="1"/>
    <col min="10277" max="10277" width="8.140625" style="761" customWidth="1"/>
    <col min="10278" max="10278" width="13.85546875" style="761" bestFit="1" customWidth="1"/>
    <col min="10279" max="10279" width="8.140625" style="761" customWidth="1"/>
    <col min="10280" max="10280" width="13.85546875" style="761" bestFit="1" customWidth="1"/>
    <col min="10281" max="10281" width="8.7109375" style="761" customWidth="1"/>
    <col min="10282" max="10282" width="13.5703125" style="761" bestFit="1" customWidth="1"/>
    <col min="10283" max="10283" width="9" style="761" customWidth="1"/>
    <col min="10284" max="10284" width="13.5703125" style="761" bestFit="1" customWidth="1"/>
    <col min="10285" max="10285" width="9" style="761" bestFit="1" customWidth="1"/>
    <col min="10286" max="10286" width="13.5703125" style="761" bestFit="1" customWidth="1"/>
    <col min="10287" max="10287" width="9" style="761" bestFit="1" customWidth="1"/>
    <col min="10288" max="10288" width="13.85546875" style="761" bestFit="1" customWidth="1"/>
    <col min="10289" max="10289" width="8.7109375" style="761" bestFit="1" customWidth="1"/>
    <col min="10290" max="10290" width="13.85546875" style="761" bestFit="1" customWidth="1"/>
    <col min="10291" max="10291" width="8.7109375" style="761" bestFit="1" customWidth="1"/>
    <col min="10292" max="10292" width="13.85546875" style="761" bestFit="1" customWidth="1"/>
    <col min="10293" max="10293" width="8.7109375" style="761" bestFit="1" customWidth="1"/>
    <col min="10294" max="10294" width="13.85546875" style="761" bestFit="1" customWidth="1"/>
    <col min="10295" max="10295" width="8.7109375" style="761" bestFit="1" customWidth="1"/>
    <col min="10296" max="10296" width="13.85546875" style="761" bestFit="1" customWidth="1"/>
    <col min="10297" max="10297" width="8.7109375" style="761" bestFit="1" customWidth="1"/>
    <col min="10298" max="10298" width="13.85546875" style="761" bestFit="1" customWidth="1"/>
    <col min="10299" max="10299" width="8.7109375" style="761" bestFit="1" customWidth="1"/>
    <col min="10300" max="10300" width="17.85546875" style="761" bestFit="1" customWidth="1"/>
    <col min="10301" max="10302" width="9.140625" style="761"/>
    <col min="10303" max="10303" width="10" style="761" bestFit="1" customWidth="1"/>
    <col min="10304" max="10529" width="9.140625" style="761"/>
    <col min="10530" max="10530" width="4" style="761" customWidth="1"/>
    <col min="10531" max="10531" width="34.5703125" style="761" customWidth="1"/>
    <col min="10532" max="10532" width="11.85546875" style="761" bestFit="1" customWidth="1"/>
    <col min="10533" max="10533" width="8.140625" style="761" customWidth="1"/>
    <col min="10534" max="10534" width="13.85546875" style="761" bestFit="1" customWidth="1"/>
    <col min="10535" max="10535" width="8.140625" style="761" customWidth="1"/>
    <col min="10536" max="10536" width="13.85546875" style="761" bestFit="1" customWidth="1"/>
    <col min="10537" max="10537" width="8.7109375" style="761" customWidth="1"/>
    <col min="10538" max="10538" width="13.5703125" style="761" bestFit="1" customWidth="1"/>
    <col min="10539" max="10539" width="9" style="761" customWidth="1"/>
    <col min="10540" max="10540" width="13.5703125" style="761" bestFit="1" customWidth="1"/>
    <col min="10541" max="10541" width="9" style="761" bestFit="1" customWidth="1"/>
    <col min="10542" max="10542" width="13.5703125" style="761" bestFit="1" customWidth="1"/>
    <col min="10543" max="10543" width="9" style="761" bestFit="1" customWidth="1"/>
    <col min="10544" max="10544" width="13.85546875" style="761" bestFit="1" customWidth="1"/>
    <col min="10545" max="10545" width="8.7109375" style="761" bestFit="1" customWidth="1"/>
    <col min="10546" max="10546" width="13.85546875" style="761" bestFit="1" customWidth="1"/>
    <col min="10547" max="10547" width="8.7109375" style="761" bestFit="1" customWidth="1"/>
    <col min="10548" max="10548" width="13.85546875" style="761" bestFit="1" customWidth="1"/>
    <col min="10549" max="10549" width="8.7109375" style="761" bestFit="1" customWidth="1"/>
    <col min="10550" max="10550" width="13.85546875" style="761" bestFit="1" customWidth="1"/>
    <col min="10551" max="10551" width="8.7109375" style="761" bestFit="1" customWidth="1"/>
    <col min="10552" max="10552" width="13.85546875" style="761" bestFit="1" customWidth="1"/>
    <col min="10553" max="10553" width="8.7109375" style="761" bestFit="1" customWidth="1"/>
    <col min="10554" max="10554" width="13.85546875" style="761" bestFit="1" customWidth="1"/>
    <col min="10555" max="10555" width="8.7109375" style="761" bestFit="1" customWidth="1"/>
    <col min="10556" max="10556" width="17.85546875" style="761" bestFit="1" customWidth="1"/>
    <col min="10557" max="10558" width="9.140625" style="761"/>
    <col min="10559" max="10559" width="10" style="761" bestFit="1" customWidth="1"/>
    <col min="10560" max="10785" width="9.140625" style="761"/>
    <col min="10786" max="10786" width="4" style="761" customWidth="1"/>
    <col min="10787" max="10787" width="34.5703125" style="761" customWidth="1"/>
    <col min="10788" max="10788" width="11.85546875" style="761" bestFit="1" customWidth="1"/>
    <col min="10789" max="10789" width="8.140625" style="761" customWidth="1"/>
    <col min="10790" max="10790" width="13.85546875" style="761" bestFit="1" customWidth="1"/>
    <col min="10791" max="10791" width="8.140625" style="761" customWidth="1"/>
    <col min="10792" max="10792" width="13.85546875" style="761" bestFit="1" customWidth="1"/>
    <col min="10793" max="10793" width="8.7109375" style="761" customWidth="1"/>
    <col min="10794" max="10794" width="13.5703125" style="761" bestFit="1" customWidth="1"/>
    <col min="10795" max="10795" width="9" style="761" customWidth="1"/>
    <col min="10796" max="10796" width="13.5703125" style="761" bestFit="1" customWidth="1"/>
    <col min="10797" max="10797" width="9" style="761" bestFit="1" customWidth="1"/>
    <col min="10798" max="10798" width="13.5703125" style="761" bestFit="1" customWidth="1"/>
    <col min="10799" max="10799" width="9" style="761" bestFit="1" customWidth="1"/>
    <col min="10800" max="10800" width="13.85546875" style="761" bestFit="1" customWidth="1"/>
    <col min="10801" max="10801" width="8.7109375" style="761" bestFit="1" customWidth="1"/>
    <col min="10802" max="10802" width="13.85546875" style="761" bestFit="1" customWidth="1"/>
    <col min="10803" max="10803" width="8.7109375" style="761" bestFit="1" customWidth="1"/>
    <col min="10804" max="10804" width="13.85546875" style="761" bestFit="1" customWidth="1"/>
    <col min="10805" max="10805" width="8.7109375" style="761" bestFit="1" customWidth="1"/>
    <col min="10806" max="10806" width="13.85546875" style="761" bestFit="1" customWidth="1"/>
    <col min="10807" max="10807" width="8.7109375" style="761" bestFit="1" customWidth="1"/>
    <col min="10808" max="10808" width="13.85546875" style="761" bestFit="1" customWidth="1"/>
    <col min="10809" max="10809" width="8.7109375" style="761" bestFit="1" customWidth="1"/>
    <col min="10810" max="10810" width="13.85546875" style="761" bestFit="1" customWidth="1"/>
    <col min="10811" max="10811" width="8.7109375" style="761" bestFit="1" customWidth="1"/>
    <col min="10812" max="10812" width="17.85546875" style="761" bestFit="1" customWidth="1"/>
    <col min="10813" max="10814" width="9.140625" style="761"/>
    <col min="10815" max="10815" width="10" style="761" bestFit="1" customWidth="1"/>
    <col min="10816" max="11041" width="9.140625" style="761"/>
    <col min="11042" max="11042" width="4" style="761" customWidth="1"/>
    <col min="11043" max="11043" width="34.5703125" style="761" customWidth="1"/>
    <col min="11044" max="11044" width="11.85546875" style="761" bestFit="1" customWidth="1"/>
    <col min="11045" max="11045" width="8.140625" style="761" customWidth="1"/>
    <col min="11046" max="11046" width="13.85546875" style="761" bestFit="1" customWidth="1"/>
    <col min="11047" max="11047" width="8.140625" style="761" customWidth="1"/>
    <col min="11048" max="11048" width="13.85546875" style="761" bestFit="1" customWidth="1"/>
    <col min="11049" max="11049" width="8.7109375" style="761" customWidth="1"/>
    <col min="11050" max="11050" width="13.5703125" style="761" bestFit="1" customWidth="1"/>
    <col min="11051" max="11051" width="9" style="761" customWidth="1"/>
    <col min="11052" max="11052" width="13.5703125" style="761" bestFit="1" customWidth="1"/>
    <col min="11053" max="11053" width="9" style="761" bestFit="1" customWidth="1"/>
    <col min="11054" max="11054" width="13.5703125" style="761" bestFit="1" customWidth="1"/>
    <col min="11055" max="11055" width="9" style="761" bestFit="1" customWidth="1"/>
    <col min="11056" max="11056" width="13.85546875" style="761" bestFit="1" customWidth="1"/>
    <col min="11057" max="11057" width="8.7109375" style="761" bestFit="1" customWidth="1"/>
    <col min="11058" max="11058" width="13.85546875" style="761" bestFit="1" customWidth="1"/>
    <col min="11059" max="11059" width="8.7109375" style="761" bestFit="1" customWidth="1"/>
    <col min="11060" max="11060" width="13.85546875" style="761" bestFit="1" customWidth="1"/>
    <col min="11061" max="11061" width="8.7109375" style="761" bestFit="1" customWidth="1"/>
    <col min="11062" max="11062" width="13.85546875" style="761" bestFit="1" customWidth="1"/>
    <col min="11063" max="11063" width="8.7109375" style="761" bestFit="1" customWidth="1"/>
    <col min="11064" max="11064" width="13.85546875" style="761" bestFit="1" customWidth="1"/>
    <col min="11065" max="11065" width="8.7109375" style="761" bestFit="1" customWidth="1"/>
    <col min="11066" max="11066" width="13.85546875" style="761" bestFit="1" customWidth="1"/>
    <col min="11067" max="11067" width="8.7109375" style="761" bestFit="1" customWidth="1"/>
    <col min="11068" max="11068" width="17.85546875" style="761" bestFit="1" customWidth="1"/>
    <col min="11069" max="11070" width="9.140625" style="761"/>
    <col min="11071" max="11071" width="10" style="761" bestFit="1" customWidth="1"/>
    <col min="11072" max="11297" width="9.140625" style="761"/>
    <col min="11298" max="11298" width="4" style="761" customWidth="1"/>
    <col min="11299" max="11299" width="34.5703125" style="761" customWidth="1"/>
    <col min="11300" max="11300" width="11.85546875" style="761" bestFit="1" customWidth="1"/>
    <col min="11301" max="11301" width="8.140625" style="761" customWidth="1"/>
    <col min="11302" max="11302" width="13.85546875" style="761" bestFit="1" customWidth="1"/>
    <col min="11303" max="11303" width="8.140625" style="761" customWidth="1"/>
    <col min="11304" max="11304" width="13.85546875" style="761" bestFit="1" customWidth="1"/>
    <col min="11305" max="11305" width="8.7109375" style="761" customWidth="1"/>
    <col min="11306" max="11306" width="13.5703125" style="761" bestFit="1" customWidth="1"/>
    <col min="11307" max="11307" width="9" style="761" customWidth="1"/>
    <col min="11308" max="11308" width="13.5703125" style="761" bestFit="1" customWidth="1"/>
    <col min="11309" max="11309" width="9" style="761" bestFit="1" customWidth="1"/>
    <col min="11310" max="11310" width="13.5703125" style="761" bestFit="1" customWidth="1"/>
    <col min="11311" max="11311" width="9" style="761" bestFit="1" customWidth="1"/>
    <col min="11312" max="11312" width="13.85546875" style="761" bestFit="1" customWidth="1"/>
    <col min="11313" max="11313" width="8.7109375" style="761" bestFit="1" customWidth="1"/>
    <col min="11314" max="11314" width="13.85546875" style="761" bestFit="1" customWidth="1"/>
    <col min="11315" max="11315" width="8.7109375" style="761" bestFit="1" customWidth="1"/>
    <col min="11316" max="11316" width="13.85546875" style="761" bestFit="1" customWidth="1"/>
    <col min="11317" max="11317" width="8.7109375" style="761" bestFit="1" customWidth="1"/>
    <col min="11318" max="11318" width="13.85546875" style="761" bestFit="1" customWidth="1"/>
    <col min="11319" max="11319" width="8.7109375" style="761" bestFit="1" customWidth="1"/>
    <col min="11320" max="11320" width="13.85546875" style="761" bestFit="1" customWidth="1"/>
    <col min="11321" max="11321" width="8.7109375" style="761" bestFit="1" customWidth="1"/>
    <col min="11322" max="11322" width="13.85546875" style="761" bestFit="1" customWidth="1"/>
    <col min="11323" max="11323" width="8.7109375" style="761" bestFit="1" customWidth="1"/>
    <col min="11324" max="11324" width="17.85546875" style="761" bestFit="1" customWidth="1"/>
    <col min="11325" max="11326" width="9.140625" style="761"/>
    <col min="11327" max="11327" width="10" style="761" bestFit="1" customWidth="1"/>
    <col min="11328" max="11553" width="9.140625" style="761"/>
    <col min="11554" max="11554" width="4" style="761" customWidth="1"/>
    <col min="11555" max="11555" width="34.5703125" style="761" customWidth="1"/>
    <col min="11556" max="11556" width="11.85546875" style="761" bestFit="1" customWidth="1"/>
    <col min="11557" max="11557" width="8.140625" style="761" customWidth="1"/>
    <col min="11558" max="11558" width="13.85546875" style="761" bestFit="1" customWidth="1"/>
    <col min="11559" max="11559" width="8.140625" style="761" customWidth="1"/>
    <col min="11560" max="11560" width="13.85546875" style="761" bestFit="1" customWidth="1"/>
    <col min="11561" max="11561" width="8.7109375" style="761" customWidth="1"/>
    <col min="11562" max="11562" width="13.5703125" style="761" bestFit="1" customWidth="1"/>
    <col min="11563" max="11563" width="9" style="761" customWidth="1"/>
    <col min="11564" max="11564" width="13.5703125" style="761" bestFit="1" customWidth="1"/>
    <col min="11565" max="11565" width="9" style="761" bestFit="1" customWidth="1"/>
    <col min="11566" max="11566" width="13.5703125" style="761" bestFit="1" customWidth="1"/>
    <col min="11567" max="11567" width="9" style="761" bestFit="1" customWidth="1"/>
    <col min="11568" max="11568" width="13.85546875" style="761" bestFit="1" customWidth="1"/>
    <col min="11569" max="11569" width="8.7109375" style="761" bestFit="1" customWidth="1"/>
    <col min="11570" max="11570" width="13.85546875" style="761" bestFit="1" customWidth="1"/>
    <col min="11571" max="11571" width="8.7109375" style="761" bestFit="1" customWidth="1"/>
    <col min="11572" max="11572" width="13.85546875" style="761" bestFit="1" customWidth="1"/>
    <col min="11573" max="11573" width="8.7109375" style="761" bestFit="1" customWidth="1"/>
    <col min="11574" max="11574" width="13.85546875" style="761" bestFit="1" customWidth="1"/>
    <col min="11575" max="11575" width="8.7109375" style="761" bestFit="1" customWidth="1"/>
    <col min="11576" max="11576" width="13.85546875" style="761" bestFit="1" customWidth="1"/>
    <col min="11577" max="11577" width="8.7109375" style="761" bestFit="1" customWidth="1"/>
    <col min="11578" max="11578" width="13.85546875" style="761" bestFit="1" customWidth="1"/>
    <col min="11579" max="11579" width="8.7109375" style="761" bestFit="1" customWidth="1"/>
    <col min="11580" max="11580" width="17.85546875" style="761" bestFit="1" customWidth="1"/>
    <col min="11581" max="11582" width="9.140625" style="761"/>
    <col min="11583" max="11583" width="10" style="761" bestFit="1" customWidth="1"/>
    <col min="11584" max="11809" width="9.140625" style="761"/>
    <col min="11810" max="11810" width="4" style="761" customWidth="1"/>
    <col min="11811" max="11811" width="34.5703125" style="761" customWidth="1"/>
    <col min="11812" max="11812" width="11.85546875" style="761" bestFit="1" customWidth="1"/>
    <col min="11813" max="11813" width="8.140625" style="761" customWidth="1"/>
    <col min="11814" max="11814" width="13.85546875" style="761" bestFit="1" customWidth="1"/>
    <col min="11815" max="11815" width="8.140625" style="761" customWidth="1"/>
    <col min="11816" max="11816" width="13.85546875" style="761" bestFit="1" customWidth="1"/>
    <col min="11817" max="11817" width="8.7109375" style="761" customWidth="1"/>
    <col min="11818" max="11818" width="13.5703125" style="761" bestFit="1" customWidth="1"/>
    <col min="11819" max="11819" width="9" style="761" customWidth="1"/>
    <col min="11820" max="11820" width="13.5703125" style="761" bestFit="1" customWidth="1"/>
    <col min="11821" max="11821" width="9" style="761" bestFit="1" customWidth="1"/>
    <col min="11822" max="11822" width="13.5703125" style="761" bestFit="1" customWidth="1"/>
    <col min="11823" max="11823" width="9" style="761" bestFit="1" customWidth="1"/>
    <col min="11824" max="11824" width="13.85546875" style="761" bestFit="1" customWidth="1"/>
    <col min="11825" max="11825" width="8.7109375" style="761" bestFit="1" customWidth="1"/>
    <col min="11826" max="11826" width="13.85546875" style="761" bestFit="1" customWidth="1"/>
    <col min="11827" max="11827" width="8.7109375" style="761" bestFit="1" customWidth="1"/>
    <col min="11828" max="11828" width="13.85546875" style="761" bestFit="1" customWidth="1"/>
    <col min="11829" max="11829" width="8.7109375" style="761" bestFit="1" customWidth="1"/>
    <col min="11830" max="11830" width="13.85546875" style="761" bestFit="1" customWidth="1"/>
    <col min="11831" max="11831" width="8.7109375" style="761" bestFit="1" customWidth="1"/>
    <col min="11832" max="11832" width="13.85546875" style="761" bestFit="1" customWidth="1"/>
    <col min="11833" max="11833" width="8.7109375" style="761" bestFit="1" customWidth="1"/>
    <col min="11834" max="11834" width="13.85546875" style="761" bestFit="1" customWidth="1"/>
    <col min="11835" max="11835" width="8.7109375" style="761" bestFit="1" customWidth="1"/>
    <col min="11836" max="11836" width="17.85546875" style="761" bestFit="1" customWidth="1"/>
    <col min="11837" max="11838" width="9.140625" style="761"/>
    <col min="11839" max="11839" width="10" style="761" bestFit="1" customWidth="1"/>
    <col min="11840" max="12065" width="9.140625" style="761"/>
    <col min="12066" max="12066" width="4" style="761" customWidth="1"/>
    <col min="12067" max="12067" width="34.5703125" style="761" customWidth="1"/>
    <col min="12068" max="12068" width="11.85546875" style="761" bestFit="1" customWidth="1"/>
    <col min="12069" max="12069" width="8.140625" style="761" customWidth="1"/>
    <col min="12070" max="12070" width="13.85546875" style="761" bestFit="1" customWidth="1"/>
    <col min="12071" max="12071" width="8.140625" style="761" customWidth="1"/>
    <col min="12072" max="12072" width="13.85546875" style="761" bestFit="1" customWidth="1"/>
    <col min="12073" max="12073" width="8.7109375" style="761" customWidth="1"/>
    <col min="12074" max="12074" width="13.5703125" style="761" bestFit="1" customWidth="1"/>
    <col min="12075" max="12075" width="9" style="761" customWidth="1"/>
    <col min="12076" max="12076" width="13.5703125" style="761" bestFit="1" customWidth="1"/>
    <col min="12077" max="12077" width="9" style="761" bestFit="1" customWidth="1"/>
    <col min="12078" max="12078" width="13.5703125" style="761" bestFit="1" customWidth="1"/>
    <col min="12079" max="12079" width="9" style="761" bestFit="1" customWidth="1"/>
    <col min="12080" max="12080" width="13.85546875" style="761" bestFit="1" customWidth="1"/>
    <col min="12081" max="12081" width="8.7109375" style="761" bestFit="1" customWidth="1"/>
    <col min="12082" max="12082" width="13.85546875" style="761" bestFit="1" customWidth="1"/>
    <col min="12083" max="12083" width="8.7109375" style="761" bestFit="1" customWidth="1"/>
    <col min="12084" max="12084" width="13.85546875" style="761" bestFit="1" customWidth="1"/>
    <col min="12085" max="12085" width="8.7109375" style="761" bestFit="1" customWidth="1"/>
    <col min="12086" max="12086" width="13.85546875" style="761" bestFit="1" customWidth="1"/>
    <col min="12087" max="12087" width="8.7109375" style="761" bestFit="1" customWidth="1"/>
    <col min="12088" max="12088" width="13.85546875" style="761" bestFit="1" customWidth="1"/>
    <col min="12089" max="12089" width="8.7109375" style="761" bestFit="1" customWidth="1"/>
    <col min="12090" max="12090" width="13.85546875" style="761" bestFit="1" customWidth="1"/>
    <col min="12091" max="12091" width="8.7109375" style="761" bestFit="1" customWidth="1"/>
    <col min="12092" max="12092" width="17.85546875" style="761" bestFit="1" customWidth="1"/>
    <col min="12093" max="12094" width="9.140625" style="761"/>
    <col min="12095" max="12095" width="10" style="761" bestFit="1" customWidth="1"/>
    <col min="12096" max="12321" width="9.140625" style="761"/>
    <col min="12322" max="12322" width="4" style="761" customWidth="1"/>
    <col min="12323" max="12323" width="34.5703125" style="761" customWidth="1"/>
    <col min="12324" max="12324" width="11.85546875" style="761" bestFit="1" customWidth="1"/>
    <col min="12325" max="12325" width="8.140625" style="761" customWidth="1"/>
    <col min="12326" max="12326" width="13.85546875" style="761" bestFit="1" customWidth="1"/>
    <col min="12327" max="12327" width="8.140625" style="761" customWidth="1"/>
    <col min="12328" max="12328" width="13.85546875" style="761" bestFit="1" customWidth="1"/>
    <col min="12329" max="12329" width="8.7109375" style="761" customWidth="1"/>
    <col min="12330" max="12330" width="13.5703125" style="761" bestFit="1" customWidth="1"/>
    <col min="12331" max="12331" width="9" style="761" customWidth="1"/>
    <col min="12332" max="12332" width="13.5703125" style="761" bestFit="1" customWidth="1"/>
    <col min="12333" max="12333" width="9" style="761" bestFit="1" customWidth="1"/>
    <col min="12334" max="12334" width="13.5703125" style="761" bestFit="1" customWidth="1"/>
    <col min="12335" max="12335" width="9" style="761" bestFit="1" customWidth="1"/>
    <col min="12336" max="12336" width="13.85546875" style="761" bestFit="1" customWidth="1"/>
    <col min="12337" max="12337" width="8.7109375" style="761" bestFit="1" customWidth="1"/>
    <col min="12338" max="12338" width="13.85546875" style="761" bestFit="1" customWidth="1"/>
    <col min="12339" max="12339" width="8.7109375" style="761" bestFit="1" customWidth="1"/>
    <col min="12340" max="12340" width="13.85546875" style="761" bestFit="1" customWidth="1"/>
    <col min="12341" max="12341" width="8.7109375" style="761" bestFit="1" customWidth="1"/>
    <col min="12342" max="12342" width="13.85546875" style="761" bestFit="1" customWidth="1"/>
    <col min="12343" max="12343" width="8.7109375" style="761" bestFit="1" customWidth="1"/>
    <col min="12344" max="12344" width="13.85546875" style="761" bestFit="1" customWidth="1"/>
    <col min="12345" max="12345" width="8.7109375" style="761" bestFit="1" customWidth="1"/>
    <col min="12346" max="12346" width="13.85546875" style="761" bestFit="1" customWidth="1"/>
    <col min="12347" max="12347" width="8.7109375" style="761" bestFit="1" customWidth="1"/>
    <col min="12348" max="12348" width="17.85546875" style="761" bestFit="1" customWidth="1"/>
    <col min="12349" max="12350" width="9.140625" style="761"/>
    <col min="12351" max="12351" width="10" style="761" bestFit="1" customWidth="1"/>
    <col min="12352" max="12577" width="9.140625" style="761"/>
    <col min="12578" max="12578" width="4" style="761" customWidth="1"/>
    <col min="12579" max="12579" width="34.5703125" style="761" customWidth="1"/>
    <col min="12580" max="12580" width="11.85546875" style="761" bestFit="1" customWidth="1"/>
    <col min="12581" max="12581" width="8.140625" style="761" customWidth="1"/>
    <col min="12582" max="12582" width="13.85546875" style="761" bestFit="1" customWidth="1"/>
    <col min="12583" max="12583" width="8.140625" style="761" customWidth="1"/>
    <col min="12584" max="12584" width="13.85546875" style="761" bestFit="1" customWidth="1"/>
    <col min="12585" max="12585" width="8.7109375" style="761" customWidth="1"/>
    <col min="12586" max="12586" width="13.5703125" style="761" bestFit="1" customWidth="1"/>
    <col min="12587" max="12587" width="9" style="761" customWidth="1"/>
    <col min="12588" max="12588" width="13.5703125" style="761" bestFit="1" customWidth="1"/>
    <col min="12589" max="12589" width="9" style="761" bestFit="1" customWidth="1"/>
    <col min="12590" max="12590" width="13.5703125" style="761" bestFit="1" customWidth="1"/>
    <col min="12591" max="12591" width="9" style="761" bestFit="1" customWidth="1"/>
    <col min="12592" max="12592" width="13.85546875" style="761" bestFit="1" customWidth="1"/>
    <col min="12593" max="12593" width="8.7109375" style="761" bestFit="1" customWidth="1"/>
    <col min="12594" max="12594" width="13.85546875" style="761" bestFit="1" customWidth="1"/>
    <col min="12595" max="12595" width="8.7109375" style="761" bestFit="1" customWidth="1"/>
    <col min="12596" max="12596" width="13.85546875" style="761" bestFit="1" customWidth="1"/>
    <col min="12597" max="12597" width="8.7109375" style="761" bestFit="1" customWidth="1"/>
    <col min="12598" max="12598" width="13.85546875" style="761" bestFit="1" customWidth="1"/>
    <col min="12599" max="12599" width="8.7109375" style="761" bestFit="1" customWidth="1"/>
    <col min="12600" max="12600" width="13.85546875" style="761" bestFit="1" customWidth="1"/>
    <col min="12601" max="12601" width="8.7109375" style="761" bestFit="1" customWidth="1"/>
    <col min="12602" max="12602" width="13.85546875" style="761" bestFit="1" customWidth="1"/>
    <col min="12603" max="12603" width="8.7109375" style="761" bestFit="1" customWidth="1"/>
    <col min="12604" max="12604" width="17.85546875" style="761" bestFit="1" customWidth="1"/>
    <col min="12605" max="12606" width="9.140625" style="761"/>
    <col min="12607" max="12607" width="10" style="761" bestFit="1" customWidth="1"/>
    <col min="12608" max="12833" width="9.140625" style="761"/>
    <col min="12834" max="12834" width="4" style="761" customWidth="1"/>
    <col min="12835" max="12835" width="34.5703125" style="761" customWidth="1"/>
    <col min="12836" max="12836" width="11.85546875" style="761" bestFit="1" customWidth="1"/>
    <col min="12837" max="12837" width="8.140625" style="761" customWidth="1"/>
    <col min="12838" max="12838" width="13.85546875" style="761" bestFit="1" customWidth="1"/>
    <col min="12839" max="12839" width="8.140625" style="761" customWidth="1"/>
    <col min="12840" max="12840" width="13.85546875" style="761" bestFit="1" customWidth="1"/>
    <col min="12841" max="12841" width="8.7109375" style="761" customWidth="1"/>
    <col min="12842" max="12842" width="13.5703125" style="761" bestFit="1" customWidth="1"/>
    <col min="12843" max="12843" width="9" style="761" customWidth="1"/>
    <col min="12844" max="12844" width="13.5703125" style="761" bestFit="1" customWidth="1"/>
    <col min="12845" max="12845" width="9" style="761" bestFit="1" customWidth="1"/>
    <col min="12846" max="12846" width="13.5703125" style="761" bestFit="1" customWidth="1"/>
    <col min="12847" max="12847" width="9" style="761" bestFit="1" customWidth="1"/>
    <col min="12848" max="12848" width="13.85546875" style="761" bestFit="1" customWidth="1"/>
    <col min="12849" max="12849" width="8.7109375" style="761" bestFit="1" customWidth="1"/>
    <col min="12850" max="12850" width="13.85546875" style="761" bestFit="1" customWidth="1"/>
    <col min="12851" max="12851" width="8.7109375" style="761" bestFit="1" customWidth="1"/>
    <col min="12852" max="12852" width="13.85546875" style="761" bestFit="1" customWidth="1"/>
    <col min="12853" max="12853" width="8.7109375" style="761" bestFit="1" customWidth="1"/>
    <col min="12854" max="12854" width="13.85546875" style="761" bestFit="1" customWidth="1"/>
    <col min="12855" max="12855" width="8.7109375" style="761" bestFit="1" customWidth="1"/>
    <col min="12856" max="12856" width="13.85546875" style="761" bestFit="1" customWidth="1"/>
    <col min="12857" max="12857" width="8.7109375" style="761" bestFit="1" customWidth="1"/>
    <col min="12858" max="12858" width="13.85546875" style="761" bestFit="1" customWidth="1"/>
    <col min="12859" max="12859" width="8.7109375" style="761" bestFit="1" customWidth="1"/>
    <col min="12860" max="12860" width="17.85546875" style="761" bestFit="1" customWidth="1"/>
    <col min="12861" max="12862" width="9.140625" style="761"/>
    <col min="12863" max="12863" width="10" style="761" bestFit="1" customWidth="1"/>
    <col min="12864" max="13089" width="9.140625" style="761"/>
    <col min="13090" max="13090" width="4" style="761" customWidth="1"/>
    <col min="13091" max="13091" width="34.5703125" style="761" customWidth="1"/>
    <col min="13092" max="13092" width="11.85546875" style="761" bestFit="1" customWidth="1"/>
    <col min="13093" max="13093" width="8.140625" style="761" customWidth="1"/>
    <col min="13094" max="13094" width="13.85546875" style="761" bestFit="1" customWidth="1"/>
    <col min="13095" max="13095" width="8.140625" style="761" customWidth="1"/>
    <col min="13096" max="13096" width="13.85546875" style="761" bestFit="1" customWidth="1"/>
    <col min="13097" max="13097" width="8.7109375" style="761" customWidth="1"/>
    <col min="13098" max="13098" width="13.5703125" style="761" bestFit="1" customWidth="1"/>
    <col min="13099" max="13099" width="9" style="761" customWidth="1"/>
    <col min="13100" max="13100" width="13.5703125" style="761" bestFit="1" customWidth="1"/>
    <col min="13101" max="13101" width="9" style="761" bestFit="1" customWidth="1"/>
    <col min="13102" max="13102" width="13.5703125" style="761" bestFit="1" customWidth="1"/>
    <col min="13103" max="13103" width="9" style="761" bestFit="1" customWidth="1"/>
    <col min="13104" max="13104" width="13.85546875" style="761" bestFit="1" customWidth="1"/>
    <col min="13105" max="13105" width="8.7109375" style="761" bestFit="1" customWidth="1"/>
    <col min="13106" max="13106" width="13.85546875" style="761" bestFit="1" customWidth="1"/>
    <col min="13107" max="13107" width="8.7109375" style="761" bestFit="1" customWidth="1"/>
    <col min="13108" max="13108" width="13.85546875" style="761" bestFit="1" customWidth="1"/>
    <col min="13109" max="13109" width="8.7109375" style="761" bestFit="1" customWidth="1"/>
    <col min="13110" max="13110" width="13.85546875" style="761" bestFit="1" customWidth="1"/>
    <col min="13111" max="13111" width="8.7109375" style="761" bestFit="1" customWidth="1"/>
    <col min="13112" max="13112" width="13.85546875" style="761" bestFit="1" customWidth="1"/>
    <col min="13113" max="13113" width="8.7109375" style="761" bestFit="1" customWidth="1"/>
    <col min="13114" max="13114" width="13.85546875" style="761" bestFit="1" customWidth="1"/>
    <col min="13115" max="13115" width="8.7109375" style="761" bestFit="1" customWidth="1"/>
    <col min="13116" max="13116" width="17.85546875" style="761" bestFit="1" customWidth="1"/>
    <col min="13117" max="13118" width="9.140625" style="761"/>
    <col min="13119" max="13119" width="10" style="761" bestFit="1" customWidth="1"/>
    <col min="13120" max="13345" width="9.140625" style="761"/>
    <col min="13346" max="13346" width="4" style="761" customWidth="1"/>
    <col min="13347" max="13347" width="34.5703125" style="761" customWidth="1"/>
    <col min="13348" max="13348" width="11.85546875" style="761" bestFit="1" customWidth="1"/>
    <col min="13349" max="13349" width="8.140625" style="761" customWidth="1"/>
    <col min="13350" max="13350" width="13.85546875" style="761" bestFit="1" customWidth="1"/>
    <col min="13351" max="13351" width="8.140625" style="761" customWidth="1"/>
    <col min="13352" max="13352" width="13.85546875" style="761" bestFit="1" customWidth="1"/>
    <col min="13353" max="13353" width="8.7109375" style="761" customWidth="1"/>
    <col min="13354" max="13354" width="13.5703125" style="761" bestFit="1" customWidth="1"/>
    <col min="13355" max="13355" width="9" style="761" customWidth="1"/>
    <col min="13356" max="13356" width="13.5703125" style="761" bestFit="1" customWidth="1"/>
    <col min="13357" max="13357" width="9" style="761" bestFit="1" customWidth="1"/>
    <col min="13358" max="13358" width="13.5703125" style="761" bestFit="1" customWidth="1"/>
    <col min="13359" max="13359" width="9" style="761" bestFit="1" customWidth="1"/>
    <col min="13360" max="13360" width="13.85546875" style="761" bestFit="1" customWidth="1"/>
    <col min="13361" max="13361" width="8.7109375" style="761" bestFit="1" customWidth="1"/>
    <col min="13362" max="13362" width="13.85546875" style="761" bestFit="1" customWidth="1"/>
    <col min="13363" max="13363" width="8.7109375" style="761" bestFit="1" customWidth="1"/>
    <col min="13364" max="13364" width="13.85546875" style="761" bestFit="1" customWidth="1"/>
    <col min="13365" max="13365" width="8.7109375" style="761" bestFit="1" customWidth="1"/>
    <col min="13366" max="13366" width="13.85546875" style="761" bestFit="1" customWidth="1"/>
    <col min="13367" max="13367" width="8.7109375" style="761" bestFit="1" customWidth="1"/>
    <col min="13368" max="13368" width="13.85546875" style="761" bestFit="1" customWidth="1"/>
    <col min="13369" max="13369" width="8.7109375" style="761" bestFit="1" customWidth="1"/>
    <col min="13370" max="13370" width="13.85546875" style="761" bestFit="1" customWidth="1"/>
    <col min="13371" max="13371" width="8.7109375" style="761" bestFit="1" customWidth="1"/>
    <col min="13372" max="13372" width="17.85546875" style="761" bestFit="1" customWidth="1"/>
    <col min="13373" max="13374" width="9.140625" style="761"/>
    <col min="13375" max="13375" width="10" style="761" bestFit="1" customWidth="1"/>
    <col min="13376" max="13601" width="9.140625" style="761"/>
    <col min="13602" max="13602" width="4" style="761" customWidth="1"/>
    <col min="13603" max="13603" width="34.5703125" style="761" customWidth="1"/>
    <col min="13604" max="13604" width="11.85546875" style="761" bestFit="1" customWidth="1"/>
    <col min="13605" max="13605" width="8.140625" style="761" customWidth="1"/>
    <col min="13606" max="13606" width="13.85546875" style="761" bestFit="1" customWidth="1"/>
    <col min="13607" max="13607" width="8.140625" style="761" customWidth="1"/>
    <col min="13608" max="13608" width="13.85546875" style="761" bestFit="1" customWidth="1"/>
    <col min="13609" max="13609" width="8.7109375" style="761" customWidth="1"/>
    <col min="13610" max="13610" width="13.5703125" style="761" bestFit="1" customWidth="1"/>
    <col min="13611" max="13611" width="9" style="761" customWidth="1"/>
    <col min="13612" max="13612" width="13.5703125" style="761" bestFit="1" customWidth="1"/>
    <col min="13613" max="13613" width="9" style="761" bestFit="1" customWidth="1"/>
    <col min="13614" max="13614" width="13.5703125" style="761" bestFit="1" customWidth="1"/>
    <col min="13615" max="13615" width="9" style="761" bestFit="1" customWidth="1"/>
    <col min="13616" max="13616" width="13.85546875" style="761" bestFit="1" customWidth="1"/>
    <col min="13617" max="13617" width="8.7109375" style="761" bestFit="1" customWidth="1"/>
    <col min="13618" max="13618" width="13.85546875" style="761" bestFit="1" customWidth="1"/>
    <col min="13619" max="13619" width="8.7109375" style="761" bestFit="1" customWidth="1"/>
    <col min="13620" max="13620" width="13.85546875" style="761" bestFit="1" customWidth="1"/>
    <col min="13621" max="13621" width="8.7109375" style="761" bestFit="1" customWidth="1"/>
    <col min="13622" max="13622" width="13.85546875" style="761" bestFit="1" customWidth="1"/>
    <col min="13623" max="13623" width="8.7109375" style="761" bestFit="1" customWidth="1"/>
    <col min="13624" max="13624" width="13.85546875" style="761" bestFit="1" customWidth="1"/>
    <col min="13625" max="13625" width="8.7109375" style="761" bestFit="1" customWidth="1"/>
    <col min="13626" max="13626" width="13.85546875" style="761" bestFit="1" customWidth="1"/>
    <col min="13627" max="13627" width="8.7109375" style="761" bestFit="1" customWidth="1"/>
    <col min="13628" max="13628" width="17.85546875" style="761" bestFit="1" customWidth="1"/>
    <col min="13629" max="13630" width="9.140625" style="761"/>
    <col min="13631" max="13631" width="10" style="761" bestFit="1" customWidth="1"/>
    <col min="13632" max="13857" width="9.140625" style="761"/>
    <col min="13858" max="13858" width="4" style="761" customWidth="1"/>
    <col min="13859" max="13859" width="34.5703125" style="761" customWidth="1"/>
    <col min="13860" max="13860" width="11.85546875" style="761" bestFit="1" customWidth="1"/>
    <col min="13861" max="13861" width="8.140625" style="761" customWidth="1"/>
    <col min="13862" max="13862" width="13.85546875" style="761" bestFit="1" customWidth="1"/>
    <col min="13863" max="13863" width="8.140625" style="761" customWidth="1"/>
    <col min="13864" max="13864" width="13.85546875" style="761" bestFit="1" customWidth="1"/>
    <col min="13865" max="13865" width="8.7109375" style="761" customWidth="1"/>
    <col min="13866" max="13866" width="13.5703125" style="761" bestFit="1" customWidth="1"/>
    <col min="13867" max="13867" width="9" style="761" customWidth="1"/>
    <col min="13868" max="13868" width="13.5703125" style="761" bestFit="1" customWidth="1"/>
    <col min="13869" max="13869" width="9" style="761" bestFit="1" customWidth="1"/>
    <col min="13870" max="13870" width="13.5703125" style="761" bestFit="1" customWidth="1"/>
    <col min="13871" max="13871" width="9" style="761" bestFit="1" customWidth="1"/>
    <col min="13872" max="13872" width="13.85546875" style="761" bestFit="1" customWidth="1"/>
    <col min="13873" max="13873" width="8.7109375" style="761" bestFit="1" customWidth="1"/>
    <col min="13874" max="13874" width="13.85546875" style="761" bestFit="1" customWidth="1"/>
    <col min="13875" max="13875" width="8.7109375" style="761" bestFit="1" customWidth="1"/>
    <col min="13876" max="13876" width="13.85546875" style="761" bestFit="1" customWidth="1"/>
    <col min="13877" max="13877" width="8.7109375" style="761" bestFit="1" customWidth="1"/>
    <col min="13878" max="13878" width="13.85546875" style="761" bestFit="1" customWidth="1"/>
    <col min="13879" max="13879" width="8.7109375" style="761" bestFit="1" customWidth="1"/>
    <col min="13880" max="13880" width="13.85546875" style="761" bestFit="1" customWidth="1"/>
    <col min="13881" max="13881" width="8.7109375" style="761" bestFit="1" customWidth="1"/>
    <col min="13882" max="13882" width="13.85546875" style="761" bestFit="1" customWidth="1"/>
    <col min="13883" max="13883" width="8.7109375" style="761" bestFit="1" customWidth="1"/>
    <col min="13884" max="13884" width="17.85546875" style="761" bestFit="1" customWidth="1"/>
    <col min="13885" max="13886" width="9.140625" style="761"/>
    <col min="13887" max="13887" width="10" style="761" bestFit="1" customWidth="1"/>
    <col min="13888" max="14113" width="9.140625" style="761"/>
    <col min="14114" max="14114" width="4" style="761" customWidth="1"/>
    <col min="14115" max="14115" width="34.5703125" style="761" customWidth="1"/>
    <col min="14116" max="14116" width="11.85546875" style="761" bestFit="1" customWidth="1"/>
    <col min="14117" max="14117" width="8.140625" style="761" customWidth="1"/>
    <col min="14118" max="14118" width="13.85546875" style="761" bestFit="1" customWidth="1"/>
    <col min="14119" max="14119" width="8.140625" style="761" customWidth="1"/>
    <col min="14120" max="14120" width="13.85546875" style="761" bestFit="1" customWidth="1"/>
    <col min="14121" max="14121" width="8.7109375" style="761" customWidth="1"/>
    <col min="14122" max="14122" width="13.5703125" style="761" bestFit="1" customWidth="1"/>
    <col min="14123" max="14123" width="9" style="761" customWidth="1"/>
    <col min="14124" max="14124" width="13.5703125" style="761" bestFit="1" customWidth="1"/>
    <col min="14125" max="14125" width="9" style="761" bestFit="1" customWidth="1"/>
    <col min="14126" max="14126" width="13.5703125" style="761" bestFit="1" customWidth="1"/>
    <col min="14127" max="14127" width="9" style="761" bestFit="1" customWidth="1"/>
    <col min="14128" max="14128" width="13.85546875" style="761" bestFit="1" customWidth="1"/>
    <col min="14129" max="14129" width="8.7109375" style="761" bestFit="1" customWidth="1"/>
    <col min="14130" max="14130" width="13.85546875" style="761" bestFit="1" customWidth="1"/>
    <col min="14131" max="14131" width="8.7109375" style="761" bestFit="1" customWidth="1"/>
    <col min="14132" max="14132" width="13.85546875" style="761" bestFit="1" customWidth="1"/>
    <col min="14133" max="14133" width="8.7109375" style="761" bestFit="1" customWidth="1"/>
    <col min="14134" max="14134" width="13.85546875" style="761" bestFit="1" customWidth="1"/>
    <col min="14135" max="14135" width="8.7109375" style="761" bestFit="1" customWidth="1"/>
    <col min="14136" max="14136" width="13.85546875" style="761" bestFit="1" customWidth="1"/>
    <col min="14137" max="14137" width="8.7109375" style="761" bestFit="1" customWidth="1"/>
    <col min="14138" max="14138" width="13.85546875" style="761" bestFit="1" customWidth="1"/>
    <col min="14139" max="14139" width="8.7109375" style="761" bestFit="1" customWidth="1"/>
    <col min="14140" max="14140" width="17.85546875" style="761" bestFit="1" customWidth="1"/>
    <col min="14141" max="14142" width="9.140625" style="761"/>
    <col min="14143" max="14143" width="10" style="761" bestFit="1" customWidth="1"/>
    <col min="14144" max="14369" width="9.140625" style="761"/>
    <col min="14370" max="14370" width="4" style="761" customWidth="1"/>
    <col min="14371" max="14371" width="34.5703125" style="761" customWidth="1"/>
    <col min="14372" max="14372" width="11.85546875" style="761" bestFit="1" customWidth="1"/>
    <col min="14373" max="14373" width="8.140625" style="761" customWidth="1"/>
    <col min="14374" max="14374" width="13.85546875" style="761" bestFit="1" customWidth="1"/>
    <col min="14375" max="14375" width="8.140625" style="761" customWidth="1"/>
    <col min="14376" max="14376" width="13.85546875" style="761" bestFit="1" customWidth="1"/>
    <col min="14377" max="14377" width="8.7109375" style="761" customWidth="1"/>
    <col min="14378" max="14378" width="13.5703125" style="761" bestFit="1" customWidth="1"/>
    <col min="14379" max="14379" width="9" style="761" customWidth="1"/>
    <col min="14380" max="14380" width="13.5703125" style="761" bestFit="1" customWidth="1"/>
    <col min="14381" max="14381" width="9" style="761" bestFit="1" customWidth="1"/>
    <col min="14382" max="14382" width="13.5703125" style="761" bestFit="1" customWidth="1"/>
    <col min="14383" max="14383" width="9" style="761" bestFit="1" customWidth="1"/>
    <col min="14384" max="14384" width="13.85546875" style="761" bestFit="1" customWidth="1"/>
    <col min="14385" max="14385" width="8.7109375" style="761" bestFit="1" customWidth="1"/>
    <col min="14386" max="14386" width="13.85546875" style="761" bestFit="1" customWidth="1"/>
    <col min="14387" max="14387" width="8.7109375" style="761" bestFit="1" customWidth="1"/>
    <col min="14388" max="14388" width="13.85546875" style="761" bestFit="1" customWidth="1"/>
    <col min="14389" max="14389" width="8.7109375" style="761" bestFit="1" customWidth="1"/>
    <col min="14390" max="14390" width="13.85546875" style="761" bestFit="1" customWidth="1"/>
    <col min="14391" max="14391" width="8.7109375" style="761" bestFit="1" customWidth="1"/>
    <col min="14392" max="14392" width="13.85546875" style="761" bestFit="1" customWidth="1"/>
    <col min="14393" max="14393" width="8.7109375" style="761" bestFit="1" customWidth="1"/>
    <col min="14394" max="14394" width="13.85546875" style="761" bestFit="1" customWidth="1"/>
    <col min="14395" max="14395" width="8.7109375" style="761" bestFit="1" customWidth="1"/>
    <col min="14396" max="14396" width="17.85546875" style="761" bestFit="1" customWidth="1"/>
    <col min="14397" max="14398" width="9.140625" style="761"/>
    <col min="14399" max="14399" width="10" style="761" bestFit="1" customWidth="1"/>
    <col min="14400" max="14625" width="9.140625" style="761"/>
    <col min="14626" max="14626" width="4" style="761" customWidth="1"/>
    <col min="14627" max="14627" width="34.5703125" style="761" customWidth="1"/>
    <col min="14628" max="14628" width="11.85546875" style="761" bestFit="1" customWidth="1"/>
    <col min="14629" max="14629" width="8.140625" style="761" customWidth="1"/>
    <col min="14630" max="14630" width="13.85546875" style="761" bestFit="1" customWidth="1"/>
    <col min="14631" max="14631" width="8.140625" style="761" customWidth="1"/>
    <col min="14632" max="14632" width="13.85546875" style="761" bestFit="1" customWidth="1"/>
    <col min="14633" max="14633" width="8.7109375" style="761" customWidth="1"/>
    <col min="14634" max="14634" width="13.5703125" style="761" bestFit="1" customWidth="1"/>
    <col min="14635" max="14635" width="9" style="761" customWidth="1"/>
    <col min="14636" max="14636" width="13.5703125" style="761" bestFit="1" customWidth="1"/>
    <col min="14637" max="14637" width="9" style="761" bestFit="1" customWidth="1"/>
    <col min="14638" max="14638" width="13.5703125" style="761" bestFit="1" customWidth="1"/>
    <col min="14639" max="14639" width="9" style="761" bestFit="1" customWidth="1"/>
    <col min="14640" max="14640" width="13.85546875" style="761" bestFit="1" customWidth="1"/>
    <col min="14641" max="14641" width="8.7109375" style="761" bestFit="1" customWidth="1"/>
    <col min="14642" max="14642" width="13.85546875" style="761" bestFit="1" customWidth="1"/>
    <col min="14643" max="14643" width="8.7109375" style="761" bestFit="1" customWidth="1"/>
    <col min="14644" max="14644" width="13.85546875" style="761" bestFit="1" customWidth="1"/>
    <col min="14645" max="14645" width="8.7109375" style="761" bestFit="1" customWidth="1"/>
    <col min="14646" max="14646" width="13.85546875" style="761" bestFit="1" customWidth="1"/>
    <col min="14647" max="14647" width="8.7109375" style="761" bestFit="1" customWidth="1"/>
    <col min="14648" max="14648" width="13.85546875" style="761" bestFit="1" customWidth="1"/>
    <col min="14649" max="14649" width="8.7109375" style="761" bestFit="1" customWidth="1"/>
    <col min="14650" max="14650" width="13.85546875" style="761" bestFit="1" customWidth="1"/>
    <col min="14651" max="14651" width="8.7109375" style="761" bestFit="1" customWidth="1"/>
    <col min="14652" max="14652" width="17.85546875" style="761" bestFit="1" customWidth="1"/>
    <col min="14653" max="14654" width="9.140625" style="761"/>
    <col min="14655" max="14655" width="10" style="761" bestFit="1" customWidth="1"/>
    <col min="14656" max="14881" width="9.140625" style="761"/>
    <col min="14882" max="14882" width="4" style="761" customWidth="1"/>
    <col min="14883" max="14883" width="34.5703125" style="761" customWidth="1"/>
    <col min="14884" max="14884" width="11.85546875" style="761" bestFit="1" customWidth="1"/>
    <col min="14885" max="14885" width="8.140625" style="761" customWidth="1"/>
    <col min="14886" max="14886" width="13.85546875" style="761" bestFit="1" customWidth="1"/>
    <col min="14887" max="14887" width="8.140625" style="761" customWidth="1"/>
    <col min="14888" max="14888" width="13.85546875" style="761" bestFit="1" customWidth="1"/>
    <col min="14889" max="14889" width="8.7109375" style="761" customWidth="1"/>
    <col min="14890" max="14890" width="13.5703125" style="761" bestFit="1" customWidth="1"/>
    <col min="14891" max="14891" width="9" style="761" customWidth="1"/>
    <col min="14892" max="14892" width="13.5703125" style="761" bestFit="1" customWidth="1"/>
    <col min="14893" max="14893" width="9" style="761" bestFit="1" customWidth="1"/>
    <col min="14894" max="14894" width="13.5703125" style="761" bestFit="1" customWidth="1"/>
    <col min="14895" max="14895" width="9" style="761" bestFit="1" customWidth="1"/>
    <col min="14896" max="14896" width="13.85546875" style="761" bestFit="1" customWidth="1"/>
    <col min="14897" max="14897" width="8.7109375" style="761" bestFit="1" customWidth="1"/>
    <col min="14898" max="14898" width="13.85546875" style="761" bestFit="1" customWidth="1"/>
    <col min="14899" max="14899" width="8.7109375" style="761" bestFit="1" customWidth="1"/>
    <col min="14900" max="14900" width="13.85546875" style="761" bestFit="1" customWidth="1"/>
    <col min="14901" max="14901" width="8.7109375" style="761" bestFit="1" customWidth="1"/>
    <col min="14902" max="14902" width="13.85546875" style="761" bestFit="1" customWidth="1"/>
    <col min="14903" max="14903" width="8.7109375" style="761" bestFit="1" customWidth="1"/>
    <col min="14904" max="14904" width="13.85546875" style="761" bestFit="1" customWidth="1"/>
    <col min="14905" max="14905" width="8.7109375" style="761" bestFit="1" customWidth="1"/>
    <col min="14906" max="14906" width="13.85546875" style="761" bestFit="1" customWidth="1"/>
    <col min="14907" max="14907" width="8.7109375" style="761" bestFit="1" customWidth="1"/>
    <col min="14908" max="14908" width="17.85546875" style="761" bestFit="1" customWidth="1"/>
    <col min="14909" max="14910" width="9.140625" style="761"/>
    <col min="14911" max="14911" width="10" style="761" bestFit="1" customWidth="1"/>
    <col min="14912" max="15137" width="9.140625" style="761"/>
    <col min="15138" max="15138" width="4" style="761" customWidth="1"/>
    <col min="15139" max="15139" width="34.5703125" style="761" customWidth="1"/>
    <col min="15140" max="15140" width="11.85546875" style="761" bestFit="1" customWidth="1"/>
    <col min="15141" max="15141" width="8.140625" style="761" customWidth="1"/>
    <col min="15142" max="15142" width="13.85546875" style="761" bestFit="1" customWidth="1"/>
    <col min="15143" max="15143" width="8.140625" style="761" customWidth="1"/>
    <col min="15144" max="15144" width="13.85546875" style="761" bestFit="1" customWidth="1"/>
    <col min="15145" max="15145" width="8.7109375" style="761" customWidth="1"/>
    <col min="15146" max="15146" width="13.5703125" style="761" bestFit="1" customWidth="1"/>
    <col min="15147" max="15147" width="9" style="761" customWidth="1"/>
    <col min="15148" max="15148" width="13.5703125" style="761" bestFit="1" customWidth="1"/>
    <col min="15149" max="15149" width="9" style="761" bestFit="1" customWidth="1"/>
    <col min="15150" max="15150" width="13.5703125" style="761" bestFit="1" customWidth="1"/>
    <col min="15151" max="15151" width="9" style="761" bestFit="1" customWidth="1"/>
    <col min="15152" max="15152" width="13.85546875" style="761" bestFit="1" customWidth="1"/>
    <col min="15153" max="15153" width="8.7109375" style="761" bestFit="1" customWidth="1"/>
    <col min="15154" max="15154" width="13.85546875" style="761" bestFit="1" customWidth="1"/>
    <col min="15155" max="15155" width="8.7109375" style="761" bestFit="1" customWidth="1"/>
    <col min="15156" max="15156" width="13.85546875" style="761" bestFit="1" customWidth="1"/>
    <col min="15157" max="15157" width="8.7109375" style="761" bestFit="1" customWidth="1"/>
    <col min="15158" max="15158" width="13.85546875" style="761" bestFit="1" customWidth="1"/>
    <col min="15159" max="15159" width="8.7109375" style="761" bestFit="1" customWidth="1"/>
    <col min="15160" max="15160" width="13.85546875" style="761" bestFit="1" customWidth="1"/>
    <col min="15161" max="15161" width="8.7109375" style="761" bestFit="1" customWidth="1"/>
    <col min="15162" max="15162" width="13.85546875" style="761" bestFit="1" customWidth="1"/>
    <col min="15163" max="15163" width="8.7109375" style="761" bestFit="1" customWidth="1"/>
    <col min="15164" max="15164" width="17.85546875" style="761" bestFit="1" customWidth="1"/>
    <col min="15165" max="15166" width="9.140625" style="761"/>
    <col min="15167" max="15167" width="10" style="761" bestFit="1" customWidth="1"/>
    <col min="15168" max="15393" width="9.140625" style="761"/>
    <col min="15394" max="15394" width="4" style="761" customWidth="1"/>
    <col min="15395" max="15395" width="34.5703125" style="761" customWidth="1"/>
    <col min="15396" max="15396" width="11.85546875" style="761" bestFit="1" customWidth="1"/>
    <col min="15397" max="15397" width="8.140625" style="761" customWidth="1"/>
    <col min="15398" max="15398" width="13.85546875" style="761" bestFit="1" customWidth="1"/>
    <col min="15399" max="15399" width="8.140625" style="761" customWidth="1"/>
    <col min="15400" max="15400" width="13.85546875" style="761" bestFit="1" customWidth="1"/>
    <col min="15401" max="15401" width="8.7109375" style="761" customWidth="1"/>
    <col min="15402" max="15402" width="13.5703125" style="761" bestFit="1" customWidth="1"/>
    <col min="15403" max="15403" width="9" style="761" customWidth="1"/>
    <col min="15404" max="15404" width="13.5703125" style="761" bestFit="1" customWidth="1"/>
    <col min="15405" max="15405" width="9" style="761" bestFit="1" customWidth="1"/>
    <col min="15406" max="15406" width="13.5703125" style="761" bestFit="1" customWidth="1"/>
    <col min="15407" max="15407" width="9" style="761" bestFit="1" customWidth="1"/>
    <col min="15408" max="15408" width="13.85546875" style="761" bestFit="1" customWidth="1"/>
    <col min="15409" max="15409" width="8.7109375" style="761" bestFit="1" customWidth="1"/>
    <col min="15410" max="15410" width="13.85546875" style="761" bestFit="1" customWidth="1"/>
    <col min="15411" max="15411" width="8.7109375" style="761" bestFit="1" customWidth="1"/>
    <col min="15412" max="15412" width="13.85546875" style="761" bestFit="1" customWidth="1"/>
    <col min="15413" max="15413" width="8.7109375" style="761" bestFit="1" customWidth="1"/>
    <col min="15414" max="15414" width="13.85546875" style="761" bestFit="1" customWidth="1"/>
    <col min="15415" max="15415" width="8.7109375" style="761" bestFit="1" customWidth="1"/>
    <col min="15416" max="15416" width="13.85546875" style="761" bestFit="1" customWidth="1"/>
    <col min="15417" max="15417" width="8.7109375" style="761" bestFit="1" customWidth="1"/>
    <col min="15418" max="15418" width="13.85546875" style="761" bestFit="1" customWidth="1"/>
    <col min="15419" max="15419" width="8.7109375" style="761" bestFit="1" customWidth="1"/>
    <col min="15420" max="15420" width="17.85546875" style="761" bestFit="1" customWidth="1"/>
    <col min="15421" max="15422" width="9.140625" style="761"/>
    <col min="15423" max="15423" width="10" style="761" bestFit="1" customWidth="1"/>
    <col min="15424" max="15649" width="9.140625" style="761"/>
    <col min="15650" max="15650" width="4" style="761" customWidth="1"/>
    <col min="15651" max="15651" width="34.5703125" style="761" customWidth="1"/>
    <col min="15652" max="15652" width="11.85546875" style="761" bestFit="1" customWidth="1"/>
    <col min="15653" max="15653" width="8.140625" style="761" customWidth="1"/>
    <col min="15654" max="15654" width="13.85546875" style="761" bestFit="1" customWidth="1"/>
    <col min="15655" max="15655" width="8.140625" style="761" customWidth="1"/>
    <col min="15656" max="15656" width="13.85546875" style="761" bestFit="1" customWidth="1"/>
    <col min="15657" max="15657" width="8.7109375" style="761" customWidth="1"/>
    <col min="15658" max="15658" width="13.5703125" style="761" bestFit="1" customWidth="1"/>
    <col min="15659" max="15659" width="9" style="761" customWidth="1"/>
    <col min="15660" max="15660" width="13.5703125" style="761" bestFit="1" customWidth="1"/>
    <col min="15661" max="15661" width="9" style="761" bestFit="1" customWidth="1"/>
    <col min="15662" max="15662" width="13.5703125" style="761" bestFit="1" customWidth="1"/>
    <col min="15663" max="15663" width="9" style="761" bestFit="1" customWidth="1"/>
    <col min="15664" max="15664" width="13.85546875" style="761" bestFit="1" customWidth="1"/>
    <col min="15665" max="15665" width="8.7109375" style="761" bestFit="1" customWidth="1"/>
    <col min="15666" max="15666" width="13.85546875" style="761" bestFit="1" customWidth="1"/>
    <col min="15667" max="15667" width="8.7109375" style="761" bestFit="1" customWidth="1"/>
    <col min="15668" max="15668" width="13.85546875" style="761" bestFit="1" customWidth="1"/>
    <col min="15669" max="15669" width="8.7109375" style="761" bestFit="1" customWidth="1"/>
    <col min="15670" max="15670" width="13.85546875" style="761" bestFit="1" customWidth="1"/>
    <col min="15671" max="15671" width="8.7109375" style="761" bestFit="1" customWidth="1"/>
    <col min="15672" max="15672" width="13.85546875" style="761" bestFit="1" customWidth="1"/>
    <col min="15673" max="15673" width="8.7109375" style="761" bestFit="1" customWidth="1"/>
    <col min="15674" max="15674" width="13.85546875" style="761" bestFit="1" customWidth="1"/>
    <col min="15675" max="15675" width="8.7109375" style="761" bestFit="1" customWidth="1"/>
    <col min="15676" max="15676" width="17.85546875" style="761" bestFit="1" customWidth="1"/>
    <col min="15677" max="15678" width="9.140625" style="761"/>
    <col min="15679" max="15679" width="10" style="761" bestFit="1" customWidth="1"/>
    <col min="15680" max="16384" width="9.140625" style="761"/>
  </cols>
  <sheetData>
    <row r="2" spans="2:31" s="762" customFormat="1" ht="6">
      <c r="B2" s="763"/>
      <c r="C2" s="942"/>
      <c r="D2" s="942"/>
      <c r="E2" s="942"/>
      <c r="F2" s="943"/>
      <c r="G2" s="942"/>
      <c r="H2" s="944"/>
      <c r="I2" s="944"/>
      <c r="J2" s="944"/>
      <c r="K2" s="944"/>
      <c r="L2" s="944"/>
      <c r="M2" s="944"/>
      <c r="N2" s="944"/>
      <c r="O2" s="944"/>
      <c r="P2" s="944"/>
      <c r="Q2" s="944"/>
      <c r="R2" s="944"/>
      <c r="S2" s="944"/>
      <c r="T2" s="944"/>
      <c r="U2" s="944"/>
      <c r="V2" s="944"/>
      <c r="W2" s="944"/>
      <c r="X2" s="944"/>
      <c r="Y2" s="944"/>
      <c r="Z2" s="944"/>
      <c r="AA2" s="944"/>
      <c r="AB2" s="944"/>
      <c r="AC2" s="944"/>
      <c r="AD2" s="944"/>
    </row>
    <row r="3" spans="2:31" ht="30" customHeight="1">
      <c r="D3" s="1962"/>
      <c r="E3" s="2639" t="s">
        <v>14006</v>
      </c>
      <c r="F3" s="2639"/>
      <c r="G3" s="2639"/>
      <c r="H3" s="2639"/>
      <c r="I3" s="2639"/>
      <c r="J3" s="2639"/>
      <c r="K3" s="2639"/>
      <c r="L3" s="2639"/>
      <c r="M3" s="2639" t="s">
        <v>14006</v>
      </c>
      <c r="N3" s="2639"/>
      <c r="O3" s="2639"/>
      <c r="P3" s="2639"/>
      <c r="Q3" s="2639"/>
      <c r="R3" s="2639"/>
      <c r="S3" s="2639"/>
      <c r="T3" s="2639"/>
      <c r="U3" s="2639" t="s">
        <v>14006</v>
      </c>
      <c r="V3" s="2639"/>
      <c r="W3" s="2639"/>
      <c r="X3" s="2639"/>
      <c r="Y3" s="2639"/>
      <c r="Z3" s="2639"/>
      <c r="AA3" s="2639"/>
      <c r="AB3" s="2639"/>
      <c r="AC3" s="1962"/>
      <c r="AD3" s="1962"/>
      <c r="AE3" s="259"/>
    </row>
    <row r="4" spans="2:31" ht="30" customHeight="1">
      <c r="D4" s="1962"/>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1962"/>
      <c r="AD4" s="1962"/>
      <c r="AE4" s="259"/>
    </row>
    <row r="5" spans="2:31" ht="30" customHeight="1">
      <c r="D5" s="1962"/>
      <c r="E5" s="2639"/>
      <c r="F5" s="2639"/>
      <c r="G5" s="2639"/>
      <c r="H5" s="2639"/>
      <c r="I5" s="2639"/>
      <c r="J5" s="2639"/>
      <c r="K5" s="2639"/>
      <c r="L5" s="2639"/>
      <c r="M5" s="2639"/>
      <c r="N5" s="2639"/>
      <c r="O5" s="2639"/>
      <c r="P5" s="2639"/>
      <c r="Q5" s="2639"/>
      <c r="R5" s="2639"/>
      <c r="S5" s="2639"/>
      <c r="T5" s="2639"/>
      <c r="U5" s="2639"/>
      <c r="V5" s="2639"/>
      <c r="W5" s="2639"/>
      <c r="X5" s="2639"/>
      <c r="Y5" s="2639"/>
      <c r="Z5" s="2639"/>
      <c r="AA5" s="2639"/>
      <c r="AB5" s="2639"/>
      <c r="AC5" s="1962"/>
      <c r="AD5" s="1962"/>
      <c r="AE5" s="259"/>
    </row>
    <row r="6" spans="2:31" ht="35.1" customHeight="1">
      <c r="D6" s="1962"/>
      <c r="E6" s="2639" t="s">
        <v>14007</v>
      </c>
      <c r="F6" s="2639"/>
      <c r="G6" s="2639"/>
      <c r="H6" s="2639"/>
      <c r="I6" s="2639"/>
      <c r="J6" s="2639"/>
      <c r="K6" s="2639"/>
      <c r="L6" s="2639"/>
      <c r="M6" s="2639" t="s">
        <v>14007</v>
      </c>
      <c r="N6" s="2639"/>
      <c r="O6" s="2639"/>
      <c r="P6" s="2639"/>
      <c r="Q6" s="2639"/>
      <c r="R6" s="2639"/>
      <c r="S6" s="2639"/>
      <c r="T6" s="2639"/>
      <c r="U6" s="2639" t="s">
        <v>14007</v>
      </c>
      <c r="V6" s="2639"/>
      <c r="W6" s="2639"/>
      <c r="X6" s="2639"/>
      <c r="Y6" s="2639"/>
      <c r="Z6" s="2639"/>
      <c r="AA6" s="2639"/>
      <c r="AB6" s="2639"/>
      <c r="AC6" s="1962"/>
      <c r="AD6" s="1962"/>
      <c r="AE6" s="259"/>
    </row>
    <row r="7" spans="2:31" ht="35.1" customHeight="1">
      <c r="C7" s="1962"/>
      <c r="D7" s="1962"/>
      <c r="E7" s="1962"/>
      <c r="F7" s="1962"/>
      <c r="G7" s="1962"/>
      <c r="H7" s="1962"/>
      <c r="I7" s="1962"/>
      <c r="J7" s="1962"/>
      <c r="K7" s="1962"/>
      <c r="L7" s="1962"/>
      <c r="M7" s="1962"/>
      <c r="N7" s="1962"/>
      <c r="O7" s="1962"/>
      <c r="P7" s="1962"/>
      <c r="Q7" s="1962"/>
      <c r="R7" s="1962"/>
      <c r="S7" s="1962"/>
      <c r="T7" s="1962"/>
      <c r="U7" s="1962"/>
      <c r="V7" s="1962"/>
      <c r="W7" s="1962"/>
      <c r="X7" s="1962"/>
      <c r="Y7" s="1962"/>
      <c r="Z7" s="1962"/>
      <c r="AA7" s="1962"/>
      <c r="AB7" s="1962"/>
      <c r="AC7" s="1962"/>
      <c r="AD7" s="1962"/>
      <c r="AE7" s="259"/>
    </row>
    <row r="8" spans="2:31" ht="22.5" customHeight="1">
      <c r="C8" s="953" t="s">
        <v>5</v>
      </c>
      <c r="D8" s="1956" t="str">
        <f>'ORÇAMENTO '!G11</f>
        <v xml:space="preserve">ESCOLA MUNICIPAL DOMINGOS AZZOLINI </v>
      </c>
      <c r="E8" s="1958"/>
      <c r="F8" s="1958"/>
      <c r="G8" s="1958"/>
      <c r="H8" s="1958"/>
      <c r="I8" s="1958"/>
      <c r="J8" s="1958"/>
      <c r="K8" s="1958"/>
      <c r="L8" s="1958"/>
      <c r="M8" s="1958"/>
      <c r="N8" s="1958"/>
      <c r="O8" s="1958"/>
      <c r="P8" s="1958"/>
      <c r="Q8" s="1958"/>
      <c r="R8" s="1958"/>
      <c r="S8" s="1958"/>
      <c r="T8" s="1958"/>
      <c r="U8" s="1958"/>
      <c r="V8" s="1958"/>
      <c r="W8" s="1958"/>
      <c r="X8" s="1958"/>
      <c r="Y8" s="1958"/>
      <c r="Z8" s="1958"/>
      <c r="AA8" s="1958"/>
      <c r="AB8" s="1958"/>
      <c r="AC8" s="1958"/>
      <c r="AD8" s="1959"/>
      <c r="AE8" s="259"/>
    </row>
    <row r="9" spans="2:31" ht="16.5" customHeight="1">
      <c r="C9" s="953" t="s">
        <v>7</v>
      </c>
      <c r="D9" s="1956" t="str">
        <f>'ORÇAMENTO '!G12</f>
        <v>SANTO ANTONIO DO LESTE</v>
      </c>
      <c r="E9" s="1958"/>
      <c r="F9" s="1958"/>
      <c r="G9" s="1958"/>
      <c r="H9" s="1958"/>
      <c r="I9" s="1958"/>
      <c r="J9" s="1958"/>
      <c r="K9" s="1958"/>
      <c r="L9" s="1958"/>
      <c r="M9" s="1958"/>
      <c r="N9" s="1958"/>
      <c r="O9" s="1958"/>
      <c r="P9" s="1958"/>
      <c r="Q9" s="1958"/>
      <c r="R9" s="1958"/>
      <c r="S9" s="1958"/>
      <c r="T9" s="1958"/>
      <c r="U9" s="1958"/>
      <c r="V9" s="1958"/>
      <c r="W9" s="1958"/>
      <c r="X9" s="1958"/>
      <c r="Y9" s="1958"/>
      <c r="Z9" s="1958"/>
      <c r="AA9" s="1958"/>
      <c r="AB9" s="1958"/>
      <c r="AC9" s="1958"/>
      <c r="AD9" s="1959"/>
      <c r="AE9" s="259"/>
    </row>
    <row r="10" spans="2:31" ht="15.75" customHeight="1" thickBot="1">
      <c r="C10" s="954" t="s">
        <v>6</v>
      </c>
      <c r="D10" s="1957">
        <f>'ORÇAMENTO '!N11</f>
        <v>45366</v>
      </c>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1"/>
      <c r="AE10" s="259"/>
    </row>
    <row r="11" spans="2:31" s="764" customFormat="1" ht="24" thickBot="1">
      <c r="B11" s="765"/>
      <c r="C11" s="2632" t="s">
        <v>2181</v>
      </c>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4"/>
    </row>
    <row r="12" spans="2:31" s="766" customFormat="1" ht="5.25">
      <c r="B12" s="767"/>
      <c r="C12" s="945"/>
      <c r="D12" s="946"/>
      <c r="E12" s="946"/>
      <c r="F12" s="946"/>
      <c r="G12" s="946"/>
      <c r="H12" s="946"/>
      <c r="I12" s="946"/>
      <c r="J12" s="946"/>
      <c r="K12" s="946"/>
      <c r="L12" s="947"/>
      <c r="M12" s="948"/>
      <c r="N12" s="948"/>
      <c r="O12" s="948"/>
      <c r="P12" s="948"/>
      <c r="Q12" s="948"/>
      <c r="R12" s="948"/>
      <c r="S12" s="948"/>
      <c r="T12" s="948"/>
      <c r="U12" s="948"/>
      <c r="V12" s="948"/>
      <c r="W12" s="948"/>
      <c r="X12" s="948"/>
      <c r="Y12" s="948"/>
      <c r="Z12" s="948"/>
      <c r="AA12" s="948"/>
      <c r="AB12" s="948"/>
      <c r="AC12" s="948"/>
      <c r="AD12" s="949"/>
    </row>
    <row r="13" spans="2:31" ht="15.75">
      <c r="C13" s="950" t="s">
        <v>10</v>
      </c>
      <c r="D13" s="951" t="s">
        <v>12</v>
      </c>
      <c r="E13" s="951" t="s">
        <v>331</v>
      </c>
      <c r="F13" s="951" t="s">
        <v>332</v>
      </c>
      <c r="G13" s="951" t="s">
        <v>333</v>
      </c>
      <c r="H13" s="951" t="s">
        <v>332</v>
      </c>
      <c r="I13" s="951" t="s">
        <v>334</v>
      </c>
      <c r="J13" s="951" t="s">
        <v>332</v>
      </c>
      <c r="K13" s="951" t="s">
        <v>335</v>
      </c>
      <c r="L13" s="951" t="s">
        <v>332</v>
      </c>
      <c r="M13" s="951" t="s">
        <v>336</v>
      </c>
      <c r="N13" s="951" t="s">
        <v>332</v>
      </c>
      <c r="O13" s="951" t="s">
        <v>337</v>
      </c>
      <c r="P13" s="951" t="s">
        <v>332</v>
      </c>
      <c r="Q13" s="951" t="s">
        <v>338</v>
      </c>
      <c r="R13" s="951" t="s">
        <v>332</v>
      </c>
      <c r="S13" s="951" t="s">
        <v>339</v>
      </c>
      <c r="T13" s="951" t="s">
        <v>332</v>
      </c>
      <c r="U13" s="951" t="s">
        <v>340</v>
      </c>
      <c r="V13" s="951" t="s">
        <v>332</v>
      </c>
      <c r="W13" s="951" t="s">
        <v>341</v>
      </c>
      <c r="X13" s="951" t="s">
        <v>332</v>
      </c>
      <c r="Y13" s="951" t="s">
        <v>342</v>
      </c>
      <c r="Z13" s="951" t="s">
        <v>332</v>
      </c>
      <c r="AA13" s="951" t="s">
        <v>343</v>
      </c>
      <c r="AB13" s="951" t="s">
        <v>332</v>
      </c>
      <c r="AC13" s="951" t="s">
        <v>167</v>
      </c>
      <c r="AD13" s="951" t="s">
        <v>332</v>
      </c>
      <c r="AE13" s="259"/>
    </row>
    <row r="14" spans="2:31" s="768" customFormat="1" ht="6" customHeight="1">
      <c r="C14" s="937"/>
      <c r="D14" s="935"/>
      <c r="E14" s="769"/>
      <c r="F14" s="769"/>
      <c r="G14" s="769"/>
      <c r="H14" s="769"/>
      <c r="I14" s="769"/>
      <c r="J14" s="769"/>
      <c r="K14" s="769"/>
      <c r="L14" s="769"/>
      <c r="M14" s="769"/>
      <c r="N14" s="769"/>
      <c r="O14" s="769"/>
      <c r="P14" s="769"/>
      <c r="Q14" s="769"/>
      <c r="R14" s="769"/>
      <c r="S14" s="769"/>
      <c r="T14" s="769"/>
      <c r="U14" s="769"/>
      <c r="V14" s="769"/>
      <c r="W14" s="769"/>
      <c r="X14" s="769"/>
      <c r="Y14" s="769"/>
      <c r="Z14" s="769"/>
      <c r="AA14" s="769"/>
      <c r="AB14" s="769"/>
      <c r="AC14" s="769"/>
      <c r="AD14" s="936"/>
      <c r="AE14" s="563"/>
    </row>
    <row r="15" spans="2:31" ht="20.100000000000001" customHeight="1">
      <c r="B15" s="771">
        <v>1</v>
      </c>
      <c r="C15" s="168" t="str">
        <f>SUM($A$14:B15)&amp;".0"</f>
        <v>1.0</v>
      </c>
      <c r="D15" s="933" t="str">
        <f ca="1">VLOOKUP(C15,RESUMO!$B$16:$I$54,3,0)</f>
        <v>A D M I N I S T R A Ç Ã O  O B R A</v>
      </c>
      <c r="E15" s="772">
        <f ca="1">($AC15*F15/100)</f>
        <v>5885.0924320899994</v>
      </c>
      <c r="F15" s="934">
        <f ca="1">ROUND(SUM(E17:E52)/SUM($AC$17:$AC$52)*100,4)</f>
        <v>2.8849</v>
      </c>
      <c r="G15" s="772">
        <f ca="1">($AC15*H15/100)</f>
        <v>20866.180789670001</v>
      </c>
      <c r="H15" s="934">
        <f ca="1">ROUND(SUM(G17:G52)/SUM($AC$17:$AC$52)*100,4)</f>
        <v>10.2287</v>
      </c>
      <c r="I15" s="772">
        <f ca="1">($AC15*J15/100)</f>
        <v>20341.502023150002</v>
      </c>
      <c r="J15" s="934">
        <f ca="1">ROUND(SUM(I17:I52)/SUM($AC$17:$AC$52)*100,4)</f>
        <v>9.9715000000000007</v>
      </c>
      <c r="K15" s="772">
        <f ca="1">($AC15*L15/100)</f>
        <v>8062.5501124300008</v>
      </c>
      <c r="L15" s="934">
        <f ca="1">ROUND(SUM(K17:K52)/SUM($AC$17:$AC$52)*100,4)</f>
        <v>3.9523000000000001</v>
      </c>
      <c r="M15" s="772">
        <f ca="1">($AC15*N15/100)</f>
        <v>16956.385595610001</v>
      </c>
      <c r="N15" s="934">
        <f ca="1">ROUND(SUM(M17:M52)/SUM($AC$17:$AC$52)*100,4)</f>
        <v>8.3120999999999992</v>
      </c>
      <c r="O15" s="772">
        <f ca="1">($AC15*P15/100)</f>
        <v>50064.798942200003</v>
      </c>
      <c r="P15" s="934">
        <f ca="1">ROUND(SUM(O17:O52)/SUM($AC$17:$AC$52)*100,4)</f>
        <v>24.542000000000002</v>
      </c>
      <c r="Q15" s="772">
        <f ca="1">($AC15*R15/100)</f>
        <v>19287.860565499999</v>
      </c>
      <c r="R15" s="934">
        <f ca="1">ROUND(SUM(Q17:Q52)/SUM($AC$17:$AC$52)*100,4)</f>
        <v>9.4550000000000001</v>
      </c>
      <c r="S15" s="772">
        <f ca="1">($AC15*T15/100)</f>
        <v>12490.496187889999</v>
      </c>
      <c r="T15" s="934">
        <f ca="1">ROUND(SUM(S17:S52)/SUM($AC$17:$AC$52)*100,4)</f>
        <v>6.1228999999999996</v>
      </c>
      <c r="U15" s="772">
        <f ca="1">($AC15*V15/100)</f>
        <v>17614.070021449999</v>
      </c>
      <c r="V15" s="934">
        <f ca="1">ROUND(SUM(U17:U52)/SUM($AC$17:$AC$52)*100,4)</f>
        <v>8.6344999999999992</v>
      </c>
      <c r="W15" s="772">
        <f ca="1">($AC15*X15/100)</f>
        <v>2294.5516196799999</v>
      </c>
      <c r="X15" s="934">
        <f ca="1">ROUND(SUM(W17:W52)/SUM($AC$17:$AC$52)*100,4)</f>
        <v>1.1248</v>
      </c>
      <c r="Y15" s="772">
        <f ca="1">($AC15*Z15/100)</f>
        <v>7823.8743127300004</v>
      </c>
      <c r="Z15" s="934">
        <f ca="1">ROUND(SUM(Y17:Y52)/SUM($AC$17:$AC$52)*100,4)</f>
        <v>3.8353000000000002</v>
      </c>
      <c r="AA15" s="772">
        <f ca="1">($AC15*AB15/100)</f>
        <v>22309.455390419997</v>
      </c>
      <c r="AB15" s="934">
        <f ca="1">ROUND(SUM(AA17:AA52)/SUM($AC$17:$AC$52)*100,4)</f>
        <v>10.936199999999999</v>
      </c>
      <c r="AC15" s="772">
        <f ca="1">VLOOKUP(C15,RESUMO!$B$16:$I$54,8,0)</f>
        <v>203996.41</v>
      </c>
      <c r="AD15" s="934">
        <f ca="1">AC15/$AC$53*100</f>
        <v>5.4080361804411679</v>
      </c>
      <c r="AE15" s="259"/>
    </row>
    <row r="16" spans="2:31" s="768" customFormat="1" ht="6" customHeight="1">
      <c r="C16" s="938"/>
      <c r="D16" s="935"/>
      <c r="E16" s="769"/>
      <c r="F16" s="769"/>
      <c r="G16" s="769"/>
      <c r="H16" s="769"/>
      <c r="I16" s="769"/>
      <c r="J16" s="769"/>
      <c r="K16" s="769"/>
      <c r="L16" s="769"/>
      <c r="M16" s="769"/>
      <c r="N16" s="769"/>
      <c r="O16" s="769"/>
      <c r="P16" s="769"/>
      <c r="Q16" s="769"/>
      <c r="R16" s="769"/>
      <c r="S16" s="769"/>
      <c r="T16" s="769"/>
      <c r="U16" s="769"/>
      <c r="V16" s="769"/>
      <c r="W16" s="769"/>
      <c r="X16" s="769"/>
      <c r="Y16" s="769"/>
      <c r="Z16" s="769"/>
      <c r="AA16" s="769"/>
      <c r="AB16" s="769"/>
      <c r="AC16" s="769"/>
      <c r="AD16" s="936"/>
      <c r="AE16" s="563"/>
    </row>
    <row r="17" spans="2:31" ht="20.100000000000001" customHeight="1">
      <c r="B17" s="771">
        <v>1</v>
      </c>
      <c r="C17" s="168" t="str">
        <f>SUM($A$14:B17)&amp;".0"</f>
        <v>2.0</v>
      </c>
      <c r="D17" s="933" t="str">
        <f ca="1">VLOOKUP(C17,RESUMO!$B$16:$I$54,3,0)</f>
        <v>S E R V I Ç O S   I N I C I A I S</v>
      </c>
      <c r="E17" s="772">
        <f ca="1">($AC17*F17/100)</f>
        <v>8122.89</v>
      </c>
      <c r="F17" s="934">
        <v>100</v>
      </c>
      <c r="G17" s="772">
        <f ca="1">($AC17*H17/100)</f>
        <v>0</v>
      </c>
      <c r="H17" s="934"/>
      <c r="I17" s="772">
        <f ca="1">($AC17*J17/100)</f>
        <v>0</v>
      </c>
      <c r="J17" s="934"/>
      <c r="K17" s="772">
        <f ca="1">($AC17*L17/100)</f>
        <v>0</v>
      </c>
      <c r="L17" s="934"/>
      <c r="M17" s="772">
        <f ca="1">($AC17*N17/100)</f>
        <v>0</v>
      </c>
      <c r="N17" s="934"/>
      <c r="O17" s="772">
        <f ca="1">($AC17*P17/100)</f>
        <v>0</v>
      </c>
      <c r="P17" s="934"/>
      <c r="Q17" s="772">
        <f ca="1">($AC17*R17/100)</f>
        <v>0</v>
      </c>
      <c r="R17" s="934"/>
      <c r="S17" s="772">
        <f ca="1">($AC17*T17/100)</f>
        <v>0</v>
      </c>
      <c r="T17" s="934"/>
      <c r="U17" s="772">
        <f ca="1">($AC17*V17/100)</f>
        <v>0</v>
      </c>
      <c r="V17" s="934"/>
      <c r="W17" s="772">
        <f ca="1">($AC17*X17/100)</f>
        <v>0</v>
      </c>
      <c r="X17" s="934"/>
      <c r="Y17" s="772">
        <f ca="1">($AC17*Z17/100)</f>
        <v>0</v>
      </c>
      <c r="Z17" s="934"/>
      <c r="AA17" s="772">
        <f ca="1">($AC17*AB17/100)</f>
        <v>0</v>
      </c>
      <c r="AB17" s="934"/>
      <c r="AC17" s="772">
        <f ca="1">VLOOKUP(C17,RESUMO!$B$16:$I$54,8,0)</f>
        <v>8122.8899999999994</v>
      </c>
      <c r="AD17" s="934">
        <f ca="1">AC17/$AC$53*100</f>
        <v>0.21534145139977587</v>
      </c>
      <c r="AE17" s="259"/>
    </row>
    <row r="18" spans="2:31" s="768" customFormat="1" ht="6" customHeight="1">
      <c r="C18" s="938"/>
      <c r="D18" s="935"/>
      <c r="E18" s="769"/>
      <c r="F18" s="769"/>
      <c r="G18" s="769"/>
      <c r="H18" s="769"/>
      <c r="I18" s="769"/>
      <c r="J18" s="769"/>
      <c r="K18" s="769"/>
      <c r="L18" s="769"/>
      <c r="M18" s="769"/>
      <c r="N18" s="769"/>
      <c r="O18" s="769"/>
      <c r="P18" s="769"/>
      <c r="Q18" s="769"/>
      <c r="R18" s="769"/>
      <c r="S18" s="769"/>
      <c r="T18" s="769"/>
      <c r="U18" s="769"/>
      <c r="V18" s="769"/>
      <c r="W18" s="769"/>
      <c r="X18" s="769"/>
      <c r="Y18" s="769"/>
      <c r="Z18" s="769"/>
      <c r="AA18" s="769"/>
      <c r="AB18" s="769"/>
      <c r="AC18" s="769"/>
      <c r="AD18" s="936"/>
      <c r="AE18" s="563"/>
    </row>
    <row r="19" spans="2:31" ht="20.100000000000001" customHeight="1">
      <c r="B19" s="771">
        <v>1</v>
      </c>
      <c r="C19" s="168" t="str">
        <f>SUM($A$14:B19)&amp;".0"</f>
        <v>3.0</v>
      </c>
      <c r="D19" s="933" t="str">
        <f ca="1">VLOOKUP(C19,RESUMO!$B$16:$I$54,3,0)</f>
        <v xml:space="preserve">D E M O L I Ç Ã O   E   R E T I R A D A S </v>
      </c>
      <c r="E19" s="772">
        <f ca="1">($AC19*F19/100)</f>
        <v>63199.95</v>
      </c>
      <c r="F19" s="934">
        <v>100</v>
      </c>
      <c r="G19" s="772">
        <f ca="1">($AC19*H19/100)</f>
        <v>0</v>
      </c>
      <c r="H19" s="934"/>
      <c r="I19" s="772">
        <f ca="1">($AC19*J19/100)</f>
        <v>0</v>
      </c>
      <c r="J19" s="934"/>
      <c r="K19" s="772">
        <f ca="1">($AC19*L19/100)</f>
        <v>0</v>
      </c>
      <c r="L19" s="934"/>
      <c r="M19" s="772">
        <f ca="1">($AC19*N19/100)</f>
        <v>0</v>
      </c>
      <c r="N19" s="934"/>
      <c r="O19" s="772">
        <f ca="1">($AC19*P19/100)</f>
        <v>0</v>
      </c>
      <c r="P19" s="934"/>
      <c r="Q19" s="772">
        <f ca="1">($AC19*R19/100)</f>
        <v>0</v>
      </c>
      <c r="R19" s="934"/>
      <c r="S19" s="772">
        <f ca="1">($AC19*T19/100)</f>
        <v>0</v>
      </c>
      <c r="T19" s="934"/>
      <c r="U19" s="772">
        <f ca="1">($AC19*V19/100)</f>
        <v>0</v>
      </c>
      <c r="V19" s="934"/>
      <c r="W19" s="772">
        <f ca="1">($AC19*X19/100)</f>
        <v>0</v>
      </c>
      <c r="X19" s="934"/>
      <c r="Y19" s="772">
        <f ca="1">($AC19*Z19/100)</f>
        <v>0</v>
      </c>
      <c r="Z19" s="934"/>
      <c r="AA19" s="772">
        <f ca="1">($AC19*AB19/100)</f>
        <v>0</v>
      </c>
      <c r="AB19" s="934"/>
      <c r="AC19" s="772">
        <f ca="1">VLOOKUP(C19,RESUMO!$B$16:$I$54,8,0)</f>
        <v>63199.950000000004</v>
      </c>
      <c r="AD19" s="934">
        <f ca="1">AC19/$AC$53*100</f>
        <v>1.6754589759793947</v>
      </c>
      <c r="AE19" s="259"/>
    </row>
    <row r="20" spans="2:31" s="768" customFormat="1" ht="6" customHeight="1">
      <c r="C20" s="938"/>
      <c r="D20" s="935"/>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936"/>
      <c r="AE20" s="563"/>
    </row>
    <row r="21" spans="2:31" ht="20.100000000000001" customHeight="1">
      <c r="B21" s="771">
        <v>1</v>
      </c>
      <c r="C21" s="168" t="str">
        <f>SUM($A$14:B21)&amp;".0"</f>
        <v>4.0</v>
      </c>
      <c r="D21" s="933" t="str">
        <f ca="1">VLOOKUP(C21,RESUMO!$B$16:$I$54,3,0)</f>
        <v>M O V I M E N T O  D E   T E R R A</v>
      </c>
      <c r="E21" s="772">
        <f ca="1">($AC21*F21/100)</f>
        <v>4610.12</v>
      </c>
      <c r="F21" s="934">
        <v>100</v>
      </c>
      <c r="G21" s="772">
        <f ca="1">($AC21*H21/100)</f>
        <v>0</v>
      </c>
      <c r="H21" s="934"/>
      <c r="I21" s="772">
        <f ca="1">($AC21*J21/100)</f>
        <v>0</v>
      </c>
      <c r="J21" s="934"/>
      <c r="K21" s="772">
        <f ca="1">($AC21*L21/100)</f>
        <v>0</v>
      </c>
      <c r="L21" s="934"/>
      <c r="M21" s="772">
        <f ca="1">($AC21*N21/100)</f>
        <v>0</v>
      </c>
      <c r="N21" s="934"/>
      <c r="O21" s="772">
        <f ca="1">($AC21*P21/100)</f>
        <v>0</v>
      </c>
      <c r="P21" s="934"/>
      <c r="Q21" s="772">
        <f ca="1">($AC21*R21/100)</f>
        <v>0</v>
      </c>
      <c r="R21" s="934"/>
      <c r="S21" s="772">
        <f ca="1">($AC21*T21/100)</f>
        <v>0</v>
      </c>
      <c r="T21" s="934"/>
      <c r="U21" s="772">
        <f ca="1">($AC21*V21/100)</f>
        <v>0</v>
      </c>
      <c r="V21" s="934"/>
      <c r="W21" s="772">
        <f ca="1">($AC21*X21/100)</f>
        <v>0</v>
      </c>
      <c r="X21" s="934"/>
      <c r="Y21" s="772">
        <f ca="1">($AC21*Z21/100)</f>
        <v>0</v>
      </c>
      <c r="Z21" s="934"/>
      <c r="AA21" s="772">
        <f ca="1">($AC21*AB21/100)</f>
        <v>0</v>
      </c>
      <c r="AB21" s="934"/>
      <c r="AC21" s="772">
        <f ca="1">VLOOKUP(C21,RESUMO!$B$16:$I$54,8,0)</f>
        <v>4610.12</v>
      </c>
      <c r="AD21" s="934">
        <f ca="1">AC21/$AC$53*100</f>
        <v>0.12221634565125648</v>
      </c>
      <c r="AE21" s="259"/>
    </row>
    <row r="22" spans="2:31" s="768" customFormat="1" ht="6" customHeight="1">
      <c r="C22" s="938"/>
      <c r="D22" s="935"/>
      <c r="E22" s="769"/>
      <c r="F22" s="769"/>
      <c r="G22" s="769"/>
      <c r="H22" s="769"/>
      <c r="I22" s="769"/>
      <c r="J22" s="769"/>
      <c r="K22" s="769"/>
      <c r="L22" s="769"/>
      <c r="M22" s="769"/>
      <c r="N22" s="769"/>
      <c r="O22" s="769"/>
      <c r="P22" s="769"/>
      <c r="Q22" s="769"/>
      <c r="R22" s="769"/>
      <c r="S22" s="769"/>
      <c r="T22" s="769"/>
      <c r="U22" s="769"/>
      <c r="V22" s="769"/>
      <c r="W22" s="769"/>
      <c r="X22" s="769"/>
      <c r="Y22" s="769"/>
      <c r="Z22" s="769"/>
      <c r="AA22" s="769"/>
      <c r="AB22" s="769"/>
      <c r="AC22" s="769"/>
      <c r="AD22" s="936"/>
      <c r="AE22" s="563"/>
    </row>
    <row r="23" spans="2:31" ht="20.100000000000001" customHeight="1">
      <c r="B23" s="771">
        <v>1</v>
      </c>
      <c r="C23" s="168" t="str">
        <f>SUM($A$14:B23)&amp;".0"</f>
        <v>5.0</v>
      </c>
      <c r="D23" s="933" t="str">
        <f ca="1">VLOOKUP(C23,RESUMO!$B$16:$I$54,3,0)</f>
        <v>F U N D A Ç Ã O</v>
      </c>
      <c r="E23" s="772">
        <f ca="1">($AC23*F23/100)</f>
        <v>27002.13</v>
      </c>
      <c r="F23" s="934">
        <v>50</v>
      </c>
      <c r="G23" s="772">
        <f ca="1">($AC23*H23/100)</f>
        <v>27002.13</v>
      </c>
      <c r="H23" s="934">
        <v>50</v>
      </c>
      <c r="I23" s="772">
        <f ca="1">($AC23*J23/100)</f>
        <v>0</v>
      </c>
      <c r="J23" s="934"/>
      <c r="K23" s="772">
        <f ca="1">($AC23*L23/100)</f>
        <v>0</v>
      </c>
      <c r="L23" s="934"/>
      <c r="M23" s="772">
        <f ca="1">($AC23*N23/100)</f>
        <v>0</v>
      </c>
      <c r="N23" s="934"/>
      <c r="O23" s="772">
        <f ca="1">($AC23*P23/100)</f>
        <v>0</v>
      </c>
      <c r="P23" s="934"/>
      <c r="Q23" s="772">
        <f ca="1">($AC23*R23/100)</f>
        <v>0</v>
      </c>
      <c r="R23" s="934"/>
      <c r="S23" s="772">
        <f ca="1">($AC23*T23/100)</f>
        <v>0</v>
      </c>
      <c r="T23" s="934"/>
      <c r="U23" s="772">
        <f ca="1">($AC23*V23/100)</f>
        <v>0</v>
      </c>
      <c r="V23" s="934"/>
      <c r="W23" s="772">
        <f ca="1">($AC23*X23/100)</f>
        <v>0</v>
      </c>
      <c r="X23" s="934"/>
      <c r="Y23" s="772">
        <f ca="1">($AC23*Z23/100)</f>
        <v>0</v>
      </c>
      <c r="Z23" s="934"/>
      <c r="AA23" s="772">
        <f ca="1">($AC23*AB23/100)</f>
        <v>0</v>
      </c>
      <c r="AB23" s="934"/>
      <c r="AC23" s="772">
        <f ca="1">VLOOKUP(C23,RESUMO!$B$16:$I$54,8,0)</f>
        <v>54004.26</v>
      </c>
      <c r="AD23" s="934">
        <f ca="1">AC23/$AC$53*100</f>
        <v>1.4316771161705824</v>
      </c>
      <c r="AE23" s="259"/>
    </row>
    <row r="24" spans="2:31" s="768" customFormat="1" ht="6" customHeight="1">
      <c r="C24" s="938"/>
      <c r="D24" s="935"/>
      <c r="E24" s="769"/>
      <c r="F24" s="769"/>
      <c r="G24" s="769"/>
      <c r="H24" s="769"/>
      <c r="I24" s="769"/>
      <c r="J24" s="769"/>
      <c r="K24" s="769"/>
      <c r="L24" s="769"/>
      <c r="M24" s="769"/>
      <c r="N24" s="769"/>
      <c r="O24" s="769"/>
      <c r="P24" s="769"/>
      <c r="Q24" s="769"/>
      <c r="R24" s="769"/>
      <c r="S24" s="769"/>
      <c r="T24" s="769"/>
      <c r="U24" s="769"/>
      <c r="V24" s="769"/>
      <c r="W24" s="769"/>
      <c r="X24" s="769"/>
      <c r="Y24" s="769"/>
      <c r="Z24" s="769"/>
      <c r="AA24" s="769"/>
      <c r="AB24" s="769"/>
      <c r="AC24" s="769"/>
      <c r="AD24" s="936"/>
      <c r="AE24" s="563"/>
    </row>
    <row r="25" spans="2:31" ht="20.100000000000001" customHeight="1">
      <c r="B25" s="771">
        <v>1</v>
      </c>
      <c r="C25" s="168" t="str">
        <f>SUM($A$14:B25)&amp;".0"</f>
        <v>6.0</v>
      </c>
      <c r="D25" s="933" t="str">
        <f ca="1">VLOOKUP(C25,RESUMO!$B$16:$I$54,3,0)</f>
        <v>E S T R U T U R A  - M E T Á L I C O</v>
      </c>
      <c r="E25" s="772">
        <f ca="1">($AC25*F25/100)</f>
        <v>0</v>
      </c>
      <c r="F25" s="934"/>
      <c r="G25" s="772">
        <f ca="1">($AC25*H25/100)</f>
        <v>337966.72</v>
      </c>
      <c r="H25" s="934">
        <v>50</v>
      </c>
      <c r="I25" s="772">
        <f ca="1">($AC25*J25/100)</f>
        <v>337966.72</v>
      </c>
      <c r="J25" s="934">
        <v>50</v>
      </c>
      <c r="K25" s="772">
        <f ca="1">($AC25*L25/100)</f>
        <v>0</v>
      </c>
      <c r="L25" s="934"/>
      <c r="M25" s="772">
        <f ca="1">($AC25*N25/100)</f>
        <v>0</v>
      </c>
      <c r="N25" s="934"/>
      <c r="O25" s="772">
        <f ca="1">($AC25*P25/100)</f>
        <v>0</v>
      </c>
      <c r="P25" s="934"/>
      <c r="Q25" s="772">
        <f ca="1">($AC25*R25/100)</f>
        <v>0</v>
      </c>
      <c r="R25" s="934"/>
      <c r="S25" s="772">
        <f ca="1">($AC25*T25/100)</f>
        <v>0</v>
      </c>
      <c r="T25" s="934"/>
      <c r="U25" s="772">
        <f ca="1">($AC25*V25/100)</f>
        <v>0</v>
      </c>
      <c r="V25" s="934"/>
      <c r="W25" s="772">
        <f ca="1">($AC25*X25/100)</f>
        <v>0</v>
      </c>
      <c r="X25" s="934"/>
      <c r="Y25" s="772">
        <f ca="1">($AC25*Z25/100)</f>
        <v>0</v>
      </c>
      <c r="Z25" s="934"/>
      <c r="AA25" s="772">
        <f ca="1">($AC25*AB25/100)</f>
        <v>0</v>
      </c>
      <c r="AB25" s="934"/>
      <c r="AC25" s="772">
        <f ca="1">VLOOKUP(C25,RESUMO!$B$16:$I$54,8,0)</f>
        <v>675933.44000000006</v>
      </c>
      <c r="AD25" s="934">
        <f ca="1">AC25/$AC$53*100</f>
        <v>17.919298183188907</v>
      </c>
      <c r="AE25" s="259"/>
    </row>
    <row r="26" spans="2:31" s="768" customFormat="1" ht="6" customHeight="1">
      <c r="C26" s="938"/>
      <c r="D26" s="935"/>
      <c r="E26" s="769"/>
      <c r="F26" s="769"/>
      <c r="G26" s="769"/>
      <c r="H26" s="769"/>
      <c r="I26" s="769"/>
      <c r="J26" s="769"/>
      <c r="K26" s="769"/>
      <c r="L26" s="769"/>
      <c r="M26" s="769"/>
      <c r="N26" s="769"/>
      <c r="O26" s="769"/>
      <c r="P26" s="769"/>
      <c r="Q26" s="769"/>
      <c r="R26" s="769"/>
      <c r="S26" s="769"/>
      <c r="T26" s="769"/>
      <c r="U26" s="769"/>
      <c r="V26" s="769"/>
      <c r="W26" s="769"/>
      <c r="X26" s="769"/>
      <c r="Y26" s="769"/>
      <c r="Z26" s="769"/>
      <c r="AA26" s="769"/>
      <c r="AB26" s="769"/>
      <c r="AC26" s="769"/>
      <c r="AD26" s="936"/>
      <c r="AE26" s="563"/>
    </row>
    <row r="27" spans="2:31" ht="20.100000000000001" customHeight="1">
      <c r="B27" s="771">
        <v>1</v>
      </c>
      <c r="C27" s="168" t="str">
        <f>SUM($A$14:B27)&amp;".0"</f>
        <v>7.0</v>
      </c>
      <c r="D27" s="933" t="str">
        <f ca="1">VLOOKUP(C27,RESUMO!$B$16:$I$54,3,0)</f>
        <v>A L V E N A R I A S ,   F E C H A M E N T O S   E   D I V I S Ó R I A S</v>
      </c>
      <c r="E27" s="772">
        <f ca="1">($AC27*F27/100)</f>
        <v>0</v>
      </c>
      <c r="F27" s="934"/>
      <c r="G27" s="772">
        <f ca="1">($AC27*H27/100)</f>
        <v>0</v>
      </c>
      <c r="H27" s="934"/>
      <c r="I27" s="772">
        <f ca="1">($AC27*J27/100)</f>
        <v>17824.924999999999</v>
      </c>
      <c r="J27" s="934">
        <v>50</v>
      </c>
      <c r="K27" s="772">
        <f ca="1">($AC27*L27/100)</f>
        <v>17824.924999999999</v>
      </c>
      <c r="L27" s="934">
        <v>50</v>
      </c>
      <c r="M27" s="772">
        <f ca="1">($AC27*N27/100)</f>
        <v>0</v>
      </c>
      <c r="N27" s="934"/>
      <c r="O27" s="772">
        <f ca="1">($AC27*P27/100)</f>
        <v>0</v>
      </c>
      <c r="P27" s="934"/>
      <c r="Q27" s="772">
        <f ca="1">($AC27*R27/100)</f>
        <v>0</v>
      </c>
      <c r="R27" s="934"/>
      <c r="S27" s="772">
        <f ca="1">($AC27*T27/100)</f>
        <v>0</v>
      </c>
      <c r="T27" s="934"/>
      <c r="U27" s="772">
        <f ca="1">($AC27*V27/100)</f>
        <v>0</v>
      </c>
      <c r="V27" s="934"/>
      <c r="W27" s="772">
        <f ca="1">($AC27*X27/100)</f>
        <v>0</v>
      </c>
      <c r="X27" s="934"/>
      <c r="Y27" s="772">
        <f ca="1">($AC27*Z27/100)</f>
        <v>0</v>
      </c>
      <c r="Z27" s="934"/>
      <c r="AA27" s="772">
        <f ca="1">($AC27*AB27/100)</f>
        <v>0</v>
      </c>
      <c r="AB27" s="934"/>
      <c r="AC27" s="772">
        <f ca="1">VLOOKUP(C27,RESUMO!$B$16:$I$54,8,0)</f>
        <v>35649.85</v>
      </c>
      <c r="AD27" s="934">
        <f ca="1">AC27/$AC$53*100</f>
        <v>0.94509348780844016</v>
      </c>
      <c r="AE27" s="259"/>
    </row>
    <row r="28" spans="2:31" s="768" customFormat="1" ht="6" customHeight="1">
      <c r="C28" s="938"/>
      <c r="D28" s="935"/>
      <c r="E28" s="769"/>
      <c r="F28" s="769"/>
      <c r="G28" s="769"/>
      <c r="H28" s="769"/>
      <c r="I28" s="769"/>
      <c r="J28" s="769"/>
      <c r="K28" s="769"/>
      <c r="L28" s="769"/>
      <c r="M28" s="769"/>
      <c r="N28" s="769"/>
      <c r="O28" s="769"/>
      <c r="P28" s="769"/>
      <c r="Q28" s="769"/>
      <c r="R28" s="769"/>
      <c r="S28" s="769"/>
      <c r="T28" s="769"/>
      <c r="U28" s="769"/>
      <c r="V28" s="769"/>
      <c r="W28" s="769"/>
      <c r="X28" s="769"/>
      <c r="Y28" s="769"/>
      <c r="Z28" s="769"/>
      <c r="AA28" s="769"/>
      <c r="AB28" s="769"/>
      <c r="AC28" s="769"/>
      <c r="AD28" s="936"/>
      <c r="AE28" s="563"/>
    </row>
    <row r="29" spans="2:31" ht="20.100000000000001" customHeight="1">
      <c r="B29" s="771">
        <v>1</v>
      </c>
      <c r="C29" s="168" t="str">
        <f>SUM($A$14:B29)&amp;".0"</f>
        <v>8.0</v>
      </c>
      <c r="D29" s="933" t="str">
        <f ca="1">VLOOKUP(C29,RESUMO!$B$16:$I$54,3,0)</f>
        <v>E S Q U A D R I A S</v>
      </c>
      <c r="E29" s="772">
        <f ca="1">($AC29*F29/100)</f>
        <v>0</v>
      </c>
      <c r="F29" s="934"/>
      <c r="G29" s="772">
        <f ca="1">($AC29*H29/100)</f>
        <v>0</v>
      </c>
      <c r="H29" s="934"/>
      <c r="I29" s="772">
        <f ca="1">($AC29*J29/100)</f>
        <v>0</v>
      </c>
      <c r="J29" s="934"/>
      <c r="K29" s="772">
        <f ca="1">($AC29*L29/100)</f>
        <v>123196.32</v>
      </c>
      <c r="L29" s="934">
        <v>80</v>
      </c>
      <c r="M29" s="772">
        <f ca="1">($AC29*N29/100)</f>
        <v>30799.08</v>
      </c>
      <c r="N29" s="934">
        <v>20</v>
      </c>
      <c r="O29" s="772">
        <f ca="1">($AC29*P29/100)</f>
        <v>0</v>
      </c>
      <c r="P29" s="934"/>
      <c r="Q29" s="772">
        <f ca="1">($AC29*R29/100)</f>
        <v>0</v>
      </c>
      <c r="R29" s="934"/>
      <c r="S29" s="772">
        <f ca="1">($AC29*T29/100)</f>
        <v>0</v>
      </c>
      <c r="T29" s="934"/>
      <c r="U29" s="772">
        <f ca="1">($AC29*V29/100)</f>
        <v>0</v>
      </c>
      <c r="V29" s="934"/>
      <c r="W29" s="772">
        <f ca="1">($AC29*X29/100)</f>
        <v>0</v>
      </c>
      <c r="X29" s="934"/>
      <c r="Y29" s="772">
        <f ca="1">($AC29*Z29/100)</f>
        <v>0</v>
      </c>
      <c r="Z29" s="934"/>
      <c r="AA29" s="772">
        <f ca="1">($AC29*AB29/100)</f>
        <v>0</v>
      </c>
      <c r="AB29" s="934"/>
      <c r="AC29" s="772">
        <f ca="1">VLOOKUP(C29,RESUMO!$B$16:$I$54,8,0)</f>
        <v>153995.4</v>
      </c>
      <c r="AD29" s="934">
        <f ca="1">AC29/$AC$53*100</f>
        <v>4.082487014460253</v>
      </c>
      <c r="AE29" s="259"/>
    </row>
    <row r="30" spans="2:31" s="768" customFormat="1" ht="6" customHeight="1">
      <c r="C30" s="938"/>
      <c r="D30" s="935"/>
      <c r="E30" s="769"/>
      <c r="F30" s="769"/>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936"/>
      <c r="AE30" s="563"/>
    </row>
    <row r="31" spans="2:31" ht="20.100000000000001" customHeight="1">
      <c r="B31" s="771">
        <v>1</v>
      </c>
      <c r="C31" s="168" t="str">
        <f>SUM($A$14:B31)&amp;".0"</f>
        <v>9.0</v>
      </c>
      <c r="D31" s="933" t="str">
        <f ca="1">VLOOKUP(C31,RESUMO!$B$16:$I$54,3,0)</f>
        <v>C O B E R T U R A S</v>
      </c>
      <c r="E31" s="772">
        <f ca="1">($AC31*F31/100)</f>
        <v>0</v>
      </c>
      <c r="F31" s="934"/>
      <c r="G31" s="772">
        <f ca="1">($AC31*H31/100)</f>
        <v>0</v>
      </c>
      <c r="H31" s="934"/>
      <c r="I31" s="772">
        <f ca="1">($AC31*J31/100)</f>
        <v>0</v>
      </c>
      <c r="J31" s="934"/>
      <c r="K31" s="772">
        <f ca="1">($AC31*L31/100)</f>
        <v>0</v>
      </c>
      <c r="L31" s="934"/>
      <c r="M31" s="772">
        <f ca="1">($AC31*N31/100)</f>
        <v>265783.93799999997</v>
      </c>
      <c r="N31" s="934">
        <v>30</v>
      </c>
      <c r="O31" s="772">
        <f ca="1">($AC31*P31/100)</f>
        <v>620162.52199999988</v>
      </c>
      <c r="P31" s="934">
        <v>70</v>
      </c>
      <c r="Q31" s="772">
        <f ca="1">($AC31*R31/100)</f>
        <v>0</v>
      </c>
      <c r="R31" s="934"/>
      <c r="S31" s="772">
        <f ca="1">($AC31*T31/100)</f>
        <v>0</v>
      </c>
      <c r="T31" s="934"/>
      <c r="U31" s="772">
        <f ca="1">($AC31*V31/100)</f>
        <v>0</v>
      </c>
      <c r="V31" s="934"/>
      <c r="W31" s="772">
        <f ca="1">($AC31*X31/100)</f>
        <v>0</v>
      </c>
      <c r="X31" s="934"/>
      <c r="Y31" s="772">
        <f ca="1">($AC31*Z31/100)</f>
        <v>0</v>
      </c>
      <c r="Z31" s="934"/>
      <c r="AA31" s="772">
        <f ca="1">($AC31*AB31/100)</f>
        <v>0</v>
      </c>
      <c r="AB31" s="934"/>
      <c r="AC31" s="772">
        <f ca="1">VLOOKUP(C31,RESUMO!$B$16:$I$54,8,0)</f>
        <v>885946.45999999985</v>
      </c>
      <c r="AD31" s="934">
        <f ca="1">AC31/$AC$53*100</f>
        <v>23.486837389019605</v>
      </c>
      <c r="AE31" s="259"/>
    </row>
    <row r="32" spans="2:31" s="768" customFormat="1" ht="6" customHeight="1">
      <c r="C32" s="938"/>
      <c r="D32" s="935"/>
      <c r="E32" s="769"/>
      <c r="F32" s="769"/>
      <c r="G32" s="769"/>
      <c r="H32" s="769"/>
      <c r="I32" s="769"/>
      <c r="J32" s="769"/>
      <c r="K32" s="769"/>
      <c r="L32" s="769"/>
      <c r="M32" s="769"/>
      <c r="N32" s="769"/>
      <c r="O32" s="769"/>
      <c r="P32" s="769"/>
      <c r="Q32" s="769"/>
      <c r="R32" s="769"/>
      <c r="S32" s="769"/>
      <c r="T32" s="769"/>
      <c r="U32" s="769"/>
      <c r="V32" s="769"/>
      <c r="W32" s="769"/>
      <c r="X32" s="769"/>
      <c r="Y32" s="769"/>
      <c r="Z32" s="769"/>
      <c r="AA32" s="769"/>
      <c r="AB32" s="769"/>
      <c r="AC32" s="769"/>
      <c r="AD32" s="936"/>
      <c r="AE32" s="563"/>
    </row>
    <row r="33" spans="2:31" ht="20.100000000000001" customHeight="1">
      <c r="B33" s="771">
        <v>1</v>
      </c>
      <c r="C33" s="168" t="str">
        <f>SUM($A$14:B33)&amp;".0"</f>
        <v>10.0</v>
      </c>
      <c r="D33" s="933" t="str">
        <f ca="1">VLOOKUP(C33,RESUMO!$B$16:$I$54,3,0)</f>
        <v>P I S O S</v>
      </c>
      <c r="E33" s="772">
        <f ca="1">($AC33*F33/100)</f>
        <v>0</v>
      </c>
      <c r="F33" s="934"/>
      <c r="G33" s="772">
        <f ca="1">($AC33*H33/100)</f>
        <v>0</v>
      </c>
      <c r="H33" s="934"/>
      <c r="I33" s="772">
        <f ca="1">($AC33*J33/100)</f>
        <v>0</v>
      </c>
      <c r="J33" s="934"/>
      <c r="K33" s="772">
        <f ca="1">($AC33*L33/100)</f>
        <v>0</v>
      </c>
      <c r="L33" s="934"/>
      <c r="M33" s="772">
        <f ca="1">($AC33*N33/100)</f>
        <v>0</v>
      </c>
      <c r="N33" s="934"/>
      <c r="O33" s="772">
        <f ca="1">($AC33*P33/100)</f>
        <v>255520.21999999997</v>
      </c>
      <c r="P33" s="934">
        <v>50</v>
      </c>
      <c r="Q33" s="772">
        <f ca="1">($AC33*R33/100)</f>
        <v>255520.21999999997</v>
      </c>
      <c r="R33" s="934">
        <v>50</v>
      </c>
      <c r="S33" s="772">
        <f ca="1">($AC33*T33/100)</f>
        <v>0</v>
      </c>
      <c r="T33" s="934"/>
      <c r="U33" s="772">
        <f ca="1">($AC33*V33/100)</f>
        <v>0</v>
      </c>
      <c r="V33" s="934"/>
      <c r="W33" s="772">
        <f ca="1">($AC33*X33/100)</f>
        <v>0</v>
      </c>
      <c r="X33" s="934"/>
      <c r="Y33" s="772">
        <f ca="1">($AC33*Z33/100)</f>
        <v>0</v>
      </c>
      <c r="Z33" s="934"/>
      <c r="AA33" s="772">
        <f ca="1">($AC33*AB33/100)</f>
        <v>0</v>
      </c>
      <c r="AB33" s="934"/>
      <c r="AC33" s="772">
        <f ca="1">VLOOKUP(C33,RESUMO!$B$16:$I$54,8,0)</f>
        <v>511040.43999999994</v>
      </c>
      <c r="AD33" s="934">
        <f ca="1">AC33/$AC$53*100</f>
        <v>13.54791091268995</v>
      </c>
      <c r="AE33" s="259"/>
    </row>
    <row r="34" spans="2:31" s="768" customFormat="1" ht="6" customHeight="1">
      <c r="C34" s="938"/>
      <c r="D34" s="935"/>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936"/>
      <c r="AE34" s="563"/>
    </row>
    <row r="35" spans="2:31" ht="20.100000000000001" customHeight="1">
      <c r="B35" s="771">
        <v>1</v>
      </c>
      <c r="C35" s="168" t="str">
        <f>SUM($A$14:B35)&amp;".0"</f>
        <v>11.0</v>
      </c>
      <c r="D35" s="933" t="str">
        <f ca="1">VLOOKUP(C35,RESUMO!$B$16:$I$54,3,0)</f>
        <v xml:space="preserve">I N S T A L A Ç Õ E S   H I D R O S S A N I T Á R I A S </v>
      </c>
      <c r="E35" s="772">
        <f ca="1">($AC35*F35/100)</f>
        <v>0</v>
      </c>
      <c r="F35" s="934"/>
      <c r="G35" s="772">
        <f ca="1">($AC35*H35/100)</f>
        <v>0</v>
      </c>
      <c r="H35" s="934"/>
      <c r="I35" s="772">
        <f ca="1">($AC35*J35/100)</f>
        <v>0</v>
      </c>
      <c r="J35" s="934"/>
      <c r="K35" s="772">
        <f ca="1">($AC35*L35/100)</f>
        <v>0</v>
      </c>
      <c r="L35" s="934"/>
      <c r="M35" s="772">
        <f ca="1">($AC35*N35/100)</f>
        <v>0</v>
      </c>
      <c r="N35" s="934"/>
      <c r="O35" s="772">
        <f ca="1">($AC35*P35/100)</f>
        <v>0</v>
      </c>
      <c r="P35" s="934"/>
      <c r="Q35" s="772">
        <f ca="1">($AC35*R35/100)</f>
        <v>81843.12000000001</v>
      </c>
      <c r="R35" s="934">
        <v>60</v>
      </c>
      <c r="S35" s="772">
        <f ca="1">($AC35*T35/100)</f>
        <v>54562.080000000002</v>
      </c>
      <c r="T35" s="934">
        <v>40</v>
      </c>
      <c r="U35" s="772">
        <f ca="1">($AC35*V35/100)</f>
        <v>0</v>
      </c>
      <c r="V35" s="934"/>
      <c r="W35" s="772">
        <f ca="1">($AC35*X35/100)</f>
        <v>0</v>
      </c>
      <c r="X35" s="934"/>
      <c r="Y35" s="772">
        <f ca="1">($AC35*Z35/100)</f>
        <v>0</v>
      </c>
      <c r="Z35" s="934"/>
      <c r="AA35" s="772">
        <f ca="1">($AC35*AB35/100)</f>
        <v>0</v>
      </c>
      <c r="AB35" s="934"/>
      <c r="AC35" s="772">
        <f ca="1">VLOOKUP(C35,RESUMO!$B$16:$I$54,8,0)</f>
        <v>136405.20000000001</v>
      </c>
      <c r="AD35" s="934">
        <f ca="1">AC35/$AC$53*100</f>
        <v>3.6161629354179006</v>
      </c>
      <c r="AE35" s="259"/>
    </row>
    <row r="36" spans="2:31" s="768" customFormat="1" ht="6" customHeight="1">
      <c r="C36" s="938"/>
      <c r="D36" s="935"/>
      <c r="E36" s="769"/>
      <c r="F36" s="769"/>
      <c r="G36" s="769"/>
      <c r="H36" s="769"/>
      <c r="I36" s="769"/>
      <c r="J36" s="769"/>
      <c r="K36" s="769"/>
      <c r="L36" s="769"/>
      <c r="M36" s="769"/>
      <c r="N36" s="769"/>
      <c r="O36" s="769"/>
      <c r="P36" s="769"/>
      <c r="Q36" s="769"/>
      <c r="R36" s="769"/>
      <c r="S36" s="769"/>
      <c r="T36" s="769"/>
      <c r="U36" s="769"/>
      <c r="V36" s="769"/>
      <c r="W36" s="769"/>
      <c r="X36" s="769"/>
      <c r="Y36" s="769"/>
      <c r="Z36" s="769"/>
      <c r="AA36" s="769"/>
      <c r="AB36" s="769"/>
      <c r="AC36" s="769"/>
      <c r="AD36" s="936"/>
      <c r="AE36" s="563"/>
    </row>
    <row r="37" spans="2:31" ht="20.100000000000001" customHeight="1">
      <c r="B37" s="771">
        <v>1</v>
      </c>
      <c r="C37" s="168" t="str">
        <f>SUM($A$14:B37)&amp;".0"</f>
        <v>12.0</v>
      </c>
      <c r="D37" s="933" t="str">
        <f ca="1">VLOOKUP(C37,RESUMO!$B$16:$I$54,3,0)</f>
        <v xml:space="preserve">I N S T A L A Ç Õ E S   E L É T R I C A S </v>
      </c>
      <c r="E37" s="772">
        <f ca="1">($AC37*F37/100)</f>
        <v>0</v>
      </c>
      <c r="F37" s="934"/>
      <c r="G37" s="772">
        <f ca="1">($AC37*H37/100)</f>
        <v>0</v>
      </c>
      <c r="H37" s="934"/>
      <c r="I37" s="772">
        <f ca="1">($AC37*J37/100)</f>
        <v>0</v>
      </c>
      <c r="J37" s="934"/>
      <c r="K37" s="772">
        <f ca="1">($AC37*L37/100)</f>
        <v>0</v>
      </c>
      <c r="L37" s="934"/>
      <c r="M37" s="772">
        <f ca="1">($AC37*N37/100)</f>
        <v>0</v>
      </c>
      <c r="N37" s="934"/>
      <c r="O37" s="772">
        <f ca="1">($AC37*P37/100)</f>
        <v>0</v>
      </c>
      <c r="P37" s="934"/>
      <c r="Q37" s="772">
        <f ca="1">($AC37*R37/100)</f>
        <v>0</v>
      </c>
      <c r="R37" s="934"/>
      <c r="S37" s="772">
        <f ca="1">($AC37*T37/100)</f>
        <v>163910.38200000001</v>
      </c>
      <c r="T37" s="934">
        <v>60</v>
      </c>
      <c r="U37" s="772">
        <f ca="1">($AC37*V37/100)</f>
        <v>109273.588</v>
      </c>
      <c r="V37" s="934">
        <v>40</v>
      </c>
      <c r="W37" s="772">
        <f ca="1">($AC37*X37/100)</f>
        <v>0</v>
      </c>
      <c r="X37" s="934"/>
      <c r="Y37" s="772">
        <f ca="1">($AC37*Z37/100)</f>
        <v>0</v>
      </c>
      <c r="Z37" s="934"/>
      <c r="AA37" s="772">
        <f ca="1">($AC37*AB37/100)</f>
        <v>0</v>
      </c>
      <c r="AB37" s="934"/>
      <c r="AC37" s="772">
        <f ca="1">VLOOKUP(C37,RESUMO!$B$16:$I$54,8,0)</f>
        <v>273183.97000000003</v>
      </c>
      <c r="AD37" s="934">
        <f ca="1">AC37/$AC$53*100</f>
        <v>7.2422293788236498</v>
      </c>
      <c r="AE37" s="259"/>
    </row>
    <row r="38" spans="2:31" s="768" customFormat="1" ht="6" customHeight="1">
      <c r="C38" s="938"/>
      <c r="D38" s="935"/>
      <c r="E38" s="769"/>
      <c r="F38" s="769"/>
      <c r="G38" s="769"/>
      <c r="H38" s="769"/>
      <c r="I38" s="769"/>
      <c r="J38" s="769"/>
      <c r="K38" s="769"/>
      <c r="L38" s="769"/>
      <c r="M38" s="769"/>
      <c r="N38" s="769"/>
      <c r="O38" s="769"/>
      <c r="P38" s="769"/>
      <c r="Q38" s="769"/>
      <c r="R38" s="769"/>
      <c r="S38" s="769"/>
      <c r="T38" s="769"/>
      <c r="U38" s="769"/>
      <c r="V38" s="769"/>
      <c r="W38" s="769"/>
      <c r="X38" s="769"/>
      <c r="Y38" s="769"/>
      <c r="Z38" s="769"/>
      <c r="AA38" s="769"/>
      <c r="AB38" s="769"/>
      <c r="AC38" s="769"/>
      <c r="AD38" s="936"/>
      <c r="AE38" s="563"/>
    </row>
    <row r="39" spans="2:31" ht="20.100000000000001" customHeight="1">
      <c r="B39" s="771">
        <v>1</v>
      </c>
      <c r="C39" s="168" t="str">
        <f>SUM($A$14:B39)&amp;".0"</f>
        <v>13.0</v>
      </c>
      <c r="D39" s="933" t="str">
        <f ca="1">VLOOKUP(C39,RESUMO!$B$16:$I$54,3,0)</f>
        <v>S P D A</v>
      </c>
      <c r="E39" s="772">
        <f ca="1">($AC39*F39/100)</f>
        <v>0</v>
      </c>
      <c r="F39" s="934"/>
      <c r="G39" s="772">
        <f ca="1">($AC39*H39/100)</f>
        <v>0</v>
      </c>
      <c r="H39" s="934"/>
      <c r="I39" s="772">
        <f ca="1">($AC39*J39/100)</f>
        <v>0</v>
      </c>
      <c r="J39" s="934"/>
      <c r="K39" s="772">
        <f ca="1">($AC39*L39/100)</f>
        <v>0</v>
      </c>
      <c r="L39" s="934"/>
      <c r="M39" s="772">
        <f ca="1">($AC39*N39/100)</f>
        <v>0</v>
      </c>
      <c r="N39" s="934"/>
      <c r="O39" s="772">
        <f ca="1">($AC39*P39/100)</f>
        <v>0</v>
      </c>
      <c r="P39" s="934"/>
      <c r="Q39" s="772">
        <f ca="1">($AC39*R39/100)</f>
        <v>0</v>
      </c>
      <c r="R39" s="934"/>
      <c r="S39" s="772">
        <f ca="1">($AC39*T39/100)</f>
        <v>0</v>
      </c>
      <c r="T39" s="934"/>
      <c r="U39" s="772">
        <f ca="1">($AC39*V39/100)</f>
        <v>198814.01</v>
      </c>
      <c r="V39" s="934">
        <v>100</v>
      </c>
      <c r="W39" s="772">
        <f ca="1">($AC39*X39/100)</f>
        <v>0</v>
      </c>
      <c r="X39" s="934"/>
      <c r="Y39" s="772">
        <f ca="1">($AC39*Z39/100)</f>
        <v>0</v>
      </c>
      <c r="Z39" s="934"/>
      <c r="AA39" s="772">
        <f ca="1">($AC39*AB39/100)</f>
        <v>0</v>
      </c>
      <c r="AB39" s="934"/>
      <c r="AC39" s="772">
        <f ca="1">VLOOKUP(C39,RESUMO!$B$16:$I$54,8,0)</f>
        <v>198814.01</v>
      </c>
      <c r="AD39" s="934">
        <f ca="1">AC39/$AC$53*100</f>
        <v>5.2706484357180212</v>
      </c>
      <c r="AE39" s="259"/>
    </row>
    <row r="40" spans="2:31" s="768" customFormat="1" ht="6" customHeight="1">
      <c r="C40" s="938"/>
      <c r="D40" s="935"/>
      <c r="E40" s="769"/>
      <c r="F40" s="769"/>
      <c r="G40" s="769"/>
      <c r="H40" s="769"/>
      <c r="I40" s="769"/>
      <c r="J40" s="769"/>
      <c r="K40" s="769"/>
      <c r="L40" s="769"/>
      <c r="M40" s="769"/>
      <c r="N40" s="769"/>
      <c r="O40" s="769"/>
      <c r="P40" s="769"/>
      <c r="Q40" s="769"/>
      <c r="R40" s="769"/>
      <c r="S40" s="769"/>
      <c r="T40" s="769"/>
      <c r="U40" s="769"/>
      <c r="V40" s="769"/>
      <c r="W40" s="769"/>
      <c r="X40" s="769"/>
      <c r="Y40" s="769"/>
      <c r="Z40" s="769"/>
      <c r="AA40" s="769"/>
      <c r="AB40" s="769"/>
      <c r="AC40" s="769"/>
      <c r="AD40" s="936"/>
      <c r="AE40" s="563"/>
    </row>
    <row r="41" spans="2:31" ht="20.100000000000001" customHeight="1">
      <c r="B41" s="771">
        <v>1</v>
      </c>
      <c r="C41" s="168" t="str">
        <f>SUM($A$14:B41)&amp;".0"</f>
        <v>14.0</v>
      </c>
      <c r="D41" s="933" t="str">
        <f ca="1">VLOOKUP(C41,RESUMO!$B$16:$I$54,3,0)</f>
        <v>G L P</v>
      </c>
      <c r="E41" s="772">
        <f ca="1">($AC41*F41/100)</f>
        <v>0</v>
      </c>
      <c r="F41" s="934"/>
      <c r="G41" s="772">
        <f ca="1">($AC41*H41/100)</f>
        <v>0</v>
      </c>
      <c r="H41" s="934"/>
      <c r="I41" s="772">
        <f ca="1">($AC41*J41/100)</f>
        <v>0</v>
      </c>
      <c r="J41" s="934"/>
      <c r="K41" s="772">
        <f ca="1">($AC41*L41/100)</f>
        <v>0</v>
      </c>
      <c r="L41" s="934"/>
      <c r="M41" s="772">
        <f ca="1">($AC41*N41/100)</f>
        <v>0</v>
      </c>
      <c r="N41" s="934"/>
      <c r="O41" s="772"/>
      <c r="P41" s="934"/>
      <c r="Q41" s="772">
        <f ca="1">($AC41*R41/100)</f>
        <v>0</v>
      </c>
      <c r="R41" s="934"/>
      <c r="S41" s="772">
        <f ca="1">($AC41*T41/100)</f>
        <v>0</v>
      </c>
      <c r="T41" s="934"/>
      <c r="U41" s="772">
        <f ca="1">($AC41*V41/100)</f>
        <v>0</v>
      </c>
      <c r="V41" s="934"/>
      <c r="W41" s="772">
        <f ca="1">($AC41*X41/100)</f>
        <v>1382.41</v>
      </c>
      <c r="X41" s="934">
        <v>100</v>
      </c>
      <c r="Y41" s="772">
        <f ca="1">($AC41*Z41/100)</f>
        <v>0</v>
      </c>
      <c r="Z41" s="934"/>
      <c r="AA41" s="772">
        <f ca="1">($AC41*AB41/100)</f>
        <v>0</v>
      </c>
      <c r="AB41" s="934"/>
      <c r="AC41" s="772">
        <f ca="1">VLOOKUP(C41,RESUMO!$B$16:$I$54,8,0)</f>
        <v>1382.4099999999999</v>
      </c>
      <c r="AD41" s="934">
        <f ca="1">AC41/$AC$53*100</f>
        <v>3.6648308155048777E-2</v>
      </c>
      <c r="AE41" s="259"/>
    </row>
    <row r="42" spans="2:31" s="768" customFormat="1" ht="6" customHeight="1">
      <c r="C42" s="938"/>
      <c r="D42" s="935"/>
      <c r="E42" s="769"/>
      <c r="F42" s="769"/>
      <c r="G42" s="769"/>
      <c r="H42" s="769"/>
      <c r="I42" s="769"/>
      <c r="J42" s="769"/>
      <c r="K42" s="769"/>
      <c r="L42" s="769"/>
      <c r="M42" s="769"/>
      <c r="N42" s="769"/>
      <c r="O42" s="769"/>
      <c r="P42" s="769"/>
      <c r="Q42" s="769"/>
      <c r="R42" s="769"/>
      <c r="S42" s="769"/>
      <c r="T42" s="769"/>
      <c r="U42" s="769"/>
      <c r="V42" s="769"/>
      <c r="W42" s="769"/>
      <c r="X42" s="769"/>
      <c r="Y42" s="769"/>
      <c r="Z42" s="769"/>
      <c r="AA42" s="769"/>
      <c r="AB42" s="769"/>
      <c r="AC42" s="769"/>
      <c r="AD42" s="936"/>
      <c r="AE42" s="563"/>
    </row>
    <row r="43" spans="2:31" ht="20.100000000000001" customHeight="1">
      <c r="B43" s="771">
        <v>1</v>
      </c>
      <c r="C43" s="168" t="str">
        <f>SUM($A$14:B43)&amp;".0"</f>
        <v>15.0</v>
      </c>
      <c r="D43" s="933" t="str">
        <f ca="1">VLOOKUP(C43,RESUMO!$B$16:$I$54,3,0)</f>
        <v>P R E V E N Ç Ã O   E   C O M B A T E   A   I N C Ê N D I O</v>
      </c>
      <c r="E43" s="772">
        <f ca="1">($AC43*F43/100)</f>
        <v>0</v>
      </c>
      <c r="F43" s="934"/>
      <c r="G43" s="772">
        <f ca="1">($AC43*H43/100)</f>
        <v>0</v>
      </c>
      <c r="H43" s="934"/>
      <c r="I43" s="772">
        <f ca="1">($AC43*J43/100)</f>
        <v>0</v>
      </c>
      <c r="J43" s="934"/>
      <c r="K43" s="772">
        <f ca="1">($AC43*L43/100)</f>
        <v>0</v>
      </c>
      <c r="L43" s="934"/>
      <c r="M43" s="772">
        <f ca="1">($AC43*N43/100)</f>
        <v>0</v>
      </c>
      <c r="N43" s="934"/>
      <c r="O43" s="772">
        <f ca="1">($AC43*P43/100)</f>
        <v>0</v>
      </c>
      <c r="P43" s="934"/>
      <c r="Q43" s="772">
        <f ca="1">($AC43*R43/100)</f>
        <v>0</v>
      </c>
      <c r="R43" s="934"/>
      <c r="S43" s="772">
        <f ca="1">($AC43*T43/100)</f>
        <v>0</v>
      </c>
      <c r="T43" s="934"/>
      <c r="U43" s="772">
        <f ca="1">($AC43*V43/100)</f>
        <v>0</v>
      </c>
      <c r="V43" s="934"/>
      <c r="W43" s="772">
        <f ca="1">($AC43*X43/100)</f>
        <v>38750.304000000011</v>
      </c>
      <c r="X43" s="934">
        <v>80</v>
      </c>
      <c r="Y43" s="772">
        <f ca="1">($AC43*Z43/100)</f>
        <v>9687.5760000000028</v>
      </c>
      <c r="Z43" s="934">
        <v>20</v>
      </c>
      <c r="AA43" s="772">
        <f ca="1">($AC43*AB43/100)</f>
        <v>0</v>
      </c>
      <c r="AB43" s="934"/>
      <c r="AC43" s="772">
        <f ca="1">VLOOKUP(C43,RESUMO!$B$16:$I$54,8,0)</f>
        <v>48437.880000000012</v>
      </c>
      <c r="AD43" s="934">
        <f ca="1">AC43/$AC$53*100</f>
        <v>1.2841098896979004</v>
      </c>
      <c r="AE43" s="259"/>
    </row>
    <row r="44" spans="2:31" s="768" customFormat="1" ht="6" customHeight="1">
      <c r="C44" s="938"/>
      <c r="D44" s="935"/>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936"/>
      <c r="AE44" s="563"/>
    </row>
    <row r="45" spans="2:31" ht="20.100000000000001" customHeight="1">
      <c r="B45" s="771">
        <v>1</v>
      </c>
      <c r="C45" s="168" t="str">
        <f>SUM($A$14:B45)&amp;".0"</f>
        <v>16.0</v>
      </c>
      <c r="D45" s="933" t="str">
        <f ca="1">VLOOKUP(C45,RESUMO!$B$16:$I$54,3,0)</f>
        <v>P I N T U R A S</v>
      </c>
      <c r="E45" s="772">
        <f ca="1">($AC45*F45/100)</f>
        <v>0</v>
      </c>
      <c r="F45" s="934"/>
      <c r="G45" s="772">
        <f ca="1">($AC45*H45/100)</f>
        <v>0</v>
      </c>
      <c r="H45" s="934"/>
      <c r="I45" s="772">
        <f ca="1">($AC45*J45/100)</f>
        <v>0</v>
      </c>
      <c r="J45" s="934"/>
      <c r="K45" s="772">
        <f ca="1">($AC45*L45/100)</f>
        <v>0</v>
      </c>
      <c r="L45" s="934"/>
      <c r="M45" s="772">
        <f ca="1">($AC45*N45/100)</f>
        <v>0</v>
      </c>
      <c r="N45" s="934"/>
      <c r="O45" s="772">
        <f ca="1">($AC45*P45/100)</f>
        <v>0</v>
      </c>
      <c r="P45" s="934"/>
      <c r="Q45" s="772">
        <f ca="1">($AC45*R45/100)</f>
        <v>0</v>
      </c>
      <c r="R45" s="934"/>
      <c r="S45" s="772">
        <f ca="1">($AC45*T45/100)</f>
        <v>0</v>
      </c>
      <c r="T45" s="934"/>
      <c r="U45" s="772">
        <f ca="1">($AC45*V45/100)</f>
        <v>0</v>
      </c>
      <c r="V45" s="934"/>
      <c r="W45" s="772">
        <f ca="1">($AC45*X45/100)</f>
        <v>0</v>
      </c>
      <c r="X45" s="934"/>
      <c r="Y45" s="772">
        <f ca="1">($AC45*Z45/100)</f>
        <v>127160.25600000001</v>
      </c>
      <c r="Z45" s="934">
        <v>80</v>
      </c>
      <c r="AA45" s="772">
        <f ca="1">($AC45*AB45/100)</f>
        <v>31790.064000000002</v>
      </c>
      <c r="AB45" s="934">
        <v>20</v>
      </c>
      <c r="AC45" s="772">
        <f ca="1">VLOOKUP(C45,RESUMO!$B$16:$I$54,8,0)</f>
        <v>158950.32</v>
      </c>
      <c r="AD45" s="934">
        <f ca="1">AC45/$AC$53*100</f>
        <v>4.2138441625159055</v>
      </c>
      <c r="AE45" s="259"/>
    </row>
    <row r="46" spans="2:31" s="768" customFormat="1" ht="6" customHeight="1">
      <c r="C46" s="938"/>
      <c r="D46" s="935"/>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936"/>
      <c r="AE46" s="563"/>
    </row>
    <row r="47" spans="2:31" ht="20.100000000000001" customHeight="1">
      <c r="B47" s="771">
        <v>1</v>
      </c>
      <c r="C47" s="168" t="str">
        <f>SUM($A$14:B47)&amp;".0"</f>
        <v>17.0</v>
      </c>
      <c r="D47" s="933" t="str">
        <f ca="1">VLOOKUP(C47,RESUMO!$B$16:$I$54,3,0)</f>
        <v>U R B A N I Z A Ç Ã O   E   S E R V I Ç O S   E X T E R N O S</v>
      </c>
      <c r="E47" s="772">
        <f ca="1">($AC47*F47/100)</f>
        <v>0</v>
      </c>
      <c r="F47" s="934"/>
      <c r="G47" s="772">
        <f ca="1">($AC47*H47/100)</f>
        <v>0</v>
      </c>
      <c r="H47" s="934"/>
      <c r="I47" s="772">
        <f ca="1">($AC47*J47/100)</f>
        <v>0</v>
      </c>
      <c r="J47" s="934"/>
      <c r="K47" s="772">
        <f ca="1">($AC47*L47/100)</f>
        <v>0</v>
      </c>
      <c r="L47" s="934"/>
      <c r="M47" s="772">
        <f ca="1">($AC47*N47/100)</f>
        <v>0</v>
      </c>
      <c r="N47" s="934"/>
      <c r="O47" s="772">
        <f ca="1">($AC47*P47/100)</f>
        <v>0</v>
      </c>
      <c r="P47" s="934"/>
      <c r="Q47" s="772">
        <f ca="1">($AC47*R47/100)</f>
        <v>0</v>
      </c>
      <c r="R47" s="934"/>
      <c r="S47" s="772">
        <f ca="1">($AC47*T47/100)</f>
        <v>0</v>
      </c>
      <c r="T47" s="934"/>
      <c r="U47" s="772">
        <f ca="1">($AC47*V47/100)</f>
        <v>0</v>
      </c>
      <c r="V47" s="934"/>
      <c r="W47" s="772">
        <f ca="1">($AC47*X47/100)</f>
        <v>0</v>
      </c>
      <c r="X47" s="934"/>
      <c r="Y47" s="772">
        <f ca="1">($AC47*Z47/100)</f>
        <v>0</v>
      </c>
      <c r="Z47" s="934"/>
      <c r="AA47" s="772">
        <f ca="1">($AC47*AB47/100)</f>
        <v>83099.08</v>
      </c>
      <c r="AB47" s="934">
        <v>100</v>
      </c>
      <c r="AC47" s="772">
        <f ca="1">VLOOKUP(C47,RESUMO!$B$16:$I$54,8,0)</f>
        <v>83099.08</v>
      </c>
      <c r="AD47" s="934">
        <f ca="1">AC47/$AC$53*100</f>
        <v>2.2029938232803947</v>
      </c>
      <c r="AE47" s="259"/>
    </row>
    <row r="48" spans="2:31" s="768" customFormat="1" ht="6" customHeight="1">
      <c r="C48" s="938"/>
      <c r="D48" s="935"/>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936"/>
      <c r="AE48" s="563"/>
    </row>
    <row r="49" spans="2:31" ht="20.100000000000001" customHeight="1">
      <c r="B49" s="771">
        <v>1</v>
      </c>
      <c r="C49" s="168" t="str">
        <f>SUM($A$14:B49)&amp;".0"</f>
        <v>18.0</v>
      </c>
      <c r="D49" s="933" t="str">
        <f ca="1">VLOOKUP(C49,RESUMO!$B$16:$I$54,3,0)</f>
        <v>P L A Y G R O U N D</v>
      </c>
      <c r="E49" s="772">
        <f ca="1">($AC49*F49/100)</f>
        <v>0</v>
      </c>
      <c r="F49" s="934"/>
      <c r="G49" s="772">
        <f ca="1">($AC49*H49/100)</f>
        <v>0</v>
      </c>
      <c r="H49" s="934"/>
      <c r="I49" s="772">
        <f ca="1">($AC49*J49/100)</f>
        <v>0</v>
      </c>
      <c r="J49" s="934"/>
      <c r="K49" s="772">
        <f ca="1">($AC49*L49/100)</f>
        <v>0</v>
      </c>
      <c r="L49" s="934"/>
      <c r="M49" s="772">
        <f ca="1">($AC49*N49/100)</f>
        <v>0</v>
      </c>
      <c r="N49" s="934"/>
      <c r="O49" s="772">
        <f ca="1">($AC49*P49/100)</f>
        <v>0</v>
      </c>
      <c r="P49" s="934"/>
      <c r="Q49" s="772">
        <f ca="1">($AC49*R49/100)</f>
        <v>0</v>
      </c>
      <c r="R49" s="934"/>
      <c r="S49" s="772">
        <f ca="1">($AC49*T49/100)</f>
        <v>0</v>
      </c>
      <c r="T49" s="934"/>
      <c r="U49" s="772">
        <f ca="1">($AC49*V49/100)</f>
        <v>0</v>
      </c>
      <c r="V49" s="934"/>
      <c r="W49" s="772">
        <f ca="1">($AC49*X49/100)</f>
        <v>0</v>
      </c>
      <c r="X49" s="934"/>
      <c r="Y49" s="772">
        <f ca="1">($AC49*Z49/100)</f>
        <v>0</v>
      </c>
      <c r="Z49" s="934"/>
      <c r="AA49" s="772">
        <f ca="1">($AC49*AB49/100)</f>
        <v>27324.329999999994</v>
      </c>
      <c r="AB49" s="934">
        <v>100</v>
      </c>
      <c r="AC49" s="772">
        <f ca="1">VLOOKUP(C49,RESUMO!$B$16:$I$54,8,0)</f>
        <v>27324.329999999994</v>
      </c>
      <c r="AD49" s="934">
        <f ca="1">AC49/$AC$53*100</f>
        <v>0.72438022436921301</v>
      </c>
      <c r="AE49" s="259"/>
    </row>
    <row r="50" spans="2:31" s="768" customFormat="1" ht="6" customHeight="1">
      <c r="C50" s="938"/>
      <c r="D50" s="935"/>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936"/>
      <c r="AE50" s="563"/>
    </row>
    <row r="51" spans="2:31" ht="20.100000000000001" customHeight="1">
      <c r="B51" s="771">
        <v>1</v>
      </c>
      <c r="C51" s="168" t="str">
        <f>SUM($A$14:B51)&amp;".0"</f>
        <v>19.0</v>
      </c>
      <c r="D51" s="933" t="str">
        <f ca="1">VLOOKUP(C51,RESUMO!$B$16:$I$54,3,0)</f>
        <v xml:space="preserve">S E R V I Ç O S   C O M P L E M E N T A R E S </v>
      </c>
      <c r="E51" s="772">
        <f ca="1">($AC51*F51/100)</f>
        <v>0</v>
      </c>
      <c r="F51" s="934"/>
      <c r="G51" s="772">
        <f ca="1">($AC51*H51/100)</f>
        <v>0</v>
      </c>
      <c r="H51" s="934"/>
      <c r="I51" s="772">
        <f ca="1">($AC51*J51/100)</f>
        <v>0</v>
      </c>
      <c r="J51" s="934"/>
      <c r="K51" s="772">
        <f ca="1">($AC51*L51/100)</f>
        <v>0</v>
      </c>
      <c r="L51" s="934"/>
      <c r="M51" s="772">
        <f ca="1">($AC51*N51/100)</f>
        <v>0</v>
      </c>
      <c r="N51" s="934"/>
      <c r="O51" s="772">
        <f ca="1">($AC51*P51/100)</f>
        <v>0</v>
      </c>
      <c r="P51" s="934"/>
      <c r="Q51" s="772">
        <f ca="1">($AC51*R51/100)</f>
        <v>0</v>
      </c>
      <c r="R51" s="934"/>
      <c r="S51" s="772">
        <f ca="1">($AC51*T51/100)</f>
        <v>0</v>
      </c>
      <c r="T51" s="934"/>
      <c r="U51" s="772">
        <f ca="1">($AC51*V51/100)</f>
        <v>0</v>
      </c>
      <c r="V51" s="934"/>
      <c r="W51" s="772">
        <f ca="1">($AC51*X51/100)</f>
        <v>0</v>
      </c>
      <c r="X51" s="934"/>
      <c r="Y51" s="772">
        <f ca="1">($AC51*Z51/100)</f>
        <v>0</v>
      </c>
      <c r="Z51" s="934"/>
      <c r="AA51" s="772">
        <f ca="1">($AC51*AB51/100)</f>
        <v>248001.31</v>
      </c>
      <c r="AB51" s="934">
        <v>100</v>
      </c>
      <c r="AC51" s="772">
        <f ca="1">VLOOKUP(C51,RESUMO!$B$16:$I$54,8,0)</f>
        <v>248001.31</v>
      </c>
      <c r="AD51" s="934">
        <f ca="1">AC51/$AC$53*100</f>
        <v>6.5746257852126222</v>
      </c>
      <c r="AE51" s="259"/>
    </row>
    <row r="52" spans="2:31" s="768" customFormat="1" ht="6" customHeight="1">
      <c r="C52" s="938"/>
      <c r="D52" s="935"/>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936"/>
      <c r="AE52" s="563"/>
    </row>
    <row r="53" spans="2:31" ht="20.100000000000001" customHeight="1">
      <c r="C53" s="2631" t="s">
        <v>344</v>
      </c>
      <c r="D53" s="2631"/>
      <c r="E53" s="952">
        <f ca="1">SUM(E14:OFFSET(E53,-1,0))</f>
        <v>108820.18243208999</v>
      </c>
      <c r="F53" s="952">
        <f ca="1">E53/AC53*100</f>
        <v>2.884871766885265</v>
      </c>
      <c r="G53" s="952">
        <f ca="1">SUM(G14:OFFSET(G53,-1,0))</f>
        <v>385835.03078966995</v>
      </c>
      <c r="H53" s="952">
        <f ca="1">G53/AC53*100</f>
        <v>10.228659446468528</v>
      </c>
      <c r="I53" s="952">
        <f ca="1">SUM(I14:OFFSET(I53,-1,0))</f>
        <v>376133.14702314994</v>
      </c>
      <c r="J53" s="952">
        <f ca="1">I53/AC53*100</f>
        <v>9.971458163231361</v>
      </c>
      <c r="K53" s="952">
        <f ca="1">SUM(K14:OFFSET(K53,-1,0))</f>
        <v>149083.79511243</v>
      </c>
      <c r="L53" s="952">
        <f ca="1">K53/AC53*100</f>
        <v>3.9522781694319988</v>
      </c>
      <c r="M53" s="952">
        <f ca="1">SUM(M14:OFFSET(M53,-1,0))</f>
        <v>313539.40359560994</v>
      </c>
      <c r="N53" s="952">
        <f ca="1">M53/AC53*100</f>
        <v>8.3120699949523811</v>
      </c>
      <c r="O53" s="952">
        <f ca="1">SUM(O14:OFFSET(O53,-1,0))</f>
        <v>925747.54094219988</v>
      </c>
      <c r="P53" s="952">
        <f ca="1">O53/AC53*100</f>
        <v>24.541981868062567</v>
      </c>
      <c r="Q53" s="952">
        <f ca="1">SUM(Q14:OFFSET(Q53,-1,0))</f>
        <v>356651.20056549995</v>
      </c>
      <c r="R53" s="952">
        <f ca="1">Q53/AC53*100</f>
        <v>9.4549830384564277</v>
      </c>
      <c r="S53" s="952">
        <f ca="1">SUM(S14:OFFSET(S53,-1,0))</f>
        <v>230962.95818789001</v>
      </c>
      <c r="T53" s="952">
        <f ca="1">S53/AC53*100</f>
        <v>6.1229314487535813</v>
      </c>
      <c r="U53" s="952">
        <f ca="1">SUM(U14:OFFSET(U53,-1,0))</f>
        <v>325701.66802144999</v>
      </c>
      <c r="V53" s="952">
        <f ca="1">U53/AC53*100</f>
        <v>8.6344970712476723</v>
      </c>
      <c r="W53" s="952">
        <f ca="1">SUM(W14:OFFSET(W53,-1,0))</f>
        <v>42427.265619680009</v>
      </c>
      <c r="X53" s="952">
        <f ca="1">W53/AC53*100</f>
        <v>1.1247658108709713</v>
      </c>
      <c r="Y53" s="952">
        <f ca="1">SUM(Y14:OFFSET(Y53,-1,0))</f>
        <v>144671.70631273001</v>
      </c>
      <c r="Z53" s="952">
        <f ca="1">Y53/AC53*100</f>
        <v>3.8353117195807647</v>
      </c>
      <c r="AA53" s="952">
        <f ca="1">SUM(AA14:OFFSET(AA53,-1,0))</f>
        <v>412524.23939042003</v>
      </c>
      <c r="AB53" s="952">
        <f ca="1">AA53/AC53*100</f>
        <v>10.936202318130817</v>
      </c>
      <c r="AC53" s="952">
        <f ca="1">SUM(AC14:OFFSET(AC53,-1,0))</f>
        <v>3772097.7300000004</v>
      </c>
      <c r="AD53" s="952">
        <f ca="1">SUM(AD15:AD52)</f>
        <v>99.999999999999986</v>
      </c>
      <c r="AE53" s="259"/>
    </row>
    <row r="54" spans="2:31" ht="20.100000000000001" customHeight="1">
      <c r="C54" s="2631" t="s">
        <v>345</v>
      </c>
      <c r="D54" s="2631"/>
      <c r="E54" s="952">
        <f ca="1">E53</f>
        <v>108820.18243208999</v>
      </c>
      <c r="F54" s="952">
        <f ca="1">F53</f>
        <v>2.884871766885265</v>
      </c>
      <c r="G54" s="952">
        <f ca="1">E53+G53</f>
        <v>494655.21322175994</v>
      </c>
      <c r="H54" s="952">
        <f ca="1">G54/AC53*100</f>
        <v>13.113531213353793</v>
      </c>
      <c r="I54" s="952">
        <f ca="1">I53+G54</f>
        <v>870788.36024490988</v>
      </c>
      <c r="J54" s="952">
        <f ca="1">I54/AC53*100</f>
        <v>23.084989376585156</v>
      </c>
      <c r="K54" s="952">
        <f ca="1">K53+I54</f>
        <v>1019872.1553573399</v>
      </c>
      <c r="L54" s="952">
        <f ca="1">K54/AC53*100</f>
        <v>27.037267546017151</v>
      </c>
      <c r="M54" s="952">
        <f ca="1">K54+M53</f>
        <v>1333411.5589529499</v>
      </c>
      <c r="N54" s="952">
        <f ca="1">M54/AC53*100</f>
        <v>35.349337540969536</v>
      </c>
      <c r="O54" s="952">
        <f ca="1">O53+M54</f>
        <v>2259159.0998951499</v>
      </c>
      <c r="P54" s="952">
        <f ca="1">O54/AC53*100</f>
        <v>59.891319409032107</v>
      </c>
      <c r="Q54" s="952">
        <f ca="1">Q53+O54</f>
        <v>2615810.3004606497</v>
      </c>
      <c r="R54" s="952">
        <f ca="1">Q54/AC53*100</f>
        <v>69.346302447488526</v>
      </c>
      <c r="S54" s="952">
        <f ca="1">S53+Q54</f>
        <v>2846773.2586485399</v>
      </c>
      <c r="T54" s="952">
        <f ca="1">S54/AC53*100</f>
        <v>75.469233896242116</v>
      </c>
      <c r="U54" s="952">
        <f ca="1">U53+S54</f>
        <v>3172474.9266699897</v>
      </c>
      <c r="V54" s="952">
        <f ca="1">U54/AC53*100</f>
        <v>84.103730967489781</v>
      </c>
      <c r="W54" s="952">
        <f ca="1">W53+U54</f>
        <v>3214902.1922896695</v>
      </c>
      <c r="X54" s="952">
        <f ca="1">W54/AC53*100</f>
        <v>85.22849677836075</v>
      </c>
      <c r="Y54" s="952">
        <f ca="1">Y53+W54</f>
        <v>3359573.8986023995</v>
      </c>
      <c r="Z54" s="952">
        <f ca="1">Y54/AC53*100</f>
        <v>89.063808497941523</v>
      </c>
      <c r="AA54" s="952">
        <f ca="1">AA53+Y54</f>
        <v>3772098.1379928198</v>
      </c>
      <c r="AB54" s="952">
        <f ca="1">AA54/AC53*100</f>
        <v>100.00001081607235</v>
      </c>
      <c r="AC54" s="952">
        <f ca="1">AC53</f>
        <v>3772097.7300000004</v>
      </c>
      <c r="AD54" s="952">
        <f ca="1">AD53</f>
        <v>99.999999999999986</v>
      </c>
      <c r="AE54" s="259"/>
    </row>
  </sheetData>
  <mergeCells count="15">
    <mergeCell ref="C53:D53"/>
    <mergeCell ref="C54:D54"/>
    <mergeCell ref="E3:L3"/>
    <mergeCell ref="E4:L4"/>
    <mergeCell ref="E5:L5"/>
    <mergeCell ref="E6:L6"/>
    <mergeCell ref="U3:AB3"/>
    <mergeCell ref="U4:AB4"/>
    <mergeCell ref="U5:AB5"/>
    <mergeCell ref="U6:AB6"/>
    <mergeCell ref="C11:AD11"/>
    <mergeCell ref="M3:T3"/>
    <mergeCell ref="M4:T4"/>
    <mergeCell ref="M5:T5"/>
    <mergeCell ref="M6:T6"/>
  </mergeCells>
  <pageMargins left="0.7" right="0.7" top="0.75" bottom="0.75" header="0.3" footer="0.3"/>
  <pageSetup paperSize="9" scale="49" fitToWidth="0" orientation="landscape" r:id="rId1"/>
  <rowBreaks count="1" manualBreakCount="1">
    <brk id="61" max="16383" man="1"/>
  </rowBreaks>
  <colBreaks count="1" manualBreakCount="1">
    <brk id="12" min="2" max="53"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1">
    <tabColor theme="3" tint="0.79998168889431442"/>
    <pageSetUpPr fitToPage="1"/>
  </sheetPr>
  <dimension ref="A1:Q49"/>
  <sheetViews>
    <sheetView view="pageBreakPreview" zoomScale="70" zoomScaleNormal="100" zoomScaleSheetLayoutView="70" workbookViewId="0">
      <selection activeCell="AG38" sqref="AG38"/>
    </sheetView>
  </sheetViews>
  <sheetFormatPr defaultColWidth="9.140625" defaultRowHeight="12.75"/>
  <cols>
    <col min="1" max="1" width="9.140625" style="66"/>
    <col min="2" max="2" width="10.42578125" style="66" bestFit="1" customWidth="1"/>
    <col min="3" max="4" width="12.7109375" style="66" customWidth="1"/>
    <col min="5" max="5" width="75.7109375" style="66" customWidth="1"/>
    <col min="6" max="6" width="30.7109375" style="66" customWidth="1"/>
    <col min="7" max="7" width="12.85546875" style="66" customWidth="1"/>
    <col min="8" max="8" width="17.140625" style="66" customWidth="1"/>
    <col min="9" max="10" width="9.140625" style="66"/>
    <col min="11" max="11" width="13.140625" style="66" customWidth="1"/>
    <col min="12" max="12" width="13.28515625" style="66" bestFit="1" customWidth="1"/>
    <col min="13" max="14" width="9.140625" style="66"/>
    <col min="15" max="15" width="10.5703125" style="66" customWidth="1"/>
    <col min="16" max="16" width="9.140625" style="66"/>
    <col min="17" max="17" width="9.85546875" style="66" customWidth="1"/>
    <col min="18" max="16384" width="9.140625" style="66"/>
  </cols>
  <sheetData>
    <row r="1" spans="1:17" ht="21.6" customHeight="1">
      <c r="A1" s="5"/>
      <c r="B1" s="97"/>
    </row>
    <row r="2" spans="1:17" ht="45.75" customHeight="1">
      <c r="A2" s="5"/>
      <c r="B2" s="97"/>
      <c r="D2" s="779" t="s">
        <v>4</v>
      </c>
      <c r="E2" s="780" t="s">
        <v>2000</v>
      </c>
      <c r="J2" s="778"/>
    </row>
    <row r="3" spans="1:17" ht="13.5" thickBot="1">
      <c r="A3" s="5"/>
      <c r="B3" s="97"/>
    </row>
    <row r="4" spans="1:17" s="11" customFormat="1" ht="6.75" thickBot="1">
      <c r="B4" s="12"/>
      <c r="C4" s="1320"/>
      <c r="D4" s="70"/>
      <c r="E4" s="72"/>
      <c r="F4" s="70"/>
      <c r="G4" s="71"/>
      <c r="H4" s="73"/>
      <c r="I4" s="17"/>
      <c r="J4" s="18"/>
    </row>
    <row r="5" spans="1:17" s="5" customFormat="1" ht="48" customHeight="1" thickBot="1">
      <c r="B5" s="19"/>
      <c r="C5" s="2086"/>
      <c r="D5" s="2087"/>
      <c r="E5" s="2710" t="s">
        <v>13361</v>
      </c>
      <c r="F5" s="2710"/>
      <c r="G5" s="2708" t="str">
        <f>'ORÇAMENTO '!M5</f>
        <v>Ref.: Tabela de Serviços
SINAPI (JANEIRO/2024)</v>
      </c>
      <c r="H5" s="2709"/>
      <c r="I5" s="20"/>
      <c r="J5" s="66"/>
      <c r="K5" s="5" t="str">
        <f>'ORÇAMENTO '!Q2</f>
        <v>OUTROS</v>
      </c>
    </row>
    <row r="6" spans="1:17" s="5" customFormat="1" ht="27" thickBot="1">
      <c r="B6" s="19"/>
      <c r="C6" s="2088"/>
      <c r="D6" s="2089"/>
      <c r="E6" s="2711"/>
      <c r="F6" s="2711"/>
      <c r="G6" s="2118" t="str">
        <f>'ORÇAMENTO '!M6</f>
        <v>NÃO DESONERADO</v>
      </c>
      <c r="H6" s="2119"/>
      <c r="I6" s="20"/>
      <c r="J6" s="66"/>
    </row>
    <row r="7" spans="1:17" s="5" customFormat="1" ht="58.5" customHeight="1" thickBot="1">
      <c r="B7" s="2"/>
      <c r="C7" s="2090"/>
      <c r="D7" s="2091"/>
      <c r="E7" s="1636" t="s">
        <v>13363</v>
      </c>
      <c r="F7" s="2712"/>
      <c r="G7" s="1326" t="s">
        <v>4</v>
      </c>
      <c r="H7" s="1317">
        <f>G32</f>
        <v>0.24199999999999999</v>
      </c>
      <c r="I7" s="20"/>
    </row>
    <row r="8" spans="1:17" s="21" customFormat="1" ht="18.75" customHeight="1" thickBot="1">
      <c r="B8" s="22"/>
      <c r="C8" s="2114" t="str">
        <f>RESUMO!B7</f>
        <v>C E N T R A L   D E   P R O J E T O S</v>
      </c>
      <c r="D8" s="2115"/>
      <c r="E8" s="2115"/>
      <c r="F8" s="2115"/>
      <c r="G8" s="2116"/>
      <c r="H8" s="2117"/>
      <c r="I8" s="23"/>
    </row>
    <row r="9" spans="1:17" s="11" customFormat="1" ht="6.75" thickBot="1">
      <c r="B9" s="12"/>
      <c r="C9" s="13"/>
      <c r="D9" s="14"/>
      <c r="E9" s="80"/>
      <c r="F9" s="14"/>
      <c r="G9" s="15"/>
      <c r="H9" s="16"/>
      <c r="I9" s="17"/>
    </row>
    <row r="10" spans="1:17" s="338" customFormat="1" ht="15.75">
      <c r="B10" s="339"/>
      <c r="C10" s="1431" t="s">
        <v>5</v>
      </c>
      <c r="D10" s="2104" t="str">
        <f>'ORÇAMENTO '!G11</f>
        <v xml:space="preserve">ESCOLA MUNICIPAL DOMINGOS AZZOLINI </v>
      </c>
      <c r="E10" s="2104"/>
      <c r="F10" s="2104"/>
      <c r="G10" s="1478" t="s">
        <v>6</v>
      </c>
      <c r="H10" s="1479">
        <f>'ORÇAMENTO '!N11</f>
        <v>45366</v>
      </c>
      <c r="I10" s="1597"/>
    </row>
    <row r="11" spans="1:17" s="338" customFormat="1" ht="15.75">
      <c r="A11" s="308" t="s">
        <v>1999</v>
      </c>
      <c r="B11" s="339"/>
      <c r="C11" s="358" t="s">
        <v>7</v>
      </c>
      <c r="D11" s="2701" t="str">
        <f>'ORÇAMENTO '!G12</f>
        <v>SANTO ANTONIO DO LESTE</v>
      </c>
      <c r="E11" s="2701"/>
      <c r="G11" s="1595" t="str">
        <f>'ORÇAMENTO '!K12</f>
        <v>LEIS SOCIAIS: HORISTA</v>
      </c>
      <c r="H11" s="211">
        <f>'ORÇAMENTO '!N12</f>
        <v>1.0684</v>
      </c>
      <c r="I11" s="1598"/>
    </row>
    <row r="12" spans="1:17" s="338" customFormat="1" ht="16.5" thickBot="1">
      <c r="A12" s="308" t="s">
        <v>1999</v>
      </c>
      <c r="B12" s="339"/>
      <c r="C12" s="1599"/>
      <c r="D12" s="2702"/>
      <c r="E12" s="2702"/>
      <c r="F12" s="1600"/>
      <c r="G12" s="1596" t="str">
        <f>'ORÇAMENTO '!K13</f>
        <v>LEIS SOCIAIS: MENSALISTA</v>
      </c>
      <c r="H12" s="193">
        <f>'ORÇAMENTO '!N13</f>
        <v>0.65400000000000003</v>
      </c>
      <c r="I12" s="1598"/>
    </row>
    <row r="13" spans="1:17" s="21" customFormat="1" ht="24" thickBot="1">
      <c r="A13" s="259" t="s">
        <v>2000</v>
      </c>
      <c r="B13" s="22"/>
      <c r="C13" s="2703" t="s">
        <v>4</v>
      </c>
      <c r="D13" s="2704"/>
      <c r="E13" s="2704"/>
      <c r="F13" s="2704"/>
      <c r="G13" s="2704"/>
      <c r="H13" s="2705"/>
      <c r="I13" s="23"/>
    </row>
    <row r="14" spans="1:17" ht="16.5" thickBot="1">
      <c r="B14" s="97"/>
      <c r="C14" s="2706" t="s">
        <v>10</v>
      </c>
      <c r="D14" s="2666" t="s">
        <v>346</v>
      </c>
      <c r="E14" s="2666"/>
      <c r="F14" s="2666"/>
      <c r="G14" s="2669" t="s">
        <v>347</v>
      </c>
      <c r="H14" s="2670"/>
    </row>
    <row r="15" spans="1:17" ht="15.75">
      <c r="B15" s="97"/>
      <c r="C15" s="2707"/>
      <c r="D15" s="2667"/>
      <c r="E15" s="2667"/>
      <c r="F15" s="2667"/>
      <c r="G15" s="2671" t="s">
        <v>348</v>
      </c>
      <c r="H15" s="2672"/>
      <c r="K15" s="2649" t="s">
        <v>2279</v>
      </c>
      <c r="L15" s="2650"/>
      <c r="M15" s="2651"/>
      <c r="O15" s="2646" t="s">
        <v>2280</v>
      </c>
      <c r="P15" s="2647"/>
      <c r="Q15" s="2648"/>
    </row>
    <row r="16" spans="1:17" ht="15.75">
      <c r="B16" s="66">
        <f>1+G17/100+G19/100+G18/100</f>
        <v>1.0607</v>
      </c>
      <c r="C16" s="1753">
        <v>1</v>
      </c>
      <c r="D16" s="2668" t="s">
        <v>349</v>
      </c>
      <c r="E16" s="2668"/>
      <c r="F16" s="2668"/>
      <c r="G16" s="2664">
        <f>G17+G20+G19+G18</f>
        <v>7.3</v>
      </c>
      <c r="H16" s="2665"/>
      <c r="K16" s="1027" t="s">
        <v>2276</v>
      </c>
      <c r="L16" s="1028" t="s">
        <v>2277</v>
      </c>
      <c r="M16" s="1029" t="s">
        <v>2278</v>
      </c>
      <c r="O16" s="1036" t="s">
        <v>428</v>
      </c>
      <c r="P16" s="1024"/>
      <c r="Q16" s="1025">
        <v>0.28349999999999997</v>
      </c>
    </row>
    <row r="17" spans="2:17" ht="15.75" customHeight="1">
      <c r="B17" s="66">
        <f>1+G22/100</f>
        <v>1.0740000000000001</v>
      </c>
      <c r="C17" s="117" t="s">
        <v>151</v>
      </c>
      <c r="D17" s="2656" t="s">
        <v>366</v>
      </c>
      <c r="E17" s="2656"/>
      <c r="F17" s="2656"/>
      <c r="G17" s="2676">
        <f>IF(E2="MÍNIMO",3,4)</f>
        <v>4</v>
      </c>
      <c r="H17" s="2677"/>
      <c r="K17" s="1030">
        <v>0.03</v>
      </c>
      <c r="L17" s="1031">
        <v>0.04</v>
      </c>
      <c r="M17" s="1032">
        <v>5.5E-2</v>
      </c>
      <c r="O17" s="1036" t="s">
        <v>429</v>
      </c>
      <c r="P17" s="1024"/>
      <c r="Q17" s="1025">
        <v>0.2223</v>
      </c>
    </row>
    <row r="18" spans="2:17" ht="15" customHeight="1" thickBot="1">
      <c r="B18" s="66">
        <f>1+G20/100</f>
        <v>1.0123</v>
      </c>
      <c r="C18" s="117" t="s">
        <v>152</v>
      </c>
      <c r="D18" s="2656" t="s">
        <v>2275</v>
      </c>
      <c r="E18" s="2656"/>
      <c r="F18" s="2656"/>
      <c r="G18" s="2676">
        <v>0.8</v>
      </c>
      <c r="H18" s="2677"/>
      <c r="K18" s="1030">
        <v>8.0000000000000002E-3</v>
      </c>
      <c r="L18" s="1031">
        <v>8.0000000000000002E-3</v>
      </c>
      <c r="M18" s="1032">
        <v>0.01</v>
      </c>
      <c r="O18" s="1037" t="s">
        <v>2281</v>
      </c>
      <c r="P18" s="1038"/>
      <c r="Q18" s="1039"/>
    </row>
    <row r="19" spans="2:17" ht="15.75" customHeight="1" thickBot="1">
      <c r="B19" s="66">
        <f>1-G25/100</f>
        <v>0.92849999999999999</v>
      </c>
      <c r="C19" s="117" t="s">
        <v>153</v>
      </c>
      <c r="D19" s="2656" t="s">
        <v>368</v>
      </c>
      <c r="E19" s="2656"/>
      <c r="F19" s="2656"/>
      <c r="G19" s="2676">
        <f>IF(E2="MÍNIMO",0.97,1.27)</f>
        <v>1.27</v>
      </c>
      <c r="H19" s="2677"/>
      <c r="K19" s="1030">
        <v>9.7000000000000003E-3</v>
      </c>
      <c r="L19" s="1031">
        <v>1.2699999999999999E-2</v>
      </c>
      <c r="M19" s="1032">
        <v>1.2699999999999999E-2</v>
      </c>
      <c r="O19" s="1037" t="s">
        <v>2282</v>
      </c>
      <c r="P19" s="1038"/>
      <c r="Q19" s="1039"/>
    </row>
    <row r="20" spans="2:17" ht="15.75" customHeight="1" thickBot="1">
      <c r="B20" s="66">
        <f>B16*B17*B18/B19</f>
        <v>1.2420073873344104</v>
      </c>
      <c r="C20" s="117" t="s">
        <v>154</v>
      </c>
      <c r="D20" s="2656" t="s">
        <v>367</v>
      </c>
      <c r="E20" s="2656"/>
      <c r="F20" s="2656"/>
      <c r="G20" s="2676">
        <v>1.23</v>
      </c>
      <c r="H20" s="2677"/>
      <c r="K20" s="1033">
        <v>5.8999999999999999E-3</v>
      </c>
      <c r="L20" s="1034">
        <v>1.23E-2</v>
      </c>
      <c r="M20" s="1035">
        <v>1.3899999999999999E-2</v>
      </c>
    </row>
    <row r="21" spans="2:17" ht="15.75" customHeight="1" thickBot="1">
      <c r="B21" s="1023">
        <f>B20-1</f>
        <v>0.24200738733441041</v>
      </c>
      <c r="C21" s="2657"/>
      <c r="D21" s="2658"/>
      <c r="E21" s="2658"/>
      <c r="F21" s="2658"/>
      <c r="G21" s="2658"/>
      <c r="H21" s="2659"/>
      <c r="O21" s="2646" t="s">
        <v>2283</v>
      </c>
      <c r="P21" s="2647"/>
      <c r="Q21" s="2648"/>
    </row>
    <row r="22" spans="2:17" ht="15.75" customHeight="1" thickBot="1">
      <c r="B22" s="97"/>
      <c r="C22" s="1754" t="s">
        <v>329</v>
      </c>
      <c r="D22" s="2653" t="s">
        <v>350</v>
      </c>
      <c r="E22" s="2653"/>
      <c r="F22" s="2653"/>
      <c r="G22" s="2660">
        <f>G23</f>
        <v>7.4</v>
      </c>
      <c r="H22" s="2661"/>
      <c r="O22" s="1036" t="s">
        <v>428</v>
      </c>
      <c r="P22" s="1024"/>
      <c r="Q22" s="1025">
        <v>0.26369999999999999</v>
      </c>
    </row>
    <row r="23" spans="2:17" ht="15.75" customHeight="1" thickBot="1">
      <c r="B23" s="98"/>
      <c r="C23" s="118" t="s">
        <v>324</v>
      </c>
      <c r="D23" s="2654" t="s">
        <v>369</v>
      </c>
      <c r="E23" s="2655"/>
      <c r="F23" s="2655"/>
      <c r="G23" s="2678">
        <f>IF(E2="MÍNIMO",7.06,7.4)</f>
        <v>7.4</v>
      </c>
      <c r="H23" s="2679"/>
      <c r="K23" s="1043">
        <v>6.1600000000000002E-2</v>
      </c>
      <c r="L23" s="1044">
        <v>7.400000000000001E-2</v>
      </c>
      <c r="M23" s="1045">
        <v>8.9600000000000013E-2</v>
      </c>
      <c r="O23" s="1036" t="s">
        <v>429</v>
      </c>
      <c r="P23" s="1024"/>
      <c r="Q23" s="1025">
        <v>0.20349999999999999</v>
      </c>
    </row>
    <row r="24" spans="2:17" ht="15.75" customHeight="1" thickBot="1">
      <c r="B24" s="97"/>
      <c r="C24" s="2657"/>
      <c r="D24" s="2658"/>
      <c r="E24" s="2658"/>
      <c r="F24" s="2658"/>
      <c r="G24" s="2658"/>
      <c r="H24" s="2659"/>
      <c r="O24" s="1037" t="s">
        <v>2281</v>
      </c>
      <c r="P24" s="1038"/>
      <c r="Q24" s="1039"/>
    </row>
    <row r="25" spans="2:17" ht="15.75" customHeight="1" thickBot="1">
      <c r="B25" s="97"/>
      <c r="C25" s="1754" t="s">
        <v>320</v>
      </c>
      <c r="D25" s="2653" t="s">
        <v>351</v>
      </c>
      <c r="E25" s="2653"/>
      <c r="F25" s="2653"/>
      <c r="G25" s="2660">
        <f>G26+G27+G28+G29</f>
        <v>7.15</v>
      </c>
      <c r="H25" s="2661"/>
      <c r="O25" s="1037" t="s">
        <v>2282</v>
      </c>
      <c r="P25" s="1038"/>
      <c r="Q25" s="1039"/>
    </row>
    <row r="26" spans="2:17" ht="15">
      <c r="B26" s="99"/>
      <c r="C26" s="117" t="s">
        <v>316</v>
      </c>
      <c r="D26" s="2656" t="s">
        <v>352</v>
      </c>
      <c r="E26" s="2656"/>
      <c r="F26" s="2656"/>
      <c r="G26" s="2662">
        <f>(D42*D44)*100</f>
        <v>3.4999999999999996</v>
      </c>
      <c r="H26" s="2663"/>
    </row>
    <row r="27" spans="2:17" ht="15" customHeight="1">
      <c r="B27" s="97"/>
      <c r="C27" s="117" t="s">
        <v>317</v>
      </c>
      <c r="D27" s="2656" t="s">
        <v>353</v>
      </c>
      <c r="E27" s="2656"/>
      <c r="F27" s="2656"/>
      <c r="G27" s="2676">
        <v>3</v>
      </c>
      <c r="H27" s="2677"/>
    </row>
    <row r="28" spans="2:17" ht="15" customHeight="1">
      <c r="B28" s="97"/>
      <c r="C28" s="117" t="s">
        <v>318</v>
      </c>
      <c r="D28" s="2656" t="s">
        <v>354</v>
      </c>
      <c r="E28" s="2656"/>
      <c r="F28" s="2656"/>
      <c r="G28" s="2676">
        <v>0.65</v>
      </c>
      <c r="H28" s="2677"/>
    </row>
    <row r="29" spans="2:17" ht="15.75" customHeight="1" thickBot="1">
      <c r="B29" s="97"/>
      <c r="C29" s="118" t="s">
        <v>319</v>
      </c>
      <c r="D29" s="2675" t="s">
        <v>355</v>
      </c>
      <c r="E29" s="2675"/>
      <c r="F29" s="2675"/>
      <c r="G29" s="2678">
        <f>IF('ORÇAMENTO '!M6='ORÇAMENTO '!P3,4.5,0)</f>
        <v>0</v>
      </c>
      <c r="H29" s="2679"/>
    </row>
    <row r="30" spans="2:17" ht="15.75" customHeight="1">
      <c r="B30" s="97"/>
      <c r="C30" s="2690" t="s">
        <v>356</v>
      </c>
      <c r="D30" s="2691"/>
      <c r="E30" s="2691"/>
      <c r="F30" s="2691"/>
      <c r="G30" s="2691"/>
      <c r="H30" s="2692"/>
    </row>
    <row r="31" spans="2:17" ht="26.25" customHeight="1" thickBot="1">
      <c r="B31" s="97"/>
      <c r="C31" s="2693" t="s">
        <v>7527</v>
      </c>
      <c r="D31" s="2694"/>
      <c r="E31" s="2694"/>
      <c r="F31" s="2694"/>
      <c r="G31" s="2694"/>
      <c r="H31" s="2695"/>
    </row>
    <row r="32" spans="2:17" ht="19.5" customHeight="1">
      <c r="B32" s="97"/>
      <c r="C32" s="2696" t="s">
        <v>357</v>
      </c>
      <c r="D32" s="2697"/>
      <c r="E32" s="2697"/>
      <c r="F32" s="2697"/>
      <c r="G32" s="2640">
        <f>ROUND(B21,4)</f>
        <v>0.24199999999999999</v>
      </c>
      <c r="H32" s="2641"/>
    </row>
    <row r="33" spans="2:8" ht="20.25" customHeight="1" thickBot="1">
      <c r="B33" s="97"/>
      <c r="C33" s="2698"/>
      <c r="D33" s="2699"/>
      <c r="E33" s="2699"/>
      <c r="F33" s="2699"/>
      <c r="G33" s="2642"/>
      <c r="H33" s="2643"/>
    </row>
    <row r="34" spans="2:8" ht="20.100000000000001" customHeight="1" thickBot="1">
      <c r="B34" s="97"/>
      <c r="C34" s="2682" t="s">
        <v>358</v>
      </c>
      <c r="D34" s="2683"/>
      <c r="E34" s="2683"/>
      <c r="F34" s="2683"/>
      <c r="G34" s="2680">
        <f ca="1">RESUMO!H54</f>
        <v>3772097.7300000004</v>
      </c>
      <c r="H34" s="2681"/>
    </row>
    <row r="35" spans="2:8" ht="15.75" customHeight="1" thickBot="1">
      <c r="B35" s="97"/>
      <c r="C35" s="2684" t="s">
        <v>359</v>
      </c>
      <c r="D35" s="2685"/>
      <c r="E35" s="2685"/>
      <c r="F35" s="2685"/>
      <c r="G35" s="2685"/>
      <c r="H35" s="2686"/>
    </row>
    <row r="36" spans="2:8" ht="16.5" customHeight="1" thickBot="1">
      <c r="B36" s="97"/>
      <c r="C36" s="2687" t="s">
        <v>360</v>
      </c>
      <c r="D36" s="2688"/>
      <c r="E36" s="2688"/>
      <c r="F36" s="2688"/>
      <c r="G36" s="2688"/>
      <c r="H36" s="2689"/>
    </row>
    <row r="37" spans="2:8" ht="15.75">
      <c r="B37" s="97"/>
      <c r="C37" s="111"/>
      <c r="D37" s="112"/>
      <c r="E37" s="113"/>
      <c r="F37" s="113"/>
      <c r="G37" s="113"/>
      <c r="H37" s="114"/>
    </row>
    <row r="38" spans="2:8">
      <c r="B38" s="97"/>
      <c r="C38" s="100"/>
      <c r="D38" s="2673" t="s">
        <v>361</v>
      </c>
      <c r="E38" s="2652" t="s">
        <v>362</v>
      </c>
      <c r="F38" s="2652"/>
      <c r="G38" s="2674">
        <v>-1</v>
      </c>
      <c r="H38" s="101"/>
    </row>
    <row r="39" spans="2:8">
      <c r="B39" s="97"/>
      <c r="C39" s="100"/>
      <c r="D39" s="2673"/>
      <c r="E39" s="2700" t="s">
        <v>363</v>
      </c>
      <c r="F39" s="2700"/>
      <c r="G39" s="2674"/>
      <c r="H39" s="101"/>
    </row>
    <row r="40" spans="2:8" ht="15.75" thickBot="1">
      <c r="B40" s="97"/>
      <c r="C40" s="100"/>
      <c r="D40" s="102"/>
      <c r="E40" s="103"/>
      <c r="F40" s="109"/>
      <c r="H40" s="101"/>
    </row>
    <row r="41" spans="2:8" ht="16.5" thickBot="1">
      <c r="B41" s="97"/>
      <c r="C41" s="100"/>
      <c r="D41" s="2684" t="s">
        <v>370</v>
      </c>
      <c r="E41" s="2685"/>
      <c r="F41" s="2685"/>
      <c r="G41" s="2686"/>
      <c r="H41" s="101"/>
    </row>
    <row r="42" spans="2:8" ht="20.100000000000001" customHeight="1" thickBot="1">
      <c r="C42" s="100"/>
      <c r="D42" s="119">
        <v>0.05</v>
      </c>
      <c r="E42" s="2644" t="s">
        <v>364</v>
      </c>
      <c r="F42" s="2644"/>
      <c r="G42" s="2645"/>
      <c r="H42" s="101"/>
    </row>
    <row r="43" spans="2:8" s="96" customFormat="1" ht="6" customHeight="1" thickBot="1">
      <c r="C43" s="105"/>
      <c r="D43" s="120"/>
      <c r="E43" s="121"/>
      <c r="F43" s="121"/>
      <c r="G43" s="121"/>
      <c r="H43" s="104"/>
    </row>
    <row r="44" spans="2:8" ht="20.100000000000001" customHeight="1" thickBot="1">
      <c r="C44" s="100"/>
      <c r="D44" s="122">
        <v>0.7</v>
      </c>
      <c r="E44" s="2644" t="s">
        <v>365</v>
      </c>
      <c r="F44" s="2644"/>
      <c r="G44" s="2645"/>
      <c r="H44" s="101"/>
    </row>
    <row r="45" spans="2:8" ht="13.15" customHeight="1" thickBot="1">
      <c r="C45" s="106"/>
      <c r="D45" s="107"/>
      <c r="E45" s="108"/>
      <c r="F45" s="110"/>
      <c r="G45" s="115"/>
      <c r="H45" s="116"/>
    </row>
    <row r="46" spans="2:8" ht="13.15" customHeight="1"/>
    <row r="47" spans="2:8" ht="21.6" customHeight="1"/>
    <row r="48" spans="2:8" ht="17.45" customHeight="1"/>
    <row r="49" ht="26.45" customHeight="1"/>
  </sheetData>
  <mergeCells count="58">
    <mergeCell ref="G5:H5"/>
    <mergeCell ref="F5:F7"/>
    <mergeCell ref="C5:D7"/>
    <mergeCell ref="E5:E6"/>
    <mergeCell ref="D10:F10"/>
    <mergeCell ref="G27:H27"/>
    <mergeCell ref="G23:H23"/>
    <mergeCell ref="G25:H25"/>
    <mergeCell ref="G6:H6"/>
    <mergeCell ref="D11:E11"/>
    <mergeCell ref="D12:E12"/>
    <mergeCell ref="C8:H8"/>
    <mergeCell ref="C13:H13"/>
    <mergeCell ref="G19:H19"/>
    <mergeCell ref="G18:H18"/>
    <mergeCell ref="C21:H21"/>
    <mergeCell ref="G17:H17"/>
    <mergeCell ref="G20:H20"/>
    <mergeCell ref="C14:C15"/>
    <mergeCell ref="D18:F18"/>
    <mergeCell ref="D17:F17"/>
    <mergeCell ref="E44:G44"/>
    <mergeCell ref="D38:D39"/>
    <mergeCell ref="G38:G39"/>
    <mergeCell ref="D28:F28"/>
    <mergeCell ref="D29:F29"/>
    <mergeCell ref="G28:H28"/>
    <mergeCell ref="G29:H29"/>
    <mergeCell ref="G34:H34"/>
    <mergeCell ref="C34:F34"/>
    <mergeCell ref="C35:H35"/>
    <mergeCell ref="C36:H36"/>
    <mergeCell ref="C30:H30"/>
    <mergeCell ref="C31:H31"/>
    <mergeCell ref="D41:G41"/>
    <mergeCell ref="C32:F33"/>
    <mergeCell ref="E39:F39"/>
    <mergeCell ref="D16:F16"/>
    <mergeCell ref="D20:F20"/>
    <mergeCell ref="D19:F19"/>
    <mergeCell ref="G14:H14"/>
    <mergeCell ref="G15:H15"/>
    <mergeCell ref="G32:H33"/>
    <mergeCell ref="E42:G42"/>
    <mergeCell ref="O15:Q15"/>
    <mergeCell ref="O21:Q21"/>
    <mergeCell ref="K15:M15"/>
    <mergeCell ref="E38:F38"/>
    <mergeCell ref="D22:F22"/>
    <mergeCell ref="D23:F23"/>
    <mergeCell ref="D25:F25"/>
    <mergeCell ref="D26:F26"/>
    <mergeCell ref="D27:F27"/>
    <mergeCell ref="C24:H24"/>
    <mergeCell ref="G22:H22"/>
    <mergeCell ref="G26:H26"/>
    <mergeCell ref="G16:H16"/>
    <mergeCell ref="D14:F15"/>
  </mergeCells>
  <dataValidations disablePrompts="1" count="1">
    <dataValidation type="list" allowBlank="1" showInputMessage="1" showErrorMessage="1" sqref="E2" xr:uid="{00000000-0002-0000-1C00-000000000000}">
      <formula1>$A$11:$A$13</formula1>
    </dataValidation>
  </dataValidations>
  <pageMargins left="0.511811024" right="0.511811024" top="0.78740157499999996" bottom="0.78740157499999996" header="0.31496062000000002" footer="0.31496062000000002"/>
  <pageSetup paperSize="9" scale="5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3" tint="0.79998168889431442"/>
    <pageSetUpPr fitToPage="1"/>
  </sheetPr>
  <dimension ref="A1:N59"/>
  <sheetViews>
    <sheetView view="pageBreakPreview" zoomScaleNormal="100" zoomScaleSheetLayoutView="100" workbookViewId="0">
      <selection activeCell="AG38" sqref="AG38"/>
    </sheetView>
  </sheetViews>
  <sheetFormatPr defaultRowHeight="12.75"/>
  <cols>
    <col min="1" max="1" width="9.140625" style="85"/>
    <col min="2" max="2" width="10.5703125" style="81" customWidth="1"/>
    <col min="3" max="3" width="14.42578125" style="81" bestFit="1" customWidth="1"/>
    <col min="4" max="4" width="85.7109375" style="81" customWidth="1"/>
    <col min="5" max="5" width="9.7109375" style="82" customWidth="1"/>
    <col min="6" max="6" width="10" style="81" customWidth="1"/>
    <col min="7" max="7" width="10.5703125" style="83" bestFit="1" customWidth="1"/>
    <col min="8" max="8" width="14.140625" style="67" bestFit="1" customWidth="1"/>
    <col min="9" max="9" width="14.85546875" style="84" bestFit="1" customWidth="1"/>
    <col min="10" max="10" width="32.28515625" style="85" customWidth="1"/>
    <col min="11" max="13" width="9.140625" style="85"/>
    <col min="14" max="14" width="11.7109375" style="85" bestFit="1" customWidth="1"/>
    <col min="15" max="257" width="9.140625" style="85"/>
    <col min="258" max="258" width="8.5703125" style="85" customWidth="1"/>
    <col min="259" max="259" width="14.42578125" style="85" bestFit="1" customWidth="1"/>
    <col min="260" max="260" width="81.42578125" style="85" customWidth="1"/>
    <col min="261" max="261" width="9.7109375" style="85" customWidth="1"/>
    <col min="262" max="262" width="10" style="85" customWidth="1"/>
    <col min="263" max="263" width="10.5703125" style="85" bestFit="1" customWidth="1"/>
    <col min="264" max="264" width="14.140625" style="85" bestFit="1" customWidth="1"/>
    <col min="265" max="265" width="15.5703125" style="85" bestFit="1" customWidth="1"/>
    <col min="266" max="266" width="11" style="85" bestFit="1" customWidth="1"/>
    <col min="267" max="269" width="9.140625" style="85"/>
    <col min="270" max="270" width="11.7109375" style="85" bestFit="1" customWidth="1"/>
    <col min="271" max="513" width="9.140625" style="85"/>
    <col min="514" max="514" width="8.5703125" style="85" customWidth="1"/>
    <col min="515" max="515" width="14.42578125" style="85" bestFit="1" customWidth="1"/>
    <col min="516" max="516" width="81.42578125" style="85" customWidth="1"/>
    <col min="517" max="517" width="9.7109375" style="85" customWidth="1"/>
    <col min="518" max="518" width="10" style="85" customWidth="1"/>
    <col min="519" max="519" width="10.5703125" style="85" bestFit="1" customWidth="1"/>
    <col min="520" max="520" width="14.140625" style="85" bestFit="1" customWidth="1"/>
    <col min="521" max="521" width="15.5703125" style="85" bestFit="1" customWidth="1"/>
    <col min="522" max="522" width="11" style="85" bestFit="1" customWidth="1"/>
    <col min="523" max="525" width="9.140625" style="85"/>
    <col min="526" max="526" width="11.7109375" style="85" bestFit="1" customWidth="1"/>
    <col min="527" max="769" width="9.140625" style="85"/>
    <col min="770" max="770" width="8.5703125" style="85" customWidth="1"/>
    <col min="771" max="771" width="14.42578125" style="85" bestFit="1" customWidth="1"/>
    <col min="772" max="772" width="81.42578125" style="85" customWidth="1"/>
    <col min="773" max="773" width="9.7109375" style="85" customWidth="1"/>
    <col min="774" max="774" width="10" style="85" customWidth="1"/>
    <col min="775" max="775" width="10.5703125" style="85" bestFit="1" customWidth="1"/>
    <col min="776" max="776" width="14.140625" style="85" bestFit="1" customWidth="1"/>
    <col min="777" max="777" width="15.5703125" style="85" bestFit="1" customWidth="1"/>
    <col min="778" max="778" width="11" style="85" bestFit="1" customWidth="1"/>
    <col min="779" max="781" width="9.140625" style="85"/>
    <col min="782" max="782" width="11.7109375" style="85" bestFit="1" customWidth="1"/>
    <col min="783" max="1025" width="9.140625" style="85"/>
    <col min="1026" max="1026" width="8.5703125" style="85" customWidth="1"/>
    <col min="1027" max="1027" width="14.42578125" style="85" bestFit="1" customWidth="1"/>
    <col min="1028" max="1028" width="81.42578125" style="85" customWidth="1"/>
    <col min="1029" max="1029" width="9.7109375" style="85" customWidth="1"/>
    <col min="1030" max="1030" width="10" style="85" customWidth="1"/>
    <col min="1031" max="1031" width="10.5703125" style="85" bestFit="1" customWidth="1"/>
    <col min="1032" max="1032" width="14.140625" style="85" bestFit="1" customWidth="1"/>
    <col min="1033" max="1033" width="15.5703125" style="85" bestFit="1" customWidth="1"/>
    <col min="1034" max="1034" width="11" style="85" bestFit="1" customWidth="1"/>
    <col min="1035" max="1037" width="9.140625" style="85"/>
    <col min="1038" max="1038" width="11.7109375" style="85" bestFit="1" customWidth="1"/>
    <col min="1039" max="1281" width="9.140625" style="85"/>
    <col min="1282" max="1282" width="8.5703125" style="85" customWidth="1"/>
    <col min="1283" max="1283" width="14.42578125" style="85" bestFit="1" customWidth="1"/>
    <col min="1284" max="1284" width="81.42578125" style="85" customWidth="1"/>
    <col min="1285" max="1285" width="9.7109375" style="85" customWidth="1"/>
    <col min="1286" max="1286" width="10" style="85" customWidth="1"/>
    <col min="1287" max="1287" width="10.5703125" style="85" bestFit="1" customWidth="1"/>
    <col min="1288" max="1288" width="14.140625" style="85" bestFit="1" customWidth="1"/>
    <col min="1289" max="1289" width="15.5703125" style="85" bestFit="1" customWidth="1"/>
    <col min="1290" max="1290" width="11" style="85" bestFit="1" customWidth="1"/>
    <col min="1291" max="1293" width="9.140625" style="85"/>
    <col min="1294" max="1294" width="11.7109375" style="85" bestFit="1" customWidth="1"/>
    <col min="1295" max="1537" width="9.140625" style="85"/>
    <col min="1538" max="1538" width="8.5703125" style="85" customWidth="1"/>
    <col min="1539" max="1539" width="14.42578125" style="85" bestFit="1" customWidth="1"/>
    <col min="1540" max="1540" width="81.42578125" style="85" customWidth="1"/>
    <col min="1541" max="1541" width="9.7109375" style="85" customWidth="1"/>
    <col min="1542" max="1542" width="10" style="85" customWidth="1"/>
    <col min="1543" max="1543" width="10.5703125" style="85" bestFit="1" customWidth="1"/>
    <col min="1544" max="1544" width="14.140625" style="85" bestFit="1" customWidth="1"/>
    <col min="1545" max="1545" width="15.5703125" style="85" bestFit="1" customWidth="1"/>
    <col min="1546" max="1546" width="11" style="85" bestFit="1" customWidth="1"/>
    <col min="1547" max="1549" width="9.140625" style="85"/>
    <col min="1550" max="1550" width="11.7109375" style="85" bestFit="1" customWidth="1"/>
    <col min="1551" max="1793" width="9.140625" style="85"/>
    <col min="1794" max="1794" width="8.5703125" style="85" customWidth="1"/>
    <col min="1795" max="1795" width="14.42578125" style="85" bestFit="1" customWidth="1"/>
    <col min="1796" max="1796" width="81.42578125" style="85" customWidth="1"/>
    <col min="1797" max="1797" width="9.7109375" style="85" customWidth="1"/>
    <col min="1798" max="1798" width="10" style="85" customWidth="1"/>
    <col min="1799" max="1799" width="10.5703125" style="85" bestFit="1" customWidth="1"/>
    <col min="1800" max="1800" width="14.140625" style="85" bestFit="1" customWidth="1"/>
    <col min="1801" max="1801" width="15.5703125" style="85" bestFit="1" customWidth="1"/>
    <col min="1802" max="1802" width="11" style="85" bestFit="1" customWidth="1"/>
    <col min="1803" max="1805" width="9.140625" style="85"/>
    <col min="1806" max="1806" width="11.7109375" style="85" bestFit="1" customWidth="1"/>
    <col min="1807" max="2049" width="9.140625" style="85"/>
    <col min="2050" max="2050" width="8.5703125" style="85" customWidth="1"/>
    <col min="2051" max="2051" width="14.42578125" style="85" bestFit="1" customWidth="1"/>
    <col min="2052" max="2052" width="81.42578125" style="85" customWidth="1"/>
    <col min="2053" max="2053" width="9.7109375" style="85" customWidth="1"/>
    <col min="2054" max="2054" width="10" style="85" customWidth="1"/>
    <col min="2055" max="2055" width="10.5703125" style="85" bestFit="1" customWidth="1"/>
    <col min="2056" max="2056" width="14.140625" style="85" bestFit="1" customWidth="1"/>
    <col min="2057" max="2057" width="15.5703125" style="85" bestFit="1" customWidth="1"/>
    <col min="2058" max="2058" width="11" style="85" bestFit="1" customWidth="1"/>
    <col min="2059" max="2061" width="9.140625" style="85"/>
    <col min="2062" max="2062" width="11.7109375" style="85" bestFit="1" customWidth="1"/>
    <col min="2063" max="2305" width="9.140625" style="85"/>
    <col min="2306" max="2306" width="8.5703125" style="85" customWidth="1"/>
    <col min="2307" max="2307" width="14.42578125" style="85" bestFit="1" customWidth="1"/>
    <col min="2308" max="2308" width="81.42578125" style="85" customWidth="1"/>
    <col min="2309" max="2309" width="9.7109375" style="85" customWidth="1"/>
    <col min="2310" max="2310" width="10" style="85" customWidth="1"/>
    <col min="2311" max="2311" width="10.5703125" style="85" bestFit="1" customWidth="1"/>
    <col min="2312" max="2312" width="14.140625" style="85" bestFit="1" customWidth="1"/>
    <col min="2313" max="2313" width="15.5703125" style="85" bestFit="1" customWidth="1"/>
    <col min="2314" max="2314" width="11" style="85" bestFit="1" customWidth="1"/>
    <col min="2315" max="2317" width="9.140625" style="85"/>
    <col min="2318" max="2318" width="11.7109375" style="85" bestFit="1" customWidth="1"/>
    <col min="2319" max="2561" width="9.140625" style="85"/>
    <col min="2562" max="2562" width="8.5703125" style="85" customWidth="1"/>
    <col min="2563" max="2563" width="14.42578125" style="85" bestFit="1" customWidth="1"/>
    <col min="2564" max="2564" width="81.42578125" style="85" customWidth="1"/>
    <col min="2565" max="2565" width="9.7109375" style="85" customWidth="1"/>
    <col min="2566" max="2566" width="10" style="85" customWidth="1"/>
    <col min="2567" max="2567" width="10.5703125" style="85" bestFit="1" customWidth="1"/>
    <col min="2568" max="2568" width="14.140625" style="85" bestFit="1" customWidth="1"/>
    <col min="2569" max="2569" width="15.5703125" style="85" bestFit="1" customWidth="1"/>
    <col min="2570" max="2570" width="11" style="85" bestFit="1" customWidth="1"/>
    <col min="2571" max="2573" width="9.140625" style="85"/>
    <col min="2574" max="2574" width="11.7109375" style="85" bestFit="1" customWidth="1"/>
    <col min="2575" max="2817" width="9.140625" style="85"/>
    <col min="2818" max="2818" width="8.5703125" style="85" customWidth="1"/>
    <col min="2819" max="2819" width="14.42578125" style="85" bestFit="1" customWidth="1"/>
    <col min="2820" max="2820" width="81.42578125" style="85" customWidth="1"/>
    <col min="2821" max="2821" width="9.7109375" style="85" customWidth="1"/>
    <col min="2822" max="2822" width="10" style="85" customWidth="1"/>
    <col min="2823" max="2823" width="10.5703125" style="85" bestFit="1" customWidth="1"/>
    <col min="2824" max="2824" width="14.140625" style="85" bestFit="1" customWidth="1"/>
    <col min="2825" max="2825" width="15.5703125" style="85" bestFit="1" customWidth="1"/>
    <col min="2826" max="2826" width="11" style="85" bestFit="1" customWidth="1"/>
    <col min="2827" max="2829" width="9.140625" style="85"/>
    <col min="2830" max="2830" width="11.7109375" style="85" bestFit="1" customWidth="1"/>
    <col min="2831" max="3073" width="9.140625" style="85"/>
    <col min="3074" max="3074" width="8.5703125" style="85" customWidth="1"/>
    <col min="3075" max="3075" width="14.42578125" style="85" bestFit="1" customWidth="1"/>
    <col min="3076" max="3076" width="81.42578125" style="85" customWidth="1"/>
    <col min="3077" max="3077" width="9.7109375" style="85" customWidth="1"/>
    <col min="3078" max="3078" width="10" style="85" customWidth="1"/>
    <col min="3079" max="3079" width="10.5703125" style="85" bestFit="1" customWidth="1"/>
    <col min="3080" max="3080" width="14.140625" style="85" bestFit="1" customWidth="1"/>
    <col min="3081" max="3081" width="15.5703125" style="85" bestFit="1" customWidth="1"/>
    <col min="3082" max="3082" width="11" style="85" bestFit="1" customWidth="1"/>
    <col min="3083" max="3085" width="9.140625" style="85"/>
    <col min="3086" max="3086" width="11.7109375" style="85" bestFit="1" customWidth="1"/>
    <col min="3087" max="3329" width="9.140625" style="85"/>
    <col min="3330" max="3330" width="8.5703125" style="85" customWidth="1"/>
    <col min="3331" max="3331" width="14.42578125" style="85" bestFit="1" customWidth="1"/>
    <col min="3332" max="3332" width="81.42578125" style="85" customWidth="1"/>
    <col min="3333" max="3333" width="9.7109375" style="85" customWidth="1"/>
    <col min="3334" max="3334" width="10" style="85" customWidth="1"/>
    <col min="3335" max="3335" width="10.5703125" style="85" bestFit="1" customWidth="1"/>
    <col min="3336" max="3336" width="14.140625" style="85" bestFit="1" customWidth="1"/>
    <col min="3337" max="3337" width="15.5703125" style="85" bestFit="1" customWidth="1"/>
    <col min="3338" max="3338" width="11" style="85" bestFit="1" customWidth="1"/>
    <col min="3339" max="3341" width="9.140625" style="85"/>
    <col min="3342" max="3342" width="11.7109375" style="85" bestFit="1" customWidth="1"/>
    <col min="3343" max="3585" width="9.140625" style="85"/>
    <col min="3586" max="3586" width="8.5703125" style="85" customWidth="1"/>
    <col min="3587" max="3587" width="14.42578125" style="85" bestFit="1" customWidth="1"/>
    <col min="3588" max="3588" width="81.42578125" style="85" customWidth="1"/>
    <col min="3589" max="3589" width="9.7109375" style="85" customWidth="1"/>
    <col min="3590" max="3590" width="10" style="85" customWidth="1"/>
    <col min="3591" max="3591" width="10.5703125" style="85" bestFit="1" customWidth="1"/>
    <col min="3592" max="3592" width="14.140625" style="85" bestFit="1" customWidth="1"/>
    <col min="3593" max="3593" width="15.5703125" style="85" bestFit="1" customWidth="1"/>
    <col min="3594" max="3594" width="11" style="85" bestFit="1" customWidth="1"/>
    <col min="3595" max="3597" width="9.140625" style="85"/>
    <col min="3598" max="3598" width="11.7109375" style="85" bestFit="1" customWidth="1"/>
    <col min="3599" max="3841" width="9.140625" style="85"/>
    <col min="3842" max="3842" width="8.5703125" style="85" customWidth="1"/>
    <col min="3843" max="3843" width="14.42578125" style="85" bestFit="1" customWidth="1"/>
    <col min="3844" max="3844" width="81.42578125" style="85" customWidth="1"/>
    <col min="3845" max="3845" width="9.7109375" style="85" customWidth="1"/>
    <col min="3846" max="3846" width="10" style="85" customWidth="1"/>
    <col min="3847" max="3847" width="10.5703125" style="85" bestFit="1" customWidth="1"/>
    <col min="3848" max="3848" width="14.140625" style="85" bestFit="1" customWidth="1"/>
    <col min="3849" max="3849" width="15.5703125" style="85" bestFit="1" customWidth="1"/>
    <col min="3850" max="3850" width="11" style="85" bestFit="1" customWidth="1"/>
    <col min="3851" max="3853" width="9.140625" style="85"/>
    <col min="3854" max="3854" width="11.7109375" style="85" bestFit="1" customWidth="1"/>
    <col min="3855" max="4097" width="9.140625" style="85"/>
    <col min="4098" max="4098" width="8.5703125" style="85" customWidth="1"/>
    <col min="4099" max="4099" width="14.42578125" style="85" bestFit="1" customWidth="1"/>
    <col min="4100" max="4100" width="81.42578125" style="85" customWidth="1"/>
    <col min="4101" max="4101" width="9.7109375" style="85" customWidth="1"/>
    <col min="4102" max="4102" width="10" style="85" customWidth="1"/>
    <col min="4103" max="4103" width="10.5703125" style="85" bestFit="1" customWidth="1"/>
    <col min="4104" max="4104" width="14.140625" style="85" bestFit="1" customWidth="1"/>
    <col min="4105" max="4105" width="15.5703125" style="85" bestFit="1" customWidth="1"/>
    <col min="4106" max="4106" width="11" style="85" bestFit="1" customWidth="1"/>
    <col min="4107" max="4109" width="9.140625" style="85"/>
    <col min="4110" max="4110" width="11.7109375" style="85" bestFit="1" customWidth="1"/>
    <col min="4111" max="4353" width="9.140625" style="85"/>
    <col min="4354" max="4354" width="8.5703125" style="85" customWidth="1"/>
    <col min="4355" max="4355" width="14.42578125" style="85" bestFit="1" customWidth="1"/>
    <col min="4356" max="4356" width="81.42578125" style="85" customWidth="1"/>
    <col min="4357" max="4357" width="9.7109375" style="85" customWidth="1"/>
    <col min="4358" max="4358" width="10" style="85" customWidth="1"/>
    <col min="4359" max="4359" width="10.5703125" style="85" bestFit="1" customWidth="1"/>
    <col min="4360" max="4360" width="14.140625" style="85" bestFit="1" customWidth="1"/>
    <col min="4361" max="4361" width="15.5703125" style="85" bestFit="1" customWidth="1"/>
    <col min="4362" max="4362" width="11" style="85" bestFit="1" customWidth="1"/>
    <col min="4363" max="4365" width="9.140625" style="85"/>
    <col min="4366" max="4366" width="11.7109375" style="85" bestFit="1" customWidth="1"/>
    <col min="4367" max="4609" width="9.140625" style="85"/>
    <col min="4610" max="4610" width="8.5703125" style="85" customWidth="1"/>
    <col min="4611" max="4611" width="14.42578125" style="85" bestFit="1" customWidth="1"/>
    <col min="4612" max="4612" width="81.42578125" style="85" customWidth="1"/>
    <col min="4613" max="4613" width="9.7109375" style="85" customWidth="1"/>
    <col min="4614" max="4614" width="10" style="85" customWidth="1"/>
    <col min="4615" max="4615" width="10.5703125" style="85" bestFit="1" customWidth="1"/>
    <col min="4616" max="4616" width="14.140625" style="85" bestFit="1" customWidth="1"/>
    <col min="4617" max="4617" width="15.5703125" style="85" bestFit="1" customWidth="1"/>
    <col min="4618" max="4618" width="11" style="85" bestFit="1" customWidth="1"/>
    <col min="4619" max="4621" width="9.140625" style="85"/>
    <col min="4622" max="4622" width="11.7109375" style="85" bestFit="1" customWidth="1"/>
    <col min="4623" max="4865" width="9.140625" style="85"/>
    <col min="4866" max="4866" width="8.5703125" style="85" customWidth="1"/>
    <col min="4867" max="4867" width="14.42578125" style="85" bestFit="1" customWidth="1"/>
    <col min="4868" max="4868" width="81.42578125" style="85" customWidth="1"/>
    <col min="4869" max="4869" width="9.7109375" style="85" customWidth="1"/>
    <col min="4870" max="4870" width="10" style="85" customWidth="1"/>
    <col min="4871" max="4871" width="10.5703125" style="85" bestFit="1" customWidth="1"/>
    <col min="4872" max="4872" width="14.140625" style="85" bestFit="1" customWidth="1"/>
    <col min="4873" max="4873" width="15.5703125" style="85" bestFit="1" customWidth="1"/>
    <col min="4874" max="4874" width="11" style="85" bestFit="1" customWidth="1"/>
    <col min="4875" max="4877" width="9.140625" style="85"/>
    <col min="4878" max="4878" width="11.7109375" style="85" bestFit="1" customWidth="1"/>
    <col min="4879" max="5121" width="9.140625" style="85"/>
    <col min="5122" max="5122" width="8.5703125" style="85" customWidth="1"/>
    <col min="5123" max="5123" width="14.42578125" style="85" bestFit="1" customWidth="1"/>
    <col min="5124" max="5124" width="81.42578125" style="85" customWidth="1"/>
    <col min="5125" max="5125" width="9.7109375" style="85" customWidth="1"/>
    <col min="5126" max="5126" width="10" style="85" customWidth="1"/>
    <col min="5127" max="5127" width="10.5703125" style="85" bestFit="1" customWidth="1"/>
    <col min="5128" max="5128" width="14.140625" style="85" bestFit="1" customWidth="1"/>
    <col min="5129" max="5129" width="15.5703125" style="85" bestFit="1" customWidth="1"/>
    <col min="5130" max="5130" width="11" style="85" bestFit="1" customWidth="1"/>
    <col min="5131" max="5133" width="9.140625" style="85"/>
    <col min="5134" max="5134" width="11.7109375" style="85" bestFit="1" customWidth="1"/>
    <col min="5135" max="5377" width="9.140625" style="85"/>
    <col min="5378" max="5378" width="8.5703125" style="85" customWidth="1"/>
    <col min="5379" max="5379" width="14.42578125" style="85" bestFit="1" customWidth="1"/>
    <col min="5380" max="5380" width="81.42578125" style="85" customWidth="1"/>
    <col min="5381" max="5381" width="9.7109375" style="85" customWidth="1"/>
    <col min="5382" max="5382" width="10" style="85" customWidth="1"/>
    <col min="5383" max="5383" width="10.5703125" style="85" bestFit="1" customWidth="1"/>
    <col min="5384" max="5384" width="14.140625" style="85" bestFit="1" customWidth="1"/>
    <col min="5385" max="5385" width="15.5703125" style="85" bestFit="1" customWidth="1"/>
    <col min="5386" max="5386" width="11" style="85" bestFit="1" customWidth="1"/>
    <col min="5387" max="5389" width="9.140625" style="85"/>
    <col min="5390" max="5390" width="11.7109375" style="85" bestFit="1" customWidth="1"/>
    <col min="5391" max="5633" width="9.140625" style="85"/>
    <col min="5634" max="5634" width="8.5703125" style="85" customWidth="1"/>
    <col min="5635" max="5635" width="14.42578125" style="85" bestFit="1" customWidth="1"/>
    <col min="5636" max="5636" width="81.42578125" style="85" customWidth="1"/>
    <col min="5637" max="5637" width="9.7109375" style="85" customWidth="1"/>
    <col min="5638" max="5638" width="10" style="85" customWidth="1"/>
    <col min="5639" max="5639" width="10.5703125" style="85" bestFit="1" customWidth="1"/>
    <col min="5640" max="5640" width="14.140625" style="85" bestFit="1" customWidth="1"/>
    <col min="5641" max="5641" width="15.5703125" style="85" bestFit="1" customWidth="1"/>
    <col min="5642" max="5642" width="11" style="85" bestFit="1" customWidth="1"/>
    <col min="5643" max="5645" width="9.140625" style="85"/>
    <col min="5646" max="5646" width="11.7109375" style="85" bestFit="1" customWidth="1"/>
    <col min="5647" max="5889" width="9.140625" style="85"/>
    <col min="5890" max="5890" width="8.5703125" style="85" customWidth="1"/>
    <col min="5891" max="5891" width="14.42578125" style="85" bestFit="1" customWidth="1"/>
    <col min="5892" max="5892" width="81.42578125" style="85" customWidth="1"/>
    <col min="5893" max="5893" width="9.7109375" style="85" customWidth="1"/>
    <col min="5894" max="5894" width="10" style="85" customWidth="1"/>
    <col min="5895" max="5895" width="10.5703125" style="85" bestFit="1" customWidth="1"/>
    <col min="5896" max="5896" width="14.140625" style="85" bestFit="1" customWidth="1"/>
    <col min="5897" max="5897" width="15.5703125" style="85" bestFit="1" customWidth="1"/>
    <col min="5898" max="5898" width="11" style="85" bestFit="1" customWidth="1"/>
    <col min="5899" max="5901" width="9.140625" style="85"/>
    <col min="5902" max="5902" width="11.7109375" style="85" bestFit="1" customWidth="1"/>
    <col min="5903" max="6145" width="9.140625" style="85"/>
    <col min="6146" max="6146" width="8.5703125" style="85" customWidth="1"/>
    <col min="6147" max="6147" width="14.42578125" style="85" bestFit="1" customWidth="1"/>
    <col min="6148" max="6148" width="81.42578125" style="85" customWidth="1"/>
    <col min="6149" max="6149" width="9.7109375" style="85" customWidth="1"/>
    <col min="6150" max="6150" width="10" style="85" customWidth="1"/>
    <col min="6151" max="6151" width="10.5703125" style="85" bestFit="1" customWidth="1"/>
    <col min="6152" max="6152" width="14.140625" style="85" bestFit="1" customWidth="1"/>
    <col min="6153" max="6153" width="15.5703125" style="85" bestFit="1" customWidth="1"/>
    <col min="6154" max="6154" width="11" style="85" bestFit="1" customWidth="1"/>
    <col min="6155" max="6157" width="9.140625" style="85"/>
    <col min="6158" max="6158" width="11.7109375" style="85" bestFit="1" customWidth="1"/>
    <col min="6159" max="6401" width="9.140625" style="85"/>
    <col min="6402" max="6402" width="8.5703125" style="85" customWidth="1"/>
    <col min="6403" max="6403" width="14.42578125" style="85" bestFit="1" customWidth="1"/>
    <col min="6404" max="6404" width="81.42578125" style="85" customWidth="1"/>
    <col min="6405" max="6405" width="9.7109375" style="85" customWidth="1"/>
    <col min="6406" max="6406" width="10" style="85" customWidth="1"/>
    <col min="6407" max="6407" width="10.5703125" style="85" bestFit="1" customWidth="1"/>
    <col min="6408" max="6408" width="14.140625" style="85" bestFit="1" customWidth="1"/>
    <col min="6409" max="6409" width="15.5703125" style="85" bestFit="1" customWidth="1"/>
    <col min="6410" max="6410" width="11" style="85" bestFit="1" customWidth="1"/>
    <col min="6411" max="6413" width="9.140625" style="85"/>
    <col min="6414" max="6414" width="11.7109375" style="85" bestFit="1" customWidth="1"/>
    <col min="6415" max="6657" width="9.140625" style="85"/>
    <col min="6658" max="6658" width="8.5703125" style="85" customWidth="1"/>
    <col min="6659" max="6659" width="14.42578125" style="85" bestFit="1" customWidth="1"/>
    <col min="6660" max="6660" width="81.42578125" style="85" customWidth="1"/>
    <col min="6661" max="6661" width="9.7109375" style="85" customWidth="1"/>
    <col min="6662" max="6662" width="10" style="85" customWidth="1"/>
    <col min="6663" max="6663" width="10.5703125" style="85" bestFit="1" customWidth="1"/>
    <col min="6664" max="6664" width="14.140625" style="85" bestFit="1" customWidth="1"/>
    <col min="6665" max="6665" width="15.5703125" style="85" bestFit="1" customWidth="1"/>
    <col min="6666" max="6666" width="11" style="85" bestFit="1" customWidth="1"/>
    <col min="6667" max="6669" width="9.140625" style="85"/>
    <col min="6670" max="6670" width="11.7109375" style="85" bestFit="1" customWidth="1"/>
    <col min="6671" max="6913" width="9.140625" style="85"/>
    <col min="6914" max="6914" width="8.5703125" style="85" customWidth="1"/>
    <col min="6915" max="6915" width="14.42578125" style="85" bestFit="1" customWidth="1"/>
    <col min="6916" max="6916" width="81.42578125" style="85" customWidth="1"/>
    <col min="6917" max="6917" width="9.7109375" style="85" customWidth="1"/>
    <col min="6918" max="6918" width="10" style="85" customWidth="1"/>
    <col min="6919" max="6919" width="10.5703125" style="85" bestFit="1" customWidth="1"/>
    <col min="6920" max="6920" width="14.140625" style="85" bestFit="1" customWidth="1"/>
    <col min="6921" max="6921" width="15.5703125" style="85" bestFit="1" customWidth="1"/>
    <col min="6922" max="6922" width="11" style="85" bestFit="1" customWidth="1"/>
    <col min="6923" max="6925" width="9.140625" style="85"/>
    <col min="6926" max="6926" width="11.7109375" style="85" bestFit="1" customWidth="1"/>
    <col min="6927" max="7169" width="9.140625" style="85"/>
    <col min="7170" max="7170" width="8.5703125" style="85" customWidth="1"/>
    <col min="7171" max="7171" width="14.42578125" style="85" bestFit="1" customWidth="1"/>
    <col min="7172" max="7172" width="81.42578125" style="85" customWidth="1"/>
    <col min="7173" max="7173" width="9.7109375" style="85" customWidth="1"/>
    <col min="7174" max="7174" width="10" style="85" customWidth="1"/>
    <col min="7175" max="7175" width="10.5703125" style="85" bestFit="1" customWidth="1"/>
    <col min="7176" max="7176" width="14.140625" style="85" bestFit="1" customWidth="1"/>
    <col min="7177" max="7177" width="15.5703125" style="85" bestFit="1" customWidth="1"/>
    <col min="7178" max="7178" width="11" style="85" bestFit="1" customWidth="1"/>
    <col min="7179" max="7181" width="9.140625" style="85"/>
    <col min="7182" max="7182" width="11.7109375" style="85" bestFit="1" customWidth="1"/>
    <col min="7183" max="7425" width="9.140625" style="85"/>
    <col min="7426" max="7426" width="8.5703125" style="85" customWidth="1"/>
    <col min="7427" max="7427" width="14.42578125" style="85" bestFit="1" customWidth="1"/>
    <col min="7428" max="7428" width="81.42578125" style="85" customWidth="1"/>
    <col min="7429" max="7429" width="9.7109375" style="85" customWidth="1"/>
    <col min="7430" max="7430" width="10" style="85" customWidth="1"/>
    <col min="7431" max="7431" width="10.5703125" style="85" bestFit="1" customWidth="1"/>
    <col min="7432" max="7432" width="14.140625" style="85" bestFit="1" customWidth="1"/>
    <col min="7433" max="7433" width="15.5703125" style="85" bestFit="1" customWidth="1"/>
    <col min="7434" max="7434" width="11" style="85" bestFit="1" customWidth="1"/>
    <col min="7435" max="7437" width="9.140625" style="85"/>
    <col min="7438" max="7438" width="11.7109375" style="85" bestFit="1" customWidth="1"/>
    <col min="7439" max="7681" width="9.140625" style="85"/>
    <col min="7682" max="7682" width="8.5703125" style="85" customWidth="1"/>
    <col min="7683" max="7683" width="14.42578125" style="85" bestFit="1" customWidth="1"/>
    <col min="7684" max="7684" width="81.42578125" style="85" customWidth="1"/>
    <col min="7685" max="7685" width="9.7109375" style="85" customWidth="1"/>
    <col min="7686" max="7686" width="10" style="85" customWidth="1"/>
    <col min="7687" max="7687" width="10.5703125" style="85" bestFit="1" customWidth="1"/>
    <col min="7688" max="7688" width="14.140625" style="85" bestFit="1" customWidth="1"/>
    <col min="7689" max="7689" width="15.5703125" style="85" bestFit="1" customWidth="1"/>
    <col min="7690" max="7690" width="11" style="85" bestFit="1" customWidth="1"/>
    <col min="7691" max="7693" width="9.140625" style="85"/>
    <col min="7694" max="7694" width="11.7109375" style="85" bestFit="1" customWidth="1"/>
    <col min="7695" max="7937" width="9.140625" style="85"/>
    <col min="7938" max="7938" width="8.5703125" style="85" customWidth="1"/>
    <col min="7939" max="7939" width="14.42578125" style="85" bestFit="1" customWidth="1"/>
    <col min="7940" max="7940" width="81.42578125" style="85" customWidth="1"/>
    <col min="7941" max="7941" width="9.7109375" style="85" customWidth="1"/>
    <col min="7942" max="7942" width="10" style="85" customWidth="1"/>
    <col min="7943" max="7943" width="10.5703125" style="85" bestFit="1" customWidth="1"/>
    <col min="7944" max="7944" width="14.140625" style="85" bestFit="1" customWidth="1"/>
    <col min="7945" max="7945" width="15.5703125" style="85" bestFit="1" customWidth="1"/>
    <col min="7946" max="7946" width="11" style="85" bestFit="1" customWidth="1"/>
    <col min="7947" max="7949" width="9.140625" style="85"/>
    <col min="7950" max="7950" width="11.7109375" style="85" bestFit="1" customWidth="1"/>
    <col min="7951" max="8193" width="9.140625" style="85"/>
    <col min="8194" max="8194" width="8.5703125" style="85" customWidth="1"/>
    <col min="8195" max="8195" width="14.42578125" style="85" bestFit="1" customWidth="1"/>
    <col min="8196" max="8196" width="81.42578125" style="85" customWidth="1"/>
    <col min="8197" max="8197" width="9.7109375" style="85" customWidth="1"/>
    <col min="8198" max="8198" width="10" style="85" customWidth="1"/>
    <col min="8199" max="8199" width="10.5703125" style="85" bestFit="1" customWidth="1"/>
    <col min="8200" max="8200" width="14.140625" style="85" bestFit="1" customWidth="1"/>
    <col min="8201" max="8201" width="15.5703125" style="85" bestFit="1" customWidth="1"/>
    <col min="8202" max="8202" width="11" style="85" bestFit="1" customWidth="1"/>
    <col min="8203" max="8205" width="9.140625" style="85"/>
    <col min="8206" max="8206" width="11.7109375" style="85" bestFit="1" customWidth="1"/>
    <col min="8207" max="8449" width="9.140625" style="85"/>
    <col min="8450" max="8450" width="8.5703125" style="85" customWidth="1"/>
    <col min="8451" max="8451" width="14.42578125" style="85" bestFit="1" customWidth="1"/>
    <col min="8452" max="8452" width="81.42578125" style="85" customWidth="1"/>
    <col min="8453" max="8453" width="9.7109375" style="85" customWidth="1"/>
    <col min="8454" max="8454" width="10" style="85" customWidth="1"/>
    <col min="8455" max="8455" width="10.5703125" style="85" bestFit="1" customWidth="1"/>
    <col min="8456" max="8456" width="14.140625" style="85" bestFit="1" customWidth="1"/>
    <col min="8457" max="8457" width="15.5703125" style="85" bestFit="1" customWidth="1"/>
    <col min="8458" max="8458" width="11" style="85" bestFit="1" customWidth="1"/>
    <col min="8459" max="8461" width="9.140625" style="85"/>
    <col min="8462" max="8462" width="11.7109375" style="85" bestFit="1" customWidth="1"/>
    <col min="8463" max="8705" width="9.140625" style="85"/>
    <col min="8706" max="8706" width="8.5703125" style="85" customWidth="1"/>
    <col min="8707" max="8707" width="14.42578125" style="85" bestFit="1" customWidth="1"/>
    <col min="8708" max="8708" width="81.42578125" style="85" customWidth="1"/>
    <col min="8709" max="8709" width="9.7109375" style="85" customWidth="1"/>
    <col min="8710" max="8710" width="10" style="85" customWidth="1"/>
    <col min="8711" max="8711" width="10.5703125" style="85" bestFit="1" customWidth="1"/>
    <col min="8712" max="8712" width="14.140625" style="85" bestFit="1" customWidth="1"/>
    <col min="8713" max="8713" width="15.5703125" style="85" bestFit="1" customWidth="1"/>
    <col min="8714" max="8714" width="11" style="85" bestFit="1" customWidth="1"/>
    <col min="8715" max="8717" width="9.140625" style="85"/>
    <col min="8718" max="8718" width="11.7109375" style="85" bestFit="1" customWidth="1"/>
    <col min="8719" max="8961" width="9.140625" style="85"/>
    <col min="8962" max="8962" width="8.5703125" style="85" customWidth="1"/>
    <col min="8963" max="8963" width="14.42578125" style="85" bestFit="1" customWidth="1"/>
    <col min="8964" max="8964" width="81.42578125" style="85" customWidth="1"/>
    <col min="8965" max="8965" width="9.7109375" style="85" customWidth="1"/>
    <col min="8966" max="8966" width="10" style="85" customWidth="1"/>
    <col min="8967" max="8967" width="10.5703125" style="85" bestFit="1" customWidth="1"/>
    <col min="8968" max="8968" width="14.140625" style="85" bestFit="1" customWidth="1"/>
    <col min="8969" max="8969" width="15.5703125" style="85" bestFit="1" customWidth="1"/>
    <col min="8970" max="8970" width="11" style="85" bestFit="1" customWidth="1"/>
    <col min="8971" max="8973" width="9.140625" style="85"/>
    <col min="8974" max="8974" width="11.7109375" style="85" bestFit="1" customWidth="1"/>
    <col min="8975" max="9217" width="9.140625" style="85"/>
    <col min="9218" max="9218" width="8.5703125" style="85" customWidth="1"/>
    <col min="9219" max="9219" width="14.42578125" style="85" bestFit="1" customWidth="1"/>
    <col min="9220" max="9220" width="81.42578125" style="85" customWidth="1"/>
    <col min="9221" max="9221" width="9.7109375" style="85" customWidth="1"/>
    <col min="9222" max="9222" width="10" style="85" customWidth="1"/>
    <col min="9223" max="9223" width="10.5703125" style="85" bestFit="1" customWidth="1"/>
    <col min="9224" max="9224" width="14.140625" style="85" bestFit="1" customWidth="1"/>
    <col min="9225" max="9225" width="15.5703125" style="85" bestFit="1" customWidth="1"/>
    <col min="9226" max="9226" width="11" style="85" bestFit="1" customWidth="1"/>
    <col min="9227" max="9229" width="9.140625" style="85"/>
    <col min="9230" max="9230" width="11.7109375" style="85" bestFit="1" customWidth="1"/>
    <col min="9231" max="9473" width="9.140625" style="85"/>
    <col min="9474" max="9474" width="8.5703125" style="85" customWidth="1"/>
    <col min="9475" max="9475" width="14.42578125" style="85" bestFit="1" customWidth="1"/>
    <col min="9476" max="9476" width="81.42578125" style="85" customWidth="1"/>
    <col min="9477" max="9477" width="9.7109375" style="85" customWidth="1"/>
    <col min="9478" max="9478" width="10" style="85" customWidth="1"/>
    <col min="9479" max="9479" width="10.5703125" style="85" bestFit="1" customWidth="1"/>
    <col min="9480" max="9480" width="14.140625" style="85" bestFit="1" customWidth="1"/>
    <col min="9481" max="9481" width="15.5703125" style="85" bestFit="1" customWidth="1"/>
    <col min="9482" max="9482" width="11" style="85" bestFit="1" customWidth="1"/>
    <col min="9483" max="9485" width="9.140625" style="85"/>
    <col min="9486" max="9486" width="11.7109375" style="85" bestFit="1" customWidth="1"/>
    <col min="9487" max="9729" width="9.140625" style="85"/>
    <col min="9730" max="9730" width="8.5703125" style="85" customWidth="1"/>
    <col min="9731" max="9731" width="14.42578125" style="85" bestFit="1" customWidth="1"/>
    <col min="9732" max="9732" width="81.42578125" style="85" customWidth="1"/>
    <col min="9733" max="9733" width="9.7109375" style="85" customWidth="1"/>
    <col min="9734" max="9734" width="10" style="85" customWidth="1"/>
    <col min="9735" max="9735" width="10.5703125" style="85" bestFit="1" customWidth="1"/>
    <col min="9736" max="9736" width="14.140625" style="85" bestFit="1" customWidth="1"/>
    <col min="9737" max="9737" width="15.5703125" style="85" bestFit="1" customWidth="1"/>
    <col min="9738" max="9738" width="11" style="85" bestFit="1" customWidth="1"/>
    <col min="9739" max="9741" width="9.140625" style="85"/>
    <col min="9742" max="9742" width="11.7109375" style="85" bestFit="1" customWidth="1"/>
    <col min="9743" max="9985" width="9.140625" style="85"/>
    <col min="9986" max="9986" width="8.5703125" style="85" customWidth="1"/>
    <col min="9987" max="9987" width="14.42578125" style="85" bestFit="1" customWidth="1"/>
    <col min="9988" max="9988" width="81.42578125" style="85" customWidth="1"/>
    <col min="9989" max="9989" width="9.7109375" style="85" customWidth="1"/>
    <col min="9990" max="9990" width="10" style="85" customWidth="1"/>
    <col min="9991" max="9991" width="10.5703125" style="85" bestFit="1" customWidth="1"/>
    <col min="9992" max="9992" width="14.140625" style="85" bestFit="1" customWidth="1"/>
    <col min="9993" max="9993" width="15.5703125" style="85" bestFit="1" customWidth="1"/>
    <col min="9994" max="9994" width="11" style="85" bestFit="1" customWidth="1"/>
    <col min="9995" max="9997" width="9.140625" style="85"/>
    <col min="9998" max="9998" width="11.7109375" style="85" bestFit="1" customWidth="1"/>
    <col min="9999" max="10241" width="9.140625" style="85"/>
    <col min="10242" max="10242" width="8.5703125" style="85" customWidth="1"/>
    <col min="10243" max="10243" width="14.42578125" style="85" bestFit="1" customWidth="1"/>
    <col min="10244" max="10244" width="81.42578125" style="85" customWidth="1"/>
    <col min="10245" max="10245" width="9.7109375" style="85" customWidth="1"/>
    <col min="10246" max="10246" width="10" style="85" customWidth="1"/>
    <col min="10247" max="10247" width="10.5703125" style="85" bestFit="1" customWidth="1"/>
    <col min="10248" max="10248" width="14.140625" style="85" bestFit="1" customWidth="1"/>
    <col min="10249" max="10249" width="15.5703125" style="85" bestFit="1" customWidth="1"/>
    <col min="10250" max="10250" width="11" style="85" bestFit="1" customWidth="1"/>
    <col min="10251" max="10253" width="9.140625" style="85"/>
    <col min="10254" max="10254" width="11.7109375" style="85" bestFit="1" customWidth="1"/>
    <col min="10255" max="10497" width="9.140625" style="85"/>
    <col min="10498" max="10498" width="8.5703125" style="85" customWidth="1"/>
    <col min="10499" max="10499" width="14.42578125" style="85" bestFit="1" customWidth="1"/>
    <col min="10500" max="10500" width="81.42578125" style="85" customWidth="1"/>
    <col min="10501" max="10501" width="9.7109375" style="85" customWidth="1"/>
    <col min="10502" max="10502" width="10" style="85" customWidth="1"/>
    <col min="10503" max="10503" width="10.5703125" style="85" bestFit="1" customWidth="1"/>
    <col min="10504" max="10504" width="14.140625" style="85" bestFit="1" customWidth="1"/>
    <col min="10505" max="10505" width="15.5703125" style="85" bestFit="1" customWidth="1"/>
    <col min="10506" max="10506" width="11" style="85" bestFit="1" customWidth="1"/>
    <col min="10507" max="10509" width="9.140625" style="85"/>
    <col min="10510" max="10510" width="11.7109375" style="85" bestFit="1" customWidth="1"/>
    <col min="10511" max="10753" width="9.140625" style="85"/>
    <col min="10754" max="10754" width="8.5703125" style="85" customWidth="1"/>
    <col min="10755" max="10755" width="14.42578125" style="85" bestFit="1" customWidth="1"/>
    <col min="10756" max="10756" width="81.42578125" style="85" customWidth="1"/>
    <col min="10757" max="10757" width="9.7109375" style="85" customWidth="1"/>
    <col min="10758" max="10758" width="10" style="85" customWidth="1"/>
    <col min="10759" max="10759" width="10.5703125" style="85" bestFit="1" customWidth="1"/>
    <col min="10760" max="10760" width="14.140625" style="85" bestFit="1" customWidth="1"/>
    <col min="10761" max="10761" width="15.5703125" style="85" bestFit="1" customWidth="1"/>
    <col min="10762" max="10762" width="11" style="85" bestFit="1" customWidth="1"/>
    <col min="10763" max="10765" width="9.140625" style="85"/>
    <col min="10766" max="10766" width="11.7109375" style="85" bestFit="1" customWidth="1"/>
    <col min="10767" max="11009" width="9.140625" style="85"/>
    <col min="11010" max="11010" width="8.5703125" style="85" customWidth="1"/>
    <col min="11011" max="11011" width="14.42578125" style="85" bestFit="1" customWidth="1"/>
    <col min="11012" max="11012" width="81.42578125" style="85" customWidth="1"/>
    <col min="11013" max="11013" width="9.7109375" style="85" customWidth="1"/>
    <col min="11014" max="11014" width="10" style="85" customWidth="1"/>
    <col min="11015" max="11015" width="10.5703125" style="85" bestFit="1" customWidth="1"/>
    <col min="11016" max="11016" width="14.140625" style="85" bestFit="1" customWidth="1"/>
    <col min="11017" max="11017" width="15.5703125" style="85" bestFit="1" customWidth="1"/>
    <col min="11018" max="11018" width="11" style="85" bestFit="1" customWidth="1"/>
    <col min="11019" max="11021" width="9.140625" style="85"/>
    <col min="11022" max="11022" width="11.7109375" style="85" bestFit="1" customWidth="1"/>
    <col min="11023" max="11265" width="9.140625" style="85"/>
    <col min="11266" max="11266" width="8.5703125" style="85" customWidth="1"/>
    <col min="11267" max="11267" width="14.42578125" style="85" bestFit="1" customWidth="1"/>
    <col min="11268" max="11268" width="81.42578125" style="85" customWidth="1"/>
    <col min="11269" max="11269" width="9.7109375" style="85" customWidth="1"/>
    <col min="11270" max="11270" width="10" style="85" customWidth="1"/>
    <col min="11271" max="11271" width="10.5703125" style="85" bestFit="1" customWidth="1"/>
    <col min="11272" max="11272" width="14.140625" style="85" bestFit="1" customWidth="1"/>
    <col min="11273" max="11273" width="15.5703125" style="85" bestFit="1" customWidth="1"/>
    <col min="11274" max="11274" width="11" style="85" bestFit="1" customWidth="1"/>
    <col min="11275" max="11277" width="9.140625" style="85"/>
    <col min="11278" max="11278" width="11.7109375" style="85" bestFit="1" customWidth="1"/>
    <col min="11279" max="11521" width="9.140625" style="85"/>
    <col min="11522" max="11522" width="8.5703125" style="85" customWidth="1"/>
    <col min="11523" max="11523" width="14.42578125" style="85" bestFit="1" customWidth="1"/>
    <col min="11524" max="11524" width="81.42578125" style="85" customWidth="1"/>
    <col min="11525" max="11525" width="9.7109375" style="85" customWidth="1"/>
    <col min="11526" max="11526" width="10" style="85" customWidth="1"/>
    <col min="11527" max="11527" width="10.5703125" style="85" bestFit="1" customWidth="1"/>
    <col min="11528" max="11528" width="14.140625" style="85" bestFit="1" customWidth="1"/>
    <col min="11529" max="11529" width="15.5703125" style="85" bestFit="1" customWidth="1"/>
    <col min="11530" max="11530" width="11" style="85" bestFit="1" customWidth="1"/>
    <col min="11531" max="11533" width="9.140625" style="85"/>
    <col min="11534" max="11534" width="11.7109375" style="85" bestFit="1" customWidth="1"/>
    <col min="11535" max="11777" width="9.140625" style="85"/>
    <col min="11778" max="11778" width="8.5703125" style="85" customWidth="1"/>
    <col min="11779" max="11779" width="14.42578125" style="85" bestFit="1" customWidth="1"/>
    <col min="11780" max="11780" width="81.42578125" style="85" customWidth="1"/>
    <col min="11781" max="11781" width="9.7109375" style="85" customWidth="1"/>
    <col min="11782" max="11782" width="10" style="85" customWidth="1"/>
    <col min="11783" max="11783" width="10.5703125" style="85" bestFit="1" customWidth="1"/>
    <col min="11784" max="11784" width="14.140625" style="85" bestFit="1" customWidth="1"/>
    <col min="11785" max="11785" width="15.5703125" style="85" bestFit="1" customWidth="1"/>
    <col min="11786" max="11786" width="11" style="85" bestFit="1" customWidth="1"/>
    <col min="11787" max="11789" width="9.140625" style="85"/>
    <col min="11790" max="11790" width="11.7109375" style="85" bestFit="1" customWidth="1"/>
    <col min="11791" max="12033" width="9.140625" style="85"/>
    <col min="12034" max="12034" width="8.5703125" style="85" customWidth="1"/>
    <col min="12035" max="12035" width="14.42578125" style="85" bestFit="1" customWidth="1"/>
    <col min="12036" max="12036" width="81.42578125" style="85" customWidth="1"/>
    <col min="12037" max="12037" width="9.7109375" style="85" customWidth="1"/>
    <col min="12038" max="12038" width="10" style="85" customWidth="1"/>
    <col min="12039" max="12039" width="10.5703125" style="85" bestFit="1" customWidth="1"/>
    <col min="12040" max="12040" width="14.140625" style="85" bestFit="1" customWidth="1"/>
    <col min="12041" max="12041" width="15.5703125" style="85" bestFit="1" customWidth="1"/>
    <col min="12042" max="12042" width="11" style="85" bestFit="1" customWidth="1"/>
    <col min="12043" max="12045" width="9.140625" style="85"/>
    <col min="12046" max="12046" width="11.7109375" style="85" bestFit="1" customWidth="1"/>
    <col min="12047" max="12289" width="9.140625" style="85"/>
    <col min="12290" max="12290" width="8.5703125" style="85" customWidth="1"/>
    <col min="12291" max="12291" width="14.42578125" style="85" bestFit="1" customWidth="1"/>
    <col min="12292" max="12292" width="81.42578125" style="85" customWidth="1"/>
    <col min="12293" max="12293" width="9.7109375" style="85" customWidth="1"/>
    <col min="12294" max="12294" width="10" style="85" customWidth="1"/>
    <col min="12295" max="12295" width="10.5703125" style="85" bestFit="1" customWidth="1"/>
    <col min="12296" max="12296" width="14.140625" style="85" bestFit="1" customWidth="1"/>
    <col min="12297" max="12297" width="15.5703125" style="85" bestFit="1" customWidth="1"/>
    <col min="12298" max="12298" width="11" style="85" bestFit="1" customWidth="1"/>
    <col min="12299" max="12301" width="9.140625" style="85"/>
    <col min="12302" max="12302" width="11.7109375" style="85" bestFit="1" customWidth="1"/>
    <col min="12303" max="12545" width="9.140625" style="85"/>
    <col min="12546" max="12546" width="8.5703125" style="85" customWidth="1"/>
    <col min="12547" max="12547" width="14.42578125" style="85" bestFit="1" customWidth="1"/>
    <col min="12548" max="12548" width="81.42578125" style="85" customWidth="1"/>
    <col min="12549" max="12549" width="9.7109375" style="85" customWidth="1"/>
    <col min="12550" max="12550" width="10" style="85" customWidth="1"/>
    <col min="12551" max="12551" width="10.5703125" style="85" bestFit="1" customWidth="1"/>
    <col min="12552" max="12552" width="14.140625" style="85" bestFit="1" customWidth="1"/>
    <col min="12553" max="12553" width="15.5703125" style="85" bestFit="1" customWidth="1"/>
    <col min="12554" max="12554" width="11" style="85" bestFit="1" customWidth="1"/>
    <col min="12555" max="12557" width="9.140625" style="85"/>
    <col min="12558" max="12558" width="11.7109375" style="85" bestFit="1" customWidth="1"/>
    <col min="12559" max="12801" width="9.140625" style="85"/>
    <col min="12802" max="12802" width="8.5703125" style="85" customWidth="1"/>
    <col min="12803" max="12803" width="14.42578125" style="85" bestFit="1" customWidth="1"/>
    <col min="12804" max="12804" width="81.42578125" style="85" customWidth="1"/>
    <col min="12805" max="12805" width="9.7109375" style="85" customWidth="1"/>
    <col min="12806" max="12806" width="10" style="85" customWidth="1"/>
    <col min="12807" max="12807" width="10.5703125" style="85" bestFit="1" customWidth="1"/>
    <col min="12808" max="12808" width="14.140625" style="85" bestFit="1" customWidth="1"/>
    <col min="12809" max="12809" width="15.5703125" style="85" bestFit="1" customWidth="1"/>
    <col min="12810" max="12810" width="11" style="85" bestFit="1" customWidth="1"/>
    <col min="12811" max="12813" width="9.140625" style="85"/>
    <col min="12814" max="12814" width="11.7109375" style="85" bestFit="1" customWidth="1"/>
    <col min="12815" max="13057" width="9.140625" style="85"/>
    <col min="13058" max="13058" width="8.5703125" style="85" customWidth="1"/>
    <col min="13059" max="13059" width="14.42578125" style="85" bestFit="1" customWidth="1"/>
    <col min="13060" max="13060" width="81.42578125" style="85" customWidth="1"/>
    <col min="13061" max="13061" width="9.7109375" style="85" customWidth="1"/>
    <col min="13062" max="13062" width="10" style="85" customWidth="1"/>
    <col min="13063" max="13063" width="10.5703125" style="85" bestFit="1" customWidth="1"/>
    <col min="13064" max="13064" width="14.140625" style="85" bestFit="1" customWidth="1"/>
    <col min="13065" max="13065" width="15.5703125" style="85" bestFit="1" customWidth="1"/>
    <col min="13066" max="13066" width="11" style="85" bestFit="1" customWidth="1"/>
    <col min="13067" max="13069" width="9.140625" style="85"/>
    <col min="13070" max="13070" width="11.7109375" style="85" bestFit="1" customWidth="1"/>
    <col min="13071" max="13313" width="9.140625" style="85"/>
    <col min="13314" max="13314" width="8.5703125" style="85" customWidth="1"/>
    <col min="13315" max="13315" width="14.42578125" style="85" bestFit="1" customWidth="1"/>
    <col min="13316" max="13316" width="81.42578125" style="85" customWidth="1"/>
    <col min="13317" max="13317" width="9.7109375" style="85" customWidth="1"/>
    <col min="13318" max="13318" width="10" style="85" customWidth="1"/>
    <col min="13319" max="13319" width="10.5703125" style="85" bestFit="1" customWidth="1"/>
    <col min="13320" max="13320" width="14.140625" style="85" bestFit="1" customWidth="1"/>
    <col min="13321" max="13321" width="15.5703125" style="85" bestFit="1" customWidth="1"/>
    <col min="13322" max="13322" width="11" style="85" bestFit="1" customWidth="1"/>
    <col min="13323" max="13325" width="9.140625" style="85"/>
    <col min="13326" max="13326" width="11.7109375" style="85" bestFit="1" customWidth="1"/>
    <col min="13327" max="13569" width="9.140625" style="85"/>
    <col min="13570" max="13570" width="8.5703125" style="85" customWidth="1"/>
    <col min="13571" max="13571" width="14.42578125" style="85" bestFit="1" customWidth="1"/>
    <col min="13572" max="13572" width="81.42578125" style="85" customWidth="1"/>
    <col min="13573" max="13573" width="9.7109375" style="85" customWidth="1"/>
    <col min="13574" max="13574" width="10" style="85" customWidth="1"/>
    <col min="13575" max="13575" width="10.5703125" style="85" bestFit="1" customWidth="1"/>
    <col min="13576" max="13576" width="14.140625" style="85" bestFit="1" customWidth="1"/>
    <col min="13577" max="13577" width="15.5703125" style="85" bestFit="1" customWidth="1"/>
    <col min="13578" max="13578" width="11" style="85" bestFit="1" customWidth="1"/>
    <col min="13579" max="13581" width="9.140625" style="85"/>
    <col min="13582" max="13582" width="11.7109375" style="85" bestFit="1" customWidth="1"/>
    <col min="13583" max="13825" width="9.140625" style="85"/>
    <col min="13826" max="13826" width="8.5703125" style="85" customWidth="1"/>
    <col min="13827" max="13827" width="14.42578125" style="85" bestFit="1" customWidth="1"/>
    <col min="13828" max="13828" width="81.42578125" style="85" customWidth="1"/>
    <col min="13829" max="13829" width="9.7109375" style="85" customWidth="1"/>
    <col min="13830" max="13830" width="10" style="85" customWidth="1"/>
    <col min="13831" max="13831" width="10.5703125" style="85" bestFit="1" customWidth="1"/>
    <col min="13832" max="13832" width="14.140625" style="85" bestFit="1" customWidth="1"/>
    <col min="13833" max="13833" width="15.5703125" style="85" bestFit="1" customWidth="1"/>
    <col min="13834" max="13834" width="11" style="85" bestFit="1" customWidth="1"/>
    <col min="13835" max="13837" width="9.140625" style="85"/>
    <col min="13838" max="13838" width="11.7109375" style="85" bestFit="1" customWidth="1"/>
    <col min="13839" max="14081" width="9.140625" style="85"/>
    <col min="14082" max="14082" width="8.5703125" style="85" customWidth="1"/>
    <col min="14083" max="14083" width="14.42578125" style="85" bestFit="1" customWidth="1"/>
    <col min="14084" max="14084" width="81.42578125" style="85" customWidth="1"/>
    <col min="14085" max="14085" width="9.7109375" style="85" customWidth="1"/>
    <col min="14086" max="14086" width="10" style="85" customWidth="1"/>
    <col min="14087" max="14087" width="10.5703125" style="85" bestFit="1" customWidth="1"/>
    <col min="14088" max="14088" width="14.140625" style="85" bestFit="1" customWidth="1"/>
    <col min="14089" max="14089" width="15.5703125" style="85" bestFit="1" customWidth="1"/>
    <col min="14090" max="14090" width="11" style="85" bestFit="1" customWidth="1"/>
    <col min="14091" max="14093" width="9.140625" style="85"/>
    <col min="14094" max="14094" width="11.7109375" style="85" bestFit="1" customWidth="1"/>
    <col min="14095" max="14337" width="9.140625" style="85"/>
    <col min="14338" max="14338" width="8.5703125" style="85" customWidth="1"/>
    <col min="14339" max="14339" width="14.42578125" style="85" bestFit="1" customWidth="1"/>
    <col min="14340" max="14340" width="81.42578125" style="85" customWidth="1"/>
    <col min="14341" max="14341" width="9.7109375" style="85" customWidth="1"/>
    <col min="14342" max="14342" width="10" style="85" customWidth="1"/>
    <col min="14343" max="14343" width="10.5703125" style="85" bestFit="1" customWidth="1"/>
    <col min="14344" max="14344" width="14.140625" style="85" bestFit="1" customWidth="1"/>
    <col min="14345" max="14345" width="15.5703125" style="85" bestFit="1" customWidth="1"/>
    <col min="14346" max="14346" width="11" style="85" bestFit="1" customWidth="1"/>
    <col min="14347" max="14349" width="9.140625" style="85"/>
    <col min="14350" max="14350" width="11.7109375" style="85" bestFit="1" customWidth="1"/>
    <col min="14351" max="14593" width="9.140625" style="85"/>
    <col min="14594" max="14594" width="8.5703125" style="85" customWidth="1"/>
    <col min="14595" max="14595" width="14.42578125" style="85" bestFit="1" customWidth="1"/>
    <col min="14596" max="14596" width="81.42578125" style="85" customWidth="1"/>
    <col min="14597" max="14597" width="9.7109375" style="85" customWidth="1"/>
    <col min="14598" max="14598" width="10" style="85" customWidth="1"/>
    <col min="14599" max="14599" width="10.5703125" style="85" bestFit="1" customWidth="1"/>
    <col min="14600" max="14600" width="14.140625" style="85" bestFit="1" customWidth="1"/>
    <col min="14601" max="14601" width="15.5703125" style="85" bestFit="1" customWidth="1"/>
    <col min="14602" max="14602" width="11" style="85" bestFit="1" customWidth="1"/>
    <col min="14603" max="14605" width="9.140625" style="85"/>
    <col min="14606" max="14606" width="11.7109375" style="85" bestFit="1" customWidth="1"/>
    <col min="14607" max="14849" width="9.140625" style="85"/>
    <col min="14850" max="14850" width="8.5703125" style="85" customWidth="1"/>
    <col min="14851" max="14851" width="14.42578125" style="85" bestFit="1" customWidth="1"/>
    <col min="14852" max="14852" width="81.42578125" style="85" customWidth="1"/>
    <col min="14853" max="14853" width="9.7109375" style="85" customWidth="1"/>
    <col min="14854" max="14854" width="10" style="85" customWidth="1"/>
    <col min="14855" max="14855" width="10.5703125" style="85" bestFit="1" customWidth="1"/>
    <col min="14856" max="14856" width="14.140625" style="85" bestFit="1" customWidth="1"/>
    <col min="14857" max="14857" width="15.5703125" style="85" bestFit="1" customWidth="1"/>
    <col min="14858" max="14858" width="11" style="85" bestFit="1" customWidth="1"/>
    <col min="14859" max="14861" width="9.140625" style="85"/>
    <col min="14862" max="14862" width="11.7109375" style="85" bestFit="1" customWidth="1"/>
    <col min="14863" max="15105" width="9.140625" style="85"/>
    <col min="15106" max="15106" width="8.5703125" style="85" customWidth="1"/>
    <col min="15107" max="15107" width="14.42578125" style="85" bestFit="1" customWidth="1"/>
    <col min="15108" max="15108" width="81.42578125" style="85" customWidth="1"/>
    <col min="15109" max="15109" width="9.7109375" style="85" customWidth="1"/>
    <col min="15110" max="15110" width="10" style="85" customWidth="1"/>
    <col min="15111" max="15111" width="10.5703125" style="85" bestFit="1" customWidth="1"/>
    <col min="15112" max="15112" width="14.140625" style="85" bestFit="1" customWidth="1"/>
    <col min="15113" max="15113" width="15.5703125" style="85" bestFit="1" customWidth="1"/>
    <col min="15114" max="15114" width="11" style="85" bestFit="1" customWidth="1"/>
    <col min="15115" max="15117" width="9.140625" style="85"/>
    <col min="15118" max="15118" width="11.7109375" style="85" bestFit="1" customWidth="1"/>
    <col min="15119" max="15361" width="9.140625" style="85"/>
    <col min="15362" max="15362" width="8.5703125" style="85" customWidth="1"/>
    <col min="15363" max="15363" width="14.42578125" style="85" bestFit="1" customWidth="1"/>
    <col min="15364" max="15364" width="81.42578125" style="85" customWidth="1"/>
    <col min="15365" max="15365" width="9.7109375" style="85" customWidth="1"/>
    <col min="15366" max="15366" width="10" style="85" customWidth="1"/>
    <col min="15367" max="15367" width="10.5703125" style="85" bestFit="1" customWidth="1"/>
    <col min="15368" max="15368" width="14.140625" style="85" bestFit="1" customWidth="1"/>
    <col min="15369" max="15369" width="15.5703125" style="85" bestFit="1" customWidth="1"/>
    <col min="15370" max="15370" width="11" style="85" bestFit="1" customWidth="1"/>
    <col min="15371" max="15373" width="9.140625" style="85"/>
    <col min="15374" max="15374" width="11.7109375" style="85" bestFit="1" customWidth="1"/>
    <col min="15375" max="15617" width="9.140625" style="85"/>
    <col min="15618" max="15618" width="8.5703125" style="85" customWidth="1"/>
    <col min="15619" max="15619" width="14.42578125" style="85" bestFit="1" customWidth="1"/>
    <col min="15620" max="15620" width="81.42578125" style="85" customWidth="1"/>
    <col min="15621" max="15621" width="9.7109375" style="85" customWidth="1"/>
    <col min="15622" max="15622" width="10" style="85" customWidth="1"/>
    <col min="15623" max="15623" width="10.5703125" style="85" bestFit="1" customWidth="1"/>
    <col min="15624" max="15624" width="14.140625" style="85" bestFit="1" customWidth="1"/>
    <col min="15625" max="15625" width="15.5703125" style="85" bestFit="1" customWidth="1"/>
    <col min="15626" max="15626" width="11" style="85" bestFit="1" customWidth="1"/>
    <col min="15627" max="15629" width="9.140625" style="85"/>
    <col min="15630" max="15630" width="11.7109375" style="85" bestFit="1" customWidth="1"/>
    <col min="15631" max="15873" width="9.140625" style="85"/>
    <col min="15874" max="15874" width="8.5703125" style="85" customWidth="1"/>
    <col min="15875" max="15875" width="14.42578125" style="85" bestFit="1" customWidth="1"/>
    <col min="15876" max="15876" width="81.42578125" style="85" customWidth="1"/>
    <col min="15877" max="15877" width="9.7109375" style="85" customWidth="1"/>
    <col min="15878" max="15878" width="10" style="85" customWidth="1"/>
    <col min="15879" max="15879" width="10.5703125" style="85" bestFit="1" customWidth="1"/>
    <col min="15880" max="15880" width="14.140625" style="85" bestFit="1" customWidth="1"/>
    <col min="15881" max="15881" width="15.5703125" style="85" bestFit="1" customWidth="1"/>
    <col min="15882" max="15882" width="11" style="85" bestFit="1" customWidth="1"/>
    <col min="15883" max="15885" width="9.140625" style="85"/>
    <col min="15886" max="15886" width="11.7109375" style="85" bestFit="1" customWidth="1"/>
    <col min="15887" max="16129" width="9.140625" style="85"/>
    <col min="16130" max="16130" width="8.5703125" style="85" customWidth="1"/>
    <col min="16131" max="16131" width="14.42578125" style="85" bestFit="1" customWidth="1"/>
    <col min="16132" max="16132" width="81.42578125" style="85" customWidth="1"/>
    <col min="16133" max="16133" width="9.7109375" style="85" customWidth="1"/>
    <col min="16134" max="16134" width="10" style="85" customWidth="1"/>
    <col min="16135" max="16135" width="10.5703125" style="85" bestFit="1" customWidth="1"/>
    <col min="16136" max="16136" width="14.140625" style="85" bestFit="1" customWidth="1"/>
    <col min="16137" max="16137" width="15.5703125" style="85" bestFit="1" customWidth="1"/>
    <col min="16138" max="16138" width="11" style="85" bestFit="1" customWidth="1"/>
    <col min="16139" max="16141" width="9.140625" style="85"/>
    <col min="16142" max="16142" width="11.7109375" style="85" bestFit="1" customWidth="1"/>
    <col min="16143" max="16384" width="9.140625" style="85"/>
  </cols>
  <sheetData>
    <row r="1" spans="1:9" ht="13.5" thickBot="1"/>
    <row r="2" spans="1:9" s="91" customFormat="1" ht="6" thickBot="1">
      <c r="B2" s="86"/>
      <c r="C2" s="87"/>
      <c r="D2" s="88"/>
      <c r="E2" s="87"/>
      <c r="F2" s="89"/>
      <c r="G2" s="89"/>
      <c r="H2" s="89"/>
      <c r="I2" s="90"/>
    </row>
    <row r="3" spans="1:9" ht="48" customHeight="1" thickBot="1">
      <c r="B3" s="2020"/>
      <c r="C3" s="2020"/>
      <c r="D3" s="2046" t="s">
        <v>13361</v>
      </c>
      <c r="E3" s="2046"/>
      <c r="F3" s="2010"/>
      <c r="G3" s="2011"/>
      <c r="H3" s="2028" t="str">
        <f>'ORÇAMENTO '!M5</f>
        <v>Ref.: Tabela de Serviços
SINAPI (JANEIRO/2024)</v>
      </c>
      <c r="I3" s="2029"/>
    </row>
    <row r="4" spans="1:9" ht="17.25" customHeight="1" thickBot="1">
      <c r="B4" s="2021"/>
      <c r="C4" s="2021"/>
      <c r="D4" s="2047"/>
      <c r="E4" s="2047"/>
      <c r="F4" s="2023"/>
      <c r="G4" s="2024"/>
      <c r="H4" s="2030" t="str">
        <f>'ORÇAMENTO '!M6</f>
        <v>NÃO DESONERADO</v>
      </c>
      <c r="I4" s="2031"/>
    </row>
    <row r="5" spans="1:9" ht="53.25" customHeight="1" thickBot="1">
      <c r="B5" s="2021"/>
      <c r="C5" s="2021"/>
      <c r="D5" s="2018" t="s">
        <v>13363</v>
      </c>
      <c r="E5" s="2018"/>
      <c r="F5" s="2025"/>
      <c r="G5" s="2026"/>
      <c r="H5" s="92" t="s">
        <v>4</v>
      </c>
      <c r="I5" s="1319">
        <f>'BDI '!G32</f>
        <v>0.24199999999999999</v>
      </c>
    </row>
    <row r="6" spans="1:9" ht="21" thickBot="1">
      <c r="B6" s="2022"/>
      <c r="C6" s="2022"/>
      <c r="D6" s="2019"/>
      <c r="E6" s="2019"/>
      <c r="F6" s="2015"/>
      <c r="G6" s="2016"/>
      <c r="H6" s="2017"/>
      <c r="I6" s="1632"/>
    </row>
    <row r="7" spans="1:9" s="93" customFormat="1" ht="15" customHeight="1" thickBot="1">
      <c r="B7" s="1997" t="s">
        <v>13364</v>
      </c>
      <c r="C7" s="1998"/>
      <c r="D7" s="1998"/>
      <c r="E7" s="1998"/>
      <c r="F7" s="1998"/>
      <c r="G7" s="1998"/>
      <c r="H7" s="1998"/>
      <c r="I7" s="1999"/>
    </row>
    <row r="8" spans="1:9" s="91" customFormat="1" ht="6" thickBot="1">
      <c r="B8" s="86"/>
      <c r="C8" s="87"/>
      <c r="D8" s="88"/>
      <c r="E8" s="87"/>
      <c r="F8" s="89"/>
      <c r="G8" s="89"/>
      <c r="H8" s="89"/>
      <c r="I8" s="90"/>
    </row>
    <row r="9" spans="1:9" ht="15.75">
      <c r="B9" s="182" t="s">
        <v>5</v>
      </c>
      <c r="C9" s="2043" t="str">
        <f>'ORÇAMENTO '!G11</f>
        <v xml:space="preserve">ESCOLA MUNICIPAL DOMINGOS AZZOLINI </v>
      </c>
      <c r="D9" s="2043"/>
      <c r="E9" s="2043"/>
      <c r="F9" s="2043"/>
      <c r="G9" s="2043"/>
      <c r="H9" s="185" t="s">
        <v>6</v>
      </c>
      <c r="I9" s="186">
        <f>'ORÇAMENTO '!N11</f>
        <v>45366</v>
      </c>
    </row>
    <row r="10" spans="1:9" ht="15.75">
      <c r="B10" s="1482" t="s">
        <v>7</v>
      </c>
      <c r="C10" s="2044" t="str">
        <f>'ORÇAMENTO '!G12</f>
        <v>SANTO ANTONIO DO LESTE</v>
      </c>
      <c r="D10" s="2044"/>
      <c r="E10" s="2044"/>
      <c r="F10" s="175"/>
      <c r="G10" s="1480"/>
      <c r="H10" s="1481" t="str">
        <f>'ORÇAMENTO '!K12</f>
        <v>LEIS SOCIAIS: HORISTA</v>
      </c>
      <c r="I10" s="211">
        <f>'ORÇAMENTO '!N12</f>
        <v>1.0684</v>
      </c>
    </row>
    <row r="11" spans="1:9" ht="19.5" customHeight="1" thickBot="1">
      <c r="B11" s="187"/>
      <c r="C11" s="2045"/>
      <c r="D11" s="2045"/>
      <c r="E11" s="2045"/>
      <c r="F11" s="188"/>
      <c r="G11" s="191"/>
      <c r="H11" s="192" t="str">
        <f>'ORÇAMENTO '!K13</f>
        <v>LEIS SOCIAIS: MENSALISTA</v>
      </c>
      <c r="I11" s="193">
        <f>'ORÇAMENTO '!N13</f>
        <v>0.65400000000000003</v>
      </c>
    </row>
    <row r="12" spans="1:9" s="91" customFormat="1" ht="6" thickBot="1">
      <c r="B12" s="1644"/>
      <c r="C12" s="1645"/>
      <c r="D12" s="1638"/>
      <c r="E12" s="1645"/>
      <c r="F12" s="1646"/>
      <c r="G12" s="1646"/>
      <c r="H12" s="1646"/>
      <c r="I12" s="1647"/>
    </row>
    <row r="13" spans="1:9" ht="18.75" thickBot="1">
      <c r="B13" s="2036" t="str">
        <f>C9</f>
        <v xml:space="preserve">ESCOLA MUNICIPAL DOMINGOS AZZOLINI </v>
      </c>
      <c r="C13" s="2037"/>
      <c r="D13" s="2037"/>
      <c r="E13" s="2037"/>
      <c r="F13" s="2037"/>
      <c r="G13" s="2037"/>
      <c r="H13" s="2037"/>
      <c r="I13" s="2038"/>
    </row>
    <row r="14" spans="1:9" s="91" customFormat="1" ht="6.75" customHeight="1" thickBot="1">
      <c r="B14" s="1639"/>
      <c r="C14" s="1640"/>
      <c r="D14" s="1641"/>
      <c r="E14" s="1640"/>
      <c r="F14" s="1642"/>
      <c r="G14" s="1642"/>
      <c r="H14" s="1642"/>
      <c r="I14" s="1643"/>
    </row>
    <row r="15" spans="1:9" s="94" customFormat="1" ht="5.25" customHeight="1">
      <c r="B15" s="2039"/>
      <c r="C15" s="2040"/>
      <c r="D15" s="2040"/>
      <c r="E15" s="2040"/>
      <c r="F15" s="2040"/>
      <c r="G15" s="2040"/>
      <c r="H15" s="2041"/>
      <c r="I15" s="2042"/>
    </row>
    <row r="16" spans="1:9" s="175" customFormat="1" ht="20.100000000000001" customHeight="1">
      <c r="A16" s="175">
        <v>1</v>
      </c>
      <c r="B16" s="168" t="str">
        <f>SUM($A$15:A16)&amp;".0"</f>
        <v>1.0</v>
      </c>
      <c r="C16" s="169"/>
      <c r="D16" s="170" t="str">
        <f ca="1">VLOOKUP($B16,'ORÇAMENTO '!$F$21:$N$1002,4,FALSE)</f>
        <v>A D M I N I S T R A Ç Ã O  O B R A</v>
      </c>
      <c r="E16" s="171"/>
      <c r="F16" s="171"/>
      <c r="G16" s="172">
        <f ca="1">I16/$H$54</f>
        <v>5.4080361804411677E-2</v>
      </c>
      <c r="H16" s="173"/>
      <c r="I16" s="174">
        <f ca="1">IFERROR(VLOOKUP($B16,'ORÇAMENTO '!$F$21:$N$1002,9,FALSE),"")</f>
        <v>203996.41</v>
      </c>
    </row>
    <row r="17" spans="1:14" s="179" customFormat="1" ht="5.25" customHeight="1">
      <c r="B17" s="176"/>
      <c r="C17" s="177"/>
      <c r="D17" s="177"/>
      <c r="E17" s="177"/>
      <c r="F17" s="177"/>
      <c r="G17" s="177"/>
      <c r="H17" s="177"/>
      <c r="I17" s="178"/>
    </row>
    <row r="18" spans="1:14" s="175" customFormat="1" ht="20.100000000000001" customHeight="1">
      <c r="A18" s="175">
        <v>1</v>
      </c>
      <c r="B18" s="168" t="str">
        <f>SUM($A$15:A18)&amp;".0"</f>
        <v>2.0</v>
      </c>
      <c r="C18" s="169"/>
      <c r="D18" s="170" t="str">
        <f ca="1">VLOOKUP($B18,'ORÇAMENTO '!$F$21:$N$1002,4,FALSE)</f>
        <v>S E R V I Ç O S   I N I C I A I S</v>
      </c>
      <c r="E18" s="171"/>
      <c r="F18" s="171"/>
      <c r="G18" s="172">
        <f ca="1">I18/$H$54</f>
        <v>2.1534145139977586E-3</v>
      </c>
      <c r="H18" s="173"/>
      <c r="I18" s="174">
        <f ca="1">IFERROR(VLOOKUP($B18,'ORÇAMENTO '!$F$21:$N$1002,9,FALSE),"")</f>
        <v>8122.8899999999994</v>
      </c>
      <c r="J18" s="180"/>
    </row>
    <row r="19" spans="1:14" s="179" customFormat="1" ht="5.25" customHeight="1">
      <c r="B19" s="176"/>
      <c r="C19" s="177"/>
      <c r="D19" s="177"/>
      <c r="E19" s="177"/>
      <c r="F19" s="177"/>
      <c r="G19" s="177"/>
      <c r="H19" s="177"/>
      <c r="I19" s="178"/>
    </row>
    <row r="20" spans="1:14" s="175" customFormat="1" ht="20.100000000000001" customHeight="1">
      <c r="A20" s="175">
        <v>1</v>
      </c>
      <c r="B20" s="168" t="str">
        <f>SUM($A$15:A20)&amp;".0"</f>
        <v>3.0</v>
      </c>
      <c r="C20" s="169"/>
      <c r="D20" s="170" t="str">
        <f ca="1">VLOOKUP($B20,'ORÇAMENTO '!$F$21:$N$1002,4,FALSE)</f>
        <v xml:space="preserve">D E M O L I Ç Ã O   E   R E T I R A D A S </v>
      </c>
      <c r="E20" s="171"/>
      <c r="F20" s="171"/>
      <c r="G20" s="172">
        <f ca="1">I20/$H$54</f>
        <v>1.6754589759793947E-2</v>
      </c>
      <c r="H20" s="173"/>
      <c r="I20" s="174">
        <f ca="1">IFERROR(VLOOKUP($B20,'ORÇAMENTO '!$F$21:$N$1002,9,FALSE),"")</f>
        <v>63199.950000000004</v>
      </c>
    </row>
    <row r="21" spans="1:14" s="179" customFormat="1" ht="5.25" customHeight="1">
      <c r="B21" s="176"/>
      <c r="C21" s="177"/>
      <c r="D21" s="177"/>
      <c r="E21" s="177"/>
      <c r="F21" s="177"/>
      <c r="G21" s="177"/>
      <c r="H21" s="177"/>
      <c r="I21" s="178"/>
    </row>
    <row r="22" spans="1:14" s="175" customFormat="1" ht="20.100000000000001" customHeight="1">
      <c r="A22" s="175">
        <v>1</v>
      </c>
      <c r="B22" s="168" t="str">
        <f>SUM($A$15:A22)&amp;".0"</f>
        <v>4.0</v>
      </c>
      <c r="C22" s="169"/>
      <c r="D22" s="170" t="str">
        <f ca="1">VLOOKUP($B22,'ORÇAMENTO '!$F$21:$N$1002,4,FALSE)</f>
        <v>M O V I M E N T O  D E   T E R R A</v>
      </c>
      <c r="E22" s="171"/>
      <c r="F22" s="171"/>
      <c r="G22" s="172">
        <f ca="1">I22/$H$54</f>
        <v>1.2221634565125648E-3</v>
      </c>
      <c r="H22" s="173"/>
      <c r="I22" s="174">
        <f ca="1">IFERROR(VLOOKUP($B22,'ORÇAMENTO '!$F$21:$N$1002,9,FALSE),"")</f>
        <v>4610.12</v>
      </c>
    </row>
    <row r="23" spans="1:14" s="179" customFormat="1" ht="5.25" customHeight="1">
      <c r="B23" s="176"/>
      <c r="C23" s="177"/>
      <c r="D23" s="177"/>
      <c r="E23" s="177"/>
      <c r="F23" s="177"/>
      <c r="G23" s="177"/>
      <c r="H23" s="177"/>
      <c r="I23" s="178"/>
    </row>
    <row r="24" spans="1:14" s="175" customFormat="1" ht="20.100000000000001" customHeight="1">
      <c r="A24" s="175">
        <v>1</v>
      </c>
      <c r="B24" s="168" t="str">
        <f>SUM($A$15:A24)&amp;".0"</f>
        <v>5.0</v>
      </c>
      <c r="C24" s="169"/>
      <c r="D24" s="170" t="str">
        <f ca="1">VLOOKUP($B24,'ORÇAMENTO '!$F$21:$N$1002,4,FALSE)</f>
        <v>F U N D A Ç Ã O</v>
      </c>
      <c r="E24" s="171"/>
      <c r="F24" s="171"/>
      <c r="G24" s="172">
        <f ca="1">I24/$H$54</f>
        <v>1.4316771161705823E-2</v>
      </c>
      <c r="H24" s="173"/>
      <c r="I24" s="174">
        <f ca="1">IFERROR(VLOOKUP($B24,'ORÇAMENTO '!$F$21:$N$1002,9,FALSE),"")</f>
        <v>54004.26</v>
      </c>
      <c r="N24" s="180"/>
    </row>
    <row r="25" spans="1:14" s="179" customFormat="1" ht="5.25" customHeight="1">
      <c r="B25" s="176"/>
      <c r="C25" s="177"/>
      <c r="D25" s="177"/>
      <c r="E25" s="177"/>
      <c r="F25" s="177"/>
      <c r="G25" s="177"/>
      <c r="H25" s="177"/>
      <c r="I25" s="178"/>
    </row>
    <row r="26" spans="1:14" s="175" customFormat="1" ht="20.100000000000001" customHeight="1">
      <c r="A26" s="175">
        <v>1</v>
      </c>
      <c r="B26" s="168" t="str">
        <f>SUM($A$15:A26)&amp;".0"</f>
        <v>6.0</v>
      </c>
      <c r="C26" s="169"/>
      <c r="D26" s="170" t="str">
        <f ca="1">VLOOKUP($B26,'ORÇAMENTO '!$F$21:$N$1002,4,FALSE)</f>
        <v>E S T R U T U R A  - M E T Á L I C O</v>
      </c>
      <c r="E26" s="171"/>
      <c r="F26" s="171"/>
      <c r="G26" s="172">
        <f ca="1">I26/$H$54</f>
        <v>0.17919298183188906</v>
      </c>
      <c r="H26" s="173"/>
      <c r="I26" s="174">
        <f ca="1">IFERROR(VLOOKUP($B26,'ORÇAMENTO '!$F$21:$N$1002,9,FALSE),"")</f>
        <v>675933.44000000006</v>
      </c>
    </row>
    <row r="27" spans="1:14" s="179" customFormat="1" ht="5.25" customHeight="1">
      <c r="B27" s="176"/>
      <c r="C27" s="177"/>
      <c r="D27" s="177"/>
      <c r="E27" s="177"/>
      <c r="F27" s="177"/>
      <c r="G27" s="177"/>
      <c r="H27" s="177"/>
      <c r="I27" s="178"/>
    </row>
    <row r="28" spans="1:14" s="175" customFormat="1" ht="20.100000000000001" customHeight="1">
      <c r="A28" s="175">
        <v>1</v>
      </c>
      <c r="B28" s="168" t="str">
        <f>SUM($A$15:A28)&amp;".0"</f>
        <v>7.0</v>
      </c>
      <c r="C28" s="169"/>
      <c r="D28" s="170" t="str">
        <f ca="1">VLOOKUP($B28,'ORÇAMENTO '!$F$21:$N$1002,4,FALSE)</f>
        <v>A L V E N A R I A S ,   F E C H A M E N T O S   E   D I V I S Ó R I A S</v>
      </c>
      <c r="E28" s="171"/>
      <c r="F28" s="171"/>
      <c r="G28" s="172">
        <f ca="1">I28/$H$54</f>
        <v>9.4509348780844014E-3</v>
      </c>
      <c r="H28" s="173"/>
      <c r="I28" s="174">
        <f ca="1">IFERROR(VLOOKUP($B28,'ORÇAMENTO '!$F$21:$N$1002,9,FALSE),"")</f>
        <v>35649.85</v>
      </c>
      <c r="J28" s="180"/>
      <c r="N28" s="181"/>
    </row>
    <row r="29" spans="1:14" s="179" customFormat="1" ht="5.25" customHeight="1">
      <c r="B29" s="176"/>
      <c r="C29" s="177"/>
      <c r="D29" s="177"/>
      <c r="E29" s="177"/>
      <c r="F29" s="177"/>
      <c r="G29" s="177"/>
      <c r="H29" s="177"/>
      <c r="I29" s="178"/>
    </row>
    <row r="30" spans="1:14" s="175" customFormat="1" ht="20.100000000000001" customHeight="1">
      <c r="A30" s="175">
        <v>1</v>
      </c>
      <c r="B30" s="168" t="str">
        <f>SUM($A$15:A30)&amp;".0"</f>
        <v>8.0</v>
      </c>
      <c r="C30" s="169"/>
      <c r="D30" s="170" t="str">
        <f ca="1">VLOOKUP($B30,'ORÇAMENTO '!$F$21:$N$1002,4,FALSE)</f>
        <v>E S Q U A D R I A S</v>
      </c>
      <c r="E30" s="171"/>
      <c r="F30" s="171"/>
      <c r="G30" s="172">
        <f ca="1">I30/$H$54</f>
        <v>4.0824870144602531E-2</v>
      </c>
      <c r="H30" s="173"/>
      <c r="I30" s="174">
        <f ca="1">IFERROR(VLOOKUP($B30,'ORÇAMENTO '!$F$21:$N$1002,9,FALSE),"")</f>
        <v>153995.4</v>
      </c>
    </row>
    <row r="31" spans="1:14" s="179" customFormat="1" ht="5.25" customHeight="1">
      <c r="B31" s="176"/>
      <c r="C31" s="177"/>
      <c r="D31" s="177"/>
      <c r="E31" s="177"/>
      <c r="F31" s="177"/>
      <c r="G31" s="177"/>
      <c r="H31" s="177"/>
      <c r="I31" s="178"/>
    </row>
    <row r="32" spans="1:14" s="175" customFormat="1" ht="20.100000000000001" customHeight="1">
      <c r="A32" s="175">
        <v>1</v>
      </c>
      <c r="B32" s="168" t="str">
        <f>SUM($A$15:A32)&amp;".0"</f>
        <v>9.0</v>
      </c>
      <c r="C32" s="169"/>
      <c r="D32" s="170" t="str">
        <f ca="1">VLOOKUP($B32,'ORÇAMENTO '!$F$21:$N$1002,4,FALSE)</f>
        <v>C O B E R T U R A S</v>
      </c>
      <c r="E32" s="171"/>
      <c r="F32" s="171"/>
      <c r="G32" s="172">
        <f ca="1">I32/$H$54</f>
        <v>0.23486837389019605</v>
      </c>
      <c r="H32" s="173"/>
      <c r="I32" s="174">
        <f ca="1">IFERROR(VLOOKUP($B32,'ORÇAMENTO '!$F$21:$N$1002,9,FALSE),"")</f>
        <v>885946.45999999985</v>
      </c>
    </row>
    <row r="33" spans="1:10" s="179" customFormat="1" ht="5.25" customHeight="1">
      <c r="B33" s="176"/>
      <c r="C33" s="177"/>
      <c r="D33" s="177"/>
      <c r="E33" s="177"/>
      <c r="F33" s="177"/>
      <c r="G33" s="177"/>
      <c r="H33" s="177"/>
      <c r="I33" s="178"/>
    </row>
    <row r="34" spans="1:10" s="175" customFormat="1" ht="20.100000000000001" customHeight="1">
      <c r="A34" s="175">
        <v>1</v>
      </c>
      <c r="B34" s="168" t="str">
        <f>SUM($A$15:A34)&amp;".0"</f>
        <v>10.0</v>
      </c>
      <c r="C34" s="169"/>
      <c r="D34" s="170" t="str">
        <f ca="1">VLOOKUP($B34,'ORÇAMENTO '!$F$21:$N$1002,4,FALSE)</f>
        <v>P I S O S</v>
      </c>
      <c r="E34" s="171"/>
      <c r="F34" s="171"/>
      <c r="G34" s="172">
        <f ca="1">I34/$H$54</f>
        <v>0.13547910912689951</v>
      </c>
      <c r="H34" s="173"/>
      <c r="I34" s="174">
        <f ca="1">IFERROR(VLOOKUP($B34,'ORÇAMENTO '!$F$21:$N$1002,9,FALSE),"")</f>
        <v>511040.43999999994</v>
      </c>
    </row>
    <row r="35" spans="1:10" s="179" customFormat="1" ht="5.25" customHeight="1">
      <c r="B35" s="176"/>
      <c r="C35" s="177"/>
      <c r="D35" s="177"/>
      <c r="E35" s="177"/>
      <c r="F35" s="177"/>
      <c r="G35" s="177"/>
      <c r="H35" s="177"/>
      <c r="I35" s="178"/>
    </row>
    <row r="36" spans="1:10" s="175" customFormat="1" ht="20.100000000000001" customHeight="1">
      <c r="A36" s="175">
        <v>1</v>
      </c>
      <c r="B36" s="168" t="str">
        <f>SUM($A$15:A36)&amp;".0"</f>
        <v>11.0</v>
      </c>
      <c r="C36" s="169"/>
      <c r="D36" s="170" t="str">
        <f ca="1">VLOOKUP($B36,'ORÇAMENTO '!$F$21:$N$1002,4,FALSE)</f>
        <v xml:space="preserve">I N S T A L A Ç Õ E S   H I D R O S S A N I T Á R I A S </v>
      </c>
      <c r="E36" s="171"/>
      <c r="F36" s="171"/>
      <c r="G36" s="172">
        <f ca="1">I36/$H$54</f>
        <v>3.6161629354179006E-2</v>
      </c>
      <c r="H36" s="173"/>
      <c r="I36" s="174">
        <f ca="1">IFERROR(VLOOKUP($B36,'ORÇAMENTO '!$F$21:$N$1002,9,FALSE),"")</f>
        <v>136405.20000000001</v>
      </c>
    </row>
    <row r="37" spans="1:10" s="179" customFormat="1" ht="5.25" customHeight="1">
      <c r="B37" s="176"/>
      <c r="C37" s="177"/>
      <c r="D37" s="177"/>
      <c r="E37" s="177"/>
      <c r="F37" s="177"/>
      <c r="G37" s="177"/>
      <c r="H37" s="177"/>
      <c r="I37" s="178"/>
    </row>
    <row r="38" spans="1:10" s="175" customFormat="1" ht="20.100000000000001" customHeight="1">
      <c r="A38" s="175">
        <v>1</v>
      </c>
      <c r="B38" s="168" t="str">
        <f>SUM($A$15:A38)&amp;".0"</f>
        <v>12.0</v>
      </c>
      <c r="C38" s="169"/>
      <c r="D38" s="170" t="str">
        <f ca="1">VLOOKUP($B38,'ORÇAMENTO '!$F$21:$N$1002,4,FALSE)</f>
        <v xml:space="preserve">I N S T A L A Ç Õ E S   E L É T R I C A S </v>
      </c>
      <c r="E38" s="171"/>
      <c r="F38" s="171"/>
      <c r="G38" s="172">
        <f ca="1">I38/$H$54</f>
        <v>7.2422293788236503E-2</v>
      </c>
      <c r="H38" s="173"/>
      <c r="I38" s="174">
        <f ca="1">IFERROR(VLOOKUP($B38,'ORÇAMENTO '!$F$21:$N$1002,9,FALSE),"")</f>
        <v>273183.97000000003</v>
      </c>
      <c r="J38" s="180"/>
    </row>
    <row r="39" spans="1:10" s="179" customFormat="1" ht="5.25" customHeight="1">
      <c r="B39" s="176"/>
      <c r="C39" s="177"/>
      <c r="D39" s="177"/>
      <c r="E39" s="177"/>
      <c r="F39" s="177"/>
      <c r="G39" s="177"/>
      <c r="H39" s="177"/>
      <c r="I39" s="178"/>
    </row>
    <row r="40" spans="1:10" s="175" customFormat="1" ht="20.100000000000001" customHeight="1">
      <c r="A40" s="175">
        <v>1</v>
      </c>
      <c r="B40" s="168" t="str">
        <f>SUM($A$15:A40)&amp;".0"</f>
        <v>13.0</v>
      </c>
      <c r="C40" s="169"/>
      <c r="D40" s="170" t="str">
        <f ca="1">VLOOKUP($B40,'ORÇAMENTO '!$F$21:$N$1002,4,FALSE)</f>
        <v>S P D A</v>
      </c>
      <c r="E40" s="171"/>
      <c r="F40" s="171"/>
      <c r="G40" s="172">
        <f ca="1">I40/$H$54</f>
        <v>5.2706484357180214E-2</v>
      </c>
      <c r="H40" s="173"/>
      <c r="I40" s="174">
        <f ca="1">IFERROR(VLOOKUP($B40,'ORÇAMENTO '!$F$21:$N$1002,9,FALSE),"")</f>
        <v>198814.01</v>
      </c>
    </row>
    <row r="41" spans="1:10" s="179" customFormat="1" ht="5.25" customHeight="1">
      <c r="B41" s="176"/>
      <c r="C41" s="177"/>
      <c r="D41" s="177"/>
      <c r="E41" s="177"/>
      <c r="F41" s="177"/>
      <c r="G41" s="177"/>
      <c r="H41" s="177"/>
      <c r="I41" s="178"/>
    </row>
    <row r="42" spans="1:10" s="175" customFormat="1" ht="20.100000000000001" customHeight="1">
      <c r="A42" s="175">
        <v>1</v>
      </c>
      <c r="B42" s="168" t="str">
        <f>SUM($A$15:A42)&amp;".0"</f>
        <v>14.0</v>
      </c>
      <c r="C42" s="169"/>
      <c r="D42" s="170" t="str">
        <f ca="1">VLOOKUP($B42,'ORÇAMENTO '!$F$21:$N$1002,4,FALSE)</f>
        <v>G L P</v>
      </c>
      <c r="E42" s="171"/>
      <c r="F42" s="171"/>
      <c r="G42" s="172">
        <f ca="1">I42/$H$54</f>
        <v>3.6648308155048774E-4</v>
      </c>
      <c r="H42" s="173"/>
      <c r="I42" s="174">
        <f ca="1">IFERROR(VLOOKUP($B42,'ORÇAMENTO '!$F$21:$N$1002,9,FALSE),"")</f>
        <v>1382.4099999999999</v>
      </c>
    </row>
    <row r="43" spans="1:10" s="179" customFormat="1" ht="5.25" customHeight="1">
      <c r="B43" s="176"/>
      <c r="C43" s="177"/>
      <c r="D43" s="177"/>
      <c r="E43" s="177"/>
      <c r="F43" s="177"/>
      <c r="G43" s="177"/>
      <c r="H43" s="177"/>
      <c r="I43" s="178"/>
    </row>
    <row r="44" spans="1:10" s="175" customFormat="1" ht="20.100000000000001" customHeight="1">
      <c r="A44" s="175">
        <v>1</v>
      </c>
      <c r="B44" s="168" t="str">
        <f>SUM($A$15:A44)&amp;".0"</f>
        <v>15.0</v>
      </c>
      <c r="C44" s="169"/>
      <c r="D44" s="170" t="str">
        <f ca="1">VLOOKUP($B44,'ORÇAMENTO '!$F$21:$N$1002,4,FALSE)</f>
        <v>P R E V E N Ç Ã O   E   C O M B A T E   A   I N C Ê N D I O</v>
      </c>
      <c r="E44" s="171"/>
      <c r="F44" s="171"/>
      <c r="G44" s="172">
        <f ca="1">I44/$H$54</f>
        <v>1.2841098896979004E-2</v>
      </c>
      <c r="H44" s="173"/>
      <c r="I44" s="174">
        <f ca="1">IFERROR(VLOOKUP($B44,'ORÇAMENTO '!$F$21:$N$1002,9,FALSE),"")</f>
        <v>48437.880000000012</v>
      </c>
    </row>
    <row r="45" spans="1:10" s="179" customFormat="1" ht="5.25" customHeight="1">
      <c r="B45" s="176"/>
      <c r="C45" s="177"/>
      <c r="D45" s="177"/>
      <c r="E45" s="177"/>
      <c r="F45" s="177"/>
      <c r="G45" s="177"/>
      <c r="H45" s="177"/>
      <c r="I45" s="178"/>
    </row>
    <row r="46" spans="1:10" s="175" customFormat="1" ht="20.100000000000001" customHeight="1">
      <c r="A46" s="175">
        <v>1</v>
      </c>
      <c r="B46" s="168" t="str">
        <f>SUM($A$15:A46)&amp;".0"</f>
        <v>16.0</v>
      </c>
      <c r="C46" s="169"/>
      <c r="D46" s="170" t="str">
        <f ca="1">VLOOKUP($B46,'ORÇAMENTO '!$F$21:$N$1002,4,FALSE)</f>
        <v>P I N T U R A S</v>
      </c>
      <c r="E46" s="171"/>
      <c r="F46" s="171"/>
      <c r="G46" s="172">
        <f ca="1">I46/$H$54</f>
        <v>4.2138441625159055E-2</v>
      </c>
      <c r="H46" s="173"/>
      <c r="I46" s="174">
        <f ca="1">IFERROR(VLOOKUP($B46,'ORÇAMENTO '!$F$21:$N$1002,9,FALSE),"")</f>
        <v>158950.32</v>
      </c>
      <c r="J46" s="180"/>
    </row>
    <row r="47" spans="1:10" s="179" customFormat="1" ht="5.25" customHeight="1">
      <c r="B47" s="176"/>
      <c r="C47" s="177"/>
      <c r="D47" s="177"/>
      <c r="E47" s="177"/>
      <c r="F47" s="177"/>
      <c r="G47" s="177"/>
      <c r="H47" s="177"/>
      <c r="I47" s="178"/>
    </row>
    <row r="48" spans="1:10" s="175" customFormat="1" ht="20.100000000000001" customHeight="1">
      <c r="A48" s="175">
        <v>1</v>
      </c>
      <c r="B48" s="168" t="str">
        <f>SUM($A$15:A48)&amp;".0"</f>
        <v>17.0</v>
      </c>
      <c r="C48" s="169"/>
      <c r="D48" s="170" t="str">
        <f ca="1">VLOOKUP($B48,'ORÇAMENTO '!$F$21:$N$1002,4,FALSE)</f>
        <v>U R B A N I Z A Ç Ã O   E   S E R V I Ç O S   E X T E R N O S</v>
      </c>
      <c r="E48" s="171"/>
      <c r="F48" s="171"/>
      <c r="G48" s="172">
        <f ca="1">I48/$H$54</f>
        <v>2.2029938232803949E-2</v>
      </c>
      <c r="H48" s="173"/>
      <c r="I48" s="174">
        <f ca="1">IFERROR(VLOOKUP($B48,'ORÇAMENTO '!$F$21:$N$1002,9,FALSE),"")</f>
        <v>83099.08</v>
      </c>
    </row>
    <row r="49" spans="1:14" s="179" customFormat="1" ht="5.25" customHeight="1">
      <c r="B49" s="176"/>
      <c r="C49" s="177"/>
      <c r="D49" s="177"/>
      <c r="E49" s="177"/>
      <c r="F49" s="177"/>
      <c r="G49" s="177"/>
      <c r="H49" s="177"/>
      <c r="I49" s="178"/>
    </row>
    <row r="50" spans="1:14" s="175" customFormat="1" ht="20.100000000000001" customHeight="1">
      <c r="A50" s="175">
        <v>1</v>
      </c>
      <c r="B50" s="168" t="str">
        <f>SUM($A$15:A50)&amp;".0"</f>
        <v>18.0</v>
      </c>
      <c r="C50" s="169"/>
      <c r="D50" s="170" t="str">
        <f ca="1">VLOOKUP($B50,'ORÇAMENTO '!$F$21:$N$1002,4,FALSE)</f>
        <v>P L A Y G R O U N D</v>
      </c>
      <c r="E50" s="171"/>
      <c r="F50" s="171"/>
      <c r="G50" s="172">
        <f ca="1">I50/$H$54</f>
        <v>7.2438022436921304E-3</v>
      </c>
      <c r="H50" s="173"/>
      <c r="I50" s="174">
        <f ca="1">IFERROR(VLOOKUP($B50,'ORÇAMENTO '!$F$21:$N$1002,9,FALSE),"")</f>
        <v>27324.329999999994</v>
      </c>
    </row>
    <row r="51" spans="1:14" s="179" customFormat="1" ht="5.25" customHeight="1">
      <c r="B51" s="176"/>
      <c r="C51" s="177"/>
      <c r="D51" s="177"/>
      <c r="E51" s="177"/>
      <c r="F51" s="177"/>
      <c r="G51" s="177"/>
      <c r="H51" s="177"/>
      <c r="I51" s="178"/>
    </row>
    <row r="52" spans="1:14" s="175" customFormat="1" ht="20.100000000000001" customHeight="1">
      <c r="A52" s="175">
        <v>1</v>
      </c>
      <c r="B52" s="168" t="str">
        <f>SUM($A$15:A52)&amp;".0"</f>
        <v>19.0</v>
      </c>
      <c r="C52" s="169"/>
      <c r="D52" s="170" t="str">
        <f ca="1">VLOOKUP($B52,'ORÇAMENTO '!$F$21:$N$1002,4,FALSE)</f>
        <v xml:space="preserve">S E R V I Ç O S   C O M P L E M E N T A R E S </v>
      </c>
      <c r="E52" s="171"/>
      <c r="F52" s="171"/>
      <c r="G52" s="172">
        <f ca="1">I52/$H$54</f>
        <v>6.5746257852126219E-2</v>
      </c>
      <c r="H52" s="173"/>
      <c r="I52" s="174">
        <f ca="1">IFERROR(VLOOKUP($B52,'ORÇAMENTO '!$F$21:$N$1002,9,FALSE),"")</f>
        <v>248001.31</v>
      </c>
      <c r="N52" s="180"/>
    </row>
    <row r="53" spans="1:14" s="179" customFormat="1" ht="5.25" customHeight="1">
      <c r="B53" s="176"/>
      <c r="C53" s="177"/>
      <c r="D53" s="177"/>
      <c r="E53" s="177"/>
      <c r="F53" s="177"/>
      <c r="G53" s="177"/>
      <c r="H53" s="177"/>
      <c r="I53" s="178"/>
    </row>
    <row r="54" spans="1:14" ht="24" thickBot="1">
      <c r="B54" s="2032" t="s">
        <v>330</v>
      </c>
      <c r="C54" s="2033"/>
      <c r="D54" s="2033"/>
      <c r="E54" s="2033"/>
      <c r="F54" s="2033"/>
      <c r="G54" s="95">
        <f ca="1">SUM(G16:G53)</f>
        <v>0.99999999999999978</v>
      </c>
      <c r="H54" s="2034">
        <f ca="1">SUM(I16:OFFSET(H54,-1,1))</f>
        <v>3772097.7300000004</v>
      </c>
      <c r="I54" s="2035"/>
      <c r="J54" s="977" t="b">
        <f ca="1">H54='ORÇAMENTO '!L341</f>
        <v>1</v>
      </c>
    </row>
    <row r="55" spans="1:14" s="1484" customFormat="1" ht="24.95" customHeight="1">
      <c r="B55" s="2027" t="e">
        <f ca="1">UPPER(Extenso_Valor(H54))</f>
        <v>#NAME?</v>
      </c>
      <c r="C55" s="2027"/>
      <c r="D55" s="2027"/>
      <c r="E55" s="2027"/>
      <c r="F55" s="2027"/>
      <c r="G55" s="2027"/>
      <c r="H55" s="2027"/>
      <c r="I55" s="2027"/>
    </row>
    <row r="57" spans="1:14">
      <c r="C57" s="771"/>
    </row>
    <row r="58" spans="1:14">
      <c r="C58" s="771"/>
    </row>
    <row r="59" spans="1:14">
      <c r="C59" s="771"/>
    </row>
  </sheetData>
  <mergeCells count="16">
    <mergeCell ref="F6:H6"/>
    <mergeCell ref="D5:E6"/>
    <mergeCell ref="B3:C6"/>
    <mergeCell ref="F3:G5"/>
    <mergeCell ref="B55:I55"/>
    <mergeCell ref="H3:I3"/>
    <mergeCell ref="H4:I4"/>
    <mergeCell ref="B54:F54"/>
    <mergeCell ref="H54:I54"/>
    <mergeCell ref="B7:I7"/>
    <mergeCell ref="B13:I13"/>
    <mergeCell ref="B15:I15"/>
    <mergeCell ref="C9:G9"/>
    <mergeCell ref="C10:E10"/>
    <mergeCell ref="C11:E11"/>
    <mergeCell ref="D3:E4"/>
  </mergeCells>
  <pageMargins left="0.511811024" right="0.511811024" top="0.78740157499999996" bottom="0.78740157499999996" header="0.31496062000000002" footer="0.31496062000000002"/>
  <pageSetup paperSize="9" scale="54"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ASS!$B$2:$B$7</xm:f>
          </x14:formula1>
          <xm:sqref>C57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31">
    <tabColor theme="3" tint="0.79998168889431442"/>
    <pageSetUpPr fitToPage="1"/>
  </sheetPr>
  <dimension ref="A1:S44"/>
  <sheetViews>
    <sheetView view="pageBreakPreview" topLeftCell="A5" zoomScale="85" zoomScaleNormal="100" zoomScaleSheetLayoutView="85" workbookViewId="0">
      <selection activeCell="E26" sqref="E26:J26"/>
    </sheetView>
  </sheetViews>
  <sheetFormatPr defaultColWidth="9.140625" defaultRowHeight="12.75"/>
  <cols>
    <col min="1" max="4" width="9.140625" style="259"/>
    <col min="5" max="6" width="12.7109375" style="259" customWidth="1"/>
    <col min="7" max="7" width="75.7109375" style="259" customWidth="1"/>
    <col min="8" max="8" width="30.7109375" style="259" customWidth="1"/>
    <col min="9" max="9" width="12.85546875" style="259" customWidth="1"/>
    <col min="10" max="10" width="17.140625" style="259" customWidth="1"/>
    <col min="11" max="12" width="9.140625" style="259"/>
    <col min="13" max="13" width="13.140625" style="259" customWidth="1"/>
    <col min="14" max="16384" width="9.140625" style="259"/>
  </cols>
  <sheetData>
    <row r="1" spans="1:19" ht="21.6" customHeight="1" thickBot="1">
      <c r="B1" s="888"/>
      <c r="D1" s="889"/>
    </row>
    <row r="2" spans="1:19" ht="45.75" customHeight="1" thickTop="1">
      <c r="A2" s="890"/>
      <c r="B2" s="891" t="e">
        <f>1+I18/100+I20/100+I21/100+#REF!/100</f>
        <v>#REF!</v>
      </c>
      <c r="D2" s="889"/>
      <c r="F2" s="892" t="s">
        <v>4</v>
      </c>
      <c r="G2" s="893" t="s">
        <v>1999</v>
      </c>
    </row>
    <row r="3" spans="1:19" ht="13.5" thickBot="1">
      <c r="A3" s="890"/>
      <c r="B3" s="894">
        <f>1+I19/100</f>
        <v>1.0082</v>
      </c>
      <c r="D3" s="889"/>
    </row>
    <row r="4" spans="1:19" s="11" customFormat="1" ht="6.75" thickBot="1">
      <c r="D4" s="12"/>
      <c r="E4" s="13"/>
      <c r="F4" s="70"/>
      <c r="G4" s="72"/>
      <c r="H4" s="70"/>
      <c r="I4" s="71"/>
      <c r="J4" s="73"/>
      <c r="K4" s="17"/>
      <c r="L4" s="18"/>
    </row>
    <row r="5" spans="1:19" s="284" customFormat="1" ht="44.25" customHeight="1" thickBot="1">
      <c r="D5" s="19"/>
      <c r="E5" s="2128"/>
      <c r="F5" s="2722"/>
      <c r="G5" s="2710"/>
      <c r="H5" s="2710"/>
      <c r="I5" s="2118" t="str">
        <f>'BDI '!G5</f>
        <v>Ref.: Tabela de Serviços
SINAPI (JANEIRO/2024)</v>
      </c>
      <c r="J5" s="2119"/>
      <c r="K5" s="20"/>
      <c r="L5" s="283"/>
    </row>
    <row r="6" spans="1:19" s="284" customFormat="1" ht="27" thickBot="1">
      <c r="D6" s="19"/>
      <c r="E6" s="2130"/>
      <c r="F6" s="2723"/>
      <c r="G6" s="2712"/>
      <c r="H6" s="2711"/>
      <c r="I6" s="2118" t="str">
        <f>'ORÇAMENTO '!M6</f>
        <v>NÃO DESONERADO</v>
      </c>
      <c r="J6" s="2119"/>
      <c r="K6" s="20"/>
      <c r="L6" s="283"/>
    </row>
    <row r="7" spans="1:19" s="284" customFormat="1" ht="27" thickBot="1">
      <c r="D7" s="2"/>
      <c r="E7" s="2130"/>
      <c r="F7" s="2131"/>
      <c r="G7" s="1637"/>
      <c r="H7" s="2712"/>
      <c r="I7" s="1389" t="s">
        <v>4</v>
      </c>
      <c r="J7" s="1325">
        <f>'BDI '!H7</f>
        <v>0.24199999999999999</v>
      </c>
      <c r="K7" s="20"/>
      <c r="L7" s="283"/>
    </row>
    <row r="8" spans="1:19" s="284" customFormat="1" ht="27" customHeight="1" thickBot="1">
      <c r="D8" s="2"/>
      <c r="E8" s="2132"/>
      <c r="F8" s="2133"/>
      <c r="G8" s="2734" t="s">
        <v>2172</v>
      </c>
      <c r="H8" s="2735"/>
      <c r="I8" s="2724">
        <f>I33</f>
        <v>0.11409999999999999</v>
      </c>
      <c r="J8" s="2725"/>
      <c r="K8" s="20"/>
      <c r="L8" s="283"/>
    </row>
    <row r="9" spans="1:19" s="21" customFormat="1" ht="18.75" customHeight="1" thickBot="1">
      <c r="D9" s="22"/>
      <c r="E9" s="2114" t="s">
        <v>413</v>
      </c>
      <c r="F9" s="2115"/>
      <c r="G9" s="2115"/>
      <c r="H9" s="2115"/>
      <c r="I9" s="2115"/>
      <c r="J9" s="2777"/>
      <c r="K9" s="23"/>
      <c r="L9" s="24"/>
    </row>
    <row r="10" spans="1:19" s="11" customFormat="1" ht="6.75" thickBot="1">
      <c r="D10" s="12"/>
      <c r="E10" s="1320"/>
      <c r="F10" s="70"/>
      <c r="G10" s="72"/>
      <c r="H10" s="70"/>
      <c r="I10" s="71"/>
      <c r="J10" s="73"/>
      <c r="K10" s="17"/>
      <c r="L10" s="18"/>
    </row>
    <row r="11" spans="1:19" s="338" customFormat="1" ht="15.75">
      <c r="D11" s="339"/>
      <c r="E11" s="1431" t="s">
        <v>5</v>
      </c>
      <c r="F11" s="2104" t="str">
        <f>'BDI '!D10</f>
        <v xml:space="preserve">ESCOLA MUNICIPAL DOMINGOS AZZOLINI </v>
      </c>
      <c r="G11" s="2104"/>
      <c r="H11" s="2104"/>
      <c r="I11" s="1478" t="s">
        <v>6</v>
      </c>
      <c r="J11" s="1479">
        <f>'BDI '!H10</f>
        <v>45366</v>
      </c>
      <c r="K11" s="1597"/>
      <c r="L11" s="341"/>
    </row>
    <row r="12" spans="1:19" s="338" customFormat="1" ht="15.75">
      <c r="D12" s="339"/>
      <c r="E12" s="358" t="s">
        <v>7</v>
      </c>
      <c r="F12" s="2701" t="str">
        <f>'BDI '!D11</f>
        <v>SANTO ANTONIO DO LESTE</v>
      </c>
      <c r="G12" s="2701"/>
      <c r="I12" s="1595" t="str">
        <f>'ORÇAMENTO '!K12</f>
        <v>LEIS SOCIAIS: HORISTA</v>
      </c>
      <c r="J12" s="1601">
        <f>'BDI '!H11</f>
        <v>1.0684</v>
      </c>
      <c r="K12" s="1602"/>
      <c r="L12" s="341"/>
    </row>
    <row r="13" spans="1:19" s="338" customFormat="1" ht="16.5" thickBot="1">
      <c r="D13" s="339"/>
      <c r="E13" s="1599"/>
      <c r="F13" s="2702"/>
      <c r="G13" s="2702"/>
      <c r="H13" s="1600"/>
      <c r="I13" s="1596" t="str">
        <f>'ORÇAMENTO '!K13</f>
        <v>LEIS SOCIAIS: MENSALISTA</v>
      </c>
      <c r="J13" s="1575">
        <f>'BDI '!H12</f>
        <v>0.65400000000000003</v>
      </c>
      <c r="K13" s="1602"/>
      <c r="L13" s="341"/>
    </row>
    <row r="14" spans="1:19" s="21" customFormat="1" ht="24" customHeight="1" thickBot="1">
      <c r="D14" s="22"/>
      <c r="E14" s="2703" t="s">
        <v>4</v>
      </c>
      <c r="F14" s="2704"/>
      <c r="G14" s="2704"/>
      <c r="H14" s="2704"/>
      <c r="I14" s="2704"/>
      <c r="J14" s="2705"/>
      <c r="K14" s="23"/>
      <c r="L14" s="24"/>
      <c r="M14" s="2713" t="s">
        <v>2284</v>
      </c>
      <c r="N14" s="2714"/>
      <c r="O14" s="2715"/>
    </row>
    <row r="15" spans="1:19" ht="16.5" customHeight="1" thickBot="1">
      <c r="D15" s="889"/>
      <c r="E15" s="2726" t="s">
        <v>10</v>
      </c>
      <c r="F15" s="2728" t="s">
        <v>346</v>
      </c>
      <c r="G15" s="2728"/>
      <c r="H15" s="2728"/>
      <c r="I15" s="2730" t="s">
        <v>347</v>
      </c>
      <c r="J15" s="2731"/>
      <c r="M15" s="2716"/>
      <c r="N15" s="2717"/>
      <c r="O15" s="2718"/>
    </row>
    <row r="16" spans="1:19" ht="16.5" thickBot="1">
      <c r="D16" s="889"/>
      <c r="E16" s="2727"/>
      <c r="F16" s="2729"/>
      <c r="G16" s="2729"/>
      <c r="H16" s="2729"/>
      <c r="I16" s="2732" t="s">
        <v>348</v>
      </c>
      <c r="J16" s="2733"/>
      <c r="M16" s="2719"/>
      <c r="N16" s="2720"/>
      <c r="O16" s="2721"/>
      <c r="P16" s="66"/>
      <c r="Q16" s="2646" t="s">
        <v>2285</v>
      </c>
      <c r="R16" s="2647"/>
      <c r="S16" s="2648"/>
    </row>
    <row r="17" spans="4:19" ht="15.75">
      <c r="D17" s="66">
        <f>1+I18/100+I20/100+I19/100</f>
        <v>1.0287999999999999</v>
      </c>
      <c r="E17" s="1755">
        <v>1</v>
      </c>
      <c r="F17" s="2774" t="s">
        <v>349</v>
      </c>
      <c r="G17" s="2774"/>
      <c r="H17" s="2774"/>
      <c r="I17" s="2775">
        <f>I18+I19+I20+I21</f>
        <v>3.1799999999999997</v>
      </c>
      <c r="J17" s="2776"/>
      <c r="M17" s="1040" t="s">
        <v>2276</v>
      </c>
      <c r="N17" s="1041" t="s">
        <v>2277</v>
      </c>
      <c r="O17" s="1042" t="s">
        <v>2278</v>
      </c>
      <c r="P17" s="66"/>
      <c r="Q17" s="1036" t="s">
        <v>428</v>
      </c>
      <c r="R17" s="1024"/>
      <c r="S17" s="1025">
        <v>0.16869999999999999</v>
      </c>
    </row>
    <row r="18" spans="4:19" ht="15.75" customHeight="1" thickBot="1">
      <c r="D18" s="66">
        <f>1+I23/100</f>
        <v>1.0403</v>
      </c>
      <c r="E18" s="1046" t="s">
        <v>151</v>
      </c>
      <c r="F18" s="2765" t="s">
        <v>366</v>
      </c>
      <c r="G18" s="2765"/>
      <c r="H18" s="2765"/>
      <c r="I18" s="2758">
        <v>1.5</v>
      </c>
      <c r="J18" s="2759"/>
      <c r="M18" s="1030">
        <v>1.4999999999999999E-2</v>
      </c>
      <c r="N18" s="1031">
        <v>3.4500000000000003E-2</v>
      </c>
      <c r="O18" s="1032">
        <v>4.4900000000000002E-2</v>
      </c>
      <c r="P18" s="66"/>
      <c r="Q18" s="1037" t="s">
        <v>429</v>
      </c>
      <c r="R18" s="1038"/>
      <c r="S18" s="1026">
        <v>0.11409999999999999</v>
      </c>
    </row>
    <row r="19" spans="4:19" ht="15.75" customHeight="1">
      <c r="D19" s="66">
        <f>1+I21/100</f>
        <v>1.0029999999999999</v>
      </c>
      <c r="E19" s="1046" t="s">
        <v>152</v>
      </c>
      <c r="F19" s="2765" t="s">
        <v>2275</v>
      </c>
      <c r="G19" s="2765"/>
      <c r="H19" s="2765"/>
      <c r="I19" s="2758">
        <v>0.82</v>
      </c>
      <c r="J19" s="2759"/>
      <c r="M19" s="1030">
        <v>3.0000000000000001E-3</v>
      </c>
      <c r="N19" s="1031">
        <v>4.7999999999999996E-3</v>
      </c>
      <c r="O19" s="1032">
        <v>8.199999999999999E-3</v>
      </c>
      <c r="P19" s="66"/>
      <c r="Q19" s="66"/>
      <c r="R19" s="66"/>
      <c r="S19" s="66"/>
    </row>
    <row r="20" spans="4:19" ht="15.75" customHeight="1">
      <c r="D20" s="66">
        <f>1-I26/100</f>
        <v>0.96350000000000002</v>
      </c>
      <c r="E20" s="1046" t="s">
        <v>153</v>
      </c>
      <c r="F20" s="2765" t="s">
        <v>368</v>
      </c>
      <c r="G20" s="2765"/>
      <c r="H20" s="2765"/>
      <c r="I20" s="2758">
        <v>0.56000000000000005</v>
      </c>
      <c r="J20" s="2759"/>
      <c r="M20" s="1030">
        <v>5.6000000000000008E-3</v>
      </c>
      <c r="N20" s="1031">
        <v>8.5000000000000006E-3</v>
      </c>
      <c r="O20" s="1032">
        <v>8.8999999999999999E-3</v>
      </c>
      <c r="P20" s="66"/>
      <c r="Q20" s="66"/>
      <c r="R20" s="66"/>
      <c r="S20" s="66"/>
    </row>
    <row r="21" spans="4:19" ht="15" customHeight="1">
      <c r="D21" s="66">
        <f>D17*D18*D19/D20</f>
        <v>1.1141374384224179</v>
      </c>
      <c r="E21" s="1046" t="s">
        <v>154</v>
      </c>
      <c r="F21" s="2765" t="s">
        <v>367</v>
      </c>
      <c r="G21" s="2765"/>
      <c r="H21" s="2765"/>
      <c r="I21" s="2758">
        <v>0.3</v>
      </c>
      <c r="J21" s="2759"/>
      <c r="M21" s="1030">
        <v>8.5000000000000006E-3</v>
      </c>
      <c r="N21" s="1031">
        <v>8.5000000000000006E-3</v>
      </c>
      <c r="O21" s="1032">
        <v>1.11E-2</v>
      </c>
      <c r="P21" s="66"/>
      <c r="Q21" s="66"/>
      <c r="R21" s="66"/>
      <c r="S21" s="66"/>
    </row>
    <row r="22" spans="4:19" ht="15.75" customHeight="1" thickBot="1">
      <c r="D22" s="1023">
        <f>D21-1</f>
        <v>0.11413743842241786</v>
      </c>
      <c r="E22" s="2766"/>
      <c r="F22" s="2767"/>
      <c r="G22" s="2767"/>
      <c r="H22" s="2767"/>
      <c r="I22" s="2767"/>
      <c r="J22" s="2768"/>
      <c r="L22" s="896"/>
      <c r="M22" s="66"/>
      <c r="N22" s="66"/>
      <c r="O22" s="66"/>
      <c r="P22" s="66"/>
    </row>
    <row r="23" spans="4:19" ht="15.75" customHeight="1" thickBot="1">
      <c r="D23" s="889"/>
      <c r="E23" s="1756" t="s">
        <v>329</v>
      </c>
      <c r="F23" s="2769" t="s">
        <v>350</v>
      </c>
      <c r="G23" s="2769"/>
      <c r="H23" s="2769"/>
      <c r="I23" s="2770">
        <f>I24</f>
        <v>4.03</v>
      </c>
      <c r="J23" s="2771"/>
      <c r="M23" s="66"/>
      <c r="N23" s="66"/>
      <c r="O23" s="66"/>
      <c r="P23" s="66"/>
    </row>
    <row r="24" spans="4:19" ht="15.75" customHeight="1" thickBot="1">
      <c r="D24" s="889"/>
      <c r="E24" s="895" t="s">
        <v>324</v>
      </c>
      <c r="F24" s="2772" t="s">
        <v>369</v>
      </c>
      <c r="G24" s="2773"/>
      <c r="H24" s="2773"/>
      <c r="I24" s="2761">
        <v>4.03</v>
      </c>
      <c r="J24" s="2762"/>
      <c r="M24" s="1043">
        <v>3.5000000000000003E-2</v>
      </c>
      <c r="N24" s="1044">
        <v>5.1100000000000007E-2</v>
      </c>
      <c r="O24" s="1045">
        <v>6.2199999999999998E-2</v>
      </c>
      <c r="P24" s="66"/>
    </row>
    <row r="25" spans="4:19" ht="15.75" customHeight="1" thickBot="1">
      <c r="D25" s="889"/>
      <c r="E25" s="2766"/>
      <c r="F25" s="2767"/>
      <c r="G25" s="2767"/>
      <c r="H25" s="2767"/>
      <c r="I25" s="2767"/>
      <c r="J25" s="2768"/>
      <c r="M25" s="66"/>
      <c r="N25" s="66"/>
      <c r="O25" s="66"/>
      <c r="P25" s="66"/>
    </row>
    <row r="26" spans="4:19" ht="15.75" customHeight="1">
      <c r="D26" s="889"/>
      <c r="E26" s="1756" t="s">
        <v>320</v>
      </c>
      <c r="F26" s="2769" t="s">
        <v>351</v>
      </c>
      <c r="G26" s="2769"/>
      <c r="H26" s="2769"/>
      <c r="I26" s="2770">
        <f>I27+I28+I29+I30</f>
        <v>3.65</v>
      </c>
      <c r="J26" s="2771"/>
      <c r="M26" s="66"/>
      <c r="N26" s="66"/>
      <c r="O26" s="66"/>
      <c r="P26" s="66"/>
    </row>
    <row r="27" spans="4:19" ht="15">
      <c r="D27" s="889"/>
      <c r="E27" s="1046" t="s">
        <v>316</v>
      </c>
      <c r="F27" s="2757" t="s">
        <v>352</v>
      </c>
      <c r="G27" s="2757"/>
      <c r="H27" s="2757"/>
      <c r="I27" s="2763">
        <v>0</v>
      </c>
      <c r="J27" s="2764"/>
    </row>
    <row r="28" spans="4:19" ht="15" customHeight="1">
      <c r="D28" s="889"/>
      <c r="E28" s="1046" t="s">
        <v>317</v>
      </c>
      <c r="F28" s="2757" t="s">
        <v>353</v>
      </c>
      <c r="G28" s="2757"/>
      <c r="H28" s="2757"/>
      <c r="I28" s="2758">
        <v>3</v>
      </c>
      <c r="J28" s="2759"/>
    </row>
    <row r="29" spans="4:19" ht="15" customHeight="1">
      <c r="D29" s="889"/>
      <c r="E29" s="1046" t="s">
        <v>318</v>
      </c>
      <c r="F29" s="2757" t="s">
        <v>354</v>
      </c>
      <c r="G29" s="2757"/>
      <c r="H29" s="2757"/>
      <c r="I29" s="2758">
        <v>0.65</v>
      </c>
      <c r="J29" s="2759"/>
    </row>
    <row r="30" spans="4:19" ht="15.75" customHeight="1" thickBot="1">
      <c r="D30" s="889"/>
      <c r="E30" s="895" t="s">
        <v>319</v>
      </c>
      <c r="F30" s="2760" t="s">
        <v>355</v>
      </c>
      <c r="G30" s="2760"/>
      <c r="H30" s="2760"/>
      <c r="I30" s="2761">
        <f>IF('ORÇAMENTO '!M6='ORÇAMENTO '!P3,4.5,0)</f>
        <v>0</v>
      </c>
      <c r="J30" s="2762"/>
    </row>
    <row r="31" spans="4:19" ht="15.75" customHeight="1">
      <c r="D31" s="889"/>
      <c r="E31" s="2746" t="s">
        <v>356</v>
      </c>
      <c r="F31" s="2747"/>
      <c r="G31" s="2747"/>
      <c r="H31" s="2747"/>
      <c r="I31" s="2747"/>
      <c r="J31" s="2748"/>
    </row>
    <row r="32" spans="4:19" ht="26.25" customHeight="1" thickBot="1">
      <c r="D32" s="889"/>
      <c r="E32" s="2693" t="s">
        <v>7527</v>
      </c>
      <c r="F32" s="2694"/>
      <c r="G32" s="2694"/>
      <c r="H32" s="2694"/>
      <c r="I32" s="2694"/>
      <c r="J32" s="2695"/>
    </row>
    <row r="33" spans="4:10" ht="19.5" customHeight="1">
      <c r="D33" s="889"/>
      <c r="E33" s="2749" t="s">
        <v>357</v>
      </c>
      <c r="F33" s="2750"/>
      <c r="G33" s="2750"/>
      <c r="H33" s="2750"/>
      <c r="I33" s="2640">
        <f>ROUND(D22,4)</f>
        <v>0.11409999999999999</v>
      </c>
      <c r="J33" s="2641"/>
    </row>
    <row r="34" spans="4:10" ht="20.25" customHeight="1" thickBot="1">
      <c r="D34" s="889"/>
      <c r="E34" s="2751"/>
      <c r="F34" s="2752"/>
      <c r="G34" s="2752"/>
      <c r="H34" s="2752"/>
      <c r="I34" s="2642"/>
      <c r="J34" s="2643"/>
    </row>
    <row r="35" spans="4:10" ht="15.75" customHeight="1" thickBot="1">
      <c r="D35" s="889"/>
      <c r="E35" s="2753" t="s">
        <v>358</v>
      </c>
      <c r="F35" s="2754"/>
      <c r="G35" s="2754"/>
      <c r="H35" s="2754"/>
      <c r="I35" s="2755">
        <f ca="1">'BDI '!G34</f>
        <v>3772097.7300000004</v>
      </c>
      <c r="J35" s="2756"/>
    </row>
    <row r="36" spans="4:10" ht="15.75" customHeight="1" thickBot="1">
      <c r="D36" s="889"/>
      <c r="E36" s="2736" t="s">
        <v>359</v>
      </c>
      <c r="F36" s="2737"/>
      <c r="G36" s="2737"/>
      <c r="H36" s="2737"/>
      <c r="I36" s="2737"/>
      <c r="J36" s="2738"/>
    </row>
    <row r="37" spans="4:10" ht="16.5" customHeight="1" thickBot="1">
      <c r="D37" s="889"/>
      <c r="E37" s="2739" t="s">
        <v>360</v>
      </c>
      <c r="F37" s="2740"/>
      <c r="G37" s="2740"/>
      <c r="H37" s="2740"/>
      <c r="I37" s="2740"/>
      <c r="J37" s="2741"/>
    </row>
    <row r="38" spans="4:10" ht="15.75">
      <c r="D38" s="889"/>
      <c r="E38" s="897"/>
      <c r="F38" s="898"/>
      <c r="G38" s="899"/>
      <c r="H38" s="899"/>
      <c r="I38" s="899"/>
      <c r="J38" s="900"/>
    </row>
    <row r="39" spans="4:10">
      <c r="D39" s="889"/>
      <c r="E39" s="688"/>
      <c r="F39" s="2742" t="s">
        <v>361</v>
      </c>
      <c r="G39" s="2743" t="s">
        <v>362</v>
      </c>
      <c r="H39" s="2743"/>
      <c r="I39" s="2744">
        <v>-1</v>
      </c>
      <c r="J39" s="689"/>
    </row>
    <row r="40" spans="4:10">
      <c r="D40" s="889"/>
      <c r="E40" s="688"/>
      <c r="F40" s="2742"/>
      <c r="G40" s="2745" t="s">
        <v>363</v>
      </c>
      <c r="H40" s="2745"/>
      <c r="I40" s="2744"/>
      <c r="J40" s="689"/>
    </row>
    <row r="41" spans="4:10" ht="15.75" thickBot="1">
      <c r="D41" s="889"/>
      <c r="E41" s="901"/>
      <c r="F41" s="1047"/>
      <c r="G41" s="1048"/>
      <c r="H41" s="902"/>
      <c r="I41" s="903"/>
      <c r="J41" s="904"/>
    </row>
    <row r="42" spans="4:10" ht="21.6" customHeight="1"/>
    <row r="43" spans="4:10" ht="17.45" customHeight="1"/>
    <row r="44" spans="4:10" ht="26.45" customHeight="1"/>
  </sheetData>
  <mergeCells count="56">
    <mergeCell ref="F17:H17"/>
    <mergeCell ref="I17:J17"/>
    <mergeCell ref="E9:J9"/>
    <mergeCell ref="E14:J14"/>
    <mergeCell ref="F11:H11"/>
    <mergeCell ref="F18:H18"/>
    <mergeCell ref="I18:J18"/>
    <mergeCell ref="F19:H19"/>
    <mergeCell ref="I19:J19"/>
    <mergeCell ref="F20:H20"/>
    <mergeCell ref="I20:J20"/>
    <mergeCell ref="F27:H27"/>
    <mergeCell ref="I27:J27"/>
    <mergeCell ref="F21:H21"/>
    <mergeCell ref="I21:J21"/>
    <mergeCell ref="E22:J22"/>
    <mergeCell ref="F23:H23"/>
    <mergeCell ref="I23:J23"/>
    <mergeCell ref="F24:H24"/>
    <mergeCell ref="I24:J24"/>
    <mergeCell ref="E25:J25"/>
    <mergeCell ref="F26:H26"/>
    <mergeCell ref="I26:J26"/>
    <mergeCell ref="F28:H28"/>
    <mergeCell ref="I28:J28"/>
    <mergeCell ref="F29:H29"/>
    <mergeCell ref="I29:J29"/>
    <mergeCell ref="F30:H30"/>
    <mergeCell ref="I30:J30"/>
    <mergeCell ref="E31:J31"/>
    <mergeCell ref="E32:J32"/>
    <mergeCell ref="E33:H34"/>
    <mergeCell ref="I33:J34"/>
    <mergeCell ref="E35:H35"/>
    <mergeCell ref="I35:J35"/>
    <mergeCell ref="E36:J36"/>
    <mergeCell ref="E37:J37"/>
    <mergeCell ref="F39:F40"/>
    <mergeCell ref="G39:H39"/>
    <mergeCell ref="I39:I40"/>
    <mergeCell ref="G40:H40"/>
    <mergeCell ref="Q16:S16"/>
    <mergeCell ref="M14:O16"/>
    <mergeCell ref="E5:F8"/>
    <mergeCell ref="I8:J8"/>
    <mergeCell ref="E15:E16"/>
    <mergeCell ref="F15:H16"/>
    <mergeCell ref="I15:J15"/>
    <mergeCell ref="I16:J16"/>
    <mergeCell ref="I5:J5"/>
    <mergeCell ref="G8:H8"/>
    <mergeCell ref="H5:H7"/>
    <mergeCell ref="F12:G12"/>
    <mergeCell ref="F13:G13"/>
    <mergeCell ref="G5:G6"/>
    <mergeCell ref="I6:J6"/>
  </mergeCells>
  <dataValidations disablePrompts="1" count="1">
    <dataValidation type="list" allowBlank="1" showInputMessage="1" showErrorMessage="1" sqref="G2" xr:uid="{00000000-0002-0000-1D00-000000000000}">
      <formula1>$O$18:$O$19</formula1>
    </dataValidation>
  </dataValidations>
  <printOptions horizontalCentered="1"/>
  <pageMargins left="0.78740157480314965" right="0.19685039370078741" top="0.39370078740157483" bottom="0.78740157480314965" header="0.19685039370078741" footer="0.19685039370078741"/>
  <pageSetup paperSize="9" scale="57" orientation="portrait" r:id="rId1"/>
  <headerFooter scaleWithDoc="0" alignWithMargins="0">
    <oddHeader>&amp;RPágina &amp;P de &amp;N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2">
    <pageSetUpPr fitToPage="1"/>
  </sheetPr>
  <dimension ref="B1:J48"/>
  <sheetViews>
    <sheetView view="pageBreakPreview" zoomScale="85" zoomScaleNormal="70" zoomScaleSheetLayoutView="85" workbookViewId="0">
      <selection activeCell="AG38" sqref="AG38"/>
    </sheetView>
  </sheetViews>
  <sheetFormatPr defaultColWidth="45.140625" defaultRowHeight="15"/>
  <cols>
    <col min="1" max="1" width="14" style="252" customWidth="1"/>
    <col min="2" max="2" width="19.42578125" style="252" customWidth="1"/>
    <col min="3" max="3" width="26.85546875" style="282" customWidth="1"/>
    <col min="4" max="4" width="71.28515625" style="252" customWidth="1"/>
    <col min="5" max="5" width="15.7109375" style="252" customWidth="1"/>
    <col min="6" max="6" width="16.7109375" style="252" customWidth="1"/>
    <col min="7" max="7" width="16.85546875" style="252" customWidth="1"/>
    <col min="8" max="8" width="15.7109375" style="252" customWidth="1"/>
    <col min="9" max="16384" width="45.140625" style="252"/>
  </cols>
  <sheetData>
    <row r="1" spans="2:10" ht="15.75" thickBot="1"/>
    <row r="2" spans="2:10" s="11" customFormat="1" ht="6.75" thickBot="1">
      <c r="B2" s="12"/>
      <c r="C2" s="1320"/>
      <c r="D2" s="70"/>
      <c r="E2" s="72"/>
      <c r="F2" s="70"/>
      <c r="G2" s="71"/>
      <c r="H2" s="73"/>
      <c r="I2" s="17"/>
      <c r="J2" s="18"/>
    </row>
    <row r="3" spans="2:10" s="284" customFormat="1" ht="48" customHeight="1" thickBot="1">
      <c r="B3" s="19"/>
      <c r="C3" s="2786"/>
      <c r="D3" s="2710" t="s">
        <v>13361</v>
      </c>
      <c r="E3" s="2141"/>
      <c r="F3" s="2143"/>
      <c r="G3" s="2118" t="str">
        <f>'ORÇAMENTO '!M5</f>
        <v>Ref.: Tabela de Serviços
SINAPI (JANEIRO/2024)</v>
      </c>
      <c r="H3" s="2119"/>
      <c r="I3" s="20"/>
      <c r="J3" s="283"/>
    </row>
    <row r="4" spans="2:10" s="284" customFormat="1" ht="27" thickBot="1">
      <c r="B4" s="19"/>
      <c r="C4" s="2787"/>
      <c r="D4" s="2711"/>
      <c r="E4" s="2144"/>
      <c r="F4" s="2146"/>
      <c r="G4" s="2118" t="str">
        <f>'ORÇAMENTO '!M6</f>
        <v>NÃO DESONERADO</v>
      </c>
      <c r="H4" s="2119"/>
      <c r="I4" s="20"/>
      <c r="J4" s="283"/>
    </row>
    <row r="5" spans="2:10" s="284" customFormat="1" ht="57.75" thickBot="1">
      <c r="B5" s="2"/>
      <c r="C5" s="2788"/>
      <c r="D5" s="1636" t="s">
        <v>13363</v>
      </c>
      <c r="E5" s="2789"/>
      <c r="F5" s="2790"/>
      <c r="G5" s="1326" t="s">
        <v>4</v>
      </c>
      <c r="H5" s="1327">
        <f>'BDI '!G32</f>
        <v>0.24199999999999999</v>
      </c>
      <c r="I5" s="20"/>
      <c r="J5" s="283"/>
    </row>
    <row r="6" spans="2:10" s="21" customFormat="1" ht="18.75" thickBot="1">
      <c r="B6" s="22"/>
      <c r="C6" s="2778" t="str">
        <f>RESUMO!B7</f>
        <v>C E N T R A L   D E   P R O J E T O S</v>
      </c>
      <c r="D6" s="2115"/>
      <c r="E6" s="2115"/>
      <c r="F6" s="2115"/>
      <c r="G6" s="2116"/>
      <c r="H6" s="2117"/>
      <c r="I6" s="23"/>
      <c r="J6" s="24"/>
    </row>
    <row r="7" spans="2:10" s="11" customFormat="1" ht="6.75" thickBot="1">
      <c r="B7" s="12"/>
      <c r="C7" s="13"/>
      <c r="D7" s="14"/>
      <c r="E7" s="80"/>
      <c r="F7" s="14"/>
      <c r="G7" s="15"/>
      <c r="H7" s="16"/>
      <c r="I7" s="17"/>
      <c r="J7" s="18"/>
    </row>
    <row r="8" spans="2:10" s="338" customFormat="1" ht="20.100000000000001" customHeight="1">
      <c r="B8" s="339"/>
      <c r="C8" s="1431" t="s">
        <v>5</v>
      </c>
      <c r="D8" s="2791" t="str">
        <f>'ORÇAMENTO '!G11</f>
        <v xml:space="preserve">ESCOLA MUNICIPAL DOMINGOS AZZOLINI </v>
      </c>
      <c r="E8" s="2791"/>
      <c r="F8" s="2791"/>
      <c r="G8" s="1603" t="s">
        <v>6</v>
      </c>
      <c r="H8" s="1604">
        <f>'ORÇAMENTO '!N11</f>
        <v>45366</v>
      </c>
      <c r="I8" s="1597"/>
      <c r="J8" s="341"/>
    </row>
    <row r="9" spans="2:10" s="338" customFormat="1" ht="20.100000000000001" customHeight="1">
      <c r="B9" s="339"/>
      <c r="C9" s="358" t="s">
        <v>7</v>
      </c>
      <c r="D9" s="2701" t="str">
        <f>'ORÇAMENTO '!G12</f>
        <v>SANTO ANTONIO DO LESTE</v>
      </c>
      <c r="E9" s="2701"/>
      <c r="F9" s="2792" t="str">
        <f>'ORÇAMENTO '!K12</f>
        <v>LEIS SOCIAIS: HORISTA</v>
      </c>
      <c r="G9" s="2792"/>
      <c r="H9" s="1605">
        <f>'ORÇAMENTO '!N12</f>
        <v>1.0684</v>
      </c>
      <c r="I9" s="1602"/>
      <c r="J9" s="341"/>
    </row>
    <row r="10" spans="2:10" s="338" customFormat="1" ht="20.100000000000001" customHeight="1" thickBot="1">
      <c r="B10" s="339"/>
      <c r="C10" s="1599"/>
      <c r="D10" s="2702"/>
      <c r="E10" s="2702"/>
      <c r="F10" s="2793" t="str">
        <f>'ORÇAMENTO '!K13</f>
        <v>LEIS SOCIAIS: MENSALISTA</v>
      </c>
      <c r="G10" s="2793"/>
      <c r="H10" s="1606">
        <f>'ORÇAMENTO '!N13</f>
        <v>0.65400000000000003</v>
      </c>
      <c r="I10" s="1602"/>
      <c r="J10" s="341"/>
    </row>
    <row r="11" spans="2:10" ht="20.25">
      <c r="C11" s="2779" t="s">
        <v>7380</v>
      </c>
      <c r="D11" s="2780"/>
      <c r="E11" s="2780"/>
      <c r="F11" s="2780"/>
      <c r="G11" s="2780"/>
      <c r="H11" s="2781"/>
    </row>
    <row r="12" spans="2:10" ht="15.75">
      <c r="C12" s="2782" t="s">
        <v>11</v>
      </c>
      <c r="D12" s="2783" t="s">
        <v>427</v>
      </c>
      <c r="E12" s="2784" t="s">
        <v>428</v>
      </c>
      <c r="F12" s="2784"/>
      <c r="G12" s="2784" t="s">
        <v>429</v>
      </c>
      <c r="H12" s="2785"/>
    </row>
    <row r="13" spans="2:10" ht="31.5">
      <c r="C13" s="2782"/>
      <c r="D13" s="2783"/>
      <c r="E13" s="1499" t="s">
        <v>430</v>
      </c>
      <c r="F13" s="1499" t="s">
        <v>431</v>
      </c>
      <c r="G13" s="1499" t="s">
        <v>430</v>
      </c>
      <c r="H13" s="1012" t="s">
        <v>431</v>
      </c>
    </row>
    <row r="14" spans="2:10" ht="21" customHeight="1">
      <c r="C14" s="2794" t="s">
        <v>432</v>
      </c>
      <c r="D14" s="2795"/>
      <c r="E14" s="2795"/>
      <c r="F14" s="2795"/>
      <c r="G14" s="2795"/>
      <c r="H14" s="2796"/>
    </row>
    <row r="15" spans="2:10" ht="21" customHeight="1">
      <c r="C15" s="1013" t="s">
        <v>433</v>
      </c>
      <c r="D15" s="287" t="s">
        <v>434</v>
      </c>
      <c r="E15" s="288">
        <v>0</v>
      </c>
      <c r="F15" s="288">
        <v>0</v>
      </c>
      <c r="G15" s="288">
        <v>0.2</v>
      </c>
      <c r="H15" s="630">
        <v>0.2</v>
      </c>
    </row>
    <row r="16" spans="2:10" ht="21" customHeight="1">
      <c r="C16" s="1014" t="s">
        <v>435</v>
      </c>
      <c r="D16" s="289" t="s">
        <v>436</v>
      </c>
      <c r="E16" s="290">
        <v>1.4999999999999999E-2</v>
      </c>
      <c r="F16" s="290">
        <v>1.4999999999999999E-2</v>
      </c>
      <c r="G16" s="290">
        <v>1.4999999999999999E-2</v>
      </c>
      <c r="H16" s="629">
        <v>1.4999999999999999E-2</v>
      </c>
    </row>
    <row r="17" spans="3:8" ht="21" customHeight="1">
      <c r="C17" s="1013" t="s">
        <v>437</v>
      </c>
      <c r="D17" s="291" t="s">
        <v>438</v>
      </c>
      <c r="E17" s="288">
        <v>0.01</v>
      </c>
      <c r="F17" s="288">
        <v>0.01</v>
      </c>
      <c r="G17" s="288">
        <v>0.01</v>
      </c>
      <c r="H17" s="630">
        <v>0.01</v>
      </c>
    </row>
    <row r="18" spans="3:8" ht="21" customHeight="1">
      <c r="C18" s="1014" t="s">
        <v>439</v>
      </c>
      <c r="D18" s="292" t="s">
        <v>440</v>
      </c>
      <c r="E18" s="290">
        <v>2E-3</v>
      </c>
      <c r="F18" s="290">
        <v>2E-3</v>
      </c>
      <c r="G18" s="290">
        <v>2E-3</v>
      </c>
      <c r="H18" s="629">
        <v>2E-3</v>
      </c>
    </row>
    <row r="19" spans="3:8" ht="21" customHeight="1">
      <c r="C19" s="1013" t="s">
        <v>441</v>
      </c>
      <c r="D19" s="287" t="s">
        <v>442</v>
      </c>
      <c r="E19" s="293">
        <v>6.0000000000000001E-3</v>
      </c>
      <c r="F19" s="293">
        <v>6.0000000000000001E-3</v>
      </c>
      <c r="G19" s="293">
        <v>6.0000000000000001E-3</v>
      </c>
      <c r="H19" s="627">
        <v>6.0000000000000001E-3</v>
      </c>
    </row>
    <row r="20" spans="3:8" ht="21" customHeight="1">
      <c r="C20" s="1014" t="s">
        <v>443</v>
      </c>
      <c r="D20" s="292" t="s">
        <v>444</v>
      </c>
      <c r="E20" s="290">
        <v>2.5000000000000001E-2</v>
      </c>
      <c r="F20" s="290">
        <v>2.5000000000000001E-2</v>
      </c>
      <c r="G20" s="290">
        <v>2.5000000000000001E-2</v>
      </c>
      <c r="H20" s="629">
        <v>2.5000000000000001E-2</v>
      </c>
    </row>
    <row r="21" spans="3:8" ht="21" customHeight="1">
      <c r="C21" s="1013" t="s">
        <v>445</v>
      </c>
      <c r="D21" s="287" t="s">
        <v>446</v>
      </c>
      <c r="E21" s="288">
        <v>0.03</v>
      </c>
      <c r="F21" s="288">
        <v>0.03</v>
      </c>
      <c r="G21" s="288">
        <v>0.03</v>
      </c>
      <c r="H21" s="630">
        <v>0.03</v>
      </c>
    </row>
    <row r="22" spans="3:8" ht="21" customHeight="1">
      <c r="C22" s="1014" t="s">
        <v>447</v>
      </c>
      <c r="D22" s="292" t="s">
        <v>448</v>
      </c>
      <c r="E22" s="294">
        <v>0.08</v>
      </c>
      <c r="F22" s="294">
        <v>0.08</v>
      </c>
      <c r="G22" s="294">
        <v>0.08</v>
      </c>
      <c r="H22" s="628">
        <v>0.08</v>
      </c>
    </row>
    <row r="23" spans="3:8" ht="21" customHeight="1">
      <c r="C23" s="1013" t="s">
        <v>449</v>
      </c>
      <c r="D23" s="287" t="s">
        <v>450</v>
      </c>
      <c r="E23" s="288">
        <v>0</v>
      </c>
      <c r="F23" s="288">
        <v>0</v>
      </c>
      <c r="G23" s="288">
        <v>0</v>
      </c>
      <c r="H23" s="630">
        <v>0</v>
      </c>
    </row>
    <row r="24" spans="3:8" ht="21" customHeight="1">
      <c r="C24" s="1015" t="s">
        <v>451</v>
      </c>
      <c r="D24" s="295" t="s">
        <v>167</v>
      </c>
      <c r="E24" s="296">
        <f>SUM(E15:E23)</f>
        <v>0.16799999999999998</v>
      </c>
      <c r="F24" s="296">
        <f>SUM(F15:F23)</f>
        <v>0.16799999999999998</v>
      </c>
      <c r="G24" s="296">
        <f>SUM(G15:G23)</f>
        <v>0.36800000000000005</v>
      </c>
      <c r="H24" s="1016">
        <f>SUM(H15:H23)</f>
        <v>0.36800000000000005</v>
      </c>
    </row>
    <row r="25" spans="3:8" ht="21" customHeight="1">
      <c r="C25" s="2794" t="s">
        <v>452</v>
      </c>
      <c r="D25" s="2795"/>
      <c r="E25" s="2795"/>
      <c r="F25" s="2795"/>
      <c r="G25" s="2795"/>
      <c r="H25" s="2796"/>
    </row>
    <row r="26" spans="3:8" ht="21" customHeight="1">
      <c r="C26" s="1017" t="s">
        <v>453</v>
      </c>
      <c r="D26" s="287" t="s">
        <v>454</v>
      </c>
      <c r="E26" s="293">
        <v>0.1777</v>
      </c>
      <c r="F26" s="293" t="s">
        <v>14647</v>
      </c>
      <c r="G26" s="293">
        <v>0.1777</v>
      </c>
      <c r="H26" s="627" t="s">
        <v>14647</v>
      </c>
    </row>
    <row r="27" spans="3:8" ht="21" customHeight="1">
      <c r="C27" s="1018" t="s">
        <v>455</v>
      </c>
      <c r="D27" s="292" t="s">
        <v>456</v>
      </c>
      <c r="E27" s="294">
        <v>3.6700000000000003E-2</v>
      </c>
      <c r="F27" s="294" t="s">
        <v>14647</v>
      </c>
      <c r="G27" s="294">
        <v>3.6700000000000003E-2</v>
      </c>
      <c r="H27" s="628" t="s">
        <v>14647</v>
      </c>
    </row>
    <row r="28" spans="3:8" ht="21" customHeight="1">
      <c r="C28" s="1017" t="s">
        <v>457</v>
      </c>
      <c r="D28" s="287" t="s">
        <v>458</v>
      </c>
      <c r="E28" s="293">
        <v>8.8000000000000005E-3</v>
      </c>
      <c r="F28" s="293">
        <v>6.4000000000000003E-3</v>
      </c>
      <c r="G28" s="293">
        <v>8.8000000000000005E-3</v>
      </c>
      <c r="H28" s="627">
        <v>6.4000000000000003E-3</v>
      </c>
    </row>
    <row r="29" spans="3:8" ht="21" customHeight="1">
      <c r="C29" s="1018" t="s">
        <v>459</v>
      </c>
      <c r="D29" s="292" t="s">
        <v>460</v>
      </c>
      <c r="E29" s="294">
        <v>0.1142</v>
      </c>
      <c r="F29" s="294">
        <v>8.3299999999999999E-2</v>
      </c>
      <c r="G29" s="294">
        <v>0.1142</v>
      </c>
      <c r="H29" s="628">
        <v>8.3299999999999999E-2</v>
      </c>
    </row>
    <row r="30" spans="3:8" ht="21" customHeight="1">
      <c r="C30" s="1017" t="s">
        <v>461</v>
      </c>
      <c r="D30" s="287" t="s">
        <v>462</v>
      </c>
      <c r="E30" s="293">
        <v>5.9999999999999995E-4</v>
      </c>
      <c r="F30" s="293">
        <v>4.0000000000000002E-4</v>
      </c>
      <c r="G30" s="293">
        <v>5.9999999999999995E-4</v>
      </c>
      <c r="H30" s="627">
        <v>4.0000000000000002E-4</v>
      </c>
    </row>
    <row r="31" spans="3:8" ht="21" customHeight="1">
      <c r="C31" s="1018" t="s">
        <v>463</v>
      </c>
      <c r="D31" s="292" t="s">
        <v>464</v>
      </c>
      <c r="E31" s="294">
        <v>7.6E-3</v>
      </c>
      <c r="F31" s="294">
        <v>5.5999999999999999E-3</v>
      </c>
      <c r="G31" s="294">
        <v>7.6E-3</v>
      </c>
      <c r="H31" s="628">
        <v>5.5999999999999999E-3</v>
      </c>
    </row>
    <row r="32" spans="3:8" ht="21" customHeight="1">
      <c r="C32" s="1017" t="s">
        <v>465</v>
      </c>
      <c r="D32" s="287" t="s">
        <v>466</v>
      </c>
      <c r="E32" s="288">
        <v>1.12E-2</v>
      </c>
      <c r="F32" s="293" t="s">
        <v>14647</v>
      </c>
      <c r="G32" s="288">
        <v>1.12E-2</v>
      </c>
      <c r="H32" s="627" t="s">
        <v>14647</v>
      </c>
    </row>
    <row r="33" spans="3:8" ht="21" customHeight="1">
      <c r="C33" s="1018" t="s">
        <v>467</v>
      </c>
      <c r="D33" s="292" t="s">
        <v>468</v>
      </c>
      <c r="E33" s="290">
        <v>1E-3</v>
      </c>
      <c r="F33" s="294">
        <v>8.0000000000000004E-4</v>
      </c>
      <c r="G33" s="290">
        <v>1E-3</v>
      </c>
      <c r="H33" s="628">
        <v>8.0000000000000004E-4</v>
      </c>
    </row>
    <row r="34" spans="3:8" ht="21" customHeight="1">
      <c r="C34" s="1017" t="s">
        <v>469</v>
      </c>
      <c r="D34" s="287" t="s">
        <v>470</v>
      </c>
      <c r="E34" s="293">
        <v>0</v>
      </c>
      <c r="F34" s="293">
        <v>0</v>
      </c>
      <c r="G34" s="293">
        <v>0</v>
      </c>
      <c r="H34" s="627">
        <v>0</v>
      </c>
    </row>
    <row r="35" spans="3:8" ht="21" customHeight="1">
      <c r="C35" s="1018" t="s">
        <v>471</v>
      </c>
      <c r="D35" s="292" t="s">
        <v>472</v>
      </c>
      <c r="E35" s="290">
        <v>4.0000000000000002E-4</v>
      </c>
      <c r="F35" s="290">
        <v>2.9999999999999997E-4</v>
      </c>
      <c r="G35" s="290">
        <v>4.0000000000000002E-4</v>
      </c>
      <c r="H35" s="629">
        <v>2.9999999999999997E-4</v>
      </c>
    </row>
    <row r="36" spans="3:8" ht="21" customHeight="1">
      <c r="C36" s="1019" t="s">
        <v>473</v>
      </c>
      <c r="D36" s="1499" t="s">
        <v>167</v>
      </c>
      <c r="E36" s="297">
        <f>SUM(E26:E35)</f>
        <v>0.35820000000000002</v>
      </c>
      <c r="F36" s="297">
        <f>SUM(F26:F35)</f>
        <v>9.6799999999999983E-2</v>
      </c>
      <c r="G36" s="297">
        <f>SUM(G26:G35)</f>
        <v>0.35820000000000002</v>
      </c>
      <c r="H36" s="1020">
        <f>SUM(H26:H35)</f>
        <v>9.6799999999999983E-2</v>
      </c>
    </row>
    <row r="37" spans="3:8" ht="21" customHeight="1">
      <c r="C37" s="2794" t="s">
        <v>474</v>
      </c>
      <c r="D37" s="2795"/>
      <c r="E37" s="2795"/>
      <c r="F37" s="2795"/>
      <c r="G37" s="2795"/>
      <c r="H37" s="2796"/>
    </row>
    <row r="38" spans="3:8" ht="21" customHeight="1">
      <c r="C38" s="1013" t="s">
        <v>475</v>
      </c>
      <c r="D38" s="287" t="s">
        <v>476</v>
      </c>
      <c r="E38" s="293">
        <v>6.2300000000000001E-2</v>
      </c>
      <c r="F38" s="293">
        <v>4.5499999999999999E-2</v>
      </c>
      <c r="G38" s="293">
        <v>6.2300000000000001E-2</v>
      </c>
      <c r="H38" s="627">
        <v>4.5499999999999999E-2</v>
      </c>
    </row>
    <row r="39" spans="3:8" ht="21" customHeight="1">
      <c r="C39" s="1014" t="s">
        <v>477</v>
      </c>
      <c r="D39" s="292" t="s">
        <v>478</v>
      </c>
      <c r="E39" s="290">
        <v>1.5E-3</v>
      </c>
      <c r="F39" s="290">
        <v>1.1000000000000001E-3</v>
      </c>
      <c r="G39" s="290">
        <v>1.5E-3</v>
      </c>
      <c r="H39" s="629">
        <v>1.1000000000000001E-3</v>
      </c>
    </row>
    <row r="40" spans="3:8" ht="21" customHeight="1">
      <c r="C40" s="1013" t="s">
        <v>479</v>
      </c>
      <c r="D40" s="287" t="s">
        <v>480</v>
      </c>
      <c r="E40" s="293">
        <v>0.1147</v>
      </c>
      <c r="F40" s="288">
        <v>8.3699999999999997E-2</v>
      </c>
      <c r="G40" s="293">
        <v>0.1147</v>
      </c>
      <c r="H40" s="630">
        <v>8.3699999999999997E-2</v>
      </c>
    </row>
    <row r="41" spans="3:8" ht="21" customHeight="1">
      <c r="C41" s="1014" t="s">
        <v>481</v>
      </c>
      <c r="D41" s="292" t="s">
        <v>482</v>
      </c>
      <c r="E41" s="294">
        <v>2.12E-2</v>
      </c>
      <c r="F41" s="294">
        <v>1.55E-2</v>
      </c>
      <c r="G41" s="294">
        <v>2.12E-2</v>
      </c>
      <c r="H41" s="628">
        <v>1.55E-2</v>
      </c>
    </row>
    <row r="42" spans="3:8" ht="21" customHeight="1">
      <c r="C42" s="1013" t="s">
        <v>483</v>
      </c>
      <c r="D42" s="287" t="s">
        <v>484</v>
      </c>
      <c r="E42" s="288">
        <v>5.1999999999999998E-3</v>
      </c>
      <c r="F42" s="288">
        <v>3.8E-3</v>
      </c>
      <c r="G42" s="288">
        <v>5.1999999999999998E-3</v>
      </c>
      <c r="H42" s="630">
        <v>3.8E-3</v>
      </c>
    </row>
    <row r="43" spans="3:8" ht="21" customHeight="1">
      <c r="C43" s="1015" t="s">
        <v>485</v>
      </c>
      <c r="D43" s="295" t="s">
        <v>167</v>
      </c>
      <c r="E43" s="296">
        <f>SUM(E38:E42)</f>
        <v>0.2049</v>
      </c>
      <c r="F43" s="296">
        <f>SUM(F38:F42)</f>
        <v>0.14959999999999998</v>
      </c>
      <c r="G43" s="296">
        <f>SUM(G38:G42)</f>
        <v>0.2049</v>
      </c>
      <c r="H43" s="1016">
        <f>SUM(H38:H42)</f>
        <v>0.14959999999999998</v>
      </c>
    </row>
    <row r="44" spans="3:8" ht="21" customHeight="1">
      <c r="C44" s="2794" t="s">
        <v>486</v>
      </c>
      <c r="D44" s="2795"/>
      <c r="E44" s="2795"/>
      <c r="F44" s="2795"/>
      <c r="G44" s="2795"/>
      <c r="H44" s="2796"/>
    </row>
    <row r="45" spans="3:8" ht="21" customHeight="1">
      <c r="C45" s="1017" t="s">
        <v>487</v>
      </c>
      <c r="D45" s="287" t="s">
        <v>488</v>
      </c>
      <c r="E45" s="293">
        <v>6.0199999999999997E-2</v>
      </c>
      <c r="F45" s="293">
        <v>1.6299999999999999E-2</v>
      </c>
      <c r="G45" s="293">
        <v>0.1318</v>
      </c>
      <c r="H45" s="627">
        <v>3.56E-2</v>
      </c>
    </row>
    <row r="46" spans="3:8" ht="45">
      <c r="C46" s="1014" t="s">
        <v>489</v>
      </c>
      <c r="D46" s="289" t="s">
        <v>490</v>
      </c>
      <c r="E46" s="290">
        <v>5.1999999999999998E-3</v>
      </c>
      <c r="F46" s="290">
        <v>3.8E-3</v>
      </c>
      <c r="G46" s="290">
        <v>5.4999999999999997E-3</v>
      </c>
      <c r="H46" s="629">
        <v>4.0000000000000001E-3</v>
      </c>
    </row>
    <row r="47" spans="3:8" ht="15.75">
      <c r="C47" s="1019" t="s">
        <v>491</v>
      </c>
      <c r="D47" s="1499" t="s">
        <v>167</v>
      </c>
      <c r="E47" s="297">
        <f>SUM(E45:E46)</f>
        <v>6.54E-2</v>
      </c>
      <c r="F47" s="297">
        <f>SUM(F45:F46)</f>
        <v>2.01E-2</v>
      </c>
      <c r="G47" s="297">
        <f>SUM(G45:G46)</f>
        <v>0.13730000000000001</v>
      </c>
      <c r="H47" s="1020">
        <f>SUM(H45:H46)</f>
        <v>3.9599999999999996E-2</v>
      </c>
    </row>
    <row r="48" spans="3:8" ht="16.5" thickBot="1">
      <c r="C48" s="2797"/>
      <c r="D48" s="2798"/>
      <c r="E48" s="1021">
        <f>E24+E36+E43+E47</f>
        <v>0.79649999999999999</v>
      </c>
      <c r="F48" s="1021">
        <f>F24+F36+F43+F47</f>
        <v>0.4345</v>
      </c>
      <c r="G48" s="1021">
        <f>G24+G36+G43+G47</f>
        <v>1.0684</v>
      </c>
      <c r="H48" s="1022">
        <f>H24+H36+H43+H47</f>
        <v>0.65400000000000003</v>
      </c>
    </row>
  </sheetData>
  <mergeCells count="21">
    <mergeCell ref="C14:H14"/>
    <mergeCell ref="C25:H25"/>
    <mergeCell ref="C37:H37"/>
    <mergeCell ref="C44:H44"/>
    <mergeCell ref="C48:D48"/>
    <mergeCell ref="G3:H3"/>
    <mergeCell ref="C6:H6"/>
    <mergeCell ref="C11:H11"/>
    <mergeCell ref="C12:C13"/>
    <mergeCell ref="D12:D13"/>
    <mergeCell ref="E12:F12"/>
    <mergeCell ref="G12:H12"/>
    <mergeCell ref="C3:C5"/>
    <mergeCell ref="E3:F5"/>
    <mergeCell ref="D8:F8"/>
    <mergeCell ref="D9:E9"/>
    <mergeCell ref="D10:E10"/>
    <mergeCell ref="F9:G9"/>
    <mergeCell ref="F10:G10"/>
    <mergeCell ref="D3:D4"/>
    <mergeCell ref="G4:H4"/>
  </mergeCells>
  <pageMargins left="0.511811024" right="0.511811024" top="0.78740157499999996" bottom="0.78740157499999996" header="0.31496062000000002" footer="0.31496062000000002"/>
  <pageSetup paperSize="9" scale="5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5"/>
  <dimension ref="B1:D7"/>
  <sheetViews>
    <sheetView workbookViewId="0">
      <selection activeCell="D9" sqref="D9"/>
    </sheetView>
  </sheetViews>
  <sheetFormatPr defaultRowHeight="15"/>
  <cols>
    <col min="2" max="2" width="27.140625" bestFit="1" customWidth="1"/>
    <col min="3" max="3" width="14" bestFit="1" customWidth="1"/>
    <col min="4" max="4" width="16.85546875" bestFit="1" customWidth="1"/>
  </cols>
  <sheetData>
    <row r="1" spans="2:4">
      <c r="B1" s="1315" t="s">
        <v>3272</v>
      </c>
      <c r="C1" s="1315" t="s">
        <v>3273</v>
      </c>
      <c r="D1" s="1315" t="s">
        <v>3274</v>
      </c>
    </row>
    <row r="2" spans="2:4">
      <c r="B2" s="1316" t="s">
        <v>6806</v>
      </c>
      <c r="C2" s="1316" t="s">
        <v>3275</v>
      </c>
      <c r="D2" s="1316" t="s">
        <v>6807</v>
      </c>
    </row>
    <row r="3" spans="2:4">
      <c r="B3" s="1316" t="s">
        <v>4612</v>
      </c>
      <c r="C3" s="1316" t="s">
        <v>3275</v>
      </c>
      <c r="D3" s="1316" t="s">
        <v>4613</v>
      </c>
    </row>
    <row r="4" spans="2:4">
      <c r="B4" s="1316" t="s">
        <v>7525</v>
      </c>
      <c r="C4" s="1316" t="s">
        <v>3275</v>
      </c>
      <c r="D4" s="1316" t="s">
        <v>7526</v>
      </c>
    </row>
    <row r="5" spans="2:4">
      <c r="B5" s="1316" t="s">
        <v>3276</v>
      </c>
      <c r="C5" s="1316" t="s">
        <v>3277</v>
      </c>
      <c r="D5" s="1316" t="s">
        <v>3278</v>
      </c>
    </row>
    <row r="6" spans="2:4">
      <c r="B6" s="1316" t="s">
        <v>3279</v>
      </c>
      <c r="C6" s="1316" t="s">
        <v>3277</v>
      </c>
      <c r="D6" s="1316" t="s">
        <v>3280</v>
      </c>
    </row>
    <row r="7" spans="2:4">
      <c r="B7" s="1316" t="s">
        <v>7523</v>
      </c>
      <c r="C7" s="1316" t="s">
        <v>3275</v>
      </c>
      <c r="D7" s="1316" t="s">
        <v>7524</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27"/>
  <dimension ref="C1:S50"/>
  <sheetViews>
    <sheetView showGridLines="0" view="pageBreakPreview" zoomScale="115" zoomScaleNormal="115" zoomScaleSheetLayoutView="115" workbookViewId="0">
      <selection activeCell="F11" sqref="F11"/>
    </sheetView>
  </sheetViews>
  <sheetFormatPr defaultColWidth="9.140625" defaultRowHeight="15"/>
  <cols>
    <col min="3" max="3" width="8.42578125" customWidth="1"/>
    <col min="4" max="4" width="20.28515625" customWidth="1"/>
    <col min="5" max="5" width="17.7109375" customWidth="1"/>
    <col min="6" max="6" width="20.42578125" customWidth="1"/>
    <col min="7" max="8" width="13.7109375" customWidth="1"/>
    <col min="9" max="9" width="12.7109375" customWidth="1"/>
    <col min="10" max="10" width="9.85546875" customWidth="1"/>
    <col min="13" max="13" width="11.42578125" bestFit="1" customWidth="1"/>
    <col min="14" max="14" width="19.42578125" bestFit="1" customWidth="1"/>
  </cols>
  <sheetData>
    <row r="1" spans="3:19" ht="15.75" thickBot="1"/>
    <row r="2" spans="3:19" s="1051" customFormat="1" ht="18">
      <c r="C2" s="1963" t="s">
        <v>2173</v>
      </c>
      <c r="D2" s="1964"/>
      <c r="E2" s="1964"/>
      <c r="F2" s="1964"/>
      <c r="G2" s="1964"/>
      <c r="H2" s="1964"/>
      <c r="I2" s="1964"/>
      <c r="J2" s="1965"/>
    </row>
    <row r="3" spans="3:19" s="1051" customFormat="1" ht="14.25">
      <c r="C3" s="1966" t="s">
        <v>2174</v>
      </c>
      <c r="D3" s="1967"/>
      <c r="E3" s="1967"/>
      <c r="F3" s="1967"/>
      <c r="G3" s="1967"/>
      <c r="H3" s="1967"/>
      <c r="I3" s="1967"/>
      <c r="J3" s="1968"/>
    </row>
    <row r="4" spans="3:19" s="1051" customFormat="1" ht="14.25">
      <c r="C4" s="2053" t="s">
        <v>13366</v>
      </c>
      <c r="D4" s="2054"/>
      <c r="E4" s="2054"/>
      <c r="F4" s="2054"/>
      <c r="G4" s="2054"/>
      <c r="H4" s="2054"/>
      <c r="I4" s="2054"/>
      <c r="J4" s="2055"/>
    </row>
    <row r="5" spans="3:19" s="1051" customFormat="1" ht="14.25">
      <c r="C5" s="2053" t="s">
        <v>2214</v>
      </c>
      <c r="D5" s="2054"/>
      <c r="E5" s="2054"/>
      <c r="F5" s="2054"/>
      <c r="G5" s="2054"/>
      <c r="H5" s="2054"/>
      <c r="I5" s="2054"/>
      <c r="J5" s="2055"/>
    </row>
    <row r="6" spans="3:19" s="1051" customFormat="1" thickBot="1">
      <c r="C6" s="2053" t="s">
        <v>2176</v>
      </c>
      <c r="D6" s="2054"/>
      <c r="E6" s="2054"/>
      <c r="F6" s="2054"/>
      <c r="G6" s="2054"/>
      <c r="H6" s="2054"/>
      <c r="I6" s="2054"/>
      <c r="J6" s="2055"/>
    </row>
    <row r="7" spans="3:19" s="1051" customFormat="1" ht="14.25">
      <c r="C7" s="1090" t="s">
        <v>5</v>
      </c>
      <c r="D7" s="2056" t="str">
        <f>'ORÇAMENTO '!G11</f>
        <v xml:space="preserve">ESCOLA MUNICIPAL DOMINGOS AZZOLINI </v>
      </c>
      <c r="E7" s="2056"/>
      <c r="F7" s="2056"/>
      <c r="G7" s="1091"/>
      <c r="H7" s="1091"/>
      <c r="I7" s="1091"/>
      <c r="J7" s="1092"/>
    </row>
    <row r="8" spans="3:19" s="1051" customFormat="1" ht="14.25">
      <c r="C8" s="1052" t="s">
        <v>7</v>
      </c>
      <c r="D8" s="1089" t="str">
        <f>'ORÇAMENTO '!G12</f>
        <v>SANTO ANTONIO DO LESTE</v>
      </c>
      <c r="E8" s="1053"/>
      <c r="F8" s="1054"/>
      <c r="G8" s="1054"/>
      <c r="H8" s="1054"/>
      <c r="I8" s="1054"/>
      <c r="J8" s="1055"/>
    </row>
    <row r="9" spans="3:19" s="1051" customFormat="1" thickBot="1">
      <c r="C9" s="1056" t="s">
        <v>2215</v>
      </c>
      <c r="D9" s="1057">
        <f>'ORÇAMENTO '!N11</f>
        <v>45366</v>
      </c>
      <c r="E9" s="1057"/>
      <c r="F9" s="1058"/>
      <c r="G9" s="1058"/>
      <c r="H9" s="1058"/>
      <c r="I9" s="1058"/>
      <c r="J9" s="1059"/>
    </row>
    <row r="10" spans="3:19" s="1051" customFormat="1" ht="15.75">
      <c r="C10" s="2048" t="s">
        <v>2556</v>
      </c>
      <c r="D10" s="2049"/>
      <c r="E10" s="2049"/>
      <c r="F10" s="2049"/>
      <c r="G10" s="2049"/>
      <c r="H10" s="2049"/>
      <c r="I10" s="2049"/>
      <c r="J10" s="2050"/>
      <c r="K10" s="1060"/>
      <c r="L10" s="1060"/>
      <c r="M10" s="1060"/>
      <c r="N10" s="1060"/>
      <c r="O10" s="1060"/>
      <c r="P10" s="1060"/>
      <c r="Q10" s="1060"/>
      <c r="R10" s="1060"/>
      <c r="S10" s="1060"/>
    </row>
    <row r="11" spans="3:19" s="1061" customFormat="1" ht="38.25">
      <c r="C11" s="2051" t="s">
        <v>10</v>
      </c>
      <c r="D11" s="2052" t="s">
        <v>2542</v>
      </c>
      <c r="E11" s="1062" t="s">
        <v>2541</v>
      </c>
      <c r="F11" s="1063" t="s">
        <v>2543</v>
      </c>
      <c r="G11" s="1062" t="s">
        <v>2544</v>
      </c>
      <c r="H11" s="1062" t="s">
        <v>2545</v>
      </c>
      <c r="I11" s="1062" t="s">
        <v>2545</v>
      </c>
      <c r="J11" s="1064" t="s">
        <v>2546</v>
      </c>
    </row>
    <row r="12" spans="3:19" s="1061" customFormat="1" ht="12.75">
      <c r="C12" s="2051"/>
      <c r="D12" s="2052"/>
      <c r="E12" s="1062" t="s">
        <v>598</v>
      </c>
      <c r="F12" s="1062" t="s">
        <v>2547</v>
      </c>
      <c r="G12" s="1062" t="s">
        <v>2548</v>
      </c>
      <c r="H12" s="1062"/>
      <c r="I12" s="1062" t="s">
        <v>2548</v>
      </c>
      <c r="J12" s="1065" t="s">
        <v>2548</v>
      </c>
      <c r="K12" s="1061">
        <f>8.14+13.68+20.59+17.5+17.8+1.99+13.47+20.7+13.4+13.64+2.22+56.05+13.51+13.51+13.56+9.18+50.33+28.62+1.69+6.58+1.96+3.46+4.11+3.02+9.21+3.12+9.01+13.56</f>
        <v>383.6099999999999</v>
      </c>
    </row>
    <row r="13" spans="3:19" s="1061" customFormat="1" ht="12.75">
      <c r="C13" s="1066">
        <v>1</v>
      </c>
      <c r="D13" s="1067"/>
      <c r="E13" s="1067" t="s">
        <v>2549</v>
      </c>
      <c r="F13" s="1068"/>
      <c r="G13" s="1068"/>
      <c r="H13" s="1069" t="s">
        <v>2550</v>
      </c>
      <c r="I13" s="1068">
        <v>0</v>
      </c>
      <c r="J13" s="1070">
        <v>0</v>
      </c>
      <c r="M13" s="1061">
        <v>1</v>
      </c>
      <c r="N13" s="1061" t="s">
        <v>2549</v>
      </c>
    </row>
    <row r="14" spans="3:19" s="1061" customFormat="1" ht="12.75">
      <c r="C14" s="1066">
        <v>2</v>
      </c>
      <c r="D14" s="1067"/>
      <c r="E14" s="1067" t="s">
        <v>2549</v>
      </c>
      <c r="F14" s="1068"/>
      <c r="G14" s="1068"/>
      <c r="H14" s="1069" t="s">
        <v>2550</v>
      </c>
      <c r="I14" s="1068">
        <v>0</v>
      </c>
      <c r="J14" s="1070">
        <v>0</v>
      </c>
      <c r="M14" s="1061">
        <v>2</v>
      </c>
      <c r="N14" s="1061" t="s">
        <v>2551</v>
      </c>
    </row>
    <row r="15" spans="3:19" s="1061" customFormat="1" ht="12.75">
      <c r="C15" s="1066">
        <v>3</v>
      </c>
      <c r="D15" s="1067"/>
      <c r="E15" s="1067" t="s">
        <v>2549</v>
      </c>
      <c r="F15" s="1068"/>
      <c r="G15" s="1068"/>
      <c r="H15" s="1069" t="s">
        <v>2550</v>
      </c>
      <c r="I15" s="1068">
        <v>0</v>
      </c>
      <c r="J15" s="1070">
        <v>0</v>
      </c>
      <c r="M15" s="1061">
        <v>3</v>
      </c>
      <c r="N15" s="1061" t="s">
        <v>2552</v>
      </c>
    </row>
    <row r="16" spans="3:19" s="1061" customFormat="1" ht="12.75">
      <c r="C16" s="1066">
        <v>4</v>
      </c>
      <c r="D16" s="1067"/>
      <c r="E16" s="1067" t="s">
        <v>2549</v>
      </c>
      <c r="F16" s="1068"/>
      <c r="G16" s="1068"/>
      <c r="H16" s="1069" t="s">
        <v>2550</v>
      </c>
      <c r="I16" s="1068">
        <v>0</v>
      </c>
      <c r="J16" s="1070">
        <v>0</v>
      </c>
      <c r="M16" s="1061">
        <v>4</v>
      </c>
    </row>
    <row r="17" spans="3:10" s="1061" customFormat="1" ht="12.75">
      <c r="C17" s="1066">
        <v>5</v>
      </c>
      <c r="D17" s="1067"/>
      <c r="E17" s="1067" t="s">
        <v>2549</v>
      </c>
      <c r="F17" s="1068"/>
      <c r="G17" s="1068"/>
      <c r="H17" s="1069" t="s">
        <v>2550</v>
      </c>
      <c r="I17" s="1068">
        <v>0</v>
      </c>
      <c r="J17" s="1070">
        <v>0</v>
      </c>
    </row>
    <row r="18" spans="3:10" s="1061" customFormat="1" ht="12.75">
      <c r="C18" s="1066">
        <v>6</v>
      </c>
      <c r="D18" s="1067"/>
      <c r="E18" s="1067" t="s">
        <v>2549</v>
      </c>
      <c r="F18" s="1068"/>
      <c r="G18" s="1068"/>
      <c r="H18" s="1069" t="s">
        <v>2550</v>
      </c>
      <c r="I18" s="1068">
        <v>0</v>
      </c>
      <c r="J18" s="1070">
        <v>0</v>
      </c>
    </row>
    <row r="19" spans="3:10" s="1061" customFormat="1" ht="12.75">
      <c r="C19" s="1066">
        <v>7</v>
      </c>
      <c r="D19" s="1067"/>
      <c r="E19" s="1067" t="s">
        <v>2549</v>
      </c>
      <c r="F19" s="1068"/>
      <c r="G19" s="1068"/>
      <c r="H19" s="1069" t="s">
        <v>2550</v>
      </c>
      <c r="I19" s="1068">
        <v>0</v>
      </c>
      <c r="J19" s="1070">
        <v>0</v>
      </c>
    </row>
    <row r="20" spans="3:10" s="1061" customFormat="1" ht="12.75">
      <c r="C20" s="1066">
        <v>8</v>
      </c>
      <c r="D20" s="1067"/>
      <c r="E20" s="1067" t="s">
        <v>2549</v>
      </c>
      <c r="F20" s="1068"/>
      <c r="G20" s="1068"/>
      <c r="H20" s="1069" t="s">
        <v>2550</v>
      </c>
      <c r="I20" s="1068">
        <v>0</v>
      </c>
      <c r="J20" s="1070">
        <v>0</v>
      </c>
    </row>
    <row r="21" spans="3:10" s="1061" customFormat="1" ht="12.75">
      <c r="C21" s="1066">
        <v>9</v>
      </c>
      <c r="D21" s="1067"/>
      <c r="E21" s="1067" t="s">
        <v>2549</v>
      </c>
      <c r="F21" s="1068"/>
      <c r="G21" s="1068"/>
      <c r="H21" s="1069" t="s">
        <v>2550</v>
      </c>
      <c r="I21" s="1068">
        <v>0</v>
      </c>
      <c r="J21" s="1070">
        <v>0</v>
      </c>
    </row>
    <row r="22" spans="3:10" s="1061" customFormat="1" ht="12.75">
      <c r="C22" s="1066">
        <v>10</v>
      </c>
      <c r="D22" s="1067"/>
      <c r="E22" s="1067" t="s">
        <v>2549</v>
      </c>
      <c r="F22" s="1068"/>
      <c r="G22" s="1068"/>
      <c r="H22" s="1069" t="s">
        <v>2550</v>
      </c>
      <c r="I22" s="1068">
        <v>0</v>
      </c>
      <c r="J22" s="1070">
        <v>0</v>
      </c>
    </row>
    <row r="23" spans="3:10" s="1061" customFormat="1" ht="12.75">
      <c r="C23" s="1066">
        <v>11</v>
      </c>
      <c r="D23" s="1067"/>
      <c r="E23" s="1067" t="s">
        <v>2549</v>
      </c>
      <c r="F23" s="1068"/>
      <c r="G23" s="1068"/>
      <c r="H23" s="1069" t="s">
        <v>2550</v>
      </c>
      <c r="I23" s="1068">
        <v>0</v>
      </c>
      <c r="J23" s="1070">
        <v>0</v>
      </c>
    </row>
    <row r="24" spans="3:10" s="1061" customFormat="1" ht="12.75">
      <c r="C24" s="1066">
        <v>12</v>
      </c>
      <c r="D24" s="1067"/>
      <c r="E24" s="1067" t="s">
        <v>2549</v>
      </c>
      <c r="F24" s="1068"/>
      <c r="G24" s="1068"/>
      <c r="H24" s="1069" t="s">
        <v>2550</v>
      </c>
      <c r="I24" s="1068">
        <v>0</v>
      </c>
      <c r="J24" s="1070">
        <v>0</v>
      </c>
    </row>
    <row r="25" spans="3:10" s="1061" customFormat="1" ht="12.75">
      <c r="C25" s="1066">
        <v>13</v>
      </c>
      <c r="D25" s="1067"/>
      <c r="E25" s="1067" t="s">
        <v>2549</v>
      </c>
      <c r="F25" s="1068"/>
      <c r="G25" s="1068"/>
      <c r="H25" s="1069" t="s">
        <v>2550</v>
      </c>
      <c r="I25" s="1068">
        <v>0</v>
      </c>
      <c r="J25" s="1070">
        <v>0</v>
      </c>
    </row>
    <row r="26" spans="3:10" s="1061" customFormat="1" ht="12.75">
      <c r="C26" s="1066">
        <v>14</v>
      </c>
      <c r="D26" s="1067"/>
      <c r="E26" s="1067" t="s">
        <v>2549</v>
      </c>
      <c r="F26" s="1068"/>
      <c r="G26" s="1068"/>
      <c r="H26" s="1069" t="s">
        <v>2550</v>
      </c>
      <c r="I26" s="1068">
        <v>0</v>
      </c>
      <c r="J26" s="1070">
        <v>0</v>
      </c>
    </row>
    <row r="27" spans="3:10" s="1061" customFormat="1" ht="12.75">
      <c r="C27" s="1066">
        <v>15</v>
      </c>
      <c r="D27" s="1067"/>
      <c r="E27" s="1067" t="s">
        <v>2549</v>
      </c>
      <c r="F27" s="1068"/>
      <c r="G27" s="1068"/>
      <c r="H27" s="1069" t="s">
        <v>2550</v>
      </c>
      <c r="I27" s="1068">
        <v>0</v>
      </c>
      <c r="J27" s="1070">
        <v>0</v>
      </c>
    </row>
    <row r="28" spans="3:10" s="1061" customFormat="1" ht="12.75">
      <c r="C28" s="1066">
        <v>16</v>
      </c>
      <c r="D28" s="1067"/>
      <c r="E28" s="1067" t="s">
        <v>2549</v>
      </c>
      <c r="F28" s="1068"/>
      <c r="G28" s="1068"/>
      <c r="H28" s="1069" t="s">
        <v>2550</v>
      </c>
      <c r="I28" s="1068">
        <v>0</v>
      </c>
      <c r="J28" s="1070">
        <v>0</v>
      </c>
    </row>
    <row r="29" spans="3:10" s="1061" customFormat="1" ht="12.75">
      <c r="C29" s="1066">
        <v>17</v>
      </c>
      <c r="D29" s="1067"/>
      <c r="E29" s="1067" t="s">
        <v>2549</v>
      </c>
      <c r="F29" s="1068"/>
      <c r="G29" s="1068"/>
      <c r="H29" s="1069" t="s">
        <v>2550</v>
      </c>
      <c r="I29" s="1068">
        <v>0</v>
      </c>
      <c r="J29" s="1070">
        <v>0</v>
      </c>
    </row>
    <row r="30" spans="3:10" s="1061" customFormat="1" ht="12.75">
      <c r="C30" s="1066">
        <v>18</v>
      </c>
      <c r="D30" s="1067"/>
      <c r="E30" s="1067" t="s">
        <v>2549</v>
      </c>
      <c r="F30" s="1068"/>
      <c r="G30" s="1068"/>
      <c r="H30" s="1069" t="s">
        <v>2550</v>
      </c>
      <c r="I30" s="1068">
        <v>0</v>
      </c>
      <c r="J30" s="1070">
        <v>0</v>
      </c>
    </row>
    <row r="31" spans="3:10" s="1061" customFormat="1" ht="12.75">
      <c r="C31" s="1066">
        <v>19</v>
      </c>
      <c r="D31" s="1067"/>
      <c r="E31" s="1067" t="s">
        <v>2549</v>
      </c>
      <c r="F31" s="1068"/>
      <c r="G31" s="1068"/>
      <c r="H31" s="1069" t="s">
        <v>2550</v>
      </c>
      <c r="I31" s="1068">
        <v>0</v>
      </c>
      <c r="J31" s="1070">
        <v>0</v>
      </c>
    </row>
    <row r="32" spans="3:10" s="1061" customFormat="1" ht="12.75">
      <c r="C32" s="1066">
        <v>20</v>
      </c>
      <c r="D32" s="1067"/>
      <c r="E32" s="1067" t="s">
        <v>2552</v>
      </c>
      <c r="F32" s="1068"/>
      <c r="G32" s="1068"/>
      <c r="H32" s="1069" t="s">
        <v>2550</v>
      </c>
      <c r="I32" s="1068">
        <v>0</v>
      </c>
      <c r="J32" s="1070">
        <v>0</v>
      </c>
    </row>
    <row r="33" spans="3:12" s="1061" customFormat="1" ht="12.75">
      <c r="C33" s="1066">
        <v>21</v>
      </c>
      <c r="D33" s="1067"/>
      <c r="E33" s="1067" t="s">
        <v>2549</v>
      </c>
      <c r="F33" s="1068"/>
      <c r="G33" s="1068"/>
      <c r="H33" s="1069" t="s">
        <v>2550</v>
      </c>
      <c r="I33" s="1068">
        <v>0</v>
      </c>
      <c r="J33" s="1070">
        <v>0</v>
      </c>
    </row>
    <row r="34" spans="3:12" s="1061" customFormat="1" ht="12.75">
      <c r="C34" s="1066">
        <v>22</v>
      </c>
      <c r="D34" s="1067"/>
      <c r="E34" s="1067" t="s">
        <v>2549</v>
      </c>
      <c r="F34" s="1068"/>
      <c r="G34" s="1068"/>
      <c r="H34" s="1069" t="s">
        <v>2550</v>
      </c>
      <c r="I34" s="1068">
        <v>0</v>
      </c>
      <c r="J34" s="1070">
        <v>0</v>
      </c>
    </row>
    <row r="35" spans="3:12" s="1061" customFormat="1" ht="12.75">
      <c r="C35" s="1066">
        <v>23</v>
      </c>
      <c r="D35" s="1067"/>
      <c r="E35" s="1067" t="s">
        <v>2549</v>
      </c>
      <c r="F35" s="1068"/>
      <c r="G35" s="1068"/>
      <c r="H35" s="1069" t="s">
        <v>2550</v>
      </c>
      <c r="I35" s="1068">
        <v>0</v>
      </c>
      <c r="J35" s="1070">
        <v>0</v>
      </c>
    </row>
    <row r="36" spans="3:12" s="1061" customFormat="1" ht="12.75">
      <c r="C36" s="1066">
        <v>24</v>
      </c>
      <c r="D36" s="1067"/>
      <c r="E36" s="1067" t="s">
        <v>2549</v>
      </c>
      <c r="F36" s="1068"/>
      <c r="G36" s="1068"/>
      <c r="H36" s="1069" t="s">
        <v>2550</v>
      </c>
      <c r="I36" s="1068">
        <v>0</v>
      </c>
      <c r="J36" s="1070">
        <v>0</v>
      </c>
    </row>
    <row r="37" spans="3:12" s="1061" customFormat="1" ht="12.75">
      <c r="C37" s="1066">
        <v>25</v>
      </c>
      <c r="D37" s="1067"/>
      <c r="E37" s="1067" t="s">
        <v>2552</v>
      </c>
      <c r="F37" s="1068"/>
      <c r="G37" s="1068"/>
      <c r="H37" s="1069" t="s">
        <v>2550</v>
      </c>
      <c r="I37" s="1068">
        <v>0</v>
      </c>
      <c r="J37" s="1070">
        <v>0</v>
      </c>
    </row>
    <row r="38" spans="3:12" s="1061" customFormat="1" ht="12.75">
      <c r="C38" s="1066">
        <v>26</v>
      </c>
      <c r="D38" s="1067"/>
      <c r="E38" s="1067" t="s">
        <v>2549</v>
      </c>
      <c r="F38" s="1068"/>
      <c r="G38" s="1068"/>
      <c r="H38" s="1069" t="s">
        <v>2550</v>
      </c>
      <c r="I38" s="1068">
        <v>0</v>
      </c>
      <c r="J38" s="1070">
        <v>0</v>
      </c>
    </row>
    <row r="39" spans="3:12" s="1061" customFormat="1" ht="12.75">
      <c r="C39" s="1066">
        <v>27</v>
      </c>
      <c r="D39" s="1067"/>
      <c r="E39" s="1067" t="s">
        <v>2549</v>
      </c>
      <c r="F39" s="1068"/>
      <c r="G39" s="1068"/>
      <c r="H39" s="1069" t="s">
        <v>2550</v>
      </c>
      <c r="I39" s="1068">
        <v>0</v>
      </c>
      <c r="J39" s="1070">
        <v>0</v>
      </c>
    </row>
    <row r="40" spans="3:12" s="1061" customFormat="1" ht="25.5">
      <c r="C40" s="1066">
        <v>28</v>
      </c>
      <c r="D40" s="1067"/>
      <c r="E40" s="1067" t="s">
        <v>2551</v>
      </c>
      <c r="F40" s="1068"/>
      <c r="G40" s="1068"/>
      <c r="H40" s="1069" t="s">
        <v>2550</v>
      </c>
      <c r="I40" s="1068">
        <v>0</v>
      </c>
      <c r="J40" s="1070">
        <v>0</v>
      </c>
    </row>
    <row r="41" spans="3:12" s="1061" customFormat="1" ht="25.5">
      <c r="C41" s="1066">
        <v>29</v>
      </c>
      <c r="D41" s="1067"/>
      <c r="E41" s="1067" t="s">
        <v>2551</v>
      </c>
      <c r="F41" s="1068"/>
      <c r="G41" s="1068"/>
      <c r="H41" s="1069" t="s">
        <v>2550</v>
      </c>
      <c r="I41" s="1068">
        <v>0</v>
      </c>
      <c r="J41" s="1070">
        <v>0</v>
      </c>
    </row>
    <row r="42" spans="3:12" s="1061" customFormat="1" ht="25.5">
      <c r="C42" s="1066">
        <v>30</v>
      </c>
      <c r="D42" s="1067"/>
      <c r="E42" s="1067" t="s">
        <v>2551</v>
      </c>
      <c r="F42" s="1068"/>
      <c r="G42" s="1068"/>
      <c r="H42" s="1069" t="s">
        <v>2550</v>
      </c>
      <c r="I42" s="1068">
        <v>0</v>
      </c>
      <c r="J42" s="1070">
        <v>0</v>
      </c>
    </row>
    <row r="43" spans="3:12" s="1061" customFormat="1" ht="25.5">
      <c r="C43" s="1066">
        <v>31</v>
      </c>
      <c r="D43" s="1067"/>
      <c r="E43" s="1067" t="s">
        <v>2551</v>
      </c>
      <c r="F43" s="1068"/>
      <c r="G43" s="1068"/>
      <c r="H43" s="1069" t="s">
        <v>2550</v>
      </c>
      <c r="I43" s="1068">
        <v>0</v>
      </c>
      <c r="J43" s="1070">
        <v>0</v>
      </c>
    </row>
    <row r="44" spans="3:12" s="1061" customFormat="1" ht="25.5">
      <c r="C44" s="1066">
        <v>32</v>
      </c>
      <c r="D44" s="1067"/>
      <c r="E44" s="1067" t="s">
        <v>2551</v>
      </c>
      <c r="F44" s="1068"/>
      <c r="G44" s="1068"/>
      <c r="H44" s="1069" t="s">
        <v>2553</v>
      </c>
      <c r="I44" s="1068">
        <v>4</v>
      </c>
      <c r="J44" s="1070">
        <f>G44-I44</f>
        <v>-4</v>
      </c>
    </row>
    <row r="45" spans="3:12" s="1061" customFormat="1" ht="13.5" thickBot="1">
      <c r="C45" s="1071"/>
      <c r="D45" s="1071"/>
      <c r="E45" s="1071"/>
      <c r="F45" s="1071"/>
      <c r="G45" s="1071"/>
      <c r="H45" s="1072"/>
      <c r="I45" s="1071"/>
      <c r="J45" s="1071"/>
      <c r="L45" s="1073"/>
    </row>
    <row r="46" spans="3:12" s="1061" customFormat="1" ht="15.75" thickBot="1">
      <c r="C46" s="1074" t="s">
        <v>10</v>
      </c>
      <c r="D46" s="1075" t="s">
        <v>2541</v>
      </c>
      <c r="E46" s="1075" t="s">
        <v>2554</v>
      </c>
      <c r="F46" s="1076" t="s">
        <v>2555</v>
      </c>
      <c r="G46" s="1077"/>
      <c r="H46" s="1077"/>
      <c r="I46" s="1077"/>
      <c r="J46" s="1078"/>
      <c r="L46" s="1073"/>
    </row>
    <row r="47" spans="3:12" s="1061" customFormat="1">
      <c r="C47" s="1079">
        <v>1</v>
      </c>
      <c r="D47" s="1080" t="s">
        <v>2549</v>
      </c>
      <c r="E47" s="1081">
        <f>SUMIF(E13:E44,D47,F13:F44)</f>
        <v>0</v>
      </c>
      <c r="F47" s="1082">
        <f>SUMIF(E13:E44,D47,J13:J44)</f>
        <v>0</v>
      </c>
      <c r="G47" s="1077"/>
      <c r="H47" s="1077"/>
      <c r="I47" s="1077"/>
      <c r="J47" s="1078"/>
      <c r="L47" s="1073"/>
    </row>
    <row r="48" spans="3:12" s="1061" customFormat="1">
      <c r="C48" s="1083">
        <v>2</v>
      </c>
      <c r="D48" s="1084" t="s">
        <v>2551</v>
      </c>
      <c r="E48" s="1084">
        <f>SUMIF(E13:E44,D48,F13:F44)</f>
        <v>0</v>
      </c>
      <c r="F48" s="1085">
        <f>SUMIF(E13:E44,D48,J13:J44)</f>
        <v>-4</v>
      </c>
      <c r="G48" s="1077"/>
      <c r="H48" s="1077"/>
      <c r="I48" s="1077"/>
      <c r="J48" s="1078"/>
      <c r="L48" s="1073"/>
    </row>
    <row r="49" spans="3:12" s="1061" customFormat="1" ht="15.75" thickBot="1">
      <c r="C49" s="1086">
        <v>2</v>
      </c>
      <c r="D49" s="1087" t="s">
        <v>2552</v>
      </c>
      <c r="E49" s="1087">
        <f>SUMIF(E13:E44,D49,F13:F44)</f>
        <v>0</v>
      </c>
      <c r="F49" s="1088">
        <f>SUMIF(E13:E44,D49,J13:J44)</f>
        <v>0</v>
      </c>
      <c r="G49" s="1077"/>
      <c r="H49" s="1077"/>
      <c r="I49" s="1077"/>
      <c r="J49" s="1078"/>
      <c r="L49" s="1073"/>
    </row>
    <row r="50" spans="3:12" s="1061" customFormat="1">
      <c r="C50" s="1071"/>
      <c r="D50" s="1071"/>
      <c r="E50" s="1071"/>
      <c r="F50" s="1071"/>
      <c r="G50" s="1077"/>
      <c r="H50" s="1077"/>
      <c r="I50" s="1077"/>
      <c r="J50" s="1078"/>
      <c r="L50" s="1073"/>
    </row>
  </sheetData>
  <dataConsolidate/>
  <mergeCells count="9">
    <mergeCell ref="C10:J10"/>
    <mergeCell ref="C11:C12"/>
    <mergeCell ref="D11:D12"/>
    <mergeCell ref="C2:J2"/>
    <mergeCell ref="C3:J3"/>
    <mergeCell ref="C4:J4"/>
    <mergeCell ref="C5:J5"/>
    <mergeCell ref="C6:J6"/>
    <mergeCell ref="D7:F7"/>
  </mergeCells>
  <dataValidations count="1">
    <dataValidation type="list" allowBlank="1" showInputMessage="1" showErrorMessage="1" sqref="D47:D49 E13:E44" xr:uid="{00000000-0002-0000-0400-000000000000}">
      <formula1>$N$13:$N$16</formula1>
    </dataValidation>
  </dataValidations>
  <printOptions horizontalCentered="1"/>
  <pageMargins left="0.78740157480314965" right="0.19685039370078741" top="0.39370078740157483" bottom="0.78740157480314965" header="0.31496062992125984" footer="0.31496062992125984"/>
  <pageSetup paperSize="9" scale="79" firstPageNumber="25" fitToHeight="100" orientation="portrait" r:id="rId1"/>
  <headerFooter scaleWithDoc="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28"/>
  <dimension ref="C1:P52"/>
  <sheetViews>
    <sheetView view="pageBreakPreview" topLeftCell="A28" zoomScale="98" zoomScaleNormal="100" zoomScaleSheetLayoutView="98" workbookViewId="0">
      <selection activeCell="F11" sqref="F11"/>
    </sheetView>
  </sheetViews>
  <sheetFormatPr defaultColWidth="9.140625" defaultRowHeight="15"/>
  <cols>
    <col min="4" max="4" width="28.28515625" customWidth="1"/>
    <col min="5" max="5" width="11.140625" bestFit="1" customWidth="1"/>
    <col min="6" max="6" width="37.140625" bestFit="1" customWidth="1"/>
    <col min="7" max="7" width="10.7109375" bestFit="1" customWidth="1"/>
    <col min="8" max="8" width="9" bestFit="1" customWidth="1"/>
    <col min="9" max="9" width="10.42578125" bestFit="1" customWidth="1"/>
    <col min="10" max="10" width="10.42578125" customWidth="1"/>
    <col min="11" max="11" width="10.42578125" bestFit="1" customWidth="1"/>
  </cols>
  <sheetData>
    <row r="1" spans="3:16" s="1051" customFormat="1" ht="14.25" customHeight="1">
      <c r="C1" s="1963" t="s">
        <v>2173</v>
      </c>
      <c r="D1" s="1964"/>
      <c r="E1" s="1964"/>
      <c r="F1" s="1964"/>
      <c r="G1" s="1964"/>
      <c r="H1" s="1964"/>
      <c r="I1" s="1964"/>
      <c r="J1" s="1964"/>
      <c r="K1" s="1965"/>
    </row>
    <row r="2" spans="3:16" s="1051" customFormat="1" ht="14.25" customHeight="1">
      <c r="C2" s="1966" t="s">
        <v>2174</v>
      </c>
      <c r="D2" s="1967"/>
      <c r="E2" s="1967"/>
      <c r="F2" s="1967"/>
      <c r="G2" s="1967"/>
      <c r="H2" s="1967"/>
      <c r="I2" s="1967"/>
      <c r="J2" s="1967"/>
      <c r="K2" s="1968"/>
    </row>
    <row r="3" spans="3:16" s="1051" customFormat="1" ht="14.25" customHeight="1">
      <c r="C3" s="2053" t="s">
        <v>13366</v>
      </c>
      <c r="D3" s="2054"/>
      <c r="E3" s="2054"/>
      <c r="F3" s="2054"/>
      <c r="G3" s="2054"/>
      <c r="H3" s="2054"/>
      <c r="I3" s="2054"/>
      <c r="J3" s="2054"/>
      <c r="K3" s="2055"/>
    </row>
    <row r="4" spans="3:16" s="1051" customFormat="1" ht="14.25" customHeight="1">
      <c r="C4" s="2053" t="s">
        <v>2214</v>
      </c>
      <c r="D4" s="2054"/>
      <c r="E4" s="2054"/>
      <c r="F4" s="2054"/>
      <c r="G4" s="2054"/>
      <c r="H4" s="2054"/>
      <c r="I4" s="2054"/>
      <c r="J4" s="2054"/>
      <c r="K4" s="2055"/>
    </row>
    <row r="5" spans="3:16" s="1051" customFormat="1" ht="15.75" customHeight="1" thickBot="1">
      <c r="C5" s="2053" t="s">
        <v>2176</v>
      </c>
      <c r="D5" s="2054"/>
      <c r="E5" s="2054"/>
      <c r="F5" s="2054"/>
      <c r="G5" s="2054"/>
      <c r="H5" s="2054"/>
      <c r="I5" s="2054"/>
      <c r="J5" s="2054"/>
      <c r="K5" s="2055"/>
    </row>
    <row r="6" spans="3:16" s="1051" customFormat="1" ht="15" customHeight="1">
      <c r="C6" s="1090" t="s">
        <v>5</v>
      </c>
      <c r="D6" s="2056" t="str">
        <f>'M.C PISO'!D7</f>
        <v xml:space="preserve">ESCOLA MUNICIPAL DOMINGOS AZZOLINI </v>
      </c>
      <c r="E6" s="2056"/>
      <c r="F6" s="2056"/>
      <c r="G6" s="2056"/>
      <c r="H6" s="2056"/>
      <c r="I6" s="2056"/>
      <c r="J6" s="2056"/>
      <c r="K6" s="2057"/>
    </row>
    <row r="7" spans="3:16" s="1051" customFormat="1" ht="14.25">
      <c r="C7" s="1052" t="s">
        <v>7</v>
      </c>
      <c r="D7" s="2065" t="str">
        <f>'M.C PISO'!D8</f>
        <v>SANTO ANTONIO DO LESTE</v>
      </c>
      <c r="E7" s="2065"/>
      <c r="F7" s="2065"/>
      <c r="G7" s="2065"/>
      <c r="H7" s="2065"/>
      <c r="I7" s="2065"/>
      <c r="J7" s="2065"/>
      <c r="K7" s="2066"/>
    </row>
    <row r="8" spans="3:16" s="1051" customFormat="1" ht="15.75" customHeight="1" thickBot="1">
      <c r="C8" s="1056" t="s">
        <v>2215</v>
      </c>
      <c r="D8" s="2067">
        <f>'M.C PISO'!D9</f>
        <v>45366</v>
      </c>
      <c r="E8" s="2067"/>
      <c r="F8" s="2067"/>
      <c r="G8" s="2067"/>
      <c r="H8" s="2067"/>
      <c r="I8" s="2067"/>
      <c r="J8" s="2067"/>
      <c r="K8" s="2068"/>
    </row>
    <row r="9" spans="3:16" s="1051" customFormat="1" ht="16.5" thickBot="1">
      <c r="C9" s="2069" t="s">
        <v>3040</v>
      </c>
      <c r="D9" s="2070"/>
      <c r="E9" s="2070"/>
      <c r="F9" s="2070"/>
      <c r="G9" s="2070"/>
      <c r="H9" s="2070"/>
      <c r="I9" s="2070"/>
      <c r="J9" s="2070"/>
      <c r="K9" s="2071"/>
      <c r="L9" s="1060"/>
      <c r="M9" s="1060"/>
      <c r="N9" s="1060"/>
      <c r="O9" s="1060"/>
      <c r="P9" s="1060"/>
    </row>
    <row r="10" spans="3:16" ht="15" customHeight="1">
      <c r="C10" s="2072" t="s">
        <v>10</v>
      </c>
      <c r="D10" s="2074" t="s">
        <v>2542</v>
      </c>
      <c r="E10" s="1255" t="s">
        <v>2544</v>
      </c>
      <c r="F10" s="2074" t="s">
        <v>2545</v>
      </c>
      <c r="G10" s="2074"/>
      <c r="H10" s="2076" t="s">
        <v>3039</v>
      </c>
      <c r="I10" s="2077"/>
      <c r="J10" s="2078" t="s">
        <v>3038</v>
      </c>
      <c r="K10" s="2079"/>
    </row>
    <row r="11" spans="3:16" ht="15.75" thickBot="1">
      <c r="C11" s="2073"/>
      <c r="D11" s="2075"/>
      <c r="E11" s="1252" t="s">
        <v>21</v>
      </c>
      <c r="F11" s="1252" t="s">
        <v>3037</v>
      </c>
      <c r="G11" s="1252" t="s">
        <v>0</v>
      </c>
      <c r="H11" s="1254" t="s">
        <v>2984</v>
      </c>
      <c r="I11" s="1253" t="s">
        <v>3036</v>
      </c>
      <c r="J11" s="1252" t="s">
        <v>2984</v>
      </c>
      <c r="K11" s="1251" t="s">
        <v>3036</v>
      </c>
    </row>
    <row r="12" spans="3:16" s="1051" customFormat="1" ht="15.75">
      <c r="C12" s="2058" t="s">
        <v>3035</v>
      </c>
      <c r="D12" s="2059"/>
      <c r="E12" s="2059"/>
      <c r="F12" s="2059"/>
      <c r="G12" s="2059"/>
      <c r="H12" s="2059"/>
      <c r="I12" s="2059"/>
      <c r="J12" s="2059"/>
      <c r="K12" s="2060"/>
      <c r="L12" s="1060"/>
      <c r="M12" s="1060"/>
      <c r="N12" s="1060"/>
      <c r="O12" s="1060"/>
      <c r="P12" s="1060"/>
    </row>
    <row r="13" spans="3:16" s="1240" customFormat="1">
      <c r="C13" s="1250">
        <v>1</v>
      </c>
      <c r="D13" s="1249" t="s">
        <v>3034</v>
      </c>
      <c r="E13" s="1247">
        <v>24.06</v>
      </c>
      <c r="F13" s="1247" t="s">
        <v>3033</v>
      </c>
      <c r="G13" s="1247">
        <f>3*0.9*2.1+2*2.1+2*1.2+1.5*2.9+1.25*2.9</f>
        <v>20.245000000000001</v>
      </c>
      <c r="H13" s="1248">
        <v>2.9</v>
      </c>
      <c r="I13" s="1248">
        <f t="shared" ref="I13:I19" si="0">IF(H13=2.9,0,2.9)</f>
        <v>0</v>
      </c>
      <c r="J13" s="1247">
        <f t="shared" ref="J13:J19" si="1">IF(H13&gt;0,(TRUNC(H13*E13-G13,2)),0)</f>
        <v>49.52</v>
      </c>
      <c r="K13" s="1246">
        <f t="shared" ref="K13:K19" si="2">IF(I13&gt;0,(TRUNC(I13*E13-G13,2)),0)</f>
        <v>0</v>
      </c>
    </row>
    <row r="14" spans="3:16" s="1240" customFormat="1">
      <c r="C14" s="1250">
        <v>2</v>
      </c>
      <c r="D14" s="1249" t="s">
        <v>3032</v>
      </c>
      <c r="E14" s="1247">
        <v>17.82</v>
      </c>
      <c r="F14" s="1247" t="s">
        <v>3031</v>
      </c>
      <c r="G14" s="1247">
        <f>0.9*2.1+3*1</f>
        <v>4.8900000000000006</v>
      </c>
      <c r="H14" s="1248">
        <v>2.9</v>
      </c>
      <c r="I14" s="1248">
        <f t="shared" si="0"/>
        <v>0</v>
      </c>
      <c r="J14" s="1247">
        <f t="shared" si="1"/>
        <v>46.78</v>
      </c>
      <c r="K14" s="1246">
        <f t="shared" si="2"/>
        <v>0</v>
      </c>
    </row>
    <row r="15" spans="3:16" s="1240" customFormat="1">
      <c r="C15" s="1250">
        <v>3</v>
      </c>
      <c r="D15" s="1249" t="s">
        <v>3030</v>
      </c>
      <c r="E15" s="1247">
        <v>15.72</v>
      </c>
      <c r="F15" s="1247" t="s">
        <v>3029</v>
      </c>
      <c r="G15" s="1247">
        <f>0.9*2.1+1.5*1.3</f>
        <v>3.8400000000000003</v>
      </c>
      <c r="H15" s="1248">
        <v>2.9</v>
      </c>
      <c r="I15" s="1248">
        <f t="shared" si="0"/>
        <v>0</v>
      </c>
      <c r="J15" s="1247">
        <f t="shared" si="1"/>
        <v>41.74</v>
      </c>
      <c r="K15" s="1246">
        <f t="shared" si="2"/>
        <v>0</v>
      </c>
    </row>
    <row r="16" spans="3:16" s="1240" customFormat="1" ht="30">
      <c r="C16" s="1250">
        <v>4</v>
      </c>
      <c r="D16" s="1249" t="s">
        <v>3001</v>
      </c>
      <c r="E16" s="1247">
        <v>13.2</v>
      </c>
      <c r="F16" s="1247" t="s">
        <v>3028</v>
      </c>
      <c r="G16" s="1247">
        <f>0.9*2.1+1.6*1</f>
        <v>3.49</v>
      </c>
      <c r="H16" s="1248">
        <v>2.9</v>
      </c>
      <c r="I16" s="1248">
        <f t="shared" si="0"/>
        <v>0</v>
      </c>
      <c r="J16" s="1247">
        <f t="shared" si="1"/>
        <v>34.79</v>
      </c>
      <c r="K16" s="1246">
        <f t="shared" si="2"/>
        <v>0</v>
      </c>
    </row>
    <row r="17" spans="3:16" s="1240" customFormat="1">
      <c r="C17" s="1250">
        <v>5</v>
      </c>
      <c r="D17" s="1249" t="s">
        <v>2997</v>
      </c>
      <c r="E17" s="1247">
        <v>9.35</v>
      </c>
      <c r="F17" s="1247" t="s">
        <v>3027</v>
      </c>
      <c r="G17" s="1247">
        <f>1.5*2.9+2*0.9*2.1</f>
        <v>8.129999999999999</v>
      </c>
      <c r="H17" s="1248">
        <v>2.9</v>
      </c>
      <c r="I17" s="1248">
        <f t="shared" si="0"/>
        <v>0</v>
      </c>
      <c r="J17" s="1247">
        <f t="shared" si="1"/>
        <v>18.98</v>
      </c>
      <c r="K17" s="1246">
        <f t="shared" si="2"/>
        <v>0</v>
      </c>
    </row>
    <row r="18" spans="3:16" s="1240" customFormat="1">
      <c r="C18" s="1250">
        <v>6</v>
      </c>
      <c r="D18" s="1249" t="s">
        <v>3025</v>
      </c>
      <c r="E18" s="1247">
        <v>6.7</v>
      </c>
      <c r="F18" s="1247" t="s">
        <v>3019</v>
      </c>
      <c r="G18" s="1247">
        <f>0.9*2.1+0.6*0.6</f>
        <v>2.25</v>
      </c>
      <c r="H18" s="1248">
        <v>0</v>
      </c>
      <c r="I18" s="1248">
        <f t="shared" si="0"/>
        <v>2.9</v>
      </c>
      <c r="J18" s="1247">
        <f t="shared" si="1"/>
        <v>0</v>
      </c>
      <c r="K18" s="1246">
        <f t="shared" si="2"/>
        <v>17.18</v>
      </c>
    </row>
    <row r="19" spans="3:16" s="1240" customFormat="1">
      <c r="C19" s="1250">
        <v>7</v>
      </c>
      <c r="D19" s="1249" t="s">
        <v>3025</v>
      </c>
      <c r="E19" s="1247">
        <v>6.7</v>
      </c>
      <c r="F19" s="1247" t="str">
        <f>F18</f>
        <v>0,9*2,1+0,6*0,6</v>
      </c>
      <c r="G19" s="1247">
        <f>G18</f>
        <v>2.25</v>
      </c>
      <c r="H19" s="1248">
        <v>0</v>
      </c>
      <c r="I19" s="1248">
        <f t="shared" si="0"/>
        <v>2.9</v>
      </c>
      <c r="J19" s="1247">
        <f t="shared" si="1"/>
        <v>0</v>
      </c>
      <c r="K19" s="1246">
        <f t="shared" si="2"/>
        <v>17.18</v>
      </c>
    </row>
    <row r="20" spans="3:16" s="1051" customFormat="1" ht="15.75">
      <c r="C20" s="2061" t="s">
        <v>3026</v>
      </c>
      <c r="D20" s="2062"/>
      <c r="E20" s="2062"/>
      <c r="F20" s="2062"/>
      <c r="G20" s="2062"/>
      <c r="H20" s="2062"/>
      <c r="I20" s="2062"/>
      <c r="J20" s="2062"/>
      <c r="K20" s="2063"/>
      <c r="L20" s="1060"/>
      <c r="M20" s="1060"/>
      <c r="N20" s="1060"/>
      <c r="O20" s="1060"/>
      <c r="P20" s="1060"/>
    </row>
    <row r="21" spans="3:16" s="1240" customFormat="1">
      <c r="C21" s="1250">
        <v>8</v>
      </c>
      <c r="D21" s="1249" t="s">
        <v>3025</v>
      </c>
      <c r="E21" s="1247">
        <v>6.38</v>
      </c>
      <c r="F21" s="1247" t="str">
        <f>F19</f>
        <v>0,9*2,1+0,6*0,6</v>
      </c>
      <c r="G21" s="1247">
        <f>G19</f>
        <v>2.25</v>
      </c>
      <c r="H21" s="1248">
        <v>0</v>
      </c>
      <c r="I21" s="1248">
        <f t="shared" ref="I21:I39" si="3">IF(H21=2.9,0,2.9)</f>
        <v>2.9</v>
      </c>
      <c r="J21" s="1247">
        <f t="shared" ref="J21:J41" si="4">IF(H21&gt;0,(TRUNC(H21*E21-G21,2)),0)</f>
        <v>0</v>
      </c>
      <c r="K21" s="1246">
        <f t="shared" ref="K21:K41" si="5">IF(I21&gt;0,(TRUNC(I21*E21-G21,2)),0)</f>
        <v>16.25</v>
      </c>
    </row>
    <row r="22" spans="3:16" s="1240" customFormat="1">
      <c r="C22" s="1250">
        <v>9</v>
      </c>
      <c r="D22" s="1249" t="s">
        <v>3024</v>
      </c>
      <c r="E22" s="1247">
        <v>14.8</v>
      </c>
      <c r="F22" s="1247" t="s">
        <v>3023</v>
      </c>
      <c r="G22" s="1247">
        <f>2*0.9*2.1+1.6*1</f>
        <v>5.3800000000000008</v>
      </c>
      <c r="H22" s="1248">
        <v>2.9</v>
      </c>
      <c r="I22" s="1248">
        <f t="shared" si="3"/>
        <v>0</v>
      </c>
      <c r="J22" s="1247">
        <f t="shared" si="4"/>
        <v>37.54</v>
      </c>
      <c r="K22" s="1246">
        <f t="shared" si="5"/>
        <v>0</v>
      </c>
    </row>
    <row r="23" spans="3:16" s="1240" customFormat="1">
      <c r="C23" s="1250">
        <v>10</v>
      </c>
      <c r="D23" s="1249" t="s">
        <v>3022</v>
      </c>
      <c r="E23" s="1247">
        <v>11.76</v>
      </c>
      <c r="F23" s="1247" t="s">
        <v>2998</v>
      </c>
      <c r="G23" s="1247">
        <f>0.9*2.1+1.2*1</f>
        <v>3.09</v>
      </c>
      <c r="H23" s="1248">
        <v>2.9</v>
      </c>
      <c r="I23" s="1248">
        <f t="shared" si="3"/>
        <v>0</v>
      </c>
      <c r="J23" s="1247">
        <f t="shared" si="4"/>
        <v>31.01</v>
      </c>
      <c r="K23" s="1246">
        <f t="shared" si="5"/>
        <v>0</v>
      </c>
    </row>
    <row r="24" spans="3:16" s="1240" customFormat="1" ht="30">
      <c r="C24" s="1250">
        <v>11</v>
      </c>
      <c r="D24" s="1249" t="s">
        <v>3021</v>
      </c>
      <c r="E24" s="1247">
        <v>13.2</v>
      </c>
      <c r="F24" s="1247" t="s">
        <v>3020</v>
      </c>
      <c r="G24" s="1247">
        <f>2*0.9*2.1</f>
        <v>3.7800000000000002</v>
      </c>
      <c r="H24" s="1248">
        <v>2.9</v>
      </c>
      <c r="I24" s="1248">
        <f t="shared" si="3"/>
        <v>0</v>
      </c>
      <c r="J24" s="1247">
        <f t="shared" si="4"/>
        <v>34.5</v>
      </c>
      <c r="K24" s="1246">
        <f t="shared" si="5"/>
        <v>0</v>
      </c>
    </row>
    <row r="25" spans="3:16" s="1240" customFormat="1">
      <c r="C25" s="1250">
        <v>12</v>
      </c>
      <c r="D25" s="1249" t="s">
        <v>3012</v>
      </c>
      <c r="E25" s="1247">
        <v>9.01</v>
      </c>
      <c r="F25" s="1247" t="s">
        <v>3019</v>
      </c>
      <c r="G25" s="1247">
        <f>0.9*2.1+0.6*0.6</f>
        <v>2.25</v>
      </c>
      <c r="H25" s="1248">
        <v>0</v>
      </c>
      <c r="I25" s="1248">
        <f t="shared" si="3"/>
        <v>2.9</v>
      </c>
      <c r="J25" s="1247">
        <f t="shared" si="4"/>
        <v>0</v>
      </c>
      <c r="K25" s="1246">
        <f t="shared" si="5"/>
        <v>23.87</v>
      </c>
    </row>
    <row r="26" spans="3:16" s="1240" customFormat="1" ht="30">
      <c r="C26" s="1250">
        <v>13</v>
      </c>
      <c r="D26" s="1249" t="s">
        <v>3018</v>
      </c>
      <c r="E26" s="1247">
        <v>18.34</v>
      </c>
      <c r="F26" s="1247" t="s">
        <v>3017</v>
      </c>
      <c r="G26" s="1247">
        <f>0.9*2.1+2*1</f>
        <v>3.89</v>
      </c>
      <c r="H26" s="1248">
        <v>2.9</v>
      </c>
      <c r="I26" s="1248">
        <f t="shared" si="3"/>
        <v>0</v>
      </c>
      <c r="J26" s="1247">
        <f t="shared" si="4"/>
        <v>49.29</v>
      </c>
      <c r="K26" s="1246">
        <f t="shared" si="5"/>
        <v>0</v>
      </c>
    </row>
    <row r="27" spans="3:16" s="1240" customFormat="1">
      <c r="C27" s="1250">
        <v>14</v>
      </c>
      <c r="D27" s="1249" t="s">
        <v>3016</v>
      </c>
      <c r="E27" s="1247">
        <v>8.9600000000000009</v>
      </c>
      <c r="F27" s="1247" t="s">
        <v>3014</v>
      </c>
      <c r="G27" s="1247">
        <f>0.8*2.1+1.2*1</f>
        <v>2.88</v>
      </c>
      <c r="H27" s="1248">
        <v>0</v>
      </c>
      <c r="I27" s="1248">
        <f t="shared" si="3"/>
        <v>2.9</v>
      </c>
      <c r="J27" s="1247">
        <f t="shared" si="4"/>
        <v>0</v>
      </c>
      <c r="K27" s="1246">
        <f t="shared" si="5"/>
        <v>23.1</v>
      </c>
    </row>
    <row r="28" spans="3:16" s="1240" customFormat="1">
      <c r="C28" s="1250">
        <v>15</v>
      </c>
      <c r="D28" s="1249" t="s">
        <v>3015</v>
      </c>
      <c r="E28" s="1247">
        <v>8.06</v>
      </c>
      <c r="F28" s="1247" t="s">
        <v>3014</v>
      </c>
      <c r="G28" s="1247">
        <f>0.8*2.1+1.2*1</f>
        <v>2.88</v>
      </c>
      <c r="H28" s="1248">
        <v>0</v>
      </c>
      <c r="I28" s="1248">
        <f t="shared" si="3"/>
        <v>2.9</v>
      </c>
      <c r="J28" s="1247">
        <f t="shared" si="4"/>
        <v>0</v>
      </c>
      <c r="K28" s="1246">
        <f t="shared" si="5"/>
        <v>20.49</v>
      </c>
    </row>
    <row r="29" spans="3:16" s="1240" customFormat="1">
      <c r="C29" s="1250">
        <v>16</v>
      </c>
      <c r="D29" s="1249" t="s">
        <v>3013</v>
      </c>
      <c r="E29" s="1247">
        <v>6.8</v>
      </c>
      <c r="F29" s="1247" t="s">
        <v>3011</v>
      </c>
      <c r="G29" s="1247">
        <f>0.8*2.1+0.6*0.6</f>
        <v>2.04</v>
      </c>
      <c r="H29" s="1248">
        <v>2.9</v>
      </c>
      <c r="I29" s="1248">
        <f t="shared" si="3"/>
        <v>0</v>
      </c>
      <c r="J29" s="1247">
        <f t="shared" si="4"/>
        <v>17.68</v>
      </c>
      <c r="K29" s="1246">
        <f t="shared" si="5"/>
        <v>0</v>
      </c>
    </row>
    <row r="30" spans="3:16" s="1240" customFormat="1">
      <c r="C30" s="1250">
        <v>17</v>
      </c>
      <c r="D30" s="1249" t="s">
        <v>3012</v>
      </c>
      <c r="E30" s="1247">
        <v>8.4</v>
      </c>
      <c r="F30" s="1247" t="s">
        <v>3011</v>
      </c>
      <c r="G30" s="1247">
        <f>0.8*2.1+0.6*0.6</f>
        <v>2.04</v>
      </c>
      <c r="H30" s="1248">
        <v>0</v>
      </c>
      <c r="I30" s="1248">
        <f t="shared" si="3"/>
        <v>2.9</v>
      </c>
      <c r="J30" s="1247">
        <f t="shared" si="4"/>
        <v>0</v>
      </c>
      <c r="K30" s="1246">
        <f t="shared" si="5"/>
        <v>22.32</v>
      </c>
    </row>
    <row r="31" spans="3:16" s="1240" customFormat="1" ht="17.25" customHeight="1">
      <c r="C31" s="1250">
        <v>18</v>
      </c>
      <c r="D31" s="1249" t="s">
        <v>2997</v>
      </c>
      <c r="E31" s="1247">
        <v>20.6</v>
      </c>
      <c r="F31" s="1247" t="s">
        <v>3010</v>
      </c>
      <c r="G31" s="1247">
        <f>6*0.8*2.1+0.1*2.1</f>
        <v>10.290000000000003</v>
      </c>
      <c r="H31" s="1248">
        <v>2.9</v>
      </c>
      <c r="I31" s="1248">
        <f t="shared" si="3"/>
        <v>0</v>
      </c>
      <c r="J31" s="1247">
        <f t="shared" si="4"/>
        <v>49.45</v>
      </c>
      <c r="K31" s="1246">
        <f t="shared" si="5"/>
        <v>0</v>
      </c>
    </row>
    <row r="32" spans="3:16" s="1240" customFormat="1">
      <c r="C32" s="1250">
        <v>19</v>
      </c>
      <c r="D32" s="1249" t="s">
        <v>3009</v>
      </c>
      <c r="E32" s="1247">
        <v>12.36</v>
      </c>
      <c r="F32" s="1247" t="s">
        <v>3008</v>
      </c>
      <c r="G32" s="1247">
        <f>0.8*2.1+1.6*1</f>
        <v>3.2800000000000002</v>
      </c>
      <c r="H32" s="1248">
        <v>2.9</v>
      </c>
      <c r="I32" s="1248">
        <f t="shared" si="3"/>
        <v>0</v>
      </c>
      <c r="J32" s="1247">
        <f t="shared" si="4"/>
        <v>32.56</v>
      </c>
      <c r="K32" s="1246">
        <f t="shared" si="5"/>
        <v>0</v>
      </c>
    </row>
    <row r="33" spans="3:16" s="1240" customFormat="1">
      <c r="C33" s="1250">
        <v>20</v>
      </c>
      <c r="D33" s="1249" t="s">
        <v>3007</v>
      </c>
      <c r="E33" s="1247">
        <v>7.36</v>
      </c>
      <c r="F33" s="1247" t="s">
        <v>3006</v>
      </c>
      <c r="G33" s="1247">
        <f>2*0.8*2.1</f>
        <v>3.3600000000000003</v>
      </c>
      <c r="H33" s="1248">
        <v>2.9</v>
      </c>
      <c r="I33" s="1248">
        <f t="shared" si="3"/>
        <v>0</v>
      </c>
      <c r="J33" s="1247">
        <f t="shared" si="4"/>
        <v>17.98</v>
      </c>
      <c r="K33" s="1246">
        <f t="shared" si="5"/>
        <v>0</v>
      </c>
    </row>
    <row r="34" spans="3:16" s="1240" customFormat="1">
      <c r="C34" s="1250">
        <v>21</v>
      </c>
      <c r="D34" s="1249" t="s">
        <v>3005</v>
      </c>
      <c r="E34" s="1247">
        <v>10.6</v>
      </c>
      <c r="F34" s="1247" t="s">
        <v>3004</v>
      </c>
      <c r="G34" s="1247">
        <f>0.8*2.1+0.6*0.6+0.8*0.8</f>
        <v>2.68</v>
      </c>
      <c r="H34" s="1248">
        <v>2.9</v>
      </c>
      <c r="I34" s="1248">
        <f t="shared" si="3"/>
        <v>0</v>
      </c>
      <c r="J34" s="1247">
        <f t="shared" si="4"/>
        <v>28.06</v>
      </c>
      <c r="K34" s="1246">
        <f t="shared" si="5"/>
        <v>0</v>
      </c>
    </row>
    <row r="35" spans="3:16" s="1240" customFormat="1">
      <c r="C35" s="1250">
        <v>22</v>
      </c>
      <c r="D35" s="1249" t="s">
        <v>3003</v>
      </c>
      <c r="E35" s="1247">
        <v>11.26</v>
      </c>
      <c r="F35" s="1247" t="s">
        <v>3002</v>
      </c>
      <c r="G35" s="1247">
        <f>0.8*2.1+1.2*1+0.8*0.8</f>
        <v>3.52</v>
      </c>
      <c r="H35" s="1248">
        <v>2.9</v>
      </c>
      <c r="I35" s="1248">
        <f t="shared" si="3"/>
        <v>0</v>
      </c>
      <c r="J35" s="1247">
        <f t="shared" si="4"/>
        <v>29.13</v>
      </c>
      <c r="K35" s="1246">
        <f t="shared" si="5"/>
        <v>0</v>
      </c>
    </row>
    <row r="36" spans="3:16" s="1240" customFormat="1" ht="30">
      <c r="C36" s="1250">
        <v>23</v>
      </c>
      <c r="D36" s="1249" t="s">
        <v>3001</v>
      </c>
      <c r="E36" s="1247">
        <v>12.65</v>
      </c>
      <c r="F36" s="1247" t="s">
        <v>2998</v>
      </c>
      <c r="G36" s="1247">
        <f>0.9*2.1+1.2*1</f>
        <v>3.09</v>
      </c>
      <c r="H36" s="1248">
        <v>2.9</v>
      </c>
      <c r="I36" s="1248">
        <f t="shared" si="3"/>
        <v>0</v>
      </c>
      <c r="J36" s="1247">
        <f t="shared" si="4"/>
        <v>33.590000000000003</v>
      </c>
      <c r="K36" s="1246">
        <f t="shared" si="5"/>
        <v>0</v>
      </c>
    </row>
    <row r="37" spans="3:16" s="1240" customFormat="1">
      <c r="C37" s="1250">
        <v>24</v>
      </c>
      <c r="D37" s="1249" t="s">
        <v>3000</v>
      </c>
      <c r="E37" s="1247">
        <v>12.7</v>
      </c>
      <c r="F37" s="1247" t="s">
        <v>2998</v>
      </c>
      <c r="G37" s="1247">
        <f>0.9*2.1+1.2*1</f>
        <v>3.09</v>
      </c>
      <c r="H37" s="1248">
        <v>2.9</v>
      </c>
      <c r="I37" s="1248">
        <f t="shared" si="3"/>
        <v>0</v>
      </c>
      <c r="J37" s="1247">
        <f t="shared" si="4"/>
        <v>33.74</v>
      </c>
      <c r="K37" s="1246">
        <f t="shared" si="5"/>
        <v>0</v>
      </c>
    </row>
    <row r="38" spans="3:16" s="1240" customFormat="1">
      <c r="C38" s="1250">
        <v>25</v>
      </c>
      <c r="D38" s="1249" t="s">
        <v>2999</v>
      </c>
      <c r="E38" s="1247">
        <v>12.76</v>
      </c>
      <c r="F38" s="1247" t="s">
        <v>2998</v>
      </c>
      <c r="G38" s="1247">
        <f>0.9*2.1+1.2*1</f>
        <v>3.09</v>
      </c>
      <c r="H38" s="1248">
        <v>2.9</v>
      </c>
      <c r="I38" s="1248">
        <f t="shared" si="3"/>
        <v>0</v>
      </c>
      <c r="J38" s="1247">
        <f t="shared" si="4"/>
        <v>33.909999999999997</v>
      </c>
      <c r="K38" s="1246">
        <f t="shared" si="5"/>
        <v>0</v>
      </c>
    </row>
    <row r="39" spans="3:16" s="1240" customFormat="1">
      <c r="C39" s="1250">
        <v>26</v>
      </c>
      <c r="D39" s="1249" t="s">
        <v>2997</v>
      </c>
      <c r="E39" s="1247">
        <v>28.04</v>
      </c>
      <c r="F39" s="1247" t="s">
        <v>2996</v>
      </c>
      <c r="G39" s="1247">
        <f>7*0.9*2.1+3*0.8*2.1+1.25*2.9</f>
        <v>21.895000000000003</v>
      </c>
      <c r="H39" s="1248">
        <v>2.9</v>
      </c>
      <c r="I39" s="1248">
        <f t="shared" si="3"/>
        <v>0</v>
      </c>
      <c r="J39" s="1247">
        <f t="shared" si="4"/>
        <v>59.42</v>
      </c>
      <c r="K39" s="1246">
        <f t="shared" si="5"/>
        <v>0</v>
      </c>
    </row>
    <row r="40" spans="3:16" s="1240" customFormat="1">
      <c r="C40" s="1250">
        <v>27</v>
      </c>
      <c r="D40" s="1249" t="s">
        <v>2995</v>
      </c>
      <c r="E40" s="1247">
        <v>4.9000000000000004</v>
      </c>
      <c r="F40" s="1247" t="s">
        <v>2994</v>
      </c>
      <c r="G40" s="1247">
        <f>1.5*1.15</f>
        <v>1.7249999999999999</v>
      </c>
      <c r="H40" s="1248">
        <v>1.1499999999999999</v>
      </c>
      <c r="I40" s="1248">
        <v>0</v>
      </c>
      <c r="J40" s="1247">
        <f t="shared" si="4"/>
        <v>3.91</v>
      </c>
      <c r="K40" s="1246">
        <f t="shared" si="5"/>
        <v>0</v>
      </c>
    </row>
    <row r="41" spans="3:16" s="1240" customFormat="1">
      <c r="C41" s="1250">
        <v>28</v>
      </c>
      <c r="D41" s="1249" t="s">
        <v>2993</v>
      </c>
      <c r="E41" s="1247">
        <v>4</v>
      </c>
      <c r="F41" s="1247" t="s">
        <v>2992</v>
      </c>
      <c r="G41" s="1247">
        <f>1.3*1.15</f>
        <v>1.4949999999999999</v>
      </c>
      <c r="H41" s="1248">
        <v>1.1499999999999999</v>
      </c>
      <c r="I41" s="1248">
        <v>0</v>
      </c>
      <c r="J41" s="1247">
        <f t="shared" si="4"/>
        <v>3.1</v>
      </c>
      <c r="K41" s="1246">
        <f t="shared" si="5"/>
        <v>0</v>
      </c>
    </row>
    <row r="42" spans="3:16" s="1051" customFormat="1" ht="15.75">
      <c r="C42" s="2061" t="s">
        <v>2991</v>
      </c>
      <c r="D42" s="2062"/>
      <c r="E42" s="2062"/>
      <c r="F42" s="2062"/>
      <c r="G42" s="2062"/>
      <c r="H42" s="2062"/>
      <c r="I42" s="2062"/>
      <c r="J42" s="2062"/>
      <c r="K42" s="2063"/>
      <c r="L42" s="1060"/>
      <c r="M42" s="1060"/>
      <c r="N42" s="1060"/>
      <c r="O42" s="1060"/>
      <c r="P42" s="1060"/>
    </row>
    <row r="43" spans="3:16" s="1240" customFormat="1">
      <c r="C43" s="1250">
        <v>27</v>
      </c>
      <c r="D43" s="1249" t="s">
        <v>2990</v>
      </c>
      <c r="E43" s="1247">
        <v>4.4000000000000004</v>
      </c>
      <c r="F43" s="1247" t="s">
        <v>2989</v>
      </c>
      <c r="G43" s="1247">
        <f>0.7*2.1</f>
        <v>1.47</v>
      </c>
      <c r="H43" s="1248">
        <v>0</v>
      </c>
      <c r="I43" s="1248">
        <v>2.9</v>
      </c>
      <c r="J43" s="1247">
        <f>IF(H43&gt;0,(TRUNC(H43*E43-G43,2)),0)</f>
        <v>0</v>
      </c>
      <c r="K43" s="1246">
        <f>IF(I43&gt;0,(TRUNC(I43*E43-G43,2)),0)</f>
        <v>11.29</v>
      </c>
    </row>
    <row r="44" spans="3:16" s="1240" customFormat="1">
      <c r="C44" s="1250">
        <v>28</v>
      </c>
      <c r="D44" s="1249" t="s">
        <v>2988</v>
      </c>
      <c r="E44" s="1247">
        <v>4.4000000000000004</v>
      </c>
      <c r="F44" s="1247" t="str">
        <f>F43</f>
        <v>0,7*2,1</v>
      </c>
      <c r="G44" s="1247">
        <f>G43</f>
        <v>1.47</v>
      </c>
      <c r="H44" s="1248">
        <v>0</v>
      </c>
      <c r="I44" s="1248">
        <v>2.9</v>
      </c>
      <c r="J44" s="1247">
        <f>IF(H44&gt;0,(TRUNC(H44*E44-G44,2)),0)</f>
        <v>0</v>
      </c>
      <c r="K44" s="1246">
        <f>IF(I44&gt;0,(TRUNC(I44*E44-G44,2)),0)</f>
        <v>11.29</v>
      </c>
    </row>
    <row r="45" spans="3:16" s="1240" customFormat="1" ht="15.75" thickBot="1">
      <c r="C45" s="1245">
        <v>29</v>
      </c>
      <c r="D45" s="1244" t="s">
        <v>2987</v>
      </c>
      <c r="E45" s="1242">
        <v>4.4000000000000004</v>
      </c>
      <c r="F45" s="1242" t="str">
        <f>F43</f>
        <v>0,7*2,1</v>
      </c>
      <c r="G45" s="1242">
        <f>G43</f>
        <v>1.47</v>
      </c>
      <c r="H45" s="1243">
        <v>0</v>
      </c>
      <c r="I45" s="1243">
        <v>2.9</v>
      </c>
      <c r="J45" s="1242">
        <f>IF(H45&gt;0,(TRUNC(H45*E45-G45,2)),0)</f>
        <v>0</v>
      </c>
      <c r="K45" s="1241">
        <f>IF(I45&gt;0,(TRUNC(I45*E45-G45,2)),0)</f>
        <v>11.29</v>
      </c>
    </row>
    <row r="46" spans="3:16" s="1240" customFormat="1">
      <c r="C46" s="2064" t="s">
        <v>2986</v>
      </c>
      <c r="D46" s="2064"/>
      <c r="E46" s="2064"/>
      <c r="F46" s="2064"/>
      <c r="G46" s="2064"/>
      <c r="H46" s="2064"/>
      <c r="I46" s="2064"/>
      <c r="J46" s="2064"/>
    </row>
    <row r="47" spans="3:16">
      <c r="C47" t="s">
        <v>2985</v>
      </c>
    </row>
    <row r="48" spans="3:16" ht="15.75" thickBot="1"/>
    <row r="49" spans="3:6">
      <c r="C49" s="1239" t="s">
        <v>10</v>
      </c>
      <c r="D49" s="1238" t="s">
        <v>2542</v>
      </c>
      <c r="E49" s="1238" t="s">
        <v>2984</v>
      </c>
      <c r="F49" s="1237" t="s">
        <v>2983</v>
      </c>
    </row>
    <row r="50" spans="3:6">
      <c r="C50" s="1235">
        <v>1</v>
      </c>
      <c r="D50" s="1234" t="s">
        <v>2982</v>
      </c>
      <c r="E50" s="1233">
        <f>SUM(J13:J19)</f>
        <v>191.81</v>
      </c>
      <c r="F50" s="1232">
        <f>SUM(K13:K19)</f>
        <v>34.36</v>
      </c>
    </row>
    <row r="51" spans="3:6">
      <c r="C51" s="1235">
        <v>2</v>
      </c>
      <c r="D51" s="1236" t="s">
        <v>2981</v>
      </c>
      <c r="E51" s="1233">
        <f>SUM(J21:J41)</f>
        <v>494.87000000000012</v>
      </c>
      <c r="F51" s="1232">
        <f>SUM(K21:K41)</f>
        <v>106.03</v>
      </c>
    </row>
    <row r="52" spans="3:6">
      <c r="C52" s="1235">
        <v>4</v>
      </c>
      <c r="D52" s="1234" t="s">
        <v>2980</v>
      </c>
      <c r="E52" s="1233">
        <f>SUM(J43:J45)</f>
        <v>0</v>
      </c>
      <c r="F52" s="1232">
        <f>SUM(K43:K45)</f>
        <v>33.869999999999997</v>
      </c>
    </row>
  </sheetData>
  <mergeCells count="18">
    <mergeCell ref="C12:K12"/>
    <mergeCell ref="C20:K20"/>
    <mergeCell ref="C42:K42"/>
    <mergeCell ref="C46:J46"/>
    <mergeCell ref="D7:K7"/>
    <mergeCell ref="D8:K8"/>
    <mergeCell ref="C9:K9"/>
    <mergeCell ref="C10:C11"/>
    <mergeCell ref="D10:D11"/>
    <mergeCell ref="F10:G10"/>
    <mergeCell ref="H10:I10"/>
    <mergeCell ref="J10:K10"/>
    <mergeCell ref="D6:K6"/>
    <mergeCell ref="C1:K1"/>
    <mergeCell ref="C2:K2"/>
    <mergeCell ref="C3:K3"/>
    <mergeCell ref="C4:K4"/>
    <mergeCell ref="C5:K5"/>
  </mergeCells>
  <pageMargins left="0.51181102362204722" right="0.51181102362204722" top="0.78740157480314965" bottom="0.78740157480314965" header="0.31496062992125984" footer="0.31496062992125984"/>
  <pageSetup paperSize="9" scale="67" orientation="portrait" r:id="rId1"/>
  <headerFooter>
    <oddFooter>&amp;R&amp;G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4">
    <tabColor theme="3" tint="0.79998168889431442"/>
    <pageSetUpPr fitToPage="1"/>
  </sheetPr>
  <dimension ref="A1:W471"/>
  <sheetViews>
    <sheetView view="pageBreakPreview" zoomScale="70" zoomScaleNormal="130" zoomScaleSheetLayoutView="70" workbookViewId="0">
      <selection activeCell="AG38" sqref="AG38"/>
    </sheetView>
  </sheetViews>
  <sheetFormatPr defaultRowHeight="12.75"/>
  <cols>
    <col min="1" max="1" width="3.85546875" style="5" customWidth="1"/>
    <col min="2" max="2" width="1.140625" style="5" customWidth="1"/>
    <col min="3" max="3" width="2.5703125" style="5" bestFit="1" customWidth="1"/>
    <col min="4" max="4" width="2.5703125" style="2" customWidth="1"/>
    <col min="5" max="5" width="2.85546875" style="2" customWidth="1"/>
    <col min="6" max="6" width="10.42578125" style="6" customWidth="1"/>
    <col min="7" max="7" width="18.7109375" style="6" customWidth="1"/>
    <col min="8" max="8" width="12.7109375" style="6" customWidth="1"/>
    <col min="9" max="9" width="101.28515625" style="45" customWidth="1"/>
    <col min="10" max="10" width="12.42578125" style="6" customWidth="1"/>
    <col min="11" max="11" width="12.85546875" style="8" customWidth="1"/>
    <col min="12" max="12" width="13.5703125" style="8" customWidth="1"/>
    <col min="13" max="13" width="13" style="8" customWidth="1"/>
    <col min="14" max="14" width="19.28515625" style="8" bestFit="1" customWidth="1"/>
    <col min="15" max="15" width="34.85546875" style="9" customWidth="1"/>
    <col min="16" max="16" width="29.28515625" style="10" bestFit="1" customWidth="1"/>
    <col min="17" max="17" width="30.42578125" style="1619" bestFit="1" customWidth="1"/>
    <col min="18" max="18" width="23.85546875" style="5" customWidth="1"/>
    <col min="19" max="19" width="9.140625" style="5"/>
    <col min="20" max="20" width="13.85546875" style="5" bestFit="1" customWidth="1"/>
    <col min="21" max="260" width="9.140625" style="5"/>
    <col min="261" max="261" width="8" style="5" customWidth="1"/>
    <col min="262" max="262" width="10.5703125" style="5" customWidth="1"/>
    <col min="263" max="263" width="8.5703125" style="5" customWidth="1"/>
    <col min="264" max="264" width="14.42578125" style="5" customWidth="1"/>
    <col min="265" max="265" width="75.140625" style="5" customWidth="1"/>
    <col min="266" max="266" width="12.42578125" style="5" customWidth="1"/>
    <col min="267" max="267" width="10.140625" style="5" customWidth="1"/>
    <col min="268" max="268" width="13.5703125" style="5" customWidth="1"/>
    <col min="269" max="269" width="11.42578125" style="5" customWidth="1"/>
    <col min="270" max="270" width="19.28515625" style="5" bestFit="1" customWidth="1"/>
    <col min="271" max="271" width="34.85546875" style="5" customWidth="1"/>
    <col min="272" max="272" width="8" style="5" bestFit="1" customWidth="1"/>
    <col min="273" max="273" width="30.42578125" style="5" bestFit="1" customWidth="1"/>
    <col min="274" max="274" width="11.7109375" style="5" bestFit="1" customWidth="1"/>
    <col min="275" max="275" width="9.140625" style="5"/>
    <col min="276" max="276" width="13.85546875" style="5" bestFit="1" customWidth="1"/>
    <col min="277" max="516" width="9.140625" style="5"/>
    <col min="517" max="517" width="8" style="5" customWidth="1"/>
    <col min="518" max="518" width="10.5703125" style="5" customWidth="1"/>
    <col min="519" max="519" width="8.5703125" style="5" customWidth="1"/>
    <col min="520" max="520" width="14.42578125" style="5" customWidth="1"/>
    <col min="521" max="521" width="75.140625" style="5" customWidth="1"/>
    <col min="522" max="522" width="12.42578125" style="5" customWidth="1"/>
    <col min="523" max="523" width="10.140625" style="5" customWidth="1"/>
    <col min="524" max="524" width="13.5703125" style="5" customWidth="1"/>
    <col min="525" max="525" width="11.42578125" style="5" customWidth="1"/>
    <col min="526" max="526" width="19.28515625" style="5" bestFit="1" customWidth="1"/>
    <col min="527" max="527" width="34.85546875" style="5" customWidth="1"/>
    <col min="528" max="528" width="8" style="5" bestFit="1" customWidth="1"/>
    <col min="529" max="529" width="30.42578125" style="5" bestFit="1" customWidth="1"/>
    <col min="530" max="530" width="11.7109375" style="5" bestFit="1" customWidth="1"/>
    <col min="531" max="531" width="9.140625" style="5"/>
    <col min="532" max="532" width="13.85546875" style="5" bestFit="1" customWidth="1"/>
    <col min="533" max="772" width="9.140625" style="5"/>
    <col min="773" max="773" width="8" style="5" customWidth="1"/>
    <col min="774" max="774" width="10.5703125" style="5" customWidth="1"/>
    <col min="775" max="775" width="8.5703125" style="5" customWidth="1"/>
    <col min="776" max="776" width="14.42578125" style="5" customWidth="1"/>
    <col min="777" max="777" width="75.140625" style="5" customWidth="1"/>
    <col min="778" max="778" width="12.42578125" style="5" customWidth="1"/>
    <col min="779" max="779" width="10.140625" style="5" customWidth="1"/>
    <col min="780" max="780" width="13.5703125" style="5" customWidth="1"/>
    <col min="781" max="781" width="11.42578125" style="5" customWidth="1"/>
    <col min="782" max="782" width="19.28515625" style="5" bestFit="1" customWidth="1"/>
    <col min="783" max="783" width="34.85546875" style="5" customWidth="1"/>
    <col min="784" max="784" width="8" style="5" bestFit="1" customWidth="1"/>
    <col min="785" max="785" width="30.42578125" style="5" bestFit="1" customWidth="1"/>
    <col min="786" max="786" width="11.7109375" style="5" bestFit="1" customWidth="1"/>
    <col min="787" max="787" width="9.140625" style="5"/>
    <col min="788" max="788" width="13.85546875" style="5" bestFit="1" customWidth="1"/>
    <col min="789" max="1028" width="9.140625" style="5"/>
    <col min="1029" max="1029" width="8" style="5" customWidth="1"/>
    <col min="1030" max="1030" width="10.5703125" style="5" customWidth="1"/>
    <col min="1031" max="1031" width="8.5703125" style="5" customWidth="1"/>
    <col min="1032" max="1032" width="14.42578125" style="5" customWidth="1"/>
    <col min="1033" max="1033" width="75.140625" style="5" customWidth="1"/>
    <col min="1034" max="1034" width="12.42578125" style="5" customWidth="1"/>
    <col min="1035" max="1035" width="10.140625" style="5" customWidth="1"/>
    <col min="1036" max="1036" width="13.5703125" style="5" customWidth="1"/>
    <col min="1037" max="1037" width="11.42578125" style="5" customWidth="1"/>
    <col min="1038" max="1038" width="19.28515625" style="5" bestFit="1" customWidth="1"/>
    <col min="1039" max="1039" width="34.85546875" style="5" customWidth="1"/>
    <col min="1040" max="1040" width="8" style="5" bestFit="1" customWidth="1"/>
    <col min="1041" max="1041" width="30.42578125" style="5" bestFit="1" customWidth="1"/>
    <col min="1042" max="1042" width="11.7109375" style="5" bestFit="1" customWidth="1"/>
    <col min="1043" max="1043" width="9.140625" style="5"/>
    <col min="1044" max="1044" width="13.85546875" style="5" bestFit="1" customWidth="1"/>
    <col min="1045" max="1284" width="9.140625" style="5"/>
    <col min="1285" max="1285" width="8" style="5" customWidth="1"/>
    <col min="1286" max="1286" width="10.5703125" style="5" customWidth="1"/>
    <col min="1287" max="1287" width="8.5703125" style="5" customWidth="1"/>
    <col min="1288" max="1288" width="14.42578125" style="5" customWidth="1"/>
    <col min="1289" max="1289" width="75.140625" style="5" customWidth="1"/>
    <col min="1290" max="1290" width="12.42578125" style="5" customWidth="1"/>
    <col min="1291" max="1291" width="10.140625" style="5" customWidth="1"/>
    <col min="1292" max="1292" width="13.5703125" style="5" customWidth="1"/>
    <col min="1293" max="1293" width="11.42578125" style="5" customWidth="1"/>
    <col min="1294" max="1294" width="19.28515625" style="5" bestFit="1" customWidth="1"/>
    <col min="1295" max="1295" width="34.85546875" style="5" customWidth="1"/>
    <col min="1296" max="1296" width="8" style="5" bestFit="1" customWidth="1"/>
    <col min="1297" max="1297" width="30.42578125" style="5" bestFit="1" customWidth="1"/>
    <col min="1298" max="1298" width="11.7109375" style="5" bestFit="1" customWidth="1"/>
    <col min="1299" max="1299" width="9.140625" style="5"/>
    <col min="1300" max="1300" width="13.85546875" style="5" bestFit="1" customWidth="1"/>
    <col min="1301" max="1540" width="9.140625" style="5"/>
    <col min="1541" max="1541" width="8" style="5" customWidth="1"/>
    <col min="1542" max="1542" width="10.5703125" style="5" customWidth="1"/>
    <col min="1543" max="1543" width="8.5703125" style="5" customWidth="1"/>
    <col min="1544" max="1544" width="14.42578125" style="5" customWidth="1"/>
    <col min="1545" max="1545" width="75.140625" style="5" customWidth="1"/>
    <col min="1546" max="1546" width="12.42578125" style="5" customWidth="1"/>
    <col min="1547" max="1547" width="10.140625" style="5" customWidth="1"/>
    <col min="1548" max="1548" width="13.5703125" style="5" customWidth="1"/>
    <col min="1549" max="1549" width="11.42578125" style="5" customWidth="1"/>
    <col min="1550" max="1550" width="19.28515625" style="5" bestFit="1" customWidth="1"/>
    <col min="1551" max="1551" width="34.85546875" style="5" customWidth="1"/>
    <col min="1552" max="1552" width="8" style="5" bestFit="1" customWidth="1"/>
    <col min="1553" max="1553" width="30.42578125" style="5" bestFit="1" customWidth="1"/>
    <col min="1554" max="1554" width="11.7109375" style="5" bestFit="1" customWidth="1"/>
    <col min="1555" max="1555" width="9.140625" style="5"/>
    <col min="1556" max="1556" width="13.85546875" style="5" bestFit="1" customWidth="1"/>
    <col min="1557" max="1796" width="9.140625" style="5"/>
    <col min="1797" max="1797" width="8" style="5" customWidth="1"/>
    <col min="1798" max="1798" width="10.5703125" style="5" customWidth="1"/>
    <col min="1799" max="1799" width="8.5703125" style="5" customWidth="1"/>
    <col min="1800" max="1800" width="14.42578125" style="5" customWidth="1"/>
    <col min="1801" max="1801" width="75.140625" style="5" customWidth="1"/>
    <col min="1802" max="1802" width="12.42578125" style="5" customWidth="1"/>
    <col min="1803" max="1803" width="10.140625" style="5" customWidth="1"/>
    <col min="1804" max="1804" width="13.5703125" style="5" customWidth="1"/>
    <col min="1805" max="1805" width="11.42578125" style="5" customWidth="1"/>
    <col min="1806" max="1806" width="19.28515625" style="5" bestFit="1" customWidth="1"/>
    <col min="1807" max="1807" width="34.85546875" style="5" customWidth="1"/>
    <col min="1808" max="1808" width="8" style="5" bestFit="1" customWidth="1"/>
    <col min="1809" max="1809" width="30.42578125" style="5" bestFit="1" customWidth="1"/>
    <col min="1810" max="1810" width="11.7109375" style="5" bestFit="1" customWidth="1"/>
    <col min="1811" max="1811" width="9.140625" style="5"/>
    <col min="1812" max="1812" width="13.85546875" style="5" bestFit="1" customWidth="1"/>
    <col min="1813" max="2052" width="9.140625" style="5"/>
    <col min="2053" max="2053" width="8" style="5" customWidth="1"/>
    <col min="2054" max="2054" width="10.5703125" style="5" customWidth="1"/>
    <col min="2055" max="2055" width="8.5703125" style="5" customWidth="1"/>
    <col min="2056" max="2056" width="14.42578125" style="5" customWidth="1"/>
    <col min="2057" max="2057" width="75.140625" style="5" customWidth="1"/>
    <col min="2058" max="2058" width="12.42578125" style="5" customWidth="1"/>
    <col min="2059" max="2059" width="10.140625" style="5" customWidth="1"/>
    <col min="2060" max="2060" width="13.5703125" style="5" customWidth="1"/>
    <col min="2061" max="2061" width="11.42578125" style="5" customWidth="1"/>
    <col min="2062" max="2062" width="19.28515625" style="5" bestFit="1" customWidth="1"/>
    <col min="2063" max="2063" width="34.85546875" style="5" customWidth="1"/>
    <col min="2064" max="2064" width="8" style="5" bestFit="1" customWidth="1"/>
    <col min="2065" max="2065" width="30.42578125" style="5" bestFit="1" customWidth="1"/>
    <col min="2066" max="2066" width="11.7109375" style="5" bestFit="1" customWidth="1"/>
    <col min="2067" max="2067" width="9.140625" style="5"/>
    <col min="2068" max="2068" width="13.85546875" style="5" bestFit="1" customWidth="1"/>
    <col min="2069" max="2308" width="9.140625" style="5"/>
    <col min="2309" max="2309" width="8" style="5" customWidth="1"/>
    <col min="2310" max="2310" width="10.5703125" style="5" customWidth="1"/>
    <col min="2311" max="2311" width="8.5703125" style="5" customWidth="1"/>
    <col min="2312" max="2312" width="14.42578125" style="5" customWidth="1"/>
    <col min="2313" max="2313" width="75.140625" style="5" customWidth="1"/>
    <col min="2314" max="2314" width="12.42578125" style="5" customWidth="1"/>
    <col min="2315" max="2315" width="10.140625" style="5" customWidth="1"/>
    <col min="2316" max="2316" width="13.5703125" style="5" customWidth="1"/>
    <col min="2317" max="2317" width="11.42578125" style="5" customWidth="1"/>
    <col min="2318" max="2318" width="19.28515625" style="5" bestFit="1" customWidth="1"/>
    <col min="2319" max="2319" width="34.85546875" style="5" customWidth="1"/>
    <col min="2320" max="2320" width="8" style="5" bestFit="1" customWidth="1"/>
    <col min="2321" max="2321" width="30.42578125" style="5" bestFit="1" customWidth="1"/>
    <col min="2322" max="2322" width="11.7109375" style="5" bestFit="1" customWidth="1"/>
    <col min="2323" max="2323" width="9.140625" style="5"/>
    <col min="2324" max="2324" width="13.85546875" style="5" bestFit="1" customWidth="1"/>
    <col min="2325" max="2564" width="9.140625" style="5"/>
    <col min="2565" max="2565" width="8" style="5" customWidth="1"/>
    <col min="2566" max="2566" width="10.5703125" style="5" customWidth="1"/>
    <col min="2567" max="2567" width="8.5703125" style="5" customWidth="1"/>
    <col min="2568" max="2568" width="14.42578125" style="5" customWidth="1"/>
    <col min="2569" max="2569" width="75.140625" style="5" customWidth="1"/>
    <col min="2570" max="2570" width="12.42578125" style="5" customWidth="1"/>
    <col min="2571" max="2571" width="10.140625" style="5" customWidth="1"/>
    <col min="2572" max="2572" width="13.5703125" style="5" customWidth="1"/>
    <col min="2573" max="2573" width="11.42578125" style="5" customWidth="1"/>
    <col min="2574" max="2574" width="19.28515625" style="5" bestFit="1" customWidth="1"/>
    <col min="2575" max="2575" width="34.85546875" style="5" customWidth="1"/>
    <col min="2576" max="2576" width="8" style="5" bestFit="1" customWidth="1"/>
    <col min="2577" max="2577" width="30.42578125" style="5" bestFit="1" customWidth="1"/>
    <col min="2578" max="2578" width="11.7109375" style="5" bestFit="1" customWidth="1"/>
    <col min="2579" max="2579" width="9.140625" style="5"/>
    <col min="2580" max="2580" width="13.85546875" style="5" bestFit="1" customWidth="1"/>
    <col min="2581" max="2820" width="9.140625" style="5"/>
    <col min="2821" max="2821" width="8" style="5" customWidth="1"/>
    <col min="2822" max="2822" width="10.5703125" style="5" customWidth="1"/>
    <col min="2823" max="2823" width="8.5703125" style="5" customWidth="1"/>
    <col min="2824" max="2824" width="14.42578125" style="5" customWidth="1"/>
    <col min="2825" max="2825" width="75.140625" style="5" customWidth="1"/>
    <col min="2826" max="2826" width="12.42578125" style="5" customWidth="1"/>
    <col min="2827" max="2827" width="10.140625" style="5" customWidth="1"/>
    <col min="2828" max="2828" width="13.5703125" style="5" customWidth="1"/>
    <col min="2829" max="2829" width="11.42578125" style="5" customWidth="1"/>
    <col min="2830" max="2830" width="19.28515625" style="5" bestFit="1" customWidth="1"/>
    <col min="2831" max="2831" width="34.85546875" style="5" customWidth="1"/>
    <col min="2832" max="2832" width="8" style="5" bestFit="1" customWidth="1"/>
    <col min="2833" max="2833" width="30.42578125" style="5" bestFit="1" customWidth="1"/>
    <col min="2834" max="2834" width="11.7109375" style="5" bestFit="1" customWidth="1"/>
    <col min="2835" max="2835" width="9.140625" style="5"/>
    <col min="2836" max="2836" width="13.85546875" style="5" bestFit="1" customWidth="1"/>
    <col min="2837" max="3076" width="9.140625" style="5"/>
    <col min="3077" max="3077" width="8" style="5" customWidth="1"/>
    <col min="3078" max="3078" width="10.5703125" style="5" customWidth="1"/>
    <col min="3079" max="3079" width="8.5703125" style="5" customWidth="1"/>
    <col min="3080" max="3080" width="14.42578125" style="5" customWidth="1"/>
    <col min="3081" max="3081" width="75.140625" style="5" customWidth="1"/>
    <col min="3082" max="3082" width="12.42578125" style="5" customWidth="1"/>
    <col min="3083" max="3083" width="10.140625" style="5" customWidth="1"/>
    <col min="3084" max="3084" width="13.5703125" style="5" customWidth="1"/>
    <col min="3085" max="3085" width="11.42578125" style="5" customWidth="1"/>
    <col min="3086" max="3086" width="19.28515625" style="5" bestFit="1" customWidth="1"/>
    <col min="3087" max="3087" width="34.85546875" style="5" customWidth="1"/>
    <col min="3088" max="3088" width="8" style="5" bestFit="1" customWidth="1"/>
    <col min="3089" max="3089" width="30.42578125" style="5" bestFit="1" customWidth="1"/>
    <col min="3090" max="3090" width="11.7109375" style="5" bestFit="1" customWidth="1"/>
    <col min="3091" max="3091" width="9.140625" style="5"/>
    <col min="3092" max="3092" width="13.85546875" style="5" bestFit="1" customWidth="1"/>
    <col min="3093" max="3332" width="9.140625" style="5"/>
    <col min="3333" max="3333" width="8" style="5" customWidth="1"/>
    <col min="3334" max="3334" width="10.5703125" style="5" customWidth="1"/>
    <col min="3335" max="3335" width="8.5703125" style="5" customWidth="1"/>
    <col min="3336" max="3336" width="14.42578125" style="5" customWidth="1"/>
    <col min="3337" max="3337" width="75.140625" style="5" customWidth="1"/>
    <col min="3338" max="3338" width="12.42578125" style="5" customWidth="1"/>
    <col min="3339" max="3339" width="10.140625" style="5" customWidth="1"/>
    <col min="3340" max="3340" width="13.5703125" style="5" customWidth="1"/>
    <col min="3341" max="3341" width="11.42578125" style="5" customWidth="1"/>
    <col min="3342" max="3342" width="19.28515625" style="5" bestFit="1" customWidth="1"/>
    <col min="3343" max="3343" width="34.85546875" style="5" customWidth="1"/>
    <col min="3344" max="3344" width="8" style="5" bestFit="1" customWidth="1"/>
    <col min="3345" max="3345" width="30.42578125" style="5" bestFit="1" customWidth="1"/>
    <col min="3346" max="3346" width="11.7109375" style="5" bestFit="1" customWidth="1"/>
    <col min="3347" max="3347" width="9.140625" style="5"/>
    <col min="3348" max="3348" width="13.85546875" style="5" bestFit="1" customWidth="1"/>
    <col min="3349" max="3588" width="9.140625" style="5"/>
    <col min="3589" max="3589" width="8" style="5" customWidth="1"/>
    <col min="3590" max="3590" width="10.5703125" style="5" customWidth="1"/>
    <col min="3591" max="3591" width="8.5703125" style="5" customWidth="1"/>
    <col min="3592" max="3592" width="14.42578125" style="5" customWidth="1"/>
    <col min="3593" max="3593" width="75.140625" style="5" customWidth="1"/>
    <col min="3594" max="3594" width="12.42578125" style="5" customWidth="1"/>
    <col min="3595" max="3595" width="10.140625" style="5" customWidth="1"/>
    <col min="3596" max="3596" width="13.5703125" style="5" customWidth="1"/>
    <col min="3597" max="3597" width="11.42578125" style="5" customWidth="1"/>
    <col min="3598" max="3598" width="19.28515625" style="5" bestFit="1" customWidth="1"/>
    <col min="3599" max="3599" width="34.85546875" style="5" customWidth="1"/>
    <col min="3600" max="3600" width="8" style="5" bestFit="1" customWidth="1"/>
    <col min="3601" max="3601" width="30.42578125" style="5" bestFit="1" customWidth="1"/>
    <col min="3602" max="3602" width="11.7109375" style="5" bestFit="1" customWidth="1"/>
    <col min="3603" max="3603" width="9.140625" style="5"/>
    <col min="3604" max="3604" width="13.85546875" style="5" bestFit="1" customWidth="1"/>
    <col min="3605" max="3844" width="9.140625" style="5"/>
    <col min="3845" max="3845" width="8" style="5" customWidth="1"/>
    <col min="3846" max="3846" width="10.5703125" style="5" customWidth="1"/>
    <col min="3847" max="3847" width="8.5703125" style="5" customWidth="1"/>
    <col min="3848" max="3848" width="14.42578125" style="5" customWidth="1"/>
    <col min="3849" max="3849" width="75.140625" style="5" customWidth="1"/>
    <col min="3850" max="3850" width="12.42578125" style="5" customWidth="1"/>
    <col min="3851" max="3851" width="10.140625" style="5" customWidth="1"/>
    <col min="3852" max="3852" width="13.5703125" style="5" customWidth="1"/>
    <col min="3853" max="3853" width="11.42578125" style="5" customWidth="1"/>
    <col min="3854" max="3854" width="19.28515625" style="5" bestFit="1" customWidth="1"/>
    <col min="3855" max="3855" width="34.85546875" style="5" customWidth="1"/>
    <col min="3856" max="3856" width="8" style="5" bestFit="1" customWidth="1"/>
    <col min="3857" max="3857" width="30.42578125" style="5" bestFit="1" customWidth="1"/>
    <col min="3858" max="3858" width="11.7109375" style="5" bestFit="1" customWidth="1"/>
    <col min="3859" max="3859" width="9.140625" style="5"/>
    <col min="3860" max="3860" width="13.85546875" style="5" bestFit="1" customWidth="1"/>
    <col min="3861" max="4100" width="9.140625" style="5"/>
    <col min="4101" max="4101" width="8" style="5" customWidth="1"/>
    <col min="4102" max="4102" width="10.5703125" style="5" customWidth="1"/>
    <col min="4103" max="4103" width="8.5703125" style="5" customWidth="1"/>
    <col min="4104" max="4104" width="14.42578125" style="5" customWidth="1"/>
    <col min="4105" max="4105" width="75.140625" style="5" customWidth="1"/>
    <col min="4106" max="4106" width="12.42578125" style="5" customWidth="1"/>
    <col min="4107" max="4107" width="10.140625" style="5" customWidth="1"/>
    <col min="4108" max="4108" width="13.5703125" style="5" customWidth="1"/>
    <col min="4109" max="4109" width="11.42578125" style="5" customWidth="1"/>
    <col min="4110" max="4110" width="19.28515625" style="5" bestFit="1" customWidth="1"/>
    <col min="4111" max="4111" width="34.85546875" style="5" customWidth="1"/>
    <col min="4112" max="4112" width="8" style="5" bestFit="1" customWidth="1"/>
    <col min="4113" max="4113" width="30.42578125" style="5" bestFit="1" customWidth="1"/>
    <col min="4114" max="4114" width="11.7109375" style="5" bestFit="1" customWidth="1"/>
    <col min="4115" max="4115" width="9.140625" style="5"/>
    <col min="4116" max="4116" width="13.85546875" style="5" bestFit="1" customWidth="1"/>
    <col min="4117" max="4356" width="9.140625" style="5"/>
    <col min="4357" max="4357" width="8" style="5" customWidth="1"/>
    <col min="4358" max="4358" width="10.5703125" style="5" customWidth="1"/>
    <col min="4359" max="4359" width="8.5703125" style="5" customWidth="1"/>
    <col min="4360" max="4360" width="14.42578125" style="5" customWidth="1"/>
    <col min="4361" max="4361" width="75.140625" style="5" customWidth="1"/>
    <col min="4362" max="4362" width="12.42578125" style="5" customWidth="1"/>
    <col min="4363" max="4363" width="10.140625" style="5" customWidth="1"/>
    <col min="4364" max="4364" width="13.5703125" style="5" customWidth="1"/>
    <col min="4365" max="4365" width="11.42578125" style="5" customWidth="1"/>
    <col min="4366" max="4366" width="19.28515625" style="5" bestFit="1" customWidth="1"/>
    <col min="4367" max="4367" width="34.85546875" style="5" customWidth="1"/>
    <col min="4368" max="4368" width="8" style="5" bestFit="1" customWidth="1"/>
    <col min="4369" max="4369" width="30.42578125" style="5" bestFit="1" customWidth="1"/>
    <col min="4370" max="4370" width="11.7109375" style="5" bestFit="1" customWidth="1"/>
    <col min="4371" max="4371" width="9.140625" style="5"/>
    <col min="4372" max="4372" width="13.85546875" style="5" bestFit="1" customWidth="1"/>
    <col min="4373" max="4612" width="9.140625" style="5"/>
    <col min="4613" max="4613" width="8" style="5" customWidth="1"/>
    <col min="4614" max="4614" width="10.5703125" style="5" customWidth="1"/>
    <col min="4615" max="4615" width="8.5703125" style="5" customWidth="1"/>
    <col min="4616" max="4616" width="14.42578125" style="5" customWidth="1"/>
    <col min="4617" max="4617" width="75.140625" style="5" customWidth="1"/>
    <col min="4618" max="4618" width="12.42578125" style="5" customWidth="1"/>
    <col min="4619" max="4619" width="10.140625" style="5" customWidth="1"/>
    <col min="4620" max="4620" width="13.5703125" style="5" customWidth="1"/>
    <col min="4621" max="4621" width="11.42578125" style="5" customWidth="1"/>
    <col min="4622" max="4622" width="19.28515625" style="5" bestFit="1" customWidth="1"/>
    <col min="4623" max="4623" width="34.85546875" style="5" customWidth="1"/>
    <col min="4624" max="4624" width="8" style="5" bestFit="1" customWidth="1"/>
    <col min="4625" max="4625" width="30.42578125" style="5" bestFit="1" customWidth="1"/>
    <col min="4626" max="4626" width="11.7109375" style="5" bestFit="1" customWidth="1"/>
    <col min="4627" max="4627" width="9.140625" style="5"/>
    <col min="4628" max="4628" width="13.85546875" style="5" bestFit="1" customWidth="1"/>
    <col min="4629" max="4868" width="9.140625" style="5"/>
    <col min="4869" max="4869" width="8" style="5" customWidth="1"/>
    <col min="4870" max="4870" width="10.5703125" style="5" customWidth="1"/>
    <col min="4871" max="4871" width="8.5703125" style="5" customWidth="1"/>
    <col min="4872" max="4872" width="14.42578125" style="5" customWidth="1"/>
    <col min="4873" max="4873" width="75.140625" style="5" customWidth="1"/>
    <col min="4874" max="4874" width="12.42578125" style="5" customWidth="1"/>
    <col min="4875" max="4875" width="10.140625" style="5" customWidth="1"/>
    <col min="4876" max="4876" width="13.5703125" style="5" customWidth="1"/>
    <col min="4877" max="4877" width="11.42578125" style="5" customWidth="1"/>
    <col min="4878" max="4878" width="19.28515625" style="5" bestFit="1" customWidth="1"/>
    <col min="4879" max="4879" width="34.85546875" style="5" customWidth="1"/>
    <col min="4880" max="4880" width="8" style="5" bestFit="1" customWidth="1"/>
    <col min="4881" max="4881" width="30.42578125" style="5" bestFit="1" customWidth="1"/>
    <col min="4882" max="4882" width="11.7109375" style="5" bestFit="1" customWidth="1"/>
    <col min="4883" max="4883" width="9.140625" style="5"/>
    <col min="4884" max="4884" width="13.85546875" style="5" bestFit="1" customWidth="1"/>
    <col min="4885" max="5124" width="9.140625" style="5"/>
    <col min="5125" max="5125" width="8" style="5" customWidth="1"/>
    <col min="5126" max="5126" width="10.5703125" style="5" customWidth="1"/>
    <col min="5127" max="5127" width="8.5703125" style="5" customWidth="1"/>
    <col min="5128" max="5128" width="14.42578125" style="5" customWidth="1"/>
    <col min="5129" max="5129" width="75.140625" style="5" customWidth="1"/>
    <col min="5130" max="5130" width="12.42578125" style="5" customWidth="1"/>
    <col min="5131" max="5131" width="10.140625" style="5" customWidth="1"/>
    <col min="5132" max="5132" width="13.5703125" style="5" customWidth="1"/>
    <col min="5133" max="5133" width="11.42578125" style="5" customWidth="1"/>
    <col min="5134" max="5134" width="19.28515625" style="5" bestFit="1" customWidth="1"/>
    <col min="5135" max="5135" width="34.85546875" style="5" customWidth="1"/>
    <col min="5136" max="5136" width="8" style="5" bestFit="1" customWidth="1"/>
    <col min="5137" max="5137" width="30.42578125" style="5" bestFit="1" customWidth="1"/>
    <col min="5138" max="5138" width="11.7109375" style="5" bestFit="1" customWidth="1"/>
    <col min="5139" max="5139" width="9.140625" style="5"/>
    <col min="5140" max="5140" width="13.85546875" style="5" bestFit="1" customWidth="1"/>
    <col min="5141" max="5380" width="9.140625" style="5"/>
    <col min="5381" max="5381" width="8" style="5" customWidth="1"/>
    <col min="5382" max="5382" width="10.5703125" style="5" customWidth="1"/>
    <col min="5383" max="5383" width="8.5703125" style="5" customWidth="1"/>
    <col min="5384" max="5384" width="14.42578125" style="5" customWidth="1"/>
    <col min="5385" max="5385" width="75.140625" style="5" customWidth="1"/>
    <col min="5386" max="5386" width="12.42578125" style="5" customWidth="1"/>
    <col min="5387" max="5387" width="10.140625" style="5" customWidth="1"/>
    <col min="5388" max="5388" width="13.5703125" style="5" customWidth="1"/>
    <col min="5389" max="5389" width="11.42578125" style="5" customWidth="1"/>
    <col min="5390" max="5390" width="19.28515625" style="5" bestFit="1" customWidth="1"/>
    <col min="5391" max="5391" width="34.85546875" style="5" customWidth="1"/>
    <col min="5392" max="5392" width="8" style="5" bestFit="1" customWidth="1"/>
    <col min="5393" max="5393" width="30.42578125" style="5" bestFit="1" customWidth="1"/>
    <col min="5394" max="5394" width="11.7109375" style="5" bestFit="1" customWidth="1"/>
    <col min="5395" max="5395" width="9.140625" style="5"/>
    <col min="5396" max="5396" width="13.85546875" style="5" bestFit="1" customWidth="1"/>
    <col min="5397" max="5636" width="9.140625" style="5"/>
    <col min="5637" max="5637" width="8" style="5" customWidth="1"/>
    <col min="5638" max="5638" width="10.5703125" style="5" customWidth="1"/>
    <col min="5639" max="5639" width="8.5703125" style="5" customWidth="1"/>
    <col min="5640" max="5640" width="14.42578125" style="5" customWidth="1"/>
    <col min="5641" max="5641" width="75.140625" style="5" customWidth="1"/>
    <col min="5642" max="5642" width="12.42578125" style="5" customWidth="1"/>
    <col min="5643" max="5643" width="10.140625" style="5" customWidth="1"/>
    <col min="5644" max="5644" width="13.5703125" style="5" customWidth="1"/>
    <col min="5645" max="5645" width="11.42578125" style="5" customWidth="1"/>
    <col min="5646" max="5646" width="19.28515625" style="5" bestFit="1" customWidth="1"/>
    <col min="5647" max="5647" width="34.85546875" style="5" customWidth="1"/>
    <col min="5648" max="5648" width="8" style="5" bestFit="1" customWidth="1"/>
    <col min="5649" max="5649" width="30.42578125" style="5" bestFit="1" customWidth="1"/>
    <col min="5650" max="5650" width="11.7109375" style="5" bestFit="1" customWidth="1"/>
    <col min="5651" max="5651" width="9.140625" style="5"/>
    <col min="5652" max="5652" width="13.85546875" style="5" bestFit="1" customWidth="1"/>
    <col min="5653" max="5892" width="9.140625" style="5"/>
    <col min="5893" max="5893" width="8" style="5" customWidth="1"/>
    <col min="5894" max="5894" width="10.5703125" style="5" customWidth="1"/>
    <col min="5895" max="5895" width="8.5703125" style="5" customWidth="1"/>
    <col min="5896" max="5896" width="14.42578125" style="5" customWidth="1"/>
    <col min="5897" max="5897" width="75.140625" style="5" customWidth="1"/>
    <col min="5898" max="5898" width="12.42578125" style="5" customWidth="1"/>
    <col min="5899" max="5899" width="10.140625" style="5" customWidth="1"/>
    <col min="5900" max="5900" width="13.5703125" style="5" customWidth="1"/>
    <col min="5901" max="5901" width="11.42578125" style="5" customWidth="1"/>
    <col min="5902" max="5902" width="19.28515625" style="5" bestFit="1" customWidth="1"/>
    <col min="5903" max="5903" width="34.85546875" style="5" customWidth="1"/>
    <col min="5904" max="5904" width="8" style="5" bestFit="1" customWidth="1"/>
    <col min="5905" max="5905" width="30.42578125" style="5" bestFit="1" customWidth="1"/>
    <col min="5906" max="5906" width="11.7109375" style="5" bestFit="1" customWidth="1"/>
    <col min="5907" max="5907" width="9.140625" style="5"/>
    <col min="5908" max="5908" width="13.85546875" style="5" bestFit="1" customWidth="1"/>
    <col min="5909" max="6148" width="9.140625" style="5"/>
    <col min="6149" max="6149" width="8" style="5" customWidth="1"/>
    <col min="6150" max="6150" width="10.5703125" style="5" customWidth="1"/>
    <col min="6151" max="6151" width="8.5703125" style="5" customWidth="1"/>
    <col min="6152" max="6152" width="14.42578125" style="5" customWidth="1"/>
    <col min="6153" max="6153" width="75.140625" style="5" customWidth="1"/>
    <col min="6154" max="6154" width="12.42578125" style="5" customWidth="1"/>
    <col min="6155" max="6155" width="10.140625" style="5" customWidth="1"/>
    <col min="6156" max="6156" width="13.5703125" style="5" customWidth="1"/>
    <col min="6157" max="6157" width="11.42578125" style="5" customWidth="1"/>
    <col min="6158" max="6158" width="19.28515625" style="5" bestFit="1" customWidth="1"/>
    <col min="6159" max="6159" width="34.85546875" style="5" customWidth="1"/>
    <col min="6160" max="6160" width="8" style="5" bestFit="1" customWidth="1"/>
    <col min="6161" max="6161" width="30.42578125" style="5" bestFit="1" customWidth="1"/>
    <col min="6162" max="6162" width="11.7109375" style="5" bestFit="1" customWidth="1"/>
    <col min="6163" max="6163" width="9.140625" style="5"/>
    <col min="6164" max="6164" width="13.85546875" style="5" bestFit="1" customWidth="1"/>
    <col min="6165" max="6404" width="9.140625" style="5"/>
    <col min="6405" max="6405" width="8" style="5" customWidth="1"/>
    <col min="6406" max="6406" width="10.5703125" style="5" customWidth="1"/>
    <col min="6407" max="6407" width="8.5703125" style="5" customWidth="1"/>
    <col min="6408" max="6408" width="14.42578125" style="5" customWidth="1"/>
    <col min="6409" max="6409" width="75.140625" style="5" customWidth="1"/>
    <col min="6410" max="6410" width="12.42578125" style="5" customWidth="1"/>
    <col min="6411" max="6411" width="10.140625" style="5" customWidth="1"/>
    <col min="6412" max="6412" width="13.5703125" style="5" customWidth="1"/>
    <col min="6413" max="6413" width="11.42578125" style="5" customWidth="1"/>
    <col min="6414" max="6414" width="19.28515625" style="5" bestFit="1" customWidth="1"/>
    <col min="6415" max="6415" width="34.85546875" style="5" customWidth="1"/>
    <col min="6416" max="6416" width="8" style="5" bestFit="1" customWidth="1"/>
    <col min="6417" max="6417" width="30.42578125" style="5" bestFit="1" customWidth="1"/>
    <col min="6418" max="6418" width="11.7109375" style="5" bestFit="1" customWidth="1"/>
    <col min="6419" max="6419" width="9.140625" style="5"/>
    <col min="6420" max="6420" width="13.85546875" style="5" bestFit="1" customWidth="1"/>
    <col min="6421" max="6660" width="9.140625" style="5"/>
    <col min="6661" max="6661" width="8" style="5" customWidth="1"/>
    <col min="6662" max="6662" width="10.5703125" style="5" customWidth="1"/>
    <col min="6663" max="6663" width="8.5703125" style="5" customWidth="1"/>
    <col min="6664" max="6664" width="14.42578125" style="5" customWidth="1"/>
    <col min="6665" max="6665" width="75.140625" style="5" customWidth="1"/>
    <col min="6666" max="6666" width="12.42578125" style="5" customWidth="1"/>
    <col min="6667" max="6667" width="10.140625" style="5" customWidth="1"/>
    <col min="6668" max="6668" width="13.5703125" style="5" customWidth="1"/>
    <col min="6669" max="6669" width="11.42578125" style="5" customWidth="1"/>
    <col min="6670" max="6670" width="19.28515625" style="5" bestFit="1" customWidth="1"/>
    <col min="6671" max="6671" width="34.85546875" style="5" customWidth="1"/>
    <col min="6672" max="6672" width="8" style="5" bestFit="1" customWidth="1"/>
    <col min="6673" max="6673" width="30.42578125" style="5" bestFit="1" customWidth="1"/>
    <col min="6674" max="6674" width="11.7109375" style="5" bestFit="1" customWidth="1"/>
    <col min="6675" max="6675" width="9.140625" style="5"/>
    <col min="6676" max="6676" width="13.85546875" style="5" bestFit="1" customWidth="1"/>
    <col min="6677" max="6916" width="9.140625" style="5"/>
    <col min="6917" max="6917" width="8" style="5" customWidth="1"/>
    <col min="6918" max="6918" width="10.5703125" style="5" customWidth="1"/>
    <col min="6919" max="6919" width="8.5703125" style="5" customWidth="1"/>
    <col min="6920" max="6920" width="14.42578125" style="5" customWidth="1"/>
    <col min="6921" max="6921" width="75.140625" style="5" customWidth="1"/>
    <col min="6922" max="6922" width="12.42578125" style="5" customWidth="1"/>
    <col min="6923" max="6923" width="10.140625" style="5" customWidth="1"/>
    <col min="6924" max="6924" width="13.5703125" style="5" customWidth="1"/>
    <col min="6925" max="6925" width="11.42578125" style="5" customWidth="1"/>
    <col min="6926" max="6926" width="19.28515625" style="5" bestFit="1" customWidth="1"/>
    <col min="6927" max="6927" width="34.85546875" style="5" customWidth="1"/>
    <col min="6928" max="6928" width="8" style="5" bestFit="1" customWidth="1"/>
    <col min="6929" max="6929" width="30.42578125" style="5" bestFit="1" customWidth="1"/>
    <col min="6930" max="6930" width="11.7109375" style="5" bestFit="1" customWidth="1"/>
    <col min="6931" max="6931" width="9.140625" style="5"/>
    <col min="6932" max="6932" width="13.85546875" style="5" bestFit="1" customWidth="1"/>
    <col min="6933" max="7172" width="9.140625" style="5"/>
    <col min="7173" max="7173" width="8" style="5" customWidth="1"/>
    <col min="7174" max="7174" width="10.5703125" style="5" customWidth="1"/>
    <col min="7175" max="7175" width="8.5703125" style="5" customWidth="1"/>
    <col min="7176" max="7176" width="14.42578125" style="5" customWidth="1"/>
    <col min="7177" max="7177" width="75.140625" style="5" customWidth="1"/>
    <col min="7178" max="7178" width="12.42578125" style="5" customWidth="1"/>
    <col min="7179" max="7179" width="10.140625" style="5" customWidth="1"/>
    <col min="7180" max="7180" width="13.5703125" style="5" customWidth="1"/>
    <col min="7181" max="7181" width="11.42578125" style="5" customWidth="1"/>
    <col min="7182" max="7182" width="19.28515625" style="5" bestFit="1" customWidth="1"/>
    <col min="7183" max="7183" width="34.85546875" style="5" customWidth="1"/>
    <col min="7184" max="7184" width="8" style="5" bestFit="1" customWidth="1"/>
    <col min="7185" max="7185" width="30.42578125" style="5" bestFit="1" customWidth="1"/>
    <col min="7186" max="7186" width="11.7109375" style="5" bestFit="1" customWidth="1"/>
    <col min="7187" max="7187" width="9.140625" style="5"/>
    <col min="7188" max="7188" width="13.85546875" style="5" bestFit="1" customWidth="1"/>
    <col min="7189" max="7428" width="9.140625" style="5"/>
    <col min="7429" max="7429" width="8" style="5" customWidth="1"/>
    <col min="7430" max="7430" width="10.5703125" style="5" customWidth="1"/>
    <col min="7431" max="7431" width="8.5703125" style="5" customWidth="1"/>
    <col min="7432" max="7432" width="14.42578125" style="5" customWidth="1"/>
    <col min="7433" max="7433" width="75.140625" style="5" customWidth="1"/>
    <col min="7434" max="7434" width="12.42578125" style="5" customWidth="1"/>
    <col min="7435" max="7435" width="10.140625" style="5" customWidth="1"/>
    <col min="7436" max="7436" width="13.5703125" style="5" customWidth="1"/>
    <col min="7437" max="7437" width="11.42578125" style="5" customWidth="1"/>
    <col min="7438" max="7438" width="19.28515625" style="5" bestFit="1" customWidth="1"/>
    <col min="7439" max="7439" width="34.85546875" style="5" customWidth="1"/>
    <col min="7440" max="7440" width="8" style="5" bestFit="1" customWidth="1"/>
    <col min="7441" max="7441" width="30.42578125" style="5" bestFit="1" customWidth="1"/>
    <col min="7442" max="7442" width="11.7109375" style="5" bestFit="1" customWidth="1"/>
    <col min="7443" max="7443" width="9.140625" style="5"/>
    <col min="7444" max="7444" width="13.85546875" style="5" bestFit="1" customWidth="1"/>
    <col min="7445" max="7684" width="9.140625" style="5"/>
    <col min="7685" max="7685" width="8" style="5" customWidth="1"/>
    <col min="7686" max="7686" width="10.5703125" style="5" customWidth="1"/>
    <col min="7687" max="7687" width="8.5703125" style="5" customWidth="1"/>
    <col min="7688" max="7688" width="14.42578125" style="5" customWidth="1"/>
    <col min="7689" max="7689" width="75.140625" style="5" customWidth="1"/>
    <col min="7690" max="7690" width="12.42578125" style="5" customWidth="1"/>
    <col min="7691" max="7691" width="10.140625" style="5" customWidth="1"/>
    <col min="7692" max="7692" width="13.5703125" style="5" customWidth="1"/>
    <col min="7693" max="7693" width="11.42578125" style="5" customWidth="1"/>
    <col min="7694" max="7694" width="19.28515625" style="5" bestFit="1" customWidth="1"/>
    <col min="7695" max="7695" width="34.85546875" style="5" customWidth="1"/>
    <col min="7696" max="7696" width="8" style="5" bestFit="1" customWidth="1"/>
    <col min="7697" max="7697" width="30.42578125" style="5" bestFit="1" customWidth="1"/>
    <col min="7698" max="7698" width="11.7109375" style="5" bestFit="1" customWidth="1"/>
    <col min="7699" max="7699" width="9.140625" style="5"/>
    <col min="7700" max="7700" width="13.85546875" style="5" bestFit="1" customWidth="1"/>
    <col min="7701" max="7940" width="9.140625" style="5"/>
    <col min="7941" max="7941" width="8" style="5" customWidth="1"/>
    <col min="7942" max="7942" width="10.5703125" style="5" customWidth="1"/>
    <col min="7943" max="7943" width="8.5703125" style="5" customWidth="1"/>
    <col min="7944" max="7944" width="14.42578125" style="5" customWidth="1"/>
    <col min="7945" max="7945" width="75.140625" style="5" customWidth="1"/>
    <col min="7946" max="7946" width="12.42578125" style="5" customWidth="1"/>
    <col min="7947" max="7947" width="10.140625" style="5" customWidth="1"/>
    <col min="7948" max="7948" width="13.5703125" style="5" customWidth="1"/>
    <col min="7949" max="7949" width="11.42578125" style="5" customWidth="1"/>
    <col min="7950" max="7950" width="19.28515625" style="5" bestFit="1" customWidth="1"/>
    <col min="7951" max="7951" width="34.85546875" style="5" customWidth="1"/>
    <col min="7952" max="7952" width="8" style="5" bestFit="1" customWidth="1"/>
    <col min="7953" max="7953" width="30.42578125" style="5" bestFit="1" customWidth="1"/>
    <col min="7954" max="7954" width="11.7109375" style="5" bestFit="1" customWidth="1"/>
    <col min="7955" max="7955" width="9.140625" style="5"/>
    <col min="7956" max="7956" width="13.85546875" style="5" bestFit="1" customWidth="1"/>
    <col min="7957" max="8196" width="9.140625" style="5"/>
    <col min="8197" max="8197" width="8" style="5" customWidth="1"/>
    <col min="8198" max="8198" width="10.5703125" style="5" customWidth="1"/>
    <col min="8199" max="8199" width="8.5703125" style="5" customWidth="1"/>
    <col min="8200" max="8200" width="14.42578125" style="5" customWidth="1"/>
    <col min="8201" max="8201" width="75.140625" style="5" customWidth="1"/>
    <col min="8202" max="8202" width="12.42578125" style="5" customWidth="1"/>
    <col min="8203" max="8203" width="10.140625" style="5" customWidth="1"/>
    <col min="8204" max="8204" width="13.5703125" style="5" customWidth="1"/>
    <col min="8205" max="8205" width="11.42578125" style="5" customWidth="1"/>
    <col min="8206" max="8206" width="19.28515625" style="5" bestFit="1" customWidth="1"/>
    <col min="8207" max="8207" width="34.85546875" style="5" customWidth="1"/>
    <col min="8208" max="8208" width="8" style="5" bestFit="1" customWidth="1"/>
    <col min="8209" max="8209" width="30.42578125" style="5" bestFit="1" customWidth="1"/>
    <col min="8210" max="8210" width="11.7109375" style="5" bestFit="1" customWidth="1"/>
    <col min="8211" max="8211" width="9.140625" style="5"/>
    <col min="8212" max="8212" width="13.85546875" style="5" bestFit="1" customWidth="1"/>
    <col min="8213" max="8452" width="9.140625" style="5"/>
    <col min="8453" max="8453" width="8" style="5" customWidth="1"/>
    <col min="8454" max="8454" width="10.5703125" style="5" customWidth="1"/>
    <col min="8455" max="8455" width="8.5703125" style="5" customWidth="1"/>
    <col min="8456" max="8456" width="14.42578125" style="5" customWidth="1"/>
    <col min="8457" max="8457" width="75.140625" style="5" customWidth="1"/>
    <col min="8458" max="8458" width="12.42578125" style="5" customWidth="1"/>
    <col min="8459" max="8459" width="10.140625" style="5" customWidth="1"/>
    <col min="8460" max="8460" width="13.5703125" style="5" customWidth="1"/>
    <col min="8461" max="8461" width="11.42578125" style="5" customWidth="1"/>
    <col min="8462" max="8462" width="19.28515625" style="5" bestFit="1" customWidth="1"/>
    <col min="8463" max="8463" width="34.85546875" style="5" customWidth="1"/>
    <col min="8464" max="8464" width="8" style="5" bestFit="1" customWidth="1"/>
    <col min="8465" max="8465" width="30.42578125" style="5" bestFit="1" customWidth="1"/>
    <col min="8466" max="8466" width="11.7109375" style="5" bestFit="1" customWidth="1"/>
    <col min="8467" max="8467" width="9.140625" style="5"/>
    <col min="8468" max="8468" width="13.85546875" style="5" bestFit="1" customWidth="1"/>
    <col min="8469" max="8708" width="9.140625" style="5"/>
    <col min="8709" max="8709" width="8" style="5" customWidth="1"/>
    <col min="8710" max="8710" width="10.5703125" style="5" customWidth="1"/>
    <col min="8711" max="8711" width="8.5703125" style="5" customWidth="1"/>
    <col min="8712" max="8712" width="14.42578125" style="5" customWidth="1"/>
    <col min="8713" max="8713" width="75.140625" style="5" customWidth="1"/>
    <col min="8714" max="8714" width="12.42578125" style="5" customWidth="1"/>
    <col min="8715" max="8715" width="10.140625" style="5" customWidth="1"/>
    <col min="8716" max="8716" width="13.5703125" style="5" customWidth="1"/>
    <col min="8717" max="8717" width="11.42578125" style="5" customWidth="1"/>
    <col min="8718" max="8718" width="19.28515625" style="5" bestFit="1" customWidth="1"/>
    <col min="8719" max="8719" width="34.85546875" style="5" customWidth="1"/>
    <col min="8720" max="8720" width="8" style="5" bestFit="1" customWidth="1"/>
    <col min="8721" max="8721" width="30.42578125" style="5" bestFit="1" customWidth="1"/>
    <col min="8722" max="8722" width="11.7109375" style="5" bestFit="1" customWidth="1"/>
    <col min="8723" max="8723" width="9.140625" style="5"/>
    <col min="8724" max="8724" width="13.85546875" style="5" bestFit="1" customWidth="1"/>
    <col min="8725" max="8964" width="9.140625" style="5"/>
    <col min="8965" max="8965" width="8" style="5" customWidth="1"/>
    <col min="8966" max="8966" width="10.5703125" style="5" customWidth="1"/>
    <col min="8967" max="8967" width="8.5703125" style="5" customWidth="1"/>
    <col min="8968" max="8968" width="14.42578125" style="5" customWidth="1"/>
    <col min="8969" max="8969" width="75.140625" style="5" customWidth="1"/>
    <col min="8970" max="8970" width="12.42578125" style="5" customWidth="1"/>
    <col min="8971" max="8971" width="10.140625" style="5" customWidth="1"/>
    <col min="8972" max="8972" width="13.5703125" style="5" customWidth="1"/>
    <col min="8973" max="8973" width="11.42578125" style="5" customWidth="1"/>
    <col min="8974" max="8974" width="19.28515625" style="5" bestFit="1" customWidth="1"/>
    <col min="8975" max="8975" width="34.85546875" style="5" customWidth="1"/>
    <col min="8976" max="8976" width="8" style="5" bestFit="1" customWidth="1"/>
    <col min="8977" max="8977" width="30.42578125" style="5" bestFit="1" customWidth="1"/>
    <col min="8978" max="8978" width="11.7109375" style="5" bestFit="1" customWidth="1"/>
    <col min="8979" max="8979" width="9.140625" style="5"/>
    <col min="8980" max="8980" width="13.85546875" style="5" bestFit="1" customWidth="1"/>
    <col min="8981" max="9220" width="9.140625" style="5"/>
    <col min="9221" max="9221" width="8" style="5" customWidth="1"/>
    <col min="9222" max="9222" width="10.5703125" style="5" customWidth="1"/>
    <col min="9223" max="9223" width="8.5703125" style="5" customWidth="1"/>
    <col min="9224" max="9224" width="14.42578125" style="5" customWidth="1"/>
    <col min="9225" max="9225" width="75.140625" style="5" customWidth="1"/>
    <col min="9226" max="9226" width="12.42578125" style="5" customWidth="1"/>
    <col min="9227" max="9227" width="10.140625" style="5" customWidth="1"/>
    <col min="9228" max="9228" width="13.5703125" style="5" customWidth="1"/>
    <col min="9229" max="9229" width="11.42578125" style="5" customWidth="1"/>
    <col min="9230" max="9230" width="19.28515625" style="5" bestFit="1" customWidth="1"/>
    <col min="9231" max="9231" width="34.85546875" style="5" customWidth="1"/>
    <col min="9232" max="9232" width="8" style="5" bestFit="1" customWidth="1"/>
    <col min="9233" max="9233" width="30.42578125" style="5" bestFit="1" customWidth="1"/>
    <col min="9234" max="9234" width="11.7109375" style="5" bestFit="1" customWidth="1"/>
    <col min="9235" max="9235" width="9.140625" style="5"/>
    <col min="9236" max="9236" width="13.85546875" style="5" bestFit="1" customWidth="1"/>
    <col min="9237" max="9476" width="9.140625" style="5"/>
    <col min="9477" max="9477" width="8" style="5" customWidth="1"/>
    <col min="9478" max="9478" width="10.5703125" style="5" customWidth="1"/>
    <col min="9479" max="9479" width="8.5703125" style="5" customWidth="1"/>
    <col min="9480" max="9480" width="14.42578125" style="5" customWidth="1"/>
    <col min="9481" max="9481" width="75.140625" style="5" customWidth="1"/>
    <col min="9482" max="9482" width="12.42578125" style="5" customWidth="1"/>
    <col min="9483" max="9483" width="10.140625" style="5" customWidth="1"/>
    <col min="9484" max="9484" width="13.5703125" style="5" customWidth="1"/>
    <col min="9485" max="9485" width="11.42578125" style="5" customWidth="1"/>
    <col min="9486" max="9486" width="19.28515625" style="5" bestFit="1" customWidth="1"/>
    <col min="9487" max="9487" width="34.85546875" style="5" customWidth="1"/>
    <col min="9488" max="9488" width="8" style="5" bestFit="1" customWidth="1"/>
    <col min="9489" max="9489" width="30.42578125" style="5" bestFit="1" customWidth="1"/>
    <col min="9490" max="9490" width="11.7109375" style="5" bestFit="1" customWidth="1"/>
    <col min="9491" max="9491" width="9.140625" style="5"/>
    <col min="9492" max="9492" width="13.85546875" style="5" bestFit="1" customWidth="1"/>
    <col min="9493" max="9732" width="9.140625" style="5"/>
    <col min="9733" max="9733" width="8" style="5" customWidth="1"/>
    <col min="9734" max="9734" width="10.5703125" style="5" customWidth="1"/>
    <col min="9735" max="9735" width="8.5703125" style="5" customWidth="1"/>
    <col min="9736" max="9736" width="14.42578125" style="5" customWidth="1"/>
    <col min="9737" max="9737" width="75.140625" style="5" customWidth="1"/>
    <col min="9738" max="9738" width="12.42578125" style="5" customWidth="1"/>
    <col min="9739" max="9739" width="10.140625" style="5" customWidth="1"/>
    <col min="9740" max="9740" width="13.5703125" style="5" customWidth="1"/>
    <col min="9741" max="9741" width="11.42578125" style="5" customWidth="1"/>
    <col min="9742" max="9742" width="19.28515625" style="5" bestFit="1" customWidth="1"/>
    <col min="9743" max="9743" width="34.85546875" style="5" customWidth="1"/>
    <col min="9744" max="9744" width="8" style="5" bestFit="1" customWidth="1"/>
    <col min="9745" max="9745" width="30.42578125" style="5" bestFit="1" customWidth="1"/>
    <col min="9746" max="9746" width="11.7109375" style="5" bestFit="1" customWidth="1"/>
    <col min="9747" max="9747" width="9.140625" style="5"/>
    <col min="9748" max="9748" width="13.85546875" style="5" bestFit="1" customWidth="1"/>
    <col min="9749" max="9988" width="9.140625" style="5"/>
    <col min="9989" max="9989" width="8" style="5" customWidth="1"/>
    <col min="9990" max="9990" width="10.5703125" style="5" customWidth="1"/>
    <col min="9991" max="9991" width="8.5703125" style="5" customWidth="1"/>
    <col min="9992" max="9992" width="14.42578125" style="5" customWidth="1"/>
    <col min="9993" max="9993" width="75.140625" style="5" customWidth="1"/>
    <col min="9994" max="9994" width="12.42578125" style="5" customWidth="1"/>
    <col min="9995" max="9995" width="10.140625" style="5" customWidth="1"/>
    <col min="9996" max="9996" width="13.5703125" style="5" customWidth="1"/>
    <col min="9997" max="9997" width="11.42578125" style="5" customWidth="1"/>
    <col min="9998" max="9998" width="19.28515625" style="5" bestFit="1" customWidth="1"/>
    <col min="9999" max="9999" width="34.85546875" style="5" customWidth="1"/>
    <col min="10000" max="10000" width="8" style="5" bestFit="1" customWidth="1"/>
    <col min="10001" max="10001" width="30.42578125" style="5" bestFit="1" customWidth="1"/>
    <col min="10002" max="10002" width="11.7109375" style="5" bestFit="1" customWidth="1"/>
    <col min="10003" max="10003" width="9.140625" style="5"/>
    <col min="10004" max="10004" width="13.85546875" style="5" bestFit="1" customWidth="1"/>
    <col min="10005" max="10244" width="9.140625" style="5"/>
    <col min="10245" max="10245" width="8" style="5" customWidth="1"/>
    <col min="10246" max="10246" width="10.5703125" style="5" customWidth="1"/>
    <col min="10247" max="10247" width="8.5703125" style="5" customWidth="1"/>
    <col min="10248" max="10248" width="14.42578125" style="5" customWidth="1"/>
    <col min="10249" max="10249" width="75.140625" style="5" customWidth="1"/>
    <col min="10250" max="10250" width="12.42578125" style="5" customWidth="1"/>
    <col min="10251" max="10251" width="10.140625" style="5" customWidth="1"/>
    <col min="10252" max="10252" width="13.5703125" style="5" customWidth="1"/>
    <col min="10253" max="10253" width="11.42578125" style="5" customWidth="1"/>
    <col min="10254" max="10254" width="19.28515625" style="5" bestFit="1" customWidth="1"/>
    <col min="10255" max="10255" width="34.85546875" style="5" customWidth="1"/>
    <col min="10256" max="10256" width="8" style="5" bestFit="1" customWidth="1"/>
    <col min="10257" max="10257" width="30.42578125" style="5" bestFit="1" customWidth="1"/>
    <col min="10258" max="10258" width="11.7109375" style="5" bestFit="1" customWidth="1"/>
    <col min="10259" max="10259" width="9.140625" style="5"/>
    <col min="10260" max="10260" width="13.85546875" style="5" bestFit="1" customWidth="1"/>
    <col min="10261" max="10500" width="9.140625" style="5"/>
    <col min="10501" max="10501" width="8" style="5" customWidth="1"/>
    <col min="10502" max="10502" width="10.5703125" style="5" customWidth="1"/>
    <col min="10503" max="10503" width="8.5703125" style="5" customWidth="1"/>
    <col min="10504" max="10504" width="14.42578125" style="5" customWidth="1"/>
    <col min="10505" max="10505" width="75.140625" style="5" customWidth="1"/>
    <col min="10506" max="10506" width="12.42578125" style="5" customWidth="1"/>
    <col min="10507" max="10507" width="10.140625" style="5" customWidth="1"/>
    <col min="10508" max="10508" width="13.5703125" style="5" customWidth="1"/>
    <col min="10509" max="10509" width="11.42578125" style="5" customWidth="1"/>
    <col min="10510" max="10510" width="19.28515625" style="5" bestFit="1" customWidth="1"/>
    <col min="10511" max="10511" width="34.85546875" style="5" customWidth="1"/>
    <col min="10512" max="10512" width="8" style="5" bestFit="1" customWidth="1"/>
    <col min="10513" max="10513" width="30.42578125" style="5" bestFit="1" customWidth="1"/>
    <col min="10514" max="10514" width="11.7109375" style="5" bestFit="1" customWidth="1"/>
    <col min="10515" max="10515" width="9.140625" style="5"/>
    <col min="10516" max="10516" width="13.85546875" style="5" bestFit="1" customWidth="1"/>
    <col min="10517" max="10756" width="9.140625" style="5"/>
    <col min="10757" max="10757" width="8" style="5" customWidth="1"/>
    <col min="10758" max="10758" width="10.5703125" style="5" customWidth="1"/>
    <col min="10759" max="10759" width="8.5703125" style="5" customWidth="1"/>
    <col min="10760" max="10760" width="14.42578125" style="5" customWidth="1"/>
    <col min="10761" max="10761" width="75.140625" style="5" customWidth="1"/>
    <col min="10762" max="10762" width="12.42578125" style="5" customWidth="1"/>
    <col min="10763" max="10763" width="10.140625" style="5" customWidth="1"/>
    <col min="10764" max="10764" width="13.5703125" style="5" customWidth="1"/>
    <col min="10765" max="10765" width="11.42578125" style="5" customWidth="1"/>
    <col min="10766" max="10766" width="19.28515625" style="5" bestFit="1" customWidth="1"/>
    <col min="10767" max="10767" width="34.85546875" style="5" customWidth="1"/>
    <col min="10768" max="10768" width="8" style="5" bestFit="1" customWidth="1"/>
    <col min="10769" max="10769" width="30.42578125" style="5" bestFit="1" customWidth="1"/>
    <col min="10770" max="10770" width="11.7109375" style="5" bestFit="1" customWidth="1"/>
    <col min="10771" max="10771" width="9.140625" style="5"/>
    <col min="10772" max="10772" width="13.85546875" style="5" bestFit="1" customWidth="1"/>
    <col min="10773" max="11012" width="9.140625" style="5"/>
    <col min="11013" max="11013" width="8" style="5" customWidth="1"/>
    <col min="11014" max="11014" width="10.5703125" style="5" customWidth="1"/>
    <col min="11015" max="11015" width="8.5703125" style="5" customWidth="1"/>
    <col min="11016" max="11016" width="14.42578125" style="5" customWidth="1"/>
    <col min="11017" max="11017" width="75.140625" style="5" customWidth="1"/>
    <col min="11018" max="11018" width="12.42578125" style="5" customWidth="1"/>
    <col min="11019" max="11019" width="10.140625" style="5" customWidth="1"/>
    <col min="11020" max="11020" width="13.5703125" style="5" customWidth="1"/>
    <col min="11021" max="11021" width="11.42578125" style="5" customWidth="1"/>
    <col min="11022" max="11022" width="19.28515625" style="5" bestFit="1" customWidth="1"/>
    <col min="11023" max="11023" width="34.85546875" style="5" customWidth="1"/>
    <col min="11024" max="11024" width="8" style="5" bestFit="1" customWidth="1"/>
    <col min="11025" max="11025" width="30.42578125" style="5" bestFit="1" customWidth="1"/>
    <col min="11026" max="11026" width="11.7109375" style="5" bestFit="1" customWidth="1"/>
    <col min="11027" max="11027" width="9.140625" style="5"/>
    <col min="11028" max="11028" width="13.85546875" style="5" bestFit="1" customWidth="1"/>
    <col min="11029" max="11268" width="9.140625" style="5"/>
    <col min="11269" max="11269" width="8" style="5" customWidth="1"/>
    <col min="11270" max="11270" width="10.5703125" style="5" customWidth="1"/>
    <col min="11271" max="11271" width="8.5703125" style="5" customWidth="1"/>
    <col min="11272" max="11272" width="14.42578125" style="5" customWidth="1"/>
    <col min="11273" max="11273" width="75.140625" style="5" customWidth="1"/>
    <col min="11274" max="11274" width="12.42578125" style="5" customWidth="1"/>
    <col min="11275" max="11275" width="10.140625" style="5" customWidth="1"/>
    <col min="11276" max="11276" width="13.5703125" style="5" customWidth="1"/>
    <col min="11277" max="11277" width="11.42578125" style="5" customWidth="1"/>
    <col min="11278" max="11278" width="19.28515625" style="5" bestFit="1" customWidth="1"/>
    <col min="11279" max="11279" width="34.85546875" style="5" customWidth="1"/>
    <col min="11280" max="11280" width="8" style="5" bestFit="1" customWidth="1"/>
    <col min="11281" max="11281" width="30.42578125" style="5" bestFit="1" customWidth="1"/>
    <col min="11282" max="11282" width="11.7109375" style="5" bestFit="1" customWidth="1"/>
    <col min="11283" max="11283" width="9.140625" style="5"/>
    <col min="11284" max="11284" width="13.85546875" style="5" bestFit="1" customWidth="1"/>
    <col min="11285" max="11524" width="9.140625" style="5"/>
    <col min="11525" max="11525" width="8" style="5" customWidth="1"/>
    <col min="11526" max="11526" width="10.5703125" style="5" customWidth="1"/>
    <col min="11527" max="11527" width="8.5703125" style="5" customWidth="1"/>
    <col min="11528" max="11528" width="14.42578125" style="5" customWidth="1"/>
    <col min="11529" max="11529" width="75.140625" style="5" customWidth="1"/>
    <col min="11530" max="11530" width="12.42578125" style="5" customWidth="1"/>
    <col min="11531" max="11531" width="10.140625" style="5" customWidth="1"/>
    <col min="11532" max="11532" width="13.5703125" style="5" customWidth="1"/>
    <col min="11533" max="11533" width="11.42578125" style="5" customWidth="1"/>
    <col min="11534" max="11534" width="19.28515625" style="5" bestFit="1" customWidth="1"/>
    <col min="11535" max="11535" width="34.85546875" style="5" customWidth="1"/>
    <col min="11536" max="11536" width="8" style="5" bestFit="1" customWidth="1"/>
    <col min="11537" max="11537" width="30.42578125" style="5" bestFit="1" customWidth="1"/>
    <col min="11538" max="11538" width="11.7109375" style="5" bestFit="1" customWidth="1"/>
    <col min="11539" max="11539" width="9.140625" style="5"/>
    <col min="11540" max="11540" width="13.85546875" style="5" bestFit="1" customWidth="1"/>
    <col min="11541" max="11780" width="9.140625" style="5"/>
    <col min="11781" max="11781" width="8" style="5" customWidth="1"/>
    <col min="11782" max="11782" width="10.5703125" style="5" customWidth="1"/>
    <col min="11783" max="11783" width="8.5703125" style="5" customWidth="1"/>
    <col min="11784" max="11784" width="14.42578125" style="5" customWidth="1"/>
    <col min="11785" max="11785" width="75.140625" style="5" customWidth="1"/>
    <col min="11786" max="11786" width="12.42578125" style="5" customWidth="1"/>
    <col min="11787" max="11787" width="10.140625" style="5" customWidth="1"/>
    <col min="11788" max="11788" width="13.5703125" style="5" customWidth="1"/>
    <col min="11789" max="11789" width="11.42578125" style="5" customWidth="1"/>
    <col min="11790" max="11790" width="19.28515625" style="5" bestFit="1" customWidth="1"/>
    <col min="11791" max="11791" width="34.85546875" style="5" customWidth="1"/>
    <col min="11792" max="11792" width="8" style="5" bestFit="1" customWidth="1"/>
    <col min="11793" max="11793" width="30.42578125" style="5" bestFit="1" customWidth="1"/>
    <col min="11794" max="11794" width="11.7109375" style="5" bestFit="1" customWidth="1"/>
    <col min="11795" max="11795" width="9.140625" style="5"/>
    <col min="11796" max="11796" width="13.85546875" style="5" bestFit="1" customWidth="1"/>
    <col min="11797" max="12036" width="9.140625" style="5"/>
    <col min="12037" max="12037" width="8" style="5" customWidth="1"/>
    <col min="12038" max="12038" width="10.5703125" style="5" customWidth="1"/>
    <col min="12039" max="12039" width="8.5703125" style="5" customWidth="1"/>
    <col min="12040" max="12040" width="14.42578125" style="5" customWidth="1"/>
    <col min="12041" max="12041" width="75.140625" style="5" customWidth="1"/>
    <col min="12042" max="12042" width="12.42578125" style="5" customWidth="1"/>
    <col min="12043" max="12043" width="10.140625" style="5" customWidth="1"/>
    <col min="12044" max="12044" width="13.5703125" style="5" customWidth="1"/>
    <col min="12045" max="12045" width="11.42578125" style="5" customWidth="1"/>
    <col min="12046" max="12046" width="19.28515625" style="5" bestFit="1" customWidth="1"/>
    <col min="12047" max="12047" width="34.85546875" style="5" customWidth="1"/>
    <col min="12048" max="12048" width="8" style="5" bestFit="1" customWidth="1"/>
    <col min="12049" max="12049" width="30.42578125" style="5" bestFit="1" customWidth="1"/>
    <col min="12050" max="12050" width="11.7109375" style="5" bestFit="1" customWidth="1"/>
    <col min="12051" max="12051" width="9.140625" style="5"/>
    <col min="12052" max="12052" width="13.85546875" style="5" bestFit="1" customWidth="1"/>
    <col min="12053" max="12292" width="9.140625" style="5"/>
    <col min="12293" max="12293" width="8" style="5" customWidth="1"/>
    <col min="12294" max="12294" width="10.5703125" style="5" customWidth="1"/>
    <col min="12295" max="12295" width="8.5703125" style="5" customWidth="1"/>
    <col min="12296" max="12296" width="14.42578125" style="5" customWidth="1"/>
    <col min="12297" max="12297" width="75.140625" style="5" customWidth="1"/>
    <col min="12298" max="12298" width="12.42578125" style="5" customWidth="1"/>
    <col min="12299" max="12299" width="10.140625" style="5" customWidth="1"/>
    <col min="12300" max="12300" width="13.5703125" style="5" customWidth="1"/>
    <col min="12301" max="12301" width="11.42578125" style="5" customWidth="1"/>
    <col min="12302" max="12302" width="19.28515625" style="5" bestFit="1" customWidth="1"/>
    <col min="12303" max="12303" width="34.85546875" style="5" customWidth="1"/>
    <col min="12304" max="12304" width="8" style="5" bestFit="1" customWidth="1"/>
    <col min="12305" max="12305" width="30.42578125" style="5" bestFit="1" customWidth="1"/>
    <col min="12306" max="12306" width="11.7109375" style="5" bestFit="1" customWidth="1"/>
    <col min="12307" max="12307" width="9.140625" style="5"/>
    <col min="12308" max="12308" width="13.85546875" style="5" bestFit="1" customWidth="1"/>
    <col min="12309" max="12548" width="9.140625" style="5"/>
    <col min="12549" max="12549" width="8" style="5" customWidth="1"/>
    <col min="12550" max="12550" width="10.5703125" style="5" customWidth="1"/>
    <col min="12551" max="12551" width="8.5703125" style="5" customWidth="1"/>
    <col min="12552" max="12552" width="14.42578125" style="5" customWidth="1"/>
    <col min="12553" max="12553" width="75.140625" style="5" customWidth="1"/>
    <col min="12554" max="12554" width="12.42578125" style="5" customWidth="1"/>
    <col min="12555" max="12555" width="10.140625" style="5" customWidth="1"/>
    <col min="12556" max="12556" width="13.5703125" style="5" customWidth="1"/>
    <col min="12557" max="12557" width="11.42578125" style="5" customWidth="1"/>
    <col min="12558" max="12558" width="19.28515625" style="5" bestFit="1" customWidth="1"/>
    <col min="12559" max="12559" width="34.85546875" style="5" customWidth="1"/>
    <col min="12560" max="12560" width="8" style="5" bestFit="1" customWidth="1"/>
    <col min="12561" max="12561" width="30.42578125" style="5" bestFit="1" customWidth="1"/>
    <col min="12562" max="12562" width="11.7109375" style="5" bestFit="1" customWidth="1"/>
    <col min="12563" max="12563" width="9.140625" style="5"/>
    <col min="12564" max="12564" width="13.85546875" style="5" bestFit="1" customWidth="1"/>
    <col min="12565" max="12804" width="9.140625" style="5"/>
    <col min="12805" max="12805" width="8" style="5" customWidth="1"/>
    <col min="12806" max="12806" width="10.5703125" style="5" customWidth="1"/>
    <col min="12807" max="12807" width="8.5703125" style="5" customWidth="1"/>
    <col min="12808" max="12808" width="14.42578125" style="5" customWidth="1"/>
    <col min="12809" max="12809" width="75.140625" style="5" customWidth="1"/>
    <col min="12810" max="12810" width="12.42578125" style="5" customWidth="1"/>
    <col min="12811" max="12811" width="10.140625" style="5" customWidth="1"/>
    <col min="12812" max="12812" width="13.5703125" style="5" customWidth="1"/>
    <col min="12813" max="12813" width="11.42578125" style="5" customWidth="1"/>
    <col min="12814" max="12814" width="19.28515625" style="5" bestFit="1" customWidth="1"/>
    <col min="12815" max="12815" width="34.85546875" style="5" customWidth="1"/>
    <col min="12816" max="12816" width="8" style="5" bestFit="1" customWidth="1"/>
    <col min="12817" max="12817" width="30.42578125" style="5" bestFit="1" customWidth="1"/>
    <col min="12818" max="12818" width="11.7109375" style="5" bestFit="1" customWidth="1"/>
    <col min="12819" max="12819" width="9.140625" style="5"/>
    <col min="12820" max="12820" width="13.85546875" style="5" bestFit="1" customWidth="1"/>
    <col min="12821" max="13060" width="9.140625" style="5"/>
    <col min="13061" max="13061" width="8" style="5" customWidth="1"/>
    <col min="13062" max="13062" width="10.5703125" style="5" customWidth="1"/>
    <col min="13063" max="13063" width="8.5703125" style="5" customWidth="1"/>
    <col min="13064" max="13064" width="14.42578125" style="5" customWidth="1"/>
    <col min="13065" max="13065" width="75.140625" style="5" customWidth="1"/>
    <col min="13066" max="13066" width="12.42578125" style="5" customWidth="1"/>
    <col min="13067" max="13067" width="10.140625" style="5" customWidth="1"/>
    <col min="13068" max="13068" width="13.5703125" style="5" customWidth="1"/>
    <col min="13069" max="13069" width="11.42578125" style="5" customWidth="1"/>
    <col min="13070" max="13070" width="19.28515625" style="5" bestFit="1" customWidth="1"/>
    <col min="13071" max="13071" width="34.85546875" style="5" customWidth="1"/>
    <col min="13072" max="13072" width="8" style="5" bestFit="1" customWidth="1"/>
    <col min="13073" max="13073" width="30.42578125" style="5" bestFit="1" customWidth="1"/>
    <col min="13074" max="13074" width="11.7109375" style="5" bestFit="1" customWidth="1"/>
    <col min="13075" max="13075" width="9.140625" style="5"/>
    <col min="13076" max="13076" width="13.85546875" style="5" bestFit="1" customWidth="1"/>
    <col min="13077" max="13316" width="9.140625" style="5"/>
    <col min="13317" max="13317" width="8" style="5" customWidth="1"/>
    <col min="13318" max="13318" width="10.5703125" style="5" customWidth="1"/>
    <col min="13319" max="13319" width="8.5703125" style="5" customWidth="1"/>
    <col min="13320" max="13320" width="14.42578125" style="5" customWidth="1"/>
    <col min="13321" max="13321" width="75.140625" style="5" customWidth="1"/>
    <col min="13322" max="13322" width="12.42578125" style="5" customWidth="1"/>
    <col min="13323" max="13323" width="10.140625" style="5" customWidth="1"/>
    <col min="13324" max="13324" width="13.5703125" style="5" customWidth="1"/>
    <col min="13325" max="13325" width="11.42578125" style="5" customWidth="1"/>
    <col min="13326" max="13326" width="19.28515625" style="5" bestFit="1" customWidth="1"/>
    <col min="13327" max="13327" width="34.85546875" style="5" customWidth="1"/>
    <col min="13328" max="13328" width="8" style="5" bestFit="1" customWidth="1"/>
    <col min="13329" max="13329" width="30.42578125" style="5" bestFit="1" customWidth="1"/>
    <col min="13330" max="13330" width="11.7109375" style="5" bestFit="1" customWidth="1"/>
    <col min="13331" max="13331" width="9.140625" style="5"/>
    <col min="13332" max="13332" width="13.85546875" style="5" bestFit="1" customWidth="1"/>
    <col min="13333" max="13572" width="9.140625" style="5"/>
    <col min="13573" max="13573" width="8" style="5" customWidth="1"/>
    <col min="13574" max="13574" width="10.5703125" style="5" customWidth="1"/>
    <col min="13575" max="13575" width="8.5703125" style="5" customWidth="1"/>
    <col min="13576" max="13576" width="14.42578125" style="5" customWidth="1"/>
    <col min="13577" max="13577" width="75.140625" style="5" customWidth="1"/>
    <col min="13578" max="13578" width="12.42578125" style="5" customWidth="1"/>
    <col min="13579" max="13579" width="10.140625" style="5" customWidth="1"/>
    <col min="13580" max="13580" width="13.5703125" style="5" customWidth="1"/>
    <col min="13581" max="13581" width="11.42578125" style="5" customWidth="1"/>
    <col min="13582" max="13582" width="19.28515625" style="5" bestFit="1" customWidth="1"/>
    <col min="13583" max="13583" width="34.85546875" style="5" customWidth="1"/>
    <col min="13584" max="13584" width="8" style="5" bestFit="1" customWidth="1"/>
    <col min="13585" max="13585" width="30.42578125" style="5" bestFit="1" customWidth="1"/>
    <col min="13586" max="13586" width="11.7109375" style="5" bestFit="1" customWidth="1"/>
    <col min="13587" max="13587" width="9.140625" style="5"/>
    <col min="13588" max="13588" width="13.85546875" style="5" bestFit="1" customWidth="1"/>
    <col min="13589" max="13828" width="9.140625" style="5"/>
    <col min="13829" max="13829" width="8" style="5" customWidth="1"/>
    <col min="13830" max="13830" width="10.5703125" style="5" customWidth="1"/>
    <col min="13831" max="13831" width="8.5703125" style="5" customWidth="1"/>
    <col min="13832" max="13832" width="14.42578125" style="5" customWidth="1"/>
    <col min="13833" max="13833" width="75.140625" style="5" customWidth="1"/>
    <col min="13834" max="13834" width="12.42578125" style="5" customWidth="1"/>
    <col min="13835" max="13835" width="10.140625" style="5" customWidth="1"/>
    <col min="13836" max="13836" width="13.5703125" style="5" customWidth="1"/>
    <col min="13837" max="13837" width="11.42578125" style="5" customWidth="1"/>
    <col min="13838" max="13838" width="19.28515625" style="5" bestFit="1" customWidth="1"/>
    <col min="13839" max="13839" width="34.85546875" style="5" customWidth="1"/>
    <col min="13840" max="13840" width="8" style="5" bestFit="1" customWidth="1"/>
    <col min="13841" max="13841" width="30.42578125" style="5" bestFit="1" customWidth="1"/>
    <col min="13842" max="13842" width="11.7109375" style="5" bestFit="1" customWidth="1"/>
    <col min="13843" max="13843" width="9.140625" style="5"/>
    <col min="13844" max="13844" width="13.85546875" style="5" bestFit="1" customWidth="1"/>
    <col min="13845" max="14084" width="9.140625" style="5"/>
    <col min="14085" max="14085" width="8" style="5" customWidth="1"/>
    <col min="14086" max="14086" width="10.5703125" style="5" customWidth="1"/>
    <col min="14087" max="14087" width="8.5703125" style="5" customWidth="1"/>
    <col min="14088" max="14088" width="14.42578125" style="5" customWidth="1"/>
    <col min="14089" max="14089" width="75.140625" style="5" customWidth="1"/>
    <col min="14090" max="14090" width="12.42578125" style="5" customWidth="1"/>
    <col min="14091" max="14091" width="10.140625" style="5" customWidth="1"/>
    <col min="14092" max="14092" width="13.5703125" style="5" customWidth="1"/>
    <col min="14093" max="14093" width="11.42578125" style="5" customWidth="1"/>
    <col min="14094" max="14094" width="19.28515625" style="5" bestFit="1" customWidth="1"/>
    <col min="14095" max="14095" width="34.85546875" style="5" customWidth="1"/>
    <col min="14096" max="14096" width="8" style="5" bestFit="1" customWidth="1"/>
    <col min="14097" max="14097" width="30.42578125" style="5" bestFit="1" customWidth="1"/>
    <col min="14098" max="14098" width="11.7109375" style="5" bestFit="1" customWidth="1"/>
    <col min="14099" max="14099" width="9.140625" style="5"/>
    <col min="14100" max="14100" width="13.85546875" style="5" bestFit="1" customWidth="1"/>
    <col min="14101" max="14340" width="9.140625" style="5"/>
    <col min="14341" max="14341" width="8" style="5" customWidth="1"/>
    <col min="14342" max="14342" width="10.5703125" style="5" customWidth="1"/>
    <col min="14343" max="14343" width="8.5703125" style="5" customWidth="1"/>
    <col min="14344" max="14344" width="14.42578125" style="5" customWidth="1"/>
    <col min="14345" max="14345" width="75.140625" style="5" customWidth="1"/>
    <col min="14346" max="14346" width="12.42578125" style="5" customWidth="1"/>
    <col min="14347" max="14347" width="10.140625" style="5" customWidth="1"/>
    <col min="14348" max="14348" width="13.5703125" style="5" customWidth="1"/>
    <col min="14349" max="14349" width="11.42578125" style="5" customWidth="1"/>
    <col min="14350" max="14350" width="19.28515625" style="5" bestFit="1" customWidth="1"/>
    <col min="14351" max="14351" width="34.85546875" style="5" customWidth="1"/>
    <col min="14352" max="14352" width="8" style="5" bestFit="1" customWidth="1"/>
    <col min="14353" max="14353" width="30.42578125" style="5" bestFit="1" customWidth="1"/>
    <col min="14354" max="14354" width="11.7109375" style="5" bestFit="1" customWidth="1"/>
    <col min="14355" max="14355" width="9.140625" style="5"/>
    <col min="14356" max="14356" width="13.85546875" style="5" bestFit="1" customWidth="1"/>
    <col min="14357" max="14596" width="9.140625" style="5"/>
    <col min="14597" max="14597" width="8" style="5" customWidth="1"/>
    <col min="14598" max="14598" width="10.5703125" style="5" customWidth="1"/>
    <col min="14599" max="14599" width="8.5703125" style="5" customWidth="1"/>
    <col min="14600" max="14600" width="14.42578125" style="5" customWidth="1"/>
    <col min="14601" max="14601" width="75.140625" style="5" customWidth="1"/>
    <col min="14602" max="14602" width="12.42578125" style="5" customWidth="1"/>
    <col min="14603" max="14603" width="10.140625" style="5" customWidth="1"/>
    <col min="14604" max="14604" width="13.5703125" style="5" customWidth="1"/>
    <col min="14605" max="14605" width="11.42578125" style="5" customWidth="1"/>
    <col min="14606" max="14606" width="19.28515625" style="5" bestFit="1" customWidth="1"/>
    <col min="14607" max="14607" width="34.85546875" style="5" customWidth="1"/>
    <col min="14608" max="14608" width="8" style="5" bestFit="1" customWidth="1"/>
    <col min="14609" max="14609" width="30.42578125" style="5" bestFit="1" customWidth="1"/>
    <col min="14610" max="14610" width="11.7109375" style="5" bestFit="1" customWidth="1"/>
    <col min="14611" max="14611" width="9.140625" style="5"/>
    <col min="14612" max="14612" width="13.85546875" style="5" bestFit="1" customWidth="1"/>
    <col min="14613" max="14852" width="9.140625" style="5"/>
    <col min="14853" max="14853" width="8" style="5" customWidth="1"/>
    <col min="14854" max="14854" width="10.5703125" style="5" customWidth="1"/>
    <col min="14855" max="14855" width="8.5703125" style="5" customWidth="1"/>
    <col min="14856" max="14856" width="14.42578125" style="5" customWidth="1"/>
    <col min="14857" max="14857" width="75.140625" style="5" customWidth="1"/>
    <col min="14858" max="14858" width="12.42578125" style="5" customWidth="1"/>
    <col min="14859" max="14859" width="10.140625" style="5" customWidth="1"/>
    <col min="14860" max="14860" width="13.5703125" style="5" customWidth="1"/>
    <col min="14861" max="14861" width="11.42578125" style="5" customWidth="1"/>
    <col min="14862" max="14862" width="19.28515625" style="5" bestFit="1" customWidth="1"/>
    <col min="14863" max="14863" width="34.85546875" style="5" customWidth="1"/>
    <col min="14864" max="14864" width="8" style="5" bestFit="1" customWidth="1"/>
    <col min="14865" max="14865" width="30.42578125" style="5" bestFit="1" customWidth="1"/>
    <col min="14866" max="14866" width="11.7109375" style="5" bestFit="1" customWidth="1"/>
    <col min="14867" max="14867" width="9.140625" style="5"/>
    <col min="14868" max="14868" width="13.85546875" style="5" bestFit="1" customWidth="1"/>
    <col min="14869" max="15108" width="9.140625" style="5"/>
    <col min="15109" max="15109" width="8" style="5" customWidth="1"/>
    <col min="15110" max="15110" width="10.5703125" style="5" customWidth="1"/>
    <col min="15111" max="15111" width="8.5703125" style="5" customWidth="1"/>
    <col min="15112" max="15112" width="14.42578125" style="5" customWidth="1"/>
    <col min="15113" max="15113" width="75.140625" style="5" customWidth="1"/>
    <col min="15114" max="15114" width="12.42578125" style="5" customWidth="1"/>
    <col min="15115" max="15115" width="10.140625" style="5" customWidth="1"/>
    <col min="15116" max="15116" width="13.5703125" style="5" customWidth="1"/>
    <col min="15117" max="15117" width="11.42578125" style="5" customWidth="1"/>
    <col min="15118" max="15118" width="19.28515625" style="5" bestFit="1" customWidth="1"/>
    <col min="15119" max="15119" width="34.85546875" style="5" customWidth="1"/>
    <col min="15120" max="15120" width="8" style="5" bestFit="1" customWidth="1"/>
    <col min="15121" max="15121" width="30.42578125" style="5" bestFit="1" customWidth="1"/>
    <col min="15122" max="15122" width="11.7109375" style="5" bestFit="1" customWidth="1"/>
    <col min="15123" max="15123" width="9.140625" style="5"/>
    <col min="15124" max="15124" width="13.85546875" style="5" bestFit="1" customWidth="1"/>
    <col min="15125" max="15364" width="9.140625" style="5"/>
    <col min="15365" max="15365" width="8" style="5" customWidth="1"/>
    <col min="15366" max="15366" width="10.5703125" style="5" customWidth="1"/>
    <col min="15367" max="15367" width="8.5703125" style="5" customWidth="1"/>
    <col min="15368" max="15368" width="14.42578125" style="5" customWidth="1"/>
    <col min="15369" max="15369" width="75.140625" style="5" customWidth="1"/>
    <col min="15370" max="15370" width="12.42578125" style="5" customWidth="1"/>
    <col min="15371" max="15371" width="10.140625" style="5" customWidth="1"/>
    <col min="15372" max="15372" width="13.5703125" style="5" customWidth="1"/>
    <col min="15373" max="15373" width="11.42578125" style="5" customWidth="1"/>
    <col min="15374" max="15374" width="19.28515625" style="5" bestFit="1" customWidth="1"/>
    <col min="15375" max="15375" width="34.85546875" style="5" customWidth="1"/>
    <col min="15376" max="15376" width="8" style="5" bestFit="1" customWidth="1"/>
    <col min="15377" max="15377" width="30.42578125" style="5" bestFit="1" customWidth="1"/>
    <col min="15378" max="15378" width="11.7109375" style="5" bestFit="1" customWidth="1"/>
    <col min="15379" max="15379" width="9.140625" style="5"/>
    <col min="15380" max="15380" width="13.85546875" style="5" bestFit="1" customWidth="1"/>
    <col min="15381" max="15620" width="9.140625" style="5"/>
    <col min="15621" max="15621" width="8" style="5" customWidth="1"/>
    <col min="15622" max="15622" width="10.5703125" style="5" customWidth="1"/>
    <col min="15623" max="15623" width="8.5703125" style="5" customWidth="1"/>
    <col min="15624" max="15624" width="14.42578125" style="5" customWidth="1"/>
    <col min="15625" max="15625" width="75.140625" style="5" customWidth="1"/>
    <col min="15626" max="15626" width="12.42578125" style="5" customWidth="1"/>
    <col min="15627" max="15627" width="10.140625" style="5" customWidth="1"/>
    <col min="15628" max="15628" width="13.5703125" style="5" customWidth="1"/>
    <col min="15629" max="15629" width="11.42578125" style="5" customWidth="1"/>
    <col min="15630" max="15630" width="19.28515625" style="5" bestFit="1" customWidth="1"/>
    <col min="15631" max="15631" width="34.85546875" style="5" customWidth="1"/>
    <col min="15632" max="15632" width="8" style="5" bestFit="1" customWidth="1"/>
    <col min="15633" max="15633" width="30.42578125" style="5" bestFit="1" customWidth="1"/>
    <col min="15634" max="15634" width="11.7109375" style="5" bestFit="1" customWidth="1"/>
    <col min="15635" max="15635" width="9.140625" style="5"/>
    <col min="15636" max="15636" width="13.85546875" style="5" bestFit="1" customWidth="1"/>
    <col min="15637" max="15876" width="9.140625" style="5"/>
    <col min="15877" max="15877" width="8" style="5" customWidth="1"/>
    <col min="15878" max="15878" width="10.5703125" style="5" customWidth="1"/>
    <col min="15879" max="15879" width="8.5703125" style="5" customWidth="1"/>
    <col min="15880" max="15880" width="14.42578125" style="5" customWidth="1"/>
    <col min="15881" max="15881" width="75.140625" style="5" customWidth="1"/>
    <col min="15882" max="15882" width="12.42578125" style="5" customWidth="1"/>
    <col min="15883" max="15883" width="10.140625" style="5" customWidth="1"/>
    <col min="15884" max="15884" width="13.5703125" style="5" customWidth="1"/>
    <col min="15885" max="15885" width="11.42578125" style="5" customWidth="1"/>
    <col min="15886" max="15886" width="19.28515625" style="5" bestFit="1" customWidth="1"/>
    <col min="15887" max="15887" width="34.85546875" style="5" customWidth="1"/>
    <col min="15888" max="15888" width="8" style="5" bestFit="1" customWidth="1"/>
    <col min="15889" max="15889" width="30.42578125" style="5" bestFit="1" customWidth="1"/>
    <col min="15890" max="15890" width="11.7109375" style="5" bestFit="1" customWidth="1"/>
    <col min="15891" max="15891" width="9.140625" style="5"/>
    <col min="15892" max="15892" width="13.85546875" style="5" bestFit="1" customWidth="1"/>
    <col min="15893" max="16132" width="9.140625" style="5"/>
    <col min="16133" max="16133" width="8" style="5" customWidth="1"/>
    <col min="16134" max="16134" width="10.5703125" style="5" customWidth="1"/>
    <col min="16135" max="16135" width="8.5703125" style="5" customWidth="1"/>
    <col min="16136" max="16136" width="14.42578125" style="5" customWidth="1"/>
    <col min="16137" max="16137" width="75.140625" style="5" customWidth="1"/>
    <col min="16138" max="16138" width="12.42578125" style="5" customWidth="1"/>
    <col min="16139" max="16139" width="10.140625" style="5" customWidth="1"/>
    <col min="16140" max="16140" width="13.5703125" style="5" customWidth="1"/>
    <col min="16141" max="16141" width="11.42578125" style="5" customWidth="1"/>
    <col min="16142" max="16142" width="19.28515625" style="5" bestFit="1" customWidth="1"/>
    <col min="16143" max="16143" width="34.85546875" style="5" customWidth="1"/>
    <col min="16144" max="16144" width="8" style="5" bestFit="1" customWidth="1"/>
    <col min="16145" max="16145" width="30.42578125" style="5" bestFit="1" customWidth="1"/>
    <col min="16146" max="16146" width="11.7109375" style="5" bestFit="1" customWidth="1"/>
    <col min="16147" max="16147" width="9.140625" style="5"/>
    <col min="16148" max="16148" width="13.85546875" style="5" bestFit="1" customWidth="1"/>
    <col min="16149" max="16384" width="9.140625" style="5"/>
  </cols>
  <sheetData>
    <row r="1" spans="4:17" ht="13.5" thickBot="1"/>
    <row r="2" spans="4:17" s="1" customFormat="1" ht="38.25" thickBot="1">
      <c r="D2" s="2"/>
      <c r="E2" s="2"/>
      <c r="F2" s="3" t="s">
        <v>3</v>
      </c>
      <c r="G2" s="4"/>
      <c r="H2" s="4"/>
      <c r="I2" s="372"/>
      <c r="L2" s="128"/>
      <c r="P2" s="774"/>
      <c r="Q2" s="808" t="s">
        <v>2157</v>
      </c>
    </row>
    <row r="3" spans="4:17" ht="18.75" thickBot="1">
      <c r="I3" s="7"/>
      <c r="O3" s="807" t="s">
        <v>2156</v>
      </c>
      <c r="P3" s="775" t="s">
        <v>1997</v>
      </c>
      <c r="Q3" s="1620"/>
    </row>
    <row r="4" spans="4:17" s="11" customFormat="1" ht="10.5" customHeight="1" thickBot="1">
      <c r="D4" s="12"/>
      <c r="E4" s="12"/>
      <c r="F4" s="1320"/>
      <c r="G4" s="70"/>
      <c r="H4" s="70"/>
      <c r="I4" s="72"/>
      <c r="J4" s="70"/>
      <c r="K4" s="71"/>
      <c r="L4" s="71"/>
      <c r="M4" s="71"/>
      <c r="N4" s="73"/>
      <c r="O4" s="11" t="s">
        <v>2157</v>
      </c>
      <c r="P4" s="775" t="s">
        <v>1998</v>
      </c>
      <c r="Q4" s="1620"/>
    </row>
    <row r="5" spans="4:17" ht="51.75" customHeight="1" thickBot="1">
      <c r="D5" s="19"/>
      <c r="E5" s="19"/>
      <c r="F5" s="2086"/>
      <c r="G5" s="2087"/>
      <c r="H5" s="2098" t="s">
        <v>13361</v>
      </c>
      <c r="I5" s="2125"/>
      <c r="J5" s="2099"/>
      <c r="K5" s="2098"/>
      <c r="L5" s="2099"/>
      <c r="M5" s="2118" t="s">
        <v>14642</v>
      </c>
      <c r="N5" s="2119"/>
      <c r="O5" s="5"/>
      <c r="Q5" s="1620"/>
    </row>
    <row r="6" spans="4:17" ht="27" thickBot="1">
      <c r="D6" s="19"/>
      <c r="E6" s="19"/>
      <c r="F6" s="2088"/>
      <c r="G6" s="2089"/>
      <c r="H6" s="2100"/>
      <c r="I6" s="2126"/>
      <c r="J6" s="2101"/>
      <c r="K6" s="2100"/>
      <c r="L6" s="2101"/>
      <c r="M6" s="2120" t="s">
        <v>1998</v>
      </c>
      <c r="N6" s="2121"/>
      <c r="O6" s="5"/>
      <c r="Q6" s="1620"/>
    </row>
    <row r="7" spans="4:17" ht="51.75" customHeight="1" thickBot="1">
      <c r="F7" s="2088"/>
      <c r="G7" s="2089"/>
      <c r="H7" s="2080" t="s">
        <v>13362</v>
      </c>
      <c r="I7" s="2081"/>
      <c r="J7" s="2082"/>
      <c r="K7" s="2102"/>
      <c r="L7" s="2103"/>
      <c r="M7" s="1326" t="s">
        <v>4</v>
      </c>
      <c r="N7" s="1317">
        <f>'BDI '!G32</f>
        <v>0.24199999999999999</v>
      </c>
      <c r="O7" s="20"/>
    </row>
    <row r="8" spans="4:17" ht="32.25" customHeight="1" thickBot="1">
      <c r="F8" s="2090"/>
      <c r="G8" s="2091"/>
      <c r="H8" s="2083"/>
      <c r="I8" s="2084"/>
      <c r="J8" s="2085"/>
      <c r="K8" s="2122"/>
      <c r="L8" s="2123"/>
      <c r="M8" s="2123"/>
      <c r="N8" s="1317"/>
      <c r="O8" s="20"/>
    </row>
    <row r="9" spans="4:17" s="21" customFormat="1" ht="18.75" thickBot="1">
      <c r="D9" s="22"/>
      <c r="E9" s="22"/>
      <c r="F9" s="2114" t="str">
        <f>RESUMO!B7</f>
        <v>C E N T R A L   D E   P R O J E T O S</v>
      </c>
      <c r="G9" s="2115"/>
      <c r="H9" s="2115"/>
      <c r="I9" s="2115"/>
      <c r="J9" s="2115"/>
      <c r="K9" s="2115"/>
      <c r="L9" s="2115"/>
      <c r="M9" s="2116"/>
      <c r="N9" s="2117"/>
      <c r="O9" s="23"/>
      <c r="P9" s="24"/>
      <c r="Q9" s="1620"/>
    </row>
    <row r="10" spans="4:17" s="11" customFormat="1" ht="6.75" thickBot="1">
      <c r="D10" s="12"/>
      <c r="E10" s="12"/>
      <c r="F10" s="13"/>
      <c r="G10" s="14"/>
      <c r="H10" s="14"/>
      <c r="I10" s="80"/>
      <c r="J10" s="14"/>
      <c r="K10" s="15"/>
      <c r="L10" s="15"/>
      <c r="M10" s="15"/>
      <c r="N10" s="16"/>
      <c r="O10" s="17"/>
      <c r="P10" s="18"/>
      <c r="Q10" s="1621"/>
    </row>
    <row r="11" spans="4:17" s="21" customFormat="1" ht="18">
      <c r="D11" s="22"/>
      <c r="E11" s="22"/>
      <c r="F11" s="1431" t="s">
        <v>5</v>
      </c>
      <c r="G11" s="2104" t="s">
        <v>14016</v>
      </c>
      <c r="H11" s="2104"/>
      <c r="I11" s="2104"/>
      <c r="J11" s="2104"/>
      <c r="K11" s="2104"/>
      <c r="L11" s="2104"/>
      <c r="M11" s="1478" t="s">
        <v>6</v>
      </c>
      <c r="N11" s="1479">
        <v>45366</v>
      </c>
      <c r="O11" s="25"/>
      <c r="Q11" s="1620"/>
    </row>
    <row r="12" spans="4:17" s="21" customFormat="1" ht="18">
      <c r="D12" s="22"/>
      <c r="E12" s="22"/>
      <c r="F12" s="358" t="s">
        <v>7</v>
      </c>
      <c r="G12" s="2124" t="s">
        <v>14017</v>
      </c>
      <c r="H12" s="2124"/>
      <c r="I12" s="2124"/>
      <c r="J12" s="2124"/>
      <c r="K12" s="2127" t="s">
        <v>6434</v>
      </c>
      <c r="L12" s="2127"/>
      <c r="M12" s="2127"/>
      <c r="N12" s="211">
        <f>IF(M6=P4,'ENCARGOS SOCIAIS'!G48,'ENCARGOS SOCIAIS'!E48)</f>
        <v>1.0684</v>
      </c>
      <c r="O12" s="26"/>
      <c r="P12" s="24"/>
      <c r="Q12" s="1620"/>
    </row>
    <row r="13" spans="4:17" s="21" customFormat="1" ht="18.75" thickBot="1">
      <c r="D13" s="22"/>
      <c r="E13" s="22"/>
      <c r="F13" s="2096"/>
      <c r="G13" s="2097"/>
      <c r="H13" s="2097"/>
      <c r="I13" s="2097"/>
      <c r="J13" s="2097"/>
      <c r="K13" s="2095" t="s">
        <v>6435</v>
      </c>
      <c r="L13" s="2095"/>
      <c r="M13" s="2095"/>
      <c r="N13" s="211">
        <f>IF(M6=P4,'ENCARGOS SOCIAIS'!H48,'ENCARGOS SOCIAIS'!F48)</f>
        <v>0.65400000000000003</v>
      </c>
      <c r="O13" s="26"/>
      <c r="P13" s="24"/>
      <c r="Q13" s="1620"/>
    </row>
    <row r="14" spans="4:17" s="21" customFormat="1" ht="18.75" thickBot="1">
      <c r="D14" s="22"/>
      <c r="E14" s="22"/>
      <c r="F14" s="2107" t="s">
        <v>9</v>
      </c>
      <c r="G14" s="2108"/>
      <c r="H14" s="2108"/>
      <c r="I14" s="2108"/>
      <c r="J14" s="2108"/>
      <c r="K14" s="2108"/>
      <c r="L14" s="2108"/>
      <c r="M14" s="2108"/>
      <c r="N14" s="2109"/>
      <c r="O14" s="27"/>
      <c r="P14" s="24"/>
      <c r="Q14" s="1620"/>
    </row>
    <row r="15" spans="4:17" ht="30.75" thickBot="1">
      <c r="F15" s="28" t="s">
        <v>10</v>
      </c>
      <c r="G15" s="29" t="s">
        <v>11</v>
      </c>
      <c r="H15" s="29" t="s">
        <v>6886</v>
      </c>
      <c r="I15" s="29" t="s">
        <v>12</v>
      </c>
      <c r="J15" s="29" t="s">
        <v>13</v>
      </c>
      <c r="K15" s="30" t="s">
        <v>14</v>
      </c>
      <c r="L15" s="30" t="s">
        <v>15</v>
      </c>
      <c r="M15" s="30" t="s">
        <v>16</v>
      </c>
      <c r="N15" s="31" t="s">
        <v>17</v>
      </c>
      <c r="O15" s="32"/>
    </row>
    <row r="16" spans="4:17" s="33" customFormat="1" ht="6" thickBot="1">
      <c r="D16" s="34"/>
      <c r="E16" s="34"/>
      <c r="F16" s="35"/>
      <c r="G16" s="36"/>
      <c r="H16" s="36"/>
      <c r="I16" s="36"/>
      <c r="J16" s="36"/>
      <c r="K16" s="36"/>
      <c r="L16" s="129"/>
      <c r="M16" s="36"/>
      <c r="N16" s="37"/>
      <c r="O16" s="38"/>
      <c r="P16" s="39"/>
      <c r="Q16" s="1622"/>
    </row>
    <row r="17" spans="1:19" s="33" customFormat="1" ht="6" thickBot="1">
      <c r="D17" s="34"/>
      <c r="E17" s="34"/>
      <c r="F17" s="1648"/>
      <c r="G17" s="1649"/>
      <c r="H17" s="1649"/>
      <c r="I17" s="1650"/>
      <c r="J17" s="1649"/>
      <c r="K17" s="1651"/>
      <c r="L17" s="1651"/>
      <c r="M17" s="1651"/>
      <c r="N17" s="1652"/>
      <c r="O17" s="40"/>
      <c r="P17" s="39"/>
      <c r="Q17" s="1622"/>
    </row>
    <row r="18" spans="1:19" ht="18.75" thickBot="1">
      <c r="F18" s="2110" t="str">
        <f>G11</f>
        <v xml:space="preserve">ESCOLA MUNICIPAL DOMINGOS AZZOLINI </v>
      </c>
      <c r="G18" s="2111"/>
      <c r="H18" s="2111"/>
      <c r="I18" s="2111"/>
      <c r="J18" s="2111"/>
      <c r="K18" s="2111"/>
      <c r="L18" s="2111"/>
      <c r="M18" s="2112"/>
      <c r="N18" s="2113"/>
      <c r="O18" s="41"/>
      <c r="P18" s="5"/>
      <c r="Q18" s="1623"/>
    </row>
    <row r="19" spans="1:19" s="33" customFormat="1" ht="6" thickBot="1">
      <c r="D19" s="34"/>
      <c r="E19" s="34"/>
      <c r="F19" s="1653"/>
      <c r="G19" s="1654"/>
      <c r="H19" s="1654"/>
      <c r="I19" s="1655"/>
      <c r="J19" s="1654"/>
      <c r="K19" s="1656"/>
      <c r="L19" s="1656"/>
      <c r="M19" s="1656"/>
      <c r="N19" s="1657"/>
      <c r="O19" s="40"/>
      <c r="P19" s="39"/>
      <c r="Q19" s="1622"/>
    </row>
    <row r="20" spans="1:19" s="40" customFormat="1" ht="6" thickBot="1">
      <c r="D20" s="42"/>
      <c r="E20" s="42"/>
      <c r="F20" s="1501"/>
      <c r="G20" s="43"/>
      <c r="H20" s="43"/>
      <c r="I20" s="43"/>
      <c r="J20" s="43"/>
      <c r="K20" s="43"/>
      <c r="L20" s="130"/>
      <c r="M20" s="43"/>
      <c r="N20" s="1502"/>
      <c r="O20" s="44"/>
      <c r="Q20" s="1624"/>
    </row>
    <row r="21" spans="1:19" s="338" customFormat="1" ht="16.5" thickBot="1">
      <c r="A21" s="341">
        <f ca="1">IF(LEN(D21),OFFSET(A21,-1,0)+1,OFFSET(A21,-1,0))</f>
        <v>1</v>
      </c>
      <c r="B21" s="341">
        <f ca="1">IF(OR(C21=1,D21=1),SUMIF($A$21:A21,A21,$C$21:C21),"")</f>
        <v>0</v>
      </c>
      <c r="C21" s="341" t="str">
        <f>IF(G21&gt;0,1,"")</f>
        <v/>
      </c>
      <c r="D21" s="662">
        <f>IF(AND(CONCATENATE(G21,I21,J21,K21,L21,M21,N21)=I21&amp;N21,CONCATENATE(G21,I21,J21,K21,L21,M21,N21)&lt;&gt;"",N21&lt;&gt;""),1,"")</f>
        <v>1</v>
      </c>
      <c r="E21" s="662"/>
      <c r="F21" s="976" t="str">
        <f t="shared" ref="F21:F26" ca="1" si="0">IF(B21&lt;&gt;"",A21&amp;"."&amp;B21,"")</f>
        <v>1.0</v>
      </c>
      <c r="G21" s="133"/>
      <c r="H21" s="133"/>
      <c r="I21" s="134" t="s">
        <v>539</v>
      </c>
      <c r="J21" s="135"/>
      <c r="K21" s="136"/>
      <c r="L21" s="137"/>
      <c r="M21" s="137"/>
      <c r="N21" s="138">
        <f>SUM(N22)</f>
        <v>203996.41</v>
      </c>
      <c r="O21" s="337"/>
      <c r="P21" s="341"/>
      <c r="Q21" s="1625"/>
    </row>
    <row r="22" spans="1:19" s="341" customFormat="1" ht="16.5" thickBot="1">
      <c r="A22" s="341">
        <f t="shared" ref="A22:A38" ca="1" si="1">IF(LEN(D22),OFFSET(A22,-1,0)+1,OFFSET(A22,-1,0))</f>
        <v>1</v>
      </c>
      <c r="B22" s="341">
        <f ca="1">IF(OR(C22=1,D22=1),SUMIF($A$21:A22,A22,$C$21:C22),"")</f>
        <v>1</v>
      </c>
      <c r="C22" s="341">
        <f t="shared" ref="C22:C38" si="2">IF(G22&gt;0,1,"")</f>
        <v>1</v>
      </c>
      <c r="D22" s="662" t="str">
        <f t="shared" ref="D22:D38" si="3">IF(AND(CONCATENATE(G22,I22,J22,K22,L22,M22,N22)=I22&amp;N22,CONCATENATE(G22,I22,J22,K22,L22,M22,N22)&lt;&gt;"",N22&lt;&gt;""),1,"")</f>
        <v/>
      </c>
      <c r="E22" s="662"/>
      <c r="F22" s="749" t="str">
        <f t="shared" ca="1" si="0"/>
        <v>1.1</v>
      </c>
      <c r="G22" s="1104" t="str">
        <f>'COMPOSIÇÃO CIVIL'!$B$14</f>
        <v>CPU CIV 001</v>
      </c>
      <c r="H22" s="1104" t="str">
        <f>IF(G22&gt;="CPU","PRÓPRIO","SINAPI")</f>
        <v>PRÓPRIO</v>
      </c>
      <c r="I22" s="1103" t="str">
        <f>VLOOKUP($G22,IF(LEFT($G22,3)="CPU",COMPOSIÇÕES!$B$1:$E$4198,'BANCO DE DADOS JANEIRO-24 SERV'!$B$2:$F$7195),2,FALSE)</f>
        <v>ADMINISTRAÇÃO LOCAL</v>
      </c>
      <c r="J22" s="1104" t="str">
        <f>VLOOKUP($G22,IF(LEFT($G22,3)="CPU",COMPOSIÇÕES!$B$1:$E$4198,'BANCO DE DADOS JANEIRO-24 SERV'!$B$2:$F$7195),3,FALSE)</f>
        <v>UN</v>
      </c>
      <c r="K22" s="1503">
        <v>1</v>
      </c>
      <c r="L22" s="1378">
        <f>VLOOKUP($G22,IF(LEFT($G22,3)="CPU",COMPOSIÇÕES!$B$1:$E$4198,'BANCO DE DADOS JANEIRO-24 SERV'!$B$2:$F$7195),4,FALSE)</f>
        <v>164248.32000000001</v>
      </c>
      <c r="M22" s="1378">
        <f>IF($Q$2="OUTROS",TRUNC(L22*(1+$N$7),2),ROUND(L22*(1+$N$7),2))</f>
        <v>203996.41</v>
      </c>
      <c r="N22" s="1504">
        <f>IF($Q$2="OUTROS",TRUNC(M22*K22,2),ROUND(M22*K22,2))</f>
        <v>203996.41</v>
      </c>
      <c r="O22" s="337"/>
      <c r="P22" s="776" t="str">
        <f>'COMPOSIÇÃO CIVIL'!H25</f>
        <v>MESTRE DE OBRAS COM ENCARGOS COMPLEMENTARES: 4HR*5DIAS*4SEMANAS*12MESES ENGENHEIRO CIVIL DE OBRA JUNIOR COM ENCARGOS COMPLEMENTARES: 2HR*2DIAS*4SEMANAS*3MESES</v>
      </c>
      <c r="Q22" s="337" t="str">
        <f ca="1">F22</f>
        <v>1.1</v>
      </c>
      <c r="R22" s="337"/>
      <c r="S22" s="340"/>
    </row>
    <row r="23" spans="1:19" s="344" customFormat="1" ht="17.25" customHeight="1" thickBot="1">
      <c r="A23" s="341">
        <f t="shared" ca="1" si="1"/>
        <v>1</v>
      </c>
      <c r="B23" s="341" t="str">
        <f>IF(OR(C23=1,D23=1),SUMIF($A$21:A23,A23,$C$21:C23),"")</f>
        <v/>
      </c>
      <c r="C23" s="341" t="str">
        <f t="shared" si="2"/>
        <v/>
      </c>
      <c r="D23" s="662" t="str">
        <f t="shared" si="3"/>
        <v/>
      </c>
      <c r="E23" s="662"/>
      <c r="F23" s="240" t="str">
        <f t="shared" si="0"/>
        <v/>
      </c>
      <c r="G23" s="139"/>
      <c r="H23" s="139"/>
      <c r="I23" s="139"/>
      <c r="J23" s="139"/>
      <c r="K23" s="139"/>
      <c r="L23" s="140"/>
      <c r="M23" s="139"/>
      <c r="N23" s="241"/>
      <c r="O23" s="343"/>
      <c r="Q23" s="1626"/>
    </row>
    <row r="24" spans="1:19" s="338" customFormat="1" ht="16.5" thickBot="1">
      <c r="A24" s="341">
        <f t="shared" ca="1" si="1"/>
        <v>2</v>
      </c>
      <c r="B24" s="341">
        <f ca="1">IF(OR(C24=1,D24=1),SUMIF($A$21:A24,A24,$C$21:C24),"")</f>
        <v>0</v>
      </c>
      <c r="C24" s="341" t="str">
        <f t="shared" si="2"/>
        <v/>
      </c>
      <c r="D24" s="662">
        <f t="shared" si="3"/>
        <v>1</v>
      </c>
      <c r="E24" s="662"/>
      <c r="F24" s="132" t="str">
        <f t="shared" ca="1" si="0"/>
        <v>2.0</v>
      </c>
      <c r="G24" s="133"/>
      <c r="H24" s="133"/>
      <c r="I24" s="134" t="s">
        <v>398</v>
      </c>
      <c r="J24" s="135"/>
      <c r="K24" s="136"/>
      <c r="L24" s="137"/>
      <c r="M24" s="137"/>
      <c r="N24" s="138">
        <f>SUM(N25:N26)</f>
        <v>8122.8899999999994</v>
      </c>
      <c r="O24" s="337"/>
      <c r="P24" s="341"/>
      <c r="Q24" s="1625"/>
    </row>
    <row r="25" spans="1:19" s="341" customFormat="1" ht="30.75" thickBot="1">
      <c r="A25" s="341">
        <f ca="1">IF(LEN(D25),OFFSET(A25,-1,0)+1,OFFSET(A25,-1,0))</f>
        <v>2</v>
      </c>
      <c r="B25" s="341">
        <f ca="1">IF(OR(C25=1,D25=1),SUMIF($A$21:A25,A25,$C$21:C25),"")</f>
        <v>1</v>
      </c>
      <c r="C25" s="341">
        <f>IF(G25&gt;0,1,"")</f>
        <v>1</v>
      </c>
      <c r="D25" s="662" t="str">
        <f>IF(AND(CONCATENATE(G25,I25,J25,K25,L25,M25,N25)=I25&amp;N25,CONCATENATE(G25,I25,J25,K25,L25,M25,N25)&lt;&gt;"",N25&lt;&gt;""),1,"")</f>
        <v/>
      </c>
      <c r="E25" s="662"/>
      <c r="F25" s="1215" t="str">
        <f ca="1">IF(B25&lt;&gt;"",A25&amp;"."&amp;B25,"")</f>
        <v>2.1</v>
      </c>
      <c r="G25" s="1215">
        <v>103689</v>
      </c>
      <c r="H25" s="1099" t="str">
        <f>IF(G25&gt;="CPU","PRÓPRIO","SINAPI")</f>
        <v>SINAPI</v>
      </c>
      <c r="I25" s="1222" t="str">
        <f>VLOOKUP($G25,IF(LEFT($G25,3)="CPU",COMPOSIÇÕES!$B$1:$E$4198,'BANCO DE DADOS JANEIRO-24 SERV'!$B$2:$F$7195),2,FALSE)</f>
        <v>FORNECIMENTO E INSTALAÇÃO DE PLACA DE OBRA COM CHAPA GALVANIZADA E ESTRUTURA DE MADEIRA. AF_03/2022_PS</v>
      </c>
      <c r="J25" s="1215" t="str">
        <f>VLOOKUP($G25,IF(LEFT($G25,3)="CPU",COMPOSIÇÕES!$B$1:$E$4198,'BANCO DE DADOS JANEIRO-24 SERV'!$B$2:$F$7195),3,FALSE)</f>
        <v>M2</v>
      </c>
      <c r="K25" s="1488">
        <f>5*2.5</f>
        <v>12.5</v>
      </c>
      <c r="L25" s="1489">
        <f>VLOOKUP($G25,IF(LEFT($G25,3)="CPU",COMPOSIÇÕES!$B$1:$E$4198,'BANCO DE DADOS JANEIRO-24 SERV'!$B$2:$F$7195),4,FALSE)</f>
        <v>312.57</v>
      </c>
      <c r="M25" s="1489">
        <f>IF($Q$2="OUTROS",TRUNC(L25*(1+$N$7),2),ROUND(L25*(1+$N$7),2))</f>
        <v>388.21</v>
      </c>
      <c r="N25" s="1633">
        <f>IF($Q$2="OUTROS",TRUNC(M25*K25,2),ROUND(M25*K25,2))</f>
        <v>4852.62</v>
      </c>
      <c r="O25" s="337"/>
      <c r="P25" s="776" t="s">
        <v>8146</v>
      </c>
      <c r="Q25" s="337" t="str">
        <f ca="1">F25</f>
        <v>2.1</v>
      </c>
      <c r="S25" s="340"/>
    </row>
    <row r="26" spans="1:19" s="341" customFormat="1" ht="30.75" thickBot="1">
      <c r="A26" s="341">
        <f t="shared" ca="1" si="1"/>
        <v>2</v>
      </c>
      <c r="B26" s="341">
        <f ca="1">IF(OR(C26=1,D26=1),SUMIF($A$21:A26,A26,$C$21:C26),"")</f>
        <v>2</v>
      </c>
      <c r="C26" s="341">
        <f t="shared" si="2"/>
        <v>1</v>
      </c>
      <c r="D26" s="662" t="str">
        <f t="shared" si="3"/>
        <v/>
      </c>
      <c r="E26" s="662"/>
      <c r="F26" s="1491" t="str">
        <f t="shared" ca="1" si="0"/>
        <v>2.2</v>
      </c>
      <c r="G26" s="1492">
        <v>99059</v>
      </c>
      <c r="H26" s="1099" t="str">
        <f>IF(G26&gt;="CPU","PRÓPRIO","SINAPI")</f>
        <v>SINAPI</v>
      </c>
      <c r="I26" s="1493" t="str">
        <f>VLOOKUP($G26,IF(LEFT($G26,3)="CPU",COMPOSIÇÕES!$B$1:$E$4198,'BANCO DE DADOS JANEIRO-24 SERV'!$B$2:$F$7195),2,FALSE)</f>
        <v>LOCACAO CONVENCIONAL DE OBRA, UTILIZANDO GABARITO DE TÁBUAS CORRIDAS PONTALETADAS A CADA 2,00M -  2 UTILIZAÇÕES. AF_10/2018</v>
      </c>
      <c r="J26" s="1492" t="str">
        <f>VLOOKUP($G26,IF(LEFT($G26,3)="CPU",COMPOSIÇÕES!$B$1:$E$4198,'BANCO DE DADOS JANEIRO-24 SERV'!$B$2:$F$7195),3,FALSE)</f>
        <v>M</v>
      </c>
      <c r="K26" s="1488">
        <v>47.54</v>
      </c>
      <c r="L26" s="1494">
        <f>VLOOKUP($G26,IF(LEFT($G26,3)="CPU",COMPOSIÇÕES!$B$1:$E$4198,'BANCO DE DADOS JANEIRO-24 SERV'!$B$2:$F$7195),4,FALSE)</f>
        <v>55.39</v>
      </c>
      <c r="M26" s="1494">
        <f>IF($Q$2="OUTROS",TRUNC(L26*(1+$N$7),2),ROUND(L26*(1+$N$7),2))</f>
        <v>68.790000000000006</v>
      </c>
      <c r="N26" s="1495">
        <f>IF($Q$2="OUTROS",TRUNC(M26*K26,2),ROUND(M26*K26,2))</f>
        <v>3270.27</v>
      </c>
      <c r="O26" s="337"/>
      <c r="P26" s="776" t="s">
        <v>14113</v>
      </c>
      <c r="Q26" s="337" t="str">
        <f ca="1">F26</f>
        <v>2.2</v>
      </c>
      <c r="S26" s="340"/>
    </row>
    <row r="27" spans="1:19" s="344" customFormat="1" ht="16.5" thickBot="1">
      <c r="A27" s="341">
        <f t="shared" ca="1" si="1"/>
        <v>2</v>
      </c>
      <c r="B27" s="341" t="str">
        <f>IF(OR(C27=1,D27=1),SUMIF($A$21:A27,A27,$C$21:C27),"")</f>
        <v/>
      </c>
      <c r="C27" s="341" t="str">
        <f t="shared" si="2"/>
        <v/>
      </c>
      <c r="D27" s="662" t="str">
        <f t="shared" si="3"/>
        <v/>
      </c>
      <c r="E27" s="662"/>
      <c r="F27" s="240" t="str">
        <f t="shared" ref="F27:F39" si="4">IF(B27&lt;&gt;"",A27&amp;"."&amp;B27,"")</f>
        <v/>
      </c>
      <c r="G27" s="139"/>
      <c r="H27" s="139"/>
      <c r="I27" s="139"/>
      <c r="J27" s="139"/>
      <c r="K27" s="139"/>
      <c r="L27" s="140"/>
      <c r="M27" s="139"/>
      <c r="N27" s="241"/>
      <c r="O27" s="343"/>
      <c r="Q27" s="1626"/>
    </row>
    <row r="28" spans="1:19" s="338" customFormat="1" ht="16.5" thickBot="1">
      <c r="A28" s="341">
        <f t="shared" ca="1" si="1"/>
        <v>3</v>
      </c>
      <c r="B28" s="341">
        <f ca="1">IF(OR(C28=1,D28=1),SUMIF($A$21:A28,A28,$C$21:C28),"")</f>
        <v>0</v>
      </c>
      <c r="C28" s="341" t="str">
        <f t="shared" si="2"/>
        <v/>
      </c>
      <c r="D28" s="662">
        <f t="shared" si="3"/>
        <v>1</v>
      </c>
      <c r="E28" s="662"/>
      <c r="F28" s="976" t="str">
        <f t="shared" ca="1" si="4"/>
        <v>3.0</v>
      </c>
      <c r="G28" s="1462"/>
      <c r="H28" s="1462"/>
      <c r="I28" s="1463" t="s">
        <v>5570</v>
      </c>
      <c r="J28" s="1464"/>
      <c r="K28" s="1465"/>
      <c r="L28" s="1466"/>
      <c r="M28" s="1466"/>
      <c r="N28" s="1467">
        <f>SUM(N29:N38)</f>
        <v>63199.950000000004</v>
      </c>
      <c r="O28" s="1370"/>
      <c r="P28" s="341"/>
      <c r="Q28" s="1625"/>
    </row>
    <row r="29" spans="1:19" s="341" customFormat="1" ht="30.75" thickBot="1">
      <c r="A29" s="341">
        <f t="shared" ca="1" si="1"/>
        <v>3</v>
      </c>
      <c r="B29" s="341">
        <f ca="1">IF(OR(C29=1,D29=1),SUMIF($A$21:A29,A29,$C$21:C29),"")</f>
        <v>1</v>
      </c>
      <c r="C29" s="341">
        <f t="shared" si="2"/>
        <v>1</v>
      </c>
      <c r="D29" s="662" t="str">
        <f t="shared" si="3"/>
        <v/>
      </c>
      <c r="E29" s="662"/>
      <c r="F29" s="1486" t="str">
        <f t="shared" ca="1" si="4"/>
        <v>3.1</v>
      </c>
      <c r="G29" s="1492">
        <v>97647</v>
      </c>
      <c r="H29" s="1099" t="str">
        <f t="shared" ref="H29:H38" si="5">IF(G29&gt;="CPU","PRÓPRIO","SINAPI")</f>
        <v>SINAPI</v>
      </c>
      <c r="I29" s="1222" t="str">
        <f>VLOOKUP($G29,IF(LEFT($G29,3)="CPU",COMPOSIÇÕES!$B$1:$E$4198,'BANCO DE DADOS JANEIRO-24 SERV'!$B$2:$F$7195),2,FALSE)</f>
        <v>REMOÇÃO DE TELHAS DE FIBROCIMENTO METÁLICA E CERÂMICA, DE FORMA MANUAL, SEM REAPROVEITAMENTO. AF_09/2023</v>
      </c>
      <c r="J29" s="1215" t="str">
        <f>VLOOKUP($G29,IF(LEFT($G29,3)="CPU",COMPOSIÇÕES!$B$1:$E$4198,'BANCO DE DADOS JANEIRO-24 SERV'!$B$2:$F$7195),3,FALSE)</f>
        <v>M2</v>
      </c>
      <c r="K29" s="1488">
        <v>2610.0100000000002</v>
      </c>
      <c r="L29" s="1489">
        <f>VLOOKUP($G29,IF(LEFT($G29,3)="CPU",COMPOSIÇÕES!$B$1:$E$4198,'BANCO DE DADOS JANEIRO-24 SERV'!$B$2:$F$7195),4,FALSE)</f>
        <v>3.36</v>
      </c>
      <c r="M29" s="1487">
        <f t="shared" ref="M29:M38" si="6">IF($Q$2="OUTROS",TRUNC(L29*(1+$N$7),2),ROUND(L29*(1+$N$7),2))</f>
        <v>4.17</v>
      </c>
      <c r="N29" s="1496">
        <f t="shared" ref="N29:N38" si="7">IF($Q$2="OUTROS",TRUNC(M29*K29,2),ROUND(M29*K29,2))</f>
        <v>10883.74</v>
      </c>
      <c r="O29" s="1370"/>
      <c r="P29" s="1497" t="s">
        <v>14115</v>
      </c>
      <c r="Q29" s="1370" t="str">
        <f t="shared" ref="Q29:Q38" ca="1" si="8">F29</f>
        <v>3.1</v>
      </c>
      <c r="S29" s="340"/>
    </row>
    <row r="30" spans="1:19" s="341" customFormat="1" ht="30.75" thickBot="1">
      <c r="A30" s="341">
        <f t="shared" ca="1" si="1"/>
        <v>3</v>
      </c>
      <c r="B30" s="341">
        <f ca="1">IF(OR(C30=1,D30=1),SUMIF($A$21:A30,A30,$C$21:C30),"")</f>
        <v>2</v>
      </c>
      <c r="C30" s="341">
        <f t="shared" si="2"/>
        <v>1</v>
      </c>
      <c r="D30" s="662" t="str">
        <f t="shared" si="3"/>
        <v/>
      </c>
      <c r="E30" s="662"/>
      <c r="F30" s="1303" t="str">
        <f t="shared" ca="1" si="4"/>
        <v>3.2</v>
      </c>
      <c r="G30" s="1492">
        <v>97652</v>
      </c>
      <c r="H30" s="1099" t="str">
        <f t="shared" si="5"/>
        <v>SINAPI</v>
      </c>
      <c r="I30" s="1222" t="str">
        <f>VLOOKUP($G30,IF(LEFT($G30,3)="CPU",COMPOSIÇÕES!$B$1:$E$4198,'BANCO DE DADOS JANEIRO-24 SERV'!$B$2:$F$7195),2,FALSE)</f>
        <v>REMOÇÃO DE TESOURAS DE MADEIRA, COM VÃO MAIOR OU IGUAL A 8M, DE FORMA MANUAL, SEM REAPROVEITAMENTO. AF_09/2023</v>
      </c>
      <c r="J30" s="1215" t="str">
        <f>VLOOKUP($G30,IF(LEFT($G30,3)="CPU",COMPOSIÇÕES!$B$1:$E$4198,'BANCO DE DADOS JANEIRO-24 SERV'!$B$2:$F$7195),3,FALSE)</f>
        <v>UN</v>
      </c>
      <c r="K30" s="1488">
        <v>74</v>
      </c>
      <c r="L30" s="1489">
        <f>VLOOKUP($G30,IF(LEFT($G30,3)="CPU",COMPOSIÇÕES!$B$1:$E$4198,'BANCO DE DADOS JANEIRO-24 SERV'!$B$2:$F$7195),4,FALSE)</f>
        <v>178.91</v>
      </c>
      <c r="M30" s="1489">
        <f t="shared" si="6"/>
        <v>222.2</v>
      </c>
      <c r="N30" s="1498">
        <f t="shared" si="7"/>
        <v>16442.8</v>
      </c>
      <c r="O30" s="1370"/>
      <c r="P30" s="1497" t="s">
        <v>14115</v>
      </c>
      <c r="Q30" s="1370" t="str">
        <f t="shared" ca="1" si="8"/>
        <v>3.2</v>
      </c>
      <c r="S30" s="340"/>
    </row>
    <row r="31" spans="1:19" s="341" customFormat="1" ht="30.75" thickBot="1">
      <c r="A31" s="341">
        <f t="shared" ca="1" si="1"/>
        <v>3</v>
      </c>
      <c r="B31" s="341">
        <f ca="1">IF(OR(C31=1,D31=1),SUMIF($A$21:A31,A31,$C$21:C31),"")</f>
        <v>3</v>
      </c>
      <c r="C31" s="341">
        <f t="shared" si="2"/>
        <v>1</v>
      </c>
      <c r="D31" s="662" t="str">
        <f t="shared" si="3"/>
        <v/>
      </c>
      <c r="E31" s="662"/>
      <c r="F31" s="1303" t="str">
        <f t="shared" ca="1" si="4"/>
        <v>3.3</v>
      </c>
      <c r="G31" s="1492">
        <v>97656</v>
      </c>
      <c r="H31" s="1099" t="str">
        <f t="shared" si="5"/>
        <v>SINAPI</v>
      </c>
      <c r="I31" s="1222" t="str">
        <f>VLOOKUP($G31,IF(LEFT($G31,3)="CPU",COMPOSIÇÕES!$B$1:$E$4198,'BANCO DE DADOS JANEIRO-24 SERV'!$B$2:$F$7195),2,FALSE)</f>
        <v>REMOÇÃO DE TESOURAS METÁLICAS, COM VÃO MENOR QUE 8M, DE FORMA MANUAL, SEM REAPROVEITAMENTO. AF_09/2023</v>
      </c>
      <c r="J31" s="1215" t="str">
        <f>VLOOKUP($G31,IF(LEFT($G31,3)="CPU",COMPOSIÇÕES!$B$1:$E$4198,'BANCO DE DADOS JANEIRO-24 SERV'!$B$2:$F$7195),3,FALSE)</f>
        <v>UN</v>
      </c>
      <c r="K31" s="1488">
        <v>25</v>
      </c>
      <c r="L31" s="1489">
        <f>VLOOKUP($G31,IF(LEFT($G31,3)="CPU",COMPOSIÇÕES!$B$1:$E$4198,'BANCO DE DADOS JANEIRO-24 SERV'!$B$2:$F$7195),4,FALSE)</f>
        <v>370.41</v>
      </c>
      <c r="M31" s="1489">
        <f t="shared" si="6"/>
        <v>460.04</v>
      </c>
      <c r="N31" s="1498">
        <f t="shared" si="7"/>
        <v>11501</v>
      </c>
      <c r="O31" s="1370"/>
      <c r="P31" s="1497" t="s">
        <v>14115</v>
      </c>
      <c r="Q31" s="1370" t="str">
        <f t="shared" ca="1" si="8"/>
        <v>3.3</v>
      </c>
      <c r="S31" s="340"/>
    </row>
    <row r="32" spans="1:19" s="341" customFormat="1" ht="30.75" thickBot="1">
      <c r="A32" s="341">
        <f t="shared" ca="1" si="1"/>
        <v>3</v>
      </c>
      <c r="B32" s="341">
        <f ca="1">IF(OR(C32=1,D32=1),SUMIF($A$21:A32,A32,$C$21:C32),"")</f>
        <v>4</v>
      </c>
      <c r="C32" s="341">
        <f t="shared" si="2"/>
        <v>1</v>
      </c>
      <c r="D32" s="662" t="str">
        <f t="shared" si="3"/>
        <v/>
      </c>
      <c r="E32" s="662"/>
      <c r="F32" s="1303" t="str">
        <f t="shared" ca="1" si="4"/>
        <v>3.4</v>
      </c>
      <c r="G32" s="1492">
        <v>97660</v>
      </c>
      <c r="H32" s="1099" t="str">
        <f t="shared" si="5"/>
        <v>SINAPI</v>
      </c>
      <c r="I32" s="1222" t="str">
        <f>VLOOKUP($G32,IF(LEFT($G32,3)="CPU",COMPOSIÇÕES!$B$1:$E$4198,'BANCO DE DADOS JANEIRO-24 SERV'!$B$2:$F$7195),2,FALSE)</f>
        <v>REMOÇÃO DE INTERRUPTORES/TOMADAS ELÉTRICAS, DE FORMA MANUAL, SEM REAPROVEITAMENTO. AF_09/2023</v>
      </c>
      <c r="J32" s="1215" t="str">
        <f>VLOOKUP($G32,IF(LEFT($G32,3)="CPU",COMPOSIÇÕES!$B$1:$E$4198,'BANCO DE DADOS JANEIRO-24 SERV'!$B$2:$F$7195),3,FALSE)</f>
        <v>UN</v>
      </c>
      <c r="K32" s="1488">
        <v>217</v>
      </c>
      <c r="L32" s="1489">
        <f>VLOOKUP($G32,IF(LEFT($G32,3)="CPU",COMPOSIÇÕES!$B$1:$E$4198,'BANCO DE DADOS JANEIRO-24 SERV'!$B$2:$F$7195),4,FALSE)</f>
        <v>0.63</v>
      </c>
      <c r="M32" s="1489">
        <f t="shared" si="6"/>
        <v>0.78</v>
      </c>
      <c r="N32" s="1498">
        <f t="shared" si="7"/>
        <v>169.26</v>
      </c>
      <c r="O32" s="1370"/>
      <c r="P32" s="1497" t="s">
        <v>14114</v>
      </c>
      <c r="Q32" s="1370" t="str">
        <f t="shared" ca="1" si="8"/>
        <v>3.4</v>
      </c>
      <c r="S32" s="340"/>
    </row>
    <row r="33" spans="1:19" s="341" customFormat="1" ht="30.75" thickBot="1">
      <c r="A33" s="341">
        <f t="shared" ca="1" si="1"/>
        <v>3</v>
      </c>
      <c r="B33" s="341">
        <f ca="1">IF(OR(C33=1,D33=1),SUMIF($A$21:A33,A33,$C$21:C33),"")</f>
        <v>5</v>
      </c>
      <c r="C33" s="341">
        <f t="shared" si="2"/>
        <v>1</v>
      </c>
      <c r="D33" s="662" t="str">
        <f t="shared" si="3"/>
        <v/>
      </c>
      <c r="E33" s="662"/>
      <c r="F33" s="1303" t="str">
        <f t="shared" ca="1" si="4"/>
        <v>3.5</v>
      </c>
      <c r="G33" s="1492">
        <v>97661</v>
      </c>
      <c r="H33" s="1099" t="str">
        <f t="shared" si="5"/>
        <v>SINAPI</v>
      </c>
      <c r="I33" s="1222" t="str">
        <f>VLOOKUP($G33,IF(LEFT($G33,3)="CPU",COMPOSIÇÕES!$B$1:$E$4198,'BANCO DE DADOS JANEIRO-24 SERV'!$B$2:$F$7195),2,FALSE)</f>
        <v>REMOÇÃO DE CABOS ELÉTRICOS, COM SEÇÃO DE 10 MM², FORMA MANUAL, SEM REAPROVEITAMENTO. AF_09/2023</v>
      </c>
      <c r="J33" s="1215" t="str">
        <f>VLOOKUP($G33,IF(LEFT($G33,3)="CPU",COMPOSIÇÕES!$B$1:$E$4198,'BANCO DE DADOS JANEIRO-24 SERV'!$B$2:$F$7195),3,FALSE)</f>
        <v>M</v>
      </c>
      <c r="K33" s="1488">
        <v>8488.64</v>
      </c>
      <c r="L33" s="1489">
        <f>VLOOKUP($G33,IF(LEFT($G33,3)="CPU",COMPOSIÇÕES!$B$1:$E$4198,'BANCO DE DADOS JANEIRO-24 SERV'!$B$2:$F$7195),4,FALSE)</f>
        <v>0.67</v>
      </c>
      <c r="M33" s="1489">
        <f t="shared" si="6"/>
        <v>0.83</v>
      </c>
      <c r="N33" s="1498">
        <f t="shared" si="7"/>
        <v>7045.57</v>
      </c>
      <c r="O33" s="1370"/>
      <c r="P33" s="1497" t="s">
        <v>14114</v>
      </c>
      <c r="Q33" s="1370" t="str">
        <f t="shared" ca="1" si="8"/>
        <v>3.5</v>
      </c>
      <c r="S33" s="340"/>
    </row>
    <row r="34" spans="1:19" s="341" customFormat="1" ht="30.75" thickBot="1">
      <c r="A34" s="341">
        <f t="shared" ca="1" si="1"/>
        <v>3</v>
      </c>
      <c r="B34" s="341">
        <f ca="1">IF(OR(C34=1,D34=1),SUMIF($A$21:A34,A34,$C$21:C34),"")</f>
        <v>6</v>
      </c>
      <c r="C34" s="341">
        <f t="shared" si="2"/>
        <v>1</v>
      </c>
      <c r="D34" s="662" t="str">
        <f t="shared" si="3"/>
        <v/>
      </c>
      <c r="E34" s="662"/>
      <c r="F34" s="1303" t="str">
        <f t="shared" ca="1" si="4"/>
        <v>3.6</v>
      </c>
      <c r="G34" s="1492">
        <v>97665</v>
      </c>
      <c r="H34" s="1099" t="str">
        <f t="shared" si="5"/>
        <v>SINAPI</v>
      </c>
      <c r="I34" s="1222" t="str">
        <f>VLOOKUP($G34,IF(LEFT($G34,3)="CPU",COMPOSIÇÕES!$B$1:$E$4198,'BANCO DE DADOS JANEIRO-24 SERV'!$B$2:$F$7195),2,FALSE)</f>
        <v>REMOÇÃO DE LUMINÁRIAS, DE FORMA MANUAL, SEM REAPROVEITAMENTO. AF_09/2023</v>
      </c>
      <c r="J34" s="1215" t="str">
        <f>VLOOKUP($G34,IF(LEFT($G34,3)="CPU",COMPOSIÇÕES!$B$1:$E$4198,'BANCO DE DADOS JANEIRO-24 SERV'!$B$2:$F$7195),3,FALSE)</f>
        <v>UN</v>
      </c>
      <c r="K34" s="1488">
        <v>153</v>
      </c>
      <c r="L34" s="1489">
        <f>VLOOKUP($G34,IF(LEFT($G34,3)="CPU",COMPOSIÇÕES!$B$1:$E$4198,'BANCO DE DADOS JANEIRO-24 SERV'!$B$2:$F$7195),4,FALSE)</f>
        <v>1.71</v>
      </c>
      <c r="M34" s="1489">
        <f t="shared" si="6"/>
        <v>2.12</v>
      </c>
      <c r="N34" s="1498">
        <f t="shared" si="7"/>
        <v>324.36</v>
      </c>
      <c r="O34" s="1370"/>
      <c r="P34" s="1497" t="s">
        <v>14114</v>
      </c>
      <c r="Q34" s="1370" t="str">
        <f t="shared" ca="1" si="8"/>
        <v>3.6</v>
      </c>
      <c r="S34" s="340"/>
    </row>
    <row r="35" spans="1:19" s="341" customFormat="1" ht="16.5" thickBot="1">
      <c r="A35" s="341">
        <f t="shared" ca="1" si="1"/>
        <v>3</v>
      </c>
      <c r="B35" s="341">
        <f ca="1">IF(OR(C35=1,D35=1),SUMIF($A$21:A35,A35,$C$21:C35),"")</f>
        <v>7</v>
      </c>
      <c r="C35" s="341">
        <f t="shared" si="2"/>
        <v>1</v>
      </c>
      <c r="D35" s="662" t="str">
        <f t="shared" si="3"/>
        <v/>
      </c>
      <c r="E35" s="662"/>
      <c r="F35" s="1303" t="str">
        <f t="shared" ca="1" si="4"/>
        <v>3.7</v>
      </c>
      <c r="G35" s="1492" t="str">
        <f>'COMPOSIÇÃO CIVIL'!B54</f>
        <v>CPU CIV 003</v>
      </c>
      <c r="H35" s="1099" t="str">
        <f t="shared" si="5"/>
        <v>PRÓPRIO</v>
      </c>
      <c r="I35" s="1222" t="str">
        <f>VLOOKUP($G35,IF(LEFT($G35,3)="CPU",COMPOSIÇÕES!$B$1:$E$4198,'BANCO DE DADOS JANEIRO-24 SERV'!$B$2:$F$7195),2,FALSE)</f>
        <v>REMOÇÃO DE ELETRODUTOS, DE FORMA MANUAL, SEM REAPROVEITAMENTO.</v>
      </c>
      <c r="J35" s="1215" t="str">
        <f>VLOOKUP($G35,IF(LEFT($G35,3)="CPU",COMPOSIÇÕES!$B$1:$E$4198,'BANCO DE DADOS JANEIRO-24 SERV'!$B$2:$F$7195),3,FALSE)</f>
        <v>M3</v>
      </c>
      <c r="K35" s="1488">
        <v>1917.2</v>
      </c>
      <c r="L35" s="1489">
        <f>VLOOKUP($G35,IF(LEFT($G35,3)="CPU",COMPOSIÇÕES!$B$1:$E$4198,'BANCO DE DADOS JANEIRO-24 SERV'!$B$2:$F$7195),4,FALSE)</f>
        <v>0.49</v>
      </c>
      <c r="M35" s="1489">
        <f t="shared" si="6"/>
        <v>0.6</v>
      </c>
      <c r="N35" s="1498">
        <f t="shared" si="7"/>
        <v>1150.32</v>
      </c>
      <c r="O35" s="1370"/>
      <c r="P35" s="1497" t="s">
        <v>14114</v>
      </c>
      <c r="Q35" s="1370" t="str">
        <f t="shared" ca="1" si="8"/>
        <v>3.7</v>
      </c>
      <c r="S35" s="340"/>
    </row>
    <row r="36" spans="1:19" s="341" customFormat="1" ht="30.75" thickBot="1">
      <c r="A36" s="341">
        <f t="shared" ca="1" si="1"/>
        <v>3</v>
      </c>
      <c r="B36" s="341">
        <f ca="1">IF(OR(C36=1,D36=1),SUMIF($A$21:A36,A36,$C$21:C36),"")</f>
        <v>8</v>
      </c>
      <c r="C36" s="341">
        <f t="shared" si="2"/>
        <v>1</v>
      </c>
      <c r="D36" s="662" t="str">
        <f t="shared" si="3"/>
        <v/>
      </c>
      <c r="E36" s="662"/>
      <c r="F36" s="1303" t="str">
        <f t="shared" ca="1" si="4"/>
        <v>3.8</v>
      </c>
      <c r="G36" s="1492">
        <v>97640</v>
      </c>
      <c r="H36" s="1099" t="str">
        <f t="shared" si="5"/>
        <v>SINAPI</v>
      </c>
      <c r="I36" s="1222" t="str">
        <f>VLOOKUP($G36,IF(LEFT($G36,3)="CPU",COMPOSIÇÕES!$B$1:$E$4198,'BANCO DE DADOS JANEIRO-24 SERV'!$B$2:$F$7195),2,FALSE)</f>
        <v>REMOÇÃO DE FORROS DE DRYWALL, PVC E FIBROMINERAL, DE FORMA MANUAL, SEM REAPROVEITAMENTO. AF_09/2023</v>
      </c>
      <c r="J36" s="1215" t="str">
        <f>VLOOKUP($G36,IF(LEFT($G36,3)="CPU",COMPOSIÇÕES!$B$1:$E$4198,'BANCO DE DADOS JANEIRO-24 SERV'!$B$2:$F$7195),3,FALSE)</f>
        <v>M2</v>
      </c>
      <c r="K36" s="1488">
        <v>2164.85</v>
      </c>
      <c r="L36" s="1489">
        <f>VLOOKUP($G36,IF(LEFT($G36,3)="CPU",COMPOSIÇÕES!$B$1:$E$4198,'BANCO DE DADOS JANEIRO-24 SERV'!$B$2:$F$7195),4,FALSE)</f>
        <v>1.82</v>
      </c>
      <c r="M36" s="1489">
        <f t="shared" si="6"/>
        <v>2.2599999999999998</v>
      </c>
      <c r="N36" s="1498">
        <f t="shared" si="7"/>
        <v>4892.5600000000004</v>
      </c>
      <c r="O36" s="1370"/>
      <c r="P36" s="1497" t="s">
        <v>14115</v>
      </c>
      <c r="Q36" s="1370" t="str">
        <f t="shared" ca="1" si="8"/>
        <v>3.8</v>
      </c>
      <c r="S36" s="340"/>
    </row>
    <row r="37" spans="1:19" s="341" customFormat="1" ht="30.75" thickBot="1">
      <c r="A37" s="341">
        <f t="shared" ca="1" si="1"/>
        <v>3</v>
      </c>
      <c r="B37" s="341">
        <f ca="1">IF(OR(C37=1,D37=1),SUMIF($A$21:A37,A37,$C$21:C37),"")</f>
        <v>9</v>
      </c>
      <c r="C37" s="341">
        <f t="shared" si="2"/>
        <v>1</v>
      </c>
      <c r="D37" s="662" t="str">
        <f t="shared" si="3"/>
        <v/>
      </c>
      <c r="E37" s="662"/>
      <c r="F37" s="1303" t="str">
        <f t="shared" ca="1" si="4"/>
        <v>3.9</v>
      </c>
      <c r="G37" s="1492">
        <v>97642</v>
      </c>
      <c r="H37" s="1099" t="str">
        <f t="shared" si="5"/>
        <v>SINAPI</v>
      </c>
      <c r="I37" s="1222" t="str">
        <f>VLOOKUP($G37,IF(LEFT($G37,3)="CPU",COMPOSIÇÕES!$B$1:$E$4198,'BANCO DE DADOS JANEIRO-24 SERV'!$B$2:$F$7195),2,FALSE)</f>
        <v>REMOÇÃO DE TRAMA METÁLICA OU DE MADEIRA PARA FORRO, DE FORMA MANUAL, SEM REAPROVEITAMENTO. AF_09/2023</v>
      </c>
      <c r="J37" s="1215" t="str">
        <f>VLOOKUP($G37,IF(LEFT($G37,3)="CPU",COMPOSIÇÕES!$B$1:$E$4198,'BANCO DE DADOS JANEIRO-24 SERV'!$B$2:$F$7195),3,FALSE)</f>
        <v>M2</v>
      </c>
      <c r="K37" s="1488">
        <v>2164.85</v>
      </c>
      <c r="L37" s="1489">
        <f>VLOOKUP($G37,IF(LEFT($G37,3)="CPU",COMPOSIÇÕES!$B$1:$E$4198,'BANCO DE DADOS JANEIRO-24 SERV'!$B$2:$F$7195),4,FALSE)</f>
        <v>2.61</v>
      </c>
      <c r="M37" s="1489">
        <f t="shared" si="6"/>
        <v>3.24</v>
      </c>
      <c r="N37" s="1498">
        <f t="shared" si="7"/>
        <v>7014.11</v>
      </c>
      <c r="O37" s="1370"/>
      <c r="P37" s="1497" t="s">
        <v>14115</v>
      </c>
      <c r="Q37" s="1370" t="str">
        <f t="shared" ca="1" si="8"/>
        <v>3.9</v>
      </c>
      <c r="S37" s="340"/>
    </row>
    <row r="38" spans="1:19" s="341" customFormat="1" ht="16.5" thickBot="1">
      <c r="A38" s="341">
        <f t="shared" ca="1" si="1"/>
        <v>3</v>
      </c>
      <c r="B38" s="341">
        <f ca="1">IF(OR(C38=1,D38=1),SUMIF($A$21:A38,A38,$C$21:C38),"")</f>
        <v>10</v>
      </c>
      <c r="C38" s="341">
        <f t="shared" si="2"/>
        <v>1</v>
      </c>
      <c r="D38" s="662" t="str">
        <f t="shared" si="3"/>
        <v/>
      </c>
      <c r="E38" s="662"/>
      <c r="F38" s="1303" t="str">
        <f t="shared" ca="1" si="4"/>
        <v>3.10</v>
      </c>
      <c r="G38" s="1492">
        <v>97645</v>
      </c>
      <c r="H38" s="1099" t="str">
        <f t="shared" si="5"/>
        <v>SINAPI</v>
      </c>
      <c r="I38" s="1222" t="str">
        <f>VLOOKUP($G38,IF(LEFT($G38,3)="CPU",COMPOSIÇÕES!$B$1:$E$4198,'BANCO DE DADOS JANEIRO-24 SERV'!$B$2:$F$7195),2,FALSE)</f>
        <v>REMOÇÃO DE JANELAS, DE FORMA MANUAL, SEM REAPROVEITAMENTO. AF_09/2023</v>
      </c>
      <c r="J38" s="1215" t="str">
        <f>VLOOKUP($G38,IF(LEFT($G38,3)="CPU",COMPOSIÇÕES!$B$1:$E$4198,'BANCO DE DADOS JANEIRO-24 SERV'!$B$2:$F$7195),3,FALSE)</f>
        <v>M2</v>
      </c>
      <c r="K38" s="1488">
        <v>130.44</v>
      </c>
      <c r="L38" s="1489">
        <f>VLOOKUP($G38,IF(LEFT($G38,3)="CPU",COMPOSIÇÕES!$B$1:$E$4198,'BANCO DE DADOS JANEIRO-24 SERV'!$B$2:$F$7195),4,FALSE)</f>
        <v>23.31</v>
      </c>
      <c r="M38" s="1489">
        <f t="shared" si="6"/>
        <v>28.95</v>
      </c>
      <c r="N38" s="1498">
        <f t="shared" si="7"/>
        <v>3776.23</v>
      </c>
      <c r="O38" s="1370"/>
      <c r="P38" s="776" t="s">
        <v>14122</v>
      </c>
      <c r="Q38" s="1370" t="str">
        <f t="shared" ca="1" si="8"/>
        <v>3.10</v>
      </c>
      <c r="S38" s="340"/>
    </row>
    <row r="39" spans="1:19" s="344" customFormat="1" ht="16.5" thickBot="1">
      <c r="A39" s="341">
        <f t="shared" ref="A39:A47" ca="1" si="9">IF(LEN(D39),OFFSET(A39,-1,0)+1,OFFSET(A39,-1,0))</f>
        <v>3</v>
      </c>
      <c r="B39" s="341" t="str">
        <f>IF(OR(C39=1,D39=1),SUMIF($A$21:A39,A39,$C$21:C39),"")</f>
        <v/>
      </c>
      <c r="C39" s="341" t="str">
        <f t="shared" ref="C39:C47" si="10">IF(G39&gt;0,1,"")</f>
        <v/>
      </c>
      <c r="D39" s="662" t="str">
        <f t="shared" ref="D39:D47" si="11">IF(AND(CONCATENATE(G39,I39,J39,K39,L39,M39,N39)=I39&amp;N39,CONCATENATE(G39,I39,J39,K39,L39,M39,N39)&lt;&gt;"",N39&lt;&gt;""),1,"")</f>
        <v/>
      </c>
      <c r="E39" s="662"/>
      <c r="F39" s="240" t="str">
        <f t="shared" si="4"/>
        <v/>
      </c>
      <c r="G39" s="139"/>
      <c r="H39" s="139"/>
      <c r="I39" s="139"/>
      <c r="J39" s="139"/>
      <c r="K39" s="139"/>
      <c r="L39" s="140"/>
      <c r="M39" s="139"/>
      <c r="N39" s="241"/>
      <c r="O39" s="343"/>
      <c r="Q39" s="1626"/>
    </row>
    <row r="40" spans="1:19" s="338" customFormat="1" ht="15.75">
      <c r="A40" s="341">
        <f t="shared" ca="1" si="9"/>
        <v>4</v>
      </c>
      <c r="B40" s="341">
        <f ca="1">IF(OR(C40=1,D40=1),SUMIF($A$21:A40,A40,$C$21:C40),"")</f>
        <v>0</v>
      </c>
      <c r="C40" s="341" t="str">
        <f t="shared" si="10"/>
        <v/>
      </c>
      <c r="D40" s="662">
        <f t="shared" si="11"/>
        <v>1</v>
      </c>
      <c r="E40" s="662"/>
      <c r="F40" s="150" t="str">
        <f t="shared" ref="F40:F63" ca="1" si="12">IF(B40&lt;&gt;"",A40&amp;"."&amp;B40,"")</f>
        <v>4.0</v>
      </c>
      <c r="G40" s="151"/>
      <c r="H40" s="151"/>
      <c r="I40" s="152" t="s">
        <v>155</v>
      </c>
      <c r="J40" s="153"/>
      <c r="K40" s="154"/>
      <c r="L40" s="155"/>
      <c r="M40" s="155"/>
      <c r="N40" s="574">
        <f>SUM(N42:N45)</f>
        <v>4610.12</v>
      </c>
      <c r="O40" s="337"/>
      <c r="P40" s="341"/>
      <c r="Q40" s="1625"/>
    </row>
    <row r="41" spans="1:19" s="341" customFormat="1" ht="16.5" thickBot="1">
      <c r="A41" s="341">
        <f t="shared" ca="1" si="9"/>
        <v>4</v>
      </c>
      <c r="B41" s="341" t="str">
        <f>IF(OR(C41=1,D41=1),SUMIF($A$21:A41,A41,$C$21:C41),"")</f>
        <v/>
      </c>
      <c r="C41" s="341" t="str">
        <f t="shared" si="10"/>
        <v/>
      </c>
      <c r="D41" s="662" t="str">
        <f t="shared" si="11"/>
        <v/>
      </c>
      <c r="E41" s="662"/>
      <c r="F41" s="655" t="str">
        <f t="shared" si="12"/>
        <v/>
      </c>
      <c r="G41" s="652"/>
      <c r="H41" s="652"/>
      <c r="I41" s="656" t="s">
        <v>1831</v>
      </c>
      <c r="J41" s="652"/>
      <c r="K41" s="657"/>
      <c r="L41" s="653"/>
      <c r="M41" s="653"/>
      <c r="N41" s="654"/>
      <c r="O41" s="337"/>
      <c r="P41" s="773"/>
      <c r="Q41" s="1627"/>
      <c r="S41" s="340"/>
    </row>
    <row r="42" spans="1:19" s="341" customFormat="1" ht="30.75" thickBot="1">
      <c r="A42" s="341">
        <f t="shared" ca="1" si="9"/>
        <v>4</v>
      </c>
      <c r="B42" s="341">
        <f ca="1">IF(OR(C42=1,D42=1),SUMIF($A$21:A42,A42,$C$21:C42),"")</f>
        <v>1</v>
      </c>
      <c r="C42" s="341">
        <f t="shared" si="10"/>
        <v>1</v>
      </c>
      <c r="D42" s="662" t="str">
        <f t="shared" si="11"/>
        <v/>
      </c>
      <c r="E42" s="662"/>
      <c r="F42" s="1099" t="str">
        <f t="shared" ca="1" si="12"/>
        <v>4.1</v>
      </c>
      <c r="G42" s="1099">
        <v>101616</v>
      </c>
      <c r="H42" s="1099" t="str">
        <f>IF(G42&gt;="CPU","PRÓPRIO","SINAPI")</f>
        <v>SINAPI</v>
      </c>
      <c r="I42" s="1098" t="str">
        <f>VLOOKUP($G42,IF(LEFT($G42,3)="CPU",COMPOSIÇÕES!$B$1:$E$4198,'BANCO DE DADOS JANEIRO-24 SERV'!$B$2:$F$7195),2,FALSE)</f>
        <v>PREPARO DE FUNDO DE VALA COM LARGURA MENOR QUE 1,5 M (ACERTO DO SOLO NATURAL). AF_08/2020</v>
      </c>
      <c r="J42" s="1099" t="str">
        <f>VLOOKUP($G42,IF(LEFT($G42,3)="CPU",COMPOSIÇÕES!$B$1:$E$4198,'BANCO DE DADOS JANEIRO-24 SERV'!$B$2:$F$7195),3,FALSE)</f>
        <v>M2</v>
      </c>
      <c r="K42" s="1099">
        <v>21.216999999999999</v>
      </c>
      <c r="L42" s="1190">
        <f>VLOOKUP($G42,IF(LEFT($G42,3)="CPU",COMPOSIÇÕES!$B$1:$E$4198,'BANCO DE DADOS JANEIRO-24 SERV'!$B$2:$F$7195),4,FALSE)</f>
        <v>5.9</v>
      </c>
      <c r="M42" s="1190">
        <f>IF($Q$2="OUTROS",TRUNC(L42*(1+$N$7),2),ROUND(L42*(1+$N$7),2))</f>
        <v>7.32</v>
      </c>
      <c r="N42" s="1546">
        <f>IF($Q$2="OUTROS",TRUNC(M42*K42,2),ROUND(M42*K42,2))</f>
        <v>155.30000000000001</v>
      </c>
      <c r="O42" s="337"/>
      <c r="P42" s="776" t="s">
        <v>14116</v>
      </c>
      <c r="Q42" s="337" t="str">
        <f ca="1">F42</f>
        <v>4.1</v>
      </c>
      <c r="S42" s="340"/>
    </row>
    <row r="43" spans="1:19" s="341" customFormat="1" ht="30.75" thickBot="1">
      <c r="A43" s="341">
        <f ca="1">IF(LEN(D43),OFFSET(A43,-1,0)+1,OFFSET(A43,-1,0))</f>
        <v>4</v>
      </c>
      <c r="B43" s="341">
        <f ca="1">IF(OR(C43=1,D43=1),SUMIF($A$21:A43,A43,$C$21:C43),"")</f>
        <v>2</v>
      </c>
      <c r="C43" s="341">
        <f>IF(G43&gt;0,1,"")</f>
        <v>1</v>
      </c>
      <c r="D43" s="662" t="str">
        <f>IF(AND(CONCATENATE(G43,I43,J43,K43,L43,M43,N43)=I43&amp;N43,CONCATENATE(G43,I43,J43,K43,L43,M43,N43)&lt;&gt;"",N43&lt;&gt;""),1,"")</f>
        <v/>
      </c>
      <c r="E43" s="662"/>
      <c r="F43" s="1099" t="str">
        <f ca="1">IF(B43&lt;&gt;"",A43&amp;"."&amp;B43,"")</f>
        <v>4.2</v>
      </c>
      <c r="G43" s="1099">
        <v>96523</v>
      </c>
      <c r="H43" s="1099" t="str">
        <f>IF(G43&gt;="CPU","PRÓPRIO","SINAPI")</f>
        <v>SINAPI</v>
      </c>
      <c r="I43" s="1098" t="str">
        <f>VLOOKUP($G43,IF(LEFT($G43,3)="CPU",COMPOSIÇÕES!$B$1:$E$4198,'BANCO DE DADOS JANEIRO-24 SERV'!$B$2:$F$7195),2,FALSE)</f>
        <v>ESCAVAÇÃO MANUAL PARA BLOCO DE COROAMENTO OU SAPATA (INCLUINDO ESCAVAÇÃO PARA COLOCAÇÃO DE FÔRMAS). AF_01/2024</v>
      </c>
      <c r="J43" s="1099" t="str">
        <f>VLOOKUP($G43,IF(LEFT($G43,3)="CPU",COMPOSIÇÕES!$B$1:$E$4198,'BANCO DE DADOS JANEIRO-24 SERV'!$B$2:$F$7195),3,FALSE)</f>
        <v>M3</v>
      </c>
      <c r="K43" s="1099">
        <v>21.47</v>
      </c>
      <c r="L43" s="1190">
        <f>VLOOKUP($G43,IF(LEFT($G43,3)="CPU",COMPOSIÇÕES!$B$1:$E$4198,'BANCO DE DADOS JANEIRO-24 SERV'!$B$2:$F$7195),4,FALSE)</f>
        <v>88.26</v>
      </c>
      <c r="M43" s="1190">
        <f>IF($Q$2="OUTROS",TRUNC(L43*(1+$N$7),2),ROUND(L43*(1+$N$7),2))</f>
        <v>109.61</v>
      </c>
      <c r="N43" s="1546">
        <f>IF($Q$2="OUTROS",TRUNC(M43*K43,2),ROUND(M43*K43,2))</f>
        <v>2353.3200000000002</v>
      </c>
      <c r="O43" s="337"/>
      <c r="P43" s="776" t="s">
        <v>14116</v>
      </c>
      <c r="Q43" s="337" t="str">
        <f ca="1">F43</f>
        <v>4.2</v>
      </c>
      <c r="S43" s="340"/>
    </row>
    <row r="44" spans="1:19" s="341" customFormat="1" ht="30.75" thickBot="1">
      <c r="A44" s="341">
        <f ca="1">IF(LEN(D44),OFFSET(A44,-1,0)+1,OFFSET(A44,-1,0))</f>
        <v>4</v>
      </c>
      <c r="B44" s="341">
        <f ca="1">IF(OR(C44=1,D44=1),SUMIF($A$21:A44,A44,$C$21:C44),"")</f>
        <v>3</v>
      </c>
      <c r="C44" s="341">
        <f>IF(G44&gt;0,1,"")</f>
        <v>1</v>
      </c>
      <c r="D44" s="662" t="str">
        <f>IF(AND(CONCATENATE(G44,I44,J44,K44,L44,M44,N44)=I44&amp;N44,CONCATENATE(G44,I44,J44,K44,L44,M44,N44)&lt;&gt;"",N44&lt;&gt;""),1,"")</f>
        <v/>
      </c>
      <c r="E44" s="662"/>
      <c r="F44" s="1099" t="str">
        <f ca="1">IF(B44&lt;&gt;"",A44&amp;"."&amp;B44,"")</f>
        <v>4.3</v>
      </c>
      <c r="G44" s="1099">
        <v>96527</v>
      </c>
      <c r="H44" s="1099" t="str">
        <f>IF(G44&gt;="CPU","PRÓPRIO","SINAPI")</f>
        <v>SINAPI</v>
      </c>
      <c r="I44" s="1098" t="str">
        <f>VLOOKUP($G44,IF(LEFT($G44,3)="CPU",COMPOSIÇÕES!$B$1:$E$4198,'BANCO DE DADOS JANEIRO-24 SERV'!$B$2:$F$7195),2,FALSE)</f>
        <v>ESCAVAÇÃO MANUAL PARA VIGA BALDRAME OU SAPATA CORRIDA (INCLUINDO ESCAVAÇÃO PARA COLOCAÇÃO DE FÔRMAS). AF_01/2024</v>
      </c>
      <c r="J44" s="1099" t="str">
        <f>VLOOKUP($G44,IF(LEFT($G44,3)="CPU",COMPOSIÇÕES!$B$1:$E$4198,'BANCO DE DADOS JANEIRO-24 SERV'!$B$2:$F$7195),3,FALSE)</f>
        <v>M3</v>
      </c>
      <c r="K44" s="1099">
        <v>11.96</v>
      </c>
      <c r="L44" s="1190">
        <f>VLOOKUP($G44,IF(LEFT($G44,3)="CPU",COMPOSIÇÕES!$B$1:$E$4198,'BANCO DE DADOS JANEIRO-24 SERV'!$B$2:$F$7195),4,FALSE)</f>
        <v>97.14</v>
      </c>
      <c r="M44" s="1190">
        <f>IF($Q$2="OUTROS",TRUNC(L44*(1+$N$7),2),ROUND(L44*(1+$N$7),2))</f>
        <v>120.64</v>
      </c>
      <c r="N44" s="1546">
        <f>IF($Q$2="OUTROS",TRUNC(M44*K44,2),ROUND(M44*K44,2))</f>
        <v>1442.85</v>
      </c>
      <c r="O44" s="337"/>
      <c r="P44" s="776" t="s">
        <v>14116</v>
      </c>
      <c r="Q44" s="337" t="str">
        <f ca="1">F44</f>
        <v>4.3</v>
      </c>
      <c r="S44" s="340"/>
    </row>
    <row r="45" spans="1:19" s="341" customFormat="1" ht="16.5" thickBot="1">
      <c r="A45" s="341">
        <f t="shared" ca="1" si="9"/>
        <v>4</v>
      </c>
      <c r="B45" s="341">
        <f ca="1">IF(OR(C45=1,D45=1),SUMIF($A$21:A45,A45,$C$21:C45),"")</f>
        <v>4</v>
      </c>
      <c r="C45" s="341">
        <f t="shared" si="10"/>
        <v>1</v>
      </c>
      <c r="D45" s="662" t="str">
        <f t="shared" si="11"/>
        <v/>
      </c>
      <c r="E45" s="662"/>
      <c r="F45" s="1099" t="str">
        <f t="shared" ca="1" si="12"/>
        <v>4.4</v>
      </c>
      <c r="G45" s="1224">
        <v>104737</v>
      </c>
      <c r="H45" s="1099" t="str">
        <f>IF(G45&gt;="CPU","PRÓPRIO","SINAPI")</f>
        <v>SINAPI</v>
      </c>
      <c r="I45" s="1098" t="str">
        <f>VLOOKUP($G45,IF(LEFT($G45,3)="CPU",COMPOSIÇÕES!$B$1:$E$4198,'BANCO DE DADOS JANEIRO-24 SERV'!$B$2:$F$7195),2,FALSE)</f>
        <v>REATERRO MANUAL DE VALAS, COM PLACA VIBRATÓRIA. AF_08/2023</v>
      </c>
      <c r="J45" s="1099" t="str">
        <f>VLOOKUP($G45,IF(LEFT($G45,3)="CPU",COMPOSIÇÕES!$B$1:$E$4198,'BANCO DE DADOS JANEIRO-24 SERV'!$B$2:$F$7195),3,FALSE)</f>
        <v>M3</v>
      </c>
      <c r="K45" s="1099">
        <v>25.86</v>
      </c>
      <c r="L45" s="1190">
        <f>VLOOKUP($G45,IF(LEFT($G45,3)="CPU",COMPOSIÇÕES!$B$1:$E$4198,'BANCO DE DADOS JANEIRO-24 SERV'!$B$2:$F$7195),4,FALSE)</f>
        <v>20.51</v>
      </c>
      <c r="M45" s="1190">
        <f>IF($Q$2="OUTROS",TRUNC(L45*(1+$N$7),2),ROUND(L45*(1+$N$7),2))</f>
        <v>25.47</v>
      </c>
      <c r="N45" s="1546">
        <f>IF($Q$2="OUTROS",TRUNC(M45*K45,2),ROUND(M45*K45,2))</f>
        <v>658.65</v>
      </c>
      <c r="O45" s="337"/>
      <c r="P45" s="776" t="s">
        <v>14116</v>
      </c>
      <c r="Q45" s="337" t="str">
        <f ca="1">F45</f>
        <v>4.4</v>
      </c>
      <c r="S45" s="340"/>
    </row>
    <row r="46" spans="1:19" s="344" customFormat="1" ht="16.5" thickBot="1">
      <c r="A46" s="341">
        <f t="shared" ca="1" si="9"/>
        <v>4</v>
      </c>
      <c r="B46" s="341" t="str">
        <f>IF(OR(C46=1,D46=1),SUMIF($A$21:A46,A46,$C$21:C46),"")</f>
        <v/>
      </c>
      <c r="C46" s="341" t="str">
        <f t="shared" si="10"/>
        <v/>
      </c>
      <c r="D46" s="662" t="str">
        <f t="shared" si="11"/>
        <v/>
      </c>
      <c r="E46" s="662"/>
      <c r="F46" s="240" t="str">
        <f t="shared" si="12"/>
        <v/>
      </c>
      <c r="G46" s="139"/>
      <c r="H46" s="139"/>
      <c r="I46" s="139"/>
      <c r="J46" s="139"/>
      <c r="K46" s="139"/>
      <c r="L46" s="140"/>
      <c r="M46" s="139"/>
      <c r="N46" s="241"/>
      <c r="O46" s="343"/>
      <c r="Q46" s="1626"/>
    </row>
    <row r="47" spans="1:19" s="338" customFormat="1" ht="16.5" thickBot="1">
      <c r="A47" s="341">
        <f t="shared" ca="1" si="9"/>
        <v>5</v>
      </c>
      <c r="B47" s="341">
        <f ca="1">IF(OR(C47=1,D47=1),SUMIF($A$21:A47,A47,$C$21:C47),"")</f>
        <v>0</v>
      </c>
      <c r="C47" s="341" t="str">
        <f t="shared" si="10"/>
        <v/>
      </c>
      <c r="D47" s="662">
        <f t="shared" si="11"/>
        <v>1</v>
      </c>
      <c r="E47" s="662"/>
      <c r="F47" s="141" t="str">
        <f t="shared" ca="1" si="12"/>
        <v>5.0</v>
      </c>
      <c r="G47" s="142"/>
      <c r="H47" s="142"/>
      <c r="I47" s="143" t="s">
        <v>156</v>
      </c>
      <c r="J47" s="144"/>
      <c r="K47" s="145"/>
      <c r="L47" s="146"/>
      <c r="M47" s="146"/>
      <c r="N47" s="147">
        <f>SUM(N49:N71)</f>
        <v>54004.26</v>
      </c>
      <c r="O47" s="337"/>
      <c r="P47" s="341"/>
      <c r="Q47" s="1625"/>
    </row>
    <row r="48" spans="1:19" s="338" customFormat="1" ht="16.5" thickBot="1">
      <c r="A48" s="341">
        <f t="shared" ref="A48:A111" ca="1" si="13">IF(LEN(D48),OFFSET(A48,-1,0)+1,OFFSET(A48,-1,0))</f>
        <v>5</v>
      </c>
      <c r="B48" s="341" t="str">
        <f>IF(OR(C48=1,D48=1),SUMIF($A$21:A48,A48,$C$21:C48),"")</f>
        <v/>
      </c>
      <c r="C48" s="341" t="str">
        <f t="shared" ref="C48:C111" si="14">IF(G48&gt;0,1,"")</f>
        <v/>
      </c>
      <c r="D48" s="662" t="str">
        <f t="shared" ref="D48:D111" si="15">IF(AND(CONCATENATE(G48,I48,J48,K48,L48,M48,N48)=I48&amp;N48,CONCATENATE(G48,I48,J48,K48,L48,M48,N48)&lt;&gt;"",N48&lt;&gt;""),1,"")</f>
        <v/>
      </c>
      <c r="E48" s="662"/>
      <c r="F48" s="658" t="str">
        <f t="shared" si="12"/>
        <v/>
      </c>
      <c r="G48" s="659"/>
      <c r="H48" s="659"/>
      <c r="I48" s="609" t="s">
        <v>1832</v>
      </c>
      <c r="J48" s="660"/>
      <c r="K48" s="661"/>
      <c r="L48" s="238"/>
      <c r="M48" s="661"/>
      <c r="N48" s="239"/>
      <c r="O48" s="337"/>
      <c r="P48" s="341"/>
      <c r="Q48" s="1625"/>
    </row>
    <row r="49" spans="1:17" s="338" customFormat="1" ht="30.75" thickBot="1">
      <c r="A49" s="341">
        <f t="shared" ca="1" si="13"/>
        <v>5</v>
      </c>
      <c r="B49" s="341">
        <f ca="1">IF(OR(C49=1,D49=1),SUMIF($A$21:A49,A49,$C$21:C49),"")</f>
        <v>1</v>
      </c>
      <c r="C49" s="341">
        <f t="shared" si="14"/>
        <v>1</v>
      </c>
      <c r="D49" s="662" t="str">
        <f t="shared" si="15"/>
        <v/>
      </c>
      <c r="E49" s="662"/>
      <c r="F49" s="1500" t="str">
        <f t="shared" ca="1" si="12"/>
        <v>5.1</v>
      </c>
      <c r="G49" s="1099">
        <v>96617</v>
      </c>
      <c r="H49" s="1099" t="str">
        <f t="shared" ref="H49:H57" si="16">IF(G49&gt;="CPU","PRÓPRIO","SINAPI")</f>
        <v>SINAPI</v>
      </c>
      <c r="I49" s="1098" t="str">
        <f>VLOOKUP($G49,IF(LEFT($G49,3)="CPU",COMPOSIÇÕES!$B$1:$E$4198,'BANCO DE DADOS JANEIRO-24 SERV'!$B$2:$F$7195),2,FALSE)</f>
        <v>LASTRO DE CONCRETO MAGRO, APLICADO EM BLOCOS DE COROAMENTO OU SAPATAS, ESPESSURA DE 3 CM. AF_01/2024</v>
      </c>
      <c r="J49" s="1099" t="str">
        <f>VLOOKUP($G49,IF(LEFT($G49,3)="CPU",COMPOSIÇÕES!$B$1:$E$4198,'BANCO DE DADOS JANEIRO-24 SERV'!$B$2:$F$7195),3,FALSE)</f>
        <v>M2</v>
      </c>
      <c r="K49" s="1099">
        <v>21.216999999999999</v>
      </c>
      <c r="L49" s="1190">
        <f>VLOOKUP($G49,IF(LEFT($G49,3)="CPU",COMPOSIÇÕES!$B$1:$E$4198,'BANCO DE DADOS JANEIRO-24 SERV'!$B$2:$F$7195),4,FALSE)</f>
        <v>21.18</v>
      </c>
      <c r="M49" s="1190">
        <f t="shared" ref="M49:M57" si="17">IF($Q$2="OUTROS",TRUNC(L49*(1+$N$7),2),ROUND(L49*(1+$N$7),2))</f>
        <v>26.3</v>
      </c>
      <c r="N49" s="1635">
        <f t="shared" ref="N49:N57" si="18">IF($Q$2="OUTROS",TRUNC(M49*K49,2),ROUND(M49*K49,2))</f>
        <v>558</v>
      </c>
      <c r="O49" s="337"/>
      <c r="P49" s="776" t="s">
        <v>14116</v>
      </c>
      <c r="Q49" s="337" t="str">
        <f t="shared" ref="Q49:Q57" ca="1" si="19">F49</f>
        <v>5.1</v>
      </c>
    </row>
    <row r="50" spans="1:17" s="338" customFormat="1" ht="30.75" thickBot="1">
      <c r="A50" s="341">
        <f t="shared" ca="1" si="13"/>
        <v>5</v>
      </c>
      <c r="B50" s="341">
        <f ca="1">IF(OR(C50=1,D50=1),SUMIF($A$21:A50,A50,$C$21:C50),"")</f>
        <v>2</v>
      </c>
      <c r="C50" s="341">
        <f t="shared" si="14"/>
        <v>1</v>
      </c>
      <c r="D50" s="662" t="str">
        <f t="shared" si="15"/>
        <v/>
      </c>
      <c r="E50" s="662"/>
      <c r="F50" s="1500" t="str">
        <f t="shared" ca="1" si="12"/>
        <v>5.2</v>
      </c>
      <c r="G50" s="1099">
        <v>94965</v>
      </c>
      <c r="H50" s="1099" t="str">
        <f t="shared" si="16"/>
        <v>SINAPI</v>
      </c>
      <c r="I50" s="1098" t="str">
        <f>VLOOKUP($G50,IF(LEFT($G50,3)="CPU",COMPOSIÇÕES!$B$1:$E$4198,'BANCO DE DADOS JANEIRO-24 SERV'!$B$2:$F$7195),2,FALSE)</f>
        <v>CONCRETO FCK = 25MPA, TRAÇO 1:2,3:2,7 (EM MASSA SECA DE CIMENTO/ AREIA MÉDIA/ BRITA 1) - PREPARO MECÂNICO COM BETONEIRA 400 L. AF_05/2021</v>
      </c>
      <c r="J50" s="1099" t="str">
        <f>VLOOKUP($G50,IF(LEFT($G50,3)="CPU",COMPOSIÇÕES!$B$1:$E$4198,'BANCO DE DADOS JANEIRO-24 SERV'!$B$2:$F$7195),3,FALSE)</f>
        <v>M3</v>
      </c>
      <c r="K50" s="1099">
        <v>6.51</v>
      </c>
      <c r="L50" s="1190">
        <f>VLOOKUP($G50,IF(LEFT($G50,3)="CPU",COMPOSIÇÕES!$B$1:$E$4198,'BANCO DE DADOS JANEIRO-24 SERV'!$B$2:$F$7195),4,FALSE)</f>
        <v>568.95000000000005</v>
      </c>
      <c r="M50" s="1190">
        <f t="shared" si="17"/>
        <v>706.63</v>
      </c>
      <c r="N50" s="1635">
        <f t="shared" si="18"/>
        <v>4600.16</v>
      </c>
      <c r="O50" s="337"/>
      <c r="P50" s="776" t="s">
        <v>14117</v>
      </c>
      <c r="Q50" s="337" t="str">
        <f t="shared" ca="1" si="19"/>
        <v>5.2</v>
      </c>
    </row>
    <row r="51" spans="1:17" s="338" customFormat="1" ht="30.75" thickBot="1">
      <c r="A51" s="341">
        <f t="shared" ca="1" si="13"/>
        <v>5</v>
      </c>
      <c r="B51" s="341">
        <f ca="1">IF(OR(C51=1,D51=1),SUMIF($A$21:A51,A51,$C$21:C51),"")</f>
        <v>3</v>
      </c>
      <c r="C51" s="341">
        <f t="shared" si="14"/>
        <v>1</v>
      </c>
      <c r="D51" s="662" t="str">
        <f t="shared" si="15"/>
        <v/>
      </c>
      <c r="E51" s="662"/>
      <c r="F51" s="1500" t="str">
        <f t="shared" ca="1" si="12"/>
        <v>5.3</v>
      </c>
      <c r="G51" s="1099">
        <v>103670</v>
      </c>
      <c r="H51" s="1099" t="str">
        <f t="shared" si="16"/>
        <v>SINAPI</v>
      </c>
      <c r="I51" s="1098" t="str">
        <f>VLOOKUP($G51,IF(LEFT($G51,3)="CPU",COMPOSIÇÕES!$B$1:$E$4198,'BANCO DE DADOS JANEIRO-24 SERV'!$B$2:$F$7195),2,FALSE)</f>
        <v>LANÇAMENTO COM USO DE BALDES, ADENSAMENTO E ACABAMENTO DE CONCRETO EM ESTRUTURAS. AF_02/2022</v>
      </c>
      <c r="J51" s="1099" t="str">
        <f>VLOOKUP($G51,IF(LEFT($G51,3)="CPU",COMPOSIÇÕES!$B$1:$E$4198,'BANCO DE DADOS JANEIRO-24 SERV'!$B$2:$F$7195),3,FALSE)</f>
        <v>M3</v>
      </c>
      <c r="K51" s="1099">
        <v>6.51</v>
      </c>
      <c r="L51" s="1190">
        <f>VLOOKUP($G51,IF(LEFT($G51,3)="CPU",COMPOSIÇÕES!$B$1:$E$4198,'BANCO DE DADOS JANEIRO-24 SERV'!$B$2:$F$7195),4,FALSE)</f>
        <v>277.10000000000002</v>
      </c>
      <c r="M51" s="1190">
        <f t="shared" si="17"/>
        <v>344.15</v>
      </c>
      <c r="N51" s="1635">
        <f t="shared" si="18"/>
        <v>2240.41</v>
      </c>
      <c r="O51" s="337"/>
      <c r="P51" s="776" t="s">
        <v>14117</v>
      </c>
      <c r="Q51" s="337" t="str">
        <f t="shared" ca="1" si="19"/>
        <v>5.3</v>
      </c>
    </row>
    <row r="52" spans="1:17" s="338" customFormat="1" ht="30.75" thickBot="1">
      <c r="A52" s="341">
        <f t="shared" ca="1" si="13"/>
        <v>5</v>
      </c>
      <c r="B52" s="341">
        <f ca="1">IF(OR(C52=1,D52=1),SUMIF($A$21:A52,A52,$C$21:C52),"")</f>
        <v>4</v>
      </c>
      <c r="C52" s="341">
        <f t="shared" si="14"/>
        <v>1</v>
      </c>
      <c r="D52" s="662" t="str">
        <f t="shared" si="15"/>
        <v/>
      </c>
      <c r="E52" s="662"/>
      <c r="F52" s="1224" t="str">
        <f t="shared" ca="1" si="12"/>
        <v>5.4</v>
      </c>
      <c r="G52" s="1099">
        <v>96535</v>
      </c>
      <c r="H52" s="1099" t="str">
        <f t="shared" si="16"/>
        <v>SINAPI</v>
      </c>
      <c r="I52" s="1098" t="str">
        <f>VLOOKUP($G52,IF(LEFT($G52,3)="CPU",COMPOSIÇÕES!$B$1:$E$4198,'BANCO DE DADOS JANEIRO-24 SERV'!$B$2:$F$7195),2,FALSE)</f>
        <v>FABRICAÇÃO, MONTAGEM E DESMONTAGEM DE FÔRMA PARA SAPATA, EM MADEIRA SERRADA, E=25 MM, 4 UTILIZAÇÕES. AF_01/2024</v>
      </c>
      <c r="J52" s="1099" t="str">
        <f>VLOOKUP($G52,IF(LEFT($G52,3)="CPU",COMPOSIÇÕES!$B$1:$E$4198,'BANCO DE DADOS JANEIRO-24 SERV'!$B$2:$F$7195),3,FALSE)</f>
        <v>M2</v>
      </c>
      <c r="K52" s="1099">
        <v>25.12</v>
      </c>
      <c r="L52" s="1190">
        <f>VLOOKUP($G52,IF(LEFT($G52,3)="CPU",COMPOSIÇÕES!$B$1:$E$4198,'BANCO DE DADOS JANEIRO-24 SERV'!$B$2:$F$7195),4,FALSE)</f>
        <v>130.34</v>
      </c>
      <c r="M52" s="1190">
        <f t="shared" si="17"/>
        <v>161.88</v>
      </c>
      <c r="N52" s="1547">
        <f t="shared" si="18"/>
        <v>4066.42</v>
      </c>
      <c r="O52" s="337"/>
      <c r="P52" s="776" t="s">
        <v>14117</v>
      </c>
      <c r="Q52" s="337" t="str">
        <f t="shared" ca="1" si="19"/>
        <v>5.4</v>
      </c>
    </row>
    <row r="53" spans="1:17" s="338" customFormat="1" ht="30.75" thickBot="1">
      <c r="A53" s="341">
        <f t="shared" ca="1" si="13"/>
        <v>5</v>
      </c>
      <c r="B53" s="341">
        <f ca="1">IF(OR(C53=1,D53=1),SUMIF($A$21:A53,A53,$C$21:C53),"")</f>
        <v>5</v>
      </c>
      <c r="C53" s="341">
        <f t="shared" si="14"/>
        <v>1</v>
      </c>
      <c r="D53" s="662" t="str">
        <f t="shared" si="15"/>
        <v/>
      </c>
      <c r="E53" s="662"/>
      <c r="F53" s="1500" t="str">
        <f t="shared" ca="1" si="12"/>
        <v>5.5</v>
      </c>
      <c r="G53" s="1099">
        <v>96536</v>
      </c>
      <c r="H53" s="1099" t="str">
        <f t="shared" si="16"/>
        <v>SINAPI</v>
      </c>
      <c r="I53" s="1098" t="str">
        <f>VLOOKUP($G53,IF(LEFT($G53,3)="CPU",COMPOSIÇÕES!$B$1:$E$4198,'BANCO DE DADOS JANEIRO-24 SERV'!$B$2:$F$7195),2,FALSE)</f>
        <v>FABRICAÇÃO, MONTAGEM E DESMONTAGEM DE FÔRMA PARA VIGA BALDRAME, EM MADEIRA SERRADA, E=25 MM, 4 UTILIZAÇÕES. AF_01/2024</v>
      </c>
      <c r="J53" s="1099" t="str">
        <f>VLOOKUP($G53,IF(LEFT($G53,3)="CPU",COMPOSIÇÕES!$B$1:$E$4198,'BANCO DE DADOS JANEIRO-24 SERV'!$B$2:$F$7195),3,FALSE)</f>
        <v>M2</v>
      </c>
      <c r="K53" s="1099">
        <v>56.84</v>
      </c>
      <c r="L53" s="1190">
        <f>VLOOKUP($G53,IF(LEFT($G53,3)="CPU",COMPOSIÇÕES!$B$1:$E$4198,'BANCO DE DADOS JANEIRO-24 SERV'!$B$2:$F$7195),4,FALSE)</f>
        <v>70.959999999999994</v>
      </c>
      <c r="M53" s="1190">
        <f t="shared" si="17"/>
        <v>88.13</v>
      </c>
      <c r="N53" s="1635">
        <f t="shared" si="18"/>
        <v>5009.3</v>
      </c>
      <c r="O53" s="337"/>
      <c r="P53" s="776" t="s">
        <v>14117</v>
      </c>
      <c r="Q53" s="337" t="str">
        <f t="shared" ca="1" si="19"/>
        <v>5.5</v>
      </c>
    </row>
    <row r="54" spans="1:17" s="338" customFormat="1" ht="16.5" thickBot="1">
      <c r="A54" s="341">
        <f t="shared" ca="1" si="13"/>
        <v>5</v>
      </c>
      <c r="B54" s="341">
        <f ca="1">IF(OR(C54=1,D54=1),SUMIF($A$21:A54,A54,$C$21:C54),"")</f>
        <v>6</v>
      </c>
      <c r="C54" s="341">
        <f t="shared" si="14"/>
        <v>1</v>
      </c>
      <c r="D54" s="662" t="str">
        <f t="shared" si="15"/>
        <v/>
      </c>
      <c r="E54" s="662"/>
      <c r="F54" s="1500" t="str">
        <f t="shared" ca="1" si="12"/>
        <v>5.6</v>
      </c>
      <c r="G54" s="1099">
        <v>96545</v>
      </c>
      <c r="H54" s="1099" t="str">
        <f t="shared" si="16"/>
        <v>SINAPI</v>
      </c>
      <c r="I54" s="1098" t="str">
        <f>VLOOKUP($G54,IF(LEFT($G54,3)="CPU",COMPOSIÇÕES!$B$1:$E$4198,'BANCO DE DADOS JANEIRO-24 SERV'!$B$2:$F$7195),2,FALSE)</f>
        <v>ARMAÇÃO DE BLOCO UTILIZANDO AÇO CA-50 DE 8 MM - MONTAGEM. AF_01/2024</v>
      </c>
      <c r="J54" s="1099" t="str">
        <f>VLOOKUP($G54,IF(LEFT($G54,3)="CPU",COMPOSIÇÕES!$B$1:$E$4198,'BANCO DE DADOS JANEIRO-24 SERV'!$B$2:$F$7195),3,FALSE)</f>
        <v>KG</v>
      </c>
      <c r="K54" s="1099">
        <v>265.39999999999998</v>
      </c>
      <c r="L54" s="1190">
        <f>VLOOKUP($G54,IF(LEFT($G54,3)="CPU",COMPOSIÇÕES!$B$1:$E$4198,'BANCO DE DADOS JANEIRO-24 SERV'!$B$2:$F$7195),4,FALSE)</f>
        <v>17.2</v>
      </c>
      <c r="M54" s="1190">
        <f t="shared" si="17"/>
        <v>21.36</v>
      </c>
      <c r="N54" s="1635">
        <f t="shared" si="18"/>
        <v>5668.94</v>
      </c>
      <c r="O54" s="337"/>
      <c r="P54" s="776" t="s">
        <v>14117</v>
      </c>
      <c r="Q54" s="337" t="str">
        <f t="shared" ca="1" si="19"/>
        <v>5.6</v>
      </c>
    </row>
    <row r="55" spans="1:17" s="338" customFormat="1" ht="16.5" thickBot="1">
      <c r="A55" s="341">
        <f t="shared" ca="1" si="13"/>
        <v>5</v>
      </c>
      <c r="B55" s="341">
        <f ca="1">IF(OR(C55=1,D55=1),SUMIF($A$21:A55,A55,$C$21:C55),"")</f>
        <v>7</v>
      </c>
      <c r="C55" s="341">
        <f t="shared" si="14"/>
        <v>1</v>
      </c>
      <c r="D55" s="662" t="str">
        <f t="shared" si="15"/>
        <v/>
      </c>
      <c r="E55" s="662"/>
      <c r="F55" s="1500" t="str">
        <f t="shared" ca="1" si="12"/>
        <v>5.7</v>
      </c>
      <c r="G55" s="1099">
        <v>96546</v>
      </c>
      <c r="H55" s="1099" t="str">
        <f t="shared" si="16"/>
        <v>SINAPI</v>
      </c>
      <c r="I55" s="1098" t="str">
        <f>VLOOKUP($G55,IF(LEFT($G55,3)="CPU",COMPOSIÇÕES!$B$1:$E$4198,'BANCO DE DADOS JANEIRO-24 SERV'!$B$2:$F$7195),2,FALSE)</f>
        <v>ARMAÇÃO DE BLOCO UTILIZANDO AÇO CA-50 DE 10 MM - MONTAGEM. AF_01/2024</v>
      </c>
      <c r="J55" s="1099" t="str">
        <f>VLOOKUP($G55,IF(LEFT($G55,3)="CPU",COMPOSIÇÕES!$B$1:$E$4198,'BANCO DE DADOS JANEIRO-24 SERV'!$B$2:$F$7195),3,FALSE)</f>
        <v>KG</v>
      </c>
      <c r="K55" s="1099">
        <v>72.7</v>
      </c>
      <c r="L55" s="1190">
        <f>VLOOKUP($G55,IF(LEFT($G55,3)="CPU",COMPOSIÇÕES!$B$1:$E$4198,'BANCO DE DADOS JANEIRO-24 SERV'!$B$2:$F$7195),4,FALSE)</f>
        <v>15.18</v>
      </c>
      <c r="M55" s="1190">
        <f t="shared" si="17"/>
        <v>18.850000000000001</v>
      </c>
      <c r="N55" s="1635">
        <f t="shared" si="18"/>
        <v>1370.39</v>
      </c>
      <c r="O55" s="337"/>
      <c r="P55" s="776" t="s">
        <v>14117</v>
      </c>
      <c r="Q55" s="337" t="str">
        <f t="shared" ca="1" si="19"/>
        <v>5.7</v>
      </c>
    </row>
    <row r="56" spans="1:17" s="338" customFormat="1" ht="30.75" thickBot="1">
      <c r="A56" s="341">
        <f t="shared" ca="1" si="13"/>
        <v>5</v>
      </c>
      <c r="B56" s="341">
        <f ca="1">IF(OR(C56=1,D56=1),SUMIF($A$21:A56,A56,$C$21:C56),"")</f>
        <v>8</v>
      </c>
      <c r="C56" s="341">
        <f t="shared" si="14"/>
        <v>1</v>
      </c>
      <c r="D56" s="662" t="str">
        <f t="shared" si="15"/>
        <v/>
      </c>
      <c r="E56" s="662"/>
      <c r="F56" s="1500" t="str">
        <f t="shared" ca="1" si="12"/>
        <v>5.8</v>
      </c>
      <c r="G56" s="1099">
        <v>104920</v>
      </c>
      <c r="H56" s="1099" t="str">
        <f t="shared" si="16"/>
        <v>SINAPI</v>
      </c>
      <c r="I56" s="1098" t="str">
        <f>VLOOKUP($G56,IF(LEFT($G56,3)="CPU",COMPOSIÇÕES!$B$1:$E$4198,'BANCO DE DADOS JANEIRO-24 SERV'!$B$2:$F$7195),2,FALSE)</f>
        <v>ARMAÇÃO DE BLOCO, SAPATA ISOLADA, VIGA BALDRAME E SAPATA CORRIDA UTILIZANDO AÇO CA-50 DE 12,5 MM - MONTAGEM. AF_01/2024</v>
      </c>
      <c r="J56" s="1099" t="str">
        <f>VLOOKUP($G56,IF(LEFT($G56,3)="CPU",COMPOSIÇÕES!$B$1:$E$4198,'BANCO DE DADOS JANEIRO-24 SERV'!$B$2:$F$7195),3,FALSE)</f>
        <v>KG</v>
      </c>
      <c r="K56" s="1099">
        <v>133.5</v>
      </c>
      <c r="L56" s="1190">
        <f>VLOOKUP($G56,IF(LEFT($G56,3)="CPU",COMPOSIÇÕES!$B$1:$E$4198,'BANCO DE DADOS JANEIRO-24 SERV'!$B$2:$F$7195),4,FALSE)</f>
        <v>11.91</v>
      </c>
      <c r="M56" s="1190">
        <f t="shared" si="17"/>
        <v>14.79</v>
      </c>
      <c r="N56" s="1635">
        <f t="shared" si="18"/>
        <v>1974.46</v>
      </c>
      <c r="O56" s="337"/>
      <c r="P56" s="776" t="s">
        <v>14117</v>
      </c>
      <c r="Q56" s="337" t="str">
        <f t="shared" ca="1" si="19"/>
        <v>5.8</v>
      </c>
    </row>
    <row r="57" spans="1:17" s="338" customFormat="1" ht="16.5" thickBot="1">
      <c r="A57" s="341">
        <f t="shared" ca="1" si="13"/>
        <v>5</v>
      </c>
      <c r="B57" s="341">
        <f ca="1">IF(OR(C57=1,D57=1),SUMIF($A$21:A57,A57,$C$21:C57),"")</f>
        <v>9</v>
      </c>
      <c r="C57" s="341">
        <f t="shared" si="14"/>
        <v>1</v>
      </c>
      <c r="D57" s="662" t="str">
        <f t="shared" si="15"/>
        <v/>
      </c>
      <c r="E57" s="662"/>
      <c r="F57" s="1500" t="str">
        <f t="shared" ca="1" si="12"/>
        <v>5.9</v>
      </c>
      <c r="G57" s="1099">
        <v>96543</v>
      </c>
      <c r="H57" s="1099" t="str">
        <f t="shared" si="16"/>
        <v>SINAPI</v>
      </c>
      <c r="I57" s="1098" t="str">
        <f>VLOOKUP($G57,IF(LEFT($G57,3)="CPU",COMPOSIÇÕES!$B$1:$E$4198,'BANCO DE DADOS JANEIRO-24 SERV'!$B$2:$F$7195),2,FALSE)</f>
        <v>ARMAÇÃO DE BLOCO UTILIZANDO AÇO CA-60 DE 5 MM - MONTAGEM. AF_01/2024</v>
      </c>
      <c r="J57" s="1099" t="str">
        <f>VLOOKUP($G57,IF(LEFT($G57,3)="CPU",COMPOSIÇÕES!$B$1:$E$4198,'BANCO DE DADOS JANEIRO-24 SERV'!$B$2:$F$7195),3,FALSE)</f>
        <v>KG</v>
      </c>
      <c r="K57" s="1099">
        <v>108.3</v>
      </c>
      <c r="L57" s="1190">
        <f>VLOOKUP($G57,IF(LEFT($G57,3)="CPU",COMPOSIÇÕES!$B$1:$E$4198,'BANCO DE DADOS JANEIRO-24 SERV'!$B$2:$F$7195),4,FALSE)</f>
        <v>20.440000000000001</v>
      </c>
      <c r="M57" s="1190">
        <f t="shared" si="17"/>
        <v>25.38</v>
      </c>
      <c r="N57" s="1635">
        <f t="shared" si="18"/>
        <v>2748.65</v>
      </c>
      <c r="O57" s="337"/>
      <c r="P57" s="776" t="s">
        <v>14117</v>
      </c>
      <c r="Q57" s="337" t="str">
        <f t="shared" ca="1" si="19"/>
        <v>5.9</v>
      </c>
    </row>
    <row r="58" spans="1:17" s="338" customFormat="1" ht="16.5" thickBot="1">
      <c r="A58" s="341">
        <f t="shared" ca="1" si="13"/>
        <v>5</v>
      </c>
      <c r="B58" s="341" t="str">
        <f>IF(OR(C58=1,D58=1),SUMIF($A$21:A58,A58,$C$21:C58),"")</f>
        <v/>
      </c>
      <c r="C58" s="341" t="str">
        <f t="shared" si="14"/>
        <v/>
      </c>
      <c r="D58" s="662" t="str">
        <f t="shared" si="15"/>
        <v/>
      </c>
      <c r="E58" s="662"/>
      <c r="F58" s="663" t="str">
        <f t="shared" si="12"/>
        <v/>
      </c>
      <c r="G58" s="664"/>
      <c r="H58" s="664"/>
      <c r="I58" s="631" t="s">
        <v>14020</v>
      </c>
      <c r="J58" s="665"/>
      <c r="K58" s="666"/>
      <c r="L58" s="373"/>
      <c r="M58" s="666"/>
      <c r="N58" s="374"/>
      <c r="O58" s="337"/>
      <c r="P58" s="341"/>
      <c r="Q58" s="1625"/>
    </row>
    <row r="59" spans="1:17" s="338" customFormat="1" ht="30.75" thickBot="1">
      <c r="A59" s="341">
        <f t="shared" ca="1" si="13"/>
        <v>5</v>
      </c>
      <c r="B59" s="341">
        <f ca="1">IF(OR(C59=1,D59=1),SUMIF($A$21:A59,A59,$C$21:C59),"")</f>
        <v>10</v>
      </c>
      <c r="C59" s="341">
        <f t="shared" si="14"/>
        <v>1</v>
      </c>
      <c r="D59" s="662" t="str">
        <f t="shared" si="15"/>
        <v/>
      </c>
      <c r="E59" s="662"/>
      <c r="F59" s="1500" t="str">
        <f t="shared" ca="1" si="12"/>
        <v>5.10</v>
      </c>
      <c r="G59" s="1099">
        <v>103669</v>
      </c>
      <c r="H59" s="1099" t="str">
        <f>IF(G59&gt;="CPU","PRÓPRIO","SINAPI")</f>
        <v>SINAPI</v>
      </c>
      <c r="I59" s="1098" t="str">
        <f>VLOOKUP($G59,IF(LEFT($G59,3)="CPU",COMPOSIÇÕES!$B$1:$E$4198,'BANCO DE DADOS JANEIRO-24 SERV'!$B$2:$F$7195),2,FALSE)</f>
        <v>CONCRETAGEM DE PILARES, FCK = 25 MPA,  COM USO DE BALDES - LANÇAMENTO, ADENSAMENTO E ACABAMENTO. AF_02/2022</v>
      </c>
      <c r="J59" s="1099" t="str">
        <f>VLOOKUP($G59,IF(LEFT($G59,3)="CPU",COMPOSIÇÕES!$B$1:$E$4198,'BANCO DE DADOS JANEIRO-24 SERV'!$B$2:$F$7195),3,FALSE)</f>
        <v>M3</v>
      </c>
      <c r="K59" s="1099">
        <v>1.46</v>
      </c>
      <c r="L59" s="1190">
        <f>VLOOKUP($G59,IF(LEFT($G59,3)="CPU",COMPOSIÇÕES!$B$1:$E$4198,'BANCO DE DADOS JANEIRO-24 SERV'!$B$2:$F$7195),4,FALSE)</f>
        <v>1154.43</v>
      </c>
      <c r="M59" s="1190">
        <f>IF($Q$2="OUTROS",TRUNC(L59*(1+$N$7),2),ROUND(L59*(1+$N$7),2))</f>
        <v>1433.8</v>
      </c>
      <c r="N59" s="1635">
        <f>IF($Q$2="OUTROS",TRUNC(M59*K59,2),ROUND(M59*K59,2))</f>
        <v>2093.34</v>
      </c>
      <c r="O59" s="337"/>
      <c r="P59" s="776" t="s">
        <v>14117</v>
      </c>
      <c r="Q59" s="337" t="str">
        <f ca="1">F59</f>
        <v>5.10</v>
      </c>
    </row>
    <row r="60" spans="1:17" s="338" customFormat="1" ht="45.75" thickBot="1">
      <c r="A60" s="341">
        <f t="shared" ca="1" si="13"/>
        <v>5</v>
      </c>
      <c r="B60" s="341">
        <f ca="1">IF(OR(C60=1,D60=1),SUMIF($A$21:A60,A60,$C$21:C60),"")</f>
        <v>11</v>
      </c>
      <c r="C60" s="341">
        <f t="shared" si="14"/>
        <v>1</v>
      </c>
      <c r="D60" s="662" t="str">
        <f t="shared" si="15"/>
        <v/>
      </c>
      <c r="E60" s="662"/>
      <c r="F60" s="1500" t="str">
        <f ca="1">IF(B60&lt;&gt;"",A60&amp;"."&amp;B60,"")</f>
        <v>5.11</v>
      </c>
      <c r="G60" s="1099">
        <v>92419</v>
      </c>
      <c r="H60" s="1099" t="str">
        <f>IF(G60&gt;="CPU","PRÓPRIO","SINAPI")</f>
        <v>SINAPI</v>
      </c>
      <c r="I60" s="1098" t="str">
        <f>VLOOKUP($G60,IF(LEFT($G60,3)="CPU",COMPOSIÇÕES!$B$1:$E$4198,'BANCO DE DADOS JANEIRO-24 SERV'!$B$2:$F$7195),2,FALSE)</f>
        <v>MONTAGEM E DESMONTAGEM DE FÔRMA DE PILARES RETANGULARES E ESTRUTURAS SIMILARES, PÉ-DIREITO SIMPLES, EM CHAPA DE MADEIRA COMPENSADA RESINADA, 4 UTILIZAÇÕES. AF_09/2020</v>
      </c>
      <c r="J60" s="1099" t="str">
        <f>VLOOKUP($G60,IF(LEFT($G60,3)="CPU",COMPOSIÇÕES!$B$1:$E$4198,'BANCO DE DADOS JANEIRO-24 SERV'!$B$2:$F$7195),3,FALSE)</f>
        <v>M2</v>
      </c>
      <c r="K60" s="1099">
        <v>30.26</v>
      </c>
      <c r="L60" s="1190">
        <f>VLOOKUP($G60,IF(LEFT($G60,3)="CPU",COMPOSIÇÕES!$B$1:$E$4198,'BANCO DE DADOS JANEIRO-24 SERV'!$B$2:$F$7195),4,FALSE)</f>
        <v>95.84</v>
      </c>
      <c r="M60" s="1190">
        <f>IF($Q$2="OUTROS",TRUNC(L60*(1+$N$7),2),ROUND(L60*(1+$N$7),2))</f>
        <v>119.03</v>
      </c>
      <c r="N60" s="1635">
        <f>IF($Q$2="OUTROS",TRUNC(M60*K60,2),ROUND(M60*K60,2))</f>
        <v>3601.84</v>
      </c>
      <c r="O60" s="337"/>
      <c r="P60" s="776" t="s">
        <v>14117</v>
      </c>
      <c r="Q60" s="337" t="str">
        <f ca="1">F60</f>
        <v>5.11</v>
      </c>
    </row>
    <row r="61" spans="1:17" s="338" customFormat="1" ht="30.75" thickBot="1">
      <c r="A61" s="341">
        <f t="shared" ca="1" si="13"/>
        <v>5</v>
      </c>
      <c r="B61" s="341">
        <f ca="1">IF(OR(C61=1,D61=1),SUMIF($A$21:A61,A61,$C$21:C61),"")</f>
        <v>12</v>
      </c>
      <c r="C61" s="341">
        <f t="shared" si="14"/>
        <v>1</v>
      </c>
      <c r="D61" s="662" t="str">
        <f t="shared" si="15"/>
        <v/>
      </c>
      <c r="E61" s="662"/>
      <c r="F61" s="1500" t="str">
        <f t="shared" ca="1" si="12"/>
        <v>5.12</v>
      </c>
      <c r="G61" s="1099">
        <v>104108</v>
      </c>
      <c r="H61" s="1099" t="str">
        <f>IF(G61&gt;="CPU","PRÓPRIO","SINAPI")</f>
        <v>SINAPI</v>
      </c>
      <c r="I61" s="1098" t="str">
        <f>VLOOKUP($G61,IF(LEFT($G61,3)="CPU",COMPOSIÇÕES!$B$1:$E$4198,'BANCO DE DADOS JANEIRO-24 SERV'!$B$2:$F$7195),2,FALSE)</f>
        <v>ARMAÇÃO DE PILAR OU VIGA DE ESTRUTURA DE CONCRETO ARMADO EMBUTIDA EM ALVENARIA DE VEDAÇÃO UTILIZANDO AÇO CA-50 DE 10,0 MM - MONTAGEM. AF_06/2022</v>
      </c>
      <c r="J61" s="1099" t="str">
        <f>VLOOKUP($G61,IF(LEFT($G61,3)="CPU",COMPOSIÇÕES!$B$1:$E$4198,'BANCO DE DADOS JANEIRO-24 SERV'!$B$2:$F$7195),3,FALSE)</f>
        <v>KG</v>
      </c>
      <c r="K61" s="1099">
        <v>75.599999999999994</v>
      </c>
      <c r="L61" s="1190">
        <f>VLOOKUP($G61,IF(LEFT($G61,3)="CPU",COMPOSIÇÕES!$B$1:$E$4198,'BANCO DE DADOS JANEIRO-24 SERV'!$B$2:$F$7195),4,FALSE)</f>
        <v>14.06</v>
      </c>
      <c r="M61" s="1190">
        <f>IF($Q$2="OUTROS",TRUNC(L61*(1+$N$7),2),ROUND(L61*(1+$N$7),2))</f>
        <v>17.46</v>
      </c>
      <c r="N61" s="1635">
        <f>IF($Q$2="OUTROS",TRUNC(M61*K61,2),ROUND(M61*K61,2))</f>
        <v>1319.97</v>
      </c>
      <c r="O61" s="337"/>
      <c r="P61" s="776" t="s">
        <v>14117</v>
      </c>
      <c r="Q61" s="337" t="str">
        <f ca="1">F61</f>
        <v>5.12</v>
      </c>
    </row>
    <row r="62" spans="1:17" s="338" customFormat="1" ht="30.75" thickBot="1">
      <c r="A62" s="341">
        <f t="shared" ca="1" si="13"/>
        <v>5</v>
      </c>
      <c r="B62" s="341">
        <f ca="1">IF(OR(C62=1,D62=1),SUMIF($A$21:A62,A62,$C$21:C62),"")</f>
        <v>13</v>
      </c>
      <c r="C62" s="341">
        <f t="shared" si="14"/>
        <v>1</v>
      </c>
      <c r="D62" s="662" t="str">
        <f t="shared" si="15"/>
        <v/>
      </c>
      <c r="E62" s="662"/>
      <c r="F62" s="1500" t="str">
        <f t="shared" ca="1" si="12"/>
        <v>5.13</v>
      </c>
      <c r="G62" s="1099">
        <v>104107</v>
      </c>
      <c r="H62" s="1099" t="str">
        <f>IF(G62&gt;="CPU","PRÓPRIO","SINAPI")</f>
        <v>SINAPI</v>
      </c>
      <c r="I62" s="1098" t="str">
        <f>VLOOKUP($G62,IF(LEFT($G62,3)="CPU",COMPOSIÇÕES!$B$1:$E$4198,'BANCO DE DADOS JANEIRO-24 SERV'!$B$2:$F$7195),2,FALSE)</f>
        <v>ARMAÇÃO DE PILAR OU VIGA DE ESTRUTURA DE CONCRETO ARMADO EMBUTIDA EM ALVENARIA DE VEDAÇÃO UTILIZANDO AÇO CA-50 DE 12,5 MM - MONTAGEM. AF_06/2022</v>
      </c>
      <c r="J62" s="1099" t="str">
        <f>VLOOKUP($G62,IF(LEFT($G62,3)="CPU",COMPOSIÇÕES!$B$1:$E$4198,'BANCO DE DADOS JANEIRO-24 SERV'!$B$2:$F$7195),3,FALSE)</f>
        <v>KG</v>
      </c>
      <c r="K62" s="1099">
        <v>45.8</v>
      </c>
      <c r="L62" s="1190">
        <f>VLOOKUP($G62,IF(LEFT($G62,3)="CPU",COMPOSIÇÕES!$B$1:$E$4198,'BANCO DE DADOS JANEIRO-24 SERV'!$B$2:$F$7195),4,FALSE)</f>
        <v>11.92</v>
      </c>
      <c r="M62" s="1190">
        <f>IF($Q$2="OUTROS",TRUNC(L62*(1+$N$7),2),ROUND(L62*(1+$N$7),2))</f>
        <v>14.8</v>
      </c>
      <c r="N62" s="1635">
        <f>IF($Q$2="OUTROS",TRUNC(M62*K62,2),ROUND(M62*K62,2))</f>
        <v>677.84</v>
      </c>
      <c r="O62" s="337"/>
      <c r="P62" s="776" t="s">
        <v>14117</v>
      </c>
      <c r="Q62" s="337" t="str">
        <f ca="1">F62</f>
        <v>5.13</v>
      </c>
    </row>
    <row r="63" spans="1:17" s="338" customFormat="1" ht="30.75" thickBot="1">
      <c r="A63" s="341">
        <f t="shared" ca="1" si="13"/>
        <v>5</v>
      </c>
      <c r="B63" s="341">
        <f ca="1">IF(OR(C63=1,D63=1),SUMIF($A$21:A63,A63,$C$21:C63),"")</f>
        <v>14</v>
      </c>
      <c r="C63" s="341">
        <f t="shared" si="14"/>
        <v>1</v>
      </c>
      <c r="D63" s="662" t="str">
        <f t="shared" si="15"/>
        <v/>
      </c>
      <c r="E63" s="662"/>
      <c r="F63" s="1500" t="str">
        <f t="shared" ca="1" si="12"/>
        <v>5.14</v>
      </c>
      <c r="G63" s="1099">
        <v>104111</v>
      </c>
      <c r="H63" s="1099" t="str">
        <f>IF(G63&gt;="CPU","PRÓPRIO","SINAPI")</f>
        <v>SINAPI</v>
      </c>
      <c r="I63" s="1098" t="str">
        <f>VLOOKUP($G63,IF(LEFT($G63,3)="CPU",COMPOSIÇÕES!$B$1:$E$4198,'BANCO DE DADOS JANEIRO-24 SERV'!$B$2:$F$7195),2,FALSE)</f>
        <v>ARMAÇÃO DE PILAR OU VIGA DE ESTRUTURA DE CONCRETO ARMADO EMBUTIDA EM ALVENARIA DE VEDAÇÃO UTILIZANDO AÇO CA-60 DE 5,0 MM - MONTAGEM. AF_06/2022</v>
      </c>
      <c r="J63" s="1099" t="str">
        <f>VLOOKUP($G63,IF(LEFT($G63,3)="CPU",COMPOSIÇÕES!$B$1:$E$4198,'BANCO DE DADOS JANEIRO-24 SERV'!$B$2:$F$7195),3,FALSE)</f>
        <v>KG</v>
      </c>
      <c r="K63" s="1099">
        <v>31</v>
      </c>
      <c r="L63" s="1190">
        <f>VLOOKUP($G63,IF(LEFT($G63,3)="CPU",COMPOSIÇÕES!$B$1:$E$4198,'BANCO DE DADOS JANEIRO-24 SERV'!$B$2:$F$7195),4,FALSE)</f>
        <v>20.9</v>
      </c>
      <c r="M63" s="1190">
        <f>IF($Q$2="OUTROS",TRUNC(L63*(1+$N$7),2),ROUND(L63*(1+$N$7),2))</f>
        <v>25.95</v>
      </c>
      <c r="N63" s="1635">
        <f>IF($Q$2="OUTROS",TRUNC(M63*K63,2),ROUND(M63*K63,2))</f>
        <v>804.45</v>
      </c>
      <c r="O63" s="337"/>
      <c r="P63" s="776" t="s">
        <v>14117</v>
      </c>
      <c r="Q63" s="337" t="str">
        <f ca="1">F63</f>
        <v>5.14</v>
      </c>
    </row>
    <row r="64" spans="1:17" s="338" customFormat="1" ht="16.5" thickBot="1">
      <c r="A64" s="341">
        <f t="shared" ca="1" si="13"/>
        <v>5</v>
      </c>
      <c r="B64" s="341" t="str">
        <f>IF(OR(C64=1,D64=1),SUMIF($A$21:A64,A64,$C$21:C64),"")</f>
        <v/>
      </c>
      <c r="C64" s="341" t="str">
        <f t="shared" si="14"/>
        <v/>
      </c>
      <c r="D64" s="662" t="str">
        <f t="shared" si="15"/>
        <v/>
      </c>
      <c r="E64" s="662"/>
      <c r="F64" s="663" t="str">
        <f t="shared" ref="F64:F76" si="20">IF(B64&lt;&gt;"",A64&amp;"."&amp;B64,"")</f>
        <v/>
      </c>
      <c r="G64" s="664"/>
      <c r="H64" s="664"/>
      <c r="I64" s="631" t="s">
        <v>315</v>
      </c>
      <c r="J64" s="665"/>
      <c r="K64" s="666"/>
      <c r="L64" s="373"/>
      <c r="M64" s="666"/>
      <c r="N64" s="374"/>
      <c r="O64" s="337"/>
      <c r="P64" s="341"/>
      <c r="Q64" s="1625"/>
    </row>
    <row r="65" spans="1:23" s="338" customFormat="1" ht="45.75" thickBot="1">
      <c r="A65" s="341">
        <f t="shared" ca="1" si="13"/>
        <v>5</v>
      </c>
      <c r="B65" s="341">
        <f ca="1">IF(OR(C65=1,D65=1),SUMIF($A$21:A65,A65,$C$21:C65),"")</f>
        <v>15</v>
      </c>
      <c r="C65" s="341">
        <f t="shared" si="14"/>
        <v>1</v>
      </c>
      <c r="D65" s="662" t="str">
        <f t="shared" si="15"/>
        <v/>
      </c>
      <c r="E65" s="662"/>
      <c r="F65" s="667" t="str">
        <f t="shared" ca="1" si="20"/>
        <v>5.15</v>
      </c>
      <c r="G65" s="1099">
        <v>103682</v>
      </c>
      <c r="H65" s="1099" t="str">
        <f>IF(G65&gt;="CPU","PRÓPRIO","SINAPI")</f>
        <v>SINAPI</v>
      </c>
      <c r="I65" s="1098" t="str">
        <f>VLOOKUP($G65,IF(LEFT($G65,3)="CPU",COMPOSIÇÕES!$B$1:$E$4198,'BANCO DE DADOS JANEIRO-24 SERV'!$B$2:$F$7195),2,FALSE)</f>
        <v>CONCRETAGEM DE VIGAS E LAJES, FCK=25 MPA, PARA QUALQUER TIPO DE LAJE COM BALDES EM EDIFICAÇÃO TÉRREA - LANÇAMENTO, ADENSAMENTO E ACABAMENTO. AF_02/2022</v>
      </c>
      <c r="J65" s="1099" t="str">
        <f>VLOOKUP($G65,IF(LEFT($G65,3)="CPU",COMPOSIÇÕES!$B$1:$E$4198,'BANCO DE DADOS JANEIRO-24 SERV'!$B$2:$F$7195),3,FALSE)</f>
        <v>M3</v>
      </c>
      <c r="K65" s="1099">
        <v>2.14</v>
      </c>
      <c r="L65" s="1190">
        <f>VLOOKUP($G65,IF(LEFT($G65,3)="CPU",COMPOSIÇÕES!$B$1:$E$4198,'BANCO DE DADOS JANEIRO-24 SERV'!$B$2:$F$7195),4,FALSE)</f>
        <v>1171.0899999999999</v>
      </c>
      <c r="M65" s="1190">
        <f>IF($Q$2="OUTROS",TRUNC(L65*(1+$N$7),2),ROUND(L65*(1+$N$7),2))</f>
        <v>1454.49</v>
      </c>
      <c r="N65" s="1635">
        <f t="shared" ref="N65:N71" si="21">IF($Q$2="OUTROS",TRUNC(M65*K65,2),ROUND(M65*K65,2))</f>
        <v>3112.6</v>
      </c>
      <c r="O65" s="337"/>
      <c r="P65" s="776" t="s">
        <v>14117</v>
      </c>
      <c r="Q65" s="337" t="str">
        <f ca="1">F65</f>
        <v>5.15</v>
      </c>
    </row>
    <row r="66" spans="1:23" s="338" customFormat="1" ht="30.75" thickBot="1">
      <c r="A66" s="341">
        <f t="shared" ca="1" si="13"/>
        <v>5</v>
      </c>
      <c r="B66" s="341">
        <f ca="1">IF(OR(C66=1,D66=1),SUMIF($A$21:A66,A66,$C$21:C66),"")</f>
        <v>16</v>
      </c>
      <c r="C66" s="341">
        <f t="shared" si="14"/>
        <v>1</v>
      </c>
      <c r="D66" s="662" t="str">
        <f t="shared" si="15"/>
        <v/>
      </c>
      <c r="E66" s="662"/>
      <c r="F66" s="1505" t="str">
        <f t="shared" ca="1" si="20"/>
        <v>5.16</v>
      </c>
      <c r="G66" s="1099">
        <v>92448</v>
      </c>
      <c r="H66" s="1099" t="str">
        <f>IF(G66&gt;="CPU","PRÓPRIO","SINAPI")</f>
        <v>SINAPI</v>
      </c>
      <c r="I66" s="1098" t="str">
        <f>VLOOKUP($G66,IF(LEFT($G66,3)="CPU",COMPOSIÇÕES!$B$1:$E$4198,'BANCO DE DADOS JANEIRO-24 SERV'!$B$2:$F$7195),2,FALSE)</f>
        <v>MONTAGEM E DESMONTAGEM DE FÔRMA DE VIGA, ESCORAMENTO COM PONTALETE DE MADEIRA, PÉ-DIREITO SIMPLES, EM MADEIRA SERRADA, 4 UTILIZAÇÕES. AF_09/2020</v>
      </c>
      <c r="J66" s="1099" t="str">
        <f>VLOOKUP($G66,IF(LEFT($G66,3)="CPU",COMPOSIÇÕES!$B$1:$E$4198,'BANCO DE DADOS JANEIRO-24 SERV'!$B$2:$F$7195),3,FALSE)</f>
        <v>M2</v>
      </c>
      <c r="K66" s="1099">
        <v>37.29</v>
      </c>
      <c r="L66" s="1190">
        <f>VLOOKUP($G66,IF(LEFT($G66,3)="CPU",COMPOSIÇÕES!$B$1:$E$4198,'BANCO DE DADOS JANEIRO-24 SERV'!$B$2:$F$7195),4,FALSE)</f>
        <v>154.93</v>
      </c>
      <c r="M66" s="1190">
        <f>IF($Q$2="OUTROS",TRUNC(L66*(1+$N$7),2),ROUND(L66*(1+$N$7),2))</f>
        <v>192.42</v>
      </c>
      <c r="N66" s="1635">
        <f t="shared" si="21"/>
        <v>7175.34</v>
      </c>
      <c r="O66" s="337"/>
      <c r="P66" s="776" t="s">
        <v>14117</v>
      </c>
      <c r="Q66" s="337" t="str">
        <f ca="1">F66</f>
        <v>5.16</v>
      </c>
    </row>
    <row r="67" spans="1:23" s="338" customFormat="1" ht="30.75" thickBot="1">
      <c r="A67" s="341">
        <f t="shared" ca="1" si="13"/>
        <v>5</v>
      </c>
      <c r="B67" s="341">
        <f ca="1">IF(OR(C67=1,D67=1),SUMIF($A$21:A67,A67,$C$21:C67),"")</f>
        <v>17</v>
      </c>
      <c r="C67" s="341">
        <f t="shared" si="14"/>
        <v>1</v>
      </c>
      <c r="D67" s="662" t="str">
        <f t="shared" si="15"/>
        <v/>
      </c>
      <c r="E67" s="662"/>
      <c r="F67" s="1188" t="str">
        <f t="shared" ca="1" si="20"/>
        <v>5.17</v>
      </c>
      <c r="G67" s="1099">
        <v>104109</v>
      </c>
      <c r="H67" s="1099" t="str">
        <f>IF(G67&gt;="CPU","PRÓPRIO","SINAPI")</f>
        <v>SINAPI</v>
      </c>
      <c r="I67" s="1098" t="str">
        <f>VLOOKUP($G67,IF(LEFT($G67,3)="CPU",COMPOSIÇÕES!$B$1:$E$4198,'BANCO DE DADOS JANEIRO-24 SERV'!$B$2:$F$7195),2,FALSE)</f>
        <v>ARMAÇÃO DE PILAR OU VIGA DE ESTRUTURA DE CONCRETO ARMADO EMBUTIDA EM ALVENARIA DE VEDAÇÃO UTILIZANDO AÇO CA-50 DE 8,0 MM - MONTAGEM. AF_06/2022</v>
      </c>
      <c r="J67" s="1099" t="str">
        <f>VLOOKUP($G67,IF(LEFT($G67,3)="CPU",COMPOSIÇÕES!$B$1:$E$4198,'BANCO DE DADOS JANEIRO-24 SERV'!$B$2:$F$7195),3,FALSE)</f>
        <v>KG</v>
      </c>
      <c r="K67" s="1099">
        <v>84</v>
      </c>
      <c r="L67" s="1190">
        <f>VLOOKUP($G67,IF(LEFT($G67,3)="CPU",COMPOSIÇÕES!$B$1:$E$4198,'BANCO DE DADOS JANEIRO-24 SERV'!$B$2:$F$7195),4,FALSE)</f>
        <v>16.88</v>
      </c>
      <c r="M67" s="1190">
        <f>IF($Q$2="OUTROS",TRUNC(L67*(1+$N$7),2),ROUND(L67*(1+$N$7),2))</f>
        <v>20.96</v>
      </c>
      <c r="N67" s="1547">
        <f t="shared" si="21"/>
        <v>1760.64</v>
      </c>
      <c r="O67" s="337"/>
      <c r="P67" s="776" t="s">
        <v>14117</v>
      </c>
      <c r="Q67" s="337" t="str">
        <f ca="1">F67</f>
        <v>5.17</v>
      </c>
    </row>
    <row r="68" spans="1:23" s="338" customFormat="1" ht="30.75" thickBot="1">
      <c r="A68" s="341">
        <f t="shared" ca="1" si="13"/>
        <v>5</v>
      </c>
      <c r="B68" s="341">
        <f ca="1">IF(OR(C68=1,D68=1),SUMIF($A$21:A68,A68,$C$21:C68),"")</f>
        <v>18</v>
      </c>
      <c r="C68" s="341">
        <f t="shared" si="14"/>
        <v>1</v>
      </c>
      <c r="D68" s="662" t="str">
        <f t="shared" si="15"/>
        <v/>
      </c>
      <c r="E68" s="662"/>
      <c r="F68" s="1188" t="str">
        <f ca="1">IF(B68&lt;&gt;"",A68&amp;"."&amp;B68,"")</f>
        <v>5.18</v>
      </c>
      <c r="G68" s="1099">
        <v>104108</v>
      </c>
      <c r="H68" s="1099" t="str">
        <f>IF(G68&gt;="CPU","PRÓPRIO","SINAPI")</f>
        <v>SINAPI</v>
      </c>
      <c r="I68" s="1098" t="str">
        <f>VLOOKUP($G68,IF(LEFT($G68,3)="CPU",COMPOSIÇÕES!$B$1:$E$4198,'BANCO DE DADOS JANEIRO-24 SERV'!$B$2:$F$7195),2,FALSE)</f>
        <v>ARMAÇÃO DE PILAR OU VIGA DE ESTRUTURA DE CONCRETO ARMADO EMBUTIDA EM ALVENARIA DE VEDAÇÃO UTILIZANDO AÇO CA-50 DE 10,0 MM - MONTAGEM. AF_06/2022</v>
      </c>
      <c r="J68" s="1099" t="str">
        <f>VLOOKUP($G68,IF(LEFT($G68,3)="CPU",COMPOSIÇÕES!$B$1:$E$4198,'BANCO DE DADOS JANEIRO-24 SERV'!$B$2:$F$7195),3,FALSE)</f>
        <v>KG</v>
      </c>
      <c r="K68" s="1099">
        <v>31.6</v>
      </c>
      <c r="L68" s="1190">
        <f>VLOOKUP($G68,IF(LEFT($G68,3)="CPU",COMPOSIÇÕES!$B$1:$E$4198,'BANCO DE DADOS JANEIRO-24 SERV'!$B$2:$F$7195),4,FALSE)</f>
        <v>14.06</v>
      </c>
      <c r="M68" s="1190">
        <f>IF($QD$2="OUTROS",TRUNC(L68*(1+$N$7),2),ROUND(L68*(1+$N$7),2))</f>
        <v>17.46</v>
      </c>
      <c r="N68" s="1547">
        <f>IF($Q$2="OUTROS",TRUNC(M68*K68,2),ROUND(M68*K68,2))</f>
        <v>551.73</v>
      </c>
      <c r="O68" s="337"/>
      <c r="P68" s="776" t="s">
        <v>14117</v>
      </c>
      <c r="Q68" s="337" t="str">
        <f ca="1">F68</f>
        <v>5.18</v>
      </c>
      <c r="S68" s="338" t="s">
        <v>491</v>
      </c>
    </row>
    <row r="69" spans="1:23" s="338" customFormat="1" ht="30.75" thickBot="1">
      <c r="A69" s="341">
        <f t="shared" ca="1" si="13"/>
        <v>5</v>
      </c>
      <c r="B69" s="341">
        <f ca="1">IF(OR(C69=1,D69=1),SUMIF($A$21:A69,A69,$C$21:C69),"")</f>
        <v>19</v>
      </c>
      <c r="C69" s="341">
        <f t="shared" si="14"/>
        <v>1</v>
      </c>
      <c r="D69" s="662" t="str">
        <f t="shared" si="15"/>
        <v/>
      </c>
      <c r="E69" s="662"/>
      <c r="F69" s="1188" t="str">
        <f t="shared" ca="1" si="20"/>
        <v>5.19</v>
      </c>
      <c r="G69" s="1099">
        <v>104111</v>
      </c>
      <c r="H69" s="1099" t="str">
        <f>IF(G69&gt;="CPU","PRÓPRIO","SINAPI")</f>
        <v>SINAPI</v>
      </c>
      <c r="I69" s="1098" t="str">
        <f>VLOOKUP($G69,IF(LEFT($G69,3)="CPU",COMPOSIÇÕES!$B$1:$E$4198,'BANCO DE DADOS JANEIRO-24 SERV'!$B$2:$F$7195),2,FALSE)</f>
        <v>ARMAÇÃO DE PILAR OU VIGA DE ESTRUTURA DE CONCRETO ARMADO EMBUTIDA EM ALVENARIA DE VEDAÇÃO UTILIZANDO AÇO CA-60 DE 5,0 MM - MONTAGEM. AF_06/2022</v>
      </c>
      <c r="J69" s="1099" t="str">
        <f>VLOOKUP($G69,IF(LEFT($G69,3)="CPU",COMPOSIÇÕES!$B$1:$E$4198,'BANCO DE DADOS JANEIRO-24 SERV'!$B$2:$F$7195),3,FALSE)</f>
        <v>KG</v>
      </c>
      <c r="K69" s="1099">
        <v>52.4</v>
      </c>
      <c r="L69" s="1190">
        <f>VLOOKUP($G69,IF(LEFT($G69,3)="CPU",COMPOSIÇÕES!$B$1:$E$4198,'BANCO DE DADOS JANEIRO-24 SERV'!$B$2:$F$7195),4,FALSE)</f>
        <v>20.9</v>
      </c>
      <c r="M69" s="1190">
        <f>IF($Q$2="OUTROS",TRUNC(L69*(1+$N$7),2),ROUND(L69*(1+$N$7),2))</f>
        <v>25.95</v>
      </c>
      <c r="N69" s="1547">
        <f t="shared" si="21"/>
        <v>1359.78</v>
      </c>
      <c r="O69" s="337"/>
      <c r="P69" s="776" t="s">
        <v>14117</v>
      </c>
      <c r="Q69" s="337" t="str">
        <f ca="1">F69</f>
        <v>5.19</v>
      </c>
    </row>
    <row r="70" spans="1:23" s="338" customFormat="1" ht="16.5" thickBot="1">
      <c r="A70" s="341">
        <f t="shared" ca="1" si="13"/>
        <v>5</v>
      </c>
      <c r="B70" s="341" t="str">
        <f>IF(OR(C70=1,D70=1),SUMIF($A$21:A70,A70,$C$21:C70),"")</f>
        <v/>
      </c>
      <c r="C70" s="341" t="str">
        <f t="shared" si="14"/>
        <v/>
      </c>
      <c r="D70" s="662" t="str">
        <f t="shared" si="15"/>
        <v/>
      </c>
      <c r="E70" s="662"/>
      <c r="F70" s="663" t="str">
        <f t="shared" si="20"/>
        <v/>
      </c>
      <c r="G70" s="664"/>
      <c r="H70" s="664"/>
      <c r="I70" s="631" t="s">
        <v>14021</v>
      </c>
      <c r="J70" s="665"/>
      <c r="K70" s="666"/>
      <c r="L70" s="373"/>
      <c r="M70" s="666"/>
      <c r="N70" s="374"/>
      <c r="O70" s="337"/>
      <c r="P70" s="341"/>
      <c r="Q70" s="1625"/>
    </row>
    <row r="71" spans="1:23" s="338" customFormat="1" ht="30.75" thickBot="1">
      <c r="A71" s="341">
        <f t="shared" ca="1" si="13"/>
        <v>5</v>
      </c>
      <c r="B71" s="341">
        <f ca="1">IF(OR(C71=1,D71=1),SUMIF($A$21:A71,A71,$C$21:C71),"")</f>
        <v>20</v>
      </c>
      <c r="C71" s="341">
        <f t="shared" si="14"/>
        <v>1</v>
      </c>
      <c r="D71" s="662" t="str">
        <f t="shared" si="15"/>
        <v/>
      </c>
      <c r="E71" s="662"/>
      <c r="F71" s="1505" t="str">
        <f ca="1">IF(B71&lt;&gt;"",A71&amp;"."&amp;B71,"")</f>
        <v>5.20</v>
      </c>
      <c r="G71" s="1500">
        <v>98557</v>
      </c>
      <c r="H71" s="1099" t="str">
        <f>IF(G71&gt;="CPU","PRÓPRIO","SINAPI")</f>
        <v>SINAPI</v>
      </c>
      <c r="I71" s="1098" t="str">
        <f>VLOOKUP($G71,IF(LEFT($G71,3)="CPU",COMPOSIÇÕES!$B$1:$E$4198,'BANCO DE DADOS JANEIRO-24 SERV'!$B$2:$F$7195),2,FALSE)</f>
        <v>IMPERMEABILIZAÇÃO DE SUPERFÍCIE COM EMULSÃO ASFÁLTICA, 2 DEMÃOS. AF_09/2023</v>
      </c>
      <c r="J71" s="1099" t="str">
        <f>VLOOKUP($G71,IF(LEFT($G71,3)="CPU",COMPOSIÇÕES!$B$1:$E$4198,'BANCO DE DADOS JANEIRO-24 SERV'!$B$2:$F$7195),3,FALSE)</f>
        <v>M2</v>
      </c>
      <c r="K71" s="1099">
        <v>59.16</v>
      </c>
      <c r="L71" s="1190">
        <f>VLOOKUP($G71,IF(LEFT($G71,3)="CPU",COMPOSIÇÕES!$B$1:$E$4198,'BANCO DE DADOS JANEIRO-24 SERV'!$B$2:$F$7195),4,FALSE)</f>
        <v>45.05</v>
      </c>
      <c r="M71" s="1190">
        <f>IF($Q$2="OUTROS",TRUNC(L71*(1+$N$7),2),ROUND(L71*(1+$N$7),2))</f>
        <v>55.95</v>
      </c>
      <c r="N71" s="1547">
        <f t="shared" si="21"/>
        <v>3310</v>
      </c>
      <c r="O71" s="337"/>
      <c r="P71" s="776" t="s">
        <v>14116</v>
      </c>
      <c r="Q71" s="337" t="str">
        <f ca="1">F71</f>
        <v>5.20</v>
      </c>
    </row>
    <row r="72" spans="1:23" s="344" customFormat="1" ht="16.5" thickBot="1">
      <c r="A72" s="341">
        <f t="shared" ca="1" si="13"/>
        <v>5</v>
      </c>
      <c r="B72" s="341" t="str">
        <f>IF(OR(C72=1,D72=1),SUMIF($A$21:A72,A72,$C$21:C72),"")</f>
        <v/>
      </c>
      <c r="C72" s="341" t="str">
        <f t="shared" si="14"/>
        <v/>
      </c>
      <c r="D72" s="662" t="str">
        <f t="shared" si="15"/>
        <v/>
      </c>
      <c r="E72" s="662"/>
      <c r="F72" s="1508" t="str">
        <f t="shared" si="20"/>
        <v/>
      </c>
      <c r="G72" s="148"/>
      <c r="H72" s="148"/>
      <c r="I72" s="148"/>
      <c r="J72" s="148"/>
      <c r="K72" s="148"/>
      <c r="L72" s="149"/>
      <c r="M72" s="148"/>
      <c r="N72" s="1509"/>
      <c r="O72" s="343"/>
      <c r="Q72" s="1626"/>
    </row>
    <row r="73" spans="1:23" s="345" customFormat="1" ht="16.5" thickBot="1">
      <c r="A73" s="341">
        <f t="shared" ca="1" si="13"/>
        <v>6</v>
      </c>
      <c r="B73" s="341">
        <f ca="1">IF(OR(C73=1,D73=1),SUMIF($A$21:A73,A73,$C$21:C73),"")</f>
        <v>0</v>
      </c>
      <c r="C73" s="341" t="str">
        <f t="shared" si="14"/>
        <v/>
      </c>
      <c r="D73" s="662">
        <f t="shared" si="15"/>
        <v>1</v>
      </c>
      <c r="E73" s="662"/>
      <c r="F73" s="150" t="str">
        <f t="shared" ca="1" si="20"/>
        <v>6.0</v>
      </c>
      <c r="G73" s="151"/>
      <c r="H73" s="151"/>
      <c r="I73" s="152" t="s">
        <v>14022</v>
      </c>
      <c r="J73" s="153"/>
      <c r="K73" s="154"/>
      <c r="L73" s="155"/>
      <c r="M73" s="155"/>
      <c r="N73" s="147">
        <f>SUM(N74:N76)</f>
        <v>675933.44000000006</v>
      </c>
      <c r="O73" s="337"/>
      <c r="P73" s="341"/>
      <c r="Q73" s="1625"/>
      <c r="R73" s="338"/>
      <c r="S73" s="338"/>
      <c r="T73" s="338"/>
      <c r="U73" s="338"/>
      <c r="V73" s="338"/>
      <c r="W73" s="338"/>
    </row>
    <row r="74" spans="1:23" s="338" customFormat="1" ht="30.75" thickBot="1">
      <c r="A74" s="341">
        <f t="shared" ca="1" si="13"/>
        <v>6</v>
      </c>
      <c r="B74" s="341">
        <f ca="1">IF(OR(C74=1,D74=1),SUMIF($A$21:A74,A74,$C$21:C74),"")</f>
        <v>1</v>
      </c>
      <c r="C74" s="341">
        <f t="shared" si="14"/>
        <v>1</v>
      </c>
      <c r="D74" s="662" t="str">
        <f t="shared" si="15"/>
        <v/>
      </c>
      <c r="E74" s="662"/>
      <c r="F74" s="1505" t="str">
        <f t="shared" ca="1" si="20"/>
        <v>6.1</v>
      </c>
      <c r="G74" s="1500" t="str">
        <f>'COMPOSIÇÃO ESTRUTURAL'!B14</f>
        <v>CPU EST 001</v>
      </c>
      <c r="H74" s="1099" t="str">
        <f>IF(G74&gt;="CPU","PRÓPRIO","SINAPI")</f>
        <v>PRÓPRIO</v>
      </c>
      <c r="I74" s="309" t="str">
        <f>VLOOKUP($G74,IF(LEFT($G74,3)="CPU",COMPOSIÇÕES!$B$1:$E$4198,'BANCO DE DADOS JANEIRO-24 SERV'!$B$2:$F$7195),2,FALSE)</f>
        <v>FORNECIMENTO DE ESTRUTURA METÁLICA  COM UTILIZAÇÃO DE PERFIS EM AÇO ASTM A36, COM FUNDO ATINCORROSIVO (ZARÇÃO)</v>
      </c>
      <c r="J74" s="310" t="str">
        <f>VLOOKUP($G74,IF(LEFT($G74,3)="CPU",COMPOSIÇÕES!$B$1:$E$4198,'BANCO DE DADOS JANEIRO-24 SERV'!$B$2:$F$7195),3,FALSE)</f>
        <v>KG</v>
      </c>
      <c r="K74" s="1506">
        <v>25082.98</v>
      </c>
      <c r="L74" s="311">
        <f>VLOOKUP($G74,IF(LEFT($G74,3)="CPU",COMPOSIÇÕES!$B$1:$E$4198,'BANCO DE DADOS JANEIRO-24 SERV'!$B$2:$F$7195),4,FALSE)</f>
        <v>17.64</v>
      </c>
      <c r="M74" s="1190">
        <f>IF($Q$2="OUTROS",TRUNC(L74*(1+$N$7),2),ROUND(L74*(1+$N$7),2))</f>
        <v>21.9</v>
      </c>
      <c r="N74" s="1507">
        <f>IF($Q$2="OUTROS",TRUNC(M74*K74,2),ROUND(M74*K74,2))</f>
        <v>549317.26</v>
      </c>
      <c r="O74" s="337"/>
      <c r="P74" s="776" t="s">
        <v>14118</v>
      </c>
      <c r="Q74" s="337" t="str">
        <f ca="1">F74</f>
        <v>6.1</v>
      </c>
    </row>
    <row r="75" spans="1:23" s="338" customFormat="1" ht="16.5" thickBot="1">
      <c r="A75" s="341">
        <f t="shared" ca="1" si="13"/>
        <v>6</v>
      </c>
      <c r="B75" s="341">
        <f ca="1">IF(OR(C75=1,D75=1),SUMIF($A$21:A75,A75,$C$21:C75),"")</f>
        <v>2</v>
      </c>
      <c r="C75" s="341">
        <f t="shared" si="14"/>
        <v>1</v>
      </c>
      <c r="D75" s="662" t="str">
        <f t="shared" si="15"/>
        <v/>
      </c>
      <c r="E75" s="662"/>
      <c r="F75" s="1505" t="str">
        <f t="shared" ca="1" si="20"/>
        <v>6.2</v>
      </c>
      <c r="G75" s="1500" t="str">
        <f>'COMPOSIÇÃO ESTRUTURAL'!B32</f>
        <v>CPU EST 002</v>
      </c>
      <c r="H75" s="1099" t="str">
        <f>IF(G75&gt;="CPU","PRÓPRIO","SINAPI")</f>
        <v>PRÓPRIO</v>
      </c>
      <c r="I75" s="309" t="str">
        <f>VLOOKUP($G75,IF(LEFT($G75,3)="CPU",COMPOSIÇÕES!$B$1:$E$4198,'BANCO DE DADOS JANEIRO-24 SERV'!$B$2:$F$7195),2,FALSE)</f>
        <v xml:space="preserve">MONTAGEM DE ESTRUTURA METÁLICA </v>
      </c>
      <c r="J75" s="310" t="str">
        <f>VLOOKUP($G75,IF(LEFT($G75,3)="CPU",COMPOSIÇÕES!$B$1:$E$4198,'BANCO DE DADOS JANEIRO-24 SERV'!$B$2:$F$7195),3,FALSE)</f>
        <v>KG</v>
      </c>
      <c r="K75" s="1506">
        <v>25082.98</v>
      </c>
      <c r="L75" s="311">
        <f>VLOOKUP($G75,IF(LEFT($G75,3)="CPU",COMPOSIÇÕES!$B$1:$E$4198,'BANCO DE DADOS JANEIRO-24 SERV'!$B$2:$F$7195),4,FALSE)</f>
        <v>3.74</v>
      </c>
      <c r="M75" s="1190">
        <f>IF($Q$2="OUTROS",TRUNC(L75*(1+$N$7),2),ROUND(L75*(1+$N$7),2))</f>
        <v>4.6399999999999997</v>
      </c>
      <c r="N75" s="1507">
        <f>IF($Q$2="OUTROS",TRUNC(M75*K75,2),ROUND(M75*K75,2))</f>
        <v>116385.02</v>
      </c>
      <c r="O75" s="337"/>
      <c r="P75" s="776" t="s">
        <v>14118</v>
      </c>
      <c r="Q75" s="337" t="str">
        <f ca="1">F75</f>
        <v>6.2</v>
      </c>
    </row>
    <row r="76" spans="1:23" s="338" customFormat="1" ht="30.75" thickBot="1">
      <c r="A76" s="341">
        <f t="shared" ca="1" si="13"/>
        <v>6</v>
      </c>
      <c r="B76" s="341">
        <f ca="1">IF(OR(C76=1,D76=1),SUMIF($A$21:A76,A76,$C$21:C76),"")</f>
        <v>3</v>
      </c>
      <c r="C76" s="341">
        <f t="shared" si="14"/>
        <v>1</v>
      </c>
      <c r="D76" s="662" t="str">
        <f t="shared" si="15"/>
        <v/>
      </c>
      <c r="E76" s="662"/>
      <c r="F76" s="1505" t="str">
        <f t="shared" ca="1" si="20"/>
        <v>6.3</v>
      </c>
      <c r="G76" s="1099" t="str">
        <f>'COMPOSIÇÃO ESTRUTURAL'!B40</f>
        <v>CPU EST 003</v>
      </c>
      <c r="H76" s="1099" t="str">
        <f>IF(G76&gt;="CPU","PRÓPRIO","SINAPI")</f>
        <v>PRÓPRIO</v>
      </c>
      <c r="I76" s="309" t="str">
        <f>VLOOKUP($G76,IF(LEFT($G76,3)="CPU",COMPOSIÇÕES!$B$1:$E$4198,'BANCO DE DADOS JANEIRO-24 SERV'!$B$2:$F$7195),2,FALSE)</f>
        <v>CHUMBADOR PARABOLT -  COM PORCA E ARRUELA P/FIXAÇÃO PEÇA ESTRUTURAL ACO/CONCRETO</v>
      </c>
      <c r="J76" s="310" t="str">
        <f>VLOOKUP($G76,IF(LEFT($G76,3)="CPU",COMPOSIÇÕES!$B$1:$E$4198,'BANCO DE DADOS JANEIRO-24 SERV'!$B$2:$F$7195),3,FALSE)</f>
        <v>UN</v>
      </c>
      <c r="K76" s="1506">
        <v>548</v>
      </c>
      <c r="L76" s="311">
        <f>VLOOKUP($G76,IF(LEFT($G76,3)="CPU",COMPOSIÇÕES!$B$1:$E$4198,'BANCO DE DADOS JANEIRO-24 SERV'!$B$2:$F$7195),4,FALSE)</f>
        <v>15.04</v>
      </c>
      <c r="M76" s="1190">
        <f>IF($Q$2="OUTROS",TRUNC(L76*(1+$N$7),2),ROUND(L76*(1+$N$7),2))</f>
        <v>18.670000000000002</v>
      </c>
      <c r="N76" s="1507">
        <f>IF($Q$2="OUTROS",TRUNC(M76*K76,2),ROUND(M76*K76,2))</f>
        <v>10231.16</v>
      </c>
      <c r="O76" s="337"/>
      <c r="P76" s="776" t="s">
        <v>14118</v>
      </c>
      <c r="Q76" s="337" t="str">
        <f ca="1">F76</f>
        <v>6.3</v>
      </c>
    </row>
    <row r="77" spans="1:23" s="344" customFormat="1" ht="16.5" thickBot="1">
      <c r="A77" s="341">
        <f t="shared" ca="1" si="13"/>
        <v>6</v>
      </c>
      <c r="B77" s="341" t="str">
        <f>IF(OR(C77=1,D77=1),SUMIF($A$21:A77,A77,$C$21:C77),"")</f>
        <v/>
      </c>
      <c r="C77" s="341" t="str">
        <f t="shared" si="14"/>
        <v/>
      </c>
      <c r="D77" s="662" t="str">
        <f t="shared" si="15"/>
        <v/>
      </c>
      <c r="E77" s="662"/>
      <c r="F77" s="240" t="str">
        <f t="shared" ref="F77:F84" si="22">IF(B77&lt;&gt;"",A77&amp;"."&amp;B77,"")</f>
        <v/>
      </c>
      <c r="G77" s="139"/>
      <c r="H77" s="139"/>
      <c r="I77" s="139"/>
      <c r="J77" s="139"/>
      <c r="K77" s="139"/>
      <c r="L77" s="140"/>
      <c r="M77" s="139"/>
      <c r="N77" s="241"/>
      <c r="O77" s="343"/>
      <c r="P77" s="1630"/>
      <c r="Q77" s="337" t="str">
        <f>F77</f>
        <v/>
      </c>
    </row>
    <row r="78" spans="1:23" s="338" customFormat="1" ht="16.5" thickBot="1">
      <c r="A78" s="341">
        <f t="shared" ca="1" si="13"/>
        <v>7</v>
      </c>
      <c r="B78" s="341">
        <f ca="1">IF(OR(C78=1,D78=1),SUMIF($A$21:A78,A78,$C$21:C78),"")</f>
        <v>0</v>
      </c>
      <c r="C78" s="341" t="str">
        <f t="shared" si="14"/>
        <v/>
      </c>
      <c r="D78" s="662">
        <f t="shared" si="15"/>
        <v>1</v>
      </c>
      <c r="E78" s="662"/>
      <c r="F78" s="132" t="str">
        <f t="shared" ca="1" si="22"/>
        <v>7.0</v>
      </c>
      <c r="G78" s="133"/>
      <c r="H78" s="133"/>
      <c r="I78" s="134" t="s">
        <v>399</v>
      </c>
      <c r="J78" s="135"/>
      <c r="K78" s="136"/>
      <c r="L78" s="137"/>
      <c r="M78" s="137"/>
      <c r="N78" s="138">
        <f>SUM(N80:N82)</f>
        <v>35649.85</v>
      </c>
      <c r="O78" s="337"/>
      <c r="P78" s="341"/>
      <c r="Q78" s="1625"/>
    </row>
    <row r="79" spans="1:23" s="338" customFormat="1" ht="16.5" thickBot="1">
      <c r="A79" s="341">
        <f t="shared" ca="1" si="13"/>
        <v>7</v>
      </c>
      <c r="B79" s="341" t="str">
        <f>IF(OR(C79=1,D79=1),SUMIF($A$21:A79,A79,$C$21:C79),"")</f>
        <v/>
      </c>
      <c r="C79" s="341" t="str">
        <f t="shared" si="14"/>
        <v/>
      </c>
      <c r="D79" s="662" t="str">
        <f t="shared" si="15"/>
        <v/>
      </c>
      <c r="E79" s="662"/>
      <c r="F79" s="986" t="str">
        <f t="shared" si="22"/>
        <v/>
      </c>
      <c r="G79" s="987"/>
      <c r="H79" s="987"/>
      <c r="I79" s="988" t="s">
        <v>400</v>
      </c>
      <c r="J79" s="989"/>
      <c r="K79" s="990"/>
      <c r="L79" s="991"/>
      <c r="M79" s="990"/>
      <c r="N79" s="992"/>
      <c r="O79" s="337"/>
      <c r="P79" s="341"/>
      <c r="Q79" s="1625"/>
    </row>
    <row r="80" spans="1:23" s="341" customFormat="1" ht="45.75" thickBot="1">
      <c r="A80" s="341">
        <f t="shared" ca="1" si="13"/>
        <v>7</v>
      </c>
      <c r="B80" s="341">
        <f ca="1">IF(OR(C80=1,D80=1),SUMIF($A$21:A80,A80,$C$21:C80),"")</f>
        <v>1</v>
      </c>
      <c r="C80" s="341">
        <f t="shared" si="14"/>
        <v>1</v>
      </c>
      <c r="D80" s="662" t="str">
        <f t="shared" si="15"/>
        <v/>
      </c>
      <c r="E80" s="662"/>
      <c r="F80" s="1223" t="str">
        <f t="shared" ca="1" si="22"/>
        <v>7.1</v>
      </c>
      <c r="G80" s="1099">
        <v>103328</v>
      </c>
      <c r="H80" s="1099" t="str">
        <f>IF(G80&gt;="CPU","PRÓPRIO","SINAPI")</f>
        <v>SINAPI</v>
      </c>
      <c r="I80" s="1098" t="str">
        <f>VLOOKUP($G80,IF(LEFT($G80,3)="CPU",COMPOSIÇÕES!$B$1:$E$4198,'BANCO DE DADOS JANEIRO-24 SERV'!$B$2:$F$7195),2,FALSE)</f>
        <v>ALVENARIA DE VEDAÇÃO DE BLOCOS CERÂMICOS FURADOS NA HORIZONTAL DE 9X19X19 CM (ESPESSURA 9 CM) E ARGAMASSA DE ASSENTAMENTO COM PREPARO EM BETONEIRA. AF_12/2021</v>
      </c>
      <c r="J80" s="1099" t="str">
        <f>VLOOKUP($G80,IF(LEFT($G80,3)="CPU",COMPOSIÇÕES!$B$1:$E$4198,'BANCO DE DADOS JANEIRO-24 SERV'!$B$2:$F$7195),3,FALSE)</f>
        <v>M2</v>
      </c>
      <c r="K80" s="1099">
        <v>136.71</v>
      </c>
      <c r="L80" s="1190">
        <f>VLOOKUP($G80,IF(LEFT($G80,3)="CPU",COMPOSIÇÕES!$B$1:$E$4198,'BANCO DE DADOS JANEIRO-24 SERV'!$B$2:$F$7195),4,FALSE)</f>
        <v>91.27</v>
      </c>
      <c r="M80" s="1190">
        <f>IF($Q$2="OUTROS",TRUNC(L80*(1+$N$7),2),ROUND(L80*(1+$N$7),2))</f>
        <v>113.35</v>
      </c>
      <c r="N80" s="1191">
        <f>IF($Q$2="OUTROS",TRUNC(M80*K80,2),ROUND(M80*K80,2))</f>
        <v>15496.07</v>
      </c>
      <c r="O80" s="337"/>
      <c r="P80" s="776" t="s">
        <v>14119</v>
      </c>
      <c r="Q80" s="337" t="str">
        <f ca="1">F80</f>
        <v>7.1</v>
      </c>
      <c r="S80" s="340"/>
    </row>
    <row r="81" spans="1:19" s="341" customFormat="1" ht="45.75" thickBot="1">
      <c r="A81" s="341">
        <f t="shared" ca="1" si="13"/>
        <v>7</v>
      </c>
      <c r="B81" s="341">
        <f ca="1">IF(OR(C81=1,D81=1),SUMIF($A$21:A81,A81,$C$21:C81),"")</f>
        <v>2</v>
      </c>
      <c r="C81" s="341">
        <f t="shared" si="14"/>
        <v>1</v>
      </c>
      <c r="D81" s="662" t="str">
        <f t="shared" si="15"/>
        <v/>
      </c>
      <c r="E81" s="662"/>
      <c r="F81" s="1223" t="str">
        <f t="shared" ca="1" si="22"/>
        <v>7.2</v>
      </c>
      <c r="G81" s="1099">
        <v>87894</v>
      </c>
      <c r="H81" s="1099" t="str">
        <f>IF(G81&gt;="CPU","PRÓPRIO","SINAPI")</f>
        <v>SINAPI</v>
      </c>
      <c r="I81" s="1098" t="str">
        <f>VLOOKUP($G81,IF(LEFT($G81,3)="CPU",COMPOSIÇÕES!$B$1:$E$4198,'BANCO DE DADOS JANEIRO-24 SERV'!$B$2:$F$7195),2,FALSE)</f>
        <v>CHAPISCO APLICADO EM ALVENARIA (SEM PRESENÇA DE VÃOS) E ESTRUTURAS DE CONCRETO DE FACHADA, COM COLHER DE PEDREIRO.  ARGAMASSA TRAÇO 1:3 COM PREPARO EM BETONEIRA 400L. AF_10/2022</v>
      </c>
      <c r="J81" s="1099" t="str">
        <f>VLOOKUP($G81,IF(LEFT($G81,3)="CPU",COMPOSIÇÕES!$B$1:$E$4198,'BANCO DE DADOS JANEIRO-24 SERV'!$B$2:$F$7195),3,FALSE)</f>
        <v>M2</v>
      </c>
      <c r="K81" s="1099">
        <v>273.42</v>
      </c>
      <c r="L81" s="1190">
        <f>VLOOKUP($G81,IF(LEFT($G81,3)="CPU",COMPOSIÇÕES!$B$1:$E$4198,'BANCO DE DADOS JANEIRO-24 SERV'!$B$2:$F$7195),4,FALSE)</f>
        <v>6.66</v>
      </c>
      <c r="M81" s="1190">
        <f>IF($Q$2="OUTROS",TRUNC(L81*(1+$N$7),2),ROUND(L81*(1+$N$7),2))</f>
        <v>8.27</v>
      </c>
      <c r="N81" s="1372">
        <f>IF($Q$2="OUTROS",TRUNC(M81*K81,2),ROUND(M81*K81,2))</f>
        <v>2261.1799999999998</v>
      </c>
      <c r="O81" s="1370"/>
      <c r="P81" s="776" t="s">
        <v>14119</v>
      </c>
      <c r="Q81" s="1370" t="str">
        <f ca="1">F81</f>
        <v>7.2</v>
      </c>
      <c r="S81" s="340"/>
    </row>
    <row r="82" spans="1:19" s="341" customFormat="1" ht="45.75" thickBot="1">
      <c r="A82" s="341">
        <f t="shared" ca="1" si="13"/>
        <v>7</v>
      </c>
      <c r="B82" s="341">
        <f ca="1">IF(OR(C82=1,D82=1),SUMIF($A$21:A82,A82,$C$21:C82),"")</f>
        <v>3</v>
      </c>
      <c r="C82" s="341">
        <f t="shared" si="14"/>
        <v>1</v>
      </c>
      <c r="D82" s="662" t="str">
        <f t="shared" si="15"/>
        <v/>
      </c>
      <c r="E82" s="662"/>
      <c r="F82" s="1223" t="str">
        <f ca="1">IF(B82&lt;&gt;"",A82&amp;"."&amp;B82,"")</f>
        <v>7.3</v>
      </c>
      <c r="G82" s="1099">
        <v>87775</v>
      </c>
      <c r="H82" s="1099" t="str">
        <f>IF(G82&gt;="CPU","PRÓPRIO","SINAPI")</f>
        <v>SINAPI</v>
      </c>
      <c r="I82" s="1098" t="str">
        <f>VLOOKUP($G82,IF(LEFT($G82,3)="CPU",COMPOSIÇÕES!$B$1:$E$4198,'BANCO DE DADOS JANEIRO-24 SERV'!$B$2:$F$7195),2,FALSE)</f>
        <v>EMBOÇO OU MASSA ÚNICA EM ARGAMASSA TRAÇO 1:2:8, PREPARO MECÂNICO COM BETONEIRA 400 L, APLICADA MANUALMENTE EM PANOS DE FACHADA COM PRESENÇA DE VÃOS, ESPESSURA DE 25 MM. AF_08/2022</v>
      </c>
      <c r="J82" s="1099" t="str">
        <f>VLOOKUP($G82,IF(LEFT($G82,3)="CPU",COMPOSIÇÕES!$B$1:$E$4198,'BANCO DE DADOS JANEIRO-24 SERV'!$B$2:$F$7195),3,FALSE)</f>
        <v>M2</v>
      </c>
      <c r="K82" s="1099">
        <v>273.42</v>
      </c>
      <c r="L82" s="1190">
        <f>VLOOKUP($G82,IF(LEFT($G82,3)="CPU",COMPOSIÇÕES!$B$1:$E$4198,'BANCO DE DADOS JANEIRO-24 SERV'!$B$2:$F$7195),4,FALSE)</f>
        <v>52.69</v>
      </c>
      <c r="M82" s="1190">
        <f>IF($Q$2="OUTROS",TRUNC(L82*(1+$N$7),2),ROUND(L82*(1+$N$7),2))</f>
        <v>65.44</v>
      </c>
      <c r="N82" s="1372">
        <f>IF($Q$2="OUTROS",TRUNC(M82*K82,2),ROUND(M82*K82,2))</f>
        <v>17892.599999999999</v>
      </c>
      <c r="O82" s="1370"/>
      <c r="P82" s="776" t="s">
        <v>14119</v>
      </c>
      <c r="Q82" s="1370" t="str">
        <f ca="1">F82</f>
        <v>7.3</v>
      </c>
      <c r="S82" s="340"/>
    </row>
    <row r="83" spans="1:19" s="344" customFormat="1" ht="16.5" thickBot="1">
      <c r="A83" s="341">
        <f t="shared" ca="1" si="13"/>
        <v>7</v>
      </c>
      <c r="B83" s="341" t="str">
        <f>IF(OR(C83=1,D83=1),SUMIF($A$21:A83,A83,$C$21:C83),"")</f>
        <v/>
      </c>
      <c r="C83" s="341" t="str">
        <f t="shared" si="14"/>
        <v/>
      </c>
      <c r="D83" s="662" t="str">
        <f t="shared" si="15"/>
        <v/>
      </c>
      <c r="E83" s="662"/>
      <c r="F83" s="1508" t="str">
        <f t="shared" si="22"/>
        <v/>
      </c>
      <c r="G83" s="148"/>
      <c r="H83" s="148"/>
      <c r="I83" s="148"/>
      <c r="J83" s="148"/>
      <c r="K83" s="148"/>
      <c r="L83" s="149"/>
      <c r="M83" s="148"/>
      <c r="N83" s="1509"/>
      <c r="O83" s="343"/>
      <c r="Q83" s="1626"/>
    </row>
    <row r="84" spans="1:19" s="338" customFormat="1" ht="15.75">
      <c r="A84" s="341">
        <f t="shared" ca="1" si="13"/>
        <v>8</v>
      </c>
      <c r="B84" s="341">
        <f ca="1">IF(OR(C84=1,D84=1),SUMIF($A$21:A84,A84,$C$21:C84),"")</f>
        <v>0</v>
      </c>
      <c r="C84" s="341" t="str">
        <f t="shared" si="14"/>
        <v/>
      </c>
      <c r="D84" s="662">
        <f t="shared" si="15"/>
        <v>1</v>
      </c>
      <c r="E84" s="662"/>
      <c r="F84" s="132" t="str">
        <f t="shared" ca="1" si="22"/>
        <v>8.0</v>
      </c>
      <c r="G84" s="133"/>
      <c r="H84" s="133"/>
      <c r="I84" s="134" t="s">
        <v>321</v>
      </c>
      <c r="J84" s="135"/>
      <c r="K84" s="136"/>
      <c r="L84" s="137"/>
      <c r="M84" s="137"/>
      <c r="N84" s="138">
        <f>SUM(N85:N91)</f>
        <v>153995.4</v>
      </c>
      <c r="O84" s="1631" t="s">
        <v>7876</v>
      </c>
      <c r="P84" s="341"/>
      <c r="Q84" s="1625"/>
    </row>
    <row r="85" spans="1:19" s="338" customFormat="1" ht="16.5" thickBot="1">
      <c r="A85" s="341">
        <f t="shared" ca="1" si="13"/>
        <v>8</v>
      </c>
      <c r="B85" s="341" t="str">
        <f>IF(OR(C85=1,D85=1),SUMIF($A$21:A85,A85,$C$21:C85),"")</f>
        <v/>
      </c>
      <c r="C85" s="341" t="str">
        <f t="shared" si="14"/>
        <v/>
      </c>
      <c r="D85" s="662" t="str">
        <f t="shared" si="15"/>
        <v/>
      </c>
      <c r="E85" s="662"/>
      <c r="F85" s="1225" t="str">
        <f t="shared" ref="F85:F91" si="23">IF(B85&lt;&gt;"",A85&amp;"."&amp;B85,"")</f>
        <v/>
      </c>
      <c r="G85" s="1226"/>
      <c r="H85" s="1226"/>
      <c r="I85" s="1373" t="s">
        <v>4738</v>
      </c>
      <c r="J85" s="1227"/>
      <c r="K85" s="1228"/>
      <c r="L85" s="1374"/>
      <c r="M85" s="1228"/>
      <c r="N85" s="1375"/>
      <c r="O85" s="1370"/>
      <c r="P85" s="341"/>
      <c r="Q85" s="1625"/>
    </row>
    <row r="86" spans="1:19" s="341" customFormat="1" ht="45.75" thickBot="1">
      <c r="A86" s="341">
        <f t="shared" ca="1" si="13"/>
        <v>8</v>
      </c>
      <c r="B86" s="341">
        <f ca="1">IF(OR(C86=1,D86=1),SUMIF($A$21:A86,A86,$C$21:C86),"")</f>
        <v>1</v>
      </c>
      <c r="C86" s="341">
        <f t="shared" si="14"/>
        <v>1</v>
      </c>
      <c r="D86" s="662" t="str">
        <f t="shared" si="15"/>
        <v/>
      </c>
      <c r="E86" s="662"/>
      <c r="F86" s="1188" t="str">
        <f t="shared" ca="1" si="23"/>
        <v>8.1</v>
      </c>
      <c r="G86" s="1099">
        <v>94570</v>
      </c>
      <c r="H86" s="1099" t="str">
        <f>IF(G86&gt;="CPU","PRÓPRIO","SINAPI")</f>
        <v>SINAPI</v>
      </c>
      <c r="I86" s="1098" t="str">
        <f>VLOOKUP($G86,IF(LEFT($G86,3)="CPU",COMPOSIÇÕES!$B$1:$E$4198,'BANCO DE DADOS JANEIRO-24 SERV'!$B$2:$F$7195),2,FALSE)</f>
        <v>JANELA DE ALUMÍNIO DE CORRER COM 2 FOLHAS PARA VIDROS, COM VIDROS, BATENTE, ACABAMENTO COM ACETATO OU BRILHANTE E FERRAGENS. EXCLUSIVE ALIZAR E CONTRAMARCO. FORNECIMENTO E INSTALAÇÃO. AF_12/2019</v>
      </c>
      <c r="J86" s="1099" t="str">
        <f>VLOOKUP($G86,IF(LEFT($G86,3)="CPU",COMPOSIÇÕES!$B$1:$E$4198,'BANCO DE DADOS JANEIRO-24 SERV'!$B$2:$F$7195),3,FALSE)</f>
        <v>M2</v>
      </c>
      <c r="K86" s="1099">
        <v>127.92</v>
      </c>
      <c r="L86" s="1190">
        <f>VLOOKUP($G86,IF(LEFT($G86,3)="CPU",COMPOSIÇÕES!$B$1:$E$4198,'BANCO DE DADOS JANEIRO-24 SERV'!$B$2:$F$7195),4,FALSE)</f>
        <v>328.21</v>
      </c>
      <c r="M86" s="1190">
        <f>IF($Q$2="OUTROS",TRUNC(L86*(1+$N$7),2),ROUND(L86*(1+$N$7),2))</f>
        <v>407.63</v>
      </c>
      <c r="N86" s="1372">
        <f>IF($Q$2="OUTROS",TRUNC(M86*K86,2),ROUND(M86*K86,2))</f>
        <v>52144.02</v>
      </c>
      <c r="O86" s="1370"/>
      <c r="P86" s="776" t="s">
        <v>14122</v>
      </c>
      <c r="Q86" s="1370" t="str">
        <f ca="1">F86</f>
        <v>8.1</v>
      </c>
      <c r="S86" s="340"/>
    </row>
    <row r="87" spans="1:19" s="341" customFormat="1" ht="45.75" thickBot="1">
      <c r="A87" s="341">
        <f t="shared" ca="1" si="13"/>
        <v>8</v>
      </c>
      <c r="B87" s="341">
        <f ca="1">IF(OR(C87=1,D87=1),SUMIF($A$21:A87,A87,$C$21:C87),"")</f>
        <v>2</v>
      </c>
      <c r="C87" s="341">
        <f t="shared" si="14"/>
        <v>1</v>
      </c>
      <c r="D87" s="662" t="str">
        <f t="shared" si="15"/>
        <v/>
      </c>
      <c r="E87" s="662"/>
      <c r="F87" s="1188" t="str">
        <f t="shared" ca="1" si="23"/>
        <v>8.2</v>
      </c>
      <c r="G87" s="1099">
        <v>94569</v>
      </c>
      <c r="H87" s="1099" t="str">
        <f>IF(G87&gt;="CPU","PRÓPRIO","SINAPI")</f>
        <v>SINAPI</v>
      </c>
      <c r="I87" s="1098" t="str">
        <f>VLOOKUP($G87,IF(LEFT($G87,3)="CPU",COMPOSIÇÕES!$B$1:$E$4198,'BANCO DE DADOS JANEIRO-24 SERV'!$B$2:$F$7195),2,FALSE)</f>
        <v>JANELA DE ALUMÍNIO TIPO MAXIM-AR, COM VIDROS, BATENTE E FERRAGENS. EXCLUSIVE ALIZAR, ACABAMENTO E CONTRAMARCO. FORNECIMENTO E INSTALAÇÃO. AF_12/2019</v>
      </c>
      <c r="J87" s="1099" t="str">
        <f>VLOOKUP($G87,IF(LEFT($G87,3)="CPU",COMPOSIÇÕES!$B$1:$E$4198,'BANCO DE DADOS JANEIRO-24 SERV'!$B$2:$F$7195),3,FALSE)</f>
        <v>M2</v>
      </c>
      <c r="K87" s="1099">
        <v>2.52</v>
      </c>
      <c r="L87" s="1190">
        <f>VLOOKUP($G87,IF(LEFT($G87,3)="CPU",COMPOSIÇÕES!$B$1:$E$4198,'BANCO DE DADOS JANEIRO-24 SERV'!$B$2:$F$7195),4,FALSE)</f>
        <v>634.79999999999995</v>
      </c>
      <c r="M87" s="1190">
        <f>IF($Q$2="OUTROS",TRUNC(L87*(1+$N$7),2),ROUND(L87*(1+$N$7),2))</f>
        <v>788.42</v>
      </c>
      <c r="N87" s="1372">
        <f>IF($Q$2="OUTROS",TRUNC(M87*K87,2),ROUND(M87*K87,2))</f>
        <v>1986.81</v>
      </c>
      <c r="O87" s="1370"/>
      <c r="P87" s="776" t="s">
        <v>14122</v>
      </c>
      <c r="Q87" s="1370" t="str">
        <f ca="1">F87</f>
        <v>8.2</v>
      </c>
      <c r="S87" s="340"/>
    </row>
    <row r="88" spans="1:19" s="338" customFormat="1" ht="16.5" thickBot="1">
      <c r="A88" s="341">
        <f t="shared" ca="1" si="13"/>
        <v>8</v>
      </c>
      <c r="B88" s="341" t="str">
        <f>IF(OR(C88=1,D88=1),SUMIF($A$21:A88,A88,$C$21:C88),"")</f>
        <v/>
      </c>
      <c r="C88" s="341" t="str">
        <f t="shared" si="14"/>
        <v/>
      </c>
      <c r="D88" s="662" t="str">
        <f t="shared" si="15"/>
        <v/>
      </c>
      <c r="E88" s="662"/>
      <c r="F88" s="1225" t="str">
        <f t="shared" si="23"/>
        <v/>
      </c>
      <c r="G88" s="1226"/>
      <c r="H88" s="1226"/>
      <c r="I88" s="1373" t="s">
        <v>4739</v>
      </c>
      <c r="J88" s="1227"/>
      <c r="K88" s="1228"/>
      <c r="L88" s="1374"/>
      <c r="M88" s="1228"/>
      <c r="N88" s="1375"/>
      <c r="O88" s="1370"/>
      <c r="P88" s="341"/>
      <c r="Q88" s="1625"/>
    </row>
    <row r="89" spans="1:19" s="341" customFormat="1" ht="30.75" thickBot="1">
      <c r="A89" s="341">
        <f t="shared" ca="1" si="13"/>
        <v>8</v>
      </c>
      <c r="B89" s="341">
        <f ca="1">IF(OR(C89=1,D89=1),SUMIF($A$21:A89,A89,$C$21:C89),"")</f>
        <v>3</v>
      </c>
      <c r="C89" s="341">
        <f t="shared" si="14"/>
        <v>1</v>
      </c>
      <c r="D89" s="662" t="str">
        <f t="shared" si="15"/>
        <v/>
      </c>
      <c r="E89" s="662"/>
      <c r="F89" s="1223" t="str">
        <f t="shared" ca="1" si="23"/>
        <v>8.3</v>
      </c>
      <c r="G89" s="1099">
        <v>91341</v>
      </c>
      <c r="H89" s="1099" t="str">
        <f>IF(G89&gt;="CPU","PRÓPRIO","SINAPI")</f>
        <v>SINAPI</v>
      </c>
      <c r="I89" s="1098" t="str">
        <f>VLOOKUP($G89,IF(LEFT($G89,3)="CPU",COMPOSIÇÕES!$B$1:$E$4198,'BANCO DE DADOS JANEIRO-24 SERV'!$B$2:$F$7195),2,FALSE)</f>
        <v>PORTA EM ALUMÍNIO DE ABRIR TIPO VENEZIANA COM GUARNIÇÃO, FIXAÇÃO COM PARAFUSOS - FORNECIMENTO E INSTALAÇÃO. AF_12/2019</v>
      </c>
      <c r="J89" s="1099" t="str">
        <f>VLOOKUP($G89,IF(LEFT($G89,3)="CPU",COMPOSIÇÕES!$B$1:$E$4198,'BANCO DE DADOS JANEIRO-24 SERV'!$B$2:$F$7195),3,FALSE)</f>
        <v>M2</v>
      </c>
      <c r="K89" s="1099">
        <v>108.57</v>
      </c>
      <c r="L89" s="1190">
        <f>VLOOKUP($G89,IF(LEFT($G89,3)="CPU",COMPOSIÇÕES!$B$1:$E$4198,'BANCO DE DADOS JANEIRO-24 SERV'!$B$2:$F$7195),4,FALSE)</f>
        <v>653.83000000000004</v>
      </c>
      <c r="M89" s="1190">
        <f>IF($Q$2="OUTROS",TRUNC(L89*(1+$N$7),2),ROUND(L89*(1+$N$7),2))</f>
        <v>812.05</v>
      </c>
      <c r="N89" s="1372">
        <f>IF($Q$2="OUTROS",TRUNC(M89*K89,2),ROUND(M89*K89,2))</f>
        <v>88164.26</v>
      </c>
      <c r="O89" s="1370"/>
      <c r="P89" s="776" t="s">
        <v>14122</v>
      </c>
      <c r="Q89" s="1370" t="str">
        <f ca="1">F89</f>
        <v>8.3</v>
      </c>
      <c r="S89" s="340"/>
    </row>
    <row r="90" spans="1:19" s="341" customFormat="1" ht="16.5" thickBot="1">
      <c r="A90" s="341">
        <f t="shared" ca="1" si="13"/>
        <v>8</v>
      </c>
      <c r="B90" s="341">
        <f ca="1">IF(OR(C90=1,D90=1),SUMIF($A$21:A90,A90,$C$21:C90),"")</f>
        <v>4</v>
      </c>
      <c r="C90" s="341">
        <f t="shared" si="14"/>
        <v>1</v>
      </c>
      <c r="D90" s="662" t="str">
        <f t="shared" si="15"/>
        <v/>
      </c>
      <c r="E90" s="662"/>
      <c r="F90" s="1223" t="str">
        <f t="shared" ca="1" si="23"/>
        <v>8.4</v>
      </c>
      <c r="G90" s="1099">
        <v>97644</v>
      </c>
      <c r="H90" s="1099" t="str">
        <f>IF(G90&gt;="CPU","PRÓPRIO","SINAPI")</f>
        <v>SINAPI</v>
      </c>
      <c r="I90" s="1098" t="str">
        <f>VLOOKUP($G90,IF(LEFT($G90,3)="CPU",COMPOSIÇÕES!$B$1:$E$4198,'BANCO DE DADOS JANEIRO-24 SERV'!$B$2:$F$7195),2,FALSE)</f>
        <v>REMOÇÃO DE PORTAS, DE FORMA MANUAL, SEM REAPROVEITAMENTO. AF_09/2023</v>
      </c>
      <c r="J90" s="1099" t="str">
        <f>VLOOKUP($G90,IF(LEFT($G90,3)="CPU",COMPOSIÇÕES!$B$1:$E$4198,'BANCO DE DADOS JANEIRO-24 SERV'!$B$2:$F$7195),3,FALSE)</f>
        <v>M2</v>
      </c>
      <c r="K90" s="1099">
        <v>126.21</v>
      </c>
      <c r="L90" s="1190">
        <f>VLOOKUP($G90,IF(LEFT($G90,3)="CPU",COMPOSIÇÕES!$B$1:$E$4198,'BANCO DE DADOS JANEIRO-24 SERV'!$B$2:$F$7195),4,FALSE)</f>
        <v>9.02</v>
      </c>
      <c r="M90" s="1190">
        <f>IF($Q$2="OUTROS",TRUNC(L90*(1+$N$7),2),ROUND(L90*(1+$N$7),2))</f>
        <v>11.2</v>
      </c>
      <c r="N90" s="1372">
        <f>IF($Q$2="OUTROS",TRUNC(M90*K90,2),ROUND(M90*K90,2))</f>
        <v>1413.55</v>
      </c>
      <c r="O90" s="1370"/>
      <c r="P90" s="776" t="s">
        <v>14122</v>
      </c>
      <c r="Q90" s="1370" t="str">
        <f ca="1">F90</f>
        <v>8.4</v>
      </c>
      <c r="S90" s="340"/>
    </row>
    <row r="91" spans="1:19" s="341" customFormat="1" ht="30.75" thickBot="1">
      <c r="A91" s="341">
        <f t="shared" ca="1" si="13"/>
        <v>8</v>
      </c>
      <c r="B91" s="341">
        <f ca="1">IF(OR(C91=1,D91=1),SUMIF($A$21:A91,A91,$C$21:C91),"")</f>
        <v>5</v>
      </c>
      <c r="C91" s="341">
        <f t="shared" si="14"/>
        <v>1</v>
      </c>
      <c r="D91" s="662" t="str">
        <f t="shared" si="15"/>
        <v/>
      </c>
      <c r="E91" s="662"/>
      <c r="F91" s="1223" t="str">
        <f t="shared" ca="1" si="23"/>
        <v>8.5</v>
      </c>
      <c r="G91" s="1099">
        <v>100702</v>
      </c>
      <c r="H91" s="1099" t="str">
        <f>IF(G91&gt;="CPU","PRÓPRIO","SINAPI")</f>
        <v>SINAPI</v>
      </c>
      <c r="I91" s="1098" t="str">
        <f>VLOOKUP($G91,IF(LEFT($G91,3)="CPU",COMPOSIÇÕES!$B$1:$E$4198,'BANCO DE DADOS JANEIRO-24 SERV'!$B$2:$F$7195),2,FALSE)</f>
        <v>PORTA DE CORRER DE ALUMÍNIO, COM DUAS FOLHAS PARA VIDRO, INCLUSO VIDRO LISO INCOLOR, FECHADURA E PUXADOR, SEM ALIZAR. AF_12/2019</v>
      </c>
      <c r="J91" s="1099" t="str">
        <f>VLOOKUP($G91,IF(LEFT($G91,3)="CPU",COMPOSIÇÕES!$B$1:$E$4198,'BANCO DE DADOS JANEIRO-24 SERV'!$B$2:$F$7195),3,FALSE)</f>
        <v>M2</v>
      </c>
      <c r="K91" s="1099">
        <v>17.64</v>
      </c>
      <c r="L91" s="1190">
        <f>VLOOKUP($G91,IF(LEFT($G91,3)="CPU",COMPOSIÇÕES!$B$1:$E$4198,'BANCO DE DADOS JANEIRO-24 SERV'!$B$2:$F$7195),4,FALSE)</f>
        <v>469.53</v>
      </c>
      <c r="M91" s="1190">
        <f>IF($Q$2="OUTROS",TRUNC(L91*(1+$N$7),2),ROUND(L91*(1+$N$7),2))</f>
        <v>583.15</v>
      </c>
      <c r="N91" s="1372">
        <f>IF($Q$2="OUTROS",TRUNC(M91*K91,2),ROUND(M91*K91,2))</f>
        <v>10286.76</v>
      </c>
      <c r="O91" s="1370"/>
      <c r="P91" s="776" t="s">
        <v>14122</v>
      </c>
      <c r="Q91" s="1370" t="str">
        <f ca="1">F91</f>
        <v>8.5</v>
      </c>
      <c r="S91" s="340"/>
    </row>
    <row r="92" spans="1:19" s="344" customFormat="1" ht="16.5" customHeight="1" thickBot="1">
      <c r="A92" s="341">
        <f t="shared" ca="1" si="13"/>
        <v>8</v>
      </c>
      <c r="B92" s="341" t="str">
        <f>IF(OR(C92=1,D92=1),SUMIF($A$21:A92,A92,$C$21:C92),"")</f>
        <v/>
      </c>
      <c r="C92" s="341" t="str">
        <f t="shared" si="14"/>
        <v/>
      </c>
      <c r="D92" s="662" t="str">
        <f t="shared" si="15"/>
        <v/>
      </c>
      <c r="E92" s="662"/>
      <c r="F92" s="240" t="str">
        <f>IF(B92&lt;&gt;"",A92&amp;"."&amp;B92,"")</f>
        <v/>
      </c>
      <c r="G92" s="139"/>
      <c r="H92" s="139"/>
      <c r="I92" s="139"/>
      <c r="J92" s="139"/>
      <c r="K92" s="139"/>
      <c r="L92" s="140"/>
      <c r="M92" s="139"/>
      <c r="N92" s="241"/>
      <c r="O92" s="343"/>
      <c r="Q92" s="1626"/>
    </row>
    <row r="93" spans="1:19" s="338" customFormat="1" ht="16.5" customHeight="1" thickBot="1">
      <c r="A93" s="341">
        <f t="shared" ca="1" si="13"/>
        <v>9</v>
      </c>
      <c r="B93" s="341">
        <f ca="1">IF(OR(C93=1,D93=1),SUMIF($A$21:A93,A93,$C$21:C93),"")</f>
        <v>0</v>
      </c>
      <c r="C93" s="341" t="str">
        <f t="shared" si="14"/>
        <v/>
      </c>
      <c r="D93" s="662">
        <f t="shared" si="15"/>
        <v>1</v>
      </c>
      <c r="E93" s="662"/>
      <c r="F93" s="132" t="str">
        <f ca="1">IF(B93&lt;&gt;"",A93&amp;"."&amp;B93,"")</f>
        <v>9.0</v>
      </c>
      <c r="G93" s="133"/>
      <c r="H93" s="133"/>
      <c r="I93" s="134" t="s">
        <v>401</v>
      </c>
      <c r="J93" s="135"/>
      <c r="K93" s="136"/>
      <c r="L93" s="137"/>
      <c r="M93" s="137"/>
      <c r="N93" s="138">
        <f>SUM(N95:N99)</f>
        <v>885946.45999999985</v>
      </c>
      <c r="O93" s="337"/>
      <c r="P93" s="341"/>
      <c r="Q93" s="1625"/>
    </row>
    <row r="94" spans="1:19" s="338" customFormat="1" ht="16.5" customHeight="1" thickBot="1">
      <c r="A94" s="341">
        <f t="shared" ca="1" si="13"/>
        <v>9</v>
      </c>
      <c r="B94" s="341" t="str">
        <f>IF(OR(C94=1,D94=1),SUMIF($A$21:A94,A94,$C$21:C94),"")</f>
        <v/>
      </c>
      <c r="C94" s="341" t="str">
        <f t="shared" si="14"/>
        <v/>
      </c>
      <c r="D94" s="662" t="str">
        <f t="shared" si="15"/>
        <v/>
      </c>
      <c r="E94" s="662"/>
      <c r="F94" s="658" t="str">
        <f t="shared" ref="F94:F101" si="24">IF(B94&lt;&gt;"",A94&amp;"."&amp;B94,"")</f>
        <v/>
      </c>
      <c r="G94" s="659"/>
      <c r="H94" s="659"/>
      <c r="I94" s="1382" t="s">
        <v>4740</v>
      </c>
      <c r="J94" s="660"/>
      <c r="K94" s="661"/>
      <c r="L94" s="1383"/>
      <c r="M94" s="661"/>
      <c r="N94" s="1384"/>
      <c r="O94" s="1370"/>
      <c r="P94" s="341"/>
      <c r="Q94" s="1625"/>
    </row>
    <row r="95" spans="1:19" s="341" customFormat="1" ht="30.75" thickBot="1">
      <c r="A95" s="341">
        <f t="shared" ca="1" si="13"/>
        <v>9</v>
      </c>
      <c r="B95" s="341">
        <f ca="1">IF(OR(C95=1,D95=1),SUMIF($A$21:A95,A95,$C$21:C95),"")</f>
        <v>1</v>
      </c>
      <c r="C95" s="341">
        <f t="shared" si="14"/>
        <v>1</v>
      </c>
      <c r="D95" s="662" t="str">
        <f t="shared" si="15"/>
        <v/>
      </c>
      <c r="E95" s="662"/>
      <c r="F95" s="1099" t="str">
        <f t="shared" ca="1" si="24"/>
        <v>9.1</v>
      </c>
      <c r="G95" s="1099">
        <v>94216</v>
      </c>
      <c r="H95" s="1099" t="str">
        <f>IF(G95&gt;="CPU","PRÓPRIO","SINAPI")</f>
        <v>SINAPI</v>
      </c>
      <c r="I95" s="1098" t="str">
        <f>VLOOKUP($G95,IF(LEFT($G95,3)="CPU",COMPOSIÇÕES!$B$1:$E$4198,'BANCO DE DADOS JANEIRO-24 SERV'!$B$2:$F$7195),2,FALSE)</f>
        <v>TELHAMENTO COM TELHA METÁLICA TERMOACÚSTICA E = 30 MM, COM ATÉ 2 ÁGUAS, INCLUSO IÇAMENTO. AF_07/2019</v>
      </c>
      <c r="J95" s="1099" t="str">
        <f>VLOOKUP($G95,IF(LEFT($G95,3)="CPU",COMPOSIÇÕES!$B$1:$E$4198,'BANCO DE DADOS JANEIRO-24 SERV'!$B$2:$F$7195),3,FALSE)</f>
        <v>M2</v>
      </c>
      <c r="K95" s="1099">
        <v>2648.83</v>
      </c>
      <c r="L95" s="1190">
        <f>VLOOKUP($G95,IF(LEFT($G95,3)="CPU",COMPOSIÇÕES!$B$1:$E$4198,'BANCO DE DADOS JANEIRO-24 SERV'!$B$2:$F$7195),4,FALSE)</f>
        <v>181.78</v>
      </c>
      <c r="M95" s="1190">
        <f>IF($Q$2="OUTROS",TRUNC(L95*(1+$N$7),2),ROUND(L95*(1+$N$7),2))</f>
        <v>225.77</v>
      </c>
      <c r="N95" s="1757">
        <f>IF($Q$2="OUTROS",TRUNC(M95*K95,2),ROUND(M95*K95,2))</f>
        <v>598026.34</v>
      </c>
      <c r="O95" s="1370"/>
      <c r="P95" s="776" t="s">
        <v>14115</v>
      </c>
      <c r="Q95" s="1370" t="str">
        <f ca="1">F95</f>
        <v>9.1</v>
      </c>
      <c r="S95" s="340"/>
    </row>
    <row r="96" spans="1:19" s="341" customFormat="1" ht="30.75" thickBot="1">
      <c r="A96" s="341">
        <f t="shared" ca="1" si="13"/>
        <v>9</v>
      </c>
      <c r="B96" s="341">
        <f ca="1">IF(OR(C96=1,D96=1),SUMIF($A$21:A96,A96,$C$21:C96),"")</f>
        <v>2</v>
      </c>
      <c r="C96" s="341">
        <f t="shared" si="14"/>
        <v>1</v>
      </c>
      <c r="D96" s="662" t="str">
        <f t="shared" si="15"/>
        <v/>
      </c>
      <c r="E96" s="662"/>
      <c r="F96" s="1099" t="str">
        <f t="shared" ca="1" si="24"/>
        <v>9.2</v>
      </c>
      <c r="G96" s="1099">
        <v>94231</v>
      </c>
      <c r="H96" s="1099" t="str">
        <f>IF(G96&gt;="CPU","PRÓPRIO","SINAPI")</f>
        <v>SINAPI</v>
      </c>
      <c r="I96" s="1098" t="str">
        <f>VLOOKUP($G96,IF(LEFT($G96,3)="CPU",COMPOSIÇÕES!$B$1:$E$4198,'BANCO DE DADOS JANEIRO-24 SERV'!$B$2:$F$7195),2,FALSE)</f>
        <v>RUFO EM CHAPA DE AÇO GALVANIZADO NÚMERO 24, CORTE DE 25 CM, INCLUSO TRANSPORTE VERTICAL. AF_07/2019</v>
      </c>
      <c r="J96" s="1099" t="str">
        <f>VLOOKUP($G96,IF(LEFT($G96,3)="CPU",COMPOSIÇÕES!$B$1:$E$4198,'BANCO DE DADOS JANEIRO-24 SERV'!$B$2:$F$7195),3,FALSE)</f>
        <v>M</v>
      </c>
      <c r="K96" s="1099">
        <v>133.19999999999999</v>
      </c>
      <c r="L96" s="1190">
        <f>VLOOKUP($G96,IF(LEFT($G96,3)="CPU",COMPOSIÇÕES!$B$1:$E$4198,'BANCO DE DADOS JANEIRO-24 SERV'!$B$2:$F$7195),4,FALSE)</f>
        <v>55.48</v>
      </c>
      <c r="M96" s="1190">
        <f>IF($Q$2="OUTROS",TRUNC(L96*(1+$N$7),2),ROUND(L96*(1+$N$7),2))</f>
        <v>68.900000000000006</v>
      </c>
      <c r="N96" s="1757">
        <f>IF($Q$2="OUTROS",TRUNC(M96*K96,2),ROUND(M96*K96,2))</f>
        <v>9177.48</v>
      </c>
      <c r="O96" s="1370"/>
      <c r="P96" s="776" t="s">
        <v>14115</v>
      </c>
      <c r="Q96" s="1370" t="str">
        <f ca="1">F96</f>
        <v>9.2</v>
      </c>
      <c r="S96" s="340"/>
    </row>
    <row r="97" spans="1:19" s="341" customFormat="1" ht="30.75" thickBot="1">
      <c r="A97" s="341">
        <f t="shared" ca="1" si="13"/>
        <v>9</v>
      </c>
      <c r="B97" s="341">
        <f ca="1">IF(OR(C97=1,D97=1),SUMIF($A$21:A97,A97,$C$21:C97),"")</f>
        <v>3</v>
      </c>
      <c r="C97" s="341">
        <f t="shared" si="14"/>
        <v>1</v>
      </c>
      <c r="D97" s="662" t="str">
        <f t="shared" si="15"/>
        <v/>
      </c>
      <c r="E97" s="662"/>
      <c r="F97" s="1099" t="str">
        <f t="shared" ca="1" si="24"/>
        <v>9.3</v>
      </c>
      <c r="G97" s="1099">
        <v>94228</v>
      </c>
      <c r="H97" s="1099" t="str">
        <f>IF(G97&gt;="CPU","PRÓPRIO","SINAPI")</f>
        <v>SINAPI</v>
      </c>
      <c r="I97" s="1098" t="str">
        <f>VLOOKUP($G97,IF(LEFT($G97,3)="CPU",COMPOSIÇÕES!$B$1:$E$4198,'BANCO DE DADOS JANEIRO-24 SERV'!$B$2:$F$7195),2,FALSE)</f>
        <v>CALHA EM CHAPA DE AÇO GALVANIZADO NÚMERO 24, DESENVOLVIMENTO DE 50 CM, INCLUSO TRANSPORTE VERTICAL. AF_07/2019</v>
      </c>
      <c r="J97" s="1099" t="str">
        <f>VLOOKUP($G97,IF(LEFT($G97,3)="CPU",COMPOSIÇÕES!$B$1:$E$4198,'BANCO DE DADOS JANEIRO-24 SERV'!$B$2:$F$7195),3,FALSE)</f>
        <v>M</v>
      </c>
      <c r="K97" s="1099">
        <v>523.51</v>
      </c>
      <c r="L97" s="1190">
        <f>VLOOKUP($G97,IF(LEFT($G97,3)="CPU",COMPOSIÇÕES!$B$1:$E$4198,'BANCO DE DADOS JANEIRO-24 SERV'!$B$2:$F$7195),4,FALSE)</f>
        <v>93.18</v>
      </c>
      <c r="M97" s="1190">
        <f>IF($Q$2="OUTROS",TRUNC(L97*(1+$N$7),2),ROUND(L97*(1+$N$7),2))</f>
        <v>115.72</v>
      </c>
      <c r="N97" s="1757">
        <f>IF($Q$2="OUTROS",TRUNC(M97*K97,2),ROUND(M97*K97,2))</f>
        <v>60580.57</v>
      </c>
      <c r="O97" s="1370"/>
      <c r="P97" s="776" t="s">
        <v>14115</v>
      </c>
      <c r="Q97" s="1370" t="str">
        <f ca="1">F97</f>
        <v>9.3</v>
      </c>
      <c r="S97" s="340"/>
    </row>
    <row r="98" spans="1:19" s="341" customFormat="1" ht="30.75" thickBot="1">
      <c r="A98" s="341">
        <f t="shared" ca="1" si="13"/>
        <v>9</v>
      </c>
      <c r="B98" s="341">
        <f ca="1">IF(OR(C98=1,D98=1),SUMIF($A$21:A98,A98,$C$21:C98),"")</f>
        <v>4</v>
      </c>
      <c r="C98" s="341">
        <f t="shared" si="14"/>
        <v>1</v>
      </c>
      <c r="D98" s="662" t="str">
        <f t="shared" si="15"/>
        <v/>
      </c>
      <c r="E98" s="662"/>
      <c r="F98" s="1099" t="str">
        <f t="shared" ca="1" si="24"/>
        <v>9.4</v>
      </c>
      <c r="G98" s="1099">
        <v>100327</v>
      </c>
      <c r="H98" s="1099" t="str">
        <f>IF(G98&gt;="CPU","PRÓPRIO","SINAPI")</f>
        <v>SINAPI</v>
      </c>
      <c r="I98" s="1098" t="str">
        <f>VLOOKUP($G98,IF(LEFT($G98,3)="CPU",COMPOSIÇÕES!$B$1:$E$4198,'BANCO DE DADOS JANEIRO-24 SERV'!$B$2:$F$7195),2,FALSE)</f>
        <v>RUFO EXTERNO/INTERNO EM CHAPA DE AÇO GALVANIZADO NÚMERO 26, CORTE DE 33 CM, INCLUSO IÇAMENTO. AF_07/2019</v>
      </c>
      <c r="J98" s="1099" t="str">
        <f>VLOOKUP($G98,IF(LEFT($G98,3)="CPU",COMPOSIÇÕES!$B$1:$E$4198,'BANCO DE DADOS JANEIRO-24 SERV'!$B$2:$F$7195),3,FALSE)</f>
        <v>M</v>
      </c>
      <c r="K98" s="1099">
        <v>624.83000000000004</v>
      </c>
      <c r="L98" s="1190">
        <f>VLOOKUP($G98,IF(LEFT($G98,3)="CPU",COMPOSIÇÕES!$B$1:$E$4198,'BANCO DE DADOS JANEIRO-24 SERV'!$B$2:$F$7195),4,FALSE)</f>
        <v>62.2</v>
      </c>
      <c r="M98" s="1190">
        <f>IF($Q$2="OUTROS",TRUNC(L98*(1+$N$7),2),ROUND(L98*(1+$N$7),2))</f>
        <v>77.25</v>
      </c>
      <c r="N98" s="1757">
        <f>IF($Q$2="OUTROS",TRUNC(M98*K98,2),ROUND(M98*K98,2))</f>
        <v>48268.11</v>
      </c>
      <c r="O98" s="1370"/>
      <c r="P98" s="776" t="s">
        <v>14115</v>
      </c>
      <c r="Q98" s="1370" t="str">
        <f ca="1">F98</f>
        <v>9.4</v>
      </c>
      <c r="S98" s="340"/>
    </row>
    <row r="99" spans="1:19" s="341" customFormat="1" ht="30.75" thickBot="1">
      <c r="A99" s="341">
        <f t="shared" ca="1" si="13"/>
        <v>9</v>
      </c>
      <c r="B99" s="341">
        <f ca="1">IF(OR(C99=1,D99=1),SUMIF($A$21:A99,A99,$C$21:C99),"")</f>
        <v>5</v>
      </c>
      <c r="C99" s="341">
        <f t="shared" si="14"/>
        <v>1</v>
      </c>
      <c r="D99" s="662" t="str">
        <f t="shared" si="15"/>
        <v/>
      </c>
      <c r="E99" s="662"/>
      <c r="F99" s="1099" t="str">
        <f t="shared" ca="1" si="24"/>
        <v>9.5</v>
      </c>
      <c r="G99" s="1099">
        <v>96116</v>
      </c>
      <c r="H99" s="1099" t="str">
        <f>IF(G99&gt;="CPU","PRÓPRIO","SINAPI")</f>
        <v>SINAPI</v>
      </c>
      <c r="I99" s="1098" t="str">
        <f>VLOOKUP($G99,IF(LEFT($G99,3)="CPU",COMPOSIÇÕES!$B$1:$E$4198,'BANCO DE DADOS JANEIRO-24 SERV'!$B$2:$F$7195),2,FALSE)</f>
        <v>FORRO EM RÉGUAS DE PVC, FRISADO, PARA AMBIENTES COMERCIAIS, INCLUSIVE ESTRUTURA BIDIRECIONAL DE FIXAÇÃO. AF_08/2023_PS</v>
      </c>
      <c r="J99" s="1099" t="str">
        <f>VLOOKUP($G99,IF(LEFT($G99,3)="CPU",COMPOSIÇÕES!$B$1:$E$4198,'BANCO DE DADOS JANEIRO-24 SERV'!$B$2:$F$7195),3,FALSE)</f>
        <v>M2</v>
      </c>
      <c r="K99" s="1099">
        <v>2198.9899999999998</v>
      </c>
      <c r="L99" s="1190">
        <f>VLOOKUP($G99,IF(LEFT($G99,3)="CPU",COMPOSIÇÕES!$B$1:$E$4198,'BANCO DE DADOS JANEIRO-24 SERV'!$B$2:$F$7195),4,FALSE)</f>
        <v>62.21</v>
      </c>
      <c r="M99" s="1190">
        <f>IF($Q$2="OUTROS",TRUNC(L99*(1+$N$7),2),ROUND(L99*(1+$N$7),2))</f>
        <v>77.260000000000005</v>
      </c>
      <c r="N99" s="1757">
        <f>IF($Q$2="OUTROS",TRUNC(M99*K99,2),ROUND(M99*K99,2))</f>
        <v>169893.96</v>
      </c>
      <c r="O99" s="1370"/>
      <c r="P99" s="776" t="s">
        <v>14115</v>
      </c>
      <c r="Q99" s="1370" t="str">
        <f ca="1">F99</f>
        <v>9.5</v>
      </c>
      <c r="S99" s="340"/>
    </row>
    <row r="100" spans="1:19" s="344" customFormat="1" ht="16.5" customHeight="1" thickBot="1">
      <c r="A100" s="341">
        <f t="shared" ca="1" si="13"/>
        <v>9</v>
      </c>
      <c r="B100" s="341" t="str">
        <f>IF(OR(C100=1,D100=1),SUMIF($A$21:A100,A100,$C$21:C100),"")</f>
        <v/>
      </c>
      <c r="C100" s="341" t="str">
        <f t="shared" si="14"/>
        <v/>
      </c>
      <c r="D100" s="662" t="str">
        <f t="shared" si="15"/>
        <v/>
      </c>
      <c r="E100" s="662"/>
      <c r="F100" s="240" t="str">
        <f>IF(B100&lt;&gt;"",A100&amp;"."&amp;B100,"")</f>
        <v/>
      </c>
      <c r="G100" s="139"/>
      <c r="H100" s="139"/>
      <c r="I100" s="139"/>
      <c r="J100" s="139"/>
      <c r="K100" s="139"/>
      <c r="L100" s="140"/>
      <c r="M100" s="139"/>
      <c r="N100" s="241"/>
      <c r="O100" s="343"/>
      <c r="Q100" s="1626"/>
    </row>
    <row r="101" spans="1:19" s="338" customFormat="1" ht="16.5" customHeight="1" thickBot="1">
      <c r="A101" s="341">
        <f t="shared" ca="1" si="13"/>
        <v>10</v>
      </c>
      <c r="B101" s="341">
        <f ca="1">IF(OR(C101=1,D101=1),SUMIF($A$21:A101,A101,$C$21:C101),"")</f>
        <v>0</v>
      </c>
      <c r="C101" s="341" t="str">
        <f t="shared" si="14"/>
        <v/>
      </c>
      <c r="D101" s="662">
        <f t="shared" si="15"/>
        <v>1</v>
      </c>
      <c r="E101" s="662"/>
      <c r="F101" s="132" t="str">
        <f t="shared" ca="1" si="24"/>
        <v>10.0</v>
      </c>
      <c r="G101" s="133"/>
      <c r="H101" s="133"/>
      <c r="I101" s="134" t="s">
        <v>157</v>
      </c>
      <c r="J101" s="135"/>
      <c r="K101" s="136"/>
      <c r="L101" s="137"/>
      <c r="M101" s="137"/>
      <c r="N101" s="138">
        <f>SUM(N102:N106)</f>
        <v>511040.43999999994</v>
      </c>
      <c r="O101" s="337"/>
      <c r="P101" s="341"/>
      <c r="Q101" s="1625"/>
    </row>
    <row r="102" spans="1:19" s="341" customFormat="1" ht="45.75" thickBot="1">
      <c r="A102" s="341">
        <f t="shared" ca="1" si="13"/>
        <v>10</v>
      </c>
      <c r="B102" s="341">
        <f ca="1">IF(OR(C102=1,D102=1),SUMIF($A$21:A102,A102,$C$21:C102),"")</f>
        <v>1</v>
      </c>
      <c r="C102" s="341">
        <f t="shared" si="14"/>
        <v>1</v>
      </c>
      <c r="D102" s="662" t="str">
        <f t="shared" si="15"/>
        <v/>
      </c>
      <c r="E102" s="662"/>
      <c r="F102" s="1099" t="str">
        <f ca="1">IF(B102&lt;&gt;"",A102&amp;"."&amp;B102,"")</f>
        <v>10.1</v>
      </c>
      <c r="G102" s="1099">
        <v>87682</v>
      </c>
      <c r="H102" s="1099" t="str">
        <f>IF(G102&gt;="CPU","PRÓPRIO","SINAPI")</f>
        <v>SINAPI</v>
      </c>
      <c r="I102" s="1098" t="str">
        <f>VLOOKUP($G102,IF(LEFT($G102,3)="CPU",COMPOSIÇÕES!$B$1:$E$4198,'BANCO DE DADOS JANEIRO-24 SERV'!$B$2:$F$7195),2,FALSE)</f>
        <v>CONTRAPISO EM ARGAMASSA TRAÇO 1:4 (CIMENTO E AREIA), PREPARO MANUAL, APLICADO EM ÁREAS SECAS SOBRE LAJE, NÃO ADERIDO, ACABAMENTO NÃO REFORÇADO, ESPESSURA 4CM. AF_07/2021</v>
      </c>
      <c r="J102" s="1099" t="str">
        <f>VLOOKUP($G102,IF(LEFT($G102,3)="CPU",COMPOSIÇÕES!$B$1:$E$4198,'BANCO DE DADOS JANEIRO-24 SERV'!$B$2:$F$7195),3,FALSE)</f>
        <v>M2</v>
      </c>
      <c r="K102" s="1099">
        <v>1603.96</v>
      </c>
      <c r="L102" s="1190">
        <f>VLOOKUP($G102,IF(LEFT($G102,3)="CPU",COMPOSIÇÕES!$B$1:$E$4198,'BANCO DE DADOS JANEIRO-24 SERV'!$B$2:$F$7195),4,FALSE)</f>
        <v>50.98</v>
      </c>
      <c r="M102" s="1190">
        <f>IF($Q$2="OUTROS",TRUNC(L102*(1+$N$7),2),ROUND(L102*(1+$N$7),2))</f>
        <v>63.31</v>
      </c>
      <c r="N102" s="1757">
        <f>IF($Q$2="OUTROS",TRUNC(M102*K102,2),ROUND(M102*K102,2))</f>
        <v>101546.7</v>
      </c>
      <c r="O102" s="1370"/>
      <c r="P102" s="776" t="s">
        <v>14121</v>
      </c>
      <c r="Q102" s="1370" t="str">
        <f ca="1">F102</f>
        <v>10.1</v>
      </c>
      <c r="S102" s="340"/>
    </row>
    <row r="103" spans="1:19" s="341" customFormat="1" ht="60.75" thickBot="1">
      <c r="A103" s="341">
        <f t="shared" ca="1" si="13"/>
        <v>10</v>
      </c>
      <c r="B103" s="341">
        <f ca="1">IF(OR(C103=1,D103=1),SUMIF($A$21:A103,A103,$C$21:C103),"")</f>
        <v>2</v>
      </c>
      <c r="C103" s="341">
        <f t="shared" si="14"/>
        <v>1</v>
      </c>
      <c r="D103" s="662" t="str">
        <f t="shared" si="15"/>
        <v/>
      </c>
      <c r="E103" s="662"/>
      <c r="F103" s="1099" t="str">
        <f ca="1">IF(B103&lt;&gt;"",A103&amp;"."&amp;B103,"")</f>
        <v>10.2</v>
      </c>
      <c r="G103" s="1099">
        <v>104162</v>
      </c>
      <c r="H103" s="1099" t="str">
        <f>IF(G103&gt;="CPU","PRÓPRIO","SINAPI")</f>
        <v>SINAPI</v>
      </c>
      <c r="I103" s="1098" t="str">
        <f>VLOOKUP($G103,IF(LEFT($G103,3)="CPU",COMPOSIÇÕES!$B$1:$E$4198,'BANCO DE DADOS JANEIRO-24 SERV'!$B$2:$F$7195),2,FALSE)</f>
        <v>PISO EM GRANILITE, MARMORITE OU GRANITINA EM AMBIENTES INTERNOS, COM ESPESSURA DE 8 MM, INCLUSO MISTURA EM BETONEIRA, COLOCAÇÃO DAS JUNTAS, APLICAÇÃO DO PISO, 4 POLIMENTOS COM POLITRIZ, ESTUCAMENTO, SELADOR E CERA. AF_06/2022</v>
      </c>
      <c r="J103" s="1099" t="str">
        <f>VLOOKUP($G103,IF(LEFT($G103,3)="CPU",COMPOSIÇÕES!$B$1:$E$4198,'BANCO DE DADOS JANEIRO-24 SERV'!$B$2:$F$7195),3,FALSE)</f>
        <v>M2</v>
      </c>
      <c r="K103" s="1099">
        <v>1949</v>
      </c>
      <c r="L103" s="1190">
        <f>VLOOKUP($G103,IF(LEFT($G103,3)="CPU",COMPOSIÇÕES!$B$1:$E$4198,'BANCO DE DADOS JANEIRO-24 SERV'!$B$2:$F$7195),4,FALSE)</f>
        <v>97.21</v>
      </c>
      <c r="M103" s="1190">
        <f>IF($Q$2="OUTROS",TRUNC(L103*(1+$N$7),2),ROUND(L103*(1+$N$7),2))</f>
        <v>120.73</v>
      </c>
      <c r="N103" s="1757">
        <f>IF($Q$2="OUTROS",TRUNC(M103*K103,2),ROUND(M103*K103,2))</f>
        <v>235302.77</v>
      </c>
      <c r="O103" s="1370"/>
      <c r="P103" s="776" t="s">
        <v>14121</v>
      </c>
      <c r="Q103" s="1370" t="str">
        <f ca="1">F103</f>
        <v>10.2</v>
      </c>
      <c r="S103" s="340"/>
    </row>
    <row r="104" spans="1:19" s="341" customFormat="1" ht="30.75" thickBot="1">
      <c r="A104" s="341">
        <f t="shared" ca="1" si="13"/>
        <v>10</v>
      </c>
      <c r="B104" s="341">
        <f ca="1">IF(OR(C104=1,D104=1),SUMIF($A$21:A104,A104,$C$21:C104),"")</f>
        <v>3</v>
      </c>
      <c r="C104" s="341">
        <f t="shared" si="14"/>
        <v>1</v>
      </c>
      <c r="D104" s="662" t="str">
        <f t="shared" si="15"/>
        <v/>
      </c>
      <c r="E104" s="662"/>
      <c r="F104" s="1099" t="str">
        <f ca="1">IF(B104&lt;&gt;"",A104&amp;"."&amp;B104,"")</f>
        <v>10.3</v>
      </c>
      <c r="G104" s="1099">
        <v>97639</v>
      </c>
      <c r="H104" s="1099" t="str">
        <f>IF(G104&gt;="CPU","PRÓPRIO","SINAPI")</f>
        <v>SINAPI</v>
      </c>
      <c r="I104" s="1098" t="str">
        <f>VLOOKUP($G104,IF(LEFT($G104,3)="CPU",COMPOSIÇÕES!$B$1:$E$4198,'BANCO DE DADOS JANEIRO-24 SERV'!$B$2:$F$7195),2,FALSE)</f>
        <v>REMOÇÃO DE PLACAS E PILARETES DE CONCRETO, DE FORMA MANUAL, SEM REAPROVEITAMENTO. AF_09/2023</v>
      </c>
      <c r="J104" s="1099" t="str">
        <f>VLOOKUP($G104,IF(LEFT($G104,3)="CPU",COMPOSIÇÕES!$B$1:$E$4198,'BANCO DE DADOS JANEIRO-24 SERV'!$B$2:$F$7195),3,FALSE)</f>
        <v>M2</v>
      </c>
      <c r="K104" s="1099">
        <v>3599.16</v>
      </c>
      <c r="L104" s="1190">
        <f>VLOOKUP($G104,IF(LEFT($G104,3)="CPU",COMPOSIÇÕES!$B$1:$E$4198,'BANCO DE DADOS JANEIRO-24 SERV'!$B$2:$F$7195),4,FALSE)</f>
        <v>19.489999999999998</v>
      </c>
      <c r="M104" s="1190">
        <f>IF($Q$2="OUTROS",TRUNC(L104*(1+$N$7),2),ROUND(L104*(1+$N$7),2))</f>
        <v>24.2</v>
      </c>
      <c r="N104" s="1757">
        <f>IF($Q$2="OUTROS",TRUNC(M104*K104,2),ROUND(M104*K104,2))</f>
        <v>87099.67</v>
      </c>
      <c r="O104" s="1370"/>
      <c r="P104" s="776" t="s">
        <v>14121</v>
      </c>
      <c r="Q104" s="1370" t="str">
        <f ca="1">F104</f>
        <v>10.3</v>
      </c>
      <c r="S104" s="340"/>
    </row>
    <row r="105" spans="1:19" s="341" customFormat="1" ht="45.75" thickBot="1">
      <c r="A105" s="341">
        <f t="shared" ca="1" si="13"/>
        <v>10</v>
      </c>
      <c r="B105" s="341">
        <f ca="1">IF(OR(C105=1,D105=1),SUMIF($A$21:A105,A105,$C$21:C105),"")</f>
        <v>4</v>
      </c>
      <c r="C105" s="341">
        <f t="shared" si="14"/>
        <v>1</v>
      </c>
      <c r="D105" s="662" t="str">
        <f t="shared" si="15"/>
        <v/>
      </c>
      <c r="E105" s="662"/>
      <c r="F105" s="1099" t="str">
        <f ca="1">IF(B105&lt;&gt;"",A105&amp;"."&amp;B105,"")</f>
        <v>10.4</v>
      </c>
      <c r="G105" s="1099">
        <v>87248</v>
      </c>
      <c r="H105" s="1099" t="str">
        <f>IF(G105&gt;="CPU","PRÓPRIO","SINAPI")</f>
        <v>SINAPI</v>
      </c>
      <c r="I105" s="1098" t="str">
        <f>VLOOKUP($G105,IF(LEFT($G105,3)="CPU",COMPOSIÇÕES!$B$1:$E$4198,'BANCO DE DADOS JANEIRO-24 SERV'!$B$2:$F$7195),2,FALSE)</f>
        <v>REVESTIMENTO CERÂMICO PARA PISO COM PLACAS TIPO ESMALTADA EXTRA DE DIMENSÕES 35X35 CM APLICADA EM AMBIENTES DE ÁREA MAIOR QUE 10 M2. AF_02/2023_PE</v>
      </c>
      <c r="J105" s="1099" t="str">
        <f>VLOOKUP($G105,IF(LEFT($G105,3)="CPU",COMPOSIÇÕES!$B$1:$E$4198,'BANCO DE DADOS JANEIRO-24 SERV'!$B$2:$F$7195),3,FALSE)</f>
        <v>M2</v>
      </c>
      <c r="K105" s="1099">
        <v>270.89999999999998</v>
      </c>
      <c r="L105" s="1190">
        <f>VLOOKUP($G105,IF(LEFT($G105,3)="CPU",COMPOSIÇÕES!$B$1:$E$4198,'BANCO DE DADOS JANEIRO-24 SERV'!$B$2:$F$7195),4,FALSE)</f>
        <v>55.53</v>
      </c>
      <c r="M105" s="1190">
        <f>IF($Q$2="OUTROS",TRUNC(L105*(1+$N$7),2),ROUND(L105*(1+$N$7),2))</f>
        <v>68.959999999999994</v>
      </c>
      <c r="N105" s="1757">
        <f>IF($Q$2="OUTROS",TRUNC(M105*K105,2),ROUND(M105*K105,2))</f>
        <v>18681.259999999998</v>
      </c>
      <c r="O105" s="1370"/>
      <c r="P105" s="776" t="s">
        <v>14121</v>
      </c>
      <c r="Q105" s="1370" t="str">
        <f ca="1">F105</f>
        <v>10.4</v>
      </c>
      <c r="S105" s="340"/>
    </row>
    <row r="106" spans="1:19" s="341" customFormat="1" ht="30.75" thickBot="1">
      <c r="A106" s="341">
        <f t="shared" ca="1" si="13"/>
        <v>10</v>
      </c>
      <c r="B106" s="341">
        <f ca="1">IF(OR(C106=1,D106=1),SUMIF($A$21:A106,A106,$C$21:C106),"")</f>
        <v>5</v>
      </c>
      <c r="C106" s="341">
        <f t="shared" si="14"/>
        <v>1</v>
      </c>
      <c r="D106" s="662" t="str">
        <f t="shared" si="15"/>
        <v/>
      </c>
      <c r="E106" s="662"/>
      <c r="F106" s="1099" t="str">
        <f ca="1">IF(B106&lt;&gt;"",A106&amp;"."&amp;B106,"")</f>
        <v>10.5</v>
      </c>
      <c r="G106" s="1099">
        <v>101094</v>
      </c>
      <c r="H106" s="1099" t="str">
        <f>IF(G106&gt;="CPU","PRÓPRIO","SINAPI")</f>
        <v>SINAPI</v>
      </c>
      <c r="I106" s="1098" t="str">
        <f>VLOOKUP($G106,IF(LEFT($G106,3)="CPU",COMPOSIÇÕES!$B$1:$E$4198,'BANCO DE DADOS JANEIRO-24 SERV'!$B$2:$F$7195),2,FALSE)</f>
        <v>PISO PODOTÁTIL DE ALERTA OU DIRECIONAL, DE BORRACHA, ASSENTADO SOBRE ARGAMASSA. AF_05/2020</v>
      </c>
      <c r="J106" s="1099" t="str">
        <f>VLOOKUP($G106,IF(LEFT($G106,3)="CPU",COMPOSIÇÕES!$B$1:$E$4198,'BANCO DE DADOS JANEIRO-24 SERV'!$B$2:$F$7195),3,FALSE)</f>
        <v>M</v>
      </c>
      <c r="K106" s="1099">
        <v>314.5</v>
      </c>
      <c r="L106" s="1190">
        <f>VLOOKUP($G106,IF(LEFT($G106,3)="CPU",COMPOSIÇÕES!$B$1:$E$4198,'BANCO DE DADOS JANEIRO-24 SERV'!$B$2:$F$7195),4,FALSE)</f>
        <v>175.14</v>
      </c>
      <c r="M106" s="1190">
        <f>IF($Q$2="OUTROS",TRUNC(L106*(1+$N$7),2),ROUND(L106*(1+$N$7),2))</f>
        <v>217.52</v>
      </c>
      <c r="N106" s="1757">
        <f>IF($Q$2="OUTROS",TRUNC(M106*K106,2),ROUND(M106*K106,2))</f>
        <v>68410.039999999994</v>
      </c>
      <c r="O106" s="1370"/>
      <c r="P106" s="776" t="s">
        <v>14121</v>
      </c>
      <c r="Q106" s="1370" t="str">
        <f ca="1">F106</f>
        <v>10.5</v>
      </c>
      <c r="S106" s="340"/>
    </row>
    <row r="107" spans="1:19" s="344" customFormat="1" ht="16.5" thickBot="1">
      <c r="A107" s="341">
        <f t="shared" ca="1" si="13"/>
        <v>10</v>
      </c>
      <c r="B107" s="341" t="str">
        <f>IF(OR(C107=1,D107=1),SUMIF($A$21:A107,A107,$C$21:C107),"")</f>
        <v/>
      </c>
      <c r="C107" s="341" t="str">
        <f t="shared" si="14"/>
        <v/>
      </c>
      <c r="D107" s="662" t="str">
        <f t="shared" si="15"/>
        <v/>
      </c>
      <c r="E107" s="662"/>
      <c r="F107" s="240" t="str">
        <f t="shared" ref="F107:F152" si="25">IF(B107&lt;&gt;"",A107&amp;"."&amp;B107,"")</f>
        <v/>
      </c>
      <c r="G107" s="139"/>
      <c r="H107" s="139"/>
      <c r="I107" s="139"/>
      <c r="J107" s="139"/>
      <c r="K107" s="139"/>
      <c r="L107" s="140"/>
      <c r="M107" s="139"/>
      <c r="N107" s="241"/>
      <c r="O107" s="343"/>
      <c r="Q107" s="1626"/>
    </row>
    <row r="108" spans="1:19" s="338" customFormat="1" ht="16.5" thickBot="1">
      <c r="A108" s="341">
        <f t="shared" ca="1" si="13"/>
        <v>11</v>
      </c>
      <c r="B108" s="341">
        <f ca="1">IF(OR(C108=1,D108=1),SUMIF($A$21:A108,A108,$C$21:C108),"")</f>
        <v>0</v>
      </c>
      <c r="C108" s="341" t="str">
        <f t="shared" si="14"/>
        <v/>
      </c>
      <c r="D108" s="662">
        <f t="shared" si="15"/>
        <v>1</v>
      </c>
      <c r="E108" s="662"/>
      <c r="F108" s="132" t="str">
        <f t="shared" ca="1" si="25"/>
        <v>11.0</v>
      </c>
      <c r="G108" s="133"/>
      <c r="H108" s="133"/>
      <c r="I108" s="156" t="s">
        <v>158</v>
      </c>
      <c r="J108" s="135"/>
      <c r="K108" s="136"/>
      <c r="L108" s="137"/>
      <c r="M108" s="137"/>
      <c r="N108" s="138">
        <f>SUM(N109:N187)</f>
        <v>136405.20000000001</v>
      </c>
      <c r="O108" s="1631" t="s">
        <v>7876</v>
      </c>
      <c r="P108" s="341"/>
      <c r="Q108" s="1625"/>
    </row>
    <row r="109" spans="1:19" s="256" customFormat="1" ht="16.5" thickBot="1">
      <c r="A109" s="341">
        <f t="shared" ca="1" si="13"/>
        <v>11</v>
      </c>
      <c r="B109" s="341" t="str">
        <f>IF(OR(C109=1,D109=1),SUMIF($A$21:A109,A109,$C$21:C109),"")</f>
        <v/>
      </c>
      <c r="C109" s="341" t="str">
        <f t="shared" si="14"/>
        <v/>
      </c>
      <c r="D109" s="662" t="str">
        <f t="shared" si="15"/>
        <v/>
      </c>
      <c r="E109" s="662"/>
      <c r="F109" s="157" t="str">
        <f t="shared" si="25"/>
        <v/>
      </c>
      <c r="G109" s="158"/>
      <c r="H109" s="158"/>
      <c r="I109" s="159" t="s">
        <v>322</v>
      </c>
      <c r="J109" s="160"/>
      <c r="K109" s="161"/>
      <c r="L109" s="162"/>
      <c r="M109" s="162"/>
      <c r="N109" s="163"/>
      <c r="O109" s="346"/>
      <c r="P109" s="375"/>
      <c r="Q109" s="1628"/>
    </row>
    <row r="110" spans="1:19" s="256" customFormat="1" ht="16.5" thickBot="1">
      <c r="A110" s="341">
        <f t="shared" ca="1" si="13"/>
        <v>11</v>
      </c>
      <c r="B110" s="341" t="str">
        <f>IF(OR(C110=1,D110=1),SUMIF($A$21:A110,A110,$C$21:C110),"")</f>
        <v/>
      </c>
      <c r="C110" s="341" t="str">
        <f t="shared" si="14"/>
        <v/>
      </c>
      <c r="D110" s="662" t="str">
        <f t="shared" si="15"/>
        <v/>
      </c>
      <c r="E110" s="662"/>
      <c r="F110" s="157" t="str">
        <f t="shared" si="25"/>
        <v/>
      </c>
      <c r="G110" s="158"/>
      <c r="H110" s="158"/>
      <c r="I110" s="159" t="s">
        <v>2540</v>
      </c>
      <c r="J110" s="160"/>
      <c r="K110" s="161"/>
      <c r="L110" s="162"/>
      <c r="M110" s="162"/>
      <c r="N110" s="163"/>
      <c r="O110" s="346"/>
      <c r="P110" s="375"/>
      <c r="Q110" s="1628"/>
    </row>
    <row r="111" spans="1:19" s="256" customFormat="1" ht="30">
      <c r="A111" s="341">
        <f t="shared" ca="1" si="13"/>
        <v>11</v>
      </c>
      <c r="B111" s="341">
        <f ca="1">IF(OR(C111=1,D111=1),SUMIF($A$21:A111,A111,$C$21:C111),"")</f>
        <v>1</v>
      </c>
      <c r="C111" s="341">
        <f t="shared" si="14"/>
        <v>1</v>
      </c>
      <c r="D111" s="662" t="str">
        <f t="shared" si="15"/>
        <v/>
      </c>
      <c r="E111" s="662"/>
      <c r="F111" s="164" t="str">
        <f t="shared" ca="1" si="25"/>
        <v>11.1</v>
      </c>
      <c r="G111" s="1099">
        <v>102609</v>
      </c>
      <c r="H111" s="1099" t="str">
        <f t="shared" ref="H111:H136" si="26">IF(G111&gt;="CPU","PRÓPRIO","SINAPI")</f>
        <v>SINAPI</v>
      </c>
      <c r="I111" s="1222" t="str">
        <f>VLOOKUP($G111,IF(LEFT($G111,3)="CPU",COMPOSIÇÕES!$B$1:$E$4198,'BANCO DE DADOS JANEIRO-24 SERV'!$B$2:$F$7195),2,FALSE)</f>
        <v>CAIXA D´ÁGUA EM POLIETILENO, 2000 LITROS - FORNECIMENTO E INSTALAÇÃO. AF_06/2021</v>
      </c>
      <c r="J111" s="1215" t="str">
        <f>VLOOKUP($G111,IF(LEFT($G111,3)="CPU",COMPOSIÇÕES!$B$1:$E$4198,'BANCO DE DADOS JANEIRO-24 SERV'!$B$2:$F$7195),3,FALSE)</f>
        <v>UN</v>
      </c>
      <c r="K111" s="1099">
        <v>1</v>
      </c>
      <c r="L111" s="1489">
        <f>VLOOKUP($G111,IF(LEFT($G111,3)="CPU",COMPOSIÇÕES!$B$1:$E$4198,'BANCO DE DADOS JANEIRO-24 SERV'!$B$2:$F$7195),4,FALSE)</f>
        <v>1066.19</v>
      </c>
      <c r="M111" s="1489">
        <f t="shared" ref="M111:M126" si="27">IF($Q$2="OUTROS",TRUNC(L111*(1+$N$7),2),ROUND(L111*(1+$N$7),2))</f>
        <v>1324.2</v>
      </c>
      <c r="N111" s="165">
        <f t="shared" ref="N111:N126" si="28">IF($Q$2="OUTROS",TRUNC(M111*K111,2),ROUND(M111*K111,2))</f>
        <v>1324.2</v>
      </c>
      <c r="O111" s="346"/>
      <c r="P111" s="375"/>
      <c r="Q111" s="1628"/>
    </row>
    <row r="112" spans="1:19" s="256" customFormat="1" ht="15.75">
      <c r="A112" s="341">
        <f t="shared" ref="A112:A175" ca="1" si="29">IF(LEN(D112),OFFSET(A112,-1,0)+1,OFFSET(A112,-1,0))</f>
        <v>11</v>
      </c>
      <c r="B112" s="341">
        <f ca="1">IF(OR(C112=1,D112=1),SUMIF($A$21:A112,A112,$C$21:C112),"")</f>
        <v>2</v>
      </c>
      <c r="C112" s="341">
        <f t="shared" ref="C112:C175" si="30">IF(G112&gt;0,1,"")</f>
        <v>1</v>
      </c>
      <c r="D112" s="662" t="str">
        <f t="shared" ref="D112:D175" si="31">IF(AND(CONCATENATE(G112,I112,J112,K112,L112,M112,N112)=I112&amp;N112,CONCATENATE(G112,I112,J112,K112,L112,M112,N112)&lt;&gt;"",N112&lt;&gt;""),1,"")</f>
        <v/>
      </c>
      <c r="E112" s="662"/>
      <c r="F112" s="164" t="str">
        <f t="shared" ca="1" si="25"/>
        <v>11.2</v>
      </c>
      <c r="G112" s="1099">
        <v>86886</v>
      </c>
      <c r="H112" s="1099" t="str">
        <f t="shared" si="26"/>
        <v>SINAPI</v>
      </c>
      <c r="I112" s="1222" t="str">
        <f>VLOOKUP($G112,IF(LEFT($G112,3)="CPU",COMPOSIÇÕES!$B$1:$E$4198,'BANCO DE DADOS JANEIRO-24 SERV'!$B$2:$F$7195),2,FALSE)</f>
        <v>ENGATE FLEXÍVEL EM INOX, 1/2  X 30CM - FORNECIMENTO E INSTALAÇÃO. AF_01/2020</v>
      </c>
      <c r="J112" s="1215" t="str">
        <f>VLOOKUP($G112,IF(LEFT($G112,3)="CPU",COMPOSIÇÕES!$B$1:$E$4198,'BANCO DE DADOS JANEIRO-24 SERV'!$B$2:$F$7195),3,FALSE)</f>
        <v>UN</v>
      </c>
      <c r="K112" s="1099">
        <v>14</v>
      </c>
      <c r="L112" s="1489">
        <f>VLOOKUP($G112,IF(LEFT($G112,3)="CPU",COMPOSIÇÕES!$B$1:$E$4198,'BANCO DE DADOS JANEIRO-24 SERV'!$B$2:$F$7195),4,FALSE)</f>
        <v>48.96</v>
      </c>
      <c r="M112" s="1489">
        <f t="shared" si="27"/>
        <v>60.8</v>
      </c>
      <c r="N112" s="1510">
        <f t="shared" si="28"/>
        <v>851.2</v>
      </c>
      <c r="O112" s="346"/>
      <c r="P112" s="375"/>
      <c r="Q112" s="1628"/>
    </row>
    <row r="113" spans="1:17" s="256" customFormat="1" ht="30">
      <c r="A113" s="341">
        <f t="shared" ca="1" si="29"/>
        <v>11</v>
      </c>
      <c r="B113" s="341">
        <f ca="1">IF(OR(C113=1,D113=1),SUMIF($A$21:A113,A113,$C$21:C113),"")</f>
        <v>3</v>
      </c>
      <c r="C113" s="341">
        <f t="shared" si="30"/>
        <v>1</v>
      </c>
      <c r="D113" s="662" t="str">
        <f t="shared" si="31"/>
        <v/>
      </c>
      <c r="E113" s="662"/>
      <c r="F113" s="164" t="str">
        <f t="shared" ca="1" si="25"/>
        <v>11.3</v>
      </c>
      <c r="G113" s="1099">
        <v>94796</v>
      </c>
      <c r="H113" s="1099" t="str">
        <f t="shared" si="26"/>
        <v>SINAPI</v>
      </c>
      <c r="I113" s="1222" t="str">
        <f>VLOOKUP($G113,IF(LEFT($G113,3)="CPU",COMPOSIÇÕES!$B$1:$E$4198,'BANCO DE DADOS JANEIRO-24 SERV'!$B$2:$F$7195),2,FALSE)</f>
        <v>TORNEIRA DE BOIA PARA CAIXA D'ÁGUA, ROSCÁVEL, 3/4" - FORNECIMENTO E INSTALAÇÃO. AF_08/2021</v>
      </c>
      <c r="J113" s="1215" t="str">
        <f>VLOOKUP($G113,IF(LEFT($G113,3)="CPU",COMPOSIÇÕES!$B$1:$E$4198,'BANCO DE DADOS JANEIRO-24 SERV'!$B$2:$F$7195),3,FALSE)</f>
        <v>UN</v>
      </c>
      <c r="K113" s="1099">
        <v>1</v>
      </c>
      <c r="L113" s="1489">
        <f>VLOOKUP($G113,IF(LEFT($G113,3)="CPU",COMPOSIÇÕES!$B$1:$E$4198,'BANCO DE DADOS JANEIRO-24 SERV'!$B$2:$F$7195),4,FALSE)</f>
        <v>40.270000000000003</v>
      </c>
      <c r="M113" s="1489">
        <f t="shared" si="27"/>
        <v>50.01</v>
      </c>
      <c r="N113" s="1510">
        <f t="shared" si="28"/>
        <v>50.01</v>
      </c>
      <c r="O113" s="346"/>
      <c r="P113" s="375"/>
      <c r="Q113" s="1628"/>
    </row>
    <row r="114" spans="1:17" s="256" customFormat="1" ht="45">
      <c r="A114" s="341">
        <f t="shared" ca="1" si="29"/>
        <v>11</v>
      </c>
      <c r="B114" s="341">
        <f ca="1">IF(OR(C114=1,D114=1),SUMIF($A$21:A114,A114,$C$21:C114),"")</f>
        <v>4</v>
      </c>
      <c r="C114" s="341">
        <f t="shared" si="30"/>
        <v>1</v>
      </c>
      <c r="D114" s="662" t="str">
        <f t="shared" si="31"/>
        <v/>
      </c>
      <c r="E114" s="662"/>
      <c r="F114" s="164" t="str">
        <f t="shared" ca="1" si="25"/>
        <v>11.4</v>
      </c>
      <c r="G114" s="1099">
        <v>94703</v>
      </c>
      <c r="H114" s="1099" t="str">
        <f t="shared" si="26"/>
        <v>SINAPI</v>
      </c>
      <c r="I114" s="1222" t="str">
        <f>VLOOKUP($G114,IF(LEFT($G114,3)="CPU",COMPOSIÇÕES!$B$1:$E$4198,'BANCO DE DADOS JANEIRO-24 SERV'!$B$2:$F$7195),2,FALSE)</f>
        <v>ADAPTADOR COM FLANGE E ANEL DE VEDAÇÃO, PVC, SOLDÁVEL, DN  25 MM X 3/4 , INSTALADO EM RESERVAÇÃO DE ÁGUA DE EDIFICAÇÃO QUE POSSUA RESERVATÓRIO DE FIBRA/FIBROCIMENTO   FORNECIMENTO E INSTALAÇÃO. AF_06/2016</v>
      </c>
      <c r="J114" s="1215" t="str">
        <f>VLOOKUP($G114,IF(LEFT($G114,3)="CPU",COMPOSIÇÕES!$B$1:$E$4198,'BANCO DE DADOS JANEIRO-24 SERV'!$B$2:$F$7195),3,FALSE)</f>
        <v>UN</v>
      </c>
      <c r="K114" s="1099">
        <v>4</v>
      </c>
      <c r="L114" s="1489">
        <f>VLOOKUP($G114,IF(LEFT($G114,3)="CPU",COMPOSIÇÕES!$B$1:$E$4198,'BANCO DE DADOS JANEIRO-24 SERV'!$B$2:$F$7195),4,FALSE)</f>
        <v>20.16</v>
      </c>
      <c r="M114" s="1489">
        <f t="shared" si="27"/>
        <v>25.03</v>
      </c>
      <c r="N114" s="1510">
        <f t="shared" si="28"/>
        <v>100.12</v>
      </c>
      <c r="O114" s="346"/>
      <c r="P114" s="375"/>
      <c r="Q114" s="1628"/>
    </row>
    <row r="115" spans="1:17" s="256" customFormat="1" ht="45">
      <c r="A115" s="341">
        <f t="shared" ca="1" si="29"/>
        <v>11</v>
      </c>
      <c r="B115" s="341">
        <f ca="1">IF(OR(C115=1,D115=1),SUMIF($A$21:A115,A115,$C$21:C115),"")</f>
        <v>5</v>
      </c>
      <c r="C115" s="341">
        <f t="shared" si="30"/>
        <v>1</v>
      </c>
      <c r="D115" s="662" t="str">
        <f t="shared" si="31"/>
        <v/>
      </c>
      <c r="E115" s="662"/>
      <c r="F115" s="164" t="str">
        <f t="shared" ca="1" si="25"/>
        <v>11.5</v>
      </c>
      <c r="G115" s="1099">
        <v>94706</v>
      </c>
      <c r="H115" s="1099" t="str">
        <f t="shared" si="26"/>
        <v>SINAPI</v>
      </c>
      <c r="I115" s="1222" t="str">
        <f>VLOOKUP($G115,IF(LEFT($G115,3)="CPU",COMPOSIÇÕES!$B$1:$E$4198,'BANCO DE DADOS JANEIRO-24 SERV'!$B$2:$F$7195),2,FALSE)</f>
        <v>ADAPTADOR COM FLANGE E ANEL DE VEDAÇÃO, PVC, SOLDÁVEL, DN 50 MM X 1 1/2 , INSTALADO EM RESERVAÇÃO DE ÁGUA DE EDIFICAÇÃO QUE POSSUA RESERVATÓRIO DE FIBRA/FIBROCIMENTO   FORNECIMENTO E INSTALAÇÃO. AF_06/2016</v>
      </c>
      <c r="J115" s="1215" t="str">
        <f>VLOOKUP($G115,IF(LEFT($G115,3)="CPU",COMPOSIÇÕES!$B$1:$E$4198,'BANCO DE DADOS JANEIRO-24 SERV'!$B$2:$F$7195),3,FALSE)</f>
        <v>UN</v>
      </c>
      <c r="K115" s="1099">
        <v>3</v>
      </c>
      <c r="L115" s="1489">
        <f>VLOOKUP($G115,IF(LEFT($G115,3)="CPU",COMPOSIÇÕES!$B$1:$E$4198,'BANCO DE DADOS JANEIRO-24 SERV'!$B$2:$F$7195),4,FALSE)</f>
        <v>42.76</v>
      </c>
      <c r="M115" s="1489">
        <f t="shared" si="27"/>
        <v>53.1</v>
      </c>
      <c r="N115" s="1510">
        <f t="shared" si="28"/>
        <v>159.30000000000001</v>
      </c>
      <c r="O115" s="346"/>
      <c r="P115" s="375"/>
      <c r="Q115" s="1628"/>
    </row>
    <row r="116" spans="1:17" s="256" customFormat="1" ht="45">
      <c r="A116" s="341">
        <f t="shared" ca="1" si="29"/>
        <v>11</v>
      </c>
      <c r="B116" s="341">
        <f ca="1">IF(OR(C116=1,D116=1),SUMIF($A$21:A116,A116,$C$21:C116),"")</f>
        <v>6</v>
      </c>
      <c r="C116" s="341">
        <f t="shared" si="30"/>
        <v>1</v>
      </c>
      <c r="D116" s="662" t="str">
        <f t="shared" si="31"/>
        <v/>
      </c>
      <c r="E116" s="662"/>
      <c r="F116" s="164" t="str">
        <f t="shared" ca="1" si="25"/>
        <v>11.6</v>
      </c>
      <c r="G116" s="1099">
        <v>89383</v>
      </c>
      <c r="H116" s="1099" t="str">
        <f t="shared" si="26"/>
        <v>SINAPI</v>
      </c>
      <c r="I116" s="1222" t="str">
        <f>VLOOKUP($G116,IF(LEFT($G116,3)="CPU",COMPOSIÇÕES!$B$1:$E$4198,'BANCO DE DADOS JANEIRO-24 SERV'!$B$2:$F$7195),2,FALSE)</f>
        <v>ADAPTADOR CURTO COM BOLSA E ROSCA PARA REGISTRO, PVC, SOLDÁVEL, DN 25MM X 3/4 , INSTALADO EM RAMAL OU SUB-RAMAL DE ÁGUA - FORNECIMENTO E INSTALAÇÃO. AF_06/2022</v>
      </c>
      <c r="J116" s="1215" t="str">
        <f>VLOOKUP($G116,IF(LEFT($G116,3)="CPU",COMPOSIÇÕES!$B$1:$E$4198,'BANCO DE DADOS JANEIRO-24 SERV'!$B$2:$F$7195),3,FALSE)</f>
        <v>UN</v>
      </c>
      <c r="K116" s="1099">
        <v>14</v>
      </c>
      <c r="L116" s="1489">
        <f>VLOOKUP($G116,IF(LEFT($G116,3)="CPU",COMPOSIÇÕES!$B$1:$E$4198,'BANCO DE DADOS JANEIRO-24 SERV'!$B$2:$F$7195),4,FALSE)</f>
        <v>6.36</v>
      </c>
      <c r="M116" s="1489">
        <f t="shared" si="27"/>
        <v>7.89</v>
      </c>
      <c r="N116" s="1510">
        <f t="shared" si="28"/>
        <v>110.46</v>
      </c>
      <c r="O116" s="346"/>
      <c r="P116" s="375"/>
      <c r="Q116" s="1628"/>
    </row>
    <row r="117" spans="1:17" s="256" customFormat="1" ht="30">
      <c r="A117" s="341">
        <f t="shared" ca="1" si="29"/>
        <v>11</v>
      </c>
      <c r="B117" s="341">
        <f ca="1">IF(OR(C117=1,D117=1),SUMIF($A$21:A117,A117,$C$21:C117),"")</f>
        <v>7</v>
      </c>
      <c r="C117" s="341">
        <f t="shared" si="30"/>
        <v>1</v>
      </c>
      <c r="D117" s="662" t="str">
        <f t="shared" si="31"/>
        <v/>
      </c>
      <c r="E117" s="662"/>
      <c r="F117" s="164" t="str">
        <f t="shared" ca="1" si="25"/>
        <v>11.7</v>
      </c>
      <c r="G117" s="1099">
        <v>103999</v>
      </c>
      <c r="H117" s="1099" t="str">
        <f t="shared" si="26"/>
        <v>SINAPI</v>
      </c>
      <c r="I117" s="1222" t="str">
        <f>VLOOKUP($G117,IF(LEFT($G117,3)="CPU",COMPOSIÇÕES!$B$1:$E$4198,'BANCO DE DADOS JANEIRO-24 SERV'!$B$2:$F$7195),2,FALSE)</f>
        <v>BUCHA DE REDUÇÃO, LONGA, PVC, SOLDÁVEL, DN 50 X 25 MM, INSTALADO EM RAMAL DE DISTRIBUIÇÃO DE ÁGUA - FORNECIMENTO E INSTALAÇÃO. AF_06/2022</v>
      </c>
      <c r="J117" s="1215" t="str">
        <f>VLOOKUP($G117,IF(LEFT($G117,3)="CPU",COMPOSIÇÕES!$B$1:$E$4198,'BANCO DE DADOS JANEIRO-24 SERV'!$B$2:$F$7195),3,FALSE)</f>
        <v>UN</v>
      </c>
      <c r="K117" s="1099">
        <v>10</v>
      </c>
      <c r="L117" s="1489">
        <f>VLOOKUP($G117,IF(LEFT($G117,3)="CPU",COMPOSIÇÕES!$B$1:$E$4198,'BANCO DE DADOS JANEIRO-24 SERV'!$B$2:$F$7195),4,FALSE)</f>
        <v>11.98</v>
      </c>
      <c r="M117" s="1489">
        <f t="shared" si="27"/>
        <v>14.87</v>
      </c>
      <c r="N117" s="1510">
        <f t="shared" si="28"/>
        <v>148.69999999999999</v>
      </c>
      <c r="O117" s="346"/>
      <c r="P117" s="375"/>
      <c r="Q117" s="1628"/>
    </row>
    <row r="118" spans="1:17" s="256" customFormat="1" ht="30">
      <c r="A118" s="341">
        <f t="shared" ca="1" si="29"/>
        <v>11</v>
      </c>
      <c r="B118" s="341">
        <f ca="1">IF(OR(C118=1,D118=1),SUMIF($A$21:A118,A118,$C$21:C118),"")</f>
        <v>8</v>
      </c>
      <c r="C118" s="341">
        <f t="shared" si="30"/>
        <v>1</v>
      </c>
      <c r="D118" s="662" t="str">
        <f t="shared" si="31"/>
        <v/>
      </c>
      <c r="E118" s="662"/>
      <c r="F118" s="164" t="str">
        <f t="shared" ca="1" si="25"/>
        <v>11.8</v>
      </c>
      <c r="G118" s="1099">
        <v>89364</v>
      </c>
      <c r="H118" s="1099" t="str">
        <f t="shared" si="26"/>
        <v>SINAPI</v>
      </c>
      <c r="I118" s="1222" t="str">
        <f>VLOOKUP($G118,IF(LEFT($G118,3)="CPU",COMPOSIÇÕES!$B$1:$E$4198,'BANCO DE DADOS JANEIRO-24 SERV'!$B$2:$F$7195),2,FALSE)</f>
        <v>CURVA 90 GRAUS, PVC, SOLDÁVEL, DN 25MM, INSTALADO EM RAMAL OU SUB-RAMAL DE ÁGUA - FORNECIMENTO E INSTALAÇÃO. AF_06/2022</v>
      </c>
      <c r="J118" s="1215" t="str">
        <f>VLOOKUP($G118,IF(LEFT($G118,3)="CPU",COMPOSIÇÕES!$B$1:$E$4198,'BANCO DE DADOS JANEIRO-24 SERV'!$B$2:$F$7195),3,FALSE)</f>
        <v>UN</v>
      </c>
      <c r="K118" s="1099">
        <v>15</v>
      </c>
      <c r="L118" s="1489">
        <f>VLOOKUP($G118,IF(LEFT($G118,3)="CPU",COMPOSIÇÕES!$B$1:$E$4198,'BANCO DE DADOS JANEIRO-24 SERV'!$B$2:$F$7195),4,FALSE)</f>
        <v>11.2</v>
      </c>
      <c r="M118" s="1489">
        <f t="shared" si="27"/>
        <v>13.91</v>
      </c>
      <c r="N118" s="1510">
        <f t="shared" si="28"/>
        <v>208.65</v>
      </c>
      <c r="O118" s="346"/>
      <c r="P118" s="375"/>
      <c r="Q118" s="1628"/>
    </row>
    <row r="119" spans="1:17" s="256" customFormat="1" ht="30">
      <c r="A119" s="341">
        <f t="shared" ca="1" si="29"/>
        <v>11</v>
      </c>
      <c r="B119" s="341">
        <f ca="1">IF(OR(C119=1,D119=1),SUMIF($A$21:A119,A119,$C$21:C119),"")</f>
        <v>9</v>
      </c>
      <c r="C119" s="341">
        <f t="shared" si="30"/>
        <v>1</v>
      </c>
      <c r="D119" s="662" t="str">
        <f t="shared" si="31"/>
        <v/>
      </c>
      <c r="E119" s="662"/>
      <c r="F119" s="164" t="str">
        <f t="shared" ca="1" si="25"/>
        <v>11.9</v>
      </c>
      <c r="G119" s="1099">
        <v>103986</v>
      </c>
      <c r="H119" s="1099" t="str">
        <f t="shared" si="26"/>
        <v>SINAPI</v>
      </c>
      <c r="I119" s="1222" t="str">
        <f>VLOOKUP($G119,IF(LEFT($G119,3)="CPU",COMPOSIÇÕES!$B$1:$E$4198,'BANCO DE DADOS JANEIRO-24 SERV'!$B$2:$F$7195),2,FALSE)</f>
        <v>CURVA 90 GRAUS, PVC, SOLDÁVEL, DN 50MM, INSTALADO EM RAMAL DE DISTRIBUIÇÃO DE ÁGUA - FORNECIMENTO E INSTALAÇÃO. AF_06/2022</v>
      </c>
      <c r="J119" s="1215" t="str">
        <f>VLOOKUP($G119,IF(LEFT($G119,3)="CPU",COMPOSIÇÕES!$B$1:$E$4198,'BANCO DE DADOS JANEIRO-24 SERV'!$B$2:$F$7195),3,FALSE)</f>
        <v>UN</v>
      </c>
      <c r="K119" s="1099">
        <v>9</v>
      </c>
      <c r="L119" s="1489">
        <f>VLOOKUP($G119,IF(LEFT($G119,3)="CPU",COMPOSIÇÕES!$B$1:$E$4198,'BANCO DE DADOS JANEIRO-24 SERV'!$B$2:$F$7195),4,FALSE)</f>
        <v>26.36</v>
      </c>
      <c r="M119" s="1489">
        <f t="shared" si="27"/>
        <v>32.729999999999997</v>
      </c>
      <c r="N119" s="1510">
        <f t="shared" si="28"/>
        <v>294.57</v>
      </c>
      <c r="O119" s="346"/>
      <c r="P119" s="375"/>
      <c r="Q119" s="1628"/>
    </row>
    <row r="120" spans="1:17" s="256" customFormat="1" ht="30">
      <c r="A120" s="341">
        <f t="shared" ca="1" si="29"/>
        <v>11</v>
      </c>
      <c r="B120" s="341">
        <f ca="1">IF(OR(C120=1,D120=1),SUMIF($A$21:A120,A120,$C$21:C120),"")</f>
        <v>10</v>
      </c>
      <c r="C120" s="341">
        <f t="shared" si="30"/>
        <v>1</v>
      </c>
      <c r="D120" s="662" t="str">
        <f t="shared" si="31"/>
        <v/>
      </c>
      <c r="E120" s="662"/>
      <c r="F120" s="164" t="str">
        <f t="shared" ca="1" si="25"/>
        <v>11.10</v>
      </c>
      <c r="G120" s="1099">
        <v>89363</v>
      </c>
      <c r="H120" s="1099" t="str">
        <f t="shared" si="26"/>
        <v>SINAPI</v>
      </c>
      <c r="I120" s="1222" t="str">
        <f>VLOOKUP($G120,IF(LEFT($G120,3)="CPU",COMPOSIÇÕES!$B$1:$E$4198,'BANCO DE DADOS JANEIRO-24 SERV'!$B$2:$F$7195),2,FALSE)</f>
        <v>JOELHO 45 GRAUS, PVC, SOLDÁVEL, DN 25MM, INSTALADO EM RAMAL OU SUB-RAMAL DE ÁGUA - FORNECIMENTO E INSTALAÇÃO. AF_06/2022</v>
      </c>
      <c r="J120" s="1215" t="str">
        <f>VLOOKUP($G120,IF(LEFT($G120,3)="CPU",COMPOSIÇÕES!$B$1:$E$4198,'BANCO DE DADOS JANEIRO-24 SERV'!$B$2:$F$7195),3,FALSE)</f>
        <v>UN</v>
      </c>
      <c r="K120" s="1099">
        <v>8</v>
      </c>
      <c r="L120" s="1489">
        <f>VLOOKUP($G120,IF(LEFT($G120,3)="CPU",COMPOSIÇÕES!$B$1:$E$4198,'BANCO DE DADOS JANEIRO-24 SERV'!$B$2:$F$7195),4,FALSE)</f>
        <v>9.7899999999999991</v>
      </c>
      <c r="M120" s="1489">
        <f t="shared" si="27"/>
        <v>12.15</v>
      </c>
      <c r="N120" s="1510">
        <f t="shared" si="28"/>
        <v>97.2</v>
      </c>
      <c r="O120" s="346"/>
      <c r="P120" s="375"/>
      <c r="Q120" s="1628"/>
    </row>
    <row r="121" spans="1:17" s="256" customFormat="1" ht="30">
      <c r="A121" s="341">
        <f t="shared" ca="1" si="29"/>
        <v>11</v>
      </c>
      <c r="B121" s="341">
        <f ca="1">IF(OR(C121=1,D121=1),SUMIF($A$21:A121,A121,$C$21:C121),"")</f>
        <v>11</v>
      </c>
      <c r="C121" s="341">
        <f t="shared" si="30"/>
        <v>1</v>
      </c>
      <c r="D121" s="662" t="str">
        <f t="shared" si="31"/>
        <v/>
      </c>
      <c r="E121" s="662"/>
      <c r="F121" s="164" t="str">
        <f ca="1">IF(B121&lt;&gt;"",A121&amp;"."&amp;B121,"")</f>
        <v>11.11</v>
      </c>
      <c r="G121" s="1099">
        <v>103985</v>
      </c>
      <c r="H121" s="1099" t="str">
        <f t="shared" si="26"/>
        <v>SINAPI</v>
      </c>
      <c r="I121" s="1222" t="str">
        <f>VLOOKUP($G121,IF(LEFT($G121,3)="CPU",COMPOSIÇÕES!$B$1:$E$4198,'BANCO DE DADOS JANEIRO-24 SERV'!$B$2:$F$7195),2,FALSE)</f>
        <v>JOELHO 45 GRAUS, PVC, SOLDÁVEL, DN 50MM, INSTALADO EM RAMAL DE DISTRIBUIÇÃO DE ÁGUA - FORNECIMENTO E INSTALAÇÃO. AF_06/2022</v>
      </c>
      <c r="J121" s="1215" t="str">
        <f>VLOOKUP($G121,IF(LEFT($G121,3)="CPU",COMPOSIÇÕES!$B$1:$E$4198,'BANCO DE DADOS JANEIRO-24 SERV'!$B$2:$F$7195),3,FALSE)</f>
        <v>UN</v>
      </c>
      <c r="K121" s="1099">
        <v>15</v>
      </c>
      <c r="L121" s="1489">
        <f>VLOOKUP($G121,IF(LEFT($G121,3)="CPU",COMPOSIÇÕES!$B$1:$E$4198,'BANCO DE DADOS JANEIRO-24 SERV'!$B$2:$F$7195),4,FALSE)</f>
        <v>21.07</v>
      </c>
      <c r="M121" s="1489">
        <f>IF($Q$2="OUTROS",TRUNC(L121*(1+$N$7),2),ROUND(L121*(1+$N$7),2))</f>
        <v>26.16</v>
      </c>
      <c r="N121" s="1510">
        <f>IF($Q$2="OUTROS",TRUNC(M121*K121,2),ROUND(M121*K121,2))</f>
        <v>392.4</v>
      </c>
      <c r="O121" s="346"/>
      <c r="P121" s="375"/>
      <c r="Q121" s="1628"/>
    </row>
    <row r="122" spans="1:17" s="256" customFormat="1" ht="30">
      <c r="A122" s="341">
        <f t="shared" ca="1" si="29"/>
        <v>11</v>
      </c>
      <c r="B122" s="341">
        <f ca="1">IF(OR(C122=1,D122=1),SUMIF($A$21:A122,A122,$C$21:C122),"")</f>
        <v>12</v>
      </c>
      <c r="C122" s="341">
        <f t="shared" si="30"/>
        <v>1</v>
      </c>
      <c r="D122" s="662" t="str">
        <f t="shared" si="31"/>
        <v/>
      </c>
      <c r="E122" s="662"/>
      <c r="F122" s="164" t="str">
        <f ca="1">IF(B122&lt;&gt;"",A122&amp;"."&amp;B122,"")</f>
        <v>11.12</v>
      </c>
      <c r="G122" s="1099">
        <v>89362</v>
      </c>
      <c r="H122" s="1099" t="str">
        <f t="shared" si="26"/>
        <v>SINAPI</v>
      </c>
      <c r="I122" s="1222" t="str">
        <f>VLOOKUP($G122,IF(LEFT($G122,3)="CPU",COMPOSIÇÕES!$B$1:$E$4198,'BANCO DE DADOS JANEIRO-24 SERV'!$B$2:$F$7195),2,FALSE)</f>
        <v>JOELHO 90 GRAUS, PVC, SOLDÁVEL, DN 25MM, INSTALADO EM RAMAL OU SUB-RAMAL DE ÁGUA - FORNECIMENTO E INSTALAÇÃO. AF_06/2022</v>
      </c>
      <c r="J122" s="1215" t="str">
        <f>VLOOKUP($G122,IF(LEFT($G122,3)="CPU",COMPOSIÇÕES!$B$1:$E$4198,'BANCO DE DADOS JANEIRO-24 SERV'!$B$2:$F$7195),3,FALSE)</f>
        <v>UN</v>
      </c>
      <c r="K122" s="1099">
        <v>9</v>
      </c>
      <c r="L122" s="1489">
        <f>VLOOKUP($G122,IF(LEFT($G122,3)="CPU",COMPOSIÇÕES!$B$1:$E$4198,'BANCO DE DADOS JANEIRO-24 SERV'!$B$2:$F$7195),4,FALSE)</f>
        <v>9.0500000000000007</v>
      </c>
      <c r="M122" s="1489">
        <f>IF($Q$2="OUTROS",TRUNC(L122*(1+$N$7),2),ROUND(L122*(1+$N$7),2))</f>
        <v>11.24</v>
      </c>
      <c r="N122" s="1510">
        <f>IF($Q$2="OUTROS",TRUNC(M122*K122,2),ROUND(M122*K122,2))</f>
        <v>101.16</v>
      </c>
      <c r="O122" s="346"/>
      <c r="P122" s="375"/>
      <c r="Q122" s="1628"/>
    </row>
    <row r="123" spans="1:17" s="256" customFormat="1" ht="45">
      <c r="A123" s="341">
        <f t="shared" ca="1" si="29"/>
        <v>11</v>
      </c>
      <c r="B123" s="341">
        <f ca="1">IF(OR(C123=1,D123=1),SUMIF($A$21:A123,A123,$C$21:C123),"")</f>
        <v>13</v>
      </c>
      <c r="C123" s="341">
        <f t="shared" si="30"/>
        <v>1</v>
      </c>
      <c r="D123" s="662" t="str">
        <f t="shared" si="31"/>
        <v/>
      </c>
      <c r="E123" s="662"/>
      <c r="F123" s="164" t="str">
        <f ca="1">IF(B123&lt;&gt;"",A123&amp;"."&amp;B123,"")</f>
        <v>11.13</v>
      </c>
      <c r="G123" s="1099">
        <v>90373</v>
      </c>
      <c r="H123" s="1099" t="str">
        <f t="shared" si="26"/>
        <v>SINAPI</v>
      </c>
      <c r="I123" s="1222" t="str">
        <f>VLOOKUP($G123,IF(LEFT($G123,3)="CPU",COMPOSIÇÕES!$B$1:$E$4198,'BANCO DE DADOS JANEIRO-24 SERV'!$B$2:$F$7195),2,FALSE)</f>
        <v>JOELHO 90 GRAUS COM BUCHA DE LATÃO, PVC, SOLDÁVEL, DN 25MM, X 1/2  INSTALADO EM RAMAL OU SUB-RAMAL DE ÁGUA - FORNECIMENTO E INSTALAÇÃO. AF_06/2022</v>
      </c>
      <c r="J123" s="1215" t="str">
        <f>VLOOKUP($G123,IF(LEFT($G123,3)="CPU",COMPOSIÇÕES!$B$1:$E$4198,'BANCO DE DADOS JANEIRO-24 SERV'!$B$2:$F$7195),3,FALSE)</f>
        <v>UN</v>
      </c>
      <c r="K123" s="1099">
        <v>16</v>
      </c>
      <c r="L123" s="1489">
        <f>VLOOKUP($G123,IF(LEFT($G123,3)="CPU",COMPOSIÇÕES!$B$1:$E$4198,'BANCO DE DADOS JANEIRO-24 SERV'!$B$2:$F$7195),4,FALSE)</f>
        <v>12.31</v>
      </c>
      <c r="M123" s="1489">
        <f>IF($Q$2="OUTROS",TRUNC(L123*(1+$N$7),2),ROUND(L123*(1+$N$7),2))</f>
        <v>15.28</v>
      </c>
      <c r="N123" s="1510">
        <f>IF($Q$2="OUTROS",TRUNC(M123*K123,2),ROUND(M123*K123,2))</f>
        <v>244.48</v>
      </c>
      <c r="O123" s="346"/>
      <c r="P123" s="375"/>
      <c r="Q123" s="1628"/>
    </row>
    <row r="124" spans="1:17" s="256" customFormat="1" ht="30">
      <c r="A124" s="341">
        <f t="shared" ca="1" si="29"/>
        <v>11</v>
      </c>
      <c r="B124" s="341">
        <f ca="1">IF(OR(C124=1,D124=1),SUMIF($A$21:A124,A124,$C$21:C124),"")</f>
        <v>14</v>
      </c>
      <c r="C124" s="341">
        <f t="shared" si="30"/>
        <v>1</v>
      </c>
      <c r="D124" s="662" t="str">
        <f t="shared" si="31"/>
        <v/>
      </c>
      <c r="E124" s="662"/>
      <c r="F124" s="164" t="str">
        <f t="shared" ca="1" si="25"/>
        <v>11.14</v>
      </c>
      <c r="G124" s="1099">
        <v>89384</v>
      </c>
      <c r="H124" s="1099" t="str">
        <f t="shared" si="26"/>
        <v>SINAPI</v>
      </c>
      <c r="I124" s="1222" t="str">
        <f>VLOOKUP($G124,IF(LEFT($G124,3)="CPU",COMPOSIÇÕES!$B$1:$E$4198,'BANCO DE DADOS JANEIRO-24 SERV'!$B$2:$F$7195),2,FALSE)</f>
        <v>CURVA DE TRANSPOSIÇÃO, PVC, SOLDÁVEL, DN 25MM, INSTALADO EM RAMAL OU SUB-RAMAL DE ÁGUA   FORNECIMENTO E INSTALAÇÃO. AF_06/2022</v>
      </c>
      <c r="J124" s="1215" t="str">
        <f>VLOOKUP($G124,IF(LEFT($G124,3)="CPU",COMPOSIÇÕES!$B$1:$E$4198,'BANCO DE DADOS JANEIRO-24 SERV'!$B$2:$F$7195),3,FALSE)</f>
        <v>UN</v>
      </c>
      <c r="K124" s="1099">
        <v>3</v>
      </c>
      <c r="L124" s="1489">
        <f>VLOOKUP($G124,IF(LEFT($G124,3)="CPU",COMPOSIÇÕES!$B$1:$E$4198,'BANCO DE DADOS JANEIRO-24 SERV'!$B$2:$F$7195),4,FALSE)</f>
        <v>12.36</v>
      </c>
      <c r="M124" s="1489">
        <f t="shared" si="27"/>
        <v>15.35</v>
      </c>
      <c r="N124" s="1510">
        <f t="shared" si="28"/>
        <v>46.05</v>
      </c>
      <c r="O124" s="346"/>
      <c r="P124" s="375"/>
      <c r="Q124" s="1628"/>
    </row>
    <row r="125" spans="1:17" s="256" customFormat="1" ht="30">
      <c r="A125" s="341">
        <f t="shared" ca="1" si="29"/>
        <v>11</v>
      </c>
      <c r="B125" s="341">
        <f ca="1">IF(OR(C125=1,D125=1),SUMIF($A$21:A125,A125,$C$21:C125),"")</f>
        <v>15</v>
      </c>
      <c r="C125" s="341">
        <f t="shared" si="30"/>
        <v>1</v>
      </c>
      <c r="D125" s="662" t="str">
        <f t="shared" si="31"/>
        <v/>
      </c>
      <c r="E125" s="662"/>
      <c r="F125" s="164" t="str">
        <f t="shared" ca="1" si="25"/>
        <v>11.15</v>
      </c>
      <c r="G125" s="1099">
        <v>89378</v>
      </c>
      <c r="H125" s="1099" t="str">
        <f t="shared" si="26"/>
        <v>SINAPI</v>
      </c>
      <c r="I125" s="1222" t="str">
        <f>VLOOKUP($G125,IF(LEFT($G125,3)="CPU",COMPOSIÇÕES!$B$1:$E$4198,'BANCO DE DADOS JANEIRO-24 SERV'!$B$2:$F$7195),2,FALSE)</f>
        <v>LUVA, PVC, SOLDÁVEL, DN 25MM, INSTALADO EM RAMAL OU SUB-RAMAL DE ÁGUA - FORNECIMENTO E INSTALAÇÃO. AF_06/2022</v>
      </c>
      <c r="J125" s="1215" t="str">
        <f>VLOOKUP($G125,IF(LEFT($G125,3)="CPU",COMPOSIÇÕES!$B$1:$E$4198,'BANCO DE DADOS JANEIRO-24 SERV'!$B$2:$F$7195),3,FALSE)</f>
        <v>UN</v>
      </c>
      <c r="K125" s="1099">
        <v>2</v>
      </c>
      <c r="L125" s="1489">
        <f>VLOOKUP($G125,IF(LEFT($G125,3)="CPU",COMPOSIÇÕES!$B$1:$E$4198,'BANCO DE DADOS JANEIRO-24 SERV'!$B$2:$F$7195),4,FALSE)</f>
        <v>6.78</v>
      </c>
      <c r="M125" s="1489">
        <f t="shared" si="27"/>
        <v>8.42</v>
      </c>
      <c r="N125" s="1510">
        <f t="shared" si="28"/>
        <v>16.84</v>
      </c>
      <c r="O125" s="346"/>
      <c r="P125" s="375"/>
      <c r="Q125" s="1628"/>
    </row>
    <row r="126" spans="1:17" s="256" customFormat="1" ht="30">
      <c r="A126" s="341">
        <f t="shared" ca="1" si="29"/>
        <v>11</v>
      </c>
      <c r="B126" s="341">
        <f ca="1">IF(OR(C126=1,D126=1),SUMIF($A$21:A126,A126,$C$21:C126),"")</f>
        <v>16</v>
      </c>
      <c r="C126" s="341">
        <f t="shared" si="30"/>
        <v>1</v>
      </c>
      <c r="D126" s="662" t="str">
        <f t="shared" si="31"/>
        <v/>
      </c>
      <c r="E126" s="662"/>
      <c r="F126" s="164" t="str">
        <f t="shared" ca="1" si="25"/>
        <v>11.16</v>
      </c>
      <c r="G126" s="1099">
        <v>103995</v>
      </c>
      <c r="H126" s="1099" t="str">
        <f t="shared" si="26"/>
        <v>SINAPI</v>
      </c>
      <c r="I126" s="1222" t="str">
        <f>VLOOKUP($G126,IF(LEFT($G126,3)="CPU",COMPOSIÇÕES!$B$1:$E$4198,'BANCO DE DADOS JANEIRO-24 SERV'!$B$2:$F$7195),2,FALSE)</f>
        <v>LUVA, PVC, SOLDÁVEL, DN 50MM, INSTALADO EM RAMAL DE DISTRIBUIÇÃO DE ÁGUA - FORNECIMENTO E INSTALAÇÃO. AF_06/2022</v>
      </c>
      <c r="J126" s="1215" t="str">
        <f>VLOOKUP($G126,IF(LEFT($G126,3)="CPU",COMPOSIÇÕES!$B$1:$E$4198,'BANCO DE DADOS JANEIRO-24 SERV'!$B$2:$F$7195),3,FALSE)</f>
        <v>UN</v>
      </c>
      <c r="K126" s="1099">
        <v>2</v>
      </c>
      <c r="L126" s="1489">
        <f>VLOOKUP($G126,IF(LEFT($G126,3)="CPU",COMPOSIÇÕES!$B$1:$E$4198,'BANCO DE DADOS JANEIRO-24 SERV'!$B$2:$F$7195),4,FALSE)</f>
        <v>14.55</v>
      </c>
      <c r="M126" s="1489">
        <f t="shared" si="27"/>
        <v>18.07</v>
      </c>
      <c r="N126" s="1510">
        <f t="shared" si="28"/>
        <v>36.14</v>
      </c>
      <c r="O126" s="346"/>
      <c r="P126" s="375"/>
      <c r="Q126" s="1628"/>
    </row>
    <row r="127" spans="1:17" s="256" customFormat="1" ht="30">
      <c r="A127" s="341">
        <f t="shared" ca="1" si="29"/>
        <v>11</v>
      </c>
      <c r="B127" s="341">
        <f ca="1">IF(OR(C127=1,D127=1),SUMIF($A$21:A127,A127,$C$21:C127),"")</f>
        <v>17</v>
      </c>
      <c r="C127" s="341">
        <f t="shared" si="30"/>
        <v>1</v>
      </c>
      <c r="D127" s="662" t="str">
        <f t="shared" si="31"/>
        <v/>
      </c>
      <c r="E127" s="662"/>
      <c r="F127" s="164" t="str">
        <f t="shared" ref="F127:F137" ca="1" si="32">IF(B127&lt;&gt;"",A127&amp;"."&amp;B127,"")</f>
        <v>11.17</v>
      </c>
      <c r="G127" s="1099">
        <v>89381</v>
      </c>
      <c r="H127" s="1099" t="str">
        <f t="shared" si="26"/>
        <v>SINAPI</v>
      </c>
      <c r="I127" s="1222" t="str">
        <f>VLOOKUP($G127,IF(LEFT($G127,3)="CPU",COMPOSIÇÕES!$B$1:$E$4198,'BANCO DE DADOS JANEIRO-24 SERV'!$B$2:$F$7195),2,FALSE)</f>
        <v>LUVA COM BUCHA DE LATÃO, PVC, SOLDÁVEL, DN 25MM X 3/4 , INSTALADO EM RAMAL OU SUB-RAMAL DE ÁGUA - FORNECIMENTO E INSTALAÇÃO. AF_06/2022</v>
      </c>
      <c r="J127" s="1215" t="str">
        <f>VLOOKUP($G127,IF(LEFT($G127,3)="CPU",COMPOSIÇÕES!$B$1:$E$4198,'BANCO DE DADOS JANEIRO-24 SERV'!$B$2:$F$7195),3,FALSE)</f>
        <v>UN</v>
      </c>
      <c r="K127" s="1099">
        <v>2</v>
      </c>
      <c r="L127" s="1489">
        <f>VLOOKUP($G127,IF(LEFT($G127,3)="CPU",COMPOSIÇÕES!$B$1:$E$4198,'BANCO DE DADOS JANEIRO-24 SERV'!$B$2:$F$7195),4,FALSE)</f>
        <v>11.75</v>
      </c>
      <c r="M127" s="1489">
        <f t="shared" ref="M127:M136" si="33">IF($Q$2="OUTROS",TRUNC(L127*(1+$N$7),2),ROUND(L127*(1+$N$7),2))</f>
        <v>14.59</v>
      </c>
      <c r="N127" s="1510">
        <f t="shared" ref="N127:N136" si="34">IF($Q$2="OUTROS",TRUNC(M127*K127,2),ROUND(M127*K127,2))</f>
        <v>29.18</v>
      </c>
      <c r="O127" s="346"/>
      <c r="P127" s="375"/>
      <c r="Q127" s="1628"/>
    </row>
    <row r="128" spans="1:17" s="256" customFormat="1" ht="30">
      <c r="A128" s="341">
        <f t="shared" ca="1" si="29"/>
        <v>11</v>
      </c>
      <c r="B128" s="341">
        <f ca="1">IF(OR(C128=1,D128=1),SUMIF($A$21:A128,A128,$C$21:C128),"")</f>
        <v>18</v>
      </c>
      <c r="C128" s="341">
        <f t="shared" si="30"/>
        <v>1</v>
      </c>
      <c r="D128" s="662" t="str">
        <f t="shared" si="31"/>
        <v/>
      </c>
      <c r="E128" s="662"/>
      <c r="F128" s="164" t="str">
        <f ca="1">IF(B128&lt;&gt;"",A128&amp;"."&amp;B128,"")</f>
        <v>11.18</v>
      </c>
      <c r="G128" s="1099">
        <v>89395</v>
      </c>
      <c r="H128" s="1099" t="str">
        <f t="shared" si="26"/>
        <v>SINAPI</v>
      </c>
      <c r="I128" s="1222" t="str">
        <f>VLOOKUP($G128,IF(LEFT($G128,3)="CPU",COMPOSIÇÕES!$B$1:$E$4198,'BANCO DE DADOS JANEIRO-24 SERV'!$B$2:$F$7195),2,FALSE)</f>
        <v>TE, PVC, SOLDÁVEL, DN 25MM, INSTALADO EM RAMAL OU SUB-RAMAL DE ÁGUA - FORNECIMENTO E INSTALAÇÃO. AF_06/2022</v>
      </c>
      <c r="J128" s="1215" t="str">
        <f>VLOOKUP($G128,IF(LEFT($G128,3)="CPU",COMPOSIÇÕES!$B$1:$E$4198,'BANCO DE DADOS JANEIRO-24 SERV'!$B$2:$F$7195),3,FALSE)</f>
        <v>UN</v>
      </c>
      <c r="K128" s="1099">
        <v>9</v>
      </c>
      <c r="L128" s="1489">
        <f>VLOOKUP($G128,IF(LEFT($G128,3)="CPU",COMPOSIÇÕES!$B$1:$E$4198,'BANCO DE DADOS JANEIRO-24 SERV'!$B$2:$F$7195),4,FALSE)</f>
        <v>12.52</v>
      </c>
      <c r="M128" s="1489">
        <f>IF($Q$2="OUTROS",TRUNC(L128*(1+$N$7),2),ROUND(L128*(1+$N$7),2))</f>
        <v>15.54</v>
      </c>
      <c r="N128" s="1510">
        <f>IF($Q$2="OUTROS",TRUNC(M128*K128,2),ROUND(M128*K128,2))</f>
        <v>139.86000000000001</v>
      </c>
      <c r="O128" s="346"/>
      <c r="P128" s="375"/>
      <c r="Q128" s="1628"/>
    </row>
    <row r="129" spans="1:17" s="256" customFormat="1" ht="30">
      <c r="A129" s="341">
        <f t="shared" ca="1" si="29"/>
        <v>11</v>
      </c>
      <c r="B129" s="341">
        <f ca="1">IF(OR(C129=1,D129=1),SUMIF($A$21:A129,A129,$C$21:C129),"")</f>
        <v>19</v>
      </c>
      <c r="C129" s="341">
        <f t="shared" si="30"/>
        <v>1</v>
      </c>
      <c r="D129" s="662" t="str">
        <f t="shared" si="31"/>
        <v/>
      </c>
      <c r="E129" s="662"/>
      <c r="F129" s="164" t="str">
        <f ca="1">IF(B129&lt;&gt;"",A129&amp;"."&amp;B129,"")</f>
        <v>11.19</v>
      </c>
      <c r="G129" s="1099">
        <v>104004</v>
      </c>
      <c r="H129" s="1099" t="str">
        <f t="shared" si="26"/>
        <v>SINAPI</v>
      </c>
      <c r="I129" s="1222" t="str">
        <f>VLOOKUP($G129,IF(LEFT($G129,3)="CPU",COMPOSIÇÕES!$B$1:$E$4198,'BANCO DE DADOS JANEIRO-24 SERV'!$B$2:$F$7195),2,FALSE)</f>
        <v>TE, PVC, SOLDÁVEL, DN 50MM, INSTALADO EM RAMAL DE DISTRIBUIÇÃO DE ÁGUA - FORNECIMENTO E INSTALAÇÃO. AF_06/2022</v>
      </c>
      <c r="J129" s="1215" t="str">
        <f>VLOOKUP($G129,IF(LEFT($G129,3)="CPU",COMPOSIÇÕES!$B$1:$E$4198,'BANCO DE DADOS JANEIRO-24 SERV'!$B$2:$F$7195),3,FALSE)</f>
        <v>UN</v>
      </c>
      <c r="K129" s="1099">
        <v>8</v>
      </c>
      <c r="L129" s="1489">
        <f>VLOOKUP($G129,IF(LEFT($G129,3)="CPU",COMPOSIÇÕES!$B$1:$E$4198,'BANCO DE DADOS JANEIRO-24 SERV'!$B$2:$F$7195),4,FALSE)</f>
        <v>28.32</v>
      </c>
      <c r="M129" s="1489">
        <f>IF($Q$2="OUTROS",TRUNC(L129*(1+$N$7),2),ROUND(L129*(1+$N$7),2))</f>
        <v>35.17</v>
      </c>
      <c r="N129" s="1510">
        <f>IF($Q$2="OUTROS",TRUNC(M129*K129,2),ROUND(M129*K129,2))</f>
        <v>281.36</v>
      </c>
      <c r="O129" s="346"/>
      <c r="P129" s="375"/>
      <c r="Q129" s="1628"/>
    </row>
    <row r="130" spans="1:17" s="256" customFormat="1" ht="45">
      <c r="A130" s="341">
        <f t="shared" ca="1" si="29"/>
        <v>11</v>
      </c>
      <c r="B130" s="341">
        <f ca="1">IF(OR(C130=1,D130=1),SUMIF($A$21:A130,A130,$C$21:C130),"")</f>
        <v>20</v>
      </c>
      <c r="C130" s="341">
        <f t="shared" si="30"/>
        <v>1</v>
      </c>
      <c r="D130" s="662" t="str">
        <f t="shared" si="31"/>
        <v/>
      </c>
      <c r="E130" s="662"/>
      <c r="F130" s="164" t="str">
        <f ca="1">IF(B130&lt;&gt;"",A130&amp;"."&amp;B130,"")</f>
        <v>11.20</v>
      </c>
      <c r="G130" s="1099">
        <v>89396</v>
      </c>
      <c r="H130" s="1099" t="str">
        <f t="shared" si="26"/>
        <v>SINAPI</v>
      </c>
      <c r="I130" s="1222" t="str">
        <f>VLOOKUP($G130,IF(LEFT($G130,3)="CPU",COMPOSIÇÕES!$B$1:$E$4198,'BANCO DE DADOS JANEIRO-24 SERV'!$B$2:$F$7195),2,FALSE)</f>
        <v>TÊ COM BUCHA DE LATÃO NA BOLSA CENTRAL, PVC, SOLDÁVEL, DN 25MM X 1/2 , INSTALADO EM RAMAL OU SUB-RAMAL DE ÁGUA - FORNECIMENTO E INSTALAÇÃO. AF_06/2022</v>
      </c>
      <c r="J130" s="1215" t="str">
        <f>VLOOKUP($G130,IF(LEFT($G130,3)="CPU",COMPOSIÇÕES!$B$1:$E$4198,'BANCO DE DADOS JANEIRO-24 SERV'!$B$2:$F$7195),3,FALSE)</f>
        <v>UN</v>
      </c>
      <c r="K130" s="1099">
        <v>2</v>
      </c>
      <c r="L130" s="1489">
        <f>VLOOKUP($G130,IF(LEFT($G130,3)="CPU",COMPOSIÇÕES!$B$1:$E$4198,'BANCO DE DADOS JANEIRO-24 SERV'!$B$2:$F$7195),4,FALSE)</f>
        <v>19.329999999999998</v>
      </c>
      <c r="M130" s="1489">
        <f>IF($Q$2="OUTROS",TRUNC(L130*(1+$N$7),2),ROUND(L130*(1+$N$7),2))</f>
        <v>24</v>
      </c>
      <c r="N130" s="1510">
        <f>IF($Q$2="OUTROS",TRUNC(M130*K130,2),ROUND(M130*K130,2))</f>
        <v>48</v>
      </c>
      <c r="O130" s="346"/>
      <c r="P130" s="375"/>
      <c r="Q130" s="1628"/>
    </row>
    <row r="131" spans="1:17" s="256" customFormat="1" ht="30">
      <c r="A131" s="341">
        <f t="shared" ca="1" si="29"/>
        <v>11</v>
      </c>
      <c r="B131" s="341">
        <f ca="1">IF(OR(C131=1,D131=1),SUMIF($A$21:A131,A131,$C$21:C131),"")</f>
        <v>21</v>
      </c>
      <c r="C131" s="341">
        <f t="shared" si="30"/>
        <v>1</v>
      </c>
      <c r="D131" s="662" t="str">
        <f t="shared" si="31"/>
        <v/>
      </c>
      <c r="E131" s="662"/>
      <c r="F131" s="164" t="str">
        <f ca="1">IF(B131&lt;&gt;"",A131&amp;"."&amp;B131,"")</f>
        <v>11.21</v>
      </c>
      <c r="G131" s="1099">
        <v>89985</v>
      </c>
      <c r="H131" s="1099" t="str">
        <f t="shared" si="26"/>
        <v>SINAPI</v>
      </c>
      <c r="I131" s="1222" t="str">
        <f>VLOOKUP($G131,IF(LEFT($G131,3)="CPU",COMPOSIÇÕES!$B$1:$E$4198,'BANCO DE DADOS JANEIRO-24 SERV'!$B$2:$F$7195),2,FALSE)</f>
        <v>REGISTRO DE PRESSÃO BRUTO, LATÃO, ROSCÁVEL, 3/4", COM ACABAMENTO E CANOPLA CROMADOS - FORNECIMENTO E INSTALAÇÃO. AF_08/2021</v>
      </c>
      <c r="J131" s="1215" t="str">
        <f>VLOOKUP($G131,IF(LEFT($G131,3)="CPU",COMPOSIÇÕES!$B$1:$E$4198,'BANCO DE DADOS JANEIRO-24 SERV'!$B$2:$F$7195),3,FALSE)</f>
        <v>UN</v>
      </c>
      <c r="K131" s="1099">
        <v>4</v>
      </c>
      <c r="L131" s="1489">
        <f>VLOOKUP($G131,IF(LEFT($G131,3)="CPU",COMPOSIÇÕES!$B$1:$E$4198,'BANCO DE DADOS JANEIRO-24 SERV'!$B$2:$F$7195),4,FALSE)</f>
        <v>68.37</v>
      </c>
      <c r="M131" s="1489">
        <f>IF($Q$2="OUTROS",TRUNC(L131*(1+$N$7),2),ROUND(L131*(1+$N$7),2))</f>
        <v>84.91</v>
      </c>
      <c r="N131" s="1510">
        <f>IF($Q$2="OUTROS",TRUNC(M131*K131,2),ROUND(M131*K131,2))</f>
        <v>339.64</v>
      </c>
      <c r="O131" s="346"/>
      <c r="P131" s="375"/>
      <c r="Q131" s="1628"/>
    </row>
    <row r="132" spans="1:17" s="256" customFormat="1" ht="30">
      <c r="A132" s="341">
        <f t="shared" ca="1" si="29"/>
        <v>11</v>
      </c>
      <c r="B132" s="341">
        <f ca="1">IF(OR(C132=1,D132=1),SUMIF($A$21:A132,A132,$C$21:C132),"")</f>
        <v>22</v>
      </c>
      <c r="C132" s="341">
        <f t="shared" si="30"/>
        <v>1</v>
      </c>
      <c r="D132" s="662" t="str">
        <f t="shared" si="31"/>
        <v/>
      </c>
      <c r="E132" s="662"/>
      <c r="F132" s="164" t="str">
        <f t="shared" ca="1" si="32"/>
        <v>11.22</v>
      </c>
      <c r="G132" s="1099">
        <v>89987</v>
      </c>
      <c r="H132" s="1099" t="str">
        <f t="shared" si="26"/>
        <v>SINAPI</v>
      </c>
      <c r="I132" s="1222" t="str">
        <f>VLOOKUP($G132,IF(LEFT($G132,3)="CPU",COMPOSIÇÕES!$B$1:$E$4198,'BANCO DE DADOS JANEIRO-24 SERV'!$B$2:$F$7195),2,FALSE)</f>
        <v>REGISTRO DE GAVETA BRUTO, LATÃO, ROSCÁVEL, 3/4", COM ACABAMENTO E CANOPLA CROMADOS - FORNECIMENTO E INSTALAÇÃO. AF_08/2021</v>
      </c>
      <c r="J132" s="1215" t="str">
        <f>VLOOKUP($G132,IF(LEFT($G132,3)="CPU",COMPOSIÇÕES!$B$1:$E$4198,'BANCO DE DADOS JANEIRO-24 SERV'!$B$2:$F$7195),3,FALSE)</f>
        <v>UN</v>
      </c>
      <c r="K132" s="1099">
        <v>7</v>
      </c>
      <c r="L132" s="1489">
        <f>VLOOKUP($G132,IF(LEFT($G132,3)="CPU",COMPOSIÇÕES!$B$1:$E$4198,'BANCO DE DADOS JANEIRO-24 SERV'!$B$2:$F$7195),4,FALSE)</f>
        <v>71.87</v>
      </c>
      <c r="M132" s="1489">
        <f t="shared" si="33"/>
        <v>89.26</v>
      </c>
      <c r="N132" s="1510">
        <f t="shared" si="34"/>
        <v>624.82000000000005</v>
      </c>
      <c r="O132" s="346"/>
      <c r="P132" s="375"/>
      <c r="Q132" s="1628"/>
    </row>
    <row r="133" spans="1:17" s="256" customFormat="1" ht="30">
      <c r="A133" s="341">
        <f t="shared" ca="1" si="29"/>
        <v>11</v>
      </c>
      <c r="B133" s="341">
        <f ca="1">IF(OR(C133=1,D133=1),SUMIF($A$21:A133,A133,$C$21:C133),"")</f>
        <v>23</v>
      </c>
      <c r="C133" s="341">
        <f t="shared" si="30"/>
        <v>1</v>
      </c>
      <c r="D133" s="662" t="str">
        <f t="shared" si="31"/>
        <v/>
      </c>
      <c r="E133" s="662"/>
      <c r="F133" s="164" t="str">
        <f t="shared" ca="1" si="32"/>
        <v>11.23</v>
      </c>
      <c r="G133" s="1099">
        <v>90371</v>
      </c>
      <c r="H133" s="1099" t="str">
        <f t="shared" si="26"/>
        <v>SINAPI</v>
      </c>
      <c r="I133" s="1222" t="str">
        <f>VLOOKUP($G133,IF(LEFT($G133,3)="CPU",COMPOSIÇÕES!$B$1:$E$4198,'BANCO DE DADOS JANEIRO-24 SERV'!$B$2:$F$7195),2,FALSE)</f>
        <v>REGISTRO DE ESFERA, PVC, ROSCÁVEL, COM VOLANTE, 3/4" - FORNECIMENTO E INSTALAÇÃO. AF_08/2021</v>
      </c>
      <c r="J133" s="1215" t="str">
        <f>VLOOKUP($G133,IF(LEFT($G133,3)="CPU",COMPOSIÇÕES!$B$1:$E$4198,'BANCO DE DADOS JANEIRO-24 SERV'!$B$2:$F$7195),3,FALSE)</f>
        <v>UN</v>
      </c>
      <c r="K133" s="1099">
        <v>1</v>
      </c>
      <c r="L133" s="1489">
        <f>VLOOKUP($G133,IF(LEFT($G133,3)="CPU",COMPOSIÇÕES!$B$1:$E$4198,'BANCO DE DADOS JANEIRO-24 SERV'!$B$2:$F$7195),4,FALSE)</f>
        <v>24.15</v>
      </c>
      <c r="M133" s="1489">
        <f t="shared" si="33"/>
        <v>29.99</v>
      </c>
      <c r="N133" s="1510">
        <f t="shared" si="34"/>
        <v>29.99</v>
      </c>
      <c r="O133" s="346"/>
      <c r="P133" s="375"/>
      <c r="Q133" s="1628"/>
    </row>
    <row r="134" spans="1:17" s="256" customFormat="1" ht="30">
      <c r="A134" s="341">
        <f t="shared" ca="1" si="29"/>
        <v>11</v>
      </c>
      <c r="B134" s="341">
        <f ca="1">IF(OR(C134=1,D134=1),SUMIF($A$21:A134,A134,$C$21:C134),"")</f>
        <v>24</v>
      </c>
      <c r="C134" s="341">
        <f t="shared" si="30"/>
        <v>1</v>
      </c>
      <c r="D134" s="662" t="str">
        <f t="shared" si="31"/>
        <v/>
      </c>
      <c r="E134" s="662"/>
      <c r="F134" s="164" t="str">
        <f t="shared" ca="1" si="32"/>
        <v>11.24</v>
      </c>
      <c r="G134" s="1099">
        <v>103039</v>
      </c>
      <c r="H134" s="1099" t="str">
        <f t="shared" si="26"/>
        <v>SINAPI</v>
      </c>
      <c r="I134" s="1222" t="str">
        <f>VLOOKUP($G134,IF(LEFT($G134,3)="CPU",COMPOSIÇÕES!$B$1:$E$4198,'BANCO DE DADOS JANEIRO-24 SERV'!$B$2:$F$7195),2,FALSE)</f>
        <v>REGISTRO DE ESFERA, PVC, ROSCÁVEL, COM VOLANTE, 1 1/2" - FORNECIMENTO E INSTALAÇÃO. AF_08/2021</v>
      </c>
      <c r="J134" s="1215" t="str">
        <f>VLOOKUP($G134,IF(LEFT($G134,3)="CPU",COMPOSIÇÕES!$B$1:$E$4198,'BANCO DE DADOS JANEIRO-24 SERV'!$B$2:$F$7195),3,FALSE)</f>
        <v>UN</v>
      </c>
      <c r="K134" s="1099">
        <v>3</v>
      </c>
      <c r="L134" s="1489">
        <f>VLOOKUP($G134,IF(LEFT($G134,3)="CPU",COMPOSIÇÕES!$B$1:$E$4198,'BANCO DE DADOS JANEIRO-24 SERV'!$B$2:$F$7195),4,FALSE)</f>
        <v>55.72</v>
      </c>
      <c r="M134" s="1489">
        <f t="shared" si="33"/>
        <v>69.2</v>
      </c>
      <c r="N134" s="1510">
        <f t="shared" si="34"/>
        <v>207.6</v>
      </c>
      <c r="O134" s="346"/>
      <c r="P134" s="375"/>
      <c r="Q134" s="1628"/>
    </row>
    <row r="135" spans="1:17" s="256" customFormat="1" ht="30">
      <c r="A135" s="341">
        <f t="shared" ca="1" si="29"/>
        <v>11</v>
      </c>
      <c r="B135" s="341">
        <f ca="1">IF(OR(C135=1,D135=1),SUMIF($A$21:A135,A135,$C$21:C135),"")</f>
        <v>25</v>
      </c>
      <c r="C135" s="341">
        <f t="shared" si="30"/>
        <v>1</v>
      </c>
      <c r="D135" s="662" t="str">
        <f t="shared" si="31"/>
        <v/>
      </c>
      <c r="E135" s="662"/>
      <c r="F135" s="164" t="str">
        <f t="shared" ca="1" si="32"/>
        <v>11.25</v>
      </c>
      <c r="G135" s="1099">
        <v>89356</v>
      </c>
      <c r="H135" s="1099" t="str">
        <f t="shared" si="26"/>
        <v>SINAPI</v>
      </c>
      <c r="I135" s="1222" t="str">
        <f>VLOOKUP($G135,IF(LEFT($G135,3)="CPU",COMPOSIÇÕES!$B$1:$E$4198,'BANCO DE DADOS JANEIRO-24 SERV'!$B$2:$F$7195),2,FALSE)</f>
        <v>TUBO, PVC, SOLDÁVEL, DN 25MM, INSTALADO EM RAMAL OU SUB-RAMAL DE ÁGUA - FORNECIMENTO E INSTALAÇÃO. AF_06/2022</v>
      </c>
      <c r="J135" s="1215" t="str">
        <f>VLOOKUP($G135,IF(LEFT($G135,3)="CPU",COMPOSIÇÕES!$B$1:$E$4198,'BANCO DE DADOS JANEIRO-24 SERV'!$B$2:$F$7195),3,FALSE)</f>
        <v>M</v>
      </c>
      <c r="K135" s="1099">
        <v>63.52</v>
      </c>
      <c r="L135" s="1489">
        <f>VLOOKUP($G135,IF(LEFT($G135,3)="CPU",COMPOSIÇÕES!$B$1:$E$4198,'BANCO DE DADOS JANEIRO-24 SERV'!$B$2:$F$7195),4,FALSE)</f>
        <v>22.01</v>
      </c>
      <c r="M135" s="1489">
        <f t="shared" si="33"/>
        <v>27.33</v>
      </c>
      <c r="N135" s="1510">
        <f t="shared" si="34"/>
        <v>1736</v>
      </c>
      <c r="O135" s="346"/>
      <c r="P135" s="375"/>
      <c r="Q135" s="1628"/>
    </row>
    <row r="136" spans="1:17" s="256" customFormat="1" ht="30.75" thickBot="1">
      <c r="A136" s="341">
        <f t="shared" ca="1" si="29"/>
        <v>11</v>
      </c>
      <c r="B136" s="341">
        <f ca="1">IF(OR(C136=1,D136=1),SUMIF($A$21:A136,A136,$C$21:C136),"")</f>
        <v>26</v>
      </c>
      <c r="C136" s="341">
        <f t="shared" si="30"/>
        <v>1</v>
      </c>
      <c r="D136" s="662" t="str">
        <f t="shared" si="31"/>
        <v/>
      </c>
      <c r="E136" s="662"/>
      <c r="F136" s="164" t="str">
        <f t="shared" ca="1" si="32"/>
        <v>11.26</v>
      </c>
      <c r="G136" s="1099">
        <v>103979</v>
      </c>
      <c r="H136" s="1099" t="str">
        <f t="shared" si="26"/>
        <v>SINAPI</v>
      </c>
      <c r="I136" s="1222" t="str">
        <f>VLOOKUP($G136,IF(LEFT($G136,3)="CPU",COMPOSIÇÕES!$B$1:$E$4198,'BANCO DE DADOS JANEIRO-24 SERV'!$B$2:$F$7195),2,FALSE)</f>
        <v>TUBO, PVC, SOLDÁVEL, DN 50MM, INSTALADO EM RAMAL DE DISTRIBUIÇÃO DE ÁGUA - FORNECIMENTO E INSTALAÇÃO. AF_06/2022</v>
      </c>
      <c r="J136" s="1215" t="str">
        <f>VLOOKUP($G136,IF(LEFT($G136,3)="CPU",COMPOSIÇÕES!$B$1:$E$4198,'BANCO DE DADOS JANEIRO-24 SERV'!$B$2:$F$7195),3,FALSE)</f>
        <v>M</v>
      </c>
      <c r="K136" s="1099">
        <v>32.979999999999997</v>
      </c>
      <c r="L136" s="1489">
        <f>VLOOKUP($G136,IF(LEFT($G136,3)="CPU",COMPOSIÇÕES!$B$1:$E$4198,'BANCO DE DADOS JANEIRO-24 SERV'!$B$2:$F$7195),4,FALSE)</f>
        <v>27.91</v>
      </c>
      <c r="M136" s="1489">
        <f t="shared" si="33"/>
        <v>34.659999999999997</v>
      </c>
      <c r="N136" s="1510">
        <f t="shared" si="34"/>
        <v>1143.08</v>
      </c>
      <c r="O136" s="346"/>
      <c r="P136" s="375"/>
      <c r="Q136" s="1628"/>
    </row>
    <row r="137" spans="1:17" s="256" customFormat="1" ht="16.5" thickBot="1">
      <c r="A137" s="341">
        <f t="shared" ca="1" si="29"/>
        <v>11</v>
      </c>
      <c r="B137" s="341" t="str">
        <f>IF(OR(C137=1,D137=1),SUMIF($A$21:A137,A137,$C$21:C137),"")</f>
        <v/>
      </c>
      <c r="C137" s="341" t="str">
        <f t="shared" si="30"/>
        <v/>
      </c>
      <c r="D137" s="662" t="str">
        <f t="shared" si="31"/>
        <v/>
      </c>
      <c r="E137" s="662"/>
      <c r="F137" s="164" t="str">
        <f t="shared" si="32"/>
        <v/>
      </c>
      <c r="G137" s="158"/>
      <c r="H137" s="158"/>
      <c r="I137" s="159" t="s">
        <v>14023</v>
      </c>
      <c r="J137" s="160"/>
      <c r="K137" s="161"/>
      <c r="L137" s="162"/>
      <c r="M137" s="162"/>
      <c r="N137" s="163"/>
      <c r="O137" s="346"/>
      <c r="P137" s="375"/>
      <c r="Q137" s="1628"/>
    </row>
    <row r="138" spans="1:17" s="256" customFormat="1" ht="45">
      <c r="A138" s="341">
        <f t="shared" ca="1" si="29"/>
        <v>11</v>
      </c>
      <c r="B138" s="341">
        <f ca="1">IF(OR(C138=1,D138=1),SUMIF($A$21:A138,A138,$C$21:C138),"")</f>
        <v>27</v>
      </c>
      <c r="C138" s="341">
        <f t="shared" si="30"/>
        <v>1</v>
      </c>
      <c r="D138" s="662" t="str">
        <f t="shared" si="31"/>
        <v/>
      </c>
      <c r="E138" s="662"/>
      <c r="F138" s="164" t="str">
        <f t="shared" ca="1" si="25"/>
        <v>11.27</v>
      </c>
      <c r="G138" s="1099">
        <v>104328</v>
      </c>
      <c r="H138" s="1099" t="str">
        <f t="shared" ref="H138:H143" si="35">IF(G138&gt;="CPU","PRÓPRIO","SINAPI")</f>
        <v>SINAPI</v>
      </c>
      <c r="I138" s="1222" t="str">
        <f>VLOOKUP($G138,IF(LEFT($G138,3)="CPU",COMPOSIÇÕES!$B$1:$E$4198,'BANCO DE DADOS JANEIRO-24 SERV'!$B$2:$F$7195),2,FALSE)</f>
        <v>CAIXA SIFONADA, COM GRELHA QUADRADA, PVC, DN 150 X 150 X 50 MM, JUNTA SOLDÁVEL, FORNECIDA E INSTALADA EM RAMAL DE DESCARGA OU EM RAMAL DE ESGOTO SANITÁRIO. AF_08/2022</v>
      </c>
      <c r="J138" s="1215" t="str">
        <f>VLOOKUP($G138,IF(LEFT($G138,3)="CPU",COMPOSIÇÕES!$B$1:$E$4198,'BANCO DE DADOS JANEIRO-24 SERV'!$B$2:$F$7195),3,FALSE)</f>
        <v>UN</v>
      </c>
      <c r="K138" s="1099">
        <v>2</v>
      </c>
      <c r="L138" s="1489">
        <f>VLOOKUP($G138,IF(LEFT($G138,3)="CPU",COMPOSIÇÕES!$B$1:$E$4198,'BANCO DE DADOS JANEIRO-24 SERV'!$B$2:$F$7195),4,FALSE)</f>
        <v>69.63</v>
      </c>
      <c r="M138" s="1489">
        <f t="shared" ref="M138:M143" si="36">IF($Q$2="OUTROS",TRUNC(L138*(1+$N$7),2),ROUND(L138*(1+$N$7),2))</f>
        <v>86.48</v>
      </c>
      <c r="N138" s="1510">
        <f t="shared" ref="N138:N143" si="37">IF($Q$2="OUTROS",TRUNC(M138*K138,2),ROUND(M138*K138,2))</f>
        <v>172.96</v>
      </c>
      <c r="O138" s="346"/>
      <c r="P138" s="375"/>
      <c r="Q138" s="1628"/>
    </row>
    <row r="139" spans="1:17" s="256" customFormat="1" ht="45">
      <c r="A139" s="341">
        <f t="shared" ca="1" si="29"/>
        <v>11</v>
      </c>
      <c r="B139" s="341">
        <f ca="1">IF(OR(C139=1,D139=1),SUMIF($A$21:A139,A139,$C$21:C139),"")</f>
        <v>28</v>
      </c>
      <c r="C139" s="341">
        <f t="shared" si="30"/>
        <v>1</v>
      </c>
      <c r="D139" s="662" t="str">
        <f t="shared" si="31"/>
        <v/>
      </c>
      <c r="E139" s="662"/>
      <c r="F139" s="164" t="str">
        <f t="shared" ca="1" si="25"/>
        <v>11.28</v>
      </c>
      <c r="G139" s="1099">
        <v>89707</v>
      </c>
      <c r="H139" s="1099" t="str">
        <f t="shared" si="35"/>
        <v>SINAPI</v>
      </c>
      <c r="I139" s="1222" t="str">
        <f>VLOOKUP($G139,IF(LEFT($G139,3)="CPU",COMPOSIÇÕES!$B$1:$E$4198,'BANCO DE DADOS JANEIRO-24 SERV'!$B$2:$F$7195),2,FALSE)</f>
        <v>CAIXA SIFONADA, PVC, DN 100 X 100 X 50 MM, JUNTA ELÁSTICA, FORNECIDA E INSTALADA EM RAMAL DE DESCARGA OU EM RAMAL DE ESGOTO SANITÁRIO. AF_08/2022</v>
      </c>
      <c r="J139" s="1215" t="str">
        <f>VLOOKUP($G139,IF(LEFT($G139,3)="CPU",COMPOSIÇÕES!$B$1:$E$4198,'BANCO DE DADOS JANEIRO-24 SERV'!$B$2:$F$7195),3,FALSE)</f>
        <v>UN</v>
      </c>
      <c r="K139" s="1099">
        <v>5</v>
      </c>
      <c r="L139" s="1489">
        <f>VLOOKUP($G139,IF(LEFT($G139,3)="CPU",COMPOSIÇÕES!$B$1:$E$4198,'BANCO DE DADOS JANEIRO-24 SERV'!$B$2:$F$7195),4,FALSE)</f>
        <v>48.06</v>
      </c>
      <c r="M139" s="1489">
        <f t="shared" si="36"/>
        <v>59.69</v>
      </c>
      <c r="N139" s="1510">
        <f t="shared" si="37"/>
        <v>298.45</v>
      </c>
      <c r="O139" s="346"/>
      <c r="P139" s="375"/>
      <c r="Q139" s="1628"/>
    </row>
    <row r="140" spans="1:17" s="256" customFormat="1" ht="30">
      <c r="A140" s="341">
        <f t="shared" ca="1" si="29"/>
        <v>11</v>
      </c>
      <c r="B140" s="341">
        <f ca="1">IF(OR(C140=1,D140=1),SUMIF($A$21:A140,A140,$C$21:C140),"")</f>
        <v>29</v>
      </c>
      <c r="C140" s="341">
        <f t="shared" si="30"/>
        <v>1</v>
      </c>
      <c r="D140" s="662" t="str">
        <f t="shared" si="31"/>
        <v/>
      </c>
      <c r="E140" s="662"/>
      <c r="F140" s="164" t="str">
        <f t="shared" ca="1" si="25"/>
        <v>11.29</v>
      </c>
      <c r="G140" s="1099">
        <v>101800</v>
      </c>
      <c r="H140" s="1099" t="str">
        <f t="shared" si="35"/>
        <v>SINAPI</v>
      </c>
      <c r="I140" s="1222" t="str">
        <f>VLOOKUP($G140,IF(LEFT($G140,3)="CPU",COMPOSIÇÕES!$B$1:$E$4198,'BANCO DE DADOS JANEIRO-24 SERV'!$B$2:$F$7195),2,FALSE)</f>
        <v>CAIXA COM GRELHA RETANGULAR DE FERRO FUNDIDO, EM ALVENARIA COM TIJOLOS CERÂMICOS MACIÇOS, DIMENSÕES INTERNAS: 0,30 X 1,00 X 1,00. AF_12/2020</v>
      </c>
      <c r="J140" s="1215" t="str">
        <f>VLOOKUP($G140,IF(LEFT($G140,3)="CPU",COMPOSIÇÕES!$B$1:$E$4198,'BANCO DE DADOS JANEIRO-24 SERV'!$B$2:$F$7195),3,FALSE)</f>
        <v>UN</v>
      </c>
      <c r="K140" s="1099">
        <v>2</v>
      </c>
      <c r="L140" s="1489">
        <f>VLOOKUP($G140,IF(LEFT($G140,3)="CPU",COMPOSIÇÕES!$B$1:$E$4198,'BANCO DE DADOS JANEIRO-24 SERV'!$B$2:$F$7195),4,FALSE)</f>
        <v>1596.22</v>
      </c>
      <c r="M140" s="1489">
        <f t="shared" si="36"/>
        <v>1982.5</v>
      </c>
      <c r="N140" s="1510">
        <f t="shared" si="37"/>
        <v>3965</v>
      </c>
      <c r="O140" s="346"/>
      <c r="P140" s="375"/>
      <c r="Q140" s="1628"/>
    </row>
    <row r="141" spans="1:17" s="256" customFormat="1" ht="45">
      <c r="A141" s="341">
        <f t="shared" ca="1" si="29"/>
        <v>11</v>
      </c>
      <c r="B141" s="341">
        <f ca="1">IF(OR(C141=1,D141=1),SUMIF($A$21:A141,A141,$C$21:C141),"")</f>
        <v>30</v>
      </c>
      <c r="C141" s="341">
        <f t="shared" si="30"/>
        <v>1</v>
      </c>
      <c r="D141" s="662" t="str">
        <f t="shared" si="31"/>
        <v/>
      </c>
      <c r="E141" s="662"/>
      <c r="F141" s="164" t="str">
        <f t="shared" ca="1" si="25"/>
        <v>11.30</v>
      </c>
      <c r="G141" s="1099">
        <v>98077</v>
      </c>
      <c r="H141" s="1099" t="str">
        <f t="shared" si="35"/>
        <v>SINAPI</v>
      </c>
      <c r="I141" s="1222" t="str">
        <f>VLOOKUP($G141,IF(LEFT($G141,3)="CPU",COMPOSIÇÕES!$B$1:$E$4198,'BANCO DE DADOS JANEIRO-24 SERV'!$B$2:$F$7195),2,FALSE)</f>
        <v>FILTRO ANAERÓBIO RETANGULAR, EM ALVENARIA COM TIJOLOS CERÂMICOS MACIÇOS, DIMENSÕES INTERNAS: 1,6 X 5,6 X H=1,67 M, VOLUME ÚTIL: 10752 L (PARA 103 CONTRIBUINTES). AF_12/2020</v>
      </c>
      <c r="J141" s="1215" t="str">
        <f>VLOOKUP($G141,IF(LEFT($G141,3)="CPU",COMPOSIÇÕES!$B$1:$E$4198,'BANCO DE DADOS JANEIRO-24 SERV'!$B$2:$F$7195),3,FALSE)</f>
        <v>UN</v>
      </c>
      <c r="K141" s="1099">
        <v>1</v>
      </c>
      <c r="L141" s="1489">
        <f>VLOOKUP($G141,IF(LEFT($G141,3)="CPU",COMPOSIÇÕES!$B$1:$E$4198,'BANCO DE DADOS JANEIRO-24 SERV'!$B$2:$F$7195),4,FALSE)</f>
        <v>17884.849999999999</v>
      </c>
      <c r="M141" s="1489">
        <f t="shared" si="36"/>
        <v>22212.98</v>
      </c>
      <c r="N141" s="1510">
        <f t="shared" si="37"/>
        <v>22212.98</v>
      </c>
      <c r="O141" s="346"/>
      <c r="P141" s="375"/>
      <c r="Q141" s="1628"/>
    </row>
    <row r="142" spans="1:17" s="256" customFormat="1" ht="45">
      <c r="A142" s="341">
        <f t="shared" ca="1" si="29"/>
        <v>11</v>
      </c>
      <c r="B142" s="341">
        <f ca="1">IF(OR(C142=1,D142=1),SUMIF($A$21:A142,A142,$C$21:C142),"")</f>
        <v>31</v>
      </c>
      <c r="C142" s="341">
        <f t="shared" si="30"/>
        <v>1</v>
      </c>
      <c r="D142" s="662" t="str">
        <f t="shared" si="31"/>
        <v/>
      </c>
      <c r="E142" s="662"/>
      <c r="F142" s="164" t="str">
        <f t="shared" ca="1" si="25"/>
        <v>11.31</v>
      </c>
      <c r="G142" s="1099">
        <v>98081</v>
      </c>
      <c r="H142" s="1099" t="str">
        <f t="shared" si="35"/>
        <v>SINAPI</v>
      </c>
      <c r="I142" s="1222" t="str">
        <f>VLOOKUP($G142,IF(LEFT($G142,3)="CPU",COMPOSIÇÕES!$B$1:$E$4198,'BANCO DE DADOS JANEIRO-24 SERV'!$B$2:$F$7195),2,FALSE)</f>
        <v>SUMIDOURO RETANGULAR, EM ALVENARIA COM TIJOLOS CERÂMICOS MACIÇOS, DIMENSÕES INTERNAS: 1,6 X 5,8 X H=3,0 M, ÁREA DE INFILTRAÇÃO: 50 M² (PARA 20 CONTRIBUINTES). AF_12/2020</v>
      </c>
      <c r="J142" s="1215" t="str">
        <f>VLOOKUP($G142,IF(LEFT($G142,3)="CPU",COMPOSIÇÕES!$B$1:$E$4198,'BANCO DE DADOS JANEIRO-24 SERV'!$B$2:$F$7195),3,FALSE)</f>
        <v>UN</v>
      </c>
      <c r="K142" s="1099">
        <v>1</v>
      </c>
      <c r="L142" s="1489">
        <f>VLOOKUP($G142,IF(LEFT($G142,3)="CPU",COMPOSIÇÕES!$B$1:$E$4198,'BANCO DE DADOS JANEIRO-24 SERV'!$B$2:$F$7195),4,FALSE)</f>
        <v>15374.54</v>
      </c>
      <c r="M142" s="1489">
        <f t="shared" si="36"/>
        <v>19095.169999999998</v>
      </c>
      <c r="N142" s="1510">
        <f t="shared" si="37"/>
        <v>19095.169999999998</v>
      </c>
      <c r="O142" s="346"/>
      <c r="P142" s="375"/>
      <c r="Q142" s="1628"/>
    </row>
    <row r="143" spans="1:17" s="256" customFormat="1" ht="45">
      <c r="A143" s="341">
        <f t="shared" ca="1" si="29"/>
        <v>11</v>
      </c>
      <c r="B143" s="341">
        <f ca="1">IF(OR(C143=1,D143=1),SUMIF($A$21:A143,A143,$C$21:C143),"")</f>
        <v>32</v>
      </c>
      <c r="C143" s="341">
        <f t="shared" si="30"/>
        <v>1</v>
      </c>
      <c r="D143" s="662" t="str">
        <f t="shared" si="31"/>
        <v/>
      </c>
      <c r="E143" s="662"/>
      <c r="F143" s="164" t="str">
        <f t="shared" ca="1" si="25"/>
        <v>11.32</v>
      </c>
      <c r="G143" s="1099">
        <v>98070</v>
      </c>
      <c r="H143" s="1099" t="str">
        <f t="shared" si="35"/>
        <v>SINAPI</v>
      </c>
      <c r="I143" s="1222" t="str">
        <f>VLOOKUP($G143,IF(LEFT($G143,3)="CPU",COMPOSIÇÕES!$B$1:$E$4198,'BANCO DE DADOS JANEIRO-24 SERV'!$B$2:$F$7195),2,FALSE)</f>
        <v>TANQUE SÉPTICO RETANGULAR, EM ALVENARIA COM TIJOLOS CERÂMICOS MACIÇOS, DIMENSÕES INTERNAS: 1,6 X 4,8 X H=2,0 M, VOLUME ÚTIL: 12288 L (PARA 86 CONTRIBUINTES). AF_12/2020</v>
      </c>
      <c r="J143" s="1215" t="str">
        <f>VLOOKUP($G143,IF(LEFT($G143,3)="CPU",COMPOSIÇÕES!$B$1:$E$4198,'BANCO DE DADOS JANEIRO-24 SERV'!$B$2:$F$7195),3,FALSE)</f>
        <v>UN</v>
      </c>
      <c r="K143" s="1099">
        <v>1</v>
      </c>
      <c r="L143" s="1489">
        <f>VLOOKUP($G143,IF(LEFT($G143,3)="CPU",COMPOSIÇÕES!$B$1:$E$4198,'BANCO DE DADOS JANEIRO-24 SERV'!$B$2:$F$7195),4,FALSE)</f>
        <v>14160.97</v>
      </c>
      <c r="M143" s="1489">
        <f t="shared" si="36"/>
        <v>17587.919999999998</v>
      </c>
      <c r="N143" s="1510">
        <f t="shared" si="37"/>
        <v>17587.919999999998</v>
      </c>
      <c r="O143" s="346"/>
      <c r="P143" s="375"/>
      <c r="Q143" s="1628"/>
    </row>
    <row r="144" spans="1:17" s="256" customFormat="1" ht="30">
      <c r="A144" s="341">
        <f t="shared" ca="1" si="29"/>
        <v>11</v>
      </c>
      <c r="B144" s="341">
        <f ca="1">IF(OR(C144=1,D144=1),SUMIF($A$21:A144,A144,$C$21:C144),"")</f>
        <v>33</v>
      </c>
      <c r="C144" s="341">
        <f t="shared" si="30"/>
        <v>1</v>
      </c>
      <c r="D144" s="662" t="str">
        <f t="shared" si="31"/>
        <v/>
      </c>
      <c r="E144" s="662"/>
      <c r="F144" s="164" t="str">
        <f t="shared" ca="1" si="25"/>
        <v>11.33</v>
      </c>
      <c r="G144" s="1099">
        <v>100878</v>
      </c>
      <c r="H144" s="1099" t="str">
        <f t="shared" ref="H144:H171" si="38">IF(G144&gt;="CPU","PRÓPRIO","SINAPI")</f>
        <v>SINAPI</v>
      </c>
      <c r="I144" s="1222" t="str">
        <f>VLOOKUP($G144,IF(LEFT($G144,3)="CPU",COMPOSIÇÕES!$B$1:$E$4198,'BANCO DE DADOS JANEIRO-24 SERV'!$B$2:$F$7195),2,FALSE)</f>
        <v>VASO SANITÁRIO SIFONADO COM CAIXA ACOPLADA, LOUÇA BRANCA - PADRÃO ALTO - FORNECIMENTO E INSTALAÇÃO. AF_01/2020</v>
      </c>
      <c r="J144" s="1215" t="str">
        <f>VLOOKUP($G144,IF(LEFT($G144,3)="CPU",COMPOSIÇÕES!$B$1:$E$4198,'BANCO DE DADOS JANEIRO-24 SERV'!$B$2:$F$7195),3,FALSE)</f>
        <v>UN</v>
      </c>
      <c r="K144" s="1099">
        <v>7</v>
      </c>
      <c r="L144" s="1489">
        <f>VLOOKUP($G144,IF(LEFT($G144,3)="CPU",COMPOSIÇÕES!$B$1:$E$4198,'BANCO DE DADOS JANEIRO-24 SERV'!$B$2:$F$7195),4,FALSE)</f>
        <v>625</v>
      </c>
      <c r="M144" s="1489">
        <f t="shared" ref="M144:M171" si="39">IF($Q$2="OUTROS",TRUNC(L144*(1+$N$7),2),ROUND(L144*(1+$N$7),2))</f>
        <v>776.25</v>
      </c>
      <c r="N144" s="1510">
        <f t="shared" ref="N144:N171" si="40">IF($Q$2="OUTROS",TRUNC(M144*K144,2),ROUND(M144*K144,2))</f>
        <v>5433.75</v>
      </c>
      <c r="O144" s="346"/>
      <c r="P144" s="375"/>
      <c r="Q144" s="1628"/>
    </row>
    <row r="145" spans="1:17" s="256" customFormat="1" ht="30">
      <c r="A145" s="341">
        <f t="shared" ca="1" si="29"/>
        <v>11</v>
      </c>
      <c r="B145" s="341">
        <f ca="1">IF(OR(C145=1,D145=1),SUMIF($A$21:A145,A145,$C$21:C145),"")</f>
        <v>34</v>
      </c>
      <c r="C145" s="341">
        <f t="shared" si="30"/>
        <v>1</v>
      </c>
      <c r="D145" s="662" t="str">
        <f t="shared" si="31"/>
        <v/>
      </c>
      <c r="E145" s="662"/>
      <c r="F145" s="164" t="str">
        <f t="shared" ca="1" si="25"/>
        <v>11.34</v>
      </c>
      <c r="G145" s="1099">
        <v>100860</v>
      </c>
      <c r="H145" s="1099" t="str">
        <f t="shared" si="38"/>
        <v>SINAPI</v>
      </c>
      <c r="I145" s="1222" t="str">
        <f>VLOOKUP($G145,IF(LEFT($G145,3)="CPU",COMPOSIÇÕES!$B$1:$E$4198,'BANCO DE DADOS JANEIRO-24 SERV'!$B$2:$F$7195),2,FALSE)</f>
        <v>CHUVEIRO ELÉTRICO COMUM CORPO PLÁSTICO, TIPO DUCHA  FORNECIMENTO E INSTALAÇÃO. AF_01/2020</v>
      </c>
      <c r="J145" s="1215" t="str">
        <f>VLOOKUP($G145,IF(LEFT($G145,3)="CPU",COMPOSIÇÕES!$B$1:$E$4198,'BANCO DE DADOS JANEIRO-24 SERV'!$B$2:$F$7195),3,FALSE)</f>
        <v>UN</v>
      </c>
      <c r="K145" s="1099">
        <v>4</v>
      </c>
      <c r="L145" s="1489">
        <f>VLOOKUP($G145,IF(LEFT($G145,3)="CPU",COMPOSIÇÕES!$B$1:$E$4198,'BANCO DE DADOS JANEIRO-24 SERV'!$B$2:$F$7195),4,FALSE)</f>
        <v>104.24</v>
      </c>
      <c r="M145" s="1489">
        <f t="shared" si="39"/>
        <v>129.46</v>
      </c>
      <c r="N145" s="1510">
        <f t="shared" si="40"/>
        <v>517.84</v>
      </c>
      <c r="O145" s="346"/>
      <c r="P145" s="375"/>
      <c r="Q145" s="1628"/>
    </row>
    <row r="146" spans="1:17" s="256" customFormat="1" ht="15.75">
      <c r="A146" s="341">
        <f t="shared" ca="1" si="29"/>
        <v>11</v>
      </c>
      <c r="B146" s="341">
        <f ca="1">IF(OR(C146=1,D146=1),SUMIF($A$21:A146,A146,$C$21:C146),"")</f>
        <v>35</v>
      </c>
      <c r="C146" s="341">
        <f t="shared" si="30"/>
        <v>1</v>
      </c>
      <c r="D146" s="662" t="str">
        <f t="shared" si="31"/>
        <v/>
      </c>
      <c r="E146" s="662"/>
      <c r="F146" s="164" t="str">
        <f t="shared" ca="1" si="25"/>
        <v>11.35</v>
      </c>
      <c r="G146" s="1099">
        <v>100853</v>
      </c>
      <c r="H146" s="1099" t="str">
        <f t="shared" si="38"/>
        <v>SINAPI</v>
      </c>
      <c r="I146" s="1222" t="str">
        <f>VLOOKUP($G146,IF(LEFT($G146,3)="CPU",COMPOSIÇÕES!$B$1:$E$4198,'BANCO DE DADOS JANEIRO-24 SERV'!$B$2:$F$7195),2,FALSE)</f>
        <v>TORNEIRA CROMADA DE MESA PARA LAVATORIO, TIPO MONOCOMANDO. AF_01/2020</v>
      </c>
      <c r="J146" s="1215" t="str">
        <f>VLOOKUP($G146,IF(LEFT($G146,3)="CPU",COMPOSIÇÕES!$B$1:$E$4198,'BANCO DE DADOS JANEIRO-24 SERV'!$B$2:$F$7195),3,FALSE)</f>
        <v>UN</v>
      </c>
      <c r="K146" s="1099">
        <v>7</v>
      </c>
      <c r="L146" s="1489">
        <f>VLOOKUP($G146,IF(LEFT($G146,3)="CPU",COMPOSIÇÕES!$B$1:$E$4198,'BANCO DE DADOS JANEIRO-24 SERV'!$B$2:$F$7195),4,FALSE)</f>
        <v>367.81</v>
      </c>
      <c r="M146" s="1489">
        <f t="shared" si="39"/>
        <v>456.82</v>
      </c>
      <c r="N146" s="1510">
        <f t="shared" si="40"/>
        <v>3197.74</v>
      </c>
      <c r="O146" s="346"/>
      <c r="P146" s="375"/>
      <c r="Q146" s="1628"/>
    </row>
    <row r="147" spans="1:17" s="256" customFormat="1" ht="30">
      <c r="A147" s="341">
        <f t="shared" ca="1" si="29"/>
        <v>11</v>
      </c>
      <c r="B147" s="341">
        <f ca="1">IF(OR(C147=1,D147=1),SUMIF($A$21:A147,A147,$C$21:C147),"")</f>
        <v>36</v>
      </c>
      <c r="C147" s="341">
        <f t="shared" si="30"/>
        <v>1</v>
      </c>
      <c r="D147" s="662" t="str">
        <f t="shared" si="31"/>
        <v/>
      </c>
      <c r="E147" s="662"/>
      <c r="F147" s="164" t="str">
        <f t="shared" ca="1" si="25"/>
        <v>11.36</v>
      </c>
      <c r="G147" s="1099">
        <v>86881</v>
      </c>
      <c r="H147" s="1099" t="str">
        <f t="shared" si="38"/>
        <v>SINAPI</v>
      </c>
      <c r="I147" s="1222" t="str">
        <f>VLOOKUP($G147,IF(LEFT($G147,3)="CPU",COMPOSIÇÕES!$B$1:$E$4198,'BANCO DE DADOS JANEIRO-24 SERV'!$B$2:$F$7195),2,FALSE)</f>
        <v>SIFÃO DO TIPO GARRAFA EM METAL CROMADO 1 X 1.1/2 - FORNECIMENTO E INSTALAÇÃO. AF_01/2020</v>
      </c>
      <c r="J147" s="1215" t="str">
        <f>VLOOKUP($G147,IF(LEFT($G147,3)="CPU",COMPOSIÇÕES!$B$1:$E$4198,'BANCO DE DADOS JANEIRO-24 SERV'!$B$2:$F$7195),3,FALSE)</f>
        <v>UN</v>
      </c>
      <c r="K147" s="1099">
        <v>7</v>
      </c>
      <c r="L147" s="1489">
        <f>VLOOKUP($G147,IF(LEFT($G147,3)="CPU",COMPOSIÇÕES!$B$1:$E$4198,'BANCO DE DADOS JANEIRO-24 SERV'!$B$2:$F$7195),4,FALSE)</f>
        <v>200.84</v>
      </c>
      <c r="M147" s="1489">
        <f t="shared" si="39"/>
        <v>249.44</v>
      </c>
      <c r="N147" s="1510">
        <f t="shared" si="40"/>
        <v>1746.08</v>
      </c>
      <c r="O147" s="346"/>
      <c r="P147" s="375"/>
      <c r="Q147" s="1628"/>
    </row>
    <row r="148" spans="1:17" s="256" customFormat="1" ht="30">
      <c r="A148" s="341">
        <f t="shared" ca="1" si="29"/>
        <v>11</v>
      </c>
      <c r="B148" s="341">
        <f ca="1">IF(OR(C148=1,D148=1),SUMIF($A$21:A148,A148,$C$21:C148),"")</f>
        <v>37</v>
      </c>
      <c r="C148" s="341">
        <f t="shared" si="30"/>
        <v>1</v>
      </c>
      <c r="D148" s="662" t="str">
        <f t="shared" si="31"/>
        <v/>
      </c>
      <c r="E148" s="662"/>
      <c r="F148" s="164" t="str">
        <f t="shared" ca="1" si="25"/>
        <v>11.37</v>
      </c>
      <c r="G148" s="1099">
        <v>89714</v>
      </c>
      <c r="H148" s="1099" t="str">
        <f t="shared" si="38"/>
        <v>SINAPI</v>
      </c>
      <c r="I148" s="1222" t="str">
        <f>VLOOKUP($G148,IF(LEFT($G148,3)="CPU",COMPOSIÇÕES!$B$1:$E$4198,'BANCO DE DADOS JANEIRO-24 SERV'!$B$2:$F$7195),2,FALSE)</f>
        <v>TUBO PVC, SERIE NORMAL, ESGOTO PREDIAL, DN 100 MM, FORNECIDO E INSTALADO EM RAMAL DE DESCARGA OU RAMAL DE ESGOTO SANITÁRIO. AF_08/2022</v>
      </c>
      <c r="J148" s="1215" t="str">
        <f>VLOOKUP($G148,IF(LEFT($G148,3)="CPU",COMPOSIÇÕES!$B$1:$E$4198,'BANCO DE DADOS JANEIRO-24 SERV'!$B$2:$F$7195),3,FALSE)</f>
        <v>M</v>
      </c>
      <c r="K148" s="1099">
        <v>29.49</v>
      </c>
      <c r="L148" s="1489">
        <f>VLOOKUP($G148,IF(LEFT($G148,3)="CPU",COMPOSIÇÕES!$B$1:$E$4198,'BANCO DE DADOS JANEIRO-24 SERV'!$B$2:$F$7195),4,FALSE)</f>
        <v>35.9</v>
      </c>
      <c r="M148" s="1489">
        <f t="shared" si="39"/>
        <v>44.58</v>
      </c>
      <c r="N148" s="1510">
        <f t="shared" si="40"/>
        <v>1314.66</v>
      </c>
      <c r="O148" s="346"/>
      <c r="P148" s="375"/>
      <c r="Q148" s="1628"/>
    </row>
    <row r="149" spans="1:17" s="256" customFormat="1" ht="30">
      <c r="A149" s="341">
        <f t="shared" ca="1" si="29"/>
        <v>11</v>
      </c>
      <c r="B149" s="341">
        <f ca="1">IF(OR(C149=1,D149=1),SUMIF($A$21:A149,A149,$C$21:C149),"")</f>
        <v>38</v>
      </c>
      <c r="C149" s="341">
        <f t="shared" si="30"/>
        <v>1</v>
      </c>
      <c r="D149" s="662" t="str">
        <f t="shared" si="31"/>
        <v/>
      </c>
      <c r="E149" s="662"/>
      <c r="F149" s="164" t="str">
        <f t="shared" ca="1" si="25"/>
        <v>11.38</v>
      </c>
      <c r="G149" s="1099">
        <v>89712</v>
      </c>
      <c r="H149" s="1099" t="str">
        <f t="shared" si="38"/>
        <v>SINAPI</v>
      </c>
      <c r="I149" s="1222" t="str">
        <f>VLOOKUP($G149,IF(LEFT($G149,3)="CPU",COMPOSIÇÕES!$B$1:$E$4198,'BANCO DE DADOS JANEIRO-24 SERV'!$B$2:$F$7195),2,FALSE)</f>
        <v>TUBO PVC, SERIE NORMAL, ESGOTO PREDIAL, DN 50 MM, FORNECIDO E INSTALADO EM RAMAL DE DESCARGA OU RAMAL DE ESGOTO SANITÁRIO. AF_08/2022</v>
      </c>
      <c r="J149" s="1215" t="str">
        <f>VLOOKUP($G149,IF(LEFT($G149,3)="CPU",COMPOSIÇÕES!$B$1:$E$4198,'BANCO DE DADOS JANEIRO-24 SERV'!$B$2:$F$7195),3,FALSE)</f>
        <v>M</v>
      </c>
      <c r="K149" s="1099">
        <v>30.53</v>
      </c>
      <c r="L149" s="1489">
        <f>VLOOKUP($G149,IF(LEFT($G149,3)="CPU",COMPOSIÇÕES!$B$1:$E$4198,'BANCO DE DADOS JANEIRO-24 SERV'!$B$2:$F$7195),4,FALSE)</f>
        <v>25.79</v>
      </c>
      <c r="M149" s="1489">
        <f t="shared" si="39"/>
        <v>32.03</v>
      </c>
      <c r="N149" s="1510">
        <f t="shared" si="40"/>
        <v>977.87</v>
      </c>
      <c r="O149" s="346"/>
      <c r="P149" s="375"/>
      <c r="Q149" s="1628"/>
    </row>
    <row r="150" spans="1:17" s="256" customFormat="1" ht="30">
      <c r="A150" s="341">
        <f t="shared" ca="1" si="29"/>
        <v>11</v>
      </c>
      <c r="B150" s="341">
        <f ca="1">IF(OR(C150=1,D150=1),SUMIF($A$21:A150,A150,$C$21:C150),"")</f>
        <v>39</v>
      </c>
      <c r="C150" s="341">
        <f t="shared" si="30"/>
        <v>1</v>
      </c>
      <c r="D150" s="662" t="str">
        <f t="shared" si="31"/>
        <v/>
      </c>
      <c r="E150" s="662"/>
      <c r="F150" s="164" t="str">
        <f ca="1">IF(B150&lt;&gt;"",A150&amp;"."&amp;B150,"")</f>
        <v>11.39</v>
      </c>
      <c r="G150" s="1099">
        <v>89711</v>
      </c>
      <c r="H150" s="1099" t="str">
        <f t="shared" si="38"/>
        <v>SINAPI</v>
      </c>
      <c r="I150" s="1222" t="str">
        <f>VLOOKUP($G150,IF(LEFT($G150,3)="CPU",COMPOSIÇÕES!$B$1:$E$4198,'BANCO DE DADOS JANEIRO-24 SERV'!$B$2:$F$7195),2,FALSE)</f>
        <v>TUBO PVC, SERIE NORMAL, ESGOTO PREDIAL, DN 40 MM, FORNECIDO E INSTALADO EM RAMAL DE DESCARGA OU RAMAL DE ESGOTO SANITÁRIO. AF_08/2022</v>
      </c>
      <c r="J150" s="1215" t="str">
        <f>VLOOKUP($G150,IF(LEFT($G150,3)="CPU",COMPOSIÇÕES!$B$1:$E$4198,'BANCO DE DADOS JANEIRO-24 SERV'!$B$2:$F$7195),3,FALSE)</f>
        <v>M</v>
      </c>
      <c r="K150" s="1099">
        <v>7.76</v>
      </c>
      <c r="L150" s="1489">
        <f>VLOOKUP($G150,IF(LEFT($G150,3)="CPU",COMPOSIÇÕES!$B$1:$E$4198,'BANCO DE DADOS JANEIRO-24 SERV'!$B$2:$F$7195),4,FALSE)</f>
        <v>20.27</v>
      </c>
      <c r="M150" s="1489">
        <f t="shared" si="39"/>
        <v>25.17</v>
      </c>
      <c r="N150" s="1510">
        <f>IF($Q$2="OUTROS",TRUNC(M150*K150,2),ROUND(M150*K150,2))</f>
        <v>195.31</v>
      </c>
      <c r="O150" s="346"/>
      <c r="P150" s="375"/>
      <c r="Q150" s="1628"/>
    </row>
    <row r="151" spans="1:17" s="256" customFormat="1" ht="30">
      <c r="A151" s="341">
        <f t="shared" ca="1" si="29"/>
        <v>11</v>
      </c>
      <c r="B151" s="341">
        <f ca="1">IF(OR(C151=1,D151=1),SUMIF($A$21:A151,A151,$C$21:C151),"")</f>
        <v>40</v>
      </c>
      <c r="C151" s="341">
        <f t="shared" si="30"/>
        <v>1</v>
      </c>
      <c r="D151" s="662" t="str">
        <f t="shared" si="31"/>
        <v/>
      </c>
      <c r="E151" s="662"/>
      <c r="F151" s="164" t="str">
        <f t="shared" ca="1" si="25"/>
        <v>11.40</v>
      </c>
      <c r="G151" s="1099">
        <v>89713</v>
      </c>
      <c r="H151" s="1099" t="str">
        <f t="shared" si="38"/>
        <v>SINAPI</v>
      </c>
      <c r="I151" s="1222" t="str">
        <f>VLOOKUP($G151,IF(LEFT($G151,3)="CPU",COMPOSIÇÕES!$B$1:$E$4198,'BANCO DE DADOS JANEIRO-24 SERV'!$B$2:$F$7195),2,FALSE)</f>
        <v>TUBO PVC, SERIE NORMAL, ESGOTO PREDIAL, DN 75 MM, FORNECIDO E INSTALADO EM RAMAL DE DESCARGA OU RAMAL DE ESGOTO SANITÁRIO. AF_08/2022</v>
      </c>
      <c r="J151" s="1215" t="str">
        <f>VLOOKUP($G151,IF(LEFT($G151,3)="CPU",COMPOSIÇÕES!$B$1:$E$4198,'BANCO DE DADOS JANEIRO-24 SERV'!$B$2:$F$7195),3,FALSE)</f>
        <v>M</v>
      </c>
      <c r="K151" s="1099">
        <v>3.05</v>
      </c>
      <c r="L151" s="1489">
        <f>VLOOKUP($G151,IF(LEFT($G151,3)="CPU",COMPOSIÇÕES!$B$1:$E$4198,'BANCO DE DADOS JANEIRO-24 SERV'!$B$2:$F$7195),4,FALSE)</f>
        <v>32.14</v>
      </c>
      <c r="M151" s="1489">
        <f t="shared" si="39"/>
        <v>39.909999999999997</v>
      </c>
      <c r="N151" s="1510">
        <f t="shared" si="40"/>
        <v>121.72</v>
      </c>
      <c r="O151" s="346"/>
      <c r="P151" s="375"/>
      <c r="Q151" s="1628"/>
    </row>
    <row r="152" spans="1:17" s="256" customFormat="1" ht="45">
      <c r="A152" s="341">
        <f t="shared" ca="1" si="29"/>
        <v>11</v>
      </c>
      <c r="B152" s="341">
        <f ca="1">IF(OR(C152=1,D152=1),SUMIF($A$21:A152,A152,$C$21:C152),"")</f>
        <v>41</v>
      </c>
      <c r="C152" s="341">
        <f t="shared" si="30"/>
        <v>1</v>
      </c>
      <c r="D152" s="662" t="str">
        <f t="shared" si="31"/>
        <v/>
      </c>
      <c r="E152" s="662"/>
      <c r="F152" s="164" t="str">
        <f t="shared" ca="1" si="25"/>
        <v>11.41</v>
      </c>
      <c r="G152" s="1099">
        <v>89726</v>
      </c>
      <c r="H152" s="1099" t="str">
        <f t="shared" si="38"/>
        <v>SINAPI</v>
      </c>
      <c r="I152" s="1222" t="str">
        <f>VLOOKUP($G152,IF(LEFT($G152,3)="CPU",COMPOSIÇÕES!$B$1:$E$4198,'BANCO DE DADOS JANEIRO-24 SERV'!$B$2:$F$7195),2,FALSE)</f>
        <v>JOELHO 45 GRAUS, PVC, SERIE NORMAL, ESGOTO PREDIAL, DN 40 MM, JUNTA SOLDÁVEL, FORNECIDO E INSTALADO EM RAMAL DE DESCARGA OU RAMAL DE ESGOTO SANITÁRIO. AF_08/2022</v>
      </c>
      <c r="J152" s="1215" t="str">
        <f>VLOOKUP($G152,IF(LEFT($G152,3)="CPU",COMPOSIÇÕES!$B$1:$E$4198,'BANCO DE DADOS JANEIRO-24 SERV'!$B$2:$F$7195),3,FALSE)</f>
        <v>UN</v>
      </c>
      <c r="K152" s="1099">
        <v>23</v>
      </c>
      <c r="L152" s="1489">
        <f>VLOOKUP($G152,IF(LEFT($G152,3)="CPU",COMPOSIÇÕES!$B$1:$E$4198,'BANCO DE DADOS JANEIRO-24 SERV'!$B$2:$F$7195),4,FALSE)</f>
        <v>10.220000000000001</v>
      </c>
      <c r="M152" s="1489">
        <f t="shared" si="39"/>
        <v>12.69</v>
      </c>
      <c r="N152" s="1510">
        <f t="shared" si="40"/>
        <v>291.87</v>
      </c>
      <c r="O152" s="346"/>
      <c r="P152" s="375"/>
      <c r="Q152" s="1628"/>
    </row>
    <row r="153" spans="1:17" s="256" customFormat="1" ht="45">
      <c r="A153" s="341">
        <f t="shared" ca="1" si="29"/>
        <v>11</v>
      </c>
      <c r="B153" s="341">
        <f ca="1">IF(OR(C153=1,D153=1),SUMIF($A$21:A153,A153,$C$21:C153),"")</f>
        <v>42</v>
      </c>
      <c r="C153" s="341">
        <f t="shared" si="30"/>
        <v>1</v>
      </c>
      <c r="D153" s="662" t="str">
        <f t="shared" si="31"/>
        <v/>
      </c>
      <c r="E153" s="662"/>
      <c r="F153" s="164" t="str">
        <f t="shared" ref="F153:F179" ca="1" si="41">IF(B153&lt;&gt;"",A153&amp;"."&amp;B153,"")</f>
        <v>11.42</v>
      </c>
      <c r="G153" s="1099">
        <v>89802</v>
      </c>
      <c r="H153" s="1099" t="str">
        <f t="shared" si="38"/>
        <v>SINAPI</v>
      </c>
      <c r="I153" s="1222" t="str">
        <f>VLOOKUP($G153,IF(LEFT($G153,3)="CPU",COMPOSIÇÕES!$B$1:$E$4198,'BANCO DE DADOS JANEIRO-24 SERV'!$B$2:$F$7195),2,FALSE)</f>
        <v>JOELHO 45 GRAUS, PVC, SERIE NORMAL, ESGOTO PREDIAL, DN 50 MM, JUNTA ELÁSTICA, FORNECIDO E INSTALADO EM PRUMADA DE ESGOTO SANITÁRIO OU VENTILAÇÃO. AF_08/2022</v>
      </c>
      <c r="J153" s="1215" t="str">
        <f>VLOOKUP($G153,IF(LEFT($G153,3)="CPU",COMPOSIÇÕES!$B$1:$E$4198,'BANCO DE DADOS JANEIRO-24 SERV'!$B$2:$F$7195),3,FALSE)</f>
        <v>UN</v>
      </c>
      <c r="K153" s="1099">
        <v>38</v>
      </c>
      <c r="L153" s="1489">
        <f>VLOOKUP($G153,IF(LEFT($G153,3)="CPU",COMPOSIÇÕES!$B$1:$E$4198,'BANCO DE DADOS JANEIRO-24 SERV'!$B$2:$F$7195),4,FALSE)</f>
        <v>10.36</v>
      </c>
      <c r="M153" s="1489">
        <f t="shared" si="39"/>
        <v>12.86</v>
      </c>
      <c r="N153" s="1510">
        <f t="shared" si="40"/>
        <v>488.68</v>
      </c>
      <c r="O153" s="346"/>
      <c r="P153" s="375"/>
      <c r="Q153" s="1628"/>
    </row>
    <row r="154" spans="1:17" s="256" customFormat="1" ht="45">
      <c r="A154" s="341">
        <f t="shared" ca="1" si="29"/>
        <v>11</v>
      </c>
      <c r="B154" s="341">
        <f ca="1">IF(OR(C154=1,D154=1),SUMIF($A$21:A154,A154,$C$21:C154),"")</f>
        <v>43</v>
      </c>
      <c r="C154" s="341">
        <f t="shared" si="30"/>
        <v>1</v>
      </c>
      <c r="D154" s="662" t="str">
        <f t="shared" si="31"/>
        <v/>
      </c>
      <c r="E154" s="662"/>
      <c r="F154" s="164" t="str">
        <f t="shared" ca="1" si="41"/>
        <v>11.43</v>
      </c>
      <c r="G154" s="1099">
        <v>89806</v>
      </c>
      <c r="H154" s="1099" t="str">
        <f t="shared" si="38"/>
        <v>SINAPI</v>
      </c>
      <c r="I154" s="1222" t="str">
        <f>VLOOKUP($G154,IF(LEFT($G154,3)="CPU",COMPOSIÇÕES!$B$1:$E$4198,'BANCO DE DADOS JANEIRO-24 SERV'!$B$2:$F$7195),2,FALSE)</f>
        <v>JOELHO 45 GRAUS, PVC, SERIE NORMAL, ESGOTO PREDIAL, DN 75 MM, JUNTA ELÁSTICA, FORNECIDO E INSTALADO EM PRUMADA DE ESGOTO SANITÁRIO OU VENTILAÇÃO. AF_08/2022</v>
      </c>
      <c r="J154" s="1215" t="str">
        <f>VLOOKUP($G154,IF(LEFT($G154,3)="CPU",COMPOSIÇÕES!$B$1:$E$4198,'BANCO DE DADOS JANEIRO-24 SERV'!$B$2:$F$7195),3,FALSE)</f>
        <v>UN</v>
      </c>
      <c r="K154" s="1099">
        <v>3</v>
      </c>
      <c r="L154" s="1489">
        <f>VLOOKUP($G154,IF(LEFT($G154,3)="CPU",COMPOSIÇÕES!$B$1:$E$4198,'BANCO DE DADOS JANEIRO-24 SERV'!$B$2:$F$7195),4,FALSE)</f>
        <v>21.06</v>
      </c>
      <c r="M154" s="1489">
        <f t="shared" si="39"/>
        <v>26.15</v>
      </c>
      <c r="N154" s="1510">
        <f t="shared" si="40"/>
        <v>78.45</v>
      </c>
      <c r="O154" s="346"/>
      <c r="P154" s="375"/>
      <c r="Q154" s="1628"/>
    </row>
    <row r="155" spans="1:17" s="256" customFormat="1" ht="45">
      <c r="A155" s="341">
        <f t="shared" ca="1" si="29"/>
        <v>11</v>
      </c>
      <c r="B155" s="341">
        <f ca="1">IF(OR(C155=1,D155=1),SUMIF($A$21:A155,A155,$C$21:C155),"")</f>
        <v>44</v>
      </c>
      <c r="C155" s="341">
        <f t="shared" si="30"/>
        <v>1</v>
      </c>
      <c r="D155" s="662" t="str">
        <f t="shared" si="31"/>
        <v/>
      </c>
      <c r="E155" s="662"/>
      <c r="F155" s="164" t="str">
        <f t="shared" ca="1" si="41"/>
        <v>11.44</v>
      </c>
      <c r="G155" s="1099">
        <v>89810</v>
      </c>
      <c r="H155" s="1099" t="str">
        <f t="shared" si="38"/>
        <v>SINAPI</v>
      </c>
      <c r="I155" s="1222" t="str">
        <f>VLOOKUP($G155,IF(LEFT($G155,3)="CPU",COMPOSIÇÕES!$B$1:$E$4198,'BANCO DE DADOS JANEIRO-24 SERV'!$B$2:$F$7195),2,FALSE)</f>
        <v>JOELHO 45 GRAUS, PVC, SERIE NORMAL, ESGOTO PREDIAL, DN 100 MM, JUNTA ELÁSTICA, FORNECIDO E INSTALADO EM PRUMADA DE ESGOTO SANITÁRIO OU VENTILAÇÃO. AF_08/2022</v>
      </c>
      <c r="J155" s="1215" t="str">
        <f>VLOOKUP($G155,IF(LEFT($G155,3)="CPU",COMPOSIÇÕES!$B$1:$E$4198,'BANCO DE DADOS JANEIRO-24 SERV'!$B$2:$F$7195),3,FALSE)</f>
        <v>UN</v>
      </c>
      <c r="K155" s="1099">
        <v>8</v>
      </c>
      <c r="L155" s="1489">
        <f>VLOOKUP($G155,IF(LEFT($G155,3)="CPU",COMPOSIÇÕES!$B$1:$E$4198,'BANCO DE DADOS JANEIRO-24 SERV'!$B$2:$F$7195),4,FALSE)</f>
        <v>28.82</v>
      </c>
      <c r="M155" s="1489">
        <f t="shared" si="39"/>
        <v>35.79</v>
      </c>
      <c r="N155" s="1510">
        <f t="shared" si="40"/>
        <v>286.32</v>
      </c>
      <c r="O155" s="346"/>
      <c r="P155" s="375"/>
      <c r="Q155" s="1628"/>
    </row>
    <row r="156" spans="1:17" s="256" customFormat="1" ht="45">
      <c r="A156" s="341">
        <f t="shared" ca="1" si="29"/>
        <v>11</v>
      </c>
      <c r="B156" s="341">
        <f ca="1">IF(OR(C156=1,D156=1),SUMIF($A$21:A156,A156,$C$21:C156),"")</f>
        <v>45</v>
      </c>
      <c r="C156" s="341">
        <f t="shared" si="30"/>
        <v>1</v>
      </c>
      <c r="D156" s="662" t="str">
        <f t="shared" si="31"/>
        <v/>
      </c>
      <c r="E156" s="662"/>
      <c r="F156" s="164" t="str">
        <f t="shared" ca="1" si="41"/>
        <v>11.45</v>
      </c>
      <c r="G156" s="1099">
        <v>89724</v>
      </c>
      <c r="H156" s="1099" t="str">
        <f t="shared" si="38"/>
        <v>SINAPI</v>
      </c>
      <c r="I156" s="1222" t="str">
        <f>VLOOKUP($G156,IF(LEFT($G156,3)="CPU",COMPOSIÇÕES!$B$1:$E$4198,'BANCO DE DADOS JANEIRO-24 SERV'!$B$2:$F$7195),2,FALSE)</f>
        <v>JOELHO 90 GRAUS, PVC, SERIE NORMAL, ESGOTO PREDIAL, DN 40 MM, JUNTA SOLDÁVEL, FORNECIDO E INSTALADO EM RAMAL DE DESCARGA OU RAMAL DE ESGOTO SANITÁRIO. AF_08/2022</v>
      </c>
      <c r="J156" s="1215" t="str">
        <f>VLOOKUP($G156,IF(LEFT($G156,3)="CPU",COMPOSIÇÕES!$B$1:$E$4198,'BANCO DE DADOS JANEIRO-24 SERV'!$B$2:$F$7195),3,FALSE)</f>
        <v>UN</v>
      </c>
      <c r="K156" s="1099">
        <v>14</v>
      </c>
      <c r="L156" s="1489">
        <f>VLOOKUP($G156,IF(LEFT($G156,3)="CPU",COMPOSIÇÕES!$B$1:$E$4198,'BANCO DE DADOS JANEIRO-24 SERV'!$B$2:$F$7195),4,FALSE)</f>
        <v>10</v>
      </c>
      <c r="M156" s="1489">
        <f t="shared" si="39"/>
        <v>12.42</v>
      </c>
      <c r="N156" s="1510">
        <f t="shared" si="40"/>
        <v>173.88</v>
      </c>
      <c r="O156" s="346"/>
      <c r="P156" s="375"/>
      <c r="Q156" s="1628"/>
    </row>
    <row r="157" spans="1:17" s="256" customFormat="1" ht="45">
      <c r="A157" s="341">
        <f t="shared" ca="1" si="29"/>
        <v>11</v>
      </c>
      <c r="B157" s="341">
        <f ca="1">IF(OR(C157=1,D157=1),SUMIF($A$21:A157,A157,$C$21:C157),"")</f>
        <v>46</v>
      </c>
      <c r="C157" s="341">
        <f t="shared" si="30"/>
        <v>1</v>
      </c>
      <c r="D157" s="662" t="str">
        <f t="shared" si="31"/>
        <v/>
      </c>
      <c r="E157" s="662"/>
      <c r="F157" s="164" t="str">
        <f t="shared" ca="1" si="41"/>
        <v>11.46</v>
      </c>
      <c r="G157" s="1099">
        <v>89801</v>
      </c>
      <c r="H157" s="1099" t="str">
        <f t="shared" si="38"/>
        <v>SINAPI</v>
      </c>
      <c r="I157" s="1222" t="str">
        <f>VLOOKUP($G157,IF(LEFT($G157,3)="CPU",COMPOSIÇÕES!$B$1:$E$4198,'BANCO DE DADOS JANEIRO-24 SERV'!$B$2:$F$7195),2,FALSE)</f>
        <v>JOELHO 90 GRAUS, PVC, SERIE NORMAL, ESGOTO PREDIAL, DN 50 MM, JUNTA ELÁSTICA, FORNECIDO E INSTALADO EM PRUMADA DE ESGOTO SANITÁRIO OU VENTILAÇÃO. AF_08/2022</v>
      </c>
      <c r="J157" s="1215" t="str">
        <f>VLOOKUP($G157,IF(LEFT($G157,3)="CPU",COMPOSIÇÕES!$B$1:$E$4198,'BANCO DE DADOS JANEIRO-24 SERV'!$B$2:$F$7195),3,FALSE)</f>
        <v>UN</v>
      </c>
      <c r="K157" s="1099">
        <v>7</v>
      </c>
      <c r="L157" s="1489">
        <f>VLOOKUP($G157,IF(LEFT($G157,3)="CPU",COMPOSIÇÕES!$B$1:$E$4198,'BANCO DE DADOS JANEIRO-24 SERV'!$B$2:$F$7195),4,FALSE)</f>
        <v>9.66</v>
      </c>
      <c r="M157" s="1489">
        <f t="shared" si="39"/>
        <v>11.99</v>
      </c>
      <c r="N157" s="1510">
        <f t="shared" si="40"/>
        <v>83.93</v>
      </c>
      <c r="O157" s="346"/>
      <c r="P157" s="375"/>
      <c r="Q157" s="1628"/>
    </row>
    <row r="158" spans="1:17" s="256" customFormat="1" ht="45">
      <c r="A158" s="341">
        <f t="shared" ca="1" si="29"/>
        <v>11</v>
      </c>
      <c r="B158" s="341">
        <f ca="1">IF(OR(C158=1,D158=1),SUMIF($A$21:A158,A158,$C$21:C158),"")</f>
        <v>47</v>
      </c>
      <c r="C158" s="341">
        <f t="shared" si="30"/>
        <v>1</v>
      </c>
      <c r="D158" s="662" t="str">
        <f t="shared" si="31"/>
        <v/>
      </c>
      <c r="E158" s="662"/>
      <c r="F158" s="164" t="str">
        <f t="shared" ca="1" si="41"/>
        <v>11.47</v>
      </c>
      <c r="G158" s="1099">
        <v>89809</v>
      </c>
      <c r="H158" s="1099" t="str">
        <f t="shared" si="38"/>
        <v>SINAPI</v>
      </c>
      <c r="I158" s="1222" t="str">
        <f>VLOOKUP($G158,IF(LEFT($G158,3)="CPU",COMPOSIÇÕES!$B$1:$E$4198,'BANCO DE DADOS JANEIRO-24 SERV'!$B$2:$F$7195),2,FALSE)</f>
        <v>JOELHO 90 GRAUS, PVC, SERIE NORMAL, ESGOTO PREDIAL, DN 100 MM, JUNTA ELÁSTICA, FORNECIDO E INSTALADO EM PRUMADA DE ESGOTO SANITÁRIO OU VENTILAÇÃO. AF_08/2022</v>
      </c>
      <c r="J158" s="1215" t="str">
        <f>VLOOKUP($G158,IF(LEFT($G158,3)="CPU",COMPOSIÇÕES!$B$1:$E$4198,'BANCO DE DADOS JANEIRO-24 SERV'!$B$2:$F$7195),3,FALSE)</f>
        <v>UN</v>
      </c>
      <c r="K158" s="1099">
        <v>7</v>
      </c>
      <c r="L158" s="1489">
        <f>VLOOKUP($G158,IF(LEFT($G158,3)="CPU",COMPOSIÇÕES!$B$1:$E$4198,'BANCO DE DADOS JANEIRO-24 SERV'!$B$2:$F$7195),4,FALSE)</f>
        <v>28.01</v>
      </c>
      <c r="M158" s="1489">
        <f t="shared" si="39"/>
        <v>34.78</v>
      </c>
      <c r="N158" s="1510">
        <f t="shared" si="40"/>
        <v>243.46</v>
      </c>
      <c r="O158" s="346"/>
      <c r="P158" s="375"/>
      <c r="Q158" s="1628"/>
    </row>
    <row r="159" spans="1:17" s="256" customFormat="1" ht="45">
      <c r="A159" s="341">
        <f t="shared" ca="1" si="29"/>
        <v>11</v>
      </c>
      <c r="B159" s="341">
        <f ca="1">IF(OR(C159=1,D159=1),SUMIF($A$21:A159,A159,$C$21:C159),"")</f>
        <v>48</v>
      </c>
      <c r="C159" s="341">
        <f t="shared" si="30"/>
        <v>1</v>
      </c>
      <c r="D159" s="662" t="str">
        <f t="shared" si="31"/>
        <v/>
      </c>
      <c r="E159" s="662"/>
      <c r="F159" s="164" t="str">
        <f t="shared" ca="1" si="41"/>
        <v>11.48</v>
      </c>
      <c r="G159" s="1099">
        <v>89785</v>
      </c>
      <c r="H159" s="1099" t="str">
        <f t="shared" si="38"/>
        <v>SINAPI</v>
      </c>
      <c r="I159" s="1222" t="str">
        <f>VLOOKUP($G159,IF(LEFT($G159,3)="CPU",COMPOSIÇÕES!$B$1:$E$4198,'BANCO DE DADOS JANEIRO-24 SERV'!$B$2:$F$7195),2,FALSE)</f>
        <v>JUNÇÃO SIMPLES, PVC, SERIE NORMAL, ESGOTO PREDIAL, DN 50 X 50 MM, JUNTA ELÁSTICA, FORNECIDO E INSTALADO EM RAMAL DE DESCARGA OU RAMAL DE ESGOTO SANITÁRIO. AF_08/2022</v>
      </c>
      <c r="J159" s="1215" t="str">
        <f>VLOOKUP($G159,IF(LEFT($G159,3)="CPU",COMPOSIÇÕES!$B$1:$E$4198,'BANCO DE DADOS JANEIRO-24 SERV'!$B$2:$F$7195),3,FALSE)</f>
        <v>UN</v>
      </c>
      <c r="K159" s="1099">
        <v>5</v>
      </c>
      <c r="L159" s="1489">
        <f>VLOOKUP($G159,IF(LEFT($G159,3)="CPU",COMPOSIÇÕES!$B$1:$E$4198,'BANCO DE DADOS JANEIRO-24 SERV'!$B$2:$F$7195),4,FALSE)</f>
        <v>25.74</v>
      </c>
      <c r="M159" s="1489">
        <f t="shared" si="39"/>
        <v>31.96</v>
      </c>
      <c r="N159" s="1510">
        <f t="shared" si="40"/>
        <v>159.80000000000001</v>
      </c>
      <c r="O159" s="346"/>
      <c r="P159" s="375"/>
      <c r="Q159" s="1628"/>
    </row>
    <row r="160" spans="1:17" s="256" customFormat="1" ht="45">
      <c r="A160" s="341">
        <f t="shared" ca="1" si="29"/>
        <v>11</v>
      </c>
      <c r="B160" s="341">
        <f ca="1">IF(OR(C160=1,D160=1),SUMIF($A$21:A160,A160,$C$21:C160),"")</f>
        <v>49</v>
      </c>
      <c r="C160" s="341">
        <f t="shared" si="30"/>
        <v>1</v>
      </c>
      <c r="D160" s="662" t="str">
        <f t="shared" si="31"/>
        <v/>
      </c>
      <c r="E160" s="662"/>
      <c r="F160" s="164" t="str">
        <f t="shared" ca="1" si="41"/>
        <v>11.49</v>
      </c>
      <c r="G160" s="1099">
        <v>104345</v>
      </c>
      <c r="H160" s="1099" t="str">
        <f t="shared" si="38"/>
        <v>SINAPI</v>
      </c>
      <c r="I160" s="1222" t="str">
        <f>VLOOKUP($G160,IF(LEFT($G160,3)="CPU",COMPOSIÇÕES!$B$1:$E$4198,'BANCO DE DADOS JANEIRO-24 SERV'!$B$2:$F$7195),2,FALSE)</f>
        <v>JUNÇÃO DE REDUÇÃO INVERTIDA, PVC, SÉRIE NORMAL, ESGOTO PREDIAL, DN 100 X 50 MM, JUNTA ELÁSTICA, FORNECIDO E INSTALADO EM RAMAL DE DESCARGA OU RAMAL DE ESGOTO SANITÁRIO. AF_08/2022</v>
      </c>
      <c r="J160" s="1215" t="str">
        <f>VLOOKUP($G160,IF(LEFT($G160,3)="CPU",COMPOSIÇÕES!$B$1:$E$4198,'BANCO DE DADOS JANEIRO-24 SERV'!$B$2:$F$7195),3,FALSE)</f>
        <v>UN</v>
      </c>
      <c r="K160" s="1099">
        <v>4</v>
      </c>
      <c r="L160" s="1489">
        <f>VLOOKUP($G160,IF(LEFT($G160,3)="CPU",COMPOSIÇÕES!$B$1:$E$4198,'BANCO DE DADOS JANEIRO-24 SERV'!$B$2:$F$7195),4,FALSE)</f>
        <v>41.7</v>
      </c>
      <c r="M160" s="1489">
        <f t="shared" si="39"/>
        <v>51.79</v>
      </c>
      <c r="N160" s="1510">
        <f t="shared" si="40"/>
        <v>207.16</v>
      </c>
      <c r="O160" s="346"/>
      <c r="P160" s="375"/>
      <c r="Q160" s="1628"/>
    </row>
    <row r="161" spans="1:17" s="256" customFormat="1" ht="45">
      <c r="A161" s="341">
        <f t="shared" ca="1" si="29"/>
        <v>11</v>
      </c>
      <c r="B161" s="341">
        <f ca="1">IF(OR(C161=1,D161=1),SUMIF($A$21:A161,A161,$C$21:C161),"")</f>
        <v>50</v>
      </c>
      <c r="C161" s="341">
        <f t="shared" si="30"/>
        <v>1</v>
      </c>
      <c r="D161" s="662" t="str">
        <f t="shared" si="31"/>
        <v/>
      </c>
      <c r="E161" s="662"/>
      <c r="F161" s="164" t="str">
        <f t="shared" ca="1" si="41"/>
        <v>11.50</v>
      </c>
      <c r="G161" s="1099">
        <v>104347</v>
      </c>
      <c r="H161" s="1099" t="str">
        <f t="shared" si="38"/>
        <v>SINAPI</v>
      </c>
      <c r="I161" s="1222" t="str">
        <f>VLOOKUP($G161,IF(LEFT($G161,3)="CPU",COMPOSIÇÕES!$B$1:$E$4198,'BANCO DE DADOS JANEIRO-24 SERV'!$B$2:$F$7195),2,FALSE)</f>
        <v>JUNÇÃO DE REDUCAO INVERTIDA, PVC, SÉRIE NORMAL, ESGOTO PREDIAL, DN 100 X 75 MM, JUNTA ELÁSTICA, FORNECIDO E INSTALADO EM RAMAL DE DESCARGA OU RAMAL DE ESGOTO SANITÁRIO. AF_08/2022</v>
      </c>
      <c r="J161" s="1215" t="str">
        <f>VLOOKUP($G161,IF(LEFT($G161,3)="CPU",COMPOSIÇÕES!$B$1:$E$4198,'BANCO DE DADOS JANEIRO-24 SERV'!$B$2:$F$7195),3,FALSE)</f>
        <v>UN</v>
      </c>
      <c r="K161" s="1099">
        <v>2</v>
      </c>
      <c r="L161" s="1489">
        <f>VLOOKUP($G161,IF(LEFT($G161,3)="CPU",COMPOSIÇÕES!$B$1:$E$4198,'BANCO DE DADOS JANEIRO-24 SERV'!$B$2:$F$7195),4,FALSE)</f>
        <v>46.5</v>
      </c>
      <c r="M161" s="1489">
        <f t="shared" si="39"/>
        <v>57.75</v>
      </c>
      <c r="N161" s="1510">
        <f t="shared" si="40"/>
        <v>115.5</v>
      </c>
      <c r="O161" s="346"/>
      <c r="P161" s="375"/>
      <c r="Q161" s="1628"/>
    </row>
    <row r="162" spans="1:17" s="256" customFormat="1" ht="45">
      <c r="A162" s="341">
        <f t="shared" ca="1" si="29"/>
        <v>11</v>
      </c>
      <c r="B162" s="341">
        <f ca="1">IF(OR(C162=1,D162=1),SUMIF($A$21:A162,A162,$C$21:C162),"")</f>
        <v>51</v>
      </c>
      <c r="C162" s="341">
        <f t="shared" si="30"/>
        <v>1</v>
      </c>
      <c r="D162" s="662" t="str">
        <f t="shared" si="31"/>
        <v/>
      </c>
      <c r="E162" s="662"/>
      <c r="F162" s="164" t="str">
        <f t="shared" ca="1" si="41"/>
        <v>11.51</v>
      </c>
      <c r="G162" s="1099">
        <v>89797</v>
      </c>
      <c r="H162" s="1099" t="str">
        <f t="shared" si="38"/>
        <v>SINAPI</v>
      </c>
      <c r="I162" s="1222" t="str">
        <f>VLOOKUP($G162,IF(LEFT($G162,3)="CPU",COMPOSIÇÕES!$B$1:$E$4198,'BANCO DE DADOS JANEIRO-24 SERV'!$B$2:$F$7195),2,FALSE)</f>
        <v>JUNÇÃO SIMPLES, PVC, SERIE NORMAL, ESGOTO PREDIAL, DN 100 X 100 MM, JUNTA ELÁSTICA, FORNECIDO E INSTALADO EM RAMAL DE DESCARGA OU RAMAL DE ESGOTO SANITÁRIO. AF_08/2022</v>
      </c>
      <c r="J162" s="1215" t="str">
        <f>VLOOKUP($G162,IF(LEFT($G162,3)="CPU",COMPOSIÇÕES!$B$1:$E$4198,'BANCO DE DADOS JANEIRO-24 SERV'!$B$2:$F$7195),3,FALSE)</f>
        <v>UN</v>
      </c>
      <c r="K162" s="1099">
        <v>4</v>
      </c>
      <c r="L162" s="1489">
        <f>VLOOKUP($G162,IF(LEFT($G162,3)="CPU",COMPOSIÇÕES!$B$1:$E$4198,'BANCO DE DADOS JANEIRO-24 SERV'!$B$2:$F$7195),4,FALSE)</f>
        <v>50</v>
      </c>
      <c r="M162" s="1489">
        <f t="shared" si="39"/>
        <v>62.1</v>
      </c>
      <c r="N162" s="1510">
        <f t="shared" si="40"/>
        <v>248.4</v>
      </c>
      <c r="O162" s="346"/>
      <c r="P162" s="375"/>
      <c r="Q162" s="1628"/>
    </row>
    <row r="163" spans="1:17" s="256" customFormat="1" ht="45">
      <c r="A163" s="341">
        <f t="shared" ca="1" si="29"/>
        <v>11</v>
      </c>
      <c r="B163" s="341">
        <f ca="1">IF(OR(C163=1,D163=1),SUMIF($A$21:A163,A163,$C$21:C163),"")</f>
        <v>52</v>
      </c>
      <c r="C163" s="341">
        <f t="shared" si="30"/>
        <v>1</v>
      </c>
      <c r="D163" s="662" t="str">
        <f t="shared" si="31"/>
        <v/>
      </c>
      <c r="E163" s="662"/>
      <c r="F163" s="164" t="str">
        <f t="shared" ca="1" si="41"/>
        <v>11.52</v>
      </c>
      <c r="G163" s="1099">
        <v>89753</v>
      </c>
      <c r="H163" s="1099" t="str">
        <f t="shared" si="38"/>
        <v>SINAPI</v>
      </c>
      <c r="I163" s="1222" t="str">
        <f>VLOOKUP($G163,IF(LEFT($G163,3)="CPU",COMPOSIÇÕES!$B$1:$E$4198,'BANCO DE DADOS JANEIRO-24 SERV'!$B$2:$F$7195),2,FALSE)</f>
        <v>LUVA SIMPLES, PVC, SERIE NORMAL, ESGOTO PREDIAL, DN 50 MM, JUNTA ELÁSTICA, FORNECIDO E INSTALADO EM RAMAL DE DESCARGA OU RAMAL DE ESGOTO SANITÁRIO. AF_08/2022</v>
      </c>
      <c r="J163" s="1215" t="str">
        <f>VLOOKUP($G163,IF(LEFT($G163,3)="CPU",COMPOSIÇÕES!$B$1:$E$4198,'BANCO DE DADOS JANEIRO-24 SERV'!$B$2:$F$7195),3,FALSE)</f>
        <v>UN</v>
      </c>
      <c r="K163" s="1099">
        <v>38</v>
      </c>
      <c r="L163" s="1489">
        <f>VLOOKUP($G163,IF(LEFT($G163,3)="CPU",COMPOSIÇÕES!$B$1:$E$4198,'BANCO DE DADOS JANEIRO-24 SERV'!$B$2:$F$7195),4,FALSE)</f>
        <v>9.07</v>
      </c>
      <c r="M163" s="1489">
        <f t="shared" si="39"/>
        <v>11.26</v>
      </c>
      <c r="N163" s="1510">
        <f t="shared" si="40"/>
        <v>427.88</v>
      </c>
      <c r="O163" s="346"/>
      <c r="P163" s="375"/>
      <c r="Q163" s="1628"/>
    </row>
    <row r="164" spans="1:17" s="256" customFormat="1" ht="45">
      <c r="A164" s="341">
        <f t="shared" ca="1" si="29"/>
        <v>11</v>
      </c>
      <c r="B164" s="341">
        <f ca="1">IF(OR(C164=1,D164=1),SUMIF($A$21:A164,A164,$C$21:C164),"")</f>
        <v>53</v>
      </c>
      <c r="C164" s="341">
        <f t="shared" si="30"/>
        <v>1</v>
      </c>
      <c r="D164" s="662" t="str">
        <f t="shared" si="31"/>
        <v/>
      </c>
      <c r="E164" s="662"/>
      <c r="F164" s="164" t="str">
        <f t="shared" ca="1" si="41"/>
        <v>11.53</v>
      </c>
      <c r="G164" s="1099">
        <v>89774</v>
      </c>
      <c r="H164" s="1099" t="str">
        <f t="shared" si="38"/>
        <v>SINAPI</v>
      </c>
      <c r="I164" s="1222" t="str">
        <f>VLOOKUP($G164,IF(LEFT($G164,3)="CPU",COMPOSIÇÕES!$B$1:$E$4198,'BANCO DE DADOS JANEIRO-24 SERV'!$B$2:$F$7195),2,FALSE)</f>
        <v>LUVA SIMPLES, PVC, SERIE NORMAL, ESGOTO PREDIAL, DN 75 MM, JUNTA ELÁSTICA, FORNECIDO E INSTALADO EM RAMAL DE DESCARGA OU RAMAL DE ESGOTO SANITÁRIO. AF_08/2022</v>
      </c>
      <c r="J164" s="1215" t="str">
        <f>VLOOKUP($G164,IF(LEFT($G164,3)="CPU",COMPOSIÇÕES!$B$1:$E$4198,'BANCO DE DADOS JANEIRO-24 SERV'!$B$2:$F$7195),3,FALSE)</f>
        <v>UN</v>
      </c>
      <c r="K164" s="1099">
        <v>3</v>
      </c>
      <c r="L164" s="1489">
        <f>VLOOKUP($G164,IF(LEFT($G164,3)="CPU",COMPOSIÇÕES!$B$1:$E$4198,'BANCO DE DADOS JANEIRO-24 SERV'!$B$2:$F$7195),4,FALSE)</f>
        <v>15.25</v>
      </c>
      <c r="M164" s="1489">
        <f t="shared" si="39"/>
        <v>18.940000000000001</v>
      </c>
      <c r="N164" s="1510">
        <f t="shared" si="40"/>
        <v>56.82</v>
      </c>
      <c r="O164" s="346"/>
      <c r="P164" s="375"/>
      <c r="Q164" s="1628"/>
    </row>
    <row r="165" spans="1:17" s="256" customFormat="1" ht="45">
      <c r="A165" s="341">
        <f t="shared" ca="1" si="29"/>
        <v>11</v>
      </c>
      <c r="B165" s="341">
        <f ca="1">IF(OR(C165=1,D165=1),SUMIF($A$21:A165,A165,$C$21:C165),"")</f>
        <v>54</v>
      </c>
      <c r="C165" s="341">
        <f t="shared" si="30"/>
        <v>1</v>
      </c>
      <c r="D165" s="662" t="str">
        <f t="shared" si="31"/>
        <v/>
      </c>
      <c r="E165" s="662"/>
      <c r="F165" s="164" t="str">
        <f t="shared" ca="1" si="41"/>
        <v>11.54</v>
      </c>
      <c r="G165" s="1099">
        <v>89778</v>
      </c>
      <c r="H165" s="1099" t="str">
        <f t="shared" si="38"/>
        <v>SINAPI</v>
      </c>
      <c r="I165" s="1222" t="str">
        <f>VLOOKUP($G165,IF(LEFT($G165,3)="CPU",COMPOSIÇÕES!$B$1:$E$4198,'BANCO DE DADOS JANEIRO-24 SERV'!$B$2:$F$7195),2,FALSE)</f>
        <v>LUVA SIMPLES, PVC, SERIE NORMAL, ESGOTO PREDIAL, DN 100 MM, JUNTA ELÁSTICA, FORNECIDO E INSTALADO EM RAMAL DE DESCARGA OU RAMAL DE ESGOTO SANITÁRIO. AF_08/2022</v>
      </c>
      <c r="J165" s="1215" t="str">
        <f>VLOOKUP($G165,IF(LEFT($G165,3)="CPU",COMPOSIÇÕES!$B$1:$E$4198,'BANCO DE DADOS JANEIRO-24 SERV'!$B$2:$F$7195),3,FALSE)</f>
        <v>UN</v>
      </c>
      <c r="K165" s="1099">
        <v>25</v>
      </c>
      <c r="L165" s="1489">
        <f>VLOOKUP($G165,IF(LEFT($G165,3)="CPU",COMPOSIÇÕES!$B$1:$E$4198,'BANCO DE DADOS JANEIRO-24 SERV'!$B$2:$F$7195),4,FALSE)</f>
        <v>17.670000000000002</v>
      </c>
      <c r="M165" s="1489">
        <f t="shared" si="39"/>
        <v>21.94</v>
      </c>
      <c r="N165" s="1510">
        <f t="shared" si="40"/>
        <v>548.5</v>
      </c>
      <c r="O165" s="346"/>
      <c r="P165" s="375"/>
      <c r="Q165" s="1628"/>
    </row>
    <row r="166" spans="1:17" s="256" customFormat="1" ht="45">
      <c r="A166" s="341">
        <f t="shared" ca="1" si="29"/>
        <v>11</v>
      </c>
      <c r="B166" s="341">
        <f ca="1">IF(OR(C166=1,D166=1),SUMIF($A$21:A166,A166,$C$21:C166),"")</f>
        <v>55</v>
      </c>
      <c r="C166" s="341">
        <f t="shared" si="30"/>
        <v>1</v>
      </c>
      <c r="D166" s="662" t="str">
        <f t="shared" si="31"/>
        <v/>
      </c>
      <c r="E166" s="662"/>
      <c r="F166" s="164" t="str">
        <f t="shared" ca="1" si="41"/>
        <v>11.55</v>
      </c>
      <c r="G166" s="1099">
        <v>104348</v>
      </c>
      <c r="H166" s="1099" t="str">
        <f t="shared" si="38"/>
        <v>SINAPI</v>
      </c>
      <c r="I166" s="1222" t="str">
        <f>VLOOKUP($G166,IF(LEFT($G166,3)="CPU",COMPOSIÇÕES!$B$1:$E$4198,'BANCO DE DADOS JANEIRO-24 SERV'!$B$2:$F$7195),2,FALSE)</f>
        <v>TERMINAL DE VENTILAÇÃO, PVC, SÉRIE NORMAL, ESGOTO PREDIAL, DN 50 MM, JUNTA SOLDÁVEL, FORNECIDO E INSTALADO EM PRUMADA DE ESGOTO SANITÁRIO OU VENTILAÇÃO. AF_08/2022</v>
      </c>
      <c r="J166" s="1215" t="str">
        <f>VLOOKUP($G166,IF(LEFT($G166,3)="CPU",COMPOSIÇÕES!$B$1:$E$4198,'BANCO DE DADOS JANEIRO-24 SERV'!$B$2:$F$7195),3,FALSE)</f>
        <v>UN</v>
      </c>
      <c r="K166" s="1099">
        <v>5</v>
      </c>
      <c r="L166" s="1489">
        <f>VLOOKUP($G166,IF(LEFT($G166,3)="CPU",COMPOSIÇÕES!$B$1:$E$4198,'BANCO DE DADOS JANEIRO-24 SERV'!$B$2:$F$7195),4,FALSE)</f>
        <v>10.87</v>
      </c>
      <c r="M166" s="1489">
        <f t="shared" si="39"/>
        <v>13.5</v>
      </c>
      <c r="N166" s="1510">
        <f t="shared" si="40"/>
        <v>67.5</v>
      </c>
      <c r="O166" s="346"/>
      <c r="P166" s="375"/>
      <c r="Q166" s="1628"/>
    </row>
    <row r="167" spans="1:17" s="256" customFormat="1" ht="45">
      <c r="A167" s="341">
        <f t="shared" ca="1" si="29"/>
        <v>11</v>
      </c>
      <c r="B167" s="341">
        <f ca="1">IF(OR(C167=1,D167=1),SUMIF($A$21:A167,A167,$C$21:C167),"")</f>
        <v>56</v>
      </c>
      <c r="C167" s="341">
        <f t="shared" si="30"/>
        <v>1</v>
      </c>
      <c r="D167" s="662" t="str">
        <f t="shared" si="31"/>
        <v/>
      </c>
      <c r="E167" s="662"/>
      <c r="F167" s="164" t="str">
        <f t="shared" ca="1" si="41"/>
        <v>11.56</v>
      </c>
      <c r="G167" s="1099">
        <v>89784</v>
      </c>
      <c r="H167" s="1099" t="str">
        <f t="shared" si="38"/>
        <v>SINAPI</v>
      </c>
      <c r="I167" s="1222" t="str">
        <f>VLOOKUP($G167,IF(LEFT($G167,3)="CPU",COMPOSIÇÕES!$B$1:$E$4198,'BANCO DE DADOS JANEIRO-24 SERV'!$B$2:$F$7195),2,FALSE)</f>
        <v>TE, PVC, SERIE NORMAL, ESGOTO PREDIAL, DN 50 X 50 MM, JUNTA ELÁSTICA, FORNECIDO E INSTALADO EM RAMAL DE DESCARGA OU RAMAL DE ESGOTO SANITÁRIO. AF_08/2022</v>
      </c>
      <c r="J167" s="1215" t="str">
        <f>VLOOKUP($G167,IF(LEFT($G167,3)="CPU",COMPOSIÇÕES!$B$1:$E$4198,'BANCO DE DADOS JANEIRO-24 SERV'!$B$2:$F$7195),3,FALSE)</f>
        <v>UN</v>
      </c>
      <c r="K167" s="1099">
        <v>3</v>
      </c>
      <c r="L167" s="1489">
        <f>VLOOKUP($G167,IF(LEFT($G167,3)="CPU",COMPOSIÇÕES!$B$1:$E$4198,'BANCO DE DADOS JANEIRO-24 SERV'!$B$2:$F$7195),4,FALSE)</f>
        <v>23.47</v>
      </c>
      <c r="M167" s="1489">
        <f t="shared" si="39"/>
        <v>29.14</v>
      </c>
      <c r="N167" s="1510">
        <f t="shared" si="40"/>
        <v>87.42</v>
      </c>
      <c r="O167" s="346"/>
      <c r="P167" s="375"/>
      <c r="Q167" s="1628"/>
    </row>
    <row r="168" spans="1:17" s="256" customFormat="1" ht="45">
      <c r="A168" s="341">
        <f t="shared" ca="1" si="29"/>
        <v>11</v>
      </c>
      <c r="B168" s="341">
        <f ca="1">IF(OR(C168=1,D168=1),SUMIF($A$21:A168,A168,$C$21:C168),"")</f>
        <v>57</v>
      </c>
      <c r="C168" s="341">
        <f t="shared" si="30"/>
        <v>1</v>
      </c>
      <c r="D168" s="662" t="str">
        <f t="shared" si="31"/>
        <v/>
      </c>
      <c r="E168" s="662"/>
      <c r="F168" s="164" t="str">
        <f t="shared" ca="1" si="41"/>
        <v>11.57</v>
      </c>
      <c r="G168" s="1099">
        <v>104346</v>
      </c>
      <c r="H168" s="1099" t="str">
        <f t="shared" si="38"/>
        <v>SINAPI</v>
      </c>
      <c r="I168" s="1222" t="str">
        <f>VLOOKUP($G168,IF(LEFT($G168,3)="CPU",COMPOSIÇÕES!$B$1:$E$4198,'BANCO DE DADOS JANEIRO-24 SERV'!$B$2:$F$7195),2,FALSE)</f>
        <v>TE, PVC, SÉRIE NORMAL, ESGOTO PREDIAL, DN 100 X 75 MM, JUNTA ELÁSTICA, FORNECIDO E INSTALADO EM RAMAL DE DESCARGA OU RAMAL DE ESGOTO SANITÁRIO. AF_08/2022</v>
      </c>
      <c r="J168" s="1215" t="str">
        <f>VLOOKUP($G168,IF(LEFT($G168,3)="CPU",COMPOSIÇÕES!$B$1:$E$4198,'BANCO DE DADOS JANEIRO-24 SERV'!$B$2:$F$7195),3,FALSE)</f>
        <v>UN</v>
      </c>
      <c r="K168" s="1099">
        <v>2</v>
      </c>
      <c r="L168" s="1489">
        <f>VLOOKUP($G168,IF(LEFT($G168,3)="CPU",COMPOSIÇÕES!$B$1:$E$4198,'BANCO DE DADOS JANEIRO-24 SERV'!$B$2:$F$7195),4,FALSE)</f>
        <v>43.92</v>
      </c>
      <c r="M168" s="1489">
        <f t="shared" si="39"/>
        <v>54.54</v>
      </c>
      <c r="N168" s="1510">
        <f t="shared" si="40"/>
        <v>109.08</v>
      </c>
      <c r="O168" s="346"/>
      <c r="P168" s="375"/>
      <c r="Q168" s="1628"/>
    </row>
    <row r="169" spans="1:17" s="256" customFormat="1" ht="45">
      <c r="A169" s="341">
        <f t="shared" ca="1" si="29"/>
        <v>11</v>
      </c>
      <c r="B169" s="341">
        <f ca="1">IF(OR(C169=1,D169=1),SUMIF($A$21:A169,A169,$C$21:C169),"")</f>
        <v>58</v>
      </c>
      <c r="C169" s="341">
        <f t="shared" si="30"/>
        <v>1</v>
      </c>
      <c r="D169" s="662" t="str">
        <f t="shared" si="31"/>
        <v/>
      </c>
      <c r="E169" s="662"/>
      <c r="F169" s="164" t="str">
        <f t="shared" ca="1" si="41"/>
        <v>11.58</v>
      </c>
      <c r="G169" s="1099">
        <v>89796</v>
      </c>
      <c r="H169" s="1099" t="str">
        <f t="shared" si="38"/>
        <v>SINAPI</v>
      </c>
      <c r="I169" s="1222" t="str">
        <f>VLOOKUP($G169,IF(LEFT($G169,3)="CPU",COMPOSIÇÕES!$B$1:$E$4198,'BANCO DE DADOS JANEIRO-24 SERV'!$B$2:$F$7195),2,FALSE)</f>
        <v>TE, PVC, SERIE NORMAL, ESGOTO PREDIAL, DN 100 X 100 MM, JUNTA ELÁSTICA, FORNECIDO E INSTALADO EM RAMAL DE DESCARGA OU RAMAL DE ESGOTO SANITÁRIO. AF_08/2022</v>
      </c>
      <c r="J169" s="1215" t="str">
        <f>VLOOKUP($G169,IF(LEFT($G169,3)="CPU",COMPOSIÇÕES!$B$1:$E$4198,'BANCO DE DADOS JANEIRO-24 SERV'!$B$2:$F$7195),3,FALSE)</f>
        <v>UN</v>
      </c>
      <c r="K169" s="1099">
        <v>4</v>
      </c>
      <c r="L169" s="1489">
        <f>VLOOKUP($G169,IF(LEFT($G169,3)="CPU",COMPOSIÇÕES!$B$1:$E$4198,'BANCO DE DADOS JANEIRO-24 SERV'!$B$2:$F$7195),4,FALSE)</f>
        <v>42.24</v>
      </c>
      <c r="M169" s="1489">
        <f t="shared" si="39"/>
        <v>52.46</v>
      </c>
      <c r="N169" s="1510">
        <f t="shared" si="40"/>
        <v>209.84</v>
      </c>
      <c r="O169" s="346"/>
      <c r="P169" s="375"/>
      <c r="Q169" s="1628"/>
    </row>
    <row r="170" spans="1:17" s="256" customFormat="1" ht="30">
      <c r="A170" s="341">
        <f t="shared" ca="1" si="29"/>
        <v>11</v>
      </c>
      <c r="B170" s="341">
        <f ca="1">IF(OR(C170=1,D170=1),SUMIF($A$21:A170,A170,$C$21:C170),"")</f>
        <v>59</v>
      </c>
      <c r="C170" s="341">
        <f t="shared" si="30"/>
        <v>1</v>
      </c>
      <c r="D170" s="662" t="str">
        <f t="shared" si="31"/>
        <v/>
      </c>
      <c r="E170" s="662"/>
      <c r="F170" s="164" t="str">
        <f t="shared" ca="1" si="41"/>
        <v>11.59</v>
      </c>
      <c r="G170" s="1099">
        <v>89549</v>
      </c>
      <c r="H170" s="1099" t="str">
        <f t="shared" si="38"/>
        <v>SINAPI</v>
      </c>
      <c r="I170" s="1222" t="str">
        <f>VLOOKUP($G170,IF(LEFT($G170,3)="CPU",COMPOSIÇÕES!$B$1:$E$4198,'BANCO DE DADOS JANEIRO-24 SERV'!$B$2:$F$7195),2,FALSE)</f>
        <v>REDUÇÃO EXCÊNTRICA, PVC, SERIE R, ÁGUA PLUVIAL, DN 75 X 50 MM, JUNTA ELÁSTICA, FORNECIDO E INSTALADO EM RAMAL DE ENCAMINHAMENTO. AF_06/2022</v>
      </c>
      <c r="J170" s="1215" t="str">
        <f>VLOOKUP($G170,IF(LEFT($G170,3)="CPU",COMPOSIÇÕES!$B$1:$E$4198,'BANCO DE DADOS JANEIRO-24 SERV'!$B$2:$F$7195),3,FALSE)</f>
        <v>UN</v>
      </c>
      <c r="K170" s="1099">
        <v>2</v>
      </c>
      <c r="L170" s="1489">
        <f>VLOOKUP($G170,IF(LEFT($G170,3)="CPU",COMPOSIÇÕES!$B$1:$E$4198,'BANCO DE DADOS JANEIRO-24 SERV'!$B$2:$F$7195),4,FALSE)</f>
        <v>18.510000000000002</v>
      </c>
      <c r="M170" s="1489">
        <f t="shared" si="39"/>
        <v>22.98</v>
      </c>
      <c r="N170" s="1510">
        <f t="shared" si="40"/>
        <v>45.96</v>
      </c>
      <c r="O170" s="346"/>
      <c r="P170" s="375"/>
      <c r="Q170" s="1628"/>
    </row>
    <row r="171" spans="1:17" s="256" customFormat="1" ht="30.75" thickBot="1">
      <c r="A171" s="341">
        <f t="shared" ca="1" si="29"/>
        <v>11</v>
      </c>
      <c r="B171" s="341">
        <f ca="1">IF(OR(C171=1,D171=1),SUMIF($A$21:A171,A171,$C$21:C171),"")</f>
        <v>60</v>
      </c>
      <c r="C171" s="341">
        <f t="shared" si="30"/>
        <v>1</v>
      </c>
      <c r="D171" s="662" t="str">
        <f t="shared" si="31"/>
        <v/>
      </c>
      <c r="E171" s="662"/>
      <c r="F171" s="164" t="str">
        <f t="shared" ca="1" si="41"/>
        <v>11.60</v>
      </c>
      <c r="G171" s="1192" t="str">
        <f>'COMP. HIDRO '!B25</f>
        <v>CPU HID 002</v>
      </c>
      <c r="H171" s="1099" t="str">
        <f t="shared" si="38"/>
        <v>PRÓPRIO</v>
      </c>
      <c r="I171" s="1222" t="str">
        <f>VLOOKUP($G171,IF(LEFT($G171,3)="CPU",COMPOSIÇÕES!$B$1:$E$4198,'BANCO DE DADOS JANEIRO-24 SERV'!$B$2:$F$7195),2,FALSE)</f>
        <v>VALVULA DE RETENCAO HORIZONTAL, EM PVC, 100MM - FORNECIMENTO E INSTALAÇÃO</v>
      </c>
      <c r="J171" s="1215" t="str">
        <f>VLOOKUP($G171,IF(LEFT($G171,3)="CPU",COMPOSIÇÕES!$B$1:$E$4198,'BANCO DE DADOS JANEIRO-24 SERV'!$B$2:$F$7195),3,FALSE)</f>
        <v>UN</v>
      </c>
      <c r="K171" s="1099">
        <v>3</v>
      </c>
      <c r="L171" s="1489">
        <f>VLOOKUP($G171,IF(LEFT($G171,3)="CPU",COMPOSIÇÕES!$B$1:$E$4198,'BANCO DE DADOS JANEIRO-24 SERV'!$B$2:$F$7195),4,FALSE)</f>
        <v>241.89000000000001</v>
      </c>
      <c r="M171" s="1489">
        <f t="shared" si="39"/>
        <v>300.42</v>
      </c>
      <c r="N171" s="1510">
        <f t="shared" si="40"/>
        <v>901.26</v>
      </c>
      <c r="O171" s="346"/>
      <c r="P171" s="375"/>
      <c r="Q171" s="1628"/>
    </row>
    <row r="172" spans="1:17" s="256" customFormat="1" ht="16.5" thickBot="1">
      <c r="A172" s="341">
        <f t="shared" ca="1" si="29"/>
        <v>11</v>
      </c>
      <c r="B172" s="341" t="str">
        <f>IF(OR(C172=1,D172=1),SUMIF($A$21:A172,A172,$C$21:C172),"")</f>
        <v/>
      </c>
      <c r="C172" s="341" t="str">
        <f t="shared" si="30"/>
        <v/>
      </c>
      <c r="D172" s="662" t="str">
        <f t="shared" si="31"/>
        <v/>
      </c>
      <c r="E172" s="662"/>
      <c r="F172" s="164" t="str">
        <f t="shared" si="41"/>
        <v/>
      </c>
      <c r="G172" s="158"/>
      <c r="H172" s="158"/>
      <c r="I172" s="159" t="s">
        <v>14033</v>
      </c>
      <c r="J172" s="160"/>
      <c r="K172" s="161"/>
      <c r="L172" s="162"/>
      <c r="M172" s="162"/>
      <c r="N172" s="163"/>
      <c r="O172" s="346"/>
      <c r="P172" s="375"/>
      <c r="Q172" s="1628"/>
    </row>
    <row r="173" spans="1:17" s="256" customFormat="1" ht="45">
      <c r="A173" s="341">
        <f t="shared" ca="1" si="29"/>
        <v>11</v>
      </c>
      <c r="B173" s="341">
        <f ca="1">IF(OR(C173=1,D173=1),SUMIF($A$21:A173,A173,$C$21:C173),"")</f>
        <v>61</v>
      </c>
      <c r="C173" s="341">
        <f t="shared" si="30"/>
        <v>1</v>
      </c>
      <c r="D173" s="662" t="str">
        <f t="shared" si="31"/>
        <v/>
      </c>
      <c r="E173" s="662"/>
      <c r="F173" s="164" t="str">
        <f t="shared" ca="1" si="41"/>
        <v>11.61</v>
      </c>
      <c r="G173" s="1099">
        <v>89585</v>
      </c>
      <c r="H173" s="1099" t="str">
        <f t="shared" ref="H173:H179" si="42">IF(G173&gt;="CPU","PRÓPRIO","SINAPI")</f>
        <v>SINAPI</v>
      </c>
      <c r="I173" s="1222" t="str">
        <f>VLOOKUP($G173,IF(LEFT($G173,3)="CPU",COMPOSIÇÕES!$B$1:$E$4198,'BANCO DE DADOS JANEIRO-24 SERV'!$B$2:$F$7195),2,FALSE)</f>
        <v>JOELHO 45 GRAUS, PVC, SERIE R, ÁGUA PLUVIAL, DN 100 MM, JUNTA ELÁSTICA, FORNECIDO E INSTALADO EM CONDUTORES VERTICAIS DE ÁGUAS PLUVIAIS. AF_06/2022</v>
      </c>
      <c r="J173" s="1215" t="str">
        <f>VLOOKUP($G173,IF(LEFT($G173,3)="CPU",COMPOSIÇÕES!$B$1:$E$4198,'BANCO DE DADOS JANEIRO-24 SERV'!$B$2:$F$7195),3,FALSE)</f>
        <v>UN</v>
      </c>
      <c r="K173" s="1099">
        <v>9</v>
      </c>
      <c r="L173" s="1489">
        <f>VLOOKUP($G173,IF(LEFT($G173,3)="CPU",COMPOSIÇÕES!$B$1:$E$4198,'BANCO DE DADOS JANEIRO-24 SERV'!$B$2:$F$7195),4,FALSE)</f>
        <v>43.4</v>
      </c>
      <c r="M173" s="1489">
        <f t="shared" ref="M173:M178" si="43">IF($Q$2="OUTROS",TRUNC(L173*(1+$N$7),2),ROUND(L173*(1+$N$7),2))</f>
        <v>53.9</v>
      </c>
      <c r="N173" s="1510">
        <f t="shared" ref="N173:N178" si="44">IF($Q$2="OUTROS",TRUNC(M173*K173,2),ROUND(M173*K173,2))</f>
        <v>485.1</v>
      </c>
      <c r="O173" s="346"/>
      <c r="P173" s="375"/>
      <c r="Q173" s="1628"/>
    </row>
    <row r="174" spans="1:17" s="256" customFormat="1" ht="45">
      <c r="A174" s="341">
        <f t="shared" ca="1" si="29"/>
        <v>11</v>
      </c>
      <c r="B174" s="341">
        <f ca="1">IF(OR(C174=1,D174=1),SUMIF($A$21:A174,A174,$C$21:C174),"")</f>
        <v>62</v>
      </c>
      <c r="C174" s="341">
        <f t="shared" si="30"/>
        <v>1</v>
      </c>
      <c r="D174" s="662" t="str">
        <f t="shared" si="31"/>
        <v/>
      </c>
      <c r="E174" s="662"/>
      <c r="F174" s="164" t="str">
        <f ca="1">IF(B174&lt;&gt;"",A174&amp;"."&amp;B174,"")</f>
        <v>11.62</v>
      </c>
      <c r="G174" s="1099">
        <v>89584</v>
      </c>
      <c r="H174" s="1099" t="str">
        <f t="shared" si="42"/>
        <v>SINAPI</v>
      </c>
      <c r="I174" s="1222" t="str">
        <f>VLOOKUP($G174,IF(LEFT($G174,3)="CPU",COMPOSIÇÕES!$B$1:$E$4198,'BANCO DE DADOS JANEIRO-24 SERV'!$B$2:$F$7195),2,FALSE)</f>
        <v>JOELHO 90 GRAUS, PVC, SERIE R, ÁGUA PLUVIAL, DN 100 MM, JUNTA ELÁSTICA, FORNECIDO E INSTALADO EM CONDUTORES VERTICAIS DE ÁGUAS PLUVIAIS. AF_06/2022</v>
      </c>
      <c r="J174" s="1215" t="str">
        <f>VLOOKUP($G174,IF(LEFT($G174,3)="CPU",COMPOSIÇÕES!$B$1:$E$4198,'BANCO DE DADOS JANEIRO-24 SERV'!$B$2:$F$7195),3,FALSE)</f>
        <v>UN</v>
      </c>
      <c r="K174" s="1099">
        <v>3</v>
      </c>
      <c r="L174" s="1489">
        <f>VLOOKUP($G174,IF(LEFT($G174,3)="CPU",COMPOSIÇÕES!$B$1:$E$4198,'BANCO DE DADOS JANEIRO-24 SERV'!$B$2:$F$7195),4,FALSE)</f>
        <v>42.41</v>
      </c>
      <c r="M174" s="1489">
        <f>IF($Q$2="OUTROS",TRUNC(L174*(1+$N$7),2),ROUND(L174*(1+$N$7),2))</f>
        <v>52.67</v>
      </c>
      <c r="N174" s="1510">
        <f>IF($Q$2="OUTROS",TRUNC(M174*K174,2),ROUND(M174*K174,2))</f>
        <v>158.01</v>
      </c>
      <c r="O174" s="346"/>
      <c r="P174" s="375"/>
      <c r="Q174" s="1628"/>
    </row>
    <row r="175" spans="1:17" s="256" customFormat="1" ht="45">
      <c r="A175" s="341">
        <f t="shared" ca="1" si="29"/>
        <v>11</v>
      </c>
      <c r="B175" s="341">
        <f ca="1">IF(OR(C175=1,D175=1),SUMIF($A$21:A175,A175,$C$21:C175),"")</f>
        <v>63</v>
      </c>
      <c r="C175" s="341">
        <f t="shared" si="30"/>
        <v>1</v>
      </c>
      <c r="D175" s="662" t="str">
        <f t="shared" si="31"/>
        <v/>
      </c>
      <c r="E175" s="662"/>
      <c r="F175" s="164" t="str">
        <f t="shared" ca="1" si="41"/>
        <v>11.63</v>
      </c>
      <c r="G175" s="1099">
        <v>104345</v>
      </c>
      <c r="H175" s="1099" t="str">
        <f t="shared" si="42"/>
        <v>SINAPI</v>
      </c>
      <c r="I175" s="1222" t="str">
        <f>VLOOKUP($G175,IF(LEFT($G175,3)="CPU",COMPOSIÇÕES!$B$1:$E$4198,'BANCO DE DADOS JANEIRO-24 SERV'!$B$2:$F$7195),2,FALSE)</f>
        <v>JUNÇÃO DE REDUÇÃO INVERTIDA, PVC, SÉRIE NORMAL, ESGOTO PREDIAL, DN 100 X 50 MM, JUNTA ELÁSTICA, FORNECIDO E INSTALADO EM RAMAL DE DESCARGA OU RAMAL DE ESGOTO SANITÁRIO. AF_08/2022</v>
      </c>
      <c r="J175" s="1215" t="str">
        <f>VLOOKUP($G175,IF(LEFT($G175,3)="CPU",COMPOSIÇÕES!$B$1:$E$4198,'BANCO DE DADOS JANEIRO-24 SERV'!$B$2:$F$7195),3,FALSE)</f>
        <v>UN</v>
      </c>
      <c r="K175" s="1099">
        <v>1</v>
      </c>
      <c r="L175" s="1489">
        <f>VLOOKUP($G175,IF(LEFT($G175,3)="CPU",COMPOSIÇÕES!$B$1:$E$4198,'BANCO DE DADOS JANEIRO-24 SERV'!$B$2:$F$7195),4,FALSE)</f>
        <v>41.7</v>
      </c>
      <c r="M175" s="1489">
        <f t="shared" si="43"/>
        <v>51.79</v>
      </c>
      <c r="N175" s="1510">
        <f t="shared" si="44"/>
        <v>51.79</v>
      </c>
      <c r="O175" s="346"/>
      <c r="P175" s="375"/>
      <c r="Q175" s="1628"/>
    </row>
    <row r="176" spans="1:17" s="256" customFormat="1" ht="45">
      <c r="A176" s="341">
        <f t="shared" ref="A176:A256" ca="1" si="45">IF(LEN(D176),OFFSET(A176,-1,0)+1,OFFSET(A176,-1,0))</f>
        <v>11</v>
      </c>
      <c r="B176" s="341">
        <f ca="1">IF(OR(C176=1,D176=1),SUMIF($A$21:A176,A176,$C$21:C176),"")</f>
        <v>64</v>
      </c>
      <c r="C176" s="341">
        <f t="shared" ref="C176:C256" si="46">IF(G176&gt;0,1,"")</f>
        <v>1</v>
      </c>
      <c r="D176" s="662" t="str">
        <f t="shared" ref="D176:D256" si="47">IF(AND(CONCATENATE(G176,I176,J176,K176,L176,M176,N176)=I176&amp;N176,CONCATENATE(G176,I176,J176,K176,L176,M176,N176)&lt;&gt;"",N176&lt;&gt;""),1,"")</f>
        <v/>
      </c>
      <c r="E176" s="662"/>
      <c r="F176" s="164" t="str">
        <f t="shared" ca="1" si="41"/>
        <v>11.64</v>
      </c>
      <c r="G176" s="1099">
        <v>89690</v>
      </c>
      <c r="H176" s="1099" t="str">
        <f t="shared" si="42"/>
        <v>SINAPI</v>
      </c>
      <c r="I176" s="1222" t="str">
        <f>VLOOKUP($G176,IF(LEFT($G176,3)="CPU",COMPOSIÇÕES!$B$1:$E$4198,'BANCO DE DADOS JANEIRO-24 SERV'!$B$2:$F$7195),2,FALSE)</f>
        <v>JUNÇÃO SIMPLES, PVC, SERIE R, ÁGUA PLUVIAL, DN 100 X 100 MM, JUNTA ELÁSTICA, FORNECIDO E INSTALADO EM CONDUTORES VERTICAIS DE ÁGUAS PLUVIAIS. AF_06/2022</v>
      </c>
      <c r="J176" s="1215" t="str">
        <f>VLOOKUP($G176,IF(LEFT($G176,3)="CPU",COMPOSIÇÕES!$B$1:$E$4198,'BANCO DE DADOS JANEIRO-24 SERV'!$B$2:$F$7195),3,FALSE)</f>
        <v>UN</v>
      </c>
      <c r="K176" s="1099">
        <v>2</v>
      </c>
      <c r="L176" s="1489">
        <f>VLOOKUP($G176,IF(LEFT($G176,3)="CPU",COMPOSIÇÕES!$B$1:$E$4198,'BANCO DE DADOS JANEIRO-24 SERV'!$B$2:$F$7195),4,FALSE)</f>
        <v>85.75</v>
      </c>
      <c r="M176" s="1489">
        <f t="shared" si="43"/>
        <v>106.5</v>
      </c>
      <c r="N176" s="1510">
        <f t="shared" si="44"/>
        <v>213</v>
      </c>
      <c r="O176" s="346"/>
      <c r="P176" s="375"/>
      <c r="Q176" s="1628"/>
    </row>
    <row r="177" spans="1:17" s="256" customFormat="1" ht="45">
      <c r="A177" s="341">
        <f t="shared" ca="1" si="45"/>
        <v>11</v>
      </c>
      <c r="B177" s="341">
        <f ca="1">IF(OR(C177=1,D177=1),SUMIF($A$21:A177,A177,$C$21:C177),"")</f>
        <v>65</v>
      </c>
      <c r="C177" s="341">
        <f t="shared" si="46"/>
        <v>1</v>
      </c>
      <c r="D177" s="662" t="str">
        <f t="shared" si="47"/>
        <v/>
      </c>
      <c r="E177" s="662"/>
      <c r="F177" s="164" t="str">
        <f t="shared" ca="1" si="41"/>
        <v>11.65</v>
      </c>
      <c r="G177" s="1099">
        <v>89669</v>
      </c>
      <c r="H177" s="1099" t="str">
        <f t="shared" si="42"/>
        <v>SINAPI</v>
      </c>
      <c r="I177" s="1222" t="str">
        <f>VLOOKUP($G177,IF(LEFT($G177,3)="CPU",COMPOSIÇÕES!$B$1:$E$4198,'BANCO DE DADOS JANEIRO-24 SERV'!$B$2:$F$7195),2,FALSE)</f>
        <v>LUVA SIMPLES, PVC, SERIE R, ÁGUA PLUVIAL, DN 100 MM, JUNTA ELÁSTICA, FORNECIDO E INSTALADO EM CONDUTORES VERTICAIS DE ÁGUAS PLUVIAIS. AF_06/2022</v>
      </c>
      <c r="J177" s="1215" t="str">
        <f>VLOOKUP($G177,IF(LEFT($G177,3)="CPU",COMPOSIÇÕES!$B$1:$E$4198,'BANCO DE DADOS JANEIRO-24 SERV'!$B$2:$F$7195),3,FALSE)</f>
        <v>UN</v>
      </c>
      <c r="K177" s="1099">
        <v>9</v>
      </c>
      <c r="L177" s="1489">
        <f>VLOOKUP($G177,IF(LEFT($G177,3)="CPU",COMPOSIÇÕES!$B$1:$E$4198,'BANCO DE DADOS JANEIRO-24 SERV'!$B$2:$F$7195),4,FALSE)</f>
        <v>32.54</v>
      </c>
      <c r="M177" s="1489">
        <f t="shared" si="43"/>
        <v>40.409999999999997</v>
      </c>
      <c r="N177" s="1510">
        <f t="shared" si="44"/>
        <v>363.69</v>
      </c>
      <c r="O177" s="346"/>
      <c r="P177" s="375"/>
      <c r="Q177" s="1628"/>
    </row>
    <row r="178" spans="1:17" s="256" customFormat="1" ht="45">
      <c r="A178" s="341">
        <f t="shared" ca="1" si="45"/>
        <v>11</v>
      </c>
      <c r="B178" s="341">
        <f ca="1">IF(OR(C178=1,D178=1),SUMIF($A$21:A178,A178,$C$21:C178),"")</f>
        <v>66</v>
      </c>
      <c r="C178" s="341">
        <f t="shared" si="46"/>
        <v>1</v>
      </c>
      <c r="D178" s="662" t="str">
        <f t="shared" si="47"/>
        <v/>
      </c>
      <c r="E178" s="662"/>
      <c r="F178" s="164" t="str">
        <f t="shared" ca="1" si="41"/>
        <v>11.66</v>
      </c>
      <c r="G178" s="1099">
        <v>104356</v>
      </c>
      <c r="H178" s="1099" t="str">
        <f t="shared" si="42"/>
        <v>SINAPI</v>
      </c>
      <c r="I178" s="1222" t="str">
        <f>VLOOKUP($G178,IF(LEFT($G178,3)="CPU",COMPOSIÇÕES!$B$1:$E$4198,'BANCO DE DADOS JANEIRO-24 SERV'!$B$2:$F$7195),2,FALSE)</f>
        <v>TERMINAL DE VENTILAÇÃO, PVC, SÉRIE NORMAL, ESGOTO PREDIAL, DN 100 MM, JUNTA SOLDÁVEL, FORNECIDO E INSTALADO EM PRUMADA DE ESGOTO SANITÁRIO OU VENTILAÇÃO. AF_08/2022</v>
      </c>
      <c r="J178" s="1215" t="str">
        <f>VLOOKUP($G178,IF(LEFT($G178,3)="CPU",COMPOSIÇÕES!$B$1:$E$4198,'BANCO DE DADOS JANEIRO-24 SERV'!$B$2:$F$7195),3,FALSE)</f>
        <v>UN</v>
      </c>
      <c r="K178" s="1099">
        <v>1</v>
      </c>
      <c r="L178" s="1489">
        <f>VLOOKUP($G178,IF(LEFT($G178,3)="CPU",COMPOSIÇÕES!$B$1:$E$4198,'BANCO DE DADOS JANEIRO-24 SERV'!$B$2:$F$7195),4,FALSE)</f>
        <v>29.92</v>
      </c>
      <c r="M178" s="1489">
        <f t="shared" si="43"/>
        <v>37.159999999999997</v>
      </c>
      <c r="N178" s="1510">
        <f t="shared" si="44"/>
        <v>37.159999999999997</v>
      </c>
      <c r="O178" s="346"/>
      <c r="P178" s="375"/>
      <c r="Q178" s="1628"/>
    </row>
    <row r="179" spans="1:17" s="256" customFormat="1" ht="45">
      <c r="A179" s="341">
        <f t="shared" ca="1" si="45"/>
        <v>11</v>
      </c>
      <c r="B179" s="341">
        <f ca="1">IF(OR(C179=1,D179=1),SUMIF($A$21:A179,A179,$C$21:C179),"")</f>
        <v>67</v>
      </c>
      <c r="C179" s="341">
        <f t="shared" si="46"/>
        <v>1</v>
      </c>
      <c r="D179" s="662" t="str">
        <f t="shared" si="47"/>
        <v/>
      </c>
      <c r="E179" s="662"/>
      <c r="F179" s="164" t="str">
        <f t="shared" ca="1" si="41"/>
        <v>11.67</v>
      </c>
      <c r="G179" s="1099">
        <v>101807</v>
      </c>
      <c r="H179" s="1099" t="str">
        <f t="shared" si="42"/>
        <v>SINAPI</v>
      </c>
      <c r="I179" s="1222" t="str">
        <f>VLOOKUP($G179,IF(LEFT($G179,3)="CPU",COMPOSIÇÕES!$B$1:$E$4198,'BANCO DE DADOS JANEIRO-24 SERV'!$B$2:$F$7195),2,FALSE)</f>
        <v>CAIXA ENTERRADA DISTRIBUIDORA DE VAZÃO (SUMIDOUROS MÚLTIPLOS), RETANGULAR, EM ALVENARIA COM BLOCOS DE CONCRETO, DIMENSÕES INTERNAS: 0,60 X 0,60 X H=0,50 M. AF_12/2020</v>
      </c>
      <c r="J179" s="1215" t="str">
        <f>VLOOKUP($G179,IF(LEFT($G179,3)="CPU",COMPOSIÇÕES!$B$1:$E$4198,'BANCO DE DADOS JANEIRO-24 SERV'!$B$2:$F$7195),3,FALSE)</f>
        <v>UN</v>
      </c>
      <c r="K179" s="1099">
        <v>2</v>
      </c>
      <c r="L179" s="1489">
        <f>VLOOKUP($G179,IF(LEFT($G179,3)="CPU",COMPOSIÇÕES!$B$1:$E$4198,'BANCO DE DADOS JANEIRO-24 SERV'!$B$2:$F$7195),4,FALSE)</f>
        <v>500.22</v>
      </c>
      <c r="M179" s="1489">
        <f>IF($Q$2="OUTROS",TRUNC(L179*(1+$N$7),2),ROUND(L179*(1+$N$7),2))</f>
        <v>621.27</v>
      </c>
      <c r="N179" s="1510">
        <f>IF($Q$2="OUTROS",TRUNC(M179*K179,2),ROUND(M179*K179,2))</f>
        <v>1242.54</v>
      </c>
      <c r="O179" s="346"/>
      <c r="P179" s="375"/>
      <c r="Q179" s="1628"/>
    </row>
    <row r="180" spans="1:17" s="256" customFormat="1" ht="30">
      <c r="A180" s="341">
        <f t="shared" ca="1" si="45"/>
        <v>11</v>
      </c>
      <c r="B180" s="341">
        <f ca="1">IF(OR(C180=1,D180=1),SUMIF($A$21:A180,A180,$C$21:C180),"")</f>
        <v>68</v>
      </c>
      <c r="C180" s="341">
        <f t="shared" si="46"/>
        <v>1</v>
      </c>
      <c r="D180" s="662" t="str">
        <f t="shared" si="47"/>
        <v/>
      </c>
      <c r="E180" s="662"/>
      <c r="F180" s="164" t="str">
        <f t="shared" ref="F180:F187" ca="1" si="48">IF(B180&lt;&gt;"",A180&amp;"."&amp;B180,"")</f>
        <v>11.68</v>
      </c>
      <c r="G180" s="1099">
        <v>94229</v>
      </c>
      <c r="H180" s="1099" t="str">
        <f t="shared" ref="H180:H187" si="49">IF(G180&gt;="CPU","PRÓPRIO","SINAPI")</f>
        <v>SINAPI</v>
      </c>
      <c r="I180" s="1222" t="str">
        <f>VLOOKUP($G180,IF(LEFT($G180,3)="CPU",COMPOSIÇÕES!$B$1:$E$4198,'BANCO DE DADOS JANEIRO-24 SERV'!$B$2:$F$7195),2,FALSE)</f>
        <v>CALHA EM CHAPA DE AÇO GALVANIZADO NÚMERO 24, DESENVOLVIMENTO DE 100 CM, INCLUSO TRANSPORTE VERTICAL. AF_07/2019</v>
      </c>
      <c r="J180" s="1215" t="str">
        <f>VLOOKUP($G180,IF(LEFT($G180,3)="CPU",COMPOSIÇÕES!$B$1:$E$4198,'BANCO DE DADOS JANEIRO-24 SERV'!$B$2:$F$7195),3,FALSE)</f>
        <v>M</v>
      </c>
      <c r="K180" s="1099">
        <v>13.87</v>
      </c>
      <c r="L180" s="1489">
        <f>VLOOKUP($G180,IF(LEFT($G180,3)="CPU",COMPOSIÇÕES!$B$1:$E$4198,'BANCO DE DADOS JANEIRO-24 SERV'!$B$2:$F$7195),4,FALSE)</f>
        <v>180.47</v>
      </c>
      <c r="M180" s="1489">
        <f t="shared" ref="M180:M187" si="50">IF($Q$2="OUTROS",TRUNC(L180*(1+$N$7),2),ROUND(L180*(1+$N$7),2))</f>
        <v>224.14</v>
      </c>
      <c r="N180" s="1510">
        <f t="shared" ref="N180:N187" si="51">IF($Q$2="OUTROS",TRUNC(M180*K180,2),ROUND(M180*K180,2))</f>
        <v>3108.82</v>
      </c>
      <c r="O180" s="346"/>
      <c r="P180" s="375"/>
      <c r="Q180" s="1628"/>
    </row>
    <row r="181" spans="1:17" s="256" customFormat="1" ht="30">
      <c r="A181" s="341">
        <f t="shared" ca="1" si="45"/>
        <v>11</v>
      </c>
      <c r="B181" s="341">
        <f ca="1">IF(OR(C181=1,D181=1),SUMIF($A$21:A181,A181,$C$21:C181),"")</f>
        <v>69</v>
      </c>
      <c r="C181" s="341">
        <f t="shared" si="46"/>
        <v>1</v>
      </c>
      <c r="D181" s="662" t="str">
        <f t="shared" si="47"/>
        <v/>
      </c>
      <c r="E181" s="662"/>
      <c r="F181" s="164" t="str">
        <f t="shared" ca="1" si="48"/>
        <v>11.69</v>
      </c>
      <c r="G181" s="1099">
        <v>89578</v>
      </c>
      <c r="H181" s="1099" t="str">
        <f t="shared" si="49"/>
        <v>SINAPI</v>
      </c>
      <c r="I181" s="1222" t="str">
        <f>VLOOKUP($G181,IF(LEFT($G181,3)="CPU",COMPOSIÇÕES!$B$1:$E$4198,'BANCO DE DADOS JANEIRO-24 SERV'!$B$2:$F$7195),2,FALSE)</f>
        <v>TUBO PVC, SÉRIE R, ÁGUA PLUVIAL, DN 100 MM, FORNECIDO E INSTALADO EM CONDUTORES VERTICAIS DE ÁGUAS PLUVIAIS. AF_06/2022</v>
      </c>
      <c r="J181" s="1215" t="str">
        <f>VLOOKUP($G181,IF(LEFT($G181,3)="CPU",COMPOSIÇÕES!$B$1:$E$4198,'BANCO DE DADOS JANEIRO-24 SERV'!$B$2:$F$7195),3,FALSE)</f>
        <v>M</v>
      </c>
      <c r="K181" s="1099">
        <v>8.9</v>
      </c>
      <c r="L181" s="1489">
        <f>VLOOKUP($G181,IF(LEFT($G181,3)="CPU",COMPOSIÇÕES!$B$1:$E$4198,'BANCO DE DADOS JANEIRO-24 SERV'!$B$2:$F$7195),4,FALSE)</f>
        <v>31.69</v>
      </c>
      <c r="M181" s="1489">
        <f t="shared" si="50"/>
        <v>39.35</v>
      </c>
      <c r="N181" s="1510">
        <f t="shared" si="51"/>
        <v>350.21</v>
      </c>
      <c r="O181" s="346"/>
      <c r="P181" s="375"/>
      <c r="Q181" s="1628"/>
    </row>
    <row r="182" spans="1:17" s="256" customFormat="1" ht="30">
      <c r="A182" s="341">
        <f t="shared" ca="1" si="45"/>
        <v>11</v>
      </c>
      <c r="B182" s="341">
        <f ca="1">IF(OR(C182=1,D182=1),SUMIF($A$21:A182,A182,$C$21:C182),"")</f>
        <v>70</v>
      </c>
      <c r="C182" s="341">
        <f t="shared" si="46"/>
        <v>1</v>
      </c>
      <c r="D182" s="662" t="str">
        <f t="shared" si="47"/>
        <v/>
      </c>
      <c r="E182" s="662"/>
      <c r="F182" s="164" t="str">
        <f t="shared" ca="1" si="48"/>
        <v>11.70</v>
      </c>
      <c r="G182" s="1099">
        <v>89509</v>
      </c>
      <c r="H182" s="1099" t="str">
        <f t="shared" si="49"/>
        <v>SINAPI</v>
      </c>
      <c r="I182" s="1222" t="str">
        <f>VLOOKUP($G182,IF(LEFT($G182,3)="CPU",COMPOSIÇÕES!$B$1:$E$4198,'BANCO DE DADOS JANEIRO-24 SERV'!$B$2:$F$7195),2,FALSE)</f>
        <v>TUBO PVC, SÉRIE R, ÁGUA PLUVIAL, DN 50 MM, FORNECIDO E INSTALADO EM RAMAL DE ENCAMINHAMENTO. AF_06/2022</v>
      </c>
      <c r="J182" s="1215" t="str">
        <f>VLOOKUP($G182,IF(LEFT($G182,3)="CPU",COMPOSIÇÕES!$B$1:$E$4198,'BANCO DE DADOS JANEIRO-24 SERV'!$B$2:$F$7195),3,FALSE)</f>
        <v>M</v>
      </c>
      <c r="K182" s="1099">
        <v>517.84</v>
      </c>
      <c r="L182" s="1489">
        <f>VLOOKUP($G182,IF(LEFT($G182,3)="CPU",COMPOSIÇÕES!$B$1:$E$4198,'BANCO DE DADOS JANEIRO-24 SERV'!$B$2:$F$7195),4,FALSE)</f>
        <v>21.64</v>
      </c>
      <c r="M182" s="1489">
        <f t="shared" si="50"/>
        <v>26.87</v>
      </c>
      <c r="N182" s="1510">
        <f t="shared" si="51"/>
        <v>13914.36</v>
      </c>
      <c r="O182" s="346"/>
      <c r="P182" s="375"/>
      <c r="Q182" s="1628"/>
    </row>
    <row r="183" spans="1:17" s="256" customFormat="1" ht="30">
      <c r="A183" s="341">
        <f t="shared" ca="1" si="45"/>
        <v>11</v>
      </c>
      <c r="B183" s="341">
        <f ca="1">IF(OR(C183=1,D183=1),SUMIF($A$21:A183,A183,$C$21:C183),"")</f>
        <v>71</v>
      </c>
      <c r="C183" s="341">
        <f t="shared" si="46"/>
        <v>1</v>
      </c>
      <c r="D183" s="662" t="str">
        <f t="shared" si="47"/>
        <v/>
      </c>
      <c r="E183" s="662"/>
      <c r="F183" s="164" t="str">
        <f t="shared" ca="1" si="48"/>
        <v>11.71</v>
      </c>
      <c r="G183" s="1099">
        <v>104063</v>
      </c>
      <c r="H183" s="1099" t="str">
        <f t="shared" si="49"/>
        <v>SINAPI</v>
      </c>
      <c r="I183" s="1222" t="str">
        <f>VLOOKUP($G183,IF(LEFT($G183,3)="CPU",COMPOSIÇÕES!$B$1:$E$4198,'BANCO DE DADOS JANEIRO-24 SERV'!$B$2:$F$7195),2,FALSE)</f>
        <v>CURVA LONGA, 45 GRAUS, PVC OCRE, JUNTA ELÁSTICA, DN 100 MM, PARA COLETOR PREDIAL DE ESGOTO. AF_06/2022</v>
      </c>
      <c r="J183" s="1215" t="str">
        <f>VLOOKUP($G183,IF(LEFT($G183,3)="CPU",COMPOSIÇÕES!$B$1:$E$4198,'BANCO DE DADOS JANEIRO-24 SERV'!$B$2:$F$7195),3,FALSE)</f>
        <v>UN</v>
      </c>
      <c r="K183" s="1099">
        <v>22</v>
      </c>
      <c r="L183" s="1489">
        <f>VLOOKUP($G183,IF(LEFT($G183,3)="CPU",COMPOSIÇÕES!$B$1:$E$4198,'BANCO DE DADOS JANEIRO-24 SERV'!$B$2:$F$7195),4,FALSE)</f>
        <v>63.82</v>
      </c>
      <c r="M183" s="1489">
        <f t="shared" si="50"/>
        <v>79.260000000000005</v>
      </c>
      <c r="N183" s="1510">
        <f t="shared" si="51"/>
        <v>1743.72</v>
      </c>
      <c r="O183" s="346"/>
      <c r="P183" s="375"/>
      <c r="Q183" s="1628"/>
    </row>
    <row r="184" spans="1:17" s="256" customFormat="1" ht="45">
      <c r="A184" s="341">
        <f t="shared" ca="1" si="45"/>
        <v>11</v>
      </c>
      <c r="B184" s="341">
        <f ca="1">IF(OR(C184=1,D184=1),SUMIF($A$21:A184,A184,$C$21:C184),"")</f>
        <v>72</v>
      </c>
      <c r="C184" s="341">
        <f t="shared" si="46"/>
        <v>1</v>
      </c>
      <c r="D184" s="662" t="str">
        <f t="shared" si="47"/>
        <v/>
      </c>
      <c r="E184" s="662"/>
      <c r="F184" s="164" t="str">
        <f t="shared" ca="1" si="48"/>
        <v>11.72</v>
      </c>
      <c r="G184" s="1099">
        <v>95695</v>
      </c>
      <c r="H184" s="1099" t="str">
        <f t="shared" si="49"/>
        <v>SINAPI</v>
      </c>
      <c r="I184" s="1222" t="str">
        <f>VLOOKUP($G184,IF(LEFT($G184,3)="CPU",COMPOSIÇÕES!$B$1:$E$4198,'BANCO DE DADOS JANEIRO-24 SERV'!$B$2:$F$7195),2,FALSE)</f>
        <v>CURVA 90 GRAUS, PVC, SERIE R, ÁGUA PLUVIAL, DN 100 MM, JUNTA ELÁSTICA, FORNECIDO E INSTALADO EM CONDUTORES VERTICAIS DE ÁGUAS PLUVIAIS. AF_06/2022</v>
      </c>
      <c r="J184" s="1215" t="str">
        <f>VLOOKUP($G184,IF(LEFT($G184,3)="CPU",COMPOSIÇÕES!$B$1:$E$4198,'BANCO DE DADOS JANEIRO-24 SERV'!$B$2:$F$7195),3,FALSE)</f>
        <v>UN</v>
      </c>
      <c r="K184" s="1099">
        <v>44</v>
      </c>
      <c r="L184" s="1489">
        <f>VLOOKUP($G184,IF(LEFT($G184,3)="CPU",COMPOSIÇÕES!$B$1:$E$4198,'BANCO DE DADOS JANEIRO-24 SERV'!$B$2:$F$7195),4,FALSE)</f>
        <v>57.94</v>
      </c>
      <c r="M184" s="1489">
        <f t="shared" si="50"/>
        <v>71.959999999999994</v>
      </c>
      <c r="N184" s="1510">
        <f t="shared" si="51"/>
        <v>3166.24</v>
      </c>
      <c r="O184" s="346"/>
      <c r="P184" s="375"/>
      <c r="Q184" s="1628"/>
    </row>
    <row r="185" spans="1:17" s="256" customFormat="1" ht="45">
      <c r="A185" s="341">
        <f t="shared" ca="1" si="45"/>
        <v>11</v>
      </c>
      <c r="B185" s="341">
        <f ca="1">IF(OR(C185=1,D185=1),SUMIF($A$21:A185,A185,$C$21:C185),"")</f>
        <v>73</v>
      </c>
      <c r="C185" s="341">
        <f t="shared" si="46"/>
        <v>1</v>
      </c>
      <c r="D185" s="662" t="str">
        <f t="shared" si="47"/>
        <v/>
      </c>
      <c r="E185" s="662"/>
      <c r="F185" s="164" t="str">
        <f t="shared" ca="1" si="48"/>
        <v>11.73</v>
      </c>
      <c r="G185" s="1099">
        <v>89690</v>
      </c>
      <c r="H185" s="1099" t="str">
        <f t="shared" si="49"/>
        <v>SINAPI</v>
      </c>
      <c r="I185" s="1222" t="str">
        <f>VLOOKUP($G185,IF(LEFT($G185,3)="CPU",COMPOSIÇÕES!$B$1:$E$4198,'BANCO DE DADOS JANEIRO-24 SERV'!$B$2:$F$7195),2,FALSE)</f>
        <v>JUNÇÃO SIMPLES, PVC, SERIE R, ÁGUA PLUVIAL, DN 100 X 100 MM, JUNTA ELÁSTICA, FORNECIDO E INSTALADO EM CONDUTORES VERTICAIS DE ÁGUAS PLUVIAIS. AF_06/2022</v>
      </c>
      <c r="J185" s="1215" t="str">
        <f>VLOOKUP($G185,IF(LEFT($G185,3)="CPU",COMPOSIÇÕES!$B$1:$E$4198,'BANCO DE DADOS JANEIRO-24 SERV'!$B$2:$F$7195),3,FALSE)</f>
        <v>UN</v>
      </c>
      <c r="K185" s="1099">
        <v>5</v>
      </c>
      <c r="L185" s="1489">
        <f>VLOOKUP($G185,IF(LEFT($G185,3)="CPU",COMPOSIÇÕES!$B$1:$E$4198,'BANCO DE DADOS JANEIRO-24 SERV'!$B$2:$F$7195),4,FALSE)</f>
        <v>85.75</v>
      </c>
      <c r="M185" s="1489">
        <f t="shared" si="50"/>
        <v>106.5</v>
      </c>
      <c r="N185" s="1510">
        <f t="shared" si="51"/>
        <v>532.5</v>
      </c>
      <c r="O185" s="346"/>
      <c r="P185" s="375"/>
      <c r="Q185" s="1628"/>
    </row>
    <row r="186" spans="1:17" s="256" customFormat="1" ht="45">
      <c r="A186" s="341">
        <f t="shared" ca="1" si="45"/>
        <v>11</v>
      </c>
      <c r="B186" s="341">
        <f ca="1">IF(OR(C186=1,D186=1),SUMIF($A$21:A186,A186,$C$21:C186),"")</f>
        <v>74</v>
      </c>
      <c r="C186" s="341">
        <f t="shared" si="46"/>
        <v>1</v>
      </c>
      <c r="D186" s="662" t="str">
        <f t="shared" si="47"/>
        <v/>
      </c>
      <c r="E186" s="662"/>
      <c r="F186" s="164" t="str">
        <f t="shared" ca="1" si="48"/>
        <v>11.74</v>
      </c>
      <c r="G186" s="1099">
        <v>99255</v>
      </c>
      <c r="H186" s="1099" t="str">
        <f t="shared" si="49"/>
        <v>SINAPI</v>
      </c>
      <c r="I186" s="1222" t="str">
        <f>VLOOKUP($G186,IF(LEFT($G186,3)="CPU",COMPOSIÇÕES!$B$1:$E$4198,'BANCO DE DADOS JANEIRO-24 SERV'!$B$2:$F$7195),2,FALSE)</f>
        <v>CAIXA ENTERRADA HIDRÁULICA RETANGULAR EM ALVENARIA COM TIJOLOS CERÂMICOS MACIÇOS, DIMENSÕES INTERNAS: 0,8X0,8X0,6 M PARA REDE DE DRENAGEM. AF_12/2020</v>
      </c>
      <c r="J186" s="1215" t="str">
        <f>VLOOKUP($G186,IF(LEFT($G186,3)="CPU",COMPOSIÇÕES!$B$1:$E$4198,'BANCO DE DADOS JANEIRO-24 SERV'!$B$2:$F$7195),3,FALSE)</f>
        <v>UN</v>
      </c>
      <c r="K186" s="1099">
        <v>19</v>
      </c>
      <c r="L186" s="1489">
        <f>VLOOKUP($G186,IF(LEFT($G186,3)="CPU",COMPOSIÇÕES!$B$1:$E$4198,'BANCO DE DADOS JANEIRO-24 SERV'!$B$2:$F$7195),4,FALSE)</f>
        <v>785.52</v>
      </c>
      <c r="M186" s="1489">
        <f t="shared" si="50"/>
        <v>975.61</v>
      </c>
      <c r="N186" s="1510">
        <f t="shared" si="51"/>
        <v>18536.59</v>
      </c>
      <c r="O186" s="346"/>
      <c r="P186" s="375"/>
      <c r="Q186" s="1628"/>
    </row>
    <row r="187" spans="1:17" s="256" customFormat="1" ht="30">
      <c r="A187" s="341">
        <f t="shared" ca="1" si="45"/>
        <v>11</v>
      </c>
      <c r="B187" s="341">
        <f ca="1">IF(OR(C187=1,D187=1),SUMIF($A$21:A187,A187,$C$21:C187),"")</f>
        <v>75</v>
      </c>
      <c r="C187" s="341">
        <f t="shared" si="46"/>
        <v>1</v>
      </c>
      <c r="D187" s="662" t="str">
        <f t="shared" si="47"/>
        <v/>
      </c>
      <c r="E187" s="662"/>
      <c r="F187" s="164" t="str">
        <f t="shared" ca="1" si="48"/>
        <v>11.75</v>
      </c>
      <c r="G187" s="1192" t="str">
        <f>'COMP. HIDRO '!B16</f>
        <v>CPU HID 001</v>
      </c>
      <c r="H187" s="1099" t="str">
        <f t="shared" si="49"/>
        <v>PRÓPRIO</v>
      </c>
      <c r="I187" s="1222" t="str">
        <f>VLOOKUP($G187,IF(LEFT($G187,3)="CPU",COMPOSIÇÕES!$B$1:$E$4198,'BANCO DE DADOS JANEIRO-24 SERV'!$B$2:$F$7195),2,FALSE)</f>
        <v>RALO HEMISFÉRICO EM FERRO FUNDIDO, DN 100 MM, PARA LAJES/ CALHAS - FORNECIMENTO E INSTALAÇÃO</v>
      </c>
      <c r="J187" s="1215" t="str">
        <f>VLOOKUP($G187,IF(LEFT($G187,3)="CPU",COMPOSIÇÕES!$B$1:$E$4198,'BANCO DE DADOS JANEIRO-24 SERV'!$B$2:$F$7195),3,FALSE)</f>
        <v>UN</v>
      </c>
      <c r="K187" s="1099">
        <v>35</v>
      </c>
      <c r="L187" s="1489">
        <f>VLOOKUP($G187,IF(LEFT($G187,3)="CPU",COMPOSIÇÕES!$B$1:$E$4198,'BANCO DE DADOS JANEIRO-24 SERV'!$B$2:$F$7195),4,FALSE)</f>
        <v>47.649999999999991</v>
      </c>
      <c r="M187" s="1489">
        <f t="shared" si="50"/>
        <v>59.18</v>
      </c>
      <c r="N187" s="1510">
        <f t="shared" si="51"/>
        <v>2071.3000000000002</v>
      </c>
      <c r="O187" s="346"/>
      <c r="P187" s="375"/>
      <c r="Q187" s="1628"/>
    </row>
    <row r="188" spans="1:17" s="344" customFormat="1" ht="16.5" thickBot="1">
      <c r="A188" s="341">
        <f t="shared" ca="1" si="45"/>
        <v>11</v>
      </c>
      <c r="B188" s="341" t="str">
        <f>IF(OR(C188=1,D188=1),SUMIF($A$21:A188,A188,$C$21:C188),"")</f>
        <v/>
      </c>
      <c r="C188" s="341" t="str">
        <f t="shared" si="46"/>
        <v/>
      </c>
      <c r="D188" s="662" t="str">
        <f t="shared" si="47"/>
        <v/>
      </c>
      <c r="E188" s="662"/>
      <c r="F188" s="1508" t="str">
        <f t="shared" ref="F188:F193" si="52">IF(B188&lt;&gt;"",A188&amp;"."&amp;B188,"")</f>
        <v/>
      </c>
      <c r="G188" s="148"/>
      <c r="H188" s="148"/>
      <c r="I188" s="148"/>
      <c r="J188" s="148"/>
      <c r="K188" s="148"/>
      <c r="L188" s="149"/>
      <c r="M188" s="148"/>
      <c r="N188" s="1509"/>
      <c r="O188" s="343"/>
      <c r="Q188" s="1626"/>
    </row>
    <row r="189" spans="1:17" s="338" customFormat="1" ht="16.5" customHeight="1" thickBot="1">
      <c r="A189" s="341">
        <f t="shared" ca="1" si="45"/>
        <v>12</v>
      </c>
      <c r="B189" s="341">
        <f ca="1">IF(OR(C189=1,D189=1),SUMIF($A$21:A189,A189,$C$21:C189),"")</f>
        <v>0</v>
      </c>
      <c r="C189" s="341" t="str">
        <f t="shared" si="46"/>
        <v/>
      </c>
      <c r="D189" s="662">
        <f t="shared" si="47"/>
        <v>1</v>
      </c>
      <c r="E189" s="662"/>
      <c r="F189" s="132" t="str">
        <f t="shared" ca="1" si="52"/>
        <v>12.0</v>
      </c>
      <c r="G189" s="135"/>
      <c r="H189" s="135"/>
      <c r="I189" s="167" t="s">
        <v>159</v>
      </c>
      <c r="J189" s="135"/>
      <c r="K189" s="136"/>
      <c r="L189" s="137"/>
      <c r="M189" s="137"/>
      <c r="N189" s="138">
        <f>SUM(N191:N256)</f>
        <v>273183.97000000003</v>
      </c>
      <c r="O189" s="337"/>
      <c r="P189" s="341"/>
      <c r="Q189" s="1625"/>
    </row>
    <row r="190" spans="1:17" s="256" customFormat="1" ht="16.5" thickBot="1">
      <c r="A190" s="341">
        <f t="shared" ca="1" si="45"/>
        <v>12</v>
      </c>
      <c r="B190" s="341" t="str">
        <f>IF(OR(C190=1,D190=1),SUMIF($A$21:A190,A190,$C$21:C190),"")</f>
        <v/>
      </c>
      <c r="C190" s="341" t="str">
        <f t="shared" si="46"/>
        <v/>
      </c>
      <c r="D190" s="662" t="str">
        <f t="shared" si="47"/>
        <v/>
      </c>
      <c r="E190" s="662"/>
      <c r="F190" s="164" t="str">
        <f t="shared" si="52"/>
        <v/>
      </c>
      <c r="G190" s="158"/>
      <c r="H190" s="158"/>
      <c r="I190" s="159" t="s">
        <v>14123</v>
      </c>
      <c r="J190" s="160"/>
      <c r="K190" s="161"/>
      <c r="L190" s="162"/>
      <c r="M190" s="162"/>
      <c r="N190" s="163"/>
      <c r="O190" s="346"/>
      <c r="P190" s="375"/>
      <c r="Q190" s="1628"/>
    </row>
    <row r="191" spans="1:17" s="338" customFormat="1" ht="30.75" thickBot="1">
      <c r="A191" s="341">
        <f t="shared" ca="1" si="45"/>
        <v>12</v>
      </c>
      <c r="B191" s="341">
        <f ca="1">IF(OR(C191=1,D191=1),SUMIF($A$21:A191,A191,$C$21:C191),"")</f>
        <v>1</v>
      </c>
      <c r="C191" s="341">
        <f t="shared" si="46"/>
        <v>1</v>
      </c>
      <c r="D191" s="662" t="str">
        <f t="shared" si="47"/>
        <v/>
      </c>
      <c r="E191" s="662"/>
      <c r="F191" s="735" t="str">
        <f t="shared" ca="1" si="52"/>
        <v>12.1</v>
      </c>
      <c r="G191" s="1099">
        <v>96985</v>
      </c>
      <c r="H191" s="1099" t="str">
        <f t="shared" ref="H191:H227" si="53">IF(G191&gt;="CPU","PRÓPRIO","SINAPI")</f>
        <v>SINAPI</v>
      </c>
      <c r="I191" s="784" t="str">
        <f>VLOOKUP($G191,IF(LEFT($G191,3)="CPU",COMPOSIÇÕES!$B$1:$E$4198,'BANCO DE DADOS JANEIRO-24 SERV'!$B$2:$F$7195),2,FALSE)</f>
        <v>HASTE DE ATERRAMENTO, DIÂMETRO 5/8", COM 3 METROS - FORNECIMENTO E INSTALAÇÃO. AF_08/2023</v>
      </c>
      <c r="J191" s="782" t="str">
        <f>VLOOKUP($G191,IF(LEFT($G191,3)="CPU",COMPOSIÇÕES!$B$1:$E$4198,'BANCO DE DADOS JANEIRO-24 SERV'!$B$2:$F$7195),3,FALSE)</f>
        <v>UN</v>
      </c>
      <c r="K191" s="730">
        <v>1</v>
      </c>
      <c r="L191" s="785">
        <f>VLOOKUP($G191,IF(LEFT($G191,3)="CPU",COMPOSIÇÕES!$B$1:$E$4198,'BANCO DE DADOS JANEIRO-24 SERV'!$B$2:$F$7195),4,FALSE)</f>
        <v>77.89</v>
      </c>
      <c r="M191" s="785">
        <f t="shared" ref="M191:M227" si="54">IF($Q$2="OUTROS",TRUNC(L191*(1+$N$7),2),ROUND(L191*(1+$N$7),2))</f>
        <v>96.73</v>
      </c>
      <c r="N191" s="1191">
        <f>IF($Q$2="OUTROS",TRUNC(M191*K191,2),ROUND(M191*K191,2))</f>
        <v>96.73</v>
      </c>
      <c r="O191" s="337"/>
      <c r="P191" s="341"/>
      <c r="Q191" s="1625"/>
    </row>
    <row r="192" spans="1:17" s="256" customFormat="1" ht="16.5" thickBot="1">
      <c r="A192" s="341">
        <f t="shared" ca="1" si="45"/>
        <v>12</v>
      </c>
      <c r="B192" s="341" t="str">
        <f>IF(OR(C192=1,D192=1),SUMIF($A$21:A192,A192,$C$21:C192),"")</f>
        <v/>
      </c>
      <c r="C192" s="341" t="str">
        <f t="shared" si="46"/>
        <v/>
      </c>
      <c r="D192" s="662" t="str">
        <f t="shared" si="47"/>
        <v/>
      </c>
      <c r="E192" s="662"/>
      <c r="F192" s="164" t="str">
        <f t="shared" si="52"/>
        <v/>
      </c>
      <c r="G192" s="158"/>
      <c r="H192" s="158"/>
      <c r="I192" s="159" t="s">
        <v>14124</v>
      </c>
      <c r="J192" s="160"/>
      <c r="K192" s="161"/>
      <c r="L192" s="162"/>
      <c r="M192" s="162"/>
      <c r="N192" s="163"/>
      <c r="O192" s="346"/>
      <c r="P192" s="375"/>
      <c r="Q192" s="1628"/>
    </row>
    <row r="193" spans="1:17" s="338" customFormat="1" ht="45">
      <c r="A193" s="341">
        <f t="shared" ca="1" si="45"/>
        <v>12</v>
      </c>
      <c r="B193" s="341">
        <f ca="1">IF(OR(C193=1,D193=1),SUMIF($A$21:A193,A193,$C$21:C193),"")</f>
        <v>2</v>
      </c>
      <c r="C193" s="341">
        <f t="shared" si="46"/>
        <v>1</v>
      </c>
      <c r="D193" s="662" t="str">
        <f t="shared" si="47"/>
        <v/>
      </c>
      <c r="E193" s="662"/>
      <c r="F193" s="1188" t="str">
        <f t="shared" ca="1" si="52"/>
        <v>12.2</v>
      </c>
      <c r="G193" s="1099">
        <v>92994</v>
      </c>
      <c r="H193" s="1099" t="str">
        <f t="shared" si="53"/>
        <v>SINAPI</v>
      </c>
      <c r="I193" s="1098" t="str">
        <f>VLOOKUP($G193,IF(LEFT($G193,3)="CPU",COMPOSIÇÕES!$B$1:$E$4198,'BANCO DE DADOS JANEIRO-24 SERV'!$B$2:$F$7195),2,FALSE)</f>
        <v>CABO DE COBRE FLEXÍVEL ISOLADO, 120 MM², ANTI-CHAMA 0,6/1,0 KV, PARA REDE ENTERRADA DE DISTRIBUIÇÃO DE ENERGIA ELÉTRICA - FORNECIMENTO E INSTALAÇÃO. AF_12/2021</v>
      </c>
      <c r="J193" s="1099" t="str">
        <f>VLOOKUP($G193,IF(LEFT($G193,3)="CPU",COMPOSIÇÕES!$B$1:$E$4198,'BANCO DE DADOS JANEIRO-24 SERV'!$B$2:$F$7195),3,FALSE)</f>
        <v>M</v>
      </c>
      <c r="K193" s="1189">
        <v>148.68</v>
      </c>
      <c r="L193" s="1190">
        <f>VLOOKUP($G193,IF(LEFT($G193,3)="CPU",COMPOSIÇÕES!$B$1:$E$4198,'BANCO DE DADOS JANEIRO-24 SERV'!$B$2:$F$7195),4,FALSE)</f>
        <v>119.5</v>
      </c>
      <c r="M193" s="1190">
        <f t="shared" si="54"/>
        <v>148.41</v>
      </c>
      <c r="N193" s="1191">
        <f>IF($Q$2="OUTROS",TRUNC(M193*K193,2),ROUND(M193*K193,2))</f>
        <v>22065.59</v>
      </c>
      <c r="O193" s="337"/>
      <c r="P193" s="341"/>
      <c r="Q193" s="1625"/>
    </row>
    <row r="194" spans="1:17" s="338" customFormat="1" ht="45">
      <c r="A194" s="341">
        <f t="shared" ca="1" si="45"/>
        <v>12</v>
      </c>
      <c r="B194" s="341">
        <f ca="1">IF(OR(C194=1,D194=1),SUMIF($A$21:A194,A194,$C$21:C194),"")</f>
        <v>3</v>
      </c>
      <c r="C194" s="341">
        <f t="shared" si="46"/>
        <v>1</v>
      </c>
      <c r="D194" s="662" t="str">
        <f t="shared" si="47"/>
        <v/>
      </c>
      <c r="E194" s="662"/>
      <c r="F194" s="1188" t="str">
        <f t="shared" ref="F194:F224" ca="1" si="55">IF(B194&lt;&gt;"",A194&amp;"."&amp;B194,"")</f>
        <v>12.3</v>
      </c>
      <c r="G194" s="1099">
        <v>92990</v>
      </c>
      <c r="H194" s="1099" t="str">
        <f t="shared" si="53"/>
        <v>SINAPI</v>
      </c>
      <c r="I194" s="1098" t="str">
        <f>VLOOKUP($G194,IF(LEFT($G194,3)="CPU",COMPOSIÇÕES!$B$1:$E$4198,'BANCO DE DADOS JANEIRO-24 SERV'!$B$2:$F$7195),2,FALSE)</f>
        <v>CABO DE COBRE FLEXÍVEL ISOLADO, 70 MM², ANTI-CHAMA 0,6/1,0 KV, PARA REDE ENTERRADA DE DISTRIBUIÇÃO DE ENERGIA ELÉTRICA - FORNECIMENTO E INSTALAÇÃO. AF_12/2021</v>
      </c>
      <c r="J194" s="1099" t="str">
        <f>VLOOKUP($G194,IF(LEFT($G194,3)="CPU",COMPOSIÇÕES!$B$1:$E$4198,'BANCO DE DADOS JANEIRO-24 SERV'!$B$2:$F$7195),3,FALSE)</f>
        <v>M</v>
      </c>
      <c r="K194" s="1189">
        <v>37.17</v>
      </c>
      <c r="L194" s="1190">
        <f>VLOOKUP($G194,IF(LEFT($G194,3)="CPU",COMPOSIÇÕES!$B$1:$E$4198,'BANCO DE DADOS JANEIRO-24 SERV'!$B$2:$F$7195),4,FALSE)</f>
        <v>71.13</v>
      </c>
      <c r="M194" s="1190">
        <f t="shared" si="54"/>
        <v>88.34</v>
      </c>
      <c r="N194" s="1191">
        <f t="shared" ref="N194:N224" si="56">IF($Q$2="OUTROS",TRUNC(M194*K194,2),ROUND(M194*K194,2))</f>
        <v>3283.59</v>
      </c>
      <c r="O194" s="337"/>
      <c r="P194" s="341"/>
      <c r="Q194" s="1625"/>
    </row>
    <row r="195" spans="1:17" s="338" customFormat="1" ht="45">
      <c r="A195" s="341">
        <f t="shared" ca="1" si="45"/>
        <v>12</v>
      </c>
      <c r="B195" s="341">
        <f ca="1">IF(OR(C195=1,D195=1),SUMIF($A$21:A195,A195,$C$21:C195),"")</f>
        <v>4</v>
      </c>
      <c r="C195" s="341">
        <f t="shared" si="46"/>
        <v>1</v>
      </c>
      <c r="D195" s="662" t="str">
        <f t="shared" si="47"/>
        <v/>
      </c>
      <c r="E195" s="662"/>
      <c r="F195" s="1188" t="str">
        <f t="shared" ca="1" si="55"/>
        <v>12.4</v>
      </c>
      <c r="G195" s="1099">
        <v>92992</v>
      </c>
      <c r="H195" s="1099" t="str">
        <f t="shared" si="53"/>
        <v>SINAPI</v>
      </c>
      <c r="I195" s="1098" t="str">
        <f>VLOOKUP($G195,IF(LEFT($G195,3)="CPU",COMPOSIÇÕES!$B$1:$E$4198,'BANCO DE DADOS JANEIRO-24 SERV'!$B$2:$F$7195),2,FALSE)</f>
        <v>CABO DE COBRE FLEXÍVEL ISOLADO, 95 MM², ANTI-CHAMA 0,6/1,0 KV, PARA REDE ENTERRADA DE DISTRIBUIÇÃO DE ENERGIA ELÉTRICA - FORNECIMENTO E INSTALAÇÃO. AF_12/2021</v>
      </c>
      <c r="J195" s="1099" t="str">
        <f>VLOOKUP($G195,IF(LEFT($G195,3)="CPU",COMPOSIÇÕES!$B$1:$E$4198,'BANCO DE DADOS JANEIRO-24 SERV'!$B$2:$F$7195),3,FALSE)</f>
        <v>M</v>
      </c>
      <c r="K195" s="1189">
        <f>3.5*4</f>
        <v>14</v>
      </c>
      <c r="L195" s="1190">
        <f>VLOOKUP($G195,IF(LEFT($G195,3)="CPU",COMPOSIÇÕES!$B$1:$E$4198,'BANCO DE DADOS JANEIRO-24 SERV'!$B$2:$F$7195),4,FALSE)</f>
        <v>91.96</v>
      </c>
      <c r="M195" s="1190">
        <f t="shared" si="54"/>
        <v>114.21</v>
      </c>
      <c r="N195" s="1191">
        <f t="shared" si="56"/>
        <v>1598.94</v>
      </c>
      <c r="O195" s="337"/>
      <c r="P195" s="341"/>
      <c r="Q195" s="1625"/>
    </row>
    <row r="196" spans="1:17" s="338" customFormat="1" ht="30">
      <c r="A196" s="341">
        <f t="shared" ca="1" si="45"/>
        <v>12</v>
      </c>
      <c r="B196" s="341">
        <f ca="1">IF(OR(C196=1,D196=1),SUMIF($A$21:A196,A196,$C$21:C196),"")</f>
        <v>5</v>
      </c>
      <c r="C196" s="341">
        <f t="shared" si="46"/>
        <v>1</v>
      </c>
      <c r="D196" s="662" t="str">
        <f t="shared" si="47"/>
        <v/>
      </c>
      <c r="E196" s="662"/>
      <c r="F196" s="1188" t="str">
        <f t="shared" ca="1" si="55"/>
        <v>12.5</v>
      </c>
      <c r="G196" s="1099">
        <v>92980</v>
      </c>
      <c r="H196" s="1099" t="str">
        <f t="shared" si="53"/>
        <v>SINAPI</v>
      </c>
      <c r="I196" s="1098" t="str">
        <f>VLOOKUP($G196,IF(LEFT($G196,3)="CPU",COMPOSIÇÕES!$B$1:$E$4198,'BANCO DE DADOS JANEIRO-24 SERV'!$B$2:$F$7195),2,FALSE)</f>
        <v>CABO DE COBRE FLEXÍVEL ISOLADO, 10 MM², ANTI-CHAMA 0,6/1,0 KV, PARA DISTRIBUIÇÃO - FORNECIMENTO E INSTALAÇÃO. AF_12/2015</v>
      </c>
      <c r="J196" s="1099" t="str">
        <f>VLOOKUP($G196,IF(LEFT($G196,3)="CPU",COMPOSIÇÕES!$B$1:$E$4198,'BANCO DE DADOS JANEIRO-24 SERV'!$B$2:$F$7195),3,FALSE)</f>
        <v>M</v>
      </c>
      <c r="K196" s="1189">
        <f>71.72*5</f>
        <v>358.6</v>
      </c>
      <c r="L196" s="1190">
        <f>VLOOKUP($G196,IF(LEFT($G196,3)="CPU",COMPOSIÇÕES!$B$1:$E$4198,'BANCO DE DADOS JANEIRO-24 SERV'!$B$2:$F$7195),4,FALSE)</f>
        <v>9.75</v>
      </c>
      <c r="M196" s="1190">
        <f t="shared" si="54"/>
        <v>12.1</v>
      </c>
      <c r="N196" s="1191">
        <f t="shared" si="56"/>
        <v>4339.0600000000004</v>
      </c>
      <c r="O196" s="337"/>
      <c r="P196" s="341"/>
      <c r="Q196" s="1625"/>
    </row>
    <row r="197" spans="1:17" s="338" customFormat="1" ht="30">
      <c r="A197" s="341">
        <f t="shared" ca="1" si="45"/>
        <v>12</v>
      </c>
      <c r="B197" s="341">
        <f ca="1">IF(OR(C197=1,D197=1),SUMIF($A$21:A197,A197,$C$21:C197),"")</f>
        <v>6</v>
      </c>
      <c r="C197" s="341">
        <f t="shared" si="46"/>
        <v>1</v>
      </c>
      <c r="D197" s="662" t="str">
        <f t="shared" si="47"/>
        <v/>
      </c>
      <c r="E197" s="662"/>
      <c r="F197" s="1188" t="str">
        <f t="shared" ca="1" si="55"/>
        <v>12.6</v>
      </c>
      <c r="G197" s="1099">
        <v>92982</v>
      </c>
      <c r="H197" s="1099" t="str">
        <f t="shared" si="53"/>
        <v>SINAPI</v>
      </c>
      <c r="I197" s="1098" t="str">
        <f>VLOOKUP($G197,IF(LEFT($G197,3)="CPU",COMPOSIÇÕES!$B$1:$E$4198,'BANCO DE DADOS JANEIRO-24 SERV'!$B$2:$F$7195),2,FALSE)</f>
        <v>CABO DE COBRE FLEXÍVEL ISOLADO, 16 MM², ANTI-CHAMA 0,6/1,0 KV, PARA DISTRIBUIÇÃO - FORNECIMENTO E INSTALAÇÃO. AF_12/2015</v>
      </c>
      <c r="J197" s="1099" t="str">
        <f>VLOOKUP($G197,IF(LEFT($G197,3)="CPU",COMPOSIÇÕES!$B$1:$E$4198,'BANCO DE DADOS JANEIRO-24 SERV'!$B$2:$F$7195),3,FALSE)</f>
        <v>M</v>
      </c>
      <c r="K197" s="1189">
        <v>633.72</v>
      </c>
      <c r="L197" s="1190">
        <f>VLOOKUP($G197,IF(LEFT($G197,3)="CPU",COMPOSIÇÕES!$B$1:$E$4198,'BANCO DE DADOS JANEIRO-24 SERV'!$B$2:$F$7195),4,FALSE)</f>
        <v>15.43</v>
      </c>
      <c r="M197" s="1190">
        <f t="shared" si="54"/>
        <v>19.16</v>
      </c>
      <c r="N197" s="1191">
        <f t="shared" si="56"/>
        <v>12142.07</v>
      </c>
      <c r="O197" s="337"/>
      <c r="P197" s="341"/>
      <c r="Q197" s="1625"/>
    </row>
    <row r="198" spans="1:17" s="338" customFormat="1" ht="45">
      <c r="A198" s="341">
        <f t="shared" ca="1" si="45"/>
        <v>12</v>
      </c>
      <c r="B198" s="341">
        <f ca="1">IF(OR(C198=1,D198=1),SUMIF($A$21:A198,A198,$C$21:C198),"")</f>
        <v>7</v>
      </c>
      <c r="C198" s="341">
        <f t="shared" si="46"/>
        <v>1</v>
      </c>
      <c r="D198" s="662" t="str">
        <f t="shared" si="47"/>
        <v/>
      </c>
      <c r="E198" s="662"/>
      <c r="F198" s="1188" t="str">
        <f t="shared" ca="1" si="55"/>
        <v>12.7</v>
      </c>
      <c r="G198" s="1099">
        <v>92984</v>
      </c>
      <c r="H198" s="1099" t="str">
        <f t="shared" si="53"/>
        <v>SINAPI</v>
      </c>
      <c r="I198" s="1098" t="str">
        <f>VLOOKUP($G198,IF(LEFT($G198,3)="CPU",COMPOSIÇÕES!$B$1:$E$4198,'BANCO DE DADOS JANEIRO-24 SERV'!$B$2:$F$7195),2,FALSE)</f>
        <v>CABO DE COBRE FLEXÍVEL ISOLADO, 25 MM², ANTI-CHAMA 0,6/1,0 KV, PARA REDE ENTERRADA DE DISTRIBUIÇÃO DE ENERGIA ELÉTRICA - FORNECIMENTO E INSTALAÇÃO. AF_12/2021</v>
      </c>
      <c r="J198" s="1099" t="str">
        <f>VLOOKUP($G198,IF(LEFT($G198,3)="CPU",COMPOSIÇÕES!$B$1:$E$4198,'BANCO DE DADOS JANEIRO-24 SERV'!$B$2:$F$7195),3,FALSE)</f>
        <v>M</v>
      </c>
      <c r="K198" s="1189">
        <v>536.24</v>
      </c>
      <c r="L198" s="1190">
        <f>VLOOKUP($G198,IF(LEFT($G198,3)="CPU",COMPOSIÇÕES!$B$1:$E$4198,'BANCO DE DADOS JANEIRO-24 SERV'!$B$2:$F$7195),4,FALSE)</f>
        <v>25.63</v>
      </c>
      <c r="M198" s="1190">
        <f t="shared" si="54"/>
        <v>31.83</v>
      </c>
      <c r="N198" s="1191">
        <f t="shared" si="56"/>
        <v>17068.509999999998</v>
      </c>
      <c r="O198" s="337"/>
      <c r="P198" s="341"/>
      <c r="Q198" s="1625"/>
    </row>
    <row r="199" spans="1:17" s="338" customFormat="1" ht="30">
      <c r="A199" s="341">
        <f t="shared" ca="1" si="45"/>
        <v>12</v>
      </c>
      <c r="B199" s="341">
        <f ca="1">IF(OR(C199=1,D199=1),SUMIF($A$21:A199,A199,$C$21:C199),"")</f>
        <v>8</v>
      </c>
      <c r="C199" s="341">
        <f t="shared" si="46"/>
        <v>1</v>
      </c>
      <c r="D199" s="662" t="str">
        <f t="shared" si="47"/>
        <v/>
      </c>
      <c r="E199" s="662"/>
      <c r="F199" s="1188" t="str">
        <f t="shared" ca="1" si="55"/>
        <v>12.8</v>
      </c>
      <c r="G199" s="1099">
        <v>91931</v>
      </c>
      <c r="H199" s="1099" t="str">
        <f t="shared" si="53"/>
        <v>SINAPI</v>
      </c>
      <c r="I199" s="1098" t="str">
        <f>VLOOKUP($G199,IF(LEFT($G199,3)="CPU",COMPOSIÇÕES!$B$1:$E$4198,'BANCO DE DADOS JANEIRO-24 SERV'!$B$2:$F$7195),2,FALSE)</f>
        <v>CABO DE COBRE FLEXÍVEL ISOLADO, 6 MM², ANTI-CHAMA 0,6/1,0 KV, PARA CIRCUITOS TERMINAIS - FORNECIMENTO E INSTALAÇÃO. AF_03/2023</v>
      </c>
      <c r="J199" s="1099" t="str">
        <f>VLOOKUP($G199,IF(LEFT($G199,3)="CPU",COMPOSIÇÕES!$B$1:$E$4198,'BANCO DE DADOS JANEIRO-24 SERV'!$B$2:$F$7195),3,FALSE)</f>
        <v>M</v>
      </c>
      <c r="K199" s="1193">
        <v>182.83</v>
      </c>
      <c r="L199" s="1190">
        <f>VLOOKUP($G199,IF(LEFT($G199,3)="CPU",COMPOSIÇÕES!$B$1:$E$4198,'BANCO DE DADOS JANEIRO-24 SERV'!$B$2:$F$7195),4,FALSE)</f>
        <v>9.36</v>
      </c>
      <c r="M199" s="1190">
        <f t="shared" si="54"/>
        <v>11.62</v>
      </c>
      <c r="N199" s="1191">
        <f t="shared" si="56"/>
        <v>2124.48</v>
      </c>
      <c r="O199" s="337"/>
      <c r="P199" s="341"/>
      <c r="Q199" s="1625"/>
    </row>
    <row r="200" spans="1:17" s="338" customFormat="1" ht="30">
      <c r="A200" s="341">
        <f t="shared" ca="1" si="45"/>
        <v>12</v>
      </c>
      <c r="B200" s="341">
        <f ca="1">IF(OR(C200=1,D200=1),SUMIF($A$21:A200,A200,$C$21:C200),"")</f>
        <v>9</v>
      </c>
      <c r="C200" s="341">
        <f t="shared" si="46"/>
        <v>1</v>
      </c>
      <c r="D200" s="662" t="str">
        <f t="shared" si="47"/>
        <v/>
      </c>
      <c r="E200" s="662"/>
      <c r="F200" s="1188" t="str">
        <f t="shared" ca="1" si="55"/>
        <v>12.9</v>
      </c>
      <c r="G200" s="1099">
        <v>91934</v>
      </c>
      <c r="H200" s="1099" t="str">
        <f t="shared" si="53"/>
        <v>SINAPI</v>
      </c>
      <c r="I200" s="1098" t="str">
        <f>VLOOKUP($G200,IF(LEFT($G200,3)="CPU",COMPOSIÇÕES!$B$1:$E$4198,'BANCO DE DADOS JANEIRO-24 SERV'!$B$2:$F$7195),2,FALSE)</f>
        <v>CABO DE COBRE FLEXÍVEL ISOLADO, 16 MM², ANTI-CHAMA 450/750 V, PARA CIRCUITOS TERMINAIS - FORNECIMENTO E INSTALAÇÃO. AF_03/2023</v>
      </c>
      <c r="J200" s="1099" t="str">
        <f>VLOOKUP($G200,IF(LEFT($G200,3)="CPU",COMPOSIÇÕES!$B$1:$E$4198,'BANCO DE DADOS JANEIRO-24 SERV'!$B$2:$F$7195),3,FALSE)</f>
        <v>M</v>
      </c>
      <c r="K200" s="1193">
        <v>332.85</v>
      </c>
      <c r="L200" s="1190">
        <f>VLOOKUP($G200,IF(LEFT($G200,3)="CPU",COMPOSIÇÕES!$B$1:$E$4198,'BANCO DE DADOS JANEIRO-24 SERV'!$B$2:$F$7195),4,FALSE)</f>
        <v>22.41</v>
      </c>
      <c r="M200" s="1190">
        <f t="shared" si="54"/>
        <v>27.83</v>
      </c>
      <c r="N200" s="1191">
        <f t="shared" si="56"/>
        <v>9263.2099999999991</v>
      </c>
      <c r="O200" s="337"/>
      <c r="P200" s="341"/>
      <c r="Q200" s="1625"/>
    </row>
    <row r="201" spans="1:17" s="338" customFormat="1" ht="30">
      <c r="A201" s="341">
        <f t="shared" ca="1" si="45"/>
        <v>12</v>
      </c>
      <c r="B201" s="341">
        <f ca="1">IF(OR(C201=1,D201=1),SUMIF($A$21:A201,A201,$C$21:C201),"")</f>
        <v>10</v>
      </c>
      <c r="C201" s="341">
        <f t="shared" si="46"/>
        <v>1</v>
      </c>
      <c r="D201" s="662" t="str">
        <f t="shared" si="47"/>
        <v/>
      </c>
      <c r="E201" s="662"/>
      <c r="F201" s="1188" t="str">
        <f t="shared" ca="1" si="55"/>
        <v>12.10</v>
      </c>
      <c r="G201" s="1099">
        <v>91926</v>
      </c>
      <c r="H201" s="1099" t="str">
        <f t="shared" si="53"/>
        <v>SINAPI</v>
      </c>
      <c r="I201" s="1098" t="str">
        <f>VLOOKUP($G201,IF(LEFT($G201,3)="CPU",COMPOSIÇÕES!$B$1:$E$4198,'BANCO DE DADOS JANEIRO-24 SERV'!$B$2:$F$7195),2,FALSE)</f>
        <v>CABO DE COBRE FLEXÍVEL ISOLADO, 2,5 MM², ANTI-CHAMA 450/750 V, PARA CIRCUITOS TERMINAIS - FORNECIMENTO E INSTALAÇÃO. AF_03/2023</v>
      </c>
      <c r="J201" s="1099" t="str">
        <f>VLOOKUP($G201,IF(LEFT($G201,3)="CPU",COMPOSIÇÕES!$B$1:$E$4198,'BANCO DE DADOS JANEIRO-24 SERV'!$B$2:$F$7195),3,FALSE)</f>
        <v>M</v>
      </c>
      <c r="K201" s="1193">
        <v>5796.59</v>
      </c>
      <c r="L201" s="1190">
        <f>VLOOKUP($G201,IF(LEFT($G201,3)="CPU",COMPOSIÇÕES!$B$1:$E$4198,'BANCO DE DADOS JANEIRO-24 SERV'!$B$2:$F$7195),4,FALSE)</f>
        <v>4.0199999999999996</v>
      </c>
      <c r="M201" s="1190">
        <f t="shared" si="54"/>
        <v>4.99</v>
      </c>
      <c r="N201" s="1191">
        <f t="shared" si="56"/>
        <v>28924.98</v>
      </c>
      <c r="O201" s="337"/>
      <c r="P201" s="341"/>
      <c r="Q201" s="1625"/>
    </row>
    <row r="202" spans="1:17" s="338" customFormat="1" ht="30.75" thickBot="1">
      <c r="A202" s="341">
        <f t="shared" ca="1" si="45"/>
        <v>12</v>
      </c>
      <c r="B202" s="341">
        <f ca="1">IF(OR(C202=1,D202=1),SUMIF($A$21:A202,A202,$C$21:C202),"")</f>
        <v>11</v>
      </c>
      <c r="C202" s="341">
        <f t="shared" si="46"/>
        <v>1</v>
      </c>
      <c r="D202" s="662" t="str">
        <f t="shared" si="47"/>
        <v/>
      </c>
      <c r="E202" s="662"/>
      <c r="F202" s="1188" t="str">
        <f t="shared" ca="1" si="55"/>
        <v>12.11</v>
      </c>
      <c r="G202" s="1099">
        <v>91928</v>
      </c>
      <c r="H202" s="1099" t="str">
        <f t="shared" si="53"/>
        <v>SINAPI</v>
      </c>
      <c r="I202" s="1098" t="str">
        <f>VLOOKUP($G202,IF(LEFT($G202,3)="CPU",COMPOSIÇÕES!$B$1:$E$4198,'BANCO DE DADOS JANEIRO-24 SERV'!$B$2:$F$7195),2,FALSE)</f>
        <v>CABO DE COBRE FLEXÍVEL ISOLADO, 4 MM², ANTI-CHAMA 450/750 V, PARA CIRCUITOS TERMINAIS - FORNECIMENTO E INSTALAÇÃO. AF_03/2023</v>
      </c>
      <c r="J202" s="1099" t="str">
        <f>VLOOKUP($G202,IF(LEFT($G202,3)="CPU",COMPOSIÇÕES!$B$1:$E$4198,'BANCO DE DADOS JANEIRO-24 SERV'!$B$2:$F$7195),3,FALSE)</f>
        <v>M</v>
      </c>
      <c r="K202" s="1193">
        <v>168.73</v>
      </c>
      <c r="L202" s="1190">
        <f>VLOOKUP($G202,IF(LEFT($G202,3)="CPU",COMPOSIÇÕES!$B$1:$E$4198,'BANCO DE DADOS JANEIRO-24 SERV'!$B$2:$F$7195),4,FALSE)</f>
        <v>6.21</v>
      </c>
      <c r="M202" s="1190">
        <f t="shared" si="54"/>
        <v>7.71</v>
      </c>
      <c r="N202" s="1191">
        <f t="shared" si="56"/>
        <v>1300.9000000000001</v>
      </c>
      <c r="O202" s="337"/>
      <c r="P202" s="341"/>
      <c r="Q202" s="1625"/>
    </row>
    <row r="203" spans="1:17" s="256" customFormat="1" ht="16.5" thickBot="1">
      <c r="A203" s="341">
        <f t="shared" ca="1" si="45"/>
        <v>12</v>
      </c>
      <c r="B203" s="341" t="str">
        <f>IF(OR(C203=1,D203=1),SUMIF($A$21:A203,A203,$C$21:C203),"")</f>
        <v/>
      </c>
      <c r="C203" s="341" t="str">
        <f t="shared" si="46"/>
        <v/>
      </c>
      <c r="D203" s="662" t="str">
        <f t="shared" si="47"/>
        <v/>
      </c>
      <c r="E203" s="662"/>
      <c r="F203" s="164" t="str">
        <f t="shared" si="55"/>
        <v/>
      </c>
      <c r="G203" s="158"/>
      <c r="H203" s="158"/>
      <c r="I203" s="159" t="s">
        <v>14125</v>
      </c>
      <c r="J203" s="160"/>
      <c r="K203" s="161"/>
      <c r="L203" s="162"/>
      <c r="M203" s="162"/>
      <c r="N203" s="163"/>
      <c r="O203" s="346"/>
      <c r="P203" s="375"/>
      <c r="Q203" s="1628"/>
    </row>
    <row r="204" spans="1:17" s="338" customFormat="1" ht="30.75" thickBot="1">
      <c r="A204" s="341">
        <f t="shared" ca="1" si="45"/>
        <v>12</v>
      </c>
      <c r="B204" s="341">
        <f ca="1">IF(OR(C204=1,D204=1),SUMIF($A$21:A204,A204,$C$21:C204),"")</f>
        <v>12</v>
      </c>
      <c r="C204" s="341">
        <f t="shared" si="46"/>
        <v>1</v>
      </c>
      <c r="D204" s="662" t="str">
        <f t="shared" si="47"/>
        <v/>
      </c>
      <c r="E204" s="662"/>
      <c r="F204" s="1188" t="str">
        <f t="shared" ca="1" si="55"/>
        <v>12.12</v>
      </c>
      <c r="G204" s="1099" t="str">
        <f>'COMP. ELETRICO '!B51</f>
        <v>CPU ELE 004</v>
      </c>
      <c r="H204" s="1099" t="str">
        <f t="shared" si="53"/>
        <v>PRÓPRIO</v>
      </c>
      <c r="I204" s="1098" t="str">
        <f>VLOOKUP($G204,IF(LEFT($G204,3)="CPU",COMPOSIÇÕES!$B$1:$E$4198,'BANCO DE DADOS JANEIRO-24 SERV'!$B$2:$F$7195),2,FALSE)</f>
        <v>CAIXA DE PASSAGEM ELETRICA DE PAREDE, DE EMBUTIR, EM PVC, COM TAMPA APARAFUSADA, DIMENSOES 120 X 120 X *75* MM - FORNECIMENTO E INSTALAÇÃO</v>
      </c>
      <c r="J204" s="1099" t="str">
        <f>VLOOKUP($G204,IF(LEFT($G204,3)="CPU",COMPOSIÇÕES!$B$1:$E$4198,'BANCO DE DADOS JANEIRO-24 SERV'!$B$2:$F$7195),3,FALSE)</f>
        <v>UN</v>
      </c>
      <c r="K204" s="1193">
        <v>17</v>
      </c>
      <c r="L204" s="1190">
        <f>VLOOKUP($G204,IF(LEFT($G204,3)="CPU",COMPOSIÇÕES!$B$1:$E$4198,'BANCO DE DADOS JANEIRO-24 SERV'!$B$2:$F$7195),4,FALSE)</f>
        <v>114.16</v>
      </c>
      <c r="M204" s="1190">
        <f t="shared" si="54"/>
        <v>141.78</v>
      </c>
      <c r="N204" s="1191">
        <f t="shared" si="56"/>
        <v>2410.2600000000002</v>
      </c>
      <c r="O204" s="337"/>
      <c r="P204" s="341"/>
      <c r="Q204" s="1625"/>
    </row>
    <row r="205" spans="1:17" s="256" customFormat="1" ht="16.5" thickBot="1">
      <c r="A205" s="341">
        <f t="shared" ca="1" si="45"/>
        <v>12</v>
      </c>
      <c r="B205" s="341" t="str">
        <f>IF(OR(C205=1,D205=1),SUMIF($A$21:A205,A205,$C$21:C205),"")</f>
        <v/>
      </c>
      <c r="C205" s="341" t="str">
        <f t="shared" si="46"/>
        <v/>
      </c>
      <c r="D205" s="662" t="str">
        <f t="shared" si="47"/>
        <v/>
      </c>
      <c r="E205" s="662"/>
      <c r="F205" s="164" t="str">
        <f>IF(B205&lt;&gt;"",A205&amp;"."&amp;B205,"")</f>
        <v/>
      </c>
      <c r="G205" s="158"/>
      <c r="H205" s="158"/>
      <c r="I205" s="159" t="s">
        <v>14126</v>
      </c>
      <c r="J205" s="160"/>
      <c r="K205" s="161"/>
      <c r="L205" s="162"/>
      <c r="M205" s="162"/>
      <c r="N205" s="163"/>
      <c r="O205" s="346"/>
      <c r="P205" s="375"/>
      <c r="Q205" s="1628"/>
    </row>
    <row r="206" spans="1:17" s="338" customFormat="1" ht="30">
      <c r="A206" s="341">
        <f t="shared" ca="1" si="45"/>
        <v>12</v>
      </c>
      <c r="B206" s="341">
        <f ca="1">IF(OR(C206=1,D206=1),SUMIF($A$21:A206,A206,$C$21:C206),"")</f>
        <v>13</v>
      </c>
      <c r="C206" s="341">
        <f t="shared" si="46"/>
        <v>1</v>
      </c>
      <c r="D206" s="662" t="str">
        <f t="shared" si="47"/>
        <v/>
      </c>
      <c r="E206" s="662"/>
      <c r="F206" s="1188" t="str">
        <f t="shared" ca="1" si="55"/>
        <v>12.13</v>
      </c>
      <c r="G206" s="1099">
        <v>92029</v>
      </c>
      <c r="H206" s="1099" t="str">
        <f t="shared" si="53"/>
        <v>SINAPI</v>
      </c>
      <c r="I206" s="1098" t="str">
        <f>VLOOKUP($G206,IF(LEFT($G206,3)="CPU",COMPOSIÇÕES!$B$1:$E$4198,'BANCO DE DADOS JANEIRO-24 SERV'!$B$2:$F$7195),2,FALSE)</f>
        <v>INTERRUPTOR PARALELO (1 MÓDULO) COM 1 TOMADA DE EMBUTIR 2P+T 10 A, INCLUINDO SUPORTE E PLACA - FORNECIMENTO E INSTALAÇÃO. AF_03/2023</v>
      </c>
      <c r="J206" s="1099" t="str">
        <f>VLOOKUP($G206,IF(LEFT($G206,3)="CPU",COMPOSIÇÕES!$B$1:$E$4198,'BANCO DE DADOS JANEIRO-24 SERV'!$B$2:$F$7195),3,FALSE)</f>
        <v>UN</v>
      </c>
      <c r="K206" s="1193">
        <v>2</v>
      </c>
      <c r="L206" s="1190">
        <f>VLOOKUP($G206,IF(LEFT($G206,3)="CPU",COMPOSIÇÕES!$B$1:$E$4198,'BANCO DE DADOS JANEIRO-24 SERV'!$B$2:$F$7195),4,FALSE)</f>
        <v>53.41</v>
      </c>
      <c r="M206" s="1190">
        <f t="shared" si="54"/>
        <v>66.33</v>
      </c>
      <c r="N206" s="1191">
        <f t="shared" si="56"/>
        <v>132.66</v>
      </c>
      <c r="O206" s="337"/>
      <c r="P206" s="341"/>
      <c r="Q206" s="1625"/>
    </row>
    <row r="207" spans="1:17" s="338" customFormat="1" ht="29.25" customHeight="1">
      <c r="A207" s="341">
        <f t="shared" ca="1" si="45"/>
        <v>12</v>
      </c>
      <c r="B207" s="341">
        <f ca="1">IF(OR(C207=1,D207=1),SUMIF($A$21:A207,A207,$C$21:C207),"")</f>
        <v>14</v>
      </c>
      <c r="C207" s="341">
        <f t="shared" si="46"/>
        <v>1</v>
      </c>
      <c r="D207" s="662" t="str">
        <f t="shared" si="47"/>
        <v/>
      </c>
      <c r="E207" s="662"/>
      <c r="F207" s="1188" t="str">
        <f ca="1">IF(B207&lt;&gt;"",A207&amp;"."&amp;B207,"")</f>
        <v>12.14</v>
      </c>
      <c r="G207" s="1099">
        <v>92023</v>
      </c>
      <c r="H207" s="1099" t="str">
        <f>IF(G207&gt;="CPU","PRÓPRIO","SINAPI")</f>
        <v>SINAPI</v>
      </c>
      <c r="I207" s="1098" t="str">
        <f>VLOOKUP($G207,IF(LEFT($G207,3)="CPU",COMPOSIÇÕES!$B$1:$E$4198,'BANCO DE DADOS JANEIRO-24 SERV'!$B$2:$F$7195),2,FALSE)</f>
        <v>INTERRUPTOR SIMPLES (1 MÓDULO) COM 1 TOMADA DE EMBUTIR 2P+T 10 A, INCLUINDO SUPORTE E PLACA - FORNECIMENTO E INSTALAÇÃO. AF_03/2023</v>
      </c>
      <c r="J207" s="1099" t="str">
        <f>VLOOKUP($G207,IF(LEFT($G207,3)="CPU",COMPOSIÇÕES!$B$1:$E$4198,'BANCO DE DADOS JANEIRO-24 SERV'!$B$2:$F$7195),3,FALSE)</f>
        <v>UN</v>
      </c>
      <c r="K207" s="1193">
        <v>18</v>
      </c>
      <c r="L207" s="1190">
        <f>VLOOKUP($G207,IF(LEFT($G207,3)="CPU",COMPOSIÇÕES!$B$1:$E$4198,'BANCO DE DADOS JANEIRO-24 SERV'!$B$2:$F$7195),4,FALSE)</f>
        <v>47.32</v>
      </c>
      <c r="M207" s="1190">
        <f>IF($Q$2="OUTROS",TRUNC(L207*(1+$N$7),2),ROUND(L207*(1+$N$7),2))</f>
        <v>58.77</v>
      </c>
      <c r="N207" s="1191">
        <f>IF($Q$2="OUTROS",TRUNC(M207*K207,2),ROUND(M207*K207,2))</f>
        <v>1057.8599999999999</v>
      </c>
      <c r="O207" s="337"/>
      <c r="P207" s="341"/>
      <c r="Q207" s="1625"/>
    </row>
    <row r="208" spans="1:17" s="338" customFormat="1" ht="30">
      <c r="A208" s="341">
        <f t="shared" ca="1" si="45"/>
        <v>12</v>
      </c>
      <c r="B208" s="341">
        <f ca="1">IF(OR(C208=1,D208=1),SUMIF($A$21:A208,A208,$C$21:C208),"")</f>
        <v>15</v>
      </c>
      <c r="C208" s="341">
        <f t="shared" si="46"/>
        <v>1</v>
      </c>
      <c r="D208" s="662" t="str">
        <f t="shared" si="47"/>
        <v/>
      </c>
      <c r="E208" s="662"/>
      <c r="F208" s="1188" t="str">
        <f t="shared" ca="1" si="55"/>
        <v>12.15</v>
      </c>
      <c r="G208" s="1099">
        <v>92027</v>
      </c>
      <c r="H208" s="1099" t="str">
        <f t="shared" si="53"/>
        <v>SINAPI</v>
      </c>
      <c r="I208" s="1098" t="str">
        <f>VLOOKUP($G208,IF(LEFT($G208,3)="CPU",COMPOSIÇÕES!$B$1:$E$4198,'BANCO DE DADOS JANEIRO-24 SERV'!$B$2:$F$7195),2,FALSE)</f>
        <v>INTERRUPTOR SIMPLES (2 MÓDULOS) COM 1 TOMADA DE EMBUTIR 2P+T 10 A, INCLUINDO SUPORTE E PLACA - FORNECIMENTO E INSTALAÇÃO. AF_03/2023</v>
      </c>
      <c r="J208" s="1099" t="str">
        <f>VLOOKUP($G208,IF(LEFT($G208,3)="CPU",COMPOSIÇÕES!$B$1:$E$4198,'BANCO DE DADOS JANEIRO-24 SERV'!$B$2:$F$7195),3,FALSE)</f>
        <v>UN</v>
      </c>
      <c r="K208" s="1219">
        <v>17</v>
      </c>
      <c r="L208" s="1190">
        <f>VLOOKUP($G208,IF(LEFT($G208,3)="CPU",COMPOSIÇÕES!$B$1:$E$4198,'BANCO DE DADOS JANEIRO-24 SERV'!$B$2:$F$7195),4,FALSE)</f>
        <v>61.87</v>
      </c>
      <c r="M208" s="1190">
        <f t="shared" si="54"/>
        <v>76.84</v>
      </c>
      <c r="N208" s="1191">
        <f t="shared" si="56"/>
        <v>1306.28</v>
      </c>
      <c r="O208" s="337"/>
      <c r="P208" s="341"/>
      <c r="Q208" s="1625"/>
    </row>
    <row r="209" spans="1:17" s="338" customFormat="1" ht="30">
      <c r="A209" s="341">
        <f t="shared" ca="1" si="45"/>
        <v>12</v>
      </c>
      <c r="B209" s="341">
        <f ca="1">IF(OR(C209=1,D209=1),SUMIF($A$21:A209,A209,$C$21:C209),"")</f>
        <v>16</v>
      </c>
      <c r="C209" s="341">
        <f t="shared" si="46"/>
        <v>1</v>
      </c>
      <c r="D209" s="662" t="str">
        <f t="shared" si="47"/>
        <v/>
      </c>
      <c r="E209" s="662"/>
      <c r="F209" s="1188" t="str">
        <f t="shared" ca="1" si="55"/>
        <v>12.16</v>
      </c>
      <c r="G209" s="1099">
        <v>91971</v>
      </c>
      <c r="H209" s="1099" t="str">
        <f t="shared" si="53"/>
        <v>SINAPI</v>
      </c>
      <c r="I209" s="1098" t="str">
        <f>VLOOKUP($G209,IF(LEFT($G209,3)="CPU",COMPOSIÇÕES!$B$1:$E$4198,'BANCO DE DADOS JANEIRO-24 SERV'!$B$2:$F$7195),2,FALSE)</f>
        <v>INTERRUPTOR SIMPLES (3 MÓDULOS) COM INTERRUPTOR PARALELO (1 MÓDULO), 10A/250V, INCLUINDO SUPORTE E PLACA - FORNECIMENTO E INSTALAÇÃO. AF_03/2023</v>
      </c>
      <c r="J209" s="1099" t="str">
        <f>VLOOKUP($G209,IF(LEFT($G209,3)="CPU",COMPOSIÇÕES!$B$1:$E$4198,'BANCO DE DADOS JANEIRO-24 SERV'!$B$2:$F$7195),3,FALSE)</f>
        <v>UN</v>
      </c>
      <c r="K209" s="1193">
        <v>1</v>
      </c>
      <c r="L209" s="1190">
        <f>VLOOKUP($G209,IF(LEFT($G209,3)="CPU",COMPOSIÇÕES!$B$1:$E$4198,'BANCO DE DADOS JANEIRO-24 SERV'!$B$2:$F$7195),4,FALSE)</f>
        <v>82.48</v>
      </c>
      <c r="M209" s="1190">
        <f t="shared" si="54"/>
        <v>102.44</v>
      </c>
      <c r="N209" s="1191">
        <f t="shared" si="56"/>
        <v>102.44</v>
      </c>
      <c r="O209" s="337"/>
      <c r="P209" s="341"/>
      <c r="Q209" s="1625"/>
    </row>
    <row r="210" spans="1:17" s="338" customFormat="1" ht="30">
      <c r="A210" s="341">
        <f t="shared" ca="1" si="45"/>
        <v>12</v>
      </c>
      <c r="B210" s="341">
        <f ca="1">IF(OR(C210=1,D210=1),SUMIF($A$21:A210,A210,$C$21:C210),"")</f>
        <v>17</v>
      </c>
      <c r="C210" s="341">
        <f t="shared" si="46"/>
        <v>1</v>
      </c>
      <c r="D210" s="662" t="str">
        <f t="shared" si="47"/>
        <v/>
      </c>
      <c r="E210" s="662"/>
      <c r="F210" s="1188" t="str">
        <f t="shared" ca="1" si="55"/>
        <v>12.17</v>
      </c>
      <c r="G210" s="1099">
        <v>92000</v>
      </c>
      <c r="H210" s="1099" t="str">
        <f t="shared" si="53"/>
        <v>SINAPI</v>
      </c>
      <c r="I210" s="1098" t="str">
        <f>VLOOKUP($G210,IF(LEFT($G210,3)="CPU",COMPOSIÇÕES!$B$1:$E$4198,'BANCO DE DADOS JANEIRO-24 SERV'!$B$2:$F$7195),2,FALSE)</f>
        <v>TOMADA BAIXA DE EMBUTIR (1 MÓDULO), 2P+T 10 A, INCLUINDO SUPORTE E PLACA - FORNECIMENTO E INSTALAÇÃO. AF_03/2023</v>
      </c>
      <c r="J210" s="1099" t="str">
        <f>VLOOKUP($G210,IF(LEFT($G210,3)="CPU",COMPOSIÇÕES!$B$1:$E$4198,'BANCO DE DADOS JANEIRO-24 SERV'!$B$2:$F$7195),3,FALSE)</f>
        <v>UN</v>
      </c>
      <c r="K210" s="1219">
        <v>104</v>
      </c>
      <c r="L210" s="1190">
        <f>VLOOKUP($G210,IF(LEFT($G210,3)="CPU",COMPOSIÇÕES!$B$1:$E$4198,'BANCO DE DADOS JANEIRO-24 SERV'!$B$2:$F$7195),4,FALSE)</f>
        <v>29.17</v>
      </c>
      <c r="M210" s="1190">
        <f t="shared" si="54"/>
        <v>36.22</v>
      </c>
      <c r="N210" s="1191">
        <f t="shared" si="56"/>
        <v>3766.88</v>
      </c>
      <c r="O210" s="337"/>
      <c r="P210" s="341"/>
      <c r="Q210" s="1625"/>
    </row>
    <row r="211" spans="1:17" s="338" customFormat="1" ht="30">
      <c r="A211" s="341">
        <f t="shared" ca="1" si="45"/>
        <v>12</v>
      </c>
      <c r="B211" s="341">
        <f ca="1">IF(OR(C211=1,D211=1),SUMIF($A$21:A211,A211,$C$21:C211),"")</f>
        <v>18</v>
      </c>
      <c r="C211" s="341">
        <f t="shared" si="46"/>
        <v>1</v>
      </c>
      <c r="D211" s="662" t="str">
        <f t="shared" si="47"/>
        <v/>
      </c>
      <c r="E211" s="662"/>
      <c r="F211" s="1188" t="str">
        <f t="shared" ca="1" si="55"/>
        <v>12.18</v>
      </c>
      <c r="G211" s="1099">
        <v>91996</v>
      </c>
      <c r="H211" s="1099" t="str">
        <f t="shared" si="53"/>
        <v>SINAPI</v>
      </c>
      <c r="I211" s="1098" t="str">
        <f>VLOOKUP($G211,IF(LEFT($G211,3)="CPU",COMPOSIÇÕES!$B$1:$E$4198,'BANCO DE DADOS JANEIRO-24 SERV'!$B$2:$F$7195),2,FALSE)</f>
        <v>TOMADA MÉDIA DE EMBUTIR (1 MÓDULO), 2P+T 10 A, INCLUINDO SUPORTE E PLACA - FORNECIMENTO E INSTALAÇÃO. AF_03/2023</v>
      </c>
      <c r="J211" s="1099" t="str">
        <f>VLOOKUP($G211,IF(LEFT($G211,3)="CPU",COMPOSIÇÕES!$B$1:$E$4198,'BANCO DE DADOS JANEIRO-24 SERV'!$B$2:$F$7195),3,FALSE)</f>
        <v>UN</v>
      </c>
      <c r="K211" s="1219">
        <v>7</v>
      </c>
      <c r="L211" s="1190">
        <f>VLOOKUP($G211,IF(LEFT($G211,3)="CPU",COMPOSIÇÕES!$B$1:$E$4198,'BANCO DE DADOS JANEIRO-24 SERV'!$B$2:$F$7195),4,FALSE)</f>
        <v>32.82</v>
      </c>
      <c r="M211" s="1190">
        <f t="shared" si="54"/>
        <v>40.76</v>
      </c>
      <c r="N211" s="1191">
        <f t="shared" si="56"/>
        <v>285.32</v>
      </c>
      <c r="O211" s="337"/>
      <c r="P211" s="341"/>
      <c r="Q211" s="1625"/>
    </row>
    <row r="212" spans="1:17" s="338" customFormat="1" ht="30.75" thickBot="1">
      <c r="A212" s="341">
        <f t="shared" ca="1" si="45"/>
        <v>12</v>
      </c>
      <c r="B212" s="341">
        <f ca="1">IF(OR(C212=1,D212=1),SUMIF($A$21:A212,A212,$C$21:C212),"")</f>
        <v>19</v>
      </c>
      <c r="C212" s="341">
        <f t="shared" si="46"/>
        <v>1</v>
      </c>
      <c r="D212" s="662" t="str">
        <f t="shared" si="47"/>
        <v/>
      </c>
      <c r="E212" s="662"/>
      <c r="F212" s="1188" t="str">
        <f t="shared" ca="1" si="55"/>
        <v>12.19</v>
      </c>
      <c r="G212" s="1099">
        <v>92033</v>
      </c>
      <c r="H212" s="1099" t="str">
        <f t="shared" si="53"/>
        <v>SINAPI</v>
      </c>
      <c r="I212" s="1098" t="str">
        <f>VLOOKUP($G212,IF(LEFT($G212,3)="CPU",COMPOSIÇÕES!$B$1:$E$4198,'BANCO DE DADOS JANEIRO-24 SERV'!$B$2:$F$7195),2,FALSE)</f>
        <v>INTERRUPTOR PARALELO (2 MÓDULOS) COM 1 TOMADA DE EMBUTIR 2P+T 10 A, INCLUINDO SUPORTE E PLACA - FORNECIMENTO E INSTALAÇÃO. AF_03/2023</v>
      </c>
      <c r="J212" s="1099" t="str">
        <f>VLOOKUP($G212,IF(LEFT($G212,3)="CPU",COMPOSIÇÕES!$B$1:$E$4198,'BANCO DE DADOS JANEIRO-24 SERV'!$B$2:$F$7195),3,FALSE)</f>
        <v>UN</v>
      </c>
      <c r="K212" s="1193">
        <v>3</v>
      </c>
      <c r="L212" s="1190">
        <f>VLOOKUP($G212,IF(LEFT($G212,3)="CPU",COMPOSIÇÕES!$B$1:$E$4198,'BANCO DE DADOS JANEIRO-24 SERV'!$B$2:$F$7195),4,FALSE)</f>
        <v>73.930000000000007</v>
      </c>
      <c r="M212" s="1190">
        <f t="shared" si="54"/>
        <v>91.82</v>
      </c>
      <c r="N212" s="1191">
        <f t="shared" si="56"/>
        <v>275.45999999999998</v>
      </c>
      <c r="O212" s="337"/>
      <c r="P212" s="341"/>
      <c r="Q212" s="1625"/>
    </row>
    <row r="213" spans="1:17" s="256" customFormat="1" ht="16.5" thickBot="1">
      <c r="A213" s="341">
        <f t="shared" ca="1" si="45"/>
        <v>12</v>
      </c>
      <c r="B213" s="341" t="str">
        <f>IF(OR(C213=1,D213=1),SUMIF($A$21:A213,A213,$C$21:C213),"")</f>
        <v/>
      </c>
      <c r="C213" s="341" t="str">
        <f t="shared" si="46"/>
        <v/>
      </c>
      <c r="D213" s="662" t="str">
        <f t="shared" si="47"/>
        <v/>
      </c>
      <c r="E213" s="662"/>
      <c r="F213" s="164" t="str">
        <f t="shared" si="55"/>
        <v/>
      </c>
      <c r="G213" s="158"/>
      <c r="H213" s="158"/>
      <c r="I213" s="159" t="s">
        <v>14127</v>
      </c>
      <c r="J213" s="160"/>
      <c r="K213" s="161"/>
      <c r="L213" s="162"/>
      <c r="M213" s="162"/>
      <c r="N213" s="163"/>
      <c r="O213" s="346"/>
      <c r="P213" s="375"/>
      <c r="Q213" s="1628"/>
    </row>
    <row r="214" spans="1:17" s="338" customFormat="1" ht="30">
      <c r="A214" s="341">
        <f t="shared" ca="1" si="45"/>
        <v>12</v>
      </c>
      <c r="B214" s="341">
        <f ca="1">IF(OR(C214=1,D214=1),SUMIF($A$21:A214,A214,$C$21:C214),"")</f>
        <v>20</v>
      </c>
      <c r="C214" s="341">
        <f t="shared" si="46"/>
        <v>1</v>
      </c>
      <c r="D214" s="662" t="str">
        <f t="shared" si="47"/>
        <v/>
      </c>
      <c r="E214" s="662"/>
      <c r="F214" s="1188" t="str">
        <f t="shared" ca="1" si="55"/>
        <v>12.20</v>
      </c>
      <c r="G214" s="1099">
        <v>93653</v>
      </c>
      <c r="H214" s="1099" t="str">
        <f t="shared" si="53"/>
        <v>SINAPI</v>
      </c>
      <c r="I214" s="1098" t="str">
        <f>VLOOKUP($G214,IF(LEFT($G214,3)="CPU",COMPOSIÇÕES!$B$1:$E$4198,'BANCO DE DADOS JANEIRO-24 SERV'!$B$2:$F$7195),2,FALSE)</f>
        <v>DISJUNTOR MONOPOLAR TIPO DIN, CORRENTE NOMINAL DE 10A - FORNECIMENTO E INSTALAÇÃO. AF_10/2020</v>
      </c>
      <c r="J214" s="1099" t="str">
        <f>VLOOKUP($G214,IF(LEFT($G214,3)="CPU",COMPOSIÇÕES!$B$1:$E$4198,'BANCO DE DADOS JANEIRO-24 SERV'!$B$2:$F$7195),3,FALSE)</f>
        <v>UN</v>
      </c>
      <c r="K214" s="1193">
        <v>38</v>
      </c>
      <c r="L214" s="1190">
        <f>VLOOKUP($G214,IF(LEFT($G214,3)="CPU",COMPOSIÇÕES!$B$1:$E$4198,'BANCO DE DADOS JANEIRO-24 SERV'!$B$2:$F$7195),4,FALSE)</f>
        <v>11</v>
      </c>
      <c r="M214" s="1190">
        <f t="shared" si="54"/>
        <v>13.66</v>
      </c>
      <c r="N214" s="1191">
        <f t="shared" si="56"/>
        <v>519.08000000000004</v>
      </c>
      <c r="O214" s="337"/>
      <c r="P214" s="341"/>
      <c r="Q214" s="1625"/>
    </row>
    <row r="215" spans="1:17" s="338" customFormat="1" ht="30">
      <c r="A215" s="341">
        <f t="shared" ca="1" si="45"/>
        <v>12</v>
      </c>
      <c r="B215" s="341">
        <f ca="1">IF(OR(C215=1,D215=1),SUMIF($A$21:A215,A215,$C$21:C215),"")</f>
        <v>21</v>
      </c>
      <c r="C215" s="341">
        <f t="shared" si="46"/>
        <v>1</v>
      </c>
      <c r="D215" s="662" t="str">
        <f t="shared" si="47"/>
        <v/>
      </c>
      <c r="E215" s="662"/>
      <c r="F215" s="1188" t="str">
        <f t="shared" ca="1" si="55"/>
        <v>12.21</v>
      </c>
      <c r="G215" s="1099">
        <v>93660</v>
      </c>
      <c r="H215" s="1099" t="str">
        <f t="shared" si="53"/>
        <v>SINAPI</v>
      </c>
      <c r="I215" s="1098" t="str">
        <f>VLOOKUP($G215,IF(LEFT($G215,3)="CPU",COMPOSIÇÕES!$B$1:$E$4198,'BANCO DE DADOS JANEIRO-24 SERV'!$B$2:$F$7195),2,FALSE)</f>
        <v>DISJUNTOR BIPOLAR TIPO DIN, CORRENTE NOMINAL DE 10A - FORNECIMENTO E INSTALAÇÃO. AF_10/2020</v>
      </c>
      <c r="J215" s="1099" t="str">
        <f>VLOOKUP($G215,IF(LEFT($G215,3)="CPU",COMPOSIÇÕES!$B$1:$E$4198,'BANCO DE DADOS JANEIRO-24 SERV'!$B$2:$F$7195),3,FALSE)</f>
        <v>UN</v>
      </c>
      <c r="K215" s="1193">
        <v>1</v>
      </c>
      <c r="L215" s="1190">
        <f>VLOOKUP($G215,IF(LEFT($G215,3)="CPU",COMPOSIÇÕES!$B$1:$E$4198,'BANCO DE DADOS JANEIRO-24 SERV'!$B$2:$F$7195),4,FALSE)</f>
        <v>52.23</v>
      </c>
      <c r="M215" s="1190">
        <f t="shared" si="54"/>
        <v>64.86</v>
      </c>
      <c r="N215" s="1191">
        <f t="shared" si="56"/>
        <v>64.86</v>
      </c>
      <c r="O215" s="337"/>
      <c r="P215" s="341"/>
      <c r="Q215" s="1625"/>
    </row>
    <row r="216" spans="1:17" s="338" customFormat="1" ht="15.75">
      <c r="A216" s="341">
        <f t="shared" ca="1" si="45"/>
        <v>12</v>
      </c>
      <c r="B216" s="341">
        <f ca="1">IF(OR(C216=1,D216=1),SUMIF($A$21:A216,A216,$C$21:C216),"")</f>
        <v>22</v>
      </c>
      <c r="C216" s="341">
        <f t="shared" si="46"/>
        <v>1</v>
      </c>
      <c r="D216" s="662" t="str">
        <f t="shared" si="47"/>
        <v/>
      </c>
      <c r="E216" s="662"/>
      <c r="F216" s="1188" t="str">
        <f t="shared" ca="1" si="55"/>
        <v>12.22</v>
      </c>
      <c r="G216" s="1099" t="str">
        <f>'COMP. ELETRICO '!B68</f>
        <v>CPU ELE 006</v>
      </c>
      <c r="H216" s="1099" t="str">
        <f t="shared" si="53"/>
        <v>PRÓPRIO</v>
      </c>
      <c r="I216" s="1098" t="str">
        <f>VLOOKUP($G216,IF(LEFT($G216,3)="CPU",COMPOSIÇÕES!$B$1:$E$4198,'BANCO DE DADOS JANEIRO-24 SERV'!$B$2:$F$7195),2,FALSE)</f>
        <v>DISJUNTOR TERMOMAGNETICO BIPOLAR DE 10 A DIN- FORNECIMENTO E INSTALAÇÃO</v>
      </c>
      <c r="J216" s="1099" t="str">
        <f>VLOOKUP($G216,IF(LEFT($G216,3)="CPU",COMPOSIÇÕES!$B$1:$E$4198,'BANCO DE DADOS JANEIRO-24 SERV'!$B$2:$F$7195),3,FALSE)</f>
        <v>UN</v>
      </c>
      <c r="K216" s="1193">
        <v>39</v>
      </c>
      <c r="L216" s="1190">
        <f>VLOOKUP($G216,IF(LEFT($G216,3)="CPU",COMPOSIÇÕES!$B$1:$E$4198,'BANCO DE DADOS JANEIRO-24 SERV'!$B$2:$F$7195),4,FALSE)</f>
        <v>75.59</v>
      </c>
      <c r="M216" s="1190">
        <f t="shared" si="54"/>
        <v>93.88</v>
      </c>
      <c r="N216" s="1191">
        <f t="shared" si="56"/>
        <v>3661.32</v>
      </c>
      <c r="O216" s="337"/>
      <c r="P216" s="341"/>
      <c r="Q216" s="1625"/>
    </row>
    <row r="217" spans="1:17" s="338" customFormat="1" ht="30">
      <c r="A217" s="341">
        <f t="shared" ca="1" si="45"/>
        <v>12</v>
      </c>
      <c r="B217" s="341">
        <f ca="1">IF(OR(C217=1,D217=1),SUMIF($A$21:A217,A217,$C$21:C217),"")</f>
        <v>23</v>
      </c>
      <c r="C217" s="341">
        <f t="shared" si="46"/>
        <v>1</v>
      </c>
      <c r="D217" s="662" t="str">
        <f t="shared" si="47"/>
        <v/>
      </c>
      <c r="E217" s="662"/>
      <c r="F217" s="1188" t="str">
        <f t="shared" ca="1" si="55"/>
        <v>12.23</v>
      </c>
      <c r="G217" s="1099">
        <v>93669</v>
      </c>
      <c r="H217" s="1099" t="str">
        <f t="shared" si="53"/>
        <v>SINAPI</v>
      </c>
      <c r="I217" s="1098" t="str">
        <f>VLOOKUP($G217,IF(LEFT($G217,3)="CPU",COMPOSIÇÕES!$B$1:$E$4198,'BANCO DE DADOS JANEIRO-24 SERV'!$B$2:$F$7195),2,FALSE)</f>
        <v>DISJUNTOR TRIPOLAR TIPO DIN, CORRENTE NOMINAL DE 20A - FORNECIMENTO E INSTALAÇÃO. AF_10/2020</v>
      </c>
      <c r="J217" s="1099" t="str">
        <f>VLOOKUP($G217,IF(LEFT($G217,3)="CPU",COMPOSIÇÕES!$B$1:$E$4198,'BANCO DE DADOS JANEIRO-24 SERV'!$B$2:$F$7195),3,FALSE)</f>
        <v>UN</v>
      </c>
      <c r="K217" s="1193">
        <v>1</v>
      </c>
      <c r="L217" s="1190">
        <f>VLOOKUP($G217,IF(LEFT($G217,3)="CPU",COMPOSIÇÕES!$B$1:$E$4198,'BANCO DE DADOS JANEIRO-24 SERV'!$B$2:$F$7195),4,FALSE)</f>
        <v>71.22</v>
      </c>
      <c r="M217" s="1190">
        <f t="shared" si="54"/>
        <v>88.45</v>
      </c>
      <c r="N217" s="1191">
        <f t="shared" si="56"/>
        <v>88.45</v>
      </c>
      <c r="O217" s="337"/>
      <c r="P217" s="341"/>
      <c r="Q217" s="1625"/>
    </row>
    <row r="218" spans="1:17" s="338" customFormat="1" ht="30">
      <c r="A218" s="341">
        <f t="shared" ca="1" si="45"/>
        <v>12</v>
      </c>
      <c r="B218" s="341">
        <f ca="1">IF(OR(C218=1,D218=1),SUMIF($A$21:A218,A218,$C$21:C218),"")</f>
        <v>24</v>
      </c>
      <c r="C218" s="341">
        <f t="shared" si="46"/>
        <v>1</v>
      </c>
      <c r="D218" s="662" t="str">
        <f t="shared" si="47"/>
        <v/>
      </c>
      <c r="E218" s="662"/>
      <c r="F218" s="1188" t="str">
        <f t="shared" ca="1" si="55"/>
        <v>12.24</v>
      </c>
      <c r="G218" s="1099">
        <v>93671</v>
      </c>
      <c r="H218" s="1099" t="str">
        <f t="shared" si="53"/>
        <v>SINAPI</v>
      </c>
      <c r="I218" s="1098" t="str">
        <f>VLOOKUP($G218,IF(LEFT($G218,3)="CPU",COMPOSIÇÕES!$B$1:$E$4198,'BANCO DE DADOS JANEIRO-24 SERV'!$B$2:$F$7195),2,FALSE)</f>
        <v>DISJUNTOR TRIPOLAR TIPO DIN, CORRENTE NOMINAL DE 32A - FORNECIMENTO E INSTALAÇÃO. AF_10/2020</v>
      </c>
      <c r="J218" s="1099" t="str">
        <f>VLOOKUP($G218,IF(LEFT($G218,3)="CPU",COMPOSIÇÕES!$B$1:$E$4198,'BANCO DE DADOS JANEIRO-24 SERV'!$B$2:$F$7195),3,FALSE)</f>
        <v>UN</v>
      </c>
      <c r="K218" s="1193">
        <v>4</v>
      </c>
      <c r="L218" s="1190">
        <f>VLOOKUP($G218,IF(LEFT($G218,3)="CPU",COMPOSIÇÕES!$B$1:$E$4198,'BANCO DE DADOS JANEIRO-24 SERV'!$B$2:$F$7195),4,FALSE)</f>
        <v>75.75</v>
      </c>
      <c r="M218" s="1190">
        <f t="shared" si="54"/>
        <v>94.08</v>
      </c>
      <c r="N218" s="1191">
        <f t="shared" si="56"/>
        <v>376.32</v>
      </c>
      <c r="O218" s="337"/>
      <c r="P218" s="341"/>
      <c r="Q218" s="1625"/>
    </row>
    <row r="219" spans="1:17" s="338" customFormat="1" ht="30">
      <c r="A219" s="341">
        <f ca="1">IF(LEN(D219),OFFSET(A219,-1,0)+1,OFFSET(A219,-1,0))</f>
        <v>12</v>
      </c>
      <c r="B219" s="341">
        <f ca="1">IF(OR(C219=1,D219=1),SUMIF($A$21:A219,A219,$C$21:C219),"")</f>
        <v>25</v>
      </c>
      <c r="C219" s="341">
        <f>IF(G219&gt;0,1,"")</f>
        <v>1</v>
      </c>
      <c r="D219" s="662" t="str">
        <f>IF(AND(CONCATENATE(G219,I219,J219,K219,L219,M219,N219)=I219&amp;N219,CONCATENATE(G219,I219,J219,K219,L219,M219,N219)&lt;&gt;"",N219&lt;&gt;""),1,"")</f>
        <v/>
      </c>
      <c r="E219" s="662"/>
      <c r="F219" s="1188" t="str">
        <f ca="1">IF(B219&lt;&gt;"",A219&amp;"."&amp;B219,"")</f>
        <v>12.25</v>
      </c>
      <c r="G219" s="1099">
        <v>93670</v>
      </c>
      <c r="H219" s="1099" t="str">
        <f>IF(G219&gt;="CPU","PRÓPRIO","SINAPI")</f>
        <v>SINAPI</v>
      </c>
      <c r="I219" s="1098" t="str">
        <f>VLOOKUP($G219,IF(LEFT($G219,3)="CPU",COMPOSIÇÕES!$B$1:$E$4198,'BANCO DE DADOS JANEIRO-24 SERV'!$B$2:$F$7195),2,FALSE)</f>
        <v>DISJUNTOR TRIPOLAR TIPO DIN, CORRENTE NOMINAL DE 25A - FORNECIMENTO E INSTALAÇÃO. AF_10/2020</v>
      </c>
      <c r="J219" s="1099" t="str">
        <f>VLOOKUP($G219,IF(LEFT($G219,3)="CPU",COMPOSIÇÕES!$B$1:$E$4198,'BANCO DE DADOS JANEIRO-24 SERV'!$B$2:$F$7195),3,FALSE)</f>
        <v>UN</v>
      </c>
      <c r="K219" s="1193">
        <v>1</v>
      </c>
      <c r="L219" s="1190">
        <f>VLOOKUP($G219,IF(LEFT($G219,3)="CPU",COMPOSIÇÕES!$B$1:$E$4198,'BANCO DE DADOS JANEIRO-24 SERV'!$B$2:$F$7195),4,FALSE)</f>
        <v>71.22</v>
      </c>
      <c r="M219" s="1190">
        <f>IF($Q$2="OUTROS",TRUNC(L219*(1+$N$7),2),ROUND(L219*(1+$N$7),2))</f>
        <v>88.45</v>
      </c>
      <c r="N219" s="1191">
        <f>IF($Q$2="OUTROS",TRUNC(M219*K219,2),ROUND(M219*K219,2))</f>
        <v>88.45</v>
      </c>
      <c r="O219" s="337"/>
      <c r="P219" s="341"/>
      <c r="Q219" s="1625"/>
    </row>
    <row r="220" spans="1:17" s="338" customFormat="1" ht="30">
      <c r="A220" s="341">
        <f t="shared" ca="1" si="45"/>
        <v>12</v>
      </c>
      <c r="B220" s="341">
        <f ca="1">IF(OR(C220=1,D220=1),SUMIF($A$21:A220,A220,$C$21:C220),"")</f>
        <v>26</v>
      </c>
      <c r="C220" s="341">
        <f t="shared" si="46"/>
        <v>1</v>
      </c>
      <c r="D220" s="662" t="str">
        <f t="shared" si="47"/>
        <v/>
      </c>
      <c r="E220" s="662"/>
      <c r="F220" s="1188" t="str">
        <f t="shared" ca="1" si="55"/>
        <v>12.26</v>
      </c>
      <c r="G220" s="1099">
        <v>93672</v>
      </c>
      <c r="H220" s="1099" t="str">
        <f t="shared" si="53"/>
        <v>SINAPI</v>
      </c>
      <c r="I220" s="1098" t="str">
        <f>VLOOKUP($G220,IF(LEFT($G220,3)="CPU",COMPOSIÇÕES!$B$1:$E$4198,'BANCO DE DADOS JANEIRO-24 SERV'!$B$2:$F$7195),2,FALSE)</f>
        <v>DISJUNTOR TRIPOLAR TIPO DIN, CORRENTE NOMINAL DE 40A - FORNECIMENTO E INSTALAÇÃO. AF_10/2020</v>
      </c>
      <c r="J220" s="1099" t="str">
        <f>VLOOKUP($G220,IF(LEFT($G220,3)="CPU",COMPOSIÇÕES!$B$1:$E$4198,'BANCO DE DADOS JANEIRO-24 SERV'!$B$2:$F$7195),3,FALSE)</f>
        <v>UN</v>
      </c>
      <c r="K220" s="1193">
        <v>2</v>
      </c>
      <c r="L220" s="1190">
        <f>VLOOKUP($G220,IF(LEFT($G220,3)="CPU",COMPOSIÇÕES!$B$1:$E$4198,'BANCO DE DADOS JANEIRO-24 SERV'!$B$2:$F$7195),4,FALSE)</f>
        <v>82.63</v>
      </c>
      <c r="M220" s="1190">
        <f t="shared" si="54"/>
        <v>102.62</v>
      </c>
      <c r="N220" s="1191">
        <f t="shared" si="56"/>
        <v>205.24</v>
      </c>
      <c r="O220" s="337"/>
      <c r="P220" s="341"/>
      <c r="Q220" s="1625"/>
    </row>
    <row r="221" spans="1:17" s="338" customFormat="1" ht="30">
      <c r="A221" s="341">
        <f t="shared" ca="1" si="45"/>
        <v>12</v>
      </c>
      <c r="B221" s="341">
        <f ca="1">IF(OR(C221=1,D221=1),SUMIF($A$21:A221,A221,$C$21:C221),"")</f>
        <v>27</v>
      </c>
      <c r="C221" s="341">
        <f t="shared" si="46"/>
        <v>1</v>
      </c>
      <c r="D221" s="662" t="str">
        <f t="shared" si="47"/>
        <v/>
      </c>
      <c r="E221" s="662"/>
      <c r="F221" s="1188" t="str">
        <f t="shared" ca="1" si="55"/>
        <v>12.27</v>
      </c>
      <c r="G221" s="1099">
        <v>101896</v>
      </c>
      <c r="H221" s="1099" t="str">
        <f t="shared" si="53"/>
        <v>SINAPI</v>
      </c>
      <c r="I221" s="1098" t="str">
        <f>VLOOKUP($G221,IF(LEFT($G221,3)="CPU",COMPOSIÇÕES!$B$1:$E$4198,'BANCO DE DADOS JANEIRO-24 SERV'!$B$2:$F$7195),2,FALSE)</f>
        <v>DISJUNTOR TERMOMAGNÉTICO TRIPOLAR , CORRENTE NOMINAL DE 200A - FORNECIMENTO E INSTALAÇÃO. AF_10/2020</v>
      </c>
      <c r="J221" s="1099" t="str">
        <f>VLOOKUP($G221,IF(LEFT($G221,3)="CPU",COMPOSIÇÕES!$B$1:$E$4198,'BANCO DE DADOS JANEIRO-24 SERV'!$B$2:$F$7195),3,FALSE)</f>
        <v>UN</v>
      </c>
      <c r="K221" s="1219">
        <v>2</v>
      </c>
      <c r="L221" s="1190">
        <f>VLOOKUP($G221,IF(LEFT($G221,3)="CPU",COMPOSIÇÕES!$B$1:$E$4198,'BANCO DE DADOS JANEIRO-24 SERV'!$B$2:$F$7195),4,FALSE)</f>
        <v>588.09</v>
      </c>
      <c r="M221" s="1190">
        <f t="shared" si="54"/>
        <v>730.4</v>
      </c>
      <c r="N221" s="1191">
        <f t="shared" si="56"/>
        <v>1460.8</v>
      </c>
      <c r="O221" s="337"/>
      <c r="P221" s="341"/>
      <c r="Q221" s="1625"/>
    </row>
    <row r="222" spans="1:17" s="338" customFormat="1" ht="30">
      <c r="A222" s="341">
        <f t="shared" ca="1" si="45"/>
        <v>12</v>
      </c>
      <c r="B222" s="341">
        <f ca="1">IF(OR(C222=1,D222=1),SUMIF($A$21:A222,A222,$C$21:C222),"")</f>
        <v>28</v>
      </c>
      <c r="C222" s="341">
        <f t="shared" si="46"/>
        <v>1</v>
      </c>
      <c r="D222" s="662" t="str">
        <f t="shared" si="47"/>
        <v/>
      </c>
      <c r="E222" s="662"/>
      <c r="F222" s="1188" t="str">
        <f t="shared" ca="1" si="55"/>
        <v>12.28</v>
      </c>
      <c r="G222" s="1099" t="str">
        <f>'COMP. ELETRICO '!B77</f>
        <v>CPU ELE 007</v>
      </c>
      <c r="H222" s="1099" t="str">
        <f t="shared" si="53"/>
        <v>PRÓPRIO</v>
      </c>
      <c r="I222" s="1098" t="str">
        <f>VLOOKUP($G222,IF(LEFT($G222,3)="CPU",COMPOSIÇÕES!$B$1:$E$4198,'BANCO DE DADOS JANEIRO-24 SERV'!$B$2:$F$7195),2,FALSE)</f>
        <v>FORNECIMENTO E INSTALAÇÃO DE DISPOSITIVO DPS CLASSE II, 1 POLO, TENSÃO MAXIMA DE 175 V, CORRENTE MAXIMA DE 45 KA (TIPO AC)</v>
      </c>
      <c r="J222" s="1099" t="str">
        <f>VLOOKUP($G222,IF(LEFT($G222,3)="CPU",COMPOSIÇÕES!$B$1:$E$4198,'BANCO DE DADOS JANEIRO-24 SERV'!$B$2:$F$7195),3,FALSE)</f>
        <v>UN</v>
      </c>
      <c r="K222" s="1193">
        <v>39</v>
      </c>
      <c r="L222" s="1190">
        <f>VLOOKUP($G222,IF(LEFT($G222,3)="CPU",COMPOSIÇÕES!$B$1:$E$4198,'BANCO DE DADOS JANEIRO-24 SERV'!$B$2:$F$7195),4,FALSE)</f>
        <v>233.13</v>
      </c>
      <c r="M222" s="1190">
        <f t="shared" si="54"/>
        <v>289.54000000000002</v>
      </c>
      <c r="N222" s="1191">
        <f t="shared" si="56"/>
        <v>11292.06</v>
      </c>
      <c r="O222" s="337"/>
      <c r="P222" s="341"/>
      <c r="Q222" s="1625"/>
    </row>
    <row r="223" spans="1:17" s="338" customFormat="1" ht="30">
      <c r="A223" s="341">
        <f t="shared" ca="1" si="45"/>
        <v>12</v>
      </c>
      <c r="B223" s="341">
        <f ca="1">IF(OR(C223=1,D223=1),SUMIF($A$21:A223,A223,$C$21:C223),"")</f>
        <v>29</v>
      </c>
      <c r="C223" s="341">
        <f t="shared" si="46"/>
        <v>1</v>
      </c>
      <c r="D223" s="662" t="str">
        <f t="shared" si="47"/>
        <v/>
      </c>
      <c r="E223" s="662"/>
      <c r="F223" s="1188" t="str">
        <f t="shared" ca="1" si="55"/>
        <v>12.29</v>
      </c>
      <c r="G223" s="1099" t="str">
        <f>'COMP. ELETRICO '!B86</f>
        <v>CPU ELE 008</v>
      </c>
      <c r="H223" s="1099" t="str">
        <f t="shared" si="53"/>
        <v>PRÓPRIO</v>
      </c>
      <c r="I223" s="1098" t="str">
        <f>VLOOKUP($G223,IF(LEFT($G223,3)="CPU",COMPOSIÇÕES!$B$1:$E$4198,'BANCO DE DADOS JANEIRO-24 SERV'!$B$2:$F$7195),2,FALSE)</f>
        <v>DISPOSITIVO DR, 4 POLOS, SENSIBILIDADE DE 30 MA, CORRENTE DE 25 A, TIPO AC - FORNECIMENTO E INSTALAÇÃO</v>
      </c>
      <c r="J223" s="1099" t="str">
        <f>VLOOKUP($G223,IF(LEFT($G223,3)="CPU",COMPOSIÇÕES!$B$1:$E$4198,'BANCO DE DADOS JANEIRO-24 SERV'!$B$2:$F$7195),3,FALSE)</f>
        <v>UN</v>
      </c>
      <c r="K223" s="1193">
        <v>3</v>
      </c>
      <c r="L223" s="1190">
        <f>VLOOKUP($G223,IF(LEFT($G223,3)="CPU",COMPOSIÇÕES!$B$1:$E$4198,'BANCO DE DADOS JANEIRO-24 SERV'!$B$2:$F$7195),4,FALSE)</f>
        <v>151.75000000000003</v>
      </c>
      <c r="M223" s="1190">
        <f t="shared" si="54"/>
        <v>188.47</v>
      </c>
      <c r="N223" s="1191">
        <f t="shared" si="56"/>
        <v>565.41</v>
      </c>
      <c r="O223" s="337"/>
      <c r="P223" s="341"/>
      <c r="Q223" s="1625"/>
    </row>
    <row r="224" spans="1:17" s="338" customFormat="1" ht="30.75" thickBot="1">
      <c r="A224" s="341">
        <f t="shared" ca="1" si="45"/>
        <v>12</v>
      </c>
      <c r="B224" s="341">
        <f ca="1">IF(OR(C224=1,D224=1),SUMIF($A$21:A224,A224,$C$21:C224),"")</f>
        <v>30</v>
      </c>
      <c r="C224" s="341">
        <f t="shared" si="46"/>
        <v>1</v>
      </c>
      <c r="D224" s="662" t="str">
        <f t="shared" si="47"/>
        <v/>
      </c>
      <c r="E224" s="662"/>
      <c r="F224" s="1188" t="str">
        <f t="shared" ca="1" si="55"/>
        <v>12.30</v>
      </c>
      <c r="G224" s="1099" t="str">
        <f>'COMP. ELETRICO '!B95</f>
        <v>CPU ELE 009</v>
      </c>
      <c r="H224" s="1099" t="str">
        <f t="shared" si="53"/>
        <v>PRÓPRIO</v>
      </c>
      <c r="I224" s="1098" t="str">
        <f>VLOOKUP($G224,IF(LEFT($G224,3)="CPU",COMPOSIÇÕES!$B$1:$E$4198,'BANCO DE DADOS JANEIRO-24 SERV'!$B$2:$F$7195),2,FALSE)</f>
        <v>DISPOSITIVO DR, 4 POLOS, SENSIBILIDADE DE 30 MA, CORRENTE DE 40 A, TIPO AC - FORNECIMENTO E INSTALAÇÃO</v>
      </c>
      <c r="J224" s="1099" t="str">
        <f>VLOOKUP($G224,IF(LEFT($G224,3)="CPU",COMPOSIÇÕES!$B$1:$E$4198,'BANCO DE DADOS JANEIRO-24 SERV'!$B$2:$F$7195),3,FALSE)</f>
        <v>UN</v>
      </c>
      <c r="K224" s="1189">
        <v>6</v>
      </c>
      <c r="L224" s="1190">
        <f>VLOOKUP($G224,IF(LEFT($G224,3)="CPU",COMPOSIÇÕES!$B$1:$E$4198,'BANCO DE DADOS JANEIRO-24 SERV'!$B$2:$F$7195),4,FALSE)</f>
        <v>239.71</v>
      </c>
      <c r="M224" s="1190">
        <f t="shared" si="54"/>
        <v>297.70999999999998</v>
      </c>
      <c r="N224" s="1191">
        <f t="shared" si="56"/>
        <v>1786.26</v>
      </c>
      <c r="O224" s="337"/>
      <c r="P224" s="341"/>
      <c r="Q224" s="1625"/>
    </row>
    <row r="225" spans="1:17" s="256" customFormat="1" ht="16.5" thickBot="1">
      <c r="A225" s="341">
        <f ca="1">IF(LEN(D225),OFFSET(A225,-1,0)+1,OFFSET(A225,-1,0))</f>
        <v>12</v>
      </c>
      <c r="B225" s="341" t="str">
        <f>IF(OR(C225=1,D225=1),SUMIF($A$21:A225,A225,$C$21:C225),"")</f>
        <v/>
      </c>
      <c r="C225" s="341" t="str">
        <f>IF(G225&gt;0,1,"")</f>
        <v/>
      </c>
      <c r="D225" s="662" t="str">
        <f>IF(AND(CONCATENATE(G225,I225,J225,K225,L225,M225,N225)=I225&amp;N225,CONCATENATE(G225,I225,J225,K225,L225,M225,N225)&lt;&gt;"",N225&lt;&gt;""),1,"")</f>
        <v/>
      </c>
      <c r="E225" s="662"/>
      <c r="F225" s="164" t="str">
        <f>IF(B225&lt;&gt;"",A225&amp;"."&amp;B225,"")</f>
        <v/>
      </c>
      <c r="G225" s="158"/>
      <c r="H225" s="158"/>
      <c r="I225" s="159" t="s">
        <v>14145</v>
      </c>
      <c r="J225" s="160"/>
      <c r="K225" s="161"/>
      <c r="L225" s="162"/>
      <c r="M225" s="162"/>
      <c r="N225" s="163"/>
      <c r="O225" s="346"/>
      <c r="P225" s="375"/>
      <c r="Q225" s="1628"/>
    </row>
    <row r="226" spans="1:17" s="338" customFormat="1" ht="30">
      <c r="A226" s="341">
        <f t="shared" ca="1" si="45"/>
        <v>12</v>
      </c>
      <c r="B226" s="341">
        <f ca="1">IF(OR(C226=1,D226=1),SUMIF($A$21:A226,A226,$C$21:C226),"")</f>
        <v>31</v>
      </c>
      <c r="C226" s="341">
        <f t="shared" si="46"/>
        <v>1</v>
      </c>
      <c r="D226" s="662" t="str">
        <f t="shared" si="47"/>
        <v/>
      </c>
      <c r="E226" s="662"/>
      <c r="F226" s="1188" t="str">
        <f t="shared" ref="F226:F256" ca="1" si="57">IF(B226&lt;&gt;"",A226&amp;"."&amp;B226,"")</f>
        <v>12.31</v>
      </c>
      <c r="G226" s="1099">
        <v>91836</v>
      </c>
      <c r="H226" s="1099" t="str">
        <f t="shared" si="53"/>
        <v>SINAPI</v>
      </c>
      <c r="I226" s="1098" t="str">
        <f>VLOOKUP($G226,IF(LEFT($G226,3)="CPU",COMPOSIÇÕES!$B$1:$E$4198,'BANCO DE DADOS JANEIRO-24 SERV'!$B$2:$F$7195),2,FALSE)</f>
        <v>ELETRODUTO FLEXÍVEL CORRUGADO, PVC, DN 32 MM (1"), PARA CIRCUITOS TERMINAIS, INSTALADO EM FORRO - FORNECIMENTO E INSTALAÇÃO. AF_03/2023</v>
      </c>
      <c r="J226" s="1099" t="str">
        <f>VLOOKUP($G226,IF(LEFT($G226,3)="CPU",COMPOSIÇÕES!$B$1:$E$4198,'BANCO DE DADOS JANEIRO-24 SERV'!$B$2:$F$7195),3,FALSE)</f>
        <v>M</v>
      </c>
      <c r="K226" s="1189">
        <v>421.71</v>
      </c>
      <c r="L226" s="1190">
        <f>VLOOKUP($G226,IF(LEFT($G226,3)="CPU",COMPOSIÇÕES!$B$1:$E$4198,'BANCO DE DADOS JANEIRO-24 SERV'!$B$2:$F$7195),4,FALSE)</f>
        <v>20.350000000000001</v>
      </c>
      <c r="M226" s="1190">
        <f t="shared" si="54"/>
        <v>25.27</v>
      </c>
      <c r="N226" s="1191">
        <f t="shared" ref="N226:N231" si="58">IF($Q$2="OUTROS",TRUNC(M226*K226,2),ROUND(M226*K226,2))</f>
        <v>10656.61</v>
      </c>
      <c r="O226" s="337"/>
      <c r="P226" s="341"/>
      <c r="Q226" s="1625"/>
    </row>
    <row r="227" spans="1:17" s="338" customFormat="1" ht="30">
      <c r="A227" s="341">
        <f t="shared" ca="1" si="45"/>
        <v>12</v>
      </c>
      <c r="B227" s="341">
        <f ca="1">IF(OR(C227=1,D227=1),SUMIF($A$21:A227,A227,$C$21:C227),"")</f>
        <v>32</v>
      </c>
      <c r="C227" s="341">
        <f t="shared" si="46"/>
        <v>1</v>
      </c>
      <c r="D227" s="662" t="str">
        <f t="shared" si="47"/>
        <v/>
      </c>
      <c r="E227" s="662"/>
      <c r="F227" s="1188" t="str">
        <f t="shared" ca="1" si="57"/>
        <v>12.32</v>
      </c>
      <c r="G227" s="1099">
        <v>91854</v>
      </c>
      <c r="H227" s="1099" t="str">
        <f t="shared" si="53"/>
        <v>SINAPI</v>
      </c>
      <c r="I227" s="1098" t="str">
        <f>VLOOKUP($G227,IF(LEFT($G227,3)="CPU",COMPOSIÇÕES!$B$1:$E$4198,'BANCO DE DADOS JANEIRO-24 SERV'!$B$2:$F$7195),2,FALSE)</f>
        <v>ELETRODUTO FLEXÍVEL CORRUGADO, PVC, DN 25 MM (3/4"), PARA CIRCUITOS TERMINAIS, INSTALADO EM PAREDE - FORNECIMENTO E INSTALAÇÃO. AF_03/2023</v>
      </c>
      <c r="J227" s="1099" t="str">
        <f>VLOOKUP($G227,IF(LEFT($G227,3)="CPU",COMPOSIÇÕES!$B$1:$E$4198,'BANCO DE DADOS JANEIRO-24 SERV'!$B$2:$F$7195),3,FALSE)</f>
        <v>M</v>
      </c>
      <c r="K227" s="1189">
        <v>1227.1400000000001</v>
      </c>
      <c r="L227" s="1190">
        <f>VLOOKUP($G227,IF(LEFT($G227,3)="CPU",COMPOSIÇÕES!$B$1:$E$4198,'BANCO DE DADOS JANEIRO-24 SERV'!$B$2:$F$7195),4,FALSE)</f>
        <v>9.3800000000000008</v>
      </c>
      <c r="M227" s="1190">
        <f t="shared" si="54"/>
        <v>11.64</v>
      </c>
      <c r="N227" s="1191">
        <f t="shared" si="58"/>
        <v>14283.9</v>
      </c>
      <c r="O227" s="337"/>
      <c r="P227" s="341"/>
      <c r="Q227" s="1625"/>
    </row>
    <row r="228" spans="1:17" s="338" customFormat="1" ht="30">
      <c r="A228" s="341">
        <f t="shared" ca="1" si="45"/>
        <v>12</v>
      </c>
      <c r="B228" s="341">
        <f ca="1">IF(OR(C228=1,D228=1),SUMIF($A$21:A228,A228,$C$21:C228),"")</f>
        <v>33</v>
      </c>
      <c r="C228" s="341">
        <f t="shared" si="46"/>
        <v>1</v>
      </c>
      <c r="D228" s="662" t="str">
        <f t="shared" si="47"/>
        <v/>
      </c>
      <c r="E228" s="662"/>
      <c r="F228" s="1188" t="str">
        <f t="shared" ca="1" si="57"/>
        <v>12.33</v>
      </c>
      <c r="G228" s="1099">
        <v>97667</v>
      </c>
      <c r="H228" s="1099" t="str">
        <f>IF(G228&gt;="CPU","PRÓPRIO","SINAPI")</f>
        <v>SINAPI</v>
      </c>
      <c r="I228" s="1098" t="str">
        <f>VLOOKUP($G228,IF(LEFT($G228,3)="CPU",COMPOSIÇÕES!$B$1:$E$4198,'BANCO DE DADOS JANEIRO-24 SERV'!$B$2:$F$7195),2,FALSE)</f>
        <v>ELETRODUTO FLEXÍVEL CORRUGADO, PEAD, DN 50 (1 1/2"), PARA REDE ENTERRADA DE DISTRIBUIÇÃO DE ENERGIA ELÉTRICA - FORNECIMENTO E INSTALAÇÃO. AF_12/2021</v>
      </c>
      <c r="J228" s="1099" t="str">
        <f>VLOOKUP($G228,IF(LEFT($G228,3)="CPU",COMPOSIÇÕES!$B$1:$E$4198,'BANCO DE DADOS JANEIRO-24 SERV'!$B$2:$F$7195),3,FALSE)</f>
        <v>M</v>
      </c>
      <c r="K228" s="1189">
        <v>150.91999999999999</v>
      </c>
      <c r="L228" s="1190">
        <f>VLOOKUP($G228,IF(LEFT($G228,3)="CPU",COMPOSIÇÕES!$B$1:$E$4198,'BANCO DE DADOS JANEIRO-24 SERV'!$B$2:$F$7195),4,FALSE)</f>
        <v>7.5</v>
      </c>
      <c r="M228" s="1190">
        <f>IF($Q$2="OUTROS",TRUNC(L228*(1+$N$7),2),ROUND(L228*(1+$N$7),2))</f>
        <v>9.31</v>
      </c>
      <c r="N228" s="1191">
        <f t="shared" si="58"/>
        <v>1405.06</v>
      </c>
      <c r="O228" s="337"/>
      <c r="P228" s="341"/>
      <c r="Q228" s="1625"/>
    </row>
    <row r="229" spans="1:17" s="338" customFormat="1" ht="30">
      <c r="A229" s="341">
        <f t="shared" ca="1" si="45"/>
        <v>12</v>
      </c>
      <c r="B229" s="341">
        <f ca="1">IF(OR(C229=1,D229=1),SUMIF($A$21:A229,A229,$C$21:C229),"")</f>
        <v>34</v>
      </c>
      <c r="C229" s="341">
        <f t="shared" si="46"/>
        <v>1</v>
      </c>
      <c r="D229" s="662" t="str">
        <f t="shared" si="47"/>
        <v/>
      </c>
      <c r="E229" s="662"/>
      <c r="F229" s="1188" t="str">
        <f t="shared" ca="1" si="57"/>
        <v>12.34</v>
      </c>
      <c r="G229" s="1099">
        <v>91840</v>
      </c>
      <c r="H229" s="1099" t="str">
        <f>IF(G229&gt;="CPU","PRÓPRIO","SINAPI")</f>
        <v>SINAPI</v>
      </c>
      <c r="I229" s="1098" t="str">
        <f>VLOOKUP($G229,IF(LEFT($G229,3)="CPU",COMPOSIÇÕES!$B$1:$E$4198,'BANCO DE DADOS JANEIRO-24 SERV'!$B$2:$F$7195),2,FALSE)</f>
        <v>ELETRODUTO FLEXÍVEL CORRUGADO, PEAD, DN 40 MM (1 1/4"), PARA CIRCUITOS TERMINAIS, INSTALADO EM FORRO - FORNECIMENTO E INSTALAÇÃO. AF_03/2023</v>
      </c>
      <c r="J229" s="1099" t="str">
        <f>VLOOKUP($G229,IF(LEFT($G229,3)="CPU",COMPOSIÇÕES!$B$1:$E$4198,'BANCO DE DADOS JANEIRO-24 SERV'!$B$2:$F$7195),3,FALSE)</f>
        <v>M</v>
      </c>
      <c r="K229" s="1189">
        <v>71.45</v>
      </c>
      <c r="L229" s="1190">
        <f>VLOOKUP($G229,IF(LEFT($G229,3)="CPU",COMPOSIÇÕES!$B$1:$E$4198,'BANCO DE DADOS JANEIRO-24 SERV'!$B$2:$F$7195),4,FALSE)</f>
        <v>19.61</v>
      </c>
      <c r="M229" s="1190">
        <f>IF($Q$2="OUTROS",TRUNC(L229*(1+$N$7),2),ROUND(L229*(1+$N$7),2))</f>
        <v>24.35</v>
      </c>
      <c r="N229" s="1191">
        <f t="shared" si="58"/>
        <v>1739.8</v>
      </c>
      <c r="O229" s="337"/>
      <c r="P229" s="341"/>
      <c r="Q229" s="1625"/>
    </row>
    <row r="230" spans="1:17" s="338" customFormat="1" ht="30">
      <c r="A230" s="341">
        <f t="shared" ca="1" si="45"/>
        <v>12</v>
      </c>
      <c r="B230" s="341">
        <f ca="1">IF(OR(C230=1,D230=1),SUMIF($A$21:A230,A230,$C$21:C230),"")</f>
        <v>35</v>
      </c>
      <c r="C230" s="341">
        <f t="shared" si="46"/>
        <v>1</v>
      </c>
      <c r="D230" s="662" t="str">
        <f t="shared" si="47"/>
        <v/>
      </c>
      <c r="E230" s="662"/>
      <c r="F230" s="1188" t="str">
        <f t="shared" ca="1" si="57"/>
        <v>12.35</v>
      </c>
      <c r="G230" s="1099">
        <v>97668</v>
      </c>
      <c r="H230" s="1099" t="str">
        <f>IF(G230&gt;="CPU","PRÓPRIO","SINAPI")</f>
        <v>SINAPI</v>
      </c>
      <c r="I230" s="1098" t="str">
        <f>VLOOKUP($G230,IF(LEFT($G230,3)="CPU",COMPOSIÇÕES!$B$1:$E$4198,'BANCO DE DADOS JANEIRO-24 SERV'!$B$2:$F$7195),2,FALSE)</f>
        <v>ELETRODUTO FLEXÍVEL CORRUGADO, PEAD, DN 63 (2"), PARA REDE ENTERRADA DE DISTRIBUIÇÃO DE ENERGIA ELÉTRICA - FORNECIMENTO E INSTALAÇÃO. AF_12/2021</v>
      </c>
      <c r="J230" s="1099" t="str">
        <f>VLOOKUP($G230,IF(LEFT($G230,3)="CPU",COMPOSIÇÕES!$B$1:$E$4198,'BANCO DE DADOS JANEIRO-24 SERV'!$B$2:$F$7195),3,FALSE)</f>
        <v>M</v>
      </c>
      <c r="K230" s="1189">
        <v>130.13999999999999</v>
      </c>
      <c r="L230" s="1190">
        <f>VLOOKUP($G230,IF(LEFT($G230,3)="CPU",COMPOSIÇÕES!$B$1:$E$4198,'BANCO DE DADOS JANEIRO-24 SERV'!$B$2:$F$7195),4,FALSE)</f>
        <v>10.69</v>
      </c>
      <c r="M230" s="1190">
        <f>IF($Q$2="OUTROS",TRUNC(L230*(1+$N$7),2),ROUND(L230*(1+$N$7),2))</f>
        <v>13.27</v>
      </c>
      <c r="N230" s="1191">
        <f t="shared" si="58"/>
        <v>1726.95</v>
      </c>
      <c r="O230" s="337"/>
      <c r="P230" s="341"/>
      <c r="Q230" s="1625"/>
    </row>
    <row r="231" spans="1:17" s="338" customFormat="1" ht="30.75" thickBot="1">
      <c r="A231" s="341">
        <f t="shared" ca="1" si="45"/>
        <v>12</v>
      </c>
      <c r="B231" s="341">
        <f ca="1">IF(OR(C231=1,D231=1),SUMIF($A$21:A231,A231,$C$21:C231),"")</f>
        <v>36</v>
      </c>
      <c r="C231" s="341">
        <f t="shared" si="46"/>
        <v>1</v>
      </c>
      <c r="D231" s="662" t="str">
        <f t="shared" si="47"/>
        <v/>
      </c>
      <c r="E231" s="662"/>
      <c r="F231" s="1188" t="str">
        <f t="shared" ca="1" si="57"/>
        <v>12.36</v>
      </c>
      <c r="G231" s="1099">
        <v>97669</v>
      </c>
      <c r="H231" s="1099" t="str">
        <f>IF(G231&gt;="CPU","PRÓPRIO","SINAPI")</f>
        <v>SINAPI</v>
      </c>
      <c r="I231" s="1098" t="str">
        <f>VLOOKUP($G231,IF(LEFT($G231,3)="CPU",COMPOSIÇÕES!$B$1:$E$4198,'BANCO DE DADOS JANEIRO-24 SERV'!$B$2:$F$7195),2,FALSE)</f>
        <v>ELETRODUTO FLEXÍVEL CORRUGADO, PEAD, DN 90 (3"), PARA REDE ENTERRADA DE DISTRIBUIÇÃO DE ENERGIA ELÉTRICA - FORNECIMENTO E INSTALAÇÃO. AF_12/2021</v>
      </c>
      <c r="J231" s="1099" t="str">
        <f>VLOOKUP($G231,IF(LEFT($G231,3)="CPU",COMPOSIÇÕES!$B$1:$E$4198,'BANCO DE DADOS JANEIRO-24 SERV'!$B$2:$F$7195),3,FALSE)</f>
        <v>M</v>
      </c>
      <c r="K231" s="1193">
        <v>27.04</v>
      </c>
      <c r="L231" s="1190">
        <f>VLOOKUP($G231,IF(LEFT($G231,3)="CPU",COMPOSIÇÕES!$B$1:$E$4198,'BANCO DE DADOS JANEIRO-24 SERV'!$B$2:$F$7195),4,FALSE)</f>
        <v>15.88</v>
      </c>
      <c r="M231" s="1190">
        <f>IF($Q$2="OUTROS",TRUNC(L231*(1+$N$7),2),ROUND(L231*(1+$N$7),2))</f>
        <v>19.72</v>
      </c>
      <c r="N231" s="1191">
        <f t="shared" si="58"/>
        <v>533.22</v>
      </c>
      <c r="O231" s="337"/>
      <c r="P231" s="341"/>
      <c r="Q231" s="1625"/>
    </row>
    <row r="232" spans="1:17" s="256" customFormat="1" ht="16.5" thickBot="1">
      <c r="A232" s="341">
        <f t="shared" ca="1" si="45"/>
        <v>12</v>
      </c>
      <c r="B232" s="341" t="str">
        <f>IF(OR(C232=1,D232=1),SUMIF($A$21:A232,A232,$C$21:C232),"")</f>
        <v/>
      </c>
      <c r="C232" s="341" t="str">
        <f t="shared" si="46"/>
        <v/>
      </c>
      <c r="D232" s="662" t="str">
        <f t="shared" si="47"/>
        <v/>
      </c>
      <c r="E232" s="662"/>
      <c r="F232" s="164" t="str">
        <f t="shared" si="57"/>
        <v/>
      </c>
      <c r="G232" s="158"/>
      <c r="H232" s="158"/>
      <c r="I232" s="159" t="s">
        <v>14146</v>
      </c>
      <c r="J232" s="160"/>
      <c r="K232" s="161"/>
      <c r="L232" s="162"/>
      <c r="M232" s="162"/>
      <c r="N232" s="163"/>
      <c r="O232" s="346"/>
      <c r="P232" s="375"/>
      <c r="Q232" s="1628"/>
    </row>
    <row r="233" spans="1:17" s="338" customFormat="1" ht="16.5" thickBot="1">
      <c r="A233" s="341">
        <f t="shared" ca="1" si="45"/>
        <v>12</v>
      </c>
      <c r="B233" s="341">
        <f ca="1">IF(OR(C233=1,D233=1),SUMIF($A$21:A233,A233,$C$21:C233),"")</f>
        <v>37</v>
      </c>
      <c r="C233" s="341">
        <f t="shared" si="46"/>
        <v>1</v>
      </c>
      <c r="D233" s="662" t="str">
        <f t="shared" si="47"/>
        <v/>
      </c>
      <c r="E233" s="662"/>
      <c r="F233" s="1188" t="str">
        <f t="shared" ca="1" si="57"/>
        <v>12.37</v>
      </c>
      <c r="G233" s="1099" t="str">
        <f>'COMP. ELETRICO '!B105</f>
        <v>CPU ELE 010</v>
      </c>
      <c r="H233" s="1099" t="str">
        <f>IF(G233&gt;="CPU","PRÓPRIO","SINAPI")</f>
        <v>PRÓPRIO</v>
      </c>
      <c r="I233" s="1098" t="str">
        <f>VLOOKUP($G233,IF(LEFT($G233,3)="CPU",COMPOSIÇÕES!$B$1:$E$4198,'BANCO DE DADOS JANEIRO-24 SERV'!$B$2:$F$7195),2,FALSE)</f>
        <v>LUMINARIA LUZ EMERGENCIA LED  12 V</v>
      </c>
      <c r="J233" s="1099" t="str">
        <f>VLOOKUP($G233,IF(LEFT($G233,3)="CPU",COMPOSIÇÕES!$B$1:$E$4198,'BANCO DE DADOS JANEIRO-24 SERV'!$B$2:$F$7195),3,FALSE)</f>
        <v>UN</v>
      </c>
      <c r="K233" s="1193">
        <v>26</v>
      </c>
      <c r="L233" s="1190">
        <f>VLOOKUP($G233,IF(LEFT($G233,3)="CPU",COMPOSIÇÕES!$B$1:$E$4198,'BANCO DE DADOS JANEIRO-24 SERV'!$B$2:$F$7195),4,FALSE)</f>
        <v>229.55</v>
      </c>
      <c r="M233" s="1190">
        <f>IF($Q$2="OUTROS",TRUNC(L233*(1+$N$7),2),ROUND(L233*(1+$N$7),2))</f>
        <v>285.10000000000002</v>
      </c>
      <c r="N233" s="1191">
        <f>IF($Q$2="OUTROS",TRUNC(M233*K233,2),ROUND(M233*K233,2))</f>
        <v>7412.6</v>
      </c>
      <c r="O233" s="337"/>
      <c r="P233" s="341"/>
      <c r="Q233" s="1625"/>
    </row>
    <row r="234" spans="1:17" s="256" customFormat="1" ht="19.5" customHeight="1" thickBot="1">
      <c r="A234" s="341">
        <f ca="1">IF(LEN(D234),OFFSET(A234,-1,0)+1,OFFSET(A234,-1,0))</f>
        <v>12</v>
      </c>
      <c r="B234" s="341" t="str">
        <f>IF(OR(C234=1,D234=1),SUMIF($A$21:A234,A234,$C$21:C234),"")</f>
        <v/>
      </c>
      <c r="C234" s="341" t="str">
        <f>IF(G234&gt;0,1,"")</f>
        <v/>
      </c>
      <c r="D234" s="662" t="str">
        <f>IF(AND(CONCATENATE(G234,I234,J234,K234,L234,M234,N234)=I234&amp;N234,CONCATENATE(G234,I234,J234,K234,L234,M234,N234)&lt;&gt;"",N234&lt;&gt;""),1,"")</f>
        <v/>
      </c>
      <c r="E234" s="662"/>
      <c r="F234" s="164" t="str">
        <f>IF(B234&lt;&gt;"",A234&amp;"."&amp;B234,"")</f>
        <v/>
      </c>
      <c r="G234" s="158"/>
      <c r="H234" s="158"/>
      <c r="I234" s="159" t="s">
        <v>14149</v>
      </c>
      <c r="J234" s="160"/>
      <c r="K234" s="161"/>
      <c r="L234" s="162"/>
      <c r="M234" s="162"/>
      <c r="N234" s="163"/>
      <c r="O234" s="346"/>
      <c r="P234" s="375"/>
      <c r="Q234" s="1628"/>
    </row>
    <row r="235" spans="1:17" s="338" customFormat="1" ht="30">
      <c r="A235" s="341">
        <f t="shared" ca="1" si="45"/>
        <v>12</v>
      </c>
      <c r="B235" s="341">
        <f ca="1">IF(OR(C235=1,D235=1),SUMIF($A$21:A235,A235,$C$21:C235),"")</f>
        <v>38</v>
      </c>
      <c r="C235" s="341">
        <f t="shared" si="46"/>
        <v>1</v>
      </c>
      <c r="D235" s="662" t="str">
        <f t="shared" si="47"/>
        <v/>
      </c>
      <c r="E235" s="662"/>
      <c r="F235" s="1188" t="str">
        <f t="shared" ca="1" si="57"/>
        <v>12.38</v>
      </c>
      <c r="G235" s="1099" t="str">
        <f>'COMP. ELETRICO '!B121</f>
        <v>CPU ELE 011</v>
      </c>
      <c r="H235" s="1099" t="str">
        <f>IF(G235&gt;="CPU","PRÓPRIO","SINAPI")</f>
        <v>PRÓPRIO</v>
      </c>
      <c r="I235" s="1098" t="str">
        <f>VLOOKUP($G235,IF(LEFT($G235,3)="CPU",COMPOSIÇÕES!$B$1:$E$4198,'BANCO DE DADOS JANEIRO-24 SERV'!$B$2:$F$7195),2,FALSE)</f>
        <v>LUMINÁRIA PARA 1 LAMPADA LED DE 18W, BASE G13, EM CHAPA DE AÇO, INCLUSO LAMPADA. INSTALAÇÃO E FORNECIMENTO.</v>
      </c>
      <c r="J235" s="1099" t="str">
        <f>VLOOKUP($G235,IF(LEFT($G235,3)="CPU",COMPOSIÇÕES!$B$1:$E$4198,'BANCO DE DADOS JANEIRO-24 SERV'!$B$2:$F$7195),3,FALSE)</f>
        <v>UN</v>
      </c>
      <c r="K235" s="1193">
        <v>8</v>
      </c>
      <c r="L235" s="1190">
        <f>VLOOKUP($G235,IF(LEFT($G235,3)="CPU",COMPOSIÇÕES!$B$1:$E$4198,'BANCO DE DADOS JANEIRO-24 SERV'!$B$2:$F$7195),4,FALSE)</f>
        <v>66.34</v>
      </c>
      <c r="M235" s="1190">
        <f>IF($Q$2="OUTROS",TRUNC(L235*(1+$N$7),2),ROUND(L235*(1+$N$7),2))</f>
        <v>82.39</v>
      </c>
      <c r="N235" s="1191">
        <f>IF($Q$2="OUTROS",TRUNC(M235*K235,2),ROUND(M235*K235,2))</f>
        <v>659.12</v>
      </c>
      <c r="O235" s="337"/>
      <c r="P235" s="341"/>
      <c r="Q235" s="1625"/>
    </row>
    <row r="236" spans="1:17" s="338" customFormat="1" ht="30.75" thickBot="1">
      <c r="A236" s="341">
        <f t="shared" ca="1" si="45"/>
        <v>12</v>
      </c>
      <c r="B236" s="341">
        <f ca="1">IF(OR(C236=1,D236=1),SUMIF($A$21:A236,A236,$C$21:C236),"")</f>
        <v>39</v>
      </c>
      <c r="C236" s="341">
        <f t="shared" si="46"/>
        <v>1</v>
      </c>
      <c r="D236" s="662" t="str">
        <f t="shared" si="47"/>
        <v/>
      </c>
      <c r="E236" s="662"/>
      <c r="F236" s="1188" t="str">
        <f t="shared" ca="1" si="57"/>
        <v>12.39</v>
      </c>
      <c r="G236" s="1099" t="str">
        <f>'COMP. ELETRICO '!B41</f>
        <v>CPU ELE 003</v>
      </c>
      <c r="H236" s="1099" t="str">
        <f>IF(G236&gt;="CPU","PRÓPRIO","SINAPI")</f>
        <v>PRÓPRIO</v>
      </c>
      <c r="I236" s="1098" t="str">
        <f>VLOOKUP($G236,IF(LEFT($G236,3)="CPU",COMPOSIÇÕES!$B$1:$E$4198,'BANCO DE DADOS JANEIRO-24 SERV'!$B$2:$F$7195),2,FALSE)</f>
        <v>FORNECIMENTO E INSTALAÇÃO DE LUMINÁRIA HERMÉTICA IP-65 PARA, COM DUAS LÂMPADAS TUBULARES DE LED DE 20W</v>
      </c>
      <c r="J236" s="1099" t="str">
        <f>VLOOKUP($G236,IF(LEFT($G236,3)="CPU",COMPOSIÇÕES!$B$1:$E$4198,'BANCO DE DADOS JANEIRO-24 SERV'!$B$2:$F$7195),3,FALSE)</f>
        <v>UN</v>
      </c>
      <c r="K236" s="1193">
        <v>135</v>
      </c>
      <c r="L236" s="1190">
        <f>VLOOKUP($G236,IF(LEFT($G236,3)="CPU",COMPOSIÇÕES!$B$1:$E$4198,'BANCO DE DADOS JANEIRO-24 SERV'!$B$2:$F$7195),4,FALSE)</f>
        <v>214.01999999999998</v>
      </c>
      <c r="M236" s="1190">
        <f>IF($Q$2="OUTROS",TRUNC(L236*(1+$N$7),2),ROUND(L236*(1+$N$7),2))</f>
        <v>265.81</v>
      </c>
      <c r="N236" s="1191">
        <f>IF($Q$2="OUTROS",TRUNC(M236*K236,2),ROUND(M236*K236,2))</f>
        <v>35884.35</v>
      </c>
      <c r="O236" s="337"/>
      <c r="P236" s="341"/>
      <c r="Q236" s="1625"/>
    </row>
    <row r="237" spans="1:17" s="256" customFormat="1" ht="19.5" customHeight="1" thickBot="1">
      <c r="A237" s="341">
        <f t="shared" ca="1" si="45"/>
        <v>12</v>
      </c>
      <c r="B237" s="341" t="str">
        <f>IF(OR(C237=1,D237=1),SUMIF($A$21:A237,A237,$C$21:C237),"")</f>
        <v/>
      </c>
      <c r="C237" s="341" t="str">
        <f t="shared" si="46"/>
        <v/>
      </c>
      <c r="D237" s="662" t="str">
        <f t="shared" si="47"/>
        <v/>
      </c>
      <c r="E237" s="662"/>
      <c r="F237" s="164" t="str">
        <f t="shared" si="57"/>
        <v/>
      </c>
      <c r="G237" s="158"/>
      <c r="H237" s="158"/>
      <c r="I237" s="159" t="s">
        <v>14430</v>
      </c>
      <c r="J237" s="160"/>
      <c r="K237" s="161"/>
      <c r="L237" s="162"/>
      <c r="M237" s="162"/>
      <c r="N237" s="163"/>
      <c r="O237" s="346"/>
      <c r="P237" s="375"/>
      <c r="Q237" s="1628"/>
    </row>
    <row r="238" spans="1:17" s="338" customFormat="1" ht="30">
      <c r="A238" s="341">
        <f t="shared" ref="A238:A243" ca="1" si="59">IF(LEN(D238),OFFSET(A238,-1,0)+1,OFFSET(A238,-1,0))</f>
        <v>12</v>
      </c>
      <c r="B238" s="341">
        <f ca="1">IF(OR(C238=1,D238=1),SUMIF($A$21:A238,A238,$C$21:C238),"")</f>
        <v>40</v>
      </c>
      <c r="C238" s="341">
        <f t="shared" ref="C238:C243" si="60">IF(G238&gt;0,1,"")</f>
        <v>1</v>
      </c>
      <c r="D238" s="662" t="str">
        <f t="shared" ref="D238:D243" si="61">IF(AND(CONCATENATE(G238,I238,J238,K238,L238,M238,N238)=I238&amp;N238,CONCATENATE(G238,I238,J238,K238,L238,M238,N238)&lt;&gt;"",N238&lt;&gt;""),1,"")</f>
        <v/>
      </c>
      <c r="E238" s="662"/>
      <c r="F238" s="1188" t="str">
        <f t="shared" ref="F238:F243" ca="1" si="62">IF(B238&lt;&gt;"",A238&amp;"."&amp;B238,"")</f>
        <v>12.40</v>
      </c>
      <c r="G238" s="1099">
        <v>91942</v>
      </c>
      <c r="H238" s="1099" t="str">
        <f t="shared" ref="H238:H243" si="63">IF(G238&gt;="CPU","PRÓPRIO","SINAPI")</f>
        <v>SINAPI</v>
      </c>
      <c r="I238" s="1098" t="str">
        <f>VLOOKUP($G238,IF(LEFT($G238,3)="CPU",COMPOSIÇÕES!$B$1:$E$4198,'BANCO DE DADOS JANEIRO-24 SERV'!$B$2:$F$7195),2,FALSE)</f>
        <v>CAIXA RETANGULAR 4" X 4" ALTA (2,00 M DO PISO), PVC, INSTALADA EM PAREDE - FORNECIMENTO E INSTALAÇÃO. AF_03/2023</v>
      </c>
      <c r="J238" s="1099" t="str">
        <f>VLOOKUP($G238,IF(LEFT($G238,3)="CPU",COMPOSIÇÕES!$B$1:$E$4198,'BANCO DE DADOS JANEIRO-24 SERV'!$B$2:$F$7195),3,FALSE)</f>
        <v>UN</v>
      </c>
      <c r="K238" s="1189">
        <v>15</v>
      </c>
      <c r="L238" s="1190">
        <f>VLOOKUP($G238,IF(LEFT($G238,3)="CPU",COMPOSIÇÕES!$B$1:$E$4198,'BANCO DE DADOS JANEIRO-24 SERV'!$B$2:$F$7195),4,FALSE)</f>
        <v>33.75</v>
      </c>
      <c r="M238" s="1190">
        <f t="shared" ref="M238:M243" si="64">IF($Q$2="OUTROS",TRUNC(L238*(1+$N$7),2),ROUND(L238*(1+$N$7),2))</f>
        <v>41.91</v>
      </c>
      <c r="N238" s="1191">
        <f t="shared" ref="N238:N243" si="65">IF($Q$2="OUTROS",TRUNC(M238*K238,2),ROUND(M238*K238,2))</f>
        <v>628.65</v>
      </c>
      <c r="O238" s="337"/>
      <c r="P238" s="341"/>
      <c r="Q238" s="1625"/>
    </row>
    <row r="239" spans="1:17" s="338" customFormat="1" ht="30">
      <c r="A239" s="341">
        <f t="shared" ca="1" si="59"/>
        <v>12</v>
      </c>
      <c r="B239" s="341">
        <f ca="1">IF(OR(C239=1,D239=1),SUMIF($A$21:A239,A239,$C$21:C239),"")</f>
        <v>41</v>
      </c>
      <c r="C239" s="341">
        <f t="shared" si="60"/>
        <v>1</v>
      </c>
      <c r="D239" s="662" t="str">
        <f t="shared" si="61"/>
        <v/>
      </c>
      <c r="E239" s="662"/>
      <c r="F239" s="1188" t="str">
        <f t="shared" ca="1" si="62"/>
        <v>12.41</v>
      </c>
      <c r="G239" s="1099">
        <v>91944</v>
      </c>
      <c r="H239" s="1099" t="str">
        <f t="shared" si="63"/>
        <v>SINAPI</v>
      </c>
      <c r="I239" s="1098" t="str">
        <f>VLOOKUP($G239,IF(LEFT($G239,3)="CPU",COMPOSIÇÕES!$B$1:$E$4198,'BANCO DE DADOS JANEIRO-24 SERV'!$B$2:$F$7195),2,FALSE)</f>
        <v>CAIXA RETANGULAR 4" X 4" BAIXA (0,30 M DO PISO), PVC, INSTALADA EM PAREDE - FORNECIMENTO E INSTALAÇÃO. AF_03/2023</v>
      </c>
      <c r="J239" s="1099" t="str">
        <f>VLOOKUP($G239,IF(LEFT($G239,3)="CPU",COMPOSIÇÕES!$B$1:$E$4198,'BANCO DE DADOS JANEIRO-24 SERV'!$B$2:$F$7195),3,FALSE)</f>
        <v>UN</v>
      </c>
      <c r="K239" s="1189">
        <v>15</v>
      </c>
      <c r="L239" s="1190">
        <f>VLOOKUP($G239,IF(LEFT($G239,3)="CPU",COMPOSIÇÕES!$B$1:$E$4198,'BANCO DE DADOS JANEIRO-24 SERV'!$B$2:$F$7195),4,FALSE)</f>
        <v>14.29</v>
      </c>
      <c r="M239" s="1190">
        <f t="shared" si="64"/>
        <v>17.739999999999998</v>
      </c>
      <c r="N239" s="1191">
        <f t="shared" si="65"/>
        <v>266.10000000000002</v>
      </c>
      <c r="O239" s="337"/>
      <c r="P239" s="341"/>
      <c r="Q239" s="1625"/>
    </row>
    <row r="240" spans="1:17" s="338" customFormat="1" ht="30">
      <c r="A240" s="341">
        <f t="shared" ca="1" si="59"/>
        <v>12</v>
      </c>
      <c r="B240" s="341">
        <f ca="1">IF(OR(C240=1,D240=1),SUMIF($A$21:A240,A240,$C$21:C240),"")</f>
        <v>42</v>
      </c>
      <c r="C240" s="341">
        <f t="shared" si="60"/>
        <v>1</v>
      </c>
      <c r="D240" s="662" t="str">
        <f t="shared" si="61"/>
        <v/>
      </c>
      <c r="E240" s="662"/>
      <c r="F240" s="1188" t="str">
        <f t="shared" ca="1" si="62"/>
        <v>12.42</v>
      </c>
      <c r="G240" s="1099" t="str">
        <f>'COMPOSIÇÃO CIVIL'!B137</f>
        <v>CPU CIV 008</v>
      </c>
      <c r="H240" s="1099" t="str">
        <f t="shared" si="63"/>
        <v>PRÓPRIO</v>
      </c>
      <c r="I240" s="1098" t="str">
        <f>VLOOKUP($G240,IF(LEFT($G240,3)="CPU",COMPOSIÇÕES!$B$1:$E$4198,'BANCO DE DADOS JANEIRO-24 SERV'!$B$2:$F$7195),2,FALSE)</f>
        <v xml:space="preserve">CABO HDMI 15M BLINDADO 2.0 ETHERNET 4K ULTRA HD 3D 2160P FORNECIMENTO E INSTALAÇÃO </v>
      </c>
      <c r="J240" s="1099" t="str">
        <f>VLOOKUP($G240,IF(LEFT($G240,3)="CPU",COMPOSIÇÕES!$B$1:$E$4198,'BANCO DE DADOS JANEIRO-24 SERV'!$B$2:$F$7195),3,FALSE)</f>
        <v>M</v>
      </c>
      <c r="K240" s="1189">
        <v>90</v>
      </c>
      <c r="L240" s="1190">
        <f>VLOOKUP($G240,IF(LEFT($G240,3)="CPU",COMPOSIÇÕES!$B$1:$E$4198,'BANCO DE DADOS JANEIRO-24 SERV'!$B$2:$F$7195),4,FALSE)</f>
        <v>152.57</v>
      </c>
      <c r="M240" s="1190">
        <f t="shared" si="64"/>
        <v>189.49</v>
      </c>
      <c r="N240" s="1191">
        <f t="shared" si="65"/>
        <v>17054.099999999999</v>
      </c>
      <c r="O240" s="337"/>
      <c r="P240" s="341"/>
      <c r="Q240" s="1625"/>
    </row>
    <row r="241" spans="1:17" s="338" customFormat="1" ht="15.75">
      <c r="A241" s="341">
        <f t="shared" ca="1" si="59"/>
        <v>12</v>
      </c>
      <c r="B241" s="341">
        <f ca="1">IF(OR(C241=1,D241=1),SUMIF($A$21:A241,A241,$C$21:C241),"")</f>
        <v>43</v>
      </c>
      <c r="C241" s="341">
        <f t="shared" si="60"/>
        <v>1</v>
      </c>
      <c r="D241" s="662" t="str">
        <f t="shared" si="61"/>
        <v/>
      </c>
      <c r="E241" s="662"/>
      <c r="F241" s="1188" t="str">
        <f t="shared" ca="1" si="62"/>
        <v>12.43</v>
      </c>
      <c r="G241" s="1099" t="str">
        <f>'COMPOSIÇÃO CIVIL'!B152</f>
        <v>CPU CIV 009</v>
      </c>
      <c r="H241" s="1099" t="str">
        <f t="shared" si="63"/>
        <v>PRÓPRIO</v>
      </c>
      <c r="I241" s="1098" t="str">
        <f>VLOOKUP($G241,IF(LEFT($G241,3)="CPU",COMPOSIÇÕES!$B$1:$E$4198,'BANCO DE DADOS JANEIRO-24 SERV'!$B$2:$F$7195),2,FALSE)</f>
        <v xml:space="preserve">CABO HDMI 2.0 BLINDADO - 2,0 M FORNECIMENTO E INSTALAÇÃO </v>
      </c>
      <c r="J241" s="1099" t="str">
        <f>VLOOKUP($G241,IF(LEFT($G241,3)="CPU",COMPOSIÇÕES!$B$1:$E$4198,'BANCO DE DADOS JANEIRO-24 SERV'!$B$2:$F$7195),3,FALSE)</f>
        <v>UN</v>
      </c>
      <c r="K241" s="1189">
        <v>15</v>
      </c>
      <c r="L241" s="1190">
        <f>VLOOKUP($G241,IF(LEFT($G241,3)="CPU",COMPOSIÇÕES!$B$1:$E$4198,'BANCO DE DADOS JANEIRO-24 SERV'!$B$2:$F$7195),4,FALSE)</f>
        <v>57.96</v>
      </c>
      <c r="M241" s="1190">
        <f t="shared" si="64"/>
        <v>71.98</v>
      </c>
      <c r="N241" s="1191">
        <f t="shared" si="65"/>
        <v>1079.7</v>
      </c>
      <c r="O241" s="337"/>
      <c r="P241" s="341"/>
      <c r="Q241" s="1625"/>
    </row>
    <row r="242" spans="1:17" s="338" customFormat="1" ht="15.75">
      <c r="A242" s="341">
        <f t="shared" ca="1" si="59"/>
        <v>12</v>
      </c>
      <c r="B242" s="341">
        <f ca="1">IF(OR(C242=1,D242=1),SUMIF($A$21:A242,A242,$C$21:C242),"")</f>
        <v>44</v>
      </c>
      <c r="C242" s="341">
        <f t="shared" si="60"/>
        <v>1</v>
      </c>
      <c r="D242" s="662" t="str">
        <f t="shared" si="61"/>
        <v/>
      </c>
      <c r="E242" s="662"/>
      <c r="F242" s="1188" t="str">
        <f t="shared" ca="1" si="62"/>
        <v>12.44</v>
      </c>
      <c r="G242" s="1099" t="str">
        <f>'COMPOSIÇÃO CIVIL'!B168</f>
        <v>CPU CIV 010</v>
      </c>
      <c r="H242" s="1099" t="str">
        <f t="shared" si="63"/>
        <v>PRÓPRIO</v>
      </c>
      <c r="I242" s="1098" t="str">
        <f>VLOOKUP($G242,IF(LEFT($G242,3)="CPU",COMPOSIÇÕES!$B$1:$E$4198,'BANCO DE DADOS JANEIRO-24 SERV'!$B$2:$F$7195),2,FALSE)</f>
        <v xml:space="preserve">CABO USB 2.0 MACHO  FORNECIMENTO E INSTALAÇÃO </v>
      </c>
      <c r="J242" s="1099" t="str">
        <f>VLOOKUP($G242,IF(LEFT($G242,3)="CPU",COMPOSIÇÕES!$B$1:$E$4198,'BANCO DE DADOS JANEIRO-24 SERV'!$B$2:$F$7195),3,FALSE)</f>
        <v>M</v>
      </c>
      <c r="K242" s="1189">
        <f>105+30</f>
        <v>135</v>
      </c>
      <c r="L242" s="1190">
        <f>VLOOKUP($G242,IF(LEFT($G242,3)="CPU",COMPOSIÇÕES!$B$1:$E$4198,'BANCO DE DADOS JANEIRO-24 SERV'!$B$2:$F$7195),4,FALSE)</f>
        <v>22.26</v>
      </c>
      <c r="M242" s="1190">
        <f t="shared" si="64"/>
        <v>27.64</v>
      </c>
      <c r="N242" s="1191">
        <f t="shared" si="65"/>
        <v>3731.4</v>
      </c>
      <c r="O242" s="337"/>
      <c r="P242" s="341"/>
      <c r="Q242" s="1625"/>
    </row>
    <row r="243" spans="1:17" s="338" customFormat="1" ht="15.75">
      <c r="A243" s="341">
        <f t="shared" ca="1" si="59"/>
        <v>12</v>
      </c>
      <c r="B243" s="341">
        <f ca="1">IF(OR(C243=1,D243=1),SUMIF($A$21:A243,A243,$C$21:C243),"")</f>
        <v>45</v>
      </c>
      <c r="C243" s="341">
        <f t="shared" si="60"/>
        <v>1</v>
      </c>
      <c r="D243" s="662" t="str">
        <f t="shared" si="61"/>
        <v/>
      </c>
      <c r="E243" s="662"/>
      <c r="F243" s="1188" t="str">
        <f t="shared" ca="1" si="62"/>
        <v>12.45</v>
      </c>
      <c r="G243" s="1099" t="str">
        <f>'COMPOSIÇÃO CIVIL'!B183</f>
        <v>CPU CIV 011</v>
      </c>
      <c r="H243" s="1099" t="str">
        <f t="shared" si="63"/>
        <v>PRÓPRIO</v>
      </c>
      <c r="I243" s="1098" t="str">
        <f>VLOOKUP($G243,IF(LEFT($G243,3)="CPU",COMPOSIÇÕES!$B$1:$E$4198,'BANCO DE DADOS JANEIRO-24 SERV'!$B$2:$F$7195),2,FALSE)</f>
        <v xml:space="preserve">ADAPTADOR HDMI EM L  FORNECIMENTO E INSTALAÇÃO </v>
      </c>
      <c r="J243" s="1099" t="str">
        <f>VLOOKUP($G243,IF(LEFT($G243,3)="CPU",COMPOSIÇÕES!$B$1:$E$4198,'BANCO DE DADOS JANEIRO-24 SERV'!$B$2:$F$7195),3,FALSE)</f>
        <v>UN</v>
      </c>
      <c r="K243" s="1193">
        <v>15</v>
      </c>
      <c r="L243" s="1190">
        <f>VLOOKUP($G243,IF(LEFT($G243,3)="CPU",COMPOSIÇÕES!$B$1:$E$4198,'BANCO DE DADOS JANEIRO-24 SERV'!$B$2:$F$7195),4,FALSE)</f>
        <v>35.06</v>
      </c>
      <c r="M243" s="1190">
        <f t="shared" si="64"/>
        <v>43.54</v>
      </c>
      <c r="N243" s="1191">
        <f t="shared" si="65"/>
        <v>653.1</v>
      </c>
      <c r="O243" s="337"/>
      <c r="P243" s="341"/>
      <c r="Q243" s="1625"/>
    </row>
    <row r="244" spans="1:17" s="338" customFormat="1" ht="15.75">
      <c r="A244" s="341">
        <f t="shared" ref="A244:A250" ca="1" si="66">IF(LEN(D244),OFFSET(A244,-1,0)+1,OFFSET(A244,-1,0))</f>
        <v>12</v>
      </c>
      <c r="B244" s="341">
        <f ca="1">IF(OR(C244=1,D244=1),SUMIF($A$21:A244,A244,$C$21:C244),"")</f>
        <v>46</v>
      </c>
      <c r="C244" s="341">
        <f t="shared" ref="C244:C250" si="67">IF(G244&gt;0,1,"")</f>
        <v>1</v>
      </c>
      <c r="D244" s="662" t="str">
        <f t="shared" ref="D244:D250" si="68">IF(AND(CONCATENATE(G244,I244,J244,K244,L244,M244,N244)=I244&amp;N244,CONCATENATE(G244,I244,J244,K244,L244,M244,N244)&lt;&gt;"",N244&lt;&gt;""),1,"")</f>
        <v/>
      </c>
      <c r="E244" s="662"/>
      <c r="F244" s="1188" t="str">
        <f t="shared" ref="F244:F250" ca="1" si="69">IF(B244&lt;&gt;"",A244&amp;"."&amp;B244,"")</f>
        <v>12.46</v>
      </c>
      <c r="G244" s="1099" t="str">
        <f>'COMPOSIÇÃO CIVIL'!B198</f>
        <v>CPU CIV 012</v>
      </c>
      <c r="H244" s="1099" t="str">
        <f t="shared" ref="H244:H250" si="70">IF(G244&gt;="CPU","PRÓPRIO","SINAPI")</f>
        <v>PRÓPRIO</v>
      </c>
      <c r="I244" s="1098" t="str">
        <f>VLOOKUP($G244,IF(LEFT($G244,3)="CPU",COMPOSIÇÕES!$B$1:$E$4198,'BANCO DE DADOS JANEIRO-24 SERV'!$B$2:$F$7195),2,FALSE)</f>
        <v xml:space="preserve">ADAPTADOR USB EM L  FORNECIMENTO E INSTALAÇÃO </v>
      </c>
      <c r="J244" s="1099" t="str">
        <f>VLOOKUP($G244,IF(LEFT($G244,3)="CPU",COMPOSIÇÕES!$B$1:$E$4198,'BANCO DE DADOS JANEIRO-24 SERV'!$B$2:$F$7195),3,FALSE)</f>
        <v>UN</v>
      </c>
      <c r="K244" s="1189">
        <v>15</v>
      </c>
      <c r="L244" s="1190">
        <f>VLOOKUP($G244,IF(LEFT($G244,3)="CPU",COMPOSIÇÕES!$B$1:$E$4198,'BANCO DE DADOS JANEIRO-24 SERV'!$B$2:$F$7195),4,FALSE)</f>
        <v>36.79</v>
      </c>
      <c r="M244" s="1190">
        <f t="shared" ref="M244:M250" si="71">IF($Q$2="OUTROS",TRUNC(L244*(1+$N$7),2),ROUND(L244*(1+$N$7),2))</f>
        <v>45.69</v>
      </c>
      <c r="N244" s="1191">
        <f t="shared" ref="N244:N250" si="72">IF($Q$2="OUTROS",TRUNC(M244*K244,2),ROUND(M244*K244,2))</f>
        <v>685.35</v>
      </c>
      <c r="O244" s="337"/>
      <c r="P244" s="341"/>
      <c r="Q244" s="1625"/>
    </row>
    <row r="245" spans="1:17" s="338" customFormat="1" ht="45">
      <c r="A245" s="341">
        <f t="shared" ca="1" si="66"/>
        <v>12</v>
      </c>
      <c r="B245" s="341">
        <f ca="1">IF(OR(C245=1,D245=1),SUMIF($A$21:A245,A245,$C$21:C245),"")</f>
        <v>47</v>
      </c>
      <c r="C245" s="341">
        <f t="shared" si="67"/>
        <v>1</v>
      </c>
      <c r="D245" s="662" t="str">
        <f t="shared" si="68"/>
        <v/>
      </c>
      <c r="E245" s="662"/>
      <c r="F245" s="1188" t="str">
        <f t="shared" ca="1" si="69"/>
        <v>12.47</v>
      </c>
      <c r="G245" s="1099">
        <v>91857</v>
      </c>
      <c r="H245" s="1099" t="str">
        <f t="shared" si="70"/>
        <v>SINAPI</v>
      </c>
      <c r="I245" s="1098" t="str">
        <f>VLOOKUP($G245,IF(LEFT($G245,3)="CPU",COMPOSIÇÕES!$B$1:$E$4198,'BANCO DE DADOS JANEIRO-24 SERV'!$B$2:$F$7195),2,FALSE)</f>
        <v>ELETRODUTO FLEXÍVEL CORRUGADO REFORÇADO, PVC, DN 32 MM (1"), PARA CIRCUITOS TERMINAIS, INSTALADO EM PAREDE - FORNECIMENTO E INSTALAÇÃO. AF_03/2023</v>
      </c>
      <c r="J245" s="1099" t="str">
        <f>VLOOKUP($G245,IF(LEFT($G245,3)="CPU",COMPOSIÇÕES!$B$1:$E$4198,'BANCO DE DADOS JANEIRO-24 SERV'!$B$2:$F$7195),3,FALSE)</f>
        <v>M</v>
      </c>
      <c r="K245" s="1189">
        <v>75</v>
      </c>
      <c r="L245" s="1190">
        <f>VLOOKUP($G245,IF(LEFT($G245,3)="CPU",COMPOSIÇÕES!$B$1:$E$4198,'BANCO DE DADOS JANEIRO-24 SERV'!$B$2:$F$7195),4,FALSE)</f>
        <v>15.67</v>
      </c>
      <c r="M245" s="1190">
        <f t="shared" si="71"/>
        <v>19.46</v>
      </c>
      <c r="N245" s="1191">
        <f t="shared" si="72"/>
        <v>1459.5</v>
      </c>
      <c r="O245" s="337"/>
      <c r="P245" s="341"/>
      <c r="Q245" s="1625"/>
    </row>
    <row r="246" spans="1:17" s="338" customFormat="1" ht="45">
      <c r="A246" s="341">
        <f t="shared" ca="1" si="66"/>
        <v>12</v>
      </c>
      <c r="B246" s="341">
        <f ca="1">IF(OR(C246=1,D246=1),SUMIF($A$21:A246,A246,$C$21:C246),"")</f>
        <v>48</v>
      </c>
      <c r="C246" s="341">
        <f t="shared" si="67"/>
        <v>1</v>
      </c>
      <c r="D246" s="662" t="str">
        <f t="shared" si="68"/>
        <v/>
      </c>
      <c r="E246" s="662"/>
      <c r="F246" s="1188" t="str">
        <f t="shared" ca="1" si="69"/>
        <v>12.48</v>
      </c>
      <c r="G246" s="1099">
        <v>91855</v>
      </c>
      <c r="H246" s="1099" t="str">
        <f t="shared" si="70"/>
        <v>SINAPI</v>
      </c>
      <c r="I246" s="1098" t="str">
        <f>VLOOKUP($G246,IF(LEFT($G246,3)="CPU",COMPOSIÇÕES!$B$1:$E$4198,'BANCO DE DADOS JANEIRO-24 SERV'!$B$2:$F$7195),2,FALSE)</f>
        <v>ELETRODUTO FLEXÍVEL CORRUGADO REFORÇADO, PVC, DN 25 MM (3/4"), PARA CIRCUITOS TERMINAIS, INSTALADO EM PAREDE - FORNECIMENTO E INSTALAÇÃO. AF_03/2023</v>
      </c>
      <c r="J246" s="1099" t="str">
        <f>VLOOKUP($G246,IF(LEFT($G246,3)="CPU",COMPOSIÇÕES!$B$1:$E$4198,'BANCO DE DADOS JANEIRO-24 SERV'!$B$2:$F$7195),3,FALSE)</f>
        <v>M</v>
      </c>
      <c r="K246" s="1189">
        <v>75</v>
      </c>
      <c r="L246" s="1190">
        <f>VLOOKUP($G246,IF(LEFT($G246,3)="CPU",COMPOSIÇÕES!$B$1:$E$4198,'BANCO DE DADOS JANEIRO-24 SERV'!$B$2:$F$7195),4,FALSE)</f>
        <v>10.89</v>
      </c>
      <c r="M246" s="1190">
        <f t="shared" si="71"/>
        <v>13.52</v>
      </c>
      <c r="N246" s="1191">
        <f t="shared" si="72"/>
        <v>1014</v>
      </c>
      <c r="O246" s="337"/>
      <c r="P246" s="341"/>
      <c r="Q246" s="1625"/>
    </row>
    <row r="247" spans="1:17" s="338" customFormat="1" ht="30">
      <c r="A247" s="341">
        <f t="shared" ca="1" si="66"/>
        <v>12</v>
      </c>
      <c r="B247" s="341">
        <f ca="1">IF(OR(C247=1,D247=1),SUMIF($A$21:A247,A247,$C$21:C247),"")</f>
        <v>49</v>
      </c>
      <c r="C247" s="341">
        <f t="shared" si="67"/>
        <v>1</v>
      </c>
      <c r="D247" s="662" t="str">
        <f t="shared" si="68"/>
        <v/>
      </c>
      <c r="E247" s="662"/>
      <c r="F247" s="1188" t="str">
        <f t="shared" ca="1" si="69"/>
        <v>12.49</v>
      </c>
      <c r="G247" s="1099">
        <v>91926</v>
      </c>
      <c r="H247" s="1099" t="str">
        <f t="shared" si="70"/>
        <v>SINAPI</v>
      </c>
      <c r="I247" s="1098" t="str">
        <f>VLOOKUP($G247,IF(LEFT($G247,3)="CPU",COMPOSIÇÕES!$B$1:$E$4198,'BANCO DE DADOS JANEIRO-24 SERV'!$B$2:$F$7195),2,FALSE)</f>
        <v>CABO DE COBRE FLEXÍVEL ISOLADO, 2,5 MM², ANTI-CHAMA 450/750 V, PARA CIRCUITOS TERMINAIS - FORNECIMENTO E INSTALAÇÃO. AF_03/2023</v>
      </c>
      <c r="J247" s="1099" t="str">
        <f>VLOOKUP($G247,IF(LEFT($G247,3)="CPU",COMPOSIÇÕES!$B$1:$E$4198,'BANCO DE DADOS JANEIRO-24 SERV'!$B$2:$F$7195),3,FALSE)</f>
        <v>M</v>
      </c>
      <c r="K247" s="1189">
        <v>270</v>
      </c>
      <c r="L247" s="1190">
        <f>VLOOKUP($G247,IF(LEFT($G247,3)="CPU",COMPOSIÇÕES!$B$1:$E$4198,'BANCO DE DADOS JANEIRO-24 SERV'!$B$2:$F$7195),4,FALSE)</f>
        <v>4.0199999999999996</v>
      </c>
      <c r="M247" s="1190">
        <f t="shared" si="71"/>
        <v>4.99</v>
      </c>
      <c r="N247" s="1191">
        <f t="shared" si="72"/>
        <v>1347.3</v>
      </c>
      <c r="O247" s="337"/>
      <c r="P247" s="341"/>
      <c r="Q247" s="1625"/>
    </row>
    <row r="248" spans="1:17" s="338" customFormat="1" ht="45">
      <c r="A248" s="341">
        <f t="shared" ca="1" si="66"/>
        <v>12</v>
      </c>
      <c r="B248" s="341">
        <f ca="1">IF(OR(C248=1,D248=1),SUMIF($A$21:A248,A248,$C$21:C248),"")</f>
        <v>50</v>
      </c>
      <c r="C248" s="341">
        <f t="shared" si="67"/>
        <v>1</v>
      </c>
      <c r="D248" s="662" t="str">
        <f t="shared" si="68"/>
        <v/>
      </c>
      <c r="E248" s="662"/>
      <c r="F248" s="1188" t="str">
        <f t="shared" ca="1" si="69"/>
        <v>12.50</v>
      </c>
      <c r="G248" s="1099">
        <v>91222</v>
      </c>
      <c r="H248" s="1099" t="str">
        <f t="shared" si="70"/>
        <v>SINAPI</v>
      </c>
      <c r="I248" s="1098" t="str">
        <f>VLOOKUP($G248,IF(LEFT($G248,3)="CPU",COMPOSIÇÕES!$B$1:$E$4198,'BANCO DE DADOS JANEIRO-24 SERV'!$B$2:$F$7195),2,FALSE)</f>
        <v>RASGO LINEAR MANUAL EM ALVENARIA, PARA RAMAIS/ DISTRIBUIÇÃO DE INSTALAÇÕES HIDRÁULICAS, DIÂMETROS MAIORES QUE 40 MM E MENORES OU IGUAIS A 75 MM. AF_09/2023</v>
      </c>
      <c r="J248" s="1099" t="str">
        <f>VLOOKUP($G248,IF(LEFT($G248,3)="CPU",COMPOSIÇÕES!$B$1:$E$4198,'BANCO DE DADOS JANEIRO-24 SERV'!$B$2:$F$7195),3,FALSE)</f>
        <v>M</v>
      </c>
      <c r="K248" s="1189">
        <v>75</v>
      </c>
      <c r="L248" s="1190">
        <f>VLOOKUP($G248,IF(LEFT($G248,3)="CPU",COMPOSIÇÕES!$B$1:$E$4198,'BANCO DE DADOS JANEIRO-24 SERV'!$B$2:$F$7195),4,FALSE)</f>
        <v>8.19</v>
      </c>
      <c r="M248" s="1190">
        <f t="shared" si="71"/>
        <v>10.17</v>
      </c>
      <c r="N248" s="1191">
        <f t="shared" si="72"/>
        <v>762.75</v>
      </c>
      <c r="O248" s="337"/>
      <c r="P248" s="341"/>
      <c r="Q248" s="1625"/>
    </row>
    <row r="249" spans="1:17" s="338" customFormat="1" ht="45">
      <c r="A249" s="341">
        <f t="shared" ca="1" si="66"/>
        <v>12</v>
      </c>
      <c r="B249" s="341">
        <f ca="1">IF(OR(C249=1,D249=1),SUMIF($A$21:A249,A249,$C$21:C249),"")</f>
        <v>51</v>
      </c>
      <c r="C249" s="341">
        <f t="shared" si="67"/>
        <v>1</v>
      </c>
      <c r="D249" s="662" t="str">
        <f t="shared" si="68"/>
        <v/>
      </c>
      <c r="E249" s="662"/>
      <c r="F249" s="1188" t="str">
        <f t="shared" ca="1" si="69"/>
        <v>12.51</v>
      </c>
      <c r="G249" s="1099">
        <v>90467</v>
      </c>
      <c r="H249" s="1099" t="str">
        <f t="shared" si="70"/>
        <v>SINAPI</v>
      </c>
      <c r="I249" s="1098" t="str">
        <f>VLOOKUP($G249,IF(LEFT($G249,3)="CPU",COMPOSIÇÕES!$B$1:$E$4198,'BANCO DE DADOS JANEIRO-24 SERV'!$B$2:$F$7195),2,FALSE)</f>
        <v>CHUMBAMENTO LINEAR EM ALVENARIA PARA RAMAIS/DISTRIBUIÇÃO DE INSTALAÇÕES HIDRÁULICAS COM DIÂMETROS MAIORES QUE 40 MM E MENORES OU IGUAIS A 75 MM. AF_09/2023</v>
      </c>
      <c r="J249" s="1099" t="str">
        <f>VLOOKUP($G249,IF(LEFT($G249,3)="CPU",COMPOSIÇÕES!$B$1:$E$4198,'BANCO DE DADOS JANEIRO-24 SERV'!$B$2:$F$7195),3,FALSE)</f>
        <v>M</v>
      </c>
      <c r="K249" s="1189">
        <v>75</v>
      </c>
      <c r="L249" s="1190">
        <f>VLOOKUP($G249,IF(LEFT($G249,3)="CPU",COMPOSIÇÕES!$B$1:$E$4198,'BANCO DE DADOS JANEIRO-24 SERV'!$B$2:$F$7195),4,FALSE)</f>
        <v>22.23</v>
      </c>
      <c r="M249" s="1190">
        <f t="shared" si="71"/>
        <v>27.6</v>
      </c>
      <c r="N249" s="1191">
        <f t="shared" si="72"/>
        <v>2070</v>
      </c>
      <c r="O249" s="337"/>
      <c r="P249" s="341"/>
      <c r="Q249" s="1625"/>
    </row>
    <row r="250" spans="1:17" s="338" customFormat="1" ht="30.75" thickBot="1">
      <c r="A250" s="341">
        <f t="shared" ca="1" si="66"/>
        <v>12</v>
      </c>
      <c r="B250" s="341">
        <f ca="1">IF(OR(C250=1,D250=1),SUMIF($A$21:A250,A250,$C$21:C250),"")</f>
        <v>52</v>
      </c>
      <c r="C250" s="341">
        <f t="shared" si="67"/>
        <v>1</v>
      </c>
      <c r="D250" s="662" t="str">
        <f t="shared" si="68"/>
        <v/>
      </c>
      <c r="E250" s="662"/>
      <c r="F250" s="1188" t="str">
        <f t="shared" ca="1" si="69"/>
        <v>12.52</v>
      </c>
      <c r="G250" s="1099" t="str">
        <f>'COMPOSIÇÃO CIVIL'!B213</f>
        <v>CPU CIV 013</v>
      </c>
      <c r="H250" s="1099" t="str">
        <f t="shared" si="70"/>
        <v>PRÓPRIO</v>
      </c>
      <c r="I250" s="1098" t="str">
        <f>VLOOKUP($G250,IF(LEFT($G250,3)="CPU",COMPOSIÇÕES!$B$1:$E$4198,'BANCO DE DADOS JANEIRO-24 SERV'!$B$2:$F$7195),2,FALSE)</f>
        <v>TOMADA BAIXA DE EMBUTIR (2 MÓDULOS), 2P+T 10 A + MODULO HDMI E USB, SEM SUPORTE E SEM PLACA - FORNECIMENTO E INSTALAÇÃO.</v>
      </c>
      <c r="J250" s="1099" t="str">
        <f>VLOOKUP($G250,IF(LEFT($G250,3)="CPU",COMPOSIÇÕES!$B$1:$E$4198,'BANCO DE DADOS JANEIRO-24 SERV'!$B$2:$F$7195),3,FALSE)</f>
        <v>UN</v>
      </c>
      <c r="K250" s="1193">
        <v>30</v>
      </c>
      <c r="L250" s="1190">
        <f>VLOOKUP($G250,IF(LEFT($G250,3)="CPU",COMPOSIÇÕES!$B$1:$E$4198,'BANCO DE DADOS JANEIRO-24 SERV'!$B$2:$F$7195),4,FALSE)</f>
        <v>315.60000000000002</v>
      </c>
      <c r="M250" s="1190">
        <f t="shared" si="71"/>
        <v>391.97</v>
      </c>
      <c r="N250" s="1191">
        <f t="shared" si="72"/>
        <v>11759.1</v>
      </c>
      <c r="O250" s="337"/>
      <c r="P250" s="341"/>
      <c r="Q250" s="1625"/>
    </row>
    <row r="251" spans="1:17" s="256" customFormat="1" ht="19.5" customHeight="1" thickBot="1">
      <c r="A251" s="341">
        <f t="shared" ca="1" si="45"/>
        <v>12</v>
      </c>
      <c r="B251" s="341" t="str">
        <f>IF(OR(C251=1,D251=1),SUMIF($A$21:A251,A251,$C$21:C251),"")</f>
        <v/>
      </c>
      <c r="C251" s="341" t="str">
        <f t="shared" si="46"/>
        <v/>
      </c>
      <c r="D251" s="662" t="str">
        <f t="shared" si="47"/>
        <v/>
      </c>
      <c r="E251" s="662"/>
      <c r="F251" s="164" t="str">
        <f t="shared" si="57"/>
        <v/>
      </c>
      <c r="G251" s="158"/>
      <c r="H251" s="158"/>
      <c r="I251" s="159" t="s">
        <v>14152</v>
      </c>
      <c r="J251" s="160"/>
      <c r="K251" s="161"/>
      <c r="L251" s="162"/>
      <c r="M251" s="162"/>
      <c r="N251" s="163"/>
      <c r="O251" s="346"/>
      <c r="P251" s="375"/>
      <c r="Q251" s="1628"/>
    </row>
    <row r="252" spans="1:17" s="338" customFormat="1" ht="30.75" thickBot="1">
      <c r="A252" s="341">
        <f t="shared" ca="1" si="45"/>
        <v>12</v>
      </c>
      <c r="B252" s="341">
        <f ca="1">IF(OR(C252=1,D252=1),SUMIF($A$21:A252,A252,$C$21:C252),"")</f>
        <v>53</v>
      </c>
      <c r="C252" s="341">
        <f t="shared" si="46"/>
        <v>1</v>
      </c>
      <c r="D252" s="662" t="str">
        <f t="shared" si="47"/>
        <v/>
      </c>
      <c r="E252" s="662"/>
      <c r="F252" s="1188" t="str">
        <f t="shared" ca="1" si="57"/>
        <v>12.53</v>
      </c>
      <c r="G252" s="1099" t="str">
        <f>'COMP. ELETRICO '!B25</f>
        <v>CPU ELE 002</v>
      </c>
      <c r="H252" s="1099" t="str">
        <f>IF(G252&gt;="CPU","PRÓPRIO","SINAPI")</f>
        <v>PRÓPRIO</v>
      </c>
      <c r="I252" s="1098" t="str">
        <f>VLOOKUP($G252,IF(LEFT($G252,3)="CPU",COMPOSIÇÕES!$B$1:$E$4198,'BANCO DE DADOS JANEIRO-24 SERV'!$B$2:$F$7195),2,FALSE)</f>
        <v>FORNECIMENTO E INSTALAÇAO DE PADRÃO DE ENTRADA DE ENERGIA CATEGORIA "T6" (ENERGISA)</v>
      </c>
      <c r="J252" s="1099" t="str">
        <f>VLOOKUP($G252,IF(LEFT($G252,3)="CPU",COMPOSIÇÕES!$B$1:$E$4198,'BANCO DE DADOS JANEIRO-24 SERV'!$B$2:$F$7195),3,FALSE)</f>
        <v>UN</v>
      </c>
      <c r="K252" s="1193">
        <v>1</v>
      </c>
      <c r="L252" s="1190">
        <f>VLOOKUP($G252,IF(LEFT($G252,3)="CPU",COMPOSIÇÕES!$B$1:$E$4198,'BANCO DE DADOS JANEIRO-24 SERV'!$B$2:$F$7195),4,FALSE)</f>
        <v>14718.24</v>
      </c>
      <c r="M252" s="1190">
        <f>IF($Q$2="OUTROS",TRUNC(L252*(1+$N$7),2),ROUND(L252*(1+$N$7),2))</f>
        <v>18280.05</v>
      </c>
      <c r="N252" s="1191">
        <f>IF($Q$2="OUTROS",TRUNC(M252*K252,2),ROUND(M252*K252,2))</f>
        <v>18280.05</v>
      </c>
      <c r="O252" s="337"/>
      <c r="P252" s="341"/>
      <c r="Q252" s="1625"/>
    </row>
    <row r="253" spans="1:17" s="256" customFormat="1" ht="19.5" customHeight="1" thickBot="1">
      <c r="A253" s="341">
        <f ca="1">IF(LEN(D253),OFFSET(A253,-1,0)+1,OFFSET(A253,-1,0))</f>
        <v>12</v>
      </c>
      <c r="B253" s="341" t="str">
        <f>IF(OR(C253=1,D253=1),SUMIF($A$21:A253,A253,$C$21:C253),"")</f>
        <v/>
      </c>
      <c r="C253" s="341" t="str">
        <f>IF(G253&gt;0,1,"")</f>
        <v/>
      </c>
      <c r="D253" s="662" t="str">
        <f>IF(AND(CONCATENATE(G253,I253,J253,K253,L253,M253,N253)=I253&amp;N253,CONCATENATE(G253,I253,J253,K253,L253,M253,N253)&lt;&gt;"",N253&lt;&gt;""),1,"")</f>
        <v/>
      </c>
      <c r="E253" s="662"/>
      <c r="F253" s="164" t="str">
        <f>IF(B253&lt;&gt;"",A253&amp;"."&amp;B253,"")</f>
        <v/>
      </c>
      <c r="G253" s="158"/>
      <c r="H253" s="158"/>
      <c r="I253" s="159" t="s">
        <v>14153</v>
      </c>
      <c r="J253" s="160"/>
      <c r="K253" s="161"/>
      <c r="L253" s="162"/>
      <c r="M253" s="162"/>
      <c r="N253" s="163"/>
      <c r="O253" s="346"/>
      <c r="P253" s="375"/>
      <c r="Q253" s="1628"/>
    </row>
    <row r="254" spans="1:17" s="338" customFormat="1" ht="45">
      <c r="A254" s="341">
        <f t="shared" ca="1" si="45"/>
        <v>12</v>
      </c>
      <c r="B254" s="341">
        <f ca="1">IF(OR(C254=1,D254=1),SUMIF($A$21:A254,A254,$C$21:C254),"")</f>
        <v>54</v>
      </c>
      <c r="C254" s="341">
        <f t="shared" si="46"/>
        <v>1</v>
      </c>
      <c r="D254" s="662" t="str">
        <f t="shared" si="47"/>
        <v/>
      </c>
      <c r="E254" s="662"/>
      <c r="F254" s="1188" t="str">
        <f t="shared" ca="1" si="57"/>
        <v>12.54</v>
      </c>
      <c r="G254" s="1099">
        <v>101875</v>
      </c>
      <c r="H254" s="1099" t="str">
        <f>IF(G254&gt;="CPU","PRÓPRIO","SINAPI")</f>
        <v>SINAPI</v>
      </c>
      <c r="I254" s="1098" t="str">
        <f>VLOOKUP($G254,IF(LEFT($G254,3)="CPU",COMPOSIÇÕES!$B$1:$E$4198,'BANCO DE DADOS JANEIRO-24 SERV'!$B$2:$F$7195),2,FALSE)</f>
        <v>QUADRO DE DISTRIBUIÇÃO DE ENERGIA EM CHAPA DE AÇO GALVANIZADO, DE EMBUTIR, COM BARRAMENTO TRIFÁSICO, PARA 12 DISJUNTORES DIN 100A - FORNECIMENTO E INSTALAÇÃO. AF_10/2020</v>
      </c>
      <c r="J254" s="1099" t="str">
        <f>VLOOKUP($G254,IF(LEFT($G254,3)="CPU",COMPOSIÇÕES!$B$1:$E$4198,'BANCO DE DADOS JANEIRO-24 SERV'!$B$2:$F$7195),3,FALSE)</f>
        <v>UN</v>
      </c>
      <c r="K254" s="1193">
        <v>2</v>
      </c>
      <c r="L254" s="1190">
        <f>VLOOKUP($G254,IF(LEFT($G254,3)="CPU",COMPOSIÇÕES!$B$1:$E$4198,'BANCO DE DADOS JANEIRO-24 SERV'!$B$2:$F$7195),4,FALSE)</f>
        <v>453.44</v>
      </c>
      <c r="M254" s="1190">
        <f>IF($Q$2="OUTROS",TRUNC(L254*(1+$N$7),2),ROUND(L254*(1+$N$7),2))</f>
        <v>563.16999999999996</v>
      </c>
      <c r="N254" s="1191">
        <f>IF($Q$2="OUTROS",TRUNC(M254*K254,2),ROUND(M254*K254,2))</f>
        <v>1126.3399999999999</v>
      </c>
      <c r="O254" s="337"/>
      <c r="P254" s="341"/>
      <c r="Q254" s="1625"/>
    </row>
    <row r="255" spans="1:17" s="338" customFormat="1" ht="30">
      <c r="A255" s="341">
        <f t="shared" ca="1" si="45"/>
        <v>12</v>
      </c>
      <c r="B255" s="341">
        <f ca="1">IF(OR(C255=1,D255=1),SUMIF($A$21:A255,A255,$C$21:C255),"")</f>
        <v>55</v>
      </c>
      <c r="C255" s="341">
        <f t="shared" si="46"/>
        <v>1</v>
      </c>
      <c r="D255" s="662" t="str">
        <f t="shared" si="47"/>
        <v/>
      </c>
      <c r="E255" s="662"/>
      <c r="F255" s="1188" t="str">
        <f t="shared" ca="1" si="57"/>
        <v>12.55</v>
      </c>
      <c r="G255" s="1192" t="str">
        <f>'COMP. ELETRICO '!B131</f>
        <v>CPU ELE 012</v>
      </c>
      <c r="H255" s="1099" t="str">
        <f>IF(G255&gt;="CPU","PRÓPRIO","SINAPI")</f>
        <v>PRÓPRIO</v>
      </c>
      <c r="I255" s="1098" t="str">
        <f>VLOOKUP($G255,IF(LEFT($G255,3)="CPU",COMPOSIÇÕES!$B$1:$E$4198,'BANCO DE DADOS JANEIRO-24 SERV'!$B$2:$F$7195),2,FALSE)</f>
        <v>QUADRO DE DISTRIBUIÇÃO TRIFÁSICO, EM PVC, PARA 36 DISJUNTORES DIN, SOBREPOR. INSTALAÇÃO E FORNECIMENTO.</v>
      </c>
      <c r="J255" s="1099" t="str">
        <f>VLOOKUP($G255,IF(LEFT($G255,3)="CPU",COMPOSIÇÕES!$B$1:$E$4198,'BANCO DE DADOS JANEIRO-24 SERV'!$B$2:$F$7195),3,FALSE)</f>
        <v>UN</v>
      </c>
      <c r="K255" s="1219">
        <v>8</v>
      </c>
      <c r="L255" s="1190">
        <f>VLOOKUP($G255,IF(LEFT($G255,3)="CPU",COMPOSIÇÕES!$B$1:$E$4198,'BANCO DE DADOS JANEIRO-24 SERV'!$B$2:$F$7195),4,FALSE)</f>
        <v>448.84000000000003</v>
      </c>
      <c r="M255" s="1190">
        <f>IF($Q$2="OUTROS",TRUNC(L255*(1+$N$7),2),ROUND(L255*(1+$N$7),2))</f>
        <v>557.45000000000005</v>
      </c>
      <c r="N255" s="1191">
        <f>IF($Q$2="OUTROS",TRUNC(M255*K255,2),ROUND(M255*K255,2))</f>
        <v>4459.6000000000004</v>
      </c>
      <c r="O255" s="337"/>
      <c r="P255" s="341"/>
      <c r="Q255" s="1625"/>
    </row>
    <row r="256" spans="1:17" s="338" customFormat="1" ht="30">
      <c r="A256" s="341">
        <f t="shared" ca="1" si="45"/>
        <v>12</v>
      </c>
      <c r="B256" s="341">
        <f ca="1">IF(OR(C256=1,D256=1),SUMIF($A$21:A256,A256,$C$21:C256),"")</f>
        <v>56</v>
      </c>
      <c r="C256" s="341">
        <f t="shared" si="46"/>
        <v>1</v>
      </c>
      <c r="D256" s="662" t="str">
        <f t="shared" si="47"/>
        <v/>
      </c>
      <c r="E256" s="662"/>
      <c r="F256" s="1188" t="str">
        <f t="shared" ca="1" si="57"/>
        <v>12.56</v>
      </c>
      <c r="G256" s="1192" t="str">
        <f>'COMP. ELETRICO '!B140</f>
        <v>CPU ELE 013</v>
      </c>
      <c r="H256" s="1099" t="str">
        <f>IF(G256&gt;="CPU","PRÓPRIO","SINAPI")</f>
        <v>PRÓPRIO</v>
      </c>
      <c r="I256" s="1098" t="str">
        <f>VLOOKUP($G256,IF(LEFT($G256,3)="CPU",COMPOSIÇÕES!$B$1:$E$4198,'BANCO DE DADOS JANEIRO-24 SERV'!$B$2:$F$7195),2,FALSE)</f>
        <v>QUADRO DE DISTRIBUIÇÃO TRIFÁSICO, EM PVC, PARA 46 DISJUNTORES DIN, SOBREPOR. INSTALAÇÃO E FORNECIMENTO.</v>
      </c>
      <c r="J256" s="1099" t="str">
        <f>VLOOKUP($G256,IF(LEFT($G256,3)="CPU",COMPOSIÇÕES!$B$1:$E$4198,'BANCO DE DADOS JANEIRO-24 SERV'!$B$2:$F$7195),3,FALSE)</f>
        <v>UN</v>
      </c>
      <c r="K256" s="1219">
        <v>1</v>
      </c>
      <c r="L256" s="1190">
        <f>VLOOKUP($G256,IF(LEFT($G256,3)="CPU",COMPOSIÇÕES!$B$1:$E$4198,'BANCO DE DADOS JANEIRO-24 SERV'!$B$2:$F$7195),4,FALSE)</f>
        <v>685.87</v>
      </c>
      <c r="M256" s="1190">
        <f>IF($Q$2="OUTROS",TRUNC(L256*(1+$N$7),2),ROUND(L256*(1+$N$7),2))</f>
        <v>851.85</v>
      </c>
      <c r="N256" s="1191">
        <f>IF($Q$2="OUTROS",TRUNC(M256*K256,2),ROUND(M256*K256,2))</f>
        <v>851.85</v>
      </c>
      <c r="O256" s="337"/>
      <c r="P256" s="341"/>
      <c r="Q256" s="1625"/>
    </row>
    <row r="257" spans="1:17" s="344" customFormat="1" ht="16.5" customHeight="1" thickBot="1">
      <c r="A257" s="341">
        <f t="shared" ref="A257:A306" ca="1" si="73">IF(LEN(D257),OFFSET(A257,-1,0)+1,OFFSET(A257,-1,0))</f>
        <v>12</v>
      </c>
      <c r="B257" s="341" t="str">
        <f>IF(OR(C257=1,D257=1),SUMIF($A$21:A257,A257,$C$21:C257),"")</f>
        <v/>
      </c>
      <c r="C257" s="341" t="str">
        <f t="shared" ref="C257:C306" si="74">IF(G257&gt;0,1,"")</f>
        <v/>
      </c>
      <c r="D257" s="662" t="str">
        <f t="shared" ref="D257:D306" si="75">IF(AND(CONCATENATE(G257,I257,J257,K257,L257,M257,N257)=I257&amp;N257,CONCATENATE(G257,I257,J257,K257,L257,M257,N257)&lt;&gt;"",N257&lt;&gt;""),1,"")</f>
        <v/>
      </c>
      <c r="E257" s="662"/>
      <c r="F257" s="240" t="str">
        <f>IF(B257&lt;&gt;"",A257&amp;"."&amp;B257,"")</f>
        <v/>
      </c>
      <c r="G257" s="139"/>
      <c r="H257" s="139"/>
      <c r="I257" s="139"/>
      <c r="J257" s="139"/>
      <c r="K257" s="139"/>
      <c r="L257" s="140"/>
      <c r="M257" s="139"/>
      <c r="N257" s="241"/>
      <c r="O257" s="343"/>
      <c r="Q257" s="1626"/>
    </row>
    <row r="258" spans="1:17" s="338" customFormat="1" ht="16.5" customHeight="1" thickBot="1">
      <c r="A258" s="341">
        <f t="shared" ca="1" si="73"/>
        <v>13</v>
      </c>
      <c r="B258" s="341">
        <f ca="1">IF(OR(C258=1,D258=1),SUMIF($A$21:A258,A258,$C$21:C258),"")</f>
        <v>0</v>
      </c>
      <c r="C258" s="341" t="str">
        <f t="shared" si="74"/>
        <v/>
      </c>
      <c r="D258" s="662">
        <f t="shared" si="75"/>
        <v>1</v>
      </c>
      <c r="E258" s="662"/>
      <c r="F258" s="132" t="str">
        <f t="shared" ref="F258:F268" ca="1" si="76">IF(B258&lt;&gt;"",A258&amp;"."&amp;B258,"")</f>
        <v>13.0</v>
      </c>
      <c r="G258" s="166"/>
      <c r="H258" s="166"/>
      <c r="I258" s="134" t="s">
        <v>323</v>
      </c>
      <c r="J258" s="135"/>
      <c r="K258" s="136"/>
      <c r="L258" s="137"/>
      <c r="M258" s="137"/>
      <c r="N258" s="138">
        <f>SUM(N259:N267)</f>
        <v>198814.01</v>
      </c>
      <c r="O258" s="344"/>
      <c r="P258" s="341"/>
      <c r="Q258" s="1625"/>
    </row>
    <row r="259" spans="1:17" s="338" customFormat="1" ht="30">
      <c r="A259" s="341">
        <f t="shared" ca="1" si="73"/>
        <v>13</v>
      </c>
      <c r="B259" s="341">
        <f ca="1">IF(OR(C259=1,D259=1),SUMIF($A$21:A259,A259,$C$21:C259),"")</f>
        <v>1</v>
      </c>
      <c r="C259" s="341">
        <f t="shared" si="74"/>
        <v>1</v>
      </c>
      <c r="D259" s="662" t="str">
        <f t="shared" si="75"/>
        <v/>
      </c>
      <c r="E259" s="662"/>
      <c r="F259" s="735" t="str">
        <f t="shared" ca="1" si="76"/>
        <v>13.1</v>
      </c>
      <c r="G259" s="1192">
        <v>98111</v>
      </c>
      <c r="H259" s="1099" t="str">
        <f t="shared" ref="H259:H267" si="77">IF(G259&gt;="CPU","PRÓPRIO","SINAPI")</f>
        <v>SINAPI</v>
      </c>
      <c r="I259" s="784" t="str">
        <f>VLOOKUP($G259,IF(LEFT($G259,3)="CPU",COMPOSIÇÕES!$B$1:$E$4198,'BANCO DE DADOS JANEIRO-24 SERV'!$B$2:$F$7195),2,FALSE)</f>
        <v>CAIXA DE INSPEÇÃO PARA ATERRAMENTO, CIRCULAR, EM POLIETILENO, DIÂMETRO INTERNO = 0,3 M. AF_12/2020</v>
      </c>
      <c r="J259" s="782" t="str">
        <f>VLOOKUP($G259,IF(LEFT($G259,3)="CPU",COMPOSIÇÕES!$B$1:$E$4198,'BANCO DE DADOS JANEIRO-24 SERV'!$B$2:$F$7195),3,FALSE)</f>
        <v>UN</v>
      </c>
      <c r="K259" s="1192">
        <v>58</v>
      </c>
      <c r="L259" s="785">
        <f>VLOOKUP($G259,IF(LEFT($G259,3)="CPU",COMPOSIÇÕES!$B$1:$E$4198,'BANCO DE DADOS JANEIRO-24 SERV'!$B$2:$F$7195),4,FALSE)</f>
        <v>52.22</v>
      </c>
      <c r="M259" s="785">
        <f t="shared" ref="M259:M267" si="78">IF($Q$2="OUTROS",TRUNC(L259*(1+$N$7),2),ROUND(L259*(1+$N$7),2))</f>
        <v>64.849999999999994</v>
      </c>
      <c r="N259" s="369">
        <f t="shared" ref="N259:N267" si="79">IF($Q$2="OUTROS",TRUNC(M259*K259,2),ROUND(M259*K259,2))</f>
        <v>3761.3</v>
      </c>
      <c r="O259" s="344"/>
      <c r="P259" s="341"/>
      <c r="Q259" s="1625"/>
    </row>
    <row r="260" spans="1:17" s="338" customFormat="1" ht="15.75">
      <c r="A260" s="341">
        <f t="shared" ca="1" si="73"/>
        <v>13</v>
      </c>
      <c r="B260" s="341">
        <f ca="1">IF(OR(C260=1,D260=1),SUMIF($A$21:A260,A260,$C$21:C260),"")</f>
        <v>2</v>
      </c>
      <c r="C260" s="341">
        <f t="shared" si="74"/>
        <v>1</v>
      </c>
      <c r="D260" s="662" t="str">
        <f t="shared" si="75"/>
        <v/>
      </c>
      <c r="E260" s="662"/>
      <c r="F260" s="1188" t="str">
        <f t="shared" ca="1" si="76"/>
        <v>13.2</v>
      </c>
      <c r="G260" s="1192" t="str">
        <f>'COMP. SPDA '!B17</f>
        <v>CPU SPDA 001</v>
      </c>
      <c r="H260" s="1099" t="str">
        <f t="shared" si="77"/>
        <v>PRÓPRIO</v>
      </c>
      <c r="I260" s="1098" t="str">
        <f>VLOOKUP($G260,IF(LEFT($G260,3)="CPU",COMPOSIÇÕES!$B$1:$E$4198,'BANCO DE DADOS JANEIRO-24 SERV'!$B$2:$F$7195),2,FALSE)</f>
        <v>CAIXA DE INSPECAO PVC SUSPENSA PARA ATERRAMENTO</v>
      </c>
      <c r="J260" s="1099" t="str">
        <f>VLOOKUP($G260,IF(LEFT($G260,3)="CPU",COMPOSIÇÕES!$B$1:$E$4198,'BANCO DE DADOS JANEIRO-24 SERV'!$B$2:$F$7195),3,FALSE)</f>
        <v>UN</v>
      </c>
      <c r="K260" s="1192">
        <v>70</v>
      </c>
      <c r="L260" s="1190">
        <f>VLOOKUP($G260,IF(LEFT($G260,3)="CPU",COMPOSIÇÕES!$B$1:$E$4198,'BANCO DE DADOS JANEIRO-24 SERV'!$B$2:$F$7195),4,FALSE)</f>
        <v>44.05</v>
      </c>
      <c r="M260" s="1190">
        <f t="shared" si="78"/>
        <v>54.71</v>
      </c>
      <c r="N260" s="1191">
        <f t="shared" si="79"/>
        <v>3829.7</v>
      </c>
      <c r="O260" s="344"/>
      <c r="P260" s="341"/>
      <c r="Q260" s="1625"/>
    </row>
    <row r="261" spans="1:17" s="256" customFormat="1" ht="30">
      <c r="A261" s="341">
        <f t="shared" ca="1" si="73"/>
        <v>13</v>
      </c>
      <c r="B261" s="341">
        <f ca="1">IF(OR(C261=1,D261=1),SUMIF($A$21:A261,A261,$C$21:C261),"")</f>
        <v>3</v>
      </c>
      <c r="C261" s="341">
        <f t="shared" si="74"/>
        <v>1</v>
      </c>
      <c r="D261" s="662" t="str">
        <f t="shared" si="75"/>
        <v/>
      </c>
      <c r="E261" s="662"/>
      <c r="F261" s="1188" t="str">
        <f t="shared" ca="1" si="76"/>
        <v>13.3</v>
      </c>
      <c r="G261" s="1192">
        <v>96986</v>
      </c>
      <c r="H261" s="1099" t="str">
        <f t="shared" si="77"/>
        <v>SINAPI</v>
      </c>
      <c r="I261" s="1098" t="str">
        <f>VLOOKUP($G261,IF(LEFT($G261,3)="CPU",COMPOSIÇÕES!$B$1:$E$4198,'BANCO DE DADOS JANEIRO-24 SERV'!$B$2:$F$7195),2,FALSE)</f>
        <v>HASTE DE ATERRAMENTO, DIÂMETRO 3/4", COM 3 METROS - FORNECIMENTO E INSTALAÇÃO. AF_08/2023</v>
      </c>
      <c r="J261" s="1099" t="str">
        <f>VLOOKUP($G261,IF(LEFT($G261,3)="CPU",COMPOSIÇÕES!$B$1:$E$4198,'BANCO DE DADOS JANEIRO-24 SERV'!$B$2:$F$7195),3,FALSE)</f>
        <v>UN</v>
      </c>
      <c r="K261" s="1192">
        <v>246</v>
      </c>
      <c r="L261" s="1190">
        <f>VLOOKUP($G261,IF(LEFT($G261,3)="CPU",COMPOSIÇÕES!$B$1:$E$4198,'BANCO DE DADOS JANEIRO-24 SERV'!$B$2:$F$7195),4,FALSE)</f>
        <v>116.26</v>
      </c>
      <c r="M261" s="1190">
        <f t="shared" si="78"/>
        <v>144.38999999999999</v>
      </c>
      <c r="N261" s="1221">
        <f t="shared" si="79"/>
        <v>35519.94</v>
      </c>
      <c r="O261" s="346"/>
      <c r="P261" s="1290"/>
      <c r="Q261" s="1628"/>
    </row>
    <row r="262" spans="1:17" s="256" customFormat="1" ht="30">
      <c r="A262" s="341">
        <f t="shared" ca="1" si="73"/>
        <v>13</v>
      </c>
      <c r="B262" s="341">
        <f ca="1">IF(OR(C262=1,D262=1),SUMIF($A$21:A262,A262,$C$21:C262),"")</f>
        <v>4</v>
      </c>
      <c r="C262" s="341">
        <f t="shared" si="74"/>
        <v>1</v>
      </c>
      <c r="D262" s="662" t="str">
        <f t="shared" si="75"/>
        <v/>
      </c>
      <c r="E262" s="662"/>
      <c r="F262" s="1188" t="str">
        <f t="shared" ca="1" si="76"/>
        <v>13.4</v>
      </c>
      <c r="G262" s="1192">
        <v>96974</v>
      </c>
      <c r="H262" s="1099" t="str">
        <f t="shared" si="77"/>
        <v>SINAPI</v>
      </c>
      <c r="I262" s="1098" t="str">
        <f>VLOOKUP($G262,IF(LEFT($G262,3)="CPU",COMPOSIÇÕES!$B$1:$E$4198,'BANCO DE DADOS JANEIRO-24 SERV'!$B$2:$F$7195),2,FALSE)</f>
        <v>CORDOALHA DE COBRE NU 50 MM², NÃO ENTERRADA, COM ISOLADOR - FORNECIMENTO E INSTALAÇÃO. AF_08/2023</v>
      </c>
      <c r="J262" s="1099" t="str">
        <f>VLOOKUP($G262,IF(LEFT($G262,3)="CPU",COMPOSIÇÕES!$B$1:$E$4198,'BANCO DE DADOS JANEIRO-24 SERV'!$B$2:$F$7195),3,FALSE)</f>
        <v>M</v>
      </c>
      <c r="K262" s="1192">
        <v>892.38</v>
      </c>
      <c r="L262" s="1190">
        <f>VLOOKUP($G262,IF(LEFT($G262,3)="CPU",COMPOSIÇÕES!$B$1:$E$4198,'BANCO DE DADOS JANEIRO-24 SERV'!$B$2:$F$7195),4,FALSE)</f>
        <v>84.59</v>
      </c>
      <c r="M262" s="1190">
        <f t="shared" si="78"/>
        <v>105.06</v>
      </c>
      <c r="N262" s="1221">
        <f t="shared" si="79"/>
        <v>93753.44</v>
      </c>
      <c r="O262" s="346"/>
      <c r="P262" s="375"/>
      <c r="Q262" s="1628"/>
    </row>
    <row r="263" spans="1:17" s="256" customFormat="1" ht="15.75">
      <c r="A263" s="341">
        <f t="shared" ca="1" si="73"/>
        <v>13</v>
      </c>
      <c r="B263" s="341">
        <f ca="1">IF(OR(C263=1,D263=1),SUMIF($A$21:A263,A263,$C$21:C263),"")</f>
        <v>5</v>
      </c>
      <c r="C263" s="341">
        <f t="shared" si="74"/>
        <v>1</v>
      </c>
      <c r="D263" s="662" t="str">
        <f t="shared" si="75"/>
        <v/>
      </c>
      <c r="E263" s="662"/>
      <c r="F263" s="1188" t="str">
        <f ca="1">IF(B263&lt;&gt;"",A263&amp;"."&amp;B263,"")</f>
        <v>13.5</v>
      </c>
      <c r="G263" s="1192" t="str">
        <f>'COMP. SPDA '!B33</f>
        <v>CPU SPDA 002</v>
      </c>
      <c r="H263" s="1099" t="str">
        <f t="shared" si="77"/>
        <v>PRÓPRIO</v>
      </c>
      <c r="I263" s="1098" t="str">
        <f>VLOOKUP($G263,IF(LEFT($G263,3)="CPU",COMPOSIÇÕES!$B$1:$E$4198,'BANCO DE DADOS JANEIRO-24 SERV'!$B$2:$F$7195),2,FALSE)</f>
        <v>TERMINAL AEREO EM ACO GALVANIZADO COM BASE DE FIXACAO H = 600 MM</v>
      </c>
      <c r="J263" s="1099" t="str">
        <f>VLOOKUP($G263,IF(LEFT($G263,3)="CPU",COMPOSIÇÕES!$B$1:$E$4198,'BANCO DE DADOS JANEIRO-24 SERV'!$B$2:$F$7195),3,FALSE)</f>
        <v>UN</v>
      </c>
      <c r="K263" s="1192">
        <v>185</v>
      </c>
      <c r="L263" s="1190">
        <f>VLOOKUP($G263,IF(LEFT($G263,3)="CPU",COMPOSIÇÕES!$B$1:$E$4198,'BANCO DE DADOS JANEIRO-24 SERV'!$B$2:$F$7195),4,FALSE)</f>
        <v>77.17</v>
      </c>
      <c r="M263" s="1190">
        <f t="shared" si="78"/>
        <v>95.84</v>
      </c>
      <c r="N263" s="1221">
        <f t="shared" si="79"/>
        <v>17730.400000000001</v>
      </c>
      <c r="O263" s="346"/>
      <c r="P263" s="375"/>
      <c r="Q263" s="1628"/>
    </row>
    <row r="264" spans="1:17" s="256" customFormat="1" ht="30" customHeight="1">
      <c r="A264" s="341">
        <f t="shared" ca="1" si="73"/>
        <v>13</v>
      </c>
      <c r="B264" s="341">
        <f ca="1">IF(OR(C264=1,D264=1),SUMIF($A$21:A264,A264,$C$21:C264),"")</f>
        <v>6</v>
      </c>
      <c r="C264" s="341">
        <f t="shared" si="74"/>
        <v>1</v>
      </c>
      <c r="D264" s="662" t="str">
        <f t="shared" si="75"/>
        <v/>
      </c>
      <c r="E264" s="662"/>
      <c r="F264" s="1188" t="str">
        <f ca="1">IF(B264&lt;&gt;"",A264&amp;"."&amp;B264,"")</f>
        <v>13.6</v>
      </c>
      <c r="G264" s="1192" t="str">
        <f>'COMP. SPDA '!B49</f>
        <v>CPU SPDA 003</v>
      </c>
      <c r="H264" s="1099" t="str">
        <f t="shared" si="77"/>
        <v>PRÓPRIO</v>
      </c>
      <c r="I264" s="1098" t="str">
        <f>VLOOKUP($G264,IF(LEFT($G264,3)="CPU",COMPOSIÇÕES!$B$1:$E$4198,'BANCO DE DADOS JANEIRO-24 SERV'!$B$2:$F$7195),2,FALSE)</f>
        <v>FORNECIMENTO E INSTALAÇÃO DE BARRA CHATA 7/8X1/8</v>
      </c>
      <c r="J264" s="1099" t="str">
        <f>VLOOKUP($G264,IF(LEFT($G264,3)="CPU",COMPOSIÇÕES!$B$1:$E$4198,'BANCO DE DADOS JANEIRO-24 SERV'!$B$2:$F$7195),3,FALSE)</f>
        <v>UN</v>
      </c>
      <c r="K264" s="1192">
        <f>1042.7+180.25</f>
        <v>1222.95</v>
      </c>
      <c r="L264" s="1190">
        <f>VLOOKUP($G264,IF(LEFT($G264,3)="CPU",COMPOSIÇÕES!$B$1:$E$4198,'BANCO DE DADOS JANEIRO-24 SERV'!$B$2:$F$7195),4,FALSE)</f>
        <v>28.66</v>
      </c>
      <c r="M264" s="1190">
        <f t="shared" si="78"/>
        <v>35.590000000000003</v>
      </c>
      <c r="N264" s="1221">
        <f t="shared" si="79"/>
        <v>43524.79</v>
      </c>
      <c r="O264" s="346"/>
      <c r="P264" s="375"/>
      <c r="Q264" s="1628"/>
    </row>
    <row r="265" spans="1:17" s="256" customFormat="1" ht="30" customHeight="1">
      <c r="A265" s="341">
        <f t="shared" ca="1" si="73"/>
        <v>13</v>
      </c>
      <c r="B265" s="341">
        <f ca="1">IF(OR(C265=1,D265=1),SUMIF($A$21:A265,A265,$C$21:C265),"")</f>
        <v>7</v>
      </c>
      <c r="C265" s="341">
        <f t="shared" si="74"/>
        <v>1</v>
      </c>
      <c r="D265" s="662" t="str">
        <f t="shared" si="75"/>
        <v/>
      </c>
      <c r="E265" s="662"/>
      <c r="F265" s="1188" t="str">
        <f ca="1">IF(B265&lt;&gt;"",A265&amp;"."&amp;B265,"")</f>
        <v>13.7</v>
      </c>
      <c r="G265" s="1192">
        <v>89732</v>
      </c>
      <c r="H265" s="1099" t="str">
        <f t="shared" si="77"/>
        <v>SINAPI</v>
      </c>
      <c r="I265" s="1098" t="str">
        <f>VLOOKUP($G265,IF(LEFT($G265,3)="CPU",COMPOSIÇÕES!$B$1:$E$4198,'BANCO DE DADOS JANEIRO-24 SERV'!$B$2:$F$7195),2,FALSE)</f>
        <v>JOELHO 45 GRAUS, PVC, SERIE NORMAL, ESGOTO PREDIAL, DN 50 MM, JUNTA ELÁSTICA, FORNECIDO E INSTALADO EM RAMAL DE DESCARGA OU RAMAL DE ESGOTO SANITÁRIO. AF_08/2022</v>
      </c>
      <c r="J265" s="1099" t="str">
        <f>VLOOKUP($G265,IF(LEFT($G265,3)="CPU",COMPOSIÇÕES!$B$1:$E$4198,'BANCO DE DADOS JANEIRO-24 SERV'!$B$2:$F$7195),3,FALSE)</f>
        <v>UN</v>
      </c>
      <c r="K265" s="1192">
        <v>6</v>
      </c>
      <c r="L265" s="1190">
        <f>VLOOKUP($G265,IF(LEFT($G265,3)="CPU",COMPOSIÇÕES!$B$1:$E$4198,'BANCO DE DADOS JANEIRO-24 SERV'!$B$2:$F$7195),4,FALSE)</f>
        <v>15.18</v>
      </c>
      <c r="M265" s="1190">
        <f t="shared" si="78"/>
        <v>18.850000000000001</v>
      </c>
      <c r="N265" s="1221">
        <f t="shared" si="79"/>
        <v>113.1</v>
      </c>
      <c r="O265" s="346"/>
      <c r="P265" s="375"/>
      <c r="Q265" s="1628"/>
    </row>
    <row r="266" spans="1:17" s="256" customFormat="1" ht="30" customHeight="1">
      <c r="A266" s="341">
        <f t="shared" ca="1" si="73"/>
        <v>13</v>
      </c>
      <c r="B266" s="341">
        <f ca="1">IF(OR(C266=1,D266=1),SUMIF($A$21:A266,A266,$C$21:C266),"")</f>
        <v>8</v>
      </c>
      <c r="C266" s="341">
        <f t="shared" si="74"/>
        <v>1</v>
      </c>
      <c r="D266" s="662" t="str">
        <f t="shared" si="75"/>
        <v/>
      </c>
      <c r="E266" s="662"/>
      <c r="F266" s="1188" t="str">
        <f ca="1">IF(B266&lt;&gt;"",A266&amp;"."&amp;B266,"")</f>
        <v>13.8</v>
      </c>
      <c r="G266" s="1192">
        <v>104345</v>
      </c>
      <c r="H266" s="1099" t="str">
        <f t="shared" si="77"/>
        <v>SINAPI</v>
      </c>
      <c r="I266" s="1098" t="str">
        <f>VLOOKUP($G266,IF(LEFT($G266,3)="CPU",COMPOSIÇÕES!$B$1:$E$4198,'BANCO DE DADOS JANEIRO-24 SERV'!$B$2:$F$7195),2,FALSE)</f>
        <v>JUNÇÃO DE REDUÇÃO INVERTIDA, PVC, SÉRIE NORMAL, ESGOTO PREDIAL, DN 100 X 50 MM, JUNTA ELÁSTICA, FORNECIDO E INSTALADO EM RAMAL DE DESCARGA OU RAMAL DE ESGOTO SANITÁRIO. AF_08/2022</v>
      </c>
      <c r="J266" s="1099" t="str">
        <f>VLOOKUP($G266,IF(LEFT($G266,3)="CPU",COMPOSIÇÕES!$B$1:$E$4198,'BANCO DE DADOS JANEIRO-24 SERV'!$B$2:$F$7195),3,FALSE)</f>
        <v>UN</v>
      </c>
      <c r="K266" s="1192">
        <v>6</v>
      </c>
      <c r="L266" s="1190">
        <f>VLOOKUP($G266,IF(LEFT($G266,3)="CPU",COMPOSIÇÕES!$B$1:$E$4198,'BANCO DE DADOS JANEIRO-24 SERV'!$B$2:$F$7195),4,FALSE)</f>
        <v>41.7</v>
      </c>
      <c r="M266" s="1190">
        <f t="shared" si="78"/>
        <v>51.79</v>
      </c>
      <c r="N266" s="1221">
        <f t="shared" si="79"/>
        <v>310.74</v>
      </c>
      <c r="O266" s="346"/>
      <c r="P266" s="375"/>
      <c r="Q266" s="1628"/>
    </row>
    <row r="267" spans="1:17" s="256" customFormat="1" ht="45">
      <c r="A267" s="341">
        <f t="shared" ca="1" si="73"/>
        <v>13</v>
      </c>
      <c r="B267" s="341">
        <f ca="1">IF(OR(C267=1,D267=1),SUMIF($A$21:A267,A267,$C$21:C267),"")</f>
        <v>9</v>
      </c>
      <c r="C267" s="341">
        <f t="shared" si="74"/>
        <v>1</v>
      </c>
      <c r="D267" s="662" t="str">
        <f t="shared" si="75"/>
        <v/>
      </c>
      <c r="E267" s="662"/>
      <c r="F267" s="1188" t="str">
        <f ca="1">IF(B267&lt;&gt;"",A267&amp;"."&amp;B267,"")</f>
        <v>13.9</v>
      </c>
      <c r="G267" s="1192">
        <v>89857</v>
      </c>
      <c r="H267" s="1099" t="str">
        <f t="shared" si="77"/>
        <v>SINAPI</v>
      </c>
      <c r="I267" s="1098" t="str">
        <f>VLOOKUP($G267,IF(LEFT($G267,3)="CPU",COMPOSIÇÕES!$B$1:$E$4198,'BANCO DE DADOS JANEIRO-24 SERV'!$B$2:$F$7195),2,FALSE)</f>
        <v>LUVA DE CORRER, PVC, SERIE NORMAL, ESGOTO PREDIAL, DN 100 MM, JUNTA ELÁSTICA, FORNECIDO E INSTALADO EM SUBCOLETOR AÉREO DE ESGOTO SANITÁRIO. AF_08/2022</v>
      </c>
      <c r="J267" s="1099" t="str">
        <f>VLOOKUP($G267,IF(LEFT($G267,3)="CPU",COMPOSIÇÕES!$B$1:$E$4198,'BANCO DE DADOS JANEIRO-24 SERV'!$B$2:$F$7195),3,FALSE)</f>
        <v>UN</v>
      </c>
      <c r="K267" s="1192">
        <v>6</v>
      </c>
      <c r="L267" s="1190">
        <f>VLOOKUP($G267,IF(LEFT($G267,3)="CPU",COMPOSIÇÕES!$B$1:$E$4198,'BANCO DE DADOS JANEIRO-24 SERV'!$B$2:$F$7195),4,FALSE)</f>
        <v>36.32</v>
      </c>
      <c r="M267" s="1190">
        <f t="shared" si="78"/>
        <v>45.1</v>
      </c>
      <c r="N267" s="1221">
        <f t="shared" si="79"/>
        <v>270.60000000000002</v>
      </c>
      <c r="O267" s="346"/>
      <c r="P267" s="375"/>
      <c r="Q267" s="1628"/>
    </row>
    <row r="268" spans="1:17" s="344" customFormat="1" ht="16.5" customHeight="1" thickBot="1">
      <c r="A268" s="341">
        <f t="shared" ca="1" si="73"/>
        <v>13</v>
      </c>
      <c r="B268" s="341" t="str">
        <f>IF(OR(C268=1,D268=1),SUMIF($A$21:A268,A268,$C$21:C268),"")</f>
        <v/>
      </c>
      <c r="C268" s="341" t="str">
        <f t="shared" si="74"/>
        <v/>
      </c>
      <c r="D268" s="662" t="str">
        <f t="shared" si="75"/>
        <v/>
      </c>
      <c r="E268" s="662"/>
      <c r="F268" s="240" t="str">
        <f t="shared" si="76"/>
        <v/>
      </c>
      <c r="G268" s="139"/>
      <c r="H268" s="139"/>
      <c r="I268" s="139"/>
      <c r="J268" s="139"/>
      <c r="K268" s="139"/>
      <c r="L268" s="140"/>
      <c r="M268" s="139"/>
      <c r="N268" s="241"/>
      <c r="O268" s="343"/>
      <c r="Q268" s="1626"/>
    </row>
    <row r="269" spans="1:17" s="338" customFormat="1" ht="15.75" customHeight="1">
      <c r="A269" s="341">
        <f t="shared" ca="1" si="73"/>
        <v>14</v>
      </c>
      <c r="B269" s="341">
        <f ca="1">IF(OR(C269=1,D269=1),SUMIF($A$21:A269,A269,$C$21:C269),"")</f>
        <v>0</v>
      </c>
      <c r="C269" s="341" t="str">
        <f t="shared" si="74"/>
        <v/>
      </c>
      <c r="D269" s="662">
        <f t="shared" si="75"/>
        <v>1</v>
      </c>
      <c r="E269" s="662"/>
      <c r="F269" s="132" t="str">
        <f ca="1">IF(B269&lt;&gt;"",A269&amp;"."&amp;B269,"")</f>
        <v>14.0</v>
      </c>
      <c r="G269" s="166"/>
      <c r="H269" s="166"/>
      <c r="I269" s="134" t="s">
        <v>14047</v>
      </c>
      <c r="J269" s="135"/>
      <c r="K269" s="136"/>
      <c r="L269" s="137"/>
      <c r="M269" s="137"/>
      <c r="N269" s="138">
        <f>SUM(N270:N278)</f>
        <v>1382.4099999999999</v>
      </c>
      <c r="O269" s="344"/>
      <c r="P269" s="341"/>
      <c r="Q269" s="1625"/>
    </row>
    <row r="270" spans="1:17" s="338" customFormat="1" ht="30">
      <c r="A270" s="341">
        <f t="shared" ca="1" si="73"/>
        <v>14</v>
      </c>
      <c r="B270" s="341">
        <f ca="1">IF(OR(C270=1,D270=1),SUMIF($A$21:A270,A270,$C$21:C270),"")</f>
        <v>1</v>
      </c>
      <c r="C270" s="341">
        <f t="shared" si="74"/>
        <v>1</v>
      </c>
      <c r="D270" s="662" t="str">
        <f t="shared" si="75"/>
        <v/>
      </c>
      <c r="E270" s="662"/>
      <c r="F270" s="1511" t="str">
        <f t="shared" ref="F270:F278" ca="1" si="80">IF(B270&lt;&gt;"",A270&amp;"."&amp;B270,"")</f>
        <v>14.1</v>
      </c>
      <c r="G270" s="1192" t="str">
        <f>'COMP. HIDRO '!B42</f>
        <v>CPU HID 003</v>
      </c>
      <c r="H270" s="1215" t="str">
        <f t="shared" ref="H270:H278" si="81">IF(G270&gt;="CPU","PRÓPRIO","SINAPI")</f>
        <v>PRÓPRIO</v>
      </c>
      <c r="I270" s="1222" t="str">
        <f>VLOOKUP($G270,IF(LEFT($G270,3)="CPU",COMPOSIÇÕES!$B$1:$E$4198,'BANCO DE DADOS JANEIRO-24 SERV'!$B$2:$F$7195),2,FALSE)</f>
        <v>TAMPAO / CAP, ROSCA MACHO, PARA TUBO PEX, DN 1/2" - FORNECIMENTO E INSTALAÇÃO</v>
      </c>
      <c r="J270" s="1215" t="str">
        <f>VLOOKUP($G270,IF(LEFT($G270,3)="CPU",COMPOSIÇÕES!$B$1:$E$4198,'BANCO DE DADOS JANEIRO-24 SERV'!$B$2:$F$7195),3,FALSE)</f>
        <v>UN</v>
      </c>
      <c r="K270" s="1192">
        <v>2</v>
      </c>
      <c r="L270" s="1489">
        <f>VLOOKUP($G270,IF(LEFT($G270,3)="CPU",COMPOSIÇÕES!$B$1:$E$4198,'BANCO DE DADOS JANEIRO-24 SERV'!$B$2:$F$7195),4,FALSE)</f>
        <v>13.149999999999999</v>
      </c>
      <c r="M270" s="1489">
        <f t="shared" ref="M270:M278" si="82">IF($Q$2="OUTROS",TRUNC(L270*(1+$N$7),2),ROUND(L270*(1+$N$7),2))</f>
        <v>16.329999999999998</v>
      </c>
      <c r="N270" s="1490">
        <f t="shared" ref="N270:N278" si="83">IF($Q$2="OUTROS",TRUNC(M270*K270,2),ROUND(M270*K270,2))</f>
        <v>32.659999999999997</v>
      </c>
      <c r="O270" s="344"/>
      <c r="P270" s="341"/>
      <c r="Q270" s="1625"/>
    </row>
    <row r="271" spans="1:17" s="338" customFormat="1" ht="30">
      <c r="A271" s="341">
        <f t="shared" ca="1" si="73"/>
        <v>14</v>
      </c>
      <c r="B271" s="341">
        <f ca="1">IF(OR(C271=1,D271=1),SUMIF($A$21:A271,A271,$C$21:C271),"")</f>
        <v>2</v>
      </c>
      <c r="C271" s="341">
        <f t="shared" si="74"/>
        <v>1</v>
      </c>
      <c r="D271" s="662" t="str">
        <f t="shared" si="75"/>
        <v/>
      </c>
      <c r="E271" s="662"/>
      <c r="F271" s="1511" t="str">
        <f t="shared" ca="1" si="80"/>
        <v>14.2</v>
      </c>
      <c r="G271" s="1192">
        <v>103029</v>
      </c>
      <c r="H271" s="1215" t="str">
        <f t="shared" si="81"/>
        <v>SINAPI</v>
      </c>
      <c r="I271" s="1222" t="str">
        <f>VLOOKUP($G271,IF(LEFT($G271,3)="CPU",COMPOSIÇÕES!$B$1:$E$4198,'BANCO DE DADOS JANEIRO-24 SERV'!$B$2:$F$7195),2,FALSE)</f>
        <v>REGISTRO OU REGULADOR DE GÁS DE COZINHA - FORNECIMENTO E INSTALAÇÃO. AF_08/2021</v>
      </c>
      <c r="J271" s="1215" t="str">
        <f>VLOOKUP($G271,IF(LEFT($G271,3)="CPU",COMPOSIÇÕES!$B$1:$E$4198,'BANCO DE DADOS JANEIRO-24 SERV'!$B$2:$F$7195),3,FALSE)</f>
        <v>UN</v>
      </c>
      <c r="K271" s="1192">
        <v>2</v>
      </c>
      <c r="L271" s="1489">
        <f>VLOOKUP($G271,IF(LEFT($G271,3)="CPU",COMPOSIÇÕES!$B$1:$E$4198,'BANCO DE DADOS JANEIRO-24 SERV'!$B$2:$F$7195),4,FALSE)</f>
        <v>34.61</v>
      </c>
      <c r="M271" s="1489">
        <f t="shared" si="82"/>
        <v>42.98</v>
      </c>
      <c r="N271" s="1490">
        <f t="shared" si="83"/>
        <v>85.96</v>
      </c>
      <c r="O271" s="344"/>
      <c r="P271" s="341"/>
      <c r="Q271" s="1625"/>
    </row>
    <row r="272" spans="1:17" s="338" customFormat="1" ht="30">
      <c r="A272" s="341">
        <f t="shared" ca="1" si="73"/>
        <v>14</v>
      </c>
      <c r="B272" s="341">
        <f ca="1">IF(OR(C272=1,D272=1),SUMIF($A$21:A272,A272,$C$21:C272),"")</f>
        <v>3</v>
      </c>
      <c r="C272" s="341">
        <f t="shared" si="74"/>
        <v>1</v>
      </c>
      <c r="D272" s="662" t="str">
        <f t="shared" si="75"/>
        <v/>
      </c>
      <c r="E272" s="662"/>
      <c r="F272" s="1511" t="str">
        <f ca="1">IF(B272&lt;&gt;"",A272&amp;"."&amp;B272,"")</f>
        <v>14.3</v>
      </c>
      <c r="G272" s="1192">
        <v>100799</v>
      </c>
      <c r="H272" s="1215" t="str">
        <f t="shared" si="81"/>
        <v>SINAPI</v>
      </c>
      <c r="I272" s="1222" t="str">
        <f>VLOOKUP($G272,IF(LEFT($G272,3)="CPU",COMPOSIÇÕES!$B$1:$E$4198,'BANCO DE DADOS JANEIRO-24 SERV'!$B$2:$F$7195),2,FALSE)</f>
        <v>TUBO, PEX, MULTICAMADA, COM TUBO LUVA, DN 16, INSTALADO EM IMPLANTAÇÃO DE INSTALAÇÕES DE GÁS - FORNECIMENTO E INSTALAÇÃO. AF_01/2020</v>
      </c>
      <c r="J272" s="1215" t="str">
        <f>VLOOKUP($G272,IF(LEFT($G272,3)="CPU",COMPOSIÇÕES!$B$1:$E$4198,'BANCO DE DADOS JANEIRO-24 SERV'!$B$2:$F$7195),3,FALSE)</f>
        <v>M</v>
      </c>
      <c r="K272" s="1192">
        <v>17.899999999999999</v>
      </c>
      <c r="L272" s="1489">
        <f>VLOOKUP($G272,IF(LEFT($G272,3)="CPU",COMPOSIÇÕES!$B$1:$E$4198,'BANCO DE DADOS JANEIRO-24 SERV'!$B$2:$F$7195),4,FALSE)</f>
        <v>17.48</v>
      </c>
      <c r="M272" s="1489">
        <f>IF($Q$2="OUTROS",TRUNC(L272*(1+$N$7),2),ROUND(L272*(1+$N$7),2))</f>
        <v>21.71</v>
      </c>
      <c r="N272" s="1490">
        <f>IF($Q$2="OUTROS",TRUNC(M272*K272,2),ROUND(M272*K272,2))</f>
        <v>388.6</v>
      </c>
      <c r="O272" s="344"/>
      <c r="P272" s="341"/>
      <c r="Q272" s="1625"/>
    </row>
    <row r="273" spans="1:17" s="338" customFormat="1" ht="30">
      <c r="A273" s="341">
        <f t="shared" ca="1" si="73"/>
        <v>14</v>
      </c>
      <c r="B273" s="341">
        <f ca="1">IF(OR(C273=1,D273=1),SUMIF($A$21:A273,A273,$C$21:C273),"")</f>
        <v>4</v>
      </c>
      <c r="C273" s="341">
        <f t="shared" si="74"/>
        <v>1</v>
      </c>
      <c r="D273" s="662" t="str">
        <f t="shared" si="75"/>
        <v/>
      </c>
      <c r="E273" s="662"/>
      <c r="F273" s="1511" t="str">
        <f t="shared" ca="1" si="80"/>
        <v>14.4</v>
      </c>
      <c r="G273" s="1192">
        <v>96824</v>
      </c>
      <c r="H273" s="1215" t="str">
        <f t="shared" si="81"/>
        <v>SINAPI</v>
      </c>
      <c r="I273" s="1222" t="str">
        <f>VLOOKUP($G273,IF(LEFT($G273,3)="CPU",COMPOSIÇÕES!$B$1:$E$4198,'BANCO DE DADOS JANEIRO-24 SERV'!$B$2:$F$7195),2,FALSE)</f>
        <v>CONEXÃO FIXA, ROSCA FÊMEA, PARA INSTALAÇÕES EM PEX ÁGUA, DN 16MM X 1/2", CONEXÃO POR CRIMPAGEM - FORNECIMENTO E INSTALAÇÃO. AF_02/2023</v>
      </c>
      <c r="J273" s="1215" t="str">
        <f>VLOOKUP($G273,IF(LEFT($G273,3)="CPU",COMPOSIÇÕES!$B$1:$E$4198,'BANCO DE DADOS JANEIRO-24 SERV'!$B$2:$F$7195),3,FALSE)</f>
        <v>UN</v>
      </c>
      <c r="K273" s="1192">
        <v>4</v>
      </c>
      <c r="L273" s="1489">
        <f>VLOOKUP($G273,IF(LEFT($G273,3)="CPU",COMPOSIÇÕES!$B$1:$E$4198,'BANCO DE DADOS JANEIRO-24 SERV'!$B$2:$F$7195),4,FALSE)</f>
        <v>15.51</v>
      </c>
      <c r="M273" s="1489">
        <f t="shared" si="82"/>
        <v>19.260000000000002</v>
      </c>
      <c r="N273" s="1490">
        <f t="shared" si="83"/>
        <v>77.040000000000006</v>
      </c>
      <c r="O273" s="344"/>
      <c r="P273" s="341"/>
      <c r="Q273" s="1625"/>
    </row>
    <row r="274" spans="1:17" s="338" customFormat="1" ht="30">
      <c r="A274" s="341">
        <f t="shared" ca="1" si="73"/>
        <v>14</v>
      </c>
      <c r="B274" s="341">
        <f ca="1">IF(OR(C274=1,D274=1),SUMIF($A$21:A274,A274,$C$21:C274),"")</f>
        <v>5</v>
      </c>
      <c r="C274" s="341">
        <f t="shared" si="74"/>
        <v>1</v>
      </c>
      <c r="D274" s="662" t="str">
        <f t="shared" si="75"/>
        <v/>
      </c>
      <c r="E274" s="662"/>
      <c r="F274" s="1511" t="str">
        <f ca="1">IF(B274&lt;&gt;"",A274&amp;"."&amp;B274,"")</f>
        <v>14.5</v>
      </c>
      <c r="G274" s="1192">
        <v>96850</v>
      </c>
      <c r="H274" s="1215" t="str">
        <f t="shared" si="81"/>
        <v>SINAPI</v>
      </c>
      <c r="I274" s="1222" t="str">
        <f>VLOOKUP($G274,IF(LEFT($G274,3)="CPU",COMPOSIÇÕES!$B$1:$E$4198,'BANCO DE DADOS JANEIRO-24 SERV'!$B$2:$F$7195),2,FALSE)</f>
        <v>JOELHO 90 GRAUS, ROSCA FÊMEA TERMINAL, PARA INSTALAÇÕES EM PEX ÁGUA, DN 16MM X 1/2", CONEXÃO POR CRIMPAGEM - FORNECIMENTO E INSTALAÇÃO. AF_02/2023</v>
      </c>
      <c r="J274" s="1215" t="str">
        <f>VLOOKUP($G274,IF(LEFT($G274,3)="CPU",COMPOSIÇÕES!$B$1:$E$4198,'BANCO DE DADOS JANEIRO-24 SERV'!$B$2:$F$7195),3,FALSE)</f>
        <v>UN</v>
      </c>
      <c r="K274" s="1192">
        <v>1</v>
      </c>
      <c r="L274" s="1489">
        <f>VLOOKUP($G274,IF(LEFT($G274,3)="CPU",COMPOSIÇÕES!$B$1:$E$4198,'BANCO DE DADOS JANEIRO-24 SERV'!$B$2:$F$7195),4,FALSE)</f>
        <v>20.68</v>
      </c>
      <c r="M274" s="1489">
        <f>IF($Q$2="OUTROS",TRUNC(L274*(1+$N$7),2),ROUND(L274*(1+$N$7),2))</f>
        <v>25.68</v>
      </c>
      <c r="N274" s="1490">
        <f>IF($Q$2="OUTROS",TRUNC(M274*K274,2),ROUND(M274*K274,2))</f>
        <v>25.68</v>
      </c>
      <c r="O274" s="344"/>
      <c r="P274" s="341"/>
      <c r="Q274" s="1625"/>
    </row>
    <row r="275" spans="1:17" s="338" customFormat="1" ht="30">
      <c r="A275" s="341">
        <f t="shared" ca="1" si="73"/>
        <v>14</v>
      </c>
      <c r="B275" s="341">
        <f ca="1">IF(OR(C275=1,D275=1),SUMIF($A$21:A275,A275,$C$21:C275),"")</f>
        <v>6</v>
      </c>
      <c r="C275" s="341">
        <f t="shared" si="74"/>
        <v>1</v>
      </c>
      <c r="D275" s="662" t="str">
        <f t="shared" si="75"/>
        <v/>
      </c>
      <c r="E275" s="662"/>
      <c r="F275" s="1511" t="str">
        <f ca="1">IF(B275&lt;&gt;"",A275&amp;"."&amp;B275,"")</f>
        <v>14.6</v>
      </c>
      <c r="G275" s="1192">
        <v>96849</v>
      </c>
      <c r="H275" s="1215" t="str">
        <f t="shared" si="81"/>
        <v>SINAPI</v>
      </c>
      <c r="I275" s="1222" t="str">
        <f>VLOOKUP($G275,IF(LEFT($G275,3)="CPU",COMPOSIÇÕES!$B$1:$E$4198,'BANCO DE DADOS JANEIRO-24 SERV'!$B$2:$F$7195),2,FALSE)</f>
        <v>JOELHO 90 GRAUS, PARA INSTALAÇÕES EM PEX ÁGUA, DN 16 MM, CONEXÃO POR CRIMPAGEM - FORNECIMENTO E INSTALAÇÃO. AF_02/2023</v>
      </c>
      <c r="J275" s="1215" t="str">
        <f>VLOOKUP($G275,IF(LEFT($G275,3)="CPU",COMPOSIÇÕES!$B$1:$E$4198,'BANCO DE DADOS JANEIRO-24 SERV'!$B$2:$F$7195),3,FALSE)</f>
        <v>UN</v>
      </c>
      <c r="K275" s="1192">
        <v>2</v>
      </c>
      <c r="L275" s="1489">
        <f>VLOOKUP($G275,IF(LEFT($G275,3)="CPU",COMPOSIÇÕES!$B$1:$E$4198,'BANCO DE DADOS JANEIRO-24 SERV'!$B$2:$F$7195),4,FALSE)</f>
        <v>14.7</v>
      </c>
      <c r="M275" s="1489">
        <f>IF($Q$2="OUTROS",TRUNC(L275*(1+$N$7),2),ROUND(L275*(1+$N$7),2))</f>
        <v>18.25</v>
      </c>
      <c r="N275" s="1490">
        <f>IF($Q$2="OUTROS",TRUNC(M275*K275,2),ROUND(M275*K275,2))</f>
        <v>36.5</v>
      </c>
      <c r="O275" s="344"/>
      <c r="P275" s="341"/>
      <c r="Q275" s="1625"/>
    </row>
    <row r="276" spans="1:17" s="338" customFormat="1" ht="15.75">
      <c r="A276" s="341">
        <f t="shared" ca="1" si="73"/>
        <v>14</v>
      </c>
      <c r="B276" s="341">
        <f ca="1">IF(OR(C276=1,D276=1),SUMIF($A$21:A276,A276,$C$21:C276),"")</f>
        <v>7</v>
      </c>
      <c r="C276" s="341">
        <f t="shared" si="74"/>
        <v>1</v>
      </c>
      <c r="D276" s="662" t="str">
        <f t="shared" si="75"/>
        <v/>
      </c>
      <c r="E276" s="662"/>
      <c r="F276" s="1511" t="str">
        <f ca="1">IF(B276&lt;&gt;"",A276&amp;"."&amp;B276,"")</f>
        <v>14.7</v>
      </c>
      <c r="G276" s="1192" t="str">
        <f>'COMP. HIDRO '!B51</f>
        <v>CPU HID 004</v>
      </c>
      <c r="H276" s="1215" t="str">
        <f t="shared" si="81"/>
        <v>PRÓPRIO</v>
      </c>
      <c r="I276" s="1222" t="str">
        <f>VLOOKUP($G276,IF(LEFT($G276,3)="CPU",COMPOSIÇÕES!$B$1:$E$4198,'BANCO DE DADOS JANEIRO-24 SERV'!$B$2:$F$7195),2,FALSE)</f>
        <v>VALVULA PARA MANGUEIRA DE GAS - FORNECIMENTO E INSTALAÇÃO</v>
      </c>
      <c r="J276" s="1215" t="str">
        <f>VLOOKUP($G276,IF(LEFT($G276,3)="CPU",COMPOSIÇÕES!$B$1:$E$4198,'BANCO DE DADOS JANEIRO-24 SERV'!$B$2:$F$7195),3,FALSE)</f>
        <v>UN</v>
      </c>
      <c r="K276" s="1192">
        <v>4</v>
      </c>
      <c r="L276" s="1489">
        <f>VLOOKUP($G276,IF(LEFT($G276,3)="CPU",COMPOSIÇÕES!$B$1:$E$4198,'BANCO DE DADOS JANEIRO-24 SERV'!$B$2:$F$7195),4,FALSE)</f>
        <v>110.85000000000001</v>
      </c>
      <c r="M276" s="1489">
        <f>IF($Q$2="OUTROS",TRUNC(L276*(1+$N$7),2),ROUND(L276*(1+$N$7),2))</f>
        <v>137.66999999999999</v>
      </c>
      <c r="N276" s="1490">
        <f>IF($Q$2="OUTROS",TRUNC(M276*K276,2),ROUND(M276*K276,2))</f>
        <v>550.67999999999995</v>
      </c>
      <c r="O276" s="344"/>
      <c r="P276" s="341"/>
      <c r="Q276" s="1625"/>
    </row>
    <row r="277" spans="1:17" s="338" customFormat="1" ht="15.75">
      <c r="A277" s="341">
        <f t="shared" ca="1" si="73"/>
        <v>14</v>
      </c>
      <c r="B277" s="341">
        <f ca="1">IF(OR(C277=1,D277=1),SUMIF($A$21:A277,A277,$C$21:C277),"")</f>
        <v>8</v>
      </c>
      <c r="C277" s="341">
        <f t="shared" si="74"/>
        <v>1</v>
      </c>
      <c r="D277" s="662" t="str">
        <f t="shared" si="75"/>
        <v/>
      </c>
      <c r="E277" s="662"/>
      <c r="F277" s="1511" t="str">
        <f t="shared" ca="1" si="80"/>
        <v>14.8</v>
      </c>
      <c r="G277" s="1192" t="str">
        <f>'COMP. HIDRO '!B68</f>
        <v>CPU HID 005</v>
      </c>
      <c r="H277" s="1215" t="str">
        <f t="shared" si="81"/>
        <v>PRÓPRIO</v>
      </c>
      <c r="I277" s="1222" t="str">
        <f>VLOOKUP($G277,IF(LEFT($G277,3)="CPU",COMPOSIÇÕES!$B$1:$E$4198,'BANCO DE DADOS JANEIRO-24 SERV'!$B$2:$F$7195),2,FALSE)</f>
        <v>VALVULA DE ESFERA - FORNECIMENTO E INSTALAÇÃO</v>
      </c>
      <c r="J277" s="1215" t="str">
        <f>VLOOKUP($G277,IF(LEFT($G277,3)="CPU",COMPOSIÇÕES!$B$1:$E$4198,'BANCO DE DADOS JANEIRO-24 SERV'!$B$2:$F$7195),3,FALSE)</f>
        <v>UN</v>
      </c>
      <c r="K277" s="1192">
        <v>1</v>
      </c>
      <c r="L277" s="1489">
        <f>VLOOKUP($G277,IF(LEFT($G277,3)="CPU",COMPOSIÇÕES!$B$1:$E$4198,'BANCO DE DADOS JANEIRO-24 SERV'!$B$2:$F$7195),4,FALSE)</f>
        <v>97.570000000000007</v>
      </c>
      <c r="M277" s="1489">
        <f t="shared" si="82"/>
        <v>121.18</v>
      </c>
      <c r="N277" s="1490">
        <f t="shared" si="83"/>
        <v>121.18</v>
      </c>
      <c r="O277" s="344"/>
      <c r="P277" s="341"/>
      <c r="Q277" s="1625"/>
    </row>
    <row r="278" spans="1:17" s="338" customFormat="1" ht="30">
      <c r="A278" s="341">
        <f t="shared" ca="1" si="73"/>
        <v>14</v>
      </c>
      <c r="B278" s="341">
        <f ca="1">IF(OR(C278=1,D278=1),SUMIF($A$21:A278,A278,$C$21:C278),"")</f>
        <v>9</v>
      </c>
      <c r="C278" s="341">
        <f t="shared" si="74"/>
        <v>1</v>
      </c>
      <c r="D278" s="662" t="str">
        <f t="shared" si="75"/>
        <v/>
      </c>
      <c r="E278" s="662"/>
      <c r="F278" s="1511" t="str">
        <f t="shared" ca="1" si="80"/>
        <v>14.9</v>
      </c>
      <c r="G278" s="1192">
        <v>96868</v>
      </c>
      <c r="H278" s="1215" t="str">
        <f t="shared" si="81"/>
        <v>SINAPI</v>
      </c>
      <c r="I278" s="1222" t="str">
        <f>VLOOKUP($G278,IF(LEFT($G278,3)="CPU",COMPOSIÇÕES!$B$1:$E$4198,'BANCO DE DADOS JANEIRO-24 SERV'!$B$2:$F$7195),2,FALSE)</f>
        <v>TÊ, PARA INSTALAÇÕES EM PEX ÁGUA, DN 16 MM, CONEXÃO POR CRIMPAGEM - FORNECIMENTO E INSTALAÇÃO. AF_02/2023</v>
      </c>
      <c r="J278" s="1215" t="str">
        <f>VLOOKUP($G278,IF(LEFT($G278,3)="CPU",COMPOSIÇÕES!$B$1:$E$4198,'BANCO DE DADOS JANEIRO-24 SERV'!$B$2:$F$7195),3,FALSE)</f>
        <v>UN</v>
      </c>
      <c r="K278" s="1192">
        <v>3</v>
      </c>
      <c r="L278" s="1489">
        <f>VLOOKUP($G278,IF(LEFT($G278,3)="CPU",COMPOSIÇÕES!$B$1:$E$4198,'BANCO DE DADOS JANEIRO-24 SERV'!$B$2:$F$7195),4,FALSE)</f>
        <v>17.21</v>
      </c>
      <c r="M278" s="1489">
        <f t="shared" si="82"/>
        <v>21.37</v>
      </c>
      <c r="N278" s="1490">
        <f t="shared" si="83"/>
        <v>64.11</v>
      </c>
      <c r="O278" s="344"/>
      <c r="P278" s="341"/>
      <c r="Q278" s="1625"/>
    </row>
    <row r="279" spans="1:17" s="344" customFormat="1" ht="16.5" customHeight="1" thickBot="1">
      <c r="A279" s="341">
        <f t="shared" ca="1" si="73"/>
        <v>14</v>
      </c>
      <c r="B279" s="341" t="str">
        <f>IF(OR(C279=1,D279=1),SUMIF($A$21:A279,A279,$C$21:C279),"")</f>
        <v/>
      </c>
      <c r="C279" s="341" t="str">
        <f t="shared" si="74"/>
        <v/>
      </c>
      <c r="D279" s="662" t="str">
        <f t="shared" si="75"/>
        <v/>
      </c>
      <c r="E279" s="662"/>
      <c r="F279" s="240" t="str">
        <f>IF(B279&lt;&gt;"",A279&amp;"."&amp;B279,"")</f>
        <v/>
      </c>
      <c r="G279" s="139"/>
      <c r="H279" s="139"/>
      <c r="I279" s="139"/>
      <c r="J279" s="139"/>
      <c r="K279" s="139"/>
      <c r="L279" s="140"/>
      <c r="M279" s="139"/>
      <c r="N279" s="241"/>
      <c r="O279" s="343"/>
      <c r="Q279" s="1626"/>
    </row>
    <row r="280" spans="1:17" s="338" customFormat="1" ht="16.5" thickBot="1">
      <c r="A280" s="341">
        <f t="shared" ca="1" si="73"/>
        <v>15</v>
      </c>
      <c r="B280" s="341">
        <f ca="1">IF(OR(C280=1,D280=1),SUMIF($A$21:A280,A280,$C$21:C280),"")</f>
        <v>0</v>
      </c>
      <c r="C280" s="341" t="str">
        <f t="shared" si="74"/>
        <v/>
      </c>
      <c r="D280" s="662">
        <f t="shared" si="75"/>
        <v>1</v>
      </c>
      <c r="E280" s="662"/>
      <c r="F280" s="132" t="str">
        <f t="shared" ref="F280:F307" ca="1" si="84">IF(B280&lt;&gt;"",A280&amp;"."&amp;B280,"")</f>
        <v>15.0</v>
      </c>
      <c r="G280" s="166"/>
      <c r="H280" s="166"/>
      <c r="I280" s="134" t="s">
        <v>4306</v>
      </c>
      <c r="J280" s="135"/>
      <c r="K280" s="136"/>
      <c r="L280" s="137"/>
      <c r="M280" s="137"/>
      <c r="N280" s="138">
        <f>SUM(N281:N305)</f>
        <v>48437.880000000012</v>
      </c>
      <c r="O280" s="344"/>
      <c r="P280" s="341"/>
      <c r="Q280" s="1625"/>
    </row>
    <row r="281" spans="1:17" s="338" customFormat="1" ht="16.5" customHeight="1" thickBot="1">
      <c r="A281" s="341">
        <f t="shared" ca="1" si="73"/>
        <v>15</v>
      </c>
      <c r="B281" s="341" t="str">
        <f>IF(OR(C281=1,D281=1),SUMIF($A$21:A281,A281,$C$21:C281),"")</f>
        <v/>
      </c>
      <c r="C281" s="341" t="str">
        <f t="shared" si="74"/>
        <v/>
      </c>
      <c r="D281" s="662" t="str">
        <f t="shared" si="75"/>
        <v/>
      </c>
      <c r="E281" s="662"/>
      <c r="F281" s="1512" t="str">
        <f t="shared" si="84"/>
        <v/>
      </c>
      <c r="G281" s="742"/>
      <c r="H281" s="742"/>
      <c r="I281" s="743" t="s">
        <v>1992</v>
      </c>
      <c r="J281" s="744"/>
      <c r="K281" s="745"/>
      <c r="L281" s="746"/>
      <c r="M281" s="747"/>
      <c r="N281" s="748"/>
      <c r="O281" s="344"/>
      <c r="P281" s="341"/>
      <c r="Q281" s="1625"/>
    </row>
    <row r="282" spans="1:17" s="338" customFormat="1" ht="45">
      <c r="A282" s="341">
        <f t="shared" ca="1" si="73"/>
        <v>15</v>
      </c>
      <c r="B282" s="341">
        <f ca="1">IF(OR(C282=1,D282=1),SUMIF($A$21:A282,A282,$C$21:C282),"")</f>
        <v>1</v>
      </c>
      <c r="C282" s="341">
        <f t="shared" si="74"/>
        <v>1</v>
      </c>
      <c r="D282" s="662" t="str">
        <f t="shared" si="75"/>
        <v/>
      </c>
      <c r="E282" s="662"/>
      <c r="F282" s="735" t="str">
        <f t="shared" ca="1" si="84"/>
        <v>15.1</v>
      </c>
      <c r="G282" s="1771">
        <v>92390</v>
      </c>
      <c r="H282" s="1099" t="str">
        <f t="shared" ref="H282:H299" si="85">IF(G282&gt;="CPU","PRÓPRIO","SINAPI")</f>
        <v>SINAPI</v>
      </c>
      <c r="I282" s="1098" t="str">
        <f>VLOOKUP($G282,IF(LEFT($G282,3)="CPU",COMPOSIÇÕES!$B$1:$E$4198,'BANCO DE DADOS JANEIRO-24 SERV'!$B$2:$F$7195),2,FALSE)</f>
        <v>JOELHO 90 GRAUS, EM FERRO GALVANIZADO, DN 65 (2 1/2"), CONEXÃO ROSQUEADA, INSTALADO EM REDE DE ALIMENTAÇÃO PARA HIDRANTE - FORNECIMENTO E INSTALAÇÃO. AF_10/2020</v>
      </c>
      <c r="J282" s="1099" t="str">
        <f>VLOOKUP($G282,IF(LEFT($G282,3)="CPU",COMPOSIÇÕES!$B$1:$E$4198,'BANCO DE DADOS JANEIRO-24 SERV'!$B$2:$F$7195),3,FALSE)</f>
        <v>UN</v>
      </c>
      <c r="K282" s="1219">
        <v>7</v>
      </c>
      <c r="L282" s="1190">
        <f>VLOOKUP($G282,IF(LEFT($G282,3)="CPU",COMPOSIÇÕES!$B$1:$E$4198,'BANCO DE DADOS JANEIRO-24 SERV'!$B$2:$F$7195),4,FALSE)</f>
        <v>125.66</v>
      </c>
      <c r="M282" s="1190">
        <f t="shared" ref="M282:M299" si="86">IF($Q$2="OUTROS",TRUNC(L282*(1+$N$7),2),ROUND(L282*(1+$N$7),2))</f>
        <v>156.06</v>
      </c>
      <c r="N282" s="369">
        <f t="shared" ref="N282:N299" si="87">IF($Q$2="OUTROS",TRUNC(M282*K282,2),ROUND(M282*K282,2))</f>
        <v>1092.42</v>
      </c>
      <c r="O282" s="344"/>
      <c r="P282" s="341"/>
      <c r="Q282" s="1625"/>
    </row>
    <row r="283" spans="1:17" s="338" customFormat="1" ht="30">
      <c r="A283" s="341">
        <f t="shared" ca="1" si="73"/>
        <v>15</v>
      </c>
      <c r="B283" s="341">
        <f ca="1">IF(OR(C283=1,D283=1),SUMIF($A$21:A283,A283,$C$21:C283),"")</f>
        <v>2</v>
      </c>
      <c r="C283" s="341">
        <f t="shared" si="74"/>
        <v>1</v>
      </c>
      <c r="D283" s="662" t="str">
        <f t="shared" si="75"/>
        <v/>
      </c>
      <c r="E283" s="662"/>
      <c r="F283" s="1188" t="str">
        <f t="shared" ca="1" si="84"/>
        <v>15.2</v>
      </c>
      <c r="G283" s="1192">
        <v>92336</v>
      </c>
      <c r="H283" s="1099" t="str">
        <f t="shared" si="85"/>
        <v>SINAPI</v>
      </c>
      <c r="I283" s="1098" t="str">
        <f>VLOOKUP($G283,IF(LEFT($G283,3)="CPU",COMPOSIÇÕES!$B$1:$E$4198,'BANCO DE DADOS JANEIRO-24 SERV'!$B$2:$F$7195),2,FALSE)</f>
        <v>TUBO DE AÇO GALVANIZADO COM COSTURA, CLASSE MÉDIA, CONEXÃO RANHURADA, DN 65 (2 1/2"), INSTALADO EM PRUMADAS - FORNECIMENTO E INSTALAÇÃO. AF_10/2020</v>
      </c>
      <c r="J283" s="1099" t="str">
        <f>VLOOKUP($G283,IF(LEFT($G283,3)="CPU",COMPOSIÇÕES!$B$1:$E$4198,'BANCO DE DADOS JANEIRO-24 SERV'!$B$2:$F$7195),3,FALSE)</f>
        <v>M</v>
      </c>
      <c r="K283" s="1192">
        <v>10.83</v>
      </c>
      <c r="L283" s="1190">
        <f>VLOOKUP($G283,IF(LEFT($G283,3)="CPU",COMPOSIÇÕES!$B$1:$E$4198,'BANCO DE DADOS JANEIRO-24 SERV'!$B$2:$F$7195),4,FALSE)</f>
        <v>108.15</v>
      </c>
      <c r="M283" s="1190">
        <f t="shared" si="86"/>
        <v>134.32</v>
      </c>
      <c r="N283" s="1191">
        <f t="shared" si="87"/>
        <v>1454.68</v>
      </c>
      <c r="O283" s="344"/>
      <c r="P283" s="341"/>
      <c r="Q283" s="1625"/>
    </row>
    <row r="284" spans="1:17" s="338" customFormat="1" ht="30">
      <c r="A284" s="341">
        <f t="shared" ca="1" si="73"/>
        <v>15</v>
      </c>
      <c r="B284" s="341">
        <f ca="1">IF(OR(C284=1,D284=1),SUMIF($A$21:A284,A284,$C$21:C284),"")</f>
        <v>3</v>
      </c>
      <c r="C284" s="341">
        <f t="shared" si="74"/>
        <v>1</v>
      </c>
      <c r="D284" s="662" t="str">
        <f t="shared" si="75"/>
        <v/>
      </c>
      <c r="E284" s="662"/>
      <c r="F284" s="1188" t="str">
        <f t="shared" ca="1" si="84"/>
        <v>15.3</v>
      </c>
      <c r="G284" s="1192">
        <v>97440</v>
      </c>
      <c r="H284" s="1099" t="str">
        <f t="shared" si="85"/>
        <v>SINAPI</v>
      </c>
      <c r="I284" s="1098" t="str">
        <f>VLOOKUP($G284,IF(LEFT($G284,3)="CPU",COMPOSIÇÕES!$B$1:$E$4198,'BANCO DE DADOS JANEIRO-24 SERV'!$B$2:$F$7195),2,FALSE)</f>
        <v>TÊ, EM AÇO, CONEXÃO RANHURADA, DN 65 (2 1/2"), INSTALADO EM PRUMADAS - FORNECIMENTO E INSTALAÇÃO. AF_10/2020</v>
      </c>
      <c r="J284" s="1099" t="str">
        <f>VLOOKUP($G284,IF(LEFT($G284,3)="CPU",COMPOSIÇÕES!$B$1:$E$4198,'BANCO DE DADOS JANEIRO-24 SERV'!$B$2:$F$7195),3,FALSE)</f>
        <v>UN</v>
      </c>
      <c r="K284" s="1192">
        <v>1</v>
      </c>
      <c r="L284" s="1190">
        <f>VLOOKUP($G284,IF(LEFT($G284,3)="CPU",COMPOSIÇÕES!$B$1:$E$4198,'BANCO DE DADOS JANEIRO-24 SERV'!$B$2:$F$7195),4,FALSE)</f>
        <v>170.24</v>
      </c>
      <c r="M284" s="1190">
        <f t="shared" si="86"/>
        <v>211.43</v>
      </c>
      <c r="N284" s="1191">
        <f t="shared" si="87"/>
        <v>211.43</v>
      </c>
      <c r="O284" s="344"/>
      <c r="P284" s="341"/>
      <c r="Q284" s="1625"/>
    </row>
    <row r="285" spans="1:17" s="338" customFormat="1" ht="45">
      <c r="A285" s="341">
        <f t="shared" ca="1" si="73"/>
        <v>15</v>
      </c>
      <c r="B285" s="341">
        <f ca="1">IF(OR(C285=1,D285=1),SUMIF($A$21:A285,A285,$C$21:C285),"")</f>
        <v>4</v>
      </c>
      <c r="C285" s="341">
        <f t="shared" si="74"/>
        <v>1</v>
      </c>
      <c r="D285" s="662" t="str">
        <f t="shared" si="75"/>
        <v/>
      </c>
      <c r="E285" s="662"/>
      <c r="F285" s="1188" t="str">
        <f t="shared" ca="1" si="84"/>
        <v>15.4</v>
      </c>
      <c r="G285" s="1192">
        <v>96765</v>
      </c>
      <c r="H285" s="1099" t="str">
        <f t="shared" si="85"/>
        <v>SINAPI</v>
      </c>
      <c r="I285" s="1098" t="str">
        <f>VLOOKUP($G285,IF(LEFT($G285,3)="CPU",COMPOSIÇÕES!$B$1:$E$4198,'BANCO DE DADOS JANEIRO-24 SERV'!$B$2:$F$7195),2,FALSE)</f>
        <v>ABRIGO PARA HIDRANTE, 90X60X17CM, COM REGISTRO GLOBO ANGULAR 45 GRAUS 2 1/2", ADAPTADOR STORZ 2 1/2", MANGUEIRA DE INCÊNDIO 20M, REDUÇÃO 2 1/2" X 1 1/2" E ESGUICHO EM LATÃO 1 1/2" - FORNECIMENTO E INSTALAÇÃO. AF_10/2020</v>
      </c>
      <c r="J285" s="1099" t="str">
        <f>VLOOKUP($G285,IF(LEFT($G285,3)="CPU",COMPOSIÇÕES!$B$1:$E$4198,'BANCO DE DADOS JANEIRO-24 SERV'!$B$2:$F$7195),3,FALSE)</f>
        <v>UN</v>
      </c>
      <c r="K285" s="1192">
        <v>2</v>
      </c>
      <c r="L285" s="1190">
        <f>VLOOKUP($G285,IF(LEFT($G285,3)="CPU",COMPOSIÇÕES!$B$1:$E$4198,'BANCO DE DADOS JANEIRO-24 SERV'!$B$2:$F$7195),4,FALSE)</f>
        <v>1522.99</v>
      </c>
      <c r="M285" s="1190">
        <f t="shared" si="86"/>
        <v>1891.55</v>
      </c>
      <c r="N285" s="1191">
        <f t="shared" si="87"/>
        <v>3783.1</v>
      </c>
      <c r="O285" s="344"/>
      <c r="P285" s="341"/>
      <c r="Q285" s="1625"/>
    </row>
    <row r="286" spans="1:17" s="338" customFormat="1" ht="30" customHeight="1">
      <c r="A286" s="341">
        <f t="shared" ca="1" si="73"/>
        <v>15</v>
      </c>
      <c r="B286" s="341">
        <f ca="1">IF(OR(C286=1,D286=1),SUMIF($A$21:A286,A286,$C$21:C286),"")</f>
        <v>5</v>
      </c>
      <c r="C286" s="341">
        <f t="shared" si="74"/>
        <v>1</v>
      </c>
      <c r="D286" s="662" t="str">
        <f t="shared" si="75"/>
        <v/>
      </c>
      <c r="E286" s="662"/>
      <c r="F286" s="1188" t="str">
        <f t="shared" ca="1" si="84"/>
        <v>15.5</v>
      </c>
      <c r="G286" s="1192">
        <v>89519</v>
      </c>
      <c r="H286" s="1099" t="str">
        <f t="shared" si="85"/>
        <v>SINAPI</v>
      </c>
      <c r="I286" s="1098" t="str">
        <f>VLOOKUP($G286,IF(LEFT($G286,3)="CPU",COMPOSIÇÕES!$B$1:$E$4198,'BANCO DE DADOS JANEIRO-24 SERV'!$B$2:$F$7195),2,FALSE)</f>
        <v>CURVA 45 GRAUS, PVC, SOLDÁVEL, DN 75MM, INSTALADO EM PRUMADA DE ÁGUA - FORNECIMENTO E INSTALAÇÃO. AF_06/2022</v>
      </c>
      <c r="J286" s="1099" t="str">
        <f>VLOOKUP($G286,IF(LEFT($G286,3)="CPU",COMPOSIÇÕES!$B$1:$E$4198,'BANCO DE DADOS JANEIRO-24 SERV'!$B$2:$F$7195),3,FALSE)</f>
        <v>UN</v>
      </c>
      <c r="K286" s="1192">
        <v>1</v>
      </c>
      <c r="L286" s="1190">
        <f>VLOOKUP($G286,IF(LEFT($G286,3)="CPU",COMPOSIÇÕES!$B$1:$E$4198,'BANCO DE DADOS JANEIRO-24 SERV'!$B$2:$F$7195),4,FALSE)</f>
        <v>44.41</v>
      </c>
      <c r="M286" s="1190">
        <f t="shared" si="86"/>
        <v>55.15</v>
      </c>
      <c r="N286" s="1191">
        <f t="shared" si="87"/>
        <v>55.15</v>
      </c>
      <c r="O286" s="344"/>
      <c r="P286" s="341"/>
      <c r="Q286" s="1625"/>
    </row>
    <row r="287" spans="1:17" s="338" customFormat="1" ht="30">
      <c r="A287" s="341">
        <f t="shared" ca="1" si="73"/>
        <v>15</v>
      </c>
      <c r="B287" s="341">
        <f ca="1">IF(OR(C287=1,D287=1),SUMIF($A$21:A287,A287,$C$21:C287),"")</f>
        <v>6</v>
      </c>
      <c r="C287" s="341">
        <f t="shared" si="74"/>
        <v>1</v>
      </c>
      <c r="D287" s="662" t="str">
        <f t="shared" si="75"/>
        <v/>
      </c>
      <c r="E287" s="662"/>
      <c r="F287" s="1188" t="str">
        <f t="shared" ca="1" si="84"/>
        <v>15.6</v>
      </c>
      <c r="G287" s="1192">
        <v>89517</v>
      </c>
      <c r="H287" s="1099" t="str">
        <f t="shared" si="85"/>
        <v>SINAPI</v>
      </c>
      <c r="I287" s="1098" t="str">
        <f>VLOOKUP($G287,IF(LEFT($G287,3)="CPU",COMPOSIÇÕES!$B$1:$E$4198,'BANCO DE DADOS JANEIRO-24 SERV'!$B$2:$F$7195),2,FALSE)</f>
        <v>CURVA 90 GRAUS, PVC, SOLDÁVEL, DN 75MM, INSTALADO EM PRUMADA DE ÁGUA - FORNECIMENTO E INSTALAÇÃO. AF_06/2022</v>
      </c>
      <c r="J287" s="1099" t="str">
        <f>VLOOKUP($G287,IF(LEFT($G287,3)="CPU",COMPOSIÇÕES!$B$1:$E$4198,'BANCO DE DADOS JANEIRO-24 SERV'!$B$2:$F$7195),3,FALSE)</f>
        <v>UN</v>
      </c>
      <c r="K287" s="1192">
        <v>2</v>
      </c>
      <c r="L287" s="1190">
        <f>VLOOKUP($G287,IF(LEFT($G287,3)="CPU",COMPOSIÇÕES!$B$1:$E$4198,'BANCO DE DADOS JANEIRO-24 SERV'!$B$2:$F$7195),4,FALSE)</f>
        <v>64.760000000000005</v>
      </c>
      <c r="M287" s="1190">
        <f t="shared" si="86"/>
        <v>80.430000000000007</v>
      </c>
      <c r="N287" s="1191">
        <f t="shared" si="87"/>
        <v>160.86000000000001</v>
      </c>
      <c r="O287" s="344"/>
      <c r="P287" s="341"/>
      <c r="Q287" s="1625"/>
    </row>
    <row r="288" spans="1:17" s="338" customFormat="1" ht="30">
      <c r="A288" s="341">
        <f t="shared" ca="1" si="73"/>
        <v>15</v>
      </c>
      <c r="B288" s="341">
        <f ca="1">IF(OR(C288=1,D288=1),SUMIF($A$21:A288,A288,$C$21:C288),"")</f>
        <v>7</v>
      </c>
      <c r="C288" s="341">
        <f t="shared" si="74"/>
        <v>1</v>
      </c>
      <c r="D288" s="662" t="str">
        <f t="shared" si="75"/>
        <v/>
      </c>
      <c r="E288" s="662"/>
      <c r="F288" s="1188" t="str">
        <f t="shared" ca="1" si="84"/>
        <v>15.7</v>
      </c>
      <c r="G288" s="1192">
        <v>89451</v>
      </c>
      <c r="H288" s="1099" t="str">
        <f t="shared" si="85"/>
        <v>SINAPI</v>
      </c>
      <c r="I288" s="1098" t="str">
        <f>VLOOKUP($G288,IF(LEFT($G288,3)="CPU",COMPOSIÇÕES!$B$1:$E$4198,'BANCO DE DADOS JANEIRO-24 SERV'!$B$2:$F$7195),2,FALSE)</f>
        <v>TUBO, PVC, SOLDÁVEL, DN 75MM, INSTALADO EM PRUMADA DE ÁGUA - FORNECIMENTO E INSTALAÇÃO. AF_06/2022</v>
      </c>
      <c r="J288" s="1099" t="str">
        <f>VLOOKUP($G288,IF(LEFT($G288,3)="CPU",COMPOSIÇÕES!$B$1:$E$4198,'BANCO DE DADOS JANEIRO-24 SERV'!$B$2:$F$7195),3,FALSE)</f>
        <v>M</v>
      </c>
      <c r="K288" s="1192">
        <v>11.23</v>
      </c>
      <c r="L288" s="1190">
        <f>VLOOKUP($G288,IF(LEFT($G288,3)="CPU",COMPOSIÇÕES!$B$1:$E$4198,'BANCO DE DADOS JANEIRO-24 SERV'!$B$2:$F$7195),4,FALSE)</f>
        <v>44.31</v>
      </c>
      <c r="M288" s="1190">
        <f t="shared" si="86"/>
        <v>55.03</v>
      </c>
      <c r="N288" s="1191">
        <f t="shared" si="87"/>
        <v>617.98</v>
      </c>
      <c r="O288" s="344"/>
      <c r="P288" s="341"/>
      <c r="Q288" s="1625"/>
    </row>
    <row r="289" spans="1:17" s="338" customFormat="1" ht="30">
      <c r="A289" s="341">
        <f t="shared" ca="1" si="73"/>
        <v>15</v>
      </c>
      <c r="B289" s="341">
        <f ca="1">IF(OR(C289=1,D289=1),SUMIF($A$21:A289,A289,$C$21:C289),"")</f>
        <v>8</v>
      </c>
      <c r="C289" s="341">
        <f t="shared" si="74"/>
        <v>1</v>
      </c>
      <c r="D289" s="662" t="str">
        <f t="shared" si="75"/>
        <v/>
      </c>
      <c r="E289" s="662"/>
      <c r="F289" s="1188" t="str">
        <f t="shared" ca="1" si="84"/>
        <v>15.8</v>
      </c>
      <c r="G289" s="1192">
        <v>101908</v>
      </c>
      <c r="H289" s="1099" t="str">
        <f t="shared" si="85"/>
        <v>SINAPI</v>
      </c>
      <c r="I289" s="1098" t="str">
        <f>VLOOKUP($G289,IF(LEFT($G289,3)="CPU",COMPOSIÇÕES!$B$1:$E$4198,'BANCO DE DADOS JANEIRO-24 SERV'!$B$2:$F$7195),2,FALSE)</f>
        <v>EXTINTOR DE INCÊNDIO PORTÁTIL COM CARGA DE PQS DE 4 KG, CLASSE BC - FORNECIMENTO E INSTALAÇÃO. AF_10/2020_PE</v>
      </c>
      <c r="J289" s="1099" t="str">
        <f>VLOOKUP($G289,IF(LEFT($G289,3)="CPU",COMPOSIÇÕES!$B$1:$E$4198,'BANCO DE DADOS JANEIRO-24 SERV'!$B$2:$F$7195),3,FALSE)</f>
        <v>UN</v>
      </c>
      <c r="K289" s="1192">
        <v>10</v>
      </c>
      <c r="L289" s="1190">
        <f>VLOOKUP($G289,IF(LEFT($G289,3)="CPU",COMPOSIÇÕES!$B$1:$E$4198,'BANCO DE DADOS JANEIRO-24 SERV'!$B$2:$F$7195),4,FALSE)</f>
        <v>250.96</v>
      </c>
      <c r="M289" s="1190">
        <f t="shared" si="86"/>
        <v>311.69</v>
      </c>
      <c r="N289" s="1191">
        <f t="shared" si="87"/>
        <v>3116.9</v>
      </c>
      <c r="O289" s="344"/>
      <c r="P289" s="341"/>
      <c r="Q289" s="1625"/>
    </row>
    <row r="290" spans="1:17" s="338" customFormat="1" ht="30">
      <c r="A290" s="341">
        <f t="shared" ca="1" si="73"/>
        <v>15</v>
      </c>
      <c r="B290" s="341">
        <f ca="1">IF(OR(C290=1,D290=1),SUMIF($A$21:A290,A290,$C$21:C290),"")</f>
        <v>9</v>
      </c>
      <c r="C290" s="341">
        <f t="shared" si="74"/>
        <v>1</v>
      </c>
      <c r="D290" s="662" t="str">
        <f t="shared" si="75"/>
        <v/>
      </c>
      <c r="E290" s="662"/>
      <c r="F290" s="1188" t="str">
        <f t="shared" ca="1" si="84"/>
        <v>15.9</v>
      </c>
      <c r="G290" s="1192">
        <v>101906</v>
      </c>
      <c r="H290" s="1099" t="str">
        <f t="shared" si="85"/>
        <v>SINAPI</v>
      </c>
      <c r="I290" s="1098" t="str">
        <f>VLOOKUP($G290,IF(LEFT($G290,3)="CPU",COMPOSIÇÕES!$B$1:$E$4198,'BANCO DE DADOS JANEIRO-24 SERV'!$B$2:$F$7195),2,FALSE)</f>
        <v>EXTINTOR DE INCÊNDIO PORTÁTIL COM CARGA DE CO2 DE 4 KG, CLASSE BC - FORNECIMENTO E INSTALAÇÃO. AF_10/2020_PE</v>
      </c>
      <c r="J290" s="1099" t="str">
        <f>VLOOKUP($G290,IF(LEFT($G290,3)="CPU",COMPOSIÇÕES!$B$1:$E$4198,'BANCO DE DADOS JANEIRO-24 SERV'!$B$2:$F$7195),3,FALSE)</f>
        <v>UN</v>
      </c>
      <c r="K290" s="1192">
        <v>10</v>
      </c>
      <c r="L290" s="1190">
        <f>VLOOKUP($G290,IF(LEFT($G290,3)="CPU",COMPOSIÇÕES!$B$1:$E$4198,'BANCO DE DADOS JANEIRO-24 SERV'!$B$2:$F$7195),4,FALSE)</f>
        <v>770.19</v>
      </c>
      <c r="M290" s="1190">
        <f t="shared" si="86"/>
        <v>956.57</v>
      </c>
      <c r="N290" s="1191">
        <f t="shared" si="87"/>
        <v>9565.7000000000007</v>
      </c>
      <c r="O290" s="344"/>
      <c r="P290" s="341"/>
      <c r="Q290" s="1625"/>
    </row>
    <row r="291" spans="1:17" s="338" customFormat="1" ht="45">
      <c r="A291" s="341">
        <f t="shared" ca="1" si="73"/>
        <v>15</v>
      </c>
      <c r="B291" s="341">
        <f ca="1">IF(OR(C291=1,D291=1),SUMIF($A$21:A291,A291,$C$21:C291),"")</f>
        <v>10</v>
      </c>
      <c r="C291" s="341">
        <f t="shared" si="74"/>
        <v>1</v>
      </c>
      <c r="D291" s="662" t="str">
        <f t="shared" si="75"/>
        <v/>
      </c>
      <c r="E291" s="662"/>
      <c r="F291" s="1188" t="str">
        <f ca="1">IF(B291&lt;&gt;"",A291&amp;"."&amp;B291,"")</f>
        <v>15.10</v>
      </c>
      <c r="G291" s="1192" t="str">
        <f>'COMP. INC'!B17</f>
        <v>CPU INC 001</v>
      </c>
      <c r="H291" s="1099" t="str">
        <f t="shared" si="85"/>
        <v>PRÓPRIO</v>
      </c>
      <c r="I291" s="1098" t="str">
        <f>VLOOKUP($G291,IF(LEFT($G291,3)="CPU",COMPOSIÇÕES!$B$1:$E$4198,'BANCO DE DADOS JANEIRO-24 SERV'!$B$2:$F$7195),2,FALSE)</f>
        <v xml:space="preserve">FORNECIMENTO E INSTALAÇÃO DE PLACA DE SINALIZACAO DE SEGURANCA CONTRA INCENDIO, FOTOLUMINESCENTE, RETANGULAR, *13 X 26* CM, EM PVC *2* MM ANTI-CHAMAS (SIMBOLOS, CORES E PICTOGRAMAS CONFORME NBR 16820)                                                                                                                                                                                                                                                                                                                               </v>
      </c>
      <c r="J291" s="1099" t="str">
        <f>VLOOKUP($G291,IF(LEFT($G291,3)="CPU",COMPOSIÇÕES!$B$1:$E$4198,'BANCO DE DADOS JANEIRO-24 SERV'!$B$2:$F$7195),3,FALSE)</f>
        <v>UN</v>
      </c>
      <c r="K291" s="1192">
        <v>1.895</v>
      </c>
      <c r="L291" s="1190">
        <f>VLOOKUP($G291,IF(LEFT($G291,3)="CPU",COMPOSIÇÕES!$B$1:$E$4198,'BANCO DE DADOS JANEIRO-24 SERV'!$B$2:$F$7195),4,FALSE)</f>
        <v>21.959999999999997</v>
      </c>
      <c r="M291" s="1190">
        <f>IF($Q$2="OUTROS",TRUNC(L291*(1+$N$7),2),ROUND(L291*(1+$N$7),2))</f>
        <v>27.27</v>
      </c>
      <c r="N291" s="1191">
        <f>IF($Q$2="OUTROS",TRUNC(M291*K291,2),ROUND(M291*K291,2))</f>
        <v>51.67</v>
      </c>
      <c r="O291" s="344"/>
      <c r="P291" s="341"/>
      <c r="Q291" s="1625"/>
    </row>
    <row r="292" spans="1:17" s="338" customFormat="1" ht="30">
      <c r="A292" s="341">
        <f t="shared" ca="1" si="73"/>
        <v>15</v>
      </c>
      <c r="B292" s="341">
        <f ca="1">IF(OR(C292=1,D292=1),SUMIF($A$21:A292,A292,$C$21:C292),"")</f>
        <v>11</v>
      </c>
      <c r="C292" s="341">
        <f t="shared" si="74"/>
        <v>1</v>
      </c>
      <c r="D292" s="662" t="str">
        <f t="shared" si="75"/>
        <v/>
      </c>
      <c r="E292" s="662"/>
      <c r="F292" s="1188" t="str">
        <f t="shared" ca="1" si="84"/>
        <v>15.11</v>
      </c>
      <c r="G292" s="1192">
        <v>91942</v>
      </c>
      <c r="H292" s="1099" t="str">
        <f t="shared" si="85"/>
        <v>SINAPI</v>
      </c>
      <c r="I292" s="1098" t="str">
        <f>VLOOKUP($G292,IF(LEFT($G292,3)="CPU",COMPOSIÇÕES!$B$1:$E$4198,'BANCO DE DADOS JANEIRO-24 SERV'!$B$2:$F$7195),2,FALSE)</f>
        <v>CAIXA RETANGULAR 4" X 4" ALTA (2,00 M DO PISO), PVC, INSTALADA EM PAREDE - FORNECIMENTO E INSTALAÇÃO. AF_03/2023</v>
      </c>
      <c r="J292" s="1099" t="str">
        <f>VLOOKUP($G292,IF(LEFT($G292,3)="CPU",COMPOSIÇÕES!$B$1:$E$4198,'BANCO DE DADOS JANEIRO-24 SERV'!$B$2:$F$7195),3,FALSE)</f>
        <v>UN</v>
      </c>
      <c r="K292" s="1192">
        <v>50</v>
      </c>
      <c r="L292" s="1190">
        <f>VLOOKUP($G292,IF(LEFT($G292,3)="CPU",COMPOSIÇÕES!$B$1:$E$4198,'BANCO DE DADOS JANEIRO-24 SERV'!$B$2:$F$7195),4,FALSE)</f>
        <v>33.75</v>
      </c>
      <c r="M292" s="1190">
        <f t="shared" si="86"/>
        <v>41.91</v>
      </c>
      <c r="N292" s="1191">
        <f t="shared" si="87"/>
        <v>2095.5</v>
      </c>
      <c r="O292" s="344"/>
      <c r="P292" s="341"/>
      <c r="Q292" s="1625"/>
    </row>
    <row r="293" spans="1:17" s="338" customFormat="1" ht="45">
      <c r="A293" s="341">
        <f t="shared" ca="1" si="73"/>
        <v>15</v>
      </c>
      <c r="B293" s="341">
        <f ca="1">IF(OR(C293=1,D293=1),SUMIF($A$21:A293,A293,$C$21:C293),"")</f>
        <v>12</v>
      </c>
      <c r="C293" s="341">
        <f t="shared" si="74"/>
        <v>1</v>
      </c>
      <c r="D293" s="662" t="str">
        <f t="shared" si="75"/>
        <v/>
      </c>
      <c r="E293" s="662"/>
      <c r="F293" s="1188" t="str">
        <f t="shared" ca="1" si="84"/>
        <v>15.12</v>
      </c>
      <c r="G293" s="1192" t="str">
        <f>'COMP. INC'!B25</f>
        <v>CPU INC 002</v>
      </c>
      <c r="H293" s="1099" t="str">
        <f t="shared" si="85"/>
        <v>PRÓPRIO</v>
      </c>
      <c r="I293" s="1098" t="str">
        <f>VLOOKUP($G293,IF(LEFT($G293,3)="CPU",COMPOSIÇÕES!$B$1:$E$4198,'BANCO DE DADOS JANEIRO-24 SERV'!$B$2:$F$7195),2,FALSE)</f>
        <v xml:space="preserve">FORNECIMENTO E INSTALAÇÃO DE BUCHA DE NYLON, DIAMETRO DO FURO 8 MM, COMPRIMENTO 40 MM, COM PARAFUSO DE ROSCA SOBERBA, CABECA CHATA, FENDA SIMPLES, 4,8 X 50 MM                                                                                                                                                                                                                                                                                                                                                                         </v>
      </c>
      <c r="J293" s="1099" t="str">
        <f>VLOOKUP($G293,IF(LEFT($G293,3)="CPU",COMPOSIÇÕES!$B$1:$E$4198,'BANCO DE DADOS JANEIRO-24 SERV'!$B$2:$F$7195),3,FALSE)</f>
        <v>UN</v>
      </c>
      <c r="K293" s="1192">
        <v>10</v>
      </c>
      <c r="L293" s="1190">
        <f>VLOOKUP($G293,IF(LEFT($G293,3)="CPU",COMPOSIÇÕES!$B$1:$E$4198,'BANCO DE DADOS JANEIRO-24 SERV'!$B$2:$F$7195),4,FALSE)</f>
        <v>5.32</v>
      </c>
      <c r="M293" s="1190">
        <f t="shared" si="86"/>
        <v>6.6</v>
      </c>
      <c r="N293" s="1191">
        <f t="shared" si="87"/>
        <v>66</v>
      </c>
      <c r="O293" s="344"/>
      <c r="P293" s="341"/>
      <c r="Q293" s="1625"/>
    </row>
    <row r="294" spans="1:17" s="338" customFormat="1" ht="30">
      <c r="A294" s="341">
        <f t="shared" ca="1" si="73"/>
        <v>15</v>
      </c>
      <c r="B294" s="341">
        <f ca="1">IF(OR(C294=1,D294=1),SUMIF($A$21:A294,A294,$C$21:C294),"")</f>
        <v>13</v>
      </c>
      <c r="C294" s="341">
        <f t="shared" si="74"/>
        <v>1</v>
      </c>
      <c r="D294" s="662" t="str">
        <f t="shared" si="75"/>
        <v/>
      </c>
      <c r="E294" s="662"/>
      <c r="F294" s="1188" t="str">
        <f t="shared" ca="1" si="84"/>
        <v>15.13</v>
      </c>
      <c r="G294" s="1192">
        <v>91926</v>
      </c>
      <c r="H294" s="1099" t="str">
        <f t="shared" si="85"/>
        <v>SINAPI</v>
      </c>
      <c r="I294" s="1098" t="str">
        <f>VLOOKUP($G294,IF(LEFT($G294,3)="CPU",COMPOSIÇÕES!$B$1:$E$4198,'BANCO DE DADOS JANEIRO-24 SERV'!$B$2:$F$7195),2,FALSE)</f>
        <v>CABO DE COBRE FLEXÍVEL ISOLADO, 2,5 MM², ANTI-CHAMA 450/750 V, PARA CIRCUITOS TERMINAIS - FORNECIMENTO E INSTALAÇÃO. AF_03/2023</v>
      </c>
      <c r="J294" s="1099" t="str">
        <f>VLOOKUP($G294,IF(LEFT($G294,3)="CPU",COMPOSIÇÕES!$B$1:$E$4198,'BANCO DE DADOS JANEIRO-24 SERV'!$B$2:$F$7195),3,FALSE)</f>
        <v>M</v>
      </c>
      <c r="K294" s="1192">
        <v>1362.16</v>
      </c>
      <c r="L294" s="1190">
        <f>VLOOKUP($G294,IF(LEFT($G294,3)="CPU",COMPOSIÇÕES!$B$1:$E$4198,'BANCO DE DADOS JANEIRO-24 SERV'!$B$2:$F$7195),4,FALSE)</f>
        <v>4.0199999999999996</v>
      </c>
      <c r="M294" s="1190">
        <f t="shared" si="86"/>
        <v>4.99</v>
      </c>
      <c r="N294" s="1191">
        <f t="shared" si="87"/>
        <v>6797.17</v>
      </c>
      <c r="O294" s="344"/>
      <c r="P294" s="341"/>
      <c r="Q294" s="1625"/>
    </row>
    <row r="295" spans="1:17" s="338" customFormat="1" ht="30">
      <c r="A295" s="341">
        <f t="shared" ca="1" si="73"/>
        <v>15</v>
      </c>
      <c r="B295" s="341">
        <f ca="1">IF(OR(C295=1,D295=1),SUMIF($A$21:A295,A295,$C$21:C295),"")</f>
        <v>14</v>
      </c>
      <c r="C295" s="341">
        <f t="shared" si="74"/>
        <v>1</v>
      </c>
      <c r="D295" s="662" t="str">
        <f t="shared" si="75"/>
        <v/>
      </c>
      <c r="E295" s="662"/>
      <c r="F295" s="1188" t="str">
        <f t="shared" ca="1" si="84"/>
        <v>15.14</v>
      </c>
      <c r="G295" s="1192">
        <v>91928</v>
      </c>
      <c r="H295" s="1099" t="str">
        <f t="shared" si="85"/>
        <v>SINAPI</v>
      </c>
      <c r="I295" s="1098" t="str">
        <f>VLOOKUP($G295,IF(LEFT($G295,3)="CPU",COMPOSIÇÕES!$B$1:$E$4198,'BANCO DE DADOS JANEIRO-24 SERV'!$B$2:$F$7195),2,FALSE)</f>
        <v>CABO DE COBRE FLEXÍVEL ISOLADO, 4 MM², ANTI-CHAMA 450/750 V, PARA CIRCUITOS TERMINAIS - FORNECIMENTO E INSTALAÇÃO. AF_03/2023</v>
      </c>
      <c r="J295" s="1099" t="str">
        <f>VLOOKUP($G295,IF(LEFT($G295,3)="CPU",COMPOSIÇÕES!$B$1:$E$4198,'BANCO DE DADOS JANEIRO-24 SERV'!$B$2:$F$7195),3,FALSE)</f>
        <v>M</v>
      </c>
      <c r="K295" s="1192">
        <v>254.05</v>
      </c>
      <c r="L295" s="1190">
        <f>VLOOKUP($G295,IF(LEFT($G295,3)="CPU",COMPOSIÇÕES!$B$1:$E$4198,'BANCO DE DADOS JANEIRO-24 SERV'!$B$2:$F$7195),4,FALSE)</f>
        <v>6.21</v>
      </c>
      <c r="M295" s="1190">
        <f t="shared" si="86"/>
        <v>7.71</v>
      </c>
      <c r="N295" s="1191">
        <f t="shared" si="87"/>
        <v>1958.72</v>
      </c>
      <c r="O295" s="344"/>
      <c r="P295" s="341"/>
      <c r="Q295" s="1625"/>
    </row>
    <row r="296" spans="1:17" s="338" customFormat="1" ht="30">
      <c r="A296" s="341">
        <f t="shared" ca="1" si="73"/>
        <v>15</v>
      </c>
      <c r="B296" s="341">
        <f ca="1">IF(OR(C296=1,D296=1),SUMIF($A$21:A296,A296,$C$21:C296),"")</f>
        <v>15</v>
      </c>
      <c r="C296" s="341">
        <f t="shared" si="74"/>
        <v>1</v>
      </c>
      <c r="D296" s="662" t="str">
        <f t="shared" si="75"/>
        <v/>
      </c>
      <c r="E296" s="662"/>
      <c r="F296" s="1188" t="str">
        <f t="shared" ca="1" si="84"/>
        <v>15.15</v>
      </c>
      <c r="G296" s="1192">
        <v>91930</v>
      </c>
      <c r="H296" s="1099" t="str">
        <f t="shared" si="85"/>
        <v>SINAPI</v>
      </c>
      <c r="I296" s="1098" t="str">
        <f>VLOOKUP($G296,IF(LEFT($G296,3)="CPU",COMPOSIÇÕES!$B$1:$E$4198,'BANCO DE DADOS JANEIRO-24 SERV'!$B$2:$F$7195),2,FALSE)</f>
        <v>CABO DE COBRE FLEXÍVEL ISOLADO, 6 MM², ANTI-CHAMA 450/750 V, PARA CIRCUITOS TERMINAIS - FORNECIMENTO E INSTALAÇÃO. AF_03/2023</v>
      </c>
      <c r="J296" s="1099" t="str">
        <f>VLOOKUP($G296,IF(LEFT($G296,3)="CPU",COMPOSIÇÕES!$B$1:$E$4198,'BANCO DE DADOS JANEIRO-24 SERV'!$B$2:$F$7195),3,FALSE)</f>
        <v>M</v>
      </c>
      <c r="K296" s="1192">
        <v>255.52</v>
      </c>
      <c r="L296" s="1190">
        <f>VLOOKUP($G296,IF(LEFT($G296,3)="CPU",COMPOSIÇÕES!$B$1:$E$4198,'BANCO DE DADOS JANEIRO-24 SERV'!$B$2:$F$7195),4,FALSE)</f>
        <v>8.67</v>
      </c>
      <c r="M296" s="1190">
        <f t="shared" si="86"/>
        <v>10.76</v>
      </c>
      <c r="N296" s="1191">
        <f t="shared" si="87"/>
        <v>2749.39</v>
      </c>
      <c r="O296" s="344"/>
      <c r="P296" s="341"/>
      <c r="Q296" s="1625"/>
    </row>
    <row r="297" spans="1:17" s="338" customFormat="1" ht="45">
      <c r="A297" s="341">
        <f t="shared" ca="1" si="73"/>
        <v>15</v>
      </c>
      <c r="B297" s="341">
        <f ca="1">IF(OR(C297=1,D297=1),SUMIF($A$21:A297,A297,$C$21:C297),"")</f>
        <v>16</v>
      </c>
      <c r="C297" s="341">
        <f t="shared" si="74"/>
        <v>1</v>
      </c>
      <c r="D297" s="662" t="str">
        <f t="shared" si="75"/>
        <v/>
      </c>
      <c r="E297" s="662"/>
      <c r="F297" s="1224" t="str">
        <f t="shared" ca="1" si="84"/>
        <v>15.16</v>
      </c>
      <c r="G297" s="1192">
        <v>92377</v>
      </c>
      <c r="H297" s="1099" t="str">
        <f t="shared" si="85"/>
        <v>SINAPI</v>
      </c>
      <c r="I297" s="1098" t="str">
        <f>VLOOKUP($G297,IF(LEFT($G297,3)="CPU",COMPOSIÇÕES!$B$1:$E$4198,'BANCO DE DADOS JANEIRO-24 SERV'!$B$2:$F$7195),2,FALSE)</f>
        <v>NIPLE, EM FERRO GALVANIZADO, DN 65 (2 1/2"), CONEXÃO ROSQUEADA, INSTALADO EM REDE DE ALIMENTAÇÃO PARA HIDRANTE - FORNECIMENTO E INSTALAÇÃO. AF_10/2020</v>
      </c>
      <c r="J297" s="1099" t="str">
        <f>VLOOKUP($G297,IF(LEFT($G297,3)="CPU",COMPOSIÇÕES!$B$1:$E$4198,'BANCO DE DADOS JANEIRO-24 SERV'!$B$2:$F$7195),3,FALSE)</f>
        <v>UN</v>
      </c>
      <c r="K297" s="1192">
        <v>11</v>
      </c>
      <c r="L297" s="1190">
        <f>VLOOKUP($G297,IF(LEFT($G297,3)="CPU",COMPOSIÇÕES!$B$1:$E$4198,'BANCO DE DADOS JANEIRO-24 SERV'!$B$2:$F$7195),4,FALSE)</f>
        <v>78.53</v>
      </c>
      <c r="M297" s="1190">
        <f t="shared" si="86"/>
        <v>97.53</v>
      </c>
      <c r="N297" s="1546">
        <f t="shared" si="87"/>
        <v>1072.83</v>
      </c>
      <c r="O297" s="344"/>
      <c r="P297" s="341"/>
      <c r="Q297" s="1625"/>
    </row>
    <row r="298" spans="1:17" s="338" customFormat="1" ht="30">
      <c r="A298" s="341">
        <f t="shared" ca="1" si="73"/>
        <v>15</v>
      </c>
      <c r="B298" s="341">
        <f ca="1">IF(OR(C298=1,D298=1),SUMIF($A$21:A298,A298,$C$21:C298),"")</f>
        <v>17</v>
      </c>
      <c r="C298" s="341">
        <f t="shared" si="74"/>
        <v>1</v>
      </c>
      <c r="D298" s="662" t="str">
        <f t="shared" si="75"/>
        <v/>
      </c>
      <c r="E298" s="662"/>
      <c r="F298" s="1224" t="str">
        <f t="shared" ca="1" si="84"/>
        <v>15.17</v>
      </c>
      <c r="G298" s="1192" t="str">
        <f>'COMP. ELETRICO '!B15</f>
        <v>CPU ELE 001</v>
      </c>
      <c r="H298" s="1099" t="str">
        <f t="shared" si="85"/>
        <v>PRÓPRIO</v>
      </c>
      <c r="I298" s="1098" t="str">
        <f>VLOOKUP($G298,IF(LEFT($G298,3)="CPU",COMPOSIÇÕES!$B$1:$E$4198,'BANCO DE DADOS JANEIRO-24 SERV'!$B$2:$F$7195),2,FALSE)</f>
        <v xml:space="preserve">FORNECIMENTO E INSTALAÇÃO DE CAIXA DE PASSAGEM METALICA DE SOBREPOR COM TAMPA PARAFUSADA, DIMENSOES 30 X 30 X 10 CM                                                                                                                                                                                                                                                                                                                                                                                                                    </v>
      </c>
      <c r="J298" s="1099" t="str">
        <f>VLOOKUP($G298,IF(LEFT($G298,3)="CPU",COMPOSIÇÕES!$B$1:$E$4198,'BANCO DE DADOS JANEIRO-24 SERV'!$B$2:$F$7195),3,FALSE)</f>
        <v>UN</v>
      </c>
      <c r="K298" s="1192">
        <v>26</v>
      </c>
      <c r="L298" s="1190">
        <f>VLOOKUP($G298,IF(LEFT($G298,3)="CPU",COMPOSIÇÕES!$B$1:$E$4198,'BANCO DE DADOS JANEIRO-24 SERV'!$B$2:$F$7195),4,FALSE)</f>
        <v>103.48</v>
      </c>
      <c r="M298" s="1190">
        <f t="shared" si="86"/>
        <v>128.52000000000001</v>
      </c>
      <c r="N298" s="1546">
        <f t="shared" si="87"/>
        <v>3341.52</v>
      </c>
      <c r="O298" s="344"/>
      <c r="P298" s="341"/>
      <c r="Q298" s="1625"/>
    </row>
    <row r="299" spans="1:17" s="338" customFormat="1" ht="30.75" thickBot="1">
      <c r="A299" s="341">
        <f t="shared" ca="1" si="73"/>
        <v>15</v>
      </c>
      <c r="B299" s="341">
        <f ca="1">IF(OR(C299=1,D299=1),SUMIF($A$21:A299,A299,$C$21:C299),"")</f>
        <v>18</v>
      </c>
      <c r="C299" s="341">
        <f t="shared" si="74"/>
        <v>1</v>
      </c>
      <c r="D299" s="662" t="str">
        <f t="shared" si="75"/>
        <v/>
      </c>
      <c r="E299" s="662"/>
      <c r="F299" s="1224" t="str">
        <f t="shared" ca="1" si="84"/>
        <v>15.18</v>
      </c>
      <c r="G299" s="1192" t="str">
        <f>'COMP. ELETRICO '!B60</f>
        <v>CPU ELE 005</v>
      </c>
      <c r="H299" s="1099" t="str">
        <f t="shared" si="85"/>
        <v>PRÓPRIO</v>
      </c>
      <c r="I299" s="1098" t="str">
        <f>VLOOKUP($G299,IF(LEFT($G299,3)="CPU",COMPOSIÇÕES!$B$1:$E$4198,'BANCO DE DADOS JANEIRO-24 SERV'!$B$2:$F$7195),2,FALSE)</f>
        <v>ESPELHO / PLACA CEGA 4" X 2", PARA INSTALACAO DE TOMADAS E INTERRUPTORES - FORNECIMENTO E INSTALAÇÃO</v>
      </c>
      <c r="J299" s="1099" t="str">
        <f>VLOOKUP($G299,IF(LEFT($G299,3)="CPU",COMPOSIÇÕES!$B$1:$E$4198,'BANCO DE DADOS JANEIRO-24 SERV'!$B$2:$F$7195),3,FALSE)</f>
        <v>UN</v>
      </c>
      <c r="K299" s="1192">
        <v>3</v>
      </c>
      <c r="L299" s="1190">
        <f>VLOOKUP($G299,IF(LEFT($G299,3)="CPU",COMPOSIÇÕES!$B$1:$E$4198,'BANCO DE DADOS JANEIRO-24 SERV'!$B$2:$F$7195),4,FALSE)</f>
        <v>3.96</v>
      </c>
      <c r="M299" s="1190">
        <f t="shared" si="86"/>
        <v>4.91</v>
      </c>
      <c r="N299" s="1546">
        <f t="shared" si="87"/>
        <v>14.73</v>
      </c>
      <c r="O299" s="344"/>
      <c r="P299" s="341"/>
      <c r="Q299" s="1625"/>
    </row>
    <row r="300" spans="1:17" s="338" customFormat="1" ht="42" customHeight="1" thickBot="1">
      <c r="A300" s="341">
        <f t="shared" ca="1" si="73"/>
        <v>15</v>
      </c>
      <c r="B300" s="341">
        <f ca="1">IF(OR(C300=1,D300=1),SUMIF($A$21:A300,A300,$C$21:C300),"")</f>
        <v>19</v>
      </c>
      <c r="C300" s="341">
        <f t="shared" si="74"/>
        <v>1</v>
      </c>
      <c r="D300" s="662" t="str">
        <f t="shared" si="75"/>
        <v/>
      </c>
      <c r="E300" s="662"/>
      <c r="F300" s="1353" t="str">
        <f t="shared" ref="F300:F305" ca="1" si="88">IF(B300&lt;&gt;"",A300&amp;"."&amp;B300,"")</f>
        <v>15.19</v>
      </c>
      <c r="G300" s="1192">
        <v>91992</v>
      </c>
      <c r="H300" s="310" t="str">
        <f t="shared" ref="H300:H305" si="89">IF(G300&gt;="CPU","PRÓPRIO","SINAPI")</f>
        <v>SINAPI</v>
      </c>
      <c r="I300" s="309" t="str">
        <f>VLOOKUP($G300,IF(LEFT($G300,3)="CPU",COMPOSIÇÕES!$B$1:$E$4198,'BANCO DE DADOS JANEIRO-24 SERV'!$B$2:$F$7195),2,FALSE)</f>
        <v>TOMADA ALTA DE EMBUTIR (1 MÓDULO), 2P+T 10 A, INCLUINDO SUPORTE E PLACA - FORNECIMENTO E INSTALAÇÃO. AF_03/2023</v>
      </c>
      <c r="J300" s="310" t="str">
        <f>VLOOKUP($G300,IF(LEFT($G300,3)="CPU",COMPOSIÇÕES!$B$1:$E$4198,'BANCO DE DADOS JANEIRO-24 SERV'!$B$2:$F$7195),3,FALSE)</f>
        <v>UN</v>
      </c>
      <c r="K300" s="1192">
        <v>43</v>
      </c>
      <c r="L300" s="311">
        <f>VLOOKUP($G300,IF(LEFT($G300,3)="CPU",COMPOSIÇÕES!$B$1:$E$4198,'BANCO DE DADOS JANEIRO-24 SERV'!$B$2:$F$7195),4,FALSE)</f>
        <v>42.26</v>
      </c>
      <c r="M300" s="311">
        <f t="shared" ref="M300:M305" si="90">IF($Q$2="OUTROS",TRUNC(L300*(1+$N$7),2),ROUND(L300*(1+$N$7),2))</f>
        <v>52.48</v>
      </c>
      <c r="N300" s="1314">
        <f t="shared" ref="N300:N305" si="91">IF($Q$2="OUTROS",TRUNC(M300*K300,2),ROUND(M300*K300,2))</f>
        <v>2256.64</v>
      </c>
      <c r="O300" s="344"/>
      <c r="P300" s="776"/>
      <c r="Q300" s="1370" t="str">
        <f t="shared" ref="Q300:Q305" ca="1" si="92">F300</f>
        <v>15.19</v>
      </c>
    </row>
    <row r="301" spans="1:17" s="338" customFormat="1" ht="45.75" thickBot="1">
      <c r="A301" s="341">
        <f t="shared" ca="1" si="73"/>
        <v>15</v>
      </c>
      <c r="B301" s="341">
        <f ca="1">IF(OR(C301=1,D301=1),SUMIF($A$21:A301,A301,$C$21:C301),"")</f>
        <v>20</v>
      </c>
      <c r="C301" s="341">
        <f t="shared" si="74"/>
        <v>1</v>
      </c>
      <c r="D301" s="662" t="str">
        <f t="shared" si="75"/>
        <v/>
      </c>
      <c r="E301" s="662"/>
      <c r="F301" s="1188" t="str">
        <f t="shared" ca="1" si="88"/>
        <v>15.20</v>
      </c>
      <c r="G301" s="1192">
        <v>91914</v>
      </c>
      <c r="H301" s="1099" t="str">
        <f t="shared" si="89"/>
        <v>SINAPI</v>
      </c>
      <c r="I301" s="1098" t="str">
        <f>VLOOKUP($G301,IF(LEFT($G301,3)="CPU",COMPOSIÇÕES!$B$1:$E$4198,'BANCO DE DADOS JANEIRO-24 SERV'!$B$2:$F$7195),2,FALSE)</f>
        <v>CURVA 90 GRAUS PARA ELETRODUTO, PVC, ROSCÁVEL, DN 25 MM (3/4"), PARA CIRCUITOS TERMINAIS, INSTALADA EM PAREDE - FORNECIMENTO E INSTALAÇÃO. AF_03/2023</v>
      </c>
      <c r="J301" s="1099" t="str">
        <f>VLOOKUP($G301,IF(LEFT($G301,3)="CPU",COMPOSIÇÕES!$B$1:$E$4198,'BANCO DE DADOS JANEIRO-24 SERV'!$B$2:$F$7195),3,FALSE)</f>
        <v>UN</v>
      </c>
      <c r="K301" s="1192">
        <v>2</v>
      </c>
      <c r="L301" s="1190">
        <f>VLOOKUP($G301,IF(LEFT($G301,3)="CPU",COMPOSIÇÕES!$B$1:$E$4198,'BANCO DE DADOS JANEIRO-24 SERV'!$B$2:$F$7195),4,FALSE)</f>
        <v>17.38</v>
      </c>
      <c r="M301" s="1190">
        <f t="shared" si="90"/>
        <v>21.58</v>
      </c>
      <c r="N301" s="1191">
        <f t="shared" si="91"/>
        <v>43.16</v>
      </c>
      <c r="O301" s="344"/>
      <c r="P301" s="776"/>
      <c r="Q301" s="1370" t="str">
        <f t="shared" ca="1" si="92"/>
        <v>15.20</v>
      </c>
    </row>
    <row r="302" spans="1:17" s="338" customFormat="1" ht="30.75" thickBot="1">
      <c r="A302" s="341">
        <f t="shared" ca="1" si="73"/>
        <v>15</v>
      </c>
      <c r="B302" s="341">
        <f ca="1">IF(OR(C302=1,D302=1),SUMIF($A$21:A302,A302,$C$21:C302),"")</f>
        <v>21</v>
      </c>
      <c r="C302" s="341">
        <f t="shared" si="74"/>
        <v>1</v>
      </c>
      <c r="D302" s="662" t="str">
        <f t="shared" si="75"/>
        <v/>
      </c>
      <c r="E302" s="662"/>
      <c r="F302" s="1188" t="str">
        <f t="shared" ca="1" si="88"/>
        <v>15.21</v>
      </c>
      <c r="G302" s="1192">
        <v>91854</v>
      </c>
      <c r="H302" s="1099" t="str">
        <f t="shared" si="89"/>
        <v>SINAPI</v>
      </c>
      <c r="I302" s="1098" t="str">
        <f>VLOOKUP($G302,IF(LEFT($G302,3)="CPU",COMPOSIÇÕES!$B$1:$E$4198,'BANCO DE DADOS JANEIRO-24 SERV'!$B$2:$F$7195),2,FALSE)</f>
        <v>ELETRODUTO FLEXÍVEL CORRUGADO, PVC, DN 25 MM (3/4"), PARA CIRCUITOS TERMINAIS, INSTALADO EM PAREDE - FORNECIMENTO E INSTALAÇÃO. AF_03/2023</v>
      </c>
      <c r="J302" s="1099" t="str">
        <f>VLOOKUP($G302,IF(LEFT($G302,3)="CPU",COMPOSIÇÕES!$B$1:$E$4198,'BANCO DE DADOS JANEIRO-24 SERV'!$B$2:$F$7195),3,FALSE)</f>
        <v>M</v>
      </c>
      <c r="K302" s="1192">
        <v>522.48</v>
      </c>
      <c r="L302" s="1190">
        <f>VLOOKUP($G302,IF(LEFT($G302,3)="CPU",COMPOSIÇÕES!$B$1:$E$4198,'BANCO DE DADOS JANEIRO-24 SERV'!$B$2:$F$7195),4,FALSE)</f>
        <v>9.3800000000000008</v>
      </c>
      <c r="M302" s="1190">
        <f t="shared" si="90"/>
        <v>11.64</v>
      </c>
      <c r="N302" s="1191">
        <f t="shared" si="91"/>
        <v>6081.66</v>
      </c>
      <c r="O302" s="344"/>
      <c r="P302" s="776"/>
      <c r="Q302" s="1370" t="str">
        <f t="shared" ca="1" si="92"/>
        <v>15.21</v>
      </c>
    </row>
    <row r="303" spans="1:17" s="338" customFormat="1" ht="45.75" thickBot="1">
      <c r="A303" s="341">
        <f t="shared" ca="1" si="73"/>
        <v>15</v>
      </c>
      <c r="B303" s="341">
        <f ca="1">IF(OR(C303=1,D303=1),SUMIF($A$21:A303,A303,$C$21:C303),"")</f>
        <v>22</v>
      </c>
      <c r="C303" s="341">
        <f t="shared" si="74"/>
        <v>1</v>
      </c>
      <c r="D303" s="662" t="str">
        <f t="shared" si="75"/>
        <v/>
      </c>
      <c r="E303" s="662"/>
      <c r="F303" s="1188" t="str">
        <f t="shared" ca="1" si="88"/>
        <v>15.22</v>
      </c>
      <c r="G303" s="1192">
        <v>91857</v>
      </c>
      <c r="H303" s="1099" t="str">
        <f t="shared" si="89"/>
        <v>SINAPI</v>
      </c>
      <c r="I303" s="1098" t="str">
        <f>VLOOKUP($G303,IF(LEFT($G303,3)="CPU",COMPOSIÇÕES!$B$1:$E$4198,'BANCO DE DADOS JANEIRO-24 SERV'!$B$2:$F$7195),2,FALSE)</f>
        <v>ELETRODUTO FLEXÍVEL CORRUGADO REFORÇADO, PVC, DN 32 MM (1"), PARA CIRCUITOS TERMINAIS, INSTALADO EM PAREDE - FORNECIMENTO E INSTALAÇÃO. AF_03/2023</v>
      </c>
      <c r="J303" s="1099" t="str">
        <f>VLOOKUP($G303,IF(LEFT($G303,3)="CPU",COMPOSIÇÕES!$B$1:$E$4198,'BANCO DE DADOS JANEIRO-24 SERV'!$B$2:$F$7195),3,FALSE)</f>
        <v>M</v>
      </c>
      <c r="K303" s="1192">
        <v>73.400000000000006</v>
      </c>
      <c r="L303" s="1190">
        <f>VLOOKUP($G303,IF(LEFT($G303,3)="CPU",COMPOSIÇÕES!$B$1:$E$4198,'BANCO DE DADOS JANEIRO-24 SERV'!$B$2:$F$7195),4,FALSE)</f>
        <v>15.67</v>
      </c>
      <c r="M303" s="1190">
        <f t="shared" si="90"/>
        <v>19.46</v>
      </c>
      <c r="N303" s="1191">
        <f t="shared" si="91"/>
        <v>1428.36</v>
      </c>
      <c r="O303" s="344"/>
      <c r="P303" s="776"/>
      <c r="Q303" s="1370" t="str">
        <f t="shared" ca="1" si="92"/>
        <v>15.22</v>
      </c>
    </row>
    <row r="304" spans="1:17" s="338" customFormat="1" ht="30" customHeight="1" thickBot="1">
      <c r="A304" s="341">
        <f t="shared" ca="1" si="73"/>
        <v>15</v>
      </c>
      <c r="B304" s="341">
        <f ca="1">IF(OR(C304=1,D304=1),SUMIF($A$21:A304,A304,$C$21:C304),"")</f>
        <v>23</v>
      </c>
      <c r="C304" s="341">
        <f t="shared" si="74"/>
        <v>1</v>
      </c>
      <c r="D304" s="662" t="str">
        <f t="shared" si="75"/>
        <v/>
      </c>
      <c r="E304" s="662"/>
      <c r="F304" s="1188" t="str">
        <f t="shared" ca="1" si="88"/>
        <v>15.23</v>
      </c>
      <c r="G304" s="1192">
        <v>91871</v>
      </c>
      <c r="H304" s="1099" t="str">
        <f t="shared" si="89"/>
        <v>SINAPI</v>
      </c>
      <c r="I304" s="1098" t="str">
        <f>VLOOKUP($G304,IF(LEFT($G304,3)="CPU",COMPOSIÇÕES!$B$1:$E$4198,'BANCO DE DADOS JANEIRO-24 SERV'!$B$2:$F$7195),2,FALSE)</f>
        <v>ELETRODUTO RÍGIDO ROSCÁVEL, PVC, DN 25 MM (3/4"), PARA CIRCUITOS TERMINAIS, INSTALADO EM PAREDE - FORNECIMENTO E INSTALAÇÃO. AF_03/2023</v>
      </c>
      <c r="J304" s="1099" t="str">
        <f>VLOOKUP($G304,IF(LEFT($G304,3)="CPU",COMPOSIÇÕES!$B$1:$E$4198,'BANCO DE DADOS JANEIRO-24 SERV'!$B$2:$F$7195),3,FALSE)</f>
        <v>M</v>
      </c>
      <c r="K304" s="1192">
        <v>6.4</v>
      </c>
      <c r="L304" s="1190">
        <f>VLOOKUP($G304,IF(LEFT($G304,3)="CPU",COMPOSIÇÕES!$B$1:$E$4198,'BANCO DE DADOS JANEIRO-24 SERV'!$B$2:$F$7195),4,FALSE)</f>
        <v>14.07</v>
      </c>
      <c r="M304" s="1190">
        <f t="shared" si="90"/>
        <v>17.47</v>
      </c>
      <c r="N304" s="1191">
        <f t="shared" si="91"/>
        <v>111.8</v>
      </c>
      <c r="O304" s="344"/>
      <c r="P304" s="776"/>
      <c r="Q304" s="1370" t="str">
        <f t="shared" ca="1" si="92"/>
        <v>15.23</v>
      </c>
    </row>
    <row r="305" spans="1:19" s="338" customFormat="1" ht="30.75" thickBot="1">
      <c r="A305" s="341">
        <f t="shared" ca="1" si="73"/>
        <v>15</v>
      </c>
      <c r="B305" s="341">
        <f ca="1">IF(OR(C305=1,D305=1),SUMIF($A$21:A305,A305,$C$21:C305),"")</f>
        <v>24</v>
      </c>
      <c r="C305" s="341">
        <f t="shared" si="74"/>
        <v>1</v>
      </c>
      <c r="D305" s="662" t="str">
        <f t="shared" si="75"/>
        <v/>
      </c>
      <c r="E305" s="662"/>
      <c r="F305" s="1188" t="str">
        <f t="shared" ca="1" si="88"/>
        <v>15.24</v>
      </c>
      <c r="G305" s="1192">
        <v>97668</v>
      </c>
      <c r="H305" s="1099" t="str">
        <f t="shared" si="89"/>
        <v>SINAPI</v>
      </c>
      <c r="I305" s="1098" t="str">
        <f>VLOOKUP($G305,IF(LEFT($G305,3)="CPU",COMPOSIÇÕES!$B$1:$E$4198,'BANCO DE DADOS JANEIRO-24 SERV'!$B$2:$F$7195),2,FALSE)</f>
        <v>ELETRODUTO FLEXÍVEL CORRUGADO, PEAD, DN 63 (2"), PARA REDE ENTERRADA DE DISTRIBUIÇÃO DE ENERGIA ELÉTRICA - FORNECIMENTO E INSTALAÇÃO. AF_12/2021</v>
      </c>
      <c r="J305" s="1099" t="str">
        <f>VLOOKUP($G305,IF(LEFT($G305,3)="CPU",COMPOSIÇÕES!$B$1:$E$4198,'BANCO DE DADOS JANEIRO-24 SERV'!$B$2:$F$7195),3,FALSE)</f>
        <v>M</v>
      </c>
      <c r="K305" s="1192">
        <v>23.4</v>
      </c>
      <c r="L305" s="1190">
        <f>VLOOKUP($G305,IF(LEFT($G305,3)="CPU",COMPOSIÇÕES!$B$1:$E$4198,'BANCO DE DADOS JANEIRO-24 SERV'!$B$2:$F$7195),4,FALSE)</f>
        <v>10.69</v>
      </c>
      <c r="M305" s="1190">
        <f t="shared" si="90"/>
        <v>13.27</v>
      </c>
      <c r="N305" s="1191">
        <f t="shared" si="91"/>
        <v>310.51</v>
      </c>
      <c r="O305" s="344"/>
      <c r="P305" s="776"/>
      <c r="Q305" s="1370" t="str">
        <f t="shared" ca="1" si="92"/>
        <v>15.24</v>
      </c>
    </row>
    <row r="306" spans="1:19" s="344" customFormat="1" ht="16.5" customHeight="1" thickBot="1">
      <c r="A306" s="341">
        <f t="shared" ca="1" si="73"/>
        <v>15</v>
      </c>
      <c r="B306" s="341" t="str">
        <f>IF(OR(C306=1,D306=1),SUMIF($A$21:A306,A306,$C$21:C306),"")</f>
        <v/>
      </c>
      <c r="C306" s="341" t="str">
        <f t="shared" si="74"/>
        <v/>
      </c>
      <c r="D306" s="662" t="str">
        <f t="shared" si="75"/>
        <v/>
      </c>
      <c r="E306" s="662"/>
      <c r="F306" s="240" t="str">
        <f>IF(B306&lt;&gt;"",A306&amp;"."&amp;B306,"")</f>
        <v/>
      </c>
      <c r="G306" s="139"/>
      <c r="H306" s="139"/>
      <c r="I306" s="139"/>
      <c r="J306" s="139"/>
      <c r="K306" s="139"/>
      <c r="L306" s="140"/>
      <c r="M306" s="139"/>
      <c r="N306" s="241"/>
      <c r="O306" s="343"/>
      <c r="Q306" s="1626"/>
    </row>
    <row r="307" spans="1:19" s="338" customFormat="1" ht="16.5" customHeight="1" thickBot="1">
      <c r="A307" s="341">
        <f t="shared" ref="A307:A339" ca="1" si="93">IF(LEN(D307),OFFSET(A307,-1,0)+1,OFFSET(A307,-1,0))</f>
        <v>16</v>
      </c>
      <c r="B307" s="341">
        <f ca="1">IF(OR(C307=1,D307=1),SUMIF($A$21:A307,A307,$C$21:C307),"")</f>
        <v>0</v>
      </c>
      <c r="C307" s="341" t="str">
        <f t="shared" ref="C307:C339" si="94">IF(G307&gt;0,1,"")</f>
        <v/>
      </c>
      <c r="D307" s="662">
        <f t="shared" ref="D307:D339" si="95">IF(AND(CONCATENATE(G307,I307,J307,K307,L307,M307,N307)=I307&amp;N307,CONCATENATE(G307,I307,J307,K307,L307,M307,N307)&lt;&gt;"",N307&lt;&gt;""),1,"")</f>
        <v>1</v>
      </c>
      <c r="E307" s="662"/>
      <c r="F307" s="351" t="str">
        <f t="shared" ca="1" si="84"/>
        <v>16.0</v>
      </c>
      <c r="G307" s="352"/>
      <c r="H307" s="352"/>
      <c r="I307" s="353" t="s">
        <v>402</v>
      </c>
      <c r="J307" s="354"/>
      <c r="K307" s="355"/>
      <c r="L307" s="356"/>
      <c r="M307" s="356"/>
      <c r="N307" s="357">
        <f>SUM(N309:N314)</f>
        <v>158950.32</v>
      </c>
      <c r="O307" s="337"/>
      <c r="P307" s="341"/>
      <c r="Q307" s="1625"/>
    </row>
    <row r="308" spans="1:19" s="338" customFormat="1" ht="16.5" customHeight="1" thickBot="1">
      <c r="A308" s="341">
        <f t="shared" ca="1" si="93"/>
        <v>16</v>
      </c>
      <c r="B308" s="341" t="str">
        <f>IF(OR(C308=1,D308=1),SUMIF($A$21:A308,A308,$C$21:C308),"")</f>
        <v/>
      </c>
      <c r="C308" s="341" t="str">
        <f t="shared" si="94"/>
        <v/>
      </c>
      <c r="D308" s="662" t="str">
        <f t="shared" si="95"/>
        <v/>
      </c>
      <c r="E308" s="662"/>
      <c r="F308" s="986" t="str">
        <f t="shared" ref="F308:F314" si="96">IF(B308&lt;&gt;"",A308&amp;"."&amp;B308,"")</f>
        <v/>
      </c>
      <c r="G308" s="987"/>
      <c r="H308" s="987"/>
      <c r="I308" s="1379" t="s">
        <v>2243</v>
      </c>
      <c r="J308" s="989"/>
      <c r="K308" s="990"/>
      <c r="L308" s="1380"/>
      <c r="M308" s="990"/>
      <c r="N308" s="1381"/>
      <c r="O308" s="1370"/>
      <c r="P308" s="341"/>
      <c r="Q308" s="1625"/>
    </row>
    <row r="309" spans="1:19" s="341" customFormat="1" ht="30.75" thickBot="1">
      <c r="A309" s="341">
        <f t="shared" ca="1" si="93"/>
        <v>16</v>
      </c>
      <c r="B309" s="341">
        <f ca="1">IF(OR(C309=1,D309=1),SUMIF($A$21:A309,A309,$C$21:C309),"")</f>
        <v>1</v>
      </c>
      <c r="C309" s="341">
        <f t="shared" si="94"/>
        <v>1</v>
      </c>
      <c r="D309" s="662" t="str">
        <f t="shared" si="95"/>
        <v/>
      </c>
      <c r="E309" s="662"/>
      <c r="F309" s="1223" t="str">
        <f t="shared" ca="1" si="96"/>
        <v>16.1</v>
      </c>
      <c r="G309" s="1192">
        <v>88485</v>
      </c>
      <c r="H309" s="1099" t="str">
        <f t="shared" ref="H309:H314" si="97">IF(G309&gt;="CPU","PRÓPRIO","SINAPI")</f>
        <v>SINAPI</v>
      </c>
      <c r="I309" s="1098" t="str">
        <f>VLOOKUP($G309,IF(LEFT($G309,3)="CPU",COMPOSIÇÕES!$B$1:$E$4198,'BANCO DE DADOS JANEIRO-24 SERV'!$B$2:$F$7195),2,FALSE)</f>
        <v>FUNDO SELADOR ACRÍLICO, APLICAÇÃO MANUAL EM PAREDE, UMA DEMÃO. AF_04/2023</v>
      </c>
      <c r="J309" s="1099" t="str">
        <f>VLOOKUP($G309,IF(LEFT($G309,3)="CPU",COMPOSIÇÕES!$B$1:$E$4198,'BANCO DE DADOS JANEIRO-24 SERV'!$B$2:$F$7195),3,FALSE)</f>
        <v>M2</v>
      </c>
      <c r="K309" s="1192">
        <v>200.76</v>
      </c>
      <c r="L309" s="1190">
        <f>VLOOKUP($G309,IF(LEFT($G309,3)="CPU",COMPOSIÇÕES!$B$1:$E$4198,'BANCO DE DADOS JANEIRO-24 SERV'!$B$2:$F$7195),4,FALSE)</f>
        <v>3.22</v>
      </c>
      <c r="M309" s="1190">
        <f t="shared" ref="M309:M314" si="98">IF($Q$2="OUTROS",TRUNC(L309*(1+$N$7),2),ROUND(L309*(1+$N$7),2))</f>
        <v>3.99</v>
      </c>
      <c r="N309" s="1372">
        <f t="shared" ref="N309:N314" si="99">IF($Q$2="OUTROS",TRUNC(M309*K309,2),ROUND(M309*K309,2))</f>
        <v>801.03</v>
      </c>
      <c r="O309" s="1370"/>
      <c r="P309" s="776" t="s">
        <v>14120</v>
      </c>
      <c r="Q309" s="1370" t="str">
        <f t="shared" ref="Q309:Q314" ca="1" si="100">F309</f>
        <v>16.1</v>
      </c>
      <c r="S309" s="340"/>
    </row>
    <row r="310" spans="1:19" s="341" customFormat="1" ht="30.75" thickBot="1">
      <c r="A310" s="341">
        <f t="shared" ca="1" si="93"/>
        <v>16</v>
      </c>
      <c r="B310" s="341">
        <f ca="1">IF(OR(C310=1,D310=1),SUMIF($A$21:A310,A310,$C$21:C310),"")</f>
        <v>2</v>
      </c>
      <c r="C310" s="341">
        <f t="shared" si="94"/>
        <v>1</v>
      </c>
      <c r="D310" s="662" t="str">
        <f t="shared" si="95"/>
        <v/>
      </c>
      <c r="E310" s="662"/>
      <c r="F310" s="1223" t="str">
        <f t="shared" ca="1" si="96"/>
        <v>16.2</v>
      </c>
      <c r="G310" s="1192">
        <v>96135</v>
      </c>
      <c r="H310" s="1099" t="str">
        <f t="shared" si="97"/>
        <v>SINAPI</v>
      </c>
      <c r="I310" s="1098" t="str">
        <f>VLOOKUP($G310,IF(LEFT($G310,3)="CPU",COMPOSIÇÕES!$B$1:$E$4198,'BANCO DE DADOS JANEIRO-24 SERV'!$B$2:$F$7195),2,FALSE)</f>
        <v>APLICAÇÃO MANUAL DE MASSA ACRÍLICA EM PAREDES EXTERNAS DE CASAS, DUAS DEMÃOS. AF_05/2017</v>
      </c>
      <c r="J310" s="1099" t="str">
        <f>VLOOKUP($G310,IF(LEFT($G310,3)="CPU",COMPOSIÇÕES!$B$1:$E$4198,'BANCO DE DADOS JANEIRO-24 SERV'!$B$2:$F$7195),3,FALSE)</f>
        <v>M2</v>
      </c>
      <c r="K310" s="1192">
        <v>118.62</v>
      </c>
      <c r="L310" s="1190">
        <f>VLOOKUP($G310,IF(LEFT($G310,3)="CPU",COMPOSIÇÕES!$B$1:$E$4198,'BANCO DE DADOS JANEIRO-24 SERV'!$B$2:$F$7195),4,FALSE)</f>
        <v>28.05</v>
      </c>
      <c r="M310" s="1190">
        <f t="shared" si="98"/>
        <v>34.83</v>
      </c>
      <c r="N310" s="1372">
        <f t="shared" si="99"/>
        <v>4131.53</v>
      </c>
      <c r="O310" s="1370"/>
      <c r="P310" s="776" t="s">
        <v>14120</v>
      </c>
      <c r="Q310" s="1370" t="str">
        <f t="shared" ca="1" si="100"/>
        <v>16.2</v>
      </c>
      <c r="S310" s="340"/>
    </row>
    <row r="311" spans="1:19" s="341" customFormat="1" ht="30.75" thickBot="1">
      <c r="A311" s="341">
        <f t="shared" ca="1" si="93"/>
        <v>16</v>
      </c>
      <c r="B311" s="341">
        <f ca="1">IF(OR(C311=1,D311=1),SUMIF($A$21:A311,A311,$C$21:C311),"")</f>
        <v>3</v>
      </c>
      <c r="C311" s="341">
        <f t="shared" si="94"/>
        <v>1</v>
      </c>
      <c r="D311" s="662" t="str">
        <f t="shared" si="95"/>
        <v/>
      </c>
      <c r="E311" s="662"/>
      <c r="F311" s="1223" t="str">
        <f t="shared" ca="1" si="96"/>
        <v>16.3</v>
      </c>
      <c r="G311" s="1192">
        <v>88497</v>
      </c>
      <c r="H311" s="1099" t="str">
        <f t="shared" si="97"/>
        <v>SINAPI</v>
      </c>
      <c r="I311" s="1098" t="str">
        <f>VLOOKUP($G311,IF(LEFT($G311,3)="CPU",COMPOSIÇÕES!$B$1:$E$4198,'BANCO DE DADOS JANEIRO-24 SERV'!$B$2:$F$7195),2,FALSE)</f>
        <v>EMASSAMENTO COM MASSA LÁTEX, APLICAÇÃO EM PAREDE, DUAS DEMÃOS, LIXAMENTO MANUAL. AF_04/2023</v>
      </c>
      <c r="J311" s="1099" t="str">
        <f>VLOOKUP($G311,IF(LEFT($G311,3)="CPU",COMPOSIÇÕES!$B$1:$E$4198,'BANCO DE DADOS JANEIRO-24 SERV'!$B$2:$F$7195),3,FALSE)</f>
        <v>M2</v>
      </c>
      <c r="K311" s="1192">
        <v>149.69999999999999</v>
      </c>
      <c r="L311" s="1190">
        <f>VLOOKUP($G311,IF(LEFT($G311,3)="CPU",COMPOSIÇÕES!$B$1:$E$4198,'BANCO DE DADOS JANEIRO-24 SERV'!$B$2:$F$7195),4,FALSE)</f>
        <v>16.899999999999999</v>
      </c>
      <c r="M311" s="1190">
        <f t="shared" si="98"/>
        <v>20.98</v>
      </c>
      <c r="N311" s="1372">
        <f t="shared" si="99"/>
        <v>3140.7</v>
      </c>
      <c r="O311" s="1370"/>
      <c r="P311" s="776" t="s">
        <v>14120</v>
      </c>
      <c r="Q311" s="1370" t="str">
        <f t="shared" ca="1" si="100"/>
        <v>16.3</v>
      </c>
      <c r="S311" s="340"/>
    </row>
    <row r="312" spans="1:19" s="341" customFormat="1" ht="16.5" thickBot="1">
      <c r="A312" s="341">
        <f t="shared" ca="1" si="93"/>
        <v>16</v>
      </c>
      <c r="B312" s="341">
        <f ca="1">IF(OR(C312=1,D312=1),SUMIF($A$21:A312,A312,$C$21:C312),"")</f>
        <v>4</v>
      </c>
      <c r="C312" s="341">
        <f t="shared" si="94"/>
        <v>1</v>
      </c>
      <c r="D312" s="662" t="str">
        <f t="shared" si="95"/>
        <v/>
      </c>
      <c r="E312" s="662"/>
      <c r="F312" s="1223" t="str">
        <f t="shared" ca="1" si="96"/>
        <v>16.4</v>
      </c>
      <c r="G312" s="1192">
        <v>102194</v>
      </c>
      <c r="H312" s="1099" t="str">
        <f t="shared" si="97"/>
        <v>SINAPI</v>
      </c>
      <c r="I312" s="1098" t="str">
        <f>VLOOKUP($G312,IF(LEFT($G312,3)="CPU",COMPOSIÇÕES!$B$1:$E$4198,'BANCO DE DADOS JANEIRO-24 SERV'!$B$2:$F$7195),2,FALSE)</f>
        <v>LIXAMENTO DE MASSA PARA MADEIRA. AF_01/2021</v>
      </c>
      <c r="J312" s="1099" t="str">
        <f>VLOOKUP($G312,IF(LEFT($G312,3)="CPU",COMPOSIÇÕES!$B$1:$E$4198,'BANCO DE DADOS JANEIRO-24 SERV'!$B$2:$F$7195),3,FALSE)</f>
        <v>M2</v>
      </c>
      <c r="K312" s="1192">
        <v>3941.3</v>
      </c>
      <c r="L312" s="1190">
        <f>VLOOKUP($G312,IF(LEFT($G312,3)="CPU",COMPOSIÇÕES!$B$1:$E$4198,'BANCO DE DADOS JANEIRO-24 SERV'!$B$2:$F$7195),4,FALSE)</f>
        <v>7.64</v>
      </c>
      <c r="M312" s="1190">
        <f t="shared" si="98"/>
        <v>9.48</v>
      </c>
      <c r="N312" s="1372">
        <f t="shared" si="99"/>
        <v>37363.519999999997</v>
      </c>
      <c r="O312" s="1370"/>
      <c r="P312" s="776" t="s">
        <v>14120</v>
      </c>
      <c r="Q312" s="1370" t="str">
        <f t="shared" ca="1" si="100"/>
        <v>16.4</v>
      </c>
      <c r="S312" s="340"/>
    </row>
    <row r="313" spans="1:19" s="341" customFormat="1" ht="30.75" thickBot="1">
      <c r="A313" s="341">
        <f t="shared" ca="1" si="93"/>
        <v>16</v>
      </c>
      <c r="B313" s="341">
        <f ca="1">IF(OR(C313=1,D313=1),SUMIF($A$21:A313,A313,$C$21:C313),"")</f>
        <v>5</v>
      </c>
      <c r="C313" s="341">
        <f t="shared" si="94"/>
        <v>1</v>
      </c>
      <c r="D313" s="662" t="str">
        <f t="shared" si="95"/>
        <v/>
      </c>
      <c r="E313" s="662"/>
      <c r="F313" s="1223" t="str">
        <f t="shared" ca="1" si="96"/>
        <v>16.5</v>
      </c>
      <c r="G313" s="1192">
        <v>102491</v>
      </c>
      <c r="H313" s="1099" t="str">
        <f t="shared" si="97"/>
        <v>SINAPI</v>
      </c>
      <c r="I313" s="1098" t="str">
        <f>VLOOKUP($G313,IF(LEFT($G313,3)="CPU",COMPOSIÇÕES!$B$1:$E$4198,'BANCO DE DADOS JANEIRO-24 SERV'!$B$2:$F$7195),2,FALSE)</f>
        <v>PINTURA DE PISO COM TINTA ACRÍLICA, APLICAÇÃO MANUAL, 2 DEMÃOS, INCLUSO FUNDO PREPARADOR. AF_05/2021</v>
      </c>
      <c r="J313" s="1099" t="str">
        <f>VLOOKUP($G313,IF(LEFT($G313,3)="CPU",COMPOSIÇÕES!$B$1:$E$4198,'BANCO DE DADOS JANEIRO-24 SERV'!$B$2:$F$7195),3,FALSE)</f>
        <v>M2</v>
      </c>
      <c r="K313" s="1192">
        <v>1680.48</v>
      </c>
      <c r="L313" s="1190">
        <f>VLOOKUP($G313,IF(LEFT($G313,3)="CPU",COMPOSIÇÕES!$B$1:$E$4198,'BANCO DE DADOS JANEIRO-24 SERV'!$B$2:$F$7195),4,FALSE)</f>
        <v>18.5</v>
      </c>
      <c r="M313" s="1190">
        <f t="shared" si="98"/>
        <v>22.97</v>
      </c>
      <c r="N313" s="1372">
        <f t="shared" si="99"/>
        <v>38600.620000000003</v>
      </c>
      <c r="O313" s="1370"/>
      <c r="P313" s="776" t="s">
        <v>14120</v>
      </c>
      <c r="Q313" s="1370" t="str">
        <f t="shared" ca="1" si="100"/>
        <v>16.5</v>
      </c>
      <c r="S313" s="340"/>
    </row>
    <row r="314" spans="1:19" s="341" customFormat="1" ht="30.75" thickBot="1">
      <c r="A314" s="341">
        <f t="shared" ca="1" si="93"/>
        <v>16</v>
      </c>
      <c r="B314" s="341">
        <f ca="1">IF(OR(C314=1,D314=1),SUMIF($A$21:A314,A314,$C$21:C314),"")</f>
        <v>6</v>
      </c>
      <c r="C314" s="341">
        <f t="shared" si="94"/>
        <v>1</v>
      </c>
      <c r="D314" s="662" t="str">
        <f t="shared" si="95"/>
        <v/>
      </c>
      <c r="E314" s="662"/>
      <c r="F314" s="1223" t="str">
        <f t="shared" ca="1" si="96"/>
        <v>16.6</v>
      </c>
      <c r="G314" s="1192">
        <v>88489</v>
      </c>
      <c r="H314" s="1099" t="str">
        <f t="shared" si="97"/>
        <v>SINAPI</v>
      </c>
      <c r="I314" s="1098" t="str">
        <f>VLOOKUP($G314,IF(LEFT($G314,3)="CPU",COMPOSIÇÕES!$B$1:$E$4198,'BANCO DE DADOS JANEIRO-24 SERV'!$B$2:$F$7195),2,FALSE)</f>
        <v>PINTURA LÁTEX ACRÍLICA PREMIUM, APLICAÇÃO MANUAL EM PAREDES, DUAS DEMÃOS. AF_04/2023</v>
      </c>
      <c r="J314" s="1099" t="str">
        <f>VLOOKUP($G314,IF(LEFT($G314,3)="CPU",COMPOSIÇÕES!$B$1:$E$4198,'BANCO DE DADOS JANEIRO-24 SERV'!$B$2:$F$7195),3,FALSE)</f>
        <v>M2</v>
      </c>
      <c r="K314" s="1192">
        <v>5180.7</v>
      </c>
      <c r="L314" s="1190">
        <f>VLOOKUP($G314,IF(LEFT($G314,3)="CPU",COMPOSIÇÕES!$B$1:$E$4198,'BANCO DE DADOS JANEIRO-24 SERV'!$B$2:$F$7195),4,FALSE)</f>
        <v>11.65</v>
      </c>
      <c r="M314" s="1190">
        <f t="shared" si="98"/>
        <v>14.46</v>
      </c>
      <c r="N314" s="1372">
        <f t="shared" si="99"/>
        <v>74912.92</v>
      </c>
      <c r="O314" s="1370"/>
      <c r="P314" s="776" t="s">
        <v>14120</v>
      </c>
      <c r="Q314" s="1370" t="str">
        <f t="shared" ca="1" si="100"/>
        <v>16.6</v>
      </c>
      <c r="S314" s="340"/>
    </row>
    <row r="315" spans="1:19" s="344" customFormat="1" ht="16.5" thickBot="1">
      <c r="A315" s="341">
        <f t="shared" ca="1" si="93"/>
        <v>16</v>
      </c>
      <c r="B315" s="341" t="str">
        <f>IF(OR(C315=1,D315=1),SUMIF($A$21:A315,A315,$C$21:C315),"")</f>
        <v/>
      </c>
      <c r="C315" s="341" t="str">
        <f t="shared" si="94"/>
        <v/>
      </c>
      <c r="D315" s="662" t="str">
        <f t="shared" si="95"/>
        <v/>
      </c>
      <c r="E315" s="662"/>
      <c r="F315" s="240" t="str">
        <f t="shared" ref="F315:F323" si="101">IF(B315&lt;&gt;"",A315&amp;"."&amp;B315,"")</f>
        <v/>
      </c>
      <c r="G315" s="139"/>
      <c r="H315" s="139"/>
      <c r="I315" s="139"/>
      <c r="J315" s="139"/>
      <c r="K315" s="139"/>
      <c r="L315" s="140"/>
      <c r="M315" s="139"/>
      <c r="N315" s="241"/>
      <c r="O315" s="343"/>
      <c r="Q315" s="1626"/>
    </row>
    <row r="316" spans="1:19" s="338" customFormat="1" ht="16.5" customHeight="1" thickBot="1">
      <c r="A316" s="341">
        <f t="shared" ca="1" si="93"/>
        <v>17</v>
      </c>
      <c r="B316" s="341">
        <f ca="1">IF(OR(C316=1,D316=1),SUMIF($A$21:A316,A316,$C$21:C316),"")</f>
        <v>0</v>
      </c>
      <c r="C316" s="341" t="str">
        <f t="shared" si="94"/>
        <v/>
      </c>
      <c r="D316" s="662">
        <f t="shared" si="95"/>
        <v>1</v>
      </c>
      <c r="E316" s="662"/>
      <c r="F316" s="132" t="str">
        <f t="shared" ca="1" si="101"/>
        <v>17.0</v>
      </c>
      <c r="G316" s="133"/>
      <c r="H316" s="133"/>
      <c r="I316" s="134" t="s">
        <v>404</v>
      </c>
      <c r="J316" s="135"/>
      <c r="K316" s="136"/>
      <c r="L316" s="137"/>
      <c r="M316" s="137"/>
      <c r="N316" s="138">
        <f>SUM(N317:N319)</f>
        <v>83099.08</v>
      </c>
      <c r="O316" s="337"/>
      <c r="P316" s="341"/>
      <c r="Q316" s="1625"/>
    </row>
    <row r="317" spans="1:19" s="341" customFormat="1" ht="30.75" thickBot="1">
      <c r="A317" s="341">
        <f t="shared" ca="1" si="93"/>
        <v>17</v>
      </c>
      <c r="B317" s="341">
        <f ca="1">IF(OR(C317=1,D317=1),SUMIF($A$21:A317,A317,$C$21:C317),"")</f>
        <v>1</v>
      </c>
      <c r="C317" s="341">
        <f t="shared" si="94"/>
        <v>1</v>
      </c>
      <c r="D317" s="662" t="str">
        <f t="shared" si="95"/>
        <v/>
      </c>
      <c r="E317" s="662"/>
      <c r="F317" s="783" t="str">
        <f t="shared" ca="1" si="101"/>
        <v>17.1</v>
      </c>
      <c r="G317" s="1192">
        <v>103946</v>
      </c>
      <c r="H317" s="1099" t="str">
        <f>IF(G317&gt;="CPU","PRÓPRIO","SINAPI")</f>
        <v>SINAPI</v>
      </c>
      <c r="I317" s="784" t="str">
        <f>VLOOKUP($G317,IF(LEFT($G317,3)="CPU",COMPOSIÇÕES!$B$1:$E$4198,'BANCO DE DADOS JANEIRO-24 SERV'!$B$2:$F$7195),2,FALSE)</f>
        <v>PLANTIO DE GRAMA ESMERALDA OU SÃO CARLOS OU CURITIBANA, EM PLACAS. AF_05/2022</v>
      </c>
      <c r="J317" s="782" t="str">
        <f>VLOOKUP($G317,IF(LEFT($G317,3)="CPU",COMPOSIÇÕES!$B$1:$E$4198,'BANCO DE DADOS JANEIRO-24 SERV'!$B$2:$F$7195),3,FALSE)</f>
        <v>M2</v>
      </c>
      <c r="K317" s="1192">
        <v>3072.72</v>
      </c>
      <c r="L317" s="785">
        <f>VLOOKUP($G317,IF(LEFT($G317,3)="CPU",COMPOSIÇÕES!$B$1:$E$4198,'BANCO DE DADOS JANEIRO-24 SERV'!$B$2:$F$7195),4,FALSE)</f>
        <v>19.989999999999998</v>
      </c>
      <c r="M317" s="785">
        <f>IF($Q$2="OUTROS",TRUNC(L317*(1+$N$7),2),ROUND(L317*(1+$N$7),2))</f>
        <v>24.82</v>
      </c>
      <c r="N317" s="1371">
        <f>IF($Q$2="OUTROS",TRUNC(M317*K317,2),ROUND(M317*K317,2))</f>
        <v>76264.91</v>
      </c>
      <c r="O317" s="1370"/>
      <c r="P317" s="776" t="s">
        <v>682</v>
      </c>
      <c r="Q317" s="1370" t="str">
        <f ca="1">F317</f>
        <v>17.1</v>
      </c>
      <c r="S317" s="340"/>
    </row>
    <row r="318" spans="1:19" s="341" customFormat="1" ht="30.75" thickBot="1">
      <c r="A318" s="341">
        <f t="shared" ca="1" si="93"/>
        <v>17</v>
      </c>
      <c r="B318" s="341">
        <f ca="1">IF(OR(C318=1,D318=1),SUMIF($A$21:A318,A318,$C$21:C318),"")</f>
        <v>2</v>
      </c>
      <c r="C318" s="341">
        <f t="shared" si="94"/>
        <v>1</v>
      </c>
      <c r="D318" s="662" t="str">
        <f t="shared" si="95"/>
        <v/>
      </c>
      <c r="E318" s="662"/>
      <c r="F318" s="1223" t="str">
        <f t="shared" ca="1" si="101"/>
        <v>17.2</v>
      </c>
      <c r="G318" s="1192">
        <v>100619</v>
      </c>
      <c r="H318" s="1099" t="str">
        <f>IF(G318&gt;="CPU","PRÓPRIO","SINAPI")</f>
        <v>SINAPI</v>
      </c>
      <c r="I318" s="1098" t="str">
        <f>VLOOKUP($G318,IF(LEFT($G318,3)="CPU",COMPOSIÇÕES!$B$1:$E$4198,'BANCO DE DADOS JANEIRO-24 SERV'!$B$2:$F$7195),2,FALSE)</f>
        <v>POSTE DECORATIVO PARA JARDIM EM AÇO TUBULAR, H = *2,5* M, SEM LUMINÁRIA - FORNECIMENTO E INSTALAÇÃO. AF_11/2019</v>
      </c>
      <c r="J318" s="1099" t="str">
        <f>VLOOKUP($G318,IF(LEFT($G318,3)="CPU",COMPOSIÇÕES!$B$1:$E$4198,'BANCO DE DADOS JANEIRO-24 SERV'!$B$2:$F$7195),3,FALSE)</f>
        <v>UN</v>
      </c>
      <c r="K318" s="1192">
        <v>7</v>
      </c>
      <c r="L318" s="1190">
        <f>VLOOKUP($G318,IF(LEFT($G318,3)="CPU",COMPOSIÇÕES!$B$1:$E$4198,'BANCO DE DADOS JANEIRO-24 SERV'!$B$2:$F$7195),4,FALSE)</f>
        <v>578.79</v>
      </c>
      <c r="M318" s="1190">
        <f>IF($Q$2="OUTROS",TRUNC(L318*(1+$N$7),2),ROUND(L318*(1+$N$7),2))</f>
        <v>718.85</v>
      </c>
      <c r="N318" s="1372">
        <f>IF($Q$2="OUTROS",TRUNC(M318*K318,2),ROUND(M318*K318,2))</f>
        <v>5031.95</v>
      </c>
      <c r="O318" s="1370"/>
      <c r="P318" s="776" t="s">
        <v>682</v>
      </c>
      <c r="Q318" s="1370" t="str">
        <f ca="1">F318</f>
        <v>17.2</v>
      </c>
      <c r="S318" s="340"/>
    </row>
    <row r="319" spans="1:19" s="341" customFormat="1" ht="30.75" thickBot="1">
      <c r="A319" s="341">
        <f t="shared" ca="1" si="93"/>
        <v>17</v>
      </c>
      <c r="B319" s="341">
        <f ca="1">IF(OR(C319=1,D319=1),SUMIF($A$21:A319,A319,$C$21:C319),"")</f>
        <v>3</v>
      </c>
      <c r="C319" s="341">
        <f t="shared" si="94"/>
        <v>1</v>
      </c>
      <c r="D319" s="662" t="str">
        <f t="shared" si="95"/>
        <v/>
      </c>
      <c r="E319" s="662"/>
      <c r="F319" s="1223" t="str">
        <f t="shared" ca="1" si="101"/>
        <v>17.3</v>
      </c>
      <c r="G319" s="1192">
        <v>98510</v>
      </c>
      <c r="H319" s="1099" t="str">
        <f>IF(G319&gt;="CPU","PRÓPRIO","SINAPI")</f>
        <v>SINAPI</v>
      </c>
      <c r="I319" s="1098" t="str">
        <f>VLOOKUP($G319,IF(LEFT($G319,3)="CPU",COMPOSIÇÕES!$B$1:$E$4198,'BANCO DE DADOS JANEIRO-24 SERV'!$B$2:$F$7195),2,FALSE)</f>
        <v>PLANTIO DE ÁRVORE ORNAMENTAL COM ALTURA DE MUDA MENOR OU IGUAL A 2,00 M. AF_05/2018</v>
      </c>
      <c r="J319" s="1099" t="str">
        <f>VLOOKUP($G319,IF(LEFT($G319,3)="CPU",COMPOSIÇÕES!$B$1:$E$4198,'BANCO DE DADOS JANEIRO-24 SERV'!$B$2:$F$7195),3,FALSE)</f>
        <v>UN</v>
      </c>
      <c r="K319" s="1192">
        <v>14</v>
      </c>
      <c r="L319" s="1190">
        <f>VLOOKUP($G319,IF(LEFT($G319,3)="CPU",COMPOSIÇÕES!$B$1:$E$4198,'BANCO DE DADOS JANEIRO-24 SERV'!$B$2:$F$7195),4,FALSE)</f>
        <v>103.65</v>
      </c>
      <c r="M319" s="1190">
        <f>IF($Q$2="OUTROS",TRUNC(L319*(1+$N$7),2),ROUND(L319*(1+$N$7),2))</f>
        <v>128.72999999999999</v>
      </c>
      <c r="N319" s="1372">
        <f>IF($Q$2="OUTROS",TRUNC(M319*K319,2),ROUND(M319*K319,2))</f>
        <v>1802.22</v>
      </c>
      <c r="O319" s="1370"/>
      <c r="P319" s="776" t="s">
        <v>682</v>
      </c>
      <c r="Q319" s="1370" t="str">
        <f ca="1">F319</f>
        <v>17.3</v>
      </c>
      <c r="S319" s="340"/>
    </row>
    <row r="320" spans="1:19" s="344" customFormat="1" ht="16.5" thickBot="1">
      <c r="A320" s="341">
        <f t="shared" ca="1" si="93"/>
        <v>17</v>
      </c>
      <c r="B320" s="341" t="str">
        <f>IF(OR(C320=1,D320=1),SUMIF($A$21:A320,A320,$C$21:C320),"")</f>
        <v/>
      </c>
      <c r="C320" s="341" t="str">
        <f t="shared" si="94"/>
        <v/>
      </c>
      <c r="D320" s="662" t="str">
        <f t="shared" si="95"/>
        <v/>
      </c>
      <c r="E320" s="662"/>
      <c r="F320" s="1508" t="str">
        <f t="shared" si="101"/>
        <v/>
      </c>
      <c r="G320" s="148"/>
      <c r="H320" s="148"/>
      <c r="I320" s="148"/>
      <c r="J320" s="148"/>
      <c r="K320" s="148"/>
      <c r="L320" s="149"/>
      <c r="M320" s="148"/>
      <c r="N320" s="1509"/>
      <c r="O320" s="343"/>
      <c r="Q320" s="1626"/>
    </row>
    <row r="321" spans="1:19" s="338" customFormat="1" ht="16.5" thickBot="1">
      <c r="A321" s="341">
        <f t="shared" ca="1" si="93"/>
        <v>18</v>
      </c>
      <c r="B321" s="341">
        <f ca="1">IF(OR(C321=1,D321=1),SUMIF($A$21:A321,A321,$C$21:C321),"")</f>
        <v>0</v>
      </c>
      <c r="C321" s="341" t="str">
        <f t="shared" si="94"/>
        <v/>
      </c>
      <c r="D321" s="662">
        <f t="shared" si="95"/>
        <v>1</v>
      </c>
      <c r="E321" s="662"/>
      <c r="F321" s="132" t="str">
        <f t="shared" ca="1" si="101"/>
        <v>18.0</v>
      </c>
      <c r="G321" s="133"/>
      <c r="H321" s="133"/>
      <c r="I321" s="134" t="s">
        <v>14077</v>
      </c>
      <c r="J321" s="135"/>
      <c r="K321" s="136"/>
      <c r="L321" s="137"/>
      <c r="M321" s="137"/>
      <c r="N321" s="138">
        <f>SUM(N322:N327)</f>
        <v>27324.329999999994</v>
      </c>
      <c r="O321" s="337"/>
      <c r="P321" s="341"/>
      <c r="Q321" s="1625"/>
    </row>
    <row r="322" spans="1:19" s="341" customFormat="1" ht="30.75" thickBot="1">
      <c r="A322" s="341">
        <f t="shared" ca="1" si="93"/>
        <v>18</v>
      </c>
      <c r="B322" s="341">
        <f ca="1">IF(OR(C322=1,D322=1),SUMIF($A$21:A322,A322,$C$21:C322),"")</f>
        <v>1</v>
      </c>
      <c r="C322" s="341">
        <f t="shared" si="94"/>
        <v>1</v>
      </c>
      <c r="D322" s="662" t="str">
        <f t="shared" si="95"/>
        <v/>
      </c>
      <c r="E322" s="662"/>
      <c r="F322" s="1223" t="str">
        <f t="shared" ca="1" si="101"/>
        <v>18.1</v>
      </c>
      <c r="G322" s="1192" t="str">
        <f>'PLAYGROUND '!B14</f>
        <v>CPU PLAY 001</v>
      </c>
      <c r="H322" s="1099" t="str">
        <f t="shared" ref="H322:H327" si="102">IF(G322&gt;="CPU","PRÓPRIO","SINAPI")</f>
        <v>PRÓPRIO</v>
      </c>
      <c r="I322" s="1098" t="str">
        <f>VLOOKUP($G322,IF(LEFT($G322,3)="CPU",COMPOSIÇÕES!$B$1:$E$4198,'BANCO DE DADOS JANEIRO-24 SERV'!$B$2:$F$7195),2,FALSE)</f>
        <v>INSTALAÇÃO DE BALANÇO DE 3 LUGARES COM ESTRUTURA METÁLICA EM TUBOS DE AÇO CARBONO, INSTALADO SOBRE PISO DE CONCRETO EXISTENTE AF_10/2021</v>
      </c>
      <c r="J322" s="1099" t="str">
        <f>VLOOKUP($G322,IF(LEFT($G322,3)="CPU",COMPOSIÇÕES!$B$1:$E$4198,'BANCO DE DADOS JANEIRO-24 SERV'!$B$2:$F$7195),3,FALSE)</f>
        <v>UN</v>
      </c>
      <c r="K322" s="1192">
        <v>1</v>
      </c>
      <c r="L322" s="1190">
        <f>VLOOKUP($G322,IF(LEFT($G322,3)="CPU",COMPOSIÇÕES!$B$1:$E$4198,'BANCO DE DADOS JANEIRO-24 SERV'!$B$2:$F$7195),4,FALSE)</f>
        <v>2705.73</v>
      </c>
      <c r="M322" s="1190">
        <f t="shared" ref="M322:M327" si="103">IF($Q$2="OUTROS",TRUNC(L322*(1+$N$7),2),ROUND(L322*(1+$N$7),2))</f>
        <v>3360.51</v>
      </c>
      <c r="N322" s="1372">
        <f t="shared" ref="N322:N327" si="104">IF($Q$2="OUTROS",TRUNC(M322*K322,2),ROUND(M322*K322,2))</f>
        <v>3360.51</v>
      </c>
      <c r="O322" s="1370"/>
      <c r="P322" s="776" t="s">
        <v>682</v>
      </c>
      <c r="Q322" s="1370" t="str">
        <f t="shared" ref="Q322:Q327" ca="1" si="105">F322</f>
        <v>18.1</v>
      </c>
      <c r="S322" s="340"/>
    </row>
    <row r="323" spans="1:19" s="341" customFormat="1" ht="45.75" thickBot="1">
      <c r="A323" s="341">
        <f t="shared" ca="1" si="93"/>
        <v>18</v>
      </c>
      <c r="B323" s="341">
        <f ca="1">IF(OR(C323=1,D323=1),SUMIF($A$21:A323,A323,$C$21:C323),"")</f>
        <v>2</v>
      </c>
      <c r="C323" s="341">
        <f t="shared" si="94"/>
        <v>1</v>
      </c>
      <c r="D323" s="662" t="str">
        <f t="shared" si="95"/>
        <v/>
      </c>
      <c r="E323" s="662"/>
      <c r="F323" s="1223" t="str">
        <f t="shared" ca="1" si="101"/>
        <v>18.2</v>
      </c>
      <c r="G323" s="1192" t="str">
        <f>'PLAYGROUND '!B31</f>
        <v>CPU PLAY 002</v>
      </c>
      <c r="H323" s="1099" t="str">
        <f t="shared" si="102"/>
        <v>PRÓPRIO</v>
      </c>
      <c r="I323" s="1098" t="str">
        <f>VLOOKUP($G323,IF(LEFT($G323,3)="CPU",COMPOSIÇÕES!$B$1:$E$4198,'BANCO DE DADOS JANEIRO-24 SERV'!$B$2:$F$7195),2,FALSE)</f>
        <v>INSTALAÇÃO DE BALANÇO FRONTAL PARA CADEIRANTES COM ESTRUTURA METÁLICA EM TUBOS DE AÇO CARBONO, INSTALADO SOBRE PISO DE CONCRETO EXISTENTE AF_10/2021</v>
      </c>
      <c r="J323" s="1099" t="str">
        <f>VLOOKUP($G323,IF(LEFT($G323,3)="CPU",COMPOSIÇÕES!$B$1:$E$4198,'BANCO DE DADOS JANEIRO-24 SERV'!$B$2:$F$7195),3,FALSE)</f>
        <v>UN</v>
      </c>
      <c r="K323" s="1192">
        <v>1</v>
      </c>
      <c r="L323" s="1190">
        <f>VLOOKUP($G323,IF(LEFT($G323,3)="CPU",COMPOSIÇÕES!$B$1:$E$4198,'BANCO DE DADOS JANEIRO-24 SERV'!$B$2:$F$7195),4,FALSE)</f>
        <v>7112.84</v>
      </c>
      <c r="M323" s="1190">
        <f t="shared" si="103"/>
        <v>8834.14</v>
      </c>
      <c r="N323" s="1372">
        <f t="shared" si="104"/>
        <v>8834.14</v>
      </c>
      <c r="O323" s="1370"/>
      <c r="P323" s="776" t="s">
        <v>682</v>
      </c>
      <c r="Q323" s="1370" t="str">
        <f t="shared" ca="1" si="105"/>
        <v>18.2</v>
      </c>
      <c r="S323" s="340"/>
    </row>
    <row r="324" spans="1:19" s="341" customFormat="1" ht="30.75" thickBot="1">
      <c r="A324" s="341">
        <f t="shared" ca="1" si="93"/>
        <v>18</v>
      </c>
      <c r="B324" s="341">
        <f ca="1">IF(OR(C324=1,D324=1),SUMIF($A$21:A324,A324,$C$21:C324),"")</f>
        <v>3</v>
      </c>
      <c r="C324" s="341">
        <f t="shared" si="94"/>
        <v>1</v>
      </c>
      <c r="D324" s="662" t="str">
        <f t="shared" si="95"/>
        <v/>
      </c>
      <c r="E324" s="662"/>
      <c r="F324" s="1223" t="str">
        <f ca="1">IF(B324&lt;&gt;"",A324&amp;"."&amp;B324,"")</f>
        <v>18.3</v>
      </c>
      <c r="G324" s="1192" t="str">
        <f>'PLAYGROUND '!B48</f>
        <v>CPU PLAY 003</v>
      </c>
      <c r="H324" s="1099" t="str">
        <f t="shared" si="102"/>
        <v>PRÓPRIO</v>
      </c>
      <c r="I324" s="1098" t="str">
        <f>VLOOKUP($G324,IF(LEFT($G324,3)="CPU",COMPOSIÇÕES!$B$1:$E$4198,'BANCO DE DADOS JANEIRO-24 SERV'!$B$2:$F$7195),2,FALSE)</f>
        <v>INSTALAÇÃO DE ESCORREGADOR 2 METROS METÁLICO EM TUBOS E CHAPAS DE AÇO CARBONO, INSTALADO SOBRE PISO DE CONCRETO EXISTENTE.</v>
      </c>
      <c r="J324" s="1099" t="str">
        <f>VLOOKUP($G324,IF(LEFT($G324,3)="CPU",COMPOSIÇÕES!$B$1:$E$4198,'BANCO DE DADOS JANEIRO-24 SERV'!$B$2:$F$7195),3,FALSE)</f>
        <v>UN</v>
      </c>
      <c r="K324" s="1192">
        <v>1</v>
      </c>
      <c r="L324" s="1190">
        <f>VLOOKUP($G324,IF(LEFT($G324,3)="CPU",COMPOSIÇÕES!$B$1:$E$4198,'BANCO DE DADOS JANEIRO-24 SERV'!$B$2:$F$7195),4,FALSE)</f>
        <v>1902.14</v>
      </c>
      <c r="M324" s="1190">
        <f t="shared" si="103"/>
        <v>2362.4499999999998</v>
      </c>
      <c r="N324" s="1372">
        <f t="shared" si="104"/>
        <v>2362.4499999999998</v>
      </c>
      <c r="O324" s="1370"/>
      <c r="P324" s="776" t="s">
        <v>682</v>
      </c>
      <c r="Q324" s="1370" t="str">
        <f t="shared" ca="1" si="105"/>
        <v>18.3</v>
      </c>
      <c r="S324" s="340"/>
    </row>
    <row r="325" spans="1:19" s="341" customFormat="1" ht="30.75" thickBot="1">
      <c r="A325" s="341">
        <f t="shared" ca="1" si="93"/>
        <v>18</v>
      </c>
      <c r="B325" s="341">
        <f ca="1">IF(OR(C325=1,D325=1),SUMIF($A$21:A325,A325,$C$21:C325),"")</f>
        <v>4</v>
      </c>
      <c r="C325" s="341">
        <f t="shared" si="94"/>
        <v>1</v>
      </c>
      <c r="D325" s="662" t="str">
        <f t="shared" si="95"/>
        <v/>
      </c>
      <c r="E325" s="662"/>
      <c r="F325" s="1223" t="str">
        <f ca="1">IF(B325&lt;&gt;"",A325&amp;"."&amp;B325,"")</f>
        <v>18.4</v>
      </c>
      <c r="G325" s="1192" t="str">
        <f>'PLAYGROUND '!B65</f>
        <v>CPU PLAY 004</v>
      </c>
      <c r="H325" s="1099" t="str">
        <f t="shared" si="102"/>
        <v>PRÓPRIO</v>
      </c>
      <c r="I325" s="1098" t="str">
        <f>VLOOKUP($G325,IF(LEFT($G325,3)="CPU",COMPOSIÇÕES!$B$1:$E$4198,'BANCO DE DADOS JANEIRO-24 SERV'!$B$2:$F$7195),2,FALSE)</f>
        <v>INSTALAÇÃO DE GAIOLA LABIRINTO METÁLICA EM TUBOS DE AÇO CARBONO, INSTALADA SOBRE PISO DE CONCRETO EXISTENTE. AF_10/2021</v>
      </c>
      <c r="J325" s="1099" t="str">
        <f>VLOOKUP($G325,IF(LEFT($G325,3)="CPU",COMPOSIÇÕES!$B$1:$E$4198,'BANCO DE DADOS JANEIRO-24 SERV'!$B$2:$F$7195),3,FALSE)</f>
        <v>UN</v>
      </c>
      <c r="K325" s="1192">
        <v>1</v>
      </c>
      <c r="L325" s="1190">
        <f>VLOOKUP($G325,IF(LEFT($G325,3)="CPU",COMPOSIÇÕES!$B$1:$E$4198,'BANCO DE DADOS JANEIRO-24 SERV'!$B$2:$F$7195),4,FALSE)</f>
        <v>3162.08</v>
      </c>
      <c r="M325" s="1190">
        <f>IF($Q$2="OUTROS",TRUNC(L325*(1+$N$7),2),ROUND(L325*(1+$N$7),2))</f>
        <v>3927.3</v>
      </c>
      <c r="N325" s="1372">
        <f t="shared" si="104"/>
        <v>3927.3</v>
      </c>
      <c r="O325" s="1370"/>
      <c r="P325" s="776" t="s">
        <v>682</v>
      </c>
      <c r="Q325" s="1370" t="str">
        <f t="shared" ca="1" si="105"/>
        <v>18.4</v>
      </c>
      <c r="S325" s="340"/>
    </row>
    <row r="326" spans="1:19" s="341" customFormat="1" ht="30.75" thickBot="1">
      <c r="A326" s="341">
        <f t="shared" ca="1" si="93"/>
        <v>18</v>
      </c>
      <c r="B326" s="341">
        <f ca="1">IF(OR(C326=1,D326=1),SUMIF($A$21:A326,A326,$C$21:C326),"")</f>
        <v>5</v>
      </c>
      <c r="C326" s="341">
        <f t="shared" si="94"/>
        <v>1</v>
      </c>
      <c r="D326" s="662" t="str">
        <f t="shared" si="95"/>
        <v/>
      </c>
      <c r="E326" s="662"/>
      <c r="F326" s="1223" t="str">
        <f ca="1">IF(B326&lt;&gt;"",A326&amp;"."&amp;B326,"")</f>
        <v>18.5</v>
      </c>
      <c r="G326" s="1192" t="str">
        <f>'PLAYGROUND '!B82</f>
        <v>CPU PLAY 005</v>
      </c>
      <c r="H326" s="1099" t="str">
        <f t="shared" si="102"/>
        <v>PRÓPRIO</v>
      </c>
      <c r="I326" s="1098" t="str">
        <f>VLOOKUP($G326,IF(LEFT($G326,3)="CPU",COMPOSIÇÕES!$B$1:$E$4198,'BANCO DE DADOS JANEIRO-24 SERV'!$B$2:$F$7195),2,FALSE)</f>
        <v>INSTALAÇÃO DE GANGORRA TRIPLA METÁLICA EM TUBOS DE AÇO CARBONO, INSTALADA SOBRE PISO DE CONCRETO EXISTENTE. AF_10/2021</v>
      </c>
      <c r="J326" s="1099" t="str">
        <f>VLOOKUP($G326,IF(LEFT($G326,3)="CPU",COMPOSIÇÕES!$B$1:$E$4198,'BANCO DE DADOS JANEIRO-24 SERV'!$B$2:$F$7195),3,FALSE)</f>
        <v>UN</v>
      </c>
      <c r="K326" s="1192">
        <v>1</v>
      </c>
      <c r="L326" s="1190">
        <f>VLOOKUP($G326,IF(LEFT($G326,3)="CPU",COMPOSIÇÕES!$B$1:$E$4198,'BANCO DE DADOS JANEIRO-24 SERV'!$B$2:$F$7195),4,FALSE)</f>
        <v>2957.48</v>
      </c>
      <c r="M326" s="1190">
        <f t="shared" si="103"/>
        <v>3673.19</v>
      </c>
      <c r="N326" s="1372">
        <f t="shared" si="104"/>
        <v>3673.19</v>
      </c>
      <c r="O326" s="1370"/>
      <c r="P326" s="776" t="s">
        <v>682</v>
      </c>
      <c r="Q326" s="1370" t="str">
        <f t="shared" ca="1" si="105"/>
        <v>18.5</v>
      </c>
      <c r="S326" s="340"/>
    </row>
    <row r="327" spans="1:19" s="341" customFormat="1" ht="30.75" thickBot="1">
      <c r="A327" s="341">
        <f t="shared" ca="1" si="93"/>
        <v>18</v>
      </c>
      <c r="B327" s="341">
        <f ca="1">IF(OR(C327=1,D327=1),SUMIF($A$21:A327,A327,$C$21:C327),"")</f>
        <v>6</v>
      </c>
      <c r="C327" s="341">
        <f t="shared" si="94"/>
        <v>1</v>
      </c>
      <c r="D327" s="662" t="str">
        <f t="shared" si="95"/>
        <v/>
      </c>
      <c r="E327" s="662"/>
      <c r="F327" s="1223" t="str">
        <f ca="1">IF(B327&lt;&gt;"",A327&amp;"."&amp;B327,"")</f>
        <v>18.6</v>
      </c>
      <c r="G327" s="1192" t="str">
        <f>'PLAYGROUND '!B99</f>
        <v>CPU PLAY 006</v>
      </c>
      <c r="H327" s="1099" t="str">
        <f t="shared" si="102"/>
        <v>PRÓPRIO</v>
      </c>
      <c r="I327" s="1098" t="str">
        <f>VLOOKUP($G327,IF(LEFT($G327,3)="CPU",COMPOSIÇÕES!$B$1:$E$4198,'BANCO DE DADOS JANEIRO-24 SERV'!$B$2:$F$7195),2,FALSE)</f>
        <v>INSTALAÇÃO DE GIRA-GIRA METÁLICO EM TUBOS DE AÇO CARBONO, INSTALADO SOBRE PISO DE CONCRETO EXISTENTE. AF_10/2021</v>
      </c>
      <c r="J327" s="1099" t="str">
        <f>VLOOKUP($G327,IF(LEFT($G327,3)="CPU",COMPOSIÇÕES!$B$1:$E$4198,'BANCO DE DADOS JANEIRO-24 SERV'!$B$2:$F$7195),3,FALSE)</f>
        <v>UN</v>
      </c>
      <c r="K327" s="1192">
        <v>1</v>
      </c>
      <c r="L327" s="1190">
        <f>VLOOKUP($G327,IF(LEFT($G327,3)="CPU",COMPOSIÇÕES!$B$1:$E$4198,'BANCO DE DADOS JANEIRO-24 SERV'!$B$2:$F$7195),4,FALSE)</f>
        <v>4160.0200000000004</v>
      </c>
      <c r="M327" s="1190">
        <f t="shared" si="103"/>
        <v>5166.74</v>
      </c>
      <c r="N327" s="1372">
        <f t="shared" si="104"/>
        <v>5166.74</v>
      </c>
      <c r="O327" s="1370"/>
      <c r="P327" s="776" t="s">
        <v>682</v>
      </c>
      <c r="Q327" s="1370" t="str">
        <f t="shared" ca="1" si="105"/>
        <v>18.6</v>
      </c>
      <c r="S327" s="340"/>
    </row>
    <row r="328" spans="1:19" s="344" customFormat="1" ht="16.5" customHeight="1" thickBot="1">
      <c r="A328" s="341">
        <f t="shared" ca="1" si="93"/>
        <v>18</v>
      </c>
      <c r="B328" s="341" t="str">
        <f>IF(OR(C328=1,D328=1),SUMIF($A$21:A328,A328,$C$21:C328),"")</f>
        <v/>
      </c>
      <c r="C328" s="341" t="str">
        <f t="shared" si="94"/>
        <v/>
      </c>
      <c r="D328" s="662" t="str">
        <f t="shared" si="95"/>
        <v/>
      </c>
      <c r="E328" s="662"/>
      <c r="F328" s="1508" t="str">
        <f t="shared" ref="F328:F339" si="106">IF(B328&lt;&gt;"",A328&amp;"."&amp;B328,"")</f>
        <v/>
      </c>
      <c r="G328" s="148"/>
      <c r="H328" s="148"/>
      <c r="I328" s="148"/>
      <c r="J328" s="148"/>
      <c r="K328" s="148"/>
      <c r="L328" s="149"/>
      <c r="M328" s="148"/>
      <c r="N328" s="1509"/>
      <c r="O328" s="343"/>
      <c r="Q328" s="1626"/>
    </row>
    <row r="329" spans="1:19" s="338" customFormat="1" ht="16.5" customHeight="1" thickBot="1">
      <c r="A329" s="341">
        <f t="shared" ca="1" si="93"/>
        <v>19</v>
      </c>
      <c r="B329" s="341">
        <f ca="1">IF(OR(C329=1,D329=1),SUMIF($A$21:A329,A329,$C$21:C329),"")</f>
        <v>0</v>
      </c>
      <c r="C329" s="341" t="str">
        <f t="shared" si="94"/>
        <v/>
      </c>
      <c r="D329" s="662">
        <f t="shared" si="95"/>
        <v>1</v>
      </c>
      <c r="E329" s="662"/>
      <c r="F329" s="132" t="str">
        <f t="shared" ca="1" si="106"/>
        <v>19.0</v>
      </c>
      <c r="G329" s="133"/>
      <c r="H329" s="133"/>
      <c r="I329" s="134" t="s">
        <v>403</v>
      </c>
      <c r="J329" s="135"/>
      <c r="K329" s="136"/>
      <c r="L329" s="137"/>
      <c r="M329" s="137"/>
      <c r="N329" s="138">
        <f>SUM(N330:N339)</f>
        <v>248001.31</v>
      </c>
      <c r="O329" s="337"/>
      <c r="P329" s="341"/>
      <c r="Q329" s="1625"/>
    </row>
    <row r="330" spans="1:19" s="341" customFormat="1" ht="30.75" thickBot="1">
      <c r="A330" s="341">
        <f t="shared" ca="1" si="93"/>
        <v>19</v>
      </c>
      <c r="B330" s="341">
        <f ca="1">IF(OR(C330=1,D330=1),SUMIF($A$21:A330,A330,$C$21:C330),"")</f>
        <v>1</v>
      </c>
      <c r="C330" s="341">
        <f t="shared" si="94"/>
        <v>1</v>
      </c>
      <c r="D330" s="662" t="str">
        <f t="shared" si="95"/>
        <v/>
      </c>
      <c r="E330" s="662"/>
      <c r="F330" s="783" t="str">
        <f t="shared" ca="1" si="106"/>
        <v>19.1</v>
      </c>
      <c r="G330" s="1192" t="str">
        <f>'COMPOSIÇÃO CIVIL'!B29</f>
        <v>CPU CIV 002</v>
      </c>
      <c r="H330" s="1099" t="str">
        <f t="shared" ref="H330:H339" si="107">IF(G330&gt;="CPU","PRÓPRIO","SINAPI")</f>
        <v>PRÓPRIO</v>
      </c>
      <c r="I330" s="784" t="str">
        <f>VLOOKUP($G330,IF(LEFT($G330,3)="CPU",COMPOSIÇÕES!$B$1:$E$4198,'BANCO DE DADOS JANEIRO-24 SERV'!$B$2:$F$7195),2,FALSE)</f>
        <v>PISO TÁTIL DIRECIONAL E/OU ALERTA, DE CONCRETO, COLORIDO, P/DEFICIENTES VISUAIS, DIMENSÕES 25X25CM, APLICADO COM ARGAMASSA  AC-II, REJUNTADO</v>
      </c>
      <c r="J330" s="782" t="str">
        <f>VLOOKUP($G330,IF(LEFT($G330,3)="CPU",COMPOSIÇÕES!$B$1:$E$4198,'BANCO DE DADOS JANEIRO-24 SERV'!$B$2:$F$7195),3,FALSE)</f>
        <v>M2</v>
      </c>
      <c r="K330" s="1219">
        <f>81.44+6.69</f>
        <v>88.13</v>
      </c>
      <c r="L330" s="785">
        <f>VLOOKUP($G330,IF(LEFT($G330,3)="CPU",COMPOSIÇÕES!$B$1:$E$4198,'BANCO DE DADOS JANEIRO-24 SERV'!$B$2:$F$7195),4,FALSE)</f>
        <v>195.19</v>
      </c>
      <c r="M330" s="785">
        <f t="shared" ref="M330:M339" si="108">IF($Q$2="OUTROS",TRUNC(L330*(1+$N$7),2),ROUND(L330*(1+$N$7),2))</f>
        <v>242.42</v>
      </c>
      <c r="N330" s="1371">
        <f t="shared" ref="N330:N339" si="109">IF($Q$2="OUTROS",TRUNC(M330*K330,2),ROUND(M330*K330,2))</f>
        <v>21364.47</v>
      </c>
      <c r="O330" s="1370"/>
      <c r="P330" s="776" t="s">
        <v>682</v>
      </c>
      <c r="Q330" s="1370" t="str">
        <f t="shared" ref="Q330:Q339" ca="1" si="110">F330</f>
        <v>19.1</v>
      </c>
      <c r="S330" s="340"/>
    </row>
    <row r="331" spans="1:19" s="341" customFormat="1" ht="31.5" customHeight="1" thickBot="1">
      <c r="A331" s="341">
        <f ca="1">IF(LEN(D331),OFFSET(A331,-1,0)+1,OFFSET(A331,-1,0))</f>
        <v>19</v>
      </c>
      <c r="B331" s="341">
        <f ca="1">IF(OR(C331=1,D331=1),SUMIF($A$21:A331,A331,$C$21:C331),"")</f>
        <v>2</v>
      </c>
      <c r="C331" s="341">
        <f>IF(G331&gt;0,1,"")</f>
        <v>1</v>
      </c>
      <c r="D331" s="662" t="str">
        <f>IF(AND(CONCATENATE(G331,I331,J331,K331,L331,M331,N331)=I331&amp;N331,CONCATENATE(G331,I331,J331,K331,L331,M331,N331)&lt;&gt;"",N331&lt;&gt;""),1,"")</f>
        <v/>
      </c>
      <c r="E331" s="662"/>
      <c r="F331" s="1223" t="str">
        <f t="shared" ca="1" si="106"/>
        <v>19.2</v>
      </c>
      <c r="G331" s="1192">
        <v>100866</v>
      </c>
      <c r="H331" s="1099" t="str">
        <f>IF(G331&gt;="CPU","PRÓPRIO","SINAPI")</f>
        <v>SINAPI</v>
      </c>
      <c r="I331" s="1098" t="str">
        <f>VLOOKUP($G331,IF(LEFT($G331,3)="CPU",COMPOSIÇÕES!$B$1:$E$4198,'BANCO DE DADOS JANEIRO-24 SERV'!$B$2:$F$7195),2,FALSE)</f>
        <v>BARRA DE APOIO RETA, EM ACO INOX POLIDO, COMPRIMENTO 60CM, FIXADA NA PAREDE - FORNECIMENTO E INSTALAÇÃO. AF_01/2020</v>
      </c>
      <c r="J331" s="1099" t="str">
        <f>VLOOKUP($G331,IF(LEFT($G331,3)="CPU",COMPOSIÇÕES!$B$1:$E$4198,'BANCO DE DADOS JANEIRO-24 SERV'!$B$2:$F$7195),3,FALSE)</f>
        <v>UN</v>
      </c>
      <c r="K331" s="1219">
        <v>6</v>
      </c>
      <c r="L331" s="1190">
        <f>VLOOKUP($G331,IF(LEFT($G331,3)="CPU",COMPOSIÇÕES!$B$1:$E$4198,'BANCO DE DADOS JANEIRO-24 SERV'!$B$2:$F$7195),4,FALSE)</f>
        <v>304.69</v>
      </c>
      <c r="M331" s="1190">
        <f t="shared" si="108"/>
        <v>378.42</v>
      </c>
      <c r="N331" s="1372">
        <f t="shared" si="109"/>
        <v>2270.52</v>
      </c>
      <c r="O331" s="1370"/>
      <c r="P331" s="776" t="s">
        <v>682</v>
      </c>
      <c r="Q331" s="1370" t="str">
        <f t="shared" ca="1" si="110"/>
        <v>19.2</v>
      </c>
      <c r="S331" s="340"/>
    </row>
    <row r="332" spans="1:19" s="341" customFormat="1" ht="31.5" customHeight="1" thickBot="1">
      <c r="A332" s="341">
        <f t="shared" ca="1" si="93"/>
        <v>19</v>
      </c>
      <c r="B332" s="341">
        <f ca="1">IF(OR(C332=1,D332=1),SUMIF($A$21:A332,A332,$C$21:C332),"")</f>
        <v>3</v>
      </c>
      <c r="C332" s="341">
        <f t="shared" si="94"/>
        <v>1</v>
      </c>
      <c r="D332" s="662" t="str">
        <f t="shared" si="95"/>
        <v/>
      </c>
      <c r="E332" s="662"/>
      <c r="F332" s="1223" t="str">
        <f ca="1">IF(B332&lt;&gt;"",A332&amp;"."&amp;B332,"")</f>
        <v>19.3</v>
      </c>
      <c r="G332" s="1192">
        <v>100868</v>
      </c>
      <c r="H332" s="1099" t="str">
        <f t="shared" si="107"/>
        <v>SINAPI</v>
      </c>
      <c r="I332" s="1098" t="str">
        <f>VLOOKUP($G332,IF(LEFT($G332,3)="CPU",COMPOSIÇÕES!$B$1:$E$4198,'BANCO DE DADOS JANEIRO-24 SERV'!$B$2:$F$7195),2,FALSE)</f>
        <v>BARRA DE APOIO RETA, EM ACO INOX POLIDO, COMPRIMENTO 80 CM,  FIXADA NA PAREDE - FORNECIMENTO E INSTALAÇÃO. AF_01/2020</v>
      </c>
      <c r="J332" s="1099" t="str">
        <f>VLOOKUP($G332,IF(LEFT($G332,3)="CPU",COMPOSIÇÕES!$B$1:$E$4198,'BANCO DE DADOS JANEIRO-24 SERV'!$B$2:$F$7195),3,FALSE)</f>
        <v>UN</v>
      </c>
      <c r="K332" s="1219">
        <v>6</v>
      </c>
      <c r="L332" s="1190">
        <f>VLOOKUP($G332,IF(LEFT($G332,3)="CPU",COMPOSIÇÕES!$B$1:$E$4198,'BANCO DE DADOS JANEIRO-24 SERV'!$B$2:$F$7195),4,FALSE)</f>
        <v>336.93</v>
      </c>
      <c r="M332" s="1190">
        <f>IF($Q$2="OUTROS",TRUNC(L332*(1+$N$7),2),ROUND(L332*(1+$N$7),2))</f>
        <v>418.46</v>
      </c>
      <c r="N332" s="1372">
        <f>IF($Q$2="OUTROS",TRUNC(M332*K332,2),ROUND(M332*K332,2))</f>
        <v>2510.7600000000002</v>
      </c>
      <c r="O332" s="1370"/>
      <c r="P332" s="776" t="s">
        <v>682</v>
      </c>
      <c r="Q332" s="1370" t="str">
        <f ca="1">F332</f>
        <v>19.3</v>
      </c>
      <c r="S332" s="340"/>
    </row>
    <row r="333" spans="1:19" s="341" customFormat="1" ht="31.5" customHeight="1" thickBot="1">
      <c r="A333" s="341">
        <f ca="1">IF(LEN(D333),OFFSET(A333,-1,0)+1,OFFSET(A333,-1,0))</f>
        <v>19</v>
      </c>
      <c r="B333" s="341">
        <f ca="1">IF(OR(C333=1,D333=1),SUMIF($A$21:A333,A333,$C$21:C333),"")</f>
        <v>4</v>
      </c>
      <c r="C333" s="341">
        <f>IF(G333&gt;0,1,"")</f>
        <v>1</v>
      </c>
      <c r="D333" s="662" t="str">
        <f>IF(AND(CONCATENATE(G333,I333,J333,K333,L333,M333,N333)=I333&amp;N333,CONCATENATE(G333,I333,J333,K333,L333,M333,N333)&lt;&gt;"",N333&lt;&gt;""),1,"")</f>
        <v/>
      </c>
      <c r="E333" s="662"/>
      <c r="F333" s="1223" t="str">
        <f ca="1">IF(B333&lt;&gt;"",A333&amp;"."&amp;B333,"")</f>
        <v>19.4</v>
      </c>
      <c r="G333" s="1192">
        <v>99814</v>
      </c>
      <c r="H333" s="1099" t="str">
        <f>IF(G333&gt;="CPU","PRÓPRIO","SINAPI")</f>
        <v>SINAPI</v>
      </c>
      <c r="I333" s="1098" t="str">
        <f>VLOOKUP($G333,IF(LEFT($G333,3)="CPU",COMPOSIÇÕES!$B$1:$E$4198,'BANCO DE DADOS JANEIRO-24 SERV'!$B$2:$F$7195),2,FALSE)</f>
        <v>LIMPEZA DE SUPERFÍCIE COM JATO DE ALTA PRESSÃO. AF_04/2019</v>
      </c>
      <c r="J333" s="1099" t="str">
        <f>VLOOKUP($G333,IF(LEFT($G333,3)="CPU",COMPOSIÇÕES!$B$1:$E$4198,'BANCO DE DADOS JANEIRO-24 SERV'!$B$2:$F$7195),3,FALSE)</f>
        <v>M2</v>
      </c>
      <c r="K333" s="1219">
        <v>3321.64</v>
      </c>
      <c r="L333" s="1190">
        <f>VLOOKUP($G333,IF(LEFT($G333,3)="CPU",COMPOSIÇÕES!$B$1:$E$4198,'BANCO DE DADOS JANEIRO-24 SERV'!$B$2:$F$7195),4,FALSE)</f>
        <v>1.83</v>
      </c>
      <c r="M333" s="1190">
        <f>IF($Q$2="OUTROS",TRUNC(L333*(1+$N$7),2),ROUND(L333*(1+$N$7),2))</f>
        <v>2.27</v>
      </c>
      <c r="N333" s="1372">
        <f>IF($Q$2="OUTROS",TRUNC(M333*K333,2),ROUND(M333*K333,2))</f>
        <v>7540.12</v>
      </c>
      <c r="O333" s="1370"/>
      <c r="P333" s="776" t="s">
        <v>682</v>
      </c>
      <c r="Q333" s="1370" t="str">
        <f ca="1">F333</f>
        <v>19.4</v>
      </c>
      <c r="S333" s="340"/>
    </row>
    <row r="334" spans="1:19" s="341" customFormat="1" ht="30.75" thickBot="1">
      <c r="A334" s="341">
        <f t="shared" ca="1" si="93"/>
        <v>19</v>
      </c>
      <c r="B334" s="341">
        <f ca="1">IF(OR(C334=1,D334=1),SUMIF($A$21:A334,A334,$C$21:C334),"")</f>
        <v>5</v>
      </c>
      <c r="C334" s="341">
        <f t="shared" si="94"/>
        <v>1</v>
      </c>
      <c r="D334" s="662" t="str">
        <f t="shared" si="95"/>
        <v/>
      </c>
      <c r="E334" s="662"/>
      <c r="F334" s="1223" t="str">
        <f t="shared" ca="1" si="106"/>
        <v>19.5</v>
      </c>
      <c r="G334" s="1192">
        <v>100947</v>
      </c>
      <c r="H334" s="1099" t="str">
        <f t="shared" si="107"/>
        <v>SINAPI</v>
      </c>
      <c r="I334" s="1098" t="str">
        <f>VLOOKUP($G334,IF(LEFT($G334,3)="CPU",COMPOSIÇÕES!$B$1:$E$4198,'BANCO DE DADOS JANEIRO-24 SERV'!$B$2:$F$7195),2,FALSE)</f>
        <v>TRANSPORTE COM CAMINHÃO CARROCERIA 9T, EM VIA URBANA PAVIMENTADA, DMT ATÉ 30KM (UNIDADE: TXKM). AF_07/2020</v>
      </c>
      <c r="J334" s="1099" t="str">
        <f>VLOOKUP($G334,IF(LEFT($G334,3)="CPU",COMPOSIÇÕES!$B$1:$E$4198,'BANCO DE DADOS JANEIRO-24 SERV'!$B$2:$F$7195),3,FALSE)</f>
        <v>TXKM</v>
      </c>
      <c r="K334" s="1219">
        <v>10267.94</v>
      </c>
      <c r="L334" s="1190">
        <f>VLOOKUP($G334,IF(LEFT($G334,3)="CPU",COMPOSIÇÕES!$B$1:$E$4198,'BANCO DE DADOS JANEIRO-24 SERV'!$B$2:$F$7195),4,FALSE)</f>
        <v>2.2599999999999998</v>
      </c>
      <c r="M334" s="1190">
        <f t="shared" si="108"/>
        <v>2.8</v>
      </c>
      <c r="N334" s="1372">
        <f t="shared" si="109"/>
        <v>28750.23</v>
      </c>
      <c r="O334" s="1370"/>
      <c r="P334" s="776" t="s">
        <v>682</v>
      </c>
      <c r="Q334" s="1370" t="str">
        <f t="shared" ca="1" si="110"/>
        <v>19.5</v>
      </c>
      <c r="S334" s="340"/>
    </row>
    <row r="335" spans="1:19" s="341" customFormat="1" ht="30.75" thickBot="1">
      <c r="A335" s="341">
        <f t="shared" ca="1" si="93"/>
        <v>19</v>
      </c>
      <c r="B335" s="341">
        <f ca="1">IF(OR(C335=1,D335=1),SUMIF($A$21:A335,A335,$C$21:C335),"")</f>
        <v>6</v>
      </c>
      <c r="C335" s="341">
        <f t="shared" si="94"/>
        <v>1</v>
      </c>
      <c r="D335" s="662" t="str">
        <f t="shared" si="95"/>
        <v/>
      </c>
      <c r="E335" s="662"/>
      <c r="F335" s="1223" t="str">
        <f t="shared" ca="1" si="106"/>
        <v>19.6</v>
      </c>
      <c r="G335" s="1192">
        <v>100948</v>
      </c>
      <c r="H335" s="1099" t="str">
        <f t="shared" si="107"/>
        <v>SINAPI</v>
      </c>
      <c r="I335" s="1098" t="str">
        <f>VLOOKUP($G335,IF(LEFT($G335,3)="CPU",COMPOSIÇÕES!$B$1:$E$4198,'BANCO DE DADOS JANEIRO-24 SERV'!$B$2:$F$7195),2,FALSE)</f>
        <v>TRANSPORTE COM CAMINHÃO CARROCERIA 9T, EM VIA URBANA PAVIMENTADA, ADICIONAL PARA DMT EXCEDENTE A 30 KM (UNIDADE: TXKM). AF_07/2020</v>
      </c>
      <c r="J335" s="1099" t="str">
        <f>VLOOKUP($G335,IF(LEFT($G335,3)="CPU",COMPOSIÇÕES!$B$1:$E$4198,'BANCO DE DADOS JANEIRO-24 SERV'!$B$2:$F$7195),3,FALSE)</f>
        <v>TXKM</v>
      </c>
      <c r="K335" s="1219">
        <v>1</v>
      </c>
      <c r="L335" s="1190">
        <f>VLOOKUP($G335,IF(LEFT($G335,3)="CPU",COMPOSIÇÕES!$B$1:$E$4198,'BANCO DE DADOS JANEIRO-24 SERV'!$B$2:$F$7195),4,FALSE)</f>
        <v>0.9</v>
      </c>
      <c r="M335" s="1190">
        <f t="shared" si="108"/>
        <v>1.1100000000000001</v>
      </c>
      <c r="N335" s="1372">
        <f t="shared" si="109"/>
        <v>1.1100000000000001</v>
      </c>
      <c r="O335" s="1370"/>
      <c r="P335" s="776" t="s">
        <v>682</v>
      </c>
      <c r="Q335" s="1370" t="str">
        <f t="shared" ca="1" si="110"/>
        <v>19.6</v>
      </c>
      <c r="S335" s="340"/>
    </row>
    <row r="336" spans="1:19" s="341" customFormat="1" ht="30.75" thickBot="1">
      <c r="A336" s="341">
        <f t="shared" ca="1" si="93"/>
        <v>19</v>
      </c>
      <c r="B336" s="341">
        <f ca="1">IF(OR(C336=1,D336=1),SUMIF($A$21:A336,A336,$C$21:C336),"")</f>
        <v>7</v>
      </c>
      <c r="C336" s="341">
        <f t="shared" si="94"/>
        <v>1</v>
      </c>
      <c r="D336" s="662" t="str">
        <f t="shared" si="95"/>
        <v/>
      </c>
      <c r="E336" s="662"/>
      <c r="F336" s="1223" t="str">
        <f t="shared" ca="1" si="106"/>
        <v>19.7</v>
      </c>
      <c r="G336" s="1192" t="str">
        <f>'COMPOSIÇÃO CIVIL'!B61</f>
        <v>CPU CIV 004</v>
      </c>
      <c r="H336" s="1099" t="str">
        <f t="shared" si="107"/>
        <v>PRÓPRIO</v>
      </c>
      <c r="I336" s="1098" t="str">
        <f>VLOOKUP($G336,IF(LEFT($G336,3)="CPU",COMPOSIÇÕES!$B$1:$E$4198,'BANCO DE DADOS JANEIRO-24 SERV'!$B$2:$F$7195),2,FALSE)</f>
        <v>MAPA TÁTIL EM ACRÍLICO DIMENSÕES 60X90CM, COM PEDESTAL EM AÇO BASE PARAFUSADA, COM PINTURA ELETROSTÁTICA. - FORNECIMENTO E INSTALAÇÃO.</v>
      </c>
      <c r="J336" s="1099" t="str">
        <f>VLOOKUP($G336,IF(LEFT($G336,3)="CPU",COMPOSIÇÕES!$B$1:$E$4198,'BANCO DE DADOS JANEIRO-24 SERV'!$B$2:$F$7195),3,FALSE)</f>
        <v>UN</v>
      </c>
      <c r="K336" s="1219">
        <v>30</v>
      </c>
      <c r="L336" s="1190">
        <f>VLOOKUP($G336,IF(LEFT($G336,3)="CPU",COMPOSIÇÕES!$B$1:$E$4198,'BANCO DE DADOS JANEIRO-24 SERV'!$B$2:$F$7195),4,FALSE)</f>
        <v>2527.81</v>
      </c>
      <c r="M336" s="1190">
        <f t="shared" si="108"/>
        <v>3139.54</v>
      </c>
      <c r="N336" s="1372">
        <f t="shared" si="109"/>
        <v>94186.2</v>
      </c>
      <c r="O336" s="1370"/>
      <c r="P336" s="776" t="s">
        <v>682</v>
      </c>
      <c r="Q336" s="1370" t="str">
        <f t="shared" ca="1" si="110"/>
        <v>19.7</v>
      </c>
      <c r="S336" s="340"/>
    </row>
    <row r="337" spans="1:19" s="341" customFormat="1" ht="30.75" thickBot="1">
      <c r="A337" s="341">
        <f t="shared" ca="1" si="93"/>
        <v>19</v>
      </c>
      <c r="B337" s="341">
        <f ca="1">IF(OR(C337=1,D337=1),SUMIF($A$21:A337,A337,$C$21:C337),"")</f>
        <v>8</v>
      </c>
      <c r="C337" s="341">
        <f t="shared" si="94"/>
        <v>1</v>
      </c>
      <c r="D337" s="662" t="str">
        <f t="shared" si="95"/>
        <v/>
      </c>
      <c r="E337" s="662"/>
      <c r="F337" s="1223" t="str">
        <f t="shared" ca="1" si="106"/>
        <v>19.8</v>
      </c>
      <c r="G337" s="1192" t="str">
        <f>'COMPOSIÇÃO CIVIL'!B76</f>
        <v>CPU CIV 005</v>
      </c>
      <c r="H337" s="1099" t="str">
        <f t="shared" si="107"/>
        <v>PRÓPRIO</v>
      </c>
      <c r="I337" s="1098" t="str">
        <f>VLOOKUP($G337,IF(LEFT($G337,3)="CPU",COMPOSIÇÕES!$B$1:$E$4198,'BANCO DE DADOS JANEIRO-24 SERV'!$B$2:$F$7195),2,FALSE)</f>
        <v>PLACA TÁTIL EM ACRILICO BORDAS ARREDONDADAS, COM LETRAS EM ALTO RELEVO, DIM. 30X10CM, PARA AS PAREDES E PORTAS - FORNECIMENTO E COLOCACAO</v>
      </c>
      <c r="J337" s="1099" t="str">
        <f>VLOOKUP($G337,IF(LEFT($G337,3)="CPU",COMPOSIÇÕES!$B$1:$E$4198,'BANCO DE DADOS JANEIRO-24 SERV'!$B$2:$F$7195),3,FALSE)</f>
        <v>UN</v>
      </c>
      <c r="K337" s="1219">
        <v>30</v>
      </c>
      <c r="L337" s="1190">
        <f>VLOOKUP($G337,IF(LEFT($G337,3)="CPU",COMPOSIÇÕES!$B$1:$E$4198,'BANCO DE DADOS JANEIRO-24 SERV'!$B$2:$F$7195),4,FALSE)</f>
        <v>101.09</v>
      </c>
      <c r="M337" s="1190">
        <f t="shared" si="108"/>
        <v>125.55</v>
      </c>
      <c r="N337" s="1372">
        <f t="shared" si="109"/>
        <v>3766.5</v>
      </c>
      <c r="O337" s="1370"/>
      <c r="P337" s="776" t="s">
        <v>682</v>
      </c>
      <c r="Q337" s="1370" t="str">
        <f t="shared" ca="1" si="110"/>
        <v>19.8</v>
      </c>
      <c r="S337" s="340"/>
    </row>
    <row r="338" spans="1:19" s="341" customFormat="1" ht="36.75" customHeight="1" thickBot="1">
      <c r="A338" s="341">
        <f t="shared" ca="1" si="93"/>
        <v>19</v>
      </c>
      <c r="B338" s="341">
        <f ca="1">IF(OR(C338=1,D338=1),SUMIF($A$21:A338,A338,$C$21:C338),"")</f>
        <v>9</v>
      </c>
      <c r="C338" s="341">
        <f t="shared" si="94"/>
        <v>1</v>
      </c>
      <c r="D338" s="662" t="str">
        <f t="shared" si="95"/>
        <v/>
      </c>
      <c r="E338" s="662"/>
      <c r="F338" s="1223" t="str">
        <f ca="1">IF(B338&lt;&gt;"",A338&amp;"."&amp;B338,"")</f>
        <v>19.9</v>
      </c>
      <c r="G338" s="1192" t="str">
        <f>'COMPOSIÇÃO CIVIL'!B99</f>
        <v>CPU CIV 006</v>
      </c>
      <c r="H338" s="1099" t="str">
        <f t="shared" si="107"/>
        <v>PRÓPRIO</v>
      </c>
      <c r="I338" s="1098" t="str">
        <f>VLOOKUP($G338,IF(LEFT($G338,3)="CPU",COMPOSIÇÕES!$B$1:$E$4198,'BANCO DE DADOS JANEIRO-24 SERV'!$B$2:$F$7195),2,FALSE)</f>
        <v>PLACA TÁTIL EM ACRILICO BORDAS ARREDONDADAS, COM LETRAS EM VINIL, DIM. 30X10CM, PARA AS PAREDES E PORTAS - FORNECIMENTO E COLOCACAO</v>
      </c>
      <c r="J338" s="1099" t="str">
        <f>VLOOKUP($G338,IF(LEFT($G338,3)="CPU",COMPOSIÇÕES!$B$1:$E$4198,'BANCO DE DADOS JANEIRO-24 SERV'!$B$2:$F$7195),3,FALSE)</f>
        <v>UN</v>
      </c>
      <c r="K338" s="1219">
        <v>15</v>
      </c>
      <c r="L338" s="1190">
        <f>VLOOKUP($G338,IF(LEFT($G338,3)="CPU",COMPOSIÇÕES!$B$1:$E$4198,'BANCO DE DADOS JANEIRO-24 SERV'!$B$2:$F$7195),4,FALSE)</f>
        <v>96.59</v>
      </c>
      <c r="M338" s="1190">
        <f t="shared" si="108"/>
        <v>119.96</v>
      </c>
      <c r="N338" s="1372">
        <f>IF($Q$2="OUTROS",TRUNC(M338*K338,2),ROUND(M338*K338,2))</f>
        <v>1799.4</v>
      </c>
      <c r="O338" s="1370"/>
      <c r="P338" s="776" t="s">
        <v>682</v>
      </c>
      <c r="Q338" s="1370" t="str">
        <f ca="1">F338</f>
        <v>19.9</v>
      </c>
      <c r="S338" s="340"/>
    </row>
    <row r="339" spans="1:19" s="341" customFormat="1" ht="16.5" customHeight="1" thickBot="1">
      <c r="A339" s="341">
        <f t="shared" ca="1" si="93"/>
        <v>19</v>
      </c>
      <c r="B339" s="341">
        <f ca="1">IF(OR(C339=1,D339=1),SUMIF($A$21:A339,A339,$C$21:C339),"")</f>
        <v>10</v>
      </c>
      <c r="C339" s="341">
        <f t="shared" si="94"/>
        <v>1</v>
      </c>
      <c r="D339" s="662" t="str">
        <f t="shared" si="95"/>
        <v/>
      </c>
      <c r="E339" s="662"/>
      <c r="F339" s="1223" t="str">
        <f t="shared" ca="1" si="106"/>
        <v>19.10</v>
      </c>
      <c r="G339" s="1192" t="str">
        <f>'COMPOSIÇÃO CIVIL'!B122</f>
        <v>CPU CIV 007</v>
      </c>
      <c r="H339" s="1099" t="str">
        <f t="shared" si="107"/>
        <v>PRÓPRIO</v>
      </c>
      <c r="I339" s="1098" t="str">
        <f>VLOOKUP($G339,IF(LEFT($G339,3)="CPU",COMPOSIÇÕES!$B$1:$E$4198,'BANCO DE DADOS JANEIRO-24 SERV'!$B$2:$F$7195),2,FALSE)</f>
        <v xml:space="preserve">QUADRO BRANCO COM MOLDURA 3,00X1,2 </v>
      </c>
      <c r="J339" s="1099" t="str">
        <f>VLOOKUP($G339,IF(LEFT($G339,3)="CPU",COMPOSIÇÕES!$B$1:$E$4198,'BANCO DE DADOS JANEIRO-24 SERV'!$B$2:$F$7195),3,FALSE)</f>
        <v>UN</v>
      </c>
      <c r="K339" s="1219">
        <v>45.27</v>
      </c>
      <c r="L339" s="1190">
        <f>VLOOKUP($G339,IF(LEFT($G339,3)="CPU",COMPOSIÇÕES!$B$1:$E$4198,'BANCO DE DADOS JANEIRO-24 SERV'!$B$2:$F$7195),4,FALSE)</f>
        <v>1526.22</v>
      </c>
      <c r="M339" s="1190">
        <f t="shared" si="108"/>
        <v>1895.56</v>
      </c>
      <c r="N339" s="1372">
        <f t="shared" si="109"/>
        <v>85812</v>
      </c>
      <c r="O339" s="1370"/>
      <c r="P339" s="776" t="s">
        <v>682</v>
      </c>
      <c r="Q339" s="1370" t="str">
        <f t="shared" ca="1" si="110"/>
        <v>19.10</v>
      </c>
      <c r="S339" s="340"/>
    </row>
    <row r="340" spans="1:19" s="344" customFormat="1" ht="16.5" thickBot="1">
      <c r="D340" s="342"/>
      <c r="E340" s="342"/>
      <c r="F340" s="148"/>
      <c r="G340" s="148"/>
      <c r="H340" s="148"/>
      <c r="I340" s="148"/>
      <c r="J340" s="148"/>
      <c r="K340" s="148"/>
      <c r="L340" s="149"/>
      <c r="M340" s="148"/>
      <c r="N340" s="148"/>
      <c r="O340" s="343"/>
      <c r="Q340" s="1626"/>
    </row>
    <row r="341" spans="1:19" s="256" customFormat="1" ht="28.5" thickBot="1">
      <c r="C341" s="347"/>
      <c r="D341" s="347"/>
      <c r="E341" s="347"/>
      <c r="F341" s="787"/>
      <c r="G341" s="788"/>
      <c r="H341" s="788"/>
      <c r="I341" s="788"/>
      <c r="J341" s="370"/>
      <c r="K341" s="371"/>
      <c r="L341" s="2105">
        <f ca="1">SUM($N$21:OFFSET(L341,-1,2))/2</f>
        <v>3772097.7300000009</v>
      </c>
      <c r="M341" s="2105"/>
      <c r="N341" s="2106"/>
      <c r="O341" s="348"/>
      <c r="P341" s="349"/>
      <c r="Q341" s="1629"/>
      <c r="R341" s="349"/>
    </row>
    <row r="342" spans="1:19" s="338" customFormat="1" ht="16.5" thickBot="1">
      <c r="D342" s="339"/>
      <c r="E342" s="339"/>
      <c r="F342" s="789"/>
      <c r="G342" s="789"/>
      <c r="H342" s="789"/>
      <c r="I342" s="790"/>
      <c r="J342" s="789"/>
      <c r="K342" s="791"/>
      <c r="L342" s="791"/>
      <c r="M342" s="791"/>
      <c r="N342" s="791"/>
      <c r="O342" s="344"/>
      <c r="P342" s="341"/>
      <c r="Q342" s="1625"/>
    </row>
    <row r="343" spans="1:19" s="338" customFormat="1" ht="30" customHeight="1" thickBot="1">
      <c r="D343" s="339"/>
      <c r="E343" s="339"/>
      <c r="F343" s="2092" t="e">
        <f ca="1">UPPER(Extenso_Valor(L341))</f>
        <v>#NAME?</v>
      </c>
      <c r="G343" s="2093"/>
      <c r="H343" s="2093"/>
      <c r="I343" s="2093"/>
      <c r="J343" s="2093"/>
      <c r="K343" s="2093"/>
      <c r="L343" s="2093"/>
      <c r="M343" s="2093"/>
      <c r="N343" s="2094"/>
      <c r="O343" s="344"/>
      <c r="P343" s="341"/>
      <c r="Q343" s="1625"/>
    </row>
    <row r="344" spans="1:19" s="338" customFormat="1" ht="15.75">
      <c r="D344" s="339"/>
      <c r="E344" s="339"/>
      <c r="F344" s="789"/>
      <c r="G344" s="789"/>
      <c r="H344" s="789"/>
      <c r="I344" s="790"/>
      <c r="J344" s="789"/>
      <c r="K344" s="791"/>
      <c r="L344" s="791"/>
      <c r="M344" s="791"/>
      <c r="N344" s="791"/>
      <c r="O344" s="344"/>
      <c r="P344" s="341"/>
      <c r="Q344" s="1625"/>
    </row>
    <row r="345" spans="1:19" s="338" customFormat="1" ht="15.75">
      <c r="D345" s="339"/>
      <c r="E345" s="339"/>
      <c r="F345" s="789"/>
      <c r="G345" s="789"/>
      <c r="H345" s="789"/>
      <c r="I345" s="790"/>
      <c r="J345" s="789"/>
      <c r="K345" s="791"/>
      <c r="L345" s="791"/>
      <c r="M345" s="791"/>
      <c r="N345" s="791"/>
      <c r="O345" s="344"/>
      <c r="P345" s="341"/>
      <c r="Q345" s="1625"/>
    </row>
    <row r="346" spans="1:19" s="338" customFormat="1" ht="15.75">
      <c r="D346" s="339"/>
      <c r="E346" s="339"/>
      <c r="F346" s="789"/>
      <c r="G346" s="789"/>
      <c r="H346" s="789"/>
      <c r="I346" s="790"/>
      <c r="J346" s="789"/>
      <c r="K346" s="791"/>
      <c r="L346" s="791"/>
      <c r="M346" s="791"/>
      <c r="N346" s="791"/>
      <c r="O346" s="344"/>
      <c r="P346" s="341"/>
      <c r="Q346" s="1625"/>
    </row>
    <row r="347" spans="1:19" s="338" customFormat="1" ht="15.75">
      <c r="D347" s="339"/>
      <c r="E347" s="339"/>
      <c r="F347" s="789"/>
      <c r="G347" s="789"/>
      <c r="H347" s="789"/>
      <c r="I347" s="790"/>
      <c r="J347" s="789"/>
      <c r="K347" s="791"/>
      <c r="L347" s="791"/>
      <c r="M347" s="791"/>
      <c r="N347" s="791"/>
      <c r="O347" s="344"/>
      <c r="P347" s="341"/>
      <c r="Q347" s="1625"/>
    </row>
    <row r="348" spans="1:19" s="338" customFormat="1" ht="15.75">
      <c r="D348" s="339"/>
      <c r="E348" s="339"/>
      <c r="F348" s="789"/>
      <c r="G348" s="789"/>
      <c r="H348" s="789"/>
      <c r="I348" s="790"/>
      <c r="J348" s="789"/>
      <c r="K348" s="791"/>
      <c r="L348" s="791"/>
      <c r="M348" s="791"/>
      <c r="N348" s="791"/>
      <c r="O348" s="344"/>
      <c r="P348" s="341"/>
      <c r="Q348" s="1625"/>
    </row>
    <row r="349" spans="1:19" s="338" customFormat="1" ht="15.75">
      <c r="D349" s="339"/>
      <c r="E349" s="339"/>
      <c r="F349" s="789"/>
      <c r="G349" s="789"/>
      <c r="H349" s="789"/>
      <c r="I349" s="790"/>
      <c r="J349" s="789"/>
      <c r="K349" s="791"/>
      <c r="L349" s="791"/>
      <c r="M349" s="791"/>
      <c r="N349" s="791"/>
      <c r="O349" s="344"/>
      <c r="P349" s="341"/>
      <c r="Q349" s="1625"/>
    </row>
    <row r="350" spans="1:19" s="338" customFormat="1" ht="15.75">
      <c r="D350" s="339"/>
      <c r="E350" s="339"/>
      <c r="F350" s="789"/>
      <c r="G350" s="789"/>
      <c r="H350" s="789"/>
      <c r="I350" s="790"/>
      <c r="J350" s="789"/>
      <c r="K350" s="791"/>
      <c r="L350" s="791"/>
      <c r="M350" s="791"/>
      <c r="N350" s="791"/>
      <c r="O350" s="344"/>
      <c r="P350" s="341"/>
      <c r="Q350" s="1625"/>
    </row>
    <row r="351" spans="1:19" s="338" customFormat="1" ht="15.75">
      <c r="D351" s="339"/>
      <c r="E351" s="339"/>
      <c r="F351" s="789"/>
      <c r="G351" s="789"/>
      <c r="H351" s="789"/>
      <c r="I351" s="790"/>
      <c r="J351" s="789"/>
      <c r="K351" s="791"/>
      <c r="L351" s="791"/>
      <c r="M351" s="791"/>
      <c r="N351" s="791"/>
      <c r="O351" s="344"/>
      <c r="P351" s="341"/>
      <c r="Q351" s="1625"/>
    </row>
    <row r="352" spans="1:19" s="338" customFormat="1" ht="15.75">
      <c r="D352" s="339"/>
      <c r="E352" s="339"/>
      <c r="F352" s="789"/>
      <c r="G352" s="789"/>
      <c r="H352" s="789"/>
      <c r="I352" s="790"/>
      <c r="J352" s="789"/>
      <c r="K352" s="791"/>
      <c r="L352" s="791"/>
      <c r="M352" s="791"/>
      <c r="N352" s="791"/>
      <c r="O352" s="344"/>
      <c r="P352" s="341"/>
      <c r="Q352" s="1625"/>
    </row>
    <row r="353" spans="4:17" s="338" customFormat="1" ht="15.75">
      <c r="D353" s="339"/>
      <c r="E353" s="339"/>
      <c r="F353" s="789"/>
      <c r="G353" s="789"/>
      <c r="H353" s="789"/>
      <c r="I353" s="790"/>
      <c r="J353" s="789"/>
      <c r="K353" s="791"/>
      <c r="L353" s="791"/>
      <c r="M353" s="791"/>
      <c r="N353" s="791"/>
      <c r="O353" s="344"/>
      <c r="P353" s="341"/>
      <c r="Q353" s="1625"/>
    </row>
    <row r="354" spans="4:17" s="338" customFormat="1" ht="15.75">
      <c r="D354" s="339"/>
      <c r="E354" s="339"/>
      <c r="F354" s="789"/>
      <c r="G354" s="789"/>
      <c r="H354" s="789"/>
      <c r="I354" s="790"/>
      <c r="J354" s="789"/>
      <c r="K354" s="791"/>
      <c r="L354" s="791"/>
      <c r="M354" s="791"/>
      <c r="N354" s="791"/>
      <c r="O354" s="344"/>
      <c r="P354" s="341"/>
      <c r="Q354" s="1625"/>
    </row>
    <row r="355" spans="4:17" s="338" customFormat="1" ht="15.75">
      <c r="D355" s="339"/>
      <c r="E355" s="339"/>
      <c r="F355" s="789"/>
      <c r="G355" s="789"/>
      <c r="H355" s="789"/>
      <c r="I355" s="790"/>
      <c r="J355" s="789"/>
      <c r="K355" s="791"/>
      <c r="L355" s="791"/>
      <c r="M355" s="791"/>
      <c r="N355" s="791"/>
      <c r="O355" s="344"/>
      <c r="P355" s="341"/>
      <c r="Q355" s="1625"/>
    </row>
    <row r="356" spans="4:17" s="338" customFormat="1" ht="15.75">
      <c r="D356" s="339"/>
      <c r="E356" s="339"/>
      <c r="F356" s="789"/>
      <c r="G356" s="789"/>
      <c r="H356" s="789"/>
      <c r="I356" s="790"/>
      <c r="J356" s="789"/>
      <c r="K356" s="791"/>
      <c r="L356" s="791"/>
      <c r="M356" s="791"/>
      <c r="N356" s="791"/>
      <c r="O356" s="344"/>
      <c r="P356" s="341"/>
      <c r="Q356" s="1625"/>
    </row>
    <row r="357" spans="4:17" s="338" customFormat="1" ht="15.75">
      <c r="D357" s="339"/>
      <c r="E357" s="339"/>
      <c r="F357" s="789"/>
      <c r="G357" s="789"/>
      <c r="H357" s="789"/>
      <c r="I357" s="790"/>
      <c r="J357" s="789"/>
      <c r="K357" s="791"/>
      <c r="L357" s="791"/>
      <c r="M357" s="791"/>
      <c r="N357" s="791"/>
      <c r="O357" s="344"/>
      <c r="P357" s="341"/>
      <c r="Q357" s="1625"/>
    </row>
    <row r="358" spans="4:17" s="338" customFormat="1" ht="15.75">
      <c r="D358" s="339"/>
      <c r="E358" s="339"/>
      <c r="F358" s="789"/>
      <c r="G358" s="789"/>
      <c r="H358" s="789"/>
      <c r="I358" s="790"/>
      <c r="J358" s="789"/>
      <c r="K358" s="791"/>
      <c r="L358" s="791"/>
      <c r="M358" s="791"/>
      <c r="N358" s="791"/>
      <c r="O358" s="344"/>
      <c r="P358" s="341"/>
      <c r="Q358" s="1625"/>
    </row>
    <row r="359" spans="4:17" s="338" customFormat="1" ht="15.75">
      <c r="D359" s="339"/>
      <c r="E359" s="339"/>
      <c r="F359" s="789"/>
      <c r="G359" s="789"/>
      <c r="H359" s="789"/>
      <c r="I359" s="790"/>
      <c r="J359" s="789"/>
      <c r="K359" s="791"/>
      <c r="L359" s="791"/>
      <c r="M359" s="791"/>
      <c r="N359" s="791"/>
      <c r="O359" s="344"/>
      <c r="P359" s="341"/>
      <c r="Q359" s="1625"/>
    </row>
    <row r="360" spans="4:17" s="338" customFormat="1" ht="15.75">
      <c r="D360" s="339"/>
      <c r="E360" s="339"/>
      <c r="F360" s="789"/>
      <c r="G360" s="789"/>
      <c r="H360" s="789"/>
      <c r="I360" s="790"/>
      <c r="J360" s="789"/>
      <c r="K360" s="791"/>
      <c r="L360" s="791"/>
      <c r="M360" s="791"/>
      <c r="N360" s="791"/>
      <c r="O360" s="344"/>
      <c r="P360" s="341"/>
      <c r="Q360" s="1625"/>
    </row>
    <row r="361" spans="4:17" s="338" customFormat="1" ht="15.75">
      <c r="D361" s="339"/>
      <c r="E361" s="339"/>
      <c r="F361" s="789"/>
      <c r="G361" s="789"/>
      <c r="H361" s="789"/>
      <c r="I361" s="790"/>
      <c r="J361" s="789"/>
      <c r="K361" s="791"/>
      <c r="L361" s="791"/>
      <c r="M361" s="791"/>
      <c r="N361" s="791"/>
      <c r="O361" s="344"/>
      <c r="P361" s="341"/>
      <c r="Q361" s="1625"/>
    </row>
    <row r="362" spans="4:17" s="338" customFormat="1" ht="15.75">
      <c r="D362" s="339"/>
      <c r="E362" s="339"/>
      <c r="F362" s="789"/>
      <c r="G362" s="789"/>
      <c r="H362" s="789"/>
      <c r="I362" s="790"/>
      <c r="J362" s="789"/>
      <c r="K362" s="791"/>
      <c r="L362" s="791"/>
      <c r="M362" s="791"/>
      <c r="N362" s="791"/>
      <c r="O362" s="344"/>
      <c r="P362" s="341"/>
      <c r="Q362" s="1625"/>
    </row>
    <row r="363" spans="4:17" s="338" customFormat="1" ht="15.75">
      <c r="D363" s="339"/>
      <c r="E363" s="339"/>
      <c r="F363" s="789"/>
      <c r="G363" s="789"/>
      <c r="H363" s="789"/>
      <c r="I363" s="790"/>
      <c r="J363" s="789"/>
      <c r="K363" s="791"/>
      <c r="L363" s="791"/>
      <c r="M363" s="791"/>
      <c r="N363" s="791"/>
      <c r="O363" s="344"/>
      <c r="P363" s="341"/>
      <c r="Q363" s="1625"/>
    </row>
    <row r="364" spans="4:17" s="338" customFormat="1" ht="15.75">
      <c r="D364" s="339"/>
      <c r="E364" s="339"/>
      <c r="F364" s="789"/>
      <c r="G364" s="789"/>
      <c r="H364" s="789"/>
      <c r="I364" s="790"/>
      <c r="J364" s="789"/>
      <c r="K364" s="791"/>
      <c r="L364" s="791"/>
      <c r="M364" s="791"/>
      <c r="N364" s="791"/>
      <c r="O364" s="344"/>
      <c r="P364" s="341"/>
      <c r="Q364" s="1625"/>
    </row>
    <row r="365" spans="4:17" s="338" customFormat="1" ht="15.75">
      <c r="D365" s="339"/>
      <c r="E365" s="339"/>
      <c r="F365" s="789"/>
      <c r="G365" s="789"/>
      <c r="H365" s="789"/>
      <c r="I365" s="790"/>
      <c r="J365" s="789"/>
      <c r="K365" s="791"/>
      <c r="L365" s="791"/>
      <c r="M365" s="791"/>
      <c r="N365" s="791"/>
      <c r="O365" s="344"/>
      <c r="P365" s="341"/>
      <c r="Q365" s="1625"/>
    </row>
    <row r="366" spans="4:17" s="338" customFormat="1" ht="15.75">
      <c r="D366" s="339"/>
      <c r="E366" s="339"/>
      <c r="F366" s="789"/>
      <c r="G366" s="789"/>
      <c r="H366" s="789"/>
      <c r="I366" s="790"/>
      <c r="J366" s="789"/>
      <c r="K366" s="791"/>
      <c r="L366" s="791"/>
      <c r="M366" s="791"/>
      <c r="N366" s="791"/>
      <c r="O366" s="344"/>
      <c r="P366" s="341"/>
      <c r="Q366" s="1625"/>
    </row>
    <row r="367" spans="4:17" s="338" customFormat="1" ht="15.75">
      <c r="D367" s="339"/>
      <c r="E367" s="339"/>
      <c r="F367" s="789"/>
      <c r="G367" s="789"/>
      <c r="H367" s="789"/>
      <c r="I367" s="790"/>
      <c r="J367" s="789"/>
      <c r="K367" s="791"/>
      <c r="L367" s="791"/>
      <c r="M367" s="791"/>
      <c r="N367" s="791"/>
      <c r="O367" s="344"/>
      <c r="P367" s="341"/>
      <c r="Q367" s="1625"/>
    </row>
    <row r="368" spans="4:17" s="338" customFormat="1" ht="15.75">
      <c r="D368" s="339"/>
      <c r="E368" s="339"/>
      <c r="F368" s="789"/>
      <c r="G368" s="789"/>
      <c r="H368" s="789"/>
      <c r="I368" s="790"/>
      <c r="J368" s="789"/>
      <c r="K368" s="791"/>
      <c r="L368" s="791"/>
      <c r="M368" s="791"/>
      <c r="N368" s="791"/>
      <c r="O368" s="344"/>
      <c r="P368" s="341"/>
      <c r="Q368" s="1625"/>
    </row>
    <row r="369" spans="4:17" s="338" customFormat="1" ht="15.75">
      <c r="D369" s="339"/>
      <c r="E369" s="339"/>
      <c r="F369" s="789"/>
      <c r="G369" s="789"/>
      <c r="H369" s="789"/>
      <c r="I369" s="790"/>
      <c r="J369" s="789"/>
      <c r="K369" s="791"/>
      <c r="L369" s="791"/>
      <c r="M369" s="791"/>
      <c r="N369" s="791"/>
      <c r="O369" s="344"/>
      <c r="P369" s="341"/>
      <c r="Q369" s="1625"/>
    </row>
    <row r="370" spans="4:17" s="338" customFormat="1" ht="15.75">
      <c r="D370" s="339"/>
      <c r="E370" s="339"/>
      <c r="F370" s="789"/>
      <c r="G370" s="789"/>
      <c r="H370" s="789"/>
      <c r="I370" s="790"/>
      <c r="J370" s="789"/>
      <c r="K370" s="791"/>
      <c r="L370" s="791"/>
      <c r="M370" s="791"/>
      <c r="N370" s="791"/>
      <c r="O370" s="344"/>
      <c r="P370" s="341"/>
      <c r="Q370" s="1625"/>
    </row>
    <row r="371" spans="4:17" s="338" customFormat="1" ht="15.75">
      <c r="D371" s="339"/>
      <c r="E371" s="339"/>
      <c r="F371" s="789"/>
      <c r="G371" s="789"/>
      <c r="H371" s="789"/>
      <c r="I371" s="790"/>
      <c r="J371" s="789"/>
      <c r="K371" s="791"/>
      <c r="L371" s="791"/>
      <c r="M371" s="791"/>
      <c r="N371" s="791"/>
      <c r="O371" s="344"/>
      <c r="P371" s="341"/>
      <c r="Q371" s="1625"/>
    </row>
    <row r="372" spans="4:17" s="338" customFormat="1" ht="15.75">
      <c r="D372" s="339"/>
      <c r="E372" s="339"/>
      <c r="F372" s="789"/>
      <c r="G372" s="789"/>
      <c r="H372" s="789"/>
      <c r="I372" s="790"/>
      <c r="J372" s="789"/>
      <c r="K372" s="791"/>
      <c r="L372" s="791"/>
      <c r="M372" s="791"/>
      <c r="N372" s="791"/>
      <c r="O372" s="344"/>
      <c r="P372" s="341"/>
      <c r="Q372" s="1625"/>
    </row>
    <row r="373" spans="4:17" s="338" customFormat="1" ht="15.75">
      <c r="D373" s="339"/>
      <c r="E373" s="339"/>
      <c r="F373" s="789"/>
      <c r="G373" s="789"/>
      <c r="H373" s="789"/>
      <c r="I373" s="790"/>
      <c r="J373" s="789"/>
      <c r="K373" s="791"/>
      <c r="L373" s="791"/>
      <c r="M373" s="791"/>
      <c r="N373" s="791"/>
      <c r="O373" s="344"/>
      <c r="P373" s="341"/>
      <c r="Q373" s="1625"/>
    </row>
    <row r="374" spans="4:17" s="338" customFormat="1" ht="15.75">
      <c r="D374" s="339"/>
      <c r="E374" s="339"/>
      <c r="F374" s="789"/>
      <c r="G374" s="789"/>
      <c r="H374" s="789"/>
      <c r="I374" s="790"/>
      <c r="J374" s="789"/>
      <c r="K374" s="791"/>
      <c r="L374" s="791"/>
      <c r="M374" s="791"/>
      <c r="N374" s="791"/>
      <c r="O374" s="344"/>
      <c r="P374" s="341"/>
      <c r="Q374" s="1625"/>
    </row>
    <row r="375" spans="4:17" s="338" customFormat="1" ht="15.75">
      <c r="D375" s="339"/>
      <c r="E375" s="339"/>
      <c r="F375" s="789"/>
      <c r="G375" s="789"/>
      <c r="H375" s="789"/>
      <c r="I375" s="790"/>
      <c r="J375" s="789"/>
      <c r="K375" s="791"/>
      <c r="L375" s="791"/>
      <c r="M375" s="791"/>
      <c r="N375" s="791"/>
      <c r="O375" s="344"/>
      <c r="P375" s="341"/>
      <c r="Q375" s="1625"/>
    </row>
    <row r="376" spans="4:17" s="338" customFormat="1" ht="15.75">
      <c r="D376" s="339"/>
      <c r="E376" s="339"/>
      <c r="F376" s="789"/>
      <c r="G376" s="789"/>
      <c r="H376" s="789"/>
      <c r="I376" s="790"/>
      <c r="J376" s="789"/>
      <c r="K376" s="791"/>
      <c r="L376" s="791"/>
      <c r="M376" s="791"/>
      <c r="N376" s="791"/>
      <c r="O376" s="344"/>
      <c r="P376" s="341"/>
      <c r="Q376" s="1625"/>
    </row>
    <row r="377" spans="4:17" s="338" customFormat="1" ht="15.75">
      <c r="D377" s="339"/>
      <c r="E377" s="339"/>
      <c r="F377" s="789"/>
      <c r="G377" s="789"/>
      <c r="H377" s="789"/>
      <c r="I377" s="790"/>
      <c r="J377" s="789"/>
      <c r="K377" s="791"/>
      <c r="L377" s="791"/>
      <c r="M377" s="791"/>
      <c r="N377" s="791"/>
      <c r="O377" s="344"/>
      <c r="P377" s="341"/>
      <c r="Q377" s="1625"/>
    </row>
    <row r="378" spans="4:17" s="338" customFormat="1" ht="15.75">
      <c r="D378" s="339"/>
      <c r="E378" s="339"/>
      <c r="F378" s="789"/>
      <c r="G378" s="789"/>
      <c r="H378" s="789"/>
      <c r="I378" s="790"/>
      <c r="J378" s="789"/>
      <c r="K378" s="791"/>
      <c r="L378" s="791"/>
      <c r="M378" s="791"/>
      <c r="N378" s="791"/>
      <c r="O378" s="344"/>
      <c r="P378" s="341"/>
      <c r="Q378" s="1625"/>
    </row>
    <row r="379" spans="4:17" s="338" customFormat="1" ht="15.75">
      <c r="D379" s="339"/>
      <c r="E379" s="339"/>
      <c r="F379" s="789"/>
      <c r="G379" s="789"/>
      <c r="H379" s="789"/>
      <c r="I379" s="790"/>
      <c r="J379" s="789"/>
      <c r="K379" s="791"/>
      <c r="L379" s="791"/>
      <c r="M379" s="791"/>
      <c r="N379" s="791"/>
      <c r="O379" s="344"/>
      <c r="P379" s="341"/>
      <c r="Q379" s="1625"/>
    </row>
    <row r="380" spans="4:17" s="338" customFormat="1" ht="15.75">
      <c r="D380" s="339"/>
      <c r="E380" s="339"/>
      <c r="F380" s="789"/>
      <c r="G380" s="789"/>
      <c r="H380" s="789"/>
      <c r="I380" s="790"/>
      <c r="J380" s="789"/>
      <c r="K380" s="791"/>
      <c r="L380" s="791"/>
      <c r="M380" s="791"/>
      <c r="N380" s="791"/>
      <c r="O380" s="344"/>
      <c r="P380" s="341"/>
      <c r="Q380" s="1625"/>
    </row>
    <row r="381" spans="4:17" s="338" customFormat="1" ht="15.75">
      <c r="D381" s="339"/>
      <c r="E381" s="339"/>
      <c r="F381" s="789"/>
      <c r="G381" s="789"/>
      <c r="H381" s="789"/>
      <c r="I381" s="790"/>
      <c r="J381" s="789"/>
      <c r="K381" s="791"/>
      <c r="L381" s="791"/>
      <c r="M381" s="791"/>
      <c r="N381" s="791"/>
      <c r="O381" s="344"/>
      <c r="P381" s="341"/>
      <c r="Q381" s="1625"/>
    </row>
    <row r="382" spans="4:17" s="338" customFormat="1" ht="15.75">
      <c r="D382" s="339"/>
      <c r="E382" s="339"/>
      <c r="F382" s="789"/>
      <c r="G382" s="789"/>
      <c r="H382" s="789"/>
      <c r="I382" s="790"/>
      <c r="J382" s="789"/>
      <c r="K382" s="791"/>
      <c r="L382" s="791"/>
      <c r="M382" s="791"/>
      <c r="N382" s="791"/>
      <c r="O382" s="344"/>
      <c r="P382" s="341"/>
      <c r="Q382" s="1625"/>
    </row>
    <row r="383" spans="4:17" s="338" customFormat="1" ht="15.75">
      <c r="D383" s="339"/>
      <c r="E383" s="339"/>
      <c r="F383" s="789"/>
      <c r="G383" s="789"/>
      <c r="H383" s="789"/>
      <c r="I383" s="790"/>
      <c r="J383" s="789"/>
      <c r="K383" s="791"/>
      <c r="L383" s="791"/>
      <c r="M383" s="791"/>
      <c r="N383" s="791"/>
      <c r="O383" s="344"/>
      <c r="P383" s="341"/>
      <c r="Q383" s="1625"/>
    </row>
    <row r="384" spans="4:17" s="338" customFormat="1" ht="15.75">
      <c r="D384" s="339"/>
      <c r="E384" s="339"/>
      <c r="F384" s="789"/>
      <c r="G384" s="789"/>
      <c r="H384" s="789"/>
      <c r="I384" s="790"/>
      <c r="J384" s="789"/>
      <c r="K384" s="791"/>
      <c r="L384" s="791"/>
      <c r="M384" s="791"/>
      <c r="N384" s="791"/>
      <c r="O384" s="344"/>
      <c r="P384" s="341"/>
      <c r="Q384" s="1625"/>
    </row>
    <row r="385" spans="4:17" s="338" customFormat="1" ht="15.75">
      <c r="D385" s="339"/>
      <c r="E385" s="339"/>
      <c r="F385" s="789"/>
      <c r="G385" s="789"/>
      <c r="H385" s="789"/>
      <c r="I385" s="790"/>
      <c r="J385" s="789"/>
      <c r="K385" s="791"/>
      <c r="L385" s="791"/>
      <c r="M385" s="791"/>
      <c r="N385" s="791"/>
      <c r="O385" s="344"/>
      <c r="P385" s="341"/>
      <c r="Q385" s="1625"/>
    </row>
    <row r="386" spans="4:17" s="338" customFormat="1" ht="15.75">
      <c r="D386" s="339"/>
      <c r="E386" s="339"/>
      <c r="F386" s="789"/>
      <c r="G386" s="789"/>
      <c r="H386" s="789"/>
      <c r="I386" s="790"/>
      <c r="J386" s="789"/>
      <c r="K386" s="791"/>
      <c r="L386" s="791"/>
      <c r="M386" s="791"/>
      <c r="N386" s="791"/>
      <c r="O386" s="344"/>
      <c r="P386" s="341"/>
      <c r="Q386" s="1625"/>
    </row>
    <row r="387" spans="4:17" s="338" customFormat="1" ht="15.75">
      <c r="D387" s="339"/>
      <c r="E387" s="339"/>
      <c r="F387" s="789"/>
      <c r="G387" s="789"/>
      <c r="H387" s="789"/>
      <c r="I387" s="790"/>
      <c r="J387" s="789"/>
      <c r="K387" s="791"/>
      <c r="L387" s="791"/>
      <c r="M387" s="791"/>
      <c r="N387" s="791"/>
      <c r="O387" s="344"/>
      <c r="P387" s="341"/>
      <c r="Q387" s="1625"/>
    </row>
    <row r="388" spans="4:17" s="338" customFormat="1" ht="15.75">
      <c r="D388" s="339"/>
      <c r="E388" s="339"/>
      <c r="F388" s="789"/>
      <c r="G388" s="789"/>
      <c r="H388" s="789"/>
      <c r="I388" s="790"/>
      <c r="J388" s="789"/>
      <c r="K388" s="791"/>
      <c r="L388" s="791"/>
      <c r="M388" s="791"/>
      <c r="N388" s="791"/>
      <c r="O388" s="344"/>
      <c r="P388" s="341"/>
      <c r="Q388" s="1625"/>
    </row>
    <row r="389" spans="4:17" s="338" customFormat="1" ht="15.75">
      <c r="D389" s="339"/>
      <c r="E389" s="339"/>
      <c r="F389" s="789"/>
      <c r="G389" s="789"/>
      <c r="H389" s="789"/>
      <c r="I389" s="790"/>
      <c r="J389" s="789"/>
      <c r="K389" s="791"/>
      <c r="L389" s="791"/>
      <c r="M389" s="791"/>
      <c r="N389" s="791"/>
      <c r="O389" s="344"/>
      <c r="P389" s="341"/>
      <c r="Q389" s="1625"/>
    </row>
    <row r="390" spans="4:17" s="338" customFormat="1" ht="15.75">
      <c r="D390" s="339"/>
      <c r="E390" s="339"/>
      <c r="F390" s="789"/>
      <c r="G390" s="789"/>
      <c r="H390" s="789"/>
      <c r="I390" s="790"/>
      <c r="J390" s="789"/>
      <c r="K390" s="791"/>
      <c r="L390" s="791"/>
      <c r="M390" s="791"/>
      <c r="N390" s="791"/>
      <c r="O390" s="344"/>
      <c r="P390" s="341"/>
      <c r="Q390" s="1625"/>
    </row>
    <row r="391" spans="4:17" s="338" customFormat="1" ht="15.75">
      <c r="D391" s="339"/>
      <c r="E391" s="339"/>
      <c r="F391" s="789"/>
      <c r="G391" s="789"/>
      <c r="H391" s="789"/>
      <c r="I391" s="790"/>
      <c r="J391" s="789"/>
      <c r="K391" s="791"/>
      <c r="L391" s="791"/>
      <c r="M391" s="791"/>
      <c r="N391" s="791"/>
      <c r="O391" s="344"/>
      <c r="P391" s="341"/>
      <c r="Q391" s="1625"/>
    </row>
    <row r="392" spans="4:17" s="338" customFormat="1" ht="15.75">
      <c r="D392" s="339"/>
      <c r="E392" s="339"/>
      <c r="F392" s="789"/>
      <c r="G392" s="789"/>
      <c r="H392" s="789"/>
      <c r="I392" s="790"/>
      <c r="J392" s="789"/>
      <c r="K392" s="791"/>
      <c r="L392" s="791"/>
      <c r="M392" s="791"/>
      <c r="N392" s="791"/>
      <c r="O392" s="344"/>
      <c r="P392" s="341"/>
      <c r="Q392" s="1625"/>
    </row>
    <row r="393" spans="4:17" s="338" customFormat="1" ht="15.75">
      <c r="D393" s="339"/>
      <c r="E393" s="339"/>
      <c r="F393" s="789"/>
      <c r="G393" s="789"/>
      <c r="H393" s="789"/>
      <c r="I393" s="790"/>
      <c r="J393" s="789"/>
      <c r="K393" s="791"/>
      <c r="L393" s="791"/>
      <c r="M393" s="791"/>
      <c r="N393" s="791"/>
      <c r="O393" s="344"/>
      <c r="P393" s="341"/>
      <c r="Q393" s="1625"/>
    </row>
    <row r="394" spans="4:17" s="338" customFormat="1" ht="15.75">
      <c r="D394" s="339"/>
      <c r="E394" s="339"/>
      <c r="F394" s="789"/>
      <c r="G394" s="789"/>
      <c r="H394" s="789"/>
      <c r="I394" s="790"/>
      <c r="J394" s="789"/>
      <c r="K394" s="791"/>
      <c r="L394" s="791"/>
      <c r="M394" s="791"/>
      <c r="N394" s="791"/>
      <c r="O394" s="344"/>
      <c r="P394" s="341"/>
      <c r="Q394" s="1625"/>
    </row>
    <row r="395" spans="4:17" s="338" customFormat="1" ht="15.75">
      <c r="D395" s="339"/>
      <c r="E395" s="339"/>
      <c r="F395" s="789"/>
      <c r="G395" s="789"/>
      <c r="H395" s="789"/>
      <c r="I395" s="790"/>
      <c r="J395" s="789"/>
      <c r="K395" s="791"/>
      <c r="L395" s="791"/>
      <c r="M395" s="791"/>
      <c r="N395" s="791"/>
      <c r="O395" s="344"/>
      <c r="P395" s="341"/>
      <c r="Q395" s="1625"/>
    </row>
    <row r="396" spans="4:17" s="338" customFormat="1" ht="15.75">
      <c r="D396" s="339"/>
      <c r="E396" s="339"/>
      <c r="F396" s="789"/>
      <c r="G396" s="789"/>
      <c r="H396" s="789"/>
      <c r="I396" s="790"/>
      <c r="J396" s="789"/>
      <c r="K396" s="791"/>
      <c r="L396" s="791"/>
      <c r="M396" s="791"/>
      <c r="N396" s="791"/>
      <c r="O396" s="344"/>
      <c r="P396" s="341"/>
      <c r="Q396" s="1625"/>
    </row>
    <row r="397" spans="4:17" s="338" customFormat="1" ht="15.75">
      <c r="D397" s="339"/>
      <c r="E397" s="339"/>
      <c r="F397" s="789"/>
      <c r="G397" s="789"/>
      <c r="H397" s="789"/>
      <c r="I397" s="790"/>
      <c r="J397" s="789"/>
      <c r="K397" s="791"/>
      <c r="L397" s="791"/>
      <c r="M397" s="791"/>
      <c r="N397" s="791"/>
      <c r="O397" s="344"/>
      <c r="P397" s="341"/>
      <c r="Q397" s="1625"/>
    </row>
    <row r="398" spans="4:17" s="338" customFormat="1" ht="15.75">
      <c r="D398" s="339"/>
      <c r="E398" s="339"/>
      <c r="F398" s="789"/>
      <c r="G398" s="789"/>
      <c r="H398" s="789"/>
      <c r="I398" s="790"/>
      <c r="J398" s="789"/>
      <c r="K398" s="791"/>
      <c r="L398" s="791"/>
      <c r="M398" s="791"/>
      <c r="N398" s="791"/>
      <c r="O398" s="344"/>
      <c r="P398" s="341"/>
      <c r="Q398" s="1625"/>
    </row>
    <row r="399" spans="4:17" s="338" customFormat="1" ht="15.75">
      <c r="D399" s="339"/>
      <c r="E399" s="339"/>
      <c r="F399" s="789"/>
      <c r="G399" s="789"/>
      <c r="H399" s="789"/>
      <c r="I399" s="790"/>
      <c r="J399" s="789"/>
      <c r="K399" s="791"/>
      <c r="L399" s="791"/>
      <c r="M399" s="791"/>
      <c r="N399" s="791"/>
      <c r="O399" s="344"/>
      <c r="P399" s="341"/>
      <c r="Q399" s="1625"/>
    </row>
    <row r="400" spans="4:17" s="338" customFormat="1" ht="15.75">
      <c r="D400" s="339"/>
      <c r="E400" s="339"/>
      <c r="F400" s="789"/>
      <c r="G400" s="789"/>
      <c r="H400" s="789"/>
      <c r="I400" s="790"/>
      <c r="J400" s="789"/>
      <c r="K400" s="791"/>
      <c r="L400" s="791"/>
      <c r="M400" s="791"/>
      <c r="N400" s="791"/>
      <c r="O400" s="344"/>
      <c r="P400" s="341"/>
      <c r="Q400" s="1625"/>
    </row>
    <row r="401" spans="4:17" s="338" customFormat="1" ht="15.75">
      <c r="D401" s="339"/>
      <c r="E401" s="339"/>
      <c r="F401" s="789"/>
      <c r="G401" s="789"/>
      <c r="H401" s="789"/>
      <c r="I401" s="790"/>
      <c r="J401" s="789"/>
      <c r="K401" s="791"/>
      <c r="L401" s="791"/>
      <c r="M401" s="791"/>
      <c r="N401" s="791"/>
      <c r="O401" s="344"/>
      <c r="P401" s="341"/>
      <c r="Q401" s="1625"/>
    </row>
    <row r="402" spans="4:17" s="338" customFormat="1" ht="15.75">
      <c r="D402" s="339"/>
      <c r="E402" s="339"/>
      <c r="F402" s="789"/>
      <c r="G402" s="789"/>
      <c r="H402" s="789"/>
      <c r="I402" s="790"/>
      <c r="J402" s="789"/>
      <c r="K402" s="791"/>
      <c r="L402" s="791"/>
      <c r="M402" s="791"/>
      <c r="N402" s="791"/>
      <c r="O402" s="344"/>
      <c r="P402" s="341"/>
      <c r="Q402" s="1625"/>
    </row>
    <row r="403" spans="4:17" s="338" customFormat="1" ht="15.75">
      <c r="D403" s="339"/>
      <c r="E403" s="339"/>
      <c r="F403" s="789"/>
      <c r="G403" s="789"/>
      <c r="H403" s="789"/>
      <c r="I403" s="790"/>
      <c r="J403" s="789"/>
      <c r="K403" s="791"/>
      <c r="L403" s="791"/>
      <c r="M403" s="791"/>
      <c r="N403" s="791"/>
      <c r="O403" s="344"/>
      <c r="P403" s="341"/>
      <c r="Q403" s="1625"/>
    </row>
    <row r="404" spans="4:17" s="338" customFormat="1" ht="15.75">
      <c r="D404" s="339"/>
      <c r="E404" s="339"/>
      <c r="F404" s="789"/>
      <c r="G404" s="789"/>
      <c r="H404" s="789"/>
      <c r="I404" s="790"/>
      <c r="J404" s="789"/>
      <c r="K404" s="791"/>
      <c r="L404" s="791"/>
      <c r="M404" s="791"/>
      <c r="N404" s="791"/>
      <c r="O404" s="344"/>
      <c r="P404" s="341"/>
      <c r="Q404" s="1625"/>
    </row>
    <row r="405" spans="4:17" s="338" customFormat="1" ht="15.75">
      <c r="D405" s="339"/>
      <c r="E405" s="339"/>
      <c r="F405" s="789"/>
      <c r="G405" s="789"/>
      <c r="H405" s="789"/>
      <c r="I405" s="790"/>
      <c r="J405" s="789"/>
      <c r="K405" s="791"/>
      <c r="L405" s="791"/>
      <c r="M405" s="791"/>
      <c r="N405" s="791"/>
      <c r="O405" s="344"/>
      <c r="P405" s="341"/>
      <c r="Q405" s="1625"/>
    </row>
    <row r="406" spans="4:17" s="338" customFormat="1" ht="15.75">
      <c r="D406" s="339"/>
      <c r="E406" s="339"/>
      <c r="F406" s="789"/>
      <c r="G406" s="789"/>
      <c r="H406" s="789"/>
      <c r="I406" s="790"/>
      <c r="J406" s="789"/>
      <c r="K406" s="791"/>
      <c r="L406" s="791"/>
      <c r="M406" s="791"/>
      <c r="N406" s="791"/>
      <c r="O406" s="344"/>
      <c r="P406" s="341"/>
      <c r="Q406" s="1625"/>
    </row>
    <row r="407" spans="4:17" s="338" customFormat="1" ht="15.75">
      <c r="D407" s="339"/>
      <c r="E407" s="339"/>
      <c r="F407" s="789"/>
      <c r="G407" s="789"/>
      <c r="H407" s="789"/>
      <c r="I407" s="790"/>
      <c r="J407" s="789"/>
      <c r="K407" s="791"/>
      <c r="L407" s="791"/>
      <c r="M407" s="791"/>
      <c r="N407" s="791"/>
      <c r="O407" s="344"/>
      <c r="P407" s="341"/>
      <c r="Q407" s="1625"/>
    </row>
    <row r="408" spans="4:17" s="338" customFormat="1" ht="15.75">
      <c r="D408" s="339"/>
      <c r="E408" s="339"/>
      <c r="F408" s="789"/>
      <c r="G408" s="789"/>
      <c r="H408" s="789"/>
      <c r="I408" s="790"/>
      <c r="J408" s="789"/>
      <c r="K408" s="791"/>
      <c r="L408" s="791"/>
      <c r="M408" s="791"/>
      <c r="N408" s="791"/>
      <c r="O408" s="344"/>
      <c r="P408" s="341"/>
      <c r="Q408" s="1625"/>
    </row>
    <row r="409" spans="4:17" s="338" customFormat="1" ht="15.75">
      <c r="D409" s="339"/>
      <c r="E409" s="339"/>
      <c r="F409" s="789"/>
      <c r="G409" s="789"/>
      <c r="H409" s="789"/>
      <c r="I409" s="790"/>
      <c r="J409" s="789"/>
      <c r="K409" s="791"/>
      <c r="L409" s="791"/>
      <c r="M409" s="791"/>
      <c r="N409" s="791"/>
      <c r="O409" s="344"/>
      <c r="P409" s="341"/>
      <c r="Q409" s="1625"/>
    </row>
    <row r="410" spans="4:17" s="338" customFormat="1" ht="15.75">
      <c r="D410" s="339"/>
      <c r="E410" s="339"/>
      <c r="F410" s="789"/>
      <c r="G410" s="789"/>
      <c r="H410" s="789"/>
      <c r="I410" s="790"/>
      <c r="J410" s="789"/>
      <c r="K410" s="791"/>
      <c r="L410" s="791"/>
      <c r="M410" s="791"/>
      <c r="N410" s="791"/>
      <c r="O410" s="344"/>
      <c r="P410" s="341"/>
      <c r="Q410" s="1625"/>
    </row>
    <row r="411" spans="4:17" s="338" customFormat="1" ht="15.75">
      <c r="D411" s="339"/>
      <c r="E411" s="339"/>
      <c r="F411" s="789"/>
      <c r="G411" s="789"/>
      <c r="H411" s="789"/>
      <c r="I411" s="790"/>
      <c r="J411" s="789"/>
      <c r="K411" s="791"/>
      <c r="L411" s="791"/>
      <c r="M411" s="791"/>
      <c r="N411" s="791"/>
      <c r="O411" s="344"/>
      <c r="P411" s="341"/>
      <c r="Q411" s="1625"/>
    </row>
    <row r="412" spans="4:17" s="338" customFormat="1" ht="15.75">
      <c r="D412" s="339"/>
      <c r="E412" s="339"/>
      <c r="F412" s="789"/>
      <c r="G412" s="789"/>
      <c r="H412" s="789"/>
      <c r="I412" s="790"/>
      <c r="J412" s="789"/>
      <c r="K412" s="791"/>
      <c r="L412" s="791"/>
      <c r="M412" s="791"/>
      <c r="N412" s="791"/>
      <c r="O412" s="344"/>
      <c r="P412" s="341"/>
      <c r="Q412" s="1625"/>
    </row>
    <row r="413" spans="4:17" s="338" customFormat="1" ht="15.75">
      <c r="D413" s="339"/>
      <c r="E413" s="339"/>
      <c r="F413" s="789"/>
      <c r="G413" s="789"/>
      <c r="H413" s="789"/>
      <c r="I413" s="790"/>
      <c r="J413" s="789"/>
      <c r="K413" s="791"/>
      <c r="L413" s="791"/>
      <c r="M413" s="791"/>
      <c r="N413" s="791"/>
      <c r="O413" s="344"/>
      <c r="P413" s="341"/>
      <c r="Q413" s="1625"/>
    </row>
    <row r="414" spans="4:17" s="338" customFormat="1" ht="15.75">
      <c r="D414" s="339"/>
      <c r="E414" s="339"/>
      <c r="F414" s="789"/>
      <c r="G414" s="789"/>
      <c r="H414" s="789"/>
      <c r="I414" s="790"/>
      <c r="J414" s="789"/>
      <c r="K414" s="791"/>
      <c r="L414" s="791"/>
      <c r="M414" s="791"/>
      <c r="N414" s="791"/>
      <c r="O414" s="344"/>
      <c r="P414" s="341"/>
      <c r="Q414" s="1625"/>
    </row>
    <row r="415" spans="4:17" s="338" customFormat="1" ht="15.75">
      <c r="D415" s="339"/>
      <c r="E415" s="339"/>
      <c r="F415" s="789"/>
      <c r="G415" s="789"/>
      <c r="H415" s="789"/>
      <c r="I415" s="790"/>
      <c r="J415" s="789"/>
      <c r="K415" s="791"/>
      <c r="L415" s="791"/>
      <c r="M415" s="791"/>
      <c r="N415" s="791"/>
      <c r="O415" s="344"/>
      <c r="P415" s="341"/>
      <c r="Q415" s="1625"/>
    </row>
    <row r="416" spans="4:17" s="338" customFormat="1" ht="15.75">
      <c r="D416" s="339"/>
      <c r="E416" s="339"/>
      <c r="F416" s="789"/>
      <c r="G416" s="789"/>
      <c r="H416" s="789"/>
      <c r="I416" s="790"/>
      <c r="J416" s="789"/>
      <c r="K416" s="791"/>
      <c r="L416" s="791"/>
      <c r="M416" s="791"/>
      <c r="N416" s="791"/>
      <c r="O416" s="344"/>
      <c r="P416" s="341"/>
      <c r="Q416" s="1625"/>
    </row>
    <row r="417" spans="4:17" s="338" customFormat="1" ht="15.75">
      <c r="D417" s="339"/>
      <c r="E417" s="339"/>
      <c r="F417" s="789"/>
      <c r="G417" s="789"/>
      <c r="H417" s="789"/>
      <c r="I417" s="790"/>
      <c r="J417" s="789"/>
      <c r="K417" s="791"/>
      <c r="L417" s="791"/>
      <c r="M417" s="791"/>
      <c r="N417" s="791"/>
      <c r="O417" s="344"/>
      <c r="P417" s="341"/>
      <c r="Q417" s="1625"/>
    </row>
    <row r="418" spans="4:17" s="338" customFormat="1" ht="15.75">
      <c r="D418" s="339"/>
      <c r="E418" s="339"/>
      <c r="F418" s="789"/>
      <c r="G418" s="789"/>
      <c r="H418" s="789"/>
      <c r="I418" s="790"/>
      <c r="J418" s="789"/>
      <c r="K418" s="791"/>
      <c r="L418" s="791"/>
      <c r="M418" s="791"/>
      <c r="N418" s="791"/>
      <c r="O418" s="344"/>
      <c r="P418" s="341"/>
      <c r="Q418" s="1625"/>
    </row>
    <row r="419" spans="4:17" s="338" customFormat="1" ht="15.75">
      <c r="D419" s="339"/>
      <c r="E419" s="339"/>
      <c r="F419" s="789"/>
      <c r="G419" s="789"/>
      <c r="H419" s="789"/>
      <c r="I419" s="790"/>
      <c r="J419" s="789"/>
      <c r="K419" s="791"/>
      <c r="L419" s="791"/>
      <c r="M419" s="791"/>
      <c r="N419" s="791"/>
      <c r="O419" s="344"/>
      <c r="P419" s="341"/>
      <c r="Q419" s="1625"/>
    </row>
    <row r="420" spans="4:17" s="338" customFormat="1" ht="15.75">
      <c r="D420" s="339"/>
      <c r="E420" s="339"/>
      <c r="F420" s="789"/>
      <c r="G420" s="789"/>
      <c r="H420" s="789"/>
      <c r="I420" s="790"/>
      <c r="J420" s="789"/>
      <c r="K420" s="791"/>
      <c r="L420" s="791"/>
      <c r="M420" s="791"/>
      <c r="N420" s="791"/>
      <c r="O420" s="344"/>
      <c r="P420" s="341"/>
      <c r="Q420" s="1625"/>
    </row>
    <row r="421" spans="4:17" s="338" customFormat="1" ht="15.75">
      <c r="D421" s="339"/>
      <c r="E421" s="339"/>
      <c r="F421" s="789"/>
      <c r="G421" s="789"/>
      <c r="H421" s="789"/>
      <c r="I421" s="790"/>
      <c r="J421" s="789"/>
      <c r="K421" s="791"/>
      <c r="L421" s="791"/>
      <c r="M421" s="791"/>
      <c r="N421" s="791"/>
      <c r="O421" s="344"/>
      <c r="P421" s="341"/>
      <c r="Q421" s="1625"/>
    </row>
    <row r="422" spans="4:17" s="338" customFormat="1" ht="15.75">
      <c r="D422" s="339"/>
      <c r="E422" s="339"/>
      <c r="F422" s="789"/>
      <c r="G422" s="789"/>
      <c r="H422" s="789"/>
      <c r="I422" s="790"/>
      <c r="J422" s="789"/>
      <c r="K422" s="791"/>
      <c r="L422" s="791"/>
      <c r="M422" s="791"/>
      <c r="N422" s="791"/>
      <c r="O422" s="344"/>
      <c r="P422" s="341"/>
      <c r="Q422" s="1625"/>
    </row>
    <row r="423" spans="4:17" s="338" customFormat="1" ht="15.75">
      <c r="D423" s="339"/>
      <c r="E423" s="339"/>
      <c r="F423" s="789"/>
      <c r="G423" s="789"/>
      <c r="H423" s="789"/>
      <c r="I423" s="790"/>
      <c r="J423" s="789"/>
      <c r="K423" s="791"/>
      <c r="L423" s="791"/>
      <c r="M423" s="791"/>
      <c r="N423" s="791"/>
      <c r="O423" s="344"/>
      <c r="P423" s="341"/>
      <c r="Q423" s="1625"/>
    </row>
    <row r="424" spans="4:17" s="338" customFormat="1" ht="15.75">
      <c r="D424" s="339"/>
      <c r="E424" s="339"/>
      <c r="F424" s="789"/>
      <c r="G424" s="789"/>
      <c r="H424" s="789"/>
      <c r="I424" s="790"/>
      <c r="J424" s="789"/>
      <c r="K424" s="791"/>
      <c r="L424" s="791"/>
      <c r="M424" s="791"/>
      <c r="N424" s="791"/>
      <c r="O424" s="344"/>
      <c r="P424" s="341"/>
      <c r="Q424" s="1625"/>
    </row>
    <row r="425" spans="4:17" s="338" customFormat="1" ht="15.75">
      <c r="D425" s="339"/>
      <c r="E425" s="339"/>
      <c r="F425" s="789"/>
      <c r="G425" s="789"/>
      <c r="H425" s="789"/>
      <c r="I425" s="790"/>
      <c r="J425" s="789"/>
      <c r="K425" s="791"/>
      <c r="L425" s="791"/>
      <c r="M425" s="791"/>
      <c r="N425" s="791"/>
      <c r="O425" s="344"/>
      <c r="P425" s="341"/>
      <c r="Q425" s="1625"/>
    </row>
    <row r="426" spans="4:17" s="338" customFormat="1" ht="15.75">
      <c r="D426" s="339"/>
      <c r="E426" s="339"/>
      <c r="F426" s="789"/>
      <c r="G426" s="789"/>
      <c r="H426" s="789"/>
      <c r="I426" s="790"/>
      <c r="J426" s="789"/>
      <c r="K426" s="791"/>
      <c r="L426" s="791"/>
      <c r="M426" s="791"/>
      <c r="N426" s="791"/>
      <c r="O426" s="344"/>
      <c r="P426" s="341"/>
      <c r="Q426" s="1625"/>
    </row>
    <row r="427" spans="4:17" s="338" customFormat="1" ht="15.75">
      <c r="D427" s="339"/>
      <c r="E427" s="339"/>
      <c r="F427" s="789"/>
      <c r="G427" s="789"/>
      <c r="H427" s="789"/>
      <c r="I427" s="790"/>
      <c r="J427" s="789"/>
      <c r="K427" s="791"/>
      <c r="L427" s="791"/>
      <c r="M427" s="791"/>
      <c r="N427" s="791"/>
      <c r="O427" s="344"/>
      <c r="P427" s="341"/>
      <c r="Q427" s="1625"/>
    </row>
    <row r="428" spans="4:17" s="338" customFormat="1" ht="15.75">
      <c r="D428" s="339"/>
      <c r="E428" s="339"/>
      <c r="F428" s="789"/>
      <c r="G428" s="789"/>
      <c r="H428" s="789"/>
      <c r="I428" s="790"/>
      <c r="J428" s="789"/>
      <c r="K428" s="791"/>
      <c r="L428" s="791"/>
      <c r="M428" s="791"/>
      <c r="N428" s="791"/>
      <c r="O428" s="344"/>
      <c r="P428" s="341"/>
      <c r="Q428" s="1625"/>
    </row>
    <row r="429" spans="4:17" s="338" customFormat="1" ht="15.75">
      <c r="D429" s="339"/>
      <c r="E429" s="339"/>
      <c r="F429" s="789"/>
      <c r="G429" s="789"/>
      <c r="H429" s="789"/>
      <c r="I429" s="790"/>
      <c r="J429" s="789"/>
      <c r="K429" s="791"/>
      <c r="L429" s="791"/>
      <c r="M429" s="791"/>
      <c r="N429" s="791"/>
      <c r="O429" s="344"/>
      <c r="P429" s="341"/>
      <c r="Q429" s="1625"/>
    </row>
    <row r="430" spans="4:17" s="338" customFormat="1" ht="15.75">
      <c r="D430" s="339"/>
      <c r="E430" s="339"/>
      <c r="F430" s="789"/>
      <c r="G430" s="789"/>
      <c r="H430" s="789"/>
      <c r="I430" s="790"/>
      <c r="J430" s="789"/>
      <c r="K430" s="791"/>
      <c r="L430" s="791"/>
      <c r="M430" s="791"/>
      <c r="N430" s="791"/>
      <c r="O430" s="344"/>
      <c r="P430" s="341"/>
      <c r="Q430" s="1625"/>
    </row>
    <row r="431" spans="4:17" s="338" customFormat="1" ht="15.75">
      <c r="D431" s="339"/>
      <c r="E431" s="339"/>
      <c r="F431" s="789"/>
      <c r="G431" s="789"/>
      <c r="H431" s="789"/>
      <c r="I431" s="790"/>
      <c r="J431" s="789"/>
      <c r="K431" s="791"/>
      <c r="L431" s="791"/>
      <c r="M431" s="791"/>
      <c r="N431" s="791"/>
      <c r="O431" s="344"/>
      <c r="P431" s="341"/>
      <c r="Q431" s="1625"/>
    </row>
    <row r="432" spans="4:17" s="338" customFormat="1" ht="15.75">
      <c r="D432" s="339"/>
      <c r="E432" s="339"/>
      <c r="F432" s="789"/>
      <c r="G432" s="789"/>
      <c r="H432" s="789"/>
      <c r="I432" s="790"/>
      <c r="J432" s="789"/>
      <c r="K432" s="791"/>
      <c r="L432" s="791"/>
      <c r="M432" s="791"/>
      <c r="N432" s="791"/>
      <c r="O432" s="344"/>
      <c r="P432" s="341"/>
      <c r="Q432" s="1625"/>
    </row>
    <row r="433" spans="4:17" s="338" customFormat="1" ht="15.75">
      <c r="D433" s="339"/>
      <c r="E433" s="339"/>
      <c r="F433" s="789"/>
      <c r="G433" s="789"/>
      <c r="H433" s="789"/>
      <c r="I433" s="790"/>
      <c r="J433" s="789"/>
      <c r="K433" s="791"/>
      <c r="L433" s="791"/>
      <c r="M433" s="791"/>
      <c r="N433" s="791"/>
      <c r="O433" s="344"/>
      <c r="P433" s="341"/>
      <c r="Q433" s="1625"/>
    </row>
    <row r="434" spans="4:17" s="338" customFormat="1" ht="15.75">
      <c r="D434" s="339"/>
      <c r="E434" s="339"/>
      <c r="F434" s="789"/>
      <c r="G434" s="789"/>
      <c r="H434" s="789"/>
      <c r="I434" s="790"/>
      <c r="J434" s="789"/>
      <c r="K434" s="791"/>
      <c r="L434" s="791"/>
      <c r="M434" s="791"/>
      <c r="N434" s="791"/>
      <c r="O434" s="344"/>
      <c r="P434" s="341"/>
      <c r="Q434" s="1625"/>
    </row>
    <row r="435" spans="4:17" s="338" customFormat="1" ht="15.75">
      <c r="D435" s="339"/>
      <c r="E435" s="339"/>
      <c r="F435" s="789"/>
      <c r="G435" s="789"/>
      <c r="H435" s="789"/>
      <c r="I435" s="790"/>
      <c r="J435" s="789"/>
      <c r="K435" s="791"/>
      <c r="L435" s="791"/>
      <c r="M435" s="791"/>
      <c r="N435" s="791"/>
      <c r="O435" s="344"/>
      <c r="P435" s="341"/>
      <c r="Q435" s="1625"/>
    </row>
    <row r="436" spans="4:17" s="338" customFormat="1" ht="15.75">
      <c r="D436" s="339"/>
      <c r="E436" s="339"/>
      <c r="F436" s="789"/>
      <c r="G436" s="789"/>
      <c r="H436" s="789"/>
      <c r="I436" s="790"/>
      <c r="J436" s="789"/>
      <c r="K436" s="791"/>
      <c r="L436" s="791"/>
      <c r="M436" s="791"/>
      <c r="N436" s="791"/>
      <c r="O436" s="344"/>
      <c r="P436" s="341"/>
      <c r="Q436" s="1625"/>
    </row>
    <row r="437" spans="4:17" s="338" customFormat="1" ht="15.75">
      <c r="D437" s="339"/>
      <c r="E437" s="339"/>
      <c r="F437" s="789"/>
      <c r="G437" s="789"/>
      <c r="H437" s="789"/>
      <c r="I437" s="790"/>
      <c r="J437" s="789"/>
      <c r="K437" s="791"/>
      <c r="L437" s="791"/>
      <c r="M437" s="791"/>
      <c r="N437" s="791"/>
      <c r="O437" s="344"/>
      <c r="P437" s="341"/>
      <c r="Q437" s="1625"/>
    </row>
    <row r="438" spans="4:17" s="338" customFormat="1" ht="15.75">
      <c r="D438" s="339"/>
      <c r="E438" s="339"/>
      <c r="F438" s="789"/>
      <c r="G438" s="789"/>
      <c r="H438" s="789"/>
      <c r="I438" s="790"/>
      <c r="J438" s="789"/>
      <c r="K438" s="791"/>
      <c r="L438" s="791"/>
      <c r="M438" s="791"/>
      <c r="N438" s="791"/>
      <c r="O438" s="344"/>
      <c r="P438" s="341"/>
      <c r="Q438" s="1625"/>
    </row>
    <row r="439" spans="4:17" s="338" customFormat="1" ht="15.75">
      <c r="D439" s="339"/>
      <c r="E439" s="339"/>
      <c r="F439" s="789"/>
      <c r="G439" s="789"/>
      <c r="H439" s="789"/>
      <c r="I439" s="790"/>
      <c r="J439" s="789"/>
      <c r="K439" s="791"/>
      <c r="L439" s="791"/>
      <c r="M439" s="791"/>
      <c r="N439" s="791"/>
      <c r="O439" s="344"/>
      <c r="P439" s="341"/>
      <c r="Q439" s="1625"/>
    </row>
    <row r="440" spans="4:17" s="338" customFormat="1" ht="15.75">
      <c r="D440" s="339"/>
      <c r="E440" s="339"/>
      <c r="F440" s="789"/>
      <c r="G440" s="789"/>
      <c r="H440" s="789"/>
      <c r="I440" s="790"/>
      <c r="J440" s="789"/>
      <c r="K440" s="791"/>
      <c r="L440" s="791"/>
      <c r="M440" s="791"/>
      <c r="N440" s="791"/>
      <c r="O440" s="344"/>
      <c r="P440" s="341"/>
      <c r="Q440" s="1625"/>
    </row>
    <row r="441" spans="4:17" s="338" customFormat="1" ht="15.75">
      <c r="D441" s="339"/>
      <c r="E441" s="339"/>
      <c r="F441" s="789"/>
      <c r="G441" s="789"/>
      <c r="H441" s="789"/>
      <c r="I441" s="790"/>
      <c r="J441" s="789"/>
      <c r="K441" s="791"/>
      <c r="L441" s="791"/>
      <c r="M441" s="791"/>
      <c r="N441" s="791"/>
      <c r="O441" s="344"/>
      <c r="P441" s="341"/>
      <c r="Q441" s="1625"/>
    </row>
    <row r="442" spans="4:17" s="338" customFormat="1" ht="15.75">
      <c r="D442" s="339"/>
      <c r="E442" s="339"/>
      <c r="F442" s="789"/>
      <c r="G442" s="789"/>
      <c r="H442" s="789"/>
      <c r="I442" s="790"/>
      <c r="J442" s="789"/>
      <c r="K442" s="791"/>
      <c r="L442" s="791"/>
      <c r="M442" s="791"/>
      <c r="N442" s="791"/>
      <c r="O442" s="344"/>
      <c r="P442" s="341"/>
      <c r="Q442" s="1625"/>
    </row>
    <row r="443" spans="4:17" s="338" customFormat="1" ht="15.75">
      <c r="D443" s="339"/>
      <c r="E443" s="339"/>
      <c r="F443" s="789"/>
      <c r="G443" s="789"/>
      <c r="H443" s="789"/>
      <c r="I443" s="790"/>
      <c r="J443" s="789"/>
      <c r="K443" s="791"/>
      <c r="L443" s="791"/>
      <c r="M443" s="791"/>
      <c r="N443" s="791"/>
      <c r="O443" s="344"/>
      <c r="P443" s="341"/>
      <c r="Q443" s="1625"/>
    </row>
    <row r="444" spans="4:17" s="338" customFormat="1" ht="15.75">
      <c r="D444" s="339"/>
      <c r="E444" s="339"/>
      <c r="F444" s="789"/>
      <c r="G444" s="789"/>
      <c r="H444" s="789"/>
      <c r="I444" s="790"/>
      <c r="J444" s="789"/>
      <c r="K444" s="791"/>
      <c r="L444" s="791"/>
      <c r="M444" s="791"/>
      <c r="N444" s="791"/>
      <c r="O444" s="344"/>
      <c r="P444" s="341"/>
      <c r="Q444" s="1625"/>
    </row>
    <row r="445" spans="4:17" s="338" customFormat="1" ht="15.75">
      <c r="D445" s="339"/>
      <c r="E445" s="339"/>
      <c r="F445" s="789"/>
      <c r="G445" s="789"/>
      <c r="H445" s="789"/>
      <c r="I445" s="790"/>
      <c r="J445" s="789"/>
      <c r="K445" s="791"/>
      <c r="L445" s="791"/>
      <c r="M445" s="791"/>
      <c r="N445" s="791"/>
      <c r="O445" s="344"/>
      <c r="P445" s="341"/>
      <c r="Q445" s="1625"/>
    </row>
    <row r="446" spans="4:17" s="338" customFormat="1" ht="15.75">
      <c r="D446" s="339"/>
      <c r="E446" s="339"/>
      <c r="F446" s="789"/>
      <c r="G446" s="789"/>
      <c r="H446" s="789"/>
      <c r="I446" s="790"/>
      <c r="J446" s="789"/>
      <c r="K446" s="791"/>
      <c r="L446" s="791"/>
      <c r="M446" s="791"/>
      <c r="N446" s="791"/>
      <c r="O446" s="344"/>
      <c r="P446" s="341"/>
      <c r="Q446" s="1625"/>
    </row>
    <row r="447" spans="4:17" s="338" customFormat="1" ht="15.75">
      <c r="D447" s="339"/>
      <c r="E447" s="339"/>
      <c r="F447" s="789"/>
      <c r="G447" s="789"/>
      <c r="H447" s="789"/>
      <c r="I447" s="790"/>
      <c r="J447" s="789"/>
      <c r="K447" s="791"/>
      <c r="L447" s="791"/>
      <c r="M447" s="791"/>
      <c r="N447" s="791"/>
      <c r="O447" s="344"/>
      <c r="P447" s="341"/>
      <c r="Q447" s="1625"/>
    </row>
    <row r="448" spans="4:17" s="338" customFormat="1" ht="15.75">
      <c r="D448" s="339"/>
      <c r="E448" s="339"/>
      <c r="F448" s="789"/>
      <c r="G448" s="789"/>
      <c r="H448" s="789"/>
      <c r="I448" s="790"/>
      <c r="J448" s="789"/>
      <c r="K448" s="791"/>
      <c r="L448" s="791"/>
      <c r="M448" s="791"/>
      <c r="N448" s="791"/>
      <c r="O448" s="344"/>
      <c r="P448" s="341"/>
      <c r="Q448" s="1625"/>
    </row>
    <row r="449" spans="4:17" s="338" customFormat="1" ht="15.75">
      <c r="D449" s="339"/>
      <c r="E449" s="339"/>
      <c r="F449" s="789"/>
      <c r="G449" s="789"/>
      <c r="H449" s="789"/>
      <c r="I449" s="790"/>
      <c r="J449" s="789"/>
      <c r="K449" s="791"/>
      <c r="L449" s="791"/>
      <c r="M449" s="791"/>
      <c r="N449" s="791"/>
      <c r="O449" s="344"/>
      <c r="P449" s="341"/>
      <c r="Q449" s="1625"/>
    </row>
    <row r="450" spans="4:17" s="338" customFormat="1" ht="15.75">
      <c r="D450" s="339"/>
      <c r="E450" s="339"/>
      <c r="F450" s="789"/>
      <c r="G450" s="789"/>
      <c r="H450" s="789"/>
      <c r="I450" s="790"/>
      <c r="J450" s="789"/>
      <c r="K450" s="791"/>
      <c r="L450" s="791"/>
      <c r="M450" s="791"/>
      <c r="N450" s="791"/>
      <c r="O450" s="344"/>
      <c r="P450" s="341"/>
      <c r="Q450" s="1625"/>
    </row>
    <row r="451" spans="4:17" s="338" customFormat="1" ht="15.75">
      <c r="D451" s="339"/>
      <c r="E451" s="339"/>
      <c r="F451" s="789"/>
      <c r="G451" s="789"/>
      <c r="H451" s="789"/>
      <c r="I451" s="790"/>
      <c r="J451" s="789"/>
      <c r="K451" s="791"/>
      <c r="L451" s="791"/>
      <c r="M451" s="791"/>
      <c r="N451" s="791"/>
      <c r="O451" s="344"/>
      <c r="P451" s="341"/>
      <c r="Q451" s="1625"/>
    </row>
    <row r="452" spans="4:17" s="338" customFormat="1" ht="15.75">
      <c r="D452" s="339"/>
      <c r="E452" s="339"/>
      <c r="F452" s="789"/>
      <c r="G452" s="789"/>
      <c r="H452" s="789"/>
      <c r="I452" s="790"/>
      <c r="J452" s="789"/>
      <c r="K452" s="791"/>
      <c r="L452" s="791"/>
      <c r="M452" s="791"/>
      <c r="N452" s="791"/>
      <c r="O452" s="344"/>
      <c r="P452" s="341"/>
      <c r="Q452" s="1625"/>
    </row>
    <row r="453" spans="4:17" s="338" customFormat="1" ht="15.75">
      <c r="D453" s="339"/>
      <c r="E453" s="339"/>
      <c r="F453" s="789"/>
      <c r="G453" s="789"/>
      <c r="H453" s="789"/>
      <c r="I453" s="790"/>
      <c r="J453" s="789"/>
      <c r="K453" s="791"/>
      <c r="L453" s="791"/>
      <c r="M453" s="791"/>
      <c r="N453" s="791"/>
      <c r="O453" s="344"/>
      <c r="P453" s="341"/>
      <c r="Q453" s="1625"/>
    </row>
    <row r="454" spans="4:17" s="338" customFormat="1" ht="15.75">
      <c r="D454" s="339"/>
      <c r="E454" s="339"/>
      <c r="F454" s="789"/>
      <c r="G454" s="789"/>
      <c r="H454" s="789"/>
      <c r="I454" s="790"/>
      <c r="J454" s="789"/>
      <c r="K454" s="791"/>
      <c r="L454" s="791"/>
      <c r="M454" s="791"/>
      <c r="N454" s="791"/>
      <c r="O454" s="344"/>
      <c r="P454" s="341"/>
      <c r="Q454" s="1625"/>
    </row>
    <row r="455" spans="4:17" s="338" customFormat="1" ht="15.75">
      <c r="D455" s="339"/>
      <c r="E455" s="339"/>
      <c r="F455" s="789"/>
      <c r="G455" s="789"/>
      <c r="H455" s="789"/>
      <c r="I455" s="790"/>
      <c r="J455" s="789"/>
      <c r="K455" s="791"/>
      <c r="L455" s="791"/>
      <c r="M455" s="791"/>
      <c r="N455" s="791"/>
      <c r="O455" s="344"/>
      <c r="P455" s="341"/>
      <c r="Q455" s="1625"/>
    </row>
    <row r="456" spans="4:17" s="338" customFormat="1" ht="15.75">
      <c r="D456" s="339"/>
      <c r="E456" s="339"/>
      <c r="F456" s="789"/>
      <c r="G456" s="789"/>
      <c r="H456" s="789"/>
      <c r="I456" s="790"/>
      <c r="J456" s="789"/>
      <c r="K456" s="791"/>
      <c r="L456" s="791"/>
      <c r="M456" s="791"/>
      <c r="N456" s="791"/>
      <c r="O456" s="344"/>
      <c r="P456" s="341"/>
      <c r="Q456" s="1625"/>
    </row>
    <row r="457" spans="4:17" s="338" customFormat="1" ht="15.75">
      <c r="D457" s="339"/>
      <c r="E457" s="339"/>
      <c r="F457" s="789"/>
      <c r="G457" s="789"/>
      <c r="H457" s="789"/>
      <c r="I457" s="790"/>
      <c r="J457" s="789"/>
      <c r="K457" s="791"/>
      <c r="L457" s="791"/>
      <c r="M457" s="791"/>
      <c r="N457" s="791"/>
      <c r="O457" s="344"/>
      <c r="P457" s="341"/>
      <c r="Q457" s="1625"/>
    </row>
    <row r="458" spans="4:17" s="338" customFormat="1" ht="15.75">
      <c r="D458" s="339"/>
      <c r="E458" s="339"/>
      <c r="F458" s="789"/>
      <c r="G458" s="789"/>
      <c r="H458" s="789"/>
      <c r="I458" s="790"/>
      <c r="J458" s="789"/>
      <c r="K458" s="791"/>
      <c r="L458" s="791"/>
      <c r="M458" s="791"/>
      <c r="N458" s="791"/>
      <c r="O458" s="344"/>
      <c r="P458" s="341"/>
      <c r="Q458" s="1625"/>
    </row>
    <row r="459" spans="4:17" s="338" customFormat="1" ht="15.75">
      <c r="D459" s="339"/>
      <c r="E459" s="339"/>
      <c r="F459" s="789"/>
      <c r="G459" s="789"/>
      <c r="H459" s="789"/>
      <c r="I459" s="790"/>
      <c r="J459" s="789"/>
      <c r="K459" s="791"/>
      <c r="L459" s="791"/>
      <c r="M459" s="791"/>
      <c r="N459" s="791"/>
      <c r="O459" s="344"/>
      <c r="P459" s="341"/>
      <c r="Q459" s="1625"/>
    </row>
    <row r="460" spans="4:17" s="338" customFormat="1" ht="15.75">
      <c r="D460" s="339"/>
      <c r="E460" s="339"/>
      <c r="F460" s="789"/>
      <c r="G460" s="789"/>
      <c r="H460" s="789"/>
      <c r="I460" s="790"/>
      <c r="J460" s="789"/>
      <c r="K460" s="791"/>
      <c r="L460" s="791"/>
      <c r="M460" s="791"/>
      <c r="N460" s="791"/>
      <c r="O460" s="344"/>
      <c r="P460" s="341"/>
      <c r="Q460" s="1625"/>
    </row>
    <row r="461" spans="4:17" s="338" customFormat="1" ht="15.75">
      <c r="D461" s="339"/>
      <c r="E461" s="339"/>
      <c r="F461" s="789"/>
      <c r="G461" s="789"/>
      <c r="H461" s="789"/>
      <c r="I461" s="790"/>
      <c r="J461" s="789"/>
      <c r="K461" s="791"/>
      <c r="L461" s="791"/>
      <c r="M461" s="791"/>
      <c r="N461" s="791"/>
      <c r="O461" s="344"/>
      <c r="P461" s="341"/>
      <c r="Q461" s="1625"/>
    </row>
    <row r="462" spans="4:17" s="338" customFormat="1" ht="15.75">
      <c r="D462" s="339"/>
      <c r="E462" s="339"/>
      <c r="F462" s="789"/>
      <c r="G462" s="789"/>
      <c r="H462" s="789"/>
      <c r="I462" s="790"/>
      <c r="J462" s="789"/>
      <c r="K462" s="791"/>
      <c r="L462" s="791"/>
      <c r="M462" s="791"/>
      <c r="N462" s="791"/>
      <c r="O462" s="344"/>
      <c r="P462" s="341"/>
      <c r="Q462" s="1625"/>
    </row>
    <row r="463" spans="4:17" s="338" customFormat="1" ht="15.75">
      <c r="D463" s="339"/>
      <c r="E463" s="339"/>
      <c r="F463" s="789"/>
      <c r="G463" s="789"/>
      <c r="H463" s="789"/>
      <c r="I463" s="790"/>
      <c r="J463" s="789"/>
      <c r="K463" s="791"/>
      <c r="L463" s="791"/>
      <c r="M463" s="791"/>
      <c r="N463" s="791"/>
      <c r="O463" s="344"/>
      <c r="P463" s="341"/>
      <c r="Q463" s="1625"/>
    </row>
    <row r="464" spans="4:17" s="338" customFormat="1" ht="15.75">
      <c r="D464" s="339"/>
      <c r="E464" s="339"/>
      <c r="F464" s="789"/>
      <c r="G464" s="789"/>
      <c r="H464" s="789"/>
      <c r="I464" s="790"/>
      <c r="J464" s="789"/>
      <c r="K464" s="791"/>
      <c r="L464" s="791"/>
      <c r="M464" s="791"/>
      <c r="N464" s="791"/>
      <c r="O464" s="344"/>
      <c r="P464" s="341"/>
      <c r="Q464" s="1625"/>
    </row>
    <row r="465" spans="4:17" s="338" customFormat="1" ht="15.75">
      <c r="D465" s="339"/>
      <c r="E465" s="339"/>
      <c r="F465" s="789"/>
      <c r="G465" s="789"/>
      <c r="H465" s="789"/>
      <c r="I465" s="790"/>
      <c r="J465" s="789"/>
      <c r="K465" s="791"/>
      <c r="L465" s="791"/>
      <c r="M465" s="791"/>
      <c r="N465" s="791"/>
      <c r="O465" s="344"/>
      <c r="P465" s="341"/>
      <c r="Q465" s="1625"/>
    </row>
    <row r="466" spans="4:17" s="338" customFormat="1" ht="15.75">
      <c r="D466" s="339"/>
      <c r="E466" s="339"/>
      <c r="F466" s="789"/>
      <c r="G466" s="789"/>
      <c r="H466" s="789"/>
      <c r="I466" s="790"/>
      <c r="J466" s="789"/>
      <c r="K466" s="791"/>
      <c r="L466" s="791"/>
      <c r="M466" s="791"/>
      <c r="N466" s="791"/>
      <c r="O466" s="344"/>
      <c r="P466" s="341"/>
      <c r="Q466" s="1625"/>
    </row>
    <row r="467" spans="4:17" s="338" customFormat="1" ht="15.75">
      <c r="D467" s="339"/>
      <c r="E467" s="339"/>
      <c r="F467" s="789"/>
      <c r="G467" s="789"/>
      <c r="H467" s="789"/>
      <c r="I467" s="790"/>
      <c r="J467" s="789"/>
      <c r="K467" s="791"/>
      <c r="L467" s="791"/>
      <c r="M467" s="791"/>
      <c r="N467" s="791"/>
      <c r="O467" s="344"/>
      <c r="P467" s="341"/>
      <c r="Q467" s="1625"/>
    </row>
    <row r="468" spans="4:17" s="338" customFormat="1" ht="15.75">
      <c r="D468" s="339"/>
      <c r="E468" s="339"/>
      <c r="F468" s="789"/>
      <c r="G468" s="789"/>
      <c r="H468" s="789"/>
      <c r="I468" s="790"/>
      <c r="J468" s="789"/>
      <c r="K468" s="791"/>
      <c r="L468" s="791"/>
      <c r="M468" s="791"/>
      <c r="N468" s="791"/>
      <c r="O468" s="344"/>
      <c r="P468" s="341"/>
      <c r="Q468" s="1625"/>
    </row>
    <row r="469" spans="4:17" s="338" customFormat="1" ht="15.75">
      <c r="D469" s="339"/>
      <c r="E469" s="339"/>
      <c r="F469" s="789"/>
      <c r="G469" s="789"/>
      <c r="H469" s="789"/>
      <c r="I469" s="790"/>
      <c r="J469" s="789"/>
      <c r="K469" s="791"/>
      <c r="L469" s="791"/>
      <c r="M469" s="791"/>
      <c r="N469" s="791"/>
      <c r="O469" s="344"/>
      <c r="P469" s="341"/>
      <c r="Q469" s="1625"/>
    </row>
    <row r="470" spans="4:17" s="338" customFormat="1" ht="15.75">
      <c r="D470" s="339"/>
      <c r="E470" s="339"/>
      <c r="F470" s="789"/>
      <c r="G470" s="789"/>
      <c r="H470" s="789"/>
      <c r="I470" s="790"/>
      <c r="J470" s="789"/>
      <c r="K470" s="791"/>
      <c r="L470" s="791"/>
      <c r="M470" s="791"/>
      <c r="N470" s="791"/>
      <c r="O470" s="344"/>
      <c r="P470" s="341"/>
      <c r="Q470" s="1625"/>
    </row>
    <row r="471" spans="4:17" s="338" customFormat="1" ht="15.75">
      <c r="D471" s="339"/>
      <c r="E471" s="339"/>
      <c r="F471" s="789"/>
      <c r="G471" s="789"/>
      <c r="H471" s="789"/>
      <c r="I471" s="790"/>
      <c r="J471" s="789"/>
      <c r="K471" s="791"/>
      <c r="L471" s="791"/>
      <c r="M471" s="791"/>
      <c r="N471" s="791"/>
      <c r="O471" s="344"/>
      <c r="P471" s="341"/>
      <c r="Q471" s="1625"/>
    </row>
  </sheetData>
  <autoFilter ref="N1:N471" xr:uid="{00000000-0009-0000-0000-000006000000}"/>
  <mergeCells count="18">
    <mergeCell ref="H5:J6"/>
    <mergeCell ref="K12:M12"/>
    <mergeCell ref="H7:J8"/>
    <mergeCell ref="F5:G8"/>
    <mergeCell ref="F343:N343"/>
    <mergeCell ref="K13:M13"/>
    <mergeCell ref="F13:J13"/>
    <mergeCell ref="K5:L7"/>
    <mergeCell ref="G11:L11"/>
    <mergeCell ref="L341:N341"/>
    <mergeCell ref="F14:N14"/>
    <mergeCell ref="F18:L18"/>
    <mergeCell ref="M18:N18"/>
    <mergeCell ref="F9:N9"/>
    <mergeCell ref="M5:N5"/>
    <mergeCell ref="M6:N6"/>
    <mergeCell ref="K8:M8"/>
    <mergeCell ref="G12:J12"/>
  </mergeCells>
  <conditionalFormatting sqref="F472:N9414 F64:N64 F42 N49:N56 F282:G282 F283:F290 M42:N42 G21:N21 F65:F67 F59 F49:F56 F22:N24 F268:N269 F312 F257:N258 F292:F299 M282:N299 N29 I42:J42 I49:J56 I59:J59 I65:J67 F80 I80:J80 F89:F90 I89:J90 F111:F127 F193 F259:F262 I259:J262 I292:J299 I312:J312 I324:J324 H270:H271 H273 I111:J127 I61:J62 F61:F62 I191:N191 H29:J37 L29:L37 F40:N40 N43 F46:N47 M61:N63 H61:H63 H69:J69 F72:N75 H309:H314 F172:N172 H267 H277:H278 F278 I278:J278 F306:N307 F303:F305 H300:J305 F328:N329 F339 I339:N339 H334:H339 H38:L38 M33:N38 F29:F38 F83:N85 F92:N94 F102 H102:J102 L102:N102 F107:N110 F138:F170 H138:J170 L111:N127 F173:F186 H173:J186 F187:J187 L173:N187 L259:N262 K259:K267 L278:N278 K270:K278 F279:N281 L300:N305 L292:L299 K283:K305 L312:N312 F315:N316 F320:N321 F317:F319 H317:J319 L317:N319 F326:F327 H326:J327 L326:N327 L324:N324 F171:J171 L138:N171 F100:N101 F95:F99 L95:N99 H95:J99 L89:N90 F88:N88 F86:F87 L86:N87 H86:J87 F77:N79 F76 H76:N76 F82 H82:J82 L82:N82 L80:N80 L69:N69 L65:N67 L61:L62 L59:N59 L49:L56 F45:J45 L45:N45 F188:N190 F191 I193:N193 F192:N192 F206 F208:F209 H206:N212 H220:H224 I220:N223 H214:N219 H226:H231 H233 H235:H236 H252 H254:N256 F255:G256 F26 H26">
    <cfRule type="expression" dxfId="603" priority="5350">
      <formula>CONCATENATE($F21,$G21,$I21,$J21,$K21,$L21,$M21,$N21)=""</formula>
    </cfRule>
    <cfRule type="expression" dxfId="602" priority="5351">
      <formula>CONCATENATE($F21,$G21,$J21,$K21,$L21,$M21,$N21)=""</formula>
    </cfRule>
    <cfRule type="expression" dxfId="601" priority="5352">
      <formula>CONCATENATE($G21,$J21,$K21,$L21,$M21)=""</formula>
    </cfRule>
  </conditionalFormatting>
  <conditionalFormatting sqref="F41:N41">
    <cfRule type="expression" dxfId="600" priority="5341">
      <formula>CONCATENATE($F41,$G41,$I41,$J41,$K41,$L41,$M41,$N41)=""</formula>
    </cfRule>
    <cfRule type="expression" dxfId="599" priority="5342">
      <formula>CONCATENATE($F41,$G41,$J41,$K41,$L41,$M41,$N41)=""</formula>
    </cfRule>
    <cfRule type="expression" dxfId="598" priority="5343">
      <formula>CONCATENATE($G41,$J41,$K41,$L41,$M41)=""</formula>
    </cfRule>
  </conditionalFormatting>
  <conditionalFormatting sqref="F48:N48">
    <cfRule type="expression" dxfId="597" priority="5329">
      <formula>CONCATENATE($F48,$G48,$I48,$J48,$K48,$L48,$M48,$N48)=""</formula>
    </cfRule>
    <cfRule type="expression" dxfId="596" priority="5330">
      <formula>CONCATENATE($F48,$G48,$J48,$K48,$L48,$M48,$N48)=""</formula>
    </cfRule>
    <cfRule type="expression" dxfId="595" priority="5331">
      <formula>CONCATENATE($G48,$J48,$K48,$L48,$M48)=""</formula>
    </cfRule>
  </conditionalFormatting>
  <conditionalFormatting sqref="F58:N58">
    <cfRule type="expression" dxfId="594" priority="5326">
      <formula>CONCATENATE($F58,$G58,$I58,$J58,$K58,$L58,$M58,$N58)=""</formula>
    </cfRule>
    <cfRule type="expression" dxfId="593" priority="5327">
      <formula>CONCATENATE($F58,$G58,$J58,$K58,$L58,$M58,$N58)=""</formula>
    </cfRule>
    <cfRule type="expression" dxfId="592" priority="5328">
      <formula>CONCATENATE($G58,$J58,$K58,$L58,$M58)=""</formula>
    </cfRule>
  </conditionalFormatting>
  <conditionalFormatting sqref="I282:L282 I283:J290 L283:L290">
    <cfRule type="expression" dxfId="591" priority="4597">
      <formula>CONCATENATE($F282,$G282,$I282,$J282,$K282,$L282,$M282,$N282)=""</formula>
    </cfRule>
    <cfRule type="expression" dxfId="590" priority="4598">
      <formula>CONCATENATE($F282,$G282,$J282,$K282,$L282,$M282,$N282)=""</formula>
    </cfRule>
    <cfRule type="expression" dxfId="589" priority="4599">
      <formula>CONCATENATE($G282,$J282,$K282,$L282,$M282)=""</formula>
    </cfRule>
  </conditionalFormatting>
  <conditionalFormatting sqref="F69">
    <cfRule type="expression" dxfId="588" priority="4525">
      <formula>CONCATENATE($F69,$G69,$I69,$J69,$K69,$L69,$M69,$N69)=""</formula>
    </cfRule>
    <cfRule type="expression" dxfId="587" priority="4526">
      <formula>CONCATENATE($F69,$G69,$J69,$K69,$L69,$M69,$N69)=""</formula>
    </cfRule>
    <cfRule type="expression" dxfId="586" priority="4527">
      <formula>CONCATENATE($G69,$J69,$K69,$L69,$M69)=""</formula>
    </cfRule>
  </conditionalFormatting>
  <conditionalFormatting sqref="F63 I63:J63 L63">
    <cfRule type="expression" dxfId="585" priority="4522">
      <formula>CONCATENATE($F63,$G63,$I63,$J63,$K63,$L63,$M63,$N63)=""</formula>
    </cfRule>
    <cfRule type="expression" dxfId="584" priority="4523">
      <formula>CONCATENATE($F63,$G63,$J63,$K63,$L63,$M63,$N63)=""</formula>
    </cfRule>
    <cfRule type="expression" dxfId="583" priority="4524">
      <formula>CONCATENATE($G63,$J63,$K63,$L63,$M63)=""</formula>
    </cfRule>
  </conditionalFormatting>
  <conditionalFormatting sqref="L42">
    <cfRule type="expression" dxfId="582" priority="4498">
      <formula>CONCATENATE($F42,$G42,$I42,$J42,$K42,$L42,$M42,$N42)=""</formula>
    </cfRule>
    <cfRule type="expression" dxfId="581" priority="4499">
      <formula>CONCATENATE($F42,$G42,$J42,$K42,$L42,$M42,$N42)=""</formula>
    </cfRule>
    <cfRule type="expression" dxfId="580" priority="4500">
      <formula>CONCATENATE($G42,$J42,$K42,$L42,$M42)=""</formula>
    </cfRule>
  </conditionalFormatting>
  <conditionalFormatting sqref="M49:M56">
    <cfRule type="expression" dxfId="579" priority="4468">
      <formula>CONCATENATE($F49,$G49,$I49,$J49,$K49,$L49,$M49,$N49)=""</formula>
    </cfRule>
    <cfRule type="expression" dxfId="578" priority="4469">
      <formula>CONCATENATE($F49,$G49,$J49,$K49,$L49,$M49,$N49)=""</formula>
    </cfRule>
    <cfRule type="expression" dxfId="577" priority="4470">
      <formula>CONCATENATE($G49,$J49,$K49,$L49,$M49)=""</formula>
    </cfRule>
  </conditionalFormatting>
  <conditionalFormatting sqref="F21">
    <cfRule type="expression" dxfId="576" priority="4243">
      <formula>CONCATENATE($F21,$G21,$I21,$J21,$K21,$L21,$M21,$N21)=""</formula>
    </cfRule>
    <cfRule type="expression" dxfId="575" priority="4244">
      <formula>CONCATENATE($F21,$G21,$J21,$K21,$L21,$M21,$N21)=""</formula>
    </cfRule>
    <cfRule type="expression" dxfId="574" priority="4245">
      <formula>CONCATENATE($G21,$J21,$K21,$L21,$M21)=""</formula>
    </cfRule>
  </conditionalFormatting>
  <conditionalFormatting sqref="I194:N202 F194:F202 I204:N204 F204 F210:F212 F214:F223">
    <cfRule type="expression" dxfId="573" priority="3520">
      <formula>CONCATENATE($F194,$G194,$I194,$J194,$K194,$L194,$M194,$N194)=""</formula>
    </cfRule>
    <cfRule type="expression" dxfId="572" priority="3521">
      <formula>CONCATENATE($F194,$G194,$J194,$K194,$L194,$M194,$N194)=""</formula>
    </cfRule>
    <cfRule type="expression" dxfId="571" priority="3522">
      <formula>CONCATENATE($G194,$J194,$K194,$L194,$M194)=""</formula>
    </cfRule>
  </conditionalFormatting>
  <conditionalFormatting sqref="F224 I224:N224">
    <cfRule type="expression" dxfId="570" priority="3508">
      <formula>CONCATENATE($F224,$G224,$I224,$J224,$K224,$L224,$M224,$N224)=""</formula>
    </cfRule>
    <cfRule type="expression" dxfId="569" priority="3509">
      <formula>CONCATENATE($F224,$G224,$J224,$K224,$L224,$M224,$N224)=""</formula>
    </cfRule>
    <cfRule type="expression" dxfId="568" priority="3510">
      <formula>CONCATENATE($G224,$J224,$K224,$L224,$M224)=""</formula>
    </cfRule>
  </conditionalFormatting>
  <conditionalFormatting sqref="I226:N231 F233 F226:F231 I233:N233 I235:N236 F252 F235:F236 I252:N252 F254">
    <cfRule type="expression" dxfId="567" priority="3505">
      <formula>CONCATENATE($F226,$G226,$I226,$J226,$K226,$L226,$M226,$N226)=""</formula>
    </cfRule>
    <cfRule type="expression" dxfId="566" priority="3506">
      <formula>CONCATENATE($F226,$G226,$J226,$K226,$L226,$M226,$N226)=""</formula>
    </cfRule>
    <cfRule type="expression" dxfId="565" priority="3507">
      <formula>CONCATENATE($G226,$J226,$K226,$L226,$M226)=""</formula>
    </cfRule>
  </conditionalFormatting>
  <conditionalFormatting sqref="F263 I263:J263 L263:N263">
    <cfRule type="expression" dxfId="564" priority="3499">
      <formula>CONCATENATE($F263,$G263,$I263,$J263,$K263,$L263,$M263,$N263)=""</formula>
    </cfRule>
    <cfRule type="expression" dxfId="563" priority="3500">
      <formula>CONCATENATE($F263,$G263,$J263,$K263,$L263,$M263,$N263)=""</formula>
    </cfRule>
    <cfRule type="expression" dxfId="562" priority="3501">
      <formula>CONCATENATE($G263,$J263,$K263,$L263,$M263)=""</formula>
    </cfRule>
  </conditionalFormatting>
  <conditionalFormatting sqref="F270 I270:J270 L270:N270">
    <cfRule type="expression" dxfId="561" priority="2923">
      <formula>CONCATENATE($F270,$G270,$I270,$J270,$K270,$L270,$M270,$N270)=""</formula>
    </cfRule>
    <cfRule type="expression" dxfId="560" priority="2924">
      <formula>CONCATENATE($F270,$G270,$J270,$K270,$L270,$M270,$N270)=""</formula>
    </cfRule>
    <cfRule type="expression" dxfId="559" priority="2925">
      <formula>CONCATENATE($G270,$J270,$K270,$L270,$M270)=""</formula>
    </cfRule>
  </conditionalFormatting>
  <conditionalFormatting sqref="F271 I271:J271 I277:J277 F277 I273:J273 F273 L273:N273 L277:N277 L271:N271">
    <cfRule type="expression" dxfId="558" priority="2920">
      <formula>CONCATENATE($F271,$G271,$I271,$J271,$K271,$L271,$M271,$N271)=""</formula>
    </cfRule>
    <cfRule type="expression" dxfId="557" priority="2921">
      <formula>CONCATENATE($F271,$G271,$J271,$K271,$L271,$M271,$N271)=""</formula>
    </cfRule>
    <cfRule type="expression" dxfId="556" priority="2922">
      <formula>CONCATENATE($G271,$J271,$K271,$L271,$M271)=""</formula>
    </cfRule>
  </conditionalFormatting>
  <conditionalFormatting sqref="G26">
    <cfRule type="expression" dxfId="555" priority="2689">
      <formula>CONCATENATE($F26,$G26,$I26,$J26,$K26,$L26,$M26,$N26)=""</formula>
    </cfRule>
    <cfRule type="expression" dxfId="554" priority="2690">
      <formula>CONCATENATE($F26,$G26,$J26,$K26,$L26,$M26,$N26)=""</formula>
    </cfRule>
    <cfRule type="expression" dxfId="553" priority="2691">
      <formula>CONCATENATE($G26,$J26,$K26,$L26,$M26)=""</formula>
    </cfRule>
  </conditionalFormatting>
  <conditionalFormatting sqref="I26:J26 L26:N26">
    <cfRule type="expression" dxfId="552" priority="2692">
      <formula>CONCATENATE($F26,$G26,$I26,$J26,$K26,$L26,$M26,$N26)=""</formula>
    </cfRule>
    <cfRule type="expression" dxfId="551" priority="2693">
      <formula>CONCATENATE($F26,$G26,$J26,$K26,$L26,$M26,$N26)=""</formula>
    </cfRule>
    <cfRule type="expression" dxfId="550" priority="2694">
      <formula>CONCATENATE($G26,$J26,$K26,$L26,$M26)=""</formula>
    </cfRule>
  </conditionalFormatting>
  <conditionalFormatting sqref="F81 I81:J81 L81:N81">
    <cfRule type="expression" dxfId="549" priority="2305">
      <formula>CONCATENATE($F81,$G81,$I81,$J81,$K81,$L81,$M81,$N81)=""</formula>
    </cfRule>
    <cfRule type="expression" dxfId="548" priority="2306">
      <formula>CONCATENATE($F81,$G81,$J81,$K81,$L81,$M81,$N81)=""</formula>
    </cfRule>
    <cfRule type="expression" dxfId="547" priority="2307">
      <formula>CONCATENATE($G81,$J81,$K81,$L81,$M81)=""</formula>
    </cfRule>
  </conditionalFormatting>
  <conditionalFormatting sqref="F91 I91:J91 L91:N91">
    <cfRule type="expression" dxfId="546" priority="2254">
      <formula>CONCATENATE($F91,$G91,$I91,$J91,$K91,$L91,$M91,$N91)=""</formula>
    </cfRule>
    <cfRule type="expression" dxfId="545" priority="2255">
      <formula>CONCATENATE($F91,$G91,$J91,$K91,$L91,$M91,$N91)=""</formula>
    </cfRule>
    <cfRule type="expression" dxfId="544" priority="2256">
      <formula>CONCATENATE($G91,$J91,$K91,$L91,$M91)=""</formula>
    </cfRule>
  </conditionalFormatting>
  <conditionalFormatting sqref="F308:N308 F309:F310 I309:J310 L309:N310">
    <cfRule type="expression" dxfId="543" priority="1888">
      <formula>CONCATENATE($F308,$G308,$I308,$J308,$K308,$L308,$M308,$N308)=""</formula>
    </cfRule>
    <cfRule type="expression" dxfId="542" priority="1889">
      <formula>CONCATENATE($F308,$G308,$J308,$K308,$L308,$M308,$N308)=""</formula>
    </cfRule>
    <cfRule type="expression" dxfId="541" priority="1890">
      <formula>CONCATENATE($G308,$J308,$K308,$L308,$M308)=""</formula>
    </cfRule>
  </conditionalFormatting>
  <conditionalFormatting sqref="F313:F314 I313:J314 L313:N314">
    <cfRule type="expression" dxfId="540" priority="1879">
      <formula>CONCATENATE($F313,$G313,$I313,$J313,$K313,$L313,$M313,$N313)=""</formula>
    </cfRule>
    <cfRule type="expression" dxfId="539" priority="1880">
      <formula>CONCATENATE($F313,$G313,$J313,$K313,$L313,$M313,$N313)=""</formula>
    </cfRule>
    <cfRule type="expression" dxfId="538" priority="1881">
      <formula>CONCATENATE($G313,$J313,$K313,$L313,$M313)=""</formula>
    </cfRule>
  </conditionalFormatting>
  <conditionalFormatting sqref="F311 I311:J311 L311:N311">
    <cfRule type="expression" dxfId="537" priority="1870">
      <formula>CONCATENATE($F311,$G311,$I311,$J311,$K311,$L311,$M311,$N311)=""</formula>
    </cfRule>
    <cfRule type="expression" dxfId="536" priority="1871">
      <formula>CONCATENATE($F311,$G311,$J311,$K311,$L311,$M311,$N311)=""</formula>
    </cfRule>
    <cfRule type="expression" dxfId="535" priority="1872">
      <formula>CONCATENATE($G311,$J311,$K311,$L311,$M311)=""</formula>
    </cfRule>
  </conditionalFormatting>
  <conditionalFormatting sqref="F322:F323 I322:J323 L322:N323">
    <cfRule type="expression" dxfId="534" priority="1831">
      <formula>CONCATENATE($F322,$G322,$I322,$J322,$K322,$L322,$M322,$N322)=""</formula>
    </cfRule>
    <cfRule type="expression" dxfId="533" priority="1832">
      <formula>CONCATENATE($F322,$G322,$J322,$K322,$L322,$M322,$N322)=""</formula>
    </cfRule>
    <cfRule type="expression" dxfId="532" priority="1833">
      <formula>CONCATENATE($G322,$J322,$K322,$L322,$M322)=""</formula>
    </cfRule>
  </conditionalFormatting>
  <conditionalFormatting sqref="F324">
    <cfRule type="expression" dxfId="531" priority="1828">
      <formula>CONCATENATE($F324,$G324,$I324,$J324,$K324,$L324,$M324,$N324)=""</formula>
    </cfRule>
    <cfRule type="expression" dxfId="530" priority="1829">
      <formula>CONCATENATE($F324,$G324,$J324,$K324,$L324,$M324,$N324)=""</formula>
    </cfRule>
    <cfRule type="expression" dxfId="529" priority="1830">
      <formula>CONCATENATE($G324,$J324,$K324,$L324,$M324)=""</formula>
    </cfRule>
  </conditionalFormatting>
  <conditionalFormatting sqref="F330 I330:J330 I334:N337 F334:F337 L330:N330">
    <cfRule type="expression" dxfId="528" priority="1822">
      <formula>CONCATENATE($F330,$G330,$I330,$J330,$K330,$L330,$M330,$N330)=""</formula>
    </cfRule>
    <cfRule type="expression" dxfId="527" priority="1823">
      <formula>CONCATENATE($F330,$G330,$J330,$K330,$L330,$M330,$N330)=""</formula>
    </cfRule>
    <cfRule type="expression" dxfId="526" priority="1824">
      <formula>CONCATENATE($G330,$J330,$K330,$L330,$M330)=""</formula>
    </cfRule>
  </conditionalFormatting>
  <conditionalFormatting sqref="F338 I338:N338">
    <cfRule type="expression" dxfId="525" priority="1810">
      <formula>CONCATENATE($F338,$G338,$I338,$J338,$K338,$L338,$M338,$N338)=""</formula>
    </cfRule>
    <cfRule type="expression" dxfId="524" priority="1811">
      <formula>CONCATENATE($F338,$G338,$J338,$K338,$L338,$M338,$N338)=""</formula>
    </cfRule>
    <cfRule type="expression" dxfId="523" priority="1812">
      <formula>CONCATENATE($G338,$J338,$K338,$L338,$M338)=""</formula>
    </cfRule>
  </conditionalFormatting>
  <conditionalFormatting sqref="F291">
    <cfRule type="expression" dxfId="522" priority="1795">
      <formula>CONCATENATE($F291,$G291,$I291,$J291,$K291,$L291,$M291,$N291)=""</formula>
    </cfRule>
    <cfRule type="expression" dxfId="521" priority="1796">
      <formula>CONCATENATE($F291,$G291,$J291,$K291,$L291,$M291,$N291)=""</formula>
    </cfRule>
    <cfRule type="expression" dxfId="520" priority="1797">
      <formula>CONCATENATE($G291,$J291,$K291,$L291,$M291)=""</formula>
    </cfRule>
  </conditionalFormatting>
  <conditionalFormatting sqref="I291:J291 L291">
    <cfRule type="expression" dxfId="519" priority="1789">
      <formula>CONCATENATE($F291,$G291,$I291,$J291,$K291,$L291,$M291,$N291)=""</formula>
    </cfRule>
    <cfRule type="expression" dxfId="518" priority="1790">
      <formula>CONCATENATE($F291,$G291,$J291,$K291,$L291,$M291,$N291)=""</formula>
    </cfRule>
    <cfRule type="expression" dxfId="517" priority="1791">
      <formula>CONCATENATE($G291,$J291,$K291,$L291,$M291)=""</formula>
    </cfRule>
  </conditionalFormatting>
  <conditionalFormatting sqref="F39:N39">
    <cfRule type="expression" dxfId="516" priority="1735">
      <formula>CONCATENATE($F39,$G39,$I39,$J39,$K39,$L39,$M39,$N39)=""</formula>
    </cfRule>
    <cfRule type="expression" dxfId="515" priority="1736">
      <formula>CONCATENATE($F39,$G39,$J39,$K39,$L39,$M39,$N39)=""</formula>
    </cfRule>
    <cfRule type="expression" dxfId="514" priority="1737">
      <formula>CONCATENATE($G39,$J39,$K39,$L39,$M39)=""</formula>
    </cfRule>
  </conditionalFormatting>
  <conditionalFormatting sqref="F27:N28">
    <cfRule type="expression" dxfId="513" priority="1714">
      <formula>CONCATENATE($F27,$G27,$I27,$J27,$K27,$L27,$M27,$N27)=""</formula>
    </cfRule>
    <cfRule type="expression" dxfId="512" priority="1715">
      <formula>CONCATENATE($F27,$G27,$J27,$K27,$L27,$M27,$N27)=""</formula>
    </cfRule>
    <cfRule type="expression" dxfId="511" priority="1716">
      <formula>CONCATENATE($G27,$J27,$K27,$L27,$M27)=""</formula>
    </cfRule>
  </conditionalFormatting>
  <conditionalFormatting sqref="M29">
    <cfRule type="expression" dxfId="510" priority="1642">
      <formula>CONCATENATE($F29,$G29,$I29,$J29,$K29,$L29,$M29,$N29)=""</formula>
    </cfRule>
    <cfRule type="expression" dxfId="509" priority="1643">
      <formula>CONCATENATE($F29,$G29,$J29,$K29,$L29,$M29,$N29)=""</formula>
    </cfRule>
    <cfRule type="expression" dxfId="508" priority="1644">
      <formula>CONCATENATE($G29,$J29,$K29,$L29,$M29)=""</formula>
    </cfRule>
  </conditionalFormatting>
  <conditionalFormatting sqref="N32">
    <cfRule type="expression" dxfId="507" priority="1594">
      <formula>CONCATENATE($F32,$G32,$I32,$J32,$K32,$L32,$M32,$N32)=""</formula>
    </cfRule>
    <cfRule type="expression" dxfId="506" priority="1595">
      <formula>CONCATENATE($F32,$G32,$J32,$K32,$L32,$M32,$N32)=""</formula>
    </cfRule>
    <cfRule type="expression" dxfId="505" priority="1596">
      <formula>CONCATENATE($G32,$J32,$K32,$L32,$M32)=""</formula>
    </cfRule>
  </conditionalFormatting>
  <conditionalFormatting sqref="M32">
    <cfRule type="expression" dxfId="504" priority="1591">
      <formula>CONCATENATE($F32,$G32,$I32,$J32,$K32,$L32,$M32,$N32)=""</formula>
    </cfRule>
    <cfRule type="expression" dxfId="503" priority="1592">
      <formula>CONCATENATE($F32,$G32,$J32,$K32,$L32,$M32,$N32)=""</formula>
    </cfRule>
    <cfRule type="expression" dxfId="502" priority="1593">
      <formula>CONCATENATE($G32,$J32,$K32,$L32,$M32)=""</formula>
    </cfRule>
  </conditionalFormatting>
  <conditionalFormatting sqref="M31:N31">
    <cfRule type="expression" dxfId="501" priority="1354">
      <formula>CONCATENATE($F31,$G31,$I31,$J31,$K31,$L31,$M31,$N31)=""</formula>
    </cfRule>
    <cfRule type="expression" dxfId="500" priority="1355">
      <formula>CONCATENATE($F31,$G31,$J31,$K31,$L31,$M31,$N31)=""</formula>
    </cfRule>
    <cfRule type="expression" dxfId="499" priority="1356">
      <formula>CONCATENATE($G31,$J31,$K31,$L31,$M31)=""</formula>
    </cfRule>
  </conditionalFormatting>
  <conditionalFormatting sqref="N30">
    <cfRule type="expression" dxfId="498" priority="1351">
      <formula>CONCATENATE($F30,$G30,$I30,$J30,$K30,$L30,$M30,$N30)=""</formula>
    </cfRule>
    <cfRule type="expression" dxfId="497" priority="1352">
      <formula>CONCATENATE($F30,$G30,$J30,$K30,$L30,$M30,$N30)=""</formula>
    </cfRule>
    <cfRule type="expression" dxfId="496" priority="1353">
      <formula>CONCATENATE($G30,$J30,$K30,$L30,$M30)=""</formula>
    </cfRule>
  </conditionalFormatting>
  <conditionalFormatting sqref="M30">
    <cfRule type="expression" dxfId="495" priority="1348">
      <formula>CONCATENATE($F30,$G30,$I30,$J30,$K30,$L30,$M30,$N30)=""</formula>
    </cfRule>
    <cfRule type="expression" dxfId="494" priority="1349">
      <formula>CONCATENATE($F30,$G30,$J30,$K30,$L30,$M30,$N30)=""</formula>
    </cfRule>
    <cfRule type="expression" dxfId="493" priority="1350">
      <formula>CONCATENATE($G30,$J30,$K30,$L30,$M30)=""</formula>
    </cfRule>
  </conditionalFormatting>
  <conditionalFormatting sqref="H42:H43">
    <cfRule type="expression" dxfId="492" priority="1306">
      <formula>CONCATENATE($F42,$G42,$I42,$J42,$K42,$L42,$M42,$N42)=""</formula>
    </cfRule>
    <cfRule type="expression" dxfId="491" priority="1307">
      <formula>CONCATENATE($F42,$G42,$J42,$K42,$L42,$M42,$N42)=""</formula>
    </cfRule>
    <cfRule type="expression" dxfId="490" priority="1308">
      <formula>CONCATENATE($G42,$J42,$K42,$L42,$M42)=""</formula>
    </cfRule>
  </conditionalFormatting>
  <conditionalFormatting sqref="H49:H56">
    <cfRule type="expression" dxfId="489" priority="1303">
      <formula>CONCATENATE($F49,$G49,$I49,$J49,$K49,$L49,$M49,$N49)=""</formula>
    </cfRule>
    <cfRule type="expression" dxfId="488" priority="1304">
      <formula>CONCATENATE($F49,$G49,$J49,$K49,$L49,$M49,$N49)=""</formula>
    </cfRule>
    <cfRule type="expression" dxfId="487" priority="1305">
      <formula>CONCATENATE($G49,$J49,$K49,$L49,$M49)=""</formula>
    </cfRule>
  </conditionalFormatting>
  <conditionalFormatting sqref="H59">
    <cfRule type="expression" dxfId="486" priority="1300">
      <formula>CONCATENATE($F59,$G59,$I59,$J59,$K59,$L59,$M59,$N59)=""</formula>
    </cfRule>
    <cfRule type="expression" dxfId="485" priority="1301">
      <formula>CONCATENATE($F59,$G59,$J59,$K59,$L59,$M59,$N59)=""</formula>
    </cfRule>
    <cfRule type="expression" dxfId="484" priority="1302">
      <formula>CONCATENATE($G59,$J59,$K59,$L59,$M59)=""</formula>
    </cfRule>
  </conditionalFormatting>
  <conditionalFormatting sqref="H65:H67">
    <cfRule type="expression" dxfId="483" priority="1297">
      <formula>CONCATENATE($F65,$G65,$I65,$J65,$K65,$L65,$M65,$N65)=""</formula>
    </cfRule>
    <cfRule type="expression" dxfId="482" priority="1298">
      <formula>CONCATENATE($F65,$G65,$J65,$K65,$L65,$M65,$N65)=""</formula>
    </cfRule>
    <cfRule type="expression" dxfId="481" priority="1299">
      <formula>CONCATENATE($G65,$J65,$K65,$L65,$M65)=""</formula>
    </cfRule>
  </conditionalFormatting>
  <conditionalFormatting sqref="H80:H81">
    <cfRule type="expression" dxfId="480" priority="1267">
      <formula>CONCATENATE($F80,$G80,$I80,$J80,$K80,$L80,$M80,$N80)=""</formula>
    </cfRule>
    <cfRule type="expression" dxfId="479" priority="1268">
      <formula>CONCATENATE($F80,$G80,$J80,$K80,$L80,$M80,$N80)=""</formula>
    </cfRule>
    <cfRule type="expression" dxfId="478" priority="1269">
      <formula>CONCATENATE($G80,$J80,$K80,$L80,$M80)=""</formula>
    </cfRule>
  </conditionalFormatting>
  <conditionalFormatting sqref="H89:H91">
    <cfRule type="expression" dxfId="477" priority="1252">
      <formula>CONCATENATE($F89,$G89,$I89,$J89,$K89,$L89,$M89,$N89)=""</formula>
    </cfRule>
    <cfRule type="expression" dxfId="476" priority="1253">
      <formula>CONCATENATE($F89,$G89,$J89,$K89,$L89,$M89,$N89)=""</formula>
    </cfRule>
    <cfRule type="expression" dxfId="475" priority="1254">
      <formula>CONCATENATE($G89,$J89,$K89,$L89,$M89)=""</formula>
    </cfRule>
  </conditionalFormatting>
  <conditionalFormatting sqref="H111:H127">
    <cfRule type="expression" dxfId="474" priority="1183">
      <formula>CONCATENATE($F111,$G111,$I111,$J111,$K111,$L111,$M111,$N111)=""</formula>
    </cfRule>
    <cfRule type="expression" dxfId="473" priority="1184">
      <formula>CONCATENATE($F111,$G111,$J111,$K111,$L111,$M111,$N111)=""</formula>
    </cfRule>
    <cfRule type="expression" dxfId="472" priority="1185">
      <formula>CONCATENATE($G111,$J111,$K111,$L111,$M111)=""</formula>
    </cfRule>
  </conditionalFormatting>
  <conditionalFormatting sqref="H191 H193:H202 H204">
    <cfRule type="expression" dxfId="471" priority="1129">
      <formula>CONCATENATE($F191,$G191,$I191,$J191,$K191,$L191,$M191,$N191)=""</formula>
    </cfRule>
    <cfRule type="expression" dxfId="470" priority="1130">
      <formula>CONCATENATE($F191,$G191,$J191,$K191,$L191,$M191,$N191)=""</formula>
    </cfRule>
    <cfRule type="expression" dxfId="469" priority="1131">
      <formula>CONCATENATE($G191,$J191,$K191,$L191,$M191)=""</formula>
    </cfRule>
  </conditionalFormatting>
  <conditionalFormatting sqref="H259:H263">
    <cfRule type="expression" dxfId="468" priority="1123">
      <formula>CONCATENATE($F259,$G259,$I259,$J259,$K259,$L259,$M259,$N259)=""</formula>
    </cfRule>
    <cfRule type="expression" dxfId="467" priority="1124">
      <formula>CONCATENATE($F259,$G259,$J259,$K259,$L259,$M259,$N259)=""</formula>
    </cfRule>
    <cfRule type="expression" dxfId="466" priority="1125">
      <formula>CONCATENATE($G259,$J259,$K259,$L259,$M259)=""</formula>
    </cfRule>
  </conditionalFormatting>
  <conditionalFormatting sqref="H282:H299">
    <cfRule type="expression" dxfId="465" priority="1099">
      <formula>CONCATENATE($F282,$G282,$I282,$J282,$K282,$L282,$M282,$N282)=""</formula>
    </cfRule>
    <cfRule type="expression" dxfId="464" priority="1100">
      <formula>CONCATENATE($F282,$G282,$J282,$K282,$L282,$M282,$N282)=""</formula>
    </cfRule>
    <cfRule type="expression" dxfId="463" priority="1101">
      <formula>CONCATENATE($G282,$J282,$K282,$L282,$M282)=""</formula>
    </cfRule>
  </conditionalFormatting>
  <conditionalFormatting sqref="H322:H324">
    <cfRule type="expression" dxfId="462" priority="1081">
      <formula>CONCATENATE($F322,$G322,$I322,$J322,$K322,$L322,$M322,$N322)=""</formula>
    </cfRule>
    <cfRule type="expression" dxfId="461" priority="1082">
      <formula>CONCATENATE($F322,$G322,$J322,$K322,$L322,$M322,$N322)=""</formula>
    </cfRule>
    <cfRule type="expression" dxfId="460" priority="1083">
      <formula>CONCATENATE($G322,$J322,$K322,$L322,$M322)=""</formula>
    </cfRule>
  </conditionalFormatting>
  <conditionalFormatting sqref="H330">
    <cfRule type="expression" dxfId="459" priority="1078">
      <formula>CONCATENATE($F330,$G330,$I330,$J330,$K330,$L330,$M330,$N330)=""</formula>
    </cfRule>
    <cfRule type="expression" dxfId="458" priority="1079">
      <formula>CONCATENATE($F330,$G330,$J330,$K330,$L330,$M330,$N330)=""</formula>
    </cfRule>
    <cfRule type="expression" dxfId="457" priority="1080">
      <formula>CONCATENATE($G330,$J330,$K330,$L330,$M330)=""</formula>
    </cfRule>
  </conditionalFormatting>
  <conditionalFormatting sqref="F106 H106 M106:N106">
    <cfRule type="expression" dxfId="456" priority="997">
      <formula>CONCATENATE($F106,$G106,$I106,$J106,$K106,$L106,$M106,$N106)=""</formula>
    </cfRule>
    <cfRule type="expression" dxfId="455" priority="998">
      <formula>CONCATENATE($F106,$G106,$J106,$K106,$L106,$M106,$N106)=""</formula>
    </cfRule>
    <cfRule type="expression" dxfId="454" priority="999">
      <formula>CONCATENATE($G106,$J106,$K106,$L106,$M106)=""</formula>
    </cfRule>
  </conditionalFormatting>
  <conditionalFormatting sqref="I106:J106 L106">
    <cfRule type="expression" dxfId="453" priority="994">
      <formula>CONCATENATE($F106,$G106,$I106,$J106,$K106,$L106,$M106,$N106)=""</formula>
    </cfRule>
    <cfRule type="expression" dxfId="452" priority="995">
      <formula>CONCATENATE($F106,$G106,$J106,$K106,$L106,$M106,$N106)=""</formula>
    </cfRule>
    <cfRule type="expression" dxfId="451" priority="996">
      <formula>CONCATENATE($G106,$J106,$K106,$L106,$M106)=""</formula>
    </cfRule>
  </conditionalFormatting>
  <conditionalFormatting sqref="F105 H105 M105:N105">
    <cfRule type="expression" dxfId="450" priority="991">
      <formula>CONCATENATE($F105,$G105,$I105,$J105,$K105,$L105,$M105,$N105)=""</formula>
    </cfRule>
    <cfRule type="expression" dxfId="449" priority="992">
      <formula>CONCATENATE($F105,$G105,$J105,$K105,$L105,$M105,$N105)=""</formula>
    </cfRule>
    <cfRule type="expression" dxfId="448" priority="993">
      <formula>CONCATENATE($G105,$J105,$K105,$L105,$M105)=""</formula>
    </cfRule>
  </conditionalFormatting>
  <conditionalFormatting sqref="I105:J105 L105">
    <cfRule type="expression" dxfId="447" priority="988">
      <formula>CONCATENATE($F105,$G105,$I105,$J105,$K105,$L105,$M105,$N105)=""</formula>
    </cfRule>
    <cfRule type="expression" dxfId="446" priority="989">
      <formula>CONCATENATE($F105,$G105,$J105,$K105,$L105,$M105,$N105)=""</formula>
    </cfRule>
    <cfRule type="expression" dxfId="445" priority="990">
      <formula>CONCATENATE($G105,$J105,$K105,$L105,$M105)=""</formula>
    </cfRule>
  </conditionalFormatting>
  <conditionalFormatting sqref="F104 H104 M104:N104">
    <cfRule type="expression" dxfId="444" priority="985">
      <formula>CONCATENATE($F104,$G104,$I104,$J104,$K104,$L104,$M104,$N104)=""</formula>
    </cfRule>
    <cfRule type="expression" dxfId="443" priority="986">
      <formula>CONCATENATE($F104,$G104,$J104,$K104,$L104,$M104,$N104)=""</formula>
    </cfRule>
    <cfRule type="expression" dxfId="442" priority="987">
      <formula>CONCATENATE($G104,$J104,$K104,$L104,$M104)=""</formula>
    </cfRule>
  </conditionalFormatting>
  <conditionalFormatting sqref="I104:J104 L104">
    <cfRule type="expression" dxfId="441" priority="982">
      <formula>CONCATENATE($F104,$G104,$I104,$J104,$K104,$L104,$M104,$N104)=""</formula>
    </cfRule>
    <cfRule type="expression" dxfId="440" priority="983">
      <formula>CONCATENATE($F104,$G104,$J104,$K104,$L104,$M104,$N104)=""</formula>
    </cfRule>
    <cfRule type="expression" dxfId="439" priority="984">
      <formula>CONCATENATE($G104,$J104,$K104,$L104,$M104)=""</formula>
    </cfRule>
  </conditionalFormatting>
  <conditionalFormatting sqref="F267 I267:J267 L267:N267">
    <cfRule type="expression" dxfId="438" priority="958">
      <formula>CONCATENATE($F267,$G267,$I267,$J267,$K267,$L267,$M267,$N267)=""</formula>
    </cfRule>
    <cfRule type="expression" dxfId="437" priority="959">
      <formula>CONCATENATE($F267,$G267,$J267,$K267,$L267,$M267,$N267)=""</formula>
    </cfRule>
    <cfRule type="expression" dxfId="436" priority="960">
      <formula>CONCATENATE($G267,$J267,$K267,$L267,$M267)=""</formula>
    </cfRule>
  </conditionalFormatting>
  <conditionalFormatting sqref="F266 I266:J266 L266:N266">
    <cfRule type="expression" dxfId="435" priority="946">
      <formula>CONCATENATE($F266,$G266,$I266,$J266,$K266,$L266,$M266,$N266)=""</formula>
    </cfRule>
    <cfRule type="expression" dxfId="434" priority="947">
      <formula>CONCATENATE($F266,$G266,$J266,$K266,$L266,$M266,$N266)=""</formula>
    </cfRule>
    <cfRule type="expression" dxfId="433" priority="948">
      <formula>CONCATENATE($G266,$J266,$K266,$L266,$M266)=""</formula>
    </cfRule>
  </conditionalFormatting>
  <conditionalFormatting sqref="H266">
    <cfRule type="expression" dxfId="432" priority="943">
      <formula>CONCATENATE($F266,$G266,$I266,$J266,$K266,$L266,$M266,$N266)=""</formula>
    </cfRule>
    <cfRule type="expression" dxfId="431" priority="944">
      <formula>CONCATENATE($F266,$G266,$J266,$K266,$L266,$M266,$N266)=""</formula>
    </cfRule>
    <cfRule type="expression" dxfId="430" priority="945">
      <formula>CONCATENATE($G266,$J266,$K266,$L266,$M266)=""</formula>
    </cfRule>
  </conditionalFormatting>
  <conditionalFormatting sqref="F265 I265:J265 L265:N265">
    <cfRule type="expression" dxfId="429" priority="940">
      <formula>CONCATENATE($F265,$G265,$I265,$J265,$K265,$L265,$M265,$N265)=""</formula>
    </cfRule>
    <cfRule type="expression" dxfId="428" priority="941">
      <formula>CONCATENATE($F265,$G265,$J265,$K265,$L265,$M265,$N265)=""</formula>
    </cfRule>
    <cfRule type="expression" dxfId="427" priority="942">
      <formula>CONCATENATE($G265,$J265,$K265,$L265,$M265)=""</formula>
    </cfRule>
  </conditionalFormatting>
  <conditionalFormatting sqref="H265">
    <cfRule type="expression" dxfId="426" priority="937">
      <formula>CONCATENATE($F265,$G265,$I265,$J265,$K265,$L265,$M265,$N265)=""</formula>
    </cfRule>
    <cfRule type="expression" dxfId="425" priority="938">
      <formula>CONCATENATE($F265,$G265,$J265,$K265,$L265,$M265,$N265)=""</formula>
    </cfRule>
    <cfRule type="expression" dxfId="424" priority="939">
      <formula>CONCATENATE($G265,$J265,$K265,$L265,$M265)=""</formula>
    </cfRule>
  </conditionalFormatting>
  <conditionalFormatting sqref="F264 I264:J264 L264:N264">
    <cfRule type="expression" dxfId="423" priority="925">
      <formula>CONCATENATE($F264,$G264,$I264,$J264,$K264,$L264,$M264,$N264)=""</formula>
    </cfRule>
    <cfRule type="expression" dxfId="422" priority="926">
      <formula>CONCATENATE($F264,$G264,$J264,$K264,$L264,$M264,$N264)=""</formula>
    </cfRule>
    <cfRule type="expression" dxfId="421" priority="927">
      <formula>CONCATENATE($G264,$J264,$K264,$L264,$M264)=""</formula>
    </cfRule>
  </conditionalFormatting>
  <conditionalFormatting sqref="H264">
    <cfRule type="expression" dxfId="420" priority="922">
      <formula>CONCATENATE($F264,$G264,$I264,$J264,$K264,$L264,$M264,$N264)=""</formula>
    </cfRule>
    <cfRule type="expression" dxfId="419" priority="923">
      <formula>CONCATENATE($F264,$G264,$J264,$K264,$L264,$M264,$N264)=""</formula>
    </cfRule>
    <cfRule type="expression" dxfId="418" priority="924">
      <formula>CONCATENATE($G264,$J264,$K264,$L264,$M264)=""</formula>
    </cfRule>
  </conditionalFormatting>
  <conditionalFormatting sqref="H274">
    <cfRule type="expression" dxfId="417" priority="886">
      <formula>CONCATENATE($F274,$G274,$I274,$J274,$K274,$L274,$M274,$N274)=""</formula>
    </cfRule>
    <cfRule type="expression" dxfId="416" priority="887">
      <formula>CONCATENATE($F274,$G274,$J274,$K274,$L274,$M274,$N274)=""</formula>
    </cfRule>
    <cfRule type="expression" dxfId="415" priority="888">
      <formula>CONCATENATE($G274,$J274,$K274,$L274,$M274)=""</formula>
    </cfRule>
  </conditionalFormatting>
  <conditionalFormatting sqref="F274 I274:J274 L274:N274">
    <cfRule type="expression" dxfId="414" priority="883">
      <formula>CONCATENATE($F274,$G274,$I274,$J274,$K274,$L274,$M274,$N274)=""</formula>
    </cfRule>
    <cfRule type="expression" dxfId="413" priority="884">
      <formula>CONCATENATE($F274,$G274,$J274,$K274,$L274,$M274,$N274)=""</formula>
    </cfRule>
    <cfRule type="expression" dxfId="412" priority="885">
      <formula>CONCATENATE($G274,$J274,$K274,$L274,$M274)=""</formula>
    </cfRule>
  </conditionalFormatting>
  <conditionalFormatting sqref="H275">
    <cfRule type="expression" dxfId="411" priority="877">
      <formula>CONCATENATE($F275,$G275,$I275,$J275,$K275,$L275,$M275,$N275)=""</formula>
    </cfRule>
    <cfRule type="expression" dxfId="410" priority="878">
      <formula>CONCATENATE($F275,$G275,$J275,$K275,$L275,$M275,$N275)=""</formula>
    </cfRule>
    <cfRule type="expression" dxfId="409" priority="879">
      <formula>CONCATENATE($G275,$J275,$K275,$L275,$M275)=""</formula>
    </cfRule>
  </conditionalFormatting>
  <conditionalFormatting sqref="F275 I275:J275 L275:N275">
    <cfRule type="expression" dxfId="408" priority="874">
      <formula>CONCATENATE($F275,$G275,$I275,$J275,$K275,$L275,$M275,$N275)=""</formula>
    </cfRule>
    <cfRule type="expression" dxfId="407" priority="875">
      <formula>CONCATENATE($F275,$G275,$J275,$K275,$L275,$M275,$N275)=""</formula>
    </cfRule>
    <cfRule type="expression" dxfId="406" priority="876">
      <formula>CONCATENATE($G275,$J275,$K275,$L275,$M275)=""</formula>
    </cfRule>
  </conditionalFormatting>
  <conditionalFormatting sqref="H272">
    <cfRule type="expression" dxfId="405" priority="835">
      <formula>CONCATENATE($F272,$G272,$I272,$J272,$K272,$L272,$M272,$N272)=""</formula>
    </cfRule>
    <cfRule type="expression" dxfId="404" priority="836">
      <formula>CONCATENATE($F272,$G272,$J272,$K272,$L272,$M272,$N272)=""</formula>
    </cfRule>
    <cfRule type="expression" dxfId="403" priority="837">
      <formula>CONCATENATE($G272,$J272,$K272,$L272,$M272)=""</formula>
    </cfRule>
  </conditionalFormatting>
  <conditionalFormatting sqref="F272 I272:J272 L272:N272">
    <cfRule type="expression" dxfId="402" priority="832">
      <formula>CONCATENATE($F272,$G272,$I272,$J272,$K272,$L272,$M272,$N272)=""</formula>
    </cfRule>
    <cfRule type="expression" dxfId="401" priority="833">
      <formula>CONCATENATE($F272,$G272,$J272,$K272,$L272,$M272,$N272)=""</formula>
    </cfRule>
    <cfRule type="expression" dxfId="400" priority="834">
      <formula>CONCATENATE($G272,$J272,$K272,$L272,$M272)=""</formula>
    </cfRule>
  </conditionalFormatting>
  <conditionalFormatting sqref="H276">
    <cfRule type="expression" dxfId="399" priority="826">
      <formula>CONCATENATE($F276,$G276,$I276,$J276,$K276,$L276,$M276,$N276)=""</formula>
    </cfRule>
    <cfRule type="expression" dxfId="398" priority="827">
      <formula>CONCATENATE($F276,$G276,$J276,$K276,$L276,$M276,$N276)=""</formula>
    </cfRule>
    <cfRule type="expression" dxfId="397" priority="828">
      <formula>CONCATENATE($G276,$J276,$K276,$L276,$M276)=""</formula>
    </cfRule>
  </conditionalFormatting>
  <conditionalFormatting sqref="F276 I276:J276 L276:N276">
    <cfRule type="expression" dxfId="396" priority="823">
      <formula>CONCATENATE($F276,$G276,$I276,$J276,$K276,$L276,$M276,$N276)=""</formula>
    </cfRule>
    <cfRule type="expression" dxfId="395" priority="824">
      <formula>CONCATENATE($F276,$G276,$J276,$K276,$L276,$M276,$N276)=""</formula>
    </cfRule>
    <cfRule type="expression" dxfId="394" priority="825">
      <formula>CONCATENATE($G276,$J276,$K276,$L276,$M276)=""</formula>
    </cfRule>
  </conditionalFormatting>
  <conditionalFormatting sqref="F132:F136 I132:J136 L132:N136">
    <cfRule type="expression" dxfId="393" priority="634">
      <formula>CONCATENATE($F132,$G132,$I132,$J132,$K132,$L132,$M132,$N132)=""</formula>
    </cfRule>
    <cfRule type="expression" dxfId="392" priority="635">
      <formula>CONCATENATE($F132,$G132,$J132,$K132,$L132,$M132,$N132)=""</formula>
    </cfRule>
    <cfRule type="expression" dxfId="391" priority="636">
      <formula>CONCATENATE($G132,$J132,$K132,$L132,$M132)=""</formula>
    </cfRule>
  </conditionalFormatting>
  <conditionalFormatting sqref="H132:H136">
    <cfRule type="expression" dxfId="390" priority="631">
      <formula>CONCATENATE($F132,$G132,$I132,$J132,$K132,$L132,$M132,$N132)=""</formula>
    </cfRule>
    <cfRule type="expression" dxfId="389" priority="632">
      <formula>CONCATENATE($F132,$G132,$J132,$K132,$L132,$M132,$N132)=""</formula>
    </cfRule>
    <cfRule type="expression" dxfId="388" priority="633">
      <formula>CONCATENATE($G132,$J132,$K132,$L132,$M132)=""</formula>
    </cfRule>
  </conditionalFormatting>
  <conditionalFormatting sqref="F128:F131 I128:J131 L128:N131">
    <cfRule type="expression" dxfId="387" priority="628">
      <formula>CONCATENATE($F128,$G128,$I128,$J128,$K128,$L128,$M128,$N128)=""</formula>
    </cfRule>
    <cfRule type="expression" dxfId="386" priority="629">
      <formula>CONCATENATE($F128,$G128,$J128,$K128,$L128,$M128,$N128)=""</formula>
    </cfRule>
    <cfRule type="expression" dxfId="385" priority="630">
      <formula>CONCATENATE($G128,$J128,$K128,$L128,$M128)=""</formula>
    </cfRule>
  </conditionalFormatting>
  <conditionalFormatting sqref="H128:H131">
    <cfRule type="expression" dxfId="384" priority="625">
      <formula>CONCATENATE($F128,$G128,$I128,$J128,$K128,$L128,$M128,$N128)=""</formula>
    </cfRule>
    <cfRule type="expression" dxfId="383" priority="626">
      <formula>CONCATENATE($F128,$G128,$J128,$K128,$L128,$M128,$N128)=""</formula>
    </cfRule>
    <cfRule type="expression" dxfId="382" priority="627">
      <formula>CONCATENATE($G128,$J128,$K128,$L128,$M128)=""</formula>
    </cfRule>
  </conditionalFormatting>
  <conditionalFormatting sqref="F137:N137">
    <cfRule type="expression" dxfId="381" priority="622">
      <formula>CONCATENATE($F137,$G137,$I137,$J137,$K137,$L137,$M137,$N137)=""</formula>
    </cfRule>
    <cfRule type="expression" dxfId="380" priority="623">
      <formula>CONCATENATE($F137,$G137,$J137,$K137,$L137,$M137,$N137)=""</formula>
    </cfRule>
    <cfRule type="expression" dxfId="379" priority="624">
      <formula>CONCATENATE($G137,$J137,$K137,$L137,$M137)=""</formula>
    </cfRule>
  </conditionalFormatting>
  <conditionalFormatting sqref="F103 H103:J103 L103:N103">
    <cfRule type="expression" dxfId="378" priority="574">
      <formula>CONCATENATE($F103,$G103,$I103,$J103,$K103,$L103,$M103,$N103)=""</formula>
    </cfRule>
    <cfRule type="expression" dxfId="377" priority="575">
      <formula>CONCATENATE($F103,$G103,$J103,$K103,$L103,$M103,$N103)=""</formula>
    </cfRule>
    <cfRule type="expression" dxfId="376" priority="576">
      <formula>CONCATENATE($G103,$J103,$K103,$L103,$M103)=""</formula>
    </cfRule>
  </conditionalFormatting>
  <conditionalFormatting sqref="I331:N333 F331:F333">
    <cfRule type="expression" dxfId="375" priority="553">
      <formula>CONCATENATE($F331,$G331,$I331,$J331,$K331,$L331,$M331,$N331)=""</formula>
    </cfRule>
    <cfRule type="expression" dxfId="374" priority="554">
      <formula>CONCATENATE($F331,$G331,$J331,$K331,$L331,$M331,$N331)=""</formula>
    </cfRule>
    <cfRule type="expression" dxfId="373" priority="555">
      <formula>CONCATENATE($G331,$J331,$K331,$L331,$M331)=""</formula>
    </cfRule>
  </conditionalFormatting>
  <conditionalFormatting sqref="H331:H333">
    <cfRule type="expression" dxfId="372" priority="550">
      <formula>CONCATENATE($F331,$G331,$I331,$J331,$K331,$L331,$M331,$N331)=""</formula>
    </cfRule>
    <cfRule type="expression" dxfId="371" priority="551">
      <formula>CONCATENATE($F331,$G331,$J331,$K331,$L331,$M331,$N331)=""</formula>
    </cfRule>
    <cfRule type="expression" dxfId="370" priority="552">
      <formula>CONCATENATE($G331,$J331,$K331,$L331,$M331)=""</formula>
    </cfRule>
  </conditionalFormatting>
  <conditionalFormatting sqref="F300:F302">
    <cfRule type="expression" dxfId="369" priority="523">
      <formula>CONCATENATE($F300,$G300,$I300,$J300,$K300,$L300,$M300,$N300)=""</formula>
    </cfRule>
    <cfRule type="expression" dxfId="368" priority="524">
      <formula>CONCATENATE($F300,$G300,$J300,$K300,$L300,$M300,$N300)=""</formula>
    </cfRule>
    <cfRule type="expression" dxfId="367" priority="525">
      <formula>CONCATENATE($G300,$J300,$K300,$L300,$M300)=""</formula>
    </cfRule>
  </conditionalFormatting>
  <conditionalFormatting sqref="I325:J325 L325:N325">
    <cfRule type="expression" dxfId="366" priority="409">
      <formula>CONCATENATE($F325,$G325,$I325,$J325,$K325,$L325,$M325,$N325)=""</formula>
    </cfRule>
    <cfRule type="expression" dxfId="365" priority="410">
      <formula>CONCATENATE($F325,$G325,$J325,$K325,$L325,$M325,$N325)=""</formula>
    </cfRule>
    <cfRule type="expression" dxfId="364" priority="411">
      <formula>CONCATENATE($G325,$J325,$K325,$L325,$M325)=""</formula>
    </cfRule>
  </conditionalFormatting>
  <conditionalFormatting sqref="F325">
    <cfRule type="expression" dxfId="363" priority="406">
      <formula>CONCATENATE($F325,$G325,$I325,$J325,$K325,$L325,$M325,$N325)=""</formula>
    </cfRule>
    <cfRule type="expression" dxfId="362" priority="407">
      <formula>CONCATENATE($F325,$G325,$J325,$K325,$L325,$M325,$N325)=""</formula>
    </cfRule>
    <cfRule type="expression" dxfId="361" priority="408">
      <formula>CONCATENATE($G325,$J325,$K325,$L325,$M325)=""</formula>
    </cfRule>
  </conditionalFormatting>
  <conditionalFormatting sqref="H325">
    <cfRule type="expression" dxfId="360" priority="400">
      <formula>CONCATENATE($F325,$G325,$I325,$J325,$K325,$L325,$M325,$N325)=""</formula>
    </cfRule>
    <cfRule type="expression" dxfId="359" priority="401">
      <formula>CONCATENATE($F325,$G325,$J325,$K325,$L325,$M325,$N325)=""</formula>
    </cfRule>
    <cfRule type="expression" dxfId="358" priority="402">
      <formula>CONCATENATE($G325,$J325,$K325,$L325,$M325)=""</formula>
    </cfRule>
  </conditionalFormatting>
  <conditionalFormatting sqref="N25 F25:G25 I25:J25 L25">
    <cfRule type="expression" dxfId="357" priority="397">
      <formula>CONCATENATE($F25,$G25,$I25,$J25,$K25,$L25,$M25,$N25)=""</formula>
    </cfRule>
    <cfRule type="expression" dxfId="356" priority="398">
      <formula>CONCATENATE($F25,$G25,$J25,$K25,$L25,$M25,$N25)=""</formula>
    </cfRule>
    <cfRule type="expression" dxfId="355" priority="399">
      <formula>CONCATENATE($G25,$J25,$K25,$L25,$M25)=""</formula>
    </cfRule>
  </conditionalFormatting>
  <conditionalFormatting sqref="M25">
    <cfRule type="expression" dxfId="354" priority="394">
      <formula>CONCATENATE($F25,$G25,$I25,$J25,$K25,$L25,$M25,$N25)=""</formula>
    </cfRule>
    <cfRule type="expression" dxfId="353" priority="395">
      <formula>CONCATENATE($F25,$G25,$J25,$K25,$L25,$M25,$N25)=""</formula>
    </cfRule>
    <cfRule type="expression" dxfId="352" priority="396">
      <formula>CONCATENATE($G25,$J25,$K25,$L25,$M25)=""</formula>
    </cfRule>
  </conditionalFormatting>
  <conditionalFormatting sqref="H25">
    <cfRule type="expression" dxfId="351" priority="391">
      <formula>CONCATENATE($F25,$G25,$I25,$J25,$K25,$L25,$M25,$N25)=""</formula>
    </cfRule>
    <cfRule type="expression" dxfId="350" priority="392">
      <formula>CONCATENATE($F25,$G25,$J25,$K25,$L25,$M25,$N25)=""</formula>
    </cfRule>
    <cfRule type="expression" dxfId="349" priority="393">
      <formula>CONCATENATE($G25,$J25,$K25,$L25,$M25)=""</formula>
    </cfRule>
  </conditionalFormatting>
  <conditionalFormatting sqref="F44 I44:J44 M44:N44">
    <cfRule type="expression" dxfId="348" priority="388">
      <formula>CONCATENATE($F44,$G44,$I44,$J44,$K44,$L44,$M44,$N44)=""</formula>
    </cfRule>
    <cfRule type="expression" dxfId="347" priority="389">
      <formula>CONCATENATE($F44,$G44,$J44,$K44,$L44,$M44,$N44)=""</formula>
    </cfRule>
    <cfRule type="expression" dxfId="346" priority="390">
      <formula>CONCATENATE($G44,$J44,$K44,$L44,$M44)=""</formula>
    </cfRule>
  </conditionalFormatting>
  <conditionalFormatting sqref="L44">
    <cfRule type="expression" dxfId="345" priority="385">
      <formula>CONCATENATE($F44,$G44,$I44,$J44,$K44,$L44,$M44,$N44)=""</formula>
    </cfRule>
    <cfRule type="expression" dxfId="344" priority="386">
      <formula>CONCATENATE($F44,$G44,$J44,$K44,$L44,$M44,$N44)=""</formula>
    </cfRule>
    <cfRule type="expression" dxfId="343" priority="387">
      <formula>CONCATENATE($G44,$J44,$K44,$L44,$M44)=""</formula>
    </cfRule>
  </conditionalFormatting>
  <conditionalFormatting sqref="H44">
    <cfRule type="expression" dxfId="342" priority="382">
      <formula>CONCATENATE($F44,$G44,$I44,$J44,$K44,$L44,$M44,$N44)=""</formula>
    </cfRule>
    <cfRule type="expression" dxfId="341" priority="383">
      <formula>CONCATENATE($F44,$G44,$J44,$K44,$L44,$M44,$N44)=""</formula>
    </cfRule>
    <cfRule type="expression" dxfId="340" priority="384">
      <formula>CONCATENATE($G44,$J44,$K44,$L44,$M44)=""</formula>
    </cfRule>
  </conditionalFormatting>
  <conditionalFormatting sqref="F60 I60:J60 L60:N60">
    <cfRule type="expression" dxfId="339" priority="355">
      <formula>CONCATENATE($F60,$G60,$I60,$J60,$K60,$L60,$M60,$N60)=""</formula>
    </cfRule>
    <cfRule type="expression" dxfId="338" priority="356">
      <formula>CONCATENATE($F60,$G60,$J60,$K60,$L60,$M60,$N60)=""</formula>
    </cfRule>
    <cfRule type="expression" dxfId="337" priority="357">
      <formula>CONCATENATE($G60,$J60,$K60,$L60,$M60)=""</formula>
    </cfRule>
  </conditionalFormatting>
  <conditionalFormatting sqref="H60">
    <cfRule type="expression" dxfId="336" priority="352">
      <formula>CONCATENATE($F60,$G60,$I60,$J60,$K60,$L60,$M60,$N60)=""</formula>
    </cfRule>
    <cfRule type="expression" dxfId="335" priority="353">
      <formula>CONCATENATE($F60,$G60,$J60,$K60,$L60,$M60,$N60)=""</formula>
    </cfRule>
    <cfRule type="expression" dxfId="334" priority="354">
      <formula>CONCATENATE($G60,$J60,$K60,$L60,$M60)=""</formula>
    </cfRule>
  </conditionalFormatting>
  <conditionalFormatting sqref="I68:J68 L68:N68">
    <cfRule type="expression" dxfId="333" priority="343">
      <formula>CONCATENATE($F68,$G68,$I68,$J68,$K68,$L68,$M68,$N68)=""</formula>
    </cfRule>
    <cfRule type="expression" dxfId="332" priority="344">
      <formula>CONCATENATE($F68,$G68,$J68,$K68,$L68,$M68,$N68)=""</formula>
    </cfRule>
    <cfRule type="expression" dxfId="331" priority="345">
      <formula>CONCATENATE($G68,$J68,$K68,$L68,$M68)=""</formula>
    </cfRule>
  </conditionalFormatting>
  <conditionalFormatting sqref="F68">
    <cfRule type="expression" dxfId="330" priority="340">
      <formula>CONCATENATE($F68,$G68,$I68,$J68,$K68,$L68,$M68,$N68)=""</formula>
    </cfRule>
    <cfRule type="expression" dxfId="329" priority="341">
      <formula>CONCATENATE($F68,$G68,$J68,$K68,$L68,$M68,$N68)=""</formula>
    </cfRule>
    <cfRule type="expression" dxfId="328" priority="342">
      <formula>CONCATENATE($G68,$J68,$K68,$L68,$M68)=""</formula>
    </cfRule>
  </conditionalFormatting>
  <conditionalFormatting sqref="H68">
    <cfRule type="expression" dxfId="327" priority="334">
      <formula>CONCATENATE($F68,$G68,$I68,$J68,$K68,$L68,$M68,$N68)=""</formula>
    </cfRule>
    <cfRule type="expression" dxfId="326" priority="335">
      <formula>CONCATENATE($F68,$G68,$J68,$K68,$L68,$M68,$N68)=""</formula>
    </cfRule>
    <cfRule type="expression" dxfId="325" priority="336">
      <formula>CONCATENATE($G68,$J68,$K68,$L68,$M68)=""</formula>
    </cfRule>
  </conditionalFormatting>
  <conditionalFormatting sqref="K25">
    <cfRule type="expression" dxfId="324" priority="244">
      <formula>CONCATENATE($F25,$G25,$I25,$J25,$K25,$L25,$M25,$N25)=""</formula>
    </cfRule>
    <cfRule type="expression" dxfId="323" priority="245">
      <formula>CONCATENATE($F25,$G25,$J25,$K25,$L25,$M25,$N25)=""</formula>
    </cfRule>
    <cfRule type="expression" dxfId="322" priority="246">
      <formula>CONCATENATE($G25,$J25,$K25,$L25,$M25)=""</formula>
    </cfRule>
  </conditionalFormatting>
  <conditionalFormatting sqref="K26">
    <cfRule type="expression" dxfId="321" priority="241">
      <formula>CONCATENATE($F26,$G26,$I26,$J26,$K26,$L26,$M26,$N26)=""</formula>
    </cfRule>
    <cfRule type="expression" dxfId="320" priority="242">
      <formula>CONCATENATE($F26,$G26,$J26,$K26,$L26,$M26,$N26)=""</formula>
    </cfRule>
    <cfRule type="expression" dxfId="319" priority="243">
      <formula>CONCATENATE($G26,$J26,$K26,$L26,$M26)=""</formula>
    </cfRule>
  </conditionalFormatting>
  <conditionalFormatting sqref="K29:K37">
    <cfRule type="expression" dxfId="318" priority="238">
      <formula>CONCATENATE($F29,$G29,$I29,$J29,$K29,$L29,$M29,$N29)=""</formula>
    </cfRule>
    <cfRule type="expression" dxfId="317" priority="239">
      <formula>CONCATENATE($F29,$G29,$J29,$K29,$L29,$M29,$N29)=""</formula>
    </cfRule>
    <cfRule type="expression" dxfId="316" priority="240">
      <formula>CONCATENATE($G29,$J29,$K29,$L29,$M29)=""</formula>
    </cfRule>
  </conditionalFormatting>
  <conditionalFormatting sqref="I43:J43">
    <cfRule type="expression" dxfId="315" priority="235">
      <formula>CONCATENATE($F43,$G43,$I43,$J43,$K43,$L43,$M43,$N43)=""</formula>
    </cfRule>
    <cfRule type="expression" dxfId="314" priority="236">
      <formula>CONCATENATE($F43,$G43,$J43,$K43,$L43,$M43,$N43)=""</formula>
    </cfRule>
    <cfRule type="expression" dxfId="313" priority="237">
      <formula>CONCATENATE($G43,$J43,$K43,$L43,$M43)=""</formula>
    </cfRule>
  </conditionalFormatting>
  <conditionalFormatting sqref="F43">
    <cfRule type="expression" dxfId="312" priority="232">
      <formula>CONCATENATE($F43,$G43,$I43,$J43,$K43,$L43,$M43,$N43)=""</formula>
    </cfRule>
    <cfRule type="expression" dxfId="311" priority="233">
      <formula>CONCATENATE($F43,$G43,$J43,$K43,$L43,$M43,$N43)=""</formula>
    </cfRule>
    <cfRule type="expression" dxfId="310" priority="234">
      <formula>CONCATENATE($G43,$J43,$K43,$L43,$M43)=""</formula>
    </cfRule>
  </conditionalFormatting>
  <conditionalFormatting sqref="L43">
    <cfRule type="expression" dxfId="309" priority="229">
      <formula>CONCATENATE($F43,$G43,$I43,$J43,$K43,$L43,$M43,$N43)=""</formula>
    </cfRule>
    <cfRule type="expression" dxfId="308" priority="230">
      <formula>CONCATENATE($F43,$G43,$J43,$K43,$L43,$M43,$N43)=""</formula>
    </cfRule>
    <cfRule type="expression" dxfId="307" priority="231">
      <formula>CONCATENATE($G43,$J43,$K43,$L43,$M43)=""</formula>
    </cfRule>
  </conditionalFormatting>
  <conditionalFormatting sqref="M43">
    <cfRule type="expression" dxfId="306" priority="226">
      <formula>CONCATENATE($F43,$G43,$I43,$J43,$K43,$L43,$M43,$N43)=""</formula>
    </cfRule>
    <cfRule type="expression" dxfId="305" priority="227">
      <formula>CONCATENATE($F43,$G43,$J43,$K43,$L43,$M43,$N43)=""</formula>
    </cfRule>
    <cfRule type="expression" dxfId="304" priority="228">
      <formula>CONCATENATE($G43,$J43,$K43,$L43,$M43)=""</formula>
    </cfRule>
  </conditionalFormatting>
  <conditionalFormatting sqref="F57 I57:J57 L57:N57">
    <cfRule type="expression" dxfId="303" priority="223">
      <formula>CONCATENATE($F57,$G57,$I57,$J57,$K57,$L57,$M57,$N57)=""</formula>
    </cfRule>
    <cfRule type="expression" dxfId="302" priority="224">
      <formula>CONCATENATE($F57,$G57,$J57,$K57,$L57,$M57,$N57)=""</formula>
    </cfRule>
    <cfRule type="expression" dxfId="301" priority="225">
      <formula>CONCATENATE($G57,$J57,$K57,$L57,$M57)=""</formula>
    </cfRule>
  </conditionalFormatting>
  <conditionalFormatting sqref="H57">
    <cfRule type="expression" dxfId="300" priority="220">
      <formula>CONCATENATE($F57,$G57,$I57,$J57,$K57,$L57,$M57,$N57)=""</formula>
    </cfRule>
    <cfRule type="expression" dxfId="299" priority="221">
      <formula>CONCATENATE($F57,$G57,$J57,$K57,$L57,$M57,$N57)=""</formula>
    </cfRule>
    <cfRule type="expression" dxfId="298" priority="222">
      <formula>CONCATENATE($G57,$J57,$K57,$L57,$M57)=""</formula>
    </cfRule>
  </conditionalFormatting>
  <conditionalFormatting sqref="K330">
    <cfRule type="expression" dxfId="297" priority="214">
      <formula>CONCATENATE($F330,$G330,$I330,$J330,$K330,$L330,$M330,$N330)=""</formula>
    </cfRule>
    <cfRule type="expression" dxfId="296" priority="215">
      <formula>CONCATENATE($F330,$G330,$J330,$K330,$L330,$M330,$N330)=""</formula>
    </cfRule>
    <cfRule type="expression" dxfId="295" priority="216">
      <formula>CONCATENATE($G330,$J330,$K330,$L330,$M330)=""</formula>
    </cfRule>
  </conditionalFormatting>
  <conditionalFormatting sqref="G283:G291">
    <cfRule type="expression" dxfId="294" priority="211">
      <formula>CONCATENATE($F283,$G283,$I283,$J283,$K283,$L283,$M283,$N283)=""</formula>
    </cfRule>
    <cfRule type="expression" dxfId="293" priority="212">
      <formula>CONCATENATE($F283,$G283,$J283,$K283,$L283,$M283,$N283)=""</formula>
    </cfRule>
    <cfRule type="expression" dxfId="292" priority="213">
      <formula>CONCATENATE($G283,$J283,$K283,$L283,$M283)=""</formula>
    </cfRule>
  </conditionalFormatting>
  <conditionalFormatting sqref="G292:G305">
    <cfRule type="expression" dxfId="291" priority="208">
      <formula>CONCATENATE($F292,$G292,$I292,$J292,$K292,$L292,$M292,$N292)=""</formula>
    </cfRule>
    <cfRule type="expression" dxfId="290" priority="209">
      <formula>CONCATENATE($F292,$G292,$J292,$K292,$L292,$M292,$N292)=""</formula>
    </cfRule>
    <cfRule type="expression" dxfId="289" priority="210">
      <formula>CONCATENATE($G292,$J292,$K292,$L292,$M292)=""</formula>
    </cfRule>
  </conditionalFormatting>
  <conditionalFormatting sqref="G102:G106">
    <cfRule type="expression" dxfId="288" priority="199">
      <formula>CONCATENATE($F102,$G102,$I102,$J102,$K102,$L102,$M102,$N102)=""</formula>
    </cfRule>
    <cfRule type="expression" dxfId="287" priority="200">
      <formula>CONCATENATE($F102,$G102,$J102,$K102,$L102,$M102,$N102)=""</formula>
    </cfRule>
    <cfRule type="expression" dxfId="286" priority="201">
      <formula>CONCATENATE($G102,$J102,$K102,$L102,$M102)=""</formula>
    </cfRule>
  </conditionalFormatting>
  <conditionalFormatting sqref="K102:K106">
    <cfRule type="expression" dxfId="285" priority="196">
      <formula>CONCATENATE($F102,$G102,$I102,$J102,$K102,$L102,$M102,$N102)=""</formula>
    </cfRule>
    <cfRule type="expression" dxfId="284" priority="197">
      <formula>CONCATENATE($F102,$G102,$J102,$K102,$L102,$M102,$N102)=""</formula>
    </cfRule>
    <cfRule type="expression" dxfId="283" priority="198">
      <formula>CONCATENATE($G102,$J102,$K102,$L102,$M102)=""</formula>
    </cfRule>
  </conditionalFormatting>
  <conditionalFormatting sqref="G111:G136">
    <cfRule type="expression" dxfId="282" priority="193">
      <formula>CONCATENATE($F111,$G111,$I111,$J111,$K111,$L111,$M111,$N111)=""</formula>
    </cfRule>
    <cfRule type="expression" dxfId="281" priority="194">
      <formula>CONCATENATE($F111,$G111,$J111,$K111,$L111,$M111,$N111)=""</formula>
    </cfRule>
    <cfRule type="expression" dxfId="280" priority="195">
      <formula>CONCATENATE($G111,$J111,$K111,$L111,$M111)=""</formula>
    </cfRule>
  </conditionalFormatting>
  <conditionalFormatting sqref="G138:G170">
    <cfRule type="expression" dxfId="279" priority="190">
      <formula>CONCATENATE($F138,$G138,$I138,$J138,$K138,$L138,$M138,$N138)=""</formula>
    </cfRule>
    <cfRule type="expression" dxfId="278" priority="191">
      <formula>CONCATENATE($F138,$G138,$J138,$K138,$L138,$M138,$N138)=""</formula>
    </cfRule>
    <cfRule type="expression" dxfId="277" priority="192">
      <formula>CONCATENATE($G138,$J138,$K138,$L138,$M138)=""</formula>
    </cfRule>
  </conditionalFormatting>
  <conditionalFormatting sqref="K111:K136">
    <cfRule type="expression" dxfId="276" priority="187">
      <formula>CONCATENATE($F111,$G111,$I111,$J111,$K111,$L111,$M111,$N111)=""</formula>
    </cfRule>
    <cfRule type="expression" dxfId="275" priority="188">
      <formula>CONCATENATE($F111,$G111,$J111,$K111,$L111,$M111,$N111)=""</formula>
    </cfRule>
    <cfRule type="expression" dxfId="274" priority="189">
      <formula>CONCATENATE($G111,$J111,$K111,$L111,$M111)=""</formula>
    </cfRule>
  </conditionalFormatting>
  <conditionalFormatting sqref="K138:K171">
    <cfRule type="expression" dxfId="273" priority="184">
      <formula>CONCATENATE($F138,$G138,$I138,$J138,$K138,$L138,$M138,$N138)=""</formula>
    </cfRule>
    <cfRule type="expression" dxfId="272" priority="185">
      <formula>CONCATENATE($F138,$G138,$J138,$K138,$L138,$M138,$N138)=""</formula>
    </cfRule>
    <cfRule type="expression" dxfId="271" priority="186">
      <formula>CONCATENATE($G138,$J138,$K138,$L138,$M138)=""</formula>
    </cfRule>
  </conditionalFormatting>
  <conditionalFormatting sqref="G173:G186">
    <cfRule type="expression" dxfId="270" priority="181">
      <formula>CONCATENATE($F173,$G173,$I173,$J173,$K173,$L173,$M173,$N173)=""</formula>
    </cfRule>
    <cfRule type="expression" dxfId="269" priority="182">
      <formula>CONCATENATE($F173,$G173,$J173,$K173,$L173,$M173,$N173)=""</formula>
    </cfRule>
    <cfRule type="expression" dxfId="268" priority="183">
      <formula>CONCATENATE($G173,$J173,$K173,$L173,$M173)=""</formula>
    </cfRule>
  </conditionalFormatting>
  <conditionalFormatting sqref="K173:K187">
    <cfRule type="expression" dxfId="267" priority="178">
      <formula>CONCATENATE($F173,$G173,$I173,$J173,$K173,$L173,$M173,$N173)=""</formula>
    </cfRule>
    <cfRule type="expression" dxfId="266" priority="179">
      <formula>CONCATENATE($F173,$G173,$J173,$K173,$L173,$M173,$N173)=""</formula>
    </cfRule>
    <cfRule type="expression" dxfId="265" priority="180">
      <formula>CONCATENATE($G173,$J173,$K173,$L173,$M173)=""</formula>
    </cfRule>
  </conditionalFormatting>
  <conditionalFormatting sqref="G259:G267">
    <cfRule type="expression" dxfId="264" priority="175">
      <formula>CONCATENATE($F259,$G259,$I259,$J259,$K259,$L259,$M259,$N259)=""</formula>
    </cfRule>
    <cfRule type="expression" dxfId="263" priority="176">
      <formula>CONCATENATE($F259,$G259,$J259,$K259,$L259,$M259,$N259)=""</formula>
    </cfRule>
    <cfRule type="expression" dxfId="262" priority="177">
      <formula>CONCATENATE($G259,$J259,$K259,$L259,$M259)=""</formula>
    </cfRule>
  </conditionalFormatting>
  <conditionalFormatting sqref="G270:G278">
    <cfRule type="expression" dxfId="261" priority="172">
      <formula>CONCATENATE($F270,$G270,$I270,$J270,$K270,$L270,$M270,$N270)=""</formula>
    </cfRule>
    <cfRule type="expression" dxfId="260" priority="173">
      <formula>CONCATENATE($F270,$G270,$J270,$K270,$L270,$M270,$N270)=""</formula>
    </cfRule>
    <cfRule type="expression" dxfId="259" priority="174">
      <formula>CONCATENATE($G270,$J270,$K270,$L270,$M270)=""</formula>
    </cfRule>
  </conditionalFormatting>
  <conditionalFormatting sqref="G309:G314">
    <cfRule type="expression" dxfId="258" priority="169">
      <formula>CONCATENATE($F309,$G309,$I309,$J309,$K309,$L309,$M309,$N309)=""</formula>
    </cfRule>
    <cfRule type="expression" dxfId="257" priority="170">
      <formula>CONCATENATE($F309,$G309,$J309,$K309,$L309,$M309,$N309)=""</formula>
    </cfRule>
    <cfRule type="expression" dxfId="256" priority="171">
      <formula>CONCATENATE($G309,$J309,$K309,$L309,$M309)=""</formula>
    </cfRule>
  </conditionalFormatting>
  <conditionalFormatting sqref="K309:K314">
    <cfRule type="expression" dxfId="255" priority="166">
      <formula>CONCATENATE($F309,$G309,$I309,$J309,$K309,$L309,$M309,$N309)=""</formula>
    </cfRule>
    <cfRule type="expression" dxfId="254" priority="167">
      <formula>CONCATENATE($F309,$G309,$J309,$K309,$L309,$M309,$N309)=""</formula>
    </cfRule>
    <cfRule type="expression" dxfId="253" priority="168">
      <formula>CONCATENATE($G309,$J309,$K309,$L309,$M309)=""</formula>
    </cfRule>
  </conditionalFormatting>
  <conditionalFormatting sqref="G317:G319">
    <cfRule type="expression" dxfId="252" priority="163">
      <formula>CONCATENATE($F317,$G317,$I317,$J317,$K317,$L317,$M317,$N317)=""</formula>
    </cfRule>
    <cfRule type="expression" dxfId="251" priority="164">
      <formula>CONCATENATE($F317,$G317,$J317,$K317,$L317,$M317,$N317)=""</formula>
    </cfRule>
    <cfRule type="expression" dxfId="250" priority="165">
      <formula>CONCATENATE($G317,$J317,$K317,$L317,$M317)=""</formula>
    </cfRule>
  </conditionalFormatting>
  <conditionalFormatting sqref="K317:K319">
    <cfRule type="expression" dxfId="249" priority="160">
      <formula>CONCATENATE($F317,$G317,$I317,$J317,$K317,$L317,$M317,$N317)=""</formula>
    </cfRule>
    <cfRule type="expression" dxfId="248" priority="161">
      <formula>CONCATENATE($F317,$G317,$J317,$K317,$L317,$M317,$N317)=""</formula>
    </cfRule>
    <cfRule type="expression" dxfId="247" priority="162">
      <formula>CONCATENATE($G317,$J317,$K317,$L317,$M317)=""</formula>
    </cfRule>
  </conditionalFormatting>
  <conditionalFormatting sqref="G322:G327">
    <cfRule type="expression" dxfId="246" priority="157">
      <formula>CONCATENATE($F322,$G322,$I322,$J322,$K322,$L322,$M322,$N322)=""</formula>
    </cfRule>
    <cfRule type="expression" dxfId="245" priority="158">
      <formula>CONCATENATE($F322,$G322,$J322,$K322,$L322,$M322,$N322)=""</formula>
    </cfRule>
    <cfRule type="expression" dxfId="244" priority="159">
      <formula>CONCATENATE($G322,$J322,$K322,$L322,$M322)=""</formula>
    </cfRule>
  </conditionalFormatting>
  <conditionalFormatting sqref="K322:K327">
    <cfRule type="expression" dxfId="243" priority="154">
      <formula>CONCATENATE($F322,$G322,$I322,$J322,$K322,$L322,$M322,$N322)=""</formula>
    </cfRule>
    <cfRule type="expression" dxfId="242" priority="155">
      <formula>CONCATENATE($F322,$G322,$J322,$K322,$L322,$M322,$N322)=""</formula>
    </cfRule>
    <cfRule type="expression" dxfId="241" priority="156">
      <formula>CONCATENATE($G322,$J322,$K322,$L322,$M322)=""</formula>
    </cfRule>
  </conditionalFormatting>
  <conditionalFormatting sqref="G330:G339">
    <cfRule type="expression" dxfId="240" priority="151">
      <formula>CONCATENATE($F330,$G330,$I330,$J330,$K330,$L330,$M330,$N330)=""</formula>
    </cfRule>
    <cfRule type="expression" dxfId="239" priority="152">
      <formula>CONCATENATE($F330,$G330,$J330,$K330,$L330,$M330,$N330)=""</formula>
    </cfRule>
    <cfRule type="expression" dxfId="238" priority="153">
      <formula>CONCATENATE($G330,$J330,$K330,$L330,$M330)=""</formula>
    </cfRule>
  </conditionalFormatting>
  <conditionalFormatting sqref="G29:G38">
    <cfRule type="expression" dxfId="237" priority="148">
      <formula>CONCATENATE($F29,$G29,$I29,$J29,$K29,$L29,$M29,$N29)=""</formula>
    </cfRule>
    <cfRule type="expression" dxfId="236" priority="149">
      <formula>CONCATENATE($F29,$G29,$J29,$K29,$L29,$M29,$N29)=""</formula>
    </cfRule>
    <cfRule type="expression" dxfId="235" priority="150">
      <formula>CONCATENATE($G29,$J29,$K29,$L29,$M29)=""</formula>
    </cfRule>
  </conditionalFormatting>
  <conditionalFormatting sqref="K95:K99">
    <cfRule type="expression" dxfId="234" priority="145">
      <formula>CONCATENATE($F95,$G95,$I95,$J95,$K95,$L95,$M95,$N95)=""</formula>
    </cfRule>
    <cfRule type="expression" dxfId="233" priority="146">
      <formula>CONCATENATE($F95,$G95,$J95,$K95,$L95,$M95,$N95)=""</formula>
    </cfRule>
    <cfRule type="expression" dxfId="232" priority="147">
      <formula>CONCATENATE($G95,$J95,$K95,$L95,$M95)=""</formula>
    </cfRule>
  </conditionalFormatting>
  <conditionalFormatting sqref="G95:G99">
    <cfRule type="expression" dxfId="231" priority="142">
      <formula>CONCATENATE($F95,$G95,$I95,$J95,$K95,$L95,$M95,$N95)=""</formula>
    </cfRule>
    <cfRule type="expression" dxfId="230" priority="143">
      <formula>CONCATENATE($F95,$G95,$J95,$K95,$L95,$M95,$N95)=""</formula>
    </cfRule>
    <cfRule type="expression" dxfId="229" priority="144">
      <formula>CONCATENATE($G95,$J95,$K95,$L95,$M95)=""</formula>
    </cfRule>
  </conditionalFormatting>
  <conditionalFormatting sqref="G89:G91">
    <cfRule type="expression" dxfId="228" priority="139">
      <formula>CONCATENATE($F89,$G89,$I89,$J89,$K89,$L89,$M89,$N89)=""</formula>
    </cfRule>
    <cfRule type="expression" dxfId="227" priority="140">
      <formula>CONCATENATE($F89,$G89,$J89,$K89,$L89,$M89,$N89)=""</formula>
    </cfRule>
    <cfRule type="expression" dxfId="226" priority="141">
      <formula>CONCATENATE($G89,$J89,$K89,$L89,$M89)=""</formula>
    </cfRule>
  </conditionalFormatting>
  <conditionalFormatting sqref="K89:K91">
    <cfRule type="expression" dxfId="225" priority="136">
      <formula>CONCATENATE($F89,$G89,$I89,$J89,$K89,$L89,$M89,$N89)=""</formula>
    </cfRule>
    <cfRule type="expression" dxfId="224" priority="137">
      <formula>CONCATENATE($F89,$G89,$J89,$K89,$L89,$M89,$N89)=""</formula>
    </cfRule>
    <cfRule type="expression" dxfId="223" priority="138">
      <formula>CONCATENATE($G89,$J89,$K89,$L89,$M89)=""</formula>
    </cfRule>
  </conditionalFormatting>
  <conditionalFormatting sqref="K86:K87">
    <cfRule type="expression" dxfId="222" priority="133">
      <formula>CONCATENATE($F86,$G86,$I86,$J86,$K86,$L86,$M86,$N86)=""</formula>
    </cfRule>
    <cfRule type="expression" dxfId="221" priority="134">
      <formula>CONCATENATE($F86,$G86,$J86,$K86,$L86,$M86,$N86)=""</formula>
    </cfRule>
    <cfRule type="expression" dxfId="220" priority="135">
      <formula>CONCATENATE($G86,$J86,$K86,$L86,$M86)=""</formula>
    </cfRule>
  </conditionalFormatting>
  <conditionalFormatting sqref="G86:G87">
    <cfRule type="expression" dxfId="219" priority="130">
      <formula>CONCATENATE($F86,$G86,$I86,$J86,$K86,$L86,$M86,$N86)=""</formula>
    </cfRule>
    <cfRule type="expression" dxfId="218" priority="131">
      <formula>CONCATENATE($F86,$G86,$J86,$K86,$L86,$M86,$N86)=""</formula>
    </cfRule>
    <cfRule type="expression" dxfId="217" priority="132">
      <formula>CONCATENATE($G86,$J86,$K86,$L86,$M86)=""</formula>
    </cfRule>
  </conditionalFormatting>
  <conditionalFormatting sqref="G76">
    <cfRule type="expression" dxfId="216" priority="127">
      <formula>CONCATENATE($F76,$G76,$I76,$J76,$K76,$L76,$M76,$N76)=""</formula>
    </cfRule>
    <cfRule type="expression" dxfId="215" priority="128">
      <formula>CONCATENATE($F76,$G76,$J76,$K76,$L76,$M76,$N76)=""</formula>
    </cfRule>
    <cfRule type="expression" dxfId="214" priority="129">
      <formula>CONCATENATE($G76,$J76,$K76,$L76,$M76)=""</formula>
    </cfRule>
  </conditionalFormatting>
  <conditionalFormatting sqref="G80:G82">
    <cfRule type="expression" dxfId="213" priority="124">
      <formula>CONCATENATE($F80,$G80,$I80,$J80,$K80,$L80,$M80,$N80)=""</formula>
    </cfRule>
    <cfRule type="expression" dxfId="212" priority="125">
      <formula>CONCATENATE($F80,$G80,$J80,$K80,$L80,$M80,$N80)=""</formula>
    </cfRule>
    <cfRule type="expression" dxfId="211" priority="126">
      <formula>CONCATENATE($G80,$J80,$K80,$L80,$M80)=""</formula>
    </cfRule>
  </conditionalFormatting>
  <conditionalFormatting sqref="K80:K82">
    <cfRule type="expression" dxfId="210" priority="121">
      <formula>CONCATENATE($F80,$G80,$I80,$J80,$K80,$L80,$M80,$N80)=""</formula>
    </cfRule>
    <cfRule type="expression" dxfId="209" priority="122">
      <formula>CONCATENATE($F80,$G80,$J80,$K80,$L80,$M80,$N80)=""</formula>
    </cfRule>
    <cfRule type="expression" dxfId="208" priority="123">
      <formula>CONCATENATE($G80,$J80,$K80,$L80,$M80)=""</formula>
    </cfRule>
  </conditionalFormatting>
  <conditionalFormatting sqref="G65:G69">
    <cfRule type="expression" dxfId="207" priority="115">
      <formula>CONCATENATE($F65,$G65,$I65,$J65,$K65,$L65,$M65,$N65)=""</formula>
    </cfRule>
    <cfRule type="expression" dxfId="206" priority="116">
      <formula>CONCATENATE($F65,$G65,$J65,$K65,$L65,$M65,$N65)=""</formula>
    </cfRule>
    <cfRule type="expression" dxfId="205" priority="117">
      <formula>CONCATENATE($G65,$J65,$K65,$L65,$M65)=""</formula>
    </cfRule>
  </conditionalFormatting>
  <conditionalFormatting sqref="K65:K69">
    <cfRule type="expression" dxfId="204" priority="112">
      <formula>CONCATENATE($F65,$G65,$I65,$J65,$K65,$L65,$M65,$N65)=""</formula>
    </cfRule>
    <cfRule type="expression" dxfId="203" priority="113">
      <formula>CONCATENATE($F65,$G65,$J65,$K65,$L65,$M65,$N65)=""</formula>
    </cfRule>
    <cfRule type="expression" dxfId="202" priority="114">
      <formula>CONCATENATE($G65,$J65,$K65,$L65,$M65)=""</formula>
    </cfRule>
  </conditionalFormatting>
  <conditionalFormatting sqref="K59:K63">
    <cfRule type="expression" dxfId="201" priority="109">
      <formula>CONCATENATE($F59,$G59,$I59,$J59,$K59,$L59,$M59,$N59)=""</formula>
    </cfRule>
    <cfRule type="expression" dxfId="200" priority="110">
      <formula>CONCATENATE($F59,$G59,$J59,$K59,$L59,$M59,$N59)=""</formula>
    </cfRule>
    <cfRule type="expression" dxfId="199" priority="111">
      <formula>CONCATENATE($G59,$J59,$K59,$L59,$M59)=""</formula>
    </cfRule>
  </conditionalFormatting>
  <conditionalFormatting sqref="G59:G63">
    <cfRule type="expression" dxfId="198" priority="106">
      <formula>CONCATENATE($F59,$G59,$I59,$J59,$K59,$L59,$M59,$N59)=""</formula>
    </cfRule>
    <cfRule type="expression" dxfId="197" priority="107">
      <formula>CONCATENATE($F59,$G59,$J59,$K59,$L59,$M59,$N59)=""</formula>
    </cfRule>
    <cfRule type="expression" dxfId="196" priority="108">
      <formula>CONCATENATE($G59,$J59,$K59,$L59,$M59)=""</formula>
    </cfRule>
  </conditionalFormatting>
  <conditionalFormatting sqref="K49:K57">
    <cfRule type="expression" dxfId="195" priority="103">
      <formula>CONCATENATE($F49,$G49,$I49,$J49,$K49,$L49,$M49,$N49)=""</formula>
    </cfRule>
    <cfRule type="expression" dxfId="194" priority="104">
      <formula>CONCATENATE($F49,$G49,$J49,$K49,$L49,$M49,$N49)=""</formula>
    </cfRule>
    <cfRule type="expression" dxfId="193" priority="105">
      <formula>CONCATENATE($G49,$J49,$K49,$L49,$M49)=""</formula>
    </cfRule>
  </conditionalFormatting>
  <conditionalFormatting sqref="G49:G57">
    <cfRule type="expression" dxfId="192" priority="100">
      <formula>CONCATENATE($F49,$G49,$I49,$J49,$K49,$L49,$M49,$N49)=""</formula>
    </cfRule>
    <cfRule type="expression" dxfId="191" priority="101">
      <formula>CONCATENATE($F49,$G49,$J49,$K49,$L49,$M49,$N49)=""</formula>
    </cfRule>
    <cfRule type="expression" dxfId="190" priority="102">
      <formula>CONCATENATE($G49,$J49,$K49,$L49,$M49)=""</formula>
    </cfRule>
  </conditionalFormatting>
  <conditionalFormatting sqref="K42:K45">
    <cfRule type="expression" dxfId="189" priority="97">
      <formula>CONCATENATE($F42,$G42,$I42,$J42,$K42,$L42,$M42,$N42)=""</formula>
    </cfRule>
    <cfRule type="expression" dxfId="188" priority="98">
      <formula>CONCATENATE($F42,$G42,$J42,$K42,$L42,$M42,$N42)=""</formula>
    </cfRule>
    <cfRule type="expression" dxfId="187" priority="99">
      <formula>CONCATENATE($G42,$J42,$K42,$L42,$M42)=""</formula>
    </cfRule>
  </conditionalFormatting>
  <conditionalFormatting sqref="G42:G44">
    <cfRule type="expression" dxfId="186" priority="94">
      <formula>CONCATENATE($F42,$G42,$I42,$J42,$K42,$L42,$M42,$N42)=""</formula>
    </cfRule>
    <cfRule type="expression" dxfId="185" priority="95">
      <formula>CONCATENATE($F42,$G42,$J42,$K42,$L42,$M42,$N42)=""</formula>
    </cfRule>
    <cfRule type="expression" dxfId="184" priority="96">
      <formula>CONCATENATE($G42,$J42,$K42,$L42,$M42)=""</formula>
    </cfRule>
  </conditionalFormatting>
  <conditionalFormatting sqref="G191">
    <cfRule type="expression" dxfId="183" priority="91">
      <formula>CONCATENATE($F191,$G191,$I191,$J191,$K191,$L191,$M191,$N191)=""</formula>
    </cfRule>
    <cfRule type="expression" dxfId="182" priority="92">
      <formula>CONCATENATE($F191,$G191,$J191,$K191,$L191,$M191,$N191)=""</formula>
    </cfRule>
    <cfRule type="expression" dxfId="181" priority="93">
      <formula>CONCATENATE($G191,$J191,$K191,$L191,$M191)=""</formula>
    </cfRule>
  </conditionalFormatting>
  <conditionalFormatting sqref="G193:G202">
    <cfRule type="expression" dxfId="180" priority="88">
      <formula>CONCATENATE($F193,$G193,$I193,$J193,$K193,$L193,$M193,$N193)=""</formula>
    </cfRule>
    <cfRule type="expression" dxfId="179" priority="89">
      <formula>CONCATENATE($F193,$G193,$J193,$K193,$L193,$M193,$N193)=""</formula>
    </cfRule>
    <cfRule type="expression" dxfId="178" priority="90">
      <formula>CONCATENATE($G193,$J193,$K193,$L193,$M193)=""</formula>
    </cfRule>
  </conditionalFormatting>
  <conditionalFormatting sqref="F203:N203">
    <cfRule type="expression" dxfId="177" priority="85">
      <formula>CONCATENATE($F203,$G203,$I203,$J203,$K203,$L203,$M203,$N203)=""</formula>
    </cfRule>
    <cfRule type="expression" dxfId="176" priority="86">
      <formula>CONCATENATE($F203,$G203,$J203,$K203,$L203,$M203,$N203)=""</formula>
    </cfRule>
    <cfRule type="expression" dxfId="175" priority="87">
      <formula>CONCATENATE($G203,$J203,$K203,$L203,$M203)=""</formula>
    </cfRule>
  </conditionalFormatting>
  <conditionalFormatting sqref="G204">
    <cfRule type="expression" dxfId="174" priority="82">
      <formula>CONCATENATE($F204,$G204,$I204,$J204,$K204,$L204,$M204,$N204)=""</formula>
    </cfRule>
    <cfRule type="expression" dxfId="173" priority="83">
      <formula>CONCATENATE($F204,$G204,$J204,$K204,$L204,$M204,$N204)=""</formula>
    </cfRule>
    <cfRule type="expression" dxfId="172" priority="84">
      <formula>CONCATENATE($G204,$J204,$K204,$L204,$M204)=""</formula>
    </cfRule>
  </conditionalFormatting>
  <conditionalFormatting sqref="F205:N205">
    <cfRule type="expression" dxfId="171" priority="79">
      <formula>CONCATENATE($F205,$G205,$I205,$J205,$K205,$L205,$M205,$N205)=""</formula>
    </cfRule>
    <cfRule type="expression" dxfId="170" priority="80">
      <formula>CONCATENATE($F205,$G205,$J205,$K205,$L205,$M205,$N205)=""</formula>
    </cfRule>
    <cfRule type="expression" dxfId="169" priority="81">
      <formula>CONCATENATE($G205,$J205,$K205,$L205,$M205)=""</formula>
    </cfRule>
  </conditionalFormatting>
  <conditionalFormatting sqref="F207">
    <cfRule type="expression" dxfId="168" priority="76">
      <formula>CONCATENATE($F207,$G207,$I207,$J207,$K207,$L207,$M207,$N207)=""</formula>
    </cfRule>
    <cfRule type="expression" dxfId="167" priority="77">
      <formula>CONCATENATE($F207,$G207,$J207,$K207,$L207,$M207,$N207)=""</formula>
    </cfRule>
    <cfRule type="expression" dxfId="166" priority="78">
      <formula>CONCATENATE($G207,$J207,$K207,$L207,$M207)=""</formula>
    </cfRule>
  </conditionalFormatting>
  <conditionalFormatting sqref="G206:G212">
    <cfRule type="expression" dxfId="165" priority="73">
      <formula>CONCATENATE($F206,$G206,$I206,$J206,$K206,$L206,$M206,$N206)=""</formula>
    </cfRule>
    <cfRule type="expression" dxfId="164" priority="74">
      <formula>CONCATENATE($F206,$G206,$J206,$K206,$L206,$M206,$N206)=""</formula>
    </cfRule>
    <cfRule type="expression" dxfId="163" priority="75">
      <formula>CONCATENATE($G206,$J206,$K206,$L206,$M206)=""</formula>
    </cfRule>
  </conditionalFormatting>
  <conditionalFormatting sqref="F213:N213">
    <cfRule type="expression" dxfId="162" priority="70">
      <formula>CONCATENATE($F213,$G213,$I213,$J213,$K213,$L213,$M213,$N213)=""</formula>
    </cfRule>
    <cfRule type="expression" dxfId="161" priority="71">
      <formula>CONCATENATE($F213,$G213,$J213,$K213,$L213,$M213,$N213)=""</formula>
    </cfRule>
    <cfRule type="expression" dxfId="160" priority="72">
      <formula>CONCATENATE($G213,$J213,$K213,$L213,$M213)=""</formula>
    </cfRule>
  </conditionalFormatting>
  <conditionalFormatting sqref="F71:M71">
    <cfRule type="expression" dxfId="159" priority="5356">
      <formula>CONCATENATE($F71,$G71,$I71,$J71,$K71,$L71,$M71,$N70)=""</formula>
    </cfRule>
    <cfRule type="expression" dxfId="158" priority="5357">
      <formula>CONCATENATE($F71,$G71,$J71,$K71,$L71,$M71,$N70)=""</formula>
    </cfRule>
    <cfRule type="expression" dxfId="157" priority="5358">
      <formula>CONCATENATE($G71,$J71,$K71,$L71,$M71)=""</formula>
    </cfRule>
  </conditionalFormatting>
  <conditionalFormatting sqref="N71">
    <cfRule type="expression" dxfId="156" priority="67">
      <formula>CONCATENATE($F71,$G71,$I71,$J71,$K71,$L71,$M71,$N71)=""</formula>
    </cfRule>
    <cfRule type="expression" dxfId="155" priority="68">
      <formula>CONCATENATE($F71,$G71,$J71,$K71,$L71,$M71,$N71)=""</formula>
    </cfRule>
    <cfRule type="expression" dxfId="154" priority="69">
      <formula>CONCATENATE($G71,$J71,$K71,$L71,$M71)=""</formula>
    </cfRule>
  </conditionalFormatting>
  <conditionalFormatting sqref="F70:N70">
    <cfRule type="expression" dxfId="153" priority="64">
      <formula>CONCATENATE($F70,$G70,$I70,$J70,$K70,$L70,$M70,$N70)=""</formula>
    </cfRule>
    <cfRule type="expression" dxfId="152" priority="65">
      <formula>CONCATENATE($F70,$G70,$J70,$K70,$L70,$M70,$N70)=""</formula>
    </cfRule>
    <cfRule type="expression" dxfId="151" priority="66">
      <formula>CONCATENATE($G70,$J70,$K70,$L70,$M70)=""</formula>
    </cfRule>
  </conditionalFormatting>
  <conditionalFormatting sqref="G214:G224">
    <cfRule type="expression" dxfId="150" priority="61">
      <formula>CONCATENATE($F214,$G214,$I214,$J214,$K214,$L214,$M214,$N214)=""</formula>
    </cfRule>
    <cfRule type="expression" dxfId="149" priority="62">
      <formula>CONCATENATE($F214,$G214,$J214,$K214,$L214,$M214,$N214)=""</formula>
    </cfRule>
    <cfRule type="expression" dxfId="148" priority="63">
      <formula>CONCATENATE($G214,$J214,$K214,$L214,$M214)=""</formula>
    </cfRule>
  </conditionalFormatting>
  <conditionalFormatting sqref="F225:N225">
    <cfRule type="expression" dxfId="147" priority="58">
      <formula>CONCATENATE($F225,$G225,$I225,$J225,$K225,$L225,$M225,$N225)=""</formula>
    </cfRule>
    <cfRule type="expression" dxfId="146" priority="59">
      <formula>CONCATENATE($F225,$G225,$J225,$K225,$L225,$M225,$N225)=""</formula>
    </cfRule>
    <cfRule type="expression" dxfId="145" priority="60">
      <formula>CONCATENATE($G225,$J225,$K225,$L225,$M225)=""</formula>
    </cfRule>
  </conditionalFormatting>
  <conditionalFormatting sqref="G226:G231">
    <cfRule type="expression" dxfId="144" priority="55">
      <formula>CONCATENATE($F226,$G226,$I226,$J226,$K226,$L226,$M226,$N226)=""</formula>
    </cfRule>
    <cfRule type="expression" dxfId="143" priority="56">
      <formula>CONCATENATE($F226,$G226,$J226,$K226,$L226,$M226,$N226)=""</formula>
    </cfRule>
    <cfRule type="expression" dxfId="142" priority="57">
      <formula>CONCATENATE($G226,$J226,$K226,$L226,$M226)=""</formula>
    </cfRule>
  </conditionalFormatting>
  <conditionalFormatting sqref="F232:N232">
    <cfRule type="expression" dxfId="141" priority="52">
      <formula>CONCATENATE($F232,$G232,$I232,$J232,$K232,$L232,$M232,$N232)=""</formula>
    </cfRule>
    <cfRule type="expression" dxfId="140" priority="53">
      <formula>CONCATENATE($F232,$G232,$J232,$K232,$L232,$M232,$N232)=""</formula>
    </cfRule>
    <cfRule type="expression" dxfId="139" priority="54">
      <formula>CONCATENATE($G232,$J232,$K232,$L232,$M232)=""</formula>
    </cfRule>
  </conditionalFormatting>
  <conditionalFormatting sqref="F234:N234">
    <cfRule type="expression" dxfId="138" priority="49">
      <formula>CONCATENATE($F234,$G234,$I234,$J234,$K234,$L234,$M234,$N234)=""</formula>
    </cfRule>
    <cfRule type="expression" dxfId="137" priority="50">
      <formula>CONCATENATE($F234,$G234,$J234,$K234,$L234,$M234,$N234)=""</formula>
    </cfRule>
    <cfRule type="expression" dxfId="136" priority="51">
      <formula>CONCATENATE($G234,$J234,$K234,$L234,$M234)=""</formula>
    </cfRule>
  </conditionalFormatting>
  <conditionalFormatting sqref="G233">
    <cfRule type="expression" dxfId="135" priority="43">
      <formula>CONCATENATE($F233,$G233,$I233,$J233,$K233,$L233,$M233,$N233)=""</formula>
    </cfRule>
    <cfRule type="expression" dxfId="134" priority="44">
      <formula>CONCATENATE($F233,$G233,$J233,$K233,$L233,$M233,$N233)=""</formula>
    </cfRule>
    <cfRule type="expression" dxfId="133" priority="45">
      <formula>CONCATENATE($G233,$J233,$K233,$L233,$M233)=""</formula>
    </cfRule>
  </conditionalFormatting>
  <conditionalFormatting sqref="G235:G236">
    <cfRule type="expression" dxfId="132" priority="40">
      <formula>CONCATENATE($F235,$G235,$I235,$J235,$K235,$L235,$M235,$N235)=""</formula>
    </cfRule>
    <cfRule type="expression" dxfId="131" priority="41">
      <formula>CONCATENATE($F235,$G235,$J235,$K235,$L235,$M235,$N235)=""</formula>
    </cfRule>
    <cfRule type="expression" dxfId="130" priority="42">
      <formula>CONCATENATE($G235,$J235,$K235,$L235,$M235)=""</formula>
    </cfRule>
  </conditionalFormatting>
  <conditionalFormatting sqref="F251:N251">
    <cfRule type="expression" dxfId="129" priority="37">
      <formula>CONCATENATE($F251,$G251,$I251,$J251,$K251,$L251,$M251,$N251)=""</formula>
    </cfRule>
    <cfRule type="expression" dxfId="128" priority="38">
      <formula>CONCATENATE($F251,$G251,$J251,$K251,$L251,$M251,$N251)=""</formula>
    </cfRule>
    <cfRule type="expression" dxfId="127" priority="39">
      <formula>CONCATENATE($G251,$J251,$K251,$L251,$M251)=""</formula>
    </cfRule>
  </conditionalFormatting>
  <conditionalFormatting sqref="F253:N253">
    <cfRule type="expression" dxfId="126" priority="34">
      <formula>CONCATENATE($F253,$G253,$I253,$J253,$K253,$L253,$M253,$N253)=""</formula>
    </cfRule>
    <cfRule type="expression" dxfId="125" priority="35">
      <formula>CONCATENATE($F253,$G253,$J253,$K253,$L253,$M253,$N253)=""</formula>
    </cfRule>
    <cfRule type="expression" dxfId="124" priority="36">
      <formula>CONCATENATE($G253,$J253,$K253,$L253,$M253)=""</formula>
    </cfRule>
  </conditionalFormatting>
  <conditionalFormatting sqref="G252">
    <cfRule type="expression" dxfId="123" priority="31">
      <formula>CONCATENATE($F252,$G252,$I252,$J252,$K252,$L252,$M252,$N252)=""</formula>
    </cfRule>
    <cfRule type="expression" dxfId="122" priority="32">
      <formula>CONCATENATE($F252,$G252,$J252,$K252,$L252,$M252,$N252)=""</formula>
    </cfRule>
    <cfRule type="expression" dxfId="121" priority="33">
      <formula>CONCATENATE($G252,$J252,$K252,$L252,$M252)=""</formula>
    </cfRule>
  </conditionalFormatting>
  <conditionalFormatting sqref="G254">
    <cfRule type="expression" dxfId="120" priority="28">
      <formula>CONCATENATE($F254,$G254,$I254,$J254,$K254,$L254,$M254,$N254)=""</formula>
    </cfRule>
    <cfRule type="expression" dxfId="119" priority="29">
      <formula>CONCATENATE($F254,$G254,$J254,$K254,$L254,$M254,$N254)=""</formula>
    </cfRule>
    <cfRule type="expression" dxfId="118" priority="30">
      <formula>CONCATENATE($G254,$J254,$K254,$L254,$M254)=""</formula>
    </cfRule>
  </conditionalFormatting>
  <conditionalFormatting sqref="F237:N237">
    <cfRule type="expression" dxfId="117" priority="25">
      <formula>CONCATENATE($F237,$G237,$I237,$J237,$K237,$L237,$M237,$N237)=""</formula>
    </cfRule>
    <cfRule type="expression" dxfId="116" priority="26">
      <formula>CONCATENATE($F237,$G237,$J237,$K237,$L237,$M237,$N237)=""</formula>
    </cfRule>
    <cfRule type="expression" dxfId="115" priority="27">
      <formula>CONCATENATE($G237,$J237,$K237,$L237,$M237)=""</formula>
    </cfRule>
  </conditionalFormatting>
  <conditionalFormatting sqref="H238:H244">
    <cfRule type="expression" dxfId="114" priority="22">
      <formula>CONCATENATE($F238,$G238,$I238,$J238,$K238,$L238,$M238,$N238)=""</formula>
    </cfRule>
    <cfRule type="expression" dxfId="113" priority="23">
      <formula>CONCATENATE($F238,$G238,$J238,$K238,$L238,$M238,$N238)=""</formula>
    </cfRule>
    <cfRule type="expression" dxfId="112" priority="24">
      <formula>CONCATENATE($G238,$J238,$K238,$L238,$M238)=""</formula>
    </cfRule>
  </conditionalFormatting>
  <conditionalFormatting sqref="I238:N244 F238:F244">
    <cfRule type="expression" dxfId="111" priority="19">
      <formula>CONCATENATE($F238,$G238,$I238,$J238,$K238,$L238,$M238,$N238)=""</formula>
    </cfRule>
    <cfRule type="expression" dxfId="110" priority="20">
      <formula>CONCATENATE($F238,$G238,$J238,$K238,$L238,$M238,$N238)=""</formula>
    </cfRule>
    <cfRule type="expression" dxfId="109" priority="21">
      <formula>CONCATENATE($G238,$J238,$K238,$L238,$M238)=""</formula>
    </cfRule>
  </conditionalFormatting>
  <conditionalFormatting sqref="H245:H250">
    <cfRule type="expression" dxfId="108" priority="13">
      <formula>CONCATENATE($F245,$G245,$I245,$J245,$K245,$L245,$M245,$N245)=""</formula>
    </cfRule>
    <cfRule type="expression" dxfId="107" priority="14">
      <formula>CONCATENATE($F245,$G245,$J245,$K245,$L245,$M245,$N245)=""</formula>
    </cfRule>
    <cfRule type="expression" dxfId="106" priority="15">
      <formula>CONCATENATE($G245,$J245,$K245,$L245,$M245)=""</formula>
    </cfRule>
  </conditionalFormatting>
  <conditionalFormatting sqref="I250:N250 F245:F250 I245:J249 L245:N249">
    <cfRule type="expression" dxfId="105" priority="10">
      <formula>CONCATENATE($F245,$G245,$I245,$J245,$K245,$L245,$M245,$N245)=""</formula>
    </cfRule>
    <cfRule type="expression" dxfId="104" priority="11">
      <formula>CONCATENATE($F245,$G245,$J245,$K245,$L245,$M245,$N245)=""</formula>
    </cfRule>
    <cfRule type="expression" dxfId="103" priority="12">
      <formula>CONCATENATE($G245,$J245,$K245,$L245,$M245)=""</formula>
    </cfRule>
  </conditionalFormatting>
  <conditionalFormatting sqref="G250">
    <cfRule type="expression" dxfId="102" priority="7">
      <formula>CONCATENATE($F250,$G250,$I250,$J250,$K250,$L250,$M250,$N250)=""</formula>
    </cfRule>
    <cfRule type="expression" dxfId="101" priority="8">
      <formula>CONCATENATE($F250,$G250,$J250,$K250,$L250,$M250,$N250)=""</formula>
    </cfRule>
    <cfRule type="expression" dxfId="100" priority="9">
      <formula>CONCATENATE($G250,$J250,$K250,$L250,$M250)=""</formula>
    </cfRule>
  </conditionalFormatting>
  <conditionalFormatting sqref="K245:K249">
    <cfRule type="expression" dxfId="99" priority="4">
      <formula>CONCATENATE($F245,$G245,$I245,$J245,$K245,$L245,$M245,$N245)=""</formula>
    </cfRule>
    <cfRule type="expression" dxfId="98" priority="5">
      <formula>CONCATENATE($F245,$G245,$J245,$K245,$L245,$M245,$N245)=""</formula>
    </cfRule>
    <cfRule type="expression" dxfId="97" priority="6">
      <formula>CONCATENATE($G245,$J245,$K245,$L245,$M245)=""</formula>
    </cfRule>
  </conditionalFormatting>
  <conditionalFormatting sqref="G238:G249">
    <cfRule type="expression" dxfId="96" priority="1">
      <formula>CONCATENATE($F238,$G238,$I238,$J238,$K238,$L238,$M238,$N238)=""</formula>
    </cfRule>
    <cfRule type="expression" dxfId="95" priority="2">
      <formula>CONCATENATE($F238,$G238,$J238,$K238,$L238,$M238,$N238)=""</formula>
    </cfRule>
    <cfRule type="expression" dxfId="94" priority="3">
      <formula>CONCATENATE($G238,$J238,$K238,$L238,$M238)=""</formula>
    </cfRule>
  </conditionalFormatting>
  <dataValidations disablePrompts="1" count="2">
    <dataValidation type="list" allowBlank="1" showInputMessage="1" showErrorMessage="1" sqref="M6" xr:uid="{00000000-0002-0000-0600-000000000000}">
      <formula1>$P$3:$P$4</formula1>
    </dataValidation>
    <dataValidation type="list" allowBlank="1" showInputMessage="1" showErrorMessage="1" sqref="Q2" xr:uid="{00000000-0002-0000-0600-000001000000}">
      <formula1>$O$3:$O$4</formula1>
    </dataValidation>
  </dataValidations>
  <hyperlinks>
    <hyperlink ref="G32" r:id="rId1" tooltip="Exibir Composição Analítica" display="https://app.orcafascio.com/v2023/orc/orcamentos/6464cc9ffde10a6f9efbca17/compositions/dffc1023-4b00-49a7-a937-beb9dddf96c2" xr:uid="{417BDED3-F343-4ECE-86E6-A2ACF7877ABE}"/>
    <hyperlink ref="G33" r:id="rId2" tooltip="Exibir Composição Analítica" display="https://app.orcafascio.com/v2023/orc/orcamentos/6464cc9ffde10a6f9efbca17/compositions/7c4b612c-37f4-42f5-a704-7516d2c60d7a" xr:uid="{D26DB951-C75B-4903-8633-A7DEDC9361D2}"/>
    <hyperlink ref="G34" r:id="rId3" tooltip="Exibir Composição Analítica" display="https://app.orcafascio.com/v2023/orc/orcamentos/6464cc9ffde10a6f9efbca17/compositions/42cbec49-f49c-4f61-8434-632026375d62" xr:uid="{103F9F03-A8DC-4A94-B479-AC8C1791DDE0}"/>
    <hyperlink ref="G36" r:id="rId4" tooltip="Exibir Composição Analítica" display="https://app.orcafascio.com/v2023/orc/orcamentos/6464cc9ffde10a6f9efbca17/compositions/4a4bc828-8c64-45d9-9ee9-a6c2567d9319" xr:uid="{441D2999-9DC1-42DD-B688-D15E6936484D}"/>
    <hyperlink ref="G37" r:id="rId5" tooltip="Exibir Composição Analítica" display="https://app.orcafascio.com/v2023/orc/orcamentos/6464cc9ffde10a6f9efbca17/compositions/c2462937-b794-423e-a8b6-45052d61a37e" xr:uid="{AC627E5D-8DF5-4265-887C-4051620975AB}"/>
    <hyperlink ref="G191" r:id="rId6" display="https://app.orcafascio.com/banco/sinapi/composicoes/65aeaac1400ea71e00fd4815?estado_sinapi=MT" xr:uid="{F30F6F56-A922-4FE8-B359-D5B376DA02B9}"/>
    <hyperlink ref="G194" r:id="rId7" display="https://app.orcafascio.com/banco/sinapi/composicoes/65aeaabf400ea71e00fd4653?estado_sinapi=MT" xr:uid="{B242EFE6-33AC-4D15-973F-D963888783C7}"/>
    <hyperlink ref="G195" r:id="rId8" display="https://app.orcafascio.com/banco/sinapi/composicoes/65aeaabf400ea71e00fd4654?estado_sinapi=MT" xr:uid="{9BCB3381-BF60-432B-857E-82CC49ECE2BC}"/>
    <hyperlink ref="G196" r:id="rId9" display="https://app.orcafascio.com/banco/sinapi/composicoes/65aeaabf400ea71e00fd464d?estado_sinapi=MT" xr:uid="{8A2C03A9-B112-4726-AC49-CEAE419FED10}"/>
    <hyperlink ref="G197" r:id="rId10" display="https://app.orcafascio.com/banco/sinapi/composicoes/65aeaabf400ea71e00fd464f?estado_sinapi=MT" xr:uid="{01C7FA60-B1AD-4B71-8408-D191F40101FA}"/>
    <hyperlink ref="G198" r:id="rId11" display="https://app.orcafascio.com/banco/sinapi/composicoes/65aeaabf400ea71e00fd4650?estado_sinapi=MT" xr:uid="{9A58092B-6432-448C-8150-4E632AE829A9}"/>
    <hyperlink ref="G199" r:id="rId12" display="https://app.orcafascio.com/banco/sinapi/composicoes/65aeaabf400ea71e00fd4647?estado_sinapi=MT" xr:uid="{2B40DAB5-6A00-40AE-8D08-B1014128F5AC}"/>
    <hyperlink ref="G201" r:id="rId13" display="https://app.orcafascio.com/banco/sinapi/composicoes/65aeaabf400ea71e00fd4642?estado_sinapi=MT" xr:uid="{937ECB94-8377-408C-8070-508D62AD920F}"/>
    <hyperlink ref="G202" r:id="rId14" display="https://app.orcafascio.com/banco/sinapi/composicoes/65aeaabf400ea71e00fd4644?estado_sinapi=MT" xr:uid="{0E8CE509-917B-4D2A-8ADE-D0221D5B0D2D}"/>
    <hyperlink ref="G206" r:id="rId15" display="https://app.orcafascio.com/banco/sinapi/composicoes/65aeaac0400ea71e00fd472d?estado_sinapi=MT" xr:uid="{87BB85A8-3484-4FF8-93D6-E04B0163D0FB}"/>
    <hyperlink ref="G209" r:id="rId16" display="https://app.orcafascio.com/banco/sinapi/composicoes/65aeaac0400ea71e00fd46f3?estado_sinapi=MT" xr:uid="{4FE812B2-3CA8-4728-AF9C-3A21BBA39BDB}"/>
    <hyperlink ref="G210" r:id="rId17" display="https://app.orcafascio.com/banco/sinapi/composicoes/65aeaac0400ea71e00fd4710?estado_sinapi=MT" xr:uid="{83F37697-87C0-44F7-AA8A-A0F344307D2E}"/>
    <hyperlink ref="G211" r:id="rId18" display="https://app.orcafascio.com/banco/sinapi/composicoes/65aeaac0400ea71e00fd470c?estado_sinapi=MT" xr:uid="{48567012-7F95-4D6B-979C-757BF25E0E91}"/>
    <hyperlink ref="G207" r:id="rId19" display="https://app.orcafascio.com/banco/sinapi/composicoes/65aeaac0400ea71e00fd4727?estado_sinapi=MT" xr:uid="{1C983FB1-1DBE-4DCD-ABD9-96F22A8F9A97}"/>
    <hyperlink ref="G208" r:id="rId20" display="https://app.orcafascio.com/banco/sinapi/composicoes/65aeaac0400ea71e00fd472b?estado_sinapi=MT" xr:uid="{E44A8276-CBD4-429F-96E2-5C82F63F0740}"/>
    <hyperlink ref="G212" r:id="rId21" display="https://app.orcafascio.com/banco/sinapi/composicoes/65aeaac0400ea71e00fd4731?estado_sinapi=MT" xr:uid="{75C1786D-798C-4435-AD34-98ACE21D3F6D}"/>
    <hyperlink ref="G214" r:id="rId22" display="https://app.orcafascio.com/banco/sinapi/composicoes/65aeaabf400ea71e00fd46a7?estado_sinapi=MT" xr:uid="{0B9B515B-236E-403D-9230-BFEB11EC52AE}"/>
    <hyperlink ref="G215" r:id="rId23" display="https://app.orcafascio.com/banco/sinapi/composicoes/65aeaac0400ea71e00fd46ae?estado_sinapi=MT" xr:uid="{3C1C8961-8FC5-4CC6-A1B4-A26F1E3C8BCA}"/>
    <hyperlink ref="G217" r:id="rId24" display="https://app.orcafascio.com/banco/sinapi/composicoes/65aeaac0400ea71e00fd46b7?estado_sinapi=MT" xr:uid="{4FB6E8F0-19F7-4D36-BC94-A7864AE630FF}"/>
    <hyperlink ref="G218" r:id="rId25" display="https://app.orcafascio.com/banco/sinapi/composicoes/65aeaac0400ea71e00fd46b9?estado_sinapi=MT" xr:uid="{A603B9A8-8427-4D71-9568-2498E6AF04B4}"/>
    <hyperlink ref="G220" r:id="rId26" display="https://app.orcafascio.com/banco/sinapi/composicoes/65aeaac0400ea71e00fd46ba?estado_sinapi=MT" xr:uid="{92B11CC2-AAA2-4337-909D-2F6649D15D26}"/>
    <hyperlink ref="G221" r:id="rId27" display="https://app.orcafascio.com/banco/sinapi/composicoes/65aeaac0400ea71e00fd46cf?estado_sinapi=MT" xr:uid="{9AA48ECC-6CC1-4EE5-BBEC-B81FC496A9A8}"/>
    <hyperlink ref="G219" r:id="rId28" display="https://app.orcafascio.com/banco/sinapi/composicoes/65aeaac0400ea71e00fd46b9?estado_sinapi=MT" xr:uid="{38908D61-581A-4955-AA5A-6DC51C2DE545}"/>
    <hyperlink ref="G228" r:id="rId29" display="https://app.orcafascio.com/banco/sinapi/composicoes/65aeaabf400ea71e00fd460a?estado_sinapi=MT" xr:uid="{D9126894-B338-4DA2-A890-A0BB2A6038F7}"/>
    <hyperlink ref="G229" r:id="rId30" display="https://app.orcafascio.com/banco/sinapi/composicoes/65aeaabe400ea71e00fd45e2?estado_sinapi=MT" xr:uid="{775D62CB-5198-4E0C-A54F-745055B8E00F}"/>
    <hyperlink ref="G230" r:id="rId31" display="https://app.orcafascio.com/banco/sinapi/composicoes/65aeaabf400ea71e00fd460b?estado_sinapi=MT" xr:uid="{65FBDF38-89AC-48E1-A336-A9277D555374}"/>
    <hyperlink ref="G231" r:id="rId32" display="https://app.orcafascio.com/banco/sinapi/composicoes/65aeaabf400ea71e00fd460c?estado_sinapi=MT" xr:uid="{53835508-3EC5-46AC-A624-874565891FB0}"/>
    <hyperlink ref="G240" r:id="rId33" display="https://app.orcafascio.com/banco/sinapi/composicoes/65aeaabf400ea71e00fd460a?estado_sinapi=MT" xr:uid="{309FF168-4016-4F6B-A856-36285AB55A7E}"/>
    <hyperlink ref="G241" r:id="rId34" display="https://app.orcafascio.com/banco/sinapi/composicoes/65aeaabe400ea71e00fd45e2?estado_sinapi=MT" xr:uid="{E987C1FE-F60D-4279-BD2C-DD08B3A81D81}"/>
    <hyperlink ref="G242" r:id="rId35" display="https://app.orcafascio.com/banco/sinapi/composicoes/65aeaabf400ea71e00fd460b?estado_sinapi=MT" xr:uid="{25885DAC-753B-43E5-9167-DF00B680B950}"/>
    <hyperlink ref="G243" r:id="rId36" display="https://app.orcafascio.com/banco/sinapi/composicoes/65aeaabf400ea71e00fd460c?estado_sinapi=MT" xr:uid="{53A21914-0E69-429E-BEC6-0BEB313DA3AF}"/>
    <hyperlink ref="G244" r:id="rId37" display="https://app.orcafascio.com/banco/sinapi/composicoes/65aeaabf400ea71e00fd460a?estado_sinapi=MT" xr:uid="{1C98370F-F7AD-4B92-9291-6868840A8D10}"/>
    <hyperlink ref="G56" r:id="rId38" display="https://app.orcafascio.com/banco/sinapi/composicoes/65f31bc9ec38b36943c0b4bb?estado_sinapi=MT" xr:uid="{B2A08CDA-9240-4FB6-8749-73C58ECA03DD}"/>
  </hyperlinks>
  <pageMargins left="0.511811024" right="0.511811024" top="0.78740157499999996" bottom="0.78740157499999996" header="0.31496062000000002" footer="0.31496062000000002"/>
  <pageSetup paperSize="9" scale="43" fitToHeight="0" orientation="portrait" r:id="rId39"/>
  <rowBreaks count="1" manualBreakCount="1">
    <brk id="69" min="5" max="13" man="1"/>
  </rowBreaks>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6">
    <tabColor theme="5" tint="0.39997558519241921"/>
    <pageSetUpPr fitToPage="1"/>
  </sheetPr>
  <dimension ref="A1:U253"/>
  <sheetViews>
    <sheetView view="pageBreakPreview" topLeftCell="A5" zoomScale="70" zoomScaleNormal="130" zoomScaleSheetLayoutView="70" workbookViewId="0">
      <selection activeCell="H2" sqref="H2"/>
    </sheetView>
  </sheetViews>
  <sheetFormatPr defaultRowHeight="12.75"/>
  <cols>
    <col min="1" max="1" width="3.85546875" style="284" customWidth="1"/>
    <col min="2" max="2" width="5.140625" style="284" customWidth="1"/>
    <col min="3" max="3" width="2.5703125" style="284" customWidth="1"/>
    <col min="4" max="4" width="2.5703125" style="2" customWidth="1"/>
    <col min="5" max="5" width="13" style="2" customWidth="1"/>
    <col min="6" max="6" width="10.42578125" style="1408" customWidth="1"/>
    <col min="7" max="7" width="18.7109375" style="1408" customWidth="1"/>
    <col min="8" max="8" width="81.7109375" style="1409" customWidth="1"/>
    <col min="9" max="9" width="12.42578125" style="1408" customWidth="1"/>
    <col min="10" max="10" width="12.85546875" style="1410" customWidth="1"/>
    <col min="11" max="11" width="13.5703125" style="1410" customWidth="1"/>
    <col min="12" max="12" width="12" style="1410" customWidth="1"/>
    <col min="13" max="13" width="23.140625" style="1410" bestFit="1" customWidth="1"/>
    <col min="14" max="14" width="14.140625" style="1411" bestFit="1" customWidth="1"/>
    <col min="15" max="15" width="20" style="1412" bestFit="1" customWidth="1"/>
    <col min="16" max="16" width="13.42578125" style="1411" bestFit="1" customWidth="1"/>
    <col min="17" max="17" width="16.85546875" style="807" bestFit="1" customWidth="1"/>
    <col min="18" max="18" width="29.28515625" style="283" bestFit="1" customWidth="1"/>
    <col min="19" max="19" width="30.42578125" style="284" bestFit="1" customWidth="1"/>
    <col min="20" max="20" width="23.85546875" style="284" customWidth="1"/>
    <col min="21" max="21" width="9.140625" style="284"/>
    <col min="22" max="22" width="13.85546875" style="284" bestFit="1" customWidth="1"/>
    <col min="23" max="262" width="9.140625" style="284"/>
    <col min="263" max="263" width="8" style="284" customWidth="1"/>
    <col min="264" max="264" width="10.5703125" style="284" customWidth="1"/>
    <col min="265" max="265" width="8.5703125" style="284" customWidth="1"/>
    <col min="266" max="266" width="14.42578125" style="284" customWidth="1"/>
    <col min="267" max="267" width="75.140625" style="284" customWidth="1"/>
    <col min="268" max="268" width="12.42578125" style="284" customWidth="1"/>
    <col min="269" max="269" width="10.140625" style="284" customWidth="1"/>
    <col min="270" max="270" width="13.5703125" style="284" customWidth="1"/>
    <col min="271" max="271" width="11.42578125" style="284" customWidth="1"/>
    <col min="272" max="272" width="19.28515625" style="284" bestFit="1" customWidth="1"/>
    <col min="273" max="273" width="34.85546875" style="284" customWidth="1"/>
    <col min="274" max="274" width="8" style="284" bestFit="1" customWidth="1"/>
    <col min="275" max="275" width="30.42578125" style="284" bestFit="1" customWidth="1"/>
    <col min="276" max="276" width="11.7109375" style="284" bestFit="1" customWidth="1"/>
    <col min="277" max="277" width="9.140625" style="284"/>
    <col min="278" max="278" width="13.85546875" style="284" bestFit="1" customWidth="1"/>
    <col min="279" max="518" width="9.140625" style="284"/>
    <col min="519" max="519" width="8" style="284" customWidth="1"/>
    <col min="520" max="520" width="10.5703125" style="284" customWidth="1"/>
    <col min="521" max="521" width="8.5703125" style="284" customWidth="1"/>
    <col min="522" max="522" width="14.42578125" style="284" customWidth="1"/>
    <col min="523" max="523" width="75.140625" style="284" customWidth="1"/>
    <col min="524" max="524" width="12.42578125" style="284" customWidth="1"/>
    <col min="525" max="525" width="10.140625" style="284" customWidth="1"/>
    <col min="526" max="526" width="13.5703125" style="284" customWidth="1"/>
    <col min="527" max="527" width="11.42578125" style="284" customWidth="1"/>
    <col min="528" max="528" width="19.28515625" style="284" bestFit="1" customWidth="1"/>
    <col min="529" max="529" width="34.85546875" style="284" customWidth="1"/>
    <col min="530" max="530" width="8" style="284" bestFit="1" customWidth="1"/>
    <col min="531" max="531" width="30.42578125" style="284" bestFit="1" customWidth="1"/>
    <col min="532" max="532" width="11.7109375" style="284" bestFit="1" customWidth="1"/>
    <col min="533" max="533" width="9.140625" style="284"/>
    <col min="534" max="534" width="13.85546875" style="284" bestFit="1" customWidth="1"/>
    <col min="535" max="774" width="9.140625" style="284"/>
    <col min="775" max="775" width="8" style="284" customWidth="1"/>
    <col min="776" max="776" width="10.5703125" style="284" customWidth="1"/>
    <col min="777" max="777" width="8.5703125" style="284" customWidth="1"/>
    <col min="778" max="778" width="14.42578125" style="284" customWidth="1"/>
    <col min="779" max="779" width="75.140625" style="284" customWidth="1"/>
    <col min="780" max="780" width="12.42578125" style="284" customWidth="1"/>
    <col min="781" max="781" width="10.140625" style="284" customWidth="1"/>
    <col min="782" max="782" width="13.5703125" style="284" customWidth="1"/>
    <col min="783" max="783" width="11.42578125" style="284" customWidth="1"/>
    <col min="784" max="784" width="19.28515625" style="284" bestFit="1" customWidth="1"/>
    <col min="785" max="785" width="34.85546875" style="284" customWidth="1"/>
    <col min="786" max="786" width="8" style="284" bestFit="1" customWidth="1"/>
    <col min="787" max="787" width="30.42578125" style="284" bestFit="1" customWidth="1"/>
    <col min="788" max="788" width="11.7109375" style="284" bestFit="1" customWidth="1"/>
    <col min="789" max="789" width="9.140625" style="284"/>
    <col min="790" max="790" width="13.85546875" style="284" bestFit="1" customWidth="1"/>
    <col min="791" max="1030" width="9.140625" style="284"/>
    <col min="1031" max="1031" width="8" style="284" customWidth="1"/>
    <col min="1032" max="1032" width="10.5703125" style="284" customWidth="1"/>
    <col min="1033" max="1033" width="8.5703125" style="284" customWidth="1"/>
    <col min="1034" max="1034" width="14.42578125" style="284" customWidth="1"/>
    <col min="1035" max="1035" width="75.140625" style="284" customWidth="1"/>
    <col min="1036" max="1036" width="12.42578125" style="284" customWidth="1"/>
    <col min="1037" max="1037" width="10.140625" style="284" customWidth="1"/>
    <col min="1038" max="1038" width="13.5703125" style="284" customWidth="1"/>
    <col min="1039" max="1039" width="11.42578125" style="284" customWidth="1"/>
    <col min="1040" max="1040" width="19.28515625" style="284" bestFit="1" customWidth="1"/>
    <col min="1041" max="1041" width="34.85546875" style="284" customWidth="1"/>
    <col min="1042" max="1042" width="8" style="284" bestFit="1" customWidth="1"/>
    <col min="1043" max="1043" width="30.42578125" style="284" bestFit="1" customWidth="1"/>
    <col min="1044" max="1044" width="11.7109375" style="284" bestFit="1" customWidth="1"/>
    <col min="1045" max="1045" width="9.140625" style="284"/>
    <col min="1046" max="1046" width="13.85546875" style="284" bestFit="1" customWidth="1"/>
    <col min="1047" max="1286" width="9.140625" style="284"/>
    <col min="1287" max="1287" width="8" style="284" customWidth="1"/>
    <col min="1288" max="1288" width="10.5703125" style="284" customWidth="1"/>
    <col min="1289" max="1289" width="8.5703125" style="284" customWidth="1"/>
    <col min="1290" max="1290" width="14.42578125" style="284" customWidth="1"/>
    <col min="1291" max="1291" width="75.140625" style="284" customWidth="1"/>
    <col min="1292" max="1292" width="12.42578125" style="284" customWidth="1"/>
    <col min="1293" max="1293" width="10.140625" style="284" customWidth="1"/>
    <col min="1294" max="1294" width="13.5703125" style="284" customWidth="1"/>
    <col min="1295" max="1295" width="11.42578125" style="284" customWidth="1"/>
    <col min="1296" max="1296" width="19.28515625" style="284" bestFit="1" customWidth="1"/>
    <col min="1297" max="1297" width="34.85546875" style="284" customWidth="1"/>
    <col min="1298" max="1298" width="8" style="284" bestFit="1" customWidth="1"/>
    <col min="1299" max="1299" width="30.42578125" style="284" bestFit="1" customWidth="1"/>
    <col min="1300" max="1300" width="11.7109375" style="284" bestFit="1" customWidth="1"/>
    <col min="1301" max="1301" width="9.140625" style="284"/>
    <col min="1302" max="1302" width="13.85546875" style="284" bestFit="1" customWidth="1"/>
    <col min="1303" max="1542" width="9.140625" style="284"/>
    <col min="1543" max="1543" width="8" style="284" customWidth="1"/>
    <col min="1544" max="1544" width="10.5703125" style="284" customWidth="1"/>
    <col min="1545" max="1545" width="8.5703125" style="284" customWidth="1"/>
    <col min="1546" max="1546" width="14.42578125" style="284" customWidth="1"/>
    <col min="1547" max="1547" width="75.140625" style="284" customWidth="1"/>
    <col min="1548" max="1548" width="12.42578125" style="284" customWidth="1"/>
    <col min="1549" max="1549" width="10.140625" style="284" customWidth="1"/>
    <col min="1550" max="1550" width="13.5703125" style="284" customWidth="1"/>
    <col min="1551" max="1551" width="11.42578125" style="284" customWidth="1"/>
    <col min="1552" max="1552" width="19.28515625" style="284" bestFit="1" customWidth="1"/>
    <col min="1553" max="1553" width="34.85546875" style="284" customWidth="1"/>
    <col min="1554" max="1554" width="8" style="284" bestFit="1" customWidth="1"/>
    <col min="1555" max="1555" width="30.42578125" style="284" bestFit="1" customWidth="1"/>
    <col min="1556" max="1556" width="11.7109375" style="284" bestFit="1" customWidth="1"/>
    <col min="1557" max="1557" width="9.140625" style="284"/>
    <col min="1558" max="1558" width="13.85546875" style="284" bestFit="1" customWidth="1"/>
    <col min="1559" max="1798" width="9.140625" style="284"/>
    <col min="1799" max="1799" width="8" style="284" customWidth="1"/>
    <col min="1800" max="1800" width="10.5703125" style="284" customWidth="1"/>
    <col min="1801" max="1801" width="8.5703125" style="284" customWidth="1"/>
    <col min="1802" max="1802" width="14.42578125" style="284" customWidth="1"/>
    <col min="1803" max="1803" width="75.140625" style="284" customWidth="1"/>
    <col min="1804" max="1804" width="12.42578125" style="284" customWidth="1"/>
    <col min="1805" max="1805" width="10.140625" style="284" customWidth="1"/>
    <col min="1806" max="1806" width="13.5703125" style="284" customWidth="1"/>
    <col min="1807" max="1807" width="11.42578125" style="284" customWidth="1"/>
    <col min="1808" max="1808" width="19.28515625" style="284" bestFit="1" customWidth="1"/>
    <col min="1809" max="1809" width="34.85546875" style="284" customWidth="1"/>
    <col min="1810" max="1810" width="8" style="284" bestFit="1" customWidth="1"/>
    <col min="1811" max="1811" width="30.42578125" style="284" bestFit="1" customWidth="1"/>
    <col min="1812" max="1812" width="11.7109375" style="284" bestFit="1" customWidth="1"/>
    <col min="1813" max="1813" width="9.140625" style="284"/>
    <col min="1814" max="1814" width="13.85546875" style="284" bestFit="1" customWidth="1"/>
    <col min="1815" max="2054" width="9.140625" style="284"/>
    <col min="2055" max="2055" width="8" style="284" customWidth="1"/>
    <col min="2056" max="2056" width="10.5703125" style="284" customWidth="1"/>
    <col min="2057" max="2057" width="8.5703125" style="284" customWidth="1"/>
    <col min="2058" max="2058" width="14.42578125" style="284" customWidth="1"/>
    <col min="2059" max="2059" width="75.140625" style="284" customWidth="1"/>
    <col min="2060" max="2060" width="12.42578125" style="284" customWidth="1"/>
    <col min="2061" max="2061" width="10.140625" style="284" customWidth="1"/>
    <col min="2062" max="2062" width="13.5703125" style="284" customWidth="1"/>
    <col min="2063" max="2063" width="11.42578125" style="284" customWidth="1"/>
    <col min="2064" max="2064" width="19.28515625" style="284" bestFit="1" customWidth="1"/>
    <col min="2065" max="2065" width="34.85546875" style="284" customWidth="1"/>
    <col min="2066" max="2066" width="8" style="284" bestFit="1" customWidth="1"/>
    <col min="2067" max="2067" width="30.42578125" style="284" bestFit="1" customWidth="1"/>
    <col min="2068" max="2068" width="11.7109375" style="284" bestFit="1" customWidth="1"/>
    <col min="2069" max="2069" width="9.140625" style="284"/>
    <col min="2070" max="2070" width="13.85546875" style="284" bestFit="1" customWidth="1"/>
    <col min="2071" max="2310" width="9.140625" style="284"/>
    <col min="2311" max="2311" width="8" style="284" customWidth="1"/>
    <col min="2312" max="2312" width="10.5703125" style="284" customWidth="1"/>
    <col min="2313" max="2313" width="8.5703125" style="284" customWidth="1"/>
    <col min="2314" max="2314" width="14.42578125" style="284" customWidth="1"/>
    <col min="2315" max="2315" width="75.140625" style="284" customWidth="1"/>
    <col min="2316" max="2316" width="12.42578125" style="284" customWidth="1"/>
    <col min="2317" max="2317" width="10.140625" style="284" customWidth="1"/>
    <col min="2318" max="2318" width="13.5703125" style="284" customWidth="1"/>
    <col min="2319" max="2319" width="11.42578125" style="284" customWidth="1"/>
    <col min="2320" max="2320" width="19.28515625" style="284" bestFit="1" customWidth="1"/>
    <col min="2321" max="2321" width="34.85546875" style="284" customWidth="1"/>
    <col min="2322" max="2322" width="8" style="284" bestFit="1" customWidth="1"/>
    <col min="2323" max="2323" width="30.42578125" style="284" bestFit="1" customWidth="1"/>
    <col min="2324" max="2324" width="11.7109375" style="284" bestFit="1" customWidth="1"/>
    <col min="2325" max="2325" width="9.140625" style="284"/>
    <col min="2326" max="2326" width="13.85546875" style="284" bestFit="1" customWidth="1"/>
    <col min="2327" max="2566" width="9.140625" style="284"/>
    <col min="2567" max="2567" width="8" style="284" customWidth="1"/>
    <col min="2568" max="2568" width="10.5703125" style="284" customWidth="1"/>
    <col min="2569" max="2569" width="8.5703125" style="284" customWidth="1"/>
    <col min="2570" max="2570" width="14.42578125" style="284" customWidth="1"/>
    <col min="2571" max="2571" width="75.140625" style="284" customWidth="1"/>
    <col min="2572" max="2572" width="12.42578125" style="284" customWidth="1"/>
    <col min="2573" max="2573" width="10.140625" style="284" customWidth="1"/>
    <col min="2574" max="2574" width="13.5703125" style="284" customWidth="1"/>
    <col min="2575" max="2575" width="11.42578125" style="284" customWidth="1"/>
    <col min="2576" max="2576" width="19.28515625" style="284" bestFit="1" customWidth="1"/>
    <col min="2577" max="2577" width="34.85546875" style="284" customWidth="1"/>
    <col min="2578" max="2578" width="8" style="284" bestFit="1" customWidth="1"/>
    <col min="2579" max="2579" width="30.42578125" style="284" bestFit="1" customWidth="1"/>
    <col min="2580" max="2580" width="11.7109375" style="284" bestFit="1" customWidth="1"/>
    <col min="2581" max="2581" width="9.140625" style="284"/>
    <col min="2582" max="2582" width="13.85546875" style="284" bestFit="1" customWidth="1"/>
    <col min="2583" max="2822" width="9.140625" style="284"/>
    <col min="2823" max="2823" width="8" style="284" customWidth="1"/>
    <col min="2824" max="2824" width="10.5703125" style="284" customWidth="1"/>
    <col min="2825" max="2825" width="8.5703125" style="284" customWidth="1"/>
    <col min="2826" max="2826" width="14.42578125" style="284" customWidth="1"/>
    <col min="2827" max="2827" width="75.140625" style="284" customWidth="1"/>
    <col min="2828" max="2828" width="12.42578125" style="284" customWidth="1"/>
    <col min="2829" max="2829" width="10.140625" style="284" customWidth="1"/>
    <col min="2830" max="2830" width="13.5703125" style="284" customWidth="1"/>
    <col min="2831" max="2831" width="11.42578125" style="284" customWidth="1"/>
    <col min="2832" max="2832" width="19.28515625" style="284" bestFit="1" customWidth="1"/>
    <col min="2833" max="2833" width="34.85546875" style="284" customWidth="1"/>
    <col min="2834" max="2834" width="8" style="284" bestFit="1" customWidth="1"/>
    <col min="2835" max="2835" width="30.42578125" style="284" bestFit="1" customWidth="1"/>
    <col min="2836" max="2836" width="11.7109375" style="284" bestFit="1" customWidth="1"/>
    <col min="2837" max="2837" width="9.140625" style="284"/>
    <col min="2838" max="2838" width="13.85546875" style="284" bestFit="1" customWidth="1"/>
    <col min="2839" max="3078" width="9.140625" style="284"/>
    <col min="3079" max="3079" width="8" style="284" customWidth="1"/>
    <col min="3080" max="3080" width="10.5703125" style="284" customWidth="1"/>
    <col min="3081" max="3081" width="8.5703125" style="284" customWidth="1"/>
    <col min="3082" max="3082" width="14.42578125" style="284" customWidth="1"/>
    <col min="3083" max="3083" width="75.140625" style="284" customWidth="1"/>
    <col min="3084" max="3084" width="12.42578125" style="284" customWidth="1"/>
    <col min="3085" max="3085" width="10.140625" style="284" customWidth="1"/>
    <col min="3086" max="3086" width="13.5703125" style="284" customWidth="1"/>
    <col min="3087" max="3087" width="11.42578125" style="284" customWidth="1"/>
    <col min="3088" max="3088" width="19.28515625" style="284" bestFit="1" customWidth="1"/>
    <col min="3089" max="3089" width="34.85546875" style="284" customWidth="1"/>
    <col min="3090" max="3090" width="8" style="284" bestFit="1" customWidth="1"/>
    <col min="3091" max="3091" width="30.42578125" style="284" bestFit="1" customWidth="1"/>
    <col min="3092" max="3092" width="11.7109375" style="284" bestFit="1" customWidth="1"/>
    <col min="3093" max="3093" width="9.140625" style="284"/>
    <col min="3094" max="3094" width="13.85546875" style="284" bestFit="1" customWidth="1"/>
    <col min="3095" max="3334" width="9.140625" style="284"/>
    <col min="3335" max="3335" width="8" style="284" customWidth="1"/>
    <col min="3336" max="3336" width="10.5703125" style="284" customWidth="1"/>
    <col min="3337" max="3337" width="8.5703125" style="284" customWidth="1"/>
    <col min="3338" max="3338" width="14.42578125" style="284" customWidth="1"/>
    <col min="3339" max="3339" width="75.140625" style="284" customWidth="1"/>
    <col min="3340" max="3340" width="12.42578125" style="284" customWidth="1"/>
    <col min="3341" max="3341" width="10.140625" style="284" customWidth="1"/>
    <col min="3342" max="3342" width="13.5703125" style="284" customWidth="1"/>
    <col min="3343" max="3343" width="11.42578125" style="284" customWidth="1"/>
    <col min="3344" max="3344" width="19.28515625" style="284" bestFit="1" customWidth="1"/>
    <col min="3345" max="3345" width="34.85546875" style="284" customWidth="1"/>
    <col min="3346" max="3346" width="8" style="284" bestFit="1" customWidth="1"/>
    <col min="3347" max="3347" width="30.42578125" style="284" bestFit="1" customWidth="1"/>
    <col min="3348" max="3348" width="11.7109375" style="284" bestFit="1" customWidth="1"/>
    <col min="3349" max="3349" width="9.140625" style="284"/>
    <col min="3350" max="3350" width="13.85546875" style="284" bestFit="1" customWidth="1"/>
    <col min="3351" max="3590" width="9.140625" style="284"/>
    <col min="3591" max="3591" width="8" style="284" customWidth="1"/>
    <col min="3592" max="3592" width="10.5703125" style="284" customWidth="1"/>
    <col min="3593" max="3593" width="8.5703125" style="284" customWidth="1"/>
    <col min="3594" max="3594" width="14.42578125" style="284" customWidth="1"/>
    <col min="3595" max="3595" width="75.140625" style="284" customWidth="1"/>
    <col min="3596" max="3596" width="12.42578125" style="284" customWidth="1"/>
    <col min="3597" max="3597" width="10.140625" style="284" customWidth="1"/>
    <col min="3598" max="3598" width="13.5703125" style="284" customWidth="1"/>
    <col min="3599" max="3599" width="11.42578125" style="284" customWidth="1"/>
    <col min="3600" max="3600" width="19.28515625" style="284" bestFit="1" customWidth="1"/>
    <col min="3601" max="3601" width="34.85546875" style="284" customWidth="1"/>
    <col min="3602" max="3602" width="8" style="284" bestFit="1" customWidth="1"/>
    <col min="3603" max="3603" width="30.42578125" style="284" bestFit="1" customWidth="1"/>
    <col min="3604" max="3604" width="11.7109375" style="284" bestFit="1" customWidth="1"/>
    <col min="3605" max="3605" width="9.140625" style="284"/>
    <col min="3606" max="3606" width="13.85546875" style="284" bestFit="1" customWidth="1"/>
    <col min="3607" max="3846" width="9.140625" style="284"/>
    <col min="3847" max="3847" width="8" style="284" customWidth="1"/>
    <col min="3848" max="3848" width="10.5703125" style="284" customWidth="1"/>
    <col min="3849" max="3849" width="8.5703125" style="284" customWidth="1"/>
    <col min="3850" max="3850" width="14.42578125" style="284" customWidth="1"/>
    <col min="3851" max="3851" width="75.140625" style="284" customWidth="1"/>
    <col min="3852" max="3852" width="12.42578125" style="284" customWidth="1"/>
    <col min="3853" max="3853" width="10.140625" style="284" customWidth="1"/>
    <col min="3854" max="3854" width="13.5703125" style="284" customWidth="1"/>
    <col min="3855" max="3855" width="11.42578125" style="284" customWidth="1"/>
    <col min="3856" max="3856" width="19.28515625" style="284" bestFit="1" customWidth="1"/>
    <col min="3857" max="3857" width="34.85546875" style="284" customWidth="1"/>
    <col min="3858" max="3858" width="8" style="284" bestFit="1" customWidth="1"/>
    <col min="3859" max="3859" width="30.42578125" style="284" bestFit="1" customWidth="1"/>
    <col min="3860" max="3860" width="11.7109375" style="284" bestFit="1" customWidth="1"/>
    <col min="3861" max="3861" width="9.140625" style="284"/>
    <col min="3862" max="3862" width="13.85546875" style="284" bestFit="1" customWidth="1"/>
    <col min="3863" max="4102" width="9.140625" style="284"/>
    <col min="4103" max="4103" width="8" style="284" customWidth="1"/>
    <col min="4104" max="4104" width="10.5703125" style="284" customWidth="1"/>
    <col min="4105" max="4105" width="8.5703125" style="284" customWidth="1"/>
    <col min="4106" max="4106" width="14.42578125" style="284" customWidth="1"/>
    <col min="4107" max="4107" width="75.140625" style="284" customWidth="1"/>
    <col min="4108" max="4108" width="12.42578125" style="284" customWidth="1"/>
    <col min="4109" max="4109" width="10.140625" style="284" customWidth="1"/>
    <col min="4110" max="4110" width="13.5703125" style="284" customWidth="1"/>
    <col min="4111" max="4111" width="11.42578125" style="284" customWidth="1"/>
    <col min="4112" max="4112" width="19.28515625" style="284" bestFit="1" customWidth="1"/>
    <col min="4113" max="4113" width="34.85546875" style="284" customWidth="1"/>
    <col min="4114" max="4114" width="8" style="284" bestFit="1" customWidth="1"/>
    <col min="4115" max="4115" width="30.42578125" style="284" bestFit="1" customWidth="1"/>
    <col min="4116" max="4116" width="11.7109375" style="284" bestFit="1" customWidth="1"/>
    <col min="4117" max="4117" width="9.140625" style="284"/>
    <col min="4118" max="4118" width="13.85546875" style="284" bestFit="1" customWidth="1"/>
    <col min="4119" max="4358" width="9.140625" style="284"/>
    <col min="4359" max="4359" width="8" style="284" customWidth="1"/>
    <col min="4360" max="4360" width="10.5703125" style="284" customWidth="1"/>
    <col min="4361" max="4361" width="8.5703125" style="284" customWidth="1"/>
    <col min="4362" max="4362" width="14.42578125" style="284" customWidth="1"/>
    <col min="4363" max="4363" width="75.140625" style="284" customWidth="1"/>
    <col min="4364" max="4364" width="12.42578125" style="284" customWidth="1"/>
    <col min="4365" max="4365" width="10.140625" style="284" customWidth="1"/>
    <col min="4366" max="4366" width="13.5703125" style="284" customWidth="1"/>
    <col min="4367" max="4367" width="11.42578125" style="284" customWidth="1"/>
    <col min="4368" max="4368" width="19.28515625" style="284" bestFit="1" customWidth="1"/>
    <col min="4369" max="4369" width="34.85546875" style="284" customWidth="1"/>
    <col min="4370" max="4370" width="8" style="284" bestFit="1" customWidth="1"/>
    <col min="4371" max="4371" width="30.42578125" style="284" bestFit="1" customWidth="1"/>
    <col min="4372" max="4372" width="11.7109375" style="284" bestFit="1" customWidth="1"/>
    <col min="4373" max="4373" width="9.140625" style="284"/>
    <col min="4374" max="4374" width="13.85546875" style="284" bestFit="1" customWidth="1"/>
    <col min="4375" max="4614" width="9.140625" style="284"/>
    <col min="4615" max="4615" width="8" style="284" customWidth="1"/>
    <col min="4616" max="4616" width="10.5703125" style="284" customWidth="1"/>
    <col min="4617" max="4617" width="8.5703125" style="284" customWidth="1"/>
    <col min="4618" max="4618" width="14.42578125" style="284" customWidth="1"/>
    <col min="4619" max="4619" width="75.140625" style="284" customWidth="1"/>
    <col min="4620" max="4620" width="12.42578125" style="284" customWidth="1"/>
    <col min="4621" max="4621" width="10.140625" style="284" customWidth="1"/>
    <col min="4622" max="4622" width="13.5703125" style="284" customWidth="1"/>
    <col min="4623" max="4623" width="11.42578125" style="284" customWidth="1"/>
    <col min="4624" max="4624" width="19.28515625" style="284" bestFit="1" customWidth="1"/>
    <col min="4625" max="4625" width="34.85546875" style="284" customWidth="1"/>
    <col min="4626" max="4626" width="8" style="284" bestFit="1" customWidth="1"/>
    <col min="4627" max="4627" width="30.42578125" style="284" bestFit="1" customWidth="1"/>
    <col min="4628" max="4628" width="11.7109375" style="284" bestFit="1" customWidth="1"/>
    <col min="4629" max="4629" width="9.140625" style="284"/>
    <col min="4630" max="4630" width="13.85546875" style="284" bestFit="1" customWidth="1"/>
    <col min="4631" max="4870" width="9.140625" style="284"/>
    <col min="4871" max="4871" width="8" style="284" customWidth="1"/>
    <col min="4872" max="4872" width="10.5703125" style="284" customWidth="1"/>
    <col min="4873" max="4873" width="8.5703125" style="284" customWidth="1"/>
    <col min="4874" max="4874" width="14.42578125" style="284" customWidth="1"/>
    <col min="4875" max="4875" width="75.140625" style="284" customWidth="1"/>
    <col min="4876" max="4876" width="12.42578125" style="284" customWidth="1"/>
    <col min="4877" max="4877" width="10.140625" style="284" customWidth="1"/>
    <col min="4878" max="4878" width="13.5703125" style="284" customWidth="1"/>
    <col min="4879" max="4879" width="11.42578125" style="284" customWidth="1"/>
    <col min="4880" max="4880" width="19.28515625" style="284" bestFit="1" customWidth="1"/>
    <col min="4881" max="4881" width="34.85546875" style="284" customWidth="1"/>
    <col min="4882" max="4882" width="8" style="284" bestFit="1" customWidth="1"/>
    <col min="4883" max="4883" width="30.42578125" style="284" bestFit="1" customWidth="1"/>
    <col min="4884" max="4884" width="11.7109375" style="284" bestFit="1" customWidth="1"/>
    <col min="4885" max="4885" width="9.140625" style="284"/>
    <col min="4886" max="4886" width="13.85546875" style="284" bestFit="1" customWidth="1"/>
    <col min="4887" max="5126" width="9.140625" style="284"/>
    <col min="5127" max="5127" width="8" style="284" customWidth="1"/>
    <col min="5128" max="5128" width="10.5703125" style="284" customWidth="1"/>
    <col min="5129" max="5129" width="8.5703125" style="284" customWidth="1"/>
    <col min="5130" max="5130" width="14.42578125" style="284" customWidth="1"/>
    <col min="5131" max="5131" width="75.140625" style="284" customWidth="1"/>
    <col min="5132" max="5132" width="12.42578125" style="284" customWidth="1"/>
    <col min="5133" max="5133" width="10.140625" style="284" customWidth="1"/>
    <col min="5134" max="5134" width="13.5703125" style="284" customWidth="1"/>
    <col min="5135" max="5135" width="11.42578125" style="284" customWidth="1"/>
    <col min="5136" max="5136" width="19.28515625" style="284" bestFit="1" customWidth="1"/>
    <col min="5137" max="5137" width="34.85546875" style="284" customWidth="1"/>
    <col min="5138" max="5138" width="8" style="284" bestFit="1" customWidth="1"/>
    <col min="5139" max="5139" width="30.42578125" style="284" bestFit="1" customWidth="1"/>
    <col min="5140" max="5140" width="11.7109375" style="284" bestFit="1" customWidth="1"/>
    <col min="5141" max="5141" width="9.140625" style="284"/>
    <col min="5142" max="5142" width="13.85546875" style="284" bestFit="1" customWidth="1"/>
    <col min="5143" max="5382" width="9.140625" style="284"/>
    <col min="5383" max="5383" width="8" style="284" customWidth="1"/>
    <col min="5384" max="5384" width="10.5703125" style="284" customWidth="1"/>
    <col min="5385" max="5385" width="8.5703125" style="284" customWidth="1"/>
    <col min="5386" max="5386" width="14.42578125" style="284" customWidth="1"/>
    <col min="5387" max="5387" width="75.140625" style="284" customWidth="1"/>
    <col min="5388" max="5388" width="12.42578125" style="284" customWidth="1"/>
    <col min="5389" max="5389" width="10.140625" style="284" customWidth="1"/>
    <col min="5390" max="5390" width="13.5703125" style="284" customWidth="1"/>
    <col min="5391" max="5391" width="11.42578125" style="284" customWidth="1"/>
    <col min="5392" max="5392" width="19.28515625" style="284" bestFit="1" customWidth="1"/>
    <col min="5393" max="5393" width="34.85546875" style="284" customWidth="1"/>
    <col min="5394" max="5394" width="8" style="284" bestFit="1" customWidth="1"/>
    <col min="5395" max="5395" width="30.42578125" style="284" bestFit="1" customWidth="1"/>
    <col min="5396" max="5396" width="11.7109375" style="284" bestFit="1" customWidth="1"/>
    <col min="5397" max="5397" width="9.140625" style="284"/>
    <col min="5398" max="5398" width="13.85546875" style="284" bestFit="1" customWidth="1"/>
    <col min="5399" max="5638" width="9.140625" style="284"/>
    <col min="5639" max="5639" width="8" style="284" customWidth="1"/>
    <col min="5640" max="5640" width="10.5703125" style="284" customWidth="1"/>
    <col min="5641" max="5641" width="8.5703125" style="284" customWidth="1"/>
    <col min="5642" max="5642" width="14.42578125" style="284" customWidth="1"/>
    <col min="5643" max="5643" width="75.140625" style="284" customWidth="1"/>
    <col min="5644" max="5644" width="12.42578125" style="284" customWidth="1"/>
    <col min="5645" max="5645" width="10.140625" style="284" customWidth="1"/>
    <col min="5646" max="5646" width="13.5703125" style="284" customWidth="1"/>
    <col min="5647" max="5647" width="11.42578125" style="284" customWidth="1"/>
    <col min="5648" max="5648" width="19.28515625" style="284" bestFit="1" customWidth="1"/>
    <col min="5649" max="5649" width="34.85546875" style="284" customWidth="1"/>
    <col min="5650" max="5650" width="8" style="284" bestFit="1" customWidth="1"/>
    <col min="5651" max="5651" width="30.42578125" style="284" bestFit="1" customWidth="1"/>
    <col min="5652" max="5652" width="11.7109375" style="284" bestFit="1" customWidth="1"/>
    <col min="5653" max="5653" width="9.140625" style="284"/>
    <col min="5654" max="5654" width="13.85546875" style="284" bestFit="1" customWidth="1"/>
    <col min="5655" max="5894" width="9.140625" style="284"/>
    <col min="5895" max="5895" width="8" style="284" customWidth="1"/>
    <col min="5896" max="5896" width="10.5703125" style="284" customWidth="1"/>
    <col min="5897" max="5897" width="8.5703125" style="284" customWidth="1"/>
    <col min="5898" max="5898" width="14.42578125" style="284" customWidth="1"/>
    <col min="5899" max="5899" width="75.140625" style="284" customWidth="1"/>
    <col min="5900" max="5900" width="12.42578125" style="284" customWidth="1"/>
    <col min="5901" max="5901" width="10.140625" style="284" customWidth="1"/>
    <col min="5902" max="5902" width="13.5703125" style="284" customWidth="1"/>
    <col min="5903" max="5903" width="11.42578125" style="284" customWidth="1"/>
    <col min="5904" max="5904" width="19.28515625" style="284" bestFit="1" customWidth="1"/>
    <col min="5905" max="5905" width="34.85546875" style="284" customWidth="1"/>
    <col min="5906" max="5906" width="8" style="284" bestFit="1" customWidth="1"/>
    <col min="5907" max="5907" width="30.42578125" style="284" bestFit="1" customWidth="1"/>
    <col min="5908" max="5908" width="11.7109375" style="284" bestFit="1" customWidth="1"/>
    <col min="5909" max="5909" width="9.140625" style="284"/>
    <col min="5910" max="5910" width="13.85546875" style="284" bestFit="1" customWidth="1"/>
    <col min="5911" max="6150" width="9.140625" style="284"/>
    <col min="6151" max="6151" width="8" style="284" customWidth="1"/>
    <col min="6152" max="6152" width="10.5703125" style="284" customWidth="1"/>
    <col min="6153" max="6153" width="8.5703125" style="284" customWidth="1"/>
    <col min="6154" max="6154" width="14.42578125" style="284" customWidth="1"/>
    <col min="6155" max="6155" width="75.140625" style="284" customWidth="1"/>
    <col min="6156" max="6156" width="12.42578125" style="284" customWidth="1"/>
    <col min="6157" max="6157" width="10.140625" style="284" customWidth="1"/>
    <col min="6158" max="6158" width="13.5703125" style="284" customWidth="1"/>
    <col min="6159" max="6159" width="11.42578125" style="284" customWidth="1"/>
    <col min="6160" max="6160" width="19.28515625" style="284" bestFit="1" customWidth="1"/>
    <col min="6161" max="6161" width="34.85546875" style="284" customWidth="1"/>
    <col min="6162" max="6162" width="8" style="284" bestFit="1" customWidth="1"/>
    <col min="6163" max="6163" width="30.42578125" style="284" bestFit="1" customWidth="1"/>
    <col min="6164" max="6164" width="11.7109375" style="284" bestFit="1" customWidth="1"/>
    <col min="6165" max="6165" width="9.140625" style="284"/>
    <col min="6166" max="6166" width="13.85546875" style="284" bestFit="1" customWidth="1"/>
    <col min="6167" max="6406" width="9.140625" style="284"/>
    <col min="6407" max="6407" width="8" style="284" customWidth="1"/>
    <col min="6408" max="6408" width="10.5703125" style="284" customWidth="1"/>
    <col min="6409" max="6409" width="8.5703125" style="284" customWidth="1"/>
    <col min="6410" max="6410" width="14.42578125" style="284" customWidth="1"/>
    <col min="6411" max="6411" width="75.140625" style="284" customWidth="1"/>
    <col min="6412" max="6412" width="12.42578125" style="284" customWidth="1"/>
    <col min="6413" max="6413" width="10.140625" style="284" customWidth="1"/>
    <col min="6414" max="6414" width="13.5703125" style="284" customWidth="1"/>
    <col min="6415" max="6415" width="11.42578125" style="284" customWidth="1"/>
    <col min="6416" max="6416" width="19.28515625" style="284" bestFit="1" customWidth="1"/>
    <col min="6417" max="6417" width="34.85546875" style="284" customWidth="1"/>
    <col min="6418" max="6418" width="8" style="284" bestFit="1" customWidth="1"/>
    <col min="6419" max="6419" width="30.42578125" style="284" bestFit="1" customWidth="1"/>
    <col min="6420" max="6420" width="11.7109375" style="284" bestFit="1" customWidth="1"/>
    <col min="6421" max="6421" width="9.140625" style="284"/>
    <col min="6422" max="6422" width="13.85546875" style="284" bestFit="1" customWidth="1"/>
    <col min="6423" max="6662" width="9.140625" style="284"/>
    <col min="6663" max="6663" width="8" style="284" customWidth="1"/>
    <col min="6664" max="6664" width="10.5703125" style="284" customWidth="1"/>
    <col min="6665" max="6665" width="8.5703125" style="284" customWidth="1"/>
    <col min="6666" max="6666" width="14.42578125" style="284" customWidth="1"/>
    <col min="6667" max="6667" width="75.140625" style="284" customWidth="1"/>
    <col min="6668" max="6668" width="12.42578125" style="284" customWidth="1"/>
    <col min="6669" max="6669" width="10.140625" style="284" customWidth="1"/>
    <col min="6670" max="6670" width="13.5703125" style="284" customWidth="1"/>
    <col min="6671" max="6671" width="11.42578125" style="284" customWidth="1"/>
    <col min="6672" max="6672" width="19.28515625" style="284" bestFit="1" customWidth="1"/>
    <col min="6673" max="6673" width="34.85546875" style="284" customWidth="1"/>
    <col min="6674" max="6674" width="8" style="284" bestFit="1" customWidth="1"/>
    <col min="6675" max="6675" width="30.42578125" style="284" bestFit="1" customWidth="1"/>
    <col min="6676" max="6676" width="11.7109375" style="284" bestFit="1" customWidth="1"/>
    <col min="6677" max="6677" width="9.140625" style="284"/>
    <col min="6678" max="6678" width="13.85546875" style="284" bestFit="1" customWidth="1"/>
    <col min="6679" max="6918" width="9.140625" style="284"/>
    <col min="6919" max="6919" width="8" style="284" customWidth="1"/>
    <col min="6920" max="6920" width="10.5703125" style="284" customWidth="1"/>
    <col min="6921" max="6921" width="8.5703125" style="284" customWidth="1"/>
    <col min="6922" max="6922" width="14.42578125" style="284" customWidth="1"/>
    <col min="6923" max="6923" width="75.140625" style="284" customWidth="1"/>
    <col min="6924" max="6924" width="12.42578125" style="284" customWidth="1"/>
    <col min="6925" max="6925" width="10.140625" style="284" customWidth="1"/>
    <col min="6926" max="6926" width="13.5703125" style="284" customWidth="1"/>
    <col min="6927" max="6927" width="11.42578125" style="284" customWidth="1"/>
    <col min="6928" max="6928" width="19.28515625" style="284" bestFit="1" customWidth="1"/>
    <col min="6929" max="6929" width="34.85546875" style="284" customWidth="1"/>
    <col min="6930" max="6930" width="8" style="284" bestFit="1" customWidth="1"/>
    <col min="6931" max="6931" width="30.42578125" style="284" bestFit="1" customWidth="1"/>
    <col min="6932" max="6932" width="11.7109375" style="284" bestFit="1" customWidth="1"/>
    <col min="6933" max="6933" width="9.140625" style="284"/>
    <col min="6934" max="6934" width="13.85546875" style="284" bestFit="1" customWidth="1"/>
    <col min="6935" max="7174" width="9.140625" style="284"/>
    <col min="7175" max="7175" width="8" style="284" customWidth="1"/>
    <col min="7176" max="7176" width="10.5703125" style="284" customWidth="1"/>
    <col min="7177" max="7177" width="8.5703125" style="284" customWidth="1"/>
    <col min="7178" max="7178" width="14.42578125" style="284" customWidth="1"/>
    <col min="7179" max="7179" width="75.140625" style="284" customWidth="1"/>
    <col min="7180" max="7180" width="12.42578125" style="284" customWidth="1"/>
    <col min="7181" max="7181" width="10.140625" style="284" customWidth="1"/>
    <col min="7182" max="7182" width="13.5703125" style="284" customWidth="1"/>
    <col min="7183" max="7183" width="11.42578125" style="284" customWidth="1"/>
    <col min="7184" max="7184" width="19.28515625" style="284" bestFit="1" customWidth="1"/>
    <col min="7185" max="7185" width="34.85546875" style="284" customWidth="1"/>
    <col min="7186" max="7186" width="8" style="284" bestFit="1" customWidth="1"/>
    <col min="7187" max="7187" width="30.42578125" style="284" bestFit="1" customWidth="1"/>
    <col min="7188" max="7188" width="11.7109375" style="284" bestFit="1" customWidth="1"/>
    <col min="7189" max="7189" width="9.140625" style="284"/>
    <col min="7190" max="7190" width="13.85546875" style="284" bestFit="1" customWidth="1"/>
    <col min="7191" max="7430" width="9.140625" style="284"/>
    <col min="7431" max="7431" width="8" style="284" customWidth="1"/>
    <col min="7432" max="7432" width="10.5703125" style="284" customWidth="1"/>
    <col min="7433" max="7433" width="8.5703125" style="284" customWidth="1"/>
    <col min="7434" max="7434" width="14.42578125" style="284" customWidth="1"/>
    <col min="7435" max="7435" width="75.140625" style="284" customWidth="1"/>
    <col min="7436" max="7436" width="12.42578125" style="284" customWidth="1"/>
    <col min="7437" max="7437" width="10.140625" style="284" customWidth="1"/>
    <col min="7438" max="7438" width="13.5703125" style="284" customWidth="1"/>
    <col min="7439" max="7439" width="11.42578125" style="284" customWidth="1"/>
    <col min="7440" max="7440" width="19.28515625" style="284" bestFit="1" customWidth="1"/>
    <col min="7441" max="7441" width="34.85546875" style="284" customWidth="1"/>
    <col min="7442" max="7442" width="8" style="284" bestFit="1" customWidth="1"/>
    <col min="7443" max="7443" width="30.42578125" style="284" bestFit="1" customWidth="1"/>
    <col min="7444" max="7444" width="11.7109375" style="284" bestFit="1" customWidth="1"/>
    <col min="7445" max="7445" width="9.140625" style="284"/>
    <col min="7446" max="7446" width="13.85546875" style="284" bestFit="1" customWidth="1"/>
    <col min="7447" max="7686" width="9.140625" style="284"/>
    <col min="7687" max="7687" width="8" style="284" customWidth="1"/>
    <col min="7688" max="7688" width="10.5703125" style="284" customWidth="1"/>
    <col min="7689" max="7689" width="8.5703125" style="284" customWidth="1"/>
    <col min="7690" max="7690" width="14.42578125" style="284" customWidth="1"/>
    <col min="7691" max="7691" width="75.140625" style="284" customWidth="1"/>
    <col min="7692" max="7692" width="12.42578125" style="284" customWidth="1"/>
    <col min="7693" max="7693" width="10.140625" style="284" customWidth="1"/>
    <col min="7694" max="7694" width="13.5703125" style="284" customWidth="1"/>
    <col min="7695" max="7695" width="11.42578125" style="284" customWidth="1"/>
    <col min="7696" max="7696" width="19.28515625" style="284" bestFit="1" customWidth="1"/>
    <col min="7697" max="7697" width="34.85546875" style="284" customWidth="1"/>
    <col min="7698" max="7698" width="8" style="284" bestFit="1" customWidth="1"/>
    <col min="7699" max="7699" width="30.42578125" style="284" bestFit="1" customWidth="1"/>
    <col min="7700" max="7700" width="11.7109375" style="284" bestFit="1" customWidth="1"/>
    <col min="7701" max="7701" width="9.140625" style="284"/>
    <col min="7702" max="7702" width="13.85546875" style="284" bestFit="1" customWidth="1"/>
    <col min="7703" max="7942" width="9.140625" style="284"/>
    <col min="7943" max="7943" width="8" style="284" customWidth="1"/>
    <col min="7944" max="7944" width="10.5703125" style="284" customWidth="1"/>
    <col min="7945" max="7945" width="8.5703125" style="284" customWidth="1"/>
    <col min="7946" max="7946" width="14.42578125" style="284" customWidth="1"/>
    <col min="7947" max="7947" width="75.140625" style="284" customWidth="1"/>
    <col min="7948" max="7948" width="12.42578125" style="284" customWidth="1"/>
    <col min="7949" max="7949" width="10.140625" style="284" customWidth="1"/>
    <col min="7950" max="7950" width="13.5703125" style="284" customWidth="1"/>
    <col min="7951" max="7951" width="11.42578125" style="284" customWidth="1"/>
    <col min="7952" max="7952" width="19.28515625" style="284" bestFit="1" customWidth="1"/>
    <col min="7953" max="7953" width="34.85546875" style="284" customWidth="1"/>
    <col min="7954" max="7954" width="8" style="284" bestFit="1" customWidth="1"/>
    <col min="7955" max="7955" width="30.42578125" style="284" bestFit="1" customWidth="1"/>
    <col min="7956" max="7956" width="11.7109375" style="284" bestFit="1" customWidth="1"/>
    <col min="7957" max="7957" width="9.140625" style="284"/>
    <col min="7958" max="7958" width="13.85546875" style="284" bestFit="1" customWidth="1"/>
    <col min="7959" max="8198" width="9.140625" style="284"/>
    <col min="8199" max="8199" width="8" style="284" customWidth="1"/>
    <col min="8200" max="8200" width="10.5703125" style="284" customWidth="1"/>
    <col min="8201" max="8201" width="8.5703125" style="284" customWidth="1"/>
    <col min="8202" max="8202" width="14.42578125" style="284" customWidth="1"/>
    <col min="8203" max="8203" width="75.140625" style="284" customWidth="1"/>
    <col min="8204" max="8204" width="12.42578125" style="284" customWidth="1"/>
    <col min="8205" max="8205" width="10.140625" style="284" customWidth="1"/>
    <col min="8206" max="8206" width="13.5703125" style="284" customWidth="1"/>
    <col min="8207" max="8207" width="11.42578125" style="284" customWidth="1"/>
    <col min="8208" max="8208" width="19.28515625" style="284" bestFit="1" customWidth="1"/>
    <col min="8209" max="8209" width="34.85546875" style="284" customWidth="1"/>
    <col min="8210" max="8210" width="8" style="284" bestFit="1" customWidth="1"/>
    <col min="8211" max="8211" width="30.42578125" style="284" bestFit="1" customWidth="1"/>
    <col min="8212" max="8212" width="11.7109375" style="284" bestFit="1" customWidth="1"/>
    <col min="8213" max="8213" width="9.140625" style="284"/>
    <col min="8214" max="8214" width="13.85546875" style="284" bestFit="1" customWidth="1"/>
    <col min="8215" max="8454" width="9.140625" style="284"/>
    <col min="8455" max="8455" width="8" style="284" customWidth="1"/>
    <col min="8456" max="8456" width="10.5703125" style="284" customWidth="1"/>
    <col min="8457" max="8457" width="8.5703125" style="284" customWidth="1"/>
    <col min="8458" max="8458" width="14.42578125" style="284" customWidth="1"/>
    <col min="8459" max="8459" width="75.140625" style="284" customWidth="1"/>
    <col min="8460" max="8460" width="12.42578125" style="284" customWidth="1"/>
    <col min="8461" max="8461" width="10.140625" style="284" customWidth="1"/>
    <col min="8462" max="8462" width="13.5703125" style="284" customWidth="1"/>
    <col min="8463" max="8463" width="11.42578125" style="284" customWidth="1"/>
    <col min="8464" max="8464" width="19.28515625" style="284" bestFit="1" customWidth="1"/>
    <col min="8465" max="8465" width="34.85546875" style="284" customWidth="1"/>
    <col min="8466" max="8466" width="8" style="284" bestFit="1" customWidth="1"/>
    <col min="8467" max="8467" width="30.42578125" style="284" bestFit="1" customWidth="1"/>
    <col min="8468" max="8468" width="11.7109375" style="284" bestFit="1" customWidth="1"/>
    <col min="8469" max="8469" width="9.140625" style="284"/>
    <col min="8470" max="8470" width="13.85546875" style="284" bestFit="1" customWidth="1"/>
    <col min="8471" max="8710" width="9.140625" style="284"/>
    <col min="8711" max="8711" width="8" style="284" customWidth="1"/>
    <col min="8712" max="8712" width="10.5703125" style="284" customWidth="1"/>
    <col min="8713" max="8713" width="8.5703125" style="284" customWidth="1"/>
    <col min="8714" max="8714" width="14.42578125" style="284" customWidth="1"/>
    <col min="8715" max="8715" width="75.140625" style="284" customWidth="1"/>
    <col min="8716" max="8716" width="12.42578125" style="284" customWidth="1"/>
    <col min="8717" max="8717" width="10.140625" style="284" customWidth="1"/>
    <col min="8718" max="8718" width="13.5703125" style="284" customWidth="1"/>
    <col min="8719" max="8719" width="11.42578125" style="284" customWidth="1"/>
    <col min="8720" max="8720" width="19.28515625" style="284" bestFit="1" customWidth="1"/>
    <col min="8721" max="8721" width="34.85546875" style="284" customWidth="1"/>
    <col min="8722" max="8722" width="8" style="284" bestFit="1" customWidth="1"/>
    <col min="8723" max="8723" width="30.42578125" style="284" bestFit="1" customWidth="1"/>
    <col min="8724" max="8724" width="11.7109375" style="284" bestFit="1" customWidth="1"/>
    <col min="8725" max="8725" width="9.140625" style="284"/>
    <col min="8726" max="8726" width="13.85546875" style="284" bestFit="1" customWidth="1"/>
    <col min="8727" max="8966" width="9.140625" style="284"/>
    <col min="8967" max="8967" width="8" style="284" customWidth="1"/>
    <col min="8968" max="8968" width="10.5703125" style="284" customWidth="1"/>
    <col min="8969" max="8969" width="8.5703125" style="284" customWidth="1"/>
    <col min="8970" max="8970" width="14.42578125" style="284" customWidth="1"/>
    <col min="8971" max="8971" width="75.140625" style="284" customWidth="1"/>
    <col min="8972" max="8972" width="12.42578125" style="284" customWidth="1"/>
    <col min="8973" max="8973" width="10.140625" style="284" customWidth="1"/>
    <col min="8974" max="8974" width="13.5703125" style="284" customWidth="1"/>
    <col min="8975" max="8975" width="11.42578125" style="284" customWidth="1"/>
    <col min="8976" max="8976" width="19.28515625" style="284" bestFit="1" customWidth="1"/>
    <col min="8977" max="8977" width="34.85546875" style="284" customWidth="1"/>
    <col min="8978" max="8978" width="8" style="284" bestFit="1" customWidth="1"/>
    <col min="8979" max="8979" width="30.42578125" style="284" bestFit="1" customWidth="1"/>
    <col min="8980" max="8980" width="11.7109375" style="284" bestFit="1" customWidth="1"/>
    <col min="8981" max="8981" width="9.140625" style="284"/>
    <col min="8982" max="8982" width="13.85546875" style="284" bestFit="1" customWidth="1"/>
    <col min="8983" max="9222" width="9.140625" style="284"/>
    <col min="9223" max="9223" width="8" style="284" customWidth="1"/>
    <col min="9224" max="9224" width="10.5703125" style="284" customWidth="1"/>
    <col min="9225" max="9225" width="8.5703125" style="284" customWidth="1"/>
    <col min="9226" max="9226" width="14.42578125" style="284" customWidth="1"/>
    <col min="9227" max="9227" width="75.140625" style="284" customWidth="1"/>
    <col min="9228" max="9228" width="12.42578125" style="284" customWidth="1"/>
    <col min="9229" max="9229" width="10.140625" style="284" customWidth="1"/>
    <col min="9230" max="9230" width="13.5703125" style="284" customWidth="1"/>
    <col min="9231" max="9231" width="11.42578125" style="284" customWidth="1"/>
    <col min="9232" max="9232" width="19.28515625" style="284" bestFit="1" customWidth="1"/>
    <col min="9233" max="9233" width="34.85546875" style="284" customWidth="1"/>
    <col min="9234" max="9234" width="8" style="284" bestFit="1" customWidth="1"/>
    <col min="9235" max="9235" width="30.42578125" style="284" bestFit="1" customWidth="1"/>
    <col min="9236" max="9236" width="11.7109375" style="284" bestFit="1" customWidth="1"/>
    <col min="9237" max="9237" width="9.140625" style="284"/>
    <col min="9238" max="9238" width="13.85546875" style="284" bestFit="1" customWidth="1"/>
    <col min="9239" max="9478" width="9.140625" style="284"/>
    <col min="9479" max="9479" width="8" style="284" customWidth="1"/>
    <col min="9480" max="9480" width="10.5703125" style="284" customWidth="1"/>
    <col min="9481" max="9481" width="8.5703125" style="284" customWidth="1"/>
    <col min="9482" max="9482" width="14.42578125" style="284" customWidth="1"/>
    <col min="9483" max="9483" width="75.140625" style="284" customWidth="1"/>
    <col min="9484" max="9484" width="12.42578125" style="284" customWidth="1"/>
    <col min="9485" max="9485" width="10.140625" style="284" customWidth="1"/>
    <col min="9486" max="9486" width="13.5703125" style="284" customWidth="1"/>
    <col min="9487" max="9487" width="11.42578125" style="284" customWidth="1"/>
    <col min="9488" max="9488" width="19.28515625" style="284" bestFit="1" customWidth="1"/>
    <col min="9489" max="9489" width="34.85546875" style="284" customWidth="1"/>
    <col min="9490" max="9490" width="8" style="284" bestFit="1" customWidth="1"/>
    <col min="9491" max="9491" width="30.42578125" style="284" bestFit="1" customWidth="1"/>
    <col min="9492" max="9492" width="11.7109375" style="284" bestFit="1" customWidth="1"/>
    <col min="9493" max="9493" width="9.140625" style="284"/>
    <col min="9494" max="9494" width="13.85546875" style="284" bestFit="1" customWidth="1"/>
    <col min="9495" max="9734" width="9.140625" style="284"/>
    <col min="9735" max="9735" width="8" style="284" customWidth="1"/>
    <col min="9736" max="9736" width="10.5703125" style="284" customWidth="1"/>
    <col min="9737" max="9737" width="8.5703125" style="284" customWidth="1"/>
    <col min="9738" max="9738" width="14.42578125" style="284" customWidth="1"/>
    <col min="9739" max="9739" width="75.140625" style="284" customWidth="1"/>
    <col min="9740" max="9740" width="12.42578125" style="284" customWidth="1"/>
    <col min="9741" max="9741" width="10.140625" style="284" customWidth="1"/>
    <col min="9742" max="9742" width="13.5703125" style="284" customWidth="1"/>
    <col min="9743" max="9743" width="11.42578125" style="284" customWidth="1"/>
    <col min="9744" max="9744" width="19.28515625" style="284" bestFit="1" customWidth="1"/>
    <col min="9745" max="9745" width="34.85546875" style="284" customWidth="1"/>
    <col min="9746" max="9746" width="8" style="284" bestFit="1" customWidth="1"/>
    <col min="9747" max="9747" width="30.42578125" style="284" bestFit="1" customWidth="1"/>
    <col min="9748" max="9748" width="11.7109375" style="284" bestFit="1" customWidth="1"/>
    <col min="9749" max="9749" width="9.140625" style="284"/>
    <col min="9750" max="9750" width="13.85546875" style="284" bestFit="1" customWidth="1"/>
    <col min="9751" max="9990" width="9.140625" style="284"/>
    <col min="9991" max="9991" width="8" style="284" customWidth="1"/>
    <col min="9992" max="9992" width="10.5703125" style="284" customWidth="1"/>
    <col min="9993" max="9993" width="8.5703125" style="284" customWidth="1"/>
    <col min="9994" max="9994" width="14.42578125" style="284" customWidth="1"/>
    <col min="9995" max="9995" width="75.140625" style="284" customWidth="1"/>
    <col min="9996" max="9996" width="12.42578125" style="284" customWidth="1"/>
    <col min="9997" max="9997" width="10.140625" style="284" customWidth="1"/>
    <col min="9998" max="9998" width="13.5703125" style="284" customWidth="1"/>
    <col min="9999" max="9999" width="11.42578125" style="284" customWidth="1"/>
    <col min="10000" max="10000" width="19.28515625" style="284" bestFit="1" customWidth="1"/>
    <col min="10001" max="10001" width="34.85546875" style="284" customWidth="1"/>
    <col min="10002" max="10002" width="8" style="284" bestFit="1" customWidth="1"/>
    <col min="10003" max="10003" width="30.42578125" style="284" bestFit="1" customWidth="1"/>
    <col min="10004" max="10004" width="11.7109375" style="284" bestFit="1" customWidth="1"/>
    <col min="10005" max="10005" width="9.140625" style="284"/>
    <col min="10006" max="10006" width="13.85546875" style="284" bestFit="1" customWidth="1"/>
    <col min="10007" max="10246" width="9.140625" style="284"/>
    <col min="10247" max="10247" width="8" style="284" customWidth="1"/>
    <col min="10248" max="10248" width="10.5703125" style="284" customWidth="1"/>
    <col min="10249" max="10249" width="8.5703125" style="284" customWidth="1"/>
    <col min="10250" max="10250" width="14.42578125" style="284" customWidth="1"/>
    <col min="10251" max="10251" width="75.140625" style="284" customWidth="1"/>
    <col min="10252" max="10252" width="12.42578125" style="284" customWidth="1"/>
    <col min="10253" max="10253" width="10.140625" style="284" customWidth="1"/>
    <col min="10254" max="10254" width="13.5703125" style="284" customWidth="1"/>
    <col min="10255" max="10255" width="11.42578125" style="284" customWidth="1"/>
    <col min="10256" max="10256" width="19.28515625" style="284" bestFit="1" customWidth="1"/>
    <col min="10257" max="10257" width="34.85546875" style="284" customWidth="1"/>
    <col min="10258" max="10258" width="8" style="284" bestFit="1" customWidth="1"/>
    <col min="10259" max="10259" width="30.42578125" style="284" bestFit="1" customWidth="1"/>
    <col min="10260" max="10260" width="11.7109375" style="284" bestFit="1" customWidth="1"/>
    <col min="10261" max="10261" width="9.140625" style="284"/>
    <col min="10262" max="10262" width="13.85546875" style="284" bestFit="1" customWidth="1"/>
    <col min="10263" max="10502" width="9.140625" style="284"/>
    <col min="10503" max="10503" width="8" style="284" customWidth="1"/>
    <col min="10504" max="10504" width="10.5703125" style="284" customWidth="1"/>
    <col min="10505" max="10505" width="8.5703125" style="284" customWidth="1"/>
    <col min="10506" max="10506" width="14.42578125" style="284" customWidth="1"/>
    <col min="10507" max="10507" width="75.140625" style="284" customWidth="1"/>
    <col min="10508" max="10508" width="12.42578125" style="284" customWidth="1"/>
    <col min="10509" max="10509" width="10.140625" style="284" customWidth="1"/>
    <col min="10510" max="10510" width="13.5703125" style="284" customWidth="1"/>
    <col min="10511" max="10511" width="11.42578125" style="284" customWidth="1"/>
    <col min="10512" max="10512" width="19.28515625" style="284" bestFit="1" customWidth="1"/>
    <col min="10513" max="10513" width="34.85546875" style="284" customWidth="1"/>
    <col min="10514" max="10514" width="8" style="284" bestFit="1" customWidth="1"/>
    <col min="10515" max="10515" width="30.42578125" style="284" bestFit="1" customWidth="1"/>
    <col min="10516" max="10516" width="11.7109375" style="284" bestFit="1" customWidth="1"/>
    <col min="10517" max="10517" width="9.140625" style="284"/>
    <col min="10518" max="10518" width="13.85546875" style="284" bestFit="1" customWidth="1"/>
    <col min="10519" max="10758" width="9.140625" style="284"/>
    <col min="10759" max="10759" width="8" style="284" customWidth="1"/>
    <col min="10760" max="10760" width="10.5703125" style="284" customWidth="1"/>
    <col min="10761" max="10761" width="8.5703125" style="284" customWidth="1"/>
    <col min="10762" max="10762" width="14.42578125" style="284" customWidth="1"/>
    <col min="10763" max="10763" width="75.140625" style="284" customWidth="1"/>
    <col min="10764" max="10764" width="12.42578125" style="284" customWidth="1"/>
    <col min="10765" max="10765" width="10.140625" style="284" customWidth="1"/>
    <col min="10766" max="10766" width="13.5703125" style="284" customWidth="1"/>
    <col min="10767" max="10767" width="11.42578125" style="284" customWidth="1"/>
    <col min="10768" max="10768" width="19.28515625" style="284" bestFit="1" customWidth="1"/>
    <col min="10769" max="10769" width="34.85546875" style="284" customWidth="1"/>
    <col min="10770" max="10770" width="8" style="284" bestFit="1" customWidth="1"/>
    <col min="10771" max="10771" width="30.42578125" style="284" bestFit="1" customWidth="1"/>
    <col min="10772" max="10772" width="11.7109375" style="284" bestFit="1" customWidth="1"/>
    <col min="10773" max="10773" width="9.140625" style="284"/>
    <col min="10774" max="10774" width="13.85546875" style="284" bestFit="1" customWidth="1"/>
    <col min="10775" max="11014" width="9.140625" style="284"/>
    <col min="11015" max="11015" width="8" style="284" customWidth="1"/>
    <col min="11016" max="11016" width="10.5703125" style="284" customWidth="1"/>
    <col min="11017" max="11017" width="8.5703125" style="284" customWidth="1"/>
    <col min="11018" max="11018" width="14.42578125" style="284" customWidth="1"/>
    <col min="11019" max="11019" width="75.140625" style="284" customWidth="1"/>
    <col min="11020" max="11020" width="12.42578125" style="284" customWidth="1"/>
    <col min="11021" max="11021" width="10.140625" style="284" customWidth="1"/>
    <col min="11022" max="11022" width="13.5703125" style="284" customWidth="1"/>
    <col min="11023" max="11023" width="11.42578125" style="284" customWidth="1"/>
    <col min="11024" max="11024" width="19.28515625" style="284" bestFit="1" customWidth="1"/>
    <col min="11025" max="11025" width="34.85546875" style="284" customWidth="1"/>
    <col min="11026" max="11026" width="8" style="284" bestFit="1" customWidth="1"/>
    <col min="11027" max="11027" width="30.42578125" style="284" bestFit="1" customWidth="1"/>
    <col min="11028" max="11028" width="11.7109375" style="284" bestFit="1" customWidth="1"/>
    <col min="11029" max="11029" width="9.140625" style="284"/>
    <col min="11030" max="11030" width="13.85546875" style="284" bestFit="1" customWidth="1"/>
    <col min="11031" max="11270" width="9.140625" style="284"/>
    <col min="11271" max="11271" width="8" style="284" customWidth="1"/>
    <col min="11272" max="11272" width="10.5703125" style="284" customWidth="1"/>
    <col min="11273" max="11273" width="8.5703125" style="284" customWidth="1"/>
    <col min="11274" max="11274" width="14.42578125" style="284" customWidth="1"/>
    <col min="11275" max="11275" width="75.140625" style="284" customWidth="1"/>
    <col min="11276" max="11276" width="12.42578125" style="284" customWidth="1"/>
    <col min="11277" max="11277" width="10.140625" style="284" customWidth="1"/>
    <col min="11278" max="11278" width="13.5703125" style="284" customWidth="1"/>
    <col min="11279" max="11279" width="11.42578125" style="284" customWidth="1"/>
    <col min="11280" max="11280" width="19.28515625" style="284" bestFit="1" customWidth="1"/>
    <col min="11281" max="11281" width="34.85546875" style="284" customWidth="1"/>
    <col min="11282" max="11282" width="8" style="284" bestFit="1" customWidth="1"/>
    <col min="11283" max="11283" width="30.42578125" style="284" bestFit="1" customWidth="1"/>
    <col min="11284" max="11284" width="11.7109375" style="284" bestFit="1" customWidth="1"/>
    <col min="11285" max="11285" width="9.140625" style="284"/>
    <col min="11286" max="11286" width="13.85546875" style="284" bestFit="1" customWidth="1"/>
    <col min="11287" max="11526" width="9.140625" style="284"/>
    <col min="11527" max="11527" width="8" style="284" customWidth="1"/>
    <col min="11528" max="11528" width="10.5703125" style="284" customWidth="1"/>
    <col min="11529" max="11529" width="8.5703125" style="284" customWidth="1"/>
    <col min="11530" max="11530" width="14.42578125" style="284" customWidth="1"/>
    <col min="11531" max="11531" width="75.140625" style="284" customWidth="1"/>
    <col min="11532" max="11532" width="12.42578125" style="284" customWidth="1"/>
    <col min="11533" max="11533" width="10.140625" style="284" customWidth="1"/>
    <col min="11534" max="11534" width="13.5703125" style="284" customWidth="1"/>
    <col min="11535" max="11535" width="11.42578125" style="284" customWidth="1"/>
    <col min="11536" max="11536" width="19.28515625" style="284" bestFit="1" customWidth="1"/>
    <col min="11537" max="11537" width="34.85546875" style="284" customWidth="1"/>
    <col min="11538" max="11538" width="8" style="284" bestFit="1" customWidth="1"/>
    <col min="11539" max="11539" width="30.42578125" style="284" bestFit="1" customWidth="1"/>
    <col min="11540" max="11540" width="11.7109375" style="284" bestFit="1" customWidth="1"/>
    <col min="11541" max="11541" width="9.140625" style="284"/>
    <col min="11542" max="11542" width="13.85546875" style="284" bestFit="1" customWidth="1"/>
    <col min="11543" max="11782" width="9.140625" style="284"/>
    <col min="11783" max="11783" width="8" style="284" customWidth="1"/>
    <col min="11784" max="11784" width="10.5703125" style="284" customWidth="1"/>
    <col min="11785" max="11785" width="8.5703125" style="284" customWidth="1"/>
    <col min="11786" max="11786" width="14.42578125" style="284" customWidth="1"/>
    <col min="11787" max="11787" width="75.140625" style="284" customWidth="1"/>
    <col min="11788" max="11788" width="12.42578125" style="284" customWidth="1"/>
    <col min="11789" max="11789" width="10.140625" style="284" customWidth="1"/>
    <col min="11790" max="11790" width="13.5703125" style="284" customWidth="1"/>
    <col min="11791" max="11791" width="11.42578125" style="284" customWidth="1"/>
    <col min="11792" max="11792" width="19.28515625" style="284" bestFit="1" customWidth="1"/>
    <col min="11793" max="11793" width="34.85546875" style="284" customWidth="1"/>
    <col min="11794" max="11794" width="8" style="284" bestFit="1" customWidth="1"/>
    <col min="11795" max="11795" width="30.42578125" style="284" bestFit="1" customWidth="1"/>
    <col min="11796" max="11796" width="11.7109375" style="284" bestFit="1" customWidth="1"/>
    <col min="11797" max="11797" width="9.140625" style="284"/>
    <col min="11798" max="11798" width="13.85546875" style="284" bestFit="1" customWidth="1"/>
    <col min="11799" max="12038" width="9.140625" style="284"/>
    <col min="12039" max="12039" width="8" style="284" customWidth="1"/>
    <col min="12040" max="12040" width="10.5703125" style="284" customWidth="1"/>
    <col min="12041" max="12041" width="8.5703125" style="284" customWidth="1"/>
    <col min="12042" max="12042" width="14.42578125" style="284" customWidth="1"/>
    <col min="12043" max="12043" width="75.140625" style="284" customWidth="1"/>
    <col min="12044" max="12044" width="12.42578125" style="284" customWidth="1"/>
    <col min="12045" max="12045" width="10.140625" style="284" customWidth="1"/>
    <col min="12046" max="12046" width="13.5703125" style="284" customWidth="1"/>
    <col min="12047" max="12047" width="11.42578125" style="284" customWidth="1"/>
    <col min="12048" max="12048" width="19.28515625" style="284" bestFit="1" customWidth="1"/>
    <col min="12049" max="12049" width="34.85546875" style="284" customWidth="1"/>
    <col min="12050" max="12050" width="8" style="284" bestFit="1" customWidth="1"/>
    <col min="12051" max="12051" width="30.42578125" style="284" bestFit="1" customWidth="1"/>
    <col min="12052" max="12052" width="11.7109375" style="284" bestFit="1" customWidth="1"/>
    <col min="12053" max="12053" width="9.140625" style="284"/>
    <col min="12054" max="12054" width="13.85546875" style="284" bestFit="1" customWidth="1"/>
    <col min="12055" max="12294" width="9.140625" style="284"/>
    <col min="12295" max="12295" width="8" style="284" customWidth="1"/>
    <col min="12296" max="12296" width="10.5703125" style="284" customWidth="1"/>
    <col min="12297" max="12297" width="8.5703125" style="284" customWidth="1"/>
    <col min="12298" max="12298" width="14.42578125" style="284" customWidth="1"/>
    <col min="12299" max="12299" width="75.140625" style="284" customWidth="1"/>
    <col min="12300" max="12300" width="12.42578125" style="284" customWidth="1"/>
    <col min="12301" max="12301" width="10.140625" style="284" customWidth="1"/>
    <col min="12302" max="12302" width="13.5703125" style="284" customWidth="1"/>
    <col min="12303" max="12303" width="11.42578125" style="284" customWidth="1"/>
    <col min="12304" max="12304" width="19.28515625" style="284" bestFit="1" customWidth="1"/>
    <col min="12305" max="12305" width="34.85546875" style="284" customWidth="1"/>
    <col min="12306" max="12306" width="8" style="284" bestFit="1" customWidth="1"/>
    <col min="12307" max="12307" width="30.42578125" style="284" bestFit="1" customWidth="1"/>
    <col min="12308" max="12308" width="11.7109375" style="284" bestFit="1" customWidth="1"/>
    <col min="12309" max="12309" width="9.140625" style="284"/>
    <col min="12310" max="12310" width="13.85546875" style="284" bestFit="1" customWidth="1"/>
    <col min="12311" max="12550" width="9.140625" style="284"/>
    <col min="12551" max="12551" width="8" style="284" customWidth="1"/>
    <col min="12552" max="12552" width="10.5703125" style="284" customWidth="1"/>
    <col min="12553" max="12553" width="8.5703125" style="284" customWidth="1"/>
    <col min="12554" max="12554" width="14.42578125" style="284" customWidth="1"/>
    <col min="12555" max="12555" width="75.140625" style="284" customWidth="1"/>
    <col min="12556" max="12556" width="12.42578125" style="284" customWidth="1"/>
    <col min="12557" max="12557" width="10.140625" style="284" customWidth="1"/>
    <col min="12558" max="12558" width="13.5703125" style="284" customWidth="1"/>
    <col min="12559" max="12559" width="11.42578125" style="284" customWidth="1"/>
    <col min="12560" max="12560" width="19.28515625" style="284" bestFit="1" customWidth="1"/>
    <col min="12561" max="12561" width="34.85546875" style="284" customWidth="1"/>
    <col min="12562" max="12562" width="8" style="284" bestFit="1" customWidth="1"/>
    <col min="12563" max="12563" width="30.42578125" style="284" bestFit="1" customWidth="1"/>
    <col min="12564" max="12564" width="11.7109375" style="284" bestFit="1" customWidth="1"/>
    <col min="12565" max="12565" width="9.140625" style="284"/>
    <col min="12566" max="12566" width="13.85546875" style="284" bestFit="1" customWidth="1"/>
    <col min="12567" max="12806" width="9.140625" style="284"/>
    <col min="12807" max="12807" width="8" style="284" customWidth="1"/>
    <col min="12808" max="12808" width="10.5703125" style="284" customWidth="1"/>
    <col min="12809" max="12809" width="8.5703125" style="284" customWidth="1"/>
    <col min="12810" max="12810" width="14.42578125" style="284" customWidth="1"/>
    <col min="12811" max="12811" width="75.140625" style="284" customWidth="1"/>
    <col min="12812" max="12812" width="12.42578125" style="284" customWidth="1"/>
    <col min="12813" max="12813" width="10.140625" style="284" customWidth="1"/>
    <col min="12814" max="12814" width="13.5703125" style="284" customWidth="1"/>
    <col min="12815" max="12815" width="11.42578125" style="284" customWidth="1"/>
    <col min="12816" max="12816" width="19.28515625" style="284" bestFit="1" customWidth="1"/>
    <col min="12817" max="12817" width="34.85546875" style="284" customWidth="1"/>
    <col min="12818" max="12818" width="8" style="284" bestFit="1" customWidth="1"/>
    <col min="12819" max="12819" width="30.42578125" style="284" bestFit="1" customWidth="1"/>
    <col min="12820" max="12820" width="11.7109375" style="284" bestFit="1" customWidth="1"/>
    <col min="12821" max="12821" width="9.140625" style="284"/>
    <col min="12822" max="12822" width="13.85546875" style="284" bestFit="1" customWidth="1"/>
    <col min="12823" max="13062" width="9.140625" style="284"/>
    <col min="13063" max="13063" width="8" style="284" customWidth="1"/>
    <col min="13064" max="13064" width="10.5703125" style="284" customWidth="1"/>
    <col min="13065" max="13065" width="8.5703125" style="284" customWidth="1"/>
    <col min="13066" max="13066" width="14.42578125" style="284" customWidth="1"/>
    <col min="13067" max="13067" width="75.140625" style="284" customWidth="1"/>
    <col min="13068" max="13068" width="12.42578125" style="284" customWidth="1"/>
    <col min="13069" max="13069" width="10.140625" style="284" customWidth="1"/>
    <col min="13070" max="13070" width="13.5703125" style="284" customWidth="1"/>
    <col min="13071" max="13071" width="11.42578125" style="284" customWidth="1"/>
    <col min="13072" max="13072" width="19.28515625" style="284" bestFit="1" customWidth="1"/>
    <col min="13073" max="13073" width="34.85546875" style="284" customWidth="1"/>
    <col min="13074" max="13074" width="8" style="284" bestFit="1" customWidth="1"/>
    <col min="13075" max="13075" width="30.42578125" style="284" bestFit="1" customWidth="1"/>
    <col min="13076" max="13076" width="11.7109375" style="284" bestFit="1" customWidth="1"/>
    <col min="13077" max="13077" width="9.140625" style="284"/>
    <col min="13078" max="13078" width="13.85546875" style="284" bestFit="1" customWidth="1"/>
    <col min="13079" max="13318" width="9.140625" style="284"/>
    <col min="13319" max="13319" width="8" style="284" customWidth="1"/>
    <col min="13320" max="13320" width="10.5703125" style="284" customWidth="1"/>
    <col min="13321" max="13321" width="8.5703125" style="284" customWidth="1"/>
    <col min="13322" max="13322" width="14.42578125" style="284" customWidth="1"/>
    <col min="13323" max="13323" width="75.140625" style="284" customWidth="1"/>
    <col min="13324" max="13324" width="12.42578125" style="284" customWidth="1"/>
    <col min="13325" max="13325" width="10.140625" style="284" customWidth="1"/>
    <col min="13326" max="13326" width="13.5703125" style="284" customWidth="1"/>
    <col min="13327" max="13327" width="11.42578125" style="284" customWidth="1"/>
    <col min="13328" max="13328" width="19.28515625" style="284" bestFit="1" customWidth="1"/>
    <col min="13329" max="13329" width="34.85546875" style="284" customWidth="1"/>
    <col min="13330" max="13330" width="8" style="284" bestFit="1" customWidth="1"/>
    <col min="13331" max="13331" width="30.42578125" style="284" bestFit="1" customWidth="1"/>
    <col min="13332" max="13332" width="11.7109375" style="284" bestFit="1" customWidth="1"/>
    <col min="13333" max="13333" width="9.140625" style="284"/>
    <col min="13334" max="13334" width="13.85546875" style="284" bestFit="1" customWidth="1"/>
    <col min="13335" max="13574" width="9.140625" style="284"/>
    <col min="13575" max="13575" width="8" style="284" customWidth="1"/>
    <col min="13576" max="13576" width="10.5703125" style="284" customWidth="1"/>
    <col min="13577" max="13577" width="8.5703125" style="284" customWidth="1"/>
    <col min="13578" max="13578" width="14.42578125" style="284" customWidth="1"/>
    <col min="13579" max="13579" width="75.140625" style="284" customWidth="1"/>
    <col min="13580" max="13580" width="12.42578125" style="284" customWidth="1"/>
    <col min="13581" max="13581" width="10.140625" style="284" customWidth="1"/>
    <col min="13582" max="13582" width="13.5703125" style="284" customWidth="1"/>
    <col min="13583" max="13583" width="11.42578125" style="284" customWidth="1"/>
    <col min="13584" max="13584" width="19.28515625" style="284" bestFit="1" customWidth="1"/>
    <col min="13585" max="13585" width="34.85546875" style="284" customWidth="1"/>
    <col min="13586" max="13586" width="8" style="284" bestFit="1" customWidth="1"/>
    <col min="13587" max="13587" width="30.42578125" style="284" bestFit="1" customWidth="1"/>
    <col min="13588" max="13588" width="11.7109375" style="284" bestFit="1" customWidth="1"/>
    <col min="13589" max="13589" width="9.140625" style="284"/>
    <col min="13590" max="13590" width="13.85546875" style="284" bestFit="1" customWidth="1"/>
    <col min="13591" max="13830" width="9.140625" style="284"/>
    <col min="13831" max="13831" width="8" style="284" customWidth="1"/>
    <col min="13832" max="13832" width="10.5703125" style="284" customWidth="1"/>
    <col min="13833" max="13833" width="8.5703125" style="284" customWidth="1"/>
    <col min="13834" max="13834" width="14.42578125" style="284" customWidth="1"/>
    <col min="13835" max="13835" width="75.140625" style="284" customWidth="1"/>
    <col min="13836" max="13836" width="12.42578125" style="284" customWidth="1"/>
    <col min="13837" max="13837" width="10.140625" style="284" customWidth="1"/>
    <col min="13838" max="13838" width="13.5703125" style="284" customWidth="1"/>
    <col min="13839" max="13839" width="11.42578125" style="284" customWidth="1"/>
    <col min="13840" max="13840" width="19.28515625" style="284" bestFit="1" customWidth="1"/>
    <col min="13841" max="13841" width="34.85546875" style="284" customWidth="1"/>
    <col min="13842" max="13842" width="8" style="284" bestFit="1" customWidth="1"/>
    <col min="13843" max="13843" width="30.42578125" style="284" bestFit="1" customWidth="1"/>
    <col min="13844" max="13844" width="11.7109375" style="284" bestFit="1" customWidth="1"/>
    <col min="13845" max="13845" width="9.140625" style="284"/>
    <col min="13846" max="13846" width="13.85546875" style="284" bestFit="1" customWidth="1"/>
    <col min="13847" max="14086" width="9.140625" style="284"/>
    <col min="14087" max="14087" width="8" style="284" customWidth="1"/>
    <col min="14088" max="14088" width="10.5703125" style="284" customWidth="1"/>
    <col min="14089" max="14089" width="8.5703125" style="284" customWidth="1"/>
    <col min="14090" max="14090" width="14.42578125" style="284" customWidth="1"/>
    <col min="14091" max="14091" width="75.140625" style="284" customWidth="1"/>
    <col min="14092" max="14092" width="12.42578125" style="284" customWidth="1"/>
    <col min="14093" max="14093" width="10.140625" style="284" customWidth="1"/>
    <col min="14094" max="14094" width="13.5703125" style="284" customWidth="1"/>
    <col min="14095" max="14095" width="11.42578125" style="284" customWidth="1"/>
    <col min="14096" max="14096" width="19.28515625" style="284" bestFit="1" customWidth="1"/>
    <col min="14097" max="14097" width="34.85546875" style="284" customWidth="1"/>
    <col min="14098" max="14098" width="8" style="284" bestFit="1" customWidth="1"/>
    <col min="14099" max="14099" width="30.42578125" style="284" bestFit="1" customWidth="1"/>
    <col min="14100" max="14100" width="11.7109375" style="284" bestFit="1" customWidth="1"/>
    <col min="14101" max="14101" width="9.140625" style="284"/>
    <col min="14102" max="14102" width="13.85546875" style="284" bestFit="1" customWidth="1"/>
    <col min="14103" max="14342" width="9.140625" style="284"/>
    <col min="14343" max="14343" width="8" style="284" customWidth="1"/>
    <col min="14344" max="14344" width="10.5703125" style="284" customWidth="1"/>
    <col min="14345" max="14345" width="8.5703125" style="284" customWidth="1"/>
    <col min="14346" max="14346" width="14.42578125" style="284" customWidth="1"/>
    <col min="14347" max="14347" width="75.140625" style="284" customWidth="1"/>
    <col min="14348" max="14348" width="12.42578125" style="284" customWidth="1"/>
    <col min="14349" max="14349" width="10.140625" style="284" customWidth="1"/>
    <col min="14350" max="14350" width="13.5703125" style="284" customWidth="1"/>
    <col min="14351" max="14351" width="11.42578125" style="284" customWidth="1"/>
    <col min="14352" max="14352" width="19.28515625" style="284" bestFit="1" customWidth="1"/>
    <col min="14353" max="14353" width="34.85546875" style="284" customWidth="1"/>
    <col min="14354" max="14354" width="8" style="284" bestFit="1" customWidth="1"/>
    <col min="14355" max="14355" width="30.42578125" style="284" bestFit="1" customWidth="1"/>
    <col min="14356" max="14356" width="11.7109375" style="284" bestFit="1" customWidth="1"/>
    <col min="14357" max="14357" width="9.140625" style="284"/>
    <col min="14358" max="14358" width="13.85546875" style="284" bestFit="1" customWidth="1"/>
    <col min="14359" max="14598" width="9.140625" style="284"/>
    <col min="14599" max="14599" width="8" style="284" customWidth="1"/>
    <col min="14600" max="14600" width="10.5703125" style="284" customWidth="1"/>
    <col min="14601" max="14601" width="8.5703125" style="284" customWidth="1"/>
    <col min="14602" max="14602" width="14.42578125" style="284" customWidth="1"/>
    <col min="14603" max="14603" width="75.140625" style="284" customWidth="1"/>
    <col min="14604" max="14604" width="12.42578125" style="284" customWidth="1"/>
    <col min="14605" max="14605" width="10.140625" style="284" customWidth="1"/>
    <col min="14606" max="14606" width="13.5703125" style="284" customWidth="1"/>
    <col min="14607" max="14607" width="11.42578125" style="284" customWidth="1"/>
    <col min="14608" max="14608" width="19.28515625" style="284" bestFit="1" customWidth="1"/>
    <col min="14609" max="14609" width="34.85546875" style="284" customWidth="1"/>
    <col min="14610" max="14610" width="8" style="284" bestFit="1" customWidth="1"/>
    <col min="14611" max="14611" width="30.42578125" style="284" bestFit="1" customWidth="1"/>
    <col min="14612" max="14612" width="11.7109375" style="284" bestFit="1" customWidth="1"/>
    <col min="14613" max="14613" width="9.140625" style="284"/>
    <col min="14614" max="14614" width="13.85546875" style="284" bestFit="1" customWidth="1"/>
    <col min="14615" max="14854" width="9.140625" style="284"/>
    <col min="14855" max="14855" width="8" style="284" customWidth="1"/>
    <col min="14856" max="14856" width="10.5703125" style="284" customWidth="1"/>
    <col min="14857" max="14857" width="8.5703125" style="284" customWidth="1"/>
    <col min="14858" max="14858" width="14.42578125" style="284" customWidth="1"/>
    <col min="14859" max="14859" width="75.140625" style="284" customWidth="1"/>
    <col min="14860" max="14860" width="12.42578125" style="284" customWidth="1"/>
    <col min="14861" max="14861" width="10.140625" style="284" customWidth="1"/>
    <col min="14862" max="14862" width="13.5703125" style="284" customWidth="1"/>
    <col min="14863" max="14863" width="11.42578125" style="284" customWidth="1"/>
    <col min="14864" max="14864" width="19.28515625" style="284" bestFit="1" customWidth="1"/>
    <col min="14865" max="14865" width="34.85546875" style="284" customWidth="1"/>
    <col min="14866" max="14866" width="8" style="284" bestFit="1" customWidth="1"/>
    <col min="14867" max="14867" width="30.42578125" style="284" bestFit="1" customWidth="1"/>
    <col min="14868" max="14868" width="11.7109375" style="284" bestFit="1" customWidth="1"/>
    <col min="14869" max="14869" width="9.140625" style="284"/>
    <col min="14870" max="14870" width="13.85546875" style="284" bestFit="1" customWidth="1"/>
    <col min="14871" max="15110" width="9.140625" style="284"/>
    <col min="15111" max="15111" width="8" style="284" customWidth="1"/>
    <col min="15112" max="15112" width="10.5703125" style="284" customWidth="1"/>
    <col min="15113" max="15113" width="8.5703125" style="284" customWidth="1"/>
    <col min="15114" max="15114" width="14.42578125" style="284" customWidth="1"/>
    <col min="15115" max="15115" width="75.140625" style="284" customWidth="1"/>
    <col min="15116" max="15116" width="12.42578125" style="284" customWidth="1"/>
    <col min="15117" max="15117" width="10.140625" style="284" customWidth="1"/>
    <col min="15118" max="15118" width="13.5703125" style="284" customWidth="1"/>
    <col min="15119" max="15119" width="11.42578125" style="284" customWidth="1"/>
    <col min="15120" max="15120" width="19.28515625" style="284" bestFit="1" customWidth="1"/>
    <col min="15121" max="15121" width="34.85546875" style="284" customWidth="1"/>
    <col min="15122" max="15122" width="8" style="284" bestFit="1" customWidth="1"/>
    <col min="15123" max="15123" width="30.42578125" style="284" bestFit="1" customWidth="1"/>
    <col min="15124" max="15124" width="11.7109375" style="284" bestFit="1" customWidth="1"/>
    <col min="15125" max="15125" width="9.140625" style="284"/>
    <col min="15126" max="15126" width="13.85546875" style="284" bestFit="1" customWidth="1"/>
    <col min="15127" max="15366" width="9.140625" style="284"/>
    <col min="15367" max="15367" width="8" style="284" customWidth="1"/>
    <col min="15368" max="15368" width="10.5703125" style="284" customWidth="1"/>
    <col min="15369" max="15369" width="8.5703125" style="284" customWidth="1"/>
    <col min="15370" max="15370" width="14.42578125" style="284" customWidth="1"/>
    <col min="15371" max="15371" width="75.140625" style="284" customWidth="1"/>
    <col min="15372" max="15372" width="12.42578125" style="284" customWidth="1"/>
    <col min="15373" max="15373" width="10.140625" style="284" customWidth="1"/>
    <col min="15374" max="15374" width="13.5703125" style="284" customWidth="1"/>
    <col min="15375" max="15375" width="11.42578125" style="284" customWidth="1"/>
    <col min="15376" max="15376" width="19.28515625" style="284" bestFit="1" customWidth="1"/>
    <col min="15377" max="15377" width="34.85546875" style="284" customWidth="1"/>
    <col min="15378" max="15378" width="8" style="284" bestFit="1" customWidth="1"/>
    <col min="15379" max="15379" width="30.42578125" style="284" bestFit="1" customWidth="1"/>
    <col min="15380" max="15380" width="11.7109375" style="284" bestFit="1" customWidth="1"/>
    <col min="15381" max="15381" width="9.140625" style="284"/>
    <col min="15382" max="15382" width="13.85546875" style="284" bestFit="1" customWidth="1"/>
    <col min="15383" max="15622" width="9.140625" style="284"/>
    <col min="15623" max="15623" width="8" style="284" customWidth="1"/>
    <col min="15624" max="15624" width="10.5703125" style="284" customWidth="1"/>
    <col min="15625" max="15625" width="8.5703125" style="284" customWidth="1"/>
    <col min="15626" max="15626" width="14.42578125" style="284" customWidth="1"/>
    <col min="15627" max="15627" width="75.140625" style="284" customWidth="1"/>
    <col min="15628" max="15628" width="12.42578125" style="284" customWidth="1"/>
    <col min="15629" max="15629" width="10.140625" style="284" customWidth="1"/>
    <col min="15630" max="15630" width="13.5703125" style="284" customWidth="1"/>
    <col min="15631" max="15631" width="11.42578125" style="284" customWidth="1"/>
    <col min="15632" max="15632" width="19.28515625" style="284" bestFit="1" customWidth="1"/>
    <col min="15633" max="15633" width="34.85546875" style="284" customWidth="1"/>
    <col min="15634" max="15634" width="8" style="284" bestFit="1" customWidth="1"/>
    <col min="15635" max="15635" width="30.42578125" style="284" bestFit="1" customWidth="1"/>
    <col min="15636" max="15636" width="11.7109375" style="284" bestFit="1" customWidth="1"/>
    <col min="15637" max="15637" width="9.140625" style="284"/>
    <col min="15638" max="15638" width="13.85546875" style="284" bestFit="1" customWidth="1"/>
    <col min="15639" max="15878" width="9.140625" style="284"/>
    <col min="15879" max="15879" width="8" style="284" customWidth="1"/>
    <col min="15880" max="15880" width="10.5703125" style="284" customWidth="1"/>
    <col min="15881" max="15881" width="8.5703125" style="284" customWidth="1"/>
    <col min="15882" max="15882" width="14.42578125" style="284" customWidth="1"/>
    <col min="15883" max="15883" width="75.140625" style="284" customWidth="1"/>
    <col min="15884" max="15884" width="12.42578125" style="284" customWidth="1"/>
    <col min="15885" max="15885" width="10.140625" style="284" customWidth="1"/>
    <col min="15886" max="15886" width="13.5703125" style="284" customWidth="1"/>
    <col min="15887" max="15887" width="11.42578125" style="284" customWidth="1"/>
    <col min="15888" max="15888" width="19.28515625" style="284" bestFit="1" customWidth="1"/>
    <col min="15889" max="15889" width="34.85546875" style="284" customWidth="1"/>
    <col min="15890" max="15890" width="8" style="284" bestFit="1" customWidth="1"/>
    <col min="15891" max="15891" width="30.42578125" style="284" bestFit="1" customWidth="1"/>
    <col min="15892" max="15892" width="11.7109375" style="284" bestFit="1" customWidth="1"/>
    <col min="15893" max="15893" width="9.140625" style="284"/>
    <col min="15894" max="15894" width="13.85546875" style="284" bestFit="1" customWidth="1"/>
    <col min="15895" max="16134" width="9.140625" style="284"/>
    <col min="16135" max="16135" width="8" style="284" customWidth="1"/>
    <col min="16136" max="16136" width="10.5703125" style="284" customWidth="1"/>
    <col min="16137" max="16137" width="8.5703125" style="284" customWidth="1"/>
    <col min="16138" max="16138" width="14.42578125" style="284" customWidth="1"/>
    <col min="16139" max="16139" width="75.140625" style="284" customWidth="1"/>
    <col min="16140" max="16140" width="12.42578125" style="284" customWidth="1"/>
    <col min="16141" max="16141" width="10.140625" style="284" customWidth="1"/>
    <col min="16142" max="16142" width="13.5703125" style="284" customWidth="1"/>
    <col min="16143" max="16143" width="11.42578125" style="284" customWidth="1"/>
    <col min="16144" max="16144" width="19.28515625" style="284" bestFit="1" customWidth="1"/>
    <col min="16145" max="16145" width="34.85546875" style="284" customWidth="1"/>
    <col min="16146" max="16146" width="8" style="284" bestFit="1" customWidth="1"/>
    <col min="16147" max="16147" width="30.42578125" style="284" bestFit="1" customWidth="1"/>
    <col min="16148" max="16148" width="11.7109375" style="284" bestFit="1" customWidth="1"/>
    <col min="16149" max="16149" width="9.140625" style="284"/>
    <col min="16150" max="16150" width="13.85546875" style="284" bestFit="1" customWidth="1"/>
    <col min="16151" max="16384" width="9.140625" style="284"/>
  </cols>
  <sheetData>
    <row r="1" spans="1:21" ht="13.5" thickBot="1"/>
    <row r="2" spans="1:21" s="1" customFormat="1" ht="38.25" thickBot="1">
      <c r="D2" s="2"/>
      <c r="E2" s="2"/>
      <c r="F2" s="3" t="s">
        <v>3</v>
      </c>
      <c r="G2" s="4"/>
      <c r="H2" s="372"/>
      <c r="K2" s="128"/>
      <c r="N2" s="1413"/>
      <c r="O2" s="1414"/>
      <c r="P2" s="1413"/>
      <c r="R2" s="774"/>
      <c r="S2" s="808" t="s">
        <v>2156</v>
      </c>
    </row>
    <row r="3" spans="1:21" ht="18.75" thickBot="1">
      <c r="H3" s="7"/>
      <c r="N3" s="1411" t="s">
        <v>2156</v>
      </c>
      <c r="R3" s="775" t="s">
        <v>1997</v>
      </c>
      <c r="S3" s="21"/>
    </row>
    <row r="4" spans="1:21" s="11" customFormat="1" ht="15" customHeight="1" thickBot="1">
      <c r="D4" s="12"/>
      <c r="E4" s="12"/>
      <c r="F4" s="13"/>
      <c r="G4" s="14"/>
      <c r="H4" s="80"/>
      <c r="I4" s="14"/>
      <c r="J4" s="15"/>
      <c r="K4" s="15"/>
      <c r="L4" s="15"/>
      <c r="M4" s="15"/>
      <c r="N4" s="1415"/>
      <c r="O4" s="1416"/>
      <c r="P4" s="1417"/>
      <c r="R4" s="775" t="s">
        <v>1998</v>
      </c>
      <c r="S4" s="21"/>
    </row>
    <row r="5" spans="1:21" ht="56.25" customHeight="1" thickBot="1">
      <c r="D5" s="19"/>
      <c r="E5" s="19"/>
      <c r="F5" s="2128"/>
      <c r="G5" s="2129"/>
      <c r="H5" s="2141"/>
      <c r="I5" s="2142"/>
      <c r="J5" s="2142"/>
      <c r="K5" s="2143"/>
      <c r="L5" s="2147" t="e">
        <f>'ORÇAMENTO '!M5:N5</f>
        <v>#VALUE!</v>
      </c>
      <c r="M5" s="2148"/>
      <c r="N5" s="2149"/>
      <c r="O5" s="2150"/>
      <c r="P5" s="2151"/>
      <c r="Q5" s="284"/>
      <c r="S5" s="21"/>
    </row>
    <row r="6" spans="1:21" ht="30.75" customHeight="1" thickBot="1">
      <c r="D6" s="19"/>
      <c r="E6" s="19"/>
      <c r="F6" s="2130"/>
      <c r="G6" s="2131"/>
      <c r="H6" s="2144"/>
      <c r="I6" s="2145"/>
      <c r="J6" s="2145"/>
      <c r="K6" s="2146"/>
      <c r="L6" s="2156" t="e">
        <f>'ORÇAMENTO '!M6:N6</f>
        <v>#VALUE!</v>
      </c>
      <c r="M6" s="2157"/>
      <c r="N6" s="2158"/>
      <c r="O6" s="2152"/>
      <c r="P6" s="2153"/>
      <c r="Q6" s="284"/>
      <c r="S6" s="21"/>
    </row>
    <row r="7" spans="1:21" ht="39" customHeight="1" thickBot="1">
      <c r="F7" s="2132"/>
      <c r="G7" s="2133"/>
      <c r="H7" s="2159"/>
      <c r="I7" s="2160"/>
      <c r="J7" s="2160"/>
      <c r="K7" s="2161"/>
      <c r="L7" s="1418" t="s">
        <v>4</v>
      </c>
      <c r="M7" s="2162">
        <f>'ORÇAMENTO '!N7</f>
        <v>0.24199999999999999</v>
      </c>
      <c r="N7" s="2163"/>
      <c r="O7" s="2154"/>
      <c r="P7" s="2155"/>
      <c r="Q7" s="20"/>
    </row>
    <row r="8" spans="1:21" s="21" customFormat="1" ht="18.75" customHeight="1" thickBot="1">
      <c r="D8" s="22"/>
      <c r="E8" s="22"/>
      <c r="F8" s="2134" t="s">
        <v>413</v>
      </c>
      <c r="G8" s="2135"/>
      <c r="H8" s="2135"/>
      <c r="I8" s="2135"/>
      <c r="J8" s="2135"/>
      <c r="K8" s="2135"/>
      <c r="L8" s="2135"/>
      <c r="M8" s="2135"/>
      <c r="N8" s="2135"/>
      <c r="O8" s="2135"/>
      <c r="P8" s="2136"/>
      <c r="Q8" s="23"/>
      <c r="R8" s="24"/>
    </row>
    <row r="9" spans="1:21" s="11" customFormat="1" ht="6.75" thickBot="1">
      <c r="D9" s="12"/>
      <c r="E9" s="12"/>
      <c r="F9" s="13"/>
      <c r="G9" s="14"/>
      <c r="H9" s="80"/>
      <c r="I9" s="14"/>
      <c r="J9" s="15"/>
      <c r="K9" s="15"/>
      <c r="L9" s="15"/>
      <c r="M9" s="15"/>
      <c r="N9" s="1415"/>
      <c r="O9" s="1416"/>
      <c r="P9" s="1417"/>
      <c r="Q9" s="17"/>
      <c r="R9" s="18"/>
    </row>
    <row r="10" spans="1:21" s="21" customFormat="1" ht="18">
      <c r="D10" s="22"/>
      <c r="E10" s="22"/>
      <c r="F10" s="358" t="s">
        <v>5</v>
      </c>
      <c r="G10" s="2104" t="str">
        <f>'ORÇAMENTO '!$G$11:$L$11</f>
        <v xml:space="preserve">ESCOLA MUNICIPAL DOMINGOS AZZOLINI </v>
      </c>
      <c r="H10" s="2104"/>
      <c r="I10" s="2104"/>
      <c r="J10" s="2104"/>
      <c r="K10" s="2104"/>
      <c r="L10" s="2104"/>
      <c r="M10" s="2104"/>
      <c r="N10" s="1419"/>
      <c r="O10" s="1420" t="s">
        <v>6</v>
      </c>
      <c r="P10" s="1421">
        <f>'ORÇAMENTO '!$N$11</f>
        <v>45366</v>
      </c>
      <c r="Q10" s="285"/>
    </row>
    <row r="11" spans="1:21" s="21" customFormat="1" ht="18.75" thickBot="1">
      <c r="D11" s="22"/>
      <c r="E11" s="22"/>
      <c r="F11" s="358" t="s">
        <v>7</v>
      </c>
      <c r="G11" s="2140" t="str">
        <f>'ORÇAMENTO '!$G$12:$K$12</f>
        <v>SANTO ANTONIO DO LESTE</v>
      </c>
      <c r="H11" s="2140"/>
      <c r="I11" s="2140"/>
      <c r="J11" s="2140"/>
      <c r="K11" s="2140"/>
      <c r="L11" s="2140"/>
      <c r="M11" s="2140"/>
      <c r="N11" s="2127" t="s">
        <v>8</v>
      </c>
      <c r="O11" s="2127"/>
      <c r="P11" s="1422">
        <f>'ORÇAMENTO '!$N$12</f>
        <v>1.0684</v>
      </c>
      <c r="Q11" s="286"/>
      <c r="R11" s="24"/>
    </row>
    <row r="12" spans="1:21" s="21" customFormat="1" ht="9" customHeight="1" thickBot="1">
      <c r="D12" s="22"/>
      <c r="E12" s="22"/>
      <c r="F12" s="1423"/>
      <c r="G12" s="1424"/>
      <c r="H12" s="1425"/>
      <c r="I12" s="1425"/>
      <c r="J12" s="1425"/>
      <c r="K12" s="1426"/>
      <c r="L12" s="1426"/>
      <c r="M12" s="1427"/>
      <c r="N12" s="1428"/>
      <c r="O12" s="1429"/>
      <c r="P12" s="1430"/>
      <c r="Q12" s="286"/>
      <c r="R12" s="24"/>
    </row>
    <row r="13" spans="1:21" s="21" customFormat="1" ht="27" thickBot="1">
      <c r="D13" s="22"/>
      <c r="E13" s="22"/>
      <c r="F13" s="2137" t="s">
        <v>5548</v>
      </c>
      <c r="G13" s="2138"/>
      <c r="H13" s="2138"/>
      <c r="I13" s="2138"/>
      <c r="J13" s="2138"/>
      <c r="K13" s="2138"/>
      <c r="L13" s="2138"/>
      <c r="M13" s="2138"/>
      <c r="N13" s="2138"/>
      <c r="O13" s="2138"/>
      <c r="P13" s="2139"/>
      <c r="Q13" s="1370" t="e">
        <f>N86</f>
        <v>#REF!</v>
      </c>
      <c r="R13" s="375"/>
    </row>
    <row r="14" spans="1:21" s="21" customFormat="1" ht="9" customHeight="1" thickBot="1">
      <c r="D14" s="22"/>
      <c r="E14" s="22"/>
      <c r="F14" s="1431"/>
      <c r="G14" s="1432"/>
      <c r="H14" s="1407"/>
      <c r="I14" s="1407"/>
      <c r="J14" s="1407"/>
      <c r="K14" s="1433"/>
      <c r="L14" s="1433"/>
      <c r="M14" s="1434"/>
      <c r="N14" s="1435"/>
      <c r="O14" s="1436"/>
      <c r="P14" s="1437"/>
      <c r="Q14" s="286"/>
      <c r="R14" s="375"/>
    </row>
    <row r="15" spans="1:21" ht="30">
      <c r="F15" s="1438" t="s">
        <v>10</v>
      </c>
      <c r="G15" s="1439" t="s">
        <v>11</v>
      </c>
      <c r="H15" s="1439" t="s">
        <v>12</v>
      </c>
      <c r="I15" s="1439" t="s">
        <v>13</v>
      </c>
      <c r="J15" s="1440" t="s">
        <v>14</v>
      </c>
      <c r="K15" s="1440" t="s">
        <v>15</v>
      </c>
      <c r="L15" s="1440" t="s">
        <v>16</v>
      </c>
      <c r="M15" s="1440" t="s">
        <v>17</v>
      </c>
      <c r="N15" s="1441" t="s">
        <v>5549</v>
      </c>
      <c r="O15" s="1442" t="s">
        <v>5550</v>
      </c>
      <c r="P15" s="1443" t="s">
        <v>5551</v>
      </c>
      <c r="Q15" s="1444" t="e">
        <f>N86</f>
        <v>#REF!</v>
      </c>
      <c r="R15" s="375"/>
    </row>
    <row r="16" spans="1:21" s="341" customFormat="1" ht="30">
      <c r="A16" s="341" t="e">
        <f t="shared" ref="A16:A79" ca="1" si="0">IF(LEN(D16),OFFSET(A16,-1,0)+1,OFFSET(A16,-1,0))</f>
        <v>#REF!</v>
      </c>
      <c r="B16" s="341" t="e">
        <f>IF(OR(C16=1,D16=1),SUMIF($A$16:A16,A16,$C$16:C16),"")</f>
        <v>#REF!</v>
      </c>
      <c r="C16" s="341">
        <f t="shared" ref="C16:C79" si="1">IF(G16&gt;0,1,"")</f>
        <v>1</v>
      </c>
      <c r="D16" s="662" t="e">
        <f t="shared" ref="D16:D79" si="2">IF(AND(CONCATENATE(G16,H16,I16,J16,K16,L16,M16)=H16&amp;M16,CONCATENATE(G16,H16,I16,J16,K16,L16,M16)&lt;&gt;"",M16&lt;&gt;""),1,"")</f>
        <v>#REF!</v>
      </c>
      <c r="E16" s="662"/>
      <c r="F16" s="1099">
        <v>66</v>
      </c>
      <c r="G16" s="1192" t="s">
        <v>1723</v>
      </c>
      <c r="H16" s="1222" t="s">
        <v>2182</v>
      </c>
      <c r="I16" s="1215" t="s">
        <v>20</v>
      </c>
      <c r="J16" s="1229">
        <f>13480.38+1770.74</f>
        <v>15251.119999999999</v>
      </c>
      <c r="K16" s="1190" t="e">
        <f>VLOOKUP(G16,'ORÇAMENTO '!$G:$L,COLUMNS('ORÇAMENTO '!#REF!),0)</f>
        <v>#REF!</v>
      </c>
      <c r="L16" s="1190" t="e">
        <f>VLOOKUP(G16,'ORÇAMENTO '!$G:$M,COLUMNS('ORÇAMENTO '!#REF!),0)</f>
        <v>#REF!</v>
      </c>
      <c r="M16" s="1190" t="e">
        <f t="shared" ref="M16:M79" si="3">IF($S$2="OUTROS",TRUNC(L16*J16,2),ROUND(L16*J16,2))</f>
        <v>#REF!</v>
      </c>
      <c r="N16" s="1445" t="e">
        <f t="shared" ref="N16:N79" si="4">M16/$N$86</f>
        <v>#REF!</v>
      </c>
      <c r="O16" s="1446" t="e">
        <f>N16</f>
        <v>#REF!</v>
      </c>
      <c r="P16" s="1447" t="s">
        <v>451</v>
      </c>
      <c r="Q16" s="341" t="s">
        <v>18</v>
      </c>
      <c r="R16" s="375" t="e">
        <f t="shared" ref="R16:R79" si="5">$Q$13=$N$86</f>
        <v>#REF!</v>
      </c>
      <c r="S16" s="1370" t="b">
        <f>G16=G17</f>
        <v>0</v>
      </c>
      <c r="T16" s="1370"/>
      <c r="U16" s="340"/>
    </row>
    <row r="17" spans="1:21" s="341" customFormat="1" ht="30">
      <c r="A17" s="341" t="e">
        <f t="shared" ca="1" si="0"/>
        <v>#REF!</v>
      </c>
      <c r="B17" s="341" t="e">
        <f>IF(OR(C17=1,D17=1),SUMIF($A$16:A17,A17,$C$16:C17),"")</f>
        <v>#REF!</v>
      </c>
      <c r="C17" s="341">
        <f t="shared" si="1"/>
        <v>1</v>
      </c>
      <c r="D17" s="662" t="e">
        <f t="shared" si="2"/>
        <v>#REF!</v>
      </c>
      <c r="E17" s="662"/>
      <c r="F17" s="1099">
        <v>24</v>
      </c>
      <c r="G17" s="1192" t="s">
        <v>196</v>
      </c>
      <c r="H17" s="1222" t="s">
        <v>5552</v>
      </c>
      <c r="I17" s="1215" t="s">
        <v>0</v>
      </c>
      <c r="J17" s="1229">
        <v>1125</v>
      </c>
      <c r="K17" s="1190" t="e">
        <f>VLOOKUP(G17,'ORÇAMENTO '!$G:$L,COLUMNS('ORÇAMENTO '!#REF!),0)</f>
        <v>#REF!</v>
      </c>
      <c r="L17" s="1190" t="e">
        <f>VLOOKUP(G17,'ORÇAMENTO '!$G:$M,COLUMNS('ORÇAMENTO '!#REF!),0)</f>
        <v>#REF!</v>
      </c>
      <c r="M17" s="1190" t="e">
        <f t="shared" si="3"/>
        <v>#REF!</v>
      </c>
      <c r="N17" s="1445" t="e">
        <f t="shared" si="4"/>
        <v>#REF!</v>
      </c>
      <c r="O17" s="1446" t="e">
        <f t="shared" ref="O17:O80" si="6">N17+O16</f>
        <v>#REF!</v>
      </c>
      <c r="P17" s="1447" t="s">
        <v>451</v>
      </c>
      <c r="Q17" s="1370"/>
      <c r="R17" s="375" t="e">
        <f t="shared" si="5"/>
        <v>#REF!</v>
      </c>
      <c r="S17" s="1370" t="b">
        <f t="shared" ref="S17:S80" si="7">G17=G18</f>
        <v>0</v>
      </c>
      <c r="U17" s="340"/>
    </row>
    <row r="18" spans="1:21" s="341" customFormat="1" ht="30">
      <c r="A18" s="341" t="e">
        <f t="shared" ca="1" si="0"/>
        <v>#REF!</v>
      </c>
      <c r="B18" s="341" t="e">
        <f>IF(OR(C18=1,D18=1),SUMIF($A$16:A18,A18,$C$16:C18),"")</f>
        <v>#REF!</v>
      </c>
      <c r="C18" s="341">
        <f t="shared" si="1"/>
        <v>1</v>
      </c>
      <c r="D18" s="662" t="e">
        <f t="shared" si="2"/>
        <v>#REF!</v>
      </c>
      <c r="E18" s="662"/>
      <c r="F18" s="1099">
        <v>74</v>
      </c>
      <c r="G18" s="1192">
        <v>99841</v>
      </c>
      <c r="H18" s="1222" t="s">
        <v>2186</v>
      </c>
      <c r="I18" s="1215" t="s">
        <v>21</v>
      </c>
      <c r="J18" s="1229">
        <v>48.68</v>
      </c>
      <c r="K18" s="1190" t="e">
        <f>VLOOKUP(G18,'ORÇAMENTO '!$G:$L,COLUMNS('ORÇAMENTO '!#REF!),0)</f>
        <v>#REF!</v>
      </c>
      <c r="L18" s="1190" t="e">
        <f>VLOOKUP(G18,'ORÇAMENTO '!$G:$M,COLUMNS('ORÇAMENTO '!#REF!),0)</f>
        <v>#REF!</v>
      </c>
      <c r="M18" s="1190" t="e">
        <f t="shared" si="3"/>
        <v>#REF!</v>
      </c>
      <c r="N18" s="1445" t="e">
        <f t="shared" si="4"/>
        <v>#REF!</v>
      </c>
      <c r="O18" s="1446" t="e">
        <f t="shared" si="6"/>
        <v>#REF!</v>
      </c>
      <c r="P18" s="1447" t="s">
        <v>451</v>
      </c>
      <c r="Q18" s="1370"/>
      <c r="R18" s="375" t="e">
        <f t="shared" si="5"/>
        <v>#REF!</v>
      </c>
      <c r="S18" s="1370" t="b">
        <f t="shared" si="7"/>
        <v>0</v>
      </c>
      <c r="U18" s="340"/>
    </row>
    <row r="19" spans="1:21" s="341" customFormat="1" ht="30">
      <c r="A19" s="341" t="e">
        <f t="shared" ca="1" si="0"/>
        <v>#REF!</v>
      </c>
      <c r="B19" s="341" t="e">
        <f>IF(OR(C19=1,D19=1),SUMIF($A$16:A19,A19,$C$16:C19),"")</f>
        <v>#REF!</v>
      </c>
      <c r="C19" s="341">
        <f t="shared" si="1"/>
        <v>1</v>
      </c>
      <c r="D19" s="662" t="e">
        <f t="shared" si="2"/>
        <v>#REF!</v>
      </c>
      <c r="E19" s="662"/>
      <c r="F19" s="1099">
        <v>76</v>
      </c>
      <c r="G19" s="1099" t="s">
        <v>1742</v>
      </c>
      <c r="H19" s="1222" t="s">
        <v>5553</v>
      </c>
      <c r="I19" s="1215" t="s">
        <v>0</v>
      </c>
      <c r="J19" s="1229">
        <v>174.57</v>
      </c>
      <c r="K19" s="1190" t="e">
        <f>VLOOKUP(G19,'ORÇAMENTO '!$G:$L,COLUMNS('ORÇAMENTO '!#REF!),0)</f>
        <v>#REF!</v>
      </c>
      <c r="L19" s="1190" t="e">
        <f>VLOOKUP(G19,'ORÇAMENTO '!$G:$M,COLUMNS('ORÇAMENTO '!#REF!),0)</f>
        <v>#REF!</v>
      </c>
      <c r="M19" s="1190" t="e">
        <f t="shared" si="3"/>
        <v>#REF!</v>
      </c>
      <c r="N19" s="1445" t="e">
        <f t="shared" si="4"/>
        <v>#REF!</v>
      </c>
      <c r="O19" s="1446" t="e">
        <f t="shared" si="6"/>
        <v>#REF!</v>
      </c>
      <c r="P19" s="1447" t="s">
        <v>451</v>
      </c>
      <c r="Q19" s="1370"/>
      <c r="R19" s="375" t="e">
        <f t="shared" si="5"/>
        <v>#REF!</v>
      </c>
      <c r="S19" s="1370" t="b">
        <f t="shared" si="7"/>
        <v>0</v>
      </c>
      <c r="U19" s="340"/>
    </row>
    <row r="20" spans="1:21" s="341" customFormat="1" ht="15.75">
      <c r="A20" s="341" t="e">
        <f t="shared" ca="1" si="0"/>
        <v>#REF!</v>
      </c>
      <c r="B20" s="341" t="e">
        <f>IF(OR(C20=1,D20=1),SUMIF($A$16:A20,A20,$C$16:C20),"")</f>
        <v>#REF!</v>
      </c>
      <c r="C20" s="341">
        <f t="shared" si="1"/>
        <v>1</v>
      </c>
      <c r="D20" s="662" t="e">
        <f t="shared" si="2"/>
        <v>#REF!</v>
      </c>
      <c r="E20" s="662"/>
      <c r="F20" s="1099">
        <v>67</v>
      </c>
      <c r="G20" s="1224" t="s">
        <v>2158</v>
      </c>
      <c r="H20" s="1222" t="s">
        <v>2183</v>
      </c>
      <c r="I20" s="1215" t="s">
        <v>20</v>
      </c>
      <c r="J20" s="1229">
        <f>13480.38+1770.74</f>
        <v>15251.119999999999</v>
      </c>
      <c r="K20" s="1190" t="e">
        <f>VLOOKUP(G20,'ORÇAMENTO '!$G:$L,COLUMNS('ORÇAMENTO '!#REF!),0)</f>
        <v>#REF!</v>
      </c>
      <c r="L20" s="1190" t="e">
        <f>VLOOKUP(G20,'ORÇAMENTO '!$G:$M,COLUMNS('ORÇAMENTO '!#REF!),0)</f>
        <v>#REF!</v>
      </c>
      <c r="M20" s="1190" t="e">
        <f t="shared" si="3"/>
        <v>#REF!</v>
      </c>
      <c r="N20" s="1445" t="e">
        <f t="shared" si="4"/>
        <v>#REF!</v>
      </c>
      <c r="O20" s="1446" t="e">
        <f t="shared" si="6"/>
        <v>#REF!</v>
      </c>
      <c r="P20" s="1447" t="s">
        <v>451</v>
      </c>
      <c r="Q20" s="1370"/>
      <c r="R20" s="375" t="e">
        <f t="shared" si="5"/>
        <v>#REF!</v>
      </c>
      <c r="S20" s="1370" t="b">
        <f t="shared" si="7"/>
        <v>0</v>
      </c>
      <c r="U20" s="340"/>
    </row>
    <row r="21" spans="1:21" s="341" customFormat="1" ht="15.75">
      <c r="A21" s="341" t="e">
        <f t="shared" ca="1" si="0"/>
        <v>#REF!</v>
      </c>
      <c r="B21" s="341" t="e">
        <f>IF(OR(C21=1,D21=1),SUMIF($A$16:A21,A21,$C$16:C21),"")</f>
        <v>#REF!</v>
      </c>
      <c r="C21" s="341">
        <f t="shared" si="1"/>
        <v>1</v>
      </c>
      <c r="D21" s="662" t="e">
        <f t="shared" si="2"/>
        <v>#REF!</v>
      </c>
      <c r="E21" s="662"/>
      <c r="F21" s="1099">
        <v>73</v>
      </c>
      <c r="G21" s="1448" t="s">
        <v>1743</v>
      </c>
      <c r="H21" s="1222" t="s">
        <v>492</v>
      </c>
      <c r="I21" s="1215" t="s">
        <v>0</v>
      </c>
      <c r="J21" s="1229">
        <v>91.75</v>
      </c>
      <c r="K21" s="1190" t="e">
        <f>VLOOKUP(G21,'ORÇAMENTO '!$G:$L,COLUMNS('ORÇAMENTO '!#REF!),0)</f>
        <v>#REF!</v>
      </c>
      <c r="L21" s="1190" t="e">
        <f>VLOOKUP(G21,'ORÇAMENTO '!$G:$M,COLUMNS('ORÇAMENTO '!#REF!),0)</f>
        <v>#REF!</v>
      </c>
      <c r="M21" s="1190" t="e">
        <f t="shared" si="3"/>
        <v>#REF!</v>
      </c>
      <c r="N21" s="1445" t="e">
        <f t="shared" si="4"/>
        <v>#REF!</v>
      </c>
      <c r="O21" s="1446" t="e">
        <f t="shared" si="6"/>
        <v>#REF!</v>
      </c>
      <c r="P21" s="1447" t="s">
        <v>451</v>
      </c>
      <c r="Q21" s="1370"/>
      <c r="R21" s="375" t="e">
        <f t="shared" si="5"/>
        <v>#REF!</v>
      </c>
      <c r="S21" s="1370" t="b">
        <f t="shared" si="7"/>
        <v>0</v>
      </c>
      <c r="U21" s="340"/>
    </row>
    <row r="22" spans="1:21" s="341" customFormat="1" ht="45">
      <c r="A22" s="341" t="e">
        <f t="shared" ca="1" si="0"/>
        <v>#REF!</v>
      </c>
      <c r="B22" s="341" t="e">
        <f>IF(OR(C22=1,D22=1),SUMIF($A$16:A22,A22,$C$16:C22),"")</f>
        <v>#REF!</v>
      </c>
      <c r="C22" s="341">
        <f t="shared" si="1"/>
        <v>1</v>
      </c>
      <c r="D22" s="662" t="e">
        <f t="shared" si="2"/>
        <v>#REF!</v>
      </c>
      <c r="E22" s="662"/>
      <c r="F22" s="1099">
        <v>19</v>
      </c>
      <c r="G22" s="1099">
        <v>94990</v>
      </c>
      <c r="H22" s="1222" t="s">
        <v>1513</v>
      </c>
      <c r="I22" s="1215" t="s">
        <v>19</v>
      </c>
      <c r="J22" s="1229">
        <f>31.72+10.54</f>
        <v>42.26</v>
      </c>
      <c r="K22" s="1190" t="e">
        <f>VLOOKUP(G22,'ORÇAMENTO '!$G:$L,COLUMNS('ORÇAMENTO '!#REF!),0)</f>
        <v>#REF!</v>
      </c>
      <c r="L22" s="1190" t="e">
        <f>VLOOKUP(G22,'ORÇAMENTO '!$G:$M,COLUMNS('ORÇAMENTO '!#REF!),0)</f>
        <v>#REF!</v>
      </c>
      <c r="M22" s="1190" t="e">
        <f t="shared" si="3"/>
        <v>#REF!</v>
      </c>
      <c r="N22" s="1446" t="e">
        <f t="shared" si="4"/>
        <v>#REF!</v>
      </c>
      <c r="O22" s="1446" t="e">
        <f t="shared" si="6"/>
        <v>#REF!</v>
      </c>
      <c r="P22" s="1447" t="s">
        <v>451</v>
      </c>
      <c r="Q22" s="1370"/>
      <c r="R22" s="375" t="e">
        <f t="shared" si="5"/>
        <v>#REF!</v>
      </c>
      <c r="S22" s="1370" t="b">
        <f t="shared" si="7"/>
        <v>0</v>
      </c>
      <c r="U22" s="340"/>
    </row>
    <row r="23" spans="1:21" s="341" customFormat="1" ht="75">
      <c r="A23" s="341" t="e">
        <f t="shared" ca="1" si="0"/>
        <v>#REF!</v>
      </c>
      <c r="B23" s="341" t="e">
        <f>IF(OR(C23=1,D23=1),SUMIF($A$16:A23,A23,$C$16:C23),"")</f>
        <v>#REF!</v>
      </c>
      <c r="C23" s="341">
        <f t="shared" si="1"/>
        <v>1</v>
      </c>
      <c r="D23" s="662" t="e">
        <f t="shared" si="2"/>
        <v>#REF!</v>
      </c>
      <c r="E23" s="662"/>
      <c r="F23" s="1099">
        <v>20</v>
      </c>
      <c r="G23" s="1099">
        <v>102362</v>
      </c>
      <c r="H23" s="1222" t="s">
        <v>4596</v>
      </c>
      <c r="I23" s="1215" t="s">
        <v>0</v>
      </c>
      <c r="J23" s="1229">
        <v>151.9</v>
      </c>
      <c r="K23" s="1190" t="e">
        <f>VLOOKUP(G23,'ORÇAMENTO '!$G:$L,COLUMNS('ORÇAMENTO '!#REF!),0)</f>
        <v>#REF!</v>
      </c>
      <c r="L23" s="1190" t="e">
        <f>VLOOKUP(G23,'ORÇAMENTO '!$G:$M,COLUMNS('ORÇAMENTO '!#REF!),0)</f>
        <v>#REF!</v>
      </c>
      <c r="M23" s="1190" t="e">
        <f t="shared" si="3"/>
        <v>#REF!</v>
      </c>
      <c r="N23" s="1445" t="e">
        <f t="shared" si="4"/>
        <v>#REF!</v>
      </c>
      <c r="O23" s="1446" t="e">
        <f t="shared" si="6"/>
        <v>#REF!</v>
      </c>
      <c r="P23" s="1447" t="s">
        <v>451</v>
      </c>
      <c r="Q23" s="1370"/>
      <c r="R23" s="375" t="e">
        <f t="shared" si="5"/>
        <v>#REF!</v>
      </c>
      <c r="S23" s="1370" t="b">
        <f t="shared" si="7"/>
        <v>0</v>
      </c>
      <c r="U23" s="340"/>
    </row>
    <row r="24" spans="1:21" s="341" customFormat="1" ht="15.75">
      <c r="A24" s="341" t="e">
        <f t="shared" ca="1" si="0"/>
        <v>#REF!</v>
      </c>
      <c r="B24" s="341" t="e">
        <f>IF(OR(C24=1,D24=1),SUMIF($A$16:A24,A24,$C$16:C24),"")</f>
        <v>#REF!</v>
      </c>
      <c r="C24" s="341">
        <f t="shared" si="1"/>
        <v>1</v>
      </c>
      <c r="D24" s="662" t="e">
        <f t="shared" si="2"/>
        <v>#REF!</v>
      </c>
      <c r="E24" s="662"/>
      <c r="F24" s="1099">
        <v>1</v>
      </c>
      <c r="G24" s="1224" t="s">
        <v>501</v>
      </c>
      <c r="H24" s="1222" t="s">
        <v>412</v>
      </c>
      <c r="I24" s="1215" t="s">
        <v>22</v>
      </c>
      <c r="J24" s="1229">
        <v>1</v>
      </c>
      <c r="K24" s="1190" t="e">
        <f>VLOOKUP(G24,'ORÇAMENTO '!$G:$L,COLUMNS('ORÇAMENTO '!#REF!),0)</f>
        <v>#REF!</v>
      </c>
      <c r="L24" s="1190" t="e">
        <f>VLOOKUP(G24,'ORÇAMENTO '!$G:$M,COLUMNS('ORÇAMENTO '!#REF!),0)</f>
        <v>#REF!</v>
      </c>
      <c r="M24" s="1190" t="e">
        <f t="shared" si="3"/>
        <v>#REF!</v>
      </c>
      <c r="N24" s="1445" t="e">
        <f t="shared" si="4"/>
        <v>#REF!</v>
      </c>
      <c r="O24" s="1446" t="e">
        <f t="shared" si="6"/>
        <v>#REF!</v>
      </c>
      <c r="P24" s="1449" t="s">
        <v>473</v>
      </c>
      <c r="Q24" s="1370"/>
      <c r="R24" s="375" t="e">
        <f t="shared" si="5"/>
        <v>#REF!</v>
      </c>
      <c r="S24" s="1370" t="b">
        <f t="shared" si="7"/>
        <v>0</v>
      </c>
      <c r="U24" s="340"/>
    </row>
    <row r="25" spans="1:21" s="338" customFormat="1" ht="45">
      <c r="A25" s="341" t="e">
        <f t="shared" ca="1" si="0"/>
        <v>#REF!</v>
      </c>
      <c r="B25" s="341" t="e">
        <f>IF(OR(C25=1,D25=1),SUMIF($A$16:A25,A25,$C$16:C25),"")</f>
        <v>#REF!</v>
      </c>
      <c r="C25" s="341">
        <f t="shared" si="1"/>
        <v>1</v>
      </c>
      <c r="D25" s="662" t="e">
        <f t="shared" si="2"/>
        <v>#REF!</v>
      </c>
      <c r="E25" s="662"/>
      <c r="F25" s="1099">
        <v>26</v>
      </c>
      <c r="G25" s="1192">
        <v>102666</v>
      </c>
      <c r="H25" s="1222" t="s">
        <v>4777</v>
      </c>
      <c r="I25" s="1215" t="s">
        <v>21</v>
      </c>
      <c r="J25" s="1229">
        <v>223</v>
      </c>
      <c r="K25" s="1190" t="e">
        <f>VLOOKUP(G25,'ORÇAMENTO '!$G:$L,COLUMNS('ORÇAMENTO '!#REF!),0)</f>
        <v>#REF!</v>
      </c>
      <c r="L25" s="1190" t="e">
        <f>VLOOKUP(G25,'ORÇAMENTO '!$G:$M,COLUMNS('ORÇAMENTO '!#REF!),0)</f>
        <v>#REF!</v>
      </c>
      <c r="M25" s="1190" t="e">
        <f t="shared" si="3"/>
        <v>#REF!</v>
      </c>
      <c r="N25" s="1445" t="e">
        <f t="shared" si="4"/>
        <v>#REF!</v>
      </c>
      <c r="O25" s="1446" t="e">
        <f t="shared" si="6"/>
        <v>#REF!</v>
      </c>
      <c r="P25" s="1449" t="s">
        <v>473</v>
      </c>
      <c r="Q25" s="1370"/>
      <c r="R25" s="375" t="e">
        <f t="shared" si="5"/>
        <v>#REF!</v>
      </c>
      <c r="S25" s="1370" t="b">
        <f t="shared" si="7"/>
        <v>0</v>
      </c>
    </row>
    <row r="26" spans="1:21" s="341" customFormat="1" ht="15.75">
      <c r="A26" s="341" t="e">
        <f t="shared" ca="1" si="0"/>
        <v>#REF!</v>
      </c>
      <c r="B26" s="341" t="e">
        <f>IF(OR(C26=1,D26=1),SUMIF($A$16:A26,A26,$C$16:C26),"")</f>
        <v>#REF!</v>
      </c>
      <c r="C26" s="341">
        <f t="shared" si="1"/>
        <v>1</v>
      </c>
      <c r="D26" s="662" t="e">
        <f t="shared" si="2"/>
        <v>#REF!</v>
      </c>
      <c r="E26" s="662"/>
      <c r="F26" s="1099">
        <v>46</v>
      </c>
      <c r="G26" s="1192" t="s">
        <v>1827</v>
      </c>
      <c r="H26" s="1222" t="s">
        <v>2171</v>
      </c>
      <c r="I26" s="1215" t="s">
        <v>21</v>
      </c>
      <c r="J26" s="1229">
        <v>204</v>
      </c>
      <c r="K26" s="1190" t="e">
        <f>VLOOKUP(G26,'ORÇAMENTO '!$G:$L,COLUMNS('ORÇAMENTO '!#REF!),0)</f>
        <v>#REF!</v>
      </c>
      <c r="L26" s="1190" t="e">
        <f>VLOOKUP(G26,'ORÇAMENTO '!$G:$M,COLUMNS('ORÇAMENTO '!#REF!),0)</f>
        <v>#REF!</v>
      </c>
      <c r="M26" s="1190" t="e">
        <f t="shared" si="3"/>
        <v>#REF!</v>
      </c>
      <c r="N26" s="1445" t="e">
        <f t="shared" si="4"/>
        <v>#REF!</v>
      </c>
      <c r="O26" s="1446" t="e">
        <f t="shared" si="6"/>
        <v>#REF!</v>
      </c>
      <c r="P26" s="1449" t="s">
        <v>473</v>
      </c>
      <c r="Q26" s="1370"/>
      <c r="R26" s="375" t="e">
        <f t="shared" si="5"/>
        <v>#REF!</v>
      </c>
      <c r="S26" s="1370" t="b">
        <f t="shared" si="7"/>
        <v>0</v>
      </c>
      <c r="U26" s="340"/>
    </row>
    <row r="27" spans="1:21" s="341" customFormat="1" ht="45">
      <c r="A27" s="341" t="e">
        <f t="shared" ca="1" si="0"/>
        <v>#REF!</v>
      </c>
      <c r="B27" s="341" t="e">
        <f>IF(OR(C27=1,D27=1),SUMIF($A$16:A27,A27,$C$16:C27),"")</f>
        <v>#REF!</v>
      </c>
      <c r="C27" s="341">
        <f t="shared" si="1"/>
        <v>1</v>
      </c>
      <c r="D27" s="662" t="e">
        <f t="shared" si="2"/>
        <v>#REF!</v>
      </c>
      <c r="E27" s="662"/>
      <c r="F27" s="1099">
        <v>5</v>
      </c>
      <c r="G27" s="1224">
        <v>93212</v>
      </c>
      <c r="H27" s="1222" t="s">
        <v>759</v>
      </c>
      <c r="I27" s="1215" t="s">
        <v>0</v>
      </c>
      <c r="J27" s="1229">
        <v>10</v>
      </c>
      <c r="K27" s="1190" t="e">
        <f>VLOOKUP(G27,'ORÇAMENTO '!$G:$L,COLUMNS('ORÇAMENTO '!#REF!),0)</f>
        <v>#REF!</v>
      </c>
      <c r="L27" s="1190" t="e">
        <f>VLOOKUP(G27,'ORÇAMENTO '!$G:$M,COLUMNS('ORÇAMENTO '!#REF!),0)</f>
        <v>#REF!</v>
      </c>
      <c r="M27" s="1190" t="e">
        <f t="shared" si="3"/>
        <v>#REF!</v>
      </c>
      <c r="N27" s="1446" t="e">
        <f t="shared" si="4"/>
        <v>#REF!</v>
      </c>
      <c r="O27" s="1446" t="e">
        <f t="shared" si="6"/>
        <v>#REF!</v>
      </c>
      <c r="P27" s="1449" t="s">
        <v>473</v>
      </c>
      <c r="Q27" s="1370"/>
      <c r="R27" s="375" t="e">
        <f t="shared" si="5"/>
        <v>#REF!</v>
      </c>
      <c r="S27" s="1370" t="b">
        <f t="shared" si="7"/>
        <v>0</v>
      </c>
      <c r="U27" s="340"/>
    </row>
    <row r="28" spans="1:21" s="338" customFormat="1" ht="60">
      <c r="A28" s="341" t="e">
        <f t="shared" ca="1" si="0"/>
        <v>#REF!</v>
      </c>
      <c r="B28" s="341" t="e">
        <f>IF(OR(C28=1,D28=1),SUMIF($A$16:A28,A28,$C$16:C28),"")</f>
        <v>#REF!</v>
      </c>
      <c r="C28" s="341">
        <f t="shared" si="1"/>
        <v>1</v>
      </c>
      <c r="D28" s="662" t="e">
        <f t="shared" si="2"/>
        <v>#REF!</v>
      </c>
      <c r="E28" s="662"/>
      <c r="F28" s="1099">
        <v>16</v>
      </c>
      <c r="G28" s="1224">
        <v>92540</v>
      </c>
      <c r="H28" s="1222" t="s">
        <v>2291</v>
      </c>
      <c r="I28" s="1215" t="s">
        <v>0</v>
      </c>
      <c r="J28" s="1229">
        <v>98.97</v>
      </c>
      <c r="K28" s="1190" t="e">
        <f>VLOOKUP(G28,'ORÇAMENTO '!$G:$L,COLUMNS('ORÇAMENTO '!#REF!),0)</f>
        <v>#REF!</v>
      </c>
      <c r="L28" s="1190" t="e">
        <f>VLOOKUP(G28,'ORÇAMENTO '!$G:$M,COLUMNS('ORÇAMENTO '!#REF!),0)</f>
        <v>#REF!</v>
      </c>
      <c r="M28" s="1190" t="e">
        <f t="shared" si="3"/>
        <v>#REF!</v>
      </c>
      <c r="N28" s="1446" t="e">
        <f t="shared" si="4"/>
        <v>#REF!</v>
      </c>
      <c r="O28" s="1446" t="e">
        <f t="shared" si="6"/>
        <v>#REF!</v>
      </c>
      <c r="P28" s="1449" t="s">
        <v>473</v>
      </c>
      <c r="Q28" s="1370"/>
      <c r="R28" s="375" t="e">
        <f t="shared" si="5"/>
        <v>#REF!</v>
      </c>
      <c r="S28" s="1370" t="b">
        <f t="shared" si="7"/>
        <v>0</v>
      </c>
    </row>
    <row r="29" spans="1:21" s="341" customFormat="1" ht="45">
      <c r="A29" s="341" t="e">
        <f t="shared" ca="1" si="0"/>
        <v>#REF!</v>
      </c>
      <c r="B29" s="341" t="e">
        <f>IF(OR(C29=1,D29=1),SUMIF($A$16:A29,A29,$C$16:C29),"")</f>
        <v>#REF!</v>
      </c>
      <c r="C29" s="341">
        <f t="shared" si="1"/>
        <v>1</v>
      </c>
      <c r="D29" s="662" t="e">
        <f t="shared" si="2"/>
        <v>#REF!</v>
      </c>
      <c r="E29" s="662"/>
      <c r="F29" s="1099">
        <v>29</v>
      </c>
      <c r="G29" s="1192">
        <v>98065</v>
      </c>
      <c r="H29" s="1222" t="s">
        <v>4454</v>
      </c>
      <c r="I29" s="1215" t="s">
        <v>22</v>
      </c>
      <c r="J29" s="1229">
        <v>1</v>
      </c>
      <c r="K29" s="1190" t="e">
        <f>VLOOKUP(G29,'ORÇAMENTO '!$G:$L,COLUMNS('ORÇAMENTO '!#REF!),0)</f>
        <v>#REF!</v>
      </c>
      <c r="L29" s="1190" t="e">
        <f>VLOOKUP(G29,'ORÇAMENTO '!$G:$M,COLUMNS('ORÇAMENTO '!#REF!),0)</f>
        <v>#REF!</v>
      </c>
      <c r="M29" s="1190" t="e">
        <f t="shared" si="3"/>
        <v>#REF!</v>
      </c>
      <c r="N29" s="1446" t="e">
        <f t="shared" si="4"/>
        <v>#REF!</v>
      </c>
      <c r="O29" s="1446" t="e">
        <f t="shared" si="6"/>
        <v>#REF!</v>
      </c>
      <c r="P29" s="1449" t="s">
        <v>473</v>
      </c>
      <c r="Q29" s="1370"/>
      <c r="R29" s="375" t="e">
        <f t="shared" si="5"/>
        <v>#REF!</v>
      </c>
      <c r="S29" s="1370" t="b">
        <f t="shared" si="7"/>
        <v>0</v>
      </c>
      <c r="U29" s="340"/>
    </row>
    <row r="30" spans="1:21" s="338" customFormat="1" ht="30">
      <c r="A30" s="341" t="e">
        <f t="shared" ca="1" si="0"/>
        <v>#REF!</v>
      </c>
      <c r="B30" s="341" t="e">
        <f>IF(OR(C30=1,D30=1),SUMIF($A$16:A30,A30,$C$16:C30),"")</f>
        <v>#REF!</v>
      </c>
      <c r="C30" s="341">
        <f t="shared" si="1"/>
        <v>1</v>
      </c>
      <c r="D30" s="662" t="e">
        <f t="shared" si="2"/>
        <v>#REF!</v>
      </c>
      <c r="E30" s="662"/>
      <c r="F30" s="1099">
        <v>14</v>
      </c>
      <c r="G30" s="1192" t="s">
        <v>1578</v>
      </c>
      <c r="H30" s="1222" t="s">
        <v>5554</v>
      </c>
      <c r="I30" s="1215" t="s">
        <v>21</v>
      </c>
      <c r="J30" s="1229">
        <v>14.79</v>
      </c>
      <c r="K30" s="1190" t="e">
        <f>VLOOKUP(G30,'ORÇAMENTO '!$G:$L,COLUMNS('ORÇAMENTO '!#REF!),0)</f>
        <v>#REF!</v>
      </c>
      <c r="L30" s="1190" t="e">
        <f>VLOOKUP(G30,'ORÇAMENTO '!$G:$M,COLUMNS('ORÇAMENTO '!#REF!),0)</f>
        <v>#REF!</v>
      </c>
      <c r="M30" s="1190" t="e">
        <f t="shared" si="3"/>
        <v>#REF!</v>
      </c>
      <c r="N30" s="1445" t="e">
        <f t="shared" si="4"/>
        <v>#REF!</v>
      </c>
      <c r="O30" s="1446" t="e">
        <f t="shared" si="6"/>
        <v>#REF!</v>
      </c>
      <c r="P30" s="1449" t="s">
        <v>473</v>
      </c>
      <c r="Q30" s="1370"/>
      <c r="R30" s="375" t="e">
        <f t="shared" si="5"/>
        <v>#REF!</v>
      </c>
      <c r="S30" s="1370" t="b">
        <f t="shared" si="7"/>
        <v>0</v>
      </c>
    </row>
    <row r="31" spans="1:21" s="338" customFormat="1" ht="45">
      <c r="A31" s="341" t="e">
        <f t="shared" ca="1" si="0"/>
        <v>#REF!</v>
      </c>
      <c r="B31" s="341" t="e">
        <f>IF(OR(C31=1,D31=1),SUMIF($A$16:A31,A31,$C$16:C31),"")</f>
        <v>#REF!</v>
      </c>
      <c r="C31" s="341">
        <f t="shared" si="1"/>
        <v>1</v>
      </c>
      <c r="D31" s="662" t="e">
        <f t="shared" si="2"/>
        <v>#REF!</v>
      </c>
      <c r="E31" s="662"/>
      <c r="F31" s="1099">
        <v>6</v>
      </c>
      <c r="G31" s="1192">
        <v>93214</v>
      </c>
      <c r="H31" s="1222" t="s">
        <v>1987</v>
      </c>
      <c r="I31" s="1215" t="s">
        <v>22</v>
      </c>
      <c r="J31" s="1229">
        <v>1</v>
      </c>
      <c r="K31" s="1190" t="e">
        <f>VLOOKUP(G31,'ORÇAMENTO '!$G:$L,COLUMNS('ORÇAMENTO '!#REF!),0)</f>
        <v>#REF!</v>
      </c>
      <c r="L31" s="1190" t="e">
        <f>VLOOKUP(G31,'ORÇAMENTO '!$G:$M,COLUMNS('ORÇAMENTO '!#REF!),0)</f>
        <v>#REF!</v>
      </c>
      <c r="M31" s="1190" t="e">
        <f t="shared" si="3"/>
        <v>#REF!</v>
      </c>
      <c r="N31" s="1446" t="e">
        <f t="shared" si="4"/>
        <v>#REF!</v>
      </c>
      <c r="O31" s="1446" t="e">
        <f t="shared" si="6"/>
        <v>#REF!</v>
      </c>
      <c r="P31" s="1449" t="s">
        <v>473</v>
      </c>
      <c r="Q31" s="1370"/>
      <c r="R31" s="375" t="e">
        <f t="shared" si="5"/>
        <v>#REF!</v>
      </c>
      <c r="S31" s="1370" t="b">
        <f t="shared" si="7"/>
        <v>0</v>
      </c>
    </row>
    <row r="32" spans="1:21" s="338" customFormat="1" ht="30">
      <c r="A32" s="341" t="e">
        <f t="shared" ca="1" si="0"/>
        <v>#REF!</v>
      </c>
      <c r="B32" s="341" t="e">
        <f>IF(OR(C32=1,D32=1),SUMIF($A$16:A32,A32,$C$16:C32),"")</f>
        <v>#REF!</v>
      </c>
      <c r="C32" s="341">
        <f t="shared" si="1"/>
        <v>1</v>
      </c>
      <c r="D32" s="662" t="e">
        <f t="shared" si="2"/>
        <v>#REF!</v>
      </c>
      <c r="E32" s="662"/>
      <c r="F32" s="1099">
        <v>61</v>
      </c>
      <c r="G32" s="1192">
        <v>101176</v>
      </c>
      <c r="H32" s="1222" t="s">
        <v>3230</v>
      </c>
      <c r="I32" s="1215" t="s">
        <v>21</v>
      </c>
      <c r="J32" s="1229">
        <v>40</v>
      </c>
      <c r="K32" s="1190" t="e">
        <f>VLOOKUP(G32,'ORÇAMENTO '!$G:$L,COLUMNS('ORÇAMENTO '!#REF!),0)</f>
        <v>#REF!</v>
      </c>
      <c r="L32" s="1190" t="e">
        <f>VLOOKUP(G32,'ORÇAMENTO '!$G:$M,COLUMNS('ORÇAMENTO '!#REF!),0)</f>
        <v>#REF!</v>
      </c>
      <c r="M32" s="1190" t="e">
        <f t="shared" si="3"/>
        <v>#REF!</v>
      </c>
      <c r="N32" s="1445" t="e">
        <f t="shared" si="4"/>
        <v>#REF!</v>
      </c>
      <c r="O32" s="1446" t="e">
        <f t="shared" si="6"/>
        <v>#REF!</v>
      </c>
      <c r="P32" s="1449" t="s">
        <v>473</v>
      </c>
      <c r="Q32" s="1370">
        <f>31.72+10.54</f>
        <v>42.26</v>
      </c>
      <c r="R32" s="375" t="e">
        <f t="shared" si="5"/>
        <v>#REF!</v>
      </c>
      <c r="S32" s="1370" t="b">
        <f t="shared" si="7"/>
        <v>0</v>
      </c>
    </row>
    <row r="33" spans="1:21" s="338" customFormat="1" ht="45">
      <c r="A33" s="341" t="e">
        <f t="shared" ca="1" si="0"/>
        <v>#REF!</v>
      </c>
      <c r="B33" s="341" t="e">
        <f>IF(OR(C33=1,D33=1),SUMIF($A$16:A33,A33,$C$16:C33),"")</f>
        <v>#REF!</v>
      </c>
      <c r="C33" s="341">
        <f t="shared" si="1"/>
        <v>1</v>
      </c>
      <c r="D33" s="662" t="e">
        <f t="shared" si="2"/>
        <v>#REF!</v>
      </c>
      <c r="E33" s="662">
        <v>23.336567164179105</v>
      </c>
      <c r="F33" s="1099">
        <v>27</v>
      </c>
      <c r="G33" s="1224">
        <v>89580</v>
      </c>
      <c r="H33" s="1222" t="s">
        <v>1352</v>
      </c>
      <c r="I33" s="1215" t="s">
        <v>21</v>
      </c>
      <c r="J33" s="1229">
        <v>51.5</v>
      </c>
      <c r="K33" s="1190" t="e">
        <f>VLOOKUP(G33,'ORÇAMENTO '!$G:$L,COLUMNS('ORÇAMENTO '!#REF!),0)</f>
        <v>#REF!</v>
      </c>
      <c r="L33" s="1190" t="e">
        <f>VLOOKUP(G33,'ORÇAMENTO '!$G:$M,COLUMNS('ORÇAMENTO '!#REF!),0)</f>
        <v>#REF!</v>
      </c>
      <c r="M33" s="1190" t="e">
        <f t="shared" si="3"/>
        <v>#REF!</v>
      </c>
      <c r="N33" s="1446" t="e">
        <f t="shared" si="4"/>
        <v>#REF!</v>
      </c>
      <c r="O33" s="1446" t="e">
        <f t="shared" si="6"/>
        <v>#REF!</v>
      </c>
      <c r="P33" s="1449" t="s">
        <v>473</v>
      </c>
      <c r="Q33" s="1450"/>
      <c r="R33" s="375" t="e">
        <f t="shared" si="5"/>
        <v>#REF!</v>
      </c>
      <c r="S33" s="1370" t="b">
        <f t="shared" si="7"/>
        <v>0</v>
      </c>
      <c r="T33" s="791">
        <v>289.37343283582089</v>
      </c>
    </row>
    <row r="34" spans="1:21" s="338" customFormat="1" ht="30">
      <c r="A34" s="341" t="e">
        <f t="shared" ca="1" si="0"/>
        <v>#REF!</v>
      </c>
      <c r="B34" s="341" t="e">
        <f>IF(OR(C34=1,D34=1),SUMIF($A$16:A34,A34,$C$16:C34),"")</f>
        <v>#REF!</v>
      </c>
      <c r="C34" s="341">
        <f t="shared" si="1"/>
        <v>1</v>
      </c>
      <c r="D34" s="662" t="e">
        <f t="shared" si="2"/>
        <v>#REF!</v>
      </c>
      <c r="E34" s="662"/>
      <c r="F34" s="1099">
        <v>4</v>
      </c>
      <c r="G34" s="1192">
        <v>93584</v>
      </c>
      <c r="H34" s="1222" t="s">
        <v>760</v>
      </c>
      <c r="I34" s="1215" t="s">
        <v>0</v>
      </c>
      <c r="J34" s="1229">
        <v>6</v>
      </c>
      <c r="K34" s="1190" t="e">
        <f>VLOOKUP(G34,'ORÇAMENTO '!$G:$L,COLUMNS('ORÇAMENTO '!#REF!),0)</f>
        <v>#REF!</v>
      </c>
      <c r="L34" s="1190" t="e">
        <f>VLOOKUP(G34,'ORÇAMENTO '!$G:$M,COLUMNS('ORÇAMENTO '!#REF!),0)</f>
        <v>#REF!</v>
      </c>
      <c r="M34" s="1190" t="e">
        <f t="shared" si="3"/>
        <v>#REF!</v>
      </c>
      <c r="N34" s="1446" t="e">
        <f t="shared" si="4"/>
        <v>#REF!</v>
      </c>
      <c r="O34" s="1446" t="e">
        <f t="shared" si="6"/>
        <v>#REF!</v>
      </c>
      <c r="P34" s="1449" t="s">
        <v>473</v>
      </c>
      <c r="Q34" s="1370"/>
      <c r="R34" s="375" t="e">
        <f t="shared" si="5"/>
        <v>#REF!</v>
      </c>
      <c r="S34" s="1370" t="b">
        <f t="shared" si="7"/>
        <v>0</v>
      </c>
    </row>
    <row r="35" spans="1:21" s="338" customFormat="1" ht="15.75">
      <c r="A35" s="341" t="e">
        <f t="shared" ca="1" si="0"/>
        <v>#REF!</v>
      </c>
      <c r="B35" s="341" t="e">
        <f>IF(OR(C35=1,D35=1),SUMIF($A$16:A35,A35,$C$16:C35),"")</f>
        <v>#REF!</v>
      </c>
      <c r="C35" s="341">
        <f t="shared" si="1"/>
        <v>1</v>
      </c>
      <c r="D35" s="662" t="e">
        <f t="shared" si="2"/>
        <v>#REF!</v>
      </c>
      <c r="E35" s="662"/>
      <c r="F35" s="1099">
        <v>49</v>
      </c>
      <c r="G35" s="1192" t="s">
        <v>1740</v>
      </c>
      <c r="H35" s="1222" t="s">
        <v>2241</v>
      </c>
      <c r="I35" s="1215" t="s">
        <v>22</v>
      </c>
      <c r="J35" s="1229">
        <v>2</v>
      </c>
      <c r="K35" s="1190" t="e">
        <f>VLOOKUP(G35,'ORÇAMENTO '!$G:$L,COLUMNS('ORÇAMENTO '!#REF!),0)</f>
        <v>#REF!</v>
      </c>
      <c r="L35" s="1190" t="e">
        <f>VLOOKUP(G35,'ORÇAMENTO '!$G:$M,COLUMNS('ORÇAMENTO '!#REF!),0)</f>
        <v>#REF!</v>
      </c>
      <c r="M35" s="1190" t="e">
        <f t="shared" si="3"/>
        <v>#REF!</v>
      </c>
      <c r="N35" s="1445" t="e">
        <f t="shared" si="4"/>
        <v>#REF!</v>
      </c>
      <c r="O35" s="1446" t="e">
        <f t="shared" si="6"/>
        <v>#REF!</v>
      </c>
      <c r="P35" s="1449" t="s">
        <v>473</v>
      </c>
      <c r="Q35" s="1370"/>
      <c r="R35" s="375" t="e">
        <f t="shared" si="5"/>
        <v>#REF!</v>
      </c>
      <c r="S35" s="1370" t="b">
        <f t="shared" si="7"/>
        <v>0</v>
      </c>
    </row>
    <row r="36" spans="1:21" s="338" customFormat="1" ht="15.75">
      <c r="A36" s="341" t="e">
        <f t="shared" ca="1" si="0"/>
        <v>#REF!</v>
      </c>
      <c r="B36" s="341" t="e">
        <f>IF(OR(C36=1,D36=1),SUMIF($A$16:A36,A36,$C$16:C36),"")</f>
        <v>#REF!</v>
      </c>
      <c r="C36" s="341">
        <f t="shared" si="1"/>
        <v>1</v>
      </c>
      <c r="D36" s="662" t="e">
        <f t="shared" si="2"/>
        <v>#REF!</v>
      </c>
      <c r="E36" s="662">
        <v>2.9402985074626864</v>
      </c>
      <c r="F36" s="1099">
        <v>15</v>
      </c>
      <c r="G36" s="1224" t="s">
        <v>1739</v>
      </c>
      <c r="H36" s="1222" t="s">
        <v>5047</v>
      </c>
      <c r="I36" s="1215" t="s">
        <v>22</v>
      </c>
      <c r="J36" s="1229">
        <v>6</v>
      </c>
      <c r="K36" s="1190" t="e">
        <f>VLOOKUP(G36,'ORÇAMENTO '!$G:$L,COLUMNS('ORÇAMENTO '!#REF!),0)</f>
        <v>#REF!</v>
      </c>
      <c r="L36" s="1190" t="e">
        <f>VLOOKUP(G36,'ORÇAMENTO '!$G:$M,COLUMNS('ORÇAMENTO '!#REF!),0)</f>
        <v>#REF!</v>
      </c>
      <c r="M36" s="1190" t="e">
        <f t="shared" si="3"/>
        <v>#REF!</v>
      </c>
      <c r="N36" s="1445" t="e">
        <f t="shared" si="4"/>
        <v>#REF!</v>
      </c>
      <c r="O36" s="1446" t="e">
        <f t="shared" si="6"/>
        <v>#REF!</v>
      </c>
      <c r="P36" s="1449" t="s">
        <v>473</v>
      </c>
      <c r="Q36" s="1450"/>
      <c r="R36" s="375" t="e">
        <f t="shared" si="5"/>
        <v>#REF!</v>
      </c>
      <c r="S36" s="1370" t="b">
        <f t="shared" si="7"/>
        <v>0</v>
      </c>
      <c r="T36" s="791">
        <v>36.459701492537313</v>
      </c>
    </row>
    <row r="37" spans="1:21" s="338" customFormat="1" ht="45">
      <c r="A37" s="341" t="e">
        <f t="shared" ca="1" si="0"/>
        <v>#REF!</v>
      </c>
      <c r="B37" s="341" t="e">
        <f>IF(OR(C37=1,D37=1),SUMIF($A$16:A37,A37,$C$16:C37),"")</f>
        <v>#REF!</v>
      </c>
      <c r="C37" s="341">
        <f t="shared" si="1"/>
        <v>1</v>
      </c>
      <c r="D37" s="662" t="e">
        <f t="shared" si="2"/>
        <v>#REF!</v>
      </c>
      <c r="E37" s="662"/>
      <c r="F37" s="1099">
        <v>68</v>
      </c>
      <c r="G37" s="1099">
        <v>100748</v>
      </c>
      <c r="H37" s="1222" t="s">
        <v>3163</v>
      </c>
      <c r="I37" s="1215" t="s">
        <v>0</v>
      </c>
      <c r="J37" s="1229">
        <f>382.48+150.21</f>
        <v>532.69000000000005</v>
      </c>
      <c r="K37" s="1190" t="e">
        <f>VLOOKUP(G37,'ORÇAMENTO '!$G:$L,COLUMNS('ORÇAMENTO '!#REF!),0)</f>
        <v>#REF!</v>
      </c>
      <c r="L37" s="1190" t="e">
        <f>VLOOKUP(G37,'ORÇAMENTO '!$G:$M,COLUMNS('ORÇAMENTO '!#REF!),0)</f>
        <v>#REF!</v>
      </c>
      <c r="M37" s="1190" t="e">
        <f t="shared" si="3"/>
        <v>#REF!</v>
      </c>
      <c r="N37" s="1445" t="e">
        <f t="shared" si="4"/>
        <v>#REF!</v>
      </c>
      <c r="O37" s="1446" t="e">
        <f t="shared" si="6"/>
        <v>#REF!</v>
      </c>
      <c r="P37" s="1449" t="s">
        <v>473</v>
      </c>
      <c r="Q37" s="1370"/>
      <c r="R37" s="375" t="e">
        <f t="shared" si="5"/>
        <v>#REF!</v>
      </c>
      <c r="S37" s="1370" t="b">
        <f t="shared" si="7"/>
        <v>0</v>
      </c>
    </row>
    <row r="38" spans="1:21" s="338" customFormat="1" ht="45">
      <c r="A38" s="341" t="e">
        <f t="shared" ca="1" si="0"/>
        <v>#REF!</v>
      </c>
      <c r="B38" s="341" t="e">
        <f>IF(OR(C38=1,D38=1),SUMIF($A$16:A38,A38,$C$16:C38),"")</f>
        <v>#REF!</v>
      </c>
      <c r="C38" s="341">
        <f t="shared" si="1"/>
        <v>1</v>
      </c>
      <c r="D38" s="662" t="e">
        <f t="shared" si="2"/>
        <v>#REF!</v>
      </c>
      <c r="E38" s="662">
        <v>24.014925373134329</v>
      </c>
      <c r="F38" s="1099">
        <v>17</v>
      </c>
      <c r="G38" s="1192">
        <v>94198</v>
      </c>
      <c r="H38" s="1222" t="s">
        <v>2335</v>
      </c>
      <c r="I38" s="1215" t="s">
        <v>0</v>
      </c>
      <c r="J38" s="1229">
        <v>98.97</v>
      </c>
      <c r="K38" s="1190" t="e">
        <f>VLOOKUP(G38,'ORÇAMENTO '!$G:$L,COLUMNS('ORÇAMENTO '!#REF!),0)</f>
        <v>#REF!</v>
      </c>
      <c r="L38" s="1190" t="e">
        <f>VLOOKUP(G38,'ORÇAMENTO '!$G:$M,COLUMNS('ORÇAMENTO '!#REF!),0)</f>
        <v>#REF!</v>
      </c>
      <c r="M38" s="1190" t="e">
        <f t="shared" si="3"/>
        <v>#REF!</v>
      </c>
      <c r="N38" s="1446" t="e">
        <f t="shared" si="4"/>
        <v>#REF!</v>
      </c>
      <c r="O38" s="1446" t="e">
        <f t="shared" si="6"/>
        <v>#REF!</v>
      </c>
      <c r="P38" s="1449" t="s">
        <v>473</v>
      </c>
      <c r="Q38" s="1450"/>
      <c r="R38" s="375" t="e">
        <f t="shared" si="5"/>
        <v>#REF!</v>
      </c>
      <c r="S38" s="1370" t="b">
        <f t="shared" si="7"/>
        <v>0</v>
      </c>
      <c r="T38" s="791">
        <v>297.78507462686571</v>
      </c>
    </row>
    <row r="39" spans="1:21" s="338" customFormat="1" ht="45">
      <c r="A39" s="341" t="e">
        <f t="shared" ca="1" si="0"/>
        <v>#REF!</v>
      </c>
      <c r="B39" s="341" t="e">
        <f>IF(OR(C39=1,D39=1),SUMIF($A$16:A39,A39,$C$16:C39),"")</f>
        <v>#REF!</v>
      </c>
      <c r="C39" s="341">
        <f t="shared" si="1"/>
        <v>1</v>
      </c>
      <c r="D39" s="662" t="e">
        <f t="shared" si="2"/>
        <v>#REF!</v>
      </c>
      <c r="E39" s="662"/>
      <c r="F39" s="1099">
        <v>63</v>
      </c>
      <c r="G39" s="1192">
        <v>92413</v>
      </c>
      <c r="H39" s="1222" t="s">
        <v>3671</v>
      </c>
      <c r="I39" s="1215" t="s">
        <v>0</v>
      </c>
      <c r="J39" s="1229">
        <v>44.53</v>
      </c>
      <c r="K39" s="1190" t="e">
        <f>VLOOKUP(G39,'ORÇAMENTO '!$G:$L,COLUMNS('ORÇAMENTO '!#REF!),0)</f>
        <v>#REF!</v>
      </c>
      <c r="L39" s="1190" t="e">
        <f>VLOOKUP(G39,'ORÇAMENTO '!$G:$M,COLUMNS('ORÇAMENTO '!#REF!),0)</f>
        <v>#REF!</v>
      </c>
      <c r="M39" s="1190" t="e">
        <f t="shared" si="3"/>
        <v>#REF!</v>
      </c>
      <c r="N39" s="1446" t="e">
        <f t="shared" si="4"/>
        <v>#REF!</v>
      </c>
      <c r="O39" s="1446" t="e">
        <f t="shared" si="6"/>
        <v>#REF!</v>
      </c>
      <c r="P39" s="1449" t="s">
        <v>473</v>
      </c>
      <c r="Q39" s="1370"/>
      <c r="R39" s="375" t="e">
        <f t="shared" si="5"/>
        <v>#REF!</v>
      </c>
      <c r="S39" s="1370" t="b">
        <f t="shared" si="7"/>
        <v>0</v>
      </c>
    </row>
    <row r="40" spans="1:21" s="338" customFormat="1" ht="30">
      <c r="A40" s="341" t="e">
        <f t="shared" ca="1" si="0"/>
        <v>#REF!</v>
      </c>
      <c r="B40" s="341" t="e">
        <f>IF(OR(C40=1,D40=1),SUMIF($A$16:A40,A40,$C$16:C40),"")</f>
        <v>#REF!</v>
      </c>
      <c r="C40" s="341">
        <f t="shared" si="1"/>
        <v>1</v>
      </c>
      <c r="D40" s="662" t="e">
        <f t="shared" si="2"/>
        <v>#REF!</v>
      </c>
      <c r="E40" s="662"/>
      <c r="F40" s="1099">
        <v>21</v>
      </c>
      <c r="G40" s="1099">
        <v>100323</v>
      </c>
      <c r="H40" s="1222" t="s">
        <v>4590</v>
      </c>
      <c r="I40" s="1215" t="s">
        <v>19</v>
      </c>
      <c r="J40" s="1229">
        <v>33.75</v>
      </c>
      <c r="K40" s="1190" t="e">
        <f>VLOOKUP(G40,'ORÇAMENTO '!$G:$L,COLUMNS('ORÇAMENTO '!#REF!),0)</f>
        <v>#REF!</v>
      </c>
      <c r="L40" s="1190" t="e">
        <f>VLOOKUP(G40,'ORÇAMENTO '!$G:$M,COLUMNS('ORÇAMENTO '!#REF!),0)</f>
        <v>#REF!</v>
      </c>
      <c r="M40" s="1190" t="e">
        <f t="shared" si="3"/>
        <v>#REF!</v>
      </c>
      <c r="N40" s="1445" t="e">
        <f t="shared" si="4"/>
        <v>#REF!</v>
      </c>
      <c r="O40" s="1446" t="e">
        <f t="shared" si="6"/>
        <v>#REF!</v>
      </c>
      <c r="P40" s="1449" t="s">
        <v>473</v>
      </c>
      <c r="Q40" s="1370"/>
      <c r="R40" s="375" t="e">
        <f t="shared" si="5"/>
        <v>#REF!</v>
      </c>
      <c r="S40" s="1370" t="b">
        <f t="shared" si="7"/>
        <v>0</v>
      </c>
    </row>
    <row r="41" spans="1:21" s="341" customFormat="1" ht="45">
      <c r="A41" s="341" t="e">
        <f t="shared" ca="1" si="0"/>
        <v>#REF!</v>
      </c>
      <c r="B41" s="341" t="e">
        <f>IF(OR(C41=1,D41=1),SUMIF($A$16:A41,A41,$C$16:C41),"")</f>
        <v>#REF!</v>
      </c>
      <c r="C41" s="341">
        <f t="shared" si="1"/>
        <v>1</v>
      </c>
      <c r="D41" s="662" t="e">
        <f t="shared" si="2"/>
        <v>#REF!</v>
      </c>
      <c r="E41" s="662"/>
      <c r="F41" s="1099">
        <v>22</v>
      </c>
      <c r="G41" s="1224">
        <v>100322</v>
      </c>
      <c r="H41" s="1222" t="s">
        <v>4589</v>
      </c>
      <c r="I41" s="1215" t="s">
        <v>19</v>
      </c>
      <c r="J41" s="1229">
        <v>33.75</v>
      </c>
      <c r="K41" s="1190" t="e">
        <f>VLOOKUP(G41,'ORÇAMENTO '!$G:$L,COLUMNS('ORÇAMENTO '!#REF!),0)</f>
        <v>#REF!</v>
      </c>
      <c r="L41" s="1190" t="e">
        <f>VLOOKUP(G41,'ORÇAMENTO '!$G:$M,COLUMNS('ORÇAMENTO '!#REF!),0)</f>
        <v>#REF!</v>
      </c>
      <c r="M41" s="1190" t="e">
        <f t="shared" si="3"/>
        <v>#REF!</v>
      </c>
      <c r="N41" s="1445" t="e">
        <f t="shared" si="4"/>
        <v>#REF!</v>
      </c>
      <c r="O41" s="1446" t="e">
        <f t="shared" si="6"/>
        <v>#REF!</v>
      </c>
      <c r="P41" s="1449" t="s">
        <v>473</v>
      </c>
      <c r="Q41" s="1370"/>
      <c r="R41" s="375" t="e">
        <f t="shared" si="5"/>
        <v>#REF!</v>
      </c>
      <c r="S41" s="1370" t="b">
        <f t="shared" si="7"/>
        <v>0</v>
      </c>
      <c r="U41" s="340"/>
    </row>
    <row r="42" spans="1:21" s="338" customFormat="1" ht="30">
      <c r="A42" s="341" t="e">
        <f t="shared" ca="1" si="0"/>
        <v>#REF!</v>
      </c>
      <c r="B42" s="341" t="e">
        <f>IF(OR(C42=1,D42=1),SUMIF($A$16:A42,A42,$C$16:C42),"")</f>
        <v>#REF!</v>
      </c>
      <c r="C42" s="341">
        <f t="shared" si="1"/>
        <v>1</v>
      </c>
      <c r="D42" s="662" t="e">
        <f t="shared" si="2"/>
        <v>#REF!</v>
      </c>
      <c r="E42" s="662"/>
      <c r="F42" s="1099">
        <v>34</v>
      </c>
      <c r="G42" s="1224">
        <v>96985</v>
      </c>
      <c r="H42" s="1222" t="s">
        <v>1989</v>
      </c>
      <c r="I42" s="1215" t="s">
        <v>22</v>
      </c>
      <c r="J42" s="1229">
        <v>54</v>
      </c>
      <c r="K42" s="1190" t="e">
        <f>VLOOKUP(G42,'ORÇAMENTO '!$G:$L,COLUMNS('ORÇAMENTO '!#REF!),0)</f>
        <v>#REF!</v>
      </c>
      <c r="L42" s="1190" t="e">
        <f>VLOOKUP(G42,'ORÇAMENTO '!$G:$M,COLUMNS('ORÇAMENTO '!#REF!),0)</f>
        <v>#REF!</v>
      </c>
      <c r="M42" s="1190" t="e">
        <f t="shared" si="3"/>
        <v>#REF!</v>
      </c>
      <c r="N42" s="1446" t="e">
        <f t="shared" si="4"/>
        <v>#REF!</v>
      </c>
      <c r="O42" s="1446" t="e">
        <f t="shared" si="6"/>
        <v>#REF!</v>
      </c>
      <c r="P42" s="1451" t="s">
        <v>485</v>
      </c>
      <c r="Q42" s="1370"/>
      <c r="R42" s="375" t="e">
        <f t="shared" si="5"/>
        <v>#REF!</v>
      </c>
      <c r="S42" s="1370" t="b">
        <f t="shared" si="7"/>
        <v>0</v>
      </c>
    </row>
    <row r="43" spans="1:21" s="338" customFormat="1" ht="15.75">
      <c r="A43" s="341" t="e">
        <f t="shared" ca="1" si="0"/>
        <v>#REF!</v>
      </c>
      <c r="B43" s="341" t="e">
        <f>IF(OR(C43=1,D43=1),SUMIF($A$16:A43,A43,$C$16:C43),"")</f>
        <v>#REF!</v>
      </c>
      <c r="C43" s="341">
        <f t="shared" si="1"/>
        <v>1</v>
      </c>
      <c r="D43" s="662" t="e">
        <f t="shared" si="2"/>
        <v>#REF!</v>
      </c>
      <c r="E43" s="662"/>
      <c r="F43" s="1099">
        <v>45</v>
      </c>
      <c r="G43" s="1192" t="s">
        <v>1826</v>
      </c>
      <c r="H43" s="1222" t="s">
        <v>2170</v>
      </c>
      <c r="I43" s="1215" t="s">
        <v>21</v>
      </c>
      <c r="J43" s="1229">
        <v>84</v>
      </c>
      <c r="K43" s="1190" t="e">
        <f>VLOOKUP(G43,'ORÇAMENTO '!$G:$L,COLUMNS('ORÇAMENTO '!#REF!),0)</f>
        <v>#REF!</v>
      </c>
      <c r="L43" s="1190" t="e">
        <f>VLOOKUP(G43,'ORÇAMENTO '!$G:$M,COLUMNS('ORÇAMENTO '!#REF!),0)</f>
        <v>#REF!</v>
      </c>
      <c r="M43" s="1190" t="e">
        <f t="shared" si="3"/>
        <v>#REF!</v>
      </c>
      <c r="N43" s="1445" t="e">
        <f t="shared" si="4"/>
        <v>#REF!</v>
      </c>
      <c r="O43" s="1446" t="e">
        <f t="shared" si="6"/>
        <v>#REF!</v>
      </c>
      <c r="P43" s="1451" t="s">
        <v>485</v>
      </c>
      <c r="Q43" s="1370"/>
      <c r="R43" s="375" t="e">
        <f t="shared" si="5"/>
        <v>#REF!</v>
      </c>
      <c r="S43" s="1370" t="b">
        <f t="shared" si="7"/>
        <v>0</v>
      </c>
    </row>
    <row r="44" spans="1:21" s="338" customFormat="1" ht="30">
      <c r="A44" s="341" t="e">
        <f t="shared" ca="1" si="0"/>
        <v>#REF!</v>
      </c>
      <c r="B44" s="341" t="e">
        <f>IF(OR(C44=1,D44=1),SUMIF($A$16:A44,A44,$C$16:C44),"")</f>
        <v>#REF!</v>
      </c>
      <c r="C44" s="341">
        <f t="shared" si="1"/>
        <v>1</v>
      </c>
      <c r="D44" s="662" t="e">
        <f t="shared" si="2"/>
        <v>#REF!</v>
      </c>
      <c r="E44" s="662"/>
      <c r="F44" s="1099">
        <v>62</v>
      </c>
      <c r="G44" s="1192">
        <v>103669</v>
      </c>
      <c r="H44" s="1222" t="s">
        <v>5521</v>
      </c>
      <c r="I44" s="1215" t="s">
        <v>19</v>
      </c>
      <c r="J44" s="1229">
        <v>3.41</v>
      </c>
      <c r="K44" s="1190" t="e">
        <f>VLOOKUP(G44,'ORÇAMENTO '!$G:$L,COLUMNS('ORÇAMENTO '!#REF!),0)</f>
        <v>#REF!</v>
      </c>
      <c r="L44" s="1190" t="e">
        <f>VLOOKUP(G44,'ORÇAMENTO '!$G:$M,COLUMNS('ORÇAMENTO '!#REF!),0)</f>
        <v>#REF!</v>
      </c>
      <c r="M44" s="1190" t="e">
        <f t="shared" si="3"/>
        <v>#REF!</v>
      </c>
      <c r="N44" s="1445" t="e">
        <f t="shared" si="4"/>
        <v>#REF!</v>
      </c>
      <c r="O44" s="1446" t="e">
        <f t="shared" si="6"/>
        <v>#REF!</v>
      </c>
      <c r="P44" s="1451" t="s">
        <v>485</v>
      </c>
      <c r="Q44" s="1370"/>
      <c r="R44" s="375" t="e">
        <f t="shared" si="5"/>
        <v>#REF!</v>
      </c>
      <c r="S44" s="1370" t="b">
        <f t="shared" si="7"/>
        <v>0</v>
      </c>
    </row>
    <row r="45" spans="1:21" s="338" customFormat="1" ht="45">
      <c r="A45" s="341" t="e">
        <f t="shared" ca="1" si="0"/>
        <v>#REF!</v>
      </c>
      <c r="B45" s="341" t="e">
        <f>IF(OR(C45=1,D45=1),SUMIF($A$16:A45,A45,$C$16:C45),"")</f>
        <v>#REF!</v>
      </c>
      <c r="C45" s="341">
        <f t="shared" si="1"/>
        <v>1</v>
      </c>
      <c r="D45" s="662" t="e">
        <f t="shared" si="2"/>
        <v>#REF!</v>
      </c>
      <c r="E45" s="662"/>
      <c r="F45" s="1099">
        <v>64</v>
      </c>
      <c r="G45" s="1192">
        <v>92778</v>
      </c>
      <c r="H45" s="1222" t="s">
        <v>1735</v>
      </c>
      <c r="I45" s="1215" t="s">
        <v>20</v>
      </c>
      <c r="J45" s="1229">
        <v>167.9</v>
      </c>
      <c r="K45" s="1190" t="e">
        <f>VLOOKUP(G45,'ORÇAMENTO '!$G:$L,COLUMNS('ORÇAMENTO '!#REF!),0)</f>
        <v>#REF!</v>
      </c>
      <c r="L45" s="1190" t="e">
        <f>VLOOKUP(G45,'ORÇAMENTO '!$G:$M,COLUMNS('ORÇAMENTO '!#REF!),0)</f>
        <v>#REF!</v>
      </c>
      <c r="M45" s="1190" t="e">
        <f t="shared" si="3"/>
        <v>#REF!</v>
      </c>
      <c r="N45" s="1446" t="e">
        <f t="shared" si="4"/>
        <v>#REF!</v>
      </c>
      <c r="O45" s="1446" t="e">
        <f t="shared" si="6"/>
        <v>#REF!</v>
      </c>
      <c r="P45" s="1451" t="s">
        <v>485</v>
      </c>
      <c r="Q45" s="1370"/>
      <c r="R45" s="375" t="e">
        <f t="shared" si="5"/>
        <v>#REF!</v>
      </c>
      <c r="S45" s="1370" t="b">
        <f t="shared" si="7"/>
        <v>0</v>
      </c>
    </row>
    <row r="46" spans="1:21" s="338" customFormat="1" ht="30">
      <c r="A46" s="341" t="e">
        <f t="shared" ca="1" si="0"/>
        <v>#REF!</v>
      </c>
      <c r="B46" s="341" t="e">
        <f>IF(OR(C46=1,D46=1),SUMIF($A$16:A46,A46,$C$16:C46),"")</f>
        <v>#REF!</v>
      </c>
      <c r="C46" s="341">
        <f t="shared" si="1"/>
        <v>1</v>
      </c>
      <c r="D46" s="662" t="e">
        <f t="shared" si="2"/>
        <v>#REF!</v>
      </c>
      <c r="E46" s="662"/>
      <c r="F46" s="1099">
        <v>9</v>
      </c>
      <c r="G46" s="1099" t="s">
        <v>1737</v>
      </c>
      <c r="H46" s="1222" t="s">
        <v>1351</v>
      </c>
      <c r="I46" s="1215" t="s">
        <v>22</v>
      </c>
      <c r="J46" s="1229">
        <v>1</v>
      </c>
      <c r="K46" s="1190" t="e">
        <f>VLOOKUP(G46,'ORÇAMENTO '!$G:$L,COLUMNS('ORÇAMENTO '!#REF!),0)</f>
        <v>#REF!</v>
      </c>
      <c r="L46" s="1190" t="e">
        <f>VLOOKUP(G46,'ORÇAMENTO '!$G:$M,COLUMNS('ORÇAMENTO '!#REF!),0)</f>
        <v>#REF!</v>
      </c>
      <c r="M46" s="1190" t="e">
        <f t="shared" si="3"/>
        <v>#REF!</v>
      </c>
      <c r="N46" s="1445" t="e">
        <f t="shared" si="4"/>
        <v>#REF!</v>
      </c>
      <c r="O46" s="1446" t="e">
        <f t="shared" si="6"/>
        <v>#REF!</v>
      </c>
      <c r="P46" s="1451" t="s">
        <v>485</v>
      </c>
      <c r="Q46" s="1370"/>
      <c r="R46" s="375" t="e">
        <f t="shared" si="5"/>
        <v>#REF!</v>
      </c>
      <c r="S46" s="1370" t="b">
        <f t="shared" si="7"/>
        <v>0</v>
      </c>
    </row>
    <row r="47" spans="1:21" s="338" customFormat="1" ht="45">
      <c r="A47" s="341" t="e">
        <f t="shared" ca="1" si="0"/>
        <v>#REF!</v>
      </c>
      <c r="B47" s="341" t="e">
        <f>IF(OR(C47=1,D47=1),SUMIF($A$16:A47,A47,$C$16:C47),"")</f>
        <v>#REF!</v>
      </c>
      <c r="C47" s="341">
        <f t="shared" si="1"/>
        <v>1</v>
      </c>
      <c r="D47" s="662" t="e">
        <f t="shared" si="2"/>
        <v>#REF!</v>
      </c>
      <c r="E47" s="662"/>
      <c r="F47" s="1099">
        <v>25</v>
      </c>
      <c r="G47" s="1224" t="s">
        <v>1738</v>
      </c>
      <c r="H47" s="1222" t="s">
        <v>1814</v>
      </c>
      <c r="I47" s="1215" t="s">
        <v>0</v>
      </c>
      <c r="J47" s="1229">
        <v>14.98</v>
      </c>
      <c r="K47" s="1190" t="e">
        <f>VLOOKUP(G47,'ORÇAMENTO '!$G:$L,COLUMNS('ORÇAMENTO '!#REF!),0)</f>
        <v>#REF!</v>
      </c>
      <c r="L47" s="1190" t="e">
        <f>VLOOKUP(G47,'ORÇAMENTO '!$G:$M,COLUMNS('ORÇAMENTO '!#REF!),0)</f>
        <v>#REF!</v>
      </c>
      <c r="M47" s="1190" t="e">
        <f t="shared" si="3"/>
        <v>#REF!</v>
      </c>
      <c r="N47" s="1445" t="e">
        <f t="shared" si="4"/>
        <v>#REF!</v>
      </c>
      <c r="O47" s="1446" t="e">
        <f t="shared" si="6"/>
        <v>#REF!</v>
      </c>
      <c r="P47" s="1451" t="s">
        <v>485</v>
      </c>
      <c r="Q47" s="1370"/>
      <c r="R47" s="375" t="e">
        <f t="shared" si="5"/>
        <v>#REF!</v>
      </c>
      <c r="S47" s="1370" t="b">
        <f t="shared" si="7"/>
        <v>0</v>
      </c>
    </row>
    <row r="48" spans="1:21" s="338" customFormat="1" ht="30">
      <c r="A48" s="341" t="e">
        <f t="shared" ca="1" si="0"/>
        <v>#REF!</v>
      </c>
      <c r="B48" s="341" t="e">
        <f>IF(OR(C48=1,D48=1),SUMIF($A$16:A48,A48,$C$16:C48),"")</f>
        <v>#REF!</v>
      </c>
      <c r="C48" s="341">
        <f t="shared" si="1"/>
        <v>1</v>
      </c>
      <c r="D48" s="662" t="e">
        <f t="shared" si="2"/>
        <v>#REF!</v>
      </c>
      <c r="E48" s="662"/>
      <c r="F48" s="1099">
        <v>36</v>
      </c>
      <c r="G48" s="1224">
        <v>93358</v>
      </c>
      <c r="H48" s="1222" t="s">
        <v>4591</v>
      </c>
      <c r="I48" s="1215" t="s">
        <v>19</v>
      </c>
      <c r="J48" s="1229">
        <v>30.599999999999998</v>
      </c>
      <c r="K48" s="1190" t="e">
        <f>VLOOKUP(G48,'ORÇAMENTO '!$G:$L,COLUMNS('ORÇAMENTO '!#REF!),0)</f>
        <v>#REF!</v>
      </c>
      <c r="L48" s="1190" t="e">
        <f>VLOOKUP(G48,'ORÇAMENTO '!$G:$M,COLUMNS('ORÇAMENTO '!#REF!),0)</f>
        <v>#REF!</v>
      </c>
      <c r="M48" s="1190" t="e">
        <f t="shared" si="3"/>
        <v>#REF!</v>
      </c>
      <c r="N48" s="1446" t="e">
        <f t="shared" si="4"/>
        <v>#REF!</v>
      </c>
      <c r="O48" s="1446" t="e">
        <f t="shared" si="6"/>
        <v>#REF!</v>
      </c>
      <c r="P48" s="1451" t="s">
        <v>485</v>
      </c>
      <c r="Q48" s="1370"/>
      <c r="R48" s="375" t="e">
        <f t="shared" si="5"/>
        <v>#REF!</v>
      </c>
      <c r="S48" s="1370" t="b">
        <f t="shared" si="7"/>
        <v>0</v>
      </c>
    </row>
    <row r="49" spans="1:21" s="338" customFormat="1" ht="30">
      <c r="A49" s="341" t="e">
        <f t="shared" ca="1" si="0"/>
        <v>#REF!</v>
      </c>
      <c r="B49" s="341" t="e">
        <f>IF(OR(C49=1,D49=1),SUMIF($A$16:A49,A49,$C$16:C49),"")</f>
        <v>#REF!</v>
      </c>
      <c r="C49" s="341">
        <f t="shared" si="1"/>
        <v>1</v>
      </c>
      <c r="D49" s="662" t="e">
        <f t="shared" si="2"/>
        <v>#REF!</v>
      </c>
      <c r="E49" s="662"/>
      <c r="F49" s="1099">
        <v>44</v>
      </c>
      <c r="G49" s="1224" t="s">
        <v>1822</v>
      </c>
      <c r="H49" s="1222" t="s">
        <v>194</v>
      </c>
      <c r="I49" s="1215" t="s">
        <v>22</v>
      </c>
      <c r="J49" s="1229">
        <v>60</v>
      </c>
      <c r="K49" s="1190" t="e">
        <f>VLOOKUP(G49,'ORÇAMENTO '!$G:$L,COLUMNS('ORÇAMENTO '!#REF!),0)</f>
        <v>#REF!</v>
      </c>
      <c r="L49" s="1190" t="e">
        <f>VLOOKUP(G49,'ORÇAMENTO '!$G:$M,COLUMNS('ORÇAMENTO '!#REF!),0)</f>
        <v>#REF!</v>
      </c>
      <c r="M49" s="1190" t="e">
        <f t="shared" si="3"/>
        <v>#REF!</v>
      </c>
      <c r="N49" s="1445" t="e">
        <f t="shared" si="4"/>
        <v>#REF!</v>
      </c>
      <c r="O49" s="1446" t="e">
        <f t="shared" si="6"/>
        <v>#REF!</v>
      </c>
      <c r="P49" s="1451" t="s">
        <v>485</v>
      </c>
      <c r="Q49" s="1370"/>
      <c r="R49" s="375" t="e">
        <f t="shared" si="5"/>
        <v>#REF!</v>
      </c>
      <c r="S49" s="1370" t="b">
        <f t="shared" si="7"/>
        <v>0</v>
      </c>
    </row>
    <row r="50" spans="1:21" s="338" customFormat="1" ht="45">
      <c r="A50" s="341" t="e">
        <f t="shared" ca="1" si="0"/>
        <v>#REF!</v>
      </c>
      <c r="B50" s="341" t="e">
        <f>IF(OR(C50=1,D50=1),SUMIF($A$16:A50,A50,$C$16:C50),"")</f>
        <v>#REF!</v>
      </c>
      <c r="C50" s="341">
        <f t="shared" si="1"/>
        <v>1</v>
      </c>
      <c r="D50" s="662" t="e">
        <f t="shared" si="2"/>
        <v>#REF!</v>
      </c>
      <c r="E50" s="662"/>
      <c r="F50" s="1099">
        <v>28</v>
      </c>
      <c r="G50" s="1192">
        <v>97888</v>
      </c>
      <c r="H50" s="1222" t="s">
        <v>4407</v>
      </c>
      <c r="I50" s="1215" t="s">
        <v>22</v>
      </c>
      <c r="J50" s="1229">
        <v>3</v>
      </c>
      <c r="K50" s="1190" t="e">
        <f>VLOOKUP(G50,'ORÇAMENTO '!$G:$L,COLUMNS('ORÇAMENTO '!#REF!),0)</f>
        <v>#REF!</v>
      </c>
      <c r="L50" s="1190" t="e">
        <f>VLOOKUP(G50,'ORÇAMENTO '!$G:$M,COLUMNS('ORÇAMENTO '!#REF!),0)</f>
        <v>#REF!</v>
      </c>
      <c r="M50" s="1190" t="e">
        <f t="shared" si="3"/>
        <v>#REF!</v>
      </c>
      <c r="N50" s="1446" t="e">
        <f t="shared" si="4"/>
        <v>#REF!</v>
      </c>
      <c r="O50" s="1446" t="e">
        <f t="shared" si="6"/>
        <v>#REF!</v>
      </c>
      <c r="P50" s="1451" t="s">
        <v>485</v>
      </c>
      <c r="Q50" s="1370"/>
      <c r="R50" s="375" t="e">
        <f t="shared" si="5"/>
        <v>#REF!</v>
      </c>
      <c r="S50" s="1370" t="b">
        <f t="shared" si="7"/>
        <v>0</v>
      </c>
    </row>
    <row r="51" spans="1:21" s="338" customFormat="1" ht="45">
      <c r="A51" s="341" t="e">
        <f t="shared" ca="1" si="0"/>
        <v>#REF!</v>
      </c>
      <c r="B51" s="341" t="e">
        <f>IF(OR(C51=1,D51=1),SUMIF($A$16:A51,A51,$C$16:C51),"")</f>
        <v>#REF!</v>
      </c>
      <c r="C51" s="341">
        <f t="shared" si="1"/>
        <v>1</v>
      </c>
      <c r="D51" s="662" t="e">
        <f t="shared" si="2"/>
        <v>#REF!</v>
      </c>
      <c r="E51" s="662"/>
      <c r="F51" s="1099">
        <v>10</v>
      </c>
      <c r="G51" s="1224">
        <v>99059</v>
      </c>
      <c r="H51" s="1222" t="s">
        <v>2161</v>
      </c>
      <c r="I51" s="1215" t="s">
        <v>21</v>
      </c>
      <c r="J51" s="1229">
        <v>29.82</v>
      </c>
      <c r="K51" s="1190" t="e">
        <f>VLOOKUP(G51,'ORÇAMENTO '!$G:$L,COLUMNS('ORÇAMENTO '!#REF!),0)</f>
        <v>#REF!</v>
      </c>
      <c r="L51" s="1190" t="e">
        <f>VLOOKUP(G51,'ORÇAMENTO '!$G:$M,COLUMNS('ORÇAMENTO '!#REF!),0)</f>
        <v>#REF!</v>
      </c>
      <c r="M51" s="1190" t="e">
        <f t="shared" si="3"/>
        <v>#REF!</v>
      </c>
      <c r="N51" s="1445" t="e">
        <f t="shared" si="4"/>
        <v>#REF!</v>
      </c>
      <c r="O51" s="1446" t="e">
        <f t="shared" si="6"/>
        <v>#REF!</v>
      </c>
      <c r="P51" s="1451" t="s">
        <v>485</v>
      </c>
      <c r="Q51" s="1370"/>
      <c r="R51" s="375" t="e">
        <f t="shared" si="5"/>
        <v>#REF!</v>
      </c>
      <c r="S51" s="1370" t="b">
        <f t="shared" si="7"/>
        <v>0</v>
      </c>
      <c r="T51" s="341"/>
    </row>
    <row r="52" spans="1:21" s="338" customFormat="1" ht="45">
      <c r="A52" s="341" t="e">
        <f t="shared" ca="1" si="0"/>
        <v>#REF!</v>
      </c>
      <c r="B52" s="341" t="e">
        <f>IF(OR(C52=1,D52=1),SUMIF($A$16:A52,A52,$C$16:C52),"")</f>
        <v>#REF!</v>
      </c>
      <c r="C52" s="341">
        <f t="shared" si="1"/>
        <v>1</v>
      </c>
      <c r="D52" s="662" t="e">
        <f t="shared" si="2"/>
        <v>#REF!</v>
      </c>
      <c r="E52" s="662"/>
      <c r="F52" s="1099">
        <v>65</v>
      </c>
      <c r="G52" s="1224">
        <v>92775</v>
      </c>
      <c r="H52" s="1222" t="s">
        <v>1734</v>
      </c>
      <c r="I52" s="1215" t="s">
        <v>20</v>
      </c>
      <c r="J52" s="1229">
        <v>68.900000000000006</v>
      </c>
      <c r="K52" s="1190" t="e">
        <f>VLOOKUP(G52,'ORÇAMENTO '!$G:$L,COLUMNS('ORÇAMENTO '!#REF!),0)</f>
        <v>#REF!</v>
      </c>
      <c r="L52" s="1190" t="e">
        <f>VLOOKUP(G52,'ORÇAMENTO '!$G:$M,COLUMNS('ORÇAMENTO '!#REF!),0)</f>
        <v>#REF!</v>
      </c>
      <c r="M52" s="1190" t="e">
        <f t="shared" si="3"/>
        <v>#REF!</v>
      </c>
      <c r="N52" s="1446" t="e">
        <f t="shared" si="4"/>
        <v>#REF!</v>
      </c>
      <c r="O52" s="1446" t="e">
        <f t="shared" si="6"/>
        <v>#REF!</v>
      </c>
      <c r="P52" s="1451" t="s">
        <v>485</v>
      </c>
      <c r="Q52" s="1370"/>
      <c r="R52" s="375" t="e">
        <f t="shared" si="5"/>
        <v>#REF!</v>
      </c>
      <c r="S52" s="1370" t="b">
        <f t="shared" si="7"/>
        <v>0</v>
      </c>
      <c r="T52" s="341"/>
    </row>
    <row r="53" spans="1:21" s="338" customFormat="1" ht="15.75">
      <c r="A53" s="341" t="e">
        <f t="shared" ca="1" si="0"/>
        <v>#N/A</v>
      </c>
      <c r="B53" s="341" t="e">
        <f>IF(OR(C53=1,D53=1),SUMIF($A$16:A53,A53,$C$16:C53),"")</f>
        <v>#N/A</v>
      </c>
      <c r="C53" s="341">
        <f t="shared" si="1"/>
        <v>1</v>
      </c>
      <c r="D53" s="662" t="e">
        <f t="shared" si="2"/>
        <v>#N/A</v>
      </c>
      <c r="E53" s="662"/>
      <c r="F53" s="1099">
        <v>43</v>
      </c>
      <c r="G53" s="1224" t="s">
        <v>1830</v>
      </c>
      <c r="H53" s="1222" t="s">
        <v>5555</v>
      </c>
      <c r="I53" s="1215" t="s">
        <v>22</v>
      </c>
      <c r="J53" s="1229">
        <v>6</v>
      </c>
      <c r="K53" s="1190" t="e">
        <f>VLOOKUP(G53,'ORÇAMENTO '!$G:$L,COLUMNS('ORÇAMENTO '!F77:K77),0)</f>
        <v>#N/A</v>
      </c>
      <c r="L53" s="1190" t="e">
        <f>VLOOKUP(G53,'ORÇAMENTO '!$G:$M,COLUMNS('ORÇAMENTO '!G77:M77),0)</f>
        <v>#N/A</v>
      </c>
      <c r="M53" s="1190" t="e">
        <f t="shared" si="3"/>
        <v>#N/A</v>
      </c>
      <c r="N53" s="1445" t="e">
        <f t="shared" si="4"/>
        <v>#N/A</v>
      </c>
      <c r="O53" s="1446" t="e">
        <f t="shared" si="6"/>
        <v>#N/A</v>
      </c>
      <c r="P53" s="1451" t="s">
        <v>485</v>
      </c>
      <c r="Q53" s="1370">
        <f>396.56+131.79</f>
        <v>528.35</v>
      </c>
      <c r="R53" s="375" t="e">
        <f t="shared" si="5"/>
        <v>#REF!</v>
      </c>
      <c r="S53" s="1370" t="b">
        <f t="shared" si="7"/>
        <v>0</v>
      </c>
      <c r="T53" s="341"/>
    </row>
    <row r="54" spans="1:21" s="338" customFormat="1" ht="45">
      <c r="A54" s="341" t="e">
        <f t="shared" ca="1" si="0"/>
        <v>#N/A</v>
      </c>
      <c r="B54" s="341">
        <f ca="1">IF(OR(C54=1,D54=1),SUMIF($A$16:A54,A54,$C$16:C54),"")</f>
        <v>2</v>
      </c>
      <c r="C54" s="341">
        <f t="shared" si="1"/>
        <v>1</v>
      </c>
      <c r="D54" s="662" t="str">
        <f t="shared" si="2"/>
        <v/>
      </c>
      <c r="E54" s="662"/>
      <c r="F54" s="1099">
        <v>12</v>
      </c>
      <c r="G54" s="1224">
        <v>94965</v>
      </c>
      <c r="H54" s="1222" t="s">
        <v>4644</v>
      </c>
      <c r="I54" s="1215" t="s">
        <v>19</v>
      </c>
      <c r="J54" s="1229">
        <f>0.48+1.87</f>
        <v>2.35</v>
      </c>
      <c r="K54" s="1190">
        <f>VLOOKUP(G54,'ORÇAMENTO '!$G:$L,COLUMNS('ORÇAMENTO '!F78:K78),0)</f>
        <v>568.95000000000005</v>
      </c>
      <c r="L54" s="1190">
        <f>VLOOKUP(G54,'ORÇAMENTO '!$G:$M,COLUMNS('ORÇAMENTO '!G78:M78),0)</f>
        <v>706.63</v>
      </c>
      <c r="M54" s="1190">
        <f t="shared" si="3"/>
        <v>1660.58</v>
      </c>
      <c r="N54" s="1446" t="e">
        <f t="shared" si="4"/>
        <v>#REF!</v>
      </c>
      <c r="O54" s="1446" t="e">
        <f t="shared" si="6"/>
        <v>#REF!</v>
      </c>
      <c r="P54" s="1451" t="s">
        <v>485</v>
      </c>
      <c r="Q54" s="1370"/>
      <c r="R54" s="375" t="e">
        <f t="shared" si="5"/>
        <v>#REF!</v>
      </c>
      <c r="S54" s="1370" t="b">
        <f t="shared" si="7"/>
        <v>0</v>
      </c>
      <c r="T54" s="341"/>
    </row>
    <row r="55" spans="1:21" s="338" customFormat="1" ht="15.75">
      <c r="A55" s="341" t="e">
        <f t="shared" ca="1" si="0"/>
        <v>#N/A</v>
      </c>
      <c r="B55" s="341" t="e">
        <f>IF(OR(C55=1,D55=1),SUMIF($A$16:A55,A55,$C$16:C55),"")</f>
        <v>#N/A</v>
      </c>
      <c r="C55" s="341">
        <f t="shared" si="1"/>
        <v>1</v>
      </c>
      <c r="D55" s="662" t="e">
        <f t="shared" si="2"/>
        <v>#N/A</v>
      </c>
      <c r="E55" s="662"/>
      <c r="F55" s="1099">
        <v>2</v>
      </c>
      <c r="G55" s="1192" t="s">
        <v>1736</v>
      </c>
      <c r="H55" s="1222" t="s">
        <v>198</v>
      </c>
      <c r="I55" s="1215" t="s">
        <v>0</v>
      </c>
      <c r="J55" s="1229">
        <v>3.12</v>
      </c>
      <c r="K55" s="1190" t="e">
        <f>VLOOKUP(G55,'ORÇAMENTO '!$G:$L,COLUMNS('ORÇAMENTO '!F79:K79),0)</f>
        <v>#N/A</v>
      </c>
      <c r="L55" s="1190" t="e">
        <f>VLOOKUP(G55,'ORÇAMENTO '!$G:$M,COLUMNS('ORÇAMENTO '!G79:M79),0)</f>
        <v>#N/A</v>
      </c>
      <c r="M55" s="1190" t="e">
        <f t="shared" si="3"/>
        <v>#N/A</v>
      </c>
      <c r="N55" s="1445" t="e">
        <f t="shared" si="4"/>
        <v>#N/A</v>
      </c>
      <c r="O55" s="1446" t="e">
        <f t="shared" si="6"/>
        <v>#N/A</v>
      </c>
      <c r="P55" s="1451" t="s">
        <v>485</v>
      </c>
      <c r="Q55" s="1370"/>
      <c r="R55" s="375" t="e">
        <f t="shared" si="5"/>
        <v>#REF!</v>
      </c>
      <c r="S55" s="1370" t="b">
        <f t="shared" si="7"/>
        <v>0</v>
      </c>
      <c r="T55" s="341"/>
    </row>
    <row r="56" spans="1:21" s="338" customFormat="1" ht="45">
      <c r="A56" s="341" t="e">
        <f t="shared" ca="1" si="0"/>
        <v>#N/A</v>
      </c>
      <c r="B56" s="341" t="e">
        <f>IF(OR(C56=1,D56=1),SUMIF($A$16:A56,A56,$C$16:C56),"")</f>
        <v>#N/A</v>
      </c>
      <c r="C56" s="341">
        <f t="shared" si="1"/>
        <v>1</v>
      </c>
      <c r="D56" s="662" t="e">
        <f t="shared" si="2"/>
        <v>#N/A</v>
      </c>
      <c r="E56" s="662"/>
      <c r="F56" s="1099">
        <v>33</v>
      </c>
      <c r="G56" s="1224">
        <v>91872</v>
      </c>
      <c r="H56" s="1222" t="s">
        <v>1344</v>
      </c>
      <c r="I56" s="1215" t="s">
        <v>21</v>
      </c>
      <c r="J56" s="1229">
        <v>72</v>
      </c>
      <c r="K56" s="1190" t="e">
        <f>VLOOKUP(G56,'ORÇAMENTO '!$G:$L,COLUMNS('ORÇAMENTO '!F80:K80),0)</f>
        <v>#N/A</v>
      </c>
      <c r="L56" s="1190" t="e">
        <f>VLOOKUP(G56,'ORÇAMENTO '!$G:$M,COLUMNS('ORÇAMENTO '!G80:M80),0)</f>
        <v>#N/A</v>
      </c>
      <c r="M56" s="1190" t="e">
        <f t="shared" si="3"/>
        <v>#N/A</v>
      </c>
      <c r="N56" s="1446" t="e">
        <f t="shared" si="4"/>
        <v>#N/A</v>
      </c>
      <c r="O56" s="1446" t="e">
        <f t="shared" si="6"/>
        <v>#N/A</v>
      </c>
      <c r="P56" s="1451" t="s">
        <v>485</v>
      </c>
      <c r="Q56" s="1370"/>
      <c r="R56" s="375" t="e">
        <f t="shared" si="5"/>
        <v>#REF!</v>
      </c>
      <c r="S56" s="1370" t="b">
        <f t="shared" si="7"/>
        <v>0</v>
      </c>
      <c r="T56" s="341"/>
    </row>
    <row r="57" spans="1:21" s="338" customFormat="1" ht="45">
      <c r="A57" s="341" t="e">
        <f t="shared" ca="1" si="0"/>
        <v>#N/A</v>
      </c>
      <c r="B57" s="341" t="e">
        <f>IF(OR(C57=1,D57=1),SUMIF($A$16:A57,A57,$C$16:C57),"")</f>
        <v>#N/A</v>
      </c>
      <c r="C57" s="341">
        <f t="shared" si="1"/>
        <v>1</v>
      </c>
      <c r="D57" s="662" t="e">
        <f t="shared" si="2"/>
        <v>#N/A</v>
      </c>
      <c r="E57" s="662"/>
      <c r="F57" s="1099">
        <v>58</v>
      </c>
      <c r="G57" s="1192">
        <v>96534</v>
      </c>
      <c r="H57" s="1222" t="s">
        <v>1745</v>
      </c>
      <c r="I57" s="1215" t="s">
        <v>0</v>
      </c>
      <c r="J57" s="1229">
        <v>13.2</v>
      </c>
      <c r="K57" s="1190" t="e">
        <f>VLOOKUP(G57,'ORÇAMENTO '!$G:$L,COLUMNS('ORÇAMENTO '!F81:K81),0)</f>
        <v>#N/A</v>
      </c>
      <c r="L57" s="1190" t="e">
        <f>VLOOKUP(G57,'ORÇAMENTO '!$G:$M,COLUMNS('ORÇAMENTO '!G81:M81),0)</f>
        <v>#N/A</v>
      </c>
      <c r="M57" s="1190" t="e">
        <f t="shared" si="3"/>
        <v>#N/A</v>
      </c>
      <c r="N57" s="1446" t="e">
        <f t="shared" si="4"/>
        <v>#N/A</v>
      </c>
      <c r="O57" s="1446" t="e">
        <f t="shared" si="6"/>
        <v>#N/A</v>
      </c>
      <c r="P57" s="1451" t="s">
        <v>485</v>
      </c>
      <c r="Q57" s="1370"/>
      <c r="R57" s="375" t="e">
        <f t="shared" si="5"/>
        <v>#REF!</v>
      </c>
      <c r="S57" s="1370" t="b">
        <f t="shared" si="7"/>
        <v>0</v>
      </c>
      <c r="T57" s="341"/>
    </row>
    <row r="58" spans="1:21" s="338" customFormat="1" ht="30">
      <c r="A58" s="341" t="e">
        <f t="shared" ca="1" si="0"/>
        <v>#REF!</v>
      </c>
      <c r="B58" s="341" t="e">
        <f>IF(OR(C58=1,D58=1),SUMIF($A$16:A58,A58,$C$16:C58),"")</f>
        <v>#REF!</v>
      </c>
      <c r="C58" s="341">
        <f t="shared" si="1"/>
        <v>1</v>
      </c>
      <c r="D58" s="662" t="e">
        <f t="shared" si="2"/>
        <v>#REF!</v>
      </c>
      <c r="E58" s="662"/>
      <c r="F58" s="1099">
        <v>37</v>
      </c>
      <c r="G58" s="1224">
        <v>93382</v>
      </c>
      <c r="H58" s="1222" t="s">
        <v>384</v>
      </c>
      <c r="I58" s="1215" t="s">
        <v>19</v>
      </c>
      <c r="J58" s="1229">
        <v>30.599999999999998</v>
      </c>
      <c r="K58" s="1190" t="e">
        <f>VLOOKUP(G58,'ORÇAMENTO '!$G:$L,COLUMNS('ORÇAMENTO '!#REF!),0)</f>
        <v>#REF!</v>
      </c>
      <c r="L58" s="1190" t="e">
        <f>VLOOKUP(G58,'ORÇAMENTO '!$G:$M,COLUMNS('ORÇAMENTO '!#REF!),0)</f>
        <v>#REF!</v>
      </c>
      <c r="M58" s="1190" t="e">
        <f t="shared" si="3"/>
        <v>#REF!</v>
      </c>
      <c r="N58" s="1446" t="e">
        <f t="shared" si="4"/>
        <v>#REF!</v>
      </c>
      <c r="O58" s="1446" t="e">
        <f t="shared" si="6"/>
        <v>#REF!</v>
      </c>
      <c r="P58" s="1451" t="s">
        <v>485</v>
      </c>
      <c r="Q58" s="1370"/>
      <c r="R58" s="375" t="e">
        <f t="shared" si="5"/>
        <v>#REF!</v>
      </c>
      <c r="S58" s="1370" t="b">
        <f t="shared" si="7"/>
        <v>0</v>
      </c>
      <c r="T58" s="341"/>
    </row>
    <row r="59" spans="1:21" s="338" customFormat="1" ht="15.75">
      <c r="A59" s="341" t="e">
        <f t="shared" ca="1" si="0"/>
        <v>#REF!</v>
      </c>
      <c r="B59" s="341" t="e">
        <f>IF(OR(C59=1,D59=1),SUMIF($A$16:A59,A59,$C$16:C59),"")</f>
        <v>#REF!</v>
      </c>
      <c r="C59" s="341">
        <f t="shared" si="1"/>
        <v>1</v>
      </c>
      <c r="D59" s="662" t="e">
        <f t="shared" si="2"/>
        <v>#REF!</v>
      </c>
      <c r="E59" s="662"/>
      <c r="F59" s="1099">
        <v>50</v>
      </c>
      <c r="G59" s="1192" t="s">
        <v>1741</v>
      </c>
      <c r="H59" s="1222" t="s">
        <v>2242</v>
      </c>
      <c r="I59" s="1215" t="s">
        <v>21</v>
      </c>
      <c r="J59" s="1229">
        <v>218.98000000000002</v>
      </c>
      <c r="K59" s="1190" t="e">
        <f>VLOOKUP(G59,'ORÇAMENTO '!$G:$L,COLUMNS('ORÇAMENTO '!#REF!),0)</f>
        <v>#REF!</v>
      </c>
      <c r="L59" s="1190" t="e">
        <f>VLOOKUP(G59,'ORÇAMENTO '!$G:$M,COLUMNS('ORÇAMENTO '!#REF!),0)</f>
        <v>#REF!</v>
      </c>
      <c r="M59" s="1190" t="e">
        <f t="shared" si="3"/>
        <v>#REF!</v>
      </c>
      <c r="N59" s="1445" t="e">
        <f t="shared" si="4"/>
        <v>#REF!</v>
      </c>
      <c r="O59" s="1446" t="e">
        <f t="shared" si="6"/>
        <v>#REF!</v>
      </c>
      <c r="P59" s="1451" t="s">
        <v>485</v>
      </c>
      <c r="Q59" s="1376"/>
      <c r="R59" s="375" t="e">
        <f t="shared" si="5"/>
        <v>#REF!</v>
      </c>
      <c r="S59" s="1370" t="b">
        <f t="shared" si="7"/>
        <v>0</v>
      </c>
    </row>
    <row r="60" spans="1:21" s="341" customFormat="1" ht="15.75">
      <c r="A60" s="341" t="e">
        <f t="shared" ca="1" si="0"/>
        <v>#REF!</v>
      </c>
      <c r="B60" s="341" t="e">
        <f>IF(OR(C60=1,D60=1),SUMIF($A$16:A60,A60,$C$16:C60),"")</f>
        <v>#REF!</v>
      </c>
      <c r="C60" s="341">
        <f t="shared" si="1"/>
        <v>1</v>
      </c>
      <c r="D60" s="662" t="e">
        <f t="shared" si="2"/>
        <v>#REF!</v>
      </c>
      <c r="E60" s="662"/>
      <c r="F60" s="1099">
        <v>51</v>
      </c>
      <c r="G60" s="1192">
        <v>99814</v>
      </c>
      <c r="H60" s="1222" t="s">
        <v>2197</v>
      </c>
      <c r="I60" s="1215" t="s">
        <v>0</v>
      </c>
      <c r="J60" s="1229">
        <v>396.53999999999996</v>
      </c>
      <c r="K60" s="1190" t="e">
        <f>VLOOKUP(G60,'ORÇAMENTO '!$G:$L,COLUMNS('ORÇAMENTO '!#REF!),0)</f>
        <v>#REF!</v>
      </c>
      <c r="L60" s="1190" t="e">
        <f>VLOOKUP(G60,'ORÇAMENTO '!$G:$M,COLUMNS('ORÇAMENTO '!#REF!),0)</f>
        <v>#REF!</v>
      </c>
      <c r="M60" s="1190" t="e">
        <f t="shared" si="3"/>
        <v>#REF!</v>
      </c>
      <c r="N60" s="1445" t="e">
        <f t="shared" si="4"/>
        <v>#REF!</v>
      </c>
      <c r="O60" s="1446" t="e">
        <f t="shared" si="6"/>
        <v>#REF!</v>
      </c>
      <c r="P60" s="1451" t="s">
        <v>485</v>
      </c>
      <c r="Q60" s="1370"/>
      <c r="R60" s="375" t="e">
        <f t="shared" si="5"/>
        <v>#REF!</v>
      </c>
      <c r="S60" s="1370" t="b">
        <f t="shared" si="7"/>
        <v>0</v>
      </c>
      <c r="U60" s="340"/>
    </row>
    <row r="61" spans="1:21" s="338" customFormat="1" ht="45">
      <c r="A61" s="341" t="e">
        <f t="shared" ca="1" si="0"/>
        <v>#REF!</v>
      </c>
      <c r="B61" s="341" t="e">
        <f>IF(OR(C61=1,D61=1),SUMIF($A$16:A61,A61,$C$16:C61),"")</f>
        <v>#REF!</v>
      </c>
      <c r="C61" s="341">
        <f t="shared" si="1"/>
        <v>1</v>
      </c>
      <c r="D61" s="662" t="e">
        <f t="shared" si="2"/>
        <v>#REF!</v>
      </c>
      <c r="E61" s="662"/>
      <c r="F61" s="1099">
        <v>23</v>
      </c>
      <c r="G61" s="1192">
        <v>97084</v>
      </c>
      <c r="H61" s="1222" t="s">
        <v>5127</v>
      </c>
      <c r="I61" s="1215" t="s">
        <v>0</v>
      </c>
      <c r="J61" s="1229">
        <v>1125</v>
      </c>
      <c r="K61" s="1190" t="e">
        <f>VLOOKUP(G61,'ORÇAMENTO '!$G:$L,COLUMNS('ORÇAMENTO '!#REF!),0)</f>
        <v>#REF!</v>
      </c>
      <c r="L61" s="1190" t="e">
        <f>VLOOKUP(G61,'ORÇAMENTO '!$G:$M,COLUMNS('ORÇAMENTO '!#REF!),0)</f>
        <v>#REF!</v>
      </c>
      <c r="M61" s="1190" t="e">
        <f t="shared" si="3"/>
        <v>#REF!</v>
      </c>
      <c r="N61" s="1446" t="e">
        <f t="shared" si="4"/>
        <v>#REF!</v>
      </c>
      <c r="O61" s="1446" t="e">
        <f t="shared" si="6"/>
        <v>#REF!</v>
      </c>
      <c r="P61" s="1451" t="s">
        <v>485</v>
      </c>
      <c r="Q61" s="1370"/>
      <c r="R61" s="375" t="e">
        <f t="shared" si="5"/>
        <v>#REF!</v>
      </c>
      <c r="S61" s="1370" t="b">
        <f t="shared" si="7"/>
        <v>0</v>
      </c>
      <c r="T61" s="341"/>
    </row>
    <row r="62" spans="1:21" s="338" customFormat="1" ht="30">
      <c r="A62" s="341" t="e">
        <f t="shared" ca="1" si="0"/>
        <v>#REF!</v>
      </c>
      <c r="B62" s="341" t="e">
        <f>IF(OR(C62=1,D62=1),SUMIF($A$16:A62,A62,$C$16:C62),"")</f>
        <v>#REF!</v>
      </c>
      <c r="C62" s="341">
        <f t="shared" si="1"/>
        <v>1</v>
      </c>
      <c r="D62" s="662" t="e">
        <f t="shared" si="2"/>
        <v>#REF!</v>
      </c>
      <c r="E62" s="662"/>
      <c r="F62" s="1099">
        <v>13</v>
      </c>
      <c r="G62" s="1192">
        <v>103670</v>
      </c>
      <c r="H62" s="1222" t="s">
        <v>5522</v>
      </c>
      <c r="I62" s="1215" t="s">
        <v>19</v>
      </c>
      <c r="J62" s="1229">
        <f>0.48+1.87</f>
        <v>2.35</v>
      </c>
      <c r="K62" s="1190" t="e">
        <f>VLOOKUP(G62,'ORÇAMENTO '!$G:$L,COLUMNS('ORÇAMENTO '!#REF!),0)</f>
        <v>#REF!</v>
      </c>
      <c r="L62" s="1190" t="e">
        <f>VLOOKUP(G62,'ORÇAMENTO '!$G:$M,COLUMNS('ORÇAMENTO '!#REF!),0)</f>
        <v>#REF!</v>
      </c>
      <c r="M62" s="1190" t="e">
        <f t="shared" si="3"/>
        <v>#REF!</v>
      </c>
      <c r="N62" s="1445" t="e">
        <f t="shared" si="4"/>
        <v>#REF!</v>
      </c>
      <c r="O62" s="1446" t="e">
        <f t="shared" si="6"/>
        <v>#REF!</v>
      </c>
      <c r="P62" s="1451" t="s">
        <v>485</v>
      </c>
      <c r="Q62" s="1370"/>
      <c r="R62" s="375" t="e">
        <f t="shared" si="5"/>
        <v>#REF!</v>
      </c>
      <c r="S62" s="1370" t="b">
        <f t="shared" si="7"/>
        <v>0</v>
      </c>
      <c r="T62" s="341"/>
    </row>
    <row r="63" spans="1:21" s="341" customFormat="1" ht="30">
      <c r="A63" s="341" t="e">
        <f t="shared" ca="1" si="0"/>
        <v>#REF!</v>
      </c>
      <c r="B63" s="341" t="e">
        <f>IF(OR(C63=1,D63=1),SUMIF($A$16:A63,A63,$C$16:C63),"")</f>
        <v>#REF!</v>
      </c>
      <c r="C63" s="341">
        <f t="shared" si="1"/>
        <v>1</v>
      </c>
      <c r="D63" s="662" t="e">
        <f t="shared" si="2"/>
        <v>#REF!</v>
      </c>
      <c r="E63" s="662"/>
      <c r="F63" s="1099">
        <v>35</v>
      </c>
      <c r="G63" s="1224">
        <v>98111</v>
      </c>
      <c r="H63" s="1222" t="s">
        <v>4457</v>
      </c>
      <c r="I63" s="1215" t="s">
        <v>22</v>
      </c>
      <c r="J63" s="1229">
        <v>10</v>
      </c>
      <c r="K63" s="1190" t="e">
        <f>VLOOKUP(G63,'ORÇAMENTO '!$G:$L,COLUMNS('ORÇAMENTO '!#REF!),0)</f>
        <v>#REF!</v>
      </c>
      <c r="L63" s="1190" t="e">
        <f>VLOOKUP(G63,'ORÇAMENTO '!$G:$M,COLUMNS('ORÇAMENTO '!#REF!),0)</f>
        <v>#REF!</v>
      </c>
      <c r="M63" s="1190" t="e">
        <f t="shared" si="3"/>
        <v>#REF!</v>
      </c>
      <c r="N63" s="1446" t="e">
        <f t="shared" si="4"/>
        <v>#REF!</v>
      </c>
      <c r="O63" s="1446" t="e">
        <f t="shared" si="6"/>
        <v>#REF!</v>
      </c>
      <c r="P63" s="1451" t="s">
        <v>485</v>
      </c>
      <c r="Q63" s="1370"/>
      <c r="R63" s="375" t="e">
        <f t="shared" si="5"/>
        <v>#REF!</v>
      </c>
      <c r="S63" s="1370" t="b">
        <f t="shared" si="7"/>
        <v>0</v>
      </c>
      <c r="U63" s="340"/>
    </row>
    <row r="64" spans="1:21" s="338" customFormat="1" ht="30">
      <c r="A64" s="341" t="e">
        <f t="shared" ca="1" si="0"/>
        <v>#REF!</v>
      </c>
      <c r="B64" s="341" t="e">
        <f>IF(OR(C64=1,D64=1),SUMIF($A$16:A64,A64,$C$16:C64),"")</f>
        <v>#REF!</v>
      </c>
      <c r="C64" s="341">
        <f t="shared" si="1"/>
        <v>1</v>
      </c>
      <c r="D64" s="662" t="e">
        <f t="shared" si="2"/>
        <v>#REF!</v>
      </c>
      <c r="E64" s="662"/>
      <c r="F64" s="1099">
        <v>38</v>
      </c>
      <c r="G64" s="1192" t="s">
        <v>1820</v>
      </c>
      <c r="H64" s="1222" t="s">
        <v>5556</v>
      </c>
      <c r="I64" s="1215" t="s">
        <v>22</v>
      </c>
      <c r="J64" s="1229">
        <v>1</v>
      </c>
      <c r="K64" s="1190" t="e">
        <f>VLOOKUP(G64,'ORÇAMENTO '!$G:$L,COLUMNS('ORÇAMENTO '!#REF!),0)</f>
        <v>#REF!</v>
      </c>
      <c r="L64" s="1190" t="e">
        <f>VLOOKUP(G64,'ORÇAMENTO '!$G:$M,COLUMNS('ORÇAMENTO '!#REF!),0)</f>
        <v>#REF!</v>
      </c>
      <c r="M64" s="1190" t="e">
        <f t="shared" si="3"/>
        <v>#REF!</v>
      </c>
      <c r="N64" s="1445" t="e">
        <f t="shared" si="4"/>
        <v>#REF!</v>
      </c>
      <c r="O64" s="1446" t="e">
        <f t="shared" si="6"/>
        <v>#REF!</v>
      </c>
      <c r="P64" s="1451" t="s">
        <v>485</v>
      </c>
      <c r="Q64" s="1370"/>
      <c r="R64" s="375" t="e">
        <f t="shared" si="5"/>
        <v>#REF!</v>
      </c>
      <c r="S64" s="1370" t="b">
        <f t="shared" si="7"/>
        <v>0</v>
      </c>
      <c r="T64" s="341"/>
    </row>
    <row r="65" spans="1:21" s="341" customFormat="1" ht="30">
      <c r="A65" s="341" t="e">
        <f t="shared" ca="1" si="0"/>
        <v>#REF!</v>
      </c>
      <c r="B65" s="341" t="e">
        <f>IF(OR(C65=1,D65=1),SUMIF($A$16:A65,A65,$C$16:C65),"")</f>
        <v>#REF!</v>
      </c>
      <c r="C65" s="341">
        <f t="shared" si="1"/>
        <v>1</v>
      </c>
      <c r="D65" s="662" t="e">
        <f t="shared" si="2"/>
        <v>#REF!</v>
      </c>
      <c r="E65" s="662"/>
      <c r="F65" s="1099">
        <v>41</v>
      </c>
      <c r="G65" s="1224" t="s">
        <v>1824</v>
      </c>
      <c r="H65" s="1222" t="s">
        <v>5557</v>
      </c>
      <c r="I65" s="1215" t="s">
        <v>22</v>
      </c>
      <c r="J65" s="1229">
        <v>30</v>
      </c>
      <c r="K65" s="1190" t="e">
        <f>VLOOKUP(G65,'ORÇAMENTO '!$G:$L,COLUMNS('ORÇAMENTO '!#REF!),0)</f>
        <v>#REF!</v>
      </c>
      <c r="L65" s="1190" t="e">
        <f>VLOOKUP(G65,'ORÇAMENTO '!$G:$M,COLUMNS('ORÇAMENTO '!#REF!),0)</f>
        <v>#REF!</v>
      </c>
      <c r="M65" s="1190" t="e">
        <f t="shared" si="3"/>
        <v>#REF!</v>
      </c>
      <c r="N65" s="1445" t="e">
        <f t="shared" si="4"/>
        <v>#REF!</v>
      </c>
      <c r="O65" s="1446" t="e">
        <f t="shared" si="6"/>
        <v>#REF!</v>
      </c>
      <c r="P65" s="1451" t="s">
        <v>485</v>
      </c>
      <c r="Q65" s="1370"/>
      <c r="R65" s="375" t="e">
        <f t="shared" si="5"/>
        <v>#REF!</v>
      </c>
      <c r="S65" s="1370" t="b">
        <f t="shared" si="7"/>
        <v>0</v>
      </c>
      <c r="T65" s="256"/>
      <c r="U65" s="340"/>
    </row>
    <row r="66" spans="1:21" s="341" customFormat="1" ht="45">
      <c r="A66" s="341" t="e">
        <f t="shared" ca="1" si="0"/>
        <v>#REF!</v>
      </c>
      <c r="B66" s="341" t="e">
        <f>IF(OR(C66=1,D66=1),SUMIF($A$16:A66,A66,$C$16:C66),"")</f>
        <v>#REF!</v>
      </c>
      <c r="C66" s="341">
        <f t="shared" si="1"/>
        <v>1</v>
      </c>
      <c r="D66" s="662" t="e">
        <f t="shared" si="2"/>
        <v>#REF!</v>
      </c>
      <c r="E66" s="662"/>
      <c r="F66" s="1099">
        <v>11</v>
      </c>
      <c r="G66" s="1192">
        <v>96523</v>
      </c>
      <c r="H66" s="1222" t="s">
        <v>5044</v>
      </c>
      <c r="I66" s="1215" t="s">
        <v>19</v>
      </c>
      <c r="J66" s="1229">
        <f>0.75+5.5</f>
        <v>6.25</v>
      </c>
      <c r="K66" s="1190" t="e">
        <f>VLOOKUP(G66,'ORÇAMENTO '!$G:$L,COLUMNS('ORÇAMENTO '!#REF!),0)</f>
        <v>#REF!</v>
      </c>
      <c r="L66" s="1190" t="e">
        <f>VLOOKUP(G66,'ORÇAMENTO '!$G:$M,COLUMNS('ORÇAMENTO '!#REF!),0)</f>
        <v>#REF!</v>
      </c>
      <c r="M66" s="1190" t="e">
        <f t="shared" si="3"/>
        <v>#REF!</v>
      </c>
      <c r="N66" s="1446" t="e">
        <f t="shared" si="4"/>
        <v>#REF!</v>
      </c>
      <c r="O66" s="1446" t="e">
        <f t="shared" si="6"/>
        <v>#REF!</v>
      </c>
      <c r="P66" s="1451" t="s">
        <v>485</v>
      </c>
      <c r="Q66" s="1370"/>
      <c r="R66" s="375" t="e">
        <f t="shared" si="5"/>
        <v>#REF!</v>
      </c>
      <c r="S66" s="1370" t="b">
        <f t="shared" si="7"/>
        <v>0</v>
      </c>
      <c r="U66" s="340"/>
    </row>
    <row r="67" spans="1:21" s="341" customFormat="1" ht="45">
      <c r="A67" s="341" t="e">
        <f t="shared" ca="1" si="0"/>
        <v>#REF!</v>
      </c>
      <c r="B67" s="341" t="e">
        <f>IF(OR(C67=1,D67=1),SUMIF($A$16:A67,A67,$C$16:C67),"")</f>
        <v>#REF!</v>
      </c>
      <c r="C67" s="341">
        <f t="shared" si="1"/>
        <v>1</v>
      </c>
      <c r="D67" s="662" t="e">
        <f t="shared" si="2"/>
        <v>#REF!</v>
      </c>
      <c r="E67" s="662"/>
      <c r="F67" s="1099">
        <v>3</v>
      </c>
      <c r="G67" s="1192">
        <v>98525</v>
      </c>
      <c r="H67" s="1222" t="s">
        <v>2050</v>
      </c>
      <c r="I67" s="1215" t="s">
        <v>0</v>
      </c>
      <c r="J67" s="1229">
        <v>1521.45</v>
      </c>
      <c r="K67" s="1190" t="e">
        <f>VLOOKUP(G67,'ORÇAMENTO '!$G:$L,COLUMNS('ORÇAMENTO '!#REF!),0)</f>
        <v>#REF!</v>
      </c>
      <c r="L67" s="1190" t="e">
        <f>VLOOKUP(G67,'ORÇAMENTO '!$G:$M,COLUMNS('ORÇAMENTO '!#REF!),0)</f>
        <v>#REF!</v>
      </c>
      <c r="M67" s="1190" t="e">
        <f t="shared" si="3"/>
        <v>#REF!</v>
      </c>
      <c r="N67" s="1446" t="e">
        <f t="shared" si="4"/>
        <v>#REF!</v>
      </c>
      <c r="O67" s="1446" t="e">
        <f t="shared" si="6"/>
        <v>#REF!</v>
      </c>
      <c r="P67" s="1451" t="s">
        <v>485</v>
      </c>
      <c r="Q67" s="1370"/>
      <c r="R67" s="375" t="e">
        <f t="shared" si="5"/>
        <v>#REF!</v>
      </c>
      <c r="S67" s="1370" t="b">
        <f t="shared" si="7"/>
        <v>0</v>
      </c>
      <c r="U67" s="340"/>
    </row>
    <row r="68" spans="1:21" s="341" customFormat="1" ht="30">
      <c r="A68" s="341" t="e">
        <f t="shared" ca="1" si="0"/>
        <v>#REF!</v>
      </c>
      <c r="B68" s="341" t="e">
        <f>IF(OR(C68=1,D68=1),SUMIF($A$16:A68,A68,$C$16:C68),"")</f>
        <v>#REF!</v>
      </c>
      <c r="C68" s="341">
        <f t="shared" si="1"/>
        <v>1</v>
      </c>
      <c r="D68" s="662" t="e">
        <f t="shared" si="2"/>
        <v>#REF!</v>
      </c>
      <c r="E68" s="662"/>
      <c r="F68" s="1099">
        <v>59</v>
      </c>
      <c r="G68" s="1099">
        <v>96543</v>
      </c>
      <c r="H68" s="1222" t="s">
        <v>1746</v>
      </c>
      <c r="I68" s="1215" t="s">
        <v>20</v>
      </c>
      <c r="J68" s="1229">
        <v>23.1</v>
      </c>
      <c r="K68" s="1190" t="e">
        <f>VLOOKUP(G68,'ORÇAMENTO '!$G:$L,COLUMNS('ORÇAMENTO '!#REF!),0)</f>
        <v>#REF!</v>
      </c>
      <c r="L68" s="1190" t="e">
        <f>VLOOKUP(G68,'ORÇAMENTO '!$G:$M,COLUMNS('ORÇAMENTO '!#REF!),0)</f>
        <v>#REF!</v>
      </c>
      <c r="M68" s="1190" t="e">
        <f t="shared" si="3"/>
        <v>#REF!</v>
      </c>
      <c r="N68" s="1446" t="e">
        <f t="shared" si="4"/>
        <v>#REF!</v>
      </c>
      <c r="O68" s="1446" t="e">
        <f t="shared" si="6"/>
        <v>#REF!</v>
      </c>
      <c r="P68" s="1451" t="s">
        <v>485</v>
      </c>
      <c r="Q68" s="1370"/>
      <c r="R68" s="375" t="e">
        <f t="shared" si="5"/>
        <v>#REF!</v>
      </c>
      <c r="S68" s="1370" t="b">
        <f t="shared" si="7"/>
        <v>0</v>
      </c>
      <c r="U68" s="340"/>
    </row>
    <row r="69" spans="1:21" s="341" customFormat="1" ht="30">
      <c r="A69" s="341" t="e">
        <f t="shared" ca="1" si="0"/>
        <v>#REF!</v>
      </c>
      <c r="B69" s="341" t="e">
        <f>IF(OR(C69=1,D69=1),SUMIF($A$16:A69,A69,$C$16:C69),"")</f>
        <v>#REF!</v>
      </c>
      <c r="C69" s="341">
        <f t="shared" si="1"/>
        <v>1</v>
      </c>
      <c r="D69" s="662" t="e">
        <f t="shared" si="2"/>
        <v>#REF!</v>
      </c>
      <c r="E69" s="662"/>
      <c r="F69" s="1099">
        <v>48</v>
      </c>
      <c r="G69" s="1192" t="s">
        <v>1829</v>
      </c>
      <c r="H69" s="1222" t="s">
        <v>1346</v>
      </c>
      <c r="I69" s="1215" t="s">
        <v>22</v>
      </c>
      <c r="J69" s="1229">
        <v>16</v>
      </c>
      <c r="K69" s="1190" t="e">
        <f>VLOOKUP(G69,'ORÇAMENTO '!$G:$L,COLUMNS('ORÇAMENTO '!#REF!),0)</f>
        <v>#REF!</v>
      </c>
      <c r="L69" s="1190" t="e">
        <f>VLOOKUP(G69,'ORÇAMENTO '!$G:$M,COLUMNS('ORÇAMENTO '!#REF!),0)</f>
        <v>#REF!</v>
      </c>
      <c r="M69" s="1190" t="e">
        <f t="shared" si="3"/>
        <v>#REF!</v>
      </c>
      <c r="N69" s="1445" t="e">
        <f t="shared" si="4"/>
        <v>#REF!</v>
      </c>
      <c r="O69" s="1446" t="e">
        <f t="shared" si="6"/>
        <v>#REF!</v>
      </c>
      <c r="P69" s="1451" t="s">
        <v>485</v>
      </c>
      <c r="Q69" s="1370"/>
      <c r="R69" s="375" t="e">
        <f t="shared" si="5"/>
        <v>#REF!</v>
      </c>
      <c r="S69" s="1370" t="b">
        <f t="shared" si="7"/>
        <v>0</v>
      </c>
      <c r="U69" s="340"/>
    </row>
    <row r="70" spans="1:21" s="341" customFormat="1" ht="30">
      <c r="A70" s="341" t="e">
        <f t="shared" ca="1" si="0"/>
        <v>#REF!</v>
      </c>
      <c r="B70" s="341" t="e">
        <f>IF(OR(C70=1,D70=1),SUMIF($A$16:A70,A70,$C$16:C70),"")</f>
        <v>#REF!</v>
      </c>
      <c r="C70" s="341">
        <f t="shared" si="1"/>
        <v>1</v>
      </c>
      <c r="D70" s="662" t="e">
        <f t="shared" si="2"/>
        <v>#REF!</v>
      </c>
      <c r="E70" s="662"/>
      <c r="F70" s="1099">
        <v>40</v>
      </c>
      <c r="G70" s="1192" t="s">
        <v>1823</v>
      </c>
      <c r="H70" s="1222" t="s">
        <v>5558</v>
      </c>
      <c r="I70" s="1215" t="s">
        <v>22</v>
      </c>
      <c r="J70" s="1229">
        <v>24</v>
      </c>
      <c r="K70" s="1190" t="e">
        <f>VLOOKUP(G70,'ORÇAMENTO '!$G:$L,COLUMNS('ORÇAMENTO '!#REF!),0)</f>
        <v>#REF!</v>
      </c>
      <c r="L70" s="1190" t="e">
        <f>VLOOKUP(G70,'ORÇAMENTO '!$G:$M,COLUMNS('ORÇAMENTO '!#REF!),0)</f>
        <v>#REF!</v>
      </c>
      <c r="M70" s="1190" t="e">
        <f t="shared" si="3"/>
        <v>#REF!</v>
      </c>
      <c r="N70" s="1445" t="e">
        <f t="shared" si="4"/>
        <v>#REF!</v>
      </c>
      <c r="O70" s="1446" t="e">
        <f t="shared" si="6"/>
        <v>#REF!</v>
      </c>
      <c r="P70" s="1451" t="s">
        <v>485</v>
      </c>
      <c r="Q70" s="1370"/>
      <c r="R70" s="375" t="e">
        <f t="shared" si="5"/>
        <v>#REF!</v>
      </c>
      <c r="S70" s="1370" t="b">
        <f t="shared" si="7"/>
        <v>0</v>
      </c>
      <c r="U70" s="340"/>
    </row>
    <row r="71" spans="1:21" s="338" customFormat="1" ht="30">
      <c r="A71" s="341" t="e">
        <f t="shared" ca="1" si="0"/>
        <v>#REF!</v>
      </c>
      <c r="B71" s="341" t="e">
        <f>IF(OR(C71=1,D71=1),SUMIF($A$16:A71,A71,$C$16:C71),"")</f>
        <v>#REF!</v>
      </c>
      <c r="C71" s="341">
        <f t="shared" si="1"/>
        <v>1</v>
      </c>
      <c r="D71" s="662" t="e">
        <f t="shared" si="2"/>
        <v>#REF!</v>
      </c>
      <c r="E71" s="662"/>
      <c r="F71" s="1099">
        <v>39</v>
      </c>
      <c r="G71" s="1192" t="s">
        <v>1821</v>
      </c>
      <c r="H71" s="1222" t="s">
        <v>5559</v>
      </c>
      <c r="I71" s="1215" t="s">
        <v>22</v>
      </c>
      <c r="J71" s="1229">
        <v>10</v>
      </c>
      <c r="K71" s="1190" t="e">
        <f>VLOOKUP(G71,'ORÇAMENTO '!$G:$L,COLUMNS('ORÇAMENTO '!#REF!),0)</f>
        <v>#REF!</v>
      </c>
      <c r="L71" s="1190" t="e">
        <f>VLOOKUP(G71,'ORÇAMENTO '!$G:$M,COLUMNS('ORÇAMENTO '!#REF!),0)</f>
        <v>#REF!</v>
      </c>
      <c r="M71" s="1190" t="e">
        <f t="shared" si="3"/>
        <v>#REF!</v>
      </c>
      <c r="N71" s="1445" t="e">
        <f t="shared" si="4"/>
        <v>#REF!</v>
      </c>
      <c r="O71" s="1446" t="e">
        <f t="shared" si="6"/>
        <v>#REF!</v>
      </c>
      <c r="P71" s="1451" t="s">
        <v>485</v>
      </c>
      <c r="Q71" s="1370"/>
      <c r="R71" s="375" t="e">
        <f t="shared" si="5"/>
        <v>#REF!</v>
      </c>
      <c r="S71" s="1370" t="b">
        <f t="shared" si="7"/>
        <v>0</v>
      </c>
      <c r="T71" s="341"/>
      <c r="U71" s="1377"/>
    </row>
    <row r="72" spans="1:21" s="341" customFormat="1" ht="45">
      <c r="A72" s="341" t="e">
        <f t="shared" ca="1" si="0"/>
        <v>#REF!</v>
      </c>
      <c r="B72" s="341" t="e">
        <f>IF(OR(C72=1,D72=1),SUMIF($A$16:A72,A72,$C$16:C72),"")</f>
        <v>#REF!</v>
      </c>
      <c r="C72" s="341">
        <f t="shared" si="1"/>
        <v>1</v>
      </c>
      <c r="D72" s="662" t="e">
        <f t="shared" si="2"/>
        <v>#REF!</v>
      </c>
      <c r="E72" s="662"/>
      <c r="F72" s="1099">
        <v>69</v>
      </c>
      <c r="G72" s="1192">
        <v>98562</v>
      </c>
      <c r="H72" s="1222" t="s">
        <v>2089</v>
      </c>
      <c r="I72" s="1215" t="s">
        <v>0</v>
      </c>
      <c r="J72" s="1229">
        <v>6.85</v>
      </c>
      <c r="K72" s="1190" t="e">
        <f>VLOOKUP(G72,'ORÇAMENTO '!$G:$L,COLUMNS('ORÇAMENTO '!#REF!),0)</f>
        <v>#REF!</v>
      </c>
      <c r="L72" s="1190" t="e">
        <f>VLOOKUP(G72,'ORÇAMENTO '!$G:$M,COLUMNS('ORÇAMENTO '!#REF!),0)</f>
        <v>#REF!</v>
      </c>
      <c r="M72" s="1190" t="e">
        <f t="shared" si="3"/>
        <v>#REF!</v>
      </c>
      <c r="N72" s="1446" t="e">
        <f t="shared" si="4"/>
        <v>#REF!</v>
      </c>
      <c r="O72" s="1446" t="e">
        <f t="shared" si="6"/>
        <v>#REF!</v>
      </c>
      <c r="P72" s="1451" t="s">
        <v>485</v>
      </c>
      <c r="Q72" s="1370"/>
      <c r="R72" s="375" t="e">
        <f t="shared" si="5"/>
        <v>#REF!</v>
      </c>
      <c r="S72" s="1370" t="b">
        <f t="shared" si="7"/>
        <v>0</v>
      </c>
      <c r="U72" s="340"/>
    </row>
    <row r="73" spans="1:21" s="341" customFormat="1" ht="45">
      <c r="A73" s="341" t="e">
        <f t="shared" ca="1" si="0"/>
        <v>#REF!</v>
      </c>
      <c r="B73" s="341" t="e">
        <f>IF(OR(C73=1,D73=1),SUMIF($A$16:A73,A73,$C$16:C73),"")</f>
        <v>#REF!</v>
      </c>
      <c r="C73" s="341">
        <f t="shared" si="1"/>
        <v>1</v>
      </c>
      <c r="D73" s="662" t="e">
        <f t="shared" si="2"/>
        <v>#REF!</v>
      </c>
      <c r="E73" s="662"/>
      <c r="F73" s="1099">
        <v>7</v>
      </c>
      <c r="G73" s="1192">
        <v>95635</v>
      </c>
      <c r="H73" s="1222" t="s">
        <v>2169</v>
      </c>
      <c r="I73" s="1215" t="s">
        <v>22</v>
      </c>
      <c r="J73" s="1229">
        <v>1</v>
      </c>
      <c r="K73" s="1190" t="e">
        <f>VLOOKUP(G73,'ORÇAMENTO '!$G:$L,COLUMNS('ORÇAMENTO '!#REF!),0)</f>
        <v>#REF!</v>
      </c>
      <c r="L73" s="1190" t="e">
        <f>VLOOKUP(G73,'ORÇAMENTO '!$G:$M,COLUMNS('ORÇAMENTO '!#REF!),0)</f>
        <v>#REF!</v>
      </c>
      <c r="M73" s="1190" t="e">
        <f t="shared" si="3"/>
        <v>#REF!</v>
      </c>
      <c r="N73" s="1446" t="e">
        <f t="shared" si="4"/>
        <v>#REF!</v>
      </c>
      <c r="O73" s="1446" t="e">
        <f t="shared" si="6"/>
        <v>#REF!</v>
      </c>
      <c r="P73" s="1451" t="s">
        <v>485</v>
      </c>
      <c r="Q73" s="1370"/>
      <c r="R73" s="375" t="e">
        <f t="shared" si="5"/>
        <v>#REF!</v>
      </c>
      <c r="S73" s="1370" t="b">
        <f t="shared" si="7"/>
        <v>0</v>
      </c>
      <c r="U73" s="340"/>
    </row>
    <row r="74" spans="1:21" s="256" customFormat="1" ht="30">
      <c r="A74" s="341" t="e">
        <f t="shared" ca="1" si="0"/>
        <v>#N/A</v>
      </c>
      <c r="B74" s="341" t="e">
        <f>IF(OR(C74=1,D74=1),SUMIF($A$16:A74,A74,$C$16:C74),"")</f>
        <v>#N/A</v>
      </c>
      <c r="C74" s="341">
        <f t="shared" si="1"/>
        <v>1</v>
      </c>
      <c r="D74" s="662" t="e">
        <f t="shared" si="2"/>
        <v>#N/A</v>
      </c>
      <c r="E74" s="662"/>
      <c r="F74" s="1099">
        <v>8</v>
      </c>
      <c r="G74" s="1192">
        <v>95675</v>
      </c>
      <c r="H74" s="1222" t="s">
        <v>521</v>
      </c>
      <c r="I74" s="1215" t="s">
        <v>22</v>
      </c>
      <c r="J74" s="1229">
        <v>1</v>
      </c>
      <c r="K74" s="1190" t="e">
        <f>VLOOKUP(G74,'ORÇAMENTO '!$G:$L,COLUMNS('ORÇAMENTO '!F83:K83),0)</f>
        <v>#N/A</v>
      </c>
      <c r="L74" s="1190" t="e">
        <f>VLOOKUP(G74,'ORÇAMENTO '!$G:$M,COLUMNS('ORÇAMENTO '!G83:M83),0)</f>
        <v>#N/A</v>
      </c>
      <c r="M74" s="1190" t="e">
        <f t="shared" si="3"/>
        <v>#N/A</v>
      </c>
      <c r="N74" s="1446" t="e">
        <f t="shared" si="4"/>
        <v>#N/A</v>
      </c>
      <c r="O74" s="1446" t="e">
        <f t="shared" si="6"/>
        <v>#N/A</v>
      </c>
      <c r="P74" s="1451" t="s">
        <v>485</v>
      </c>
      <c r="Q74" s="346"/>
      <c r="R74" s="375" t="e">
        <f t="shared" si="5"/>
        <v>#REF!</v>
      </c>
      <c r="S74" s="1370" t="b">
        <f t="shared" si="7"/>
        <v>0</v>
      </c>
    </row>
    <row r="75" spans="1:21" s="341" customFormat="1" ht="15.75">
      <c r="A75" s="341" t="e">
        <f t="shared" ca="1" si="0"/>
        <v>#N/A</v>
      </c>
      <c r="B75" s="341" t="e">
        <f>IF(OR(C75=1,D75=1),SUMIF($A$16:A75,A75,$C$16:C75),"")</f>
        <v>#N/A</v>
      </c>
      <c r="C75" s="341">
        <f t="shared" si="1"/>
        <v>1</v>
      </c>
      <c r="D75" s="662" t="e">
        <f t="shared" si="2"/>
        <v>#N/A</v>
      </c>
      <c r="E75" s="662"/>
      <c r="F75" s="1099">
        <v>53</v>
      </c>
      <c r="G75" s="1192">
        <v>96995</v>
      </c>
      <c r="H75" s="1222" t="s">
        <v>1957</v>
      </c>
      <c r="I75" s="1215" t="s">
        <v>19</v>
      </c>
      <c r="J75" s="1229">
        <v>3.63</v>
      </c>
      <c r="K75" s="1190" t="e">
        <f>VLOOKUP(G75,'ORÇAMENTO '!$G:$L,COLUMNS('ORÇAMENTO '!F84:K84),0)</f>
        <v>#N/A</v>
      </c>
      <c r="L75" s="1190" t="e">
        <f>VLOOKUP(G75,'ORÇAMENTO '!$G:$M,COLUMNS('ORÇAMENTO '!G84:M84),0)</f>
        <v>#N/A</v>
      </c>
      <c r="M75" s="1190" t="e">
        <f t="shared" si="3"/>
        <v>#N/A</v>
      </c>
      <c r="N75" s="1446" t="e">
        <f t="shared" si="4"/>
        <v>#N/A</v>
      </c>
      <c r="O75" s="1446" t="e">
        <f t="shared" si="6"/>
        <v>#N/A</v>
      </c>
      <c r="P75" s="1451" t="s">
        <v>485</v>
      </c>
      <c r="Q75" s="346"/>
      <c r="R75" s="375" t="e">
        <f t="shared" si="5"/>
        <v>#REF!</v>
      </c>
      <c r="S75" s="1370" t="b">
        <f t="shared" si="7"/>
        <v>0</v>
      </c>
      <c r="T75" s="256"/>
      <c r="U75" s="340"/>
    </row>
    <row r="76" spans="1:21" s="341" customFormat="1" ht="45">
      <c r="A76" s="341" t="e">
        <f t="shared" ca="1" si="0"/>
        <v>#REF!</v>
      </c>
      <c r="B76" s="341" t="e">
        <f>IF(OR(C76=1,D76=1),SUMIF($A$16:A76,A76,$C$16:C76),"")</f>
        <v>#REF!</v>
      </c>
      <c r="C76" s="341">
        <f t="shared" si="1"/>
        <v>1</v>
      </c>
      <c r="D76" s="662" t="e">
        <f t="shared" si="2"/>
        <v>#REF!</v>
      </c>
      <c r="E76" s="662"/>
      <c r="F76" s="1099">
        <v>42</v>
      </c>
      <c r="G76" s="1192" t="s">
        <v>1825</v>
      </c>
      <c r="H76" s="1222" t="s">
        <v>5560</v>
      </c>
      <c r="I76" s="1215" t="s">
        <v>22</v>
      </c>
      <c r="J76" s="1229">
        <v>18</v>
      </c>
      <c r="K76" s="1190" t="e">
        <f>VLOOKUP(G76,'ORÇAMENTO '!$G:$L,COLUMNS('ORÇAMENTO '!#REF!),0)</f>
        <v>#REF!</v>
      </c>
      <c r="L76" s="1190" t="e">
        <f>VLOOKUP(G76,'ORÇAMENTO '!$G:$M,COLUMNS('ORÇAMENTO '!#REF!),0)</f>
        <v>#REF!</v>
      </c>
      <c r="M76" s="1190" t="e">
        <f t="shared" si="3"/>
        <v>#REF!</v>
      </c>
      <c r="N76" s="1445" t="e">
        <f t="shared" si="4"/>
        <v>#REF!</v>
      </c>
      <c r="O76" s="1446" t="e">
        <f t="shared" si="6"/>
        <v>#REF!</v>
      </c>
      <c r="P76" s="1451" t="s">
        <v>485</v>
      </c>
      <c r="Q76" s="1370"/>
      <c r="R76" s="375" t="e">
        <f t="shared" si="5"/>
        <v>#REF!</v>
      </c>
      <c r="S76" s="1370" t="b">
        <f t="shared" si="7"/>
        <v>0</v>
      </c>
      <c r="U76" s="340"/>
    </row>
    <row r="77" spans="1:21" s="341" customFormat="1" ht="30">
      <c r="A77" s="341" t="e">
        <f t="shared" ca="1" si="0"/>
        <v>#REF!</v>
      </c>
      <c r="B77" s="341" t="e">
        <f>IF(OR(C77=1,D77=1),SUMIF($A$16:A77,A77,$C$16:C77),"")</f>
        <v>#REF!</v>
      </c>
      <c r="C77" s="341">
        <f t="shared" si="1"/>
        <v>1</v>
      </c>
      <c r="D77" s="662" t="e">
        <f t="shared" si="2"/>
        <v>#REF!</v>
      </c>
      <c r="E77" s="662"/>
      <c r="F77" s="1099">
        <v>60</v>
      </c>
      <c r="G77" s="1099">
        <v>95601</v>
      </c>
      <c r="H77" s="1222" t="s">
        <v>4630</v>
      </c>
      <c r="I77" s="1215" t="s">
        <v>22</v>
      </c>
      <c r="J77" s="1229">
        <v>10</v>
      </c>
      <c r="K77" s="1190" t="e">
        <f>VLOOKUP(G77,'ORÇAMENTO '!$G:$L,COLUMNS('ORÇAMENTO '!#REF!),0)</f>
        <v>#REF!</v>
      </c>
      <c r="L77" s="1190" t="e">
        <f>VLOOKUP(G77,'ORÇAMENTO '!$G:$M,COLUMNS('ORÇAMENTO '!#REF!),0)</f>
        <v>#REF!</v>
      </c>
      <c r="M77" s="1190" t="e">
        <f t="shared" si="3"/>
        <v>#REF!</v>
      </c>
      <c r="N77" s="1446" t="e">
        <f t="shared" si="4"/>
        <v>#REF!</v>
      </c>
      <c r="O77" s="1446" t="e">
        <f t="shared" si="6"/>
        <v>#REF!</v>
      </c>
      <c r="P77" s="1451" t="s">
        <v>485</v>
      </c>
      <c r="Q77" s="346"/>
      <c r="R77" s="375" t="e">
        <f t="shared" si="5"/>
        <v>#REF!</v>
      </c>
      <c r="S77" s="1370" t="b">
        <f t="shared" si="7"/>
        <v>0</v>
      </c>
      <c r="T77" s="256"/>
      <c r="U77" s="340"/>
    </row>
    <row r="78" spans="1:21" s="341" customFormat="1" ht="30">
      <c r="A78" s="341" t="e">
        <f t="shared" ca="1" si="0"/>
        <v>#REF!</v>
      </c>
      <c r="B78" s="341" t="e">
        <f>IF(OR(C78=1,D78=1),SUMIF($A$16:A78,A78,$C$16:C78),"")</f>
        <v>#REF!</v>
      </c>
      <c r="C78" s="341">
        <f t="shared" si="1"/>
        <v>1</v>
      </c>
      <c r="D78" s="662" t="e">
        <f t="shared" si="2"/>
        <v>#REF!</v>
      </c>
      <c r="E78" s="662"/>
      <c r="F78" s="1099">
        <v>47</v>
      </c>
      <c r="G78" s="1192" t="s">
        <v>1828</v>
      </c>
      <c r="H78" s="1222" t="s">
        <v>1345</v>
      </c>
      <c r="I78" s="1215" t="s">
        <v>22</v>
      </c>
      <c r="J78" s="1229">
        <v>6</v>
      </c>
      <c r="K78" s="1190" t="e">
        <f>VLOOKUP(G78,'ORÇAMENTO '!$G:$L,COLUMNS('ORÇAMENTO '!#REF!),0)</f>
        <v>#REF!</v>
      </c>
      <c r="L78" s="1190" t="e">
        <f>VLOOKUP(G78,'ORÇAMENTO '!$G:$M,COLUMNS('ORÇAMENTO '!#REF!),0)</f>
        <v>#REF!</v>
      </c>
      <c r="M78" s="1190" t="e">
        <f t="shared" si="3"/>
        <v>#REF!</v>
      </c>
      <c r="N78" s="1445" t="e">
        <f t="shared" si="4"/>
        <v>#REF!</v>
      </c>
      <c r="O78" s="1446" t="e">
        <f t="shared" si="6"/>
        <v>#REF!</v>
      </c>
      <c r="P78" s="1451" t="s">
        <v>485</v>
      </c>
      <c r="Q78" s="346"/>
      <c r="R78" s="375" t="e">
        <f t="shared" si="5"/>
        <v>#REF!</v>
      </c>
      <c r="S78" s="1370" t="b">
        <f t="shared" si="7"/>
        <v>0</v>
      </c>
      <c r="T78" s="256"/>
      <c r="U78" s="340"/>
    </row>
    <row r="79" spans="1:21" s="341" customFormat="1" ht="30">
      <c r="A79" s="341" t="e">
        <f t="shared" ca="1" si="0"/>
        <v>#N/A</v>
      </c>
      <c r="B79" s="341" t="e">
        <f>IF(OR(C79=1,D79=1),SUMIF($A$16:A79,A79,$C$16:C79),"")</f>
        <v>#N/A</v>
      </c>
      <c r="C79" s="341">
        <f t="shared" si="1"/>
        <v>1</v>
      </c>
      <c r="D79" s="662" t="e">
        <f t="shared" si="2"/>
        <v>#N/A</v>
      </c>
      <c r="E79" s="662"/>
      <c r="F79" s="1099">
        <v>55</v>
      </c>
      <c r="G79" s="1192">
        <v>96619</v>
      </c>
      <c r="H79" s="1222" t="s">
        <v>1757</v>
      </c>
      <c r="I79" s="1215" t="s">
        <v>0</v>
      </c>
      <c r="J79" s="1229">
        <v>3.6</v>
      </c>
      <c r="K79" s="1190" t="e">
        <f>VLOOKUP(G79,'ORÇAMENTO '!$G:$L,COLUMNS('ORÇAMENTO '!F85:K85),0)</f>
        <v>#N/A</v>
      </c>
      <c r="L79" s="1190" t="e">
        <f>VLOOKUP(G79,'ORÇAMENTO '!$G:$M,COLUMNS('ORÇAMENTO '!G85:M85),0)</f>
        <v>#N/A</v>
      </c>
      <c r="M79" s="1190" t="e">
        <f t="shared" si="3"/>
        <v>#N/A</v>
      </c>
      <c r="N79" s="1446" t="e">
        <f t="shared" si="4"/>
        <v>#N/A</v>
      </c>
      <c r="O79" s="1446" t="e">
        <f t="shared" si="6"/>
        <v>#N/A</v>
      </c>
      <c r="P79" s="1451" t="s">
        <v>485</v>
      </c>
      <c r="Q79" s="346"/>
      <c r="R79" s="375" t="e">
        <f t="shared" si="5"/>
        <v>#REF!</v>
      </c>
      <c r="S79" s="1370" t="b">
        <f t="shared" si="7"/>
        <v>0</v>
      </c>
      <c r="T79" s="256"/>
      <c r="U79" s="340"/>
    </row>
    <row r="80" spans="1:21" s="341" customFormat="1" ht="45">
      <c r="A80" s="341" t="e">
        <f ca="1">IF(LEN(D80),OFFSET(A80,-1,0)+1,OFFSET(A80,-1,0))</f>
        <v>#N/A</v>
      </c>
      <c r="B80" s="341" t="e">
        <f>IF(OR(C80=1,D80=1),SUMIF($A$16:A80,A80,$C$16:C80),"")</f>
        <v>#N/A</v>
      </c>
      <c r="C80" s="341">
        <f>IF(G80&gt;0,1,"")</f>
        <v>1</v>
      </c>
      <c r="D80" s="662" t="e">
        <f>IF(AND(CONCATENATE(G80,H80,I80,J80,K80,L80,M80)=H80&amp;M80,CONCATENATE(G80,H80,I80,J80,K80,L80,M80)&lt;&gt;"",M80&lt;&gt;""),1,"")</f>
        <v>#N/A</v>
      </c>
      <c r="E80" s="662"/>
      <c r="F80" s="1099">
        <v>30</v>
      </c>
      <c r="G80" s="1192">
        <v>89854</v>
      </c>
      <c r="H80" s="1222" t="s">
        <v>1374</v>
      </c>
      <c r="I80" s="1215" t="s">
        <v>22</v>
      </c>
      <c r="J80" s="1229">
        <v>1</v>
      </c>
      <c r="K80" s="1190" t="e">
        <f>VLOOKUP(G80,'ORÇAMENTO '!$G:$L,COLUMNS('ORÇAMENTO '!F86:K86),0)</f>
        <v>#N/A</v>
      </c>
      <c r="L80" s="1190" t="e">
        <f>VLOOKUP(G80,'ORÇAMENTO '!$G:$M,COLUMNS('ORÇAMENTO '!G86:M86),0)</f>
        <v>#N/A</v>
      </c>
      <c r="M80" s="1190" t="e">
        <f>IF($S$2="OUTROS",TRUNC(L80*J80,2),ROUND(L80*J80,2))</f>
        <v>#N/A</v>
      </c>
      <c r="N80" s="1446" t="e">
        <f>M80/$N$86</f>
        <v>#N/A</v>
      </c>
      <c r="O80" s="1446" t="e">
        <f t="shared" si="6"/>
        <v>#N/A</v>
      </c>
      <c r="P80" s="1451" t="s">
        <v>485</v>
      </c>
      <c r="Q80" s="346"/>
      <c r="R80" s="375" t="e">
        <f>$Q$13=$N$86</f>
        <v>#REF!</v>
      </c>
      <c r="S80" s="1370" t="b">
        <f t="shared" si="7"/>
        <v>0</v>
      </c>
      <c r="T80" s="256"/>
      <c r="U80" s="340"/>
    </row>
    <row r="81" spans="1:21" s="341" customFormat="1" ht="30">
      <c r="A81" s="341" t="e">
        <f ca="1">IF(LEN(D81),OFFSET(A81,-1,0)+1,OFFSET(A81,-1,0))</f>
        <v>#N/A</v>
      </c>
      <c r="B81" s="341" t="e">
        <f>IF(OR(C81=1,D81=1),SUMIF($A$16:A81,A81,$C$16:C81),"")</f>
        <v>#N/A</v>
      </c>
      <c r="C81" s="341">
        <f>IF(G81&gt;0,1,"")</f>
        <v>1</v>
      </c>
      <c r="D81" s="662" t="e">
        <f>IF(AND(CONCATENATE(G81,H81,I81,J81,K81,L81,M81)=H81&amp;M81,CONCATENATE(G81,H81,I81,J81,K81,L81,M81)&lt;&gt;"",M81&lt;&gt;""),1,"")</f>
        <v>#N/A</v>
      </c>
      <c r="E81" s="662"/>
      <c r="F81" s="1099">
        <v>18</v>
      </c>
      <c r="G81" s="1224">
        <v>100575</v>
      </c>
      <c r="H81" s="1222" t="s">
        <v>2834</v>
      </c>
      <c r="I81" s="1215" t="s">
        <v>0</v>
      </c>
      <c r="J81" s="1229">
        <f>396.56+131.79</f>
        <v>528.35</v>
      </c>
      <c r="K81" s="1190" t="e">
        <f>VLOOKUP(G81,'ORÇAMENTO '!$G:$L,COLUMNS('ORÇAMENTO '!F87:K87),0)</f>
        <v>#N/A</v>
      </c>
      <c r="L81" s="1190" t="e">
        <f>VLOOKUP(G81,'ORÇAMENTO '!$G:$M,COLUMNS('ORÇAMENTO '!G87:M87),0)</f>
        <v>#N/A</v>
      </c>
      <c r="M81" s="1190" t="e">
        <f>IF($S$2="OUTROS",TRUNC(L81*J81,2),ROUND(L81*J81,2))</f>
        <v>#N/A</v>
      </c>
      <c r="N81" s="1445" t="e">
        <f>M81/$N$86</f>
        <v>#N/A</v>
      </c>
      <c r="O81" s="1446" t="e">
        <f>N81+O80</f>
        <v>#N/A</v>
      </c>
      <c r="P81" s="1451" t="s">
        <v>485</v>
      </c>
      <c r="Q81" s="346"/>
      <c r="R81" s="375" t="e">
        <f>$Q$13=$N$86</f>
        <v>#REF!</v>
      </c>
      <c r="S81" s="1370" t="b">
        <f>G81=G82</f>
        <v>0</v>
      </c>
      <c r="T81" s="256"/>
      <c r="U81" s="340"/>
    </row>
    <row r="82" spans="1:21" s="341" customFormat="1" ht="30">
      <c r="A82" s="341" t="e">
        <f ca="1">IF(LEN(D82),OFFSET(A82,-1,0)+1,OFFSET(A82,-1,0))</f>
        <v>#REF!</v>
      </c>
      <c r="B82" s="341" t="e">
        <f>IF(OR(C82=1,D82=1),SUMIF($A$16:A82,A82,$C$16:C82),"")</f>
        <v>#REF!</v>
      </c>
      <c r="C82" s="341">
        <f>IF(G82&gt;0,1,"")</f>
        <v>1</v>
      </c>
      <c r="D82" s="662" t="e">
        <f>IF(AND(CONCATENATE(G82,H82,I82,J82,K82,L82,M82)=H82&amp;M82,CONCATENATE(G82,H82,I82,J82,K82,L82,M82)&lt;&gt;"",M82&lt;&gt;""),1,"")</f>
        <v>#REF!</v>
      </c>
      <c r="E82" s="662"/>
      <c r="F82" s="1099">
        <v>31</v>
      </c>
      <c r="G82" s="1452">
        <v>92982</v>
      </c>
      <c r="H82" s="1222" t="s">
        <v>1350</v>
      </c>
      <c r="I82" s="1215" t="s">
        <v>21</v>
      </c>
      <c r="J82" s="1229">
        <v>2</v>
      </c>
      <c r="K82" s="1190" t="e">
        <f>VLOOKUP(G82,'ORÇAMENTO '!$G:$L,COLUMNS('ORÇAMENTO '!#REF!),0)</f>
        <v>#REF!</v>
      </c>
      <c r="L82" s="1190" t="e">
        <f>VLOOKUP(G82,'ORÇAMENTO '!$G:$M,COLUMNS('ORÇAMENTO '!#REF!),0)</f>
        <v>#REF!</v>
      </c>
      <c r="M82" s="1190" t="e">
        <f>IF($S$2="OUTROS",TRUNC(L82*J82,2),ROUND(L82*J82,2))</f>
        <v>#REF!</v>
      </c>
      <c r="N82" s="1446" t="e">
        <f>M82/$N$86</f>
        <v>#REF!</v>
      </c>
      <c r="O82" s="1446" t="e">
        <f>N82+O81</f>
        <v>#REF!</v>
      </c>
      <c r="P82" s="1451" t="s">
        <v>485</v>
      </c>
      <c r="Q82" s="346"/>
      <c r="R82" s="375" t="e">
        <f>$Q$13=$N$86</f>
        <v>#REF!</v>
      </c>
      <c r="S82" s="1370" t="b">
        <f>G82=G83</f>
        <v>0</v>
      </c>
      <c r="T82" s="256"/>
      <c r="U82" s="340"/>
    </row>
    <row r="83" spans="1:21" s="341" customFormat="1" ht="45">
      <c r="A83" s="341" t="e">
        <f ca="1">IF(LEN(D83),OFFSET(A83,-1,0)+1,OFFSET(A83,-1,0))</f>
        <v>#REF!</v>
      </c>
      <c r="B83" s="341" t="e">
        <f>IF(OR(C83=1,D83=1),SUMIF($A$16:A83,A83,$C$16:C83),"")</f>
        <v>#REF!</v>
      </c>
      <c r="C83" s="341">
        <f>IF(G83&gt;0,1,"")</f>
        <v>1</v>
      </c>
      <c r="D83" s="662" t="e">
        <f>IF(AND(CONCATENATE(G83,H83,I83,J83,K83,L83,M83)=H83&amp;M83,CONCATENATE(G83,H83,I83,J83,K83,L83,M83)&lt;&gt;"",M83&lt;&gt;""),1,"")</f>
        <v>#REF!</v>
      </c>
      <c r="E83" s="662"/>
      <c r="F83" s="1099">
        <v>32</v>
      </c>
      <c r="G83" s="1192">
        <v>91871</v>
      </c>
      <c r="H83" s="1222" t="s">
        <v>1343</v>
      </c>
      <c r="I83" s="1215" t="s">
        <v>21</v>
      </c>
      <c r="J83" s="1229">
        <v>3</v>
      </c>
      <c r="K83" s="1190" t="e">
        <f>VLOOKUP(G83,'ORÇAMENTO '!$G:$L,COLUMNS('ORÇAMENTO '!#REF!),0)</f>
        <v>#REF!</v>
      </c>
      <c r="L83" s="1190" t="e">
        <f>VLOOKUP(G83,'ORÇAMENTO '!$G:$M,COLUMNS('ORÇAMENTO '!#REF!),0)</f>
        <v>#REF!</v>
      </c>
      <c r="M83" s="1190" t="e">
        <f>IF($S$2="OUTROS",TRUNC(L83*J83,2),ROUND(L83*J83,2))</f>
        <v>#REF!</v>
      </c>
      <c r="N83" s="1446" t="e">
        <f>M83/$N$86</f>
        <v>#REF!</v>
      </c>
      <c r="O83" s="1446" t="e">
        <f>N83+O82</f>
        <v>#REF!</v>
      </c>
      <c r="P83" s="1451" t="s">
        <v>485</v>
      </c>
      <c r="Q83" s="346"/>
      <c r="R83" s="375" t="e">
        <f>$Q$13=$N$86</f>
        <v>#REF!</v>
      </c>
      <c r="S83" s="1370" t="b">
        <f>G83=G84</f>
        <v>0</v>
      </c>
      <c r="T83" s="256"/>
      <c r="U83" s="340"/>
    </row>
    <row r="84" spans="1:21" s="341" customFormat="1" ht="30">
      <c r="A84" s="341" t="e">
        <f ca="1">IF(LEN(D84),OFFSET(A84,-1,0)+1,OFFSET(A84,-1,0))</f>
        <v>#REF!</v>
      </c>
      <c r="B84" s="341" t="e">
        <f>IF(OR(C84=1,D84=1),SUMIF($A$16:A84,A84,$C$16:C84),"")</f>
        <v>#REF!</v>
      </c>
      <c r="C84" s="341">
        <f>IF(G84&gt;0,1,"")</f>
        <v>1</v>
      </c>
      <c r="D84" s="662" t="e">
        <f>IF(AND(CONCATENATE(G84,H84,I84,J84,K84,L84,M84)=H84&amp;M84,CONCATENATE(G84,H84,I84,J84,K84,L84,M84)&lt;&gt;"",M84&lt;&gt;""),1,"")</f>
        <v>#REF!</v>
      </c>
      <c r="E84" s="662"/>
      <c r="F84" s="1099">
        <v>54</v>
      </c>
      <c r="G84" s="1224">
        <v>101616</v>
      </c>
      <c r="H84" s="1222" t="s">
        <v>3787</v>
      </c>
      <c r="I84" s="1215" t="s">
        <v>0</v>
      </c>
      <c r="J84" s="1229">
        <v>3.6</v>
      </c>
      <c r="K84" s="1190" t="e">
        <f>VLOOKUP(G84,'ORÇAMENTO '!$G:$L,COLUMNS('ORÇAMENTO '!#REF!),0)</f>
        <v>#REF!</v>
      </c>
      <c r="L84" s="1190" t="e">
        <f>VLOOKUP(G84,'ORÇAMENTO '!$G:$M,COLUMNS('ORÇAMENTO '!#REF!),0)</f>
        <v>#REF!</v>
      </c>
      <c r="M84" s="1190" t="e">
        <f>IF($S$2="OUTROS",TRUNC(L84*J84,2),ROUND(L84*J84,2))-0.01</f>
        <v>#REF!</v>
      </c>
      <c r="N84" s="1445" t="e">
        <f>M84/$N$86</f>
        <v>#REF!</v>
      </c>
      <c r="O84" s="1446" t="e">
        <f>N84+O83</f>
        <v>#REF!</v>
      </c>
      <c r="P84" s="1451" t="s">
        <v>485</v>
      </c>
      <c r="Q84" s="346"/>
      <c r="R84" s="375" t="e">
        <f>$Q$13=$N$86</f>
        <v>#REF!</v>
      </c>
      <c r="S84" s="1370" t="e">
        <f>G84=#REF!</f>
        <v>#REF!</v>
      </c>
      <c r="T84" s="256"/>
      <c r="U84" s="340"/>
    </row>
    <row r="85" spans="1:21" s="338" customFormat="1" ht="15.75" thickBot="1">
      <c r="A85"/>
      <c r="B85"/>
      <c r="C85"/>
      <c r="D85"/>
      <c r="E85"/>
      <c r="F85"/>
      <c r="G85"/>
      <c r="H85"/>
      <c r="I85"/>
      <c r="J85"/>
      <c r="K85"/>
      <c r="L85"/>
      <c r="M85"/>
      <c r="N85" s="1390"/>
      <c r="O85" s="1453"/>
      <c r="P85" s="1390"/>
      <c r="Q85"/>
      <c r="R85"/>
      <c r="S85"/>
      <c r="T85"/>
    </row>
    <row r="86" spans="1:21" s="338" customFormat="1" ht="28.5" thickBot="1">
      <c r="A86"/>
      <c r="B86"/>
      <c r="C86"/>
      <c r="D86"/>
      <c r="E86"/>
      <c r="F86"/>
      <c r="G86"/>
      <c r="H86"/>
      <c r="I86"/>
      <c r="J86"/>
      <c r="K86"/>
      <c r="L86" s="370"/>
      <c r="M86" s="371" t="s">
        <v>5561</v>
      </c>
      <c r="N86" s="2105" t="e">
        <f>TRUNC(SUM(M16:M84),2)</f>
        <v>#REF!</v>
      </c>
      <c r="O86" s="2105"/>
      <c r="P86" s="2106"/>
      <c r="Q86">
        <v>2036023.5199999998</v>
      </c>
      <c r="R86"/>
      <c r="S86"/>
      <c r="T86"/>
    </row>
    <row r="87" spans="1:21" s="338" customFormat="1" ht="15">
      <c r="A87"/>
      <c r="B87"/>
      <c r="C87"/>
      <c r="D87"/>
      <c r="E87"/>
      <c r="F87"/>
      <c r="G87"/>
      <c r="H87"/>
      <c r="I87"/>
      <c r="J87" s="1402"/>
      <c r="K87" s="1402" t="e">
        <f>SUM(M16:M86)</f>
        <v>#REF!</v>
      </c>
      <c r="L87"/>
      <c r="M87"/>
      <c r="N87" s="1390"/>
      <c r="O87" s="1453"/>
      <c r="P87" s="1390"/>
      <c r="Q87"/>
      <c r="R87"/>
      <c r="S87"/>
      <c r="T87"/>
    </row>
    <row r="88" spans="1:21" s="338" customFormat="1" ht="15">
      <c r="A88"/>
      <c r="B88"/>
      <c r="C88"/>
      <c r="D88"/>
      <c r="E88"/>
      <c r="F88"/>
      <c r="G88"/>
      <c r="H88"/>
      <c r="I88"/>
      <c r="J88"/>
      <c r="K88"/>
      <c r="L88"/>
      <c r="M88"/>
      <c r="N88" s="1390"/>
      <c r="O88" s="1453"/>
      <c r="P88" s="1390"/>
      <c r="Q88" s="1454" t="e">
        <f>N86-Q86</f>
        <v>#REF!</v>
      </c>
      <c r="R88" s="1402">
        <f ca="1">RESUMO!H54</f>
        <v>3772097.7300000004</v>
      </c>
      <c r="S88"/>
      <c r="T88"/>
    </row>
    <row r="89" spans="1:21" s="338" customFormat="1" ht="15">
      <c r="A89"/>
      <c r="B89"/>
      <c r="C89"/>
      <c r="D89"/>
      <c r="E89"/>
      <c r="F89"/>
      <c r="G89"/>
      <c r="H89"/>
      <c r="I89"/>
      <c r="J89"/>
      <c r="K89"/>
      <c r="L89"/>
      <c r="M89"/>
      <c r="N89" s="1390"/>
      <c r="O89" s="1453"/>
      <c r="P89" s="1390"/>
      <c r="Q89"/>
      <c r="R89" s="1454" t="e">
        <f ca="1">R88-N86</f>
        <v>#REF!</v>
      </c>
      <c r="S89"/>
      <c r="T89"/>
    </row>
    <row r="90" spans="1:21" s="338" customFormat="1" ht="15">
      <c r="A90"/>
      <c r="B90"/>
      <c r="C90"/>
      <c r="D90"/>
      <c r="E90"/>
      <c r="F90"/>
      <c r="G90"/>
      <c r="H90"/>
      <c r="I90"/>
      <c r="J90"/>
      <c r="K90"/>
      <c r="L90"/>
      <c r="M90"/>
      <c r="N90" s="1390"/>
      <c r="O90" s="1453"/>
      <c r="P90" s="1390"/>
      <c r="Q90"/>
      <c r="R90"/>
      <c r="S90"/>
      <c r="T90"/>
    </row>
    <row r="91" spans="1:21" s="338" customFormat="1" ht="15">
      <c r="A91"/>
      <c r="B91"/>
      <c r="C91"/>
      <c r="D91"/>
      <c r="E91"/>
      <c r="F91"/>
      <c r="G91"/>
      <c r="H91"/>
      <c r="I91"/>
      <c r="J91"/>
      <c r="K91"/>
      <c r="L91"/>
      <c r="M91"/>
      <c r="N91" s="1390"/>
      <c r="O91" s="1453"/>
      <c r="P91" s="1390"/>
      <c r="Q91"/>
      <c r="R91"/>
      <c r="S91"/>
      <c r="T91"/>
    </row>
    <row r="92" spans="1:21" s="338" customFormat="1" ht="15">
      <c r="A92"/>
      <c r="B92"/>
      <c r="C92"/>
      <c r="D92"/>
      <c r="E92"/>
      <c r="F92"/>
      <c r="G92"/>
      <c r="H92"/>
      <c r="I92"/>
      <c r="J92"/>
      <c r="K92"/>
      <c r="L92"/>
      <c r="M92"/>
      <c r="N92" s="1390"/>
      <c r="O92" s="1453"/>
      <c r="P92" s="1390"/>
      <c r="Q92">
        <f ca="1">RESUMO!H54</f>
        <v>3772097.7300000004</v>
      </c>
      <c r="R92"/>
      <c r="S92"/>
      <c r="T92"/>
    </row>
    <row r="93" spans="1:21" s="338" customFormat="1" ht="15">
      <c r="A93"/>
      <c r="B93"/>
      <c r="C93"/>
      <c r="D93"/>
      <c r="E93"/>
      <c r="F93"/>
      <c r="G93"/>
      <c r="H93"/>
      <c r="I93"/>
      <c r="J93"/>
      <c r="K93"/>
      <c r="L93"/>
      <c r="M93"/>
      <c r="N93" s="1390"/>
      <c r="O93" s="1453"/>
      <c r="P93" s="1390"/>
      <c r="Q93"/>
      <c r="R93"/>
      <c r="S93"/>
      <c r="T93"/>
    </row>
    <row r="94" spans="1:21" s="338" customFormat="1" ht="15">
      <c r="A94"/>
      <c r="B94"/>
      <c r="C94"/>
      <c r="D94"/>
      <c r="E94"/>
      <c r="F94"/>
      <c r="G94"/>
      <c r="H94"/>
      <c r="I94"/>
      <c r="J94"/>
      <c r="K94"/>
      <c r="L94"/>
      <c r="M94"/>
      <c r="N94" s="1390"/>
      <c r="O94" s="1453"/>
      <c r="P94" s="1390"/>
      <c r="Q94"/>
      <c r="R94"/>
      <c r="S94"/>
      <c r="T94"/>
    </row>
    <row r="95" spans="1:21" s="338" customFormat="1" ht="15">
      <c r="A95"/>
      <c r="B95"/>
      <c r="C95"/>
      <c r="D95"/>
      <c r="E95"/>
      <c r="F95"/>
      <c r="G95"/>
      <c r="H95"/>
      <c r="I95"/>
      <c r="J95"/>
      <c r="K95"/>
      <c r="L95"/>
      <c r="M95"/>
      <c r="N95" s="1390"/>
      <c r="O95" s="1453"/>
      <c r="P95" s="1390"/>
      <c r="Q95"/>
      <c r="R95"/>
      <c r="S95"/>
      <c r="T95"/>
    </row>
    <row r="96" spans="1:21" s="341" customFormat="1" ht="31.5" customHeight="1">
      <c r="A96"/>
      <c r="B96"/>
      <c r="C96"/>
      <c r="D96"/>
      <c r="E96"/>
      <c r="F96"/>
      <c r="G96"/>
      <c r="H96"/>
      <c r="I96"/>
      <c r="J96"/>
      <c r="K96"/>
      <c r="L96"/>
      <c r="M96"/>
      <c r="N96" s="1390"/>
      <c r="O96" s="1453"/>
      <c r="P96" s="1390"/>
      <c r="Q96"/>
      <c r="R96"/>
      <c r="S96"/>
      <c r="T96"/>
      <c r="U96" s="340"/>
    </row>
    <row r="97" spans="1:21" s="341" customFormat="1" ht="32.25" customHeight="1">
      <c r="A97"/>
      <c r="B97"/>
      <c r="C97"/>
      <c r="D97"/>
      <c r="E97"/>
      <c r="F97"/>
      <c r="G97"/>
      <c r="H97"/>
      <c r="I97"/>
      <c r="J97"/>
      <c r="K97"/>
      <c r="L97"/>
      <c r="M97"/>
      <c r="N97" s="1390"/>
      <c r="O97" s="1453"/>
      <c r="P97" s="1390"/>
      <c r="Q97"/>
      <c r="R97"/>
      <c r="S97"/>
      <c r="T97"/>
      <c r="U97" s="340"/>
    </row>
    <row r="98" spans="1:21" s="341" customFormat="1" ht="32.25" customHeight="1">
      <c r="A98"/>
      <c r="B98"/>
      <c r="C98"/>
      <c r="D98"/>
      <c r="E98"/>
      <c r="F98"/>
      <c r="G98"/>
      <c r="H98"/>
      <c r="I98"/>
      <c r="J98"/>
      <c r="K98"/>
      <c r="L98"/>
      <c r="M98"/>
      <c r="N98" s="1390"/>
      <c r="O98" s="1453"/>
      <c r="P98" s="1390"/>
      <c r="Q98"/>
      <c r="R98"/>
      <c r="S98"/>
      <c r="T98"/>
      <c r="U98" s="340"/>
    </row>
    <row r="99" spans="1:21" s="341" customFormat="1" ht="32.25" customHeight="1">
      <c r="A99"/>
      <c r="B99"/>
      <c r="C99"/>
      <c r="D99"/>
      <c r="E99"/>
      <c r="F99"/>
      <c r="G99"/>
      <c r="H99"/>
      <c r="I99"/>
      <c r="J99"/>
      <c r="K99"/>
      <c r="L99"/>
      <c r="M99"/>
      <c r="N99" s="1390"/>
      <c r="O99" s="1453"/>
      <c r="P99" s="1390"/>
      <c r="Q99"/>
      <c r="R99"/>
      <c r="S99"/>
      <c r="T99"/>
      <c r="U99" s="340"/>
    </row>
    <row r="100" spans="1:21" s="341" customFormat="1" ht="32.25" customHeight="1">
      <c r="A100"/>
      <c r="B100"/>
      <c r="C100"/>
      <c r="D100"/>
      <c r="E100"/>
      <c r="F100"/>
      <c r="G100"/>
      <c r="H100"/>
      <c r="I100"/>
      <c r="J100"/>
      <c r="K100"/>
      <c r="L100"/>
      <c r="M100"/>
      <c r="N100" s="1390"/>
      <c r="O100" s="1453"/>
      <c r="P100" s="1390"/>
      <c r="Q100"/>
      <c r="R100"/>
      <c r="S100"/>
      <c r="T100"/>
      <c r="U100" s="340"/>
    </row>
    <row r="101" spans="1:21" s="341" customFormat="1" ht="48" customHeight="1">
      <c r="A101"/>
      <c r="B101"/>
      <c r="C101"/>
      <c r="D101"/>
      <c r="E101"/>
      <c r="F101"/>
      <c r="G101"/>
      <c r="H101"/>
      <c r="I101"/>
      <c r="J101"/>
      <c r="K101"/>
      <c r="L101"/>
      <c r="M101"/>
      <c r="N101" s="1390"/>
      <c r="O101" s="1453"/>
      <c r="P101" s="1390"/>
      <c r="Q101"/>
      <c r="R101"/>
      <c r="S101"/>
      <c r="T101"/>
      <c r="U101" s="340"/>
    </row>
    <row r="102" spans="1:21" s="341" customFormat="1" ht="45.75" customHeight="1">
      <c r="A102"/>
      <c r="B102"/>
      <c r="C102"/>
      <c r="D102"/>
      <c r="E102"/>
      <c r="F102"/>
      <c r="G102"/>
      <c r="H102"/>
      <c r="I102"/>
      <c r="J102"/>
      <c r="K102"/>
      <c r="L102"/>
      <c r="M102"/>
      <c r="N102" s="1390"/>
      <c r="O102" s="1453"/>
      <c r="P102" s="1390"/>
      <c r="Q102"/>
      <c r="R102"/>
      <c r="S102"/>
      <c r="T102"/>
      <c r="U102" s="340"/>
    </row>
    <row r="103" spans="1:21" s="341" customFormat="1" ht="30.75" customHeight="1">
      <c r="A103"/>
      <c r="B103"/>
      <c r="C103"/>
      <c r="D103"/>
      <c r="E103"/>
      <c r="F103"/>
      <c r="G103"/>
      <c r="H103"/>
      <c r="I103"/>
      <c r="J103"/>
      <c r="K103"/>
      <c r="L103"/>
      <c r="M103"/>
      <c r="N103" s="1390"/>
      <c r="O103" s="1453"/>
      <c r="P103" s="1390"/>
      <c r="Q103"/>
      <c r="R103"/>
      <c r="S103"/>
      <c r="T103"/>
      <c r="U103" s="340"/>
    </row>
    <row r="104" spans="1:21" s="341" customFormat="1" ht="46.5" customHeight="1">
      <c r="A104"/>
      <c r="B104"/>
      <c r="C104"/>
      <c r="D104"/>
      <c r="E104"/>
      <c r="F104"/>
      <c r="G104"/>
      <c r="H104"/>
      <c r="I104"/>
      <c r="J104"/>
      <c r="K104"/>
      <c r="L104"/>
      <c r="M104"/>
      <c r="N104" s="1390"/>
      <c r="O104" s="1453"/>
      <c r="P104" s="1390"/>
      <c r="Q104"/>
      <c r="R104"/>
      <c r="S104"/>
      <c r="T104"/>
      <c r="U104" s="340"/>
    </row>
    <row r="105" spans="1:21" s="341" customFormat="1" ht="45.75" customHeight="1">
      <c r="A105"/>
      <c r="B105"/>
      <c r="C105"/>
      <c r="D105"/>
      <c r="E105"/>
      <c r="F105"/>
      <c r="G105"/>
      <c r="H105"/>
      <c r="I105"/>
      <c r="J105"/>
      <c r="K105"/>
      <c r="L105"/>
      <c r="M105"/>
      <c r="N105" s="1390"/>
      <c r="O105" s="1453"/>
      <c r="P105" s="1390"/>
      <c r="Q105"/>
      <c r="R105"/>
      <c r="S105"/>
      <c r="T105"/>
      <c r="U105" s="340"/>
    </row>
    <row r="106" spans="1:21" s="341" customFormat="1" ht="45.75" customHeight="1">
      <c r="A106"/>
      <c r="B106"/>
      <c r="C106"/>
      <c r="D106"/>
      <c r="E106"/>
      <c r="F106"/>
      <c r="G106"/>
      <c r="H106"/>
      <c r="I106"/>
      <c r="J106"/>
      <c r="K106"/>
      <c r="L106"/>
      <c r="M106"/>
      <c r="N106" s="1390"/>
      <c r="O106" s="1453"/>
      <c r="P106" s="1390"/>
      <c r="Q106"/>
      <c r="R106"/>
      <c r="S106"/>
      <c r="T106"/>
      <c r="U106" s="340"/>
    </row>
    <row r="107" spans="1:21" s="341" customFormat="1" ht="45.75" customHeight="1">
      <c r="A107"/>
      <c r="B107"/>
      <c r="C107"/>
      <c r="D107"/>
      <c r="E107"/>
      <c r="F107"/>
      <c r="G107"/>
      <c r="H107"/>
      <c r="I107"/>
      <c r="J107"/>
      <c r="K107"/>
      <c r="L107"/>
      <c r="M107"/>
      <c r="N107" s="1390"/>
      <c r="O107" s="1453"/>
      <c r="P107" s="1390"/>
      <c r="Q107"/>
      <c r="R107"/>
      <c r="S107"/>
      <c r="T107"/>
      <c r="U107" s="340"/>
    </row>
    <row r="108" spans="1:21" s="341" customFormat="1" ht="45.75" customHeight="1">
      <c r="A108"/>
      <c r="B108"/>
      <c r="C108"/>
      <c r="D108"/>
      <c r="E108"/>
      <c r="F108"/>
      <c r="G108"/>
      <c r="H108"/>
      <c r="I108"/>
      <c r="J108"/>
      <c r="K108"/>
      <c r="L108"/>
      <c r="M108"/>
      <c r="N108" s="1390"/>
      <c r="O108" s="1453"/>
      <c r="P108" s="1390"/>
      <c r="Q108"/>
      <c r="R108"/>
      <c r="S108"/>
      <c r="T108"/>
      <c r="U108" s="340"/>
    </row>
    <row r="109" spans="1:21" s="341" customFormat="1" ht="45.75" customHeight="1">
      <c r="A109"/>
      <c r="B109"/>
      <c r="C109"/>
      <c r="D109"/>
      <c r="E109"/>
      <c r="F109"/>
      <c r="G109"/>
      <c r="H109"/>
      <c r="I109"/>
      <c r="J109"/>
      <c r="K109"/>
      <c r="L109"/>
      <c r="M109"/>
      <c r="N109" s="1390"/>
      <c r="O109" s="1453"/>
      <c r="P109" s="1390"/>
      <c r="Q109"/>
      <c r="R109"/>
      <c r="S109"/>
      <c r="T109"/>
      <c r="U109" s="340"/>
    </row>
    <row r="110" spans="1:21" s="341" customFormat="1" ht="32.25" customHeight="1">
      <c r="A110"/>
      <c r="B110"/>
      <c r="C110"/>
      <c r="D110"/>
      <c r="E110"/>
      <c r="F110"/>
      <c r="G110"/>
      <c r="H110"/>
      <c r="I110"/>
      <c r="J110"/>
      <c r="K110"/>
      <c r="L110"/>
      <c r="M110"/>
      <c r="N110" s="1390"/>
      <c r="O110" s="1453"/>
      <c r="P110" s="1390"/>
      <c r="Q110"/>
      <c r="R110"/>
      <c r="S110"/>
      <c r="T110"/>
      <c r="U110" s="340"/>
    </row>
    <row r="111" spans="1:21" s="341" customFormat="1" ht="32.25" customHeight="1">
      <c r="A111"/>
      <c r="B111"/>
      <c r="C111"/>
      <c r="D111"/>
      <c r="E111"/>
      <c r="F111"/>
      <c r="G111"/>
      <c r="H111"/>
      <c r="I111"/>
      <c r="J111"/>
      <c r="K111"/>
      <c r="L111"/>
      <c r="M111"/>
      <c r="N111" s="1390"/>
      <c r="O111" s="1453"/>
      <c r="P111" s="1390"/>
      <c r="Q111"/>
      <c r="R111"/>
      <c r="S111"/>
      <c r="T111"/>
      <c r="U111" s="340"/>
    </row>
    <row r="112" spans="1:21" s="341" customFormat="1" ht="32.25" customHeight="1">
      <c r="A112"/>
      <c r="B112"/>
      <c r="C112"/>
      <c r="D112"/>
      <c r="E112"/>
      <c r="F112"/>
      <c r="G112"/>
      <c r="H112"/>
      <c r="I112"/>
      <c r="J112"/>
      <c r="K112"/>
      <c r="L112"/>
      <c r="M112"/>
      <c r="N112" s="1390"/>
      <c r="O112" s="1453"/>
      <c r="P112" s="1390"/>
      <c r="Q112"/>
      <c r="R112"/>
      <c r="S112"/>
      <c r="T112"/>
      <c r="U112" s="340"/>
    </row>
    <row r="113" spans="1:21" s="341" customFormat="1" ht="32.25" customHeight="1">
      <c r="A113"/>
      <c r="B113"/>
      <c r="C113"/>
      <c r="D113"/>
      <c r="E113"/>
      <c r="F113"/>
      <c r="G113"/>
      <c r="H113"/>
      <c r="I113"/>
      <c r="J113"/>
      <c r="K113"/>
      <c r="L113"/>
      <c r="M113"/>
      <c r="N113" s="1390"/>
      <c r="O113" s="1453"/>
      <c r="P113" s="1390"/>
      <c r="Q113"/>
      <c r="R113"/>
      <c r="S113"/>
      <c r="T113"/>
      <c r="U113" s="340"/>
    </row>
    <row r="114" spans="1:21" s="341" customFormat="1" ht="30.75" customHeight="1">
      <c r="A114"/>
      <c r="B114"/>
      <c r="C114"/>
      <c r="D114"/>
      <c r="E114"/>
      <c r="F114"/>
      <c r="G114"/>
      <c r="H114"/>
      <c r="I114"/>
      <c r="J114"/>
      <c r="K114"/>
      <c r="L114"/>
      <c r="M114"/>
      <c r="N114" s="1390"/>
      <c r="O114" s="1453"/>
      <c r="P114" s="1390"/>
      <c r="Q114"/>
      <c r="R114"/>
      <c r="S114"/>
      <c r="T114"/>
      <c r="U114" s="340"/>
    </row>
    <row r="115" spans="1:21" s="341" customFormat="1" ht="30.75" customHeight="1">
      <c r="A115"/>
      <c r="B115"/>
      <c r="C115"/>
      <c r="D115"/>
      <c r="E115"/>
      <c r="F115"/>
      <c r="G115"/>
      <c r="H115"/>
      <c r="I115"/>
      <c r="J115"/>
      <c r="K115"/>
      <c r="L115"/>
      <c r="M115"/>
      <c r="N115" s="1390"/>
      <c r="O115" s="1453"/>
      <c r="P115" s="1390"/>
      <c r="Q115"/>
      <c r="R115"/>
      <c r="S115"/>
      <c r="T115"/>
      <c r="U115" s="340"/>
    </row>
    <row r="116" spans="1:21" s="341" customFormat="1" ht="32.25" customHeight="1">
      <c r="A116"/>
      <c r="B116"/>
      <c r="C116"/>
      <c r="D116"/>
      <c r="E116"/>
      <c r="F116"/>
      <c r="G116"/>
      <c r="H116"/>
      <c r="I116"/>
      <c r="J116"/>
      <c r="K116"/>
      <c r="L116"/>
      <c r="M116"/>
      <c r="N116" s="1390"/>
      <c r="O116" s="1453"/>
      <c r="P116" s="1390"/>
      <c r="Q116"/>
      <c r="R116"/>
      <c r="S116"/>
      <c r="T116"/>
      <c r="U116" s="340"/>
    </row>
    <row r="117" spans="1:21" s="341" customFormat="1" ht="32.25" customHeight="1">
      <c r="A117"/>
      <c r="B117"/>
      <c r="C117"/>
      <c r="D117"/>
      <c r="E117"/>
      <c r="F117"/>
      <c r="G117"/>
      <c r="H117"/>
      <c r="I117"/>
      <c r="J117"/>
      <c r="K117"/>
      <c r="L117"/>
      <c r="M117"/>
      <c r="N117" s="1390"/>
      <c r="O117" s="1453"/>
      <c r="P117" s="1390"/>
      <c r="Q117"/>
      <c r="R117"/>
      <c r="S117"/>
      <c r="T117"/>
      <c r="U117" s="340"/>
    </row>
    <row r="118" spans="1:21" s="341" customFormat="1" ht="31.5" customHeight="1">
      <c r="A118"/>
      <c r="B118"/>
      <c r="C118"/>
      <c r="D118"/>
      <c r="E118"/>
      <c r="F118"/>
      <c r="G118"/>
      <c r="H118"/>
      <c r="I118"/>
      <c r="J118"/>
      <c r="K118"/>
      <c r="L118"/>
      <c r="M118"/>
      <c r="N118" s="1390"/>
      <c r="O118" s="1453"/>
      <c r="P118" s="1390"/>
      <c r="Q118"/>
      <c r="R118"/>
      <c r="S118"/>
      <c r="T118"/>
      <c r="U118" s="340"/>
    </row>
    <row r="119" spans="1:21" s="341" customFormat="1" ht="45.75" customHeight="1">
      <c r="A119"/>
      <c r="B119"/>
      <c r="C119"/>
      <c r="D119"/>
      <c r="E119"/>
      <c r="F119"/>
      <c r="G119"/>
      <c r="H119"/>
      <c r="I119"/>
      <c r="J119"/>
      <c r="K119"/>
      <c r="L119"/>
      <c r="M119"/>
      <c r="N119" s="1390"/>
      <c r="O119" s="1453"/>
      <c r="P119" s="1390"/>
      <c r="Q119"/>
      <c r="R119"/>
      <c r="S119"/>
      <c r="T119"/>
      <c r="U119" s="340"/>
    </row>
    <row r="120" spans="1:21" s="341" customFormat="1" ht="60.75" customHeight="1">
      <c r="A120"/>
      <c r="B120"/>
      <c r="C120"/>
      <c r="D120"/>
      <c r="E120"/>
      <c r="F120"/>
      <c r="G120"/>
      <c r="H120"/>
      <c r="I120"/>
      <c r="J120"/>
      <c r="K120"/>
      <c r="L120"/>
      <c r="M120"/>
      <c r="N120" s="1390"/>
      <c r="O120" s="1453"/>
      <c r="P120" s="1390"/>
      <c r="Q120"/>
      <c r="R120"/>
      <c r="S120"/>
      <c r="T120"/>
      <c r="U120" s="340"/>
    </row>
    <row r="121" spans="1:21" s="341" customFormat="1" ht="32.25" customHeight="1">
      <c r="A121"/>
      <c r="B121"/>
      <c r="C121"/>
      <c r="D121"/>
      <c r="E121"/>
      <c r="F121"/>
      <c r="G121"/>
      <c r="H121"/>
      <c r="I121"/>
      <c r="J121"/>
      <c r="K121"/>
      <c r="L121"/>
      <c r="M121"/>
      <c r="N121" s="1390"/>
      <c r="O121" s="1453"/>
      <c r="P121" s="1390"/>
      <c r="Q121"/>
      <c r="R121"/>
      <c r="S121"/>
      <c r="T121"/>
      <c r="U121" s="340"/>
    </row>
    <row r="122" spans="1:21" s="341" customFormat="1" ht="32.25" customHeight="1">
      <c r="A122"/>
      <c r="B122"/>
      <c r="C122"/>
      <c r="D122"/>
      <c r="E122"/>
      <c r="F122"/>
      <c r="G122"/>
      <c r="H122"/>
      <c r="I122"/>
      <c r="J122"/>
      <c r="K122"/>
      <c r="L122"/>
      <c r="M122"/>
      <c r="N122" s="1390"/>
      <c r="O122" s="1453"/>
      <c r="P122" s="1390"/>
      <c r="Q122"/>
      <c r="R122"/>
      <c r="S122"/>
      <c r="T122"/>
      <c r="U122" s="340"/>
    </row>
    <row r="123" spans="1:21" s="341" customFormat="1" ht="31.5" customHeight="1">
      <c r="A123"/>
      <c r="B123"/>
      <c r="C123"/>
      <c r="D123"/>
      <c r="E123"/>
      <c r="F123"/>
      <c r="G123"/>
      <c r="H123"/>
      <c r="I123"/>
      <c r="J123"/>
      <c r="K123"/>
      <c r="L123"/>
      <c r="M123"/>
      <c r="N123" s="1390"/>
      <c r="O123" s="1453"/>
      <c r="P123" s="1390"/>
      <c r="Q123"/>
      <c r="R123"/>
      <c r="S123"/>
      <c r="T123"/>
      <c r="U123" s="340"/>
    </row>
    <row r="124" spans="1:21" s="341" customFormat="1" ht="31.5" customHeight="1">
      <c r="A124"/>
      <c r="B124"/>
      <c r="C124"/>
      <c r="D124"/>
      <c r="E124"/>
      <c r="F124"/>
      <c r="G124"/>
      <c r="H124"/>
      <c r="I124"/>
      <c r="J124"/>
      <c r="K124"/>
      <c r="L124"/>
      <c r="M124"/>
      <c r="N124" s="1390"/>
      <c r="O124" s="1453"/>
      <c r="P124" s="1390"/>
      <c r="Q124"/>
      <c r="R124"/>
      <c r="S124"/>
      <c r="T124"/>
      <c r="U124" s="340"/>
    </row>
    <row r="125" spans="1:21" s="338" customFormat="1" ht="15.75">
      <c r="D125" s="339"/>
      <c r="E125" s="339"/>
      <c r="F125" s="789"/>
      <c r="G125" s="789"/>
      <c r="H125" s="790"/>
      <c r="I125" s="789"/>
      <c r="J125" s="791"/>
      <c r="K125" s="791"/>
      <c r="L125" s="791"/>
      <c r="M125" s="791"/>
      <c r="N125" s="1455"/>
      <c r="O125" s="1456"/>
      <c r="P125" s="1455"/>
      <c r="Q125" s="344"/>
      <c r="R125" s="341"/>
    </row>
    <row r="126" spans="1:21" s="338" customFormat="1" ht="15.75">
      <c r="D126" s="339"/>
      <c r="E126" s="339"/>
      <c r="F126" s="789"/>
      <c r="G126" s="789"/>
      <c r="H126" s="790"/>
      <c r="I126" s="789"/>
      <c r="J126" s="791"/>
      <c r="K126" s="791"/>
      <c r="L126" s="791"/>
      <c r="M126" s="791"/>
      <c r="N126" s="1455"/>
      <c r="O126" s="1456"/>
      <c r="P126" s="1455"/>
      <c r="Q126" s="344"/>
      <c r="R126" s="341"/>
    </row>
    <row r="127" spans="1:21" s="338" customFormat="1" ht="15.75">
      <c r="D127" s="339"/>
      <c r="E127" s="339"/>
      <c r="F127" s="789"/>
      <c r="G127" s="789"/>
      <c r="H127" s="790"/>
      <c r="I127" s="789"/>
      <c r="J127" s="791"/>
      <c r="K127" s="791"/>
      <c r="L127" s="791"/>
      <c r="M127" s="791"/>
      <c r="N127" s="1455"/>
      <c r="O127" s="1456"/>
      <c r="P127" s="1455"/>
      <c r="Q127" s="344"/>
      <c r="R127" s="341"/>
    </row>
    <row r="128" spans="1:21" s="338" customFormat="1" ht="15.75">
      <c r="D128" s="339"/>
      <c r="E128" s="339"/>
      <c r="F128" s="789"/>
      <c r="G128" s="789"/>
      <c r="H128" s="790"/>
      <c r="I128" s="789"/>
      <c r="J128" s="791"/>
      <c r="K128" s="791"/>
      <c r="L128" s="791"/>
      <c r="M128" s="791"/>
      <c r="N128" s="1455"/>
      <c r="O128" s="1456"/>
      <c r="P128" s="1455"/>
      <c r="Q128" s="344"/>
      <c r="R128" s="341"/>
    </row>
    <row r="129" spans="4:18" s="338" customFormat="1" ht="15.75">
      <c r="D129" s="339"/>
      <c r="E129" s="339"/>
      <c r="F129" s="789"/>
      <c r="G129" s="789"/>
      <c r="H129" s="790"/>
      <c r="I129" s="789"/>
      <c r="J129" s="791"/>
      <c r="K129" s="791"/>
      <c r="L129" s="791"/>
      <c r="M129" s="791"/>
      <c r="N129" s="1455"/>
      <c r="O129" s="1456"/>
      <c r="P129" s="1455"/>
      <c r="Q129" s="344"/>
      <c r="R129" s="341"/>
    </row>
    <row r="130" spans="4:18" s="338" customFormat="1" ht="15.75">
      <c r="D130" s="339"/>
      <c r="E130" s="339"/>
      <c r="F130" s="789"/>
      <c r="G130" s="789"/>
      <c r="H130" s="790"/>
      <c r="I130" s="789"/>
      <c r="J130" s="791"/>
      <c r="K130" s="791"/>
      <c r="L130" s="791"/>
      <c r="M130" s="791"/>
      <c r="N130" s="1455"/>
      <c r="O130" s="1456"/>
      <c r="P130" s="1455"/>
      <c r="Q130" s="344"/>
      <c r="R130" s="341"/>
    </row>
    <row r="131" spans="4:18" s="338" customFormat="1" ht="15.75">
      <c r="D131" s="339"/>
      <c r="E131" s="339"/>
      <c r="F131" s="789"/>
      <c r="G131" s="789"/>
      <c r="H131" s="790"/>
      <c r="I131" s="789"/>
      <c r="J131" s="791"/>
      <c r="K131" s="791"/>
      <c r="L131" s="791"/>
      <c r="M131" s="791"/>
      <c r="N131" s="1455"/>
      <c r="O131" s="1456"/>
      <c r="P131" s="1455"/>
      <c r="Q131" s="344"/>
      <c r="R131" s="341"/>
    </row>
    <row r="132" spans="4:18" s="338" customFormat="1" ht="15.75">
      <c r="D132" s="339"/>
      <c r="E132" s="339"/>
      <c r="F132" s="789"/>
      <c r="G132" s="789"/>
      <c r="H132" s="790"/>
      <c r="I132" s="789"/>
      <c r="J132" s="791"/>
      <c r="K132" s="791"/>
      <c r="L132" s="791"/>
      <c r="M132" s="791"/>
      <c r="N132" s="1455"/>
      <c r="O132" s="1456"/>
      <c r="P132" s="1455"/>
      <c r="Q132" s="344"/>
      <c r="R132" s="341"/>
    </row>
    <row r="133" spans="4:18" s="338" customFormat="1" ht="15.75">
      <c r="D133" s="339"/>
      <c r="E133" s="339"/>
      <c r="F133" s="789"/>
      <c r="G133" s="789"/>
      <c r="H133" s="790"/>
      <c r="I133" s="789"/>
      <c r="J133" s="791"/>
      <c r="K133" s="791"/>
      <c r="L133" s="791"/>
      <c r="M133" s="791"/>
      <c r="N133" s="1455"/>
      <c r="O133" s="1456"/>
      <c r="P133" s="1455"/>
      <c r="Q133" s="344"/>
      <c r="R133" s="341"/>
    </row>
    <row r="134" spans="4:18" s="338" customFormat="1" ht="15.75">
      <c r="D134" s="339"/>
      <c r="E134" s="339"/>
      <c r="F134" s="789"/>
      <c r="G134" s="789"/>
      <c r="H134" s="790"/>
      <c r="I134" s="789"/>
      <c r="J134" s="791"/>
      <c r="K134" s="791"/>
      <c r="L134" s="791"/>
      <c r="M134" s="791"/>
      <c r="N134" s="1455"/>
      <c r="O134" s="1456"/>
      <c r="P134" s="1455"/>
      <c r="Q134" s="344"/>
      <c r="R134" s="341"/>
    </row>
    <row r="135" spans="4:18" s="338" customFormat="1" ht="15.75">
      <c r="D135" s="339"/>
      <c r="E135" s="339"/>
      <c r="F135" s="789"/>
      <c r="G135" s="789"/>
      <c r="H135" s="790"/>
      <c r="I135" s="789"/>
      <c r="J135" s="791"/>
      <c r="K135" s="791"/>
      <c r="L135" s="791"/>
      <c r="M135" s="791"/>
      <c r="N135" s="1455"/>
      <c r="O135" s="1456"/>
      <c r="P135" s="1455"/>
      <c r="Q135" s="344"/>
      <c r="R135" s="341"/>
    </row>
    <row r="136" spans="4:18" s="338" customFormat="1" ht="15.75">
      <c r="D136" s="339"/>
      <c r="E136" s="339"/>
      <c r="F136" s="789"/>
      <c r="G136" s="789"/>
      <c r="H136" s="790"/>
      <c r="I136" s="789"/>
      <c r="J136" s="791"/>
      <c r="K136" s="791"/>
      <c r="L136" s="791"/>
      <c r="M136" s="791"/>
      <c r="N136" s="1455"/>
      <c r="O136" s="1456"/>
      <c r="P136" s="1455"/>
      <c r="Q136" s="344"/>
      <c r="R136" s="341"/>
    </row>
    <row r="137" spans="4:18" s="338" customFormat="1" ht="15.75">
      <c r="D137" s="339"/>
      <c r="E137" s="339"/>
      <c r="F137" s="789"/>
      <c r="G137" s="789"/>
      <c r="H137" s="790"/>
      <c r="I137" s="789"/>
      <c r="J137" s="791"/>
      <c r="K137" s="791"/>
      <c r="L137" s="791"/>
      <c r="M137" s="791"/>
      <c r="N137" s="1455"/>
      <c r="O137" s="1456"/>
      <c r="P137" s="1455"/>
      <c r="Q137" s="344"/>
      <c r="R137" s="341"/>
    </row>
    <row r="138" spans="4:18" s="338" customFormat="1" ht="15.75">
      <c r="D138" s="339"/>
      <c r="E138" s="339"/>
      <c r="F138" s="789"/>
      <c r="G138" s="789"/>
      <c r="H138" s="790"/>
      <c r="I138" s="789"/>
      <c r="J138" s="791"/>
      <c r="K138" s="791"/>
      <c r="L138" s="791"/>
      <c r="M138" s="791"/>
      <c r="N138" s="1455"/>
      <c r="O138" s="1456"/>
      <c r="P138" s="1455"/>
      <c r="Q138" s="344"/>
      <c r="R138" s="341"/>
    </row>
    <row r="139" spans="4:18" s="338" customFormat="1" ht="15.75">
      <c r="D139" s="339"/>
      <c r="E139" s="339"/>
      <c r="F139" s="789"/>
      <c r="G139" s="789"/>
      <c r="H139" s="790"/>
      <c r="I139" s="789"/>
      <c r="J139" s="791"/>
      <c r="K139" s="791"/>
      <c r="L139" s="791"/>
      <c r="M139" s="791"/>
      <c r="N139" s="1455"/>
      <c r="O139" s="1456"/>
      <c r="P139" s="1455"/>
      <c r="Q139" s="344"/>
      <c r="R139" s="341"/>
    </row>
    <row r="140" spans="4:18" s="338" customFormat="1" ht="15.75">
      <c r="D140" s="339"/>
      <c r="E140" s="339"/>
      <c r="F140" s="789"/>
      <c r="G140" s="789"/>
      <c r="H140" s="790"/>
      <c r="I140" s="789"/>
      <c r="J140" s="791"/>
      <c r="K140" s="791"/>
      <c r="L140" s="791"/>
      <c r="M140" s="791"/>
      <c r="N140" s="1455"/>
      <c r="O140" s="1456"/>
      <c r="P140" s="1455"/>
      <c r="Q140" s="344"/>
      <c r="R140" s="341"/>
    </row>
    <row r="141" spans="4:18" s="338" customFormat="1" ht="15.75">
      <c r="D141" s="339"/>
      <c r="E141" s="339"/>
      <c r="F141" s="789"/>
      <c r="G141" s="789"/>
      <c r="H141" s="790"/>
      <c r="I141" s="789"/>
      <c r="J141" s="791"/>
      <c r="K141" s="791"/>
      <c r="L141" s="791"/>
      <c r="M141" s="791"/>
      <c r="N141" s="1455"/>
      <c r="O141" s="1456"/>
      <c r="P141" s="1455"/>
      <c r="Q141" s="344"/>
      <c r="R141" s="341"/>
    </row>
    <row r="142" spans="4:18" s="338" customFormat="1" ht="15.75">
      <c r="D142" s="339"/>
      <c r="E142" s="339"/>
      <c r="F142" s="789"/>
      <c r="G142" s="789"/>
      <c r="H142" s="790"/>
      <c r="I142" s="789"/>
      <c r="J142" s="791"/>
      <c r="K142" s="791"/>
      <c r="L142" s="791"/>
      <c r="M142" s="791"/>
      <c r="N142" s="1455"/>
      <c r="O142" s="1456"/>
      <c r="P142" s="1455"/>
      <c r="Q142" s="344"/>
      <c r="R142" s="341"/>
    </row>
    <row r="143" spans="4:18" s="338" customFormat="1" ht="15.75">
      <c r="D143" s="339"/>
      <c r="E143" s="339"/>
      <c r="F143" s="789"/>
      <c r="G143" s="789"/>
      <c r="H143" s="790"/>
      <c r="I143" s="789"/>
      <c r="J143" s="791"/>
      <c r="K143" s="791"/>
      <c r="L143" s="791"/>
      <c r="M143" s="791"/>
      <c r="N143" s="1455"/>
      <c r="O143" s="1456"/>
      <c r="P143" s="1455"/>
      <c r="Q143" s="344"/>
      <c r="R143" s="341"/>
    </row>
    <row r="144" spans="4:18" s="338" customFormat="1" ht="15.75">
      <c r="D144" s="339"/>
      <c r="E144" s="339"/>
      <c r="F144" s="789"/>
      <c r="G144" s="789"/>
      <c r="H144" s="790"/>
      <c r="I144" s="789"/>
      <c r="J144" s="791"/>
      <c r="K144" s="791"/>
      <c r="L144" s="791"/>
      <c r="M144" s="791"/>
      <c r="N144" s="1455"/>
      <c r="O144" s="1456"/>
      <c r="P144" s="1455"/>
      <c r="Q144" s="344"/>
      <c r="R144" s="341"/>
    </row>
    <row r="145" spans="4:18" s="338" customFormat="1" ht="15.75">
      <c r="D145" s="339"/>
      <c r="E145" s="339"/>
      <c r="F145" s="789"/>
      <c r="G145" s="789"/>
      <c r="H145" s="790"/>
      <c r="I145" s="789"/>
      <c r="J145" s="791"/>
      <c r="K145" s="791"/>
      <c r="L145" s="791"/>
      <c r="M145" s="791"/>
      <c r="N145" s="1455"/>
      <c r="O145" s="1456"/>
      <c r="P145" s="1455"/>
      <c r="Q145" s="344"/>
      <c r="R145" s="341"/>
    </row>
    <row r="146" spans="4:18" s="338" customFormat="1" ht="15.75">
      <c r="D146" s="339"/>
      <c r="E146" s="339"/>
      <c r="F146" s="789"/>
      <c r="G146" s="789"/>
      <c r="H146" s="790"/>
      <c r="I146" s="789"/>
      <c r="J146" s="791"/>
      <c r="K146" s="791"/>
      <c r="L146" s="791"/>
      <c r="M146" s="791"/>
      <c r="N146" s="1455"/>
      <c r="O146" s="1456"/>
      <c r="P146" s="1455"/>
      <c r="Q146" s="344"/>
      <c r="R146" s="341"/>
    </row>
    <row r="147" spans="4:18" s="338" customFormat="1" ht="15.75">
      <c r="D147" s="339"/>
      <c r="E147" s="339"/>
      <c r="F147" s="789"/>
      <c r="G147" s="789"/>
      <c r="H147" s="790"/>
      <c r="I147" s="789"/>
      <c r="J147" s="791"/>
      <c r="K147" s="791"/>
      <c r="L147" s="791"/>
      <c r="M147" s="791"/>
      <c r="N147" s="1455"/>
      <c r="O147" s="1456"/>
      <c r="P147" s="1455"/>
      <c r="Q147" s="344"/>
      <c r="R147" s="341"/>
    </row>
    <row r="148" spans="4:18" s="338" customFormat="1" ht="15.75">
      <c r="D148" s="339"/>
      <c r="E148" s="339"/>
      <c r="F148" s="789"/>
      <c r="G148" s="789"/>
      <c r="H148" s="790"/>
      <c r="I148" s="789"/>
      <c r="J148" s="791"/>
      <c r="K148" s="791"/>
      <c r="L148" s="791"/>
      <c r="M148" s="791"/>
      <c r="N148" s="1455"/>
      <c r="O148" s="1456"/>
      <c r="P148" s="1455"/>
      <c r="Q148" s="344"/>
      <c r="R148" s="341"/>
    </row>
    <row r="149" spans="4:18" s="338" customFormat="1" ht="15.75">
      <c r="D149" s="339"/>
      <c r="E149" s="339"/>
      <c r="F149" s="789"/>
      <c r="G149" s="789"/>
      <c r="H149" s="790"/>
      <c r="I149" s="789"/>
      <c r="J149" s="791"/>
      <c r="K149" s="791"/>
      <c r="L149" s="791"/>
      <c r="M149" s="791"/>
      <c r="N149" s="1455"/>
      <c r="O149" s="1456"/>
      <c r="P149" s="1455"/>
      <c r="Q149" s="344"/>
      <c r="R149" s="341"/>
    </row>
    <row r="150" spans="4:18" s="338" customFormat="1" ht="15.75">
      <c r="D150" s="339"/>
      <c r="E150" s="339"/>
      <c r="F150" s="789"/>
      <c r="G150" s="789"/>
      <c r="H150" s="790"/>
      <c r="I150" s="789"/>
      <c r="J150" s="791"/>
      <c r="K150" s="791"/>
      <c r="L150" s="791"/>
      <c r="M150" s="791"/>
      <c r="N150" s="1455"/>
      <c r="O150" s="1456"/>
      <c r="P150" s="1455"/>
      <c r="Q150" s="344"/>
      <c r="R150" s="341"/>
    </row>
    <row r="151" spans="4:18" s="338" customFormat="1" ht="15.75">
      <c r="D151" s="339"/>
      <c r="E151" s="339"/>
      <c r="F151" s="789"/>
      <c r="G151" s="789"/>
      <c r="H151" s="790"/>
      <c r="I151" s="789"/>
      <c r="J151" s="791"/>
      <c r="K151" s="791"/>
      <c r="L151" s="791"/>
      <c r="M151" s="791"/>
      <c r="N151" s="1455"/>
      <c r="O151" s="1456"/>
      <c r="P151" s="1455"/>
      <c r="Q151" s="344"/>
      <c r="R151" s="341"/>
    </row>
    <row r="152" spans="4:18" s="338" customFormat="1" ht="15.75">
      <c r="D152" s="339"/>
      <c r="E152" s="339"/>
      <c r="F152" s="789"/>
      <c r="G152" s="789"/>
      <c r="H152" s="790"/>
      <c r="I152" s="789"/>
      <c r="J152" s="791"/>
      <c r="K152" s="791"/>
      <c r="L152" s="791"/>
      <c r="M152" s="791"/>
      <c r="N152" s="1455"/>
      <c r="O152" s="1456"/>
      <c r="P152" s="1455"/>
      <c r="Q152" s="344"/>
      <c r="R152" s="341"/>
    </row>
    <row r="153" spans="4:18" s="338" customFormat="1" ht="15.75">
      <c r="D153" s="339"/>
      <c r="E153" s="339"/>
      <c r="F153" s="789"/>
      <c r="G153" s="789"/>
      <c r="H153" s="790"/>
      <c r="I153" s="789"/>
      <c r="J153" s="791"/>
      <c r="K153" s="791"/>
      <c r="L153" s="791"/>
      <c r="M153" s="791"/>
      <c r="N153" s="1455"/>
      <c r="O153" s="1456"/>
      <c r="P153" s="1455"/>
      <c r="Q153" s="344"/>
      <c r="R153" s="341"/>
    </row>
    <row r="154" spans="4:18" s="338" customFormat="1" ht="15.75">
      <c r="D154" s="339"/>
      <c r="E154" s="339"/>
      <c r="F154" s="789"/>
      <c r="G154" s="789"/>
      <c r="H154" s="790"/>
      <c r="I154" s="789"/>
      <c r="J154" s="791"/>
      <c r="K154" s="791"/>
      <c r="L154" s="791"/>
      <c r="M154" s="791"/>
      <c r="N154" s="1455"/>
      <c r="O154" s="1456"/>
      <c r="P154" s="1455"/>
      <c r="Q154" s="344"/>
      <c r="R154" s="341"/>
    </row>
    <row r="155" spans="4:18" s="338" customFormat="1" ht="15.75">
      <c r="D155" s="339"/>
      <c r="E155" s="339"/>
      <c r="F155" s="789"/>
      <c r="G155" s="789"/>
      <c r="H155" s="790"/>
      <c r="I155" s="789"/>
      <c r="J155" s="791"/>
      <c r="K155" s="791"/>
      <c r="L155" s="791"/>
      <c r="M155" s="791"/>
      <c r="N155" s="1455"/>
      <c r="O155" s="1456"/>
      <c r="P155" s="1455"/>
      <c r="Q155" s="344"/>
      <c r="R155" s="341"/>
    </row>
    <row r="156" spans="4:18" s="338" customFormat="1" ht="15.75">
      <c r="D156" s="339"/>
      <c r="E156" s="339"/>
      <c r="F156" s="789"/>
      <c r="G156" s="789"/>
      <c r="H156" s="790"/>
      <c r="I156" s="789"/>
      <c r="J156" s="791"/>
      <c r="K156" s="791"/>
      <c r="L156" s="791"/>
      <c r="M156" s="791"/>
      <c r="N156" s="1455"/>
      <c r="O156" s="1456"/>
      <c r="P156" s="1455"/>
      <c r="Q156" s="344"/>
      <c r="R156" s="341"/>
    </row>
    <row r="157" spans="4:18" s="338" customFormat="1" ht="15.75">
      <c r="D157" s="339"/>
      <c r="E157" s="339"/>
      <c r="F157" s="789"/>
      <c r="G157" s="789"/>
      <c r="H157" s="790"/>
      <c r="I157" s="789"/>
      <c r="J157" s="791"/>
      <c r="K157" s="791"/>
      <c r="L157" s="791"/>
      <c r="M157" s="791"/>
      <c r="N157" s="1455"/>
      <c r="O157" s="1456"/>
      <c r="P157" s="1455"/>
      <c r="Q157" s="344"/>
      <c r="R157" s="341"/>
    </row>
    <row r="158" spans="4:18" s="338" customFormat="1" ht="15.75">
      <c r="D158" s="339"/>
      <c r="E158" s="339"/>
      <c r="F158" s="789"/>
      <c r="G158" s="789"/>
      <c r="H158" s="790"/>
      <c r="I158" s="789"/>
      <c r="J158" s="791"/>
      <c r="K158" s="791"/>
      <c r="L158" s="791"/>
      <c r="M158" s="791"/>
      <c r="N158" s="1455"/>
      <c r="O158" s="1456"/>
      <c r="P158" s="1455"/>
      <c r="Q158" s="344"/>
      <c r="R158" s="341"/>
    </row>
    <row r="159" spans="4:18" s="338" customFormat="1" ht="15.75">
      <c r="D159" s="339"/>
      <c r="E159" s="339"/>
      <c r="F159" s="789"/>
      <c r="G159" s="789"/>
      <c r="H159" s="790"/>
      <c r="I159" s="789"/>
      <c r="J159" s="791"/>
      <c r="K159" s="791"/>
      <c r="L159" s="791"/>
      <c r="M159" s="791"/>
      <c r="N159" s="1455"/>
      <c r="O159" s="1456"/>
      <c r="P159" s="1455"/>
      <c r="Q159" s="344"/>
      <c r="R159" s="341"/>
    </row>
    <row r="160" spans="4:18" s="338" customFormat="1" ht="15.75">
      <c r="D160" s="339"/>
      <c r="E160" s="339"/>
      <c r="F160" s="789"/>
      <c r="G160" s="789"/>
      <c r="H160" s="790"/>
      <c r="I160" s="789"/>
      <c r="J160" s="791"/>
      <c r="K160" s="791"/>
      <c r="L160" s="791"/>
      <c r="M160" s="791"/>
      <c r="N160" s="1455"/>
      <c r="O160" s="1456"/>
      <c r="P160" s="1455"/>
      <c r="Q160" s="344"/>
      <c r="R160" s="341"/>
    </row>
    <row r="161" spans="4:18" s="338" customFormat="1" ht="15.75">
      <c r="D161" s="339"/>
      <c r="E161" s="339"/>
      <c r="F161" s="789"/>
      <c r="G161" s="789"/>
      <c r="H161" s="790"/>
      <c r="I161" s="789"/>
      <c r="J161" s="791"/>
      <c r="K161" s="791"/>
      <c r="L161" s="791"/>
      <c r="M161" s="791"/>
      <c r="N161" s="1455"/>
      <c r="O161" s="1456"/>
      <c r="P161" s="1455"/>
      <c r="Q161" s="344"/>
      <c r="R161" s="341"/>
    </row>
    <row r="162" spans="4:18" s="338" customFormat="1" ht="15.75">
      <c r="D162" s="339"/>
      <c r="E162" s="339"/>
      <c r="F162" s="789"/>
      <c r="G162" s="789"/>
      <c r="H162" s="790"/>
      <c r="I162" s="789"/>
      <c r="J162" s="791"/>
      <c r="K162" s="791"/>
      <c r="L162" s="791"/>
      <c r="M162" s="791"/>
      <c r="N162" s="1455"/>
      <c r="O162" s="1456"/>
      <c r="P162" s="1455"/>
      <c r="Q162" s="344"/>
      <c r="R162" s="341"/>
    </row>
    <row r="163" spans="4:18" s="338" customFormat="1" ht="15.75">
      <c r="D163" s="339"/>
      <c r="E163" s="339"/>
      <c r="F163" s="789"/>
      <c r="G163" s="789"/>
      <c r="H163" s="790"/>
      <c r="I163" s="789"/>
      <c r="J163" s="791"/>
      <c r="K163" s="791"/>
      <c r="L163" s="791"/>
      <c r="M163" s="791"/>
      <c r="N163" s="1455"/>
      <c r="O163" s="1456"/>
      <c r="P163" s="1455"/>
      <c r="Q163" s="344"/>
      <c r="R163" s="341"/>
    </row>
    <row r="164" spans="4:18" s="338" customFormat="1" ht="15.75">
      <c r="D164" s="339"/>
      <c r="E164" s="339"/>
      <c r="F164" s="789"/>
      <c r="G164" s="789"/>
      <c r="H164" s="790"/>
      <c r="I164" s="789"/>
      <c r="J164" s="791"/>
      <c r="K164" s="791"/>
      <c r="L164" s="791"/>
      <c r="M164" s="791"/>
      <c r="N164" s="1455"/>
      <c r="O164" s="1456"/>
      <c r="P164" s="1455"/>
      <c r="Q164" s="344"/>
      <c r="R164" s="341"/>
    </row>
    <row r="165" spans="4:18" s="338" customFormat="1" ht="15.75">
      <c r="D165" s="339"/>
      <c r="E165" s="339"/>
      <c r="F165" s="789"/>
      <c r="G165" s="789"/>
      <c r="H165" s="790"/>
      <c r="I165" s="789"/>
      <c r="J165" s="791"/>
      <c r="K165" s="791"/>
      <c r="L165" s="791"/>
      <c r="M165" s="791"/>
      <c r="N165" s="1455"/>
      <c r="O165" s="1456"/>
      <c r="P165" s="1455"/>
      <c r="Q165" s="344"/>
      <c r="R165" s="341"/>
    </row>
    <row r="166" spans="4:18" s="338" customFormat="1" ht="15.75">
      <c r="D166" s="339"/>
      <c r="E166" s="339"/>
      <c r="F166" s="789"/>
      <c r="G166" s="789"/>
      <c r="H166" s="790"/>
      <c r="I166" s="789"/>
      <c r="J166" s="791"/>
      <c r="K166" s="791"/>
      <c r="L166" s="791"/>
      <c r="M166" s="791"/>
      <c r="N166" s="1455"/>
      <c r="O166" s="1456"/>
      <c r="P166" s="1455"/>
      <c r="Q166" s="344"/>
      <c r="R166" s="341"/>
    </row>
    <row r="167" spans="4:18" s="338" customFormat="1" ht="15.75">
      <c r="D167" s="339"/>
      <c r="E167" s="339"/>
      <c r="F167" s="789"/>
      <c r="G167" s="789"/>
      <c r="H167" s="790"/>
      <c r="I167" s="789"/>
      <c r="J167" s="791"/>
      <c r="K167" s="791"/>
      <c r="L167" s="791"/>
      <c r="M167" s="791"/>
      <c r="N167" s="1455"/>
      <c r="O167" s="1456"/>
      <c r="P167" s="1455"/>
      <c r="Q167" s="344"/>
      <c r="R167" s="341"/>
    </row>
    <row r="168" spans="4:18" s="338" customFormat="1" ht="15.75">
      <c r="D168" s="339"/>
      <c r="E168" s="339"/>
      <c r="F168" s="789"/>
      <c r="G168" s="789"/>
      <c r="H168" s="790"/>
      <c r="I168" s="789"/>
      <c r="J168" s="791"/>
      <c r="K168" s="791"/>
      <c r="L168" s="791"/>
      <c r="M168" s="791"/>
      <c r="N168" s="1455"/>
      <c r="O168" s="1456"/>
      <c r="P168" s="1455"/>
      <c r="Q168" s="344"/>
      <c r="R168" s="341"/>
    </row>
    <row r="169" spans="4:18" s="338" customFormat="1" ht="15.75">
      <c r="D169" s="339"/>
      <c r="E169" s="339"/>
      <c r="F169" s="789"/>
      <c r="G169" s="789"/>
      <c r="H169" s="790"/>
      <c r="I169" s="789"/>
      <c r="J169" s="791"/>
      <c r="K169" s="791"/>
      <c r="L169" s="791"/>
      <c r="M169" s="791"/>
      <c r="N169" s="1455"/>
      <c r="O169" s="1456"/>
      <c r="P169" s="1455"/>
      <c r="Q169" s="344"/>
      <c r="R169" s="341"/>
    </row>
    <row r="170" spans="4:18" s="338" customFormat="1" ht="15.75">
      <c r="D170" s="339"/>
      <c r="E170" s="339"/>
      <c r="F170" s="789"/>
      <c r="G170" s="789"/>
      <c r="H170" s="790"/>
      <c r="I170" s="789"/>
      <c r="J170" s="791"/>
      <c r="K170" s="791"/>
      <c r="L170" s="791"/>
      <c r="M170" s="791"/>
      <c r="N170" s="1455"/>
      <c r="O170" s="1456"/>
      <c r="P170" s="1455"/>
      <c r="Q170" s="344"/>
      <c r="R170" s="341"/>
    </row>
    <row r="171" spans="4:18" s="338" customFormat="1" ht="15.75">
      <c r="D171" s="339"/>
      <c r="E171" s="339"/>
      <c r="F171" s="789"/>
      <c r="G171" s="789"/>
      <c r="H171" s="790"/>
      <c r="I171" s="789"/>
      <c r="J171" s="791"/>
      <c r="K171" s="791"/>
      <c r="L171" s="791"/>
      <c r="M171" s="791"/>
      <c r="N171" s="1455"/>
      <c r="O171" s="1456"/>
      <c r="P171" s="1455"/>
      <c r="Q171" s="344"/>
      <c r="R171" s="341"/>
    </row>
    <row r="172" spans="4:18" s="338" customFormat="1" ht="15.75">
      <c r="D172" s="339"/>
      <c r="E172" s="339"/>
      <c r="F172" s="789"/>
      <c r="G172" s="789"/>
      <c r="H172" s="790"/>
      <c r="I172" s="789"/>
      <c r="J172" s="791"/>
      <c r="K172" s="791"/>
      <c r="L172" s="791"/>
      <c r="M172" s="791"/>
      <c r="N172" s="1455"/>
      <c r="O172" s="1456"/>
      <c r="P172" s="1455"/>
      <c r="Q172" s="344"/>
      <c r="R172" s="341"/>
    </row>
    <row r="173" spans="4:18" s="338" customFormat="1" ht="15.75">
      <c r="D173" s="339"/>
      <c r="E173" s="339"/>
      <c r="F173" s="789"/>
      <c r="G173" s="789"/>
      <c r="H173" s="790"/>
      <c r="I173" s="789"/>
      <c r="J173" s="791"/>
      <c r="K173" s="791"/>
      <c r="L173" s="791"/>
      <c r="M173" s="791"/>
      <c r="N173" s="1455"/>
      <c r="O173" s="1456"/>
      <c r="P173" s="1455"/>
      <c r="Q173" s="344"/>
      <c r="R173" s="341"/>
    </row>
    <row r="174" spans="4:18" s="338" customFormat="1" ht="15.75">
      <c r="D174" s="339"/>
      <c r="E174" s="339"/>
      <c r="F174" s="789"/>
      <c r="G174" s="789"/>
      <c r="H174" s="790"/>
      <c r="I174" s="789"/>
      <c r="J174" s="791"/>
      <c r="K174" s="791"/>
      <c r="L174" s="791"/>
      <c r="M174" s="791"/>
      <c r="N174" s="1455"/>
      <c r="O174" s="1456"/>
      <c r="P174" s="1455"/>
      <c r="Q174" s="344"/>
      <c r="R174" s="341"/>
    </row>
    <row r="175" spans="4:18" s="338" customFormat="1" ht="15.75">
      <c r="D175" s="339"/>
      <c r="E175" s="339"/>
      <c r="F175" s="789"/>
      <c r="G175" s="789"/>
      <c r="H175" s="790"/>
      <c r="I175" s="789"/>
      <c r="J175" s="791"/>
      <c r="K175" s="791"/>
      <c r="L175" s="791"/>
      <c r="M175" s="791"/>
      <c r="N175" s="1455"/>
      <c r="O175" s="1456"/>
      <c r="P175" s="1455"/>
      <c r="Q175" s="344"/>
      <c r="R175" s="341"/>
    </row>
    <row r="176" spans="4:18" s="338" customFormat="1" ht="15.75">
      <c r="D176" s="339"/>
      <c r="E176" s="339"/>
      <c r="F176" s="789"/>
      <c r="G176" s="789"/>
      <c r="H176" s="790"/>
      <c r="I176" s="789"/>
      <c r="J176" s="791"/>
      <c r="K176" s="791"/>
      <c r="L176" s="791"/>
      <c r="M176" s="791"/>
      <c r="N176" s="1455"/>
      <c r="O176" s="1456"/>
      <c r="P176" s="1455"/>
      <c r="Q176" s="344"/>
      <c r="R176" s="341"/>
    </row>
    <row r="177" spans="4:18" s="338" customFormat="1" ht="15.75">
      <c r="D177" s="339"/>
      <c r="E177" s="339"/>
      <c r="F177" s="789"/>
      <c r="G177" s="789"/>
      <c r="H177" s="790"/>
      <c r="I177" s="789"/>
      <c r="J177" s="791"/>
      <c r="K177" s="791"/>
      <c r="L177" s="791"/>
      <c r="M177" s="791"/>
      <c r="N177" s="1455"/>
      <c r="O177" s="1456"/>
      <c r="P177" s="1455"/>
      <c r="Q177" s="344"/>
      <c r="R177" s="341"/>
    </row>
    <row r="178" spans="4:18" s="338" customFormat="1" ht="15.75">
      <c r="D178" s="339"/>
      <c r="E178" s="339"/>
      <c r="F178" s="789"/>
      <c r="G178" s="789"/>
      <c r="H178" s="790"/>
      <c r="I178" s="789"/>
      <c r="J178" s="791"/>
      <c r="K178" s="791"/>
      <c r="L178" s="791"/>
      <c r="M178" s="791"/>
      <c r="N178" s="1455"/>
      <c r="O178" s="1456"/>
      <c r="P178" s="1455"/>
      <c r="Q178" s="344"/>
      <c r="R178" s="341"/>
    </row>
    <row r="179" spans="4:18" s="338" customFormat="1" ht="15.75">
      <c r="D179" s="339"/>
      <c r="E179" s="339"/>
      <c r="F179" s="789"/>
      <c r="G179" s="789"/>
      <c r="H179" s="790"/>
      <c r="I179" s="789"/>
      <c r="J179" s="791"/>
      <c r="K179" s="791"/>
      <c r="L179" s="791"/>
      <c r="M179" s="791"/>
      <c r="N179" s="1455"/>
      <c r="O179" s="1456"/>
      <c r="P179" s="1455"/>
      <c r="Q179" s="344"/>
      <c r="R179" s="341"/>
    </row>
    <row r="180" spans="4:18" s="338" customFormat="1" ht="15.75">
      <c r="D180" s="339"/>
      <c r="E180" s="339"/>
      <c r="F180" s="789"/>
      <c r="G180" s="789"/>
      <c r="H180" s="790"/>
      <c r="I180" s="789"/>
      <c r="J180" s="791"/>
      <c r="K180" s="791"/>
      <c r="L180" s="791"/>
      <c r="M180" s="791"/>
      <c r="N180" s="1455"/>
      <c r="O180" s="1456"/>
      <c r="P180" s="1455"/>
      <c r="Q180" s="344"/>
      <c r="R180" s="341"/>
    </row>
    <row r="181" spans="4:18" s="338" customFormat="1" ht="15.75">
      <c r="D181" s="339"/>
      <c r="E181" s="339"/>
      <c r="F181" s="789"/>
      <c r="G181" s="789"/>
      <c r="H181" s="790"/>
      <c r="I181" s="789"/>
      <c r="J181" s="791"/>
      <c r="K181" s="791"/>
      <c r="L181" s="791"/>
      <c r="M181" s="791"/>
      <c r="N181" s="1455"/>
      <c r="O181" s="1456"/>
      <c r="P181" s="1455"/>
      <c r="Q181" s="344"/>
      <c r="R181" s="341"/>
    </row>
    <row r="182" spans="4:18" s="338" customFormat="1" ht="15.75">
      <c r="D182" s="339"/>
      <c r="E182" s="339"/>
      <c r="F182" s="789"/>
      <c r="G182" s="789"/>
      <c r="H182" s="790"/>
      <c r="I182" s="789"/>
      <c r="J182" s="791"/>
      <c r="K182" s="791"/>
      <c r="L182" s="791"/>
      <c r="M182" s="791"/>
      <c r="N182" s="1455"/>
      <c r="O182" s="1456"/>
      <c r="P182" s="1455"/>
      <c r="Q182" s="344"/>
      <c r="R182" s="341"/>
    </row>
    <row r="183" spans="4:18" s="338" customFormat="1" ht="15.75">
      <c r="D183" s="339"/>
      <c r="E183" s="339"/>
      <c r="F183" s="789"/>
      <c r="G183" s="789"/>
      <c r="H183" s="790"/>
      <c r="I183" s="789"/>
      <c r="J183" s="791"/>
      <c r="K183" s="791"/>
      <c r="L183" s="791"/>
      <c r="M183" s="791"/>
      <c r="N183" s="1455"/>
      <c r="O183" s="1456"/>
      <c r="P183" s="1455"/>
      <c r="Q183" s="344"/>
      <c r="R183" s="341"/>
    </row>
    <row r="184" spans="4:18" s="338" customFormat="1" ht="15.75">
      <c r="D184" s="339"/>
      <c r="E184" s="339"/>
      <c r="F184" s="789"/>
      <c r="G184" s="789"/>
      <c r="H184" s="790"/>
      <c r="I184" s="789"/>
      <c r="J184" s="791"/>
      <c r="K184" s="791"/>
      <c r="L184" s="791"/>
      <c r="M184" s="791"/>
      <c r="N184" s="1455"/>
      <c r="O184" s="1456"/>
      <c r="P184" s="1455"/>
      <c r="Q184" s="344"/>
      <c r="R184" s="341"/>
    </row>
    <row r="185" spans="4:18" s="338" customFormat="1" ht="15.75">
      <c r="D185" s="339"/>
      <c r="E185" s="339"/>
      <c r="F185" s="789"/>
      <c r="G185" s="789"/>
      <c r="H185" s="790"/>
      <c r="I185" s="789"/>
      <c r="J185" s="791"/>
      <c r="K185" s="791"/>
      <c r="L185" s="791"/>
      <c r="M185" s="791"/>
      <c r="N185" s="1455"/>
      <c r="O185" s="1456"/>
      <c r="P185" s="1455"/>
      <c r="Q185" s="344"/>
      <c r="R185" s="341"/>
    </row>
    <row r="186" spans="4:18" s="338" customFormat="1" ht="15.75">
      <c r="D186" s="339"/>
      <c r="E186" s="339"/>
      <c r="F186" s="789"/>
      <c r="G186" s="789"/>
      <c r="H186" s="790"/>
      <c r="I186" s="789"/>
      <c r="J186" s="791"/>
      <c r="K186" s="791"/>
      <c r="L186" s="791"/>
      <c r="M186" s="791"/>
      <c r="N186" s="1455"/>
      <c r="O186" s="1456"/>
      <c r="P186" s="1455"/>
      <c r="Q186" s="344"/>
      <c r="R186" s="341"/>
    </row>
    <row r="187" spans="4:18" s="338" customFormat="1" ht="15.75">
      <c r="D187" s="339"/>
      <c r="E187" s="339"/>
      <c r="F187" s="789"/>
      <c r="G187" s="789"/>
      <c r="H187" s="790"/>
      <c r="I187" s="789"/>
      <c r="J187" s="791"/>
      <c r="K187" s="791"/>
      <c r="L187" s="791"/>
      <c r="M187" s="791"/>
      <c r="N187" s="1455"/>
      <c r="O187" s="1456"/>
      <c r="P187" s="1455"/>
      <c r="Q187" s="344"/>
      <c r="R187" s="341"/>
    </row>
    <row r="188" spans="4:18" s="338" customFormat="1" ht="15.75">
      <c r="D188" s="339"/>
      <c r="E188" s="339"/>
      <c r="F188" s="789"/>
      <c r="G188" s="789"/>
      <c r="H188" s="790"/>
      <c r="I188" s="789"/>
      <c r="J188" s="791"/>
      <c r="K188" s="791"/>
      <c r="L188" s="791"/>
      <c r="M188" s="791"/>
      <c r="N188" s="1455"/>
      <c r="O188" s="1456"/>
      <c r="P188" s="1455"/>
      <c r="Q188" s="344"/>
      <c r="R188" s="341"/>
    </row>
    <row r="189" spans="4:18" s="338" customFormat="1" ht="15.75">
      <c r="D189" s="339"/>
      <c r="E189" s="339"/>
      <c r="F189" s="789"/>
      <c r="G189" s="789"/>
      <c r="H189" s="790"/>
      <c r="I189" s="789"/>
      <c r="J189" s="791"/>
      <c r="K189" s="791"/>
      <c r="L189" s="791"/>
      <c r="M189" s="791"/>
      <c r="N189" s="1455"/>
      <c r="O189" s="1456"/>
      <c r="P189" s="1455"/>
      <c r="Q189" s="344"/>
      <c r="R189" s="341"/>
    </row>
    <row r="190" spans="4:18" s="338" customFormat="1" ht="15.75">
      <c r="D190" s="339"/>
      <c r="E190" s="339"/>
      <c r="F190" s="789"/>
      <c r="G190" s="789"/>
      <c r="H190" s="790"/>
      <c r="I190" s="789"/>
      <c r="J190" s="791"/>
      <c r="K190" s="791"/>
      <c r="L190" s="791"/>
      <c r="M190" s="791"/>
      <c r="N190" s="1455"/>
      <c r="O190" s="1456"/>
      <c r="P190" s="1455"/>
      <c r="Q190" s="344"/>
      <c r="R190" s="341"/>
    </row>
    <row r="191" spans="4:18" s="338" customFormat="1" ht="15.75">
      <c r="D191" s="339"/>
      <c r="E191" s="339"/>
      <c r="F191" s="789"/>
      <c r="G191" s="789"/>
      <c r="H191" s="790"/>
      <c r="I191" s="789"/>
      <c r="J191" s="791"/>
      <c r="K191" s="791"/>
      <c r="L191" s="791"/>
      <c r="M191" s="791"/>
      <c r="N191" s="1455"/>
      <c r="O191" s="1456"/>
      <c r="P191" s="1455"/>
      <c r="Q191" s="344"/>
      <c r="R191" s="341"/>
    </row>
    <row r="192" spans="4:18" s="338" customFormat="1" ht="15.75">
      <c r="D192" s="339"/>
      <c r="E192" s="339"/>
      <c r="F192" s="789"/>
      <c r="G192" s="789"/>
      <c r="H192" s="790"/>
      <c r="I192" s="789"/>
      <c r="J192" s="791"/>
      <c r="K192" s="791"/>
      <c r="L192" s="791"/>
      <c r="M192" s="791"/>
      <c r="N192" s="1455"/>
      <c r="O192" s="1456"/>
      <c r="P192" s="1455"/>
      <c r="Q192" s="344"/>
      <c r="R192" s="341"/>
    </row>
    <row r="193" spans="4:18" s="338" customFormat="1" ht="15.75">
      <c r="D193" s="339"/>
      <c r="E193" s="339"/>
      <c r="F193" s="789"/>
      <c r="G193" s="789"/>
      <c r="H193" s="790"/>
      <c r="I193" s="789"/>
      <c r="J193" s="791"/>
      <c r="K193" s="791"/>
      <c r="L193" s="791"/>
      <c r="M193" s="791"/>
      <c r="N193" s="1455"/>
      <c r="O193" s="1456"/>
      <c r="P193" s="1455"/>
      <c r="Q193" s="344"/>
      <c r="R193" s="341"/>
    </row>
    <row r="194" spans="4:18" s="338" customFormat="1" ht="15.75">
      <c r="D194" s="339"/>
      <c r="E194" s="339"/>
      <c r="F194" s="789"/>
      <c r="G194" s="789"/>
      <c r="H194" s="790"/>
      <c r="I194" s="789"/>
      <c r="J194" s="791"/>
      <c r="K194" s="791"/>
      <c r="L194" s="791"/>
      <c r="M194" s="791"/>
      <c r="N194" s="1455"/>
      <c r="O194" s="1456"/>
      <c r="P194" s="1455"/>
      <c r="Q194" s="344"/>
      <c r="R194" s="341"/>
    </row>
    <row r="195" spans="4:18" s="338" customFormat="1" ht="15.75">
      <c r="D195" s="339"/>
      <c r="E195" s="339"/>
      <c r="F195" s="789"/>
      <c r="G195" s="789"/>
      <c r="H195" s="790"/>
      <c r="I195" s="789"/>
      <c r="J195" s="791"/>
      <c r="K195" s="791"/>
      <c r="L195" s="791"/>
      <c r="M195" s="791"/>
      <c r="N195" s="1455"/>
      <c r="O195" s="1456"/>
      <c r="P195" s="1455"/>
      <c r="Q195" s="344"/>
      <c r="R195" s="341"/>
    </row>
    <row r="196" spans="4:18" s="338" customFormat="1" ht="15.75">
      <c r="D196" s="339"/>
      <c r="E196" s="339"/>
      <c r="F196" s="789"/>
      <c r="G196" s="789"/>
      <c r="H196" s="790"/>
      <c r="I196" s="789"/>
      <c r="J196" s="791"/>
      <c r="K196" s="791"/>
      <c r="L196" s="791"/>
      <c r="M196" s="791"/>
      <c r="N196" s="1455"/>
      <c r="O196" s="1456"/>
      <c r="P196" s="1455"/>
      <c r="Q196" s="344"/>
      <c r="R196" s="341"/>
    </row>
    <row r="197" spans="4:18" s="338" customFormat="1" ht="15.75">
      <c r="D197" s="339"/>
      <c r="E197" s="339"/>
      <c r="F197" s="789"/>
      <c r="G197" s="789"/>
      <c r="H197" s="790"/>
      <c r="I197" s="789"/>
      <c r="J197" s="791"/>
      <c r="K197" s="791"/>
      <c r="L197" s="791"/>
      <c r="M197" s="791"/>
      <c r="N197" s="1455"/>
      <c r="O197" s="1456"/>
      <c r="P197" s="1455"/>
      <c r="Q197" s="344"/>
      <c r="R197" s="341"/>
    </row>
    <row r="198" spans="4:18" s="338" customFormat="1" ht="15.75">
      <c r="D198" s="339"/>
      <c r="E198" s="339"/>
      <c r="F198" s="789"/>
      <c r="G198" s="789"/>
      <c r="H198" s="790"/>
      <c r="I198" s="789"/>
      <c r="J198" s="791"/>
      <c r="K198" s="791"/>
      <c r="L198" s="791"/>
      <c r="M198" s="791"/>
      <c r="N198" s="1455"/>
      <c r="O198" s="1456"/>
      <c r="P198" s="1455"/>
      <c r="Q198" s="344"/>
      <c r="R198" s="341"/>
    </row>
    <row r="199" spans="4:18" s="338" customFormat="1" ht="15.75">
      <c r="D199" s="339"/>
      <c r="E199" s="339"/>
      <c r="F199" s="789"/>
      <c r="G199" s="789"/>
      <c r="H199" s="790"/>
      <c r="I199" s="789"/>
      <c r="J199" s="791"/>
      <c r="K199" s="791"/>
      <c r="L199" s="791"/>
      <c r="M199" s="791"/>
      <c r="N199" s="1455"/>
      <c r="O199" s="1456"/>
      <c r="P199" s="1455"/>
      <c r="Q199" s="344"/>
      <c r="R199" s="341"/>
    </row>
    <row r="200" spans="4:18" s="338" customFormat="1" ht="15.75">
      <c r="D200" s="339"/>
      <c r="E200" s="339"/>
      <c r="F200" s="789"/>
      <c r="G200" s="789"/>
      <c r="H200" s="790"/>
      <c r="I200" s="789"/>
      <c r="J200" s="791"/>
      <c r="K200" s="791"/>
      <c r="L200" s="791"/>
      <c r="M200" s="791"/>
      <c r="N200" s="1455"/>
      <c r="O200" s="1456"/>
      <c r="P200" s="1455"/>
      <c r="Q200" s="344"/>
      <c r="R200" s="341"/>
    </row>
    <row r="201" spans="4:18" s="338" customFormat="1" ht="15.75">
      <c r="D201" s="339"/>
      <c r="E201" s="339"/>
      <c r="F201" s="789"/>
      <c r="G201" s="789"/>
      <c r="H201" s="790"/>
      <c r="I201" s="789"/>
      <c r="J201" s="791"/>
      <c r="K201" s="791"/>
      <c r="L201" s="791"/>
      <c r="M201" s="791"/>
      <c r="N201" s="1455"/>
      <c r="O201" s="1456"/>
      <c r="P201" s="1455"/>
      <c r="Q201" s="344"/>
      <c r="R201" s="341"/>
    </row>
    <row r="202" spans="4:18" s="338" customFormat="1" ht="15.75">
      <c r="D202" s="339"/>
      <c r="E202" s="339"/>
      <c r="F202" s="789"/>
      <c r="G202" s="789"/>
      <c r="H202" s="790"/>
      <c r="I202" s="789"/>
      <c r="J202" s="791"/>
      <c r="K202" s="791"/>
      <c r="L202" s="791"/>
      <c r="M202" s="791"/>
      <c r="N202" s="1455"/>
      <c r="O202" s="1456"/>
      <c r="P202" s="1455"/>
      <c r="Q202" s="344"/>
      <c r="R202" s="341"/>
    </row>
    <row r="203" spans="4:18" s="338" customFormat="1" ht="15.75">
      <c r="D203" s="339"/>
      <c r="E203" s="339"/>
      <c r="F203" s="789"/>
      <c r="G203" s="789"/>
      <c r="H203" s="790"/>
      <c r="I203" s="789"/>
      <c r="J203" s="791"/>
      <c r="K203" s="791"/>
      <c r="L203" s="791"/>
      <c r="M203" s="791"/>
      <c r="N203" s="1455"/>
      <c r="O203" s="1456"/>
      <c r="P203" s="1455"/>
      <c r="Q203" s="344"/>
      <c r="R203" s="341"/>
    </row>
    <row r="204" spans="4:18" s="338" customFormat="1" ht="15.75">
      <c r="D204" s="339"/>
      <c r="E204" s="339"/>
      <c r="F204" s="789"/>
      <c r="G204" s="789"/>
      <c r="H204" s="790"/>
      <c r="I204" s="789"/>
      <c r="J204" s="791"/>
      <c r="K204" s="791"/>
      <c r="L204" s="791"/>
      <c r="M204" s="791"/>
      <c r="N204" s="1455"/>
      <c r="O204" s="1456"/>
      <c r="P204" s="1455"/>
      <c r="Q204" s="344"/>
      <c r="R204" s="341"/>
    </row>
    <row r="205" spans="4:18" s="338" customFormat="1" ht="15.75">
      <c r="D205" s="339"/>
      <c r="E205" s="339"/>
      <c r="F205" s="789"/>
      <c r="G205" s="789"/>
      <c r="H205" s="790"/>
      <c r="I205" s="789"/>
      <c r="J205" s="791"/>
      <c r="K205" s="791"/>
      <c r="L205" s="791"/>
      <c r="M205" s="791"/>
      <c r="N205" s="1455"/>
      <c r="O205" s="1456"/>
      <c r="P205" s="1455"/>
      <c r="Q205" s="344"/>
      <c r="R205" s="341"/>
    </row>
    <row r="206" spans="4:18" s="338" customFormat="1" ht="15.75">
      <c r="D206" s="339"/>
      <c r="E206" s="339"/>
      <c r="F206" s="789"/>
      <c r="G206" s="789"/>
      <c r="H206" s="790"/>
      <c r="I206" s="789"/>
      <c r="J206" s="791"/>
      <c r="K206" s="791"/>
      <c r="L206" s="791"/>
      <c r="M206" s="791"/>
      <c r="N206" s="1455"/>
      <c r="O206" s="1456"/>
      <c r="P206" s="1455"/>
      <c r="Q206" s="344"/>
      <c r="R206" s="341"/>
    </row>
    <row r="207" spans="4:18" s="338" customFormat="1" ht="15.75">
      <c r="D207" s="339"/>
      <c r="E207" s="339"/>
      <c r="F207" s="789"/>
      <c r="G207" s="789"/>
      <c r="H207" s="790"/>
      <c r="I207" s="789"/>
      <c r="J207" s="791"/>
      <c r="K207" s="791"/>
      <c r="L207" s="791"/>
      <c r="M207" s="791"/>
      <c r="N207" s="1455"/>
      <c r="O207" s="1456"/>
      <c r="P207" s="1455"/>
      <c r="Q207" s="344"/>
      <c r="R207" s="341"/>
    </row>
    <row r="208" spans="4:18" s="338" customFormat="1" ht="15.75">
      <c r="D208" s="339"/>
      <c r="E208" s="339"/>
      <c r="F208" s="789"/>
      <c r="G208" s="789"/>
      <c r="H208" s="790"/>
      <c r="I208" s="789"/>
      <c r="J208" s="791"/>
      <c r="K208" s="791"/>
      <c r="L208" s="791"/>
      <c r="M208" s="791"/>
      <c r="N208" s="1455"/>
      <c r="O208" s="1456"/>
      <c r="P208" s="1455"/>
      <c r="Q208" s="344"/>
      <c r="R208" s="341"/>
    </row>
    <row r="209" spans="4:18" s="338" customFormat="1" ht="15.75">
      <c r="D209" s="339"/>
      <c r="E209" s="339"/>
      <c r="F209" s="789"/>
      <c r="G209" s="789"/>
      <c r="H209" s="790"/>
      <c r="I209" s="789"/>
      <c r="J209" s="791"/>
      <c r="K209" s="791"/>
      <c r="L209" s="791"/>
      <c r="M209" s="791"/>
      <c r="N209" s="1455"/>
      <c r="O209" s="1456"/>
      <c r="P209" s="1455"/>
      <c r="Q209" s="344"/>
      <c r="R209" s="341"/>
    </row>
    <row r="210" spans="4:18" s="338" customFormat="1" ht="15.75">
      <c r="D210" s="339"/>
      <c r="E210" s="339"/>
      <c r="F210" s="789"/>
      <c r="G210" s="789"/>
      <c r="H210" s="790"/>
      <c r="I210" s="789"/>
      <c r="J210" s="791"/>
      <c r="K210" s="791"/>
      <c r="L210" s="791"/>
      <c r="M210" s="791"/>
      <c r="N210" s="1455"/>
      <c r="O210" s="1456"/>
      <c r="P210" s="1455"/>
      <c r="Q210" s="344"/>
      <c r="R210" s="341"/>
    </row>
    <row r="211" spans="4:18" s="338" customFormat="1" ht="15.75">
      <c r="D211" s="339"/>
      <c r="E211" s="339"/>
      <c r="F211" s="789"/>
      <c r="G211" s="789"/>
      <c r="H211" s="790"/>
      <c r="I211" s="789"/>
      <c r="J211" s="791"/>
      <c r="K211" s="791"/>
      <c r="L211" s="791"/>
      <c r="M211" s="791"/>
      <c r="N211" s="1455"/>
      <c r="O211" s="1456"/>
      <c r="P211" s="1455"/>
      <c r="Q211" s="344"/>
      <c r="R211" s="341"/>
    </row>
    <row r="212" spans="4:18" s="338" customFormat="1" ht="15.75">
      <c r="D212" s="339"/>
      <c r="E212" s="339"/>
      <c r="F212" s="789"/>
      <c r="G212" s="789"/>
      <c r="H212" s="790"/>
      <c r="I212" s="789"/>
      <c r="J212" s="791"/>
      <c r="K212" s="791"/>
      <c r="L212" s="791"/>
      <c r="M212" s="791"/>
      <c r="N212" s="1455"/>
      <c r="O212" s="1456"/>
      <c r="P212" s="1455"/>
      <c r="Q212" s="344"/>
      <c r="R212" s="341"/>
    </row>
    <row r="213" spans="4:18" s="338" customFormat="1" ht="15.75">
      <c r="D213" s="339"/>
      <c r="E213" s="339"/>
      <c r="F213" s="789"/>
      <c r="G213" s="789"/>
      <c r="H213" s="790"/>
      <c r="I213" s="789"/>
      <c r="J213" s="791"/>
      <c r="K213" s="791"/>
      <c r="L213" s="791"/>
      <c r="M213" s="791"/>
      <c r="N213" s="1455"/>
      <c r="O213" s="1456"/>
      <c r="P213" s="1455"/>
      <c r="Q213" s="344"/>
      <c r="R213" s="341"/>
    </row>
    <row r="214" spans="4:18" s="338" customFormat="1" ht="15.75">
      <c r="D214" s="339"/>
      <c r="E214" s="339"/>
      <c r="F214" s="789"/>
      <c r="G214" s="789"/>
      <c r="H214" s="790"/>
      <c r="I214" s="789"/>
      <c r="J214" s="791"/>
      <c r="K214" s="791"/>
      <c r="L214" s="791"/>
      <c r="M214" s="791"/>
      <c r="N214" s="1455"/>
      <c r="O214" s="1456"/>
      <c r="P214" s="1455"/>
      <c r="Q214" s="344"/>
      <c r="R214" s="341"/>
    </row>
    <row r="215" spans="4:18" s="338" customFormat="1" ht="15.75">
      <c r="D215" s="339"/>
      <c r="E215" s="339"/>
      <c r="F215" s="789"/>
      <c r="G215" s="789"/>
      <c r="H215" s="790"/>
      <c r="I215" s="789"/>
      <c r="J215" s="791"/>
      <c r="K215" s="791"/>
      <c r="L215" s="791"/>
      <c r="M215" s="791"/>
      <c r="N215" s="1455"/>
      <c r="O215" s="1456"/>
      <c r="P215" s="1455"/>
      <c r="Q215" s="344"/>
      <c r="R215" s="341"/>
    </row>
    <row r="216" spans="4:18" s="338" customFormat="1" ht="15.75">
      <c r="D216" s="339"/>
      <c r="E216" s="339"/>
      <c r="F216" s="789"/>
      <c r="G216" s="789"/>
      <c r="H216" s="790"/>
      <c r="I216" s="789"/>
      <c r="J216" s="791"/>
      <c r="K216" s="791"/>
      <c r="L216" s="791"/>
      <c r="M216" s="791"/>
      <c r="N216" s="1455"/>
      <c r="O216" s="1456"/>
      <c r="P216" s="1455"/>
      <c r="Q216" s="344"/>
      <c r="R216" s="341"/>
    </row>
    <row r="217" spans="4:18" s="338" customFormat="1" ht="15.75">
      <c r="D217" s="339"/>
      <c r="E217" s="339"/>
      <c r="F217" s="789"/>
      <c r="G217" s="789"/>
      <c r="H217" s="790"/>
      <c r="I217" s="789"/>
      <c r="J217" s="791"/>
      <c r="K217" s="791"/>
      <c r="L217" s="791"/>
      <c r="M217" s="791"/>
      <c r="N217" s="1455"/>
      <c r="O217" s="1456"/>
      <c r="P217" s="1455"/>
      <c r="Q217" s="344"/>
      <c r="R217" s="341"/>
    </row>
    <row r="218" spans="4:18" s="338" customFormat="1" ht="15.75">
      <c r="D218" s="339"/>
      <c r="E218" s="339"/>
      <c r="F218" s="789"/>
      <c r="G218" s="789"/>
      <c r="H218" s="790"/>
      <c r="I218" s="789"/>
      <c r="J218" s="791"/>
      <c r="K218" s="791"/>
      <c r="L218" s="791"/>
      <c r="M218" s="791"/>
      <c r="N218" s="1455"/>
      <c r="O218" s="1456"/>
      <c r="P218" s="1455"/>
      <c r="Q218" s="344"/>
      <c r="R218" s="341"/>
    </row>
    <row r="219" spans="4:18" s="338" customFormat="1" ht="15.75">
      <c r="D219" s="339"/>
      <c r="E219" s="339"/>
      <c r="F219" s="789"/>
      <c r="G219" s="789"/>
      <c r="H219" s="790"/>
      <c r="I219" s="789"/>
      <c r="J219" s="791"/>
      <c r="K219" s="791"/>
      <c r="L219" s="791"/>
      <c r="M219" s="791"/>
      <c r="N219" s="1455"/>
      <c r="O219" s="1456"/>
      <c r="P219" s="1455"/>
      <c r="Q219" s="344"/>
      <c r="R219" s="341"/>
    </row>
    <row r="220" spans="4:18" s="338" customFormat="1" ht="15.75">
      <c r="D220" s="339"/>
      <c r="E220" s="339"/>
      <c r="F220" s="789"/>
      <c r="G220" s="789"/>
      <c r="H220" s="790"/>
      <c r="I220" s="789"/>
      <c r="J220" s="791"/>
      <c r="K220" s="791"/>
      <c r="L220" s="791"/>
      <c r="M220" s="791"/>
      <c r="N220" s="1455"/>
      <c r="O220" s="1456"/>
      <c r="P220" s="1455"/>
      <c r="Q220" s="344"/>
      <c r="R220" s="341"/>
    </row>
    <row r="221" spans="4:18" s="338" customFormat="1" ht="15.75">
      <c r="D221" s="339"/>
      <c r="E221" s="339"/>
      <c r="F221" s="789"/>
      <c r="G221" s="789"/>
      <c r="H221" s="790"/>
      <c r="I221" s="789"/>
      <c r="J221" s="791"/>
      <c r="K221" s="791"/>
      <c r="L221" s="791"/>
      <c r="M221" s="791"/>
      <c r="N221" s="1455"/>
      <c r="O221" s="1456"/>
      <c r="P221" s="1455"/>
      <c r="Q221" s="344"/>
      <c r="R221" s="341"/>
    </row>
    <row r="222" spans="4:18" s="338" customFormat="1" ht="15.75">
      <c r="D222" s="339"/>
      <c r="E222" s="339"/>
      <c r="F222" s="789"/>
      <c r="G222" s="789"/>
      <c r="H222" s="790"/>
      <c r="I222" s="789"/>
      <c r="J222" s="791"/>
      <c r="K222" s="791"/>
      <c r="L222" s="791"/>
      <c r="M222" s="791"/>
      <c r="N222" s="1455"/>
      <c r="O222" s="1456"/>
      <c r="P222" s="1455"/>
      <c r="Q222" s="344"/>
      <c r="R222" s="341"/>
    </row>
    <row r="223" spans="4:18" s="338" customFormat="1" ht="15.75">
      <c r="D223" s="339"/>
      <c r="E223" s="339"/>
      <c r="F223" s="789"/>
      <c r="G223" s="789"/>
      <c r="H223" s="790"/>
      <c r="I223" s="789"/>
      <c r="J223" s="791"/>
      <c r="K223" s="791"/>
      <c r="L223" s="791"/>
      <c r="M223" s="791"/>
      <c r="N223" s="1455"/>
      <c r="O223" s="1456"/>
      <c r="P223" s="1455"/>
      <c r="Q223" s="344"/>
      <c r="R223" s="341"/>
    </row>
    <row r="224" spans="4:18" s="338" customFormat="1" ht="15.75">
      <c r="D224" s="339"/>
      <c r="E224" s="339"/>
      <c r="F224" s="789"/>
      <c r="G224" s="789"/>
      <c r="H224" s="790"/>
      <c r="I224" s="789"/>
      <c r="J224" s="791"/>
      <c r="K224" s="791"/>
      <c r="L224" s="791"/>
      <c r="M224" s="791"/>
      <c r="N224" s="1455"/>
      <c r="O224" s="1456"/>
      <c r="P224" s="1455"/>
      <c r="Q224" s="344"/>
      <c r="R224" s="341"/>
    </row>
    <row r="225" spans="4:18" s="338" customFormat="1" ht="15.75">
      <c r="D225" s="339"/>
      <c r="E225" s="339"/>
      <c r="F225" s="789"/>
      <c r="G225" s="789"/>
      <c r="H225" s="790"/>
      <c r="I225" s="789"/>
      <c r="J225" s="791"/>
      <c r="K225" s="791"/>
      <c r="L225" s="791"/>
      <c r="M225" s="791"/>
      <c r="N225" s="1455"/>
      <c r="O225" s="1456"/>
      <c r="P225" s="1455"/>
      <c r="Q225" s="344"/>
      <c r="R225" s="341"/>
    </row>
    <row r="226" spans="4:18" s="338" customFormat="1" ht="15.75">
      <c r="D226" s="339"/>
      <c r="E226" s="339"/>
      <c r="F226" s="789"/>
      <c r="G226" s="789"/>
      <c r="H226" s="790"/>
      <c r="I226" s="789"/>
      <c r="J226" s="791"/>
      <c r="K226" s="791"/>
      <c r="L226" s="791"/>
      <c r="M226" s="791"/>
      <c r="N226" s="1455"/>
      <c r="O226" s="1456"/>
      <c r="P226" s="1455"/>
      <c r="Q226" s="344"/>
      <c r="R226" s="341"/>
    </row>
    <row r="227" spans="4:18" s="338" customFormat="1" ht="15.75">
      <c r="D227" s="339"/>
      <c r="E227" s="339"/>
      <c r="F227" s="789"/>
      <c r="G227" s="789"/>
      <c r="H227" s="790"/>
      <c r="I227" s="789"/>
      <c r="J227" s="791"/>
      <c r="K227" s="791"/>
      <c r="L227" s="791"/>
      <c r="M227" s="791"/>
      <c r="N227" s="1455"/>
      <c r="O227" s="1456"/>
      <c r="P227" s="1455"/>
      <c r="Q227" s="344"/>
      <c r="R227" s="341"/>
    </row>
    <row r="228" spans="4:18" s="338" customFormat="1" ht="15.75">
      <c r="D228" s="339"/>
      <c r="E228" s="339"/>
      <c r="F228" s="789"/>
      <c r="G228" s="789"/>
      <c r="H228" s="790"/>
      <c r="I228" s="789"/>
      <c r="J228" s="791"/>
      <c r="K228" s="791"/>
      <c r="L228" s="791"/>
      <c r="M228" s="791"/>
      <c r="N228" s="1455"/>
      <c r="O228" s="1456"/>
      <c r="P228" s="1455"/>
      <c r="Q228" s="344"/>
      <c r="R228" s="341"/>
    </row>
    <row r="229" spans="4:18" s="338" customFormat="1" ht="15.75">
      <c r="D229" s="339"/>
      <c r="E229" s="339"/>
      <c r="F229" s="789"/>
      <c r="G229" s="789"/>
      <c r="H229" s="790"/>
      <c r="I229" s="789"/>
      <c r="J229" s="791"/>
      <c r="K229" s="791"/>
      <c r="L229" s="791"/>
      <c r="M229" s="791"/>
      <c r="N229" s="1455"/>
      <c r="O229" s="1456"/>
      <c r="P229" s="1455"/>
      <c r="Q229" s="344"/>
      <c r="R229" s="341"/>
    </row>
    <row r="230" spans="4:18" s="338" customFormat="1" ht="15.75">
      <c r="D230" s="339"/>
      <c r="E230" s="339"/>
      <c r="F230" s="789"/>
      <c r="G230" s="789"/>
      <c r="H230" s="790"/>
      <c r="I230" s="789"/>
      <c r="J230" s="791"/>
      <c r="K230" s="791"/>
      <c r="L230" s="791"/>
      <c r="M230" s="791"/>
      <c r="N230" s="1455"/>
      <c r="O230" s="1456"/>
      <c r="P230" s="1455"/>
      <c r="Q230" s="344"/>
      <c r="R230" s="341"/>
    </row>
    <row r="231" spans="4:18" s="338" customFormat="1" ht="15.75">
      <c r="D231" s="339"/>
      <c r="E231" s="339"/>
      <c r="F231" s="789"/>
      <c r="G231" s="789"/>
      <c r="H231" s="790"/>
      <c r="I231" s="789"/>
      <c r="J231" s="791"/>
      <c r="K231" s="791"/>
      <c r="L231" s="791"/>
      <c r="M231" s="791"/>
      <c r="N231" s="1455"/>
      <c r="O231" s="1456"/>
      <c r="P231" s="1455"/>
      <c r="Q231" s="344"/>
      <c r="R231" s="341"/>
    </row>
    <row r="232" spans="4:18" s="338" customFormat="1" ht="15.75">
      <c r="D232" s="339"/>
      <c r="E232" s="339"/>
      <c r="F232" s="789"/>
      <c r="G232" s="789"/>
      <c r="H232" s="790"/>
      <c r="I232" s="789"/>
      <c r="J232" s="791"/>
      <c r="K232" s="791"/>
      <c r="L232" s="791"/>
      <c r="M232" s="791"/>
      <c r="N232" s="1455"/>
      <c r="O232" s="1456"/>
      <c r="P232" s="1455"/>
      <c r="Q232" s="344"/>
      <c r="R232" s="341"/>
    </row>
    <row r="233" spans="4:18" s="338" customFormat="1" ht="15.75">
      <c r="D233" s="339"/>
      <c r="E233" s="339"/>
      <c r="F233" s="789"/>
      <c r="G233" s="789"/>
      <c r="H233" s="790"/>
      <c r="I233" s="789"/>
      <c r="J233" s="791"/>
      <c r="K233" s="791"/>
      <c r="L233" s="791"/>
      <c r="M233" s="791"/>
      <c r="N233" s="1455"/>
      <c r="O233" s="1456"/>
      <c r="P233" s="1455"/>
      <c r="Q233" s="344"/>
      <c r="R233" s="341"/>
    </row>
    <row r="234" spans="4:18" s="338" customFormat="1" ht="15.75">
      <c r="D234" s="339"/>
      <c r="E234" s="339"/>
      <c r="F234" s="789"/>
      <c r="G234" s="789"/>
      <c r="H234" s="790"/>
      <c r="I234" s="789"/>
      <c r="J234" s="791"/>
      <c r="K234" s="791"/>
      <c r="L234" s="791"/>
      <c r="M234" s="791"/>
      <c r="N234" s="1455"/>
      <c r="O234" s="1456"/>
      <c r="P234" s="1455"/>
      <c r="Q234" s="344"/>
      <c r="R234" s="341"/>
    </row>
    <row r="235" spans="4:18" s="338" customFormat="1" ht="15.75">
      <c r="D235" s="339"/>
      <c r="E235" s="339"/>
      <c r="F235" s="789"/>
      <c r="G235" s="789"/>
      <c r="H235" s="790"/>
      <c r="I235" s="789"/>
      <c r="J235" s="791"/>
      <c r="K235" s="791"/>
      <c r="L235" s="791"/>
      <c r="M235" s="791"/>
      <c r="N235" s="1455"/>
      <c r="O235" s="1456"/>
      <c r="P235" s="1455"/>
      <c r="Q235" s="344"/>
      <c r="R235" s="341"/>
    </row>
    <row r="236" spans="4:18" s="338" customFormat="1" ht="15.75">
      <c r="D236" s="339"/>
      <c r="E236" s="339"/>
      <c r="F236" s="789"/>
      <c r="G236" s="789"/>
      <c r="H236" s="790"/>
      <c r="I236" s="789"/>
      <c r="J236" s="791"/>
      <c r="K236" s="791"/>
      <c r="L236" s="791"/>
      <c r="M236" s="791"/>
      <c r="N236" s="1455"/>
      <c r="O236" s="1456"/>
      <c r="P236" s="1455"/>
      <c r="Q236" s="344"/>
      <c r="R236" s="341"/>
    </row>
    <row r="237" spans="4:18" s="338" customFormat="1" ht="15.75">
      <c r="D237" s="339"/>
      <c r="E237" s="339"/>
      <c r="F237" s="789"/>
      <c r="G237" s="789"/>
      <c r="H237" s="790"/>
      <c r="I237" s="789"/>
      <c r="J237" s="791"/>
      <c r="K237" s="791"/>
      <c r="L237" s="791"/>
      <c r="M237" s="791"/>
      <c r="N237" s="1455"/>
      <c r="O237" s="1456"/>
      <c r="P237" s="1455"/>
      <c r="Q237" s="344"/>
      <c r="R237" s="341"/>
    </row>
    <row r="238" spans="4:18" s="338" customFormat="1" ht="15.75">
      <c r="D238" s="339"/>
      <c r="E238" s="339"/>
      <c r="F238" s="789"/>
      <c r="G238" s="789"/>
      <c r="H238" s="790"/>
      <c r="I238" s="789"/>
      <c r="J238" s="791"/>
      <c r="K238" s="791"/>
      <c r="L238" s="791"/>
      <c r="M238" s="791"/>
      <c r="N238" s="1455"/>
      <c r="O238" s="1456"/>
      <c r="P238" s="1455"/>
      <c r="Q238" s="344"/>
      <c r="R238" s="341"/>
    </row>
    <row r="239" spans="4:18" s="338" customFormat="1" ht="15.75">
      <c r="D239" s="339"/>
      <c r="E239" s="339"/>
      <c r="F239" s="789"/>
      <c r="G239" s="789"/>
      <c r="H239" s="790"/>
      <c r="I239" s="789"/>
      <c r="J239" s="791"/>
      <c r="K239" s="791"/>
      <c r="L239" s="791"/>
      <c r="M239" s="791"/>
      <c r="N239" s="1455"/>
      <c r="O239" s="1456"/>
      <c r="P239" s="1455"/>
      <c r="Q239" s="344"/>
      <c r="R239" s="341"/>
    </row>
    <row r="240" spans="4:18" s="338" customFormat="1" ht="15.75">
      <c r="D240" s="339"/>
      <c r="E240" s="339"/>
      <c r="F240" s="789"/>
      <c r="G240" s="789"/>
      <c r="H240" s="790"/>
      <c r="I240" s="789"/>
      <c r="J240" s="791"/>
      <c r="K240" s="791"/>
      <c r="L240" s="791"/>
      <c r="M240" s="791"/>
      <c r="N240" s="1455"/>
      <c r="O240" s="1456"/>
      <c r="P240" s="1455"/>
      <c r="Q240" s="344"/>
      <c r="R240" s="341"/>
    </row>
    <row r="241" spans="4:18" s="338" customFormat="1" ht="15.75">
      <c r="D241" s="339"/>
      <c r="E241" s="339"/>
      <c r="F241" s="789"/>
      <c r="G241" s="789"/>
      <c r="H241" s="790"/>
      <c r="I241" s="789"/>
      <c r="J241" s="791"/>
      <c r="K241" s="791"/>
      <c r="L241" s="791"/>
      <c r="M241" s="791"/>
      <c r="N241" s="1455"/>
      <c r="O241" s="1456"/>
      <c r="P241" s="1455"/>
      <c r="Q241" s="344"/>
      <c r="R241" s="341"/>
    </row>
    <row r="242" spans="4:18" s="338" customFormat="1" ht="15.75">
      <c r="D242" s="339"/>
      <c r="E242" s="339"/>
      <c r="F242" s="789"/>
      <c r="G242" s="789"/>
      <c r="H242" s="790"/>
      <c r="I242" s="789"/>
      <c r="J242" s="791"/>
      <c r="K242" s="791"/>
      <c r="L242" s="791"/>
      <c r="M242" s="791"/>
      <c r="N242" s="1455"/>
      <c r="O242" s="1456"/>
      <c r="P242" s="1455"/>
      <c r="Q242" s="344"/>
      <c r="R242" s="341"/>
    </row>
    <row r="243" spans="4:18" s="338" customFormat="1" ht="15.75">
      <c r="D243" s="339"/>
      <c r="E243" s="339"/>
      <c r="F243" s="789"/>
      <c r="G243" s="789"/>
      <c r="H243" s="790"/>
      <c r="I243" s="789"/>
      <c r="J243" s="791"/>
      <c r="K243" s="791"/>
      <c r="L243" s="791"/>
      <c r="M243" s="791"/>
      <c r="N243" s="1455"/>
      <c r="O243" s="1456"/>
      <c r="P243" s="1455"/>
      <c r="Q243" s="344"/>
      <c r="R243" s="341"/>
    </row>
    <row r="244" spans="4:18" s="338" customFormat="1" ht="15.75">
      <c r="D244" s="339"/>
      <c r="E244" s="339"/>
      <c r="F244" s="789"/>
      <c r="G244" s="789"/>
      <c r="H244" s="790"/>
      <c r="I244" s="789"/>
      <c r="J244" s="791"/>
      <c r="K244" s="791"/>
      <c r="L244" s="791"/>
      <c r="M244" s="791"/>
      <c r="N244" s="1455"/>
      <c r="O244" s="1456"/>
      <c r="P244" s="1455"/>
      <c r="Q244" s="344"/>
      <c r="R244" s="341"/>
    </row>
    <row r="245" spans="4:18" s="338" customFormat="1" ht="15.75">
      <c r="D245" s="339"/>
      <c r="E245" s="339"/>
      <c r="F245" s="789"/>
      <c r="G245" s="789"/>
      <c r="H245" s="790"/>
      <c r="I245" s="789"/>
      <c r="J245" s="791"/>
      <c r="K245" s="791"/>
      <c r="L245" s="791"/>
      <c r="M245" s="791"/>
      <c r="N245" s="1455"/>
      <c r="O245" s="1456"/>
      <c r="P245" s="1455"/>
      <c r="Q245" s="344"/>
      <c r="R245" s="341"/>
    </row>
    <row r="246" spans="4:18" s="338" customFormat="1" ht="15.75">
      <c r="D246" s="339"/>
      <c r="E246" s="339"/>
      <c r="F246" s="789"/>
      <c r="G246" s="789"/>
      <c r="H246" s="790"/>
      <c r="I246" s="789"/>
      <c r="J246" s="791"/>
      <c r="K246" s="791"/>
      <c r="L246" s="791"/>
      <c r="M246" s="791"/>
      <c r="N246" s="1455"/>
      <c r="O246" s="1456"/>
      <c r="P246" s="1455"/>
      <c r="Q246" s="344"/>
      <c r="R246" s="341"/>
    </row>
    <row r="247" spans="4:18" s="338" customFormat="1" ht="15.75">
      <c r="D247" s="339"/>
      <c r="E247" s="339"/>
      <c r="F247" s="789"/>
      <c r="G247" s="789"/>
      <c r="H247" s="790"/>
      <c r="I247" s="789"/>
      <c r="J247" s="791"/>
      <c r="K247" s="791"/>
      <c r="L247" s="791"/>
      <c r="M247" s="791"/>
      <c r="N247" s="1455"/>
      <c r="O247" s="1456"/>
      <c r="P247" s="1455"/>
      <c r="Q247" s="344"/>
      <c r="R247" s="341"/>
    </row>
    <row r="248" spans="4:18" s="338" customFormat="1" ht="15.75">
      <c r="D248" s="339"/>
      <c r="E248" s="339"/>
      <c r="F248" s="789"/>
      <c r="G248" s="789"/>
      <c r="H248" s="790"/>
      <c r="I248" s="789"/>
      <c r="J248" s="791"/>
      <c r="K248" s="791"/>
      <c r="L248" s="791"/>
      <c r="M248" s="791"/>
      <c r="N248" s="1455"/>
      <c r="O248" s="1456"/>
      <c r="P248" s="1455"/>
      <c r="Q248" s="344"/>
      <c r="R248" s="341"/>
    </row>
    <row r="249" spans="4:18" s="338" customFormat="1" ht="15.75">
      <c r="D249" s="339"/>
      <c r="E249" s="339"/>
      <c r="F249" s="789"/>
      <c r="G249" s="789"/>
      <c r="H249" s="790"/>
      <c r="I249" s="789"/>
      <c r="J249" s="791"/>
      <c r="K249" s="791"/>
      <c r="L249" s="791"/>
      <c r="M249" s="791"/>
      <c r="N249" s="1455"/>
      <c r="O249" s="1456"/>
      <c r="P249" s="1455"/>
      <c r="Q249" s="344"/>
      <c r="R249" s="341"/>
    </row>
    <row r="250" spans="4:18" s="338" customFormat="1" ht="15.75">
      <c r="D250" s="339"/>
      <c r="E250" s="339"/>
      <c r="F250" s="789"/>
      <c r="G250" s="789"/>
      <c r="H250" s="790"/>
      <c r="I250" s="789"/>
      <c r="J250" s="791"/>
      <c r="K250" s="791"/>
      <c r="L250" s="791"/>
      <c r="M250" s="791"/>
      <c r="N250" s="1455"/>
      <c r="O250" s="1456"/>
      <c r="P250" s="1455"/>
      <c r="Q250" s="344"/>
      <c r="R250" s="341"/>
    </row>
    <row r="251" spans="4:18" s="338" customFormat="1" ht="15.75">
      <c r="D251" s="339"/>
      <c r="E251" s="339"/>
      <c r="F251" s="789"/>
      <c r="G251" s="789"/>
      <c r="H251" s="790"/>
      <c r="I251" s="789"/>
      <c r="J251" s="791"/>
      <c r="K251" s="791"/>
      <c r="L251" s="791"/>
      <c r="M251" s="791"/>
      <c r="N251" s="1455"/>
      <c r="O251" s="1456"/>
      <c r="P251" s="1455"/>
      <c r="Q251" s="344"/>
      <c r="R251" s="341"/>
    </row>
    <row r="252" spans="4:18" s="338" customFormat="1" ht="15.75">
      <c r="D252" s="339"/>
      <c r="E252" s="339"/>
      <c r="F252" s="789"/>
      <c r="G252" s="789"/>
      <c r="H252" s="790"/>
      <c r="I252" s="789"/>
      <c r="J252" s="791"/>
      <c r="K252" s="791"/>
      <c r="L252" s="791"/>
      <c r="M252" s="791"/>
      <c r="N252" s="1455"/>
      <c r="O252" s="1456"/>
      <c r="P252" s="1455"/>
      <c r="Q252" s="344"/>
      <c r="R252" s="341"/>
    </row>
    <row r="253" spans="4:18" s="338" customFormat="1" ht="15.75">
      <c r="D253" s="339"/>
      <c r="E253" s="339"/>
      <c r="F253" s="789"/>
      <c r="G253" s="789"/>
      <c r="H253" s="790"/>
      <c r="I253" s="789"/>
      <c r="J253" s="791"/>
      <c r="K253" s="791"/>
      <c r="L253" s="791"/>
      <c r="M253" s="791"/>
      <c r="N253" s="1455"/>
      <c r="O253" s="1456"/>
      <c r="P253" s="1455"/>
      <c r="Q253" s="344"/>
      <c r="R253" s="341"/>
    </row>
  </sheetData>
  <autoFilter ref="F15:P15" xr:uid="{00000000-0009-0000-0000-000007000000}">
    <sortState xmlns:xlrd2="http://schemas.microsoft.com/office/spreadsheetml/2017/richdata2" ref="F17:P85">
      <sortCondition descending="1" ref="N16"/>
    </sortState>
  </autoFilter>
  <mergeCells count="13">
    <mergeCell ref="F5:G7"/>
    <mergeCell ref="F8:P8"/>
    <mergeCell ref="N11:O11"/>
    <mergeCell ref="F13:P13"/>
    <mergeCell ref="N86:P86"/>
    <mergeCell ref="G10:M10"/>
    <mergeCell ref="G11:M11"/>
    <mergeCell ref="H5:K6"/>
    <mergeCell ref="L5:N5"/>
    <mergeCell ref="O5:P7"/>
    <mergeCell ref="L6:N6"/>
    <mergeCell ref="H7:K7"/>
    <mergeCell ref="M7:N7"/>
  </mergeCells>
  <conditionalFormatting sqref="F254:M9196 G19:G21 G17 G23:J24 G26:J26 G29:G30 G61:J62 G64:J64 H65:J69 G66:G69 G76 H76:J77 G81:G82 G79:J79 H81:J84 G38:J39 G42:J43 H29:J31 G33:J34 G36:J36 G46:J59 G72:J72 H17:J21 F16:M16 F17:F84">
    <cfRule type="expression" dxfId="93" priority="91">
      <formula>CONCATENATE($F16,$G16,$H16,$I16,$J16,$K16,$L16,$M16)=""</formula>
    </cfRule>
    <cfRule type="expression" dxfId="92" priority="92">
      <formula>CONCATENATE($F16,$G16,$I16,$J16,$K16,$L16,$M16)=""</formula>
    </cfRule>
    <cfRule type="expression" dxfId="91" priority="93">
      <formula>CONCATENATE($G16,$I16,$J16,$K16,$L16)=""</formula>
    </cfRule>
  </conditionalFormatting>
  <conditionalFormatting sqref="G31">
    <cfRule type="expression" dxfId="90" priority="88">
      <formula>CONCATENATE($F31,$G31,$H31,$I31,$J31,$K31,$L31,$M31)=""</formula>
    </cfRule>
    <cfRule type="expression" dxfId="89" priority="89">
      <formula>CONCATENATE($F31,$G31,$I31,$J31,$K31,$L31,$M31)=""</formula>
    </cfRule>
    <cfRule type="expression" dxfId="88" priority="90">
      <formula>CONCATENATE($G31,$I31,$J31,$K31,$L31)=""</formula>
    </cfRule>
  </conditionalFormatting>
  <conditionalFormatting sqref="G83">
    <cfRule type="expression" dxfId="87" priority="85">
      <formula>CONCATENATE($F83,$G83,$H83,$I83,$J83,$K83,$L83,$M83)=""</formula>
    </cfRule>
    <cfRule type="expression" dxfId="86" priority="86">
      <formula>CONCATENATE($F83,$G83,$I83,$J83,$K83,$L83,$M83)=""</formula>
    </cfRule>
    <cfRule type="expression" dxfId="85" priority="87">
      <formula>CONCATENATE($G83,$I83,$J83,$K83,$L83)=""</formula>
    </cfRule>
  </conditionalFormatting>
  <conditionalFormatting sqref="G18">
    <cfRule type="expression" dxfId="84" priority="82">
      <formula>CONCATENATE($F18,$G18,$H18,$I18,$J18,$K18,$L18,$M18)=""</formula>
    </cfRule>
    <cfRule type="expression" dxfId="83" priority="83">
      <formula>CONCATENATE($F18,$G18,$I18,$J18,$K18,$L18,$M18)=""</formula>
    </cfRule>
    <cfRule type="expression" dxfId="82" priority="84">
      <formula>CONCATENATE($G18,$I18,$J18,$K18,$L18)=""</formula>
    </cfRule>
  </conditionalFormatting>
  <conditionalFormatting sqref="G77">
    <cfRule type="expression" dxfId="81" priority="79">
      <formula>CONCATENATE($F77,$G77,$H77,$I77,$J77,$K77,$L77,$M77)=""</formula>
    </cfRule>
    <cfRule type="expression" dxfId="80" priority="80">
      <formula>CONCATENATE($F77,$G77,$I77,$J77,$K77,$L77,$M77)=""</formula>
    </cfRule>
    <cfRule type="expression" dxfId="79" priority="81">
      <formula>CONCATENATE($G77,$I77,$J77,$K77,$L77)=""</formula>
    </cfRule>
  </conditionalFormatting>
  <conditionalFormatting sqref="G84">
    <cfRule type="expression" dxfId="78" priority="76">
      <formula>CONCATENATE($F84,$G84,$H84,$I84,$J84,$K84,$L84,$M84)=""</formula>
    </cfRule>
    <cfRule type="expression" dxfId="77" priority="77">
      <formula>CONCATENATE($F84,$G84,$I84,$J84,$K84,$L84,$M84)=""</formula>
    </cfRule>
    <cfRule type="expression" dxfId="76" priority="78">
      <formula>CONCATENATE($G84,$I84,$J84,$K84,$L84)=""</formula>
    </cfRule>
  </conditionalFormatting>
  <conditionalFormatting sqref="G65">
    <cfRule type="expression" dxfId="75" priority="73">
      <formula>CONCATENATE($F65,$G65,$H65,$I65,$J65,$K65,$L65,$M65)=""</formula>
    </cfRule>
    <cfRule type="expression" dxfId="74" priority="74">
      <formula>CONCATENATE($F65,$G65,$I65,$J65,$K65,$L65,$M65)=""</formula>
    </cfRule>
    <cfRule type="expression" dxfId="73" priority="75">
      <formula>CONCATENATE($G65,$I65,$J65,$K65,$L65)=""</formula>
    </cfRule>
  </conditionalFormatting>
  <conditionalFormatting sqref="G22:J22">
    <cfRule type="expression" dxfId="72" priority="70">
      <formula>CONCATENATE($F22,$G22,$H22,$I22,$J22,$K22,$L22,$M22)=""</formula>
    </cfRule>
    <cfRule type="expression" dxfId="71" priority="71">
      <formula>CONCATENATE($F22,$G22,$I22,$J22,$K22,$L22,$M22)=""</formula>
    </cfRule>
    <cfRule type="expression" dxfId="70" priority="72">
      <formula>CONCATENATE($G22,$I22,$J22,$K22,$L22)=""</formula>
    </cfRule>
  </conditionalFormatting>
  <conditionalFormatting sqref="G27:J28">
    <cfRule type="expression" dxfId="69" priority="67">
      <formula>CONCATENATE($F27,$G27,$H27,$I27,$J27,$K27,$L27,$M27)=""</formula>
    </cfRule>
    <cfRule type="expression" dxfId="68" priority="68">
      <formula>CONCATENATE($F27,$G27,$I27,$J27,$K27,$L27,$M27)=""</formula>
    </cfRule>
    <cfRule type="expression" dxfId="67" priority="69">
      <formula>CONCATENATE($G27,$I27,$J27,$K27,$L27)=""</formula>
    </cfRule>
  </conditionalFormatting>
  <conditionalFormatting sqref="G25:J25">
    <cfRule type="expression" dxfId="66" priority="64">
      <formula>CONCATENATE($F25,$G25,$H25,$I25,$J25,$K25,$L25,$M25)=""</formula>
    </cfRule>
    <cfRule type="expression" dxfId="65" priority="65">
      <formula>CONCATENATE($F25,$G25,$I25,$J25,$K25,$L25,$M25)=""</formula>
    </cfRule>
    <cfRule type="expression" dxfId="64" priority="66">
      <formula>CONCATENATE($G25,$I25,$J25,$K25,$L25)=""</formula>
    </cfRule>
  </conditionalFormatting>
  <conditionalFormatting sqref="G32:J32">
    <cfRule type="expression" dxfId="63" priority="61">
      <formula>CONCATENATE($F32,$G32,$H32,$I32,$J32,$K32,$L32,$M32)=""</formula>
    </cfRule>
    <cfRule type="expression" dxfId="62" priority="62">
      <formula>CONCATENATE($F32,$G32,$I32,$J32,$K32,$L32,$M32)=""</formula>
    </cfRule>
    <cfRule type="expression" dxfId="61" priority="63">
      <formula>CONCATENATE($G32,$I32,$J32,$K32,$L32)=""</formula>
    </cfRule>
  </conditionalFormatting>
  <conditionalFormatting sqref="G45:J45">
    <cfRule type="expression" dxfId="60" priority="55">
      <formula>CONCATENATE($F45,$G45,$H45,$I45,$J45,$K45,$L45,$M45)=""</formula>
    </cfRule>
    <cfRule type="expression" dxfId="59" priority="56">
      <formula>CONCATENATE($F45,$G45,$I45,$J45,$K45,$L45,$M45)=""</formula>
    </cfRule>
    <cfRule type="expression" dxfId="58" priority="57">
      <formula>CONCATENATE($G45,$I45,$J45,$K45,$L45)=""</formula>
    </cfRule>
  </conditionalFormatting>
  <conditionalFormatting sqref="G44:J44">
    <cfRule type="expression" dxfId="57" priority="58">
      <formula>CONCATENATE($F44,$G44,$H44,$I44,$J44,$K44,$L44,$M44)=""</formula>
    </cfRule>
    <cfRule type="expression" dxfId="56" priority="59">
      <formula>CONCATENATE($F44,$G44,$I44,$J44,$K44,$L44,$M44)=""</formula>
    </cfRule>
    <cfRule type="expression" dxfId="55" priority="60">
      <formula>CONCATENATE($G44,$I44,$J44,$K44,$L44)=""</formula>
    </cfRule>
  </conditionalFormatting>
  <conditionalFormatting sqref="G60:J60">
    <cfRule type="expression" dxfId="54" priority="52">
      <formula>CONCATENATE($F60,$G60,$H60,$I60,$J60,$K60,$L60,$M60)=""</formula>
    </cfRule>
    <cfRule type="expression" dxfId="53" priority="53">
      <formula>CONCATENATE($F60,$G60,$I60,$J60,$K60,$L60,$M60)=""</formula>
    </cfRule>
    <cfRule type="expression" dxfId="52" priority="54">
      <formula>CONCATENATE($G60,$I60,$J60,$K60,$L60)=""</formula>
    </cfRule>
  </conditionalFormatting>
  <conditionalFormatting sqref="H63:J63">
    <cfRule type="expression" dxfId="51" priority="49">
      <formula>CONCATENATE($F63,$G63,$H63,$I63,$J63,$K63,$L63,$M63)=""</formula>
    </cfRule>
    <cfRule type="expression" dxfId="50" priority="50">
      <formula>CONCATENATE($F63,$G63,$I63,$J63,$K63,$L63,$M63)=""</formula>
    </cfRule>
    <cfRule type="expression" dxfId="49" priority="51">
      <formula>CONCATENATE($G63,$I63,$J63,$K63,$L63)=""</formula>
    </cfRule>
  </conditionalFormatting>
  <conditionalFormatting sqref="G63">
    <cfRule type="expression" dxfId="48" priority="46">
      <formula>CONCATENATE($F63,$G63,$H63,$I63,$J63,$K63,$L63,$M63)=""</formula>
    </cfRule>
    <cfRule type="expression" dxfId="47" priority="47">
      <formula>CONCATENATE($F63,$G63,$I63,$J63,$K63,$L63,$M63)=""</formula>
    </cfRule>
    <cfRule type="expression" dxfId="46" priority="48">
      <formula>CONCATENATE($G63,$I63,$J63,$K63,$L63)=""</formula>
    </cfRule>
  </conditionalFormatting>
  <conditionalFormatting sqref="G71:J71">
    <cfRule type="expression" dxfId="45" priority="43">
      <formula>CONCATENATE($F71,$G71,$H71,$I71,$J71,$K71,$L71,$M71)=""</formula>
    </cfRule>
    <cfRule type="expression" dxfId="44" priority="44">
      <formula>CONCATENATE($F71,$G71,$I71,$J71,$K71,$L71,$M71)=""</formula>
    </cfRule>
    <cfRule type="expression" dxfId="43" priority="45">
      <formula>CONCATENATE($G71,$I71,$J71,$K71,$L71)=""</formula>
    </cfRule>
  </conditionalFormatting>
  <conditionalFormatting sqref="G70:J70">
    <cfRule type="expression" dxfId="42" priority="40">
      <formula>CONCATENATE($F70,$G70,$H70,$I70,$J70,$K70,$L70,$M70)=""</formula>
    </cfRule>
    <cfRule type="expression" dxfId="41" priority="41">
      <formula>CONCATENATE($F70,$G70,$I70,$J70,$K70,$L70,$M70)=""</formula>
    </cfRule>
    <cfRule type="expression" dxfId="40" priority="42">
      <formula>CONCATENATE($G70,$I70,$J70,$K70,$L70)=""</formula>
    </cfRule>
  </conditionalFormatting>
  <conditionalFormatting sqref="G73:J74">
    <cfRule type="expression" dxfId="39" priority="37">
      <formula>CONCATENATE($F73,$G73,$H73,$I73,$J73,$K73,$L73,$M73)=""</formula>
    </cfRule>
    <cfRule type="expression" dxfId="38" priority="38">
      <formula>CONCATENATE($F73,$G73,$I73,$J73,$K73,$L73,$M73)=""</formula>
    </cfRule>
    <cfRule type="expression" dxfId="37" priority="39">
      <formula>CONCATENATE($G73,$I73,$J73,$K73,$L73)=""</formula>
    </cfRule>
  </conditionalFormatting>
  <conditionalFormatting sqref="G75:J75">
    <cfRule type="expression" dxfId="36" priority="34">
      <formula>CONCATENATE($F75,$G75,$H75,$I75,$J75,$K75,$L75,$M75)=""</formula>
    </cfRule>
    <cfRule type="expression" dxfId="35" priority="35">
      <formula>CONCATENATE($F75,$G75,$I75,$J75,$K75,$L75,$M75)=""</formula>
    </cfRule>
    <cfRule type="expression" dxfId="34" priority="36">
      <formula>CONCATENATE($G75,$I75,$J75,$K75,$L75)=""</formula>
    </cfRule>
  </conditionalFormatting>
  <conditionalFormatting sqref="G80:J80">
    <cfRule type="expression" dxfId="33" priority="31">
      <formula>CONCATENATE($F80,$G80,$H80,$I80,$J80,$K80,$L80,$M80)=""</formula>
    </cfRule>
    <cfRule type="expression" dxfId="32" priority="32">
      <formula>CONCATENATE($F80,$G80,$I80,$J80,$K80,$L80,$M80)=""</formula>
    </cfRule>
    <cfRule type="expression" dxfId="31" priority="33">
      <formula>CONCATENATE($G80,$I80,$J80,$K80,$L80)=""</formula>
    </cfRule>
  </conditionalFormatting>
  <conditionalFormatting sqref="H78:J78">
    <cfRule type="expression" dxfId="30" priority="28">
      <formula>CONCATENATE($F78,$G78,$H78,$I78,$J78,$K78,$L78,$M78)=""</formula>
    </cfRule>
    <cfRule type="expression" dxfId="29" priority="29">
      <formula>CONCATENATE($F78,$G78,$I78,$J78,$K78,$L78,$M78)=""</formula>
    </cfRule>
    <cfRule type="expression" dxfId="28" priority="30">
      <formula>CONCATENATE($G78,$I78,$J78,$K78,$L78)=""</formula>
    </cfRule>
  </conditionalFormatting>
  <conditionalFormatting sqref="G78">
    <cfRule type="expression" dxfId="27" priority="25">
      <formula>CONCATENATE($F78,$G78,$H78,$I78,$J78,$K78,$L78,$M78)=""</formula>
    </cfRule>
    <cfRule type="expression" dxfId="26" priority="26">
      <formula>CONCATENATE($F78,$G78,$I78,$J78,$K78,$L78,$M78)=""</formula>
    </cfRule>
    <cfRule type="expression" dxfId="25" priority="27">
      <formula>CONCATENATE($G78,$I78,$J78,$K78,$L78)=""</formula>
    </cfRule>
  </conditionalFormatting>
  <conditionalFormatting sqref="G35:J35">
    <cfRule type="expression" dxfId="24" priority="22">
      <formula>CONCATENATE($F35,$G35,$H35,$I35,$J35,$K35,$L35,$M35)=""</formula>
    </cfRule>
    <cfRule type="expression" dxfId="23" priority="23">
      <formula>CONCATENATE($F35,$G35,$I35,$J35,$K35,$L35,$M35)=""</formula>
    </cfRule>
    <cfRule type="expression" dxfId="22" priority="24">
      <formula>CONCATENATE($G35,$I35,$J35,$K35,$L35)=""</formula>
    </cfRule>
  </conditionalFormatting>
  <conditionalFormatting sqref="G37:J37">
    <cfRule type="expression" dxfId="21" priority="19">
      <formula>CONCATENATE($F37,$G37,$H37,$I37,$J37,$K37,$L37,$M37)=""</formula>
    </cfRule>
    <cfRule type="expression" dxfId="20" priority="20">
      <formula>CONCATENATE($F37,$G37,$I37,$J37,$K37,$L37,$M37)=""</formula>
    </cfRule>
    <cfRule type="expression" dxfId="19" priority="21">
      <formula>CONCATENATE($G37,$I37,$J37,$K37,$L37)=""</formula>
    </cfRule>
  </conditionalFormatting>
  <conditionalFormatting sqref="G40:J40">
    <cfRule type="expression" dxfId="18" priority="16">
      <formula>CONCATENATE($F40,$G40,$H40,$I40,$J40,$K40,$L40,$M40)=""</formula>
    </cfRule>
    <cfRule type="expression" dxfId="17" priority="17">
      <formula>CONCATENATE($F40,$G40,$I40,$J40,$K40,$L40,$M40)=""</formula>
    </cfRule>
    <cfRule type="expression" dxfId="16" priority="18">
      <formula>CONCATENATE($G40,$I40,$J40,$K40,$L40)=""</formula>
    </cfRule>
  </conditionalFormatting>
  <conditionalFormatting sqref="H41:J41">
    <cfRule type="expression" dxfId="15" priority="13">
      <formula>CONCATENATE($F41,$G41,$H41,$I41,$J41,$K41,$L41,$M41)=""</formula>
    </cfRule>
    <cfRule type="expression" dxfId="14" priority="14">
      <formula>CONCATENATE($F41,$G41,$I41,$J41,$K41,$L41,$M41)=""</formula>
    </cfRule>
    <cfRule type="expression" dxfId="13" priority="15">
      <formula>CONCATENATE($G41,$I41,$J41,$K41,$L41)=""</formula>
    </cfRule>
  </conditionalFormatting>
  <conditionalFormatting sqref="G41">
    <cfRule type="expression" dxfId="12" priority="10">
      <formula>CONCATENATE($F41,$G41,$H41,$I41,$J41,$K41,$L41,$M41)=""</formula>
    </cfRule>
    <cfRule type="expression" dxfId="11" priority="11">
      <formula>CONCATENATE($F41,$G41,$I41,$J41,$K41,$L41,$M41)=""</formula>
    </cfRule>
    <cfRule type="expression" dxfId="10" priority="12">
      <formula>CONCATENATE($G41,$I41,$J41,$K41,$L41)=""</formula>
    </cfRule>
  </conditionalFormatting>
  <conditionalFormatting sqref="M17:M84">
    <cfRule type="expression" dxfId="9" priority="4">
      <formula>CONCATENATE($F17,$G17,$H17,$I17,$J17,$K17,$L17,$M17)=""</formula>
    </cfRule>
    <cfRule type="expression" dxfId="8" priority="5">
      <formula>CONCATENATE($F17,$G17,$I17,$J17,$K17,$L17,$M17)=""</formula>
    </cfRule>
    <cfRule type="expression" dxfId="7" priority="6">
      <formula>CONCATENATE($G17,$I17,$J17,$K17,$L17)=""</formula>
    </cfRule>
  </conditionalFormatting>
  <conditionalFormatting sqref="K17:L84">
    <cfRule type="expression" dxfId="6" priority="1">
      <formula>CONCATENATE($F17,$G17,$H17,$I17,$J17,$K17,$L17,$M17)=""</formula>
    </cfRule>
    <cfRule type="expression" dxfId="5" priority="2">
      <formula>CONCATENATE($F17,$G17,$I17,$J17,$K17,$L17,$M17)=""</formula>
    </cfRule>
    <cfRule type="expression" dxfId="4" priority="3">
      <formula>CONCATENATE($G17,$I17,$J17,$K17,$L17)=""</formula>
    </cfRule>
  </conditionalFormatting>
  <dataValidations disablePrompts="1" count="2">
    <dataValidation type="list" allowBlank="1" showInputMessage="1" showErrorMessage="1" sqref="S2" xr:uid="{00000000-0002-0000-0700-000000000000}">
      <formula1>$N$3:$N$4</formula1>
    </dataValidation>
    <dataValidation type="list" allowBlank="1" showInputMessage="1" showErrorMessage="1" sqref="L6" xr:uid="{00000000-0002-0000-0700-000001000000}">
      <formula1>$R$3:$R$4</formula1>
    </dataValidation>
  </dataValidations>
  <printOptions horizontalCentered="1"/>
  <pageMargins left="0.39370078740157483" right="0.39370078740157483" top="0.78740157480314965" bottom="0.78740157480314965" header="0.31496062992125984" footer="0.31496062992125984"/>
  <pageSetup paperSize="9" scale="40" fitToHeight="0" orientation="portrait" r:id="rId1"/>
  <headerFooter scaleWithDoc="0">
    <oddHeader>&amp;RPágina &amp;P de &amp;N</oddHeader>
    <oddFooter>&amp;R&amp;G</oddFooter>
  </headerFooter>
  <rowBreaks count="2" manualBreakCount="2">
    <brk id="34" min="5" max="15" man="1"/>
    <brk id="59" min="5" max="1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61</vt:i4>
      </vt:variant>
    </vt:vector>
  </HeadingPairs>
  <TitlesOfParts>
    <vt:vector size="102" baseType="lpstr">
      <vt:lpstr>QCI</vt:lpstr>
      <vt:lpstr>DECL. DE RESP.</vt:lpstr>
      <vt:lpstr>CAPA</vt:lpstr>
      <vt:lpstr>RESUMO</vt:lpstr>
      <vt:lpstr>ASS</vt:lpstr>
      <vt:lpstr>M.C PISO</vt:lpstr>
      <vt:lpstr>M.C. PINTURA INT</vt:lpstr>
      <vt:lpstr>ORÇAMENTO </vt:lpstr>
      <vt:lpstr>CURVA ABC  </vt:lpstr>
      <vt:lpstr>COMPOSIÇÃO CIVIL</vt:lpstr>
      <vt:lpstr>COMPOSIÇÃO ESTRUTURAL</vt:lpstr>
      <vt:lpstr>BANCO DE DADOS JANEIRO-24 SERV</vt:lpstr>
      <vt:lpstr>BANCO DE DADOS JANEIRO-24 INS</vt:lpstr>
      <vt:lpstr>COMPOSIÇÕES</vt:lpstr>
      <vt:lpstr>Mobilização_Desmobilização</vt:lpstr>
      <vt:lpstr>COMP. HIDRO </vt:lpstr>
      <vt:lpstr>ACADEMIA DA 3 IDADE </vt:lpstr>
      <vt:lpstr>COMP. ELETRICO </vt:lpstr>
      <vt:lpstr>COMP. SPDA </vt:lpstr>
      <vt:lpstr>COMP. LOG</vt:lpstr>
      <vt:lpstr>COMP. INC</vt:lpstr>
      <vt:lpstr>COMP. IP</vt:lpstr>
      <vt:lpstr>COMP. PAISAGISMO</vt:lpstr>
      <vt:lpstr>COMP. ACAD CEF</vt:lpstr>
      <vt:lpstr>PLAYGROUND </vt:lpstr>
      <vt:lpstr>MEMCALRAS</vt:lpstr>
      <vt:lpstr>MEMCALPINT</vt:lpstr>
      <vt:lpstr>MEMCALALV</vt:lpstr>
      <vt:lpstr>MEMCALESQ</vt:lpstr>
      <vt:lpstr>MEMCALPIS</vt:lpstr>
      <vt:lpstr>MEMCALCOBERT</vt:lpstr>
      <vt:lpstr>MEMCALESTMET</vt:lpstr>
      <vt:lpstr>MEMCALPLACAS</vt:lpstr>
      <vt:lpstr>MEMCALTRASP</vt:lpstr>
      <vt:lpstr>M.C. FUNDAÇÃO</vt:lpstr>
      <vt:lpstr>MEM. DE CALCULO</vt:lpstr>
      <vt:lpstr>CRONOGRAMA PLE</vt:lpstr>
      <vt:lpstr>CRONOGRAMA</vt:lpstr>
      <vt:lpstr>BDI </vt:lpstr>
      <vt:lpstr>BDI DIF</vt:lpstr>
      <vt:lpstr>ENCARGOS SOCIAIS</vt:lpstr>
      <vt:lpstr>'ACADEMIA DA 3 IDADE '!Area_de_impressao</vt:lpstr>
      <vt:lpstr>'BANCO DE DADOS JANEIRO-24 SERV'!Area_de_impressao</vt:lpstr>
      <vt:lpstr>'BDI '!Area_de_impressao</vt:lpstr>
      <vt:lpstr>'BDI DIF'!Area_de_impressao</vt:lpstr>
      <vt:lpstr>CAPA!Area_de_impressao</vt:lpstr>
      <vt:lpstr>'COMP. ACAD CEF'!Area_de_impressao</vt:lpstr>
      <vt:lpstr>'COMP. ELETRICO '!Area_de_impressao</vt:lpstr>
      <vt:lpstr>'COMP. HIDRO '!Area_de_impressao</vt:lpstr>
      <vt:lpstr>'COMP. INC'!Area_de_impressao</vt:lpstr>
      <vt:lpstr>'COMP. IP'!Area_de_impressao</vt:lpstr>
      <vt:lpstr>'COMP. LOG'!Area_de_impressao</vt:lpstr>
      <vt:lpstr>'COMP. PAISAGISMO'!Area_de_impressao</vt:lpstr>
      <vt:lpstr>'COMP. SPDA '!Area_de_impressao</vt:lpstr>
      <vt:lpstr>'COMPOSIÇÃO CIVIL'!Area_de_impressao</vt:lpstr>
      <vt:lpstr>'COMPOSIÇÃO ESTRUTURAL'!Area_de_impressao</vt:lpstr>
      <vt:lpstr>CRONOGRAMA!Area_de_impressao</vt:lpstr>
      <vt:lpstr>'CRONOGRAMA PLE'!Area_de_impressao</vt:lpstr>
      <vt:lpstr>'CURVA ABC  '!Area_de_impressao</vt:lpstr>
      <vt:lpstr>'DECL. DE RESP.'!Area_de_impressao</vt:lpstr>
      <vt:lpstr>'ENCARGOS SOCIAIS'!Area_de_impressao</vt:lpstr>
      <vt:lpstr>'M.C PISO'!Area_de_impressao</vt:lpstr>
      <vt:lpstr>'M.C. FUNDAÇÃO'!Area_de_impressao</vt:lpstr>
      <vt:lpstr>'M.C. PINTURA INT'!Area_de_impressao</vt:lpstr>
      <vt:lpstr>'MEM. DE CALCULO'!Area_de_impressao</vt:lpstr>
      <vt:lpstr>MEMCALALV!Area_de_impressao</vt:lpstr>
      <vt:lpstr>MEMCALCOBERT!Area_de_impressao</vt:lpstr>
      <vt:lpstr>MEMCALESQ!Area_de_impressao</vt:lpstr>
      <vt:lpstr>MEMCALESTMET!Area_de_impressao</vt:lpstr>
      <vt:lpstr>MEMCALPINT!Area_de_impressao</vt:lpstr>
      <vt:lpstr>MEMCALPIS!Area_de_impressao</vt:lpstr>
      <vt:lpstr>MEMCALPLACAS!Area_de_impressao</vt:lpstr>
      <vt:lpstr>MEMCALRAS!Area_de_impressao</vt:lpstr>
      <vt:lpstr>MEMCALTRASP!Area_de_impressao</vt:lpstr>
      <vt:lpstr>Mobilização_Desmobilização!Area_de_impressao</vt:lpstr>
      <vt:lpstr>'ORÇAMENTO '!Area_de_impressao</vt:lpstr>
      <vt:lpstr>'PLAYGROUND '!Area_de_impressao</vt:lpstr>
      <vt:lpstr>QCI!Area_de_impressao</vt:lpstr>
      <vt:lpstr>RESUMO!Area_de_impressao</vt:lpstr>
      <vt:lpstr>'ACADEMIA DA 3 IDADE '!Titulos_de_impressao</vt:lpstr>
      <vt:lpstr>'COMP. ACAD CEF'!Titulos_de_impressao</vt:lpstr>
      <vt:lpstr>'COMP. ELETRICO '!Titulos_de_impressao</vt:lpstr>
      <vt:lpstr>'COMP. HIDRO '!Titulos_de_impressao</vt:lpstr>
      <vt:lpstr>'COMP. INC'!Titulos_de_impressao</vt:lpstr>
      <vt:lpstr>'COMP. IP'!Titulos_de_impressao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CRONOGRAMA!Titulos_de_impressao</vt:lpstr>
      <vt:lpstr>'CURVA ABC  '!Titulos_de_impressao</vt:lpstr>
      <vt:lpstr>'DECL. DE RESP.'!Titulos_de_impressao</vt:lpstr>
      <vt:lpstr>'M.C PISO'!Titulos_de_impressao</vt:lpstr>
      <vt:lpstr>'M.C. PINTURA INT'!Titulos_de_impressao</vt:lpstr>
      <vt:lpstr>'MEM. DE CALCULO'!Titulos_de_impressao</vt:lpstr>
      <vt:lpstr>MEMCALCOBERT!Titulos_de_impressao</vt:lpstr>
      <vt:lpstr>MEMCALESTMET!Titulos_de_impressao</vt:lpstr>
      <vt:lpstr>MEMCALTRASP!Titulos_de_impressao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PC BRASIL</cp:lastModifiedBy>
  <cp:lastPrinted>2024-04-10T15:36:58Z</cp:lastPrinted>
  <dcterms:created xsi:type="dcterms:W3CDTF">2015-11-27T14:02:44Z</dcterms:created>
  <dcterms:modified xsi:type="dcterms:W3CDTF">2024-10-16T16:15:13Z</dcterms:modified>
</cp:coreProperties>
</file>